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_rels/sheet16.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19.xml.rels" ContentType="application/vnd.openxmlformats-package.relationships+xml"/>
  <Override PartName="/xl/worksheets/_rels/sheet21.xml.rels" ContentType="application/vnd.openxmlformats-package.relationships+xml"/>
  <Override PartName="/xl/worksheets/_rels/sheet22.xml.rels" ContentType="application/vnd.openxmlformats-package.relationships+xml"/>
  <Override PartName="/xl/worksheets/_rels/sheet23.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1.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27.xml" ContentType="application/vnd.openxmlformats-officedocument.spreadsheetml.worksheet+xml"/>
  <Override PartName="/xl/worksheets/sheet15.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Override PartName="/xl/drawings/drawing9.xml" ContentType="application/vnd.openxmlformats-officedocument.drawing+xml"/>
  <Override PartName="/xl/drawings/drawing18.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6.xml" ContentType="application/vnd.openxmlformats-officedocument.drawing+xml"/>
  <Override PartName="/xl/drawings/drawing15.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_rels/drawing1.xml.rels" ContentType="application/vnd.openxmlformats-package.relationships+xml"/>
  <Override PartName="/xl/drawings/_rels/drawing17.xml.rels" ContentType="application/vnd.openxmlformats-package.relationships+xml"/>
  <Override PartName="/xl/drawings/drawing12.xml" ContentType="application/vnd.openxmlformats-officedocument.drawing+xml"/>
  <Override PartName="/xl/drawings/vmlDrawing2.vml" ContentType="application/vnd.openxmlformats-officedocument.vmlDrawing"/>
  <Override PartName="/xl/drawings/drawing3.xml" ContentType="application/vnd.openxmlformats-officedocument.drawing+xml"/>
  <Override PartName="/xl/drawings/vmlDrawing3.vml" ContentType="application/vnd.openxmlformats-officedocument.vmlDrawing"/>
  <Override PartName="/xl/drawings/drawing1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vmlDrawing4.vml" ContentType="application/vnd.openxmlformats-officedocument.vmlDrawing"/>
  <Override PartName="/xl/drawings/drawing1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omments6.xml" ContentType="application/vnd.openxmlformats-officedocument.spreadsheetml.comments+xml"/>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workbookPassword="FFA5" lockStructure="1"/>
  <bookViews>
    <workbookView showHorizontalScroll="true" showVerticalScroll="true" showSheetTabs="true" xWindow="0" yWindow="0" windowWidth="16384" windowHeight="8192" tabRatio="500" firstSheet="0" activeTab="0"/>
  </bookViews>
  <sheets>
    <sheet name="الرئيسية" sheetId="1" state="visible" r:id="rId3"/>
    <sheet name="🛒 النسخة الكاملة" sheetId="2" state="visible" r:id="rId4"/>
    <sheet name="لوحة التحكم" sheetId="3" state="visible" r:id="rId5"/>
    <sheet name="الإعدادات" sheetId="4" state="visible" r:id="rId6"/>
    <sheet name="الموظفون" sheetId="5" state="visible" r:id="rId7"/>
    <sheet name="سجل الإجازات والحالات" sheetId="6" state="visible" r:id="rId8"/>
    <sheet name="الحركات الشهرية" sheetId="7" state="visible" r:id="rId9"/>
    <sheet name="مسير يناير" sheetId="8" state="visible" r:id="rId10"/>
    <sheet name="مسير فبراير" sheetId="9" state="visible" r:id="rId11"/>
    <sheet name="مسير مارس" sheetId="10" state="visible" r:id="rId12"/>
    <sheet name="مسير أبريل" sheetId="11" state="visible" r:id="rId13"/>
    <sheet name="مسير مايو" sheetId="12" state="visible" r:id="rId14"/>
    <sheet name="مسير يونيو" sheetId="13" state="visible" r:id="rId15"/>
    <sheet name="مسير يوليو" sheetId="14" state="visible" r:id="rId16"/>
    <sheet name="مسير أغسطس" sheetId="15" state="visible" r:id="rId17"/>
    <sheet name="مسير سبتمبر" sheetId="16" state="visible" r:id="rId18"/>
    <sheet name="مسير أكتوبر" sheetId="17" state="visible" r:id="rId19"/>
    <sheet name="مسير نوفمبر" sheetId="18" state="visible" r:id="rId20"/>
    <sheet name="مسير ديسمبر" sheetId="19" state="visible" r:id="rId21"/>
    <sheet name="الملخص الشهري" sheetId="20" state="visible" r:id="rId22"/>
    <sheet name="ملخص الموظفين السنوي" sheetId="21" state="visible" r:id="rId23"/>
    <sheet name="الإقامات ورخص العمل" sheetId="22" state="visible" r:id="rId24"/>
    <sheet name="مخصص نهاية الخدمة" sheetId="23" state="visible" r:id="rId25"/>
    <sheet name="مخصص الإجازات" sheetId="24" state="visible" r:id="rId26"/>
    <sheet name="مخصص التذاكر" sheetId="25" state="visible" r:id="rId27"/>
    <sheet name="قيود الرواتب" sheetId="26" state="visible" r:id="rId28"/>
    <sheet name="قسيمة الراتب" sheetId="27" state="visible" r:id="rId29"/>
  </sheets>
  <definedNames>
    <definedName function="false" hidden="true" localSheetId="21" name="_xlnm._FilterDatabase" vbProcedure="false">'الإقامات ورخص العمل'!$B$5:$U$105</definedName>
    <definedName function="false" hidden="true" localSheetId="6" name="_xlnm._FilterDatabase" vbProcedure="false">'الحركات الشهرية'!$A$5:$O$1005</definedName>
    <definedName function="false" hidden="true" localSheetId="4" name="_xlnm._FilterDatabase" vbProcedure="false">الموظفون!$A$5:$AK$105</definedName>
    <definedName function="false" hidden="true" localSheetId="5" name="_xlnm._FilterDatabase" vbProcedure="false">'سجل الإجازات والحالات'!$A$5:$T$505</definedName>
    <definedName function="false" hidden="false" localSheetId="26" name="_xlnm.Print_Area" vbProcedure="false">'قسيمة الراتب'!$B$1:$F$38</definedName>
    <definedName function="false" hidden="false" localSheetId="10" name="_xlnm.Print_Titles" vbProcedure="false">'مسير أبريل'!$5:$5</definedName>
    <definedName function="false" hidden="true" localSheetId="10" name="_xlnm._FilterDatabase" vbProcedure="false">'مسير أبريل'!$A$5:$AN$105</definedName>
    <definedName function="false" hidden="false" localSheetId="14" name="_xlnm.Print_Titles" vbProcedure="false">'مسير أغسطس'!$5:$5</definedName>
    <definedName function="false" hidden="true" localSheetId="14" name="_xlnm._FilterDatabase" vbProcedure="false">'مسير أغسطس'!$A$5:$AN$105</definedName>
    <definedName function="false" hidden="false" localSheetId="16" name="_xlnm.Print_Titles" vbProcedure="false">'مسير أكتوبر'!$5:$5</definedName>
    <definedName function="false" hidden="true" localSheetId="16" name="_xlnm._FilterDatabase" vbProcedure="false">'مسير أكتوبر'!$A$5:$AN$105</definedName>
    <definedName function="false" hidden="false" localSheetId="18" name="_xlnm.Print_Titles" vbProcedure="false">'مسير ديسمبر'!$5:$5</definedName>
    <definedName function="false" hidden="true" localSheetId="18" name="_xlnm._FilterDatabase" vbProcedure="false">'مسير ديسمبر'!$A$5:$AN$105</definedName>
    <definedName function="false" hidden="false" localSheetId="15" name="_xlnm.Print_Titles" vbProcedure="false">'مسير سبتمبر'!$5:$5</definedName>
    <definedName function="false" hidden="true" localSheetId="15" name="_xlnm._FilterDatabase" vbProcedure="false">'مسير سبتمبر'!$A$5:$AN$105</definedName>
    <definedName function="false" hidden="false" localSheetId="8" name="_xlnm.Print_Titles" vbProcedure="false">'مسير فبراير'!$5:$5</definedName>
    <definedName function="false" hidden="true" localSheetId="8" name="_xlnm._FilterDatabase" vbProcedure="false">'مسير فبراير'!$A$5:$AN$105</definedName>
    <definedName function="false" hidden="false" localSheetId="9" name="_xlnm.Print_Titles" vbProcedure="false">'مسير مارس'!$5:$5</definedName>
    <definedName function="false" hidden="true" localSheetId="9" name="_xlnm._FilterDatabase" vbProcedure="false">'مسير مارس'!$A$5:$AN$105</definedName>
    <definedName function="false" hidden="false" localSheetId="11" name="_xlnm.Print_Titles" vbProcedure="false">'مسير مايو'!$5:$5</definedName>
    <definedName function="false" hidden="true" localSheetId="11" name="_xlnm._FilterDatabase" vbProcedure="false">'مسير مايو'!$A$5:$AN$105</definedName>
    <definedName function="false" hidden="false" localSheetId="17" name="_xlnm.Print_Titles" vbProcedure="false">'مسير نوفمبر'!$5:$5</definedName>
    <definedName function="false" hidden="true" localSheetId="17" name="_xlnm._FilterDatabase" vbProcedure="false">'مسير نوفمبر'!$A$5:$AN$105</definedName>
    <definedName function="false" hidden="false" localSheetId="7" name="_xlnm.Print_Titles" vbProcedure="false">'مسير يناير'!$5:$5</definedName>
    <definedName function="false" hidden="true" localSheetId="7" name="_xlnm._FilterDatabase" vbProcedure="false">'مسير يناير'!$A$5:$AN$105</definedName>
    <definedName function="false" hidden="false" localSheetId="13" name="_xlnm.Print_Titles" vbProcedure="false">'مسير يوليو'!$5:$5</definedName>
    <definedName function="false" hidden="true" localSheetId="13" name="_xlnm._FilterDatabase" vbProcedure="false">'مسير يوليو'!$A$5:$AN$105</definedName>
    <definedName function="false" hidden="false" localSheetId="12" name="_xlnm.Print_Titles" vbProcedure="false">'مسير يونيو'!$5:$5</definedName>
    <definedName function="false" hidden="true" localSheetId="12" name="_xlnm._FilterDatabase" vbProcedure="false">'مسير يونيو'!$A$5:$AN$105</definedName>
    <definedName function="false" hidden="false" name="cfg_ALERT" vbProcedure="false">الإعدادات!$C$49</definedName>
    <definedName function="false" hidden="false" name="cfg_CO" vbProcedure="false">الإعدادات!$C$6</definedName>
    <definedName function="false" hidden="false" name="cfg_CUR" vbProcedure="false">الإعدادات!$C$8</definedName>
    <definedName function="false" hidden="false" name="cfg_DAYS_M" vbProcedure="false">الإعدادات!$C$13</definedName>
    <definedName function="false" hidden="false" name="cfg_DAYS_Y" vbProcedure="false">الإعدادات!$C$36</definedName>
    <definedName function="false" hidden="false" name="cfg_EOS_H" vbProcedure="false">الإعدادات!$C$26</definedName>
    <definedName function="false" hidden="false" name="cfg_EOS_O" vbProcedure="false">الإعدادات!$C$28</definedName>
    <definedName function="false" hidden="false" name="cfg_EOS_R1" vbProcedure="false">الإعدادات!$C$24</definedName>
    <definedName function="false" hidden="false" name="cfg_EOS_R2" vbProcedure="false">الإعدادات!$C$25</definedName>
    <definedName function="false" hidden="false" name="cfg_EOS_T" vbProcedure="false">الإعدادات!$C$27</definedName>
    <definedName function="false" hidden="false" name="cfg_EOS_TH" vbProcedure="false">الإعدادات!$C$23</definedName>
    <definedName function="false" hidden="false" name="cfg_FY" vbProcedure="false">الإعدادات!$C$7</definedName>
    <definedName function="false" hidden="false" name="cfg_G_CAP" vbProcedure="false">الإعدادات!$C$21</definedName>
    <definedName function="false" hidden="false" name="cfg_G_NE" vbProcedure="false">الإعدادات!$C$19</definedName>
    <definedName function="false" hidden="false" name="cfg_G_NR" vbProcedure="false">الإعدادات!$C$20</definedName>
    <definedName function="false" hidden="false" name="cfg_G_SE" vbProcedure="false">الإعدادات!$C$17</definedName>
    <definedName function="false" hidden="false" name="cfg_G_SR" vbProcedure="false">الإعدادات!$C$18</definedName>
    <definedName function="false" hidden="false" name="cfg_HRS" vbProcedure="false">الإعدادات!$C$14</definedName>
    <definedName function="false" hidden="false" name="cfg_IQ" vbProcedure="false">الإعدادات!$C$45</definedName>
    <definedName function="false" hidden="false" name="cfg_LT" vbProcedure="false">الإعدادات!$M$6:$Q$17</definedName>
    <definedName function="false" hidden="false" name="cfg_LV_D1" vbProcedure="false">الإعدادات!$C$30</definedName>
    <definedName function="false" hidden="false" name="cfg_LV_D2" vbProcedure="false">الإعدادات!$C$31</definedName>
    <definedName function="false" hidden="false" name="cfg_LV_H" vbProcedure="false">الإعدادات!$C$33</definedName>
    <definedName function="false" hidden="false" name="cfg_LV_O" vbProcedure="false">الإعدادات!$C$35</definedName>
    <definedName function="false" hidden="false" name="cfg_LV_T" vbProcedure="false">الإعدادات!$C$34</definedName>
    <definedName function="false" hidden="false" name="cfg_LV_TH" vbProcedure="false">الإعدادات!$C$32</definedName>
    <definedName function="false" hidden="false" name="cfg_MED" vbProcedure="false">الإعدادات!$C$47</definedName>
    <definedName function="false" hidden="false" name="cfg_OT_P" vbProcedure="false">الإعدادات!$C$15</definedName>
    <definedName function="false" hidden="false" name="cfg_RES" vbProcedure="false">الإعدادات!$B$39:$C$42</definedName>
    <definedName function="false" hidden="false" name="cfg_TRACK" vbProcedure="false">الإعدادات!$C$48</definedName>
    <definedName function="false" hidden="false" name="cfg_VAL_DATE" vbProcedure="false">الإعدادات!$C$11</definedName>
    <definedName function="false" hidden="false" name="cfg_VAL_M" vbProcedure="false">الإعدادات!$C$9</definedName>
    <definedName function="false" hidden="false" name="cfg_WP" vbProcedure="false">الإعدادات!$C$46</definedName>
    <definedName function="false" hidden="false" name="cfg_Y_START" vbProcedure="false">الإعدادات!$C$10</definedName>
    <definedName function="false" hidden="false" name="L_CAT" vbProcedure="false">الإعدادات!$I$6:$I$7</definedName>
    <definedName function="false" hidden="false" name="L_DEPT" vbProcedure="false">الإعدادات!$F$6:$F$20</definedName>
    <definedName function="false" hidden="false" name="L_EMPID" vbProcedure="false">الموظفون!$B$6:$B$105</definedName>
    <definedName function="false" hidden="false" name="L_LTYPE" vbProcedure="false">الإعدادات!$M$6:$M$17</definedName>
    <definedName function="false" hidden="false" name="L_MONTH" vbProcedure="false">الإعدادات!$J$6:$J$17</definedName>
    <definedName function="false" hidden="false" name="L_MSHEET" vbProcedure="false">الإعدادات!$K$6:$K$17</definedName>
    <definedName function="false" hidden="false" name="L_REASON" vbProcedure="false">الإعدادات!$G$6:$G$10</definedName>
    <definedName function="false" hidden="false" name="L_YN" vbProcedure="false">الإعدادات!$H$6:$H$7</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F5" authorId="0">
      <text>
        <r>
          <rPr>
            <sz val="10"/>
            <rFont val="FreeSans"/>
            <family val="2"/>
          </rPr>
          <t xml:space="preserve">أضف أقسامك في الخانات الفارغة (حتى </t>
        </r>
        <r>
          <rPr>
            <sz val="10"/>
            <rFont val="Arial"/>
            <family val="2"/>
          </rPr>
          <t xml:space="preserve">15 قسماً).</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J5" authorId="0">
      <text>
        <r>
          <rPr>
            <sz val="10"/>
            <rFont val="FreeSans"/>
            <family val="2"/>
          </rPr>
          <t xml:space="preserve">تُلوَّن بالأحمر إذا انتهت أو ستنتهي خلال أيام التنبيه (الإعدادات)</t>
        </r>
        <r>
          <rPr>
            <sz val="10"/>
            <rFont val="Arial"/>
            <family val="2"/>
          </rPr>
          <t xml:space="preserve">.</t>
        </r>
      </text>
    </comment>
    <comment ref="T5" authorId="0">
      <text>
        <r>
          <rPr>
            <sz val="10"/>
            <rFont val="FreeSans"/>
            <family val="2"/>
          </rPr>
          <t xml:space="preserve">اتركها فارغة ليحسبها النظام آلياً (</t>
        </r>
        <r>
          <rPr>
            <sz val="10"/>
            <rFont val="Arial"/>
            <family val="2"/>
          </rPr>
          <t xml:space="preserve">21 يوماً ثم 30 بعد 5 سنوات). اكتب رقماً إذا كان العقد يمنح أياماً أكثر.</t>
        </r>
      </text>
    </comment>
    <comment ref="X5" authorId="0">
      <text>
        <r>
          <rPr>
            <sz val="10"/>
            <rFont val="FreeSans"/>
            <family val="2"/>
          </rPr>
          <t xml:space="preserve">اتركها فارغة لتطبيق القيمة الافتراضية من الإعدادات على غير السعودي. اكتب </t>
        </r>
        <r>
          <rPr>
            <sz val="10"/>
            <rFont val="Arial"/>
            <family val="2"/>
          </rPr>
          <t xml:space="preserve">0 إذا كان العامل يتحمل الرسوم.</t>
        </r>
      </text>
    </comment>
    <comment ref="AE5" authorId="0">
      <text>
        <r>
          <rPr>
            <sz val="10"/>
            <rFont val="FreeSans"/>
            <family val="2"/>
          </rPr>
          <t xml:space="preserve">اتركه فارغاً للموظف على رأس العمل. عند إدخاله يتوقف الراتب والمخصصات بعد هذا التاريخ</t>
        </r>
        <r>
          <rPr>
            <sz val="10"/>
            <rFont val="Arial"/>
            <family val="2"/>
          </rPr>
          <t xml:space="preserve">.</t>
        </r>
      </text>
    </comment>
    <comment ref="AH5" authorId="0">
      <text>
        <r>
          <rPr>
            <sz val="10"/>
            <rFont val="FreeSans"/>
            <family val="2"/>
          </rPr>
          <t xml:space="preserve">يُقرأ تلقائياً من «سجل الإجازات والحالات»: يظهر نوع الإجازة أو الإيقاف إذا كان الموظف فيها في تاريخ التقرير</t>
        </r>
        <r>
          <rPr>
            <sz val="10"/>
            <rFont val="Arial"/>
            <family val="2"/>
          </rPr>
          <t xml:space="preserve">.</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D5" authorId="0">
      <text>
        <r>
          <rPr>
            <sz val="10"/>
            <rFont val="FreeSans"/>
            <family val="2"/>
          </rPr>
          <t xml:space="preserve">مثال: موظف مسافر إجازة بدون راتب ← اختر «إجازة بدون راتب» واكتب من/إلى؛ المسير يخصم الأيام الواقعة في كل شهر تلقائياً دون حذف الموظف</t>
        </r>
        <r>
          <rPr>
            <sz val="10"/>
            <rFont val="Arial"/>
            <family val="2"/>
          </rPr>
          <t xml:space="preserve">.</t>
        </r>
      </text>
    </comment>
    <comment ref="I5" authorId="0">
      <text>
        <r>
          <rPr>
            <sz val="10"/>
            <rFont val="FreeSans"/>
            <family val="2"/>
          </rPr>
          <t xml:space="preserve">اتركها فارغة لتطبيق نسبة النوع. مثال: إجازة مرضية بنصف راتب ← اكتب </t>
        </r>
        <r>
          <rPr>
            <sz val="10"/>
            <rFont val="Arial"/>
            <family val="2"/>
          </rPr>
          <t xml:space="preserve">50%.</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5" authorId="0">
      <text>
        <r>
          <rPr>
            <sz val="10"/>
            <rFont val="FreeSans"/>
            <family val="2"/>
          </rPr>
          <t xml:space="preserve">سجّل كل حركة في سطر: الشهر + رقم الموظف + القيم. الإجازات والإيقاف تُسجَّل بالتواريخ في «سجل الإجازات والحالات»؛ استخدم عمودي «بدون راتب» و«الإجازة اليدوية» هنا فقط للتسويات السريعة</t>
        </r>
        <r>
          <rPr>
            <sz val="10"/>
            <rFont val="Arial"/>
            <family val="2"/>
          </rPr>
          <t xml:space="preserve">.</t>
        </r>
      </text>
    </comment>
    <comment ref="L5" authorId="0">
      <text>
        <r>
          <rPr>
            <sz val="10"/>
            <rFont val="FreeSans"/>
            <family val="2"/>
          </rPr>
          <t xml:space="preserve">أيام الإجازة التي صُرفت نقداً (تُخصم من رصيد الإجازات). أدخل مبلغها في «إضافات أخرى» ليُصرف مع الراتب</t>
        </r>
        <r>
          <rPr>
            <sz val="10"/>
            <rFont val="Arial"/>
            <family val="2"/>
          </rPr>
          <t xml:space="preserve">.</t>
        </r>
      </text>
    </comment>
  </commentList>
</comments>
</file>

<file path=xl/sharedStrings.xml><?xml version="1.0" encoding="utf-8"?>
<sst xmlns="http://schemas.openxmlformats.org/spreadsheetml/2006/main" count="1724" uniqueCount="671">
  <si>
    <t xml:space="preserve">🏢 نظام الرواتب والمخصصات المتكامل   🔒 نسخة تجريبية</t>
  </si>
  <si>
    <t xml:space="preserve">🛒 نسخة تجريبية كاملة الوظائف بخانات محدودة — اشترِ النسخة الكاملة من accopro.net (اضغط هنا)</t>
  </si>
  <si>
    <t xml:space="preserve">🧭 خطوات العمل</t>
  </si>
  <si>
    <t xml:space="preserve">📅 مسيرات الأشهر</t>
  </si>
  <si>
    <t xml:space="preserve">#</t>
  </si>
  <si>
    <t xml:space="preserve">الورقة</t>
  </si>
  <si>
    <t xml:space="preserve">ماذا تفعل</t>
  </si>
  <si>
    <t xml:space="preserve">مسير يناير</t>
  </si>
  <si>
    <t xml:space="preserve">مسير يوليو</t>
  </si>
  <si>
    <t xml:space="preserve">1</t>
  </si>
  <si>
    <t xml:space="preserve">الإعدادات</t>
  </si>
  <si>
    <t xml:space="preserve">مرة واحدة: اسم المنشأة والسنة وشهر التقرير، النسب النظامية، رسوم الإقامة ورخصة العمل، وأنواع الإجازات.</t>
  </si>
  <si>
    <t xml:space="preserve">مسير فبراير</t>
  </si>
  <si>
    <t xml:space="preserve">مسير أغسطس</t>
  </si>
  <si>
    <t xml:space="preserve">2</t>
  </si>
  <si>
    <t xml:space="preserve">الموظفون</t>
  </si>
  <si>
    <t xml:space="preserve">سجّل الموظفين: الرواتب والبدلات، الإقامة ورخصة العمل وتكلفتها، التأمين الطبي، التذاكر، والأرصدة الافتتاحية.</t>
  </si>
  <si>
    <t xml:space="preserve">مسير مارس</t>
  </si>
  <si>
    <t xml:space="preserve">مسير سبتمبر</t>
  </si>
  <si>
    <t xml:space="preserve">3</t>
  </si>
  <si>
    <t xml:space="preserve">سجل الإجازات والحالات</t>
  </si>
  <si>
    <t xml:space="preserve">عند أي إجازة أو إيقاف: سجّل النوع ومن/إلى — المسير يخصم الأيام تلقائياً ولا حاجة لحذف الموظف.</t>
  </si>
  <si>
    <t xml:space="preserve">مسير أبريل</t>
  </si>
  <si>
    <t xml:space="preserve">مسير أكتوبر</t>
  </si>
  <si>
    <t xml:space="preserve">4</t>
  </si>
  <si>
    <t xml:space="preserve">الحركات الشهرية</t>
  </si>
  <si>
    <t xml:space="preserve">كل شهر: الغياب والإضافي والمكافآت والسلف والجزاءات والتذاكر ومستحقات نهاية الخدمة.</t>
  </si>
  <si>
    <t xml:space="preserve">مسير مايو</t>
  </si>
  <si>
    <t xml:space="preserve">مسير نوفمبر</t>
  </si>
  <si>
    <t xml:space="preserve">5</t>
  </si>
  <si>
    <t xml:space="preserve">راجع مسير الشهر (12 ورقة جاهزة) — عمود «الوضع خلال الشهر» يوضح حالة كل موظف.</t>
  </si>
  <si>
    <t xml:space="preserve">مسير يونيو</t>
  </si>
  <si>
    <t xml:space="preserve">مسير ديسمبر</t>
  </si>
  <si>
    <t xml:space="preserve">6</t>
  </si>
  <si>
    <t xml:space="preserve">الإقامات ورخص العمل</t>
  </si>
  <si>
    <t xml:space="preserve">تابع انتهاء الإقامات ورخص العمل وتكلفتها وتجديداتها المتوقعة.</t>
  </si>
  <si>
    <t xml:space="preserve">7</t>
  </si>
  <si>
    <t xml:space="preserve">مخصص نهاية الخدمة</t>
  </si>
  <si>
    <t xml:space="preserve">المخصصات كما في شهر التقرير: نهاية الخدمة ← الإجازات ← التذاكر مع الفحوصات.</t>
  </si>
  <si>
    <t xml:space="preserve">📅 الملخص الشهري</t>
  </si>
  <si>
    <t xml:space="preserve">📑 ملخص الموظفين</t>
  </si>
  <si>
    <t xml:space="preserve">8</t>
  </si>
  <si>
    <t xml:space="preserve">قيود الرواتب</t>
  </si>
  <si>
    <t xml:space="preserve">انسخ القيود الشهرية المتوازنة إلى نظامك المحاسبي.</t>
  </si>
  <si>
    <t xml:space="preserve">🌴 مخصص الإجازات</t>
  </si>
  <si>
    <t xml:space="preserve">✈ مخصص التذاكر</t>
  </si>
  <si>
    <t xml:space="preserve">9</t>
  </si>
  <si>
    <t xml:space="preserve">قسيمة الراتب</t>
  </si>
  <si>
    <t xml:space="preserve">اطبع قسيمة راتب أي موظف لأي شهر.</t>
  </si>
  <si>
    <t xml:space="preserve">10</t>
  </si>
  <si>
    <t xml:space="preserve">لوحة التحكم</t>
  </si>
  <si>
    <t xml:space="preserve">تابع المؤشرات والتنبيهات والرسوم البيانية.</t>
  </si>
  <si>
    <t xml:space="preserve">🎨 دليل الألوان والرموز</t>
  </si>
  <si>
    <t xml:space="preserve">123</t>
  </si>
  <si>
    <t xml:space="preserve">خلية إدخال — اكتب فيها (خط أزرق على خلفية صفراء).</t>
  </si>
  <si>
    <t xml:space="preserve">ƒx معادلة</t>
  </si>
  <si>
    <t xml:space="preserve">خلية معادلة — لا تعدّلها؛ تتحدث تلقائياً.</t>
  </si>
  <si>
    <t xml:space="preserve">✔ سليم</t>
  </si>
  <si>
    <t xml:space="preserve">فحص ناجح / على رأس العمل.</t>
  </si>
  <si>
    <t xml:space="preserve">✈ إجازة</t>
  </si>
  <si>
    <t xml:space="preserve">في إجازة أو إيقاف (من سجل الإجازات).</t>
  </si>
  <si>
    <t xml:space="preserve">⚠ تنبيه</t>
  </si>
  <si>
    <t xml:space="preserve">يحتاج مراجعة.</t>
  </si>
  <si>
    <t xml:space="preserve">✖ خطأ</t>
  </si>
  <si>
    <t xml:space="preserve">خطأ يجب تصحيحه / منتهي.</t>
  </si>
  <si>
    <t xml:space="preserve">🔗 خريطة الترابط</t>
  </si>
  <si>
    <t xml:space="preserve">الإعدادات ➜ الموظفون + سجل الإجازات والحالات + الحركات الشهرية ➜ مسيرات 12 شهراً ➜ الملخص الشهري + ملخص الموظفين + الإقامات ورخص العمل ➜ المخصصات (نهاية الخدمة / الإجازات / التذاكر) ➜ القيود المحاسبية ➜ قسيمة الراتب + لوحة التحكم</t>
  </si>
  <si>
    <t xml:space="preserve">❓ أمثلة سريعة</t>
  </si>
  <si>
    <t xml:space="preserve">موظف سافر إجازة بدون راتب شهرين</t>
  </si>
  <si>
    <t xml:space="preserve">سجل الإجازات: النوع «إجازة بدون راتب» + من/إلى ← يُخصم من المسيرين تلقائياً، ولا تُحتسب المدة في الخدمة ولا تُكتسب عنها إجازة أو تذكرة.</t>
  </si>
  <si>
    <t xml:space="preserve">موظف صُرف راتب إجازته قبل السفر</t>
  </si>
  <si>
    <t xml:space="preserve">النوع «إجازة سنوية (راتب مقدم قبل السفر)» ← يُصرف المبلغ في شهر البداية، ولا راتب عن أيام الإجازة في المسيرات، ويُخصم الرصيد.</t>
  </si>
  <si>
    <t xml:space="preserve">موظف موقوف أو متغيب (بلاغ)</t>
  </si>
  <si>
    <t xml:space="preserve">النوع «إيقاف عن العمل» أو «انقطاع عن العمل» ← يتوقف الراتب في الأيام المحددة؛ ويظهر «⛔ بدون راتب» في المسير.</t>
  </si>
  <si>
    <t xml:space="preserve">إجازة مرضية بنسبة خاصة</t>
  </si>
  <si>
    <t xml:space="preserve">اختر النوع المرضي، أو اكتب النسبة في عمود «نسبة أجر مخصصة» (مثلاً 50%).</t>
  </si>
  <si>
    <t xml:space="preserve">موظف ترك العمل نهائياً</t>
  </si>
  <si>
    <t xml:space="preserve">ورقة الموظفين: تاريخ انتهاء الخدمة + السبب ← يتوقف كل شيء بعده، وتُحسب المكافأة والتسوية.</t>
  </si>
  <si>
    <t xml:space="preserve">البيانات الحالية (12 موظفاً وإجازاتهم وحركاتهم) أمثلة توضيحية لإظهار طريقة العمل — امسح خلايا الإدخال الصفراء في «الموظفون» و«سجل الإجازات» و«الحركات الشهرية» وأدخل بياناتك. يستوعب الملف 100 موظف و500 إجازة و1,000 حركة. الأحكام مبنية على نظام العمل السعودي (المواد 84، 85، 98، 107، 109، 113، 116، 117) ونظام التأمينات الاجتماعية، وجميع النسب والرسوم قابلة للتعديل من الإعدادات.</t>
  </si>
  <si>
    <t xml:space="preserve">🛒 احصل على النسخة الكاملة من نظام الرواتب والمخصصات</t>
  </si>
  <si>
    <t xml:space="preserve">النسخة التجريبية تعمل بكامل المعادلات والتقارير، لكن الخلايا مقفلة ما عدا خانات التجربة: 5 موظفين، 10 إجازات، 20 حركة، وشهر التقرير.</t>
  </si>
  <si>
    <t xml:space="preserve">🛒 اضغط هنا لشراء النسخة الكاملة ← https://accopro.net/</t>
  </si>
  <si>
    <t xml:space="preserve">الميزة</t>
  </si>
  <si>
    <t xml:space="preserve">النسخة المجانية</t>
  </si>
  <si>
    <t xml:space="preserve">النسخة الكاملة</t>
  </si>
  <si>
    <t xml:space="preserve">مسير رواتب 12 شهراً بكل المعادلات</t>
  </si>
  <si>
    <t xml:space="preserve">✔ يعمل</t>
  </si>
  <si>
    <t xml:space="preserve">عدد الموظفين القابل للإدخال والتعديل</t>
  </si>
  <si>
    <t xml:space="preserve">🧪 5 موظفين</t>
  </si>
  <si>
    <t xml:space="preserve">✔ حتى 100 موظف</t>
  </si>
  <si>
    <t xml:space="preserve">سجل الإجازات والإيقاف ووقف الراتب بالتواريخ</t>
  </si>
  <si>
    <t xml:space="preserve">🧪 10 سجلات</t>
  </si>
  <si>
    <t xml:space="preserve">✔ حتى 500 سجل</t>
  </si>
  <si>
    <t xml:space="preserve">الحركات الشهرية (غياب، إضافي، سلف، مكافآت...)</t>
  </si>
  <si>
    <t xml:space="preserve">🧪 20 حركة</t>
  </si>
  <si>
    <t xml:space="preserve">✔ حتى 1,000 حركة</t>
  </si>
  <si>
    <t xml:space="preserve">الإقامات ورخص العمل وتكلفتها وتنبيهات الانتهاء</t>
  </si>
  <si>
    <t xml:space="preserve">مخصصات نهاية الخدمة والإجازات والتذاكر</t>
  </si>
  <si>
    <t xml:space="preserve">القيود المحاسبية الشهرية ولوحة التحكم</t>
  </si>
  <si>
    <t xml:space="preserve">قسيمة الراتب لأي موظف وأي شهر</t>
  </si>
  <si>
    <t xml:space="preserve">تغيير شهر التقرير</t>
  </si>
  <si>
    <t xml:space="preserve">✔ متاح</t>
  </si>
  <si>
    <t xml:space="preserve">تعديل اسم المنشأة والسنة والنسب والرسوم وأنواع الإجازات</t>
  </si>
  <si>
    <t xml:space="preserve">✖ مقفل</t>
  </si>
  <si>
    <t xml:space="preserve">✔</t>
  </si>
  <si>
    <t xml:space="preserve">رؤية المعادلات وتعديلها وتخصيص الملف</t>
  </si>
  <si>
    <t xml:space="preserve">✖ مخفية ومقفلة</t>
  </si>
  <si>
    <t xml:space="preserve">✔ مفتوحة بالكامل</t>
  </si>
  <si>
    <t xml:space="preserve">إضافة أوراق أو أعمدة أو صفوف</t>
  </si>
  <si>
    <t xml:space="preserve">الدعم الفني والتحديثات</t>
  </si>
  <si>
    <t xml:space="preserve">✖</t>
  </si>
  <si>
    <t xml:space="preserve">🛒 اشترِ الآن من accopro.net</t>
  </si>
  <si>
    <t xml:space="preserve">🏠 العودة إلى الرئيسية</t>
  </si>
  <si>
    <t xml:space="preserve">📊 لوحة التحكم — الرواتب والمخصصات والتكاليف الحكومية   🔒 نسخة تجريبية</t>
  </si>
  <si>
    <t xml:space="preserve">🏠 الرئيسية</t>
  </si>
  <si>
    <t xml:space="preserve">⚙ الإعدادات</t>
  </si>
  <si>
    <t xml:space="preserve">👥 الموظفون</t>
  </si>
  <si>
    <t xml:space="preserve">🌴 سجل الإجازات</t>
  </si>
  <si>
    <t xml:space="preserve">✍ الحركات</t>
  </si>
  <si>
    <t xml:space="preserve">🪪 الإقامات</t>
  </si>
  <si>
    <t xml:space="preserve">شهر التقرير ←</t>
  </si>
  <si>
    <t xml:space="preserve">🛒 اشترِ الكاملة</t>
  </si>
  <si>
    <t xml:space="preserve">👥 القوى العاملة</t>
  </si>
  <si>
    <t xml:space="preserve">الموظفون على رأس العمل</t>
  </si>
  <si>
    <t xml:space="preserve">في إجازة / إيقاف حالياً</t>
  </si>
  <si>
    <t xml:space="preserve">نسبة التوطين (السعودة)</t>
  </si>
  <si>
    <t xml:space="preserve">متوسط إجمالي الراتب الشهري</t>
  </si>
  <si>
    <t xml:space="preserve">إجمالي المستحقات</t>
  </si>
  <si>
    <t xml:space="preserve">صافي الرواتب المدفوعة</t>
  </si>
  <si>
    <t xml:space="preserve">التأمينات (موظف + منشأة)</t>
  </si>
  <si>
    <t xml:space="preserve">إجمالي تكلفة العمالة</t>
  </si>
  <si>
    <t xml:space="preserve">🪪 الإقامات ورخص العمل والتأمين الطبي</t>
  </si>
  <si>
    <t xml:space="preserve">المحمّل حتى تاريخه (إقامة + رخص + طبي)</t>
  </si>
  <si>
    <t xml:space="preserve">التكلفة السنوية المتوقعة</t>
  </si>
  <si>
    <t xml:space="preserve">تجديدات متوقعة خلال فترة التنبيه</t>
  </si>
  <si>
    <t xml:space="preserve">متوسط تكلفة الموظف الشهرية الكاملة</t>
  </si>
  <si>
    <t xml:space="preserve">مخصص الإجازات</t>
  </si>
  <si>
    <t xml:space="preserve">مخصص تذاكر السفر</t>
  </si>
  <si>
    <t xml:space="preserve">إجمالي المخصصات</t>
  </si>
  <si>
    <t xml:space="preserve">🔔 تنبيهات وفحوصات الترابط</t>
  </si>
  <si>
    <t xml:space="preserve">🌍 التوزيع حسب الفئة</t>
  </si>
  <si>
    <t xml:space="preserve">إقامات منتهية أو تنتهي قريباً</t>
  </si>
  <si>
    <t xml:space="preserve">الفئة</t>
  </si>
  <si>
    <t xml:space="preserve">العدد</t>
  </si>
  <si>
    <t xml:space="preserve">النسبة</t>
  </si>
  <si>
    <t xml:space="preserve">الرواتب الشهرية</t>
  </si>
  <si>
    <t xml:space="preserve">رخص عمل منتهية أو تنتهي قريباً</t>
  </si>
  <si>
    <t xml:space="preserve">سعودي</t>
  </si>
  <si>
    <t xml:space="preserve">أخطاء أو تداخل في سجل الإجازات</t>
  </si>
  <si>
    <t xml:space="preserve">غير سعودي</t>
  </si>
  <si>
    <t xml:space="preserve">موظفون منتهية خدماتهم بمستحقات لم تُصرف</t>
  </si>
  <si>
    <t xml:space="preserve">أرصدة إجازات سالبة أو مرتفعة</t>
  </si>
  <si>
    <t xml:space="preserve">تذاكر مستحقة للصرف</t>
  </si>
  <si>
    <t xml:space="preserve">حركات برقم وظيفي غير صحيح</t>
  </si>
  <si>
    <t xml:space="preserve">رواتب صافية بالسالب (كل الأشهر)</t>
  </si>
  <si>
    <t xml:space="preserve">توازن قيود الرواتب (حتى شهر التقرير)</t>
  </si>
  <si>
    <t xml:space="preserve">القسم</t>
  </si>
  <si>
    <t xml:space="preserve">عدد الموظفين</t>
  </si>
  <si>
    <t xml:space="preserve">المستحقات حتى تاريخه</t>
  </si>
  <si>
    <t xml:space="preserve">التكلفة الكاملة حتى تاريخه</t>
  </si>
  <si>
    <t xml:space="preserve">النسبة من التكلفة</t>
  </si>
  <si>
    <t xml:space="preserve">الإجمالي</t>
  </si>
  <si>
    <t xml:space="preserve">📈 الاتجاه الشهري لمكونات تكلفة العمالة (12 شهراً)</t>
  </si>
  <si>
    <t xml:space="preserve">الشهر</t>
  </si>
  <si>
    <t xml:space="preserve">صافي الرواتب</t>
  </si>
  <si>
    <t xml:space="preserve">سلف وخصومات</t>
  </si>
  <si>
    <t xml:space="preserve">المخصصات</t>
  </si>
  <si>
    <t xml:space="preserve">إقامات ورخص وتأمين طبي</t>
  </si>
  <si>
    <t xml:space="preserve">إجمالي التكلفة</t>
  </si>
  <si>
    <t xml:space="preserve">إجمالي السنة</t>
  </si>
  <si>
    <t xml:space="preserve">كل الأرقام في هذه اللوحة معادلات مرتبطة بالأوراق الأخرى — لا تُدخل فيها أي بيانات. غيّر «شهر التقرير» من الإعدادات لتتحدث اللوحة والمخصصات والقيود. الصف المظلل في جدول الاتجاه = شهر التقرير.</t>
  </si>
  <si>
    <t xml:space="preserve">⚙ الإعدادات والثوابت النظامية   🔒 نسخة تجريبية</t>
  </si>
  <si>
    <t xml:space="preserve">📊 لوحة التحكم</t>
  </si>
  <si>
    <t xml:space="preserve">🧾 القيود</t>
  </si>
  <si>
    <t xml:space="preserve">💳 القسيمة</t>
  </si>
  <si>
    <t xml:space="preserve">البند</t>
  </si>
  <si>
    <t xml:space="preserve">القيمة</t>
  </si>
  <si>
    <t xml:space="preserve">الشرح / المصدر</t>
  </si>
  <si>
    <t xml:space="preserve">الأقسام</t>
  </si>
  <si>
    <t xml:space="preserve">أسباب انتهاء الخدمة</t>
  </si>
  <si>
    <t xml:space="preserve">نعم / لا</t>
  </si>
  <si>
    <t xml:space="preserve">فئة التأمينات</t>
  </si>
  <si>
    <t xml:space="preserve">الأشهر</t>
  </si>
  <si>
    <t xml:space="preserve">أوراق المسير</t>
  </si>
  <si>
    <t xml:space="preserve">نوع الإجازة / الحالة</t>
  </si>
  <si>
    <t xml:space="preserve">نسبة الأجر المدفوع</t>
  </si>
  <si>
    <t xml:space="preserve">يُخصم من رصيد الإجازة السنوية؟</t>
  </si>
  <si>
    <t xml:space="preserve">يُحتسب ضمن مدة الخدمة؟</t>
  </si>
  <si>
    <t xml:space="preserve">يُصرف راتبها مقدماً؟</t>
  </si>
  <si>
    <t xml:space="preserve">الشرح</t>
  </si>
  <si>
    <t xml:space="preserve">اسم المنشأة</t>
  </si>
  <si>
    <t xml:space="preserve">شركة النخبة للتجارة والمقاولات</t>
  </si>
  <si>
    <t xml:space="preserve">يظهر في رؤوس جميع الأوراق والقسائم.</t>
  </si>
  <si>
    <t xml:space="preserve">الإدارة العليا</t>
  </si>
  <si>
    <t xml:space="preserve">استقالة</t>
  </si>
  <si>
    <t xml:space="preserve">نعم</t>
  </si>
  <si>
    <t xml:space="preserve">يناير</t>
  </si>
  <si>
    <t xml:space="preserve">إجازة سنوية (تُصرف مع الراتب)</t>
  </si>
  <si>
    <t xml:space="preserve">لا</t>
  </si>
  <si>
    <t xml:space="preserve">يستمر الراتب في المسير، وتُخصم الأيام من رصيد الإجازة ويُحمَّل راتبها على المخصص.</t>
  </si>
  <si>
    <t xml:space="preserve">السنة المالية</t>
  </si>
  <si>
    <t xml:space="preserve">كل التواريخ الشهرية تُبنى على هذه السنة.</t>
  </si>
  <si>
    <t xml:space="preserve">المالية</t>
  </si>
  <si>
    <t xml:space="preserve">إنهاء من صاحب العمل</t>
  </si>
  <si>
    <t xml:space="preserve">فبراير</t>
  </si>
  <si>
    <t xml:space="preserve">إجازة سنوية (راتب مقدم قبل السفر)</t>
  </si>
  <si>
    <t xml:space="preserve">يُصرف راتب الإجازة كاملاً في شهر بدايتها، ولا يُصرف راتب عن أيامها في المسيرات.</t>
  </si>
  <si>
    <t xml:space="preserve">العملة</t>
  </si>
  <si>
    <t xml:space="preserve">ريال سعودي</t>
  </si>
  <si>
    <t xml:space="preserve">الموارد البشرية</t>
  </si>
  <si>
    <t xml:space="preserve">انتهاء مدة العقد</t>
  </si>
  <si>
    <t xml:space="preserve">مارس</t>
  </si>
  <si>
    <t xml:space="preserve">إجازة بدون راتب</t>
  </si>
  <si>
    <t xml:space="preserve">لا راتب ولا تحتسب في الخدمة ولا تكتسب عنها إجازة أو تذكرة (المادة 116).</t>
  </si>
  <si>
    <t xml:space="preserve">شهر التقرير (1-12)</t>
  </si>
  <si>
    <t xml:space="preserve">يتحكم في: المخصصات كما في نهاية الشهر، حالة الموظفين، مؤشرات لوحة التحكم (من بداية السنة حتى هذا الشهر)، وتمييز الأشهر الفعلية عن المتوقعة.</t>
  </si>
  <si>
    <t xml:space="preserve">🧪</t>
  </si>
  <si>
    <t xml:space="preserve">المبيعات</t>
  </si>
  <si>
    <t xml:space="preserve">اتفاق الطرفين</t>
  </si>
  <si>
    <t xml:space="preserve">أبريل</t>
  </si>
  <si>
    <t xml:space="preserve">إجازة مرضية بأجر كامل</t>
  </si>
  <si>
    <t xml:space="preserve">المادة 117: أول 30 يوماً في السنة بأجر كامل.</t>
  </si>
  <si>
    <t xml:space="preserve">بداية السنة المالية</t>
  </si>
  <si>
    <t xml:space="preserve">معادلة — لا تعدّل.</t>
  </si>
  <si>
    <t xml:space="preserve">العمليات</t>
  </si>
  <si>
    <t xml:space="preserve">وفاة أو عجز</t>
  </si>
  <si>
    <t xml:space="preserve">مايو</t>
  </si>
  <si>
    <t xml:space="preserve">إجازة مرضية بثلاثة أرباع الأجر</t>
  </si>
  <si>
    <t xml:space="preserve">المادة 117: الستون يوماً التالية بثلاثة أرباع الأجر.</t>
  </si>
  <si>
    <t xml:space="preserve">تاريخ التقرير (نهاية شهر التقرير)</t>
  </si>
  <si>
    <t xml:space="preserve">تقنية المعلومات</t>
  </si>
  <si>
    <t xml:space="preserve">يونيو</t>
  </si>
  <si>
    <t xml:space="preserve">إجازة مرضية بدون أجر</t>
  </si>
  <si>
    <t xml:space="preserve">المادة 117: الثلاثون يوماً التالية بدون أجر.</t>
  </si>
  <si>
    <t xml:space="preserve">💰 الرواتب والعمل الإضافي</t>
  </si>
  <si>
    <t xml:space="preserve">المشاريع</t>
  </si>
  <si>
    <t xml:space="preserve">يوليو</t>
  </si>
  <si>
    <t xml:space="preserve">إجازة استثنائية مدفوعة (زواج/وفاة/مولود/حج)</t>
  </si>
  <si>
    <t xml:space="preserve">المادتان 113 و114.</t>
  </si>
  <si>
    <t xml:space="preserve">أساس أيام الشهر</t>
  </si>
  <si>
    <t xml:space="preserve">الأجر اليومي = الأجر الشهري ÷ 30 (العرف المحاسبي ونظام العمل).</t>
  </si>
  <si>
    <t xml:space="preserve">أغسطس</t>
  </si>
  <si>
    <t xml:space="preserve">إيقاف عن العمل (تحقيق/جزاء)</t>
  </si>
  <si>
    <t xml:space="preserve">يوقف الراتب خلال مدة الإيقاف.</t>
  </si>
  <si>
    <t xml:space="preserve">ساعات العمل اليومية</t>
  </si>
  <si>
    <t xml:space="preserve">المادة 98 من نظام العمل: 8 ساعات يومياً.</t>
  </si>
  <si>
    <t xml:space="preserve">سبتمبر</t>
  </si>
  <si>
    <t xml:space="preserve">انقطاع عن العمل / بلاغ تغيب</t>
  </si>
  <si>
    <t xml:space="preserve">يوقف الراتب ولا تحتسب المدة في الخدمة.</t>
  </si>
  <si>
    <t xml:space="preserve">علاوة العمل الإضافي على الأجر الأساسي</t>
  </si>
  <si>
    <t xml:space="preserve">المادة 107: أجر الساعة + 50% من الأجر الأساسي للساعة.</t>
  </si>
  <si>
    <t xml:space="preserve">أكتوبر</t>
  </si>
  <si>
    <t xml:space="preserve">إيقاف الراتب مؤقتاً</t>
  </si>
  <si>
    <t xml:space="preserve">لأي سبب إداري آخر (مثلاً: خارج المملكة بانتظار العودة).</t>
  </si>
  <si>
    <t xml:space="preserve">🏛 التأمينات الاجتماعية (GOSI)</t>
  </si>
  <si>
    <t xml:space="preserve">نوفمبر</t>
  </si>
  <si>
    <t xml:space="preserve">سعودي — حصة الموظف</t>
  </si>
  <si>
    <t xml:space="preserve">معاشات 9% + ساند 0.75%. المشتركون الجدد بعد 3/7/2025 تتدرج نسبتهم سنوياً — عدّل عند الحاجة.</t>
  </si>
  <si>
    <t xml:space="preserve">ديسمبر</t>
  </si>
  <si>
    <t xml:space="preserve">سعودي — حصة المنشأة</t>
  </si>
  <si>
    <t xml:space="preserve">معاشات 9% + ساند 0.75% + أخطار مهنية 2%.</t>
  </si>
  <si>
    <t xml:space="preserve">غير سعودي — حصة الموظف</t>
  </si>
  <si>
    <t xml:space="preserve">لا يُستقطع من غير السعودي.</t>
  </si>
  <si>
    <t xml:space="preserve">يمكنك إضافة نوعين إضافيين في الصفين الفارغين أو تعديل النسب. أي تغيير هنا ينعكس فوراً على سجل الإجازات والمسيرات.</t>
  </si>
  <si>
    <t xml:space="preserve">غير سعودي — حصة المنشأة</t>
  </si>
  <si>
    <t xml:space="preserve">أخطار مهنية 2%.</t>
  </si>
  <si>
    <t xml:space="preserve">الحد الأعلى لأجر الاشتراك</t>
  </si>
  <si>
    <t xml:space="preserve">أجر الاشتراك = الأساسي + السكن بحد أقصى 45,000. تستمر الاشتراكات خلال الإجازات والإيقاف ما دام العامل على رأس العمل.</t>
  </si>
  <si>
    <t xml:space="preserve">🎁 مكافأة نهاية الخدمة</t>
  </si>
  <si>
    <t xml:space="preserve">عدد السنوات الأولى</t>
  </si>
  <si>
    <t xml:space="preserve">المادة 84: نصف شهر عن كل سنة من السنوات الخمس الأولى.</t>
  </si>
  <si>
    <t xml:space="preserve">أجر كل سنة من السنوات الأولى (بالأشهر)</t>
  </si>
  <si>
    <t xml:space="preserve">أجر كل سنة بعدها (بالأشهر)</t>
  </si>
  <si>
    <t xml:space="preserve">أجر شهر كامل عن كل سنة تالية.</t>
  </si>
  <si>
    <t xml:space="preserve">يدخل بدل السكن في أجر نهاية الخدمة؟</t>
  </si>
  <si>
    <t xml:space="preserve">الأجر الفعلي حسب المادة 2: الأساسي + البدلات الثابتة.</t>
  </si>
  <si>
    <t xml:space="preserve">يدخل بدل النقل في أجر نهاية الخدمة؟</t>
  </si>
  <si>
    <t xml:space="preserve">تدخل البدلات الأخرى في أجر نهاية الخدمة؟</t>
  </si>
  <si>
    <t xml:space="preserve">🌴 الإجازات السنوية</t>
  </si>
  <si>
    <t xml:space="preserve">أيام الإجازة السنوية (قبل الحد)</t>
  </si>
  <si>
    <t xml:space="preserve">المادة 109: 21 يوماً.</t>
  </si>
  <si>
    <t xml:space="preserve">أيام الإجازة السنوية (بعد الحد)</t>
  </si>
  <si>
    <t xml:space="preserve">30 يوماً بعد إتمام 5 سنوات متصلة.</t>
  </si>
  <si>
    <t xml:space="preserve">عدد سنوات الحد للإجازة</t>
  </si>
  <si>
    <t xml:space="preserve">يدخل السكن في أجر الإجازة؟</t>
  </si>
  <si>
    <t xml:space="preserve">يدخل النقل في أجر الإجازة؟</t>
  </si>
  <si>
    <t xml:space="preserve">تدخل البدلات الأخرى في أجر الإجازة؟</t>
  </si>
  <si>
    <t xml:space="preserve">عدد أيام السنة لاحتساب مدة الخدمة</t>
  </si>
  <si>
    <t xml:space="preserve">📐 نسب استحقاق مكافأة نهاية الخدمة عند الاستقالة (المادة 85)</t>
  </si>
  <si>
    <t xml:space="preserve">مدة الخدمة من (سنة)</t>
  </si>
  <si>
    <t xml:space="preserve">نسبة الاستحقاق</t>
  </si>
  <si>
    <t xml:space="preserve">أقل من سنتين: لا يستحق</t>
  </si>
  <si>
    <t xml:space="preserve">من سنتين إلى أقل من 5: ثلث المكافأة</t>
  </si>
  <si>
    <t xml:space="preserve">من 5 إلى أقل من 10: ثلثا المكافأة</t>
  </si>
  <si>
    <t xml:space="preserve">10 سنوات فأكثر: المكافأة كاملة</t>
  </si>
  <si>
    <t xml:space="preserve">🪪 الإقامة ورخصة العمل والتأمين الطبي (القيم الافتراضية)</t>
  </si>
  <si>
    <t xml:space="preserve">رسوم إصدار / تجديد الإقامة (سنوياً)</t>
  </si>
  <si>
    <t xml:space="preserve">رسوم الجوازات للإقامة. تُطبَّق تلقائياً على غير السعودي إذا تُركت خانة الموظف فارغة.</t>
  </si>
  <si>
    <t xml:space="preserve">المقابل المالي لرخصة العمل (كرت العمل) سنوياً</t>
  </si>
  <si>
    <t xml:space="preserve">800 ريال شهرياً للعامل الوافد. عدّله حسب نشاط المنشأة ونطاقها في نطاقات.</t>
  </si>
  <si>
    <t xml:space="preserve">التأمين الطبي السنوي الافتراضي</t>
  </si>
  <si>
    <t xml:space="preserve">يُطبَّق على كل موظف لم تُحدَّد له قيمة في ورقة الموظفين.</t>
  </si>
  <si>
    <t xml:space="preserve">تاريخ متابعة الإقامات ورخص العمل</t>
  </si>
  <si>
    <t xml:space="preserve">افتراضياً تاريخ اليوم — يمكنك كتابة تاريخ محدد بدلاً من المعادلة.</t>
  </si>
  <si>
    <t xml:space="preserve">أيام التنبيه قبل انتهاء الإقامة / الرخصة</t>
  </si>
  <si>
    <t xml:space="preserve">الخلايا الصفراء بالخط الأزرق = مدخلات قابلة للتعديل. الخلايا الرمادية = معادلات. النسب والحدود مأخوذة من نظام العمل السعودي ونظام التأمينات الاجتماعية ورسوم الجوازات ووزارة الموارد البشرية — راجعها عند صدور أي تعديل نظامي.</t>
  </si>
  <si>
    <t xml:space="preserve">👥 سجل بيانات الموظفين الرئيسي   🔒 نسخة تجريبية</t>
  </si>
  <si>
    <t xml:space="preserve">🧪 خانات التجربة: أول 5 موظفين (الخلايا الصفراء) — باقي الصفوف مقفلة في النسخة المجانية</t>
  </si>
  <si>
    <t xml:space="preserve">م</t>
  </si>
  <si>
    <t xml:space="preserve">الرقم الوظيفي</t>
  </si>
  <si>
    <t xml:space="preserve">اسم الموظف</t>
  </si>
  <si>
    <t xml:space="preserve">الجنسية</t>
  </si>
  <si>
    <t xml:space="preserve">المسمى الوظيفي</t>
  </si>
  <si>
    <t xml:space="preserve">تاريخ التعيين</t>
  </si>
  <si>
    <t xml:space="preserve">رقم الإقامة / الهوية</t>
  </si>
  <si>
    <t xml:space="preserve">تاريخ انتهاء الإقامة / الهوية</t>
  </si>
  <si>
    <t xml:space="preserve">تاريخ انتهاء رخصة العمل</t>
  </si>
  <si>
    <t xml:space="preserve">الراتب الأساسي</t>
  </si>
  <si>
    <t xml:space="preserve">بدل السكن</t>
  </si>
  <si>
    <t xml:space="preserve">بدل النقل</t>
  </si>
  <si>
    <t xml:space="preserve">بدلات أخرى</t>
  </si>
  <si>
    <t xml:space="preserve">إجمالي الراتب الشهري</t>
  </si>
  <si>
    <t xml:space="preserve">أجر احتساب نهاية الخدمة</t>
  </si>
  <si>
    <t xml:space="preserve">أجر احتساب الإجازة</t>
  </si>
  <si>
    <t xml:space="preserve">أجر الاشتراك في التأمينات</t>
  </si>
  <si>
    <t xml:space="preserve">أيام الإجازة السنوية (اختياري — يلغي الآلي)</t>
  </si>
  <si>
    <t xml:space="preserve">يستحق تذكرة سفر؟</t>
  </si>
  <si>
    <t xml:space="preserve">قيمة التذكرة (له ولمن يعول)</t>
  </si>
  <si>
    <t xml:space="preserve">دورية التذكرة (شهر)</t>
  </si>
  <si>
    <t xml:space="preserve">رسوم الإقامة السنوية (فارغ = الافتراضي)</t>
  </si>
  <si>
    <t xml:space="preserve">المقابل المالي لرخصة العمل سنوياً (فارغ = الافتراضي)</t>
  </si>
  <si>
    <t xml:space="preserve">التأمين الطبي السنوي (فارغ = الافتراضي)</t>
  </si>
  <si>
    <t xml:space="preserve">رسوم أخرى سنوية على المنشأة (مرافقين، خروج وعودة...)</t>
  </si>
  <si>
    <t xml:space="preserve">إجمالي التكاليف الحكومية والتأمين السنوية</t>
  </si>
  <si>
    <t xml:space="preserve">رصيد إجازات افتتاحي (يوم) في 1/1</t>
  </si>
  <si>
    <t xml:space="preserve">رصيد مخصص تذاكر افتتاحي في 1/1</t>
  </si>
  <si>
    <t xml:space="preserve">تاريخ انتهاء الخدمة</t>
  </si>
  <si>
    <t xml:space="preserve">سبب انتهاء الخدمة</t>
  </si>
  <si>
    <t xml:space="preserve">حالة التوظيف</t>
  </si>
  <si>
    <t xml:space="preserve">الوضع في تاريخ التقرير</t>
  </si>
  <si>
    <t xml:space="preserve">البنك</t>
  </si>
  <si>
    <t xml:space="preserve">رقم الآيبان IBAN</t>
  </si>
  <si>
    <t xml:space="preserve">ملاحظات</t>
  </si>
  <si>
    <t xml:space="preserve">E001</t>
  </si>
  <si>
    <t xml:space="preserve">عبدالله محمد العتيبي</t>
  </si>
  <si>
    <t xml:space="preserve">المدير العام</t>
  </si>
  <si>
    <t xml:space="preserve">1012345678</t>
  </si>
  <si>
    <t xml:space="preserve">الراجحي</t>
  </si>
  <si>
    <t xml:space="preserve">SA0380000000608010167519</t>
  </si>
  <si>
    <t xml:space="preserve">E002</t>
  </si>
  <si>
    <t xml:space="preserve">أحمد سعيد القحطاني</t>
  </si>
  <si>
    <t xml:space="preserve">مدير مالي</t>
  </si>
  <si>
    <t xml:space="preserve">1023456789</t>
  </si>
  <si>
    <t xml:space="preserve">الأهلي</t>
  </si>
  <si>
    <t xml:space="preserve">SA4410000011100000000001</t>
  </si>
  <si>
    <t xml:space="preserve">E003</t>
  </si>
  <si>
    <t xml:space="preserve">محمد علي حسن</t>
  </si>
  <si>
    <t xml:space="preserve">مصري</t>
  </si>
  <si>
    <t xml:space="preserve">محاسب أول</t>
  </si>
  <si>
    <t xml:space="preserve">2312345678</t>
  </si>
  <si>
    <t xml:space="preserve">SA0380000000608010167520</t>
  </si>
  <si>
    <t xml:space="preserve">E004</t>
  </si>
  <si>
    <t xml:space="preserve">نورة خالد الدوسري</t>
  </si>
  <si>
    <t xml:space="preserve">سعودية</t>
  </si>
  <si>
    <t xml:space="preserve">مديرة موارد بشرية</t>
  </si>
  <si>
    <t xml:space="preserve">1034567890</t>
  </si>
  <si>
    <t xml:space="preserve">الإنماء</t>
  </si>
  <si>
    <t xml:space="preserve">SA6005000068200000000002</t>
  </si>
  <si>
    <t xml:space="preserve">E005</t>
  </si>
  <si>
    <t xml:space="preserve">راجيش كومار</t>
  </si>
  <si>
    <t xml:space="preserve">هندي</t>
  </si>
  <si>
    <t xml:space="preserve">مهندس شبكات</t>
  </si>
  <si>
    <t xml:space="preserve">2323456789</t>
  </si>
  <si>
    <t xml:space="preserve">SA4410000011100000000003</t>
  </si>
  <si>
    <t xml:space="preserve">E006</t>
  </si>
  <si>
    <t xml:space="preserve">فهد ناصر الشمري</t>
  </si>
  <si>
    <t xml:space="preserve">مدير مبيعات</t>
  </si>
  <si>
    <t xml:space="preserve">1045678901</t>
  </si>
  <si>
    <t xml:space="preserve">SA0380000000608010167521</t>
  </si>
  <si>
    <t xml:space="preserve">E007</t>
  </si>
  <si>
    <t xml:space="preserve">خالد يوسف الأحمد</t>
  </si>
  <si>
    <t xml:space="preserve">أردني</t>
  </si>
  <si>
    <t xml:space="preserve">مهندس مشاريع</t>
  </si>
  <si>
    <t xml:space="preserve">2334567890</t>
  </si>
  <si>
    <t xml:space="preserve">البلاد</t>
  </si>
  <si>
    <t xml:space="preserve">SA1515000999100000000004</t>
  </si>
  <si>
    <t xml:space="preserve">المنشأة تتحمل رسوم مرافق واحد</t>
  </si>
  <si>
    <t xml:space="preserve">E008</t>
  </si>
  <si>
    <t xml:space="preserve">سارة عبدالرحمن الزهراني</t>
  </si>
  <si>
    <t xml:space="preserve">محاسبة</t>
  </si>
  <si>
    <t xml:space="preserve">1056789012</t>
  </si>
  <si>
    <t xml:space="preserve">SA6005000068200000000005</t>
  </si>
  <si>
    <t xml:space="preserve">E009</t>
  </si>
  <si>
    <t xml:space="preserve">محمد رفيق</t>
  </si>
  <si>
    <t xml:space="preserve">باكستاني</t>
  </si>
  <si>
    <t xml:space="preserve">مشرف عمليات</t>
  </si>
  <si>
    <t xml:space="preserve">2345678901</t>
  </si>
  <si>
    <t xml:space="preserve">SA0380000000608010167522</t>
  </si>
  <si>
    <t xml:space="preserve">E010</t>
  </si>
  <si>
    <t xml:space="preserve">ريم سلطان المطيري</t>
  </si>
  <si>
    <t xml:space="preserve">أخصائية تسويق</t>
  </si>
  <si>
    <t xml:space="preserve">1067890123</t>
  </si>
  <si>
    <t xml:space="preserve">SA4410000011100000000006</t>
  </si>
  <si>
    <t xml:space="preserve">E011</t>
  </si>
  <si>
    <t xml:space="preserve">جون ماتيو</t>
  </si>
  <si>
    <t xml:space="preserve">فلبيني</t>
  </si>
  <si>
    <t xml:space="preserve">فني صيانة</t>
  </si>
  <si>
    <t xml:space="preserve">2356789012</t>
  </si>
  <si>
    <t xml:space="preserve">SA0380000000608010167523</t>
  </si>
  <si>
    <t xml:space="preserve">E012</t>
  </si>
  <si>
    <t xml:space="preserve">عمر حسين البيشي</t>
  </si>
  <si>
    <t xml:space="preserve">مطور برمجيات</t>
  </si>
  <si>
    <t xml:space="preserve">1078901234</t>
  </si>
  <si>
    <t xml:space="preserve">SA1515000999100000000007</t>
  </si>
  <si>
    <t xml:space="preserve">🌴 سجل الإجازات والحالات — الإجازات والإيقاف ووقف الراتب بالتواريخ   🔒 نسخة تجريبية</t>
  </si>
  <si>
    <t xml:space="preserve">🧪 خانات التجربة: أول 10 سجلات — للمزيد اشترِ النسخة الكاملة</t>
  </si>
  <si>
    <t xml:space="preserve">أيام مخصومة من الراتب في كل شهر</t>
  </si>
  <si>
    <t xml:space="preserve">أيام خارج الخدمة (تراكمي حتى نهاية الشهر)</t>
  </si>
  <si>
    <t xml:space="preserve">أيام مخصومة من رصيد الإجازة في الشهر</t>
  </si>
  <si>
    <t xml:space="preserve">اسم الموظف (تلقائي)</t>
  </si>
  <si>
    <t xml:space="preserve">من تاريخ</t>
  </si>
  <si>
    <t xml:space="preserve">إلى تاريخ (آخر يوم)</t>
  </si>
  <si>
    <t xml:space="preserve">عدد الأيام</t>
  </si>
  <si>
    <t xml:space="preserve">نسبة الأجر حسب النوع</t>
  </si>
  <si>
    <t xml:space="preserve">نسبة أجر مخصصة (اختياري)</t>
  </si>
  <si>
    <t xml:space="preserve">نسبة الأجر المطبقة</t>
  </si>
  <si>
    <t xml:space="preserve">يخصم من رصيد الإجازة؟</t>
  </si>
  <si>
    <t xml:space="preserve">يحتسب في الخدمة؟</t>
  </si>
  <si>
    <t xml:space="preserve">راتب مقدم؟</t>
  </si>
  <si>
    <t xml:space="preserve">مبلغ راتب الإجازة المقدم</t>
  </si>
  <si>
    <t xml:space="preserve">شهر صرف المقدم</t>
  </si>
  <si>
    <t xml:space="preserve">الحالة</t>
  </si>
  <si>
    <t xml:space="preserve">أيام خارج الخدمة حتى 31/12 السابق</t>
  </si>
  <si>
    <t xml:space="preserve">أيام خارج الخدمة حتى تاريخ التقرير</t>
  </si>
  <si>
    <t xml:space="preserve">أيام مخصومة من رصيد الإجازة (السنة حتى تاريخ التقرير)</t>
  </si>
  <si>
    <t xml:space="preserve">إجازة سنوية 10 أيام</t>
  </si>
  <si>
    <t xml:space="preserve">إجازة سنوية + تذكرة</t>
  </si>
  <si>
    <t xml:space="preserve">تقرير طبي</t>
  </si>
  <si>
    <t xml:space="preserve">إجازة سنوية — صُرف راتبها مقدماً</t>
  </si>
  <si>
    <t xml:space="preserve">إجازة سنوية</t>
  </si>
  <si>
    <t xml:space="preserve">إجازة سنوية — راتب مقدم + تذكرة</t>
  </si>
  <si>
    <t xml:space="preserve">ظرف خاص</t>
  </si>
  <si>
    <t xml:space="preserve">إجازة بدون راتب شهر — جارية في تاريخ التقرير</t>
  </si>
  <si>
    <t xml:space="preserve">إجازة مرضية (بعد استنفاد 30 يوماً)</t>
  </si>
  <si>
    <t xml:space="preserve">إجازة سنوية مخططة — راتب مقدم</t>
  </si>
  <si>
    <t xml:space="preserve">✍ الحركات الشهرية المتغيرة (غياب — إضافي — مكافآت — سلف — جزاءات — تذاكر — تسويات)   🔒 نسخة تجريبية</t>
  </si>
  <si>
    <t xml:space="preserve">🧪 خانات التجربة: أول 20 حركة — للمزيد اشترِ النسخة الكاملة</t>
  </si>
  <si>
    <t xml:space="preserve">الشهر (1-12)</t>
  </si>
  <si>
    <t xml:space="preserve">أيام غياب</t>
  </si>
  <si>
    <t xml:space="preserve">أيام بدون راتب (يدوي)</t>
  </si>
  <si>
    <t xml:space="preserve">ساعات عمل إضافي</t>
  </si>
  <si>
    <t xml:space="preserve">مكافآت وعمولات</t>
  </si>
  <si>
    <t xml:space="preserve">إضافات أخرى / فروقات</t>
  </si>
  <si>
    <t xml:space="preserve">أقساط سلف</t>
  </si>
  <si>
    <t xml:space="preserve">خصومات وجزاءات</t>
  </si>
  <si>
    <t xml:space="preserve">إجازة سنوية مأخوذة (يوم) — يدوي</t>
  </si>
  <si>
    <t xml:space="preserve">إجازة مصروفة نقداً (يوم)</t>
  </si>
  <si>
    <t xml:space="preserve">قيمة تذاكر مستخدمة</t>
  </si>
  <si>
    <t xml:space="preserve">مكافأة نهاية خدمة مدفوعة</t>
  </si>
  <si>
    <t xml:space="preserve">قسط سلفة 1/5</t>
  </si>
  <si>
    <t xml:space="preserve">غياب يوم</t>
  </si>
  <si>
    <t xml:space="preserve">قسط سلفة 2/5</t>
  </si>
  <si>
    <t xml:space="preserve">عمولة مبيعات الربع الرابع</t>
  </si>
  <si>
    <t xml:space="preserve">قسط سلفة 3/5</t>
  </si>
  <si>
    <t xml:space="preserve">تذكرة الإجازة</t>
  </si>
  <si>
    <t xml:space="preserve">قسط سلفة 4/5</t>
  </si>
  <si>
    <t xml:space="preserve">غياب يومين</t>
  </si>
  <si>
    <t xml:space="preserve">قسط سلفة 5/5</t>
  </si>
  <si>
    <t xml:space="preserve">عمولة مبيعات</t>
  </si>
  <si>
    <t xml:space="preserve">تسوية نهاية خدمة: المكافأة + صرف رصيد الإجازات نقداً (في الإضافات)</t>
  </si>
  <si>
    <t xml:space="preserve">بدل مهمة عمل</t>
  </si>
  <si>
    <t xml:space="preserve">جزاء تأخير</t>
  </si>
  <si>
    <t xml:space="preserve">من / إلى</t>
  </si>
  <si>
    <t xml:space="preserve">الشهر التالي ▶</t>
  </si>
  <si>
    <t xml:space="preserve">الوضع خلال الشهر</t>
  </si>
  <si>
    <t xml:space="preserve">أيام الاستحقاق</t>
  </si>
  <si>
    <t xml:space="preserve">أيام الغياب</t>
  </si>
  <si>
    <t xml:space="preserve">أيام إجازة / إيقاف بدون أجر</t>
  </si>
  <si>
    <t xml:space="preserve">أيام مدفوعة</t>
  </si>
  <si>
    <t xml:space="preserve">الأساسي</t>
  </si>
  <si>
    <t xml:space="preserve">السكن</t>
  </si>
  <si>
    <t xml:space="preserve">النقل</t>
  </si>
  <si>
    <t xml:space="preserve">أخرى</t>
  </si>
  <si>
    <t xml:space="preserve">ساعات إضافي</t>
  </si>
  <si>
    <t xml:space="preserve">قيمة الإضافي</t>
  </si>
  <si>
    <t xml:space="preserve">إضافات أخرى</t>
  </si>
  <si>
    <t xml:space="preserve">راتب إجازة مدفوع مقدماً</t>
  </si>
  <si>
    <t xml:space="preserve">تأمينات (حصة الموظف)</t>
  </si>
  <si>
    <t xml:space="preserve">إجمالي الاستقطاعات</t>
  </si>
  <si>
    <t xml:space="preserve">صافي الراتب</t>
  </si>
  <si>
    <t xml:space="preserve">تأمينات (حصة المنشأة)</t>
  </si>
  <si>
    <t xml:space="preserve">مخصص نهاية الخدمة للشهر</t>
  </si>
  <si>
    <t xml:space="preserve">مخصص الإجازات للشهر</t>
  </si>
  <si>
    <t xml:space="preserve">مخصص التذاكر للشهر</t>
  </si>
  <si>
    <t xml:space="preserve">رسوم الإقامة + رخصة العمل للشهر</t>
  </si>
  <si>
    <t xml:space="preserve">التأمين الطبي للشهر</t>
  </si>
  <si>
    <t xml:space="preserve">رسوم أخرى للشهر</t>
  </si>
  <si>
    <t xml:space="preserve">إجمالي تكلفة الموظف على المنشأة</t>
  </si>
  <si>
    <t xml:space="preserve">سنوات الخدمة نهاية الشهر</t>
  </si>
  <si>
    <t xml:space="preserve">سنوات الخدمة نهاية الشهر السابق</t>
  </si>
  <si>
    <t xml:space="preserve">أيام تكتسب عنها إجازة وتذكرة</t>
  </si>
  <si>
    <t xml:space="preserve">أيام التوظيف التقويمية</t>
  </si>
  <si>
    <t xml:space="preserve">أيام إجازة سنوية مستخدمة</t>
  </si>
  <si>
    <t xml:space="preserve">استخدام مخصص الإجازات (قيمة)</t>
  </si>
  <si>
    <t xml:space="preserve">أيام مخصومة من السجل (خام)</t>
  </si>
  <si>
    <t xml:space="preserve">لا تحذف أي موظف: أيام الإجازة بدون راتب والمرضية والإيقاف تُخصم تلقائياً من «سجل الإجازات والحالات» حسب التواريخ، والمنتهية خدمته يتوقف راتبه بعد تاريخ الانتهاء. أيام الاستحقاق = 30 للشهر الكامل أو الأيام الفعلية للتعيين/الانتهاء • الإضافي = الساعات × (إجمالي الأجر + 50% من الأساسي) ÷ 30 ÷ 8 • التأمينات على (الأساسي + السكن) بحد 45,000 • نهاية الخدمة = الاستحقاق التراكمي نهاية الشهر − نهاية الشهر السابق (بعد استبعاد المدد غير المحتسبة) • الإقامة ورخصة العمل والتأمين الطبي = التكلفة السنوية ÷ 12 × أيام التوظيف ÷ 30. الأعمدة الرمادية الأخيرة مساعدة للاحتساب.</t>
  </si>
  <si>
    <t xml:space="preserve">◀ الشهر السابق</t>
  </si>
  <si>
    <t xml:space="preserve">📅 الملخص الشهري للرواتب والمخصصات والتكاليف الحكومية — 12 شهراً   🔒 نسخة تجريبية</t>
  </si>
  <si>
    <t xml:space="preserve">رقم</t>
  </si>
  <si>
    <t xml:space="preserve">موظفون بخصم أيام</t>
  </si>
  <si>
    <t xml:space="preserve">الرواتب الأساسية</t>
  </si>
  <si>
    <t xml:space="preserve">البدلات</t>
  </si>
  <si>
    <t xml:space="preserve">العمل الإضافي</t>
  </si>
  <si>
    <t xml:space="preserve">مكافآت وإضافات</t>
  </si>
  <si>
    <t xml:space="preserve">رواتب إجازات مقدمة</t>
  </si>
  <si>
    <t xml:space="preserve">تأمينات الموظف</t>
  </si>
  <si>
    <t xml:space="preserve">تأمينات المنشأة</t>
  </si>
  <si>
    <t xml:space="preserve">مخصص التذاكر</t>
  </si>
  <si>
    <t xml:space="preserve">الإقامة ورخص العمل ورسوم أخرى</t>
  </si>
  <si>
    <t xml:space="preserve">التأمين الطبي</t>
  </si>
  <si>
    <t xml:space="preserve">الصف المظلل بالأصفر = شهر التقرير. الأشهر «المتوقعة» محسوبة على الرواتب الثابتة الحالية والإجازات المخططة في السجل (موازنة تقديرية). اضغط اسم الشهر للانتقال إلى مسيره.</t>
  </si>
  <si>
    <t xml:space="preserve">📑 ملخص الموظفين السنوي — المستحقات والتكلفة شهراً بشهر   🔒 نسخة تجريبية</t>
  </si>
  <si>
    <t xml:space="preserve">إجمالي المستحقات الشهرية</t>
  </si>
  <si>
    <t xml:space="preserve">إجمالي تكلفة الموظف على المنشأة (راتب + تأمينات + مخصصات + إقامة ورخصة عمل وتأمين طبي)</t>
  </si>
  <si>
    <t xml:space="preserve">الرقم</t>
  </si>
  <si>
    <t xml:space="preserve">المستحقات حتى شهر التقرير</t>
  </si>
  <si>
    <t xml:space="preserve">التكلفة حتى شهر التقرير</t>
  </si>
  <si>
    <t xml:space="preserve">صافي المدفوع حتى شهر التقرير</t>
  </si>
  <si>
    <t xml:space="preserve">متوسط التكلفة الشهرية</t>
  </si>
  <si>
    <t xml:space="preserve">انتهاء الإقامة / الهوية</t>
  </si>
  <si>
    <t xml:space="preserve">الأيام المتبقية</t>
  </si>
  <si>
    <t xml:space="preserve">حالة الإقامة</t>
  </si>
  <si>
    <t xml:space="preserve">انتهاء رخصة العمل</t>
  </si>
  <si>
    <t xml:space="preserve">حالة رخصة العمل</t>
  </si>
  <si>
    <t xml:space="preserve">رسوم الإقامة السنوية</t>
  </si>
  <si>
    <t xml:space="preserve">المقابل المالي السنوي</t>
  </si>
  <si>
    <t xml:space="preserve">التأمين الطبي السنوي</t>
  </si>
  <si>
    <t xml:space="preserve">رسوم أخرى سنوية</t>
  </si>
  <si>
    <t xml:space="preserve">إجمالي التكلفة السنوية</t>
  </si>
  <si>
    <t xml:space="preserve">التكلفة الشهرية</t>
  </si>
  <si>
    <t xml:space="preserve">المحمّل حتى شهر التقرير</t>
  </si>
  <si>
    <t xml:space="preserve">مبلغ تجديد متوقع خلال فترة التنبيه</t>
  </si>
  <si>
    <t xml:space="preserve">التكلفة السنوية تُحمَّل على المسير شهرياً (÷ 12 حسب أيام التوظيف) ضمن «تكلفة الموظف على المنشأة»، وتظهر في القيود كإطفاء لمصروفات مدفوعة مقدماً. «مبلغ تجديد متوقع» = رسوم الإقامة و/أو المقابل المالي لمن تنتهي وثيقته خلال فترة التنبيه — للتخطيط النقدي. لتغيير القيم لموظف معين عدّلها في ورقة الموظفين؛ القيم الافتراضية في الإعدادات.</t>
  </si>
  <si>
    <t xml:space="preserve">تاريخ الاحتساب</t>
  </si>
  <si>
    <t xml:space="preserve">مدة الخدمة</t>
  </si>
  <si>
    <t xml:space="preserve">أيام غير محتسبة (بدون راتب/انقطاع)</t>
  </si>
  <si>
    <t xml:space="preserve">سنوات الخدمة المحتسبة</t>
  </si>
  <si>
    <t xml:space="preserve">أجر الاحتساب</t>
  </si>
  <si>
    <t xml:space="preserve">استحقاق السنوات الأولى</t>
  </si>
  <si>
    <t xml:space="preserve">استحقاق ما بعدها</t>
  </si>
  <si>
    <t xml:space="preserve">الاستحقاق الكامل (م 84)</t>
  </si>
  <si>
    <t xml:space="preserve">الحالة / سبب الانتهاء</t>
  </si>
  <si>
    <t xml:space="preserve">نسبة الاستحقاق عند الاستقالة (م 85)</t>
  </si>
  <si>
    <t xml:space="preserve">الاستحقاق النظامي (رصيد المخصص المطلوب)</t>
  </si>
  <si>
    <t xml:space="preserve">الرصيد الافتتاحي 1/1</t>
  </si>
  <si>
    <t xml:space="preserve">المكوّن خلال الفترة</t>
  </si>
  <si>
    <t xml:space="preserve">المدفوع خلال الفترة</t>
  </si>
  <si>
    <t xml:space="preserve">الرصيد الختامي</t>
  </si>
  <si>
    <t xml:space="preserve">الفحص</t>
  </si>
  <si>
    <t xml:space="preserve">أساس المخصص: الاستحقاق الكامل وفق المادة 84 للموظف على رأس العمل (الأحوط محاسبياً)، وللمستقيل نسبة المادة 85. تُستبعد من مدة الخدمة الأنواع المعرّفة في الإعدادات بأنها «لا تحتسب في الخدمة» (الإجازة بدون راتب والانقطاع). الرصيد الافتتاحي = الاستحقاق في 31/12 من السنة السابقة بالأجر الحالي. المدفوع يُسحب تلقائياً من الحركات الشهرية.</t>
  </si>
  <si>
    <t xml:space="preserve">سنوات الخدمة</t>
  </si>
  <si>
    <t xml:space="preserve">الاستحقاق السنوي (يوم)</t>
  </si>
  <si>
    <t xml:space="preserve">أجر اليوم</t>
  </si>
  <si>
    <t xml:space="preserve">رصيد افتتاحي (يوم)</t>
  </si>
  <si>
    <t xml:space="preserve">بداية الاستحقاق هذه السنة</t>
  </si>
  <si>
    <t xml:space="preserve">نهاية الاستحقاق</t>
  </si>
  <si>
    <t xml:space="preserve">أيام العمل المحتسبة</t>
  </si>
  <si>
    <t xml:space="preserve">أيام مكتسبة</t>
  </si>
  <si>
    <t xml:space="preserve">أيام مأخوذة (السجل + اليدوي)</t>
  </si>
  <si>
    <t xml:space="preserve">أيام مصروفة نقداً</t>
  </si>
  <si>
    <t xml:space="preserve">الرصيد الختامي (يوم)</t>
  </si>
  <si>
    <t xml:space="preserve">قيمة المخصص الختامي</t>
  </si>
  <si>
    <t xml:space="preserve">قيمة الرصيد الافتتاحي</t>
  </si>
  <si>
    <t xml:space="preserve">تكلفة الإجازات المأخوذة</t>
  </si>
  <si>
    <t xml:space="preserve">الرصيد (يوم) = الافتتاحي + المكتسب (الاستحقاق السنوي ÷ 365 × أيام العمل المحتسبة) − المأخوذ − المصروف نقداً. الأيام المأخوذة تُسحب من «سجل الإجازات والحالات» (للإجازة ذات الراتب المقدم تُخصم كاملة في شهر صرفها) ومن العمود اليدوي في الحركات. أيام الإجازة بدون راتب والانقطاع لا تُكتسب عنها إجازة. قيمة المخصص = الرصيد × أجر اليوم الحالي.</t>
  </si>
  <si>
    <t xml:space="preserve">يستحق تذكرة؟</t>
  </si>
  <si>
    <t xml:space="preserve">قيمة التذكرة</t>
  </si>
  <si>
    <t xml:space="preserve">الدورية (شهر)</t>
  </si>
  <si>
    <t xml:space="preserve">الرصيد الافتتاحي</t>
  </si>
  <si>
    <t xml:space="preserve">المستخدم خلال الفترة</t>
  </si>
  <si>
    <t xml:space="preserve">ما يعادله من تذاكر</t>
  </si>
  <si>
    <t xml:space="preserve">المكوّن = (قيمة التذكرة ÷ دورية الاستحقاق × 12 ÷ 365) × أيام العمل المحتسبة خلال السنة حتى تاريخ التقرير (تُستبعد الإجازة بدون راتب والانقطاع). المستخدم يُسحب من عمود «قيمة تذاكر مستخدمة» في الحركات الشهرية. «ما يعادله من تذاكر» ≥ 1 يعني أن الموظف استحق تذكرة كاملة.</t>
  </si>
  <si>
    <t xml:space="preserve">🧾 القيود المحاسبية الشهرية للرواتب والمخصصات والتكاليف الحكومية (جاهزة للترحيل)   🔒 نسخة تجريبية</t>
  </si>
  <si>
    <t xml:space="preserve">رقم الشهر ←</t>
  </si>
  <si>
    <t xml:space="preserve">رمز الحساب</t>
  </si>
  <si>
    <t xml:space="preserve">اسم الحساب</t>
  </si>
  <si>
    <t xml:space="preserve">الطبيعة</t>
  </si>
  <si>
    <t xml:space="preserve">حتى شهر التقرير</t>
  </si>
  <si>
    <t xml:space="preserve">① قيد استحقاق رواتب الشهر</t>
  </si>
  <si>
    <t xml:space="preserve">5101</t>
  </si>
  <si>
    <t xml:space="preserve">مصروف الرواتب الأساسية</t>
  </si>
  <si>
    <t xml:space="preserve">مدين</t>
  </si>
  <si>
    <t xml:space="preserve">5102</t>
  </si>
  <si>
    <t xml:space="preserve">مصروف بدل السكن</t>
  </si>
  <si>
    <t xml:space="preserve">5103</t>
  </si>
  <si>
    <t xml:space="preserve">مصروف بدل النقل</t>
  </si>
  <si>
    <t xml:space="preserve">5104</t>
  </si>
  <si>
    <t xml:space="preserve">مصروف بدلات أخرى</t>
  </si>
  <si>
    <t xml:space="preserve">5105</t>
  </si>
  <si>
    <t xml:space="preserve">مصروف العمل الإضافي</t>
  </si>
  <si>
    <t xml:space="preserve">5106</t>
  </si>
  <si>
    <t xml:space="preserve">مصروف المكافآت والعمولات والإضافات</t>
  </si>
  <si>
    <t xml:space="preserve">5114</t>
  </si>
  <si>
    <t xml:space="preserve">رواتب إجازات مدفوعة مقدماً</t>
  </si>
  <si>
    <t xml:space="preserve">5107</t>
  </si>
  <si>
    <t xml:space="preserve">مصروف التأمينات الاجتماعية (حصة المنشأة)</t>
  </si>
  <si>
    <t xml:space="preserve">2105</t>
  </si>
  <si>
    <t xml:space="preserve">      المؤسسة العامة للتأمينات الاجتماعية — مستحق</t>
  </si>
  <si>
    <t xml:space="preserve">دائن</t>
  </si>
  <si>
    <t xml:space="preserve">1106</t>
  </si>
  <si>
    <t xml:space="preserve">      سلف الموظفين</t>
  </si>
  <si>
    <t xml:space="preserve">4901</t>
  </si>
  <si>
    <t xml:space="preserve">      إيرادات خصومات وجزاءات الموظفين</t>
  </si>
  <si>
    <t xml:space="preserve">2104</t>
  </si>
  <si>
    <t xml:space="preserve">      رواتب مستحقة الدفع</t>
  </si>
  <si>
    <t xml:space="preserve">② قيد تكوين المخصصات</t>
  </si>
  <si>
    <t xml:space="preserve">5108</t>
  </si>
  <si>
    <t xml:space="preserve">مصروف مكافأة نهاية الخدمة</t>
  </si>
  <si>
    <t xml:space="preserve">2202</t>
  </si>
  <si>
    <t xml:space="preserve">      مخصص مكافأة نهاية الخدمة</t>
  </si>
  <si>
    <t xml:space="preserve">5109</t>
  </si>
  <si>
    <t xml:space="preserve">مصروف الإجازات السنوية</t>
  </si>
  <si>
    <t xml:space="preserve">2106</t>
  </si>
  <si>
    <t xml:space="preserve">      مخصص الإجازات السنوية</t>
  </si>
  <si>
    <t xml:space="preserve">5110</t>
  </si>
  <si>
    <t xml:space="preserve">مصروف تذاكر السفر</t>
  </si>
  <si>
    <t xml:space="preserve">2107</t>
  </si>
  <si>
    <t xml:space="preserve">      مخصص تذاكر السفر</t>
  </si>
  <si>
    <t xml:space="preserve">③ تحميل رواتب الإجازات المأخوذة على المخصص</t>
  </si>
  <si>
    <t xml:space="preserve">مخصص الإجازات السنوية (استخدام)</t>
  </si>
  <si>
    <t xml:space="preserve">      مصروف الإجازات السنوية (رد — مُحمَّل على المخصص)</t>
  </si>
  <si>
    <t xml:space="preserve">④ إطفاء رسوم الإقامة ورخص العمل والتأمين الطبي</t>
  </si>
  <si>
    <t xml:space="preserve">5111</t>
  </si>
  <si>
    <t xml:space="preserve">مصروف رسوم الإقامة ورخص العمل والرسوم الحكومية</t>
  </si>
  <si>
    <t xml:space="preserve">1107</t>
  </si>
  <si>
    <t xml:space="preserve">      رسوم حكومية مدفوعة مقدماً</t>
  </si>
  <si>
    <t xml:space="preserve">5112</t>
  </si>
  <si>
    <t xml:space="preserve">مصروف التأمين الطبي</t>
  </si>
  <si>
    <t xml:space="preserve">1108</t>
  </si>
  <si>
    <t xml:space="preserve">      تأمين طبي مدفوع مقدماً</t>
  </si>
  <si>
    <t xml:space="preserve">⑤ صرف الرواتب ومستحقات نهاية الخدمة والتذاكر</t>
  </si>
  <si>
    <t xml:space="preserve">رواتب مستحقة الدفع</t>
  </si>
  <si>
    <t xml:space="preserve">مخصص مكافأة نهاية الخدمة (مدفوع)</t>
  </si>
  <si>
    <t xml:space="preserve">مخصص تذاكر السفر (مستخدم)</t>
  </si>
  <si>
    <t xml:space="preserve">1102</t>
  </si>
  <si>
    <t xml:space="preserve">      البنك</t>
  </si>
  <si>
    <t xml:space="preserve">إجمالي المدين</t>
  </si>
  <si>
    <t xml:space="preserve">إجمالي الدائن</t>
  </si>
  <si>
    <t xml:space="preserve">التوازن</t>
  </si>
  <si>
    <t xml:space="preserve">رموز الحسابات استرشادية — طابقها مع دليل حساباتك (مثلاً 2202 مخصص نهاية الخدمة كما في ملف النظام المحاسبي). القيد ③ ينقل راتب أيام الإجازة المأخوذة من المصروف إلى المخصص حتى لا يُحمَّل مرتين. القيد ④ يفترض أن الرسوم تُسجَّل عند سدادها في «مدفوعة مقدماً» ثم تُطفأ شهرياً. كل خلية مرتبطة مباشرة بصف الإجمالي في مسير الشهر المقابل أو بالحركات الشهرية.</t>
  </si>
  <si>
    <t xml:space="preserve">اختر الشهر (1-12):</t>
  </si>
  <si>
    <t xml:space="preserve">اختر الرقم الوظيفي:</t>
  </si>
  <si>
    <t xml:space="preserve">صف الموظف</t>
  </si>
  <si>
    <t xml:space="preserve">ورقة المسير</t>
  </si>
  <si>
    <t xml:space="preserve">رقم الآيبان</t>
  </si>
  <si>
    <t xml:space="preserve">أيام غياب + بدون أجر</t>
  </si>
  <si>
    <t xml:space="preserve">المستحقات</t>
  </si>
  <si>
    <t xml:space="preserve">الاستقطاعات</t>
  </si>
  <si>
    <t xml:space="preserve">التأمينات الاجتماعية</t>
  </si>
  <si>
    <t xml:space="preserve">أقساط السلف</t>
  </si>
  <si>
    <t xml:space="preserve">صافي الراتب المستحق</t>
  </si>
  <si>
    <t xml:space="preserve">معلومات للمنشأة: التكلفة الكاملة والأرصدة (كما في تاريخ التقرير)</t>
  </si>
  <si>
    <t xml:space="preserve">تأمينات حصة المنشأة</t>
  </si>
  <si>
    <t xml:space="preserve">الإقامة ورخصة العمل للشهر</t>
  </si>
  <si>
    <t xml:space="preserve">التأمين الطبي ورسوم أخرى للشهر</t>
  </si>
  <si>
    <t xml:space="preserve">إجمالي تكلفة الموظف للشهر</t>
  </si>
  <si>
    <t xml:space="preserve">رصيد الإجازات (يوم)</t>
  </si>
  <si>
    <t xml:space="preserve">رصيد مكافأة نهاية الخدمة</t>
  </si>
  <si>
    <t xml:space="preserve">رصيد مخصص التذاكر</t>
  </si>
  <si>
    <t xml:space="preserve">توقيع المحاسب: ....................</t>
  </si>
  <si>
    <t xml:space="preserve">توقيع الموظف: ....................</t>
  </si>
</sst>
</file>

<file path=xl/styles.xml><?xml version="1.0" encoding="utf-8"?>
<styleSheet xmlns="http://schemas.openxmlformats.org/spreadsheetml/2006/main">
  <numFmts count="13">
    <numFmt numFmtId="164" formatCode="General"/>
    <numFmt numFmtId="165" formatCode="0;[RED]\-0;\-"/>
    <numFmt numFmtId="166" formatCode="0.00%;[RED]\-0.00%;\-"/>
    <numFmt numFmtId="167" formatCode="_-* #,##0_-;[RED]_-* \(#,##0\)_-;_-* \-??_-;_-@_-"/>
    <numFmt numFmtId="168" formatCode="0"/>
    <numFmt numFmtId="169" formatCode="#,##0"/>
    <numFmt numFmtId="170" formatCode="yyyy/mm/dd"/>
    <numFmt numFmtId="171" formatCode="0.00"/>
    <numFmt numFmtId="172" formatCode="@"/>
    <numFmt numFmtId="173" formatCode="_-* #,##0.00_-;[RED]_-* \(#,##0.00\)_-;_-* \-??_-;_-@_-"/>
    <numFmt numFmtId="174" formatCode="0.00;[RED]\-0.00;\-"/>
    <numFmt numFmtId="175" formatCode="0.000"/>
    <numFmt numFmtId="176" formatCode="General"/>
  </numFmts>
  <fonts count="56">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b val="true"/>
      <sz val="11"/>
      <color rgb="FFFFD54F"/>
      <name val="Arial"/>
      <family val="0"/>
      <charset val="1"/>
    </font>
    <font>
      <b val="true"/>
      <sz val="11"/>
      <color rgb="FFFFFFFF"/>
      <name val="Arial"/>
      <family val="0"/>
      <charset val="1"/>
    </font>
    <font>
      <b val="true"/>
      <sz val="10"/>
      <color rgb="FFFFFFFF"/>
      <name val="Arial"/>
      <family val="0"/>
      <charset val="1"/>
    </font>
    <font>
      <b val="true"/>
      <sz val="12"/>
      <color rgb="FFFFFFFF"/>
      <name val="Arial"/>
      <family val="0"/>
      <charset val="1"/>
    </font>
    <font>
      <sz val="10"/>
      <color rgb="FF1F2933"/>
      <name val="Arial"/>
      <family val="0"/>
      <charset val="1"/>
    </font>
    <font>
      <b val="true"/>
      <sz val="10"/>
      <color rgb="FF1A4FA0"/>
      <name val="Arial"/>
      <family val="0"/>
      <charset val="1"/>
    </font>
    <font>
      <b val="true"/>
      <sz val="10"/>
      <color rgb="FF1F2933"/>
      <name val="Arial"/>
      <family val="0"/>
      <charset val="1"/>
    </font>
    <font>
      <b val="true"/>
      <sz val="10"/>
      <color rgb="FF2E7D32"/>
      <name val="Arial"/>
      <family val="0"/>
      <charset val="1"/>
    </font>
    <font>
      <b val="true"/>
      <sz val="10"/>
      <color rgb="FF1A73E8"/>
      <name val="Arial"/>
      <family val="0"/>
      <charset val="1"/>
    </font>
    <font>
      <b val="true"/>
      <sz val="10"/>
      <color rgb="FF9A6B00"/>
      <name val="Arial"/>
      <family val="0"/>
      <charset val="1"/>
    </font>
    <font>
      <b val="true"/>
      <sz val="10"/>
      <color rgb="FFC62828"/>
      <name val="Arial"/>
      <family val="0"/>
      <charset val="1"/>
    </font>
    <font>
      <b val="true"/>
      <sz val="11"/>
      <color rgb="FF1F3A5F"/>
      <name val="Arial"/>
      <family val="0"/>
      <charset val="1"/>
    </font>
    <font>
      <b val="true"/>
      <sz val="10"/>
      <color rgb="FF1F3A5F"/>
      <name val="Arial"/>
      <family val="0"/>
      <charset val="1"/>
    </font>
    <font>
      <i val="true"/>
      <sz val="9"/>
      <color rgb="FF5A6772"/>
      <name val="Arial"/>
      <family val="0"/>
      <charset val="1"/>
    </font>
    <font>
      <i val="true"/>
      <sz val="10"/>
      <color rgb="FFFFFFFF"/>
      <name val="Arial"/>
      <family val="0"/>
      <charset val="1"/>
    </font>
    <font>
      <b val="true"/>
      <sz val="16"/>
      <color rgb="FFFFFFFF"/>
      <name val="Arial"/>
      <family val="0"/>
      <charset val="1"/>
    </font>
    <font>
      <b val="true"/>
      <sz val="10"/>
      <color rgb="FF5A6772"/>
      <name val="Arial"/>
      <family val="0"/>
      <charset val="1"/>
    </font>
    <font>
      <b val="true"/>
      <sz val="14"/>
      <color rgb="FFFFFFFF"/>
      <name val="Arial"/>
      <family val="0"/>
      <charset val="1"/>
    </font>
    <font>
      <b val="true"/>
      <sz val="9"/>
      <color rgb="FF5A6772"/>
      <name val="Arial"/>
      <family val="0"/>
      <charset val="1"/>
    </font>
    <font>
      <b val="true"/>
      <sz val="15"/>
      <color rgb="FF1F3A5F"/>
      <name val="Arial"/>
      <family val="0"/>
      <charset val="1"/>
    </font>
    <font>
      <b val="true"/>
      <sz val="15"/>
      <color rgb="FF1A73E8"/>
      <name val="Arial"/>
      <family val="0"/>
      <charset val="1"/>
    </font>
    <font>
      <b val="true"/>
      <sz val="15"/>
      <color rgb="FF2E7D32"/>
      <name val="Arial"/>
      <family val="0"/>
      <charset val="1"/>
    </font>
    <font>
      <b val="true"/>
      <sz val="15"/>
      <color rgb="FF2E7D7A"/>
      <name val="Arial"/>
      <family val="0"/>
      <charset val="1"/>
    </font>
    <font>
      <b val="true"/>
      <sz val="15"/>
      <color rgb="FFC62828"/>
      <name val="Arial"/>
      <family val="0"/>
      <charset val="1"/>
    </font>
    <font>
      <b val="true"/>
      <sz val="15"/>
      <color rgb="FF5E35B1"/>
      <name val="Arial"/>
      <family val="0"/>
      <charset val="1"/>
    </font>
    <font>
      <b val="true"/>
      <sz val="15"/>
      <color rgb="FF8D6E63"/>
      <name val="Arial"/>
      <family val="0"/>
      <charset val="1"/>
    </font>
    <font>
      <b val="true"/>
      <sz val="15"/>
      <color rgb="FF9A6B00"/>
      <name val="Arial"/>
      <family val="0"/>
      <charset val="1"/>
    </font>
    <font>
      <b val="true"/>
      <sz val="11"/>
      <color rgb="FF1F2933"/>
      <name val="Arial"/>
      <family val="0"/>
      <charset val="1"/>
    </font>
    <font>
      <b val="true"/>
      <sz val="9"/>
      <color rgb="FF1F2933"/>
      <name val="Arial"/>
      <family val="0"/>
      <charset val="1"/>
    </font>
    <font>
      <b val="true"/>
      <sz val="18"/>
      <color rgb="FF000000"/>
      <name val="FreeSans"/>
      <family val="2"/>
    </font>
    <font>
      <sz val="10"/>
      <color rgb="FF000000"/>
      <name val="Calibri"/>
      <family val="2"/>
    </font>
    <font>
      <b val="true"/>
      <sz val="11"/>
      <color rgb="FF90A4AE"/>
      <name val="Arial"/>
      <family val="0"/>
      <charset val="1"/>
    </font>
    <font>
      <sz val="9"/>
      <color rgb="FF5A6772"/>
      <name val="Arial"/>
      <family val="0"/>
      <charset val="1"/>
    </font>
    <font>
      <sz val="10"/>
      <color rgb="FF1A4FA0"/>
      <name val="Arial"/>
      <family val="0"/>
      <charset val="1"/>
    </font>
    <font>
      <sz val="10"/>
      <color rgb="FF5A6772"/>
      <name val="Arial"/>
      <family val="0"/>
      <charset val="1"/>
    </font>
    <font>
      <b val="true"/>
      <sz val="11"/>
      <color rgb="FF1A4FA0"/>
      <name val="Arial"/>
      <family val="0"/>
      <charset val="1"/>
    </font>
    <font>
      <sz val="12"/>
      <color rgb="FF1F2933"/>
      <name val="Arial"/>
      <family val="0"/>
      <charset val="1"/>
    </font>
    <font>
      <sz val="10"/>
      <name val="FreeSans"/>
      <family val="2"/>
    </font>
    <font>
      <sz val="10"/>
      <name val="Arial"/>
      <family val="2"/>
    </font>
    <font>
      <b val="true"/>
      <sz val="10"/>
      <color rgb="FFE65100"/>
      <name val="Arial"/>
      <family val="0"/>
      <charset val="1"/>
    </font>
    <font>
      <sz val="10"/>
      <color rgb="FF90A4AE"/>
      <name val="Arial"/>
      <family val="0"/>
      <charset val="1"/>
    </font>
    <font>
      <b val="true"/>
      <sz val="9"/>
      <color rgb="FFFFFFFF"/>
      <name val="Arial"/>
      <family val="0"/>
      <charset val="1"/>
    </font>
    <font>
      <b val="true"/>
      <sz val="8"/>
      <color rgb="FFFFFFFF"/>
      <name val="Arial"/>
      <family val="0"/>
      <charset val="1"/>
    </font>
    <font>
      <b val="true"/>
      <sz val="12"/>
      <color rgb="FF1F3A5F"/>
      <name val="Arial"/>
      <family val="0"/>
      <charset val="1"/>
    </font>
    <font>
      <b val="true"/>
      <sz val="10"/>
      <color rgb="FF5E35B1"/>
      <name val="Arial"/>
      <family val="0"/>
      <charset val="1"/>
    </font>
    <font>
      <sz val="8"/>
      <color rgb="FF5A6772"/>
      <name val="Arial"/>
      <family val="0"/>
      <charset val="1"/>
    </font>
    <font>
      <sz val="10"/>
      <color rgb="FF9A6B00"/>
      <name val="Arial"/>
      <family val="0"/>
      <charset val="1"/>
    </font>
    <font>
      <b val="true"/>
      <sz val="9"/>
      <color rgb="FF9A6B00"/>
      <name val="Arial"/>
      <family val="0"/>
      <charset val="1"/>
    </font>
    <font>
      <b val="true"/>
      <sz val="12"/>
      <color rgb="FF1A4FA0"/>
      <name val="Arial"/>
      <family val="0"/>
      <charset val="1"/>
    </font>
    <font>
      <b val="true"/>
      <sz val="13"/>
      <color rgb="FFFFFFFF"/>
      <name val="Arial"/>
      <family val="0"/>
      <charset val="1"/>
    </font>
    <font>
      <b val="true"/>
      <sz val="8"/>
      <color rgb="FF1F2933"/>
      <name val="Arial"/>
      <family val="0"/>
      <charset val="1"/>
    </font>
  </fonts>
  <fills count="28">
    <fill>
      <patternFill patternType="none"/>
    </fill>
    <fill>
      <patternFill patternType="gray125"/>
    </fill>
    <fill>
      <patternFill patternType="solid">
        <fgColor rgb="FF1F3A5F"/>
        <bgColor rgb="FF1F2933"/>
      </patternFill>
    </fill>
    <fill>
      <patternFill patternType="solid">
        <fgColor rgb="FF2C5282"/>
        <bgColor rgb="FF1A4FA0"/>
      </patternFill>
    </fill>
    <fill>
      <patternFill patternType="solid">
        <fgColor rgb="FFE65100"/>
        <bgColor rgb="FFC05621"/>
      </patternFill>
    </fill>
    <fill>
      <patternFill patternType="solid">
        <fgColor rgb="FF9A6B00"/>
        <bgColor rgb="FFB7791F"/>
      </patternFill>
    </fill>
    <fill>
      <patternFill patternType="solid">
        <fgColor rgb="FFB7791F"/>
        <bgColor rgb="FF9A6B00"/>
      </patternFill>
    </fill>
    <fill>
      <patternFill patternType="solid">
        <fgColor rgb="FF2E7D7A"/>
        <bgColor rgb="FF2E7D32"/>
      </patternFill>
    </fill>
    <fill>
      <patternFill patternType="solid">
        <fgColor rgb="FFFFFFFF"/>
        <bgColor rgb="FFF5F8FB"/>
      </patternFill>
    </fill>
    <fill>
      <patternFill patternType="solid">
        <fgColor rgb="FFC05621"/>
        <bgColor rgb="FFC0504D"/>
      </patternFill>
    </fill>
    <fill>
      <patternFill patternType="solid">
        <fgColor rgb="FF5E35B1"/>
        <bgColor rgb="FF311B92"/>
      </patternFill>
    </fill>
    <fill>
      <patternFill patternType="solid">
        <fgColor rgb="FFFFF8E1"/>
        <bgColor rgb="FFFFF3E0"/>
      </patternFill>
    </fill>
    <fill>
      <patternFill patternType="solid">
        <fgColor rgb="FFF2F4F7"/>
        <bgColor rgb="FFF5F8FB"/>
      </patternFill>
    </fill>
    <fill>
      <patternFill patternType="solid">
        <fgColor rgb="FFE8F5E9"/>
        <bgColor rgb="FFECEFF1"/>
      </patternFill>
    </fill>
    <fill>
      <patternFill patternType="solid">
        <fgColor rgb="FFE3F2FD"/>
        <bgColor rgb="FFDCEFEE"/>
      </patternFill>
    </fill>
    <fill>
      <patternFill patternType="solid">
        <fgColor rgb="FFFFF3CD"/>
        <bgColor rgb="FFFFF3E0"/>
      </patternFill>
    </fill>
    <fill>
      <patternFill patternType="solid">
        <fgColor rgb="FFFDECEA"/>
        <bgColor rgb="FFFFF3E0"/>
      </patternFill>
    </fill>
    <fill>
      <patternFill patternType="solid">
        <fgColor rgb="FFDCEFEE"/>
        <bgColor rgb="FFE3F2FD"/>
      </patternFill>
    </fill>
    <fill>
      <patternFill patternType="solid">
        <fgColor rgb="FF2E7D32"/>
        <bgColor rgb="FF2E7D7A"/>
      </patternFill>
    </fill>
    <fill>
      <patternFill patternType="solid">
        <fgColor rgb="FFF5F8FB"/>
        <bgColor rgb="FFF2F4F7"/>
      </patternFill>
    </fill>
    <fill>
      <patternFill patternType="solid">
        <fgColor rgb="FF8D6E63"/>
        <bgColor rgb="FF878787"/>
      </patternFill>
    </fill>
    <fill>
      <patternFill patternType="solid">
        <fgColor rgb="FFC62828"/>
        <bgColor rgb="FFBF360C"/>
      </patternFill>
    </fill>
    <fill>
      <patternFill patternType="solid">
        <fgColor rgb="FFECEFF1"/>
        <bgColor rgb="FFF2F4F7"/>
      </patternFill>
    </fill>
    <fill>
      <patternFill patternType="solid">
        <fgColor rgb="FFFFF3E0"/>
        <bgColor rgb="FFFFF8E1"/>
      </patternFill>
    </fill>
    <fill>
      <patternFill patternType="solid">
        <fgColor rgb="FF4A5568"/>
        <bgColor rgb="FF5A6772"/>
      </patternFill>
    </fill>
    <fill>
      <patternFill patternType="solid">
        <fgColor rgb="FF311B92"/>
        <bgColor rgb="FF1F3A5F"/>
      </patternFill>
    </fill>
    <fill>
      <patternFill patternType="solid">
        <fgColor rgb="FF8795A1"/>
        <bgColor rgb="FF90A4AE"/>
      </patternFill>
    </fill>
    <fill>
      <patternFill patternType="solid">
        <fgColor rgb="FF1A73E8"/>
        <bgColor rgb="FF4F81BD"/>
      </patternFill>
    </fill>
  </fills>
  <borders count="14">
    <border diagonalUp="false" diagonalDown="false">
      <left/>
      <right/>
      <top/>
      <bottom/>
      <diagonal/>
    </border>
    <border diagonalUp="false" diagonalDown="false">
      <left/>
      <right/>
      <top/>
      <bottom style="medium">
        <color rgb="FFBF360C"/>
      </bottom>
      <diagonal/>
    </border>
    <border diagonalUp="false" diagonalDown="false">
      <left style="thin">
        <color rgb="FFC9D3DD"/>
      </left>
      <right style="thin">
        <color rgb="FFC9D3DD"/>
      </right>
      <top style="thin">
        <color rgb="FFC9D3DD"/>
      </top>
      <bottom style="thin">
        <color rgb="FFC9D3DD"/>
      </bottom>
      <diagonal/>
    </border>
    <border diagonalUp="false" diagonalDown="false">
      <left style="thin">
        <color rgb="FFFFFFFF"/>
      </left>
      <right style="thin">
        <color rgb="FFFFFFFF"/>
      </right>
      <top style="thin">
        <color rgb="FFFFFFFF"/>
      </top>
      <bottom style="medium">
        <color rgb="FF1F3A5F"/>
      </bottom>
      <diagonal/>
    </border>
    <border diagonalUp="false" diagonalDown="false">
      <left/>
      <right style="thin">
        <color rgb="FFFFFFFF"/>
      </right>
      <top/>
      <bottom style="medium">
        <color rgb="FFBF360C"/>
      </bottom>
      <diagonal/>
    </border>
    <border diagonalUp="false" diagonalDown="false">
      <left style="thin">
        <color rgb="FFC9D3DD"/>
      </left>
      <right style="thin">
        <color rgb="FFC9D3DD"/>
      </right>
      <top style="medium">
        <color rgb="FF1F3A5F"/>
      </top>
      <bottom/>
      <diagonal/>
    </border>
    <border diagonalUp="false" diagonalDown="false">
      <left style="thin">
        <color rgb="FFC9D3DD"/>
      </left>
      <right style="thin">
        <color rgb="FFC9D3DD"/>
      </right>
      <top style="medium">
        <color rgb="FF1A73E8"/>
      </top>
      <bottom/>
      <diagonal/>
    </border>
    <border diagonalUp="false" diagonalDown="false">
      <left style="thin">
        <color rgb="FFC9D3DD"/>
      </left>
      <right style="thin">
        <color rgb="FFC9D3DD"/>
      </right>
      <top style="medium">
        <color rgb="FF2E7D32"/>
      </top>
      <bottom/>
      <diagonal/>
    </border>
    <border diagonalUp="false" diagonalDown="false">
      <left style="thin">
        <color rgb="FFC9D3DD"/>
      </left>
      <right style="thin">
        <color rgb="FFC9D3DD"/>
      </right>
      <top style="medium">
        <color rgb="FF2E7D7A"/>
      </top>
      <bottom/>
      <diagonal/>
    </border>
    <border diagonalUp="false" diagonalDown="false">
      <left style="thin">
        <color rgb="FFC9D3DD"/>
      </left>
      <right style="thin">
        <color rgb="FFC9D3DD"/>
      </right>
      <top/>
      <bottom style="thin">
        <color rgb="FFC9D3DD"/>
      </bottom>
      <diagonal/>
    </border>
    <border diagonalUp="false" diagonalDown="false">
      <left style="thin">
        <color rgb="FFC9D3DD"/>
      </left>
      <right style="thin">
        <color rgb="FFC9D3DD"/>
      </right>
      <top style="medium">
        <color rgb="FFC62828"/>
      </top>
      <bottom/>
      <diagonal/>
    </border>
    <border diagonalUp="false" diagonalDown="false">
      <left style="thin">
        <color rgb="FFC9D3DD"/>
      </left>
      <right style="thin">
        <color rgb="FFC9D3DD"/>
      </right>
      <top style="medium">
        <color rgb="FF5E35B1"/>
      </top>
      <bottom/>
      <diagonal/>
    </border>
    <border diagonalUp="false" diagonalDown="false">
      <left style="thin">
        <color rgb="FFC9D3DD"/>
      </left>
      <right style="thin">
        <color rgb="FFC9D3DD"/>
      </right>
      <top style="medium">
        <color rgb="FF8D6E63"/>
      </top>
      <bottom/>
      <diagonal/>
    </border>
    <border diagonalUp="false" diagonalDown="false">
      <left style="thin">
        <color rgb="FFC9D3DD"/>
      </left>
      <right style="thin">
        <color rgb="FFC9D3DD"/>
      </right>
      <top style="medium">
        <color rgb="FF9A6B00"/>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readingOrder="2"/>
      <protection locked="true" hidden="false"/>
    </xf>
    <xf numFmtId="164" fontId="5" fillId="3" borderId="0" xfId="0" applyFont="true" applyBorder="true" applyAlignment="true" applyProtection="true">
      <alignment horizontal="center" vertical="center" textRotation="0" wrapText="false" indent="0" shrinkToFit="false" readingOrder="2"/>
      <protection locked="true" hidden="true"/>
    </xf>
    <xf numFmtId="164" fontId="6" fillId="4" borderId="1" xfId="0" applyFont="true" applyBorder="true" applyAlignment="true" applyProtection="false">
      <alignment horizontal="center" vertical="center" textRotation="0" wrapText="true" indent="0" shrinkToFit="false" readingOrder="2"/>
      <protection locked="true" hidden="false"/>
    </xf>
    <xf numFmtId="164" fontId="6" fillId="2" borderId="0" xfId="0" applyFont="true" applyBorder="true" applyAlignment="true" applyProtection="false">
      <alignment horizontal="right" vertical="center" textRotation="0" wrapText="false" indent="1" shrinkToFit="false" readingOrder="2"/>
      <protection locked="true" hidden="false"/>
    </xf>
    <xf numFmtId="164" fontId="6" fillId="5" borderId="0" xfId="0" applyFont="true" applyBorder="true" applyAlignment="true" applyProtection="false">
      <alignment horizontal="right" vertical="center" textRotation="0" wrapText="false" indent="1" shrinkToFit="false" readingOrder="2"/>
      <protection locked="true" hidden="false"/>
    </xf>
    <xf numFmtId="164" fontId="7" fillId="2" borderId="2" xfId="0" applyFont="true" applyBorder="true" applyAlignment="true" applyProtection="false">
      <alignment horizontal="center" vertical="center" textRotation="0" wrapText="true" indent="0" shrinkToFit="false" readingOrder="2"/>
      <protection locked="true" hidden="false"/>
    </xf>
    <xf numFmtId="164" fontId="7" fillId="6" borderId="3" xfId="0" applyFont="true" applyBorder="true" applyAlignment="true" applyProtection="false">
      <alignment horizontal="center" vertical="center" textRotation="0" wrapText="false" indent="0" shrinkToFit="false" readingOrder="2"/>
      <protection locked="true" hidden="false"/>
    </xf>
    <xf numFmtId="164" fontId="8" fillId="7" borderId="2" xfId="0" applyFont="true" applyBorder="true" applyAlignment="true" applyProtection="false">
      <alignment horizontal="center" vertical="center" textRotation="0" wrapText="false" indent="0" shrinkToFit="false" readingOrder="2"/>
      <protection locked="true" hidden="false"/>
    </xf>
    <xf numFmtId="164" fontId="7" fillId="3" borderId="3" xfId="0" applyFont="true" applyBorder="true" applyAlignment="true" applyProtection="false">
      <alignment horizontal="center" vertical="center" textRotation="0" wrapText="false" indent="0" shrinkToFit="false" readingOrder="2"/>
      <protection locked="true" hidden="false"/>
    </xf>
    <xf numFmtId="164" fontId="9" fillId="8" borderId="2" xfId="0" applyFont="true" applyBorder="true" applyAlignment="true" applyProtection="false">
      <alignment horizontal="right" vertical="center" textRotation="0" wrapText="true" indent="0" shrinkToFit="false" readingOrder="2"/>
      <protection locked="true" hidden="false"/>
    </xf>
    <xf numFmtId="164" fontId="7" fillId="9" borderId="3" xfId="0" applyFont="true" applyBorder="true" applyAlignment="true" applyProtection="false">
      <alignment horizontal="center" vertical="center" textRotation="0" wrapText="false" indent="0" shrinkToFit="false" readingOrder="2"/>
      <protection locked="true" hidden="false"/>
    </xf>
    <xf numFmtId="164" fontId="7" fillId="10" borderId="3" xfId="0" applyFont="true" applyBorder="true" applyAlignment="true" applyProtection="false">
      <alignment horizontal="center" vertical="center" textRotation="0" wrapText="false" indent="0" shrinkToFit="false" readingOrder="2"/>
      <protection locked="true" hidden="false"/>
    </xf>
    <xf numFmtId="164" fontId="10" fillId="11" borderId="2" xfId="0" applyFont="true" applyBorder="true" applyAlignment="true" applyProtection="false">
      <alignment horizontal="center" vertical="center" textRotation="0" wrapText="false" indent="0" shrinkToFit="false" readingOrder="2"/>
      <protection locked="true" hidden="false"/>
    </xf>
    <xf numFmtId="164" fontId="9" fillId="8" borderId="2" xfId="0" applyFont="true" applyBorder="true" applyAlignment="true" applyProtection="false">
      <alignment horizontal="right" vertical="center" textRotation="0" wrapText="false" indent="0" shrinkToFit="false" readingOrder="2"/>
      <protection locked="true" hidden="false"/>
    </xf>
    <xf numFmtId="164" fontId="11" fillId="12" borderId="2" xfId="0" applyFont="true" applyBorder="true" applyAlignment="true" applyProtection="false">
      <alignment horizontal="center" vertical="center" textRotation="0" wrapText="false" indent="0" shrinkToFit="false" readingOrder="2"/>
      <protection locked="true" hidden="false"/>
    </xf>
    <xf numFmtId="164" fontId="12" fillId="13" borderId="2" xfId="0" applyFont="true" applyBorder="true" applyAlignment="true" applyProtection="false">
      <alignment horizontal="center" vertical="center" textRotation="0" wrapText="false" indent="0" shrinkToFit="false" readingOrder="2"/>
      <protection locked="true" hidden="false"/>
    </xf>
    <xf numFmtId="164" fontId="13" fillId="14" borderId="2" xfId="0" applyFont="true" applyBorder="true" applyAlignment="true" applyProtection="false">
      <alignment horizontal="center" vertical="center" textRotation="0" wrapText="false" indent="0" shrinkToFit="false" readingOrder="2"/>
      <protection locked="true" hidden="false"/>
    </xf>
    <xf numFmtId="164" fontId="14" fillId="15" borderId="2" xfId="0" applyFont="true" applyBorder="true" applyAlignment="true" applyProtection="false">
      <alignment horizontal="center" vertical="center" textRotation="0" wrapText="false" indent="0" shrinkToFit="false" readingOrder="2"/>
      <protection locked="true" hidden="false"/>
    </xf>
    <xf numFmtId="164" fontId="15" fillId="16" borderId="2" xfId="0" applyFont="true" applyBorder="true" applyAlignment="true" applyProtection="false">
      <alignment horizontal="center" vertical="center" textRotation="0" wrapText="false" indent="0" shrinkToFit="false" readingOrder="2"/>
      <protection locked="true" hidden="false"/>
    </xf>
    <xf numFmtId="164" fontId="6" fillId="7" borderId="0" xfId="0" applyFont="true" applyBorder="true" applyAlignment="true" applyProtection="false">
      <alignment horizontal="right" vertical="center" textRotation="0" wrapText="false" indent="1" shrinkToFit="false" readingOrder="2"/>
      <protection locked="true" hidden="false"/>
    </xf>
    <xf numFmtId="164" fontId="16" fillId="17" borderId="0" xfId="0" applyFont="true" applyBorder="true" applyAlignment="true" applyProtection="false">
      <alignment horizontal="center" vertical="center" textRotation="0" wrapText="true" indent="0" shrinkToFit="false" readingOrder="2"/>
      <protection locked="true" hidden="false"/>
    </xf>
    <xf numFmtId="164" fontId="6" fillId="18" borderId="0" xfId="0" applyFont="true" applyBorder="true" applyAlignment="true" applyProtection="false">
      <alignment horizontal="right" vertical="center" textRotation="0" wrapText="false" indent="1" shrinkToFit="false" readingOrder="2"/>
      <protection locked="true" hidden="false"/>
    </xf>
    <xf numFmtId="164" fontId="17" fillId="19" borderId="2" xfId="0" applyFont="true" applyBorder="true" applyAlignment="true" applyProtection="false">
      <alignment horizontal="right" vertical="center" textRotation="0" wrapText="true" indent="0" shrinkToFit="false" readingOrder="2"/>
      <protection locked="true" hidden="false"/>
    </xf>
    <xf numFmtId="164" fontId="18" fillId="0" borderId="0" xfId="0" applyFont="true" applyBorder="true" applyAlignment="true" applyProtection="false">
      <alignment horizontal="right" vertical="center" textRotation="0" wrapText="true" indent="0" shrinkToFit="false" readingOrder="2"/>
      <protection locked="true" hidden="false"/>
    </xf>
    <xf numFmtId="164" fontId="19" fillId="3" borderId="0" xfId="0" applyFont="true" applyBorder="true" applyAlignment="true" applyProtection="false">
      <alignment horizontal="center" vertical="center" textRotation="0" wrapText="true" indent="0" shrinkToFit="false" readingOrder="2"/>
      <protection locked="true" hidden="false"/>
    </xf>
    <xf numFmtId="164" fontId="20" fillId="4" borderId="1" xfId="0" applyFont="true" applyBorder="true" applyAlignment="true" applyProtection="false">
      <alignment horizontal="center" vertical="center" textRotation="0" wrapText="true" indent="0" shrinkToFit="false" readingOrder="2"/>
      <protection locked="true" hidden="false"/>
    </xf>
    <xf numFmtId="164" fontId="11" fillId="8" borderId="2" xfId="0" applyFont="true" applyBorder="true" applyAlignment="true" applyProtection="false">
      <alignment horizontal="right" vertical="center" textRotation="0" wrapText="true" indent="0" shrinkToFit="false" readingOrder="2"/>
      <protection locked="true" hidden="false"/>
    </xf>
    <xf numFmtId="164" fontId="21" fillId="8" borderId="2" xfId="0" applyFont="true" applyBorder="true" applyAlignment="true" applyProtection="false">
      <alignment horizontal="center" vertical="center" textRotation="0" wrapText="false" indent="0" shrinkToFit="false" readingOrder="2"/>
      <protection locked="true" hidden="false"/>
    </xf>
    <xf numFmtId="164" fontId="11" fillId="19" borderId="2" xfId="0" applyFont="true" applyBorder="true" applyAlignment="true" applyProtection="false">
      <alignment horizontal="right" vertical="center" textRotation="0" wrapText="true" indent="0" shrinkToFit="false" readingOrder="2"/>
      <protection locked="true" hidden="false"/>
    </xf>
    <xf numFmtId="164" fontId="22" fillId="4" borderId="1" xfId="0" applyFont="true" applyBorder="true" applyAlignment="true" applyProtection="false">
      <alignment horizontal="center" vertical="center" textRotation="0" wrapText="true" indent="0" shrinkToFit="false" readingOrder="2"/>
      <protection locked="true" hidden="false"/>
    </xf>
    <xf numFmtId="164" fontId="7" fillId="2" borderId="3" xfId="0" applyFont="true" applyBorder="true" applyAlignment="true" applyProtection="false">
      <alignment horizontal="center" vertical="center" textRotation="0" wrapText="false" indent="0" shrinkToFit="false" readingOrder="2"/>
      <protection locked="true" hidden="false"/>
    </xf>
    <xf numFmtId="164" fontId="7" fillId="7" borderId="3" xfId="0" applyFont="true" applyBorder="true" applyAlignment="true" applyProtection="false">
      <alignment horizontal="center" vertical="center" textRotation="0" wrapText="false" indent="0" shrinkToFit="false" readingOrder="2"/>
      <protection locked="true" hidden="false"/>
    </xf>
    <xf numFmtId="164" fontId="7" fillId="18" borderId="3" xfId="0" applyFont="true" applyBorder="true" applyAlignment="true" applyProtection="false">
      <alignment horizontal="center" vertical="center" textRotation="0" wrapText="false" indent="0" shrinkToFit="false" readingOrder="2"/>
      <protection locked="true" hidden="false"/>
    </xf>
    <xf numFmtId="164" fontId="7" fillId="20" borderId="3" xfId="0" applyFont="true" applyBorder="true" applyAlignment="true" applyProtection="false">
      <alignment horizontal="center" vertical="center" textRotation="0" wrapText="false" indent="0" shrinkToFit="false" readingOrder="2"/>
      <protection locked="true" hidden="false"/>
    </xf>
    <xf numFmtId="164" fontId="21" fillId="0" borderId="0" xfId="0" applyFont="true" applyBorder="false" applyAlignment="true" applyProtection="false">
      <alignment horizontal="left" vertical="center" textRotation="0" wrapText="false" indent="0" shrinkToFit="false" readingOrder="2"/>
      <protection locked="true" hidden="false"/>
    </xf>
    <xf numFmtId="164" fontId="16" fillId="11" borderId="2" xfId="0" applyFont="true" applyBorder="true" applyAlignment="true" applyProtection="true">
      <alignment horizontal="center" vertical="center" textRotation="0" wrapText="false" indent="0" shrinkToFit="false" readingOrder="2"/>
      <protection locked="true" hidden="true"/>
    </xf>
    <xf numFmtId="164" fontId="6" fillId="4" borderId="4" xfId="0" applyFont="true" applyBorder="true" applyAlignment="true" applyProtection="false">
      <alignment horizontal="center" vertical="center" textRotation="0" wrapText="true" indent="0" shrinkToFit="false" readingOrder="2"/>
      <protection locked="true" hidden="false"/>
    </xf>
    <xf numFmtId="164" fontId="23" fillId="8" borderId="5" xfId="0" applyFont="true" applyBorder="true" applyAlignment="true" applyProtection="false">
      <alignment horizontal="center" vertical="center" textRotation="0" wrapText="true" indent="0" shrinkToFit="false" readingOrder="2"/>
      <protection locked="true" hidden="false"/>
    </xf>
    <xf numFmtId="164" fontId="23" fillId="8" borderId="6" xfId="0" applyFont="true" applyBorder="true" applyAlignment="true" applyProtection="false">
      <alignment horizontal="center" vertical="center" textRotation="0" wrapText="true" indent="0" shrinkToFit="false" readingOrder="2"/>
      <protection locked="true" hidden="false"/>
    </xf>
    <xf numFmtId="164" fontId="23" fillId="8" borderId="7" xfId="0" applyFont="true" applyBorder="true" applyAlignment="true" applyProtection="false">
      <alignment horizontal="center" vertical="center" textRotation="0" wrapText="true" indent="0" shrinkToFit="false" readingOrder="2"/>
      <protection locked="true" hidden="false"/>
    </xf>
    <xf numFmtId="164" fontId="23" fillId="8" borderId="8" xfId="0" applyFont="true" applyBorder="true" applyAlignment="true" applyProtection="false">
      <alignment horizontal="center" vertical="center" textRotation="0" wrapText="true" indent="0" shrinkToFit="false" readingOrder="2"/>
      <protection locked="true" hidden="false"/>
    </xf>
    <xf numFmtId="165" fontId="24" fillId="8" borderId="9" xfId="0" applyFont="true" applyBorder="true" applyAlignment="true" applyProtection="true">
      <alignment horizontal="center" vertical="center" textRotation="0" wrapText="false" indent="0" shrinkToFit="false" readingOrder="2"/>
      <protection locked="true" hidden="true"/>
    </xf>
    <xf numFmtId="165" fontId="25" fillId="8" borderId="9" xfId="0" applyFont="true" applyBorder="true" applyAlignment="true" applyProtection="true">
      <alignment horizontal="center" vertical="center" textRotation="0" wrapText="false" indent="0" shrinkToFit="false" readingOrder="2"/>
      <protection locked="true" hidden="true"/>
    </xf>
    <xf numFmtId="166" fontId="26" fillId="8" borderId="9" xfId="0" applyFont="true" applyBorder="true" applyAlignment="true" applyProtection="true">
      <alignment horizontal="center" vertical="center" textRotation="0" wrapText="false" indent="0" shrinkToFit="false" readingOrder="2"/>
      <protection locked="true" hidden="true"/>
    </xf>
    <xf numFmtId="167" fontId="27" fillId="8" borderId="9" xfId="0" applyFont="true" applyBorder="true" applyAlignment="true" applyProtection="true">
      <alignment horizontal="center" vertical="center" textRotation="0" wrapText="false" indent="0" shrinkToFit="false" readingOrder="2"/>
      <protection locked="true" hidden="true"/>
    </xf>
    <xf numFmtId="164" fontId="6" fillId="7" borderId="0" xfId="0" applyFont="true" applyBorder="true" applyAlignment="true" applyProtection="true">
      <alignment horizontal="right" vertical="center" textRotation="0" wrapText="false" indent="1" shrinkToFit="false" readingOrder="2"/>
      <protection locked="true" hidden="true"/>
    </xf>
    <xf numFmtId="164" fontId="23" fillId="8" borderId="10" xfId="0" applyFont="true" applyBorder="true" applyAlignment="true" applyProtection="false">
      <alignment horizontal="center" vertical="center" textRotation="0" wrapText="true" indent="0" shrinkToFit="false" readingOrder="2"/>
      <protection locked="true" hidden="false"/>
    </xf>
    <xf numFmtId="164" fontId="23" fillId="8" borderId="11" xfId="0" applyFont="true" applyBorder="true" applyAlignment="true" applyProtection="false">
      <alignment horizontal="center" vertical="center" textRotation="0" wrapText="true" indent="0" shrinkToFit="false" readingOrder="2"/>
      <protection locked="true" hidden="false"/>
    </xf>
    <xf numFmtId="167" fontId="26" fillId="8" borderId="9" xfId="0" applyFont="true" applyBorder="true" applyAlignment="true" applyProtection="true">
      <alignment horizontal="center" vertical="center" textRotation="0" wrapText="false" indent="0" shrinkToFit="false" readingOrder="2"/>
      <protection locked="true" hidden="true"/>
    </xf>
    <xf numFmtId="167" fontId="28" fillId="8" borderId="9" xfId="0" applyFont="true" applyBorder="true" applyAlignment="true" applyProtection="true">
      <alignment horizontal="center" vertical="center" textRotation="0" wrapText="false" indent="0" shrinkToFit="false" readingOrder="2"/>
      <protection locked="true" hidden="true"/>
    </xf>
    <xf numFmtId="167" fontId="29" fillId="8" borderId="9" xfId="0" applyFont="true" applyBorder="true" applyAlignment="true" applyProtection="true">
      <alignment horizontal="center" vertical="center" textRotation="0" wrapText="false" indent="0" shrinkToFit="false" readingOrder="2"/>
      <protection locked="true" hidden="true"/>
    </xf>
    <xf numFmtId="164" fontId="6" fillId="20" borderId="0" xfId="0" applyFont="true" applyBorder="true" applyAlignment="true" applyProtection="false">
      <alignment horizontal="right" vertical="center" textRotation="0" wrapText="false" indent="1" shrinkToFit="false" readingOrder="2"/>
      <protection locked="true" hidden="false"/>
    </xf>
    <xf numFmtId="164" fontId="23" fillId="8" borderId="12" xfId="0" applyFont="true" applyBorder="true" applyAlignment="true" applyProtection="false">
      <alignment horizontal="center" vertical="center" textRotation="0" wrapText="true" indent="0" shrinkToFit="false" readingOrder="2"/>
      <protection locked="true" hidden="false"/>
    </xf>
    <xf numFmtId="167" fontId="30" fillId="8" borderId="9" xfId="0" applyFont="true" applyBorder="true" applyAlignment="true" applyProtection="true">
      <alignment horizontal="center" vertical="center" textRotation="0" wrapText="false" indent="0" shrinkToFit="false" readingOrder="2"/>
      <protection locked="true" hidden="true"/>
    </xf>
    <xf numFmtId="164" fontId="6" fillId="5" borderId="0" xfId="0" applyFont="true" applyBorder="true" applyAlignment="true" applyProtection="true">
      <alignment horizontal="right" vertical="center" textRotation="0" wrapText="false" indent="1" shrinkToFit="false" readingOrder="2"/>
      <protection locked="true" hidden="true"/>
    </xf>
    <xf numFmtId="164" fontId="23" fillId="8" borderId="13" xfId="0" applyFont="true" applyBorder="true" applyAlignment="true" applyProtection="false">
      <alignment horizontal="center" vertical="center" textRotation="0" wrapText="true" indent="0" shrinkToFit="false" readingOrder="2"/>
      <protection locked="true" hidden="false"/>
    </xf>
    <xf numFmtId="167" fontId="31" fillId="8" borderId="9" xfId="0" applyFont="true" applyBorder="true" applyAlignment="true" applyProtection="true">
      <alignment horizontal="center" vertical="center" textRotation="0" wrapText="false" indent="0" shrinkToFit="false" readingOrder="2"/>
      <protection locked="true" hidden="true"/>
    </xf>
    <xf numFmtId="167" fontId="25" fillId="8" borderId="9" xfId="0" applyFont="true" applyBorder="true" applyAlignment="true" applyProtection="true">
      <alignment horizontal="center" vertical="center" textRotation="0" wrapText="false" indent="0" shrinkToFit="false" readingOrder="2"/>
      <protection locked="true" hidden="true"/>
    </xf>
    <xf numFmtId="167" fontId="24" fillId="8" borderId="9" xfId="0" applyFont="true" applyBorder="true" applyAlignment="true" applyProtection="true">
      <alignment horizontal="center" vertical="center" textRotation="0" wrapText="false" indent="0" shrinkToFit="false" readingOrder="2"/>
      <protection locked="true" hidden="true"/>
    </xf>
    <xf numFmtId="164" fontId="6" fillId="21" borderId="0" xfId="0" applyFont="true" applyBorder="true" applyAlignment="true" applyProtection="false">
      <alignment horizontal="right" vertical="center" textRotation="0" wrapText="false" indent="1" shrinkToFit="false" readingOrder="2"/>
      <protection locked="true" hidden="false"/>
    </xf>
    <xf numFmtId="168" fontId="32" fillId="8" borderId="2" xfId="0" applyFont="true" applyBorder="true" applyAlignment="true" applyProtection="true">
      <alignment horizontal="center" vertical="center" textRotation="0" wrapText="false" indent="0" shrinkToFit="false" readingOrder="2"/>
      <protection locked="true" hidden="true"/>
    </xf>
    <xf numFmtId="164" fontId="32" fillId="8" borderId="2" xfId="0" applyFont="true" applyBorder="true" applyAlignment="true" applyProtection="true">
      <alignment horizontal="center" vertical="center" textRotation="0" wrapText="false" indent="0" shrinkToFit="false" readingOrder="2"/>
      <protection locked="true" hidden="true"/>
    </xf>
    <xf numFmtId="164" fontId="7" fillId="18" borderId="2" xfId="0" applyFont="true" applyBorder="true" applyAlignment="true" applyProtection="false">
      <alignment horizontal="center" vertical="center" textRotation="0" wrapText="true" indent="0" shrinkToFit="false" readingOrder="2"/>
      <protection locked="true" hidden="false"/>
    </xf>
    <xf numFmtId="164" fontId="11" fillId="8" borderId="2" xfId="0" applyFont="true" applyBorder="true" applyAlignment="true" applyProtection="false">
      <alignment horizontal="center" vertical="center" textRotation="0" wrapText="false" indent="0" shrinkToFit="false" readingOrder="2"/>
      <protection locked="true" hidden="false"/>
    </xf>
    <xf numFmtId="165" fontId="9" fillId="8" borderId="2" xfId="0" applyFont="true" applyBorder="true" applyAlignment="true" applyProtection="true">
      <alignment horizontal="center" vertical="center" textRotation="0" wrapText="false" indent="0" shrinkToFit="false" readingOrder="2"/>
      <protection locked="true" hidden="true"/>
    </xf>
    <xf numFmtId="166" fontId="9" fillId="8" borderId="2" xfId="0" applyFont="true" applyBorder="true" applyAlignment="true" applyProtection="true">
      <alignment horizontal="center" vertical="center" textRotation="0" wrapText="false" indent="0" shrinkToFit="false" readingOrder="2"/>
      <protection locked="true" hidden="true"/>
    </xf>
    <xf numFmtId="167" fontId="9" fillId="8" borderId="2" xfId="0" applyFont="true" applyBorder="true" applyAlignment="true" applyProtection="true">
      <alignment horizontal="center" vertical="center" textRotation="0" wrapText="false" indent="0" shrinkToFit="false" readingOrder="2"/>
      <protection locked="true" hidden="true"/>
    </xf>
    <xf numFmtId="164" fontId="11" fillId="8" borderId="2" xfId="0" applyFont="true" applyBorder="true" applyAlignment="true" applyProtection="true">
      <alignment horizontal="center" vertical="center" textRotation="0" wrapText="false" indent="0" shrinkToFit="false" readingOrder="2"/>
      <protection locked="true" hidden="true"/>
    </xf>
    <xf numFmtId="164" fontId="6" fillId="3" borderId="0" xfId="0" applyFont="true" applyBorder="true" applyAlignment="true" applyProtection="true">
      <alignment horizontal="right" vertical="center" textRotation="0" wrapText="false" indent="1" shrinkToFit="false" readingOrder="2"/>
      <protection locked="true" hidden="true"/>
    </xf>
    <xf numFmtId="164" fontId="7" fillId="3" borderId="2" xfId="0" applyFont="true" applyBorder="true" applyAlignment="true" applyProtection="false">
      <alignment horizontal="center" vertical="center" textRotation="0" wrapText="true" indent="0" shrinkToFit="false" readingOrder="2"/>
      <protection locked="true" hidden="false"/>
    </xf>
    <xf numFmtId="164" fontId="11" fillId="8" borderId="2" xfId="0" applyFont="true" applyBorder="true" applyAlignment="true" applyProtection="true">
      <alignment horizontal="right" vertical="center" textRotation="0" wrapText="false" indent="0" shrinkToFit="false" readingOrder="2"/>
      <protection locked="true" hidden="true"/>
    </xf>
    <xf numFmtId="167" fontId="11" fillId="8" borderId="2" xfId="0" applyFont="true" applyBorder="true" applyAlignment="true" applyProtection="true">
      <alignment horizontal="center" vertical="center" textRotation="0" wrapText="false" indent="0" shrinkToFit="false" readingOrder="2"/>
      <protection locked="true" hidden="true"/>
    </xf>
    <xf numFmtId="164" fontId="7" fillId="3" borderId="2" xfId="0" applyFont="true" applyBorder="true" applyAlignment="true" applyProtection="false">
      <alignment horizontal="center" vertical="center" textRotation="0" wrapText="false" indent="0" shrinkToFit="false" readingOrder="2"/>
      <protection locked="true" hidden="false"/>
    </xf>
    <xf numFmtId="165" fontId="7" fillId="3" borderId="2" xfId="0" applyFont="true" applyBorder="true" applyAlignment="true" applyProtection="true">
      <alignment horizontal="center" vertical="center" textRotation="0" wrapText="false" indent="0" shrinkToFit="false" readingOrder="2"/>
      <protection locked="true" hidden="true"/>
    </xf>
    <xf numFmtId="167" fontId="7" fillId="3" borderId="2" xfId="0" applyFont="true" applyBorder="true" applyAlignment="true" applyProtection="true">
      <alignment horizontal="center" vertical="center" textRotation="0" wrapText="false" indent="0" shrinkToFit="false" readingOrder="2"/>
      <protection locked="true" hidden="true"/>
    </xf>
    <xf numFmtId="166" fontId="7" fillId="3" borderId="2" xfId="0" applyFont="true" applyBorder="true" applyAlignment="true" applyProtection="true">
      <alignment horizontal="center" vertical="center" textRotation="0" wrapText="false" indent="0" shrinkToFit="false" readingOrder="2"/>
      <protection locked="true" hidden="true"/>
    </xf>
    <xf numFmtId="164" fontId="33" fillId="0" borderId="0" xfId="0" applyFont="true" applyBorder="true" applyAlignment="true" applyProtection="true">
      <alignment horizontal="right" vertical="center" textRotation="0" wrapText="false" indent="0" shrinkToFit="false" readingOrder="2"/>
      <protection locked="true" hidden="true"/>
    </xf>
    <xf numFmtId="164" fontId="6" fillId="10" borderId="0" xfId="0" applyFont="true" applyBorder="true" applyAlignment="true" applyProtection="false">
      <alignment horizontal="right" vertical="center" textRotation="0" wrapText="false" indent="1" shrinkToFit="false" readingOrder="2"/>
      <protection locked="true" hidden="false"/>
    </xf>
    <xf numFmtId="164" fontId="7" fillId="10" borderId="2" xfId="0" applyFont="true" applyBorder="true" applyAlignment="true" applyProtection="false">
      <alignment horizontal="center" vertical="center" textRotation="0" wrapText="true" indent="0" shrinkToFit="false" readingOrder="2"/>
      <protection locked="true" hidden="false"/>
    </xf>
    <xf numFmtId="164" fontId="11" fillId="19" borderId="2" xfId="0" applyFont="true" applyBorder="true" applyAlignment="true" applyProtection="true">
      <alignment horizontal="center" vertical="center" textRotation="0" wrapText="false" indent="0" shrinkToFit="false" readingOrder="2"/>
      <protection locked="true" hidden="true"/>
    </xf>
    <xf numFmtId="167" fontId="9" fillId="19" borderId="2" xfId="0" applyFont="true" applyBorder="true" applyAlignment="true" applyProtection="true">
      <alignment horizontal="center" vertical="center" textRotation="0" wrapText="false" indent="0" shrinkToFit="false" readingOrder="2"/>
      <protection locked="true" hidden="true"/>
    </xf>
    <xf numFmtId="167" fontId="11" fillId="19" borderId="2" xfId="0" applyFont="true" applyBorder="true" applyAlignment="true" applyProtection="true">
      <alignment horizontal="center" vertical="center" textRotation="0" wrapText="false" indent="0" shrinkToFit="false" readingOrder="2"/>
      <protection locked="true" hidden="true"/>
    </xf>
    <xf numFmtId="164" fontId="7" fillId="10" borderId="2" xfId="0" applyFont="true" applyBorder="true" applyAlignment="true" applyProtection="false">
      <alignment horizontal="center" vertical="center" textRotation="0" wrapText="false" indent="0" shrinkToFit="false" readingOrder="2"/>
      <protection locked="true" hidden="false"/>
    </xf>
    <xf numFmtId="167" fontId="7" fillId="10" borderId="2" xfId="0" applyFont="true" applyBorder="true" applyAlignment="true" applyProtection="true">
      <alignment horizontal="center" vertical="center" textRotation="0" wrapText="false" indent="0" shrinkToFit="false" readingOrder="2"/>
      <protection locked="true" hidden="true"/>
    </xf>
    <xf numFmtId="164" fontId="7" fillId="7" borderId="2" xfId="0" applyFont="true" applyBorder="true" applyAlignment="true" applyProtection="false">
      <alignment horizontal="center" vertical="center" textRotation="0" wrapText="true" indent="0" shrinkToFit="false" readingOrder="2"/>
      <protection locked="true" hidden="false"/>
    </xf>
    <xf numFmtId="164" fontId="11" fillId="8" borderId="2" xfId="0" applyFont="true" applyBorder="true" applyAlignment="true" applyProtection="false">
      <alignment horizontal="right" vertical="center" textRotation="0" wrapText="false" indent="0" shrinkToFit="false" readingOrder="2"/>
      <protection locked="true" hidden="false"/>
    </xf>
    <xf numFmtId="164" fontId="36" fillId="22" borderId="2" xfId="0" applyFont="true" applyBorder="true" applyAlignment="true" applyProtection="false">
      <alignment horizontal="center" vertical="center" textRotation="0" wrapText="false" indent="0" shrinkToFit="false" readingOrder="2"/>
      <protection locked="true" hidden="false"/>
    </xf>
    <xf numFmtId="164" fontId="37" fillId="8" borderId="2" xfId="0" applyFont="true" applyBorder="true" applyAlignment="true" applyProtection="false">
      <alignment horizontal="right" vertical="center" textRotation="0" wrapText="true" indent="0" shrinkToFit="false" readingOrder="2"/>
      <protection locked="true" hidden="false"/>
    </xf>
    <xf numFmtId="164" fontId="38" fillId="11" borderId="2" xfId="0" applyFont="true" applyBorder="true" applyAlignment="true" applyProtection="false">
      <alignment horizontal="center" vertical="center" textRotation="0" wrapText="false" indent="0" shrinkToFit="false" readingOrder="2"/>
      <protection locked="true" hidden="false"/>
    </xf>
    <xf numFmtId="164" fontId="9" fillId="8" borderId="2" xfId="0" applyFont="true" applyBorder="true" applyAlignment="true" applyProtection="false">
      <alignment horizontal="center" vertical="center" textRotation="0" wrapText="false" indent="0" shrinkToFit="false" readingOrder="2"/>
      <protection locked="true" hidden="false"/>
    </xf>
    <xf numFmtId="164" fontId="10" fillId="11" borderId="2" xfId="0" applyFont="true" applyBorder="true" applyAlignment="true" applyProtection="false">
      <alignment horizontal="right" vertical="center" textRotation="0" wrapText="false" indent="0" shrinkToFit="false" readingOrder="2"/>
      <protection locked="true" hidden="false"/>
    </xf>
    <xf numFmtId="166" fontId="38" fillId="11" borderId="2" xfId="0" applyFont="true" applyBorder="true" applyAlignment="true" applyProtection="false">
      <alignment horizontal="center" vertical="center" textRotation="0" wrapText="false" indent="0" shrinkToFit="false" readingOrder="2"/>
      <protection locked="true" hidden="false"/>
    </xf>
    <xf numFmtId="164" fontId="39" fillId="8" borderId="2" xfId="0" applyFont="true" applyBorder="true" applyAlignment="true" applyProtection="false">
      <alignment horizontal="right" vertical="center" textRotation="0" wrapText="true" indent="0" shrinkToFit="false" readingOrder="2"/>
      <protection locked="true" hidden="false"/>
    </xf>
    <xf numFmtId="168" fontId="36" fillId="22" borderId="2" xfId="0" applyFont="true" applyBorder="true" applyAlignment="true" applyProtection="false">
      <alignment horizontal="center" vertical="center" textRotation="0" wrapText="false" indent="0" shrinkToFit="false" readingOrder="2"/>
      <protection locked="true" hidden="false"/>
    </xf>
    <xf numFmtId="168" fontId="40" fillId="11" borderId="2" xfId="0" applyFont="true" applyBorder="true" applyAlignment="true" applyProtection="true">
      <alignment horizontal="center" vertical="center" textRotation="0" wrapText="false" indent="0" shrinkToFit="false" readingOrder="2"/>
      <protection locked="false" hidden="false"/>
    </xf>
    <xf numFmtId="164" fontId="41" fillId="0" borderId="0" xfId="0" applyFont="true" applyBorder="false" applyAlignment="true" applyProtection="false">
      <alignment horizontal="center" vertical="center" textRotation="0" wrapText="false" indent="0" shrinkToFit="false" readingOrder="2"/>
      <protection locked="true" hidden="false"/>
    </xf>
    <xf numFmtId="170" fontId="16" fillId="12" borderId="2" xfId="0" applyFont="true" applyBorder="true" applyAlignment="true" applyProtection="true">
      <alignment horizontal="center" vertical="center" textRotation="0" wrapText="false" indent="0" shrinkToFit="false" readingOrder="2"/>
      <protection locked="true" hidden="true"/>
    </xf>
    <xf numFmtId="166" fontId="36" fillId="22" borderId="2" xfId="0" applyFont="true" applyBorder="true" applyAlignment="true" applyProtection="false">
      <alignment horizontal="center" vertical="center" textRotation="0" wrapText="false" indent="0" shrinkToFit="false" readingOrder="2"/>
      <protection locked="true" hidden="false"/>
    </xf>
    <xf numFmtId="167" fontId="36" fillId="22" borderId="2" xfId="0" applyFont="true" applyBorder="true" applyAlignment="true" applyProtection="false">
      <alignment horizontal="center" vertical="center" textRotation="0" wrapText="false" indent="0" shrinkToFit="false" readingOrder="2"/>
      <protection locked="true" hidden="false"/>
    </xf>
    <xf numFmtId="171" fontId="36" fillId="22" borderId="2" xfId="0" applyFont="true" applyBorder="true" applyAlignment="true" applyProtection="false">
      <alignment horizontal="center" vertical="center" textRotation="0" wrapText="false" indent="0" shrinkToFit="false" readingOrder="2"/>
      <protection locked="true" hidden="false"/>
    </xf>
    <xf numFmtId="168" fontId="10" fillId="11" borderId="2" xfId="0" applyFont="true" applyBorder="true" applyAlignment="true" applyProtection="false">
      <alignment horizontal="center" vertical="center" textRotation="0" wrapText="false" indent="0" shrinkToFit="false" readingOrder="2"/>
      <protection locked="true" hidden="false"/>
    </xf>
    <xf numFmtId="164" fontId="37" fillId="8" borderId="2" xfId="0" applyFont="true" applyBorder="true" applyAlignment="true" applyProtection="false">
      <alignment horizontal="right" vertical="center" textRotation="0" wrapText="false" indent="0" shrinkToFit="false" readingOrder="2"/>
      <protection locked="true" hidden="false"/>
    </xf>
    <xf numFmtId="166" fontId="36" fillId="22" borderId="2" xfId="0" applyFont="true" applyBorder="true" applyAlignment="true" applyProtection="true">
      <alignment horizontal="center" vertical="center" textRotation="0" wrapText="false" indent="0" shrinkToFit="false" readingOrder="2"/>
      <protection locked="true" hidden="true"/>
    </xf>
    <xf numFmtId="170" fontId="36" fillId="22" borderId="2" xfId="0" applyFont="true" applyBorder="true" applyAlignment="true" applyProtection="true">
      <alignment horizontal="center" vertical="center" textRotation="0" wrapText="false" indent="0" shrinkToFit="false" readingOrder="2"/>
      <protection locked="true" hidden="true"/>
    </xf>
    <xf numFmtId="164" fontId="44" fillId="23" borderId="0" xfId="0" applyFont="true" applyBorder="true" applyAlignment="true" applyProtection="false">
      <alignment horizontal="right" vertical="center" textRotation="0" wrapText="false" indent="0" shrinkToFit="false" readingOrder="2"/>
      <protection locked="true" hidden="false"/>
    </xf>
    <xf numFmtId="168" fontId="9" fillId="8" borderId="2" xfId="0" applyFont="true" applyBorder="true" applyAlignment="true" applyProtection="true">
      <alignment horizontal="center" vertical="center" textRotation="0" wrapText="false" indent="0" shrinkToFit="false" readingOrder="2"/>
      <protection locked="true" hidden="true"/>
    </xf>
    <xf numFmtId="164" fontId="38" fillId="11" borderId="2" xfId="0" applyFont="true" applyBorder="true" applyAlignment="true" applyProtection="true">
      <alignment horizontal="center" vertical="center" textRotation="0" wrapText="false" indent="0" shrinkToFit="false" readingOrder="2"/>
      <protection locked="false" hidden="false"/>
    </xf>
    <xf numFmtId="170" fontId="38" fillId="11" borderId="2" xfId="0" applyFont="true" applyBorder="true" applyAlignment="true" applyProtection="true">
      <alignment horizontal="center" vertical="center" textRotation="0" wrapText="false" indent="0" shrinkToFit="false" readingOrder="2"/>
      <protection locked="false" hidden="false"/>
    </xf>
    <xf numFmtId="172" fontId="38" fillId="11" borderId="2" xfId="0" applyFont="true" applyBorder="true" applyAlignment="true" applyProtection="true">
      <alignment horizontal="center" vertical="center" textRotation="0" wrapText="false" indent="0" shrinkToFit="false" readingOrder="2"/>
      <protection locked="false" hidden="false"/>
    </xf>
    <xf numFmtId="173" fontId="38" fillId="11" borderId="2" xfId="0" applyFont="true" applyBorder="true" applyAlignment="true" applyProtection="true">
      <alignment horizontal="center" vertical="center" textRotation="0" wrapText="false" indent="0" shrinkToFit="false" readingOrder="2"/>
      <protection locked="false" hidden="false"/>
    </xf>
    <xf numFmtId="173" fontId="9" fillId="8" borderId="2" xfId="0" applyFont="true" applyBorder="true" applyAlignment="true" applyProtection="true">
      <alignment horizontal="center" vertical="center" textRotation="0" wrapText="false" indent="0" shrinkToFit="false" readingOrder="2"/>
      <protection locked="true" hidden="true"/>
    </xf>
    <xf numFmtId="168" fontId="38" fillId="11" borderId="2" xfId="0" applyFont="true" applyBorder="true" applyAlignment="true" applyProtection="true">
      <alignment horizontal="center" vertical="center" textRotation="0" wrapText="false" indent="0" shrinkToFit="false" readingOrder="2"/>
      <protection locked="false" hidden="false"/>
    </xf>
    <xf numFmtId="174" fontId="38" fillId="11" borderId="2" xfId="0" applyFont="true" applyBorder="true" applyAlignment="true" applyProtection="true">
      <alignment horizontal="center" vertical="center" textRotation="0" wrapText="false" indent="0" shrinkToFit="false" readingOrder="2"/>
      <protection locked="false" hidden="false"/>
    </xf>
    <xf numFmtId="164" fontId="9" fillId="8" borderId="2" xfId="0" applyFont="true" applyBorder="true" applyAlignment="true" applyProtection="true">
      <alignment horizontal="center" vertical="center" textRotation="0" wrapText="false" indent="0" shrinkToFit="false" readingOrder="2"/>
      <protection locked="true" hidden="true"/>
    </xf>
    <xf numFmtId="168" fontId="9" fillId="19" borderId="2" xfId="0" applyFont="true" applyBorder="true" applyAlignment="true" applyProtection="true">
      <alignment horizontal="center" vertical="center" textRotation="0" wrapText="false" indent="0" shrinkToFit="false" readingOrder="2"/>
      <protection locked="true" hidden="true"/>
    </xf>
    <xf numFmtId="173" fontId="9" fillId="19" borderId="2" xfId="0" applyFont="true" applyBorder="true" applyAlignment="true" applyProtection="true">
      <alignment horizontal="center" vertical="center" textRotation="0" wrapText="false" indent="0" shrinkToFit="false" readingOrder="2"/>
      <protection locked="true" hidden="true"/>
    </xf>
    <xf numFmtId="164" fontId="9" fillId="19" borderId="2" xfId="0" applyFont="true" applyBorder="true" applyAlignment="true" applyProtection="true">
      <alignment horizontal="center" vertical="center" textRotation="0" wrapText="false" indent="0" shrinkToFit="false" readingOrder="2"/>
      <protection locked="true" hidden="true"/>
    </xf>
    <xf numFmtId="164" fontId="45" fillId="22" borderId="2" xfId="0" applyFont="true" applyBorder="true" applyAlignment="true" applyProtection="false">
      <alignment horizontal="center" vertical="center" textRotation="0" wrapText="false" indent="0" shrinkToFit="false" readingOrder="2"/>
      <protection locked="true" hidden="false"/>
    </xf>
    <xf numFmtId="170" fontId="45" fillId="22" borderId="2" xfId="0" applyFont="true" applyBorder="true" applyAlignment="true" applyProtection="false">
      <alignment horizontal="center" vertical="center" textRotation="0" wrapText="false" indent="0" shrinkToFit="false" readingOrder="2"/>
      <protection locked="true" hidden="false"/>
    </xf>
    <xf numFmtId="172" fontId="45" fillId="22" borderId="2" xfId="0" applyFont="true" applyBorder="true" applyAlignment="true" applyProtection="false">
      <alignment horizontal="center" vertical="center" textRotation="0" wrapText="false" indent="0" shrinkToFit="false" readingOrder="2"/>
      <protection locked="true" hidden="false"/>
    </xf>
    <xf numFmtId="173" fontId="45" fillId="22" borderId="2" xfId="0" applyFont="true" applyBorder="true" applyAlignment="true" applyProtection="false">
      <alignment horizontal="center" vertical="center" textRotation="0" wrapText="false" indent="0" shrinkToFit="false" readingOrder="2"/>
      <protection locked="true" hidden="false"/>
    </xf>
    <xf numFmtId="168" fontId="45" fillId="22" borderId="2" xfId="0" applyFont="true" applyBorder="true" applyAlignment="true" applyProtection="false">
      <alignment horizontal="center" vertical="center" textRotation="0" wrapText="false" indent="0" shrinkToFit="false" readingOrder="2"/>
      <protection locked="true" hidden="false"/>
    </xf>
    <xf numFmtId="174" fontId="45" fillId="22" borderId="2" xfId="0" applyFont="true" applyBorder="true" applyAlignment="true" applyProtection="false">
      <alignment horizontal="center" vertical="center" textRotation="0" wrapText="false" indent="0" shrinkToFit="false" readingOrder="2"/>
      <protection locked="true" hidden="false"/>
    </xf>
    <xf numFmtId="173" fontId="7" fillId="2" borderId="2" xfId="0" applyFont="true" applyBorder="true" applyAlignment="true" applyProtection="false">
      <alignment horizontal="center" vertical="center" textRotation="0" wrapText="false" indent="0" shrinkToFit="false" readingOrder="2"/>
      <protection locked="true" hidden="false"/>
    </xf>
    <xf numFmtId="173" fontId="7" fillId="2" borderId="2" xfId="0" applyFont="true" applyBorder="true" applyAlignment="true" applyProtection="true">
      <alignment horizontal="center" vertical="center" textRotation="0" wrapText="false" indent="0" shrinkToFit="false" readingOrder="2"/>
      <protection locked="true" hidden="true"/>
    </xf>
    <xf numFmtId="164" fontId="46" fillId="21" borderId="0" xfId="0" applyFont="true" applyBorder="true" applyAlignment="true" applyProtection="false">
      <alignment horizontal="center" vertical="center" textRotation="0" wrapText="false" indent="0" shrinkToFit="false" readingOrder="2"/>
      <protection locked="true" hidden="false"/>
    </xf>
    <xf numFmtId="164" fontId="46" fillId="20" borderId="0" xfId="0" applyFont="true" applyBorder="true" applyAlignment="true" applyProtection="false">
      <alignment horizontal="center" vertical="center" textRotation="0" wrapText="false" indent="0" shrinkToFit="false" readingOrder="2"/>
      <protection locked="true" hidden="false"/>
    </xf>
    <xf numFmtId="164" fontId="46" fillId="18" borderId="0" xfId="0" applyFont="true" applyBorder="true" applyAlignment="true" applyProtection="false">
      <alignment horizontal="center" vertical="center" textRotation="0" wrapText="false" indent="0" shrinkToFit="false" readingOrder="2"/>
      <protection locked="true" hidden="false"/>
    </xf>
    <xf numFmtId="164" fontId="47" fillId="21" borderId="2" xfId="0" applyFont="true" applyBorder="true" applyAlignment="true" applyProtection="false">
      <alignment horizontal="center" vertical="center" textRotation="0" wrapText="true" indent="0" shrinkToFit="false" readingOrder="2"/>
      <protection locked="true" hidden="false"/>
    </xf>
    <xf numFmtId="164" fontId="47" fillId="20" borderId="2" xfId="0" applyFont="true" applyBorder="true" applyAlignment="true" applyProtection="false">
      <alignment horizontal="center" vertical="center" textRotation="0" wrapText="true" indent="0" shrinkToFit="false" readingOrder="2"/>
      <protection locked="true" hidden="false"/>
    </xf>
    <xf numFmtId="164" fontId="47" fillId="18" borderId="2" xfId="0" applyFont="true" applyBorder="true" applyAlignment="true" applyProtection="false">
      <alignment horizontal="center" vertical="center" textRotation="0" wrapText="true" indent="0" shrinkToFit="false" readingOrder="2"/>
      <protection locked="true" hidden="false"/>
    </xf>
    <xf numFmtId="166" fontId="38" fillId="11" borderId="2" xfId="0" applyFont="true" applyBorder="true" applyAlignment="true" applyProtection="true">
      <alignment horizontal="center" vertical="center" textRotation="0" wrapText="false" indent="0" shrinkToFit="false" readingOrder="2"/>
      <protection locked="false" hidden="false"/>
    </xf>
    <xf numFmtId="165" fontId="9" fillId="19" borderId="2" xfId="0" applyFont="true" applyBorder="true" applyAlignment="true" applyProtection="true">
      <alignment horizontal="center" vertical="center" textRotation="0" wrapText="false" indent="0" shrinkToFit="false" readingOrder="2"/>
      <protection locked="true" hidden="true"/>
    </xf>
    <xf numFmtId="166" fontId="9" fillId="19" borderId="2" xfId="0" applyFont="true" applyBorder="true" applyAlignment="true" applyProtection="true">
      <alignment horizontal="center" vertical="center" textRotation="0" wrapText="false" indent="0" shrinkToFit="false" readingOrder="2"/>
      <protection locked="true" hidden="true"/>
    </xf>
    <xf numFmtId="166" fontId="45" fillId="22" borderId="2" xfId="0" applyFont="true" applyBorder="true" applyAlignment="true" applyProtection="false">
      <alignment horizontal="center" vertical="center" textRotation="0" wrapText="false" indent="0" shrinkToFit="false" readingOrder="2"/>
      <protection locked="true" hidden="false"/>
    </xf>
    <xf numFmtId="164" fontId="4" fillId="2" borderId="0" xfId="0" applyFont="true" applyBorder="true" applyAlignment="true" applyProtection="true">
      <alignment horizontal="center" vertical="center" textRotation="0" wrapText="false" indent="0" shrinkToFit="false" readingOrder="2"/>
      <protection locked="true" hidden="true"/>
    </xf>
    <xf numFmtId="164" fontId="21" fillId="0" borderId="0" xfId="0" applyFont="true" applyBorder="false" applyAlignment="true" applyProtection="false">
      <alignment horizontal="center" vertical="center" textRotation="0" wrapText="false" indent="0" shrinkToFit="false" readingOrder="2"/>
      <protection locked="true" hidden="false"/>
    </xf>
    <xf numFmtId="168" fontId="48" fillId="12" borderId="2" xfId="0" applyFont="true" applyBorder="true" applyAlignment="true" applyProtection="false">
      <alignment horizontal="center" vertical="center" textRotation="0" wrapText="false" indent="0" shrinkToFit="false" readingOrder="2"/>
      <protection locked="true" hidden="false"/>
    </xf>
    <xf numFmtId="170" fontId="17" fillId="12" borderId="2" xfId="0" applyFont="true" applyBorder="true" applyAlignment="true" applyProtection="true">
      <alignment horizontal="center" vertical="center" textRotation="0" wrapText="false" indent="0" shrinkToFit="false" readingOrder="2"/>
      <protection locked="true" hidden="true"/>
    </xf>
    <xf numFmtId="164" fontId="11" fillId="0" borderId="2" xfId="0" applyFont="true" applyBorder="true" applyAlignment="true" applyProtection="true">
      <alignment horizontal="center" vertical="center" textRotation="0" wrapText="false" indent="0" shrinkToFit="false" readingOrder="2"/>
      <protection locked="true" hidden="true"/>
    </xf>
    <xf numFmtId="164" fontId="7" fillId="24" borderId="3" xfId="0" applyFont="true" applyBorder="true" applyAlignment="true" applyProtection="false">
      <alignment horizontal="center" vertical="center" textRotation="0" wrapText="false" indent="0" shrinkToFit="false" readingOrder="2"/>
      <protection locked="true" hidden="false"/>
    </xf>
    <xf numFmtId="164" fontId="46" fillId="2" borderId="2" xfId="0" applyFont="true" applyBorder="true" applyAlignment="true" applyProtection="false">
      <alignment horizontal="center" vertical="center" textRotation="0" wrapText="true" indent="0" shrinkToFit="false" readingOrder="2"/>
      <protection locked="true" hidden="false"/>
    </xf>
    <xf numFmtId="164" fontId="46" fillId="24" borderId="2" xfId="0" applyFont="true" applyBorder="true" applyAlignment="true" applyProtection="false">
      <alignment horizontal="center" vertical="center" textRotation="0" wrapText="true" indent="0" shrinkToFit="false" readingOrder="2"/>
      <protection locked="true" hidden="false"/>
    </xf>
    <xf numFmtId="164" fontId="46" fillId="7" borderId="2" xfId="0" applyFont="true" applyBorder="true" applyAlignment="true" applyProtection="false">
      <alignment horizontal="center" vertical="center" textRotation="0" wrapText="true" indent="0" shrinkToFit="false" readingOrder="2"/>
      <protection locked="true" hidden="false"/>
    </xf>
    <xf numFmtId="164" fontId="46" fillId="21" borderId="2" xfId="0" applyFont="true" applyBorder="true" applyAlignment="true" applyProtection="false">
      <alignment horizontal="center" vertical="center" textRotation="0" wrapText="true" indent="0" shrinkToFit="false" readingOrder="2"/>
      <protection locked="true" hidden="false"/>
    </xf>
    <xf numFmtId="164" fontId="46" fillId="18" borderId="2" xfId="0" applyFont="true" applyBorder="true" applyAlignment="true" applyProtection="false">
      <alignment horizontal="center" vertical="center" textRotation="0" wrapText="true" indent="0" shrinkToFit="false" readingOrder="2"/>
      <protection locked="true" hidden="false"/>
    </xf>
    <xf numFmtId="164" fontId="46" fillId="10" borderId="2" xfId="0" applyFont="true" applyBorder="true" applyAlignment="true" applyProtection="false">
      <alignment horizontal="center" vertical="center" textRotation="0" wrapText="true" indent="0" shrinkToFit="false" readingOrder="2"/>
      <protection locked="true" hidden="false"/>
    </xf>
    <xf numFmtId="164" fontId="46" fillId="20" borderId="2" xfId="0" applyFont="true" applyBorder="true" applyAlignment="true" applyProtection="false">
      <alignment horizontal="center" vertical="center" textRotation="0" wrapText="true" indent="0" shrinkToFit="false" readingOrder="2"/>
      <protection locked="true" hidden="false"/>
    </xf>
    <xf numFmtId="164" fontId="46" fillId="25" borderId="2" xfId="0" applyFont="true" applyBorder="true" applyAlignment="true" applyProtection="false">
      <alignment horizontal="center" vertical="center" textRotation="0" wrapText="true" indent="0" shrinkToFit="false" readingOrder="2"/>
      <protection locked="true" hidden="false"/>
    </xf>
    <xf numFmtId="164" fontId="46" fillId="26" borderId="2" xfId="0" applyFont="true" applyBorder="true" applyAlignment="true" applyProtection="false">
      <alignment horizontal="center" vertical="center" textRotation="0" wrapText="true" indent="0" shrinkToFit="false" readingOrder="2"/>
      <protection locked="true" hidden="false"/>
    </xf>
    <xf numFmtId="174" fontId="9" fillId="8" borderId="2" xfId="0" applyFont="true" applyBorder="true" applyAlignment="true" applyProtection="true">
      <alignment horizontal="center" vertical="center" textRotation="0" wrapText="false" indent="0" shrinkToFit="false" readingOrder="2"/>
      <protection locked="true" hidden="true"/>
    </xf>
    <xf numFmtId="173" fontId="11" fillId="8" borderId="2" xfId="0" applyFont="true" applyBorder="true" applyAlignment="true" applyProtection="true">
      <alignment horizontal="center" vertical="center" textRotation="0" wrapText="false" indent="0" shrinkToFit="false" readingOrder="2"/>
      <protection locked="true" hidden="true"/>
    </xf>
    <xf numFmtId="173" fontId="12" fillId="8" borderId="2" xfId="0" applyFont="true" applyBorder="true" applyAlignment="true" applyProtection="true">
      <alignment horizontal="center" vertical="center" textRotation="0" wrapText="false" indent="0" shrinkToFit="false" readingOrder="2"/>
      <protection locked="true" hidden="true"/>
    </xf>
    <xf numFmtId="173" fontId="49" fillId="8" borderId="2" xfId="0" applyFont="true" applyBorder="true" applyAlignment="true" applyProtection="true">
      <alignment horizontal="center" vertical="center" textRotation="0" wrapText="false" indent="0" shrinkToFit="false" readingOrder="2"/>
      <protection locked="true" hidden="true"/>
    </xf>
    <xf numFmtId="175" fontId="9" fillId="8" borderId="2" xfId="0" applyFont="true" applyBorder="true" applyAlignment="true" applyProtection="true">
      <alignment horizontal="center" vertical="center" textRotation="0" wrapText="false" indent="0" shrinkToFit="false" readingOrder="2"/>
      <protection locked="true" hidden="true"/>
    </xf>
    <xf numFmtId="174" fontId="9" fillId="19" borderId="2" xfId="0" applyFont="true" applyBorder="true" applyAlignment="true" applyProtection="true">
      <alignment horizontal="center" vertical="center" textRotation="0" wrapText="false" indent="0" shrinkToFit="false" readingOrder="2"/>
      <protection locked="true" hidden="true"/>
    </xf>
    <xf numFmtId="173" fontId="11" fillId="19" borderId="2" xfId="0" applyFont="true" applyBorder="true" applyAlignment="true" applyProtection="true">
      <alignment horizontal="center" vertical="center" textRotation="0" wrapText="false" indent="0" shrinkToFit="false" readingOrder="2"/>
      <protection locked="true" hidden="true"/>
    </xf>
    <xf numFmtId="173" fontId="12" fillId="19" borderId="2" xfId="0" applyFont="true" applyBorder="true" applyAlignment="true" applyProtection="true">
      <alignment horizontal="center" vertical="center" textRotation="0" wrapText="false" indent="0" shrinkToFit="false" readingOrder="2"/>
      <protection locked="true" hidden="true"/>
    </xf>
    <xf numFmtId="173" fontId="49" fillId="19" borderId="2" xfId="0" applyFont="true" applyBorder="true" applyAlignment="true" applyProtection="true">
      <alignment horizontal="center" vertical="center" textRotation="0" wrapText="false" indent="0" shrinkToFit="false" readingOrder="2"/>
      <protection locked="true" hidden="true"/>
    </xf>
    <xf numFmtId="175" fontId="9" fillId="19" borderId="2" xfId="0" applyFont="true" applyBorder="true" applyAlignment="true" applyProtection="true">
      <alignment horizontal="center" vertical="center" textRotation="0" wrapText="false" indent="0" shrinkToFit="false" readingOrder="2"/>
      <protection locked="true" hidden="true"/>
    </xf>
    <xf numFmtId="174" fontId="7" fillId="2" borderId="2" xfId="0" applyFont="true" applyBorder="true" applyAlignment="true" applyProtection="true">
      <alignment horizontal="center" vertical="center" textRotation="0" wrapText="false" indent="0" shrinkToFit="false" readingOrder="2"/>
      <protection locked="true" hidden="true"/>
    </xf>
    <xf numFmtId="164" fontId="10" fillId="8" borderId="2" xfId="0" applyFont="true" applyBorder="true" applyAlignment="true" applyProtection="false">
      <alignment horizontal="center" vertical="center" textRotation="0" wrapText="false" indent="0" shrinkToFit="false" readingOrder="2"/>
      <protection locked="true" hidden="false"/>
    </xf>
    <xf numFmtId="168" fontId="9" fillId="8" borderId="2" xfId="0" applyFont="true" applyBorder="true" applyAlignment="true" applyProtection="false">
      <alignment horizontal="center" vertical="center" textRotation="0" wrapText="false" indent="0" shrinkToFit="false" readingOrder="2"/>
      <protection locked="true" hidden="false"/>
    </xf>
    <xf numFmtId="164" fontId="10" fillId="19" borderId="2" xfId="0" applyFont="true" applyBorder="true" applyAlignment="true" applyProtection="false">
      <alignment horizontal="center" vertical="center" textRotation="0" wrapText="false" indent="0" shrinkToFit="false" readingOrder="2"/>
      <protection locked="true" hidden="false"/>
    </xf>
    <xf numFmtId="168" fontId="9" fillId="19" borderId="2" xfId="0" applyFont="true" applyBorder="true" applyAlignment="true" applyProtection="false">
      <alignment horizontal="center" vertical="center" textRotation="0" wrapText="false" indent="0" shrinkToFit="false" readingOrder="2"/>
      <protection locked="true" hidden="false"/>
    </xf>
    <xf numFmtId="164" fontId="7" fillId="7" borderId="2" xfId="0" applyFont="true" applyBorder="true" applyAlignment="true" applyProtection="true">
      <alignment horizontal="center" vertical="center" textRotation="0" wrapText="false" indent="0" shrinkToFit="false" readingOrder="2"/>
      <protection locked="true" hidden="true"/>
    </xf>
    <xf numFmtId="164" fontId="0" fillId="7" borderId="2" xfId="0" applyFont="false" applyBorder="true" applyAlignment="false" applyProtection="false">
      <alignment horizontal="general" vertical="bottom" textRotation="0" wrapText="false" indent="0" shrinkToFit="false"/>
      <protection locked="true" hidden="false"/>
    </xf>
    <xf numFmtId="165" fontId="0" fillId="7" borderId="2" xfId="0" applyFont="false" applyBorder="true" applyAlignment="false" applyProtection="true">
      <alignment horizontal="general" vertical="bottom" textRotation="0" wrapText="false" indent="0" shrinkToFit="false"/>
      <protection locked="true" hidden="true"/>
    </xf>
    <xf numFmtId="173" fontId="7" fillId="7" borderId="2" xfId="0" applyFont="true" applyBorder="true" applyAlignment="true" applyProtection="true">
      <alignment horizontal="center" vertical="center" textRotation="0" wrapText="false" indent="0" shrinkToFit="false" readingOrder="2"/>
      <protection locked="true" hidden="true"/>
    </xf>
    <xf numFmtId="173" fontId="17" fillId="8" borderId="2" xfId="0" applyFont="true" applyBorder="true" applyAlignment="true" applyProtection="true">
      <alignment horizontal="center" vertical="center" textRotation="0" wrapText="false" indent="0" shrinkToFit="false" readingOrder="2"/>
      <protection locked="true" hidden="true"/>
    </xf>
    <xf numFmtId="173" fontId="17" fillId="19" borderId="2" xfId="0" applyFont="true" applyBorder="true" applyAlignment="true" applyProtection="true">
      <alignment horizontal="center" vertical="center" textRotation="0" wrapText="false" indent="0" shrinkToFit="false" readingOrder="2"/>
      <protection locked="true" hidden="true"/>
    </xf>
    <xf numFmtId="173" fontId="7" fillId="8" borderId="2" xfId="0" applyFont="true" applyBorder="true" applyAlignment="true" applyProtection="false">
      <alignment horizontal="center" vertical="center" textRotation="0" wrapText="false" indent="0" shrinkToFit="false" readingOrder="2"/>
      <protection locked="true" hidden="false"/>
    </xf>
    <xf numFmtId="164" fontId="7" fillId="20" borderId="2" xfId="0" applyFont="true" applyBorder="true" applyAlignment="true" applyProtection="false">
      <alignment horizontal="center" vertical="center" textRotation="0" wrapText="true" indent="0" shrinkToFit="false" readingOrder="2"/>
      <protection locked="true" hidden="false"/>
    </xf>
    <xf numFmtId="170" fontId="9" fillId="8" borderId="2" xfId="0" applyFont="true" applyBorder="true" applyAlignment="true" applyProtection="true">
      <alignment horizontal="center" vertical="center" textRotation="0" wrapText="false" indent="0" shrinkToFit="false" readingOrder="2"/>
      <protection locked="true" hidden="true"/>
    </xf>
    <xf numFmtId="170" fontId="9" fillId="19" borderId="2" xfId="0" applyFont="true" applyBorder="true" applyAlignment="true" applyProtection="true">
      <alignment horizontal="center" vertical="center" textRotation="0" wrapText="false" indent="0" shrinkToFit="false" readingOrder="2"/>
      <protection locked="true" hidden="true"/>
    </xf>
    <xf numFmtId="164" fontId="7" fillId="5" borderId="2" xfId="0" applyFont="true" applyBorder="true" applyAlignment="true" applyProtection="false">
      <alignment horizontal="center" vertical="center" textRotation="0" wrapText="true" indent="0" shrinkToFit="false" readingOrder="2"/>
      <protection locked="true" hidden="false"/>
    </xf>
    <xf numFmtId="173" fontId="14" fillId="8" borderId="2" xfId="0" applyFont="true" applyBorder="true" applyAlignment="true" applyProtection="true">
      <alignment horizontal="center" vertical="center" textRotation="0" wrapText="false" indent="0" shrinkToFit="false" readingOrder="2"/>
      <protection locked="true" hidden="true"/>
    </xf>
    <xf numFmtId="173" fontId="14" fillId="19" borderId="2" xfId="0" applyFont="true" applyBorder="true" applyAlignment="true" applyProtection="true">
      <alignment horizontal="center" vertical="center" textRotation="0" wrapText="false" indent="0" shrinkToFit="false" readingOrder="2"/>
      <protection locked="true" hidden="true"/>
    </xf>
    <xf numFmtId="171" fontId="9" fillId="8" borderId="2" xfId="0" applyFont="true" applyBorder="true" applyAlignment="true" applyProtection="true">
      <alignment horizontal="center" vertical="center" textRotation="0" wrapText="false" indent="0" shrinkToFit="false" readingOrder="2"/>
      <protection locked="true" hidden="true"/>
    </xf>
    <xf numFmtId="171" fontId="9" fillId="19" borderId="2" xfId="0" applyFont="true" applyBorder="true" applyAlignment="true" applyProtection="true">
      <alignment horizontal="center" vertical="center" textRotation="0" wrapText="false" indent="0" shrinkToFit="false" readingOrder="2"/>
      <protection locked="true" hidden="true"/>
    </xf>
    <xf numFmtId="164" fontId="7" fillId="27" borderId="2" xfId="0" applyFont="true" applyBorder="true" applyAlignment="true" applyProtection="false">
      <alignment horizontal="center" vertical="center" textRotation="0" wrapText="true" indent="0" shrinkToFit="false" readingOrder="2"/>
      <protection locked="true" hidden="false"/>
    </xf>
    <xf numFmtId="173" fontId="13" fillId="8" borderId="2" xfId="0" applyFont="true" applyBorder="true" applyAlignment="true" applyProtection="true">
      <alignment horizontal="center" vertical="center" textRotation="0" wrapText="false" indent="0" shrinkToFit="false" readingOrder="2"/>
      <protection locked="true" hidden="true"/>
    </xf>
    <xf numFmtId="173" fontId="13" fillId="19" borderId="2" xfId="0" applyFont="true" applyBorder="true" applyAlignment="true" applyProtection="true">
      <alignment horizontal="center" vertical="center" textRotation="0" wrapText="false" indent="0" shrinkToFit="false" readingOrder="2"/>
      <protection locked="true" hidden="true"/>
    </xf>
    <xf numFmtId="164" fontId="50" fillId="0" borderId="0" xfId="0" applyFont="true" applyBorder="false" applyAlignment="true" applyProtection="false">
      <alignment horizontal="left" vertical="center" textRotation="0" wrapText="false" indent="0" shrinkToFit="false" readingOrder="2"/>
      <protection locked="true" hidden="false"/>
    </xf>
    <xf numFmtId="168" fontId="50" fillId="0" borderId="0" xfId="0" applyFont="true" applyBorder="false" applyAlignment="true" applyProtection="false">
      <alignment horizontal="center" vertical="center" textRotation="0" wrapText="false" indent="0" shrinkToFit="false" readingOrder="2"/>
      <protection locked="true" hidden="false"/>
    </xf>
    <xf numFmtId="164" fontId="6" fillId="3" borderId="0" xfId="0" applyFont="true" applyBorder="true" applyAlignment="true" applyProtection="false">
      <alignment horizontal="right" vertical="center" textRotation="0" wrapText="false" indent="1" shrinkToFit="false" readingOrder="2"/>
      <protection locked="true" hidden="false"/>
    </xf>
    <xf numFmtId="164" fontId="33" fillId="8" borderId="2" xfId="0" applyFont="true" applyBorder="true" applyAlignment="true" applyProtection="false">
      <alignment horizontal="center" vertical="center" textRotation="0" wrapText="false" indent="0" shrinkToFit="false" readingOrder="2"/>
      <protection locked="true" hidden="false"/>
    </xf>
    <xf numFmtId="173" fontId="11" fillId="12" borderId="2" xfId="0" applyFont="true" applyBorder="true" applyAlignment="true" applyProtection="true">
      <alignment horizontal="center" vertical="center" textRotation="0" wrapText="false" indent="0" shrinkToFit="false" readingOrder="2"/>
      <protection locked="true" hidden="true"/>
    </xf>
    <xf numFmtId="173" fontId="17" fillId="12" borderId="2" xfId="0" applyFont="true" applyBorder="true" applyAlignment="true" applyProtection="true">
      <alignment horizontal="center" vertical="center" textRotation="0" wrapText="false" indent="0" shrinkToFit="false" readingOrder="2"/>
      <protection locked="true" hidden="true"/>
    </xf>
    <xf numFmtId="164" fontId="51" fillId="8" borderId="2" xfId="0" applyFont="true" applyBorder="true" applyAlignment="true" applyProtection="false">
      <alignment horizontal="right" vertical="center" textRotation="0" wrapText="false" indent="0" shrinkToFit="false" readingOrder="2"/>
      <protection locked="true" hidden="false"/>
    </xf>
    <xf numFmtId="164" fontId="52" fillId="8" borderId="2" xfId="0" applyFont="true" applyBorder="true" applyAlignment="true" applyProtection="false">
      <alignment horizontal="center" vertical="center" textRotation="0" wrapText="false" indent="0" shrinkToFit="false" readingOrder="2"/>
      <protection locked="true" hidden="false"/>
    </xf>
    <xf numFmtId="164" fontId="7" fillId="2" borderId="2" xfId="0" applyFont="true" applyBorder="true" applyAlignment="true" applyProtection="false">
      <alignment horizontal="center" vertical="center" textRotation="0" wrapText="false" indent="0" shrinkToFit="false" readingOrder="2"/>
      <protection locked="true" hidden="false"/>
    </xf>
    <xf numFmtId="164" fontId="7" fillId="5" borderId="2" xfId="0" applyFont="true" applyBorder="true" applyAlignment="true" applyProtection="false">
      <alignment horizontal="center" vertical="center" textRotation="0" wrapText="false" indent="0" shrinkToFit="false" readingOrder="2"/>
      <protection locked="true" hidden="false"/>
    </xf>
    <xf numFmtId="173" fontId="7" fillId="5" borderId="2" xfId="0" applyFont="true" applyBorder="true" applyAlignment="true" applyProtection="true">
      <alignment horizontal="center" vertical="center" textRotation="0" wrapText="false" indent="0" shrinkToFit="false" readingOrder="2"/>
      <protection locked="true" hidden="true"/>
    </xf>
    <xf numFmtId="164" fontId="11" fillId="12" borderId="2" xfId="0" applyFont="true" applyBorder="true" applyAlignment="true" applyProtection="true">
      <alignment horizontal="center" vertical="center" textRotation="0" wrapText="false" indent="0" shrinkToFit="false" readingOrder="2"/>
      <protection locked="true" hidden="true"/>
    </xf>
    <xf numFmtId="168" fontId="53" fillId="11" borderId="2" xfId="0" applyFont="true" applyBorder="true" applyAlignment="true" applyProtection="true">
      <alignment horizontal="center" vertical="center" textRotation="0" wrapText="false" indent="0" shrinkToFit="false" readingOrder="2"/>
      <protection locked="false" hidden="false"/>
    </xf>
    <xf numFmtId="164" fontId="53" fillId="11" borderId="2" xfId="0" applyFont="true" applyBorder="true" applyAlignment="true" applyProtection="true">
      <alignment horizontal="center" vertical="center" textRotation="0" wrapText="false" indent="0" shrinkToFit="false" readingOrder="2"/>
      <protection locked="false" hidden="false"/>
    </xf>
    <xf numFmtId="164" fontId="50" fillId="0" borderId="0" xfId="0" applyFont="true" applyBorder="false" applyAlignment="true" applyProtection="false">
      <alignment horizontal="right" vertical="center" textRotation="0" wrapText="false" indent="0" shrinkToFit="false" readingOrder="2"/>
      <protection locked="true" hidden="false"/>
    </xf>
    <xf numFmtId="176" fontId="50" fillId="0" borderId="0" xfId="0" applyFont="true" applyBorder="false" applyAlignment="false" applyProtection="true">
      <alignment horizontal="general" vertical="bottom" textRotation="0" wrapText="false" indent="0" shrinkToFit="false"/>
      <protection locked="true" hidden="true"/>
    </xf>
    <xf numFmtId="164" fontId="54" fillId="7" borderId="0" xfId="0" applyFont="true" applyBorder="true" applyAlignment="true" applyProtection="true">
      <alignment horizontal="center" vertical="center" textRotation="0" wrapText="false" indent="0" shrinkToFit="false" readingOrder="2"/>
      <protection locked="true" hidden="true"/>
    </xf>
    <xf numFmtId="164" fontId="21" fillId="19" borderId="2" xfId="0" applyFont="true" applyBorder="true" applyAlignment="true" applyProtection="false">
      <alignment horizontal="right" vertical="center" textRotation="0" wrapText="false" indent="0" shrinkToFit="false" readingOrder="2"/>
      <protection locked="true" hidden="false"/>
    </xf>
    <xf numFmtId="164" fontId="11" fillId="8" borderId="2" xfId="0" applyFont="true" applyBorder="true" applyAlignment="true" applyProtection="true">
      <alignment horizontal="center" vertical="center" textRotation="0" wrapText="true" indent="0" shrinkToFit="false" readingOrder="2"/>
      <protection locked="true" hidden="true"/>
    </xf>
    <xf numFmtId="170" fontId="11" fillId="8" borderId="2" xfId="0" applyFont="true" applyBorder="true" applyAlignment="true" applyProtection="true">
      <alignment horizontal="center" vertical="center" textRotation="0" wrapText="true" indent="0" shrinkToFit="false" readingOrder="2"/>
      <protection locked="true" hidden="true"/>
    </xf>
    <xf numFmtId="164" fontId="55" fillId="8" borderId="2" xfId="0" applyFont="true" applyBorder="true" applyAlignment="true" applyProtection="true">
      <alignment horizontal="center" vertical="center" textRotation="0" wrapText="true" indent="0" shrinkToFit="false" readingOrder="2"/>
      <protection locked="true" hidden="true"/>
    </xf>
    <xf numFmtId="174" fontId="11" fillId="8" borderId="2" xfId="0" applyFont="true" applyBorder="true" applyAlignment="true" applyProtection="true">
      <alignment horizontal="center" vertical="center" textRotation="0" wrapText="true" indent="0" shrinkToFit="false" readingOrder="2"/>
      <protection locked="true" hidden="true"/>
    </xf>
    <xf numFmtId="173" fontId="9" fillId="8" borderId="2" xfId="0" applyFont="true" applyBorder="true" applyAlignment="true" applyProtection="false">
      <alignment horizontal="center" vertical="center" textRotation="0" wrapText="false" indent="0" shrinkToFit="false" readingOrder="2"/>
      <protection locked="true" hidden="false"/>
    </xf>
    <xf numFmtId="164" fontId="6" fillId="7" borderId="2" xfId="0" applyFont="true" applyBorder="true" applyAlignment="true" applyProtection="false">
      <alignment horizontal="right" vertical="center" textRotation="0" wrapText="false" indent="0" shrinkToFit="false" readingOrder="2"/>
      <protection locked="true" hidden="false"/>
    </xf>
    <xf numFmtId="173" fontId="6" fillId="7" borderId="2" xfId="0" applyFont="true" applyBorder="true" applyAlignment="true" applyProtection="true">
      <alignment horizontal="center" vertical="center" textRotation="0" wrapText="false" indent="0" shrinkToFit="false" readingOrder="2"/>
      <protection locked="true" hidden="true"/>
    </xf>
    <xf numFmtId="164" fontId="6" fillId="21" borderId="2" xfId="0" applyFont="true" applyBorder="true" applyAlignment="true" applyProtection="false">
      <alignment horizontal="right" vertical="center" textRotation="0" wrapText="false" indent="0" shrinkToFit="false" readingOrder="2"/>
      <protection locked="true" hidden="false"/>
    </xf>
    <xf numFmtId="173" fontId="6" fillId="21" borderId="2" xfId="0" applyFont="true" applyBorder="true" applyAlignment="true" applyProtection="true">
      <alignment horizontal="center" vertical="center" textRotation="0" wrapText="false" indent="0" shrinkToFit="false" readingOrder="2"/>
      <protection locked="true" hidden="true"/>
    </xf>
    <xf numFmtId="164" fontId="22" fillId="18" borderId="0" xfId="0" applyFont="true" applyBorder="true" applyAlignment="true" applyProtection="false">
      <alignment horizontal="center" vertical="center" textRotation="0" wrapText="false" indent="0" shrinkToFit="false" readingOrder="2"/>
      <protection locked="true" hidden="false"/>
    </xf>
    <xf numFmtId="173" fontId="20" fillId="18" borderId="0" xfId="0" applyFont="true" applyBorder="true" applyAlignment="true" applyProtection="true">
      <alignment horizontal="center" vertical="center" textRotation="0" wrapText="false" indent="0" shrinkToFit="false" readingOrder="2"/>
      <protection locked="true" hidden="true"/>
    </xf>
    <xf numFmtId="164" fontId="33" fillId="0" borderId="0" xfId="0" applyFont="true" applyBorder="true" applyAlignment="true" applyProtection="true">
      <alignment horizontal="center" vertical="center" textRotation="0" wrapText="false" indent="0" shrinkToFit="false" readingOrder="2"/>
      <protection locked="true" hidden="true"/>
    </xf>
    <xf numFmtId="174" fontId="49" fillId="8" borderId="2" xfId="0" applyFont="true" applyBorder="true" applyAlignment="true" applyProtection="true">
      <alignment horizontal="center" vertical="center" textRotation="0" wrapText="false" indent="0" shrinkToFit="false" readingOrder="2"/>
      <protection locked="true" hidden="true"/>
    </xf>
    <xf numFmtId="164" fontId="9" fillId="0" borderId="0" xfId="0" applyFont="true" applyBorder="false" applyAlignment="true" applyProtection="false">
      <alignment horizontal="right" vertical="center" textRotation="0" wrapText="false" indent="0" shrinkToFit="false" readingOrder="2"/>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3">
    <dxf>
      <font>
        <b val="1"/>
        <color rgb="FF2E7D32"/>
      </font>
      <fill>
        <patternFill>
          <bgColor rgb="FFE8F5E9"/>
        </patternFill>
      </fill>
    </dxf>
    <dxf>
      <font>
        <b val="1"/>
        <color rgb="FFC62828"/>
      </font>
      <fill>
        <patternFill>
          <bgColor rgb="FFFDECEA"/>
        </patternFill>
      </fill>
    </dxf>
    <dxf>
      <font>
        <b val="1"/>
        <color rgb="FF9A6B00"/>
      </font>
      <fill>
        <patternFill>
          <bgColor rgb="FFFFF3CD"/>
        </patternFill>
      </fill>
    </dxf>
    <dxf>
      <font>
        <b val="1"/>
        <color rgb="FF1A73E8"/>
      </font>
      <fill>
        <patternFill>
          <bgColor rgb="FFE3F2FD"/>
        </patternFill>
      </fill>
    </dxf>
    <dxf>
      <font>
        <b val="1"/>
        <color rgb="FF5E35B1"/>
      </font>
      <fill>
        <patternFill>
          <bgColor rgb="FFF3E5F5"/>
        </patternFill>
      </fill>
    </dxf>
    <dxf>
      <fill>
        <patternFill>
          <bgColor rgb="FFFFF3CD"/>
        </patternFill>
      </fill>
    </dxf>
    <dxf>
      <fill>
        <patternFill patternType="solid">
          <fgColor rgb="FF1F3A5F"/>
          <bgColor rgb="FF000000"/>
        </patternFill>
      </fill>
    </dxf>
    <dxf>
      <fill>
        <patternFill patternType="solid">
          <fgColor rgb="FFF5F8FB"/>
          <bgColor rgb="FF000000"/>
        </patternFill>
      </fill>
    </dxf>
    <dxf>
      <fill>
        <patternFill patternType="solid">
          <fgColor rgb="FFFFFFFF"/>
          <bgColor rgb="FF000000"/>
        </patternFill>
      </fill>
    </dxf>
    <dxf>
      <fill>
        <patternFill patternType="solid">
          <fgColor rgb="FF1F2933"/>
          <bgColor rgb="FF000000"/>
        </patternFill>
      </fill>
    </dxf>
    <dxf>
      <fill>
        <patternFill patternType="solid">
          <fgColor rgb="FFECEFF1"/>
          <bgColor rgb="FF000000"/>
        </patternFill>
      </fill>
    </dxf>
    <dxf>
      <fill>
        <patternFill patternType="solid">
          <fgColor rgb="FFFFF8E1"/>
          <bgColor rgb="FF000000"/>
        </patternFill>
      </fill>
    </dxf>
    <dxf>
      <fill>
        <patternFill patternType="solid">
          <fgColor rgb="FF1A4FA0"/>
          <bgColor rgb="FF000000"/>
        </patternFill>
      </fill>
    </dxf>
    <dxf>
      <fill>
        <patternFill patternType="solid">
          <fgColor rgb="FF90A4AE"/>
          <bgColor rgb="FF000000"/>
        </patternFill>
      </fill>
    </dxf>
    <dxf>
      <fill>
        <patternFill patternType="solid">
          <fgColor rgb="FFFDECEA"/>
          <bgColor rgb="FF000000"/>
        </patternFill>
      </fill>
    </dxf>
    <dxf>
      <fill>
        <patternFill patternType="solid">
          <fgColor rgb="FFC62828"/>
          <bgColor rgb="FF000000"/>
        </patternFill>
      </fill>
    </dxf>
    <dxf>
      <fill>
        <patternFill patternType="solid">
          <fgColor rgb="FFE8F5E9"/>
          <bgColor rgb="FF000000"/>
        </patternFill>
      </fill>
    </dxf>
    <dxf>
      <fill>
        <patternFill patternType="solid">
          <fgColor rgb="FF2E7D32"/>
          <bgColor rgb="FF000000"/>
        </patternFill>
      </fill>
    </dxf>
    <dxf>
      <fill>
        <patternFill patternType="solid">
          <fgColor rgb="FFE3F2FD"/>
          <bgColor rgb="FF000000"/>
        </patternFill>
      </fill>
    </dxf>
    <dxf>
      <fill>
        <patternFill patternType="solid">
          <fgColor rgb="FF1A73E8"/>
          <bgColor rgb="FF000000"/>
        </patternFill>
      </fill>
    </dxf>
    <dxf>
      <fill>
        <patternFill>
          <bgColor rgb="FFFDECEA"/>
        </patternFill>
      </fill>
    </dxf>
    <dxf>
      <fill>
        <patternFill patternType="solid">
          <fgColor rgb="FFF3E5F5"/>
          <bgColor rgb="FF000000"/>
        </patternFill>
      </fill>
    </dxf>
    <dxf>
      <fill>
        <patternFill patternType="solid">
          <fgColor rgb="FF5E35B1"/>
          <bgColor rgb="FF000000"/>
        </patternFill>
      </fill>
    </dxf>
    <dxf>
      <fill>
        <patternFill patternType="solid">
          <fgColor rgb="FFFFF3CD"/>
          <bgColor rgb="FF000000"/>
        </patternFill>
      </fill>
    </dxf>
    <dxf>
      <fill>
        <patternFill patternType="solid">
          <fgColor rgb="FF9A6B00"/>
          <bgColor rgb="FF000000"/>
        </patternFill>
      </fill>
    </dxf>
    <dxf>
      <fill>
        <patternFill patternType="solid">
          <fgColor rgb="FF4A5568"/>
          <bgColor rgb="FF000000"/>
        </patternFill>
      </fill>
    </dxf>
    <dxf>
      <fill>
        <patternFill patternType="solid">
          <fgColor rgb="FFA0AEC0"/>
          <bgColor rgb="FF000000"/>
        </patternFill>
      </fill>
    </dxf>
    <dxf>
      <fill>
        <patternFill patternType="solid">
          <fgColor rgb="FF2E7D7A"/>
          <bgColor rgb="FF000000"/>
        </patternFill>
      </fill>
    </dxf>
    <dxf>
      <fill>
        <patternFill patternType="solid">
          <fgColor rgb="FF8D6E63"/>
          <bgColor rgb="FF000000"/>
        </patternFill>
      </fill>
    </dxf>
    <dxf>
      <fill>
        <patternFill patternType="solid">
          <fgColor rgb="FF311B92"/>
          <bgColor rgb="FF000000"/>
        </patternFill>
      </fill>
    </dxf>
    <dxf>
      <fill>
        <patternFill patternType="solid">
          <fgColor rgb="FF8795A1"/>
          <bgColor rgb="FF000000"/>
        </patternFill>
      </fill>
    </dxf>
    <dxf>
      <font>
        <i val="1"/>
        <color rgb="FFA0AEC0"/>
      </font>
    </dxf>
    <dxf>
      <fill>
        <patternFill patternType="solid">
          <fgColor rgb="FFFF0000"/>
          <bgColor rgb="FF000000"/>
        </patternFill>
      </fill>
    </dxf>
  </dxfs>
  <colors>
    <indexedColors>
      <rgbColor rgb="FF000000"/>
      <rgbColor rgb="FFFFFFFF"/>
      <rgbColor rgb="FFC05621"/>
      <rgbColor rgb="FF00FF00"/>
      <rgbColor rgb="FF0000FF"/>
      <rgbColor rgb="FFFFF3E0"/>
      <rgbColor rgb="FFFF00FF"/>
      <rgbColor rgb="FF00FFFF"/>
      <rgbColor rgb="FF800000"/>
      <rgbColor rgb="FF2E7D32"/>
      <rgbColor rgb="FF000080"/>
      <rgbColor rgb="FF9A6B00"/>
      <rgbColor rgb="FF5E35B1"/>
      <rgbColor rgb="FF2C5282"/>
      <rgbColor rgb="FFA0AEC0"/>
      <rgbColor rgb="FF878787"/>
      <rgbColor rgb="FF90A4AE"/>
      <rgbColor rgb="FFC0504D"/>
      <rgbColor rgb="FFFFF8E1"/>
      <rgbColor rgb="FFE3F2FD"/>
      <rgbColor rgb="FF660066"/>
      <rgbColor rgb="FFB7791F"/>
      <rgbColor rgb="FF1A4FA0"/>
      <rgbColor rgb="FFC9D3DD"/>
      <rgbColor rgb="FF000080"/>
      <rgbColor rgb="FFFF00FF"/>
      <rgbColor rgb="FFFDECEA"/>
      <rgbColor rgb="FF00FFFF"/>
      <rgbColor rgb="FF800080"/>
      <rgbColor rgb="FF800000"/>
      <rgbColor rgb="FF4F81BD"/>
      <rgbColor rgb="FF0000FF"/>
      <rgbColor rgb="FF00CCFF"/>
      <rgbColor rgb="FFDCEFEE"/>
      <rgbColor rgb="FFE8F5E9"/>
      <rgbColor rgb="FFFFF3CD"/>
      <rgbColor rgb="FFD9D9D9"/>
      <rgbColor rgb="FFF3E5F5"/>
      <rgbColor rgb="FFECEFF1"/>
      <rgbColor rgb="FFFFD54F"/>
      <rgbColor rgb="FF1A73E8"/>
      <rgbColor rgb="FFF5F8FB"/>
      <rgbColor rgb="FF8D6E63"/>
      <rgbColor rgb="FFF2F4F7"/>
      <rgbColor rgb="FFF6AD55"/>
      <rgbColor rgb="FFE65100"/>
      <rgbColor rgb="FF5A6772"/>
      <rgbColor rgb="FF8795A1"/>
      <rgbColor rgb="FF1F3A5F"/>
      <rgbColor rgb="FF2E7D7A"/>
      <rgbColor rgb="FF003300"/>
      <rgbColor rgb="FF4A5568"/>
      <rgbColor rgb="FFBF360C"/>
      <rgbColor rgb="FFC62828"/>
      <rgbColor rgb="FF311B92"/>
      <rgbColor rgb="FF1F29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الموظفون حسب الفئة</a:t>
            </a:r>
          </a:p>
        </c:rich>
      </c:tx>
      <c:overlay val="0"/>
      <c:spPr>
        <a:noFill/>
        <a:ln w="0">
          <a:noFill/>
        </a:ln>
      </c:spPr>
    </c:title>
    <c:autoTitleDeleted val="0"/>
    <c:plotArea>
      <c:pieChart>
        <c:varyColors val="1"/>
        <c:ser>
          <c:idx val="0"/>
          <c:order val="0"/>
          <c:tx>
            <c:strRef>
              <c:f>'لوحة التحكم'!J22</c:f>
              <c:strCache>
                <c:ptCount val="1"/>
                <c:pt idx="0">
                  <c:v>العدد</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showLeaderLines val="0"/>
          </c:dLbls>
          <c:cat>
            <c:strRef>
              <c:f>'لوحة التحكم'!$I$23:$I$24</c:f>
              <c:strCache>
                <c:ptCount val="2"/>
                <c:pt idx="0">
                  <c:v>سعودي</c:v>
                </c:pt>
                <c:pt idx="1">
                  <c:v>غير سعودي</c:v>
                </c:pt>
              </c:strCache>
            </c:strRef>
          </c:cat>
          <c:val>
            <c:numRef>
              <c:f>'لوحة التحكم'!$J$23:$J$24</c:f>
              <c:numCache>
                <c:formatCode>0;[RED]\-0;\-</c:formatCode>
                <c:ptCount val="2"/>
                <c:pt idx="0">
                  <c:v>7</c:v>
                </c:pt>
                <c:pt idx="1">
                  <c:v>4</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التكلفة الكاملة حسب القسم</a:t>
            </a:r>
          </a:p>
        </c:rich>
      </c:tx>
      <c:overlay val="0"/>
      <c:spPr>
        <a:noFill/>
        <a:ln w="0">
          <a:noFill/>
        </a:ln>
      </c:spPr>
    </c:title>
    <c:autoTitleDeleted val="0"/>
    <c:plotArea>
      <c:barChart>
        <c:barDir val="bar"/>
        <c:grouping val="clustered"/>
        <c:varyColors val="0"/>
        <c:ser>
          <c:idx val="0"/>
          <c:order val="0"/>
          <c:tx>
            <c:strRef>
              <c:f>'لوحة التحكم'!F39</c:f>
              <c:strCache>
                <c:ptCount val="1"/>
                <c:pt idx="0">
                  <c:v>التكلفة الكاملة حتى تاريخه</c:v>
                </c:pt>
              </c:strCache>
            </c:strRef>
          </c:tx>
          <c:spPr>
            <a:solidFill>
              <a:srgbClr val="2c528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'لوحة التحكم'!$B$40:$B$46</c:f>
              <c:strCache>
                <c:ptCount val="7"/>
                <c:pt idx="0">
                  <c:v>الإدارة العليا</c:v>
                </c:pt>
                <c:pt idx="1">
                  <c:v>المالية</c:v>
                </c:pt>
                <c:pt idx="2">
                  <c:v>الموارد البشرية</c:v>
                </c:pt>
                <c:pt idx="3">
                  <c:v>المبيعات</c:v>
                </c:pt>
                <c:pt idx="4">
                  <c:v>العمليات</c:v>
                </c:pt>
                <c:pt idx="5">
                  <c:v>تقنية المعلومات</c:v>
                </c:pt>
                <c:pt idx="6">
                  <c:v>المشاريع</c:v>
                </c:pt>
              </c:strCache>
            </c:strRef>
          </c:cat>
          <c:val>
            <c:numRef>
              <c:f>'لوحة التحكم'!$F$40:$F$46</c:f>
              <c:numCache>
                <c:formatCode>_-* #,##0_-;[RED]_-* \(#,##0\)_-;_-* \-??_-;_-@_-</c:formatCode>
                <c:ptCount val="7"/>
                <c:pt idx="0">
                  <c:v>464357.157534247</c:v>
                </c:pt>
                <c:pt idx="1">
                  <c:v>540247.258847032</c:v>
                </c:pt>
                <c:pt idx="2">
                  <c:v>219578.578767123</c:v>
                </c:pt>
                <c:pt idx="3">
                  <c:v>313995.808219178</c:v>
                </c:pt>
                <c:pt idx="4">
                  <c:v>169460.19977169</c:v>
                </c:pt>
                <c:pt idx="5">
                  <c:v>336946.03652968</c:v>
                </c:pt>
                <c:pt idx="6">
                  <c:v>182507.311643836</c:v>
                </c:pt>
              </c:numCache>
            </c:numRef>
          </c:val>
        </c:ser>
        <c:gapWidth val="150"/>
        <c:overlap val="0"/>
        <c:axId val="37219131"/>
        <c:axId val="77921681"/>
      </c:barChart>
      <c:catAx>
        <c:axId val="372191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921681"/>
        <c:crosses val="autoZero"/>
        <c:auto val="1"/>
        <c:lblAlgn val="ctr"/>
        <c:lblOffset val="100"/>
        <c:noMultiLvlLbl val="0"/>
      </c:catAx>
      <c:valAx>
        <c:axId val="77921681"/>
        <c:scaling>
          <c:orientation val="minMax"/>
        </c:scaling>
        <c:delete val="0"/>
        <c:axPos val="l"/>
        <c:majorGridlines>
          <c:spPr>
            <a:ln w="9360">
              <a:solidFill>
                <a:srgbClr val="878787"/>
              </a:solidFill>
              <a:round/>
            </a:ln>
          </c:spPr>
        </c:majorGridlines>
        <c:numFmt formatCode="_-* #,##0_-;[RED]_-* \(#,##0\)_-;_-* \-??_-;_-@_-"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21913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مكونات تكلفة العمالة شهرياً</a:t>
            </a:r>
          </a:p>
        </c:rich>
      </c:tx>
      <c:overlay val="0"/>
      <c:spPr>
        <a:noFill/>
        <a:ln w="0">
          <a:noFill/>
        </a:ln>
      </c:spPr>
    </c:title>
    <c:autoTitleDeleted val="0"/>
    <c:plotArea>
      <c:barChart>
        <c:barDir val="col"/>
        <c:grouping val="stacked"/>
        <c:varyColors val="0"/>
        <c:ser>
          <c:idx val="0"/>
          <c:order val="0"/>
          <c:tx>
            <c:strRef>
              <c:f>'لوحة التحكم'!C59</c:f>
              <c:strCache>
                <c:ptCount val="1"/>
                <c:pt idx="0">
                  <c:v>صافي الرواتب</c:v>
                </c:pt>
              </c:strCache>
            </c:strRef>
          </c:tx>
          <c:spPr>
            <a:solidFill>
              <a:srgbClr val="2e7d3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'لوحة التحكم'!$B$60:$B$71</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'لوحة التحكم'!$C$60:$C$71</c:f>
              <c:numCache>
                <c:formatCode>_-* #,##0_-;[RED]_-* \(#,##0\)_-;_-* \-??_-;_-@_-</c:formatCode>
                <c:ptCount val="12"/>
                <c:pt idx="0">
                  <c:v>178337.395833333</c:v>
                </c:pt>
                <c:pt idx="1">
                  <c:v>182442.395833333</c:v>
                </c:pt>
                <c:pt idx="2">
                  <c:v>177782.8125</c:v>
                </c:pt>
                <c:pt idx="3">
                  <c:v>181616.5625</c:v>
                </c:pt>
                <c:pt idx="4">
                  <c:v>189111.354166667</c:v>
                </c:pt>
                <c:pt idx="5">
                  <c:v>195154.6875</c:v>
                </c:pt>
                <c:pt idx="6">
                  <c:v>190501.947773973</c:v>
                </c:pt>
                <c:pt idx="7">
                  <c:v>180702.1875</c:v>
                </c:pt>
                <c:pt idx="8">
                  <c:v>175044.270833333</c:v>
                </c:pt>
                <c:pt idx="9">
                  <c:v>169506.354166667</c:v>
                </c:pt>
                <c:pt idx="10">
                  <c:v>182204.6875</c:v>
                </c:pt>
                <c:pt idx="11">
                  <c:v>181704.6875</c:v>
                </c:pt>
              </c:numCache>
            </c:numRef>
          </c:val>
        </c:ser>
        <c:ser>
          <c:idx val="1"/>
          <c:order val="1"/>
          <c:tx>
            <c:strRef>
              <c:f>'لوحة التحكم'!D59</c:f>
              <c:strCache>
                <c:ptCount val="1"/>
                <c:pt idx="0">
                  <c:v>التأمينات (موظف + منشأة)</c:v>
                </c:pt>
              </c:strCache>
            </c:strRef>
          </c:tx>
          <c:spPr>
            <a:solidFill>
              <a:srgbClr val="c62828"/>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'لوحة التحكم'!$B$60:$B$71</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'لوحة التحكم'!$D$60:$D$71</c:f>
              <c:numCache>
                <c:formatCode>_-* #,##0_-;[RED]_-* \(#,##0\)_-;_-* \-??_-;_-@_-</c:formatCode>
                <c:ptCount val="12"/>
                <c:pt idx="0">
                  <c:v>25859.375</c:v>
                </c:pt>
                <c:pt idx="1">
                  <c:v>25859.375</c:v>
                </c:pt>
                <c:pt idx="2">
                  <c:v>25859.375</c:v>
                </c:pt>
                <c:pt idx="3">
                  <c:v>27149.375</c:v>
                </c:pt>
                <c:pt idx="4">
                  <c:v>28278.125</c:v>
                </c:pt>
                <c:pt idx="5">
                  <c:v>28278.125</c:v>
                </c:pt>
                <c:pt idx="6">
                  <c:v>28153.125</c:v>
                </c:pt>
                <c:pt idx="7">
                  <c:v>28153.125</c:v>
                </c:pt>
                <c:pt idx="8">
                  <c:v>28153.125</c:v>
                </c:pt>
                <c:pt idx="9">
                  <c:v>28153.125</c:v>
                </c:pt>
                <c:pt idx="10">
                  <c:v>28153.125</c:v>
                </c:pt>
                <c:pt idx="11">
                  <c:v>28153.125</c:v>
                </c:pt>
              </c:numCache>
            </c:numRef>
          </c:val>
        </c:ser>
        <c:ser>
          <c:idx val="2"/>
          <c:order val="2"/>
          <c:tx>
            <c:strRef>
              <c:f>'لوحة التحكم'!E59</c:f>
              <c:strCache>
                <c:ptCount val="1"/>
                <c:pt idx="0">
                  <c:v>سلف وخصومات</c:v>
                </c:pt>
              </c:strCache>
            </c:strRef>
          </c:tx>
          <c:spPr>
            <a:solidFill>
              <a:srgbClr val="f6ad5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'لوحة التحكم'!$B$60:$B$71</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'لوحة التحكم'!$E$60:$E$71</c:f>
              <c:numCache>
                <c:formatCode>_-* #,##0_-;[RED]_-* \(#,##0\)_-;_-* \-??_-;_-@_-</c:formatCode>
                <c:ptCount val="12"/>
                <c:pt idx="0">
                  <c:v>1100</c:v>
                </c:pt>
                <c:pt idx="1">
                  <c:v>1000</c:v>
                </c:pt>
                <c:pt idx="2">
                  <c:v>1000</c:v>
                </c:pt>
                <c:pt idx="3">
                  <c:v>1000</c:v>
                </c:pt>
                <c:pt idx="4">
                  <c:v>1000</c:v>
                </c:pt>
                <c:pt idx="5">
                  <c:v>0</c:v>
                </c:pt>
                <c:pt idx="6">
                  <c:v>0</c:v>
                </c:pt>
                <c:pt idx="7">
                  <c:v>0</c:v>
                </c:pt>
                <c:pt idx="8">
                  <c:v>250</c:v>
                </c:pt>
                <c:pt idx="9">
                  <c:v>0</c:v>
                </c:pt>
                <c:pt idx="10">
                  <c:v>0</c:v>
                </c:pt>
                <c:pt idx="11">
                  <c:v>0</c:v>
                </c:pt>
              </c:numCache>
            </c:numRef>
          </c:val>
        </c:ser>
        <c:ser>
          <c:idx val="3"/>
          <c:order val="3"/>
          <c:tx>
            <c:strRef>
              <c:f>'لوحة التحكم'!F59</c:f>
              <c:strCache>
                <c:ptCount val="1"/>
                <c:pt idx="0">
                  <c:v>المخصصات</c:v>
                </c:pt>
              </c:strCache>
            </c:strRef>
          </c:tx>
          <c:spPr>
            <a:solidFill>
              <a:srgbClr val="9a6b0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'لوحة التحكم'!$B$60:$B$71</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'لوحة التحكم'!$F$60:$F$71</c:f>
              <c:numCache>
                <c:formatCode>_-* #,##0_-;[RED]_-* \(#,##0\)_-;_-* \-??_-;_-@_-</c:formatCode>
                <c:ptCount val="12"/>
                <c:pt idx="0">
                  <c:v>29189.1506849315</c:v>
                </c:pt>
                <c:pt idx="1">
                  <c:v>26695.1232876712</c:v>
                </c:pt>
                <c:pt idx="2">
                  <c:v>29555.3150684932</c:v>
                </c:pt>
                <c:pt idx="3">
                  <c:v>29241.0410958904</c:v>
                </c:pt>
                <c:pt idx="4">
                  <c:v>30793.6164383562</c:v>
                </c:pt>
                <c:pt idx="5">
                  <c:v>29800.2739726027</c:v>
                </c:pt>
                <c:pt idx="6">
                  <c:v>29536.6301369863</c:v>
                </c:pt>
                <c:pt idx="7">
                  <c:v>29436.7671232877</c:v>
                </c:pt>
                <c:pt idx="8">
                  <c:v>27526.0273972603</c:v>
                </c:pt>
                <c:pt idx="9">
                  <c:v>27709.506849315</c:v>
                </c:pt>
                <c:pt idx="10">
                  <c:v>28583.8356164384</c:v>
                </c:pt>
                <c:pt idx="11">
                  <c:v>29536.6301369863</c:v>
                </c:pt>
              </c:numCache>
            </c:numRef>
          </c:val>
        </c:ser>
        <c:ser>
          <c:idx val="4"/>
          <c:order val="4"/>
          <c:tx>
            <c:strRef>
              <c:f>'لوحة التحكم'!G59</c:f>
              <c:strCache>
                <c:ptCount val="1"/>
                <c:pt idx="0">
                  <c:v>إقامات ورخص وتأمين طبي</c:v>
                </c:pt>
              </c:strCache>
            </c:strRef>
          </c:tx>
          <c:spPr>
            <a:solidFill>
              <a:srgbClr val="8d6e63"/>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'لوحة التحكم'!$B$60:$B$71</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'لوحة التحكم'!$G$60:$G$71</c:f>
              <c:numCache>
                <c:formatCode>_-* #,##0_-;[RED]_-* \(#,##0\)_-;_-* \-??_-;_-@_-</c:formatCode>
                <c:ptCount val="12"/>
                <c:pt idx="0">
                  <c:v>7270.83333333333</c:v>
                </c:pt>
                <c:pt idx="1">
                  <c:v>7270.83333333333</c:v>
                </c:pt>
                <c:pt idx="2">
                  <c:v>7270.83333333333</c:v>
                </c:pt>
                <c:pt idx="3">
                  <c:v>7377.5</c:v>
                </c:pt>
                <c:pt idx="4">
                  <c:v>7470.83333333333</c:v>
                </c:pt>
                <c:pt idx="5">
                  <c:v>7470.83333333333</c:v>
                </c:pt>
                <c:pt idx="6">
                  <c:v>6466.66666666667</c:v>
                </c:pt>
                <c:pt idx="7">
                  <c:v>6466.66666666667</c:v>
                </c:pt>
                <c:pt idx="8">
                  <c:v>6466.66666666667</c:v>
                </c:pt>
                <c:pt idx="9">
                  <c:v>6466.66666666667</c:v>
                </c:pt>
                <c:pt idx="10">
                  <c:v>6466.66666666667</c:v>
                </c:pt>
                <c:pt idx="11">
                  <c:v>6466.66666666667</c:v>
                </c:pt>
              </c:numCache>
            </c:numRef>
          </c:val>
        </c:ser>
        <c:gapWidth val="150"/>
        <c:overlap val="100"/>
        <c:axId val="94973371"/>
        <c:axId val="69545494"/>
      </c:barChart>
      <c:catAx>
        <c:axId val="9497337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545494"/>
        <c:crosses val="autoZero"/>
        <c:auto val="1"/>
        <c:lblAlgn val="ctr"/>
        <c:lblOffset val="100"/>
        <c:noMultiLvlLbl val="0"/>
      </c:catAx>
      <c:valAx>
        <c:axId val="6954549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97337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إجمالي المستحقات مقابل إجمالي تكلفة العمالة شهرياً</a:t>
            </a:r>
          </a:p>
        </c:rich>
      </c:tx>
      <c:overlay val="0"/>
      <c:spPr>
        <a:noFill/>
        <a:ln w="0">
          <a:noFill/>
        </a:ln>
      </c:spPr>
    </c:title>
    <c:autoTitleDeleted val="0"/>
    <c:plotArea>
      <c:barChart>
        <c:barDir val="col"/>
        <c:grouping val="clustered"/>
        <c:varyColors val="0"/>
        <c:ser>
          <c:idx val="0"/>
          <c:order val="0"/>
          <c:tx>
            <c:strRef>
              <c:f>'الملخص الشهري'!K5</c:f>
              <c:strCache>
                <c:ptCount val="1"/>
                <c:pt idx="0">
                  <c:v>إجمالي المستحقات</c:v>
                </c:pt>
              </c:strCache>
            </c:strRef>
          </c:tx>
          <c:spPr>
            <a:solidFill>
              <a:srgbClr val="2e7d7a"/>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'الملخص الشهري'!$B$6:$B$17</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'الملخص الشهري'!$K$6:$K$17</c:f>
              <c:numCache>
                <c:formatCode>_-* #,##0.00_-;[RED]_-* \(#,##0.00\)_-;_-* \-??_-;_-@_-</c:formatCode>
                <c:ptCount val="12"/>
                <c:pt idx="0">
                  <c:v>190710.833333333</c:v>
                </c:pt>
                <c:pt idx="1">
                  <c:v>194715.833333333</c:v>
                </c:pt>
                <c:pt idx="2">
                  <c:v>190056.25</c:v>
                </c:pt>
                <c:pt idx="3">
                  <c:v>194475</c:v>
                </c:pt>
                <c:pt idx="4">
                  <c:v>202481.666666667</c:v>
                </c:pt>
                <c:pt idx="5">
                  <c:v>207525</c:v>
                </c:pt>
                <c:pt idx="6">
                  <c:v>202872.260273973</c:v>
                </c:pt>
                <c:pt idx="7">
                  <c:v>193072.5</c:v>
                </c:pt>
                <c:pt idx="8">
                  <c:v>187664.583333333</c:v>
                </c:pt>
                <c:pt idx="9">
                  <c:v>181876.666666667</c:v>
                </c:pt>
                <c:pt idx="10">
                  <c:v>194575</c:v>
                </c:pt>
                <c:pt idx="11">
                  <c:v>194075</c:v>
                </c:pt>
              </c:numCache>
            </c:numRef>
          </c:val>
        </c:ser>
        <c:ser>
          <c:idx val="1"/>
          <c:order val="1"/>
          <c:tx>
            <c:strRef>
              <c:f>'الملخص الشهري'!U5</c:f>
              <c:strCache>
                <c:ptCount val="1"/>
                <c:pt idx="0">
                  <c:v>إجمالي تكلفة العمالة</c:v>
                </c:pt>
              </c:strCache>
            </c:strRef>
          </c:tx>
          <c:spPr>
            <a:solidFill>
              <a:srgbClr val="5e35b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'الملخص الشهري'!$B$6:$B$17</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'الملخص الشهري'!$U$6:$U$17</c:f>
              <c:numCache>
                <c:formatCode>_-* #,##0.00_-;[RED]_-* \(#,##0.00\)_-;_-* \-??_-;_-@_-</c:formatCode>
                <c:ptCount val="12"/>
                <c:pt idx="0">
                  <c:v>241756.754851598</c:v>
                </c:pt>
                <c:pt idx="1">
                  <c:v>243267.727454338</c:v>
                </c:pt>
                <c:pt idx="2">
                  <c:v>241468.335901827</c:v>
                </c:pt>
                <c:pt idx="3">
                  <c:v>246384.47859589</c:v>
                </c:pt>
                <c:pt idx="4">
                  <c:v>256653.928938356</c:v>
                </c:pt>
                <c:pt idx="5">
                  <c:v>260703.919805936</c:v>
                </c:pt>
                <c:pt idx="6">
                  <c:v>254658.369577626</c:v>
                </c:pt>
                <c:pt idx="7">
                  <c:v>244758.746289954</c:v>
                </c:pt>
                <c:pt idx="8">
                  <c:v>237440.08989726</c:v>
                </c:pt>
                <c:pt idx="9">
                  <c:v>231835.652682648</c:v>
                </c:pt>
                <c:pt idx="10">
                  <c:v>245408.314783105</c:v>
                </c:pt>
                <c:pt idx="11">
                  <c:v>245861.109303653</c:v>
                </c:pt>
              </c:numCache>
            </c:numRef>
          </c:val>
        </c:ser>
        <c:gapWidth val="150"/>
        <c:overlap val="0"/>
        <c:axId val="93437152"/>
        <c:axId val="63838441"/>
      </c:barChart>
      <c:catAx>
        <c:axId val="9343715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838441"/>
        <c:crosses val="autoZero"/>
        <c:auto val="1"/>
        <c:lblAlgn val="ctr"/>
        <c:lblOffset val="100"/>
        <c:noMultiLvlLbl val="0"/>
      </c:catAx>
      <c:valAx>
        <c:axId val="6383844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43715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_rels/drawing17.xml.rels><?xml version="1.0" encoding="UTF-8"?>
<Relationships xmlns="http://schemas.openxmlformats.org/package/2006/relationships"><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-86040</xdr:colOff>
      <xdr:row>24</xdr:row>
      <xdr:rowOff>0</xdr:rowOff>
    </xdr:from>
    <xdr:to>
      <xdr:col>11</xdr:col>
      <xdr:colOff>0</xdr:colOff>
      <xdr:row>35</xdr:row>
      <xdr:rowOff>136080</xdr:rowOff>
    </xdr:to>
    <xdr:graphicFrame>
      <xdr:nvGraphicFramePr>
        <xdr:cNvPr id="0" name="Chart 1"/>
        <xdr:cNvGraphicFramePr/>
      </xdr:nvGraphicFramePr>
      <xdr:xfrm>
        <a:off x="-11376360" y="6648480"/>
        <a:ext cx="3419640" cy="223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-234720</xdr:colOff>
      <xdr:row>37</xdr:row>
      <xdr:rowOff>0</xdr:rowOff>
    </xdr:from>
    <xdr:to>
      <xdr:col>12</xdr:col>
      <xdr:colOff>0</xdr:colOff>
      <xdr:row>52</xdr:row>
      <xdr:rowOff>29520</xdr:rowOff>
    </xdr:to>
    <xdr:graphicFrame>
      <xdr:nvGraphicFramePr>
        <xdr:cNvPr id="1" name="Chart 2"/>
        <xdr:cNvGraphicFramePr/>
      </xdr:nvGraphicFramePr>
      <xdr:xfrm>
        <a:off x="-12636360" y="9124920"/>
        <a:ext cx="467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-594360</xdr:colOff>
      <xdr:row>58</xdr:row>
      <xdr:rowOff>0</xdr:rowOff>
    </xdr:from>
    <xdr:to>
      <xdr:col>13</xdr:col>
      <xdr:colOff>0</xdr:colOff>
      <xdr:row>72</xdr:row>
      <xdr:rowOff>30960</xdr:rowOff>
    </xdr:to>
    <xdr:graphicFrame>
      <xdr:nvGraphicFramePr>
        <xdr:cNvPr id="2" name="Chart 3"/>
        <xdr:cNvGraphicFramePr/>
      </xdr:nvGraphicFramePr>
      <xdr:xfrm>
        <a:off x="-14107320" y="13563720"/>
        <a:ext cx="5039640" cy="305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-380880</xdr:colOff>
      <xdr:row>21</xdr:row>
      <xdr:rowOff>0</xdr:rowOff>
    </xdr:from>
    <xdr:to>
      <xdr:col>10</xdr:col>
      <xdr:colOff>0</xdr:colOff>
      <xdr:row>38</xdr:row>
      <xdr:rowOff>1080</xdr:rowOff>
    </xdr:to>
    <xdr:graphicFrame>
      <xdr:nvGraphicFramePr>
        <xdr:cNvPr id="3" name="Chart 1"/>
        <xdr:cNvGraphicFramePr/>
      </xdr:nvGraphicFramePr>
      <xdr:xfrm>
        <a:off x="-9537480" y="5048280"/>
        <a:ext cx="93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accopro.net/" TargetMode="External"/><Relationship Id="rId2" Type="http://schemas.openxmlformats.org/officeDocument/2006/relationships/hyperlink" Target="https://accopro.net/"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accopro.net/" TargetMode="External"/><Relationship Id="rId2" Type="http://schemas.openxmlformats.org/officeDocument/2006/relationships/hyperlink" Target="https://accopro.net/"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accopro.net/" TargetMode="External"/><Relationship Id="rId2" Type="http://schemas.openxmlformats.org/officeDocument/2006/relationships/hyperlink" Target="https://accopro.net/" TargetMode="External"/><Relationship Id="rId3"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accopro.net/" TargetMode="External"/><Relationship Id="rId3"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accopro.net/" TargetMode="External"/><Relationship Id="rId3" Type="http://schemas.openxmlformats.org/officeDocument/2006/relationships/drawing" Target="../drawings/drawing2.xml"/><Relationship Id="rId4"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accopro.net/" TargetMode="External"/><Relationship Id="rId3" Type="http://schemas.openxmlformats.org/officeDocument/2006/relationships/drawing" Target="../drawings/drawing3.xml"/><Relationship Id="rId4" Type="http://schemas.openxmlformats.org/officeDocument/2006/relationships/vmlDrawing" Target="../drawings/vmlDrawing3.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accopro.net/" TargetMode="External"/><Relationship Id="rId3" Type="http://schemas.openxmlformats.org/officeDocument/2006/relationships/drawing" Target="../drawings/drawing4.xml"/><Relationship Id="rId4" Type="http://schemas.openxmlformats.org/officeDocument/2006/relationships/vmlDrawing" Target="../drawings/vmlDrawing4.vml"/>
</Relationships>
</file>

<file path=xl/worksheets/_rels/sheet8.xml.rels><?xml version="1.0" encoding="UTF-8"?>
<Relationships xmlns="http://schemas.openxmlformats.org/package/2006/relationships"><Relationship Id="rId1" Type="http://schemas.openxmlformats.org/officeDocument/2006/relationships/hyperlink" Target="https://accopro.net/" TargetMode="External"/><Relationship Id="rId2"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hyperlink" Target="https://accopro.net/" TargetMode="External"/><Relationship Id="rId2"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hyperlink" Target="https://accopro.net/" TargetMode="External"/><Relationship Id="rId2" Type="http://schemas.openxmlformats.org/officeDocument/2006/relationships/drawing" Target="../drawings/drawing7.xml"/>
</Relationships>
</file>

<file path=xl/worksheets/_rels/sheet11.xml.rels><?xml version="1.0" encoding="UTF-8"?>
<Relationships xmlns="http://schemas.openxmlformats.org/package/2006/relationships"><Relationship Id="rId1" Type="http://schemas.openxmlformats.org/officeDocument/2006/relationships/hyperlink" Target="https://accopro.net/" TargetMode="External"/><Relationship Id="rId2" Type="http://schemas.openxmlformats.org/officeDocument/2006/relationships/drawing" Target="../drawings/drawing8.xml"/>
</Relationships>
</file>

<file path=xl/worksheets/_rels/sheet12.xml.rels><?xml version="1.0" encoding="UTF-8"?>
<Relationships xmlns="http://schemas.openxmlformats.org/package/2006/relationships"><Relationship Id="rId1" Type="http://schemas.openxmlformats.org/officeDocument/2006/relationships/hyperlink" Target="https://accopro.net/" TargetMode="External"/><Relationship Id="rId2" Type="http://schemas.openxmlformats.org/officeDocument/2006/relationships/drawing" Target="../drawings/drawing9.xml"/>
</Relationships>
</file>

<file path=xl/worksheets/_rels/sheet13.xml.rels><?xml version="1.0" encoding="UTF-8"?>
<Relationships xmlns="http://schemas.openxmlformats.org/package/2006/relationships"><Relationship Id="rId1" Type="http://schemas.openxmlformats.org/officeDocument/2006/relationships/hyperlink" Target="https://accopro.net/" TargetMode="External"/><Relationship Id="rId2" Type="http://schemas.openxmlformats.org/officeDocument/2006/relationships/drawing" Target="../drawings/drawing10.xml"/>
</Relationships>
</file>

<file path=xl/worksheets/_rels/sheet14.xml.rels><?xml version="1.0" encoding="UTF-8"?>
<Relationships xmlns="http://schemas.openxmlformats.org/package/2006/relationships"><Relationship Id="rId1" Type="http://schemas.openxmlformats.org/officeDocument/2006/relationships/hyperlink" Target="https://accopro.net/" TargetMode="External"/><Relationship Id="rId2" Type="http://schemas.openxmlformats.org/officeDocument/2006/relationships/drawing" Target="../drawings/drawing11.xml"/>
</Relationships>
</file>

<file path=xl/worksheets/_rels/sheet15.xml.rels><?xml version="1.0" encoding="UTF-8"?>
<Relationships xmlns="http://schemas.openxmlformats.org/package/2006/relationships"><Relationship Id="rId1" Type="http://schemas.openxmlformats.org/officeDocument/2006/relationships/hyperlink" Target="https://accopro.net/" TargetMode="External"/><Relationship Id="rId2" Type="http://schemas.openxmlformats.org/officeDocument/2006/relationships/drawing" Target="../drawings/drawing12.xml"/>
</Relationships>
</file>

<file path=xl/worksheets/_rels/sheet16.xml.rels><?xml version="1.0" encoding="UTF-8"?>
<Relationships xmlns="http://schemas.openxmlformats.org/package/2006/relationships"><Relationship Id="rId1" Type="http://schemas.openxmlformats.org/officeDocument/2006/relationships/hyperlink" Target="https://accopro.net/" TargetMode="External"/><Relationship Id="rId2" Type="http://schemas.openxmlformats.org/officeDocument/2006/relationships/drawing" Target="../drawings/drawing13.xml"/>
</Relationships>
</file>

<file path=xl/worksheets/_rels/sheet17.xml.rels><?xml version="1.0" encoding="UTF-8"?>
<Relationships xmlns="http://schemas.openxmlformats.org/package/2006/relationships"><Relationship Id="rId1" Type="http://schemas.openxmlformats.org/officeDocument/2006/relationships/hyperlink" Target="https://accopro.net/" TargetMode="External"/><Relationship Id="rId2" Type="http://schemas.openxmlformats.org/officeDocument/2006/relationships/drawing" Target="../drawings/drawing14.xml"/>
</Relationships>
</file>

<file path=xl/worksheets/_rels/sheet18.xml.rels><?xml version="1.0" encoding="UTF-8"?>
<Relationships xmlns="http://schemas.openxmlformats.org/package/2006/relationships"><Relationship Id="rId1" Type="http://schemas.openxmlformats.org/officeDocument/2006/relationships/hyperlink" Target="https://accopro.net/" TargetMode="External"/><Relationship Id="rId2" Type="http://schemas.openxmlformats.org/officeDocument/2006/relationships/drawing" Target="../drawings/drawing15.xml"/>
</Relationships>
</file>

<file path=xl/worksheets/_rels/sheet19.xml.rels><?xml version="1.0" encoding="UTF-8"?>
<Relationships xmlns="http://schemas.openxmlformats.org/package/2006/relationships"><Relationship Id="rId1" Type="http://schemas.openxmlformats.org/officeDocument/2006/relationships/hyperlink" Target="https://accopro.net/" TargetMode="External"/><Relationship Id="rId2" Type="http://schemas.openxmlformats.org/officeDocument/2006/relationships/drawing" Target="../drawings/drawing16.xml"/>
</Relationships>
</file>

<file path=xl/worksheets/_rels/sheet20.xml.rels><?xml version="1.0" encoding="UTF-8"?>
<Relationships xmlns="http://schemas.openxmlformats.org/package/2006/relationships"><Relationship Id="rId1" Type="http://schemas.openxmlformats.org/officeDocument/2006/relationships/hyperlink" Target="https://accopro.net/" TargetMode="External"/><Relationship Id="rId2" Type="http://schemas.openxmlformats.org/officeDocument/2006/relationships/drawing" Target="../drawings/drawing17.xml"/>
</Relationships>
</file>

<file path=xl/worksheets/_rels/sheet21.xml.rels><?xml version="1.0" encoding="UTF-8"?>
<Relationships xmlns="http://schemas.openxmlformats.org/package/2006/relationships"><Relationship Id="rId1" Type="http://schemas.openxmlformats.org/officeDocument/2006/relationships/hyperlink" Target="https://accopro.net/" TargetMode="External"/>
</Relationships>
</file>

<file path=xl/worksheets/_rels/sheet22.xml.rels><?xml version="1.0" encoding="UTF-8"?>
<Relationships xmlns="http://schemas.openxmlformats.org/package/2006/relationships"><Relationship Id="rId1" Type="http://schemas.openxmlformats.org/officeDocument/2006/relationships/hyperlink" Target="https://accopro.net/" TargetMode="External"/><Relationship Id="rId2" Type="http://schemas.openxmlformats.org/officeDocument/2006/relationships/drawing" Target="../drawings/drawing18.xml"/>
</Relationships>
</file>

<file path=xl/worksheets/_rels/sheet23.xml.rels><?xml version="1.0" encoding="UTF-8"?>
<Relationships xmlns="http://schemas.openxmlformats.org/package/2006/relationships"><Relationship Id="rId1" Type="http://schemas.openxmlformats.org/officeDocument/2006/relationships/hyperlink" Target="https://accopro.net/" TargetMode="External"/>
</Relationships>
</file>

<file path=xl/worksheets/_rels/sheet24.xml.rels><?xml version="1.0" encoding="UTF-8"?>
<Relationships xmlns="http://schemas.openxmlformats.org/package/2006/relationships"><Relationship Id="rId1" Type="http://schemas.openxmlformats.org/officeDocument/2006/relationships/hyperlink" Target="https://accopro.net/" TargetMode="External"/>
</Relationships>
</file>

<file path=xl/worksheets/_rels/sheet25.xml.rels><?xml version="1.0" encoding="UTF-8"?>
<Relationships xmlns="http://schemas.openxmlformats.org/package/2006/relationships"><Relationship Id="rId1" Type="http://schemas.openxmlformats.org/officeDocument/2006/relationships/hyperlink" Target="https://accopro.net/" TargetMode="External"/>
</Relationships>
</file>

<file path=xl/worksheets/_rels/sheet26.xml.rels><?xml version="1.0" encoding="UTF-8"?>
<Relationships xmlns="http://schemas.openxmlformats.org/package/2006/relationships"><Relationship Id="rId1" Type="http://schemas.openxmlformats.org/officeDocument/2006/relationships/hyperlink" Target="https://accopro.net/" TargetMode="External"/>
</Relationships>
</file>

<file path=xl/worksheets/_rels/sheet27.xml.rels><?xml version="1.0" encoding="UTF-8"?>
<Relationships xmlns="http://schemas.openxmlformats.org/package/2006/relationships"><Relationship Id="rId1" Type="http://schemas.openxmlformats.org/officeDocument/2006/relationships/hyperlink" Target="https://accopro.net/"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G36"/>
  <sheetViews>
    <sheetView showFormulas="false" showGridLines="false" showRowColHeaders="true" showZeros="true" rightToLeft="true" tabSelected="tru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30"/>
    <col collapsed="false" customWidth="true" hidden="false" outlineLevel="0" max="4" min="4" style="0" width="64"/>
    <col collapsed="false" customWidth="true" hidden="false" outlineLevel="0" max="5" min="5" style="0" width="3"/>
    <col collapsed="false" customWidth="true" hidden="false" outlineLevel="0" max="7" min="6" style="0" width="22"/>
  </cols>
  <sheetData>
    <row r="1" customFormat="false" ht="37.5" hidden="false" customHeight="true" outlineLevel="0" collapsed="false">
      <c r="B1" s="1" t="s">
        <v>0</v>
      </c>
      <c r="C1" s="1"/>
      <c r="D1" s="1"/>
      <c r="E1" s="1"/>
      <c r="F1" s="1"/>
      <c r="G1" s="1"/>
    </row>
    <row r="2" customFormat="false" ht="19.5" hidden="false" customHeight="true" outlineLevel="0" collapsed="false">
      <c r="B2" s="2" t="str">
        <f aca="false">"🛒 نسخة تجريبية — للنسخة الكاملة اضغط هنا ← accopro.net   |   "&amp;cfg_CO&amp;"   |   السنة المالية "&amp;cfg_FY&amp;"   |   شهر التقرير: "&amp;INDEX(L_MONTH,cfg_VAL_M)&amp;"   |   المبالغ بـ "&amp;cfg_CUR</f>
        <v>🛒 نسخة تجريبية — للنسخة الكاملة اضغط هنا ← accopro.net   |   شركة النخبة للتجارة والمقاولات   |   السنة المالية 2026   |   شهر التقرير: سبتمبر   |   المبالغ بـ ريال سعودي</v>
      </c>
      <c r="C2" s="2"/>
      <c r="D2" s="2"/>
      <c r="E2" s="2"/>
      <c r="F2" s="2"/>
      <c r="G2" s="2"/>
    </row>
    <row r="3" customFormat="false" ht="30" hidden="false" customHeight="true" outlineLevel="0" collapsed="false">
      <c r="B3" s="3" t="s">
        <v>1</v>
      </c>
      <c r="C3" s="3"/>
      <c r="D3" s="3"/>
      <c r="E3" s="3"/>
      <c r="F3" s="3"/>
      <c r="G3" s="3"/>
    </row>
    <row r="4" customFormat="false" ht="7.5" hidden="false" customHeight="true" outlineLevel="0" collapsed="false"/>
    <row r="5" customFormat="false" ht="21.75" hidden="false" customHeight="true" outlineLevel="0" collapsed="false">
      <c r="B5" s="4" t="s">
        <v>2</v>
      </c>
      <c r="C5" s="4"/>
      <c r="D5" s="4"/>
      <c r="F5" s="5" t="s">
        <v>3</v>
      </c>
      <c r="G5" s="5"/>
    </row>
    <row r="6" customFormat="false" ht="24" hidden="false" customHeight="true" outlineLevel="0" collapsed="false">
      <c r="B6" s="6" t="s">
        <v>4</v>
      </c>
      <c r="C6" s="6" t="s">
        <v>5</v>
      </c>
      <c r="D6" s="6" t="s">
        <v>6</v>
      </c>
      <c r="F6" s="7" t="s">
        <v>7</v>
      </c>
      <c r="G6" s="7" t="s">
        <v>8</v>
      </c>
    </row>
    <row r="7" customFormat="false" ht="30" hidden="false" customHeight="true" outlineLevel="0" collapsed="false">
      <c r="B7" s="8" t="s">
        <v>9</v>
      </c>
      <c r="C7" s="9" t="s">
        <v>10</v>
      </c>
      <c r="D7" s="10" t="s">
        <v>11</v>
      </c>
      <c r="F7" s="11" t="s">
        <v>12</v>
      </c>
      <c r="G7" s="11" t="s">
        <v>13</v>
      </c>
    </row>
    <row r="8" customFormat="false" ht="30" hidden="false" customHeight="true" outlineLevel="0" collapsed="false">
      <c r="B8" s="8" t="s">
        <v>14</v>
      </c>
      <c r="C8" s="9" t="s">
        <v>15</v>
      </c>
      <c r="D8" s="10" t="s">
        <v>16</v>
      </c>
      <c r="F8" s="7" t="s">
        <v>17</v>
      </c>
      <c r="G8" s="7" t="s">
        <v>18</v>
      </c>
    </row>
    <row r="9" customFormat="false" ht="30" hidden="false" customHeight="true" outlineLevel="0" collapsed="false">
      <c r="B9" s="8" t="s">
        <v>19</v>
      </c>
      <c r="C9" s="9" t="s">
        <v>20</v>
      </c>
      <c r="D9" s="10" t="s">
        <v>21</v>
      </c>
      <c r="F9" s="11" t="s">
        <v>22</v>
      </c>
      <c r="G9" s="11" t="s">
        <v>23</v>
      </c>
    </row>
    <row r="10" customFormat="false" ht="30" hidden="false" customHeight="true" outlineLevel="0" collapsed="false">
      <c r="B10" s="8" t="s">
        <v>24</v>
      </c>
      <c r="C10" s="9" t="s">
        <v>25</v>
      </c>
      <c r="D10" s="10" t="s">
        <v>26</v>
      </c>
      <c r="F10" s="7" t="s">
        <v>27</v>
      </c>
      <c r="G10" s="7" t="s">
        <v>28</v>
      </c>
    </row>
    <row r="11" customFormat="false" ht="30" hidden="false" customHeight="true" outlineLevel="0" collapsed="false">
      <c r="B11" s="8" t="s">
        <v>29</v>
      </c>
      <c r="C11" s="9" t="s">
        <v>7</v>
      </c>
      <c r="D11" s="10" t="s">
        <v>30</v>
      </c>
      <c r="F11" s="11" t="s">
        <v>31</v>
      </c>
      <c r="G11" s="11" t="s">
        <v>32</v>
      </c>
    </row>
    <row r="12" customFormat="false" ht="30" hidden="false" customHeight="true" outlineLevel="0" collapsed="false">
      <c r="B12" s="8" t="s">
        <v>33</v>
      </c>
      <c r="C12" s="9" t="s">
        <v>34</v>
      </c>
      <c r="D12" s="10" t="s">
        <v>35</v>
      </c>
    </row>
    <row r="13" customFormat="false" ht="30" hidden="false" customHeight="true" outlineLevel="0" collapsed="false">
      <c r="B13" s="8" t="s">
        <v>36</v>
      </c>
      <c r="C13" s="9" t="s">
        <v>37</v>
      </c>
      <c r="D13" s="10" t="s">
        <v>38</v>
      </c>
      <c r="F13" s="12" t="s">
        <v>39</v>
      </c>
      <c r="G13" s="12" t="s">
        <v>40</v>
      </c>
    </row>
    <row r="14" customFormat="false" ht="30" hidden="false" customHeight="true" outlineLevel="0" collapsed="false">
      <c r="B14" s="8" t="s">
        <v>41</v>
      </c>
      <c r="C14" s="9" t="s">
        <v>42</v>
      </c>
      <c r="D14" s="10" t="s">
        <v>43</v>
      </c>
      <c r="F14" s="12" t="s">
        <v>44</v>
      </c>
      <c r="G14" s="12" t="s">
        <v>45</v>
      </c>
    </row>
    <row r="15" customFormat="false" ht="30" hidden="false" customHeight="true" outlineLevel="0" collapsed="false">
      <c r="B15" s="8" t="s">
        <v>46</v>
      </c>
      <c r="C15" s="9" t="s">
        <v>47</v>
      </c>
      <c r="D15" s="10" t="s">
        <v>48</v>
      </c>
    </row>
    <row r="16" customFormat="false" ht="30" hidden="false" customHeight="true" outlineLevel="0" collapsed="false">
      <c r="B16" s="8" t="s">
        <v>49</v>
      </c>
      <c r="C16" s="9" t="s">
        <v>50</v>
      </c>
      <c r="D16" s="10" t="s">
        <v>51</v>
      </c>
    </row>
    <row r="18" customFormat="false" ht="21.75" hidden="false" customHeight="true" outlineLevel="0" collapsed="false">
      <c r="B18" s="4" t="s">
        <v>52</v>
      </c>
      <c r="C18" s="4"/>
      <c r="D18" s="4"/>
    </row>
    <row r="19" customFormat="false" ht="15" hidden="false" customHeight="false" outlineLevel="0" collapsed="false">
      <c r="C19" s="13" t="s">
        <v>53</v>
      </c>
      <c r="D19" s="14" t="s">
        <v>54</v>
      </c>
    </row>
    <row r="20" customFormat="false" ht="15" hidden="false" customHeight="false" outlineLevel="0" collapsed="false">
      <c r="C20" s="15" t="s">
        <v>55</v>
      </c>
      <c r="D20" s="14" t="s">
        <v>56</v>
      </c>
    </row>
    <row r="21" customFormat="false" ht="15" hidden="false" customHeight="false" outlineLevel="0" collapsed="false">
      <c r="C21" s="16" t="s">
        <v>57</v>
      </c>
      <c r="D21" s="14" t="s">
        <v>58</v>
      </c>
    </row>
    <row r="22" customFormat="false" ht="15" hidden="false" customHeight="false" outlineLevel="0" collapsed="false">
      <c r="C22" s="17" t="s">
        <v>59</v>
      </c>
      <c r="D22" s="14" t="s">
        <v>60</v>
      </c>
    </row>
    <row r="23" customFormat="false" ht="15" hidden="false" customHeight="false" outlineLevel="0" collapsed="false">
      <c r="C23" s="18" t="s">
        <v>61</v>
      </c>
      <c r="D23" s="14" t="s">
        <v>62</v>
      </c>
    </row>
    <row r="24" customFormat="false" ht="15" hidden="false" customHeight="false" outlineLevel="0" collapsed="false">
      <c r="C24" s="19" t="s">
        <v>63</v>
      </c>
      <c r="D24" s="14" t="s">
        <v>64</v>
      </c>
    </row>
    <row r="26" customFormat="false" ht="21.75" hidden="false" customHeight="true" outlineLevel="0" collapsed="false">
      <c r="B26" s="20" t="s">
        <v>65</v>
      </c>
      <c r="C26" s="20"/>
      <c r="D26" s="20"/>
      <c r="E26" s="20"/>
      <c r="F26" s="20"/>
      <c r="G26" s="20"/>
    </row>
    <row r="27" customFormat="false" ht="48" hidden="false" customHeight="true" outlineLevel="0" collapsed="false">
      <c r="B27" s="21" t="s">
        <v>66</v>
      </c>
      <c r="C27" s="21"/>
      <c r="D27" s="21"/>
      <c r="E27" s="21"/>
      <c r="F27" s="21"/>
      <c r="G27" s="21"/>
    </row>
    <row r="29" customFormat="false" ht="21.75" hidden="false" customHeight="true" outlineLevel="0" collapsed="false">
      <c r="B29" s="22" t="s">
        <v>67</v>
      </c>
      <c r="C29" s="22"/>
      <c r="D29" s="22"/>
      <c r="E29" s="22"/>
      <c r="F29" s="22"/>
      <c r="G29" s="22"/>
    </row>
    <row r="30" customFormat="false" ht="33.75" hidden="false" customHeight="true" outlineLevel="0" collapsed="false">
      <c r="B30" s="23" t="s">
        <v>68</v>
      </c>
      <c r="C30" s="23"/>
      <c r="D30" s="10" t="s">
        <v>69</v>
      </c>
      <c r="E30" s="10"/>
      <c r="F30" s="10"/>
      <c r="G30" s="10"/>
    </row>
    <row r="31" customFormat="false" ht="33.75" hidden="false" customHeight="true" outlineLevel="0" collapsed="false">
      <c r="B31" s="23" t="s">
        <v>70</v>
      </c>
      <c r="C31" s="23"/>
      <c r="D31" s="10" t="s">
        <v>71</v>
      </c>
      <c r="E31" s="10"/>
      <c r="F31" s="10"/>
      <c r="G31" s="10"/>
    </row>
    <row r="32" customFormat="false" ht="33.75" hidden="false" customHeight="true" outlineLevel="0" collapsed="false">
      <c r="B32" s="23" t="s">
        <v>72</v>
      </c>
      <c r="C32" s="23"/>
      <c r="D32" s="10" t="s">
        <v>73</v>
      </c>
      <c r="E32" s="10"/>
      <c r="F32" s="10"/>
      <c r="G32" s="10"/>
    </row>
    <row r="33" customFormat="false" ht="33.75" hidden="false" customHeight="true" outlineLevel="0" collapsed="false">
      <c r="B33" s="23" t="s">
        <v>74</v>
      </c>
      <c r="C33" s="23"/>
      <c r="D33" s="10" t="s">
        <v>75</v>
      </c>
      <c r="E33" s="10"/>
      <c r="F33" s="10"/>
      <c r="G33" s="10"/>
    </row>
    <row r="34" customFormat="false" ht="33.75" hidden="false" customHeight="true" outlineLevel="0" collapsed="false">
      <c r="B34" s="23" t="s">
        <v>76</v>
      </c>
      <c r="C34" s="23"/>
      <c r="D34" s="10" t="s">
        <v>77</v>
      </c>
      <c r="E34" s="10"/>
      <c r="F34" s="10"/>
      <c r="G34" s="10"/>
    </row>
    <row r="36" customFormat="false" ht="49.5" hidden="false" customHeight="true" outlineLevel="0" collapsed="false">
      <c r="B36" s="24" t="s">
        <v>78</v>
      </c>
      <c r="C36" s="24"/>
      <c r="D36" s="24"/>
      <c r="E36" s="24"/>
      <c r="F36" s="24"/>
      <c r="G36" s="24"/>
    </row>
  </sheetData>
  <sheetProtection sheet="true" password="ffa5" objects="true" scenarios="true"/>
  <mergeCells count="20">
    <mergeCell ref="B1:G1"/>
    <mergeCell ref="B2:G2"/>
    <mergeCell ref="B3:G3"/>
    <mergeCell ref="B5:D5"/>
    <mergeCell ref="F5:G5"/>
    <mergeCell ref="B18:D18"/>
    <mergeCell ref="B26:G26"/>
    <mergeCell ref="B27:G27"/>
    <mergeCell ref="B29:G29"/>
    <mergeCell ref="B30:C30"/>
    <mergeCell ref="D30:G30"/>
    <mergeCell ref="B31:C31"/>
    <mergeCell ref="D31:G31"/>
    <mergeCell ref="B32:C32"/>
    <mergeCell ref="D32:G32"/>
    <mergeCell ref="B33:C33"/>
    <mergeCell ref="D33:G33"/>
    <mergeCell ref="B34:C34"/>
    <mergeCell ref="D34:G34"/>
    <mergeCell ref="B36:G36"/>
  </mergeCells>
  <hyperlinks>
    <hyperlink ref="B2" r:id="rId1" display="https://accopro.net/"/>
    <hyperlink ref="B3" r:id="rId2" display="🛒 نسخة تجريبية كاملة الوظائف بخانات محدودة — اشترِ النسخة الكاملة من accopro.net (اضغط هنا)"/>
    <hyperlink ref="F6" location="'مسير يناير'!A1" display="مسير يناير"/>
    <hyperlink ref="G6" location="'مسير يوليو'!A1" display="مسير يوليو"/>
    <hyperlink ref="C7" location="'الإعدادات'!A1" display="الإعدادات"/>
    <hyperlink ref="F7" location="'مسير فبراير'!A1" display="مسير فبراير"/>
    <hyperlink ref="G7" location="'مسير أغسطس'!A1" display="مسير أغسطس"/>
    <hyperlink ref="C8" location="'الموظفون'!A1" display="الموظفون"/>
    <hyperlink ref="F8" location="'مسير مارس'!A1" display="مسير مارس"/>
    <hyperlink ref="G8" location="'مسير سبتمبر'!A1" display="مسير سبتمبر"/>
    <hyperlink ref="C9" location="'سجل الإجازات والحالات'!A1" display="سجل الإجازات والحالات"/>
    <hyperlink ref="F9" location="'مسير أبريل'!A1" display="مسير أبريل"/>
    <hyperlink ref="G9" location="'مسير أكتوبر'!A1" display="مسير أكتوبر"/>
    <hyperlink ref="C10" location="'الحركات الشهرية'!A1" display="الحركات الشهرية"/>
    <hyperlink ref="F10" location="'مسير مايو'!A1" display="مسير مايو"/>
    <hyperlink ref="G10" location="'مسير نوفمبر'!A1" display="مسير نوفمبر"/>
    <hyperlink ref="C11" location="'مسير يناير'!A1" display="مسير يناير"/>
    <hyperlink ref="F11" location="'مسير يونيو'!A1" display="مسير يونيو"/>
    <hyperlink ref="G11" location="'مسير ديسمبر'!A1" display="مسير ديسمبر"/>
    <hyperlink ref="C12" location="'الإقامات ورخص العمل'!A1" display="الإقامات ورخص العمل"/>
    <hyperlink ref="C13" location="'مخصص نهاية الخدمة'!A1" display="مخصص نهاية الخدمة"/>
    <hyperlink ref="F13" location="'الملخص الشهري'!A1" display="📅 الملخص الشهري"/>
    <hyperlink ref="G13" location="'ملخص الموظفين السنوي'!A1" display="📑 ملخص الموظفين"/>
    <hyperlink ref="C14" location="'قيود الرواتب'!A1" display="قيود الرواتب"/>
    <hyperlink ref="F14" location="'مخصص الإجازات'!A1" display="🌴 مخصص الإجازات"/>
    <hyperlink ref="G14" location="'مخصص التذاكر'!A1" display="✈ مخصص التذاكر"/>
    <hyperlink ref="C15" location="'قسيمة الراتب'!A1" display="قسيمة الراتب"/>
    <hyperlink ref="C16" location="'لوحة التحكم'!A1" display="لوحة التحكم"/>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&amp;Cنسخة تجريبية — النسخة الكاملة: accopro.net</oddHeader>
    <oddFooter>&amp;CAccoPro — https://accopro.net</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D25"/>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4" min="3" style="0" width="24"/>
    <col collapsed="false" customWidth="true" hidden="false" outlineLevel="0" max="5" min="5" style="0" width="2"/>
  </cols>
  <sheetData>
    <row r="1" customFormat="false" ht="39.75" hidden="false" customHeight="true" outlineLevel="0" collapsed="false">
      <c r="B1" s="1" t="s">
        <v>79</v>
      </c>
      <c r="C1" s="1"/>
      <c r="D1" s="1"/>
    </row>
    <row r="2" customFormat="false" ht="30" hidden="false" customHeight="true" outlineLevel="0" collapsed="false">
      <c r="B2" s="25" t="s">
        <v>80</v>
      </c>
      <c r="C2" s="25"/>
      <c r="D2" s="25"/>
    </row>
    <row r="4" customFormat="false" ht="30" hidden="false" customHeight="true" outlineLevel="0" collapsed="false">
      <c r="B4" s="26" t="s">
        <v>81</v>
      </c>
      <c r="C4" s="26"/>
      <c r="D4" s="26"/>
    </row>
    <row r="5" customFormat="false" ht="30" hidden="false" customHeight="true" outlineLevel="0" collapsed="false">
      <c r="B5" s="26"/>
      <c r="C5" s="26"/>
      <c r="D5" s="26"/>
    </row>
    <row r="7" customFormat="false" ht="27.75" hidden="false" customHeight="true" outlineLevel="0" collapsed="false">
      <c r="B7" s="6" t="s">
        <v>82</v>
      </c>
      <c r="C7" s="6" t="s">
        <v>83</v>
      </c>
      <c r="D7" s="6" t="s">
        <v>84</v>
      </c>
    </row>
    <row r="8" customFormat="false" ht="24" hidden="false" customHeight="true" outlineLevel="0" collapsed="false">
      <c r="B8" s="27" t="s">
        <v>85</v>
      </c>
      <c r="C8" s="28" t="s">
        <v>86</v>
      </c>
      <c r="D8" s="16" t="s">
        <v>86</v>
      </c>
    </row>
    <row r="9" customFormat="false" ht="24" hidden="false" customHeight="true" outlineLevel="0" collapsed="false">
      <c r="B9" s="29" t="s">
        <v>87</v>
      </c>
      <c r="C9" s="28" t="s">
        <v>88</v>
      </c>
      <c r="D9" s="16" t="s">
        <v>89</v>
      </c>
    </row>
    <row r="10" customFormat="false" ht="24" hidden="false" customHeight="true" outlineLevel="0" collapsed="false">
      <c r="B10" s="27" t="s">
        <v>90</v>
      </c>
      <c r="C10" s="28" t="s">
        <v>91</v>
      </c>
      <c r="D10" s="16" t="s">
        <v>92</v>
      </c>
    </row>
    <row r="11" customFormat="false" ht="24" hidden="false" customHeight="true" outlineLevel="0" collapsed="false">
      <c r="B11" s="29" t="s">
        <v>93</v>
      </c>
      <c r="C11" s="28" t="s">
        <v>94</v>
      </c>
      <c r="D11" s="16" t="s">
        <v>95</v>
      </c>
    </row>
    <row r="12" customFormat="false" ht="24" hidden="false" customHeight="true" outlineLevel="0" collapsed="false">
      <c r="B12" s="27" t="s">
        <v>96</v>
      </c>
      <c r="C12" s="28" t="s">
        <v>86</v>
      </c>
      <c r="D12" s="16" t="s">
        <v>86</v>
      </c>
    </row>
    <row r="13" customFormat="false" ht="24" hidden="false" customHeight="true" outlineLevel="0" collapsed="false">
      <c r="B13" s="29" t="s">
        <v>97</v>
      </c>
      <c r="C13" s="28" t="s">
        <v>86</v>
      </c>
      <c r="D13" s="16" t="s">
        <v>86</v>
      </c>
    </row>
    <row r="14" customFormat="false" ht="24" hidden="false" customHeight="true" outlineLevel="0" collapsed="false">
      <c r="B14" s="27" t="s">
        <v>98</v>
      </c>
      <c r="C14" s="28" t="s">
        <v>86</v>
      </c>
      <c r="D14" s="16" t="s">
        <v>86</v>
      </c>
    </row>
    <row r="15" customFormat="false" ht="24" hidden="false" customHeight="true" outlineLevel="0" collapsed="false">
      <c r="B15" s="29" t="s">
        <v>99</v>
      </c>
      <c r="C15" s="28" t="s">
        <v>86</v>
      </c>
      <c r="D15" s="16" t="s">
        <v>86</v>
      </c>
    </row>
    <row r="16" customFormat="false" ht="24" hidden="false" customHeight="true" outlineLevel="0" collapsed="false">
      <c r="B16" s="27" t="s">
        <v>100</v>
      </c>
      <c r="C16" s="28" t="s">
        <v>101</v>
      </c>
      <c r="D16" s="16" t="s">
        <v>101</v>
      </c>
    </row>
    <row r="17" customFormat="false" ht="24" hidden="false" customHeight="true" outlineLevel="0" collapsed="false">
      <c r="B17" s="29" t="s">
        <v>102</v>
      </c>
      <c r="C17" s="19" t="s">
        <v>103</v>
      </c>
      <c r="D17" s="16" t="s">
        <v>104</v>
      </c>
    </row>
    <row r="18" customFormat="false" ht="24" hidden="false" customHeight="true" outlineLevel="0" collapsed="false">
      <c r="B18" s="27" t="s">
        <v>105</v>
      </c>
      <c r="C18" s="19" t="s">
        <v>106</v>
      </c>
      <c r="D18" s="16" t="s">
        <v>107</v>
      </c>
    </row>
    <row r="19" customFormat="false" ht="24" hidden="false" customHeight="true" outlineLevel="0" collapsed="false">
      <c r="B19" s="29" t="s">
        <v>108</v>
      </c>
      <c r="C19" s="19" t="s">
        <v>103</v>
      </c>
      <c r="D19" s="16" t="s">
        <v>104</v>
      </c>
    </row>
    <row r="20" customFormat="false" ht="24" hidden="false" customHeight="true" outlineLevel="0" collapsed="false">
      <c r="B20" s="27" t="s">
        <v>109</v>
      </c>
      <c r="C20" s="19" t="s">
        <v>110</v>
      </c>
      <c r="D20" s="16" t="s">
        <v>104</v>
      </c>
    </row>
    <row r="22" customFormat="false" ht="15" hidden="false" customHeight="true" outlineLevel="0" collapsed="false">
      <c r="B22" s="30" t="s">
        <v>111</v>
      </c>
      <c r="C22" s="30"/>
      <c r="D22" s="30"/>
    </row>
    <row r="23" customFormat="false" ht="15" hidden="false" customHeight="false" outlineLevel="0" collapsed="false">
      <c r="B23" s="30"/>
      <c r="C23" s="30"/>
      <c r="D23" s="30"/>
    </row>
    <row r="25" customFormat="false" ht="15" hidden="false" customHeight="false" outlineLevel="0" collapsed="false">
      <c r="B25" s="31" t="s">
        <v>112</v>
      </c>
      <c r="C25" s="31"/>
      <c r="D25" s="31"/>
    </row>
  </sheetData>
  <sheetProtection sheet="true" password="ffa5" objects="true" scenarios="true"/>
  <mergeCells count="5">
    <mergeCell ref="B1:D1"/>
    <mergeCell ref="B2:D2"/>
    <mergeCell ref="B4:D5"/>
    <mergeCell ref="B22:D23"/>
    <mergeCell ref="B25:D25"/>
  </mergeCells>
  <hyperlinks>
    <hyperlink ref="B4" r:id="rId1" display="🛒 اضغط هنا لشراء النسخة الكاملة ← https://accopro.net/"/>
    <hyperlink ref="B22" r:id="rId2" display="🛒 اشترِ الآن من accopro.net"/>
    <hyperlink ref="B25" location="'الرئيسية'!A1" display="🏠 العودة إلى الرئيسية"/>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N75"/>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14" min="2" style="0" width="12.5"/>
  </cols>
  <sheetData>
    <row r="1" customFormat="false" ht="37.5" hidden="false" customHeight="true" outlineLevel="0" collapsed="false">
      <c r="B1" s="1" t="s">
        <v>113</v>
      </c>
      <c r="C1" s="1"/>
      <c r="D1" s="1"/>
      <c r="E1" s="1"/>
      <c r="F1" s="1"/>
      <c r="G1" s="1"/>
      <c r="H1" s="1"/>
      <c r="I1" s="1"/>
      <c r="J1" s="1"/>
      <c r="K1" s="1"/>
      <c r="L1" s="1"/>
      <c r="M1" s="1"/>
      <c r="N1" s="1"/>
    </row>
    <row r="2" customFormat="false" ht="19.5" hidden="false" customHeight="true" outlineLevel="0" collapsed="false">
      <c r="B2" s="2" t="str">
        <f aca="false">"🛒 نسخة تجريبية — للنسخة الكاملة اضغط هنا ← accopro.net   |   "&amp;cfg_CO&amp;"   |   السنة المالية "&amp;cfg_FY&amp;"   |   شهر التقرير: "&amp;INDEX(L_MONTH,cfg_VAL_M)&amp;"   |   المبالغ بـ "&amp;cfg_CUR</f>
        <v>🛒 نسخة تجريبية — للنسخة الكاملة اضغط هنا ← accopro.net   |   شركة النخبة للتجارة والمقاولات   |   السنة المالية 2026   |   شهر التقرير: سبتمبر   |   المبالغ بـ ريال سعودي</v>
      </c>
      <c r="C2" s="2"/>
      <c r="D2" s="2"/>
      <c r="E2" s="2"/>
      <c r="F2" s="2"/>
      <c r="G2" s="2"/>
      <c r="H2" s="2"/>
      <c r="I2" s="2"/>
      <c r="J2" s="2"/>
      <c r="K2" s="2"/>
      <c r="L2" s="2"/>
      <c r="M2" s="2"/>
      <c r="N2" s="2"/>
    </row>
    <row r="3" customFormat="false" ht="25.5" hidden="false" customHeight="true" outlineLevel="0" collapsed="false">
      <c r="B3" s="31" t="s">
        <v>114</v>
      </c>
      <c r="C3" s="32" t="s">
        <v>115</v>
      </c>
      <c r="D3" s="32" t="s">
        <v>116</v>
      </c>
      <c r="E3" s="33" t="s">
        <v>117</v>
      </c>
      <c r="F3" s="32" t="s">
        <v>118</v>
      </c>
      <c r="G3" s="34" t="s">
        <v>119</v>
      </c>
      <c r="H3" s="32" t="s">
        <v>39</v>
      </c>
      <c r="J3" s="35" t="s">
        <v>120</v>
      </c>
      <c r="K3" s="36" t="str">
        <f aca="false">INDEX(L_MONTH,cfg_VAL_M)&amp;" "&amp;cfg_FY</f>
        <v>سبتمبر 2026</v>
      </c>
      <c r="L3" s="36"/>
      <c r="M3" s="37" t="s">
        <v>121</v>
      </c>
      <c r="N3" s="37"/>
    </row>
    <row r="4" customFormat="false" ht="7.5" hidden="false" customHeight="true" outlineLevel="0" collapsed="false"/>
    <row r="5" customFormat="false" ht="21.75" hidden="false" customHeight="true" outlineLevel="0" collapsed="false">
      <c r="B5" s="4" t="s">
        <v>122</v>
      </c>
      <c r="C5" s="4"/>
      <c r="D5" s="4"/>
      <c r="E5" s="4"/>
      <c r="F5" s="4"/>
      <c r="G5" s="4"/>
      <c r="H5" s="4"/>
      <c r="I5" s="4"/>
      <c r="J5" s="4"/>
      <c r="K5" s="4"/>
      <c r="L5" s="4"/>
      <c r="M5" s="4"/>
      <c r="N5" s="4"/>
    </row>
    <row r="6" customFormat="false" ht="21.75" hidden="false" customHeight="true" outlineLevel="0" collapsed="false">
      <c r="B6" s="38" t="s">
        <v>123</v>
      </c>
      <c r="C6" s="38"/>
      <c r="D6" s="38"/>
      <c r="E6" s="39" t="s">
        <v>124</v>
      </c>
      <c r="F6" s="39"/>
      <c r="G6" s="39"/>
      <c r="H6" s="40" t="s">
        <v>125</v>
      </c>
      <c r="I6" s="40"/>
      <c r="J6" s="40"/>
      <c r="K6" s="41" t="s">
        <v>126</v>
      </c>
      <c r="L6" s="41"/>
      <c r="M6" s="41"/>
      <c r="N6" s="41"/>
    </row>
    <row r="7" customFormat="false" ht="31.5" hidden="false" customHeight="true" outlineLevel="0" collapsed="false">
      <c r="B7" s="42" t="n">
        <f aca="false">COUNTIF(الموظفون!$AG$6:$AG$105,"✔ على رأس العمل")</f>
        <v>11</v>
      </c>
      <c r="C7" s="42"/>
      <c r="D7" s="42"/>
      <c r="E7" s="43" t="n">
        <f aca="false">COUNTIF(الموظفون!$AH$6:$AH$105,"✈*")</f>
        <v>1</v>
      </c>
      <c r="F7" s="43"/>
      <c r="G7" s="43"/>
      <c r="H7" s="44" t="n">
        <f aca="false">IFERROR(COUNTIFS(الموظفون!$AG$6:$AG$105,"✔ على رأس العمل",الموظفون!$E$6:$E$105,"سعودي")/B7,0)</f>
        <v>0.636363636363636</v>
      </c>
      <c r="I7" s="44"/>
      <c r="J7" s="44"/>
      <c r="K7" s="45" t="n">
        <f aca="false">IFERROR(AVERAGEIF(الموظفون!$AG$6:$AG$105,"✔ على رأس العمل",الموظفون!$P$6:$P$105),0)</f>
        <v>17688.6363636364</v>
      </c>
      <c r="L7" s="45"/>
      <c r="M7" s="45"/>
      <c r="N7" s="45"/>
    </row>
    <row r="9" customFormat="false" ht="21.75" hidden="false" customHeight="true" outlineLevel="0" collapsed="false">
      <c r="B9" s="46" t="str">
        <f aca="false">"💵 الرواتب من بداية السنة حتى "&amp;INDEX(L_MONTH,cfg_VAL_M)</f>
        <v>💵 الرواتب من بداية السنة حتى سبتمبر</v>
      </c>
      <c r="C9" s="46"/>
      <c r="D9" s="46"/>
      <c r="E9" s="46"/>
      <c r="F9" s="46"/>
      <c r="G9" s="46"/>
      <c r="H9" s="46"/>
      <c r="I9" s="46"/>
      <c r="J9" s="46"/>
      <c r="K9" s="46"/>
      <c r="L9" s="46"/>
      <c r="M9" s="46"/>
      <c r="N9" s="46"/>
    </row>
    <row r="10" customFormat="false" ht="21.75" hidden="false" customHeight="true" outlineLevel="0" collapsed="false">
      <c r="B10" s="41" t="s">
        <v>127</v>
      </c>
      <c r="C10" s="41"/>
      <c r="D10" s="41"/>
      <c r="E10" s="40" t="s">
        <v>128</v>
      </c>
      <c r="F10" s="40"/>
      <c r="G10" s="40"/>
      <c r="H10" s="47" t="s">
        <v>129</v>
      </c>
      <c r="I10" s="47"/>
      <c r="J10" s="47"/>
      <c r="K10" s="48" t="s">
        <v>130</v>
      </c>
      <c r="L10" s="48"/>
      <c r="M10" s="48"/>
      <c r="N10" s="48"/>
    </row>
    <row r="11" customFormat="false" ht="31.5" hidden="false" customHeight="true" outlineLevel="0" collapsed="false">
      <c r="B11" s="45" t="n">
        <f aca="false">'الملخص الشهري'!K19</f>
        <v>1763573.92694064</v>
      </c>
      <c r="C11" s="45"/>
      <c r="D11" s="45"/>
      <c r="E11" s="49" t="n">
        <f aca="false">'الملخص الشهري'!N19</f>
        <v>1650693.61444064</v>
      </c>
      <c r="F11" s="49"/>
      <c r="G11" s="49"/>
      <c r="H11" s="50" t="n">
        <f aca="false">'الملخص الشهري'!L19+'الملخص الشهري'!O19</f>
        <v>245743.125</v>
      </c>
      <c r="I11" s="50"/>
      <c r="J11" s="50"/>
      <c r="K11" s="51" t="n">
        <f aca="false">'الملخص الشهري'!U19</f>
        <v>2227092.35131279</v>
      </c>
      <c r="L11" s="51"/>
      <c r="M11" s="51"/>
      <c r="N11" s="51"/>
    </row>
    <row r="13" customFormat="false" ht="21.75" hidden="false" customHeight="true" outlineLevel="0" collapsed="false">
      <c r="B13" s="52" t="s">
        <v>131</v>
      </c>
      <c r="C13" s="52"/>
      <c r="D13" s="52"/>
      <c r="E13" s="52"/>
      <c r="F13" s="52"/>
      <c r="G13" s="52"/>
      <c r="H13" s="52"/>
      <c r="I13" s="52"/>
      <c r="J13" s="52"/>
      <c r="K13" s="52"/>
      <c r="L13" s="52"/>
      <c r="M13" s="52"/>
      <c r="N13" s="52"/>
    </row>
    <row r="14" customFormat="false" ht="21.75" hidden="false" customHeight="true" outlineLevel="0" collapsed="false">
      <c r="B14" s="53" t="s">
        <v>132</v>
      </c>
      <c r="C14" s="53"/>
      <c r="D14" s="53"/>
      <c r="E14" s="53" t="s">
        <v>133</v>
      </c>
      <c r="F14" s="53"/>
      <c r="G14" s="53"/>
      <c r="H14" s="47" t="s">
        <v>134</v>
      </c>
      <c r="I14" s="47"/>
      <c r="J14" s="47"/>
      <c r="K14" s="48" t="s">
        <v>135</v>
      </c>
      <c r="L14" s="48"/>
      <c r="M14" s="48"/>
      <c r="N14" s="48"/>
    </row>
    <row r="15" customFormat="false" ht="31.5" hidden="false" customHeight="true" outlineLevel="0" collapsed="false">
      <c r="B15" s="54" t="n">
        <f aca="false">'الملخص الشهري'!S19+'الملخص الشهري'!T19</f>
        <v>63531.6666666667</v>
      </c>
      <c r="C15" s="54"/>
      <c r="D15" s="54"/>
      <c r="E15" s="54" t="n">
        <f aca="false">'الإقامات ورخص العمل'!R106</f>
        <v>77600</v>
      </c>
      <c r="F15" s="54"/>
      <c r="G15" s="54"/>
      <c r="H15" s="50" t="n">
        <f aca="false">'الإقامات ورخص العمل'!U106</f>
        <v>20500</v>
      </c>
      <c r="I15" s="50"/>
      <c r="J15" s="50"/>
      <c r="K15" s="51" t="n">
        <f aca="false">IFERROR('الملخص الشهري'!U19/SUMIF('الملخص الشهري'!$C$6:$C$17,"&lt;="&amp;cfg_VAL_M,'الملخص الشهري'!$D$6:$D$17),0)</f>
        <v>21834.2387383606</v>
      </c>
      <c r="L15" s="51"/>
      <c r="M15" s="51"/>
      <c r="N15" s="51"/>
    </row>
    <row r="17" customFormat="false" ht="21.75" hidden="false" customHeight="true" outlineLevel="0" collapsed="false">
      <c r="B17" s="55" t="str">
        <f aca="false">"🏦 أرصدة المخصصات كما في "&amp;TEXT(cfg_VAL_DATE,"yyyy/mm/dd")</f>
        <v>🏦 أرصدة المخصصات كما في 2026/09/30</v>
      </c>
      <c r="C17" s="55"/>
      <c r="D17" s="55"/>
      <c r="E17" s="55"/>
      <c r="F17" s="55"/>
      <c r="G17" s="55"/>
      <c r="H17" s="55"/>
      <c r="I17" s="55"/>
      <c r="J17" s="55"/>
      <c r="K17" s="55"/>
      <c r="L17" s="55"/>
      <c r="M17" s="55"/>
      <c r="N17" s="55"/>
    </row>
    <row r="18" customFormat="false" ht="21.75" hidden="false" customHeight="true" outlineLevel="0" collapsed="false">
      <c r="B18" s="56" t="s">
        <v>37</v>
      </c>
      <c r="C18" s="56"/>
      <c r="D18" s="56"/>
      <c r="E18" s="40" t="s">
        <v>136</v>
      </c>
      <c r="F18" s="40"/>
      <c r="G18" s="40"/>
      <c r="H18" s="39" t="s">
        <v>137</v>
      </c>
      <c r="I18" s="39"/>
      <c r="J18" s="39"/>
      <c r="K18" s="38" t="s">
        <v>138</v>
      </c>
      <c r="L18" s="38"/>
      <c r="M18" s="38"/>
      <c r="N18" s="38"/>
    </row>
    <row r="19" customFormat="false" ht="31.5" hidden="false" customHeight="true" outlineLevel="0" collapsed="false">
      <c r="B19" s="57" t="n">
        <f aca="false">'مخصص نهاية الخدمة'!S106</f>
        <v>1161402.2260274</v>
      </c>
      <c r="C19" s="57"/>
      <c r="D19" s="57"/>
      <c r="E19" s="49" t="n">
        <f aca="false">'مخصص الإجازات'!P106</f>
        <v>151856.445205479</v>
      </c>
      <c r="F19" s="49"/>
      <c r="G19" s="49"/>
      <c r="H19" s="58" t="n">
        <f aca="false">'مخصص التذاكر'!N106</f>
        <v>7324.1095890411</v>
      </c>
      <c r="I19" s="58"/>
      <c r="J19" s="58"/>
      <c r="K19" s="59" t="n">
        <f aca="false">B19+E19+H19</f>
        <v>1320582.78082192</v>
      </c>
      <c r="L19" s="59"/>
      <c r="M19" s="59"/>
      <c r="N19" s="59"/>
    </row>
    <row r="21" customFormat="false" ht="21.75" hidden="false" customHeight="true" outlineLevel="0" collapsed="false">
      <c r="B21" s="60" t="s">
        <v>139</v>
      </c>
      <c r="C21" s="60"/>
      <c r="D21" s="60"/>
      <c r="E21" s="60"/>
      <c r="F21" s="60"/>
      <c r="G21" s="60"/>
      <c r="I21" s="22" t="s">
        <v>140</v>
      </c>
      <c r="J21" s="22"/>
      <c r="K21" s="22"/>
      <c r="L21" s="22"/>
      <c r="M21" s="22"/>
      <c r="N21" s="22"/>
    </row>
    <row r="22" customFormat="false" ht="21.75" hidden="false" customHeight="true" outlineLevel="0" collapsed="false">
      <c r="B22" s="14" t="s">
        <v>141</v>
      </c>
      <c r="C22" s="14"/>
      <c r="D22" s="14"/>
      <c r="E22" s="14"/>
      <c r="F22" s="61" t="n">
        <f aca="false">COUNTIF('الإقامات ورخص العمل'!$J$6:$J$105,"✖*")+COUNTIF('الإقامات ورخص العمل'!$J$6:$J$105,"⚠*")</f>
        <v>2</v>
      </c>
      <c r="G22" s="62" t="str">
        <f aca="false">IF(F22=0,"✔","⚠")</f>
        <v>⚠</v>
      </c>
      <c r="I22" s="63" t="s">
        <v>142</v>
      </c>
      <c r="J22" s="63" t="s">
        <v>143</v>
      </c>
      <c r="K22" s="63" t="s">
        <v>144</v>
      </c>
      <c r="L22" s="63" t="s">
        <v>145</v>
      </c>
      <c r="M22" s="63"/>
      <c r="N22" s="63"/>
    </row>
    <row r="23" customFormat="false" ht="15" hidden="false" customHeight="false" outlineLevel="0" collapsed="false">
      <c r="B23" s="14" t="s">
        <v>146</v>
      </c>
      <c r="C23" s="14"/>
      <c r="D23" s="14"/>
      <c r="E23" s="14"/>
      <c r="F23" s="61" t="n">
        <f aca="false">COUNTIF('الإقامات ورخص العمل'!$M$6:$M$105,"✖*")+COUNTIF('الإقامات ورخص العمل'!$M$6:$M$105,"⚠*")</f>
        <v>2</v>
      </c>
      <c r="G23" s="62" t="str">
        <f aca="false">IF(F23=0,"✔","⚠")</f>
        <v>⚠</v>
      </c>
      <c r="I23" s="64" t="s">
        <v>147</v>
      </c>
      <c r="J23" s="65" t="n">
        <f aca="false">COUNTIFS(الموظفون!$AG$6:$AG$105,"✔ على رأس العمل",الموظفون!$E$6:$E$105,I23)</f>
        <v>7</v>
      </c>
      <c r="K23" s="66" t="n">
        <f aca="false">IFERROR(J23/SUM($J$23:$J$24),0)</f>
        <v>0.636363636363636</v>
      </c>
      <c r="L23" s="67" t="n">
        <f aca="false">SUMIFS(الموظفون!$P$6:$P$105,الموظفون!$AG$6:$AG$105,"✔ على رأس العمل",الموظفون!$E$6:$E$105,I23)</f>
        <v>145025</v>
      </c>
      <c r="M23" s="67"/>
      <c r="N23" s="67"/>
    </row>
    <row r="24" customFormat="false" ht="15" hidden="false" customHeight="false" outlineLevel="0" collapsed="false">
      <c r="B24" s="14" t="s">
        <v>148</v>
      </c>
      <c r="C24" s="14"/>
      <c r="D24" s="14"/>
      <c r="E24" s="14"/>
      <c r="F24" s="61" t="n">
        <f aca="false">COUNTIF('سجل الإجازات والحالات'!$P$6:$P$505,"✖*")+COUNTIF('سجل الإجازات والحالات'!$P$6:$P$505,"⚠*")</f>
        <v>0</v>
      </c>
      <c r="G24" s="62" t="str">
        <f aca="false">IF(F24=0,"✔","⚠")</f>
        <v>✔</v>
      </c>
      <c r="I24" s="64" t="s">
        <v>149</v>
      </c>
      <c r="J24" s="65" t="n">
        <f aca="false">COUNTIFS(الموظفون!$AG$6:$AG$105,"✔ على رأس العمل",الموظفون!$E$6:$E$105,I24)</f>
        <v>4</v>
      </c>
      <c r="K24" s="66" t="n">
        <f aca="false">IFERROR(J24/SUM($J$23:$J$24),0)</f>
        <v>0.363636363636364</v>
      </c>
      <c r="L24" s="67" t="n">
        <f aca="false">SUMIFS(الموظفون!$P$6:$P$105,الموظفون!$AG$6:$AG$105,"✔ على رأس العمل",الموظفون!$E$6:$E$105,I24)</f>
        <v>49550</v>
      </c>
      <c r="M24" s="67"/>
      <c r="N24" s="67"/>
    </row>
    <row r="25" customFormat="false" ht="15" hidden="false" customHeight="false" outlineLevel="0" collapsed="false">
      <c r="B25" s="14" t="s">
        <v>150</v>
      </c>
      <c r="C25" s="14"/>
      <c r="D25" s="14"/>
      <c r="E25" s="14"/>
      <c r="F25" s="61" t="n">
        <f aca="false">COUNTIF('مخصص نهاية الخدمة'!$T$6:$T$105,"⚠*")</f>
        <v>0</v>
      </c>
      <c r="G25" s="62" t="str">
        <f aca="false">IF(F25=0,"✔","⚠")</f>
        <v>✔</v>
      </c>
    </row>
    <row r="26" customFormat="false" ht="15" hidden="false" customHeight="false" outlineLevel="0" collapsed="false">
      <c r="B26" s="14" t="s">
        <v>151</v>
      </c>
      <c r="C26" s="14"/>
      <c r="D26" s="14"/>
      <c r="E26" s="14"/>
      <c r="F26" s="61" t="n">
        <f aca="false">COUNTIF('مخصص الإجازات'!$S$6:$S$105,"✖*")+COUNTIF('مخصص الإجازات'!$S$6:$S$105,"⚠ رصيد مرتفع*")</f>
        <v>0</v>
      </c>
      <c r="G26" s="62" t="str">
        <f aca="false">IF(F26=0,"✔","⚠")</f>
        <v>✔</v>
      </c>
    </row>
    <row r="27" customFormat="false" ht="15" hidden="false" customHeight="false" outlineLevel="0" collapsed="false">
      <c r="B27" s="14" t="s">
        <v>152</v>
      </c>
      <c r="C27" s="14"/>
      <c r="D27" s="14"/>
      <c r="E27" s="14"/>
      <c r="F27" s="61" t="n">
        <f aca="false">COUNTIF('مخصص التذاكر'!$P$6:$P$105,"⚠ تذكرة*")</f>
        <v>0</v>
      </c>
      <c r="G27" s="62" t="str">
        <f aca="false">IF(F27=0,"✔","⚠")</f>
        <v>✔</v>
      </c>
    </row>
    <row r="28" customFormat="false" ht="15" hidden="false" customHeight="false" outlineLevel="0" collapsed="false">
      <c r="B28" s="14" t="s">
        <v>153</v>
      </c>
      <c r="C28" s="14"/>
      <c r="D28" s="14"/>
      <c r="E28" s="14"/>
      <c r="F28" s="61" t="n">
        <f aca="false">COUNTIF('الحركات الشهرية'!$C$6:$C$1005,"✖*")+COUNTIF('سجل الإجازات والحالات'!$C$6:$C$505,"✖*")</f>
        <v>0</v>
      </c>
      <c r="G28" s="62" t="str">
        <f aca="false">IF(F28=0,"✔","⚠")</f>
        <v>✔</v>
      </c>
    </row>
    <row r="29" customFormat="false" ht="15" hidden="false" customHeight="false" outlineLevel="0" collapsed="false">
      <c r="B29" s="14" t="s">
        <v>154</v>
      </c>
      <c r="C29" s="14"/>
      <c r="D29" s="14"/>
      <c r="E29" s="14"/>
      <c r="F29" s="61" t="n">
        <f aca="false">COUNTIF('مسير يناير'!$Y$6:$Y$105,"&lt;0")+COUNTIF('مسير فبراير'!$Y$6:$Y$105,"&lt;0")+COUNTIF('مسير مارس'!$Y$6:$Y$105,"&lt;0")+COUNTIF('مسير أبريل'!$Y$6:$Y$105,"&lt;0")+COUNTIF('مسير مايو'!$Y$6:$Y$105,"&lt;0")+COUNTIF('مسير يونيو'!$Y$6:$Y$105,"&lt;0")+COUNTIF('مسير يوليو'!$Y$6:$Y$105,"&lt;0")+COUNTIF('مسير أغسطس'!$Y$6:$Y$105,"&lt;0")+COUNTIF('مسير سبتمبر'!$Y$6:$Y$105,"&lt;0")+COUNTIF('مسير أكتوبر'!$Y$6:$Y$105,"&lt;0")+COUNTIF('مسير نوفمبر'!$Y$6:$Y$105,"&lt;0")+COUNTIF('مسير ديسمبر'!$Y$6:$Y$105,"&lt;0")</f>
        <v>0</v>
      </c>
      <c r="G29" s="62" t="str">
        <f aca="false">IF(F29=0,"✔","⚠")</f>
        <v>✔</v>
      </c>
    </row>
    <row r="30" customFormat="false" ht="15" hidden="false" customHeight="false" outlineLevel="0" collapsed="false">
      <c r="B30" s="14" t="s">
        <v>155</v>
      </c>
      <c r="C30" s="14"/>
      <c r="D30" s="14"/>
      <c r="E30" s="14"/>
      <c r="F30" s="68" t="str">
        <f aca="false">'قيود الرواتب'!$R$42</f>
        <v>✔ متوازن</v>
      </c>
      <c r="G30" s="68"/>
    </row>
    <row r="38" customFormat="false" ht="21.75" hidden="false" customHeight="true" outlineLevel="0" collapsed="false">
      <c r="B38" s="69" t="str">
        <f aca="false">"🏢 تحليل التكلفة حسب القسم حتى "&amp;INDEX(L_MONTH,cfg_VAL_M)</f>
        <v>🏢 تحليل التكلفة حسب القسم حتى سبتمبر</v>
      </c>
      <c r="C38" s="69"/>
      <c r="D38" s="69"/>
      <c r="E38" s="69"/>
      <c r="F38" s="69"/>
      <c r="G38" s="69"/>
    </row>
    <row r="39" customFormat="false" ht="36" hidden="false" customHeight="true" outlineLevel="0" collapsed="false">
      <c r="B39" s="70" t="s">
        <v>156</v>
      </c>
      <c r="C39" s="70" t="s">
        <v>157</v>
      </c>
      <c r="D39" s="70" t="s">
        <v>145</v>
      </c>
      <c r="E39" s="70" t="s">
        <v>158</v>
      </c>
      <c r="F39" s="70" t="s">
        <v>159</v>
      </c>
      <c r="G39" s="70" t="s">
        <v>160</v>
      </c>
    </row>
    <row r="40" customFormat="false" ht="15" hidden="false" customHeight="false" outlineLevel="0" collapsed="false">
      <c r="B40" s="71" t="str">
        <f aca="false">IF(INDEX(L_DEPT,1)="","",INDEX(L_DEPT,1))</f>
        <v>الإدارة العليا</v>
      </c>
      <c r="C40" s="65" t="n">
        <f aca="false">IF(B40="","",COUNTIFS(الموظفون!$AG$6:$AG$105,"✔ على رأس العمل",الموظفون!$F$6:$F$105,B40))</f>
        <v>1</v>
      </c>
      <c r="D40" s="67" t="n">
        <f aca="false">IF(B40="","",SUMIFS(الموظفون!$P$6:$P$105,الموظفون!$AG$6:$AG$105,"✔ على رأس العمل",الموظفون!$F$6:$F$105,B40))</f>
        <v>40800</v>
      </c>
      <c r="E40" s="67" t="n">
        <f aca="false">IF(B40="","",SUMIF('ملخص الموظفين السنوي'!$D$6:$D$105,B40,'ملخص الموظفين السنوي'!$R$6:$R$105))</f>
        <v>367200</v>
      </c>
      <c r="F40" s="72" t="n">
        <f aca="false">IF(B40="","",SUMIF('ملخص الموظفين السنوي'!$D$6:$D$105,B40,'ملخص الموظفين السنوي'!$AF$6:$AF$105))</f>
        <v>464357.157534247</v>
      </c>
      <c r="G40" s="66" t="n">
        <f aca="false">IF(B40="","",IFERROR(F40/SUM($F$40:$F$54),0))</f>
        <v>0.208503772760266</v>
      </c>
    </row>
    <row r="41" customFormat="false" ht="15" hidden="false" customHeight="false" outlineLevel="0" collapsed="false">
      <c r="B41" s="71" t="str">
        <f aca="false">IF(INDEX(L_DEPT,2)="","",INDEX(L_DEPT,2))</f>
        <v>المالية</v>
      </c>
      <c r="C41" s="65" t="n">
        <f aca="false">IF(B41="","",COUNTIFS(الموظفون!$AG$6:$AG$105,"✔ على رأس العمل",الموظفون!$F$6:$F$105,B41))</f>
        <v>3</v>
      </c>
      <c r="D41" s="67" t="n">
        <f aca="false">IF(B41="","",SUMIFS(الموظفون!$P$6:$P$105,الموظفون!$AG$6:$AG$105,"✔ على رأس العمل",الموظفون!$F$6:$F$105,B41))</f>
        <v>47400</v>
      </c>
      <c r="E41" s="67" t="n">
        <f aca="false">IF(B41="","",SUMIF('ملخص الموظفين السنوي'!$D$6:$D$105,B41,'ملخص الموظفين السنوي'!$R$6:$R$105))</f>
        <v>426939.583333333</v>
      </c>
      <c r="F41" s="72" t="n">
        <f aca="false">IF(B41="","",SUMIF('ملخص الموظفين السنوي'!$D$6:$D$105,B41,'ملخص الموظفين السنوي'!$AF$6:$AF$105))</f>
        <v>540247.258847032</v>
      </c>
      <c r="G41" s="66" t="n">
        <f aca="false">IF(B41="","",IFERROR(F41/SUM($F$40:$F$54),0))</f>
        <v>0.24257963911042</v>
      </c>
    </row>
    <row r="42" customFormat="false" ht="15" hidden="false" customHeight="false" outlineLevel="0" collapsed="false">
      <c r="B42" s="71" t="str">
        <f aca="false">IF(INDEX(L_DEPT,3)="","",INDEX(L_DEPT,3))</f>
        <v>الموارد البشرية</v>
      </c>
      <c r="C42" s="65" t="n">
        <f aca="false">IF(B42="","",COUNTIFS(الموظفون!$AG$6:$AG$105,"✔ على رأس العمل",الموظفون!$F$6:$F$105,B42))</f>
        <v>1</v>
      </c>
      <c r="D42" s="67" t="n">
        <f aca="false">IF(B42="","",SUMIFS(الموظفون!$P$6:$P$105,الموظفون!$AG$6:$AG$105,"✔ على رأس العمل",الموظفون!$F$6:$F$105,B42))</f>
        <v>18900</v>
      </c>
      <c r="E42" s="67" t="n">
        <f aca="false">IF(B42="","",SUMIF('ملخص الموظفين السنوي'!$D$6:$D$105,B42,'ملخص الموظفين السنوي'!$R$6:$R$105))</f>
        <v>170100</v>
      </c>
      <c r="F42" s="72" t="n">
        <f aca="false">IF(B42="","",SUMIF('ملخص الموظفين السنوي'!$D$6:$D$105,B42,'ملخص الموظفين السنوي'!$AF$6:$AF$105))</f>
        <v>219578.578767123</v>
      </c>
      <c r="G42" s="66" t="n">
        <f aca="false">IF(B42="","",IFERROR(F42/SUM($F$40:$F$54),0))</f>
        <v>0.0985942853414634</v>
      </c>
    </row>
    <row r="43" customFormat="false" ht="15" hidden="false" customHeight="false" outlineLevel="0" collapsed="false">
      <c r="B43" s="71" t="str">
        <f aca="false">IF(INDEX(L_DEPT,4)="","",INDEX(L_DEPT,4))</f>
        <v>المبيعات</v>
      </c>
      <c r="C43" s="65" t="n">
        <f aca="false">IF(B43="","",COUNTIFS(الموظفون!$AG$6:$AG$105,"✔ على رأس العمل",الموظفون!$F$6:$F$105,B43))</f>
        <v>2</v>
      </c>
      <c r="D43" s="67" t="n">
        <f aca="false">IF(B43="","",SUMIFS(الموظفون!$P$6:$P$105,الموظفون!$AG$6:$AG$105,"✔ على رأس العمل",الموظفون!$F$6:$F$105,B43))</f>
        <v>32200</v>
      </c>
      <c r="E43" s="67" t="n">
        <f aca="false">IF(B43="","",SUMIF('ملخص الموظفين السنوي'!$D$6:$D$105,B43,'ملخص الموظفين السنوي'!$R$6:$R$105))</f>
        <v>253744.583333333</v>
      </c>
      <c r="F43" s="72" t="n">
        <f aca="false">IF(B43="","",SUMIF('ملخص الموظفين السنوي'!$D$6:$D$105,B43,'ملخص الموظفين السنوي'!$AF$6:$AF$105))</f>
        <v>313995.808219178</v>
      </c>
      <c r="G43" s="66" t="n">
        <f aca="false">IF(B43="","",IFERROR(F43/SUM($F$40:$F$54),0))</f>
        <v>0.140989127834815</v>
      </c>
    </row>
    <row r="44" customFormat="false" ht="15" hidden="false" customHeight="false" outlineLevel="0" collapsed="false">
      <c r="B44" s="71" t="str">
        <f aca="false">IF(INDEX(L_DEPT,5)="","",INDEX(L_DEPT,5))</f>
        <v>العمليات</v>
      </c>
      <c r="C44" s="65" t="n">
        <f aca="false">IF(B44="","",COUNTIFS(الموظفون!$AG$6:$AG$105,"✔ على رأس العمل",الموظفون!$F$6:$F$105,B44))</f>
        <v>1</v>
      </c>
      <c r="D44" s="67" t="n">
        <f aca="false">IF(B44="","",SUMIFS(الموظفون!$P$6:$P$105,الموظفون!$AG$6:$AG$105,"✔ على رأس العمل",الموظفون!$F$6:$F$105,B44))</f>
        <v>9075</v>
      </c>
      <c r="E44" s="67" t="n">
        <f aca="false">IF(B44="","",SUMIF('ملخص الموظفين السنوي'!$D$6:$D$105,B44,'ملخص الموظفين السنوي'!$R$6:$R$105))</f>
        <v>130896.843607306</v>
      </c>
      <c r="F44" s="72" t="n">
        <f aca="false">IF(B44="","",SUMIF('ملخص الموظفين السنوي'!$D$6:$D$105,B44,'ملخص الموظفين السنوي'!$AF$6:$AF$105))</f>
        <v>169460.19977169</v>
      </c>
      <c r="G44" s="66" t="n">
        <f aca="false">IF(B44="","",IFERROR(F44/SUM($F$40:$F$54),0))</f>
        <v>0.0760903335112256</v>
      </c>
    </row>
    <row r="45" customFormat="false" ht="15" hidden="false" customHeight="false" outlineLevel="0" collapsed="false">
      <c r="B45" s="71" t="str">
        <f aca="false">IF(INDEX(L_DEPT,6)="","",INDEX(L_DEPT,6))</f>
        <v>تقنية المعلومات</v>
      </c>
      <c r="C45" s="65" t="n">
        <f aca="false">IF(B45="","",COUNTIFS(الموظفون!$AG$6:$AG$105,"✔ على رأس العمل",الموظفون!$F$6:$F$105,B45))</f>
        <v>2</v>
      </c>
      <c r="D45" s="67" t="n">
        <f aca="false">IF(B45="","",SUMIFS(الموظفون!$P$6:$P$105,الموظفون!$AG$6:$AG$105,"✔ على رأس العمل",الموظفون!$F$6:$F$105,B45))</f>
        <v>30550</v>
      </c>
      <c r="E45" s="67" t="n">
        <f aca="false">IF(B45="","",SUMIF('ملخص الموظفين السنوي'!$D$6:$D$105,B45,'ملخص الموظفين السنوي'!$R$6:$R$105))</f>
        <v>272961.666666667</v>
      </c>
      <c r="F45" s="72" t="n">
        <f aca="false">IF(B45="","",SUMIF('ملخص الموظفين السنوي'!$D$6:$D$105,B45,'ملخص الموظفين السنوي'!$AF$6:$AF$105))</f>
        <v>336946.03652968</v>
      </c>
      <c r="G45" s="66" t="n">
        <f aca="false">IF(B45="","",IFERROR(F45/SUM($F$40:$F$54),0))</f>
        <v>0.15129414652745</v>
      </c>
    </row>
    <row r="46" customFormat="false" ht="15" hidden="false" customHeight="false" outlineLevel="0" collapsed="false">
      <c r="B46" s="71" t="str">
        <f aca="false">IF(INDEX(L_DEPT,7)="","",INDEX(L_DEPT,7))</f>
        <v>المشاريع</v>
      </c>
      <c r="C46" s="65" t="n">
        <f aca="false">IF(B46="","",COUNTIFS(الموظفون!$AG$6:$AG$105,"✔ على رأس العمل",الموظفون!$F$6:$F$105,B46))</f>
        <v>1</v>
      </c>
      <c r="D46" s="67" t="n">
        <f aca="false">IF(B46="","",SUMIFS(الموظفون!$P$6:$P$105,الموظفون!$AG$6:$AG$105,"✔ على رأس العمل",الموظفون!$F$6:$F$105,B46))</f>
        <v>15650</v>
      </c>
      <c r="E46" s="67" t="n">
        <f aca="false">IF(B46="","",SUMIF('ملخص الموظفين السنوي'!$D$6:$D$105,B46,'ملخص الموظفين السنوي'!$R$6:$R$105))</f>
        <v>141731.25</v>
      </c>
      <c r="F46" s="72" t="n">
        <f aca="false">IF(B46="","",SUMIF('ملخص الموظفين السنوي'!$D$6:$D$105,B46,'ملخص الموظفين السنوي'!$AF$6:$AF$105))</f>
        <v>182507.311643836</v>
      </c>
      <c r="G46" s="66" t="n">
        <f aca="false">IF(B46="","",IFERROR(F46/SUM($F$40:$F$54),0))</f>
        <v>0.0819486949143598</v>
      </c>
    </row>
    <row r="47" customFormat="false" ht="15" hidden="false" customHeight="false" outlineLevel="0" collapsed="false">
      <c r="B47" s="71" t="str">
        <f aca="false">IF(INDEX(L_DEPT,8)="","",INDEX(L_DEPT,8))</f>
        <v/>
      </c>
      <c r="C47" s="65" t="str">
        <f aca="false">IF(B47="","",COUNTIFS(الموظفون!$AG$6:$AG$105,"✔ على رأس العمل",الموظفون!$F$6:$F$105,B47))</f>
        <v/>
      </c>
      <c r="D47" s="67" t="str">
        <f aca="false">IF(B47="","",SUMIFS(الموظفون!$P$6:$P$105,الموظفون!$AG$6:$AG$105,"✔ على رأس العمل",الموظفون!$F$6:$F$105,B47))</f>
        <v/>
      </c>
      <c r="E47" s="67" t="str">
        <f aca="false">IF(B47="","",SUMIF('ملخص الموظفين السنوي'!$D$6:$D$105,B47,'ملخص الموظفين السنوي'!$R$6:$R$105))</f>
        <v/>
      </c>
      <c r="F47" s="72" t="str">
        <f aca="false">IF(B47="","",SUMIF('ملخص الموظفين السنوي'!$D$6:$D$105,B47,'ملخص الموظفين السنوي'!$AF$6:$AF$105))</f>
        <v/>
      </c>
      <c r="G47" s="66" t="str">
        <f aca="false">IF(B47="","",IFERROR(F47/SUM($F$40:$F$54),0))</f>
        <v/>
      </c>
    </row>
    <row r="48" customFormat="false" ht="15" hidden="false" customHeight="false" outlineLevel="0" collapsed="false">
      <c r="B48" s="71" t="str">
        <f aca="false">IF(INDEX(L_DEPT,9)="","",INDEX(L_DEPT,9))</f>
        <v/>
      </c>
      <c r="C48" s="65" t="str">
        <f aca="false">IF(B48="","",COUNTIFS(الموظفون!$AG$6:$AG$105,"✔ على رأس العمل",الموظفون!$F$6:$F$105,B48))</f>
        <v/>
      </c>
      <c r="D48" s="67" t="str">
        <f aca="false">IF(B48="","",SUMIFS(الموظفون!$P$6:$P$105,الموظفون!$AG$6:$AG$105,"✔ على رأس العمل",الموظفون!$F$6:$F$105,B48))</f>
        <v/>
      </c>
      <c r="E48" s="67" t="str">
        <f aca="false">IF(B48="","",SUMIF('ملخص الموظفين السنوي'!$D$6:$D$105,B48,'ملخص الموظفين السنوي'!$R$6:$R$105))</f>
        <v/>
      </c>
      <c r="F48" s="72" t="str">
        <f aca="false">IF(B48="","",SUMIF('ملخص الموظفين السنوي'!$D$6:$D$105,B48,'ملخص الموظفين السنوي'!$AF$6:$AF$105))</f>
        <v/>
      </c>
      <c r="G48" s="66" t="str">
        <f aca="false">IF(B48="","",IFERROR(F48/SUM($F$40:$F$54),0))</f>
        <v/>
      </c>
    </row>
    <row r="49" customFormat="false" ht="15" hidden="false" customHeight="false" outlineLevel="0" collapsed="false">
      <c r="B49" s="71" t="str">
        <f aca="false">IF(INDEX(L_DEPT,10)="","",INDEX(L_DEPT,10))</f>
        <v/>
      </c>
      <c r="C49" s="65" t="str">
        <f aca="false">IF(B49="","",COUNTIFS(الموظفون!$AG$6:$AG$105,"✔ على رأس العمل",الموظفون!$F$6:$F$105,B49))</f>
        <v/>
      </c>
      <c r="D49" s="67" t="str">
        <f aca="false">IF(B49="","",SUMIFS(الموظفون!$P$6:$P$105,الموظفون!$AG$6:$AG$105,"✔ على رأس العمل",الموظفون!$F$6:$F$105,B49))</f>
        <v/>
      </c>
      <c r="E49" s="67" t="str">
        <f aca="false">IF(B49="","",SUMIF('ملخص الموظفين السنوي'!$D$6:$D$105,B49,'ملخص الموظفين السنوي'!$R$6:$R$105))</f>
        <v/>
      </c>
      <c r="F49" s="72" t="str">
        <f aca="false">IF(B49="","",SUMIF('ملخص الموظفين السنوي'!$D$6:$D$105,B49,'ملخص الموظفين السنوي'!$AF$6:$AF$105))</f>
        <v/>
      </c>
      <c r="G49" s="66" t="str">
        <f aca="false">IF(B49="","",IFERROR(F49/SUM($F$40:$F$54),0))</f>
        <v/>
      </c>
    </row>
    <row r="50" customFormat="false" ht="15" hidden="false" customHeight="false" outlineLevel="0" collapsed="false">
      <c r="B50" s="71" t="str">
        <f aca="false">IF(INDEX(L_DEPT,11)="","",INDEX(L_DEPT,11))</f>
        <v/>
      </c>
      <c r="C50" s="65" t="str">
        <f aca="false">IF(B50="","",COUNTIFS(الموظفون!$AG$6:$AG$105,"✔ على رأس العمل",الموظفون!$F$6:$F$105,B50))</f>
        <v/>
      </c>
      <c r="D50" s="67" t="str">
        <f aca="false">IF(B50="","",SUMIFS(الموظفون!$P$6:$P$105,الموظفون!$AG$6:$AG$105,"✔ على رأس العمل",الموظفون!$F$6:$F$105,B50))</f>
        <v/>
      </c>
      <c r="E50" s="67" t="str">
        <f aca="false">IF(B50="","",SUMIF('ملخص الموظفين السنوي'!$D$6:$D$105,B50,'ملخص الموظفين السنوي'!$R$6:$R$105))</f>
        <v/>
      </c>
      <c r="F50" s="72" t="str">
        <f aca="false">IF(B50="","",SUMIF('ملخص الموظفين السنوي'!$D$6:$D$105,B50,'ملخص الموظفين السنوي'!$AF$6:$AF$105))</f>
        <v/>
      </c>
      <c r="G50" s="66" t="str">
        <f aca="false">IF(B50="","",IFERROR(F50/SUM($F$40:$F$54),0))</f>
        <v/>
      </c>
    </row>
    <row r="51" customFormat="false" ht="15" hidden="false" customHeight="false" outlineLevel="0" collapsed="false">
      <c r="B51" s="71" t="str">
        <f aca="false">IF(INDEX(L_DEPT,12)="","",INDEX(L_DEPT,12))</f>
        <v/>
      </c>
      <c r="C51" s="65" t="str">
        <f aca="false">IF(B51="","",COUNTIFS(الموظفون!$AG$6:$AG$105,"✔ على رأس العمل",الموظفون!$F$6:$F$105,B51))</f>
        <v/>
      </c>
      <c r="D51" s="67" t="str">
        <f aca="false">IF(B51="","",SUMIFS(الموظفون!$P$6:$P$105,الموظفون!$AG$6:$AG$105,"✔ على رأس العمل",الموظفون!$F$6:$F$105,B51))</f>
        <v/>
      </c>
      <c r="E51" s="67" t="str">
        <f aca="false">IF(B51="","",SUMIF('ملخص الموظفين السنوي'!$D$6:$D$105,B51,'ملخص الموظفين السنوي'!$R$6:$R$105))</f>
        <v/>
      </c>
      <c r="F51" s="72" t="str">
        <f aca="false">IF(B51="","",SUMIF('ملخص الموظفين السنوي'!$D$6:$D$105,B51,'ملخص الموظفين السنوي'!$AF$6:$AF$105))</f>
        <v/>
      </c>
      <c r="G51" s="66" t="str">
        <f aca="false">IF(B51="","",IFERROR(F51/SUM($F$40:$F$54),0))</f>
        <v/>
      </c>
    </row>
    <row r="52" customFormat="false" ht="15" hidden="false" customHeight="false" outlineLevel="0" collapsed="false">
      <c r="B52" s="71" t="str">
        <f aca="false">IF(INDEX(L_DEPT,13)="","",INDEX(L_DEPT,13))</f>
        <v/>
      </c>
      <c r="C52" s="65" t="str">
        <f aca="false">IF(B52="","",COUNTIFS(الموظفون!$AG$6:$AG$105,"✔ على رأس العمل",الموظفون!$F$6:$F$105,B52))</f>
        <v/>
      </c>
      <c r="D52" s="67" t="str">
        <f aca="false">IF(B52="","",SUMIFS(الموظفون!$P$6:$P$105,الموظفون!$AG$6:$AG$105,"✔ على رأس العمل",الموظفون!$F$6:$F$105,B52))</f>
        <v/>
      </c>
      <c r="E52" s="67" t="str">
        <f aca="false">IF(B52="","",SUMIF('ملخص الموظفين السنوي'!$D$6:$D$105,B52,'ملخص الموظفين السنوي'!$R$6:$R$105))</f>
        <v/>
      </c>
      <c r="F52" s="72" t="str">
        <f aca="false">IF(B52="","",SUMIF('ملخص الموظفين السنوي'!$D$6:$D$105,B52,'ملخص الموظفين السنوي'!$AF$6:$AF$105))</f>
        <v/>
      </c>
      <c r="G52" s="66" t="str">
        <f aca="false">IF(B52="","",IFERROR(F52/SUM($F$40:$F$54),0))</f>
        <v/>
      </c>
    </row>
    <row r="53" customFormat="false" ht="15" hidden="false" customHeight="false" outlineLevel="0" collapsed="false">
      <c r="B53" s="71" t="str">
        <f aca="false">IF(INDEX(L_DEPT,14)="","",INDEX(L_DEPT,14))</f>
        <v/>
      </c>
      <c r="C53" s="65" t="str">
        <f aca="false">IF(B53="","",COUNTIFS(الموظفون!$AG$6:$AG$105,"✔ على رأس العمل",الموظفون!$F$6:$F$105,B53))</f>
        <v/>
      </c>
      <c r="D53" s="67" t="str">
        <f aca="false">IF(B53="","",SUMIFS(الموظفون!$P$6:$P$105,الموظفون!$AG$6:$AG$105,"✔ على رأس العمل",الموظفون!$F$6:$F$105,B53))</f>
        <v/>
      </c>
      <c r="E53" s="67" t="str">
        <f aca="false">IF(B53="","",SUMIF('ملخص الموظفين السنوي'!$D$6:$D$105,B53,'ملخص الموظفين السنوي'!$R$6:$R$105))</f>
        <v/>
      </c>
      <c r="F53" s="72" t="str">
        <f aca="false">IF(B53="","",SUMIF('ملخص الموظفين السنوي'!$D$6:$D$105,B53,'ملخص الموظفين السنوي'!$AF$6:$AF$105))</f>
        <v/>
      </c>
      <c r="G53" s="66" t="str">
        <f aca="false">IF(B53="","",IFERROR(F53/SUM($F$40:$F$54),0))</f>
        <v/>
      </c>
    </row>
    <row r="54" customFormat="false" ht="15" hidden="false" customHeight="false" outlineLevel="0" collapsed="false">
      <c r="B54" s="71" t="str">
        <f aca="false">IF(INDEX(L_DEPT,15)="","",INDEX(L_DEPT,15))</f>
        <v/>
      </c>
      <c r="C54" s="65" t="str">
        <f aca="false">IF(B54="","",COUNTIFS(الموظفون!$AG$6:$AG$105,"✔ على رأس العمل",الموظفون!$F$6:$F$105,B54))</f>
        <v/>
      </c>
      <c r="D54" s="67" t="str">
        <f aca="false">IF(B54="","",SUMIFS(الموظفون!$P$6:$P$105,الموظفون!$AG$6:$AG$105,"✔ على رأس العمل",الموظفون!$F$6:$F$105,B54))</f>
        <v/>
      </c>
      <c r="E54" s="67" t="str">
        <f aca="false">IF(B54="","",SUMIF('ملخص الموظفين السنوي'!$D$6:$D$105,B54,'ملخص الموظفين السنوي'!$R$6:$R$105))</f>
        <v/>
      </c>
      <c r="F54" s="72" t="str">
        <f aca="false">IF(B54="","",SUMIF('ملخص الموظفين السنوي'!$D$6:$D$105,B54,'ملخص الموظفين السنوي'!$AF$6:$AF$105))</f>
        <v/>
      </c>
      <c r="G54" s="66" t="str">
        <f aca="false">IF(B54="","",IFERROR(F54/SUM($F$40:$F$54),0))</f>
        <v/>
      </c>
    </row>
    <row r="55" customFormat="false" ht="15" hidden="false" customHeight="false" outlineLevel="0" collapsed="false">
      <c r="B55" s="73" t="s">
        <v>161</v>
      </c>
      <c r="C55" s="74" t="n">
        <f aca="false">SUM(C40:C54)</f>
        <v>11</v>
      </c>
      <c r="D55" s="75" t="n">
        <f aca="false">SUM(D40:D54)</f>
        <v>194575</v>
      </c>
      <c r="E55" s="75" t="n">
        <f aca="false">SUM(E40:E54)</f>
        <v>1763573.92694064</v>
      </c>
      <c r="F55" s="75" t="n">
        <f aca="false">SUM(F40:F54)</f>
        <v>2227092.35131279</v>
      </c>
      <c r="G55" s="76" t="n">
        <f aca="false">SUM(G40:G54)</f>
        <v>1</v>
      </c>
    </row>
    <row r="56" customFormat="false" ht="15" hidden="false" customHeight="false" outlineLevel="0" collapsed="false">
      <c r="B56" s="77" t="str">
        <f aca="false">IF(ROUND(F55-'الملخص الشهري'!U19,0)=0,"✔ مطابق للملخص الشهري","⚠ يوجد موظفون بدون قسم أو قسم غير مدرج")</f>
        <v>✔ مطابق للملخص الشهري</v>
      </c>
      <c r="C56" s="77"/>
      <c r="D56" s="77"/>
      <c r="E56" s="77"/>
      <c r="F56" s="77"/>
      <c r="G56" s="77"/>
    </row>
    <row r="58" customFormat="false" ht="21.75" hidden="false" customHeight="true" outlineLevel="0" collapsed="false">
      <c r="B58" s="78" t="s">
        <v>162</v>
      </c>
      <c r="C58" s="78"/>
      <c r="D58" s="78"/>
      <c r="E58" s="78"/>
      <c r="F58" s="78"/>
      <c r="G58" s="78"/>
      <c r="H58" s="78"/>
      <c r="I58" s="78"/>
      <c r="J58" s="78"/>
      <c r="K58" s="78"/>
      <c r="L58" s="78"/>
      <c r="M58" s="78"/>
      <c r="N58" s="78"/>
    </row>
    <row r="59" customFormat="false" ht="43.5" hidden="false" customHeight="true" outlineLevel="0" collapsed="false">
      <c r="B59" s="79" t="s">
        <v>163</v>
      </c>
      <c r="C59" s="79" t="s">
        <v>164</v>
      </c>
      <c r="D59" s="79" t="s">
        <v>129</v>
      </c>
      <c r="E59" s="79" t="s">
        <v>165</v>
      </c>
      <c r="F59" s="79" t="s">
        <v>166</v>
      </c>
      <c r="G59" s="79" t="s">
        <v>167</v>
      </c>
      <c r="H59" s="79" t="s">
        <v>168</v>
      </c>
    </row>
    <row r="60" customFormat="false" ht="15" hidden="false" customHeight="false" outlineLevel="0" collapsed="false">
      <c r="B60" s="68" t="str">
        <f aca="false">'الملخص الشهري'!B6</f>
        <v>يناير</v>
      </c>
      <c r="C60" s="67" t="n">
        <f aca="false">'الملخص الشهري'!N6</f>
        <v>178337.395833333</v>
      </c>
      <c r="D60" s="67" t="n">
        <f aca="false">'الملخص الشهري'!L6+'الملخص الشهري'!O6</f>
        <v>25859.375</v>
      </c>
      <c r="E60" s="67" t="n">
        <f aca="false">'الملخص الشهري'!M6</f>
        <v>1100</v>
      </c>
      <c r="F60" s="67" t="n">
        <f aca="false">'الملخص الشهري'!P6+'الملخص الشهري'!Q6+'الملخص الشهري'!R6</f>
        <v>29189.1506849315</v>
      </c>
      <c r="G60" s="67" t="n">
        <f aca="false">'الملخص الشهري'!S6+'الملخص الشهري'!T6</f>
        <v>7270.83333333333</v>
      </c>
      <c r="H60" s="72" t="n">
        <f aca="false">SUM(C60:G60)</f>
        <v>241756.754851598</v>
      </c>
    </row>
    <row r="61" customFormat="false" ht="15" hidden="false" customHeight="false" outlineLevel="0" collapsed="false">
      <c r="B61" s="80" t="str">
        <f aca="false">'الملخص الشهري'!B7</f>
        <v>فبراير</v>
      </c>
      <c r="C61" s="81" t="n">
        <f aca="false">'الملخص الشهري'!N7</f>
        <v>182442.395833333</v>
      </c>
      <c r="D61" s="81" t="n">
        <f aca="false">'الملخص الشهري'!L7+'الملخص الشهري'!O7</f>
        <v>25859.375</v>
      </c>
      <c r="E61" s="81" t="n">
        <f aca="false">'الملخص الشهري'!M7</f>
        <v>1000</v>
      </c>
      <c r="F61" s="81" t="n">
        <f aca="false">'الملخص الشهري'!P7+'الملخص الشهري'!Q7+'الملخص الشهري'!R7</f>
        <v>26695.1232876712</v>
      </c>
      <c r="G61" s="81" t="n">
        <f aca="false">'الملخص الشهري'!S7+'الملخص الشهري'!T7</f>
        <v>7270.83333333333</v>
      </c>
      <c r="H61" s="82" t="n">
        <f aca="false">SUM(C61:G61)</f>
        <v>243267.727454338</v>
      </c>
    </row>
    <row r="62" customFormat="false" ht="15" hidden="false" customHeight="false" outlineLevel="0" collapsed="false">
      <c r="B62" s="68" t="str">
        <f aca="false">'الملخص الشهري'!B8</f>
        <v>مارس</v>
      </c>
      <c r="C62" s="67" t="n">
        <f aca="false">'الملخص الشهري'!N8</f>
        <v>177782.8125</v>
      </c>
      <c r="D62" s="67" t="n">
        <f aca="false">'الملخص الشهري'!L8+'الملخص الشهري'!O8</f>
        <v>25859.375</v>
      </c>
      <c r="E62" s="67" t="n">
        <f aca="false">'الملخص الشهري'!M8</f>
        <v>1000</v>
      </c>
      <c r="F62" s="67" t="n">
        <f aca="false">'الملخص الشهري'!P8+'الملخص الشهري'!Q8+'الملخص الشهري'!R8</f>
        <v>29555.3150684932</v>
      </c>
      <c r="G62" s="67" t="n">
        <f aca="false">'الملخص الشهري'!S8+'الملخص الشهري'!T8</f>
        <v>7270.83333333333</v>
      </c>
      <c r="H62" s="72" t="n">
        <f aca="false">SUM(C62:G62)</f>
        <v>241468.335901827</v>
      </c>
    </row>
    <row r="63" customFormat="false" ht="15" hidden="false" customHeight="false" outlineLevel="0" collapsed="false">
      <c r="B63" s="80" t="str">
        <f aca="false">'الملخص الشهري'!B9</f>
        <v>أبريل</v>
      </c>
      <c r="C63" s="81" t="n">
        <f aca="false">'الملخص الشهري'!N9</f>
        <v>181616.5625</v>
      </c>
      <c r="D63" s="81" t="n">
        <f aca="false">'الملخص الشهري'!L9+'الملخص الشهري'!O9</f>
        <v>27149.375</v>
      </c>
      <c r="E63" s="81" t="n">
        <f aca="false">'الملخص الشهري'!M9</f>
        <v>1000</v>
      </c>
      <c r="F63" s="81" t="n">
        <f aca="false">'الملخص الشهري'!P9+'الملخص الشهري'!Q9+'الملخص الشهري'!R9</f>
        <v>29241.0410958904</v>
      </c>
      <c r="G63" s="81" t="n">
        <f aca="false">'الملخص الشهري'!S9+'الملخص الشهري'!T9</f>
        <v>7377.5</v>
      </c>
      <c r="H63" s="82" t="n">
        <f aca="false">SUM(C63:G63)</f>
        <v>246384.47859589</v>
      </c>
    </row>
    <row r="64" customFormat="false" ht="15" hidden="false" customHeight="false" outlineLevel="0" collapsed="false">
      <c r="B64" s="68" t="str">
        <f aca="false">'الملخص الشهري'!B10</f>
        <v>مايو</v>
      </c>
      <c r="C64" s="67" t="n">
        <f aca="false">'الملخص الشهري'!N10</f>
        <v>189111.354166667</v>
      </c>
      <c r="D64" s="67" t="n">
        <f aca="false">'الملخص الشهري'!L10+'الملخص الشهري'!O10</f>
        <v>28278.125</v>
      </c>
      <c r="E64" s="67" t="n">
        <f aca="false">'الملخص الشهري'!M10</f>
        <v>1000</v>
      </c>
      <c r="F64" s="67" t="n">
        <f aca="false">'الملخص الشهري'!P10+'الملخص الشهري'!Q10+'الملخص الشهري'!R10</f>
        <v>30793.6164383562</v>
      </c>
      <c r="G64" s="67" t="n">
        <f aca="false">'الملخص الشهري'!S10+'الملخص الشهري'!T10</f>
        <v>7470.83333333333</v>
      </c>
      <c r="H64" s="72" t="n">
        <f aca="false">SUM(C64:G64)</f>
        <v>256653.928938356</v>
      </c>
    </row>
    <row r="65" customFormat="false" ht="15" hidden="false" customHeight="false" outlineLevel="0" collapsed="false">
      <c r="B65" s="80" t="str">
        <f aca="false">'الملخص الشهري'!B11</f>
        <v>يونيو</v>
      </c>
      <c r="C65" s="81" t="n">
        <f aca="false">'الملخص الشهري'!N11</f>
        <v>195154.6875</v>
      </c>
      <c r="D65" s="81" t="n">
        <f aca="false">'الملخص الشهري'!L11+'الملخص الشهري'!O11</f>
        <v>28278.125</v>
      </c>
      <c r="E65" s="81" t="n">
        <f aca="false">'الملخص الشهري'!M11</f>
        <v>0</v>
      </c>
      <c r="F65" s="81" t="n">
        <f aca="false">'الملخص الشهري'!P11+'الملخص الشهري'!Q11+'الملخص الشهري'!R11</f>
        <v>29800.2739726027</v>
      </c>
      <c r="G65" s="81" t="n">
        <f aca="false">'الملخص الشهري'!S11+'الملخص الشهري'!T11</f>
        <v>7470.83333333333</v>
      </c>
      <c r="H65" s="82" t="n">
        <f aca="false">SUM(C65:G65)</f>
        <v>260703.919805936</v>
      </c>
    </row>
    <row r="66" customFormat="false" ht="15" hidden="false" customHeight="false" outlineLevel="0" collapsed="false">
      <c r="B66" s="68" t="str">
        <f aca="false">'الملخص الشهري'!B12</f>
        <v>يوليو</v>
      </c>
      <c r="C66" s="67" t="n">
        <f aca="false">'الملخص الشهري'!N12</f>
        <v>190501.947773973</v>
      </c>
      <c r="D66" s="67" t="n">
        <f aca="false">'الملخص الشهري'!L12+'الملخص الشهري'!O12</f>
        <v>28153.125</v>
      </c>
      <c r="E66" s="67" t="n">
        <f aca="false">'الملخص الشهري'!M12</f>
        <v>0</v>
      </c>
      <c r="F66" s="67" t="n">
        <f aca="false">'الملخص الشهري'!P12+'الملخص الشهري'!Q12+'الملخص الشهري'!R12</f>
        <v>29536.6301369863</v>
      </c>
      <c r="G66" s="67" t="n">
        <f aca="false">'الملخص الشهري'!S12+'الملخص الشهري'!T12</f>
        <v>6466.66666666667</v>
      </c>
      <c r="H66" s="72" t="n">
        <f aca="false">SUM(C66:G66)</f>
        <v>254658.369577626</v>
      </c>
    </row>
    <row r="67" customFormat="false" ht="15" hidden="false" customHeight="false" outlineLevel="0" collapsed="false">
      <c r="B67" s="80" t="str">
        <f aca="false">'الملخص الشهري'!B13</f>
        <v>أغسطس</v>
      </c>
      <c r="C67" s="81" t="n">
        <f aca="false">'الملخص الشهري'!N13</f>
        <v>180702.1875</v>
      </c>
      <c r="D67" s="81" t="n">
        <f aca="false">'الملخص الشهري'!L13+'الملخص الشهري'!O13</f>
        <v>28153.125</v>
      </c>
      <c r="E67" s="81" t="n">
        <f aca="false">'الملخص الشهري'!M13</f>
        <v>0</v>
      </c>
      <c r="F67" s="81" t="n">
        <f aca="false">'الملخص الشهري'!P13+'الملخص الشهري'!Q13+'الملخص الشهري'!R13</f>
        <v>29436.7671232877</v>
      </c>
      <c r="G67" s="81" t="n">
        <f aca="false">'الملخص الشهري'!S13+'الملخص الشهري'!T13</f>
        <v>6466.66666666667</v>
      </c>
      <c r="H67" s="82" t="n">
        <f aca="false">SUM(C67:G67)</f>
        <v>244758.746289954</v>
      </c>
    </row>
    <row r="68" customFormat="false" ht="15" hidden="false" customHeight="false" outlineLevel="0" collapsed="false">
      <c r="B68" s="68" t="str">
        <f aca="false">'الملخص الشهري'!B14</f>
        <v>سبتمبر</v>
      </c>
      <c r="C68" s="67" t="n">
        <f aca="false">'الملخص الشهري'!N14</f>
        <v>175044.270833333</v>
      </c>
      <c r="D68" s="67" t="n">
        <f aca="false">'الملخص الشهري'!L14+'الملخص الشهري'!O14</f>
        <v>28153.125</v>
      </c>
      <c r="E68" s="67" t="n">
        <f aca="false">'الملخص الشهري'!M14</f>
        <v>250</v>
      </c>
      <c r="F68" s="67" t="n">
        <f aca="false">'الملخص الشهري'!P14+'الملخص الشهري'!Q14+'الملخص الشهري'!R14</f>
        <v>27526.0273972603</v>
      </c>
      <c r="G68" s="67" t="n">
        <f aca="false">'الملخص الشهري'!S14+'الملخص الشهري'!T14</f>
        <v>6466.66666666667</v>
      </c>
      <c r="H68" s="72" t="n">
        <f aca="false">SUM(C68:G68)</f>
        <v>237440.08989726</v>
      </c>
    </row>
    <row r="69" customFormat="false" ht="15" hidden="false" customHeight="false" outlineLevel="0" collapsed="false">
      <c r="B69" s="80" t="str">
        <f aca="false">'الملخص الشهري'!B15</f>
        <v>أكتوبر</v>
      </c>
      <c r="C69" s="81" t="n">
        <f aca="false">'الملخص الشهري'!N15</f>
        <v>169506.354166667</v>
      </c>
      <c r="D69" s="81" t="n">
        <f aca="false">'الملخص الشهري'!L15+'الملخص الشهري'!O15</f>
        <v>28153.125</v>
      </c>
      <c r="E69" s="81" t="n">
        <f aca="false">'الملخص الشهري'!M15</f>
        <v>0</v>
      </c>
      <c r="F69" s="81" t="n">
        <f aca="false">'الملخص الشهري'!P15+'الملخص الشهري'!Q15+'الملخص الشهري'!R15</f>
        <v>27709.506849315</v>
      </c>
      <c r="G69" s="81" t="n">
        <f aca="false">'الملخص الشهري'!S15+'الملخص الشهري'!T15</f>
        <v>6466.66666666667</v>
      </c>
      <c r="H69" s="82" t="n">
        <f aca="false">SUM(C69:G69)</f>
        <v>231835.652682648</v>
      </c>
    </row>
    <row r="70" customFormat="false" ht="15" hidden="false" customHeight="false" outlineLevel="0" collapsed="false">
      <c r="B70" s="68" t="str">
        <f aca="false">'الملخص الشهري'!B16</f>
        <v>نوفمبر</v>
      </c>
      <c r="C70" s="67" t="n">
        <f aca="false">'الملخص الشهري'!N16</f>
        <v>182204.6875</v>
      </c>
      <c r="D70" s="67" t="n">
        <f aca="false">'الملخص الشهري'!L16+'الملخص الشهري'!O16</f>
        <v>28153.125</v>
      </c>
      <c r="E70" s="67" t="n">
        <f aca="false">'الملخص الشهري'!M16</f>
        <v>0</v>
      </c>
      <c r="F70" s="67" t="n">
        <f aca="false">'الملخص الشهري'!P16+'الملخص الشهري'!Q16+'الملخص الشهري'!R16</f>
        <v>28583.8356164384</v>
      </c>
      <c r="G70" s="67" t="n">
        <f aca="false">'الملخص الشهري'!S16+'الملخص الشهري'!T16</f>
        <v>6466.66666666667</v>
      </c>
      <c r="H70" s="72" t="n">
        <f aca="false">SUM(C70:G70)</f>
        <v>245408.314783105</v>
      </c>
    </row>
    <row r="71" customFormat="false" ht="15" hidden="false" customHeight="false" outlineLevel="0" collapsed="false">
      <c r="B71" s="80" t="str">
        <f aca="false">'الملخص الشهري'!B17</f>
        <v>ديسمبر</v>
      </c>
      <c r="C71" s="81" t="n">
        <f aca="false">'الملخص الشهري'!N17</f>
        <v>181704.6875</v>
      </c>
      <c r="D71" s="81" t="n">
        <f aca="false">'الملخص الشهري'!L17+'الملخص الشهري'!O17</f>
        <v>28153.125</v>
      </c>
      <c r="E71" s="81" t="n">
        <f aca="false">'الملخص الشهري'!M17</f>
        <v>0</v>
      </c>
      <c r="F71" s="81" t="n">
        <f aca="false">'الملخص الشهري'!P17+'الملخص الشهري'!Q17+'الملخص الشهري'!R17</f>
        <v>29536.6301369863</v>
      </c>
      <c r="G71" s="81" t="n">
        <f aca="false">'الملخص الشهري'!S17+'الملخص الشهري'!T17</f>
        <v>6466.66666666667</v>
      </c>
      <c r="H71" s="82" t="n">
        <f aca="false">SUM(C71:G71)</f>
        <v>245861.109303653</v>
      </c>
    </row>
    <row r="72" customFormat="false" ht="15" hidden="false" customHeight="false" outlineLevel="0" collapsed="false">
      <c r="B72" s="83" t="s">
        <v>169</v>
      </c>
      <c r="C72" s="84" t="n">
        <f aca="false">SUM(C60:C71)</f>
        <v>2184109.34360731</v>
      </c>
      <c r="D72" s="84" t="n">
        <f aca="false">SUM(D60:D71)</f>
        <v>330202.5</v>
      </c>
      <c r="E72" s="84" t="n">
        <f aca="false">SUM(E60:E71)</f>
        <v>5350</v>
      </c>
      <c r="F72" s="84" t="n">
        <f aca="false">SUM(F60:F71)</f>
        <v>347603.917808219</v>
      </c>
      <c r="G72" s="84" t="n">
        <f aca="false">SUM(G60:G71)</f>
        <v>82931.6666666667</v>
      </c>
      <c r="H72" s="84" t="n">
        <f aca="false">SUM(H60:H71)</f>
        <v>2950197.42808219</v>
      </c>
    </row>
    <row r="73" customFormat="false" ht="15" hidden="false" customHeight="false" outlineLevel="0" collapsed="false">
      <c r="B73" s="77" t="str">
        <f aca="false">IF(ROUND(H72-'الملخص الشهري'!U18,0)=0,"✔ مطابق لإجمالي تكلفة العمالة في الملخص الشهري","✖ غير مطابق")</f>
        <v>✔ مطابق لإجمالي تكلفة العمالة في الملخص الشهري</v>
      </c>
      <c r="C73" s="77"/>
      <c r="D73" s="77"/>
      <c r="E73" s="77"/>
      <c r="F73" s="77"/>
      <c r="G73" s="77"/>
      <c r="H73" s="77"/>
    </row>
    <row r="75" customFormat="false" ht="25.5" hidden="false" customHeight="true" outlineLevel="0" collapsed="false">
      <c r="B75" s="24" t="s">
        <v>170</v>
      </c>
      <c r="C75" s="24"/>
      <c r="D75" s="24"/>
      <c r="E75" s="24"/>
      <c r="F75" s="24"/>
      <c r="G75" s="24"/>
      <c r="H75" s="24"/>
      <c r="I75" s="24"/>
      <c r="J75" s="24"/>
      <c r="K75" s="24"/>
      <c r="L75" s="24"/>
      <c r="M75" s="24"/>
      <c r="N75" s="24"/>
    </row>
  </sheetData>
  <sheetProtection sheet="true" password="ffa5" objects="true" scenarios="true"/>
  <mergeCells count="60">
    <mergeCell ref="B1:N1"/>
    <mergeCell ref="B2:N2"/>
    <mergeCell ref="K3:L3"/>
    <mergeCell ref="M3:N3"/>
    <mergeCell ref="B5:N5"/>
    <mergeCell ref="B6:D6"/>
    <mergeCell ref="E6:G6"/>
    <mergeCell ref="H6:J6"/>
    <mergeCell ref="K6:N6"/>
    <mergeCell ref="B7:D7"/>
    <mergeCell ref="E7:G7"/>
    <mergeCell ref="H7:J7"/>
    <mergeCell ref="K7:N7"/>
    <mergeCell ref="B9:N9"/>
    <mergeCell ref="B10:D10"/>
    <mergeCell ref="E10:G10"/>
    <mergeCell ref="H10:J10"/>
    <mergeCell ref="K10:N10"/>
    <mergeCell ref="B11:D11"/>
    <mergeCell ref="E11:G11"/>
    <mergeCell ref="H11:J11"/>
    <mergeCell ref="K11:N11"/>
    <mergeCell ref="B13:N13"/>
    <mergeCell ref="B14:D14"/>
    <mergeCell ref="E14:G14"/>
    <mergeCell ref="H14:J14"/>
    <mergeCell ref="K14:N14"/>
    <mergeCell ref="B15:D15"/>
    <mergeCell ref="E15:G15"/>
    <mergeCell ref="H15:J15"/>
    <mergeCell ref="K15:N15"/>
    <mergeCell ref="B17:N17"/>
    <mergeCell ref="B18:D18"/>
    <mergeCell ref="E18:G18"/>
    <mergeCell ref="H18:J18"/>
    <mergeCell ref="K18:N18"/>
    <mergeCell ref="B19:D19"/>
    <mergeCell ref="E19:G19"/>
    <mergeCell ref="H19:J19"/>
    <mergeCell ref="K19:N19"/>
    <mergeCell ref="B21:G21"/>
    <mergeCell ref="I21:N21"/>
    <mergeCell ref="B22:E22"/>
    <mergeCell ref="L22:N22"/>
    <mergeCell ref="B23:E23"/>
    <mergeCell ref="L23:N23"/>
    <mergeCell ref="B24:E24"/>
    <mergeCell ref="L24:N24"/>
    <mergeCell ref="B25:E25"/>
    <mergeCell ref="B26:E26"/>
    <mergeCell ref="B27:E27"/>
    <mergeCell ref="B28:E28"/>
    <mergeCell ref="B29:E29"/>
    <mergeCell ref="B30:E30"/>
    <mergeCell ref="F30:G30"/>
    <mergeCell ref="B38:G38"/>
    <mergeCell ref="B56:G56"/>
    <mergeCell ref="B58:N58"/>
    <mergeCell ref="B73:H73"/>
    <mergeCell ref="B75:N75"/>
  </mergeCells>
  <conditionalFormatting sqref="F30">
    <cfRule type="expression" priority="2" aboveAverage="0" equalAverage="0" bottom="0" percent="0" rank="0" text="" dxfId="0">
      <formula>ISNUMBER(SEARCH("✔",F30))</formula>
    </cfRule>
    <cfRule type="expression" priority="3" aboveAverage="0" equalAverage="0" bottom="0" percent="0" rank="0" text="" dxfId="1">
      <formula>ISNUMBER(SEARCH("✖",F30))</formula>
    </cfRule>
    <cfRule type="expression" priority="4" aboveAverage="0" equalAverage="0" bottom="0" percent="0" rank="0" text="" dxfId="2">
      <formula>ISNUMBER(SEARCH("⚠",F30))</formula>
    </cfRule>
    <cfRule type="expression" priority="5" aboveAverage="0" equalAverage="0" bottom="0" percent="0" rank="0" text="" dxfId="3">
      <formula>ISNUMBER(SEARCH("✈",F30))</formula>
    </cfRule>
    <cfRule type="expression" priority="6" aboveAverage="0" equalAverage="0" bottom="0" percent="0" rank="0" text="" dxfId="1">
      <formula>ISNUMBER(SEARCH("⛔",F30))</formula>
    </cfRule>
    <cfRule type="expression" priority="7" aboveAverage="0" equalAverage="0" bottom="0" percent="0" rank="0" text="" dxfId="0">
      <formula>ISNUMBER(SEARCH("🌴",F30))</formula>
    </cfRule>
    <cfRule type="expression" priority="8" aboveAverage="0" equalAverage="0" bottom="0" percent="0" rank="0" text="" dxfId="4">
      <formula>ISNUMBER(SEARCH("⏳",F30))</formula>
    </cfRule>
  </conditionalFormatting>
  <conditionalFormatting sqref="G22:G29">
    <cfRule type="expression" priority="9" aboveAverage="0" equalAverage="0" bottom="0" percent="0" rank="0" text="" dxfId="0">
      <formula>G22="✔"</formula>
    </cfRule>
    <cfRule type="expression" priority="10" aboveAverage="0" equalAverage="0" bottom="0" percent="0" rank="0" text="" dxfId="2">
      <formula>G22="⚠"</formula>
    </cfRule>
  </conditionalFormatting>
  <conditionalFormatting sqref="B56">
    <cfRule type="expression" priority="11" aboveAverage="0" equalAverage="0" bottom="0" percent="0" rank="0" text="" dxfId="0">
      <formula>ISNUMBER(SEARCH("✔",B56))</formula>
    </cfRule>
    <cfRule type="expression" priority="12" aboveAverage="0" equalAverage="0" bottom="0" percent="0" rank="0" text="" dxfId="1">
      <formula>ISNUMBER(SEARCH("✖",B56))</formula>
    </cfRule>
    <cfRule type="expression" priority="13" aboveAverage="0" equalAverage="0" bottom="0" percent="0" rank="0" text="" dxfId="2">
      <formula>ISNUMBER(SEARCH("⚠",B56))</formula>
    </cfRule>
    <cfRule type="expression" priority="14" aboveAverage="0" equalAverage="0" bottom="0" percent="0" rank="0" text="" dxfId="3">
      <formula>ISNUMBER(SEARCH("✈",B56))</formula>
    </cfRule>
    <cfRule type="expression" priority="15" aboveAverage="0" equalAverage="0" bottom="0" percent="0" rank="0" text="" dxfId="1">
      <formula>ISNUMBER(SEARCH("⛔",B56))</formula>
    </cfRule>
    <cfRule type="expression" priority="16" aboveAverage="0" equalAverage="0" bottom="0" percent="0" rank="0" text="" dxfId="0">
      <formula>ISNUMBER(SEARCH("🌴",B56))</formula>
    </cfRule>
    <cfRule type="expression" priority="17" aboveAverage="0" equalAverage="0" bottom="0" percent="0" rank="0" text="" dxfId="4">
      <formula>ISNUMBER(SEARCH("⏳",B56))</formula>
    </cfRule>
  </conditionalFormatting>
  <conditionalFormatting sqref="B60:H71">
    <cfRule type="expression" priority="18" aboveAverage="0" equalAverage="0" bottom="0" percent="0" rank="0" text="" dxfId="5">
      <formula>ROW()-59=cfg_VAL_M</formula>
    </cfRule>
  </conditionalFormatting>
  <conditionalFormatting sqref="B73">
    <cfRule type="expression" priority="19" aboveAverage="0" equalAverage="0" bottom="0" percent="0" rank="0" text="" dxfId="0">
      <formula>ISNUMBER(SEARCH("✔",B73))</formula>
    </cfRule>
    <cfRule type="expression" priority="20" aboveAverage="0" equalAverage="0" bottom="0" percent="0" rank="0" text="" dxfId="1">
      <formula>ISNUMBER(SEARCH("✖",B73))</formula>
    </cfRule>
    <cfRule type="expression" priority="21" aboveAverage="0" equalAverage="0" bottom="0" percent="0" rank="0" text="" dxfId="2">
      <formula>ISNUMBER(SEARCH("⚠",B73))</formula>
    </cfRule>
    <cfRule type="expression" priority="22" aboveAverage="0" equalAverage="0" bottom="0" percent="0" rank="0" text="" dxfId="3">
      <formula>ISNUMBER(SEARCH("✈",B73))</formula>
    </cfRule>
    <cfRule type="expression" priority="23" aboveAverage="0" equalAverage="0" bottom="0" percent="0" rank="0" text="" dxfId="1">
      <formula>ISNUMBER(SEARCH("⛔",B73))</formula>
    </cfRule>
    <cfRule type="expression" priority="24" aboveAverage="0" equalAverage="0" bottom="0" percent="0" rank="0" text="" dxfId="0">
      <formula>ISNUMBER(SEARCH("🌴",B73))</formula>
    </cfRule>
    <cfRule type="expression" priority="25" aboveAverage="0" equalAverage="0" bottom="0" percent="0" rank="0" text="" dxfId="4">
      <formula>ISNUMBER(SEARCH("⏳",B73))</formula>
    </cfRule>
  </conditionalFormatting>
  <hyperlinks>
    <hyperlink ref="B2" r:id="rId1" display="https://accopro.net/"/>
    <hyperlink ref="B3" location="'الرئيسية'!A1" display="🏠 الرئيسية"/>
    <hyperlink ref="C3" location="'الإعدادات'!A1" display="⚙ الإعدادات"/>
    <hyperlink ref="D3" location="'الموظفون'!A1" display="👥 الموظفون"/>
    <hyperlink ref="E3" location="'سجل الإجازات والحالات'!A1" display="🌴 سجل الإجازات"/>
    <hyperlink ref="F3" location="'الحركات الشهرية'!A1" display="✍ الحركات"/>
    <hyperlink ref="G3" location="'الإقامات ورخص العمل'!A1" display="🪪 الإقامات"/>
    <hyperlink ref="H3" location="'الملخص الشهري'!A1" display="📅 الملخص الشهري"/>
    <hyperlink ref="M3" r:id="rId2" display="🛒 اشترِ الكاملة"/>
    <hyperlink ref="E6" location="'سجل الإجازات والحالات'!A1" display="في إجازة / إيقاف حالياً"/>
    <hyperlink ref="B14" location="'الإقامات ورخص العمل'!A1" display="المحمّل حتى تاريخه (إقامة + رخص + طبي)"/>
    <hyperlink ref="H14" location="'الإقامات ورخص العمل'!A1" display="تجديدات متوقعة خلال فترة التنبيه"/>
    <hyperlink ref="B18" location="'مخصص نهاية الخدمة'!A1" display="مخصص نهاية الخدمة"/>
    <hyperlink ref="E18" location="'مخصص الإجازات'!A1" display="مخصص الإجازات"/>
    <hyperlink ref="H18" location="'مخصص التذاكر'!A1" display="مخصص تذاكر السفر"/>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&amp;Cنسخة تجريبية — النسخة الكاملة: accopro.net</oddHeader>
    <oddFooter>&amp;CAccoPro — https://accopro.net</oddFooter>
  </headerFooter>
  <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R51"/>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3" min="3" style="0" width="18"/>
    <col collapsed="false" customWidth="true" hidden="false" outlineLevel="0" max="4" min="4" style="0" width="58"/>
    <col collapsed="false" customWidth="true" hidden="false" outlineLevel="0" max="5" min="5" style="0" width="3"/>
    <col collapsed="false" customWidth="true" hidden="false" outlineLevel="0" max="6" min="6" style="0" width="20"/>
    <col collapsed="false" customWidth="true" hidden="false" outlineLevel="0" max="7" min="7" style="0" width="22"/>
    <col collapsed="false" customWidth="true" hidden="false" outlineLevel="0" max="8" min="8" style="0" width="9"/>
    <col collapsed="false" customWidth="true" hidden="false" outlineLevel="0" max="9" min="9" style="0" width="14"/>
    <col collapsed="false" customWidth="true" hidden="false" outlineLevel="0" max="10" min="10" style="0" width="11"/>
    <col collapsed="false" customWidth="true" hidden="false" outlineLevel="0" max="11" min="11" style="0" width="16"/>
    <col collapsed="false" customWidth="true" hidden="false" outlineLevel="0" max="12" min="12" style="0" width="3"/>
    <col collapsed="false" customWidth="true" hidden="false" outlineLevel="0" max="13" min="13" style="0" width="40"/>
    <col collapsed="false" customWidth="true" hidden="false" outlineLevel="0" max="17" min="14" style="0" width="11"/>
    <col collapsed="false" customWidth="true" hidden="false" outlineLevel="0" max="18" min="18" style="0" width="60"/>
  </cols>
  <sheetData>
    <row r="1" customFormat="false" ht="37.5" hidden="false" customHeight="true" outlineLevel="0" collapsed="false">
      <c r="B1" s="1" t="s">
        <v>171</v>
      </c>
      <c r="C1" s="1"/>
      <c r="D1" s="1"/>
      <c r="E1" s="1"/>
      <c r="F1" s="1"/>
      <c r="G1" s="1"/>
      <c r="H1" s="1"/>
      <c r="I1" s="1"/>
      <c r="J1" s="1"/>
      <c r="K1" s="1"/>
    </row>
    <row r="2" customFormat="false" ht="19.5" hidden="false" customHeight="true" outlineLevel="0" collapsed="false">
      <c r="B2" s="2" t="str">
        <f aca="false">"🛒 نسخة تجريبية — للنسخة الكاملة اضغط هنا ← accopro.net   |   "&amp;cfg_CO&amp;"   |   السنة المالية "&amp;cfg_FY&amp;"   |   شهر التقرير: "&amp;INDEX(L_MONTH,cfg_VAL_M)&amp;"   |   المبالغ بـ "&amp;cfg_CUR</f>
        <v>🛒 نسخة تجريبية — للنسخة الكاملة اضغط هنا ← accopro.net   |   شركة النخبة للتجارة والمقاولات   |   السنة المالية 2026   |   شهر التقرير: سبتمبر   |   المبالغ بـ ريال سعودي</v>
      </c>
      <c r="C2" s="2"/>
      <c r="D2" s="2"/>
      <c r="E2" s="2"/>
      <c r="F2" s="2"/>
      <c r="G2" s="2"/>
      <c r="H2" s="2"/>
      <c r="I2" s="2"/>
      <c r="J2" s="2"/>
      <c r="K2" s="2"/>
    </row>
    <row r="3" customFormat="false" ht="25.5" hidden="false" customHeight="true" outlineLevel="0" collapsed="false">
      <c r="B3" s="31" t="s">
        <v>114</v>
      </c>
      <c r="C3" s="12" t="s">
        <v>172</v>
      </c>
      <c r="D3" s="32" t="s">
        <v>116</v>
      </c>
      <c r="F3" s="33" t="s">
        <v>117</v>
      </c>
      <c r="G3" s="32" t="s">
        <v>118</v>
      </c>
      <c r="H3" s="34" t="s">
        <v>119</v>
      </c>
      <c r="I3" s="32" t="s">
        <v>39</v>
      </c>
      <c r="J3" s="32" t="s">
        <v>173</v>
      </c>
      <c r="K3" s="32" t="s">
        <v>174</v>
      </c>
    </row>
    <row r="4" customFormat="false" ht="7.5" hidden="false" customHeight="true" outlineLevel="0" collapsed="false"/>
    <row r="5" customFormat="false" ht="48" hidden="false" customHeight="true" outlineLevel="0" collapsed="false">
      <c r="B5" s="6" t="s">
        <v>175</v>
      </c>
      <c r="C5" s="6" t="s">
        <v>176</v>
      </c>
      <c r="D5" s="6" t="s">
        <v>177</v>
      </c>
      <c r="F5" s="85" t="s">
        <v>178</v>
      </c>
      <c r="G5" s="85" t="s">
        <v>179</v>
      </c>
      <c r="H5" s="85" t="s">
        <v>180</v>
      </c>
      <c r="I5" s="85" t="s">
        <v>181</v>
      </c>
      <c r="J5" s="85" t="s">
        <v>182</v>
      </c>
      <c r="K5" s="85" t="s">
        <v>183</v>
      </c>
      <c r="M5" s="63" t="s">
        <v>184</v>
      </c>
      <c r="N5" s="63" t="s">
        <v>185</v>
      </c>
      <c r="O5" s="63" t="s">
        <v>186</v>
      </c>
      <c r="P5" s="63" t="s">
        <v>187</v>
      </c>
      <c r="Q5" s="63" t="s">
        <v>188</v>
      </c>
      <c r="R5" s="63" t="s">
        <v>189</v>
      </c>
    </row>
    <row r="6" customFormat="false" ht="27.75" hidden="false" customHeight="true" outlineLevel="0" collapsed="false">
      <c r="B6" s="86" t="s">
        <v>190</v>
      </c>
      <c r="C6" s="87" t="s">
        <v>191</v>
      </c>
      <c r="D6" s="88" t="s">
        <v>192</v>
      </c>
      <c r="F6" s="89" t="s">
        <v>193</v>
      </c>
      <c r="G6" s="90" t="s">
        <v>194</v>
      </c>
      <c r="H6" s="90" t="s">
        <v>195</v>
      </c>
      <c r="I6" s="90" t="s">
        <v>147</v>
      </c>
      <c r="J6" s="90" t="s">
        <v>196</v>
      </c>
      <c r="K6" s="90" t="s">
        <v>7</v>
      </c>
      <c r="M6" s="91" t="s">
        <v>197</v>
      </c>
      <c r="N6" s="92" t="n">
        <v>1</v>
      </c>
      <c r="O6" s="89" t="s">
        <v>195</v>
      </c>
      <c r="P6" s="89" t="s">
        <v>195</v>
      </c>
      <c r="Q6" s="89" t="s">
        <v>198</v>
      </c>
      <c r="R6" s="93" t="s">
        <v>199</v>
      </c>
    </row>
    <row r="7" customFormat="false" ht="27.75" hidden="false" customHeight="true" outlineLevel="0" collapsed="false">
      <c r="B7" s="86" t="s">
        <v>200</v>
      </c>
      <c r="C7" s="94" t="n">
        <v>2026</v>
      </c>
      <c r="D7" s="88" t="s">
        <v>201</v>
      </c>
      <c r="F7" s="89" t="s">
        <v>202</v>
      </c>
      <c r="G7" s="90" t="s">
        <v>203</v>
      </c>
      <c r="H7" s="90" t="s">
        <v>198</v>
      </c>
      <c r="I7" s="90" t="s">
        <v>149</v>
      </c>
      <c r="J7" s="90" t="s">
        <v>204</v>
      </c>
      <c r="K7" s="90" t="s">
        <v>12</v>
      </c>
      <c r="M7" s="91" t="s">
        <v>205</v>
      </c>
      <c r="N7" s="92" t="n">
        <v>1</v>
      </c>
      <c r="O7" s="89" t="s">
        <v>195</v>
      </c>
      <c r="P7" s="89" t="s">
        <v>195</v>
      </c>
      <c r="Q7" s="89" t="s">
        <v>195</v>
      </c>
      <c r="R7" s="93" t="s">
        <v>206</v>
      </c>
    </row>
    <row r="8" customFormat="false" ht="27.75" hidden="false" customHeight="true" outlineLevel="0" collapsed="false">
      <c r="B8" s="86" t="s">
        <v>207</v>
      </c>
      <c r="C8" s="87" t="s">
        <v>208</v>
      </c>
      <c r="D8" s="88"/>
      <c r="F8" s="89" t="s">
        <v>209</v>
      </c>
      <c r="G8" s="90" t="s">
        <v>210</v>
      </c>
      <c r="J8" s="90" t="s">
        <v>211</v>
      </c>
      <c r="K8" s="90" t="s">
        <v>17</v>
      </c>
      <c r="M8" s="91" t="s">
        <v>212</v>
      </c>
      <c r="N8" s="92" t="n">
        <v>0</v>
      </c>
      <c r="O8" s="89" t="s">
        <v>198</v>
      </c>
      <c r="P8" s="89" t="s">
        <v>198</v>
      </c>
      <c r="Q8" s="89" t="s">
        <v>198</v>
      </c>
      <c r="R8" s="93" t="s">
        <v>213</v>
      </c>
    </row>
    <row r="9" customFormat="false" ht="30" hidden="false" customHeight="true" outlineLevel="0" collapsed="false">
      <c r="B9" s="86" t="s">
        <v>214</v>
      </c>
      <c r="C9" s="95" t="n">
        <v>9</v>
      </c>
      <c r="D9" s="88" t="s">
        <v>215</v>
      </c>
      <c r="E9" s="96" t="s">
        <v>216</v>
      </c>
      <c r="F9" s="89" t="s">
        <v>217</v>
      </c>
      <c r="G9" s="90" t="s">
        <v>218</v>
      </c>
      <c r="J9" s="90" t="s">
        <v>219</v>
      </c>
      <c r="K9" s="90" t="s">
        <v>22</v>
      </c>
      <c r="M9" s="91" t="s">
        <v>220</v>
      </c>
      <c r="N9" s="92" t="n">
        <v>1</v>
      </c>
      <c r="O9" s="89" t="s">
        <v>198</v>
      </c>
      <c r="P9" s="89" t="s">
        <v>195</v>
      </c>
      <c r="Q9" s="89" t="s">
        <v>198</v>
      </c>
      <c r="R9" s="93" t="s">
        <v>221</v>
      </c>
    </row>
    <row r="10" customFormat="false" ht="27.75" hidden="false" customHeight="true" outlineLevel="0" collapsed="false">
      <c r="B10" s="86" t="s">
        <v>222</v>
      </c>
      <c r="C10" s="97" t="n">
        <f aca="false">DATE(cfg_FY,1,1)</f>
        <v>46023</v>
      </c>
      <c r="D10" s="88" t="s">
        <v>223</v>
      </c>
      <c r="F10" s="89" t="s">
        <v>224</v>
      </c>
      <c r="G10" s="90" t="s">
        <v>225</v>
      </c>
      <c r="J10" s="90" t="s">
        <v>226</v>
      </c>
      <c r="K10" s="90" t="s">
        <v>27</v>
      </c>
      <c r="M10" s="91" t="s">
        <v>227</v>
      </c>
      <c r="N10" s="92" t="n">
        <v>0.75</v>
      </c>
      <c r="O10" s="89" t="s">
        <v>198</v>
      </c>
      <c r="P10" s="89" t="s">
        <v>195</v>
      </c>
      <c r="Q10" s="89" t="s">
        <v>198</v>
      </c>
      <c r="R10" s="93" t="s">
        <v>228</v>
      </c>
    </row>
    <row r="11" customFormat="false" ht="27.75" hidden="false" customHeight="true" outlineLevel="0" collapsed="false">
      <c r="B11" s="86" t="s">
        <v>229</v>
      </c>
      <c r="C11" s="97" t="n">
        <f aca="false">EOMONTH(DATE(cfg_FY,cfg_VAL_M,1),0)</f>
        <v>46295</v>
      </c>
      <c r="D11" s="88" t="s">
        <v>223</v>
      </c>
      <c r="F11" s="89" t="s">
        <v>230</v>
      </c>
      <c r="J11" s="90" t="s">
        <v>231</v>
      </c>
      <c r="K11" s="90" t="s">
        <v>31</v>
      </c>
      <c r="M11" s="91" t="s">
        <v>232</v>
      </c>
      <c r="N11" s="92" t="n">
        <v>0</v>
      </c>
      <c r="O11" s="89" t="s">
        <v>198</v>
      </c>
      <c r="P11" s="89" t="s">
        <v>195</v>
      </c>
      <c r="Q11" s="89" t="s">
        <v>198</v>
      </c>
      <c r="R11" s="93" t="s">
        <v>233</v>
      </c>
    </row>
    <row r="12" customFormat="false" ht="27.75" hidden="false" customHeight="true" outlineLevel="0" collapsed="false">
      <c r="B12" s="20" t="s">
        <v>234</v>
      </c>
      <c r="C12" s="20"/>
      <c r="D12" s="20"/>
      <c r="F12" s="89" t="s">
        <v>235</v>
      </c>
      <c r="J12" s="90" t="s">
        <v>236</v>
      </c>
      <c r="K12" s="90" t="s">
        <v>8</v>
      </c>
      <c r="M12" s="91" t="s">
        <v>237</v>
      </c>
      <c r="N12" s="92" t="n">
        <v>1</v>
      </c>
      <c r="O12" s="89" t="s">
        <v>198</v>
      </c>
      <c r="P12" s="89" t="s">
        <v>195</v>
      </c>
      <c r="Q12" s="89" t="s">
        <v>198</v>
      </c>
      <c r="R12" s="93" t="s">
        <v>238</v>
      </c>
    </row>
    <row r="13" customFormat="false" ht="30" hidden="false" customHeight="true" outlineLevel="0" collapsed="false">
      <c r="B13" s="86" t="s">
        <v>239</v>
      </c>
      <c r="C13" s="94" t="n">
        <v>30</v>
      </c>
      <c r="D13" s="88" t="s">
        <v>240</v>
      </c>
      <c r="F13" s="89"/>
      <c r="J13" s="90" t="s">
        <v>241</v>
      </c>
      <c r="K13" s="90" t="s">
        <v>13</v>
      </c>
      <c r="M13" s="91" t="s">
        <v>242</v>
      </c>
      <c r="N13" s="92" t="n">
        <v>0</v>
      </c>
      <c r="O13" s="89" t="s">
        <v>198</v>
      </c>
      <c r="P13" s="89" t="s">
        <v>195</v>
      </c>
      <c r="Q13" s="89" t="s">
        <v>198</v>
      </c>
      <c r="R13" s="93" t="s">
        <v>243</v>
      </c>
    </row>
    <row r="14" customFormat="false" ht="27.75" hidden="false" customHeight="true" outlineLevel="0" collapsed="false">
      <c r="B14" s="86" t="s">
        <v>244</v>
      </c>
      <c r="C14" s="94" t="n">
        <v>8</v>
      </c>
      <c r="D14" s="88" t="s">
        <v>245</v>
      </c>
      <c r="F14" s="89"/>
      <c r="J14" s="90" t="s">
        <v>246</v>
      </c>
      <c r="K14" s="90" t="s">
        <v>18</v>
      </c>
      <c r="M14" s="91" t="s">
        <v>247</v>
      </c>
      <c r="N14" s="92" t="n">
        <v>0</v>
      </c>
      <c r="O14" s="89" t="s">
        <v>198</v>
      </c>
      <c r="P14" s="89" t="s">
        <v>198</v>
      </c>
      <c r="Q14" s="89" t="s">
        <v>198</v>
      </c>
      <c r="R14" s="93" t="s">
        <v>248</v>
      </c>
    </row>
    <row r="15" customFormat="false" ht="27.75" hidden="false" customHeight="true" outlineLevel="0" collapsed="false">
      <c r="B15" s="86" t="s">
        <v>249</v>
      </c>
      <c r="C15" s="98" t="n">
        <v>0.5</v>
      </c>
      <c r="D15" s="88" t="s">
        <v>250</v>
      </c>
      <c r="F15" s="89"/>
      <c r="J15" s="90" t="s">
        <v>251</v>
      </c>
      <c r="K15" s="90" t="s">
        <v>23</v>
      </c>
      <c r="M15" s="91" t="s">
        <v>252</v>
      </c>
      <c r="N15" s="92" t="n">
        <v>0</v>
      </c>
      <c r="O15" s="89" t="s">
        <v>198</v>
      </c>
      <c r="P15" s="89" t="s">
        <v>195</v>
      </c>
      <c r="Q15" s="89" t="s">
        <v>198</v>
      </c>
      <c r="R15" s="93" t="s">
        <v>253</v>
      </c>
    </row>
    <row r="16" customFormat="false" ht="27.75" hidden="false" customHeight="true" outlineLevel="0" collapsed="false">
      <c r="B16" s="20" t="s">
        <v>254</v>
      </c>
      <c r="C16" s="20"/>
      <c r="D16" s="20"/>
      <c r="F16" s="89"/>
      <c r="J16" s="90" t="s">
        <v>255</v>
      </c>
      <c r="K16" s="90" t="s">
        <v>28</v>
      </c>
      <c r="M16" s="91"/>
      <c r="N16" s="92"/>
      <c r="O16" s="89"/>
      <c r="P16" s="89"/>
      <c r="Q16" s="89"/>
      <c r="R16" s="93"/>
    </row>
    <row r="17" customFormat="false" ht="30" hidden="false" customHeight="true" outlineLevel="0" collapsed="false">
      <c r="B17" s="86" t="s">
        <v>256</v>
      </c>
      <c r="C17" s="98" t="n">
        <v>0.0975</v>
      </c>
      <c r="D17" s="88" t="s">
        <v>257</v>
      </c>
      <c r="F17" s="89"/>
      <c r="J17" s="90" t="s">
        <v>258</v>
      </c>
      <c r="K17" s="90" t="s">
        <v>32</v>
      </c>
      <c r="M17" s="91"/>
      <c r="N17" s="92"/>
      <c r="O17" s="89"/>
      <c r="P17" s="89"/>
      <c r="Q17" s="89"/>
      <c r="R17" s="93"/>
    </row>
    <row r="18" customFormat="false" ht="21.75" hidden="false" customHeight="true" outlineLevel="0" collapsed="false">
      <c r="B18" s="86" t="s">
        <v>259</v>
      </c>
      <c r="C18" s="98" t="n">
        <v>0.1175</v>
      </c>
      <c r="D18" s="88" t="s">
        <v>260</v>
      </c>
      <c r="F18" s="89"/>
    </row>
    <row r="19" customFormat="false" ht="30" hidden="false" customHeight="true" outlineLevel="0" collapsed="false">
      <c r="B19" s="86" t="s">
        <v>261</v>
      </c>
      <c r="C19" s="98" t="n">
        <v>0</v>
      </c>
      <c r="D19" s="88" t="s">
        <v>262</v>
      </c>
      <c r="F19" s="89"/>
      <c r="M19" s="24" t="s">
        <v>263</v>
      </c>
      <c r="N19" s="24"/>
      <c r="O19" s="24"/>
      <c r="P19" s="24"/>
      <c r="Q19" s="24"/>
      <c r="R19" s="24"/>
    </row>
    <row r="20" customFormat="false" ht="21.75" hidden="false" customHeight="true" outlineLevel="0" collapsed="false">
      <c r="B20" s="86" t="s">
        <v>264</v>
      </c>
      <c r="C20" s="98" t="n">
        <v>0.02</v>
      </c>
      <c r="D20" s="88" t="s">
        <v>265</v>
      </c>
      <c r="F20" s="89"/>
    </row>
    <row r="21" customFormat="false" ht="30" hidden="false" customHeight="true" outlineLevel="0" collapsed="false">
      <c r="B21" s="86" t="s">
        <v>266</v>
      </c>
      <c r="C21" s="99" t="n">
        <v>45000</v>
      </c>
      <c r="D21" s="88" t="s">
        <v>267</v>
      </c>
    </row>
    <row r="22" customFormat="false" ht="21.75" hidden="false" customHeight="true" outlineLevel="0" collapsed="false">
      <c r="B22" s="20" t="s">
        <v>268</v>
      </c>
      <c r="C22" s="20"/>
      <c r="D22" s="20"/>
    </row>
    <row r="23" customFormat="false" ht="21.75" hidden="false" customHeight="true" outlineLevel="0" collapsed="false">
      <c r="B23" s="86" t="s">
        <v>269</v>
      </c>
      <c r="C23" s="94" t="n">
        <v>5</v>
      </c>
      <c r="D23" s="88" t="s">
        <v>270</v>
      </c>
    </row>
    <row r="24" customFormat="false" ht="21.75" hidden="false" customHeight="true" outlineLevel="0" collapsed="false">
      <c r="B24" s="86" t="s">
        <v>271</v>
      </c>
      <c r="C24" s="100" t="n">
        <v>0.5</v>
      </c>
      <c r="D24" s="88"/>
    </row>
    <row r="25" customFormat="false" ht="21.75" hidden="false" customHeight="true" outlineLevel="0" collapsed="false">
      <c r="B25" s="86" t="s">
        <v>272</v>
      </c>
      <c r="C25" s="100" t="n">
        <v>1</v>
      </c>
      <c r="D25" s="88" t="s">
        <v>273</v>
      </c>
    </row>
    <row r="26" customFormat="false" ht="21.75" hidden="false" customHeight="true" outlineLevel="0" collapsed="false">
      <c r="B26" s="86" t="s">
        <v>274</v>
      </c>
      <c r="C26" s="87" t="s">
        <v>195</v>
      </c>
      <c r="D26" s="88" t="s">
        <v>275</v>
      </c>
    </row>
    <row r="27" customFormat="false" ht="21.75" hidden="false" customHeight="true" outlineLevel="0" collapsed="false">
      <c r="B27" s="86" t="s">
        <v>276</v>
      </c>
      <c r="C27" s="87" t="s">
        <v>195</v>
      </c>
      <c r="D27" s="88"/>
    </row>
    <row r="28" customFormat="false" ht="21.75" hidden="false" customHeight="true" outlineLevel="0" collapsed="false">
      <c r="B28" s="86" t="s">
        <v>277</v>
      </c>
      <c r="C28" s="87" t="s">
        <v>198</v>
      </c>
      <c r="D28" s="88"/>
    </row>
    <row r="29" customFormat="false" ht="21.75" hidden="false" customHeight="true" outlineLevel="0" collapsed="false">
      <c r="B29" s="20" t="s">
        <v>278</v>
      </c>
      <c r="C29" s="20"/>
      <c r="D29" s="20"/>
    </row>
    <row r="30" customFormat="false" ht="21.75" hidden="false" customHeight="true" outlineLevel="0" collapsed="false">
      <c r="B30" s="86" t="s">
        <v>279</v>
      </c>
      <c r="C30" s="94" t="n">
        <v>21</v>
      </c>
      <c r="D30" s="88" t="s">
        <v>280</v>
      </c>
    </row>
    <row r="31" customFormat="false" ht="21.75" hidden="false" customHeight="true" outlineLevel="0" collapsed="false">
      <c r="B31" s="86" t="s">
        <v>281</v>
      </c>
      <c r="C31" s="94" t="n">
        <v>30</v>
      </c>
      <c r="D31" s="88" t="s">
        <v>282</v>
      </c>
    </row>
    <row r="32" customFormat="false" ht="21.75" hidden="false" customHeight="true" outlineLevel="0" collapsed="false">
      <c r="B32" s="86" t="s">
        <v>283</v>
      </c>
      <c r="C32" s="94" t="n">
        <v>5</v>
      </c>
      <c r="D32" s="88"/>
    </row>
    <row r="33" customFormat="false" ht="21.75" hidden="false" customHeight="true" outlineLevel="0" collapsed="false">
      <c r="B33" s="86" t="s">
        <v>284</v>
      </c>
      <c r="C33" s="87" t="s">
        <v>195</v>
      </c>
      <c r="D33" s="88"/>
    </row>
    <row r="34" customFormat="false" ht="21.75" hidden="false" customHeight="true" outlineLevel="0" collapsed="false">
      <c r="B34" s="86" t="s">
        <v>285</v>
      </c>
      <c r="C34" s="87" t="s">
        <v>195</v>
      </c>
      <c r="D34" s="88"/>
    </row>
    <row r="35" customFormat="false" ht="21.75" hidden="false" customHeight="true" outlineLevel="0" collapsed="false">
      <c r="B35" s="86" t="s">
        <v>286</v>
      </c>
      <c r="C35" s="87" t="s">
        <v>198</v>
      </c>
      <c r="D35" s="88"/>
    </row>
    <row r="36" customFormat="false" ht="21.75" hidden="false" customHeight="true" outlineLevel="0" collapsed="false">
      <c r="B36" s="86" t="s">
        <v>287</v>
      </c>
      <c r="C36" s="94" t="n">
        <v>365</v>
      </c>
      <c r="D36" s="88"/>
    </row>
    <row r="37" customFormat="false" ht="21.75" hidden="false" customHeight="true" outlineLevel="0" collapsed="false">
      <c r="B37" s="20" t="s">
        <v>288</v>
      </c>
      <c r="C37" s="20"/>
      <c r="D37" s="20"/>
    </row>
    <row r="38" customFormat="false" ht="24" hidden="false" customHeight="true" outlineLevel="0" collapsed="false">
      <c r="B38" s="6" t="s">
        <v>289</v>
      </c>
      <c r="C38" s="6" t="s">
        <v>290</v>
      </c>
      <c r="D38" s="6" t="s">
        <v>189</v>
      </c>
    </row>
    <row r="39" customFormat="false" ht="15" hidden="false" customHeight="false" outlineLevel="0" collapsed="false">
      <c r="B39" s="101" t="n">
        <v>0</v>
      </c>
      <c r="C39" s="98" t="n">
        <v>0</v>
      </c>
      <c r="D39" s="102" t="s">
        <v>291</v>
      </c>
    </row>
    <row r="40" customFormat="false" ht="15" hidden="false" customHeight="false" outlineLevel="0" collapsed="false">
      <c r="B40" s="101" t="n">
        <v>2</v>
      </c>
      <c r="C40" s="103" t="n">
        <f aca="false">1/3</f>
        <v>0.333333333333333</v>
      </c>
      <c r="D40" s="102" t="s">
        <v>292</v>
      </c>
    </row>
    <row r="41" customFormat="false" ht="15" hidden="false" customHeight="false" outlineLevel="0" collapsed="false">
      <c r="B41" s="101" t="n">
        <v>5</v>
      </c>
      <c r="C41" s="103" t="n">
        <f aca="false">2/3</f>
        <v>0.666666666666667</v>
      </c>
      <c r="D41" s="102" t="s">
        <v>293</v>
      </c>
    </row>
    <row r="42" customFormat="false" ht="15" hidden="false" customHeight="false" outlineLevel="0" collapsed="false">
      <c r="B42" s="101" t="n">
        <v>10</v>
      </c>
      <c r="C42" s="98" t="n">
        <v>1</v>
      </c>
      <c r="D42" s="102" t="s">
        <v>294</v>
      </c>
    </row>
    <row r="44" customFormat="false" ht="21.75" hidden="false" customHeight="true" outlineLevel="0" collapsed="false">
      <c r="B44" s="52" t="s">
        <v>295</v>
      </c>
      <c r="C44" s="52"/>
      <c r="D44" s="52"/>
    </row>
    <row r="45" customFormat="false" ht="30" hidden="false" customHeight="true" outlineLevel="0" collapsed="false">
      <c r="B45" s="86" t="s">
        <v>296</v>
      </c>
      <c r="C45" s="99" t="n">
        <v>650</v>
      </c>
      <c r="D45" s="88" t="s">
        <v>297</v>
      </c>
    </row>
    <row r="46" customFormat="false" ht="30" hidden="false" customHeight="true" outlineLevel="0" collapsed="false">
      <c r="B46" s="86" t="s">
        <v>298</v>
      </c>
      <c r="C46" s="99" t="n">
        <v>9600</v>
      </c>
      <c r="D46" s="88" t="s">
        <v>299</v>
      </c>
    </row>
    <row r="47" customFormat="false" ht="21.75" hidden="false" customHeight="true" outlineLevel="0" collapsed="false">
      <c r="B47" s="86" t="s">
        <v>300</v>
      </c>
      <c r="C47" s="99" t="n">
        <v>0</v>
      </c>
      <c r="D47" s="88" t="s">
        <v>301</v>
      </c>
    </row>
    <row r="48" customFormat="false" ht="30" hidden="false" customHeight="true" outlineLevel="0" collapsed="false">
      <c r="B48" s="86" t="s">
        <v>302</v>
      </c>
      <c r="C48" s="104" t="n">
        <f aca="true">TODAY()</f>
        <v>46294</v>
      </c>
      <c r="D48" s="88" t="s">
        <v>303</v>
      </c>
    </row>
    <row r="49" customFormat="false" ht="21.75" hidden="false" customHeight="true" outlineLevel="0" collapsed="false">
      <c r="B49" s="86" t="s">
        <v>304</v>
      </c>
      <c r="C49" s="94" t="n">
        <v>60</v>
      </c>
      <c r="D49" s="88"/>
    </row>
    <row r="51" customFormat="false" ht="33.75" hidden="false" customHeight="true" outlineLevel="0" collapsed="false">
      <c r="B51" s="24" t="s">
        <v>305</v>
      </c>
      <c r="C51" s="24"/>
      <c r="D51" s="24"/>
    </row>
  </sheetData>
  <sheetProtection sheet="true" password="ffa5" objects="true" scenarios="true"/>
  <mergeCells count="10">
    <mergeCell ref="B1:K1"/>
    <mergeCell ref="B2:K2"/>
    <mergeCell ref="B12:D12"/>
    <mergeCell ref="B16:D16"/>
    <mergeCell ref="M19:R19"/>
    <mergeCell ref="B22:D22"/>
    <mergeCell ref="B29:D29"/>
    <mergeCell ref="B37:D37"/>
    <mergeCell ref="B44:D44"/>
    <mergeCell ref="B51:D51"/>
  </mergeCells>
  <dataValidations count="5">
    <dataValidation allowBlank="true" error="من فضلك اختر قيمة من القائمة المنسدلة." errorStyle="stop" errorTitle="قيمة غير مسموحة" operator="between" showDropDown="false" showErrorMessage="true" showInputMessage="false" sqref="C26:C28" type="list">
      <formula1>L_YN</formula1>
      <formula2>0</formula2>
    </dataValidation>
    <dataValidation allowBlank="true" error="من فضلك اختر قيمة من القائمة المنسدلة." errorStyle="stop" errorTitle="قيمة غير مسموحة" operator="between" showDropDown="false" showErrorMessage="true" showInputMessage="false" sqref="C33:C35" type="list">
      <formula1>L_YN</formula1>
      <formula2>0</formula2>
    </dataValidation>
    <dataValidation allowBlank="true" error="شهر التقرير من 1 إلى 12" errorStyle="stop" errorTitle="قيمة غير صحيحة" operator="between" showDropDown="false" showErrorMessage="true" showInputMessage="false" sqref="C9" type="whole">
      <formula1>1</formula1>
      <formula2>12</formula2>
    </dataValidation>
    <dataValidation allowBlank="true" error="القيمة المدخلة خارج النطاق المسموح." errorStyle="stop" errorTitle="قيمة غير صحيحة" operator="between" showDropDown="false" showErrorMessage="true" showInputMessage="false" sqref="C7" type="whole">
      <formula1>2000</formula1>
      <formula2>2100</formula2>
    </dataValidation>
    <dataValidation allowBlank="true" error="من فضلك اختر قيمة من القائمة المنسدلة." errorStyle="stop" errorTitle="قيمة غير مسموحة" operator="between" showDropDown="false" showErrorMessage="true" showInputMessage="false" sqref="O6:Q17" type="list">
      <formula1>L_YN</formula1>
      <formula2>0</formula2>
    </dataValidation>
  </dataValidations>
  <hyperlinks>
    <hyperlink ref="B2" r:id="rId2" display="https://accopro.net/"/>
    <hyperlink ref="B3" location="'الرئيسية'!A1" display="🏠 الرئيسية"/>
    <hyperlink ref="C3" location="'لوحة التحكم'!A1" display="📊 لوحة التحكم"/>
    <hyperlink ref="D3" location="'الموظفون'!A1" display="👥 الموظفون"/>
    <hyperlink ref="F3" location="'سجل الإجازات والحالات'!A1" display="🌴 سجل الإجازات"/>
    <hyperlink ref="G3" location="'الحركات الشهرية'!A1" display="✍ الحركات"/>
    <hyperlink ref="H3" location="'الإقامات ورخص العمل'!A1" display="🪪 الإقامات"/>
    <hyperlink ref="I3" location="'الملخص الشهري'!A1" display="📅 الملخص الشهري"/>
    <hyperlink ref="J3" location="'قيود الرواتب'!A1" display="🧾 القيود"/>
    <hyperlink ref="K3" location="'قسيمة الراتب'!A1" display="💳 القسيمة"/>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&amp;Cنسخة تجريبية — النسخة الكاملة: accopro.net</oddHeader>
    <oddFooter>&amp;CAccoPro — https://accopro.net</oddFooter>
  </headerFooter>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K106"/>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26"/>
    <col collapsed="false" customWidth="true" hidden="false" outlineLevel="0" max="4" min="4" style="0" width="11"/>
    <col collapsed="false" customWidth="true" hidden="false" outlineLevel="0" max="5" min="5" style="0" width="12"/>
    <col collapsed="false" customWidth="true" hidden="false" outlineLevel="0" max="6" min="6" style="0" width="16"/>
    <col collapsed="false" customWidth="true" hidden="false" outlineLevel="0" max="7" min="7" style="0" width="18"/>
    <col collapsed="false" customWidth="true" hidden="false" outlineLevel="0" max="8" min="8" style="0" width="12"/>
    <col collapsed="false" customWidth="true" hidden="false" outlineLevel="0" max="9" min="9" style="0" width="13"/>
    <col collapsed="false" customWidth="true" hidden="false" outlineLevel="0" max="11" min="10" style="0" width="12"/>
    <col collapsed="false" customWidth="true" hidden="false" outlineLevel="0" max="12" min="12" style="0" width="13"/>
    <col collapsed="false" customWidth="true" hidden="false" outlineLevel="0" max="13" min="13" style="0" width="12"/>
    <col collapsed="false" customWidth="true" hidden="false" outlineLevel="0" max="15" min="14" style="0" width="11"/>
    <col collapsed="false" customWidth="true" hidden="false" outlineLevel="0" max="17" min="16" style="0" width="14"/>
    <col collapsed="false" customWidth="true" hidden="false" outlineLevel="0" max="20" min="18" style="0" width="13"/>
    <col collapsed="false" customWidth="true" hidden="false" outlineLevel="0" max="21" min="21" style="0" width="10"/>
    <col collapsed="false" customWidth="true" hidden="false" outlineLevel="0" max="22" min="22" style="0" width="13"/>
    <col collapsed="false" customWidth="true" hidden="false" outlineLevel="0" max="23" min="23" style="0" width="10"/>
    <col collapsed="false" customWidth="true" hidden="false" outlineLevel="0" max="24" min="24" style="0" width="13"/>
    <col collapsed="false" customWidth="true" hidden="false" outlineLevel="0" max="25" min="25" style="0" width="14"/>
    <col collapsed="false" customWidth="true" hidden="false" outlineLevel="0" max="26" min="26" style="0" width="13"/>
    <col collapsed="false" customWidth="true" hidden="false" outlineLevel="0" max="28" min="27" style="0" width="15"/>
    <col collapsed="false" customWidth="true" hidden="false" outlineLevel="0" max="29" min="29" style="0" width="12"/>
    <col collapsed="false" customWidth="true" hidden="false" outlineLevel="0" max="30" min="30" style="0" width="13"/>
    <col collapsed="false" customWidth="true" hidden="false" outlineLevel="0" max="31" min="31" style="0" width="12"/>
    <col collapsed="false" customWidth="true" hidden="false" outlineLevel="0" max="32" min="32" style="0" width="16"/>
    <col collapsed="false" customWidth="true" hidden="false" outlineLevel="0" max="33" min="33" style="0" width="15"/>
    <col collapsed="false" customWidth="true" hidden="false" outlineLevel="0" max="34" min="34" style="0" width="20"/>
    <col collapsed="false" customWidth="true" hidden="false" outlineLevel="0" max="35" min="35" style="0" width="10"/>
    <col collapsed="false" customWidth="true" hidden="false" outlineLevel="0" max="36" min="36" style="0" width="27"/>
    <col collapsed="false" customWidth="true" hidden="false" outlineLevel="0" max="37" min="37" style="0" width="24"/>
  </cols>
  <sheetData>
    <row r="1" customFormat="false" ht="37.5" hidden="false" customHeight="true" outlineLevel="0" collapsed="false">
      <c r="A1" s="1" t="s">
        <v>306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customFormat="false" ht="19.5" hidden="false" customHeight="true" outlineLevel="0" collapsed="false">
      <c r="A2" s="2" t="str">
        <f aca="false">"🛒 نسخة تجريبية — للنسخة الكاملة اضغط هنا ← accopro.net   |   "&amp;cfg_CO&amp;"   |   السنة المالية "&amp;cfg_FY&amp;"   |   شهر التقرير: "&amp;INDEX(L_MONTH,cfg_VAL_M)&amp;"   |   المبالغ بـ "&amp;cfg_CUR</f>
        <v>🛒 نسخة تجريبية — للنسخة الكاملة اضغط هنا ← accopro.net   |   شركة النخبة للتجارة والمقاولات   |   السنة المالية 2026   |   شهر التقرير: سبتمبر   |   المبالغ بـ ريال سعودي</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row>
    <row r="3" customFormat="false" ht="25.5" hidden="false" customHeight="true" outlineLevel="0" collapsed="false">
      <c r="B3" s="31" t="s">
        <v>114</v>
      </c>
      <c r="C3" s="12" t="s">
        <v>172</v>
      </c>
      <c r="E3" s="32" t="s">
        <v>115</v>
      </c>
      <c r="F3" s="33" t="s">
        <v>117</v>
      </c>
      <c r="G3" s="32" t="s">
        <v>118</v>
      </c>
      <c r="H3" s="34" t="s">
        <v>119</v>
      </c>
      <c r="J3" s="32" t="s">
        <v>39</v>
      </c>
      <c r="L3" s="32" t="s">
        <v>173</v>
      </c>
      <c r="M3" s="32" t="s">
        <v>174</v>
      </c>
    </row>
    <row r="4" customFormat="false" ht="19.5" hidden="false" customHeight="true" outlineLevel="0" collapsed="false">
      <c r="A4" s="105" t="s">
        <v>307</v>
      </c>
      <c r="B4" s="105"/>
      <c r="C4" s="105"/>
      <c r="D4" s="105"/>
      <c r="E4" s="105"/>
      <c r="F4" s="105"/>
      <c r="G4" s="105"/>
    </row>
    <row r="5" customFormat="false" ht="66" hidden="false" customHeight="true" outlineLevel="0" collapsed="false">
      <c r="A5" s="6" t="s">
        <v>308</v>
      </c>
      <c r="B5" s="6" t="s">
        <v>309</v>
      </c>
      <c r="C5" s="6" t="s">
        <v>310</v>
      </c>
      <c r="D5" s="6" t="s">
        <v>311</v>
      </c>
      <c r="E5" s="6" t="s">
        <v>181</v>
      </c>
      <c r="F5" s="6" t="s">
        <v>156</v>
      </c>
      <c r="G5" s="6" t="s">
        <v>312</v>
      </c>
      <c r="H5" s="6" t="s">
        <v>313</v>
      </c>
      <c r="I5" s="6" t="s">
        <v>314</v>
      </c>
      <c r="J5" s="6" t="s">
        <v>315</v>
      </c>
      <c r="K5" s="6" t="s">
        <v>316</v>
      </c>
      <c r="L5" s="6" t="s">
        <v>317</v>
      </c>
      <c r="M5" s="6" t="s">
        <v>318</v>
      </c>
      <c r="N5" s="6" t="s">
        <v>319</v>
      </c>
      <c r="O5" s="6" t="s">
        <v>320</v>
      </c>
      <c r="P5" s="6" t="s">
        <v>321</v>
      </c>
      <c r="Q5" s="6" t="s">
        <v>322</v>
      </c>
      <c r="R5" s="6" t="s">
        <v>323</v>
      </c>
      <c r="S5" s="6" t="s">
        <v>324</v>
      </c>
      <c r="T5" s="6" t="s">
        <v>325</v>
      </c>
      <c r="U5" s="6" t="s">
        <v>326</v>
      </c>
      <c r="V5" s="6" t="s">
        <v>327</v>
      </c>
      <c r="W5" s="6" t="s">
        <v>328</v>
      </c>
      <c r="X5" s="6" t="s">
        <v>329</v>
      </c>
      <c r="Y5" s="6" t="s">
        <v>330</v>
      </c>
      <c r="Z5" s="6" t="s">
        <v>331</v>
      </c>
      <c r="AA5" s="6" t="s">
        <v>332</v>
      </c>
      <c r="AB5" s="6" t="s">
        <v>333</v>
      </c>
      <c r="AC5" s="6" t="s">
        <v>334</v>
      </c>
      <c r="AD5" s="6" t="s">
        <v>335</v>
      </c>
      <c r="AE5" s="6" t="s">
        <v>336</v>
      </c>
      <c r="AF5" s="6" t="s">
        <v>337</v>
      </c>
      <c r="AG5" s="6" t="s">
        <v>338</v>
      </c>
      <c r="AH5" s="6" t="s">
        <v>339</v>
      </c>
      <c r="AI5" s="6" t="s">
        <v>340</v>
      </c>
      <c r="AJ5" s="6" t="s">
        <v>341</v>
      </c>
      <c r="AK5" s="6" t="s">
        <v>342</v>
      </c>
    </row>
    <row r="6" customFormat="false" ht="15" hidden="false" customHeight="false" outlineLevel="0" collapsed="false">
      <c r="A6" s="106" t="n">
        <f aca="false">IF(B6="","",ROW()-5)</f>
        <v>1</v>
      </c>
      <c r="B6" s="107" t="s">
        <v>343</v>
      </c>
      <c r="C6" s="107" t="s">
        <v>344</v>
      </c>
      <c r="D6" s="107" t="s">
        <v>147</v>
      </c>
      <c r="E6" s="107" t="s">
        <v>147</v>
      </c>
      <c r="F6" s="107" t="s">
        <v>193</v>
      </c>
      <c r="G6" s="107" t="s">
        <v>345</v>
      </c>
      <c r="H6" s="108" t="n">
        <v>40923</v>
      </c>
      <c r="I6" s="109" t="s">
        <v>346</v>
      </c>
      <c r="J6" s="108" t="n">
        <v>47248</v>
      </c>
      <c r="K6" s="108"/>
      <c r="L6" s="110" t="n">
        <v>28000</v>
      </c>
      <c r="M6" s="110" t="n">
        <v>7000</v>
      </c>
      <c r="N6" s="110" t="n">
        <v>2800</v>
      </c>
      <c r="O6" s="110" t="n">
        <v>3000</v>
      </c>
      <c r="P6" s="111" t="n">
        <f aca="false">IF(B6="","",SUM(L6:O6))</f>
        <v>40800</v>
      </c>
      <c r="Q6" s="111" t="n">
        <f aca="false">IF(B6="","",L6+IF(cfg_EOS_H="نعم",M6,0)+IF(cfg_EOS_T="نعم",N6,0)+IF(cfg_EOS_O="نعم",O6,0))</f>
        <v>37800</v>
      </c>
      <c r="R6" s="111" t="n">
        <f aca="false">IF(B6="","",L6+IF(cfg_LV_H="نعم",M6,0)+IF(cfg_LV_T="نعم",N6,0)+IF(cfg_LV_O="نعم",O6,0))</f>
        <v>37800</v>
      </c>
      <c r="S6" s="111" t="n">
        <f aca="false">IF(B6="","",MIN(cfg_G_CAP,L6+M6))</f>
        <v>35000</v>
      </c>
      <c r="T6" s="112"/>
      <c r="U6" s="107" t="s">
        <v>198</v>
      </c>
      <c r="V6" s="110" t="n">
        <v>0</v>
      </c>
      <c r="W6" s="112" t="n">
        <v>12</v>
      </c>
      <c r="X6" s="110"/>
      <c r="Y6" s="110"/>
      <c r="Z6" s="110" t="n">
        <v>4800</v>
      </c>
      <c r="AA6" s="110"/>
      <c r="AB6" s="111" t="n">
        <f aca="false">IF(B6="","",IF(X6&lt;&gt;"",X6,IF(E6="غير سعودي",cfg_IQ,0))+IF(Y6&lt;&gt;"",Y6,IF(E6="غير سعودي",cfg_WP,0))+IF(Z6&lt;&gt;"",Z6,cfg_MED)+N(AA6))</f>
        <v>4800</v>
      </c>
      <c r="AC6" s="113" t="n">
        <v>18</v>
      </c>
      <c r="AD6" s="110" t="n">
        <v>0</v>
      </c>
      <c r="AE6" s="108"/>
      <c r="AF6" s="107"/>
      <c r="AG6" s="114" t="str">
        <f aca="false">IF(B6="","",IF(AND(AE6&lt;&gt;"",AE6&lt;=cfg_VAL_DATE),"✖ منتهي الخدمة",IF(H6&gt;cfg_VAL_DATE,"⏳ لم يباشر بعد","✔ على رأس العمل")))</f>
        <v>✔ على رأس العمل</v>
      </c>
      <c r="AH6" s="114" t="str">
        <f aca="false">IF(B6="","",IF(AG6&lt;&gt;"✔ على رأس العمل",AG6,IF(COUNTIFS('سجل الإجازات والحالات'!$B$6:$B$505,B6,'سجل الإجازات والحالات'!$E$6:$E$505,"&lt;="&amp;cfg_VAL_DATE,'سجل الإجازات والحالات'!$F$6:$F$505,"&gt;="&amp;cfg_VAL_DATE)&gt;0,"✈ "&amp;INDEX('سجل الإجازات والحالات'!$D$6:$D$505,MATCH(1,INDEX(('سجل الإجازات والحالات'!$B$6:$B$505=B6)*('سجل الإجازات والحالات'!$E$6:$E$505&lt;=cfg_VAL_DATE)*('سجل الإجازات والحالات'!$F$6:$F$505&gt;=cfg_VAL_DATE),0),0)),"✔ على رأس العمل")))</f>
        <v>✔ على رأس العمل</v>
      </c>
      <c r="AI6" s="107" t="s">
        <v>347</v>
      </c>
      <c r="AJ6" s="107" t="s">
        <v>348</v>
      </c>
      <c r="AK6" s="107"/>
    </row>
    <row r="7" customFormat="false" ht="15" hidden="false" customHeight="false" outlineLevel="0" collapsed="false">
      <c r="A7" s="115" t="n">
        <f aca="false">IF(B7="","",ROW()-5)</f>
        <v>2</v>
      </c>
      <c r="B7" s="107" t="s">
        <v>349</v>
      </c>
      <c r="C7" s="107" t="s">
        <v>350</v>
      </c>
      <c r="D7" s="107" t="s">
        <v>147</v>
      </c>
      <c r="E7" s="107" t="s">
        <v>147</v>
      </c>
      <c r="F7" s="107" t="s">
        <v>202</v>
      </c>
      <c r="G7" s="107" t="s">
        <v>351</v>
      </c>
      <c r="H7" s="108" t="n">
        <v>42522</v>
      </c>
      <c r="I7" s="109" t="s">
        <v>352</v>
      </c>
      <c r="J7" s="108" t="n">
        <v>46786</v>
      </c>
      <c r="K7" s="108"/>
      <c r="L7" s="110" t="n">
        <v>18000</v>
      </c>
      <c r="M7" s="110" t="n">
        <v>4500</v>
      </c>
      <c r="N7" s="110" t="n">
        <v>1800</v>
      </c>
      <c r="O7" s="110" t="n">
        <v>1000</v>
      </c>
      <c r="P7" s="116" t="n">
        <f aca="false">IF(B7="","",SUM(L7:O7))</f>
        <v>25300</v>
      </c>
      <c r="Q7" s="116" t="n">
        <f aca="false">IF(B7="","",L7+IF(cfg_EOS_H="نعم",M7,0)+IF(cfg_EOS_T="نعم",N7,0)+IF(cfg_EOS_O="نعم",O7,0))</f>
        <v>24300</v>
      </c>
      <c r="R7" s="116" t="n">
        <f aca="false">IF(B7="","",L7+IF(cfg_LV_H="نعم",M7,0)+IF(cfg_LV_T="نعم",N7,0)+IF(cfg_LV_O="نعم",O7,0))</f>
        <v>24300</v>
      </c>
      <c r="S7" s="116" t="n">
        <f aca="false">IF(B7="","",MIN(cfg_G_CAP,L7+M7))</f>
        <v>22500</v>
      </c>
      <c r="T7" s="112"/>
      <c r="U7" s="107" t="s">
        <v>198</v>
      </c>
      <c r="V7" s="110" t="n">
        <v>0</v>
      </c>
      <c r="W7" s="112" t="n">
        <v>12</v>
      </c>
      <c r="X7" s="110"/>
      <c r="Y7" s="110"/>
      <c r="Z7" s="110" t="n">
        <v>3600</v>
      </c>
      <c r="AA7" s="110"/>
      <c r="AB7" s="116" t="n">
        <f aca="false">IF(B7="","",IF(X7&lt;&gt;"",X7,IF(E7="غير سعودي",cfg_IQ,0))+IF(Y7&lt;&gt;"",Y7,IF(E7="غير سعودي",cfg_WP,0))+IF(Z7&lt;&gt;"",Z7,cfg_MED)+N(AA7))</f>
        <v>3600</v>
      </c>
      <c r="AC7" s="113" t="n">
        <v>12</v>
      </c>
      <c r="AD7" s="110" t="n">
        <v>0</v>
      </c>
      <c r="AE7" s="108"/>
      <c r="AF7" s="107"/>
      <c r="AG7" s="117" t="str">
        <f aca="false">IF(B7="","",IF(AND(AE7&lt;&gt;"",AE7&lt;=cfg_VAL_DATE),"✖ منتهي الخدمة",IF(H7&gt;cfg_VAL_DATE,"⏳ لم يباشر بعد","✔ على رأس العمل")))</f>
        <v>✔ على رأس العمل</v>
      </c>
      <c r="AH7" s="117" t="str">
        <f aca="false">IF(B7="","",IF(AG7&lt;&gt;"✔ على رأس العمل",AG7,IF(COUNTIFS('سجل الإجازات والحالات'!$B$6:$B$505,B7,'سجل الإجازات والحالات'!$E$6:$E$505,"&lt;="&amp;cfg_VAL_DATE,'سجل الإجازات والحالات'!$F$6:$F$505,"&gt;="&amp;cfg_VAL_DATE)&gt;0,"✈ "&amp;INDEX('سجل الإجازات والحالات'!$D$6:$D$505,MATCH(1,INDEX(('سجل الإجازات والحالات'!$B$6:$B$505=B7)*('سجل الإجازات والحالات'!$E$6:$E$505&lt;=cfg_VAL_DATE)*('سجل الإجازات والحالات'!$F$6:$F$505&gt;=cfg_VAL_DATE),0),0)),"✔ على رأس العمل")))</f>
        <v>✔ على رأس العمل</v>
      </c>
      <c r="AI7" s="107" t="s">
        <v>353</v>
      </c>
      <c r="AJ7" s="107" t="s">
        <v>354</v>
      </c>
      <c r="AK7" s="107"/>
    </row>
    <row r="8" customFormat="false" ht="15" hidden="false" customHeight="false" outlineLevel="0" collapsed="false">
      <c r="A8" s="106" t="n">
        <f aca="false">IF(B8="","",ROW()-5)</f>
        <v>3</v>
      </c>
      <c r="B8" s="107" t="s">
        <v>355</v>
      </c>
      <c r="C8" s="107" t="s">
        <v>356</v>
      </c>
      <c r="D8" s="107" t="s">
        <v>357</v>
      </c>
      <c r="E8" s="107" t="s">
        <v>149</v>
      </c>
      <c r="F8" s="107" t="s">
        <v>202</v>
      </c>
      <c r="G8" s="107" t="s">
        <v>358</v>
      </c>
      <c r="H8" s="108" t="n">
        <v>43353</v>
      </c>
      <c r="I8" s="109" t="s">
        <v>359</v>
      </c>
      <c r="J8" s="108" t="n">
        <v>46346</v>
      </c>
      <c r="K8" s="108" t="n">
        <v>46346</v>
      </c>
      <c r="L8" s="110" t="n">
        <v>8500</v>
      </c>
      <c r="M8" s="110" t="n">
        <v>2125</v>
      </c>
      <c r="N8" s="110" t="n">
        <v>850</v>
      </c>
      <c r="O8" s="110" t="n">
        <v>500</v>
      </c>
      <c r="P8" s="111" t="n">
        <f aca="false">IF(B8="","",SUM(L8:O8))</f>
        <v>11975</v>
      </c>
      <c r="Q8" s="111" t="n">
        <f aca="false">IF(B8="","",L8+IF(cfg_EOS_H="نعم",M8,0)+IF(cfg_EOS_T="نعم",N8,0)+IF(cfg_EOS_O="نعم",O8,0))</f>
        <v>11475</v>
      </c>
      <c r="R8" s="111" t="n">
        <f aca="false">IF(B8="","",L8+IF(cfg_LV_H="نعم",M8,0)+IF(cfg_LV_T="نعم",N8,0)+IF(cfg_LV_O="نعم",O8,0))</f>
        <v>11475</v>
      </c>
      <c r="S8" s="111" t="n">
        <f aca="false">IF(B8="","",MIN(cfg_G_CAP,L8+M8))</f>
        <v>10625</v>
      </c>
      <c r="T8" s="112"/>
      <c r="U8" s="107" t="s">
        <v>195</v>
      </c>
      <c r="V8" s="110" t="n">
        <v>3200</v>
      </c>
      <c r="W8" s="112" t="n">
        <v>24</v>
      </c>
      <c r="X8" s="110"/>
      <c r="Y8" s="110"/>
      <c r="Z8" s="110" t="n">
        <v>2400</v>
      </c>
      <c r="AA8" s="110"/>
      <c r="AB8" s="111" t="n">
        <f aca="false">IF(B8="","",IF(X8&lt;&gt;"",X8,IF(E8="غير سعودي",cfg_IQ,0))+IF(Y8&lt;&gt;"",Y8,IF(E8="غير سعودي",cfg_WP,0))+IF(Z8&lt;&gt;"",Z8,cfg_MED)+N(AA8))</f>
        <v>12650</v>
      </c>
      <c r="AC8" s="113" t="n">
        <v>20</v>
      </c>
      <c r="AD8" s="110" t="n">
        <v>1600</v>
      </c>
      <c r="AE8" s="108"/>
      <c r="AF8" s="107"/>
      <c r="AG8" s="114" t="str">
        <f aca="false">IF(B8="","",IF(AND(AE8&lt;&gt;"",AE8&lt;=cfg_VAL_DATE),"✖ منتهي الخدمة",IF(H8&gt;cfg_VAL_DATE,"⏳ لم يباشر بعد","✔ على رأس العمل")))</f>
        <v>✔ على رأس العمل</v>
      </c>
      <c r="AH8" s="114" t="str">
        <f aca="false">IF(B8="","",IF(AG8&lt;&gt;"✔ على رأس العمل",AG8,IF(COUNTIFS('سجل الإجازات والحالات'!$B$6:$B$505,B8,'سجل الإجازات والحالات'!$E$6:$E$505,"&lt;="&amp;cfg_VAL_DATE,'سجل الإجازات والحالات'!$F$6:$F$505,"&gt;="&amp;cfg_VAL_DATE)&gt;0,"✈ "&amp;INDEX('سجل الإجازات والحالات'!$D$6:$D$505,MATCH(1,INDEX(('سجل الإجازات والحالات'!$B$6:$B$505=B8)*('سجل الإجازات والحالات'!$E$6:$E$505&lt;=cfg_VAL_DATE)*('سجل الإجازات والحالات'!$F$6:$F$505&gt;=cfg_VAL_DATE),0),0)),"✔ على رأس العمل")))</f>
        <v>✔ على رأس العمل</v>
      </c>
      <c r="AI8" s="107" t="s">
        <v>347</v>
      </c>
      <c r="AJ8" s="107" t="s">
        <v>360</v>
      </c>
      <c r="AK8" s="107"/>
    </row>
    <row r="9" customFormat="false" ht="15" hidden="false" customHeight="false" outlineLevel="0" collapsed="false">
      <c r="A9" s="115" t="n">
        <f aca="false">IF(B9="","",ROW()-5)</f>
        <v>4</v>
      </c>
      <c r="B9" s="107" t="s">
        <v>361</v>
      </c>
      <c r="C9" s="107" t="s">
        <v>362</v>
      </c>
      <c r="D9" s="107" t="s">
        <v>363</v>
      </c>
      <c r="E9" s="107" t="s">
        <v>147</v>
      </c>
      <c r="F9" s="107" t="s">
        <v>209</v>
      </c>
      <c r="G9" s="107" t="s">
        <v>364</v>
      </c>
      <c r="H9" s="108" t="n">
        <v>43497</v>
      </c>
      <c r="I9" s="109" t="s">
        <v>365</v>
      </c>
      <c r="J9" s="108" t="n">
        <v>47678</v>
      </c>
      <c r="K9" s="108"/>
      <c r="L9" s="110" t="n">
        <v>14000</v>
      </c>
      <c r="M9" s="110" t="n">
        <v>3500</v>
      </c>
      <c r="N9" s="110" t="n">
        <v>1400</v>
      </c>
      <c r="O9" s="110" t="n">
        <v>0</v>
      </c>
      <c r="P9" s="116" t="n">
        <f aca="false">IF(B9="","",SUM(L9:O9))</f>
        <v>18900</v>
      </c>
      <c r="Q9" s="116" t="n">
        <f aca="false">IF(B9="","",L9+IF(cfg_EOS_H="نعم",M9,0)+IF(cfg_EOS_T="نعم",N9,0)+IF(cfg_EOS_O="نعم",O9,0))</f>
        <v>18900</v>
      </c>
      <c r="R9" s="116" t="n">
        <f aca="false">IF(B9="","",L9+IF(cfg_LV_H="نعم",M9,0)+IF(cfg_LV_T="نعم",N9,0)+IF(cfg_LV_O="نعم",O9,0))</f>
        <v>18900</v>
      </c>
      <c r="S9" s="116" t="n">
        <f aca="false">IF(B9="","",MIN(cfg_G_CAP,L9+M9))</f>
        <v>17500</v>
      </c>
      <c r="T9" s="112"/>
      <c r="U9" s="107" t="s">
        <v>198</v>
      </c>
      <c r="V9" s="110" t="n">
        <v>0</v>
      </c>
      <c r="W9" s="112" t="n">
        <v>12</v>
      </c>
      <c r="X9" s="110"/>
      <c r="Y9" s="110"/>
      <c r="Z9" s="110" t="n">
        <v>3600</v>
      </c>
      <c r="AA9" s="110"/>
      <c r="AB9" s="116" t="n">
        <f aca="false">IF(B9="","",IF(X9&lt;&gt;"",X9,IF(E9="غير سعودي",cfg_IQ,0))+IF(Y9&lt;&gt;"",Y9,IF(E9="غير سعودي",cfg_WP,0))+IF(Z9&lt;&gt;"",Z9,cfg_MED)+N(AA9))</f>
        <v>3600</v>
      </c>
      <c r="AC9" s="113" t="n">
        <v>9</v>
      </c>
      <c r="AD9" s="110" t="n">
        <v>0</v>
      </c>
      <c r="AE9" s="108"/>
      <c r="AF9" s="107"/>
      <c r="AG9" s="117" t="str">
        <f aca="false">IF(B9="","",IF(AND(AE9&lt;&gt;"",AE9&lt;=cfg_VAL_DATE),"✖ منتهي الخدمة",IF(H9&gt;cfg_VAL_DATE,"⏳ لم يباشر بعد","✔ على رأس العمل")))</f>
        <v>✔ على رأس العمل</v>
      </c>
      <c r="AH9" s="117" t="str">
        <f aca="false">IF(B9="","",IF(AG9&lt;&gt;"✔ على رأس العمل",AG9,IF(COUNTIFS('سجل الإجازات والحالات'!$B$6:$B$505,B9,'سجل الإجازات والحالات'!$E$6:$E$505,"&lt;="&amp;cfg_VAL_DATE,'سجل الإجازات والحالات'!$F$6:$F$505,"&gt;="&amp;cfg_VAL_DATE)&gt;0,"✈ "&amp;INDEX('سجل الإجازات والحالات'!$D$6:$D$505,MATCH(1,INDEX(('سجل الإجازات والحالات'!$B$6:$B$505=B9)*('سجل الإجازات والحالات'!$E$6:$E$505&lt;=cfg_VAL_DATE)*('سجل الإجازات والحالات'!$F$6:$F$505&gt;=cfg_VAL_DATE),0),0)),"✔ على رأس العمل")))</f>
        <v>✔ على رأس العمل</v>
      </c>
      <c r="AI9" s="107" t="s">
        <v>366</v>
      </c>
      <c r="AJ9" s="107" t="s">
        <v>367</v>
      </c>
      <c r="AK9" s="107"/>
    </row>
    <row r="10" customFormat="false" ht="15" hidden="false" customHeight="false" outlineLevel="0" collapsed="false">
      <c r="A10" s="106" t="n">
        <f aca="false">IF(B10="","",ROW()-5)</f>
        <v>5</v>
      </c>
      <c r="B10" s="107" t="s">
        <v>368</v>
      </c>
      <c r="C10" s="107" t="s">
        <v>369</v>
      </c>
      <c r="D10" s="107" t="s">
        <v>370</v>
      </c>
      <c r="E10" s="107" t="s">
        <v>149</v>
      </c>
      <c r="F10" s="107" t="s">
        <v>230</v>
      </c>
      <c r="G10" s="107" t="s">
        <v>371</v>
      </c>
      <c r="H10" s="108" t="n">
        <v>43933</v>
      </c>
      <c r="I10" s="109" t="s">
        <v>372</v>
      </c>
      <c r="J10" s="108" t="n">
        <v>46417</v>
      </c>
      <c r="K10" s="108" t="n">
        <v>46417</v>
      </c>
      <c r="L10" s="110" t="n">
        <v>9000</v>
      </c>
      <c r="M10" s="110" t="n">
        <v>2250</v>
      </c>
      <c r="N10" s="110" t="n">
        <v>900</v>
      </c>
      <c r="O10" s="110" t="n">
        <v>700</v>
      </c>
      <c r="P10" s="111" t="n">
        <f aca="false">IF(B10="","",SUM(L10:O10))</f>
        <v>12850</v>
      </c>
      <c r="Q10" s="111" t="n">
        <f aca="false">IF(B10="","",L10+IF(cfg_EOS_H="نعم",M10,0)+IF(cfg_EOS_T="نعم",N10,0)+IF(cfg_EOS_O="نعم",O10,0))</f>
        <v>12150</v>
      </c>
      <c r="R10" s="111" t="n">
        <f aca="false">IF(B10="","",L10+IF(cfg_LV_H="نعم",M10,0)+IF(cfg_LV_T="نعم",N10,0)+IF(cfg_LV_O="نعم",O10,0))</f>
        <v>12150</v>
      </c>
      <c r="S10" s="111" t="n">
        <f aca="false">IF(B10="","",MIN(cfg_G_CAP,L10+M10))</f>
        <v>11250</v>
      </c>
      <c r="T10" s="112"/>
      <c r="U10" s="107" t="s">
        <v>195</v>
      </c>
      <c r="V10" s="110" t="n">
        <v>2800</v>
      </c>
      <c r="W10" s="112" t="n">
        <v>12</v>
      </c>
      <c r="X10" s="110"/>
      <c r="Y10" s="110"/>
      <c r="Z10" s="110" t="n">
        <v>2400</v>
      </c>
      <c r="AA10" s="110"/>
      <c r="AB10" s="111" t="n">
        <f aca="false">IF(B10="","",IF(X10&lt;&gt;"",X10,IF(E10="غير سعودي",cfg_IQ,0))+IF(Y10&lt;&gt;"",Y10,IF(E10="غير سعودي",cfg_WP,0))+IF(Z10&lt;&gt;"",Z10,cfg_MED)+N(AA10))</f>
        <v>12650</v>
      </c>
      <c r="AC10" s="113" t="n">
        <v>14</v>
      </c>
      <c r="AD10" s="110" t="n">
        <v>900</v>
      </c>
      <c r="AE10" s="108"/>
      <c r="AF10" s="107"/>
      <c r="AG10" s="114" t="str">
        <f aca="false">IF(B10="","",IF(AND(AE10&lt;&gt;"",AE10&lt;=cfg_VAL_DATE),"✖ منتهي الخدمة",IF(H10&gt;cfg_VAL_DATE,"⏳ لم يباشر بعد","✔ على رأس العمل")))</f>
        <v>✔ على رأس العمل</v>
      </c>
      <c r="AH10" s="114" t="str">
        <f aca="false">IF(B10="","",IF(AG10&lt;&gt;"✔ على رأس العمل",AG10,IF(COUNTIFS('سجل الإجازات والحالات'!$B$6:$B$505,B10,'سجل الإجازات والحالات'!$E$6:$E$505,"&lt;="&amp;cfg_VAL_DATE,'سجل الإجازات والحالات'!$F$6:$F$505,"&gt;="&amp;cfg_VAL_DATE)&gt;0,"✈ "&amp;INDEX('سجل الإجازات والحالات'!$D$6:$D$505,MATCH(1,INDEX(('سجل الإجازات والحالات'!$B$6:$B$505=B10)*('سجل الإجازات والحالات'!$E$6:$E$505&lt;=cfg_VAL_DATE)*('سجل الإجازات والحالات'!$F$6:$F$505&gt;=cfg_VAL_DATE),0),0)),"✔ على رأس العمل")))</f>
        <v>✔ على رأس العمل</v>
      </c>
      <c r="AI10" s="107" t="s">
        <v>353</v>
      </c>
      <c r="AJ10" s="107" t="s">
        <v>373</v>
      </c>
      <c r="AK10" s="107"/>
    </row>
    <row r="11" customFormat="false" ht="15" hidden="false" customHeight="false" outlineLevel="0" collapsed="false">
      <c r="A11" s="115" t="n">
        <f aca="false">IF(B11="","",ROW()-5)</f>
        <v>6</v>
      </c>
      <c r="B11" s="118" t="s">
        <v>374</v>
      </c>
      <c r="C11" s="118" t="s">
        <v>375</v>
      </c>
      <c r="D11" s="118" t="s">
        <v>147</v>
      </c>
      <c r="E11" s="118" t="s">
        <v>147</v>
      </c>
      <c r="F11" s="118" t="s">
        <v>217</v>
      </c>
      <c r="G11" s="118" t="s">
        <v>376</v>
      </c>
      <c r="H11" s="119" t="n">
        <v>43044</v>
      </c>
      <c r="I11" s="120" t="s">
        <v>377</v>
      </c>
      <c r="J11" s="119" t="n">
        <v>47929</v>
      </c>
      <c r="K11" s="119"/>
      <c r="L11" s="121" t="n">
        <v>13000</v>
      </c>
      <c r="M11" s="121" t="n">
        <v>3250</v>
      </c>
      <c r="N11" s="121" t="n">
        <v>1300</v>
      </c>
      <c r="O11" s="121" t="n">
        <v>2500</v>
      </c>
      <c r="P11" s="116" t="n">
        <f aca="false">IF(B11="","",SUM(L11:O11))</f>
        <v>20050</v>
      </c>
      <c r="Q11" s="116" t="n">
        <f aca="false">IF(B11="","",L11+IF(cfg_EOS_H="نعم",M11,0)+IF(cfg_EOS_T="نعم",N11,0)+IF(cfg_EOS_O="نعم",O11,0))</f>
        <v>17550</v>
      </c>
      <c r="R11" s="116" t="n">
        <f aca="false">IF(B11="","",L11+IF(cfg_LV_H="نعم",M11,0)+IF(cfg_LV_T="نعم",N11,0)+IF(cfg_LV_O="نعم",O11,0))</f>
        <v>17550</v>
      </c>
      <c r="S11" s="116" t="n">
        <f aca="false">IF(B11="","",MIN(cfg_G_CAP,L11+M11))</f>
        <v>16250</v>
      </c>
      <c r="T11" s="122"/>
      <c r="U11" s="118" t="s">
        <v>198</v>
      </c>
      <c r="V11" s="121" t="n">
        <v>0</v>
      </c>
      <c r="W11" s="122" t="n">
        <v>12</v>
      </c>
      <c r="X11" s="121"/>
      <c r="Y11" s="121"/>
      <c r="Z11" s="121" t="n">
        <v>3600</v>
      </c>
      <c r="AA11" s="121"/>
      <c r="AB11" s="116" t="n">
        <f aca="false">IF(B11="","",IF(X11&lt;&gt;"",X11,IF(E11="غير سعودي",cfg_IQ,0))+IF(Y11&lt;&gt;"",Y11,IF(E11="غير سعودي",cfg_WP,0))+IF(Z11&lt;&gt;"",Z11,cfg_MED)+N(AA11))</f>
        <v>3600</v>
      </c>
      <c r="AC11" s="123" t="n">
        <v>25</v>
      </c>
      <c r="AD11" s="121" t="n">
        <v>0</v>
      </c>
      <c r="AE11" s="119"/>
      <c r="AF11" s="118"/>
      <c r="AG11" s="117" t="str">
        <f aca="false">IF(B11="","",IF(AND(AE11&lt;&gt;"",AE11&lt;=cfg_VAL_DATE),"✖ منتهي الخدمة",IF(H11&gt;cfg_VAL_DATE,"⏳ لم يباشر بعد","✔ على رأس العمل")))</f>
        <v>✔ على رأس العمل</v>
      </c>
      <c r="AH11" s="117" t="str">
        <f aca="false">IF(B11="","",IF(AG11&lt;&gt;"✔ على رأس العمل",AG11,IF(COUNTIFS('سجل الإجازات والحالات'!$B$6:$B$505,B11,'سجل الإجازات والحالات'!$E$6:$E$505,"&lt;="&amp;cfg_VAL_DATE,'سجل الإجازات والحالات'!$F$6:$F$505,"&gt;="&amp;cfg_VAL_DATE)&gt;0,"✈ "&amp;INDEX('سجل الإجازات والحالات'!$D$6:$D$505,MATCH(1,INDEX(('سجل الإجازات والحالات'!$B$6:$B$505=B11)*('سجل الإجازات والحالات'!$E$6:$E$505&lt;=cfg_VAL_DATE)*('سجل الإجازات والحالات'!$F$6:$F$505&gt;=cfg_VAL_DATE),0),0)),"✔ على رأس العمل")))</f>
        <v>✈ إجازة بدون راتب</v>
      </c>
      <c r="AI11" s="118" t="s">
        <v>347</v>
      </c>
      <c r="AJ11" s="118" t="s">
        <v>378</v>
      </c>
      <c r="AK11" s="118"/>
    </row>
    <row r="12" customFormat="false" ht="15" hidden="false" customHeight="false" outlineLevel="0" collapsed="false">
      <c r="A12" s="106" t="n">
        <f aca="false">IF(B12="","",ROW()-5)</f>
        <v>7</v>
      </c>
      <c r="B12" s="118" t="s">
        <v>379</v>
      </c>
      <c r="C12" s="118" t="s">
        <v>380</v>
      </c>
      <c r="D12" s="118" t="s">
        <v>381</v>
      </c>
      <c r="E12" s="118" t="s">
        <v>149</v>
      </c>
      <c r="F12" s="118" t="s">
        <v>235</v>
      </c>
      <c r="G12" s="118" t="s">
        <v>382</v>
      </c>
      <c r="H12" s="119" t="n">
        <v>44216</v>
      </c>
      <c r="I12" s="120" t="s">
        <v>383</v>
      </c>
      <c r="J12" s="119" t="n">
        <v>46320</v>
      </c>
      <c r="K12" s="119" t="n">
        <v>46280</v>
      </c>
      <c r="L12" s="121" t="n">
        <v>11000</v>
      </c>
      <c r="M12" s="121" t="n">
        <v>2750</v>
      </c>
      <c r="N12" s="121" t="n">
        <v>1100</v>
      </c>
      <c r="O12" s="121" t="n">
        <v>800</v>
      </c>
      <c r="P12" s="111" t="n">
        <f aca="false">IF(B12="","",SUM(L12:O12))</f>
        <v>15650</v>
      </c>
      <c r="Q12" s="111" t="n">
        <f aca="false">IF(B12="","",L12+IF(cfg_EOS_H="نعم",M12,0)+IF(cfg_EOS_T="نعم",N12,0)+IF(cfg_EOS_O="نعم",O12,0))</f>
        <v>14850</v>
      </c>
      <c r="R12" s="111" t="n">
        <f aca="false">IF(B12="","",L12+IF(cfg_LV_H="نعم",M12,0)+IF(cfg_LV_T="نعم",N12,0)+IF(cfg_LV_O="نعم",O12,0))</f>
        <v>14850</v>
      </c>
      <c r="S12" s="111" t="n">
        <f aca="false">IF(B12="","",MIN(cfg_G_CAP,L12+M12))</f>
        <v>13750</v>
      </c>
      <c r="T12" s="122"/>
      <c r="U12" s="118" t="s">
        <v>195</v>
      </c>
      <c r="V12" s="121" t="n">
        <v>4500</v>
      </c>
      <c r="W12" s="122" t="n">
        <v>12</v>
      </c>
      <c r="X12" s="121"/>
      <c r="Y12" s="121"/>
      <c r="Z12" s="121" t="n">
        <v>2400</v>
      </c>
      <c r="AA12" s="121" t="n">
        <v>4800</v>
      </c>
      <c r="AB12" s="111" t="n">
        <f aca="false">IF(B12="","",IF(X12&lt;&gt;"",X12,IF(E12="غير سعودي",cfg_IQ,0))+IF(Y12&lt;&gt;"",Y12,IF(E12="غير سعودي",cfg_WP,0))+IF(Z12&lt;&gt;"",Z12,cfg_MED)+N(AA12))</f>
        <v>17450</v>
      </c>
      <c r="AC12" s="123" t="n">
        <v>16</v>
      </c>
      <c r="AD12" s="121" t="n">
        <v>2400</v>
      </c>
      <c r="AE12" s="119"/>
      <c r="AF12" s="118"/>
      <c r="AG12" s="114" t="str">
        <f aca="false">IF(B12="","",IF(AND(AE12&lt;&gt;"",AE12&lt;=cfg_VAL_DATE),"✖ منتهي الخدمة",IF(H12&gt;cfg_VAL_DATE,"⏳ لم يباشر بعد","✔ على رأس العمل")))</f>
        <v>✔ على رأس العمل</v>
      </c>
      <c r="AH12" s="114" t="str">
        <f aca="false">IF(B12="","",IF(AG12&lt;&gt;"✔ على رأس العمل",AG12,IF(COUNTIFS('سجل الإجازات والحالات'!$B$6:$B$505,B12,'سجل الإجازات والحالات'!$E$6:$E$505,"&lt;="&amp;cfg_VAL_DATE,'سجل الإجازات والحالات'!$F$6:$F$505,"&gt;="&amp;cfg_VAL_DATE)&gt;0,"✈ "&amp;INDEX('سجل الإجازات والحالات'!$D$6:$D$505,MATCH(1,INDEX(('سجل الإجازات والحالات'!$B$6:$B$505=B12)*('سجل الإجازات والحالات'!$E$6:$E$505&lt;=cfg_VAL_DATE)*('سجل الإجازات والحالات'!$F$6:$F$505&gt;=cfg_VAL_DATE),0),0)),"✔ على رأس العمل")))</f>
        <v>✔ على رأس العمل</v>
      </c>
      <c r="AI12" s="118" t="s">
        <v>384</v>
      </c>
      <c r="AJ12" s="118" t="s">
        <v>385</v>
      </c>
      <c r="AK12" s="118" t="s">
        <v>386</v>
      </c>
    </row>
    <row r="13" customFormat="false" ht="15" hidden="false" customHeight="false" outlineLevel="0" collapsed="false">
      <c r="A13" s="115" t="n">
        <f aca="false">IF(B13="","",ROW()-5)</f>
        <v>8</v>
      </c>
      <c r="B13" s="118" t="s">
        <v>387</v>
      </c>
      <c r="C13" s="118" t="s">
        <v>388</v>
      </c>
      <c r="D13" s="118" t="s">
        <v>363</v>
      </c>
      <c r="E13" s="118" t="s">
        <v>147</v>
      </c>
      <c r="F13" s="118" t="s">
        <v>202</v>
      </c>
      <c r="G13" s="118" t="s">
        <v>389</v>
      </c>
      <c r="H13" s="119" t="n">
        <v>44986</v>
      </c>
      <c r="I13" s="120" t="s">
        <v>390</v>
      </c>
      <c r="J13" s="119" t="n">
        <v>48466</v>
      </c>
      <c r="K13" s="119"/>
      <c r="L13" s="121" t="n">
        <v>7500</v>
      </c>
      <c r="M13" s="121" t="n">
        <v>1875</v>
      </c>
      <c r="N13" s="121" t="n">
        <v>750</v>
      </c>
      <c r="O13" s="121" t="n">
        <v>0</v>
      </c>
      <c r="P13" s="116" t="n">
        <f aca="false">IF(B13="","",SUM(L13:O13))</f>
        <v>10125</v>
      </c>
      <c r="Q13" s="116" t="n">
        <f aca="false">IF(B13="","",L13+IF(cfg_EOS_H="نعم",M13,0)+IF(cfg_EOS_T="نعم",N13,0)+IF(cfg_EOS_O="نعم",O13,0))</f>
        <v>10125</v>
      </c>
      <c r="R13" s="116" t="n">
        <f aca="false">IF(B13="","",L13+IF(cfg_LV_H="نعم",M13,0)+IF(cfg_LV_T="نعم",N13,0)+IF(cfg_LV_O="نعم",O13,0))</f>
        <v>10125</v>
      </c>
      <c r="S13" s="116" t="n">
        <f aca="false">IF(B13="","",MIN(cfg_G_CAP,L13+M13))</f>
        <v>9375</v>
      </c>
      <c r="T13" s="122"/>
      <c r="U13" s="118" t="s">
        <v>198</v>
      </c>
      <c r="V13" s="121" t="n">
        <v>0</v>
      </c>
      <c r="W13" s="122" t="n">
        <v>12</v>
      </c>
      <c r="X13" s="121"/>
      <c r="Y13" s="121"/>
      <c r="Z13" s="121" t="n">
        <v>2400</v>
      </c>
      <c r="AA13" s="121"/>
      <c r="AB13" s="116" t="n">
        <f aca="false">IF(B13="","",IF(X13&lt;&gt;"",X13,IF(E13="غير سعودي",cfg_IQ,0))+IF(Y13&lt;&gt;"",Y13,IF(E13="غير سعودي",cfg_WP,0))+IF(Z13&lt;&gt;"",Z13,cfg_MED)+N(AA13))</f>
        <v>2400</v>
      </c>
      <c r="AC13" s="123" t="n">
        <v>6</v>
      </c>
      <c r="AD13" s="121" t="n">
        <v>0</v>
      </c>
      <c r="AE13" s="119"/>
      <c r="AF13" s="118"/>
      <c r="AG13" s="117" t="str">
        <f aca="false">IF(B13="","",IF(AND(AE13&lt;&gt;"",AE13&lt;=cfg_VAL_DATE),"✖ منتهي الخدمة",IF(H13&gt;cfg_VAL_DATE,"⏳ لم يباشر بعد","✔ على رأس العمل")))</f>
        <v>✔ على رأس العمل</v>
      </c>
      <c r="AH13" s="117" t="str">
        <f aca="false">IF(B13="","",IF(AG13&lt;&gt;"✔ على رأس العمل",AG13,IF(COUNTIFS('سجل الإجازات والحالات'!$B$6:$B$505,B13,'سجل الإجازات والحالات'!$E$6:$E$505,"&lt;="&amp;cfg_VAL_DATE,'سجل الإجازات والحالات'!$F$6:$F$505,"&gt;="&amp;cfg_VAL_DATE)&gt;0,"✈ "&amp;INDEX('سجل الإجازات والحالات'!$D$6:$D$505,MATCH(1,INDEX(('سجل الإجازات والحالات'!$B$6:$B$505=B13)*('سجل الإجازات والحالات'!$E$6:$E$505&lt;=cfg_VAL_DATE)*('سجل الإجازات والحالات'!$F$6:$F$505&gt;=cfg_VAL_DATE),0),0)),"✔ على رأس العمل")))</f>
        <v>✔ على رأس العمل</v>
      </c>
      <c r="AI13" s="118" t="s">
        <v>366</v>
      </c>
      <c r="AJ13" s="118" t="s">
        <v>391</v>
      </c>
      <c r="AK13" s="118"/>
    </row>
    <row r="14" customFormat="false" ht="15" hidden="false" customHeight="false" outlineLevel="0" collapsed="false">
      <c r="A14" s="106" t="n">
        <f aca="false">IF(B14="","",ROW()-5)</f>
        <v>9</v>
      </c>
      <c r="B14" s="118" t="s">
        <v>392</v>
      </c>
      <c r="C14" s="118" t="s">
        <v>393</v>
      </c>
      <c r="D14" s="118" t="s">
        <v>394</v>
      </c>
      <c r="E14" s="118" t="s">
        <v>149</v>
      </c>
      <c r="F14" s="118" t="s">
        <v>224</v>
      </c>
      <c r="G14" s="118" t="s">
        <v>395</v>
      </c>
      <c r="H14" s="119" t="n">
        <v>41869</v>
      </c>
      <c r="I14" s="120" t="s">
        <v>396</v>
      </c>
      <c r="J14" s="119" t="n">
        <v>46539</v>
      </c>
      <c r="K14" s="119" t="n">
        <v>46539</v>
      </c>
      <c r="L14" s="121" t="n">
        <v>6500</v>
      </c>
      <c r="M14" s="121" t="n">
        <v>1625</v>
      </c>
      <c r="N14" s="121" t="n">
        <v>650</v>
      </c>
      <c r="O14" s="121" t="n">
        <v>300</v>
      </c>
      <c r="P14" s="111" t="n">
        <f aca="false">IF(B14="","",SUM(L14:O14))</f>
        <v>9075</v>
      </c>
      <c r="Q14" s="111" t="n">
        <f aca="false">IF(B14="","",L14+IF(cfg_EOS_H="نعم",M14,0)+IF(cfg_EOS_T="نعم",N14,0)+IF(cfg_EOS_O="نعم",O14,0))</f>
        <v>8775</v>
      </c>
      <c r="R14" s="111" t="n">
        <f aca="false">IF(B14="","",L14+IF(cfg_LV_H="نعم",M14,0)+IF(cfg_LV_T="نعم",N14,0)+IF(cfg_LV_O="نعم",O14,0))</f>
        <v>8775</v>
      </c>
      <c r="S14" s="111" t="n">
        <f aca="false">IF(B14="","",MIN(cfg_G_CAP,L14+M14))</f>
        <v>8125</v>
      </c>
      <c r="T14" s="122" t="n">
        <v>30</v>
      </c>
      <c r="U14" s="118" t="s">
        <v>195</v>
      </c>
      <c r="V14" s="121" t="n">
        <v>2200</v>
      </c>
      <c r="W14" s="122" t="n">
        <v>24</v>
      </c>
      <c r="X14" s="121"/>
      <c r="Y14" s="121"/>
      <c r="Z14" s="121" t="n">
        <v>1800</v>
      </c>
      <c r="AA14" s="121"/>
      <c r="AB14" s="111" t="n">
        <f aca="false">IF(B14="","",IF(X14&lt;&gt;"",X14,IF(E14="غير سعودي",cfg_IQ,0))+IF(Y14&lt;&gt;"",Y14,IF(E14="غير سعودي",cfg_WP,0))+IF(Z14&lt;&gt;"",Z14,cfg_MED)+N(AA14))</f>
        <v>12050</v>
      </c>
      <c r="AC14" s="123" t="n">
        <v>35</v>
      </c>
      <c r="AD14" s="121" t="n">
        <v>2000</v>
      </c>
      <c r="AE14" s="119"/>
      <c r="AF14" s="118"/>
      <c r="AG14" s="114" t="str">
        <f aca="false">IF(B14="","",IF(AND(AE14&lt;&gt;"",AE14&lt;=cfg_VAL_DATE),"✖ منتهي الخدمة",IF(H14&gt;cfg_VAL_DATE,"⏳ لم يباشر بعد","✔ على رأس العمل")))</f>
        <v>✔ على رأس العمل</v>
      </c>
      <c r="AH14" s="114" t="str">
        <f aca="false">IF(B14="","",IF(AG14&lt;&gt;"✔ على رأس العمل",AG14,IF(COUNTIFS('سجل الإجازات والحالات'!$B$6:$B$505,B14,'سجل الإجازات والحالات'!$E$6:$E$505,"&lt;="&amp;cfg_VAL_DATE,'سجل الإجازات والحالات'!$F$6:$F$505,"&gt;="&amp;cfg_VAL_DATE)&gt;0,"✈ "&amp;INDEX('سجل الإجازات والحالات'!$D$6:$D$505,MATCH(1,INDEX(('سجل الإجازات والحالات'!$B$6:$B$505=B14)*('سجل الإجازات والحالات'!$E$6:$E$505&lt;=cfg_VAL_DATE)*('سجل الإجازات والحالات'!$F$6:$F$505&gt;=cfg_VAL_DATE),0),0)),"✔ على رأس العمل")))</f>
        <v>✔ على رأس العمل</v>
      </c>
      <c r="AI14" s="118" t="s">
        <v>347</v>
      </c>
      <c r="AJ14" s="118" t="s">
        <v>397</v>
      </c>
      <c r="AK14" s="118"/>
    </row>
    <row r="15" customFormat="false" ht="15" hidden="false" customHeight="false" outlineLevel="0" collapsed="false">
      <c r="A15" s="115" t="n">
        <f aca="false">IF(B15="","",ROW()-5)</f>
        <v>10</v>
      </c>
      <c r="B15" s="118" t="s">
        <v>398</v>
      </c>
      <c r="C15" s="118" t="s">
        <v>399</v>
      </c>
      <c r="D15" s="118" t="s">
        <v>363</v>
      </c>
      <c r="E15" s="118" t="s">
        <v>147</v>
      </c>
      <c r="F15" s="118" t="s">
        <v>217</v>
      </c>
      <c r="G15" s="118" t="s">
        <v>400</v>
      </c>
      <c r="H15" s="119" t="n">
        <v>46127</v>
      </c>
      <c r="I15" s="120" t="s">
        <v>401</v>
      </c>
      <c r="J15" s="119" t="n">
        <v>48580</v>
      </c>
      <c r="K15" s="119"/>
      <c r="L15" s="121" t="n">
        <v>9000</v>
      </c>
      <c r="M15" s="121" t="n">
        <v>2250</v>
      </c>
      <c r="N15" s="121" t="n">
        <v>900</v>
      </c>
      <c r="O15" s="121" t="n">
        <v>0</v>
      </c>
      <c r="P15" s="116" t="n">
        <f aca="false">IF(B15="","",SUM(L15:O15))</f>
        <v>12150</v>
      </c>
      <c r="Q15" s="116" t="n">
        <f aca="false">IF(B15="","",L15+IF(cfg_EOS_H="نعم",M15,0)+IF(cfg_EOS_T="نعم",N15,0)+IF(cfg_EOS_O="نعم",O15,0))</f>
        <v>12150</v>
      </c>
      <c r="R15" s="116" t="n">
        <f aca="false">IF(B15="","",L15+IF(cfg_LV_H="نعم",M15,0)+IF(cfg_LV_T="نعم",N15,0)+IF(cfg_LV_O="نعم",O15,0))</f>
        <v>12150</v>
      </c>
      <c r="S15" s="116" t="n">
        <f aca="false">IF(B15="","",MIN(cfg_G_CAP,L15+M15))</f>
        <v>11250</v>
      </c>
      <c r="T15" s="122"/>
      <c r="U15" s="118" t="s">
        <v>198</v>
      </c>
      <c r="V15" s="121" t="n">
        <v>0</v>
      </c>
      <c r="W15" s="122" t="n">
        <v>12</v>
      </c>
      <c r="X15" s="121"/>
      <c r="Y15" s="121"/>
      <c r="Z15" s="121" t="n">
        <v>2400</v>
      </c>
      <c r="AA15" s="121"/>
      <c r="AB15" s="116" t="n">
        <f aca="false">IF(B15="","",IF(X15&lt;&gt;"",X15,IF(E15="غير سعودي",cfg_IQ,0))+IF(Y15&lt;&gt;"",Y15,IF(E15="غير سعودي",cfg_WP,0))+IF(Z15&lt;&gt;"",Z15,cfg_MED)+N(AA15))</f>
        <v>2400</v>
      </c>
      <c r="AC15" s="123" t="n">
        <v>0</v>
      </c>
      <c r="AD15" s="121" t="n">
        <v>0</v>
      </c>
      <c r="AE15" s="119"/>
      <c r="AF15" s="118"/>
      <c r="AG15" s="117" t="str">
        <f aca="false">IF(B15="","",IF(AND(AE15&lt;&gt;"",AE15&lt;=cfg_VAL_DATE),"✖ منتهي الخدمة",IF(H15&gt;cfg_VAL_DATE,"⏳ لم يباشر بعد","✔ على رأس العمل")))</f>
        <v>✔ على رأس العمل</v>
      </c>
      <c r="AH15" s="117" t="str">
        <f aca="false">IF(B15="","",IF(AG15&lt;&gt;"✔ على رأس العمل",AG15,IF(COUNTIFS('سجل الإجازات والحالات'!$B$6:$B$505,B15,'سجل الإجازات والحالات'!$E$6:$E$505,"&lt;="&amp;cfg_VAL_DATE,'سجل الإجازات والحالات'!$F$6:$F$505,"&gt;="&amp;cfg_VAL_DATE)&gt;0,"✈ "&amp;INDEX('سجل الإجازات والحالات'!$D$6:$D$505,MATCH(1,INDEX(('سجل الإجازات والحالات'!$B$6:$B$505=B15)*('سجل الإجازات والحالات'!$E$6:$E$505&lt;=cfg_VAL_DATE)*('سجل الإجازات والحالات'!$F$6:$F$505&gt;=cfg_VAL_DATE),0),0)),"✔ على رأس العمل")))</f>
        <v>✔ على رأس العمل</v>
      </c>
      <c r="AI15" s="118" t="s">
        <v>353</v>
      </c>
      <c r="AJ15" s="118" t="s">
        <v>402</v>
      </c>
      <c r="AK15" s="118"/>
    </row>
    <row r="16" customFormat="false" ht="15" hidden="false" customHeight="false" outlineLevel="0" collapsed="false">
      <c r="A16" s="106" t="n">
        <f aca="false">IF(B16="","",ROW()-5)</f>
        <v>11</v>
      </c>
      <c r="B16" s="118" t="s">
        <v>403</v>
      </c>
      <c r="C16" s="118" t="s">
        <v>404</v>
      </c>
      <c r="D16" s="118" t="s">
        <v>405</v>
      </c>
      <c r="E16" s="118" t="s">
        <v>149</v>
      </c>
      <c r="F16" s="118" t="s">
        <v>224</v>
      </c>
      <c r="G16" s="118" t="s">
        <v>406</v>
      </c>
      <c r="H16" s="119" t="n">
        <v>43525</v>
      </c>
      <c r="I16" s="120" t="s">
        <v>407</v>
      </c>
      <c r="J16" s="119" t="n">
        <v>46481</v>
      </c>
      <c r="K16" s="119" t="n">
        <v>46481</v>
      </c>
      <c r="L16" s="121" t="n">
        <v>5000</v>
      </c>
      <c r="M16" s="121" t="n">
        <v>1250</v>
      </c>
      <c r="N16" s="121" t="n">
        <v>500</v>
      </c>
      <c r="O16" s="121" t="n">
        <v>0</v>
      </c>
      <c r="P16" s="111" t="n">
        <f aca="false">IF(B16="","",SUM(L16:O16))</f>
        <v>6750</v>
      </c>
      <c r="Q16" s="111" t="n">
        <f aca="false">IF(B16="","",L16+IF(cfg_EOS_H="نعم",M16,0)+IF(cfg_EOS_T="نعم",N16,0)+IF(cfg_EOS_O="نعم",O16,0))</f>
        <v>6750</v>
      </c>
      <c r="R16" s="111" t="n">
        <f aca="false">IF(B16="","",L16+IF(cfg_LV_H="نعم",M16,0)+IF(cfg_LV_T="نعم",N16,0)+IF(cfg_LV_O="نعم",O16,0))</f>
        <v>6750</v>
      </c>
      <c r="S16" s="111" t="n">
        <f aca="false">IF(B16="","",MIN(cfg_G_CAP,L16+M16))</f>
        <v>6250</v>
      </c>
      <c r="T16" s="122"/>
      <c r="U16" s="118" t="s">
        <v>195</v>
      </c>
      <c r="V16" s="121" t="n">
        <v>2600</v>
      </c>
      <c r="W16" s="122" t="n">
        <v>24</v>
      </c>
      <c r="X16" s="121"/>
      <c r="Y16" s="121"/>
      <c r="Z16" s="121" t="n">
        <v>1800</v>
      </c>
      <c r="AA16" s="121"/>
      <c r="AB16" s="111" t="n">
        <f aca="false">IF(B16="","",IF(X16&lt;&gt;"",X16,IF(E16="غير سعودي",cfg_IQ,0))+IF(Y16&lt;&gt;"",Y16,IF(E16="غير سعودي",cfg_WP,0))+IF(Z16&lt;&gt;"",Z16,cfg_MED)+N(AA16))</f>
        <v>12050</v>
      </c>
      <c r="AC16" s="123" t="n">
        <v>22</v>
      </c>
      <c r="AD16" s="121" t="n">
        <v>1800</v>
      </c>
      <c r="AE16" s="119" t="n">
        <v>46203</v>
      </c>
      <c r="AF16" s="118" t="s">
        <v>194</v>
      </c>
      <c r="AG16" s="114" t="str">
        <f aca="false">IF(B16="","",IF(AND(AE16&lt;&gt;"",AE16&lt;=cfg_VAL_DATE),"✖ منتهي الخدمة",IF(H16&gt;cfg_VAL_DATE,"⏳ لم يباشر بعد","✔ على رأس العمل")))</f>
        <v>✖ منتهي الخدمة</v>
      </c>
      <c r="AH16" s="114" t="str">
        <f aca="false">IF(B16="","",IF(AG16&lt;&gt;"✔ على رأس العمل",AG16,IF(COUNTIFS('سجل الإجازات والحالات'!$B$6:$B$505,B16,'سجل الإجازات والحالات'!$E$6:$E$505,"&lt;="&amp;cfg_VAL_DATE,'سجل الإجازات والحالات'!$F$6:$F$505,"&gt;="&amp;cfg_VAL_DATE)&gt;0,"✈ "&amp;INDEX('سجل الإجازات والحالات'!$D$6:$D$505,MATCH(1,INDEX(('سجل الإجازات والحالات'!$B$6:$B$505=B16)*('سجل الإجازات والحالات'!$E$6:$E$505&lt;=cfg_VAL_DATE)*('سجل الإجازات والحالات'!$F$6:$F$505&gt;=cfg_VAL_DATE),0),0)),"✔ على رأس العمل")))</f>
        <v>✖ منتهي الخدمة</v>
      </c>
      <c r="AI16" s="118" t="s">
        <v>347</v>
      </c>
      <c r="AJ16" s="118" t="s">
        <v>408</v>
      </c>
      <c r="AK16" s="118"/>
    </row>
    <row r="17" customFormat="false" ht="15" hidden="false" customHeight="false" outlineLevel="0" collapsed="false">
      <c r="A17" s="115" t="n">
        <f aca="false">IF(B17="","",ROW()-5)</f>
        <v>12</v>
      </c>
      <c r="B17" s="118" t="s">
        <v>409</v>
      </c>
      <c r="C17" s="118" t="s">
        <v>410</v>
      </c>
      <c r="D17" s="118" t="s">
        <v>147</v>
      </c>
      <c r="E17" s="118" t="s">
        <v>147</v>
      </c>
      <c r="F17" s="118" t="s">
        <v>230</v>
      </c>
      <c r="G17" s="118" t="s">
        <v>411</v>
      </c>
      <c r="H17" s="119" t="n">
        <v>44752</v>
      </c>
      <c r="I17" s="120" t="s">
        <v>412</v>
      </c>
      <c r="J17" s="119" t="n">
        <v>47464</v>
      </c>
      <c r="K17" s="119"/>
      <c r="L17" s="121" t="n">
        <v>12000</v>
      </c>
      <c r="M17" s="121" t="n">
        <v>3000</v>
      </c>
      <c r="N17" s="121" t="n">
        <v>1200</v>
      </c>
      <c r="O17" s="121" t="n">
        <v>1500</v>
      </c>
      <c r="P17" s="116" t="n">
        <f aca="false">IF(B17="","",SUM(L17:O17))</f>
        <v>17700</v>
      </c>
      <c r="Q17" s="116" t="n">
        <f aca="false">IF(B17="","",L17+IF(cfg_EOS_H="نعم",M17,0)+IF(cfg_EOS_T="نعم",N17,0)+IF(cfg_EOS_O="نعم",O17,0))</f>
        <v>16200</v>
      </c>
      <c r="R17" s="116" t="n">
        <f aca="false">IF(B17="","",L17+IF(cfg_LV_H="نعم",M17,0)+IF(cfg_LV_T="نعم",N17,0)+IF(cfg_LV_O="نعم",O17,0))</f>
        <v>16200</v>
      </c>
      <c r="S17" s="116" t="n">
        <f aca="false">IF(B17="","",MIN(cfg_G_CAP,L17+M17))</f>
        <v>15000</v>
      </c>
      <c r="T17" s="122"/>
      <c r="U17" s="118" t="s">
        <v>198</v>
      </c>
      <c r="V17" s="121" t="n">
        <v>0</v>
      </c>
      <c r="W17" s="122" t="n">
        <v>12</v>
      </c>
      <c r="X17" s="121"/>
      <c r="Y17" s="121"/>
      <c r="Z17" s="121" t="n">
        <v>2400</v>
      </c>
      <c r="AA17" s="121"/>
      <c r="AB17" s="116" t="n">
        <f aca="false">IF(B17="","",IF(X17&lt;&gt;"",X17,IF(E17="غير سعودي",cfg_IQ,0))+IF(Y17&lt;&gt;"",Y17,IF(E17="غير سعودي",cfg_WP,0))+IF(Z17&lt;&gt;"",Z17,cfg_MED)+N(AA17))</f>
        <v>2400</v>
      </c>
      <c r="AC17" s="123" t="n">
        <v>10</v>
      </c>
      <c r="AD17" s="121" t="n">
        <v>0</v>
      </c>
      <c r="AE17" s="119"/>
      <c r="AF17" s="118"/>
      <c r="AG17" s="117" t="str">
        <f aca="false">IF(B17="","",IF(AND(AE17&lt;&gt;"",AE17&lt;=cfg_VAL_DATE),"✖ منتهي الخدمة",IF(H17&gt;cfg_VAL_DATE,"⏳ لم يباشر بعد","✔ على رأس العمل")))</f>
        <v>✔ على رأس العمل</v>
      </c>
      <c r="AH17" s="117" t="str">
        <f aca="false">IF(B17="","",IF(AG17&lt;&gt;"✔ على رأس العمل",AG17,IF(COUNTIFS('سجل الإجازات والحالات'!$B$6:$B$505,B17,'سجل الإجازات والحالات'!$E$6:$E$505,"&lt;="&amp;cfg_VAL_DATE,'سجل الإجازات والحالات'!$F$6:$F$505,"&gt;="&amp;cfg_VAL_DATE)&gt;0,"✈ "&amp;INDEX('سجل الإجازات والحالات'!$D$6:$D$505,MATCH(1,INDEX(('سجل الإجازات والحالات'!$B$6:$B$505=B17)*('سجل الإجازات والحالات'!$E$6:$E$505&lt;=cfg_VAL_DATE)*('سجل الإجازات والحالات'!$F$6:$F$505&gt;=cfg_VAL_DATE),0),0)),"✔ على رأس العمل")))</f>
        <v>✔ على رأس العمل</v>
      </c>
      <c r="AI17" s="118" t="s">
        <v>384</v>
      </c>
      <c r="AJ17" s="118" t="s">
        <v>413</v>
      </c>
      <c r="AK17" s="118"/>
    </row>
    <row r="18" customFormat="false" ht="15" hidden="false" customHeight="false" outlineLevel="0" collapsed="false">
      <c r="A18" s="106" t="str">
        <f aca="false">IF(B18="","",ROW()-5)</f>
        <v/>
      </c>
      <c r="B18" s="118"/>
      <c r="C18" s="118"/>
      <c r="D18" s="118"/>
      <c r="E18" s="118"/>
      <c r="F18" s="118"/>
      <c r="G18" s="118"/>
      <c r="H18" s="119"/>
      <c r="I18" s="120"/>
      <c r="J18" s="119"/>
      <c r="K18" s="119"/>
      <c r="L18" s="121"/>
      <c r="M18" s="121"/>
      <c r="N18" s="121"/>
      <c r="O18" s="121"/>
      <c r="P18" s="111" t="str">
        <f aca="false">IF(B18="","",SUM(L18:O18))</f>
        <v/>
      </c>
      <c r="Q18" s="111" t="str">
        <f aca="false">IF(B18="","",L18+IF(cfg_EOS_H="نعم",M18,0)+IF(cfg_EOS_T="نعم",N18,0)+IF(cfg_EOS_O="نعم",O18,0))</f>
        <v/>
      </c>
      <c r="R18" s="111" t="str">
        <f aca="false">IF(B18="","",L18+IF(cfg_LV_H="نعم",M18,0)+IF(cfg_LV_T="نعم",N18,0)+IF(cfg_LV_O="نعم",O18,0))</f>
        <v/>
      </c>
      <c r="S18" s="111" t="str">
        <f aca="false">IF(B18="","",MIN(cfg_G_CAP,L18+M18))</f>
        <v/>
      </c>
      <c r="T18" s="122"/>
      <c r="U18" s="118"/>
      <c r="V18" s="121"/>
      <c r="W18" s="122"/>
      <c r="X18" s="121"/>
      <c r="Y18" s="121"/>
      <c r="Z18" s="121"/>
      <c r="AA18" s="121"/>
      <c r="AB18" s="111" t="str">
        <f aca="false">IF(B18="","",IF(X18&lt;&gt;"",X18,IF(E18="غير سعودي",cfg_IQ,0))+IF(Y18&lt;&gt;"",Y18,IF(E18="غير سعودي",cfg_WP,0))+IF(Z18&lt;&gt;"",Z18,cfg_MED)+N(AA18))</f>
        <v/>
      </c>
      <c r="AC18" s="123"/>
      <c r="AD18" s="121"/>
      <c r="AE18" s="119"/>
      <c r="AF18" s="118"/>
      <c r="AG18" s="114" t="str">
        <f aca="false">IF(B18="","",IF(AND(AE18&lt;&gt;"",AE18&lt;=cfg_VAL_DATE),"✖ منتهي الخدمة",IF(H18&gt;cfg_VAL_DATE,"⏳ لم يباشر بعد","✔ على رأس العمل")))</f>
        <v/>
      </c>
      <c r="AH18" s="114" t="str">
        <f aca="false">IF(B18="","",IF(AG18&lt;&gt;"✔ على رأس العمل",AG18,IF(COUNTIFS('سجل الإجازات والحالات'!$B$6:$B$505,B18,'سجل الإجازات والحالات'!$E$6:$E$505,"&lt;="&amp;cfg_VAL_DATE,'سجل الإجازات والحالات'!$F$6:$F$505,"&gt;="&amp;cfg_VAL_DATE)&gt;0,"✈ "&amp;INDEX('سجل الإجازات والحالات'!$D$6:$D$505,MATCH(1,INDEX(('سجل الإجازات والحالات'!$B$6:$B$505=B18)*('سجل الإجازات والحالات'!$E$6:$E$505&lt;=cfg_VAL_DATE)*('سجل الإجازات والحالات'!$F$6:$F$505&gt;=cfg_VAL_DATE),0),0)),"✔ على رأس العمل")))</f>
        <v/>
      </c>
      <c r="AI18" s="118"/>
      <c r="AJ18" s="118"/>
      <c r="AK18" s="118"/>
    </row>
    <row r="19" customFormat="false" ht="15" hidden="false" customHeight="false" outlineLevel="0" collapsed="false">
      <c r="A19" s="115" t="str">
        <f aca="false">IF(B19="","",ROW()-5)</f>
        <v/>
      </c>
      <c r="B19" s="118"/>
      <c r="C19" s="118"/>
      <c r="D19" s="118"/>
      <c r="E19" s="118"/>
      <c r="F19" s="118"/>
      <c r="G19" s="118"/>
      <c r="H19" s="119"/>
      <c r="I19" s="120"/>
      <c r="J19" s="119"/>
      <c r="K19" s="119"/>
      <c r="L19" s="121"/>
      <c r="M19" s="121"/>
      <c r="N19" s="121"/>
      <c r="O19" s="121"/>
      <c r="P19" s="116" t="str">
        <f aca="false">IF(B19="","",SUM(L19:O19))</f>
        <v/>
      </c>
      <c r="Q19" s="116" t="str">
        <f aca="false">IF(B19="","",L19+IF(cfg_EOS_H="نعم",M19,0)+IF(cfg_EOS_T="نعم",N19,0)+IF(cfg_EOS_O="نعم",O19,0))</f>
        <v/>
      </c>
      <c r="R19" s="116" t="str">
        <f aca="false">IF(B19="","",L19+IF(cfg_LV_H="نعم",M19,0)+IF(cfg_LV_T="نعم",N19,0)+IF(cfg_LV_O="نعم",O19,0))</f>
        <v/>
      </c>
      <c r="S19" s="116" t="str">
        <f aca="false">IF(B19="","",MIN(cfg_G_CAP,L19+M19))</f>
        <v/>
      </c>
      <c r="T19" s="122"/>
      <c r="U19" s="118"/>
      <c r="V19" s="121"/>
      <c r="W19" s="122"/>
      <c r="X19" s="121"/>
      <c r="Y19" s="121"/>
      <c r="Z19" s="121"/>
      <c r="AA19" s="121"/>
      <c r="AB19" s="116" t="str">
        <f aca="false">IF(B19="","",IF(X19&lt;&gt;"",X19,IF(E19="غير سعودي",cfg_IQ,0))+IF(Y19&lt;&gt;"",Y19,IF(E19="غير سعودي",cfg_WP,0))+IF(Z19&lt;&gt;"",Z19,cfg_MED)+N(AA19))</f>
        <v/>
      </c>
      <c r="AC19" s="123"/>
      <c r="AD19" s="121"/>
      <c r="AE19" s="119"/>
      <c r="AF19" s="118"/>
      <c r="AG19" s="117" t="str">
        <f aca="false">IF(B19="","",IF(AND(AE19&lt;&gt;"",AE19&lt;=cfg_VAL_DATE),"✖ منتهي الخدمة",IF(H19&gt;cfg_VAL_DATE,"⏳ لم يباشر بعد","✔ على رأس العمل")))</f>
        <v/>
      </c>
      <c r="AH19" s="117" t="str">
        <f aca="false">IF(B19="","",IF(AG19&lt;&gt;"✔ على رأس العمل",AG19,IF(COUNTIFS('سجل الإجازات والحالات'!$B$6:$B$505,B19,'سجل الإجازات والحالات'!$E$6:$E$505,"&lt;="&amp;cfg_VAL_DATE,'سجل الإجازات والحالات'!$F$6:$F$505,"&gt;="&amp;cfg_VAL_DATE)&gt;0,"✈ "&amp;INDEX('سجل الإجازات والحالات'!$D$6:$D$505,MATCH(1,INDEX(('سجل الإجازات والحالات'!$B$6:$B$505=B19)*('سجل الإجازات والحالات'!$E$6:$E$505&lt;=cfg_VAL_DATE)*('سجل الإجازات والحالات'!$F$6:$F$505&gt;=cfg_VAL_DATE),0),0)),"✔ على رأس العمل")))</f>
        <v/>
      </c>
      <c r="AI19" s="118"/>
      <c r="AJ19" s="118"/>
      <c r="AK19" s="118"/>
    </row>
    <row r="20" customFormat="false" ht="15" hidden="false" customHeight="false" outlineLevel="0" collapsed="false">
      <c r="A20" s="106" t="str">
        <f aca="false">IF(B20="","",ROW()-5)</f>
        <v/>
      </c>
      <c r="B20" s="118"/>
      <c r="C20" s="118"/>
      <c r="D20" s="118"/>
      <c r="E20" s="118"/>
      <c r="F20" s="118"/>
      <c r="G20" s="118"/>
      <c r="H20" s="119"/>
      <c r="I20" s="120"/>
      <c r="J20" s="119"/>
      <c r="K20" s="119"/>
      <c r="L20" s="121"/>
      <c r="M20" s="121"/>
      <c r="N20" s="121"/>
      <c r="O20" s="121"/>
      <c r="P20" s="111" t="str">
        <f aca="false">IF(B20="","",SUM(L20:O20))</f>
        <v/>
      </c>
      <c r="Q20" s="111" t="str">
        <f aca="false">IF(B20="","",L20+IF(cfg_EOS_H="نعم",M20,0)+IF(cfg_EOS_T="نعم",N20,0)+IF(cfg_EOS_O="نعم",O20,0))</f>
        <v/>
      </c>
      <c r="R20" s="111" t="str">
        <f aca="false">IF(B20="","",L20+IF(cfg_LV_H="نعم",M20,0)+IF(cfg_LV_T="نعم",N20,0)+IF(cfg_LV_O="نعم",O20,0))</f>
        <v/>
      </c>
      <c r="S20" s="111" t="str">
        <f aca="false">IF(B20="","",MIN(cfg_G_CAP,L20+M20))</f>
        <v/>
      </c>
      <c r="T20" s="122"/>
      <c r="U20" s="118"/>
      <c r="V20" s="121"/>
      <c r="W20" s="122"/>
      <c r="X20" s="121"/>
      <c r="Y20" s="121"/>
      <c r="Z20" s="121"/>
      <c r="AA20" s="121"/>
      <c r="AB20" s="111" t="str">
        <f aca="false">IF(B20="","",IF(X20&lt;&gt;"",X20,IF(E20="غير سعودي",cfg_IQ,0))+IF(Y20&lt;&gt;"",Y20,IF(E20="غير سعودي",cfg_WP,0))+IF(Z20&lt;&gt;"",Z20,cfg_MED)+N(AA20))</f>
        <v/>
      </c>
      <c r="AC20" s="123"/>
      <c r="AD20" s="121"/>
      <c r="AE20" s="119"/>
      <c r="AF20" s="118"/>
      <c r="AG20" s="114" t="str">
        <f aca="false">IF(B20="","",IF(AND(AE20&lt;&gt;"",AE20&lt;=cfg_VAL_DATE),"✖ منتهي الخدمة",IF(H20&gt;cfg_VAL_DATE,"⏳ لم يباشر بعد","✔ على رأس العمل")))</f>
        <v/>
      </c>
      <c r="AH20" s="114" t="str">
        <f aca="false">IF(B20="","",IF(AG20&lt;&gt;"✔ على رأس العمل",AG20,IF(COUNTIFS('سجل الإجازات والحالات'!$B$6:$B$505,B20,'سجل الإجازات والحالات'!$E$6:$E$505,"&lt;="&amp;cfg_VAL_DATE,'سجل الإجازات والحالات'!$F$6:$F$505,"&gt;="&amp;cfg_VAL_DATE)&gt;0,"✈ "&amp;INDEX('سجل الإجازات والحالات'!$D$6:$D$505,MATCH(1,INDEX(('سجل الإجازات والحالات'!$B$6:$B$505=B20)*('سجل الإجازات والحالات'!$E$6:$E$505&lt;=cfg_VAL_DATE)*('سجل الإجازات والحالات'!$F$6:$F$505&gt;=cfg_VAL_DATE),0),0)),"✔ على رأس العمل")))</f>
        <v/>
      </c>
      <c r="AI20" s="118"/>
      <c r="AJ20" s="118"/>
      <c r="AK20" s="118"/>
    </row>
    <row r="21" customFormat="false" ht="15" hidden="false" customHeight="false" outlineLevel="0" collapsed="false">
      <c r="A21" s="115" t="str">
        <f aca="false">IF(B21="","",ROW()-5)</f>
        <v/>
      </c>
      <c r="B21" s="118"/>
      <c r="C21" s="118"/>
      <c r="D21" s="118"/>
      <c r="E21" s="118"/>
      <c r="F21" s="118"/>
      <c r="G21" s="118"/>
      <c r="H21" s="119"/>
      <c r="I21" s="120"/>
      <c r="J21" s="119"/>
      <c r="K21" s="119"/>
      <c r="L21" s="121"/>
      <c r="M21" s="121"/>
      <c r="N21" s="121"/>
      <c r="O21" s="121"/>
      <c r="P21" s="116" t="str">
        <f aca="false">IF(B21="","",SUM(L21:O21))</f>
        <v/>
      </c>
      <c r="Q21" s="116" t="str">
        <f aca="false">IF(B21="","",L21+IF(cfg_EOS_H="نعم",M21,0)+IF(cfg_EOS_T="نعم",N21,0)+IF(cfg_EOS_O="نعم",O21,0))</f>
        <v/>
      </c>
      <c r="R21" s="116" t="str">
        <f aca="false">IF(B21="","",L21+IF(cfg_LV_H="نعم",M21,0)+IF(cfg_LV_T="نعم",N21,0)+IF(cfg_LV_O="نعم",O21,0))</f>
        <v/>
      </c>
      <c r="S21" s="116" t="str">
        <f aca="false">IF(B21="","",MIN(cfg_G_CAP,L21+M21))</f>
        <v/>
      </c>
      <c r="T21" s="122"/>
      <c r="U21" s="118"/>
      <c r="V21" s="121"/>
      <c r="W21" s="122"/>
      <c r="X21" s="121"/>
      <c r="Y21" s="121"/>
      <c r="Z21" s="121"/>
      <c r="AA21" s="121"/>
      <c r="AB21" s="116" t="str">
        <f aca="false">IF(B21="","",IF(X21&lt;&gt;"",X21,IF(E21="غير سعودي",cfg_IQ,0))+IF(Y21&lt;&gt;"",Y21,IF(E21="غير سعودي",cfg_WP,0))+IF(Z21&lt;&gt;"",Z21,cfg_MED)+N(AA21))</f>
        <v/>
      </c>
      <c r="AC21" s="123"/>
      <c r="AD21" s="121"/>
      <c r="AE21" s="119"/>
      <c r="AF21" s="118"/>
      <c r="AG21" s="117" t="str">
        <f aca="false">IF(B21="","",IF(AND(AE21&lt;&gt;"",AE21&lt;=cfg_VAL_DATE),"✖ منتهي الخدمة",IF(H21&gt;cfg_VAL_DATE,"⏳ لم يباشر بعد","✔ على رأس العمل")))</f>
        <v/>
      </c>
      <c r="AH21" s="117" t="str">
        <f aca="false">IF(B21="","",IF(AG21&lt;&gt;"✔ على رأس العمل",AG21,IF(COUNTIFS('سجل الإجازات والحالات'!$B$6:$B$505,B21,'سجل الإجازات والحالات'!$E$6:$E$505,"&lt;="&amp;cfg_VAL_DATE,'سجل الإجازات والحالات'!$F$6:$F$505,"&gt;="&amp;cfg_VAL_DATE)&gt;0,"✈ "&amp;INDEX('سجل الإجازات والحالات'!$D$6:$D$505,MATCH(1,INDEX(('سجل الإجازات والحالات'!$B$6:$B$505=B21)*('سجل الإجازات والحالات'!$E$6:$E$505&lt;=cfg_VAL_DATE)*('سجل الإجازات والحالات'!$F$6:$F$505&gt;=cfg_VAL_DATE),0),0)),"✔ على رأس العمل")))</f>
        <v/>
      </c>
      <c r="AI21" s="118"/>
      <c r="AJ21" s="118"/>
      <c r="AK21" s="118"/>
    </row>
    <row r="22" customFormat="false" ht="15" hidden="false" customHeight="false" outlineLevel="0" collapsed="false">
      <c r="A22" s="106" t="str">
        <f aca="false">IF(B22="","",ROW()-5)</f>
        <v/>
      </c>
      <c r="B22" s="118"/>
      <c r="C22" s="118"/>
      <c r="D22" s="118"/>
      <c r="E22" s="118"/>
      <c r="F22" s="118"/>
      <c r="G22" s="118"/>
      <c r="H22" s="119"/>
      <c r="I22" s="120"/>
      <c r="J22" s="119"/>
      <c r="K22" s="119"/>
      <c r="L22" s="121"/>
      <c r="M22" s="121"/>
      <c r="N22" s="121"/>
      <c r="O22" s="121"/>
      <c r="P22" s="111" t="str">
        <f aca="false">IF(B22="","",SUM(L22:O22))</f>
        <v/>
      </c>
      <c r="Q22" s="111" t="str">
        <f aca="false">IF(B22="","",L22+IF(cfg_EOS_H="نعم",M22,0)+IF(cfg_EOS_T="نعم",N22,0)+IF(cfg_EOS_O="نعم",O22,0))</f>
        <v/>
      </c>
      <c r="R22" s="111" t="str">
        <f aca="false">IF(B22="","",L22+IF(cfg_LV_H="نعم",M22,0)+IF(cfg_LV_T="نعم",N22,0)+IF(cfg_LV_O="نعم",O22,0))</f>
        <v/>
      </c>
      <c r="S22" s="111" t="str">
        <f aca="false">IF(B22="","",MIN(cfg_G_CAP,L22+M22))</f>
        <v/>
      </c>
      <c r="T22" s="122"/>
      <c r="U22" s="118"/>
      <c r="V22" s="121"/>
      <c r="W22" s="122"/>
      <c r="X22" s="121"/>
      <c r="Y22" s="121"/>
      <c r="Z22" s="121"/>
      <c r="AA22" s="121"/>
      <c r="AB22" s="111" t="str">
        <f aca="false">IF(B22="","",IF(X22&lt;&gt;"",X22,IF(E22="غير سعودي",cfg_IQ,0))+IF(Y22&lt;&gt;"",Y22,IF(E22="غير سعودي",cfg_WP,0))+IF(Z22&lt;&gt;"",Z22,cfg_MED)+N(AA22))</f>
        <v/>
      </c>
      <c r="AC22" s="123"/>
      <c r="AD22" s="121"/>
      <c r="AE22" s="119"/>
      <c r="AF22" s="118"/>
      <c r="AG22" s="114" t="str">
        <f aca="false">IF(B22="","",IF(AND(AE22&lt;&gt;"",AE22&lt;=cfg_VAL_DATE),"✖ منتهي الخدمة",IF(H22&gt;cfg_VAL_DATE,"⏳ لم يباشر بعد","✔ على رأس العمل")))</f>
        <v/>
      </c>
      <c r="AH22" s="114" t="str">
        <f aca="false">IF(B22="","",IF(AG22&lt;&gt;"✔ على رأس العمل",AG22,IF(COUNTIFS('سجل الإجازات والحالات'!$B$6:$B$505,B22,'سجل الإجازات والحالات'!$E$6:$E$505,"&lt;="&amp;cfg_VAL_DATE,'سجل الإجازات والحالات'!$F$6:$F$505,"&gt;="&amp;cfg_VAL_DATE)&gt;0,"✈ "&amp;INDEX('سجل الإجازات والحالات'!$D$6:$D$505,MATCH(1,INDEX(('سجل الإجازات والحالات'!$B$6:$B$505=B22)*('سجل الإجازات والحالات'!$E$6:$E$505&lt;=cfg_VAL_DATE)*('سجل الإجازات والحالات'!$F$6:$F$505&gt;=cfg_VAL_DATE),0),0)),"✔ على رأس العمل")))</f>
        <v/>
      </c>
      <c r="AI22" s="118"/>
      <c r="AJ22" s="118"/>
      <c r="AK22" s="118"/>
    </row>
    <row r="23" customFormat="false" ht="15" hidden="false" customHeight="false" outlineLevel="0" collapsed="false">
      <c r="A23" s="115" t="str">
        <f aca="false">IF(B23="","",ROW()-5)</f>
        <v/>
      </c>
      <c r="B23" s="118"/>
      <c r="C23" s="118"/>
      <c r="D23" s="118"/>
      <c r="E23" s="118"/>
      <c r="F23" s="118"/>
      <c r="G23" s="118"/>
      <c r="H23" s="119"/>
      <c r="I23" s="120"/>
      <c r="J23" s="119"/>
      <c r="K23" s="119"/>
      <c r="L23" s="121"/>
      <c r="M23" s="121"/>
      <c r="N23" s="121"/>
      <c r="O23" s="121"/>
      <c r="P23" s="116" t="str">
        <f aca="false">IF(B23="","",SUM(L23:O23))</f>
        <v/>
      </c>
      <c r="Q23" s="116" t="str">
        <f aca="false">IF(B23="","",L23+IF(cfg_EOS_H="نعم",M23,0)+IF(cfg_EOS_T="نعم",N23,0)+IF(cfg_EOS_O="نعم",O23,0))</f>
        <v/>
      </c>
      <c r="R23" s="116" t="str">
        <f aca="false">IF(B23="","",L23+IF(cfg_LV_H="نعم",M23,0)+IF(cfg_LV_T="نعم",N23,0)+IF(cfg_LV_O="نعم",O23,0))</f>
        <v/>
      </c>
      <c r="S23" s="116" t="str">
        <f aca="false">IF(B23="","",MIN(cfg_G_CAP,L23+M23))</f>
        <v/>
      </c>
      <c r="T23" s="122"/>
      <c r="U23" s="118"/>
      <c r="V23" s="121"/>
      <c r="W23" s="122"/>
      <c r="X23" s="121"/>
      <c r="Y23" s="121"/>
      <c r="Z23" s="121"/>
      <c r="AA23" s="121"/>
      <c r="AB23" s="116" t="str">
        <f aca="false">IF(B23="","",IF(X23&lt;&gt;"",X23,IF(E23="غير سعودي",cfg_IQ,0))+IF(Y23&lt;&gt;"",Y23,IF(E23="غير سعودي",cfg_WP,0))+IF(Z23&lt;&gt;"",Z23,cfg_MED)+N(AA23))</f>
        <v/>
      </c>
      <c r="AC23" s="123"/>
      <c r="AD23" s="121"/>
      <c r="AE23" s="119"/>
      <c r="AF23" s="118"/>
      <c r="AG23" s="117" t="str">
        <f aca="false">IF(B23="","",IF(AND(AE23&lt;&gt;"",AE23&lt;=cfg_VAL_DATE),"✖ منتهي الخدمة",IF(H23&gt;cfg_VAL_DATE,"⏳ لم يباشر بعد","✔ على رأس العمل")))</f>
        <v/>
      </c>
      <c r="AH23" s="117" t="str">
        <f aca="false">IF(B23="","",IF(AG23&lt;&gt;"✔ على رأس العمل",AG23,IF(COUNTIFS('سجل الإجازات والحالات'!$B$6:$B$505,B23,'سجل الإجازات والحالات'!$E$6:$E$505,"&lt;="&amp;cfg_VAL_DATE,'سجل الإجازات والحالات'!$F$6:$F$505,"&gt;="&amp;cfg_VAL_DATE)&gt;0,"✈ "&amp;INDEX('سجل الإجازات والحالات'!$D$6:$D$505,MATCH(1,INDEX(('سجل الإجازات والحالات'!$B$6:$B$505=B23)*('سجل الإجازات والحالات'!$E$6:$E$505&lt;=cfg_VAL_DATE)*('سجل الإجازات والحالات'!$F$6:$F$505&gt;=cfg_VAL_DATE),0),0)),"✔ على رأس العمل")))</f>
        <v/>
      </c>
      <c r="AI23" s="118"/>
      <c r="AJ23" s="118"/>
      <c r="AK23" s="118"/>
    </row>
    <row r="24" customFormat="false" ht="15" hidden="false" customHeight="false" outlineLevel="0" collapsed="false">
      <c r="A24" s="106" t="str">
        <f aca="false">IF(B24="","",ROW()-5)</f>
        <v/>
      </c>
      <c r="B24" s="118"/>
      <c r="C24" s="118"/>
      <c r="D24" s="118"/>
      <c r="E24" s="118"/>
      <c r="F24" s="118"/>
      <c r="G24" s="118"/>
      <c r="H24" s="119"/>
      <c r="I24" s="120"/>
      <c r="J24" s="119"/>
      <c r="K24" s="119"/>
      <c r="L24" s="121"/>
      <c r="M24" s="121"/>
      <c r="N24" s="121"/>
      <c r="O24" s="121"/>
      <c r="P24" s="111" t="str">
        <f aca="false">IF(B24="","",SUM(L24:O24))</f>
        <v/>
      </c>
      <c r="Q24" s="111" t="str">
        <f aca="false">IF(B24="","",L24+IF(cfg_EOS_H="نعم",M24,0)+IF(cfg_EOS_T="نعم",N24,0)+IF(cfg_EOS_O="نعم",O24,0))</f>
        <v/>
      </c>
      <c r="R24" s="111" t="str">
        <f aca="false">IF(B24="","",L24+IF(cfg_LV_H="نعم",M24,0)+IF(cfg_LV_T="نعم",N24,0)+IF(cfg_LV_O="نعم",O24,0))</f>
        <v/>
      </c>
      <c r="S24" s="111" t="str">
        <f aca="false">IF(B24="","",MIN(cfg_G_CAP,L24+M24))</f>
        <v/>
      </c>
      <c r="T24" s="122"/>
      <c r="U24" s="118"/>
      <c r="V24" s="121"/>
      <c r="W24" s="122"/>
      <c r="X24" s="121"/>
      <c r="Y24" s="121"/>
      <c r="Z24" s="121"/>
      <c r="AA24" s="121"/>
      <c r="AB24" s="111" t="str">
        <f aca="false">IF(B24="","",IF(X24&lt;&gt;"",X24,IF(E24="غير سعودي",cfg_IQ,0))+IF(Y24&lt;&gt;"",Y24,IF(E24="غير سعودي",cfg_WP,0))+IF(Z24&lt;&gt;"",Z24,cfg_MED)+N(AA24))</f>
        <v/>
      </c>
      <c r="AC24" s="123"/>
      <c r="AD24" s="121"/>
      <c r="AE24" s="119"/>
      <c r="AF24" s="118"/>
      <c r="AG24" s="114" t="str">
        <f aca="false">IF(B24="","",IF(AND(AE24&lt;&gt;"",AE24&lt;=cfg_VAL_DATE),"✖ منتهي الخدمة",IF(H24&gt;cfg_VAL_DATE,"⏳ لم يباشر بعد","✔ على رأس العمل")))</f>
        <v/>
      </c>
      <c r="AH24" s="114" t="str">
        <f aca="false">IF(B24="","",IF(AG24&lt;&gt;"✔ على رأس العمل",AG24,IF(COUNTIFS('سجل الإجازات والحالات'!$B$6:$B$505,B24,'سجل الإجازات والحالات'!$E$6:$E$505,"&lt;="&amp;cfg_VAL_DATE,'سجل الإجازات والحالات'!$F$6:$F$505,"&gt;="&amp;cfg_VAL_DATE)&gt;0,"✈ "&amp;INDEX('سجل الإجازات والحالات'!$D$6:$D$505,MATCH(1,INDEX(('سجل الإجازات والحالات'!$B$6:$B$505=B24)*('سجل الإجازات والحالات'!$E$6:$E$505&lt;=cfg_VAL_DATE)*('سجل الإجازات والحالات'!$F$6:$F$505&gt;=cfg_VAL_DATE),0),0)),"✔ على رأس العمل")))</f>
        <v/>
      </c>
      <c r="AI24" s="118"/>
      <c r="AJ24" s="118"/>
      <c r="AK24" s="118"/>
    </row>
    <row r="25" customFormat="false" ht="15" hidden="false" customHeight="false" outlineLevel="0" collapsed="false">
      <c r="A25" s="115" t="str">
        <f aca="false">IF(B25="","",ROW()-5)</f>
        <v/>
      </c>
      <c r="B25" s="118"/>
      <c r="C25" s="118"/>
      <c r="D25" s="118"/>
      <c r="E25" s="118"/>
      <c r="F25" s="118"/>
      <c r="G25" s="118"/>
      <c r="H25" s="119"/>
      <c r="I25" s="120"/>
      <c r="J25" s="119"/>
      <c r="K25" s="119"/>
      <c r="L25" s="121"/>
      <c r="M25" s="121"/>
      <c r="N25" s="121"/>
      <c r="O25" s="121"/>
      <c r="P25" s="116" t="str">
        <f aca="false">IF(B25="","",SUM(L25:O25))</f>
        <v/>
      </c>
      <c r="Q25" s="116" t="str">
        <f aca="false">IF(B25="","",L25+IF(cfg_EOS_H="نعم",M25,0)+IF(cfg_EOS_T="نعم",N25,0)+IF(cfg_EOS_O="نعم",O25,0))</f>
        <v/>
      </c>
      <c r="R25" s="116" t="str">
        <f aca="false">IF(B25="","",L25+IF(cfg_LV_H="نعم",M25,0)+IF(cfg_LV_T="نعم",N25,0)+IF(cfg_LV_O="نعم",O25,0))</f>
        <v/>
      </c>
      <c r="S25" s="116" t="str">
        <f aca="false">IF(B25="","",MIN(cfg_G_CAP,L25+M25))</f>
        <v/>
      </c>
      <c r="T25" s="122"/>
      <c r="U25" s="118"/>
      <c r="V25" s="121"/>
      <c r="W25" s="122"/>
      <c r="X25" s="121"/>
      <c r="Y25" s="121"/>
      <c r="Z25" s="121"/>
      <c r="AA25" s="121"/>
      <c r="AB25" s="116" t="str">
        <f aca="false">IF(B25="","",IF(X25&lt;&gt;"",X25,IF(E25="غير سعودي",cfg_IQ,0))+IF(Y25&lt;&gt;"",Y25,IF(E25="غير سعودي",cfg_WP,0))+IF(Z25&lt;&gt;"",Z25,cfg_MED)+N(AA25))</f>
        <v/>
      </c>
      <c r="AC25" s="123"/>
      <c r="AD25" s="121"/>
      <c r="AE25" s="119"/>
      <c r="AF25" s="118"/>
      <c r="AG25" s="117" t="str">
        <f aca="false">IF(B25="","",IF(AND(AE25&lt;&gt;"",AE25&lt;=cfg_VAL_DATE),"✖ منتهي الخدمة",IF(H25&gt;cfg_VAL_DATE,"⏳ لم يباشر بعد","✔ على رأس العمل")))</f>
        <v/>
      </c>
      <c r="AH25" s="117" t="str">
        <f aca="false">IF(B25="","",IF(AG25&lt;&gt;"✔ على رأس العمل",AG25,IF(COUNTIFS('سجل الإجازات والحالات'!$B$6:$B$505,B25,'سجل الإجازات والحالات'!$E$6:$E$505,"&lt;="&amp;cfg_VAL_DATE,'سجل الإجازات والحالات'!$F$6:$F$505,"&gt;="&amp;cfg_VAL_DATE)&gt;0,"✈ "&amp;INDEX('سجل الإجازات والحالات'!$D$6:$D$505,MATCH(1,INDEX(('سجل الإجازات والحالات'!$B$6:$B$505=B25)*('سجل الإجازات والحالات'!$E$6:$E$505&lt;=cfg_VAL_DATE)*('سجل الإجازات والحالات'!$F$6:$F$505&gt;=cfg_VAL_DATE),0),0)),"✔ على رأس العمل")))</f>
        <v/>
      </c>
      <c r="AI25" s="118"/>
      <c r="AJ25" s="118"/>
      <c r="AK25" s="118"/>
    </row>
    <row r="26" customFormat="false" ht="15" hidden="false" customHeight="false" outlineLevel="0" collapsed="false">
      <c r="A26" s="106" t="str">
        <f aca="false">IF(B26="","",ROW()-5)</f>
        <v/>
      </c>
      <c r="B26" s="118"/>
      <c r="C26" s="118"/>
      <c r="D26" s="118"/>
      <c r="E26" s="118"/>
      <c r="F26" s="118"/>
      <c r="G26" s="118"/>
      <c r="H26" s="119"/>
      <c r="I26" s="120"/>
      <c r="J26" s="119"/>
      <c r="K26" s="119"/>
      <c r="L26" s="121"/>
      <c r="M26" s="121"/>
      <c r="N26" s="121"/>
      <c r="O26" s="121"/>
      <c r="P26" s="111" t="str">
        <f aca="false">IF(B26="","",SUM(L26:O26))</f>
        <v/>
      </c>
      <c r="Q26" s="111" t="str">
        <f aca="false">IF(B26="","",L26+IF(cfg_EOS_H="نعم",M26,0)+IF(cfg_EOS_T="نعم",N26,0)+IF(cfg_EOS_O="نعم",O26,0))</f>
        <v/>
      </c>
      <c r="R26" s="111" t="str">
        <f aca="false">IF(B26="","",L26+IF(cfg_LV_H="نعم",M26,0)+IF(cfg_LV_T="نعم",N26,0)+IF(cfg_LV_O="نعم",O26,0))</f>
        <v/>
      </c>
      <c r="S26" s="111" t="str">
        <f aca="false">IF(B26="","",MIN(cfg_G_CAP,L26+M26))</f>
        <v/>
      </c>
      <c r="T26" s="122"/>
      <c r="U26" s="118"/>
      <c r="V26" s="121"/>
      <c r="W26" s="122"/>
      <c r="X26" s="121"/>
      <c r="Y26" s="121"/>
      <c r="Z26" s="121"/>
      <c r="AA26" s="121"/>
      <c r="AB26" s="111" t="str">
        <f aca="false">IF(B26="","",IF(X26&lt;&gt;"",X26,IF(E26="غير سعودي",cfg_IQ,0))+IF(Y26&lt;&gt;"",Y26,IF(E26="غير سعودي",cfg_WP,0))+IF(Z26&lt;&gt;"",Z26,cfg_MED)+N(AA26))</f>
        <v/>
      </c>
      <c r="AC26" s="123"/>
      <c r="AD26" s="121"/>
      <c r="AE26" s="119"/>
      <c r="AF26" s="118"/>
      <c r="AG26" s="114" t="str">
        <f aca="false">IF(B26="","",IF(AND(AE26&lt;&gt;"",AE26&lt;=cfg_VAL_DATE),"✖ منتهي الخدمة",IF(H26&gt;cfg_VAL_DATE,"⏳ لم يباشر بعد","✔ على رأس العمل")))</f>
        <v/>
      </c>
      <c r="AH26" s="114" t="str">
        <f aca="false">IF(B26="","",IF(AG26&lt;&gt;"✔ على رأس العمل",AG26,IF(COUNTIFS('سجل الإجازات والحالات'!$B$6:$B$505,B26,'سجل الإجازات والحالات'!$E$6:$E$505,"&lt;="&amp;cfg_VAL_DATE,'سجل الإجازات والحالات'!$F$6:$F$505,"&gt;="&amp;cfg_VAL_DATE)&gt;0,"✈ "&amp;INDEX('سجل الإجازات والحالات'!$D$6:$D$505,MATCH(1,INDEX(('سجل الإجازات والحالات'!$B$6:$B$505=B26)*('سجل الإجازات والحالات'!$E$6:$E$505&lt;=cfg_VAL_DATE)*('سجل الإجازات والحالات'!$F$6:$F$505&gt;=cfg_VAL_DATE),0),0)),"✔ على رأس العمل")))</f>
        <v/>
      </c>
      <c r="AI26" s="118"/>
      <c r="AJ26" s="118"/>
      <c r="AK26" s="118"/>
    </row>
    <row r="27" customFormat="false" ht="15" hidden="false" customHeight="false" outlineLevel="0" collapsed="false">
      <c r="A27" s="115" t="str">
        <f aca="false">IF(B27="","",ROW()-5)</f>
        <v/>
      </c>
      <c r="B27" s="118"/>
      <c r="C27" s="118"/>
      <c r="D27" s="118"/>
      <c r="E27" s="118"/>
      <c r="F27" s="118"/>
      <c r="G27" s="118"/>
      <c r="H27" s="119"/>
      <c r="I27" s="120"/>
      <c r="J27" s="119"/>
      <c r="K27" s="119"/>
      <c r="L27" s="121"/>
      <c r="M27" s="121"/>
      <c r="N27" s="121"/>
      <c r="O27" s="121"/>
      <c r="P27" s="116" t="str">
        <f aca="false">IF(B27="","",SUM(L27:O27))</f>
        <v/>
      </c>
      <c r="Q27" s="116" t="str">
        <f aca="false">IF(B27="","",L27+IF(cfg_EOS_H="نعم",M27,0)+IF(cfg_EOS_T="نعم",N27,0)+IF(cfg_EOS_O="نعم",O27,0))</f>
        <v/>
      </c>
      <c r="R27" s="116" t="str">
        <f aca="false">IF(B27="","",L27+IF(cfg_LV_H="نعم",M27,0)+IF(cfg_LV_T="نعم",N27,0)+IF(cfg_LV_O="نعم",O27,0))</f>
        <v/>
      </c>
      <c r="S27" s="116" t="str">
        <f aca="false">IF(B27="","",MIN(cfg_G_CAP,L27+M27))</f>
        <v/>
      </c>
      <c r="T27" s="122"/>
      <c r="U27" s="118"/>
      <c r="V27" s="121"/>
      <c r="W27" s="122"/>
      <c r="X27" s="121"/>
      <c r="Y27" s="121"/>
      <c r="Z27" s="121"/>
      <c r="AA27" s="121"/>
      <c r="AB27" s="116" t="str">
        <f aca="false">IF(B27="","",IF(X27&lt;&gt;"",X27,IF(E27="غير سعودي",cfg_IQ,0))+IF(Y27&lt;&gt;"",Y27,IF(E27="غير سعودي",cfg_WP,0))+IF(Z27&lt;&gt;"",Z27,cfg_MED)+N(AA27))</f>
        <v/>
      </c>
      <c r="AC27" s="123"/>
      <c r="AD27" s="121"/>
      <c r="AE27" s="119"/>
      <c r="AF27" s="118"/>
      <c r="AG27" s="117" t="str">
        <f aca="false">IF(B27="","",IF(AND(AE27&lt;&gt;"",AE27&lt;=cfg_VAL_DATE),"✖ منتهي الخدمة",IF(H27&gt;cfg_VAL_DATE,"⏳ لم يباشر بعد","✔ على رأس العمل")))</f>
        <v/>
      </c>
      <c r="AH27" s="117" t="str">
        <f aca="false">IF(B27="","",IF(AG27&lt;&gt;"✔ على رأس العمل",AG27,IF(COUNTIFS('سجل الإجازات والحالات'!$B$6:$B$505,B27,'سجل الإجازات والحالات'!$E$6:$E$505,"&lt;="&amp;cfg_VAL_DATE,'سجل الإجازات والحالات'!$F$6:$F$505,"&gt;="&amp;cfg_VAL_DATE)&gt;0,"✈ "&amp;INDEX('سجل الإجازات والحالات'!$D$6:$D$505,MATCH(1,INDEX(('سجل الإجازات والحالات'!$B$6:$B$505=B27)*('سجل الإجازات والحالات'!$E$6:$E$505&lt;=cfg_VAL_DATE)*('سجل الإجازات والحالات'!$F$6:$F$505&gt;=cfg_VAL_DATE),0),0)),"✔ على رأس العمل")))</f>
        <v/>
      </c>
      <c r="AI27" s="118"/>
      <c r="AJ27" s="118"/>
      <c r="AK27" s="118"/>
    </row>
    <row r="28" customFormat="false" ht="15" hidden="false" customHeight="false" outlineLevel="0" collapsed="false">
      <c r="A28" s="106" t="str">
        <f aca="false">IF(B28="","",ROW()-5)</f>
        <v/>
      </c>
      <c r="B28" s="118"/>
      <c r="C28" s="118"/>
      <c r="D28" s="118"/>
      <c r="E28" s="118"/>
      <c r="F28" s="118"/>
      <c r="G28" s="118"/>
      <c r="H28" s="119"/>
      <c r="I28" s="120"/>
      <c r="J28" s="119"/>
      <c r="K28" s="119"/>
      <c r="L28" s="121"/>
      <c r="M28" s="121"/>
      <c r="N28" s="121"/>
      <c r="O28" s="121"/>
      <c r="P28" s="111" t="str">
        <f aca="false">IF(B28="","",SUM(L28:O28))</f>
        <v/>
      </c>
      <c r="Q28" s="111" t="str">
        <f aca="false">IF(B28="","",L28+IF(cfg_EOS_H="نعم",M28,0)+IF(cfg_EOS_T="نعم",N28,0)+IF(cfg_EOS_O="نعم",O28,0))</f>
        <v/>
      </c>
      <c r="R28" s="111" t="str">
        <f aca="false">IF(B28="","",L28+IF(cfg_LV_H="نعم",M28,0)+IF(cfg_LV_T="نعم",N28,0)+IF(cfg_LV_O="نعم",O28,0))</f>
        <v/>
      </c>
      <c r="S28" s="111" t="str">
        <f aca="false">IF(B28="","",MIN(cfg_G_CAP,L28+M28))</f>
        <v/>
      </c>
      <c r="T28" s="122"/>
      <c r="U28" s="118"/>
      <c r="V28" s="121"/>
      <c r="W28" s="122"/>
      <c r="X28" s="121"/>
      <c r="Y28" s="121"/>
      <c r="Z28" s="121"/>
      <c r="AA28" s="121"/>
      <c r="AB28" s="111" t="str">
        <f aca="false">IF(B28="","",IF(X28&lt;&gt;"",X28,IF(E28="غير سعودي",cfg_IQ,0))+IF(Y28&lt;&gt;"",Y28,IF(E28="غير سعودي",cfg_WP,0))+IF(Z28&lt;&gt;"",Z28,cfg_MED)+N(AA28))</f>
        <v/>
      </c>
      <c r="AC28" s="123"/>
      <c r="AD28" s="121"/>
      <c r="AE28" s="119"/>
      <c r="AF28" s="118"/>
      <c r="AG28" s="114" t="str">
        <f aca="false">IF(B28="","",IF(AND(AE28&lt;&gt;"",AE28&lt;=cfg_VAL_DATE),"✖ منتهي الخدمة",IF(H28&gt;cfg_VAL_DATE,"⏳ لم يباشر بعد","✔ على رأس العمل")))</f>
        <v/>
      </c>
      <c r="AH28" s="114" t="str">
        <f aca="false">IF(B28="","",IF(AG28&lt;&gt;"✔ على رأس العمل",AG28,IF(COUNTIFS('سجل الإجازات والحالات'!$B$6:$B$505,B28,'سجل الإجازات والحالات'!$E$6:$E$505,"&lt;="&amp;cfg_VAL_DATE,'سجل الإجازات والحالات'!$F$6:$F$505,"&gt;="&amp;cfg_VAL_DATE)&gt;0,"✈ "&amp;INDEX('سجل الإجازات والحالات'!$D$6:$D$505,MATCH(1,INDEX(('سجل الإجازات والحالات'!$B$6:$B$505=B28)*('سجل الإجازات والحالات'!$E$6:$E$505&lt;=cfg_VAL_DATE)*('سجل الإجازات والحالات'!$F$6:$F$505&gt;=cfg_VAL_DATE),0),0)),"✔ على رأس العمل")))</f>
        <v/>
      </c>
      <c r="AI28" s="118"/>
      <c r="AJ28" s="118"/>
      <c r="AK28" s="118"/>
    </row>
    <row r="29" customFormat="false" ht="15" hidden="false" customHeight="false" outlineLevel="0" collapsed="false">
      <c r="A29" s="115" t="str">
        <f aca="false">IF(B29="","",ROW()-5)</f>
        <v/>
      </c>
      <c r="B29" s="118"/>
      <c r="C29" s="118"/>
      <c r="D29" s="118"/>
      <c r="E29" s="118"/>
      <c r="F29" s="118"/>
      <c r="G29" s="118"/>
      <c r="H29" s="119"/>
      <c r="I29" s="120"/>
      <c r="J29" s="119"/>
      <c r="K29" s="119"/>
      <c r="L29" s="121"/>
      <c r="M29" s="121"/>
      <c r="N29" s="121"/>
      <c r="O29" s="121"/>
      <c r="P29" s="116" t="str">
        <f aca="false">IF(B29="","",SUM(L29:O29))</f>
        <v/>
      </c>
      <c r="Q29" s="116" t="str">
        <f aca="false">IF(B29="","",L29+IF(cfg_EOS_H="نعم",M29,0)+IF(cfg_EOS_T="نعم",N29,0)+IF(cfg_EOS_O="نعم",O29,0))</f>
        <v/>
      </c>
      <c r="R29" s="116" t="str">
        <f aca="false">IF(B29="","",L29+IF(cfg_LV_H="نعم",M29,0)+IF(cfg_LV_T="نعم",N29,0)+IF(cfg_LV_O="نعم",O29,0))</f>
        <v/>
      </c>
      <c r="S29" s="116" t="str">
        <f aca="false">IF(B29="","",MIN(cfg_G_CAP,L29+M29))</f>
        <v/>
      </c>
      <c r="T29" s="122"/>
      <c r="U29" s="118"/>
      <c r="V29" s="121"/>
      <c r="W29" s="122"/>
      <c r="X29" s="121"/>
      <c r="Y29" s="121"/>
      <c r="Z29" s="121"/>
      <c r="AA29" s="121"/>
      <c r="AB29" s="116" t="str">
        <f aca="false">IF(B29="","",IF(X29&lt;&gt;"",X29,IF(E29="غير سعودي",cfg_IQ,0))+IF(Y29&lt;&gt;"",Y29,IF(E29="غير سعودي",cfg_WP,0))+IF(Z29&lt;&gt;"",Z29,cfg_MED)+N(AA29))</f>
        <v/>
      </c>
      <c r="AC29" s="123"/>
      <c r="AD29" s="121"/>
      <c r="AE29" s="119"/>
      <c r="AF29" s="118"/>
      <c r="AG29" s="117" t="str">
        <f aca="false">IF(B29="","",IF(AND(AE29&lt;&gt;"",AE29&lt;=cfg_VAL_DATE),"✖ منتهي الخدمة",IF(H29&gt;cfg_VAL_DATE,"⏳ لم يباشر بعد","✔ على رأس العمل")))</f>
        <v/>
      </c>
      <c r="AH29" s="117" t="str">
        <f aca="false">IF(B29="","",IF(AG29&lt;&gt;"✔ على رأس العمل",AG29,IF(COUNTIFS('سجل الإجازات والحالات'!$B$6:$B$505,B29,'سجل الإجازات والحالات'!$E$6:$E$505,"&lt;="&amp;cfg_VAL_DATE,'سجل الإجازات والحالات'!$F$6:$F$505,"&gt;="&amp;cfg_VAL_DATE)&gt;0,"✈ "&amp;INDEX('سجل الإجازات والحالات'!$D$6:$D$505,MATCH(1,INDEX(('سجل الإجازات والحالات'!$B$6:$B$505=B29)*('سجل الإجازات والحالات'!$E$6:$E$505&lt;=cfg_VAL_DATE)*('سجل الإجازات والحالات'!$F$6:$F$505&gt;=cfg_VAL_DATE),0),0)),"✔ على رأس العمل")))</f>
        <v/>
      </c>
      <c r="AI29" s="118"/>
      <c r="AJ29" s="118"/>
      <c r="AK29" s="118"/>
    </row>
    <row r="30" customFormat="false" ht="15" hidden="false" customHeight="false" outlineLevel="0" collapsed="false">
      <c r="A30" s="106" t="str">
        <f aca="false">IF(B30="","",ROW()-5)</f>
        <v/>
      </c>
      <c r="B30" s="118"/>
      <c r="C30" s="118"/>
      <c r="D30" s="118"/>
      <c r="E30" s="118"/>
      <c r="F30" s="118"/>
      <c r="G30" s="118"/>
      <c r="H30" s="119"/>
      <c r="I30" s="120"/>
      <c r="J30" s="119"/>
      <c r="K30" s="119"/>
      <c r="L30" s="121"/>
      <c r="M30" s="121"/>
      <c r="N30" s="121"/>
      <c r="O30" s="121"/>
      <c r="P30" s="111" t="str">
        <f aca="false">IF(B30="","",SUM(L30:O30))</f>
        <v/>
      </c>
      <c r="Q30" s="111" t="str">
        <f aca="false">IF(B30="","",L30+IF(cfg_EOS_H="نعم",M30,0)+IF(cfg_EOS_T="نعم",N30,0)+IF(cfg_EOS_O="نعم",O30,0))</f>
        <v/>
      </c>
      <c r="R30" s="111" t="str">
        <f aca="false">IF(B30="","",L30+IF(cfg_LV_H="نعم",M30,0)+IF(cfg_LV_T="نعم",N30,0)+IF(cfg_LV_O="نعم",O30,0))</f>
        <v/>
      </c>
      <c r="S30" s="111" t="str">
        <f aca="false">IF(B30="","",MIN(cfg_G_CAP,L30+M30))</f>
        <v/>
      </c>
      <c r="T30" s="122"/>
      <c r="U30" s="118"/>
      <c r="V30" s="121"/>
      <c r="W30" s="122"/>
      <c r="X30" s="121"/>
      <c r="Y30" s="121"/>
      <c r="Z30" s="121"/>
      <c r="AA30" s="121"/>
      <c r="AB30" s="111" t="str">
        <f aca="false">IF(B30="","",IF(X30&lt;&gt;"",X30,IF(E30="غير سعودي",cfg_IQ,0))+IF(Y30&lt;&gt;"",Y30,IF(E30="غير سعودي",cfg_WP,0))+IF(Z30&lt;&gt;"",Z30,cfg_MED)+N(AA30))</f>
        <v/>
      </c>
      <c r="AC30" s="123"/>
      <c r="AD30" s="121"/>
      <c r="AE30" s="119"/>
      <c r="AF30" s="118"/>
      <c r="AG30" s="114" t="str">
        <f aca="false">IF(B30="","",IF(AND(AE30&lt;&gt;"",AE30&lt;=cfg_VAL_DATE),"✖ منتهي الخدمة",IF(H30&gt;cfg_VAL_DATE,"⏳ لم يباشر بعد","✔ على رأس العمل")))</f>
        <v/>
      </c>
      <c r="AH30" s="114" t="str">
        <f aca="false">IF(B30="","",IF(AG30&lt;&gt;"✔ على رأس العمل",AG30,IF(COUNTIFS('سجل الإجازات والحالات'!$B$6:$B$505,B30,'سجل الإجازات والحالات'!$E$6:$E$505,"&lt;="&amp;cfg_VAL_DATE,'سجل الإجازات والحالات'!$F$6:$F$505,"&gt;="&amp;cfg_VAL_DATE)&gt;0,"✈ "&amp;INDEX('سجل الإجازات والحالات'!$D$6:$D$505,MATCH(1,INDEX(('سجل الإجازات والحالات'!$B$6:$B$505=B30)*('سجل الإجازات والحالات'!$E$6:$E$505&lt;=cfg_VAL_DATE)*('سجل الإجازات والحالات'!$F$6:$F$505&gt;=cfg_VAL_DATE),0),0)),"✔ على رأس العمل")))</f>
        <v/>
      </c>
      <c r="AI30" s="118"/>
      <c r="AJ30" s="118"/>
      <c r="AK30" s="118"/>
    </row>
    <row r="31" customFormat="false" ht="15" hidden="false" customHeight="false" outlineLevel="0" collapsed="false">
      <c r="A31" s="115" t="str">
        <f aca="false">IF(B31="","",ROW()-5)</f>
        <v/>
      </c>
      <c r="B31" s="118"/>
      <c r="C31" s="118"/>
      <c r="D31" s="118"/>
      <c r="E31" s="118"/>
      <c r="F31" s="118"/>
      <c r="G31" s="118"/>
      <c r="H31" s="119"/>
      <c r="I31" s="120"/>
      <c r="J31" s="119"/>
      <c r="K31" s="119"/>
      <c r="L31" s="121"/>
      <c r="M31" s="121"/>
      <c r="N31" s="121"/>
      <c r="O31" s="121"/>
      <c r="P31" s="116" t="str">
        <f aca="false">IF(B31="","",SUM(L31:O31))</f>
        <v/>
      </c>
      <c r="Q31" s="116" t="str">
        <f aca="false">IF(B31="","",L31+IF(cfg_EOS_H="نعم",M31,0)+IF(cfg_EOS_T="نعم",N31,0)+IF(cfg_EOS_O="نعم",O31,0))</f>
        <v/>
      </c>
      <c r="R31" s="116" t="str">
        <f aca="false">IF(B31="","",L31+IF(cfg_LV_H="نعم",M31,0)+IF(cfg_LV_T="نعم",N31,0)+IF(cfg_LV_O="نعم",O31,0))</f>
        <v/>
      </c>
      <c r="S31" s="116" t="str">
        <f aca="false">IF(B31="","",MIN(cfg_G_CAP,L31+M31))</f>
        <v/>
      </c>
      <c r="T31" s="122"/>
      <c r="U31" s="118"/>
      <c r="V31" s="121"/>
      <c r="W31" s="122"/>
      <c r="X31" s="121"/>
      <c r="Y31" s="121"/>
      <c r="Z31" s="121"/>
      <c r="AA31" s="121"/>
      <c r="AB31" s="116" t="str">
        <f aca="false">IF(B31="","",IF(X31&lt;&gt;"",X31,IF(E31="غير سعودي",cfg_IQ,0))+IF(Y31&lt;&gt;"",Y31,IF(E31="غير سعودي",cfg_WP,0))+IF(Z31&lt;&gt;"",Z31,cfg_MED)+N(AA31))</f>
        <v/>
      </c>
      <c r="AC31" s="123"/>
      <c r="AD31" s="121"/>
      <c r="AE31" s="119"/>
      <c r="AF31" s="118"/>
      <c r="AG31" s="117" t="str">
        <f aca="false">IF(B31="","",IF(AND(AE31&lt;&gt;"",AE31&lt;=cfg_VAL_DATE),"✖ منتهي الخدمة",IF(H31&gt;cfg_VAL_DATE,"⏳ لم يباشر بعد","✔ على رأس العمل")))</f>
        <v/>
      </c>
      <c r="AH31" s="117" t="str">
        <f aca="false">IF(B31="","",IF(AG31&lt;&gt;"✔ على رأس العمل",AG31,IF(COUNTIFS('سجل الإجازات والحالات'!$B$6:$B$505,B31,'سجل الإجازات والحالات'!$E$6:$E$505,"&lt;="&amp;cfg_VAL_DATE,'سجل الإجازات والحالات'!$F$6:$F$505,"&gt;="&amp;cfg_VAL_DATE)&gt;0,"✈ "&amp;INDEX('سجل الإجازات والحالات'!$D$6:$D$505,MATCH(1,INDEX(('سجل الإجازات والحالات'!$B$6:$B$505=B31)*('سجل الإجازات والحالات'!$E$6:$E$505&lt;=cfg_VAL_DATE)*('سجل الإجازات والحالات'!$F$6:$F$505&gt;=cfg_VAL_DATE),0),0)),"✔ على رأس العمل")))</f>
        <v/>
      </c>
      <c r="AI31" s="118"/>
      <c r="AJ31" s="118"/>
      <c r="AK31" s="118"/>
    </row>
    <row r="32" customFormat="false" ht="15" hidden="false" customHeight="false" outlineLevel="0" collapsed="false">
      <c r="A32" s="106" t="str">
        <f aca="false">IF(B32="","",ROW()-5)</f>
        <v/>
      </c>
      <c r="B32" s="118"/>
      <c r="C32" s="118"/>
      <c r="D32" s="118"/>
      <c r="E32" s="118"/>
      <c r="F32" s="118"/>
      <c r="G32" s="118"/>
      <c r="H32" s="119"/>
      <c r="I32" s="120"/>
      <c r="J32" s="119"/>
      <c r="K32" s="119"/>
      <c r="L32" s="121"/>
      <c r="M32" s="121"/>
      <c r="N32" s="121"/>
      <c r="O32" s="121"/>
      <c r="P32" s="111" t="str">
        <f aca="false">IF(B32="","",SUM(L32:O32))</f>
        <v/>
      </c>
      <c r="Q32" s="111" t="str">
        <f aca="false">IF(B32="","",L32+IF(cfg_EOS_H="نعم",M32,0)+IF(cfg_EOS_T="نعم",N32,0)+IF(cfg_EOS_O="نعم",O32,0))</f>
        <v/>
      </c>
      <c r="R32" s="111" t="str">
        <f aca="false">IF(B32="","",L32+IF(cfg_LV_H="نعم",M32,0)+IF(cfg_LV_T="نعم",N32,0)+IF(cfg_LV_O="نعم",O32,0))</f>
        <v/>
      </c>
      <c r="S32" s="111" t="str">
        <f aca="false">IF(B32="","",MIN(cfg_G_CAP,L32+M32))</f>
        <v/>
      </c>
      <c r="T32" s="122"/>
      <c r="U32" s="118"/>
      <c r="V32" s="121"/>
      <c r="W32" s="122"/>
      <c r="X32" s="121"/>
      <c r="Y32" s="121"/>
      <c r="Z32" s="121"/>
      <c r="AA32" s="121"/>
      <c r="AB32" s="111" t="str">
        <f aca="false">IF(B32="","",IF(X32&lt;&gt;"",X32,IF(E32="غير سعودي",cfg_IQ,0))+IF(Y32&lt;&gt;"",Y32,IF(E32="غير سعودي",cfg_WP,0))+IF(Z32&lt;&gt;"",Z32,cfg_MED)+N(AA32))</f>
        <v/>
      </c>
      <c r="AC32" s="123"/>
      <c r="AD32" s="121"/>
      <c r="AE32" s="119"/>
      <c r="AF32" s="118"/>
      <c r="AG32" s="114" t="str">
        <f aca="false">IF(B32="","",IF(AND(AE32&lt;&gt;"",AE32&lt;=cfg_VAL_DATE),"✖ منتهي الخدمة",IF(H32&gt;cfg_VAL_DATE,"⏳ لم يباشر بعد","✔ على رأس العمل")))</f>
        <v/>
      </c>
      <c r="AH32" s="114" t="str">
        <f aca="false">IF(B32="","",IF(AG32&lt;&gt;"✔ على رأس العمل",AG32,IF(COUNTIFS('سجل الإجازات والحالات'!$B$6:$B$505,B32,'سجل الإجازات والحالات'!$E$6:$E$505,"&lt;="&amp;cfg_VAL_DATE,'سجل الإجازات والحالات'!$F$6:$F$505,"&gt;="&amp;cfg_VAL_DATE)&gt;0,"✈ "&amp;INDEX('سجل الإجازات والحالات'!$D$6:$D$505,MATCH(1,INDEX(('سجل الإجازات والحالات'!$B$6:$B$505=B32)*('سجل الإجازات والحالات'!$E$6:$E$505&lt;=cfg_VAL_DATE)*('سجل الإجازات والحالات'!$F$6:$F$505&gt;=cfg_VAL_DATE),0),0)),"✔ على رأس العمل")))</f>
        <v/>
      </c>
      <c r="AI32" s="118"/>
      <c r="AJ32" s="118"/>
      <c r="AK32" s="118"/>
    </row>
    <row r="33" customFormat="false" ht="15" hidden="false" customHeight="false" outlineLevel="0" collapsed="false">
      <c r="A33" s="115" t="str">
        <f aca="false">IF(B33="","",ROW()-5)</f>
        <v/>
      </c>
      <c r="B33" s="118"/>
      <c r="C33" s="118"/>
      <c r="D33" s="118"/>
      <c r="E33" s="118"/>
      <c r="F33" s="118"/>
      <c r="G33" s="118"/>
      <c r="H33" s="119"/>
      <c r="I33" s="120"/>
      <c r="J33" s="119"/>
      <c r="K33" s="119"/>
      <c r="L33" s="121"/>
      <c r="M33" s="121"/>
      <c r="N33" s="121"/>
      <c r="O33" s="121"/>
      <c r="P33" s="116" t="str">
        <f aca="false">IF(B33="","",SUM(L33:O33))</f>
        <v/>
      </c>
      <c r="Q33" s="116" t="str">
        <f aca="false">IF(B33="","",L33+IF(cfg_EOS_H="نعم",M33,0)+IF(cfg_EOS_T="نعم",N33,0)+IF(cfg_EOS_O="نعم",O33,0))</f>
        <v/>
      </c>
      <c r="R33" s="116" t="str">
        <f aca="false">IF(B33="","",L33+IF(cfg_LV_H="نعم",M33,0)+IF(cfg_LV_T="نعم",N33,0)+IF(cfg_LV_O="نعم",O33,0))</f>
        <v/>
      </c>
      <c r="S33" s="116" t="str">
        <f aca="false">IF(B33="","",MIN(cfg_G_CAP,L33+M33))</f>
        <v/>
      </c>
      <c r="T33" s="122"/>
      <c r="U33" s="118"/>
      <c r="V33" s="121"/>
      <c r="W33" s="122"/>
      <c r="X33" s="121"/>
      <c r="Y33" s="121"/>
      <c r="Z33" s="121"/>
      <c r="AA33" s="121"/>
      <c r="AB33" s="116" t="str">
        <f aca="false">IF(B33="","",IF(X33&lt;&gt;"",X33,IF(E33="غير سعودي",cfg_IQ,0))+IF(Y33&lt;&gt;"",Y33,IF(E33="غير سعودي",cfg_WP,0))+IF(Z33&lt;&gt;"",Z33,cfg_MED)+N(AA33))</f>
        <v/>
      </c>
      <c r="AC33" s="123"/>
      <c r="AD33" s="121"/>
      <c r="AE33" s="119"/>
      <c r="AF33" s="118"/>
      <c r="AG33" s="117" t="str">
        <f aca="false">IF(B33="","",IF(AND(AE33&lt;&gt;"",AE33&lt;=cfg_VAL_DATE),"✖ منتهي الخدمة",IF(H33&gt;cfg_VAL_DATE,"⏳ لم يباشر بعد","✔ على رأس العمل")))</f>
        <v/>
      </c>
      <c r="AH33" s="117" t="str">
        <f aca="false">IF(B33="","",IF(AG33&lt;&gt;"✔ على رأس العمل",AG33,IF(COUNTIFS('سجل الإجازات والحالات'!$B$6:$B$505,B33,'سجل الإجازات والحالات'!$E$6:$E$505,"&lt;="&amp;cfg_VAL_DATE,'سجل الإجازات والحالات'!$F$6:$F$505,"&gt;="&amp;cfg_VAL_DATE)&gt;0,"✈ "&amp;INDEX('سجل الإجازات والحالات'!$D$6:$D$505,MATCH(1,INDEX(('سجل الإجازات والحالات'!$B$6:$B$505=B33)*('سجل الإجازات والحالات'!$E$6:$E$505&lt;=cfg_VAL_DATE)*('سجل الإجازات والحالات'!$F$6:$F$505&gt;=cfg_VAL_DATE),0),0)),"✔ على رأس العمل")))</f>
        <v/>
      </c>
      <c r="AI33" s="118"/>
      <c r="AJ33" s="118"/>
      <c r="AK33" s="118"/>
    </row>
    <row r="34" customFormat="false" ht="15" hidden="false" customHeight="false" outlineLevel="0" collapsed="false">
      <c r="A34" s="106" t="str">
        <f aca="false">IF(B34="","",ROW()-5)</f>
        <v/>
      </c>
      <c r="B34" s="118"/>
      <c r="C34" s="118"/>
      <c r="D34" s="118"/>
      <c r="E34" s="118"/>
      <c r="F34" s="118"/>
      <c r="G34" s="118"/>
      <c r="H34" s="119"/>
      <c r="I34" s="120"/>
      <c r="J34" s="119"/>
      <c r="K34" s="119"/>
      <c r="L34" s="121"/>
      <c r="M34" s="121"/>
      <c r="N34" s="121"/>
      <c r="O34" s="121"/>
      <c r="P34" s="111" t="str">
        <f aca="false">IF(B34="","",SUM(L34:O34))</f>
        <v/>
      </c>
      <c r="Q34" s="111" t="str">
        <f aca="false">IF(B34="","",L34+IF(cfg_EOS_H="نعم",M34,0)+IF(cfg_EOS_T="نعم",N34,0)+IF(cfg_EOS_O="نعم",O34,0))</f>
        <v/>
      </c>
      <c r="R34" s="111" t="str">
        <f aca="false">IF(B34="","",L34+IF(cfg_LV_H="نعم",M34,0)+IF(cfg_LV_T="نعم",N34,0)+IF(cfg_LV_O="نعم",O34,0))</f>
        <v/>
      </c>
      <c r="S34" s="111" t="str">
        <f aca="false">IF(B34="","",MIN(cfg_G_CAP,L34+M34))</f>
        <v/>
      </c>
      <c r="T34" s="122"/>
      <c r="U34" s="118"/>
      <c r="V34" s="121"/>
      <c r="W34" s="122"/>
      <c r="X34" s="121"/>
      <c r="Y34" s="121"/>
      <c r="Z34" s="121"/>
      <c r="AA34" s="121"/>
      <c r="AB34" s="111" t="str">
        <f aca="false">IF(B34="","",IF(X34&lt;&gt;"",X34,IF(E34="غير سعودي",cfg_IQ,0))+IF(Y34&lt;&gt;"",Y34,IF(E34="غير سعودي",cfg_WP,0))+IF(Z34&lt;&gt;"",Z34,cfg_MED)+N(AA34))</f>
        <v/>
      </c>
      <c r="AC34" s="123"/>
      <c r="AD34" s="121"/>
      <c r="AE34" s="119"/>
      <c r="AF34" s="118"/>
      <c r="AG34" s="114" t="str">
        <f aca="false">IF(B34="","",IF(AND(AE34&lt;&gt;"",AE34&lt;=cfg_VAL_DATE),"✖ منتهي الخدمة",IF(H34&gt;cfg_VAL_DATE,"⏳ لم يباشر بعد","✔ على رأس العمل")))</f>
        <v/>
      </c>
      <c r="AH34" s="114" t="str">
        <f aca="false">IF(B34="","",IF(AG34&lt;&gt;"✔ على رأس العمل",AG34,IF(COUNTIFS('سجل الإجازات والحالات'!$B$6:$B$505,B34,'سجل الإجازات والحالات'!$E$6:$E$505,"&lt;="&amp;cfg_VAL_DATE,'سجل الإجازات والحالات'!$F$6:$F$505,"&gt;="&amp;cfg_VAL_DATE)&gt;0,"✈ "&amp;INDEX('سجل الإجازات والحالات'!$D$6:$D$505,MATCH(1,INDEX(('سجل الإجازات والحالات'!$B$6:$B$505=B34)*('سجل الإجازات والحالات'!$E$6:$E$505&lt;=cfg_VAL_DATE)*('سجل الإجازات والحالات'!$F$6:$F$505&gt;=cfg_VAL_DATE),0),0)),"✔ على رأس العمل")))</f>
        <v/>
      </c>
      <c r="AI34" s="118"/>
      <c r="AJ34" s="118"/>
      <c r="AK34" s="118"/>
    </row>
    <row r="35" customFormat="false" ht="15" hidden="false" customHeight="false" outlineLevel="0" collapsed="false">
      <c r="A35" s="115" t="str">
        <f aca="false">IF(B35="","",ROW()-5)</f>
        <v/>
      </c>
      <c r="B35" s="118"/>
      <c r="C35" s="118"/>
      <c r="D35" s="118"/>
      <c r="E35" s="118"/>
      <c r="F35" s="118"/>
      <c r="G35" s="118"/>
      <c r="H35" s="119"/>
      <c r="I35" s="120"/>
      <c r="J35" s="119"/>
      <c r="K35" s="119"/>
      <c r="L35" s="121"/>
      <c r="M35" s="121"/>
      <c r="N35" s="121"/>
      <c r="O35" s="121"/>
      <c r="P35" s="116" t="str">
        <f aca="false">IF(B35="","",SUM(L35:O35))</f>
        <v/>
      </c>
      <c r="Q35" s="116" t="str">
        <f aca="false">IF(B35="","",L35+IF(cfg_EOS_H="نعم",M35,0)+IF(cfg_EOS_T="نعم",N35,0)+IF(cfg_EOS_O="نعم",O35,0))</f>
        <v/>
      </c>
      <c r="R35" s="116" t="str">
        <f aca="false">IF(B35="","",L35+IF(cfg_LV_H="نعم",M35,0)+IF(cfg_LV_T="نعم",N35,0)+IF(cfg_LV_O="نعم",O35,0))</f>
        <v/>
      </c>
      <c r="S35" s="116" t="str">
        <f aca="false">IF(B35="","",MIN(cfg_G_CAP,L35+M35))</f>
        <v/>
      </c>
      <c r="T35" s="122"/>
      <c r="U35" s="118"/>
      <c r="V35" s="121"/>
      <c r="W35" s="122"/>
      <c r="X35" s="121"/>
      <c r="Y35" s="121"/>
      <c r="Z35" s="121"/>
      <c r="AA35" s="121"/>
      <c r="AB35" s="116" t="str">
        <f aca="false">IF(B35="","",IF(X35&lt;&gt;"",X35,IF(E35="غير سعودي",cfg_IQ,0))+IF(Y35&lt;&gt;"",Y35,IF(E35="غير سعودي",cfg_WP,0))+IF(Z35&lt;&gt;"",Z35,cfg_MED)+N(AA35))</f>
        <v/>
      </c>
      <c r="AC35" s="123"/>
      <c r="AD35" s="121"/>
      <c r="AE35" s="119"/>
      <c r="AF35" s="118"/>
      <c r="AG35" s="117" t="str">
        <f aca="false">IF(B35="","",IF(AND(AE35&lt;&gt;"",AE35&lt;=cfg_VAL_DATE),"✖ منتهي الخدمة",IF(H35&gt;cfg_VAL_DATE,"⏳ لم يباشر بعد","✔ على رأس العمل")))</f>
        <v/>
      </c>
      <c r="AH35" s="117" t="str">
        <f aca="false">IF(B35="","",IF(AG35&lt;&gt;"✔ على رأس العمل",AG35,IF(COUNTIFS('سجل الإجازات والحالات'!$B$6:$B$505,B35,'سجل الإجازات والحالات'!$E$6:$E$505,"&lt;="&amp;cfg_VAL_DATE,'سجل الإجازات والحالات'!$F$6:$F$505,"&gt;="&amp;cfg_VAL_DATE)&gt;0,"✈ "&amp;INDEX('سجل الإجازات والحالات'!$D$6:$D$505,MATCH(1,INDEX(('سجل الإجازات والحالات'!$B$6:$B$505=B35)*('سجل الإجازات والحالات'!$E$6:$E$505&lt;=cfg_VAL_DATE)*('سجل الإجازات والحالات'!$F$6:$F$505&gt;=cfg_VAL_DATE),0),0)),"✔ على رأس العمل")))</f>
        <v/>
      </c>
      <c r="AI35" s="118"/>
      <c r="AJ35" s="118"/>
      <c r="AK35" s="118"/>
    </row>
    <row r="36" customFormat="false" ht="15" hidden="false" customHeight="false" outlineLevel="0" collapsed="false">
      <c r="A36" s="106" t="str">
        <f aca="false">IF(B36="","",ROW()-5)</f>
        <v/>
      </c>
      <c r="B36" s="118"/>
      <c r="C36" s="118"/>
      <c r="D36" s="118"/>
      <c r="E36" s="118"/>
      <c r="F36" s="118"/>
      <c r="G36" s="118"/>
      <c r="H36" s="119"/>
      <c r="I36" s="120"/>
      <c r="J36" s="119"/>
      <c r="K36" s="119"/>
      <c r="L36" s="121"/>
      <c r="M36" s="121"/>
      <c r="N36" s="121"/>
      <c r="O36" s="121"/>
      <c r="P36" s="111" t="str">
        <f aca="false">IF(B36="","",SUM(L36:O36))</f>
        <v/>
      </c>
      <c r="Q36" s="111" t="str">
        <f aca="false">IF(B36="","",L36+IF(cfg_EOS_H="نعم",M36,0)+IF(cfg_EOS_T="نعم",N36,0)+IF(cfg_EOS_O="نعم",O36,0))</f>
        <v/>
      </c>
      <c r="R36" s="111" t="str">
        <f aca="false">IF(B36="","",L36+IF(cfg_LV_H="نعم",M36,0)+IF(cfg_LV_T="نعم",N36,0)+IF(cfg_LV_O="نعم",O36,0))</f>
        <v/>
      </c>
      <c r="S36" s="111" t="str">
        <f aca="false">IF(B36="","",MIN(cfg_G_CAP,L36+M36))</f>
        <v/>
      </c>
      <c r="T36" s="122"/>
      <c r="U36" s="118"/>
      <c r="V36" s="121"/>
      <c r="W36" s="122"/>
      <c r="X36" s="121"/>
      <c r="Y36" s="121"/>
      <c r="Z36" s="121"/>
      <c r="AA36" s="121"/>
      <c r="AB36" s="111" t="str">
        <f aca="false">IF(B36="","",IF(X36&lt;&gt;"",X36,IF(E36="غير سعودي",cfg_IQ,0))+IF(Y36&lt;&gt;"",Y36,IF(E36="غير سعودي",cfg_WP,0))+IF(Z36&lt;&gt;"",Z36,cfg_MED)+N(AA36))</f>
        <v/>
      </c>
      <c r="AC36" s="123"/>
      <c r="AD36" s="121"/>
      <c r="AE36" s="119"/>
      <c r="AF36" s="118"/>
      <c r="AG36" s="114" t="str">
        <f aca="false">IF(B36="","",IF(AND(AE36&lt;&gt;"",AE36&lt;=cfg_VAL_DATE),"✖ منتهي الخدمة",IF(H36&gt;cfg_VAL_DATE,"⏳ لم يباشر بعد","✔ على رأس العمل")))</f>
        <v/>
      </c>
      <c r="AH36" s="114" t="str">
        <f aca="false">IF(B36="","",IF(AG36&lt;&gt;"✔ على رأس العمل",AG36,IF(COUNTIFS('سجل الإجازات والحالات'!$B$6:$B$505,B36,'سجل الإجازات والحالات'!$E$6:$E$505,"&lt;="&amp;cfg_VAL_DATE,'سجل الإجازات والحالات'!$F$6:$F$505,"&gt;="&amp;cfg_VAL_DATE)&gt;0,"✈ "&amp;INDEX('سجل الإجازات والحالات'!$D$6:$D$505,MATCH(1,INDEX(('سجل الإجازات والحالات'!$B$6:$B$505=B36)*('سجل الإجازات والحالات'!$E$6:$E$505&lt;=cfg_VAL_DATE)*('سجل الإجازات والحالات'!$F$6:$F$505&gt;=cfg_VAL_DATE),0),0)),"✔ على رأس العمل")))</f>
        <v/>
      </c>
      <c r="AI36" s="118"/>
      <c r="AJ36" s="118"/>
      <c r="AK36" s="118"/>
    </row>
    <row r="37" customFormat="false" ht="15" hidden="false" customHeight="false" outlineLevel="0" collapsed="false">
      <c r="A37" s="115" t="str">
        <f aca="false">IF(B37="","",ROW()-5)</f>
        <v/>
      </c>
      <c r="B37" s="118"/>
      <c r="C37" s="118"/>
      <c r="D37" s="118"/>
      <c r="E37" s="118"/>
      <c r="F37" s="118"/>
      <c r="G37" s="118"/>
      <c r="H37" s="119"/>
      <c r="I37" s="120"/>
      <c r="J37" s="119"/>
      <c r="K37" s="119"/>
      <c r="L37" s="121"/>
      <c r="M37" s="121"/>
      <c r="N37" s="121"/>
      <c r="O37" s="121"/>
      <c r="P37" s="116" t="str">
        <f aca="false">IF(B37="","",SUM(L37:O37))</f>
        <v/>
      </c>
      <c r="Q37" s="116" t="str">
        <f aca="false">IF(B37="","",L37+IF(cfg_EOS_H="نعم",M37,0)+IF(cfg_EOS_T="نعم",N37,0)+IF(cfg_EOS_O="نعم",O37,0))</f>
        <v/>
      </c>
      <c r="R37" s="116" t="str">
        <f aca="false">IF(B37="","",L37+IF(cfg_LV_H="نعم",M37,0)+IF(cfg_LV_T="نعم",N37,0)+IF(cfg_LV_O="نعم",O37,0))</f>
        <v/>
      </c>
      <c r="S37" s="116" t="str">
        <f aca="false">IF(B37="","",MIN(cfg_G_CAP,L37+M37))</f>
        <v/>
      </c>
      <c r="T37" s="122"/>
      <c r="U37" s="118"/>
      <c r="V37" s="121"/>
      <c r="W37" s="122"/>
      <c r="X37" s="121"/>
      <c r="Y37" s="121"/>
      <c r="Z37" s="121"/>
      <c r="AA37" s="121"/>
      <c r="AB37" s="116" t="str">
        <f aca="false">IF(B37="","",IF(X37&lt;&gt;"",X37,IF(E37="غير سعودي",cfg_IQ,0))+IF(Y37&lt;&gt;"",Y37,IF(E37="غير سعودي",cfg_WP,0))+IF(Z37&lt;&gt;"",Z37,cfg_MED)+N(AA37))</f>
        <v/>
      </c>
      <c r="AC37" s="123"/>
      <c r="AD37" s="121"/>
      <c r="AE37" s="119"/>
      <c r="AF37" s="118"/>
      <c r="AG37" s="117" t="str">
        <f aca="false">IF(B37="","",IF(AND(AE37&lt;&gt;"",AE37&lt;=cfg_VAL_DATE),"✖ منتهي الخدمة",IF(H37&gt;cfg_VAL_DATE,"⏳ لم يباشر بعد","✔ على رأس العمل")))</f>
        <v/>
      </c>
      <c r="AH37" s="117" t="str">
        <f aca="false">IF(B37="","",IF(AG37&lt;&gt;"✔ على رأس العمل",AG37,IF(COUNTIFS('سجل الإجازات والحالات'!$B$6:$B$505,B37,'سجل الإجازات والحالات'!$E$6:$E$505,"&lt;="&amp;cfg_VAL_DATE,'سجل الإجازات والحالات'!$F$6:$F$505,"&gt;="&amp;cfg_VAL_DATE)&gt;0,"✈ "&amp;INDEX('سجل الإجازات والحالات'!$D$6:$D$505,MATCH(1,INDEX(('سجل الإجازات والحالات'!$B$6:$B$505=B37)*('سجل الإجازات والحالات'!$E$6:$E$505&lt;=cfg_VAL_DATE)*('سجل الإجازات والحالات'!$F$6:$F$505&gt;=cfg_VAL_DATE),0),0)),"✔ على رأس العمل")))</f>
        <v/>
      </c>
      <c r="AI37" s="118"/>
      <c r="AJ37" s="118"/>
      <c r="AK37" s="118"/>
    </row>
    <row r="38" customFormat="false" ht="15" hidden="false" customHeight="false" outlineLevel="0" collapsed="false">
      <c r="A38" s="106" t="str">
        <f aca="false">IF(B38="","",ROW()-5)</f>
        <v/>
      </c>
      <c r="B38" s="118"/>
      <c r="C38" s="118"/>
      <c r="D38" s="118"/>
      <c r="E38" s="118"/>
      <c r="F38" s="118"/>
      <c r="G38" s="118"/>
      <c r="H38" s="119"/>
      <c r="I38" s="120"/>
      <c r="J38" s="119"/>
      <c r="K38" s="119"/>
      <c r="L38" s="121"/>
      <c r="M38" s="121"/>
      <c r="N38" s="121"/>
      <c r="O38" s="121"/>
      <c r="P38" s="111" t="str">
        <f aca="false">IF(B38="","",SUM(L38:O38))</f>
        <v/>
      </c>
      <c r="Q38" s="111" t="str">
        <f aca="false">IF(B38="","",L38+IF(cfg_EOS_H="نعم",M38,0)+IF(cfg_EOS_T="نعم",N38,0)+IF(cfg_EOS_O="نعم",O38,0))</f>
        <v/>
      </c>
      <c r="R38" s="111" t="str">
        <f aca="false">IF(B38="","",L38+IF(cfg_LV_H="نعم",M38,0)+IF(cfg_LV_T="نعم",N38,0)+IF(cfg_LV_O="نعم",O38,0))</f>
        <v/>
      </c>
      <c r="S38" s="111" t="str">
        <f aca="false">IF(B38="","",MIN(cfg_G_CAP,L38+M38))</f>
        <v/>
      </c>
      <c r="T38" s="122"/>
      <c r="U38" s="118"/>
      <c r="V38" s="121"/>
      <c r="W38" s="122"/>
      <c r="X38" s="121"/>
      <c r="Y38" s="121"/>
      <c r="Z38" s="121"/>
      <c r="AA38" s="121"/>
      <c r="AB38" s="111" t="str">
        <f aca="false">IF(B38="","",IF(X38&lt;&gt;"",X38,IF(E38="غير سعودي",cfg_IQ,0))+IF(Y38&lt;&gt;"",Y38,IF(E38="غير سعودي",cfg_WP,0))+IF(Z38&lt;&gt;"",Z38,cfg_MED)+N(AA38))</f>
        <v/>
      </c>
      <c r="AC38" s="123"/>
      <c r="AD38" s="121"/>
      <c r="AE38" s="119"/>
      <c r="AF38" s="118"/>
      <c r="AG38" s="114" t="str">
        <f aca="false">IF(B38="","",IF(AND(AE38&lt;&gt;"",AE38&lt;=cfg_VAL_DATE),"✖ منتهي الخدمة",IF(H38&gt;cfg_VAL_DATE,"⏳ لم يباشر بعد","✔ على رأس العمل")))</f>
        <v/>
      </c>
      <c r="AH38" s="114" t="str">
        <f aca="false">IF(B38="","",IF(AG38&lt;&gt;"✔ على رأس العمل",AG38,IF(COUNTIFS('سجل الإجازات والحالات'!$B$6:$B$505,B38,'سجل الإجازات والحالات'!$E$6:$E$505,"&lt;="&amp;cfg_VAL_DATE,'سجل الإجازات والحالات'!$F$6:$F$505,"&gt;="&amp;cfg_VAL_DATE)&gt;0,"✈ "&amp;INDEX('سجل الإجازات والحالات'!$D$6:$D$505,MATCH(1,INDEX(('سجل الإجازات والحالات'!$B$6:$B$505=B38)*('سجل الإجازات والحالات'!$E$6:$E$505&lt;=cfg_VAL_DATE)*('سجل الإجازات والحالات'!$F$6:$F$505&gt;=cfg_VAL_DATE),0),0)),"✔ على رأس العمل")))</f>
        <v/>
      </c>
      <c r="AI38" s="118"/>
      <c r="AJ38" s="118"/>
      <c r="AK38" s="118"/>
    </row>
    <row r="39" customFormat="false" ht="15" hidden="false" customHeight="false" outlineLevel="0" collapsed="false">
      <c r="A39" s="115" t="str">
        <f aca="false">IF(B39="","",ROW()-5)</f>
        <v/>
      </c>
      <c r="B39" s="118"/>
      <c r="C39" s="118"/>
      <c r="D39" s="118"/>
      <c r="E39" s="118"/>
      <c r="F39" s="118"/>
      <c r="G39" s="118"/>
      <c r="H39" s="119"/>
      <c r="I39" s="120"/>
      <c r="J39" s="119"/>
      <c r="K39" s="119"/>
      <c r="L39" s="121"/>
      <c r="M39" s="121"/>
      <c r="N39" s="121"/>
      <c r="O39" s="121"/>
      <c r="P39" s="116" t="str">
        <f aca="false">IF(B39="","",SUM(L39:O39))</f>
        <v/>
      </c>
      <c r="Q39" s="116" t="str">
        <f aca="false">IF(B39="","",L39+IF(cfg_EOS_H="نعم",M39,0)+IF(cfg_EOS_T="نعم",N39,0)+IF(cfg_EOS_O="نعم",O39,0))</f>
        <v/>
      </c>
      <c r="R39" s="116" t="str">
        <f aca="false">IF(B39="","",L39+IF(cfg_LV_H="نعم",M39,0)+IF(cfg_LV_T="نعم",N39,0)+IF(cfg_LV_O="نعم",O39,0))</f>
        <v/>
      </c>
      <c r="S39" s="116" t="str">
        <f aca="false">IF(B39="","",MIN(cfg_G_CAP,L39+M39))</f>
        <v/>
      </c>
      <c r="T39" s="122"/>
      <c r="U39" s="118"/>
      <c r="V39" s="121"/>
      <c r="W39" s="122"/>
      <c r="X39" s="121"/>
      <c r="Y39" s="121"/>
      <c r="Z39" s="121"/>
      <c r="AA39" s="121"/>
      <c r="AB39" s="116" t="str">
        <f aca="false">IF(B39="","",IF(X39&lt;&gt;"",X39,IF(E39="غير سعودي",cfg_IQ,0))+IF(Y39&lt;&gt;"",Y39,IF(E39="غير سعودي",cfg_WP,0))+IF(Z39&lt;&gt;"",Z39,cfg_MED)+N(AA39))</f>
        <v/>
      </c>
      <c r="AC39" s="123"/>
      <c r="AD39" s="121"/>
      <c r="AE39" s="119"/>
      <c r="AF39" s="118"/>
      <c r="AG39" s="117" t="str">
        <f aca="false">IF(B39="","",IF(AND(AE39&lt;&gt;"",AE39&lt;=cfg_VAL_DATE),"✖ منتهي الخدمة",IF(H39&gt;cfg_VAL_DATE,"⏳ لم يباشر بعد","✔ على رأس العمل")))</f>
        <v/>
      </c>
      <c r="AH39" s="117" t="str">
        <f aca="false">IF(B39="","",IF(AG39&lt;&gt;"✔ على رأس العمل",AG39,IF(COUNTIFS('سجل الإجازات والحالات'!$B$6:$B$505,B39,'سجل الإجازات والحالات'!$E$6:$E$505,"&lt;="&amp;cfg_VAL_DATE,'سجل الإجازات والحالات'!$F$6:$F$505,"&gt;="&amp;cfg_VAL_DATE)&gt;0,"✈ "&amp;INDEX('سجل الإجازات والحالات'!$D$6:$D$505,MATCH(1,INDEX(('سجل الإجازات والحالات'!$B$6:$B$505=B39)*('سجل الإجازات والحالات'!$E$6:$E$505&lt;=cfg_VAL_DATE)*('سجل الإجازات والحالات'!$F$6:$F$505&gt;=cfg_VAL_DATE),0),0)),"✔ على رأس العمل")))</f>
        <v/>
      </c>
      <c r="AI39" s="118"/>
      <c r="AJ39" s="118"/>
      <c r="AK39" s="118"/>
    </row>
    <row r="40" customFormat="false" ht="15" hidden="false" customHeight="false" outlineLevel="0" collapsed="false">
      <c r="A40" s="106" t="str">
        <f aca="false">IF(B40="","",ROW()-5)</f>
        <v/>
      </c>
      <c r="B40" s="118"/>
      <c r="C40" s="118"/>
      <c r="D40" s="118"/>
      <c r="E40" s="118"/>
      <c r="F40" s="118"/>
      <c r="G40" s="118"/>
      <c r="H40" s="119"/>
      <c r="I40" s="120"/>
      <c r="J40" s="119"/>
      <c r="K40" s="119"/>
      <c r="L40" s="121"/>
      <c r="M40" s="121"/>
      <c r="N40" s="121"/>
      <c r="O40" s="121"/>
      <c r="P40" s="111" t="str">
        <f aca="false">IF(B40="","",SUM(L40:O40))</f>
        <v/>
      </c>
      <c r="Q40" s="111" t="str">
        <f aca="false">IF(B40="","",L40+IF(cfg_EOS_H="نعم",M40,0)+IF(cfg_EOS_T="نعم",N40,0)+IF(cfg_EOS_O="نعم",O40,0))</f>
        <v/>
      </c>
      <c r="R40" s="111" t="str">
        <f aca="false">IF(B40="","",L40+IF(cfg_LV_H="نعم",M40,0)+IF(cfg_LV_T="نعم",N40,0)+IF(cfg_LV_O="نعم",O40,0))</f>
        <v/>
      </c>
      <c r="S40" s="111" t="str">
        <f aca="false">IF(B40="","",MIN(cfg_G_CAP,L40+M40))</f>
        <v/>
      </c>
      <c r="T40" s="122"/>
      <c r="U40" s="118"/>
      <c r="V40" s="121"/>
      <c r="W40" s="122"/>
      <c r="X40" s="121"/>
      <c r="Y40" s="121"/>
      <c r="Z40" s="121"/>
      <c r="AA40" s="121"/>
      <c r="AB40" s="111" t="str">
        <f aca="false">IF(B40="","",IF(X40&lt;&gt;"",X40,IF(E40="غير سعودي",cfg_IQ,0))+IF(Y40&lt;&gt;"",Y40,IF(E40="غير سعودي",cfg_WP,0))+IF(Z40&lt;&gt;"",Z40,cfg_MED)+N(AA40))</f>
        <v/>
      </c>
      <c r="AC40" s="123"/>
      <c r="AD40" s="121"/>
      <c r="AE40" s="119"/>
      <c r="AF40" s="118"/>
      <c r="AG40" s="114" t="str">
        <f aca="false">IF(B40="","",IF(AND(AE40&lt;&gt;"",AE40&lt;=cfg_VAL_DATE),"✖ منتهي الخدمة",IF(H40&gt;cfg_VAL_DATE,"⏳ لم يباشر بعد","✔ على رأس العمل")))</f>
        <v/>
      </c>
      <c r="AH40" s="114" t="str">
        <f aca="false">IF(B40="","",IF(AG40&lt;&gt;"✔ على رأس العمل",AG40,IF(COUNTIFS('سجل الإجازات والحالات'!$B$6:$B$505,B40,'سجل الإجازات والحالات'!$E$6:$E$505,"&lt;="&amp;cfg_VAL_DATE,'سجل الإجازات والحالات'!$F$6:$F$505,"&gt;="&amp;cfg_VAL_DATE)&gt;0,"✈ "&amp;INDEX('سجل الإجازات والحالات'!$D$6:$D$505,MATCH(1,INDEX(('سجل الإجازات والحالات'!$B$6:$B$505=B40)*('سجل الإجازات والحالات'!$E$6:$E$505&lt;=cfg_VAL_DATE)*('سجل الإجازات والحالات'!$F$6:$F$505&gt;=cfg_VAL_DATE),0),0)),"✔ على رأس العمل")))</f>
        <v/>
      </c>
      <c r="AI40" s="118"/>
      <c r="AJ40" s="118"/>
      <c r="AK40" s="118"/>
    </row>
    <row r="41" customFormat="false" ht="15" hidden="false" customHeight="false" outlineLevel="0" collapsed="false">
      <c r="A41" s="115" t="str">
        <f aca="false">IF(B41="","",ROW()-5)</f>
        <v/>
      </c>
      <c r="B41" s="118"/>
      <c r="C41" s="118"/>
      <c r="D41" s="118"/>
      <c r="E41" s="118"/>
      <c r="F41" s="118"/>
      <c r="G41" s="118"/>
      <c r="H41" s="119"/>
      <c r="I41" s="120"/>
      <c r="J41" s="119"/>
      <c r="K41" s="119"/>
      <c r="L41" s="121"/>
      <c r="M41" s="121"/>
      <c r="N41" s="121"/>
      <c r="O41" s="121"/>
      <c r="P41" s="116" t="str">
        <f aca="false">IF(B41="","",SUM(L41:O41))</f>
        <v/>
      </c>
      <c r="Q41" s="116" t="str">
        <f aca="false">IF(B41="","",L41+IF(cfg_EOS_H="نعم",M41,0)+IF(cfg_EOS_T="نعم",N41,0)+IF(cfg_EOS_O="نعم",O41,0))</f>
        <v/>
      </c>
      <c r="R41" s="116" t="str">
        <f aca="false">IF(B41="","",L41+IF(cfg_LV_H="نعم",M41,0)+IF(cfg_LV_T="نعم",N41,0)+IF(cfg_LV_O="نعم",O41,0))</f>
        <v/>
      </c>
      <c r="S41" s="116" t="str">
        <f aca="false">IF(B41="","",MIN(cfg_G_CAP,L41+M41))</f>
        <v/>
      </c>
      <c r="T41" s="122"/>
      <c r="U41" s="118"/>
      <c r="V41" s="121"/>
      <c r="W41" s="122"/>
      <c r="X41" s="121"/>
      <c r="Y41" s="121"/>
      <c r="Z41" s="121"/>
      <c r="AA41" s="121"/>
      <c r="AB41" s="116" t="str">
        <f aca="false">IF(B41="","",IF(X41&lt;&gt;"",X41,IF(E41="غير سعودي",cfg_IQ,0))+IF(Y41&lt;&gt;"",Y41,IF(E41="غير سعودي",cfg_WP,0))+IF(Z41&lt;&gt;"",Z41,cfg_MED)+N(AA41))</f>
        <v/>
      </c>
      <c r="AC41" s="123"/>
      <c r="AD41" s="121"/>
      <c r="AE41" s="119"/>
      <c r="AF41" s="118"/>
      <c r="AG41" s="117" t="str">
        <f aca="false">IF(B41="","",IF(AND(AE41&lt;&gt;"",AE41&lt;=cfg_VAL_DATE),"✖ منتهي الخدمة",IF(H41&gt;cfg_VAL_DATE,"⏳ لم يباشر بعد","✔ على رأس العمل")))</f>
        <v/>
      </c>
      <c r="AH41" s="117" t="str">
        <f aca="false">IF(B41="","",IF(AG41&lt;&gt;"✔ على رأس العمل",AG41,IF(COUNTIFS('سجل الإجازات والحالات'!$B$6:$B$505,B41,'سجل الإجازات والحالات'!$E$6:$E$505,"&lt;="&amp;cfg_VAL_DATE,'سجل الإجازات والحالات'!$F$6:$F$505,"&gt;="&amp;cfg_VAL_DATE)&gt;0,"✈ "&amp;INDEX('سجل الإجازات والحالات'!$D$6:$D$505,MATCH(1,INDEX(('سجل الإجازات والحالات'!$B$6:$B$505=B41)*('سجل الإجازات والحالات'!$E$6:$E$505&lt;=cfg_VAL_DATE)*('سجل الإجازات والحالات'!$F$6:$F$505&gt;=cfg_VAL_DATE),0),0)),"✔ على رأس العمل")))</f>
        <v/>
      </c>
      <c r="AI41" s="118"/>
      <c r="AJ41" s="118"/>
      <c r="AK41" s="118"/>
    </row>
    <row r="42" customFormat="false" ht="15" hidden="false" customHeight="false" outlineLevel="0" collapsed="false">
      <c r="A42" s="106" t="str">
        <f aca="false">IF(B42="","",ROW()-5)</f>
        <v/>
      </c>
      <c r="B42" s="118"/>
      <c r="C42" s="118"/>
      <c r="D42" s="118"/>
      <c r="E42" s="118"/>
      <c r="F42" s="118"/>
      <c r="G42" s="118"/>
      <c r="H42" s="119"/>
      <c r="I42" s="120"/>
      <c r="J42" s="119"/>
      <c r="K42" s="119"/>
      <c r="L42" s="121"/>
      <c r="M42" s="121"/>
      <c r="N42" s="121"/>
      <c r="O42" s="121"/>
      <c r="P42" s="111" t="str">
        <f aca="false">IF(B42="","",SUM(L42:O42))</f>
        <v/>
      </c>
      <c r="Q42" s="111" t="str">
        <f aca="false">IF(B42="","",L42+IF(cfg_EOS_H="نعم",M42,0)+IF(cfg_EOS_T="نعم",N42,0)+IF(cfg_EOS_O="نعم",O42,0))</f>
        <v/>
      </c>
      <c r="R42" s="111" t="str">
        <f aca="false">IF(B42="","",L42+IF(cfg_LV_H="نعم",M42,0)+IF(cfg_LV_T="نعم",N42,0)+IF(cfg_LV_O="نعم",O42,0))</f>
        <v/>
      </c>
      <c r="S42" s="111" t="str">
        <f aca="false">IF(B42="","",MIN(cfg_G_CAP,L42+M42))</f>
        <v/>
      </c>
      <c r="T42" s="122"/>
      <c r="U42" s="118"/>
      <c r="V42" s="121"/>
      <c r="W42" s="122"/>
      <c r="X42" s="121"/>
      <c r="Y42" s="121"/>
      <c r="Z42" s="121"/>
      <c r="AA42" s="121"/>
      <c r="AB42" s="111" t="str">
        <f aca="false">IF(B42="","",IF(X42&lt;&gt;"",X42,IF(E42="غير سعودي",cfg_IQ,0))+IF(Y42&lt;&gt;"",Y42,IF(E42="غير سعودي",cfg_WP,0))+IF(Z42&lt;&gt;"",Z42,cfg_MED)+N(AA42))</f>
        <v/>
      </c>
      <c r="AC42" s="123"/>
      <c r="AD42" s="121"/>
      <c r="AE42" s="119"/>
      <c r="AF42" s="118"/>
      <c r="AG42" s="114" t="str">
        <f aca="false">IF(B42="","",IF(AND(AE42&lt;&gt;"",AE42&lt;=cfg_VAL_DATE),"✖ منتهي الخدمة",IF(H42&gt;cfg_VAL_DATE,"⏳ لم يباشر بعد","✔ على رأس العمل")))</f>
        <v/>
      </c>
      <c r="AH42" s="114" t="str">
        <f aca="false">IF(B42="","",IF(AG42&lt;&gt;"✔ على رأس العمل",AG42,IF(COUNTIFS('سجل الإجازات والحالات'!$B$6:$B$505,B42,'سجل الإجازات والحالات'!$E$6:$E$505,"&lt;="&amp;cfg_VAL_DATE,'سجل الإجازات والحالات'!$F$6:$F$505,"&gt;="&amp;cfg_VAL_DATE)&gt;0,"✈ "&amp;INDEX('سجل الإجازات والحالات'!$D$6:$D$505,MATCH(1,INDEX(('سجل الإجازات والحالات'!$B$6:$B$505=B42)*('سجل الإجازات والحالات'!$E$6:$E$505&lt;=cfg_VAL_DATE)*('سجل الإجازات والحالات'!$F$6:$F$505&gt;=cfg_VAL_DATE),0),0)),"✔ على رأس العمل")))</f>
        <v/>
      </c>
      <c r="AI42" s="118"/>
      <c r="AJ42" s="118"/>
      <c r="AK42" s="118"/>
    </row>
    <row r="43" customFormat="false" ht="15" hidden="false" customHeight="false" outlineLevel="0" collapsed="false">
      <c r="A43" s="115" t="str">
        <f aca="false">IF(B43="","",ROW()-5)</f>
        <v/>
      </c>
      <c r="B43" s="118"/>
      <c r="C43" s="118"/>
      <c r="D43" s="118"/>
      <c r="E43" s="118"/>
      <c r="F43" s="118"/>
      <c r="G43" s="118"/>
      <c r="H43" s="119"/>
      <c r="I43" s="120"/>
      <c r="J43" s="119"/>
      <c r="K43" s="119"/>
      <c r="L43" s="121"/>
      <c r="M43" s="121"/>
      <c r="N43" s="121"/>
      <c r="O43" s="121"/>
      <c r="P43" s="116" t="str">
        <f aca="false">IF(B43="","",SUM(L43:O43))</f>
        <v/>
      </c>
      <c r="Q43" s="116" t="str">
        <f aca="false">IF(B43="","",L43+IF(cfg_EOS_H="نعم",M43,0)+IF(cfg_EOS_T="نعم",N43,0)+IF(cfg_EOS_O="نعم",O43,0))</f>
        <v/>
      </c>
      <c r="R43" s="116" t="str">
        <f aca="false">IF(B43="","",L43+IF(cfg_LV_H="نعم",M43,0)+IF(cfg_LV_T="نعم",N43,0)+IF(cfg_LV_O="نعم",O43,0))</f>
        <v/>
      </c>
      <c r="S43" s="116" t="str">
        <f aca="false">IF(B43="","",MIN(cfg_G_CAP,L43+M43))</f>
        <v/>
      </c>
      <c r="T43" s="122"/>
      <c r="U43" s="118"/>
      <c r="V43" s="121"/>
      <c r="W43" s="122"/>
      <c r="X43" s="121"/>
      <c r="Y43" s="121"/>
      <c r="Z43" s="121"/>
      <c r="AA43" s="121"/>
      <c r="AB43" s="116" t="str">
        <f aca="false">IF(B43="","",IF(X43&lt;&gt;"",X43,IF(E43="غير سعودي",cfg_IQ,0))+IF(Y43&lt;&gt;"",Y43,IF(E43="غير سعودي",cfg_WP,0))+IF(Z43&lt;&gt;"",Z43,cfg_MED)+N(AA43))</f>
        <v/>
      </c>
      <c r="AC43" s="123"/>
      <c r="AD43" s="121"/>
      <c r="AE43" s="119"/>
      <c r="AF43" s="118"/>
      <c r="AG43" s="117" t="str">
        <f aca="false">IF(B43="","",IF(AND(AE43&lt;&gt;"",AE43&lt;=cfg_VAL_DATE),"✖ منتهي الخدمة",IF(H43&gt;cfg_VAL_DATE,"⏳ لم يباشر بعد","✔ على رأس العمل")))</f>
        <v/>
      </c>
      <c r="AH43" s="117" t="str">
        <f aca="false">IF(B43="","",IF(AG43&lt;&gt;"✔ على رأس العمل",AG43,IF(COUNTIFS('سجل الإجازات والحالات'!$B$6:$B$505,B43,'سجل الإجازات والحالات'!$E$6:$E$505,"&lt;="&amp;cfg_VAL_DATE,'سجل الإجازات والحالات'!$F$6:$F$505,"&gt;="&amp;cfg_VAL_DATE)&gt;0,"✈ "&amp;INDEX('سجل الإجازات والحالات'!$D$6:$D$505,MATCH(1,INDEX(('سجل الإجازات والحالات'!$B$6:$B$505=B43)*('سجل الإجازات والحالات'!$E$6:$E$505&lt;=cfg_VAL_DATE)*('سجل الإجازات والحالات'!$F$6:$F$505&gt;=cfg_VAL_DATE),0),0)),"✔ على رأس العمل")))</f>
        <v/>
      </c>
      <c r="AI43" s="118"/>
      <c r="AJ43" s="118"/>
      <c r="AK43" s="118"/>
    </row>
    <row r="44" customFormat="false" ht="15" hidden="false" customHeight="false" outlineLevel="0" collapsed="false">
      <c r="A44" s="106" t="str">
        <f aca="false">IF(B44="","",ROW()-5)</f>
        <v/>
      </c>
      <c r="B44" s="118"/>
      <c r="C44" s="118"/>
      <c r="D44" s="118"/>
      <c r="E44" s="118"/>
      <c r="F44" s="118"/>
      <c r="G44" s="118"/>
      <c r="H44" s="119"/>
      <c r="I44" s="120"/>
      <c r="J44" s="119"/>
      <c r="K44" s="119"/>
      <c r="L44" s="121"/>
      <c r="M44" s="121"/>
      <c r="N44" s="121"/>
      <c r="O44" s="121"/>
      <c r="P44" s="111" t="str">
        <f aca="false">IF(B44="","",SUM(L44:O44))</f>
        <v/>
      </c>
      <c r="Q44" s="111" t="str">
        <f aca="false">IF(B44="","",L44+IF(cfg_EOS_H="نعم",M44,0)+IF(cfg_EOS_T="نعم",N44,0)+IF(cfg_EOS_O="نعم",O44,0))</f>
        <v/>
      </c>
      <c r="R44" s="111" t="str">
        <f aca="false">IF(B44="","",L44+IF(cfg_LV_H="نعم",M44,0)+IF(cfg_LV_T="نعم",N44,0)+IF(cfg_LV_O="نعم",O44,0))</f>
        <v/>
      </c>
      <c r="S44" s="111" t="str">
        <f aca="false">IF(B44="","",MIN(cfg_G_CAP,L44+M44))</f>
        <v/>
      </c>
      <c r="T44" s="122"/>
      <c r="U44" s="118"/>
      <c r="V44" s="121"/>
      <c r="W44" s="122"/>
      <c r="X44" s="121"/>
      <c r="Y44" s="121"/>
      <c r="Z44" s="121"/>
      <c r="AA44" s="121"/>
      <c r="AB44" s="111" t="str">
        <f aca="false">IF(B44="","",IF(X44&lt;&gt;"",X44,IF(E44="غير سعودي",cfg_IQ,0))+IF(Y44&lt;&gt;"",Y44,IF(E44="غير سعودي",cfg_WP,0))+IF(Z44&lt;&gt;"",Z44,cfg_MED)+N(AA44))</f>
        <v/>
      </c>
      <c r="AC44" s="123"/>
      <c r="AD44" s="121"/>
      <c r="AE44" s="119"/>
      <c r="AF44" s="118"/>
      <c r="AG44" s="114" t="str">
        <f aca="false">IF(B44="","",IF(AND(AE44&lt;&gt;"",AE44&lt;=cfg_VAL_DATE),"✖ منتهي الخدمة",IF(H44&gt;cfg_VAL_DATE,"⏳ لم يباشر بعد","✔ على رأس العمل")))</f>
        <v/>
      </c>
      <c r="AH44" s="114" t="str">
        <f aca="false">IF(B44="","",IF(AG44&lt;&gt;"✔ على رأس العمل",AG44,IF(COUNTIFS('سجل الإجازات والحالات'!$B$6:$B$505,B44,'سجل الإجازات والحالات'!$E$6:$E$505,"&lt;="&amp;cfg_VAL_DATE,'سجل الإجازات والحالات'!$F$6:$F$505,"&gt;="&amp;cfg_VAL_DATE)&gt;0,"✈ "&amp;INDEX('سجل الإجازات والحالات'!$D$6:$D$505,MATCH(1,INDEX(('سجل الإجازات والحالات'!$B$6:$B$505=B44)*('سجل الإجازات والحالات'!$E$6:$E$505&lt;=cfg_VAL_DATE)*('سجل الإجازات والحالات'!$F$6:$F$505&gt;=cfg_VAL_DATE),0),0)),"✔ على رأس العمل")))</f>
        <v/>
      </c>
      <c r="AI44" s="118"/>
      <c r="AJ44" s="118"/>
      <c r="AK44" s="118"/>
    </row>
    <row r="45" customFormat="false" ht="15" hidden="false" customHeight="false" outlineLevel="0" collapsed="false">
      <c r="A45" s="115" t="str">
        <f aca="false">IF(B45="","",ROW()-5)</f>
        <v/>
      </c>
      <c r="B45" s="118"/>
      <c r="C45" s="118"/>
      <c r="D45" s="118"/>
      <c r="E45" s="118"/>
      <c r="F45" s="118"/>
      <c r="G45" s="118"/>
      <c r="H45" s="119"/>
      <c r="I45" s="120"/>
      <c r="J45" s="119"/>
      <c r="K45" s="119"/>
      <c r="L45" s="121"/>
      <c r="M45" s="121"/>
      <c r="N45" s="121"/>
      <c r="O45" s="121"/>
      <c r="P45" s="116" t="str">
        <f aca="false">IF(B45="","",SUM(L45:O45))</f>
        <v/>
      </c>
      <c r="Q45" s="116" t="str">
        <f aca="false">IF(B45="","",L45+IF(cfg_EOS_H="نعم",M45,0)+IF(cfg_EOS_T="نعم",N45,0)+IF(cfg_EOS_O="نعم",O45,0))</f>
        <v/>
      </c>
      <c r="R45" s="116" t="str">
        <f aca="false">IF(B45="","",L45+IF(cfg_LV_H="نعم",M45,0)+IF(cfg_LV_T="نعم",N45,0)+IF(cfg_LV_O="نعم",O45,0))</f>
        <v/>
      </c>
      <c r="S45" s="116" t="str">
        <f aca="false">IF(B45="","",MIN(cfg_G_CAP,L45+M45))</f>
        <v/>
      </c>
      <c r="T45" s="122"/>
      <c r="U45" s="118"/>
      <c r="V45" s="121"/>
      <c r="W45" s="122"/>
      <c r="X45" s="121"/>
      <c r="Y45" s="121"/>
      <c r="Z45" s="121"/>
      <c r="AA45" s="121"/>
      <c r="AB45" s="116" t="str">
        <f aca="false">IF(B45="","",IF(X45&lt;&gt;"",X45,IF(E45="غير سعودي",cfg_IQ,0))+IF(Y45&lt;&gt;"",Y45,IF(E45="غير سعودي",cfg_WP,0))+IF(Z45&lt;&gt;"",Z45,cfg_MED)+N(AA45))</f>
        <v/>
      </c>
      <c r="AC45" s="123"/>
      <c r="AD45" s="121"/>
      <c r="AE45" s="119"/>
      <c r="AF45" s="118"/>
      <c r="AG45" s="117" t="str">
        <f aca="false">IF(B45="","",IF(AND(AE45&lt;&gt;"",AE45&lt;=cfg_VAL_DATE),"✖ منتهي الخدمة",IF(H45&gt;cfg_VAL_DATE,"⏳ لم يباشر بعد","✔ على رأس العمل")))</f>
        <v/>
      </c>
      <c r="AH45" s="117" t="str">
        <f aca="false">IF(B45="","",IF(AG45&lt;&gt;"✔ على رأس العمل",AG45,IF(COUNTIFS('سجل الإجازات والحالات'!$B$6:$B$505,B45,'سجل الإجازات والحالات'!$E$6:$E$505,"&lt;="&amp;cfg_VAL_DATE,'سجل الإجازات والحالات'!$F$6:$F$505,"&gt;="&amp;cfg_VAL_DATE)&gt;0,"✈ "&amp;INDEX('سجل الإجازات والحالات'!$D$6:$D$505,MATCH(1,INDEX(('سجل الإجازات والحالات'!$B$6:$B$505=B45)*('سجل الإجازات والحالات'!$E$6:$E$505&lt;=cfg_VAL_DATE)*('سجل الإجازات والحالات'!$F$6:$F$505&gt;=cfg_VAL_DATE),0),0)),"✔ على رأس العمل")))</f>
        <v/>
      </c>
      <c r="AI45" s="118"/>
      <c r="AJ45" s="118"/>
      <c r="AK45" s="118"/>
    </row>
    <row r="46" customFormat="false" ht="15" hidden="false" customHeight="false" outlineLevel="0" collapsed="false">
      <c r="A46" s="106" t="str">
        <f aca="false">IF(B46="","",ROW()-5)</f>
        <v/>
      </c>
      <c r="B46" s="118"/>
      <c r="C46" s="118"/>
      <c r="D46" s="118"/>
      <c r="E46" s="118"/>
      <c r="F46" s="118"/>
      <c r="G46" s="118"/>
      <c r="H46" s="119"/>
      <c r="I46" s="120"/>
      <c r="J46" s="119"/>
      <c r="K46" s="119"/>
      <c r="L46" s="121"/>
      <c r="M46" s="121"/>
      <c r="N46" s="121"/>
      <c r="O46" s="121"/>
      <c r="P46" s="111" t="str">
        <f aca="false">IF(B46="","",SUM(L46:O46))</f>
        <v/>
      </c>
      <c r="Q46" s="111" t="str">
        <f aca="false">IF(B46="","",L46+IF(cfg_EOS_H="نعم",M46,0)+IF(cfg_EOS_T="نعم",N46,0)+IF(cfg_EOS_O="نعم",O46,0))</f>
        <v/>
      </c>
      <c r="R46" s="111" t="str">
        <f aca="false">IF(B46="","",L46+IF(cfg_LV_H="نعم",M46,0)+IF(cfg_LV_T="نعم",N46,0)+IF(cfg_LV_O="نعم",O46,0))</f>
        <v/>
      </c>
      <c r="S46" s="111" t="str">
        <f aca="false">IF(B46="","",MIN(cfg_G_CAP,L46+M46))</f>
        <v/>
      </c>
      <c r="T46" s="122"/>
      <c r="U46" s="118"/>
      <c r="V46" s="121"/>
      <c r="W46" s="122"/>
      <c r="X46" s="121"/>
      <c r="Y46" s="121"/>
      <c r="Z46" s="121"/>
      <c r="AA46" s="121"/>
      <c r="AB46" s="111" t="str">
        <f aca="false">IF(B46="","",IF(X46&lt;&gt;"",X46,IF(E46="غير سعودي",cfg_IQ,0))+IF(Y46&lt;&gt;"",Y46,IF(E46="غير سعودي",cfg_WP,0))+IF(Z46&lt;&gt;"",Z46,cfg_MED)+N(AA46))</f>
        <v/>
      </c>
      <c r="AC46" s="123"/>
      <c r="AD46" s="121"/>
      <c r="AE46" s="119"/>
      <c r="AF46" s="118"/>
      <c r="AG46" s="114" t="str">
        <f aca="false">IF(B46="","",IF(AND(AE46&lt;&gt;"",AE46&lt;=cfg_VAL_DATE),"✖ منتهي الخدمة",IF(H46&gt;cfg_VAL_DATE,"⏳ لم يباشر بعد","✔ على رأس العمل")))</f>
        <v/>
      </c>
      <c r="AH46" s="114" t="str">
        <f aca="false">IF(B46="","",IF(AG46&lt;&gt;"✔ على رأس العمل",AG46,IF(COUNTIFS('سجل الإجازات والحالات'!$B$6:$B$505,B46,'سجل الإجازات والحالات'!$E$6:$E$505,"&lt;="&amp;cfg_VAL_DATE,'سجل الإجازات والحالات'!$F$6:$F$505,"&gt;="&amp;cfg_VAL_DATE)&gt;0,"✈ "&amp;INDEX('سجل الإجازات والحالات'!$D$6:$D$505,MATCH(1,INDEX(('سجل الإجازات والحالات'!$B$6:$B$505=B46)*('سجل الإجازات والحالات'!$E$6:$E$505&lt;=cfg_VAL_DATE)*('سجل الإجازات والحالات'!$F$6:$F$505&gt;=cfg_VAL_DATE),0),0)),"✔ على رأس العمل")))</f>
        <v/>
      </c>
      <c r="AI46" s="118"/>
      <c r="AJ46" s="118"/>
      <c r="AK46" s="118"/>
    </row>
    <row r="47" customFormat="false" ht="15" hidden="false" customHeight="false" outlineLevel="0" collapsed="false">
      <c r="A47" s="115" t="str">
        <f aca="false">IF(B47="","",ROW()-5)</f>
        <v/>
      </c>
      <c r="B47" s="118"/>
      <c r="C47" s="118"/>
      <c r="D47" s="118"/>
      <c r="E47" s="118"/>
      <c r="F47" s="118"/>
      <c r="G47" s="118"/>
      <c r="H47" s="119"/>
      <c r="I47" s="120"/>
      <c r="J47" s="119"/>
      <c r="K47" s="119"/>
      <c r="L47" s="121"/>
      <c r="M47" s="121"/>
      <c r="N47" s="121"/>
      <c r="O47" s="121"/>
      <c r="P47" s="116" t="str">
        <f aca="false">IF(B47="","",SUM(L47:O47))</f>
        <v/>
      </c>
      <c r="Q47" s="116" t="str">
        <f aca="false">IF(B47="","",L47+IF(cfg_EOS_H="نعم",M47,0)+IF(cfg_EOS_T="نعم",N47,0)+IF(cfg_EOS_O="نعم",O47,0))</f>
        <v/>
      </c>
      <c r="R47" s="116" t="str">
        <f aca="false">IF(B47="","",L47+IF(cfg_LV_H="نعم",M47,0)+IF(cfg_LV_T="نعم",N47,0)+IF(cfg_LV_O="نعم",O47,0))</f>
        <v/>
      </c>
      <c r="S47" s="116" t="str">
        <f aca="false">IF(B47="","",MIN(cfg_G_CAP,L47+M47))</f>
        <v/>
      </c>
      <c r="T47" s="122"/>
      <c r="U47" s="118"/>
      <c r="V47" s="121"/>
      <c r="W47" s="122"/>
      <c r="X47" s="121"/>
      <c r="Y47" s="121"/>
      <c r="Z47" s="121"/>
      <c r="AA47" s="121"/>
      <c r="AB47" s="116" t="str">
        <f aca="false">IF(B47="","",IF(X47&lt;&gt;"",X47,IF(E47="غير سعودي",cfg_IQ,0))+IF(Y47&lt;&gt;"",Y47,IF(E47="غير سعودي",cfg_WP,0))+IF(Z47&lt;&gt;"",Z47,cfg_MED)+N(AA47))</f>
        <v/>
      </c>
      <c r="AC47" s="123"/>
      <c r="AD47" s="121"/>
      <c r="AE47" s="119"/>
      <c r="AF47" s="118"/>
      <c r="AG47" s="117" t="str">
        <f aca="false">IF(B47="","",IF(AND(AE47&lt;&gt;"",AE47&lt;=cfg_VAL_DATE),"✖ منتهي الخدمة",IF(H47&gt;cfg_VAL_DATE,"⏳ لم يباشر بعد","✔ على رأس العمل")))</f>
        <v/>
      </c>
      <c r="AH47" s="117" t="str">
        <f aca="false">IF(B47="","",IF(AG47&lt;&gt;"✔ على رأس العمل",AG47,IF(COUNTIFS('سجل الإجازات والحالات'!$B$6:$B$505,B47,'سجل الإجازات والحالات'!$E$6:$E$505,"&lt;="&amp;cfg_VAL_DATE,'سجل الإجازات والحالات'!$F$6:$F$505,"&gt;="&amp;cfg_VAL_DATE)&gt;0,"✈ "&amp;INDEX('سجل الإجازات والحالات'!$D$6:$D$505,MATCH(1,INDEX(('سجل الإجازات والحالات'!$B$6:$B$505=B47)*('سجل الإجازات والحالات'!$E$6:$E$505&lt;=cfg_VAL_DATE)*('سجل الإجازات والحالات'!$F$6:$F$505&gt;=cfg_VAL_DATE),0),0)),"✔ على رأس العمل")))</f>
        <v/>
      </c>
      <c r="AI47" s="118"/>
      <c r="AJ47" s="118"/>
      <c r="AK47" s="118"/>
    </row>
    <row r="48" customFormat="false" ht="15" hidden="false" customHeight="false" outlineLevel="0" collapsed="false">
      <c r="A48" s="106" t="str">
        <f aca="false">IF(B48="","",ROW()-5)</f>
        <v/>
      </c>
      <c r="B48" s="118"/>
      <c r="C48" s="118"/>
      <c r="D48" s="118"/>
      <c r="E48" s="118"/>
      <c r="F48" s="118"/>
      <c r="G48" s="118"/>
      <c r="H48" s="119"/>
      <c r="I48" s="120"/>
      <c r="J48" s="119"/>
      <c r="K48" s="119"/>
      <c r="L48" s="121"/>
      <c r="M48" s="121"/>
      <c r="N48" s="121"/>
      <c r="O48" s="121"/>
      <c r="P48" s="111" t="str">
        <f aca="false">IF(B48="","",SUM(L48:O48))</f>
        <v/>
      </c>
      <c r="Q48" s="111" t="str">
        <f aca="false">IF(B48="","",L48+IF(cfg_EOS_H="نعم",M48,0)+IF(cfg_EOS_T="نعم",N48,0)+IF(cfg_EOS_O="نعم",O48,0))</f>
        <v/>
      </c>
      <c r="R48" s="111" t="str">
        <f aca="false">IF(B48="","",L48+IF(cfg_LV_H="نعم",M48,0)+IF(cfg_LV_T="نعم",N48,0)+IF(cfg_LV_O="نعم",O48,0))</f>
        <v/>
      </c>
      <c r="S48" s="111" t="str">
        <f aca="false">IF(B48="","",MIN(cfg_G_CAP,L48+M48))</f>
        <v/>
      </c>
      <c r="T48" s="122"/>
      <c r="U48" s="118"/>
      <c r="V48" s="121"/>
      <c r="W48" s="122"/>
      <c r="X48" s="121"/>
      <c r="Y48" s="121"/>
      <c r="Z48" s="121"/>
      <c r="AA48" s="121"/>
      <c r="AB48" s="111" t="str">
        <f aca="false">IF(B48="","",IF(X48&lt;&gt;"",X48,IF(E48="غير سعودي",cfg_IQ,0))+IF(Y48&lt;&gt;"",Y48,IF(E48="غير سعودي",cfg_WP,0))+IF(Z48&lt;&gt;"",Z48,cfg_MED)+N(AA48))</f>
        <v/>
      </c>
      <c r="AC48" s="123"/>
      <c r="AD48" s="121"/>
      <c r="AE48" s="119"/>
      <c r="AF48" s="118"/>
      <c r="AG48" s="114" t="str">
        <f aca="false">IF(B48="","",IF(AND(AE48&lt;&gt;"",AE48&lt;=cfg_VAL_DATE),"✖ منتهي الخدمة",IF(H48&gt;cfg_VAL_DATE,"⏳ لم يباشر بعد","✔ على رأس العمل")))</f>
        <v/>
      </c>
      <c r="AH48" s="114" t="str">
        <f aca="false">IF(B48="","",IF(AG48&lt;&gt;"✔ على رأس العمل",AG48,IF(COUNTIFS('سجل الإجازات والحالات'!$B$6:$B$505,B48,'سجل الإجازات والحالات'!$E$6:$E$505,"&lt;="&amp;cfg_VAL_DATE,'سجل الإجازات والحالات'!$F$6:$F$505,"&gt;="&amp;cfg_VAL_DATE)&gt;0,"✈ "&amp;INDEX('سجل الإجازات والحالات'!$D$6:$D$505,MATCH(1,INDEX(('سجل الإجازات والحالات'!$B$6:$B$505=B48)*('سجل الإجازات والحالات'!$E$6:$E$505&lt;=cfg_VAL_DATE)*('سجل الإجازات والحالات'!$F$6:$F$505&gt;=cfg_VAL_DATE),0),0)),"✔ على رأس العمل")))</f>
        <v/>
      </c>
      <c r="AI48" s="118"/>
      <c r="AJ48" s="118"/>
      <c r="AK48" s="118"/>
    </row>
    <row r="49" customFormat="false" ht="15" hidden="false" customHeight="false" outlineLevel="0" collapsed="false">
      <c r="A49" s="115" t="str">
        <f aca="false">IF(B49="","",ROW()-5)</f>
        <v/>
      </c>
      <c r="B49" s="118"/>
      <c r="C49" s="118"/>
      <c r="D49" s="118"/>
      <c r="E49" s="118"/>
      <c r="F49" s="118"/>
      <c r="G49" s="118"/>
      <c r="H49" s="119"/>
      <c r="I49" s="120"/>
      <c r="J49" s="119"/>
      <c r="K49" s="119"/>
      <c r="L49" s="121"/>
      <c r="M49" s="121"/>
      <c r="N49" s="121"/>
      <c r="O49" s="121"/>
      <c r="P49" s="116" t="str">
        <f aca="false">IF(B49="","",SUM(L49:O49))</f>
        <v/>
      </c>
      <c r="Q49" s="116" t="str">
        <f aca="false">IF(B49="","",L49+IF(cfg_EOS_H="نعم",M49,0)+IF(cfg_EOS_T="نعم",N49,0)+IF(cfg_EOS_O="نعم",O49,0))</f>
        <v/>
      </c>
      <c r="R49" s="116" t="str">
        <f aca="false">IF(B49="","",L49+IF(cfg_LV_H="نعم",M49,0)+IF(cfg_LV_T="نعم",N49,0)+IF(cfg_LV_O="نعم",O49,0))</f>
        <v/>
      </c>
      <c r="S49" s="116" t="str">
        <f aca="false">IF(B49="","",MIN(cfg_G_CAP,L49+M49))</f>
        <v/>
      </c>
      <c r="T49" s="122"/>
      <c r="U49" s="118"/>
      <c r="V49" s="121"/>
      <c r="W49" s="122"/>
      <c r="X49" s="121"/>
      <c r="Y49" s="121"/>
      <c r="Z49" s="121"/>
      <c r="AA49" s="121"/>
      <c r="AB49" s="116" t="str">
        <f aca="false">IF(B49="","",IF(X49&lt;&gt;"",X49,IF(E49="غير سعودي",cfg_IQ,0))+IF(Y49&lt;&gt;"",Y49,IF(E49="غير سعودي",cfg_WP,0))+IF(Z49&lt;&gt;"",Z49,cfg_MED)+N(AA49))</f>
        <v/>
      </c>
      <c r="AC49" s="123"/>
      <c r="AD49" s="121"/>
      <c r="AE49" s="119"/>
      <c r="AF49" s="118"/>
      <c r="AG49" s="117" t="str">
        <f aca="false">IF(B49="","",IF(AND(AE49&lt;&gt;"",AE49&lt;=cfg_VAL_DATE),"✖ منتهي الخدمة",IF(H49&gt;cfg_VAL_DATE,"⏳ لم يباشر بعد","✔ على رأس العمل")))</f>
        <v/>
      </c>
      <c r="AH49" s="117" t="str">
        <f aca="false">IF(B49="","",IF(AG49&lt;&gt;"✔ على رأس العمل",AG49,IF(COUNTIFS('سجل الإجازات والحالات'!$B$6:$B$505,B49,'سجل الإجازات والحالات'!$E$6:$E$505,"&lt;="&amp;cfg_VAL_DATE,'سجل الإجازات والحالات'!$F$6:$F$505,"&gt;="&amp;cfg_VAL_DATE)&gt;0,"✈ "&amp;INDEX('سجل الإجازات والحالات'!$D$6:$D$505,MATCH(1,INDEX(('سجل الإجازات والحالات'!$B$6:$B$505=B49)*('سجل الإجازات والحالات'!$E$6:$E$505&lt;=cfg_VAL_DATE)*('سجل الإجازات والحالات'!$F$6:$F$505&gt;=cfg_VAL_DATE),0),0)),"✔ على رأس العمل")))</f>
        <v/>
      </c>
      <c r="AI49" s="118"/>
      <c r="AJ49" s="118"/>
      <c r="AK49" s="118"/>
    </row>
    <row r="50" customFormat="false" ht="15" hidden="false" customHeight="false" outlineLevel="0" collapsed="false">
      <c r="A50" s="106" t="str">
        <f aca="false">IF(B50="","",ROW()-5)</f>
        <v/>
      </c>
      <c r="B50" s="118"/>
      <c r="C50" s="118"/>
      <c r="D50" s="118"/>
      <c r="E50" s="118"/>
      <c r="F50" s="118"/>
      <c r="G50" s="118"/>
      <c r="H50" s="119"/>
      <c r="I50" s="120"/>
      <c r="J50" s="119"/>
      <c r="K50" s="119"/>
      <c r="L50" s="121"/>
      <c r="M50" s="121"/>
      <c r="N50" s="121"/>
      <c r="O50" s="121"/>
      <c r="P50" s="111" t="str">
        <f aca="false">IF(B50="","",SUM(L50:O50))</f>
        <v/>
      </c>
      <c r="Q50" s="111" t="str">
        <f aca="false">IF(B50="","",L50+IF(cfg_EOS_H="نعم",M50,0)+IF(cfg_EOS_T="نعم",N50,0)+IF(cfg_EOS_O="نعم",O50,0))</f>
        <v/>
      </c>
      <c r="R50" s="111" t="str">
        <f aca="false">IF(B50="","",L50+IF(cfg_LV_H="نعم",M50,0)+IF(cfg_LV_T="نعم",N50,0)+IF(cfg_LV_O="نعم",O50,0))</f>
        <v/>
      </c>
      <c r="S50" s="111" t="str">
        <f aca="false">IF(B50="","",MIN(cfg_G_CAP,L50+M50))</f>
        <v/>
      </c>
      <c r="T50" s="122"/>
      <c r="U50" s="118"/>
      <c r="V50" s="121"/>
      <c r="W50" s="122"/>
      <c r="X50" s="121"/>
      <c r="Y50" s="121"/>
      <c r="Z50" s="121"/>
      <c r="AA50" s="121"/>
      <c r="AB50" s="111" t="str">
        <f aca="false">IF(B50="","",IF(X50&lt;&gt;"",X50,IF(E50="غير سعودي",cfg_IQ,0))+IF(Y50&lt;&gt;"",Y50,IF(E50="غير سعودي",cfg_WP,0))+IF(Z50&lt;&gt;"",Z50,cfg_MED)+N(AA50))</f>
        <v/>
      </c>
      <c r="AC50" s="123"/>
      <c r="AD50" s="121"/>
      <c r="AE50" s="119"/>
      <c r="AF50" s="118"/>
      <c r="AG50" s="114" t="str">
        <f aca="false">IF(B50="","",IF(AND(AE50&lt;&gt;"",AE50&lt;=cfg_VAL_DATE),"✖ منتهي الخدمة",IF(H50&gt;cfg_VAL_DATE,"⏳ لم يباشر بعد","✔ على رأس العمل")))</f>
        <v/>
      </c>
      <c r="AH50" s="114" t="str">
        <f aca="false">IF(B50="","",IF(AG50&lt;&gt;"✔ على رأس العمل",AG50,IF(COUNTIFS('سجل الإجازات والحالات'!$B$6:$B$505,B50,'سجل الإجازات والحالات'!$E$6:$E$505,"&lt;="&amp;cfg_VAL_DATE,'سجل الإجازات والحالات'!$F$6:$F$505,"&gt;="&amp;cfg_VAL_DATE)&gt;0,"✈ "&amp;INDEX('سجل الإجازات والحالات'!$D$6:$D$505,MATCH(1,INDEX(('سجل الإجازات والحالات'!$B$6:$B$505=B50)*('سجل الإجازات والحالات'!$E$6:$E$505&lt;=cfg_VAL_DATE)*('سجل الإجازات والحالات'!$F$6:$F$505&gt;=cfg_VAL_DATE),0),0)),"✔ على رأس العمل")))</f>
        <v/>
      </c>
      <c r="AI50" s="118"/>
      <c r="AJ50" s="118"/>
      <c r="AK50" s="118"/>
    </row>
    <row r="51" customFormat="false" ht="15" hidden="false" customHeight="false" outlineLevel="0" collapsed="false">
      <c r="A51" s="115" t="str">
        <f aca="false">IF(B51="","",ROW()-5)</f>
        <v/>
      </c>
      <c r="B51" s="118"/>
      <c r="C51" s="118"/>
      <c r="D51" s="118"/>
      <c r="E51" s="118"/>
      <c r="F51" s="118"/>
      <c r="G51" s="118"/>
      <c r="H51" s="119"/>
      <c r="I51" s="120"/>
      <c r="J51" s="119"/>
      <c r="K51" s="119"/>
      <c r="L51" s="121"/>
      <c r="M51" s="121"/>
      <c r="N51" s="121"/>
      <c r="O51" s="121"/>
      <c r="P51" s="116" t="str">
        <f aca="false">IF(B51="","",SUM(L51:O51))</f>
        <v/>
      </c>
      <c r="Q51" s="116" t="str">
        <f aca="false">IF(B51="","",L51+IF(cfg_EOS_H="نعم",M51,0)+IF(cfg_EOS_T="نعم",N51,0)+IF(cfg_EOS_O="نعم",O51,0))</f>
        <v/>
      </c>
      <c r="R51" s="116" t="str">
        <f aca="false">IF(B51="","",L51+IF(cfg_LV_H="نعم",M51,0)+IF(cfg_LV_T="نعم",N51,0)+IF(cfg_LV_O="نعم",O51,0))</f>
        <v/>
      </c>
      <c r="S51" s="116" t="str">
        <f aca="false">IF(B51="","",MIN(cfg_G_CAP,L51+M51))</f>
        <v/>
      </c>
      <c r="T51" s="122"/>
      <c r="U51" s="118"/>
      <c r="V51" s="121"/>
      <c r="W51" s="122"/>
      <c r="X51" s="121"/>
      <c r="Y51" s="121"/>
      <c r="Z51" s="121"/>
      <c r="AA51" s="121"/>
      <c r="AB51" s="116" t="str">
        <f aca="false">IF(B51="","",IF(X51&lt;&gt;"",X51,IF(E51="غير سعودي",cfg_IQ,0))+IF(Y51&lt;&gt;"",Y51,IF(E51="غير سعودي",cfg_WP,0))+IF(Z51&lt;&gt;"",Z51,cfg_MED)+N(AA51))</f>
        <v/>
      </c>
      <c r="AC51" s="123"/>
      <c r="AD51" s="121"/>
      <c r="AE51" s="119"/>
      <c r="AF51" s="118"/>
      <c r="AG51" s="117" t="str">
        <f aca="false">IF(B51="","",IF(AND(AE51&lt;&gt;"",AE51&lt;=cfg_VAL_DATE),"✖ منتهي الخدمة",IF(H51&gt;cfg_VAL_DATE,"⏳ لم يباشر بعد","✔ على رأس العمل")))</f>
        <v/>
      </c>
      <c r="AH51" s="117" t="str">
        <f aca="false">IF(B51="","",IF(AG51&lt;&gt;"✔ على رأس العمل",AG51,IF(COUNTIFS('سجل الإجازات والحالات'!$B$6:$B$505,B51,'سجل الإجازات والحالات'!$E$6:$E$505,"&lt;="&amp;cfg_VAL_DATE,'سجل الإجازات والحالات'!$F$6:$F$505,"&gt;="&amp;cfg_VAL_DATE)&gt;0,"✈ "&amp;INDEX('سجل الإجازات والحالات'!$D$6:$D$505,MATCH(1,INDEX(('سجل الإجازات والحالات'!$B$6:$B$505=B51)*('سجل الإجازات والحالات'!$E$6:$E$505&lt;=cfg_VAL_DATE)*('سجل الإجازات والحالات'!$F$6:$F$505&gt;=cfg_VAL_DATE),0),0)),"✔ على رأس العمل")))</f>
        <v/>
      </c>
      <c r="AI51" s="118"/>
      <c r="AJ51" s="118"/>
      <c r="AK51" s="118"/>
    </row>
    <row r="52" customFormat="false" ht="15" hidden="false" customHeight="false" outlineLevel="0" collapsed="false">
      <c r="A52" s="106" t="str">
        <f aca="false">IF(B52="","",ROW()-5)</f>
        <v/>
      </c>
      <c r="B52" s="118"/>
      <c r="C52" s="118"/>
      <c r="D52" s="118"/>
      <c r="E52" s="118"/>
      <c r="F52" s="118"/>
      <c r="G52" s="118"/>
      <c r="H52" s="119"/>
      <c r="I52" s="120"/>
      <c r="J52" s="119"/>
      <c r="K52" s="119"/>
      <c r="L52" s="121"/>
      <c r="M52" s="121"/>
      <c r="N52" s="121"/>
      <c r="O52" s="121"/>
      <c r="P52" s="111" t="str">
        <f aca="false">IF(B52="","",SUM(L52:O52))</f>
        <v/>
      </c>
      <c r="Q52" s="111" t="str">
        <f aca="false">IF(B52="","",L52+IF(cfg_EOS_H="نعم",M52,0)+IF(cfg_EOS_T="نعم",N52,0)+IF(cfg_EOS_O="نعم",O52,0))</f>
        <v/>
      </c>
      <c r="R52" s="111" t="str">
        <f aca="false">IF(B52="","",L52+IF(cfg_LV_H="نعم",M52,0)+IF(cfg_LV_T="نعم",N52,0)+IF(cfg_LV_O="نعم",O52,0))</f>
        <v/>
      </c>
      <c r="S52" s="111" t="str">
        <f aca="false">IF(B52="","",MIN(cfg_G_CAP,L52+M52))</f>
        <v/>
      </c>
      <c r="T52" s="122"/>
      <c r="U52" s="118"/>
      <c r="V52" s="121"/>
      <c r="W52" s="122"/>
      <c r="X52" s="121"/>
      <c r="Y52" s="121"/>
      <c r="Z52" s="121"/>
      <c r="AA52" s="121"/>
      <c r="AB52" s="111" t="str">
        <f aca="false">IF(B52="","",IF(X52&lt;&gt;"",X52,IF(E52="غير سعودي",cfg_IQ,0))+IF(Y52&lt;&gt;"",Y52,IF(E52="غير سعودي",cfg_WP,0))+IF(Z52&lt;&gt;"",Z52,cfg_MED)+N(AA52))</f>
        <v/>
      </c>
      <c r="AC52" s="123"/>
      <c r="AD52" s="121"/>
      <c r="AE52" s="119"/>
      <c r="AF52" s="118"/>
      <c r="AG52" s="114" t="str">
        <f aca="false">IF(B52="","",IF(AND(AE52&lt;&gt;"",AE52&lt;=cfg_VAL_DATE),"✖ منتهي الخدمة",IF(H52&gt;cfg_VAL_DATE,"⏳ لم يباشر بعد","✔ على رأس العمل")))</f>
        <v/>
      </c>
      <c r="AH52" s="114" t="str">
        <f aca="false">IF(B52="","",IF(AG52&lt;&gt;"✔ على رأس العمل",AG52,IF(COUNTIFS('سجل الإجازات والحالات'!$B$6:$B$505,B52,'سجل الإجازات والحالات'!$E$6:$E$505,"&lt;="&amp;cfg_VAL_DATE,'سجل الإجازات والحالات'!$F$6:$F$505,"&gt;="&amp;cfg_VAL_DATE)&gt;0,"✈ "&amp;INDEX('سجل الإجازات والحالات'!$D$6:$D$505,MATCH(1,INDEX(('سجل الإجازات والحالات'!$B$6:$B$505=B52)*('سجل الإجازات والحالات'!$E$6:$E$505&lt;=cfg_VAL_DATE)*('سجل الإجازات والحالات'!$F$6:$F$505&gt;=cfg_VAL_DATE),0),0)),"✔ على رأس العمل")))</f>
        <v/>
      </c>
      <c r="AI52" s="118"/>
      <c r="AJ52" s="118"/>
      <c r="AK52" s="118"/>
    </row>
    <row r="53" customFormat="false" ht="15" hidden="false" customHeight="false" outlineLevel="0" collapsed="false">
      <c r="A53" s="115" t="str">
        <f aca="false">IF(B53="","",ROW()-5)</f>
        <v/>
      </c>
      <c r="B53" s="118"/>
      <c r="C53" s="118"/>
      <c r="D53" s="118"/>
      <c r="E53" s="118"/>
      <c r="F53" s="118"/>
      <c r="G53" s="118"/>
      <c r="H53" s="119"/>
      <c r="I53" s="120"/>
      <c r="J53" s="119"/>
      <c r="K53" s="119"/>
      <c r="L53" s="121"/>
      <c r="M53" s="121"/>
      <c r="N53" s="121"/>
      <c r="O53" s="121"/>
      <c r="P53" s="116" t="str">
        <f aca="false">IF(B53="","",SUM(L53:O53))</f>
        <v/>
      </c>
      <c r="Q53" s="116" t="str">
        <f aca="false">IF(B53="","",L53+IF(cfg_EOS_H="نعم",M53,0)+IF(cfg_EOS_T="نعم",N53,0)+IF(cfg_EOS_O="نعم",O53,0))</f>
        <v/>
      </c>
      <c r="R53" s="116" t="str">
        <f aca="false">IF(B53="","",L53+IF(cfg_LV_H="نعم",M53,0)+IF(cfg_LV_T="نعم",N53,0)+IF(cfg_LV_O="نعم",O53,0))</f>
        <v/>
      </c>
      <c r="S53" s="116" t="str">
        <f aca="false">IF(B53="","",MIN(cfg_G_CAP,L53+M53))</f>
        <v/>
      </c>
      <c r="T53" s="122"/>
      <c r="U53" s="118"/>
      <c r="V53" s="121"/>
      <c r="W53" s="122"/>
      <c r="X53" s="121"/>
      <c r="Y53" s="121"/>
      <c r="Z53" s="121"/>
      <c r="AA53" s="121"/>
      <c r="AB53" s="116" t="str">
        <f aca="false">IF(B53="","",IF(X53&lt;&gt;"",X53,IF(E53="غير سعودي",cfg_IQ,0))+IF(Y53&lt;&gt;"",Y53,IF(E53="غير سعودي",cfg_WP,0))+IF(Z53&lt;&gt;"",Z53,cfg_MED)+N(AA53))</f>
        <v/>
      </c>
      <c r="AC53" s="123"/>
      <c r="AD53" s="121"/>
      <c r="AE53" s="119"/>
      <c r="AF53" s="118"/>
      <c r="AG53" s="117" t="str">
        <f aca="false">IF(B53="","",IF(AND(AE53&lt;&gt;"",AE53&lt;=cfg_VAL_DATE),"✖ منتهي الخدمة",IF(H53&gt;cfg_VAL_DATE,"⏳ لم يباشر بعد","✔ على رأس العمل")))</f>
        <v/>
      </c>
      <c r="AH53" s="117" t="str">
        <f aca="false">IF(B53="","",IF(AG53&lt;&gt;"✔ على رأس العمل",AG53,IF(COUNTIFS('سجل الإجازات والحالات'!$B$6:$B$505,B53,'سجل الإجازات والحالات'!$E$6:$E$505,"&lt;="&amp;cfg_VAL_DATE,'سجل الإجازات والحالات'!$F$6:$F$505,"&gt;="&amp;cfg_VAL_DATE)&gt;0,"✈ "&amp;INDEX('سجل الإجازات والحالات'!$D$6:$D$505,MATCH(1,INDEX(('سجل الإجازات والحالات'!$B$6:$B$505=B53)*('سجل الإجازات والحالات'!$E$6:$E$505&lt;=cfg_VAL_DATE)*('سجل الإجازات والحالات'!$F$6:$F$505&gt;=cfg_VAL_DATE),0),0)),"✔ على رأس العمل")))</f>
        <v/>
      </c>
      <c r="AI53" s="118"/>
      <c r="AJ53" s="118"/>
      <c r="AK53" s="118"/>
    </row>
    <row r="54" customFormat="false" ht="15" hidden="false" customHeight="false" outlineLevel="0" collapsed="false">
      <c r="A54" s="106" t="str">
        <f aca="false">IF(B54="","",ROW()-5)</f>
        <v/>
      </c>
      <c r="B54" s="118"/>
      <c r="C54" s="118"/>
      <c r="D54" s="118"/>
      <c r="E54" s="118"/>
      <c r="F54" s="118"/>
      <c r="G54" s="118"/>
      <c r="H54" s="119"/>
      <c r="I54" s="120"/>
      <c r="J54" s="119"/>
      <c r="K54" s="119"/>
      <c r="L54" s="121"/>
      <c r="M54" s="121"/>
      <c r="N54" s="121"/>
      <c r="O54" s="121"/>
      <c r="P54" s="111" t="str">
        <f aca="false">IF(B54="","",SUM(L54:O54))</f>
        <v/>
      </c>
      <c r="Q54" s="111" t="str">
        <f aca="false">IF(B54="","",L54+IF(cfg_EOS_H="نعم",M54,0)+IF(cfg_EOS_T="نعم",N54,0)+IF(cfg_EOS_O="نعم",O54,0))</f>
        <v/>
      </c>
      <c r="R54" s="111" t="str">
        <f aca="false">IF(B54="","",L54+IF(cfg_LV_H="نعم",M54,0)+IF(cfg_LV_T="نعم",N54,0)+IF(cfg_LV_O="نعم",O54,0))</f>
        <v/>
      </c>
      <c r="S54" s="111" t="str">
        <f aca="false">IF(B54="","",MIN(cfg_G_CAP,L54+M54))</f>
        <v/>
      </c>
      <c r="T54" s="122"/>
      <c r="U54" s="118"/>
      <c r="V54" s="121"/>
      <c r="W54" s="122"/>
      <c r="X54" s="121"/>
      <c r="Y54" s="121"/>
      <c r="Z54" s="121"/>
      <c r="AA54" s="121"/>
      <c r="AB54" s="111" t="str">
        <f aca="false">IF(B54="","",IF(X54&lt;&gt;"",X54,IF(E54="غير سعودي",cfg_IQ,0))+IF(Y54&lt;&gt;"",Y54,IF(E54="غير سعودي",cfg_WP,0))+IF(Z54&lt;&gt;"",Z54,cfg_MED)+N(AA54))</f>
        <v/>
      </c>
      <c r="AC54" s="123"/>
      <c r="AD54" s="121"/>
      <c r="AE54" s="119"/>
      <c r="AF54" s="118"/>
      <c r="AG54" s="114" t="str">
        <f aca="false">IF(B54="","",IF(AND(AE54&lt;&gt;"",AE54&lt;=cfg_VAL_DATE),"✖ منتهي الخدمة",IF(H54&gt;cfg_VAL_DATE,"⏳ لم يباشر بعد","✔ على رأس العمل")))</f>
        <v/>
      </c>
      <c r="AH54" s="114" t="str">
        <f aca="false">IF(B54="","",IF(AG54&lt;&gt;"✔ على رأس العمل",AG54,IF(COUNTIFS('سجل الإجازات والحالات'!$B$6:$B$505,B54,'سجل الإجازات والحالات'!$E$6:$E$505,"&lt;="&amp;cfg_VAL_DATE,'سجل الإجازات والحالات'!$F$6:$F$505,"&gt;="&amp;cfg_VAL_DATE)&gt;0,"✈ "&amp;INDEX('سجل الإجازات والحالات'!$D$6:$D$505,MATCH(1,INDEX(('سجل الإجازات والحالات'!$B$6:$B$505=B54)*('سجل الإجازات والحالات'!$E$6:$E$505&lt;=cfg_VAL_DATE)*('سجل الإجازات والحالات'!$F$6:$F$505&gt;=cfg_VAL_DATE),0),0)),"✔ على رأس العمل")))</f>
        <v/>
      </c>
      <c r="AI54" s="118"/>
      <c r="AJ54" s="118"/>
      <c r="AK54" s="118"/>
    </row>
    <row r="55" customFormat="false" ht="15" hidden="false" customHeight="false" outlineLevel="0" collapsed="false">
      <c r="A55" s="115" t="str">
        <f aca="false">IF(B55="","",ROW()-5)</f>
        <v/>
      </c>
      <c r="B55" s="118"/>
      <c r="C55" s="118"/>
      <c r="D55" s="118"/>
      <c r="E55" s="118"/>
      <c r="F55" s="118"/>
      <c r="G55" s="118"/>
      <c r="H55" s="119"/>
      <c r="I55" s="120"/>
      <c r="J55" s="119"/>
      <c r="K55" s="119"/>
      <c r="L55" s="121"/>
      <c r="M55" s="121"/>
      <c r="N55" s="121"/>
      <c r="O55" s="121"/>
      <c r="P55" s="116" t="str">
        <f aca="false">IF(B55="","",SUM(L55:O55))</f>
        <v/>
      </c>
      <c r="Q55" s="116" t="str">
        <f aca="false">IF(B55="","",L55+IF(cfg_EOS_H="نعم",M55,0)+IF(cfg_EOS_T="نعم",N55,0)+IF(cfg_EOS_O="نعم",O55,0))</f>
        <v/>
      </c>
      <c r="R55" s="116" t="str">
        <f aca="false">IF(B55="","",L55+IF(cfg_LV_H="نعم",M55,0)+IF(cfg_LV_T="نعم",N55,0)+IF(cfg_LV_O="نعم",O55,0))</f>
        <v/>
      </c>
      <c r="S55" s="116" t="str">
        <f aca="false">IF(B55="","",MIN(cfg_G_CAP,L55+M55))</f>
        <v/>
      </c>
      <c r="T55" s="122"/>
      <c r="U55" s="118"/>
      <c r="V55" s="121"/>
      <c r="W55" s="122"/>
      <c r="X55" s="121"/>
      <c r="Y55" s="121"/>
      <c r="Z55" s="121"/>
      <c r="AA55" s="121"/>
      <c r="AB55" s="116" t="str">
        <f aca="false">IF(B55="","",IF(X55&lt;&gt;"",X55,IF(E55="غير سعودي",cfg_IQ,0))+IF(Y55&lt;&gt;"",Y55,IF(E55="غير سعودي",cfg_WP,0))+IF(Z55&lt;&gt;"",Z55,cfg_MED)+N(AA55))</f>
        <v/>
      </c>
      <c r="AC55" s="123"/>
      <c r="AD55" s="121"/>
      <c r="AE55" s="119"/>
      <c r="AF55" s="118"/>
      <c r="AG55" s="117" t="str">
        <f aca="false">IF(B55="","",IF(AND(AE55&lt;&gt;"",AE55&lt;=cfg_VAL_DATE),"✖ منتهي الخدمة",IF(H55&gt;cfg_VAL_DATE,"⏳ لم يباشر بعد","✔ على رأس العمل")))</f>
        <v/>
      </c>
      <c r="AH55" s="117" t="str">
        <f aca="false">IF(B55="","",IF(AG55&lt;&gt;"✔ على رأس العمل",AG55,IF(COUNTIFS('سجل الإجازات والحالات'!$B$6:$B$505,B55,'سجل الإجازات والحالات'!$E$6:$E$505,"&lt;="&amp;cfg_VAL_DATE,'سجل الإجازات والحالات'!$F$6:$F$505,"&gt;="&amp;cfg_VAL_DATE)&gt;0,"✈ "&amp;INDEX('سجل الإجازات والحالات'!$D$6:$D$505,MATCH(1,INDEX(('سجل الإجازات والحالات'!$B$6:$B$505=B55)*('سجل الإجازات والحالات'!$E$6:$E$505&lt;=cfg_VAL_DATE)*('سجل الإجازات والحالات'!$F$6:$F$505&gt;=cfg_VAL_DATE),0),0)),"✔ على رأس العمل")))</f>
        <v/>
      </c>
      <c r="AI55" s="118"/>
      <c r="AJ55" s="118"/>
      <c r="AK55" s="118"/>
    </row>
    <row r="56" customFormat="false" ht="15" hidden="false" customHeight="false" outlineLevel="0" collapsed="false">
      <c r="A56" s="106" t="str">
        <f aca="false">IF(B56="","",ROW()-5)</f>
        <v/>
      </c>
      <c r="B56" s="118"/>
      <c r="C56" s="118"/>
      <c r="D56" s="118"/>
      <c r="E56" s="118"/>
      <c r="F56" s="118"/>
      <c r="G56" s="118"/>
      <c r="H56" s="119"/>
      <c r="I56" s="120"/>
      <c r="J56" s="119"/>
      <c r="K56" s="119"/>
      <c r="L56" s="121"/>
      <c r="M56" s="121"/>
      <c r="N56" s="121"/>
      <c r="O56" s="121"/>
      <c r="P56" s="111" t="str">
        <f aca="false">IF(B56="","",SUM(L56:O56))</f>
        <v/>
      </c>
      <c r="Q56" s="111" t="str">
        <f aca="false">IF(B56="","",L56+IF(cfg_EOS_H="نعم",M56,0)+IF(cfg_EOS_T="نعم",N56,0)+IF(cfg_EOS_O="نعم",O56,0))</f>
        <v/>
      </c>
      <c r="R56" s="111" t="str">
        <f aca="false">IF(B56="","",L56+IF(cfg_LV_H="نعم",M56,0)+IF(cfg_LV_T="نعم",N56,0)+IF(cfg_LV_O="نعم",O56,0))</f>
        <v/>
      </c>
      <c r="S56" s="111" t="str">
        <f aca="false">IF(B56="","",MIN(cfg_G_CAP,L56+M56))</f>
        <v/>
      </c>
      <c r="T56" s="122"/>
      <c r="U56" s="118"/>
      <c r="V56" s="121"/>
      <c r="W56" s="122"/>
      <c r="X56" s="121"/>
      <c r="Y56" s="121"/>
      <c r="Z56" s="121"/>
      <c r="AA56" s="121"/>
      <c r="AB56" s="111" t="str">
        <f aca="false">IF(B56="","",IF(X56&lt;&gt;"",X56,IF(E56="غير سعودي",cfg_IQ,0))+IF(Y56&lt;&gt;"",Y56,IF(E56="غير سعودي",cfg_WP,0))+IF(Z56&lt;&gt;"",Z56,cfg_MED)+N(AA56))</f>
        <v/>
      </c>
      <c r="AC56" s="123"/>
      <c r="AD56" s="121"/>
      <c r="AE56" s="119"/>
      <c r="AF56" s="118"/>
      <c r="AG56" s="114" t="str">
        <f aca="false">IF(B56="","",IF(AND(AE56&lt;&gt;"",AE56&lt;=cfg_VAL_DATE),"✖ منتهي الخدمة",IF(H56&gt;cfg_VAL_DATE,"⏳ لم يباشر بعد","✔ على رأس العمل")))</f>
        <v/>
      </c>
      <c r="AH56" s="114" t="str">
        <f aca="false">IF(B56="","",IF(AG56&lt;&gt;"✔ على رأس العمل",AG56,IF(COUNTIFS('سجل الإجازات والحالات'!$B$6:$B$505,B56,'سجل الإجازات والحالات'!$E$6:$E$505,"&lt;="&amp;cfg_VAL_DATE,'سجل الإجازات والحالات'!$F$6:$F$505,"&gt;="&amp;cfg_VAL_DATE)&gt;0,"✈ "&amp;INDEX('سجل الإجازات والحالات'!$D$6:$D$505,MATCH(1,INDEX(('سجل الإجازات والحالات'!$B$6:$B$505=B56)*('سجل الإجازات والحالات'!$E$6:$E$505&lt;=cfg_VAL_DATE)*('سجل الإجازات والحالات'!$F$6:$F$505&gt;=cfg_VAL_DATE),0),0)),"✔ على رأس العمل")))</f>
        <v/>
      </c>
      <c r="AI56" s="118"/>
      <c r="AJ56" s="118"/>
      <c r="AK56" s="118"/>
    </row>
    <row r="57" customFormat="false" ht="15" hidden="false" customHeight="false" outlineLevel="0" collapsed="false">
      <c r="A57" s="115" t="str">
        <f aca="false">IF(B57="","",ROW()-5)</f>
        <v/>
      </c>
      <c r="B57" s="118"/>
      <c r="C57" s="118"/>
      <c r="D57" s="118"/>
      <c r="E57" s="118"/>
      <c r="F57" s="118"/>
      <c r="G57" s="118"/>
      <c r="H57" s="119"/>
      <c r="I57" s="120"/>
      <c r="J57" s="119"/>
      <c r="K57" s="119"/>
      <c r="L57" s="121"/>
      <c r="M57" s="121"/>
      <c r="N57" s="121"/>
      <c r="O57" s="121"/>
      <c r="P57" s="116" t="str">
        <f aca="false">IF(B57="","",SUM(L57:O57))</f>
        <v/>
      </c>
      <c r="Q57" s="116" t="str">
        <f aca="false">IF(B57="","",L57+IF(cfg_EOS_H="نعم",M57,0)+IF(cfg_EOS_T="نعم",N57,0)+IF(cfg_EOS_O="نعم",O57,0))</f>
        <v/>
      </c>
      <c r="R57" s="116" t="str">
        <f aca="false">IF(B57="","",L57+IF(cfg_LV_H="نعم",M57,0)+IF(cfg_LV_T="نعم",N57,0)+IF(cfg_LV_O="نعم",O57,0))</f>
        <v/>
      </c>
      <c r="S57" s="116" t="str">
        <f aca="false">IF(B57="","",MIN(cfg_G_CAP,L57+M57))</f>
        <v/>
      </c>
      <c r="T57" s="122"/>
      <c r="U57" s="118"/>
      <c r="V57" s="121"/>
      <c r="W57" s="122"/>
      <c r="X57" s="121"/>
      <c r="Y57" s="121"/>
      <c r="Z57" s="121"/>
      <c r="AA57" s="121"/>
      <c r="AB57" s="116" t="str">
        <f aca="false">IF(B57="","",IF(X57&lt;&gt;"",X57,IF(E57="غير سعودي",cfg_IQ,0))+IF(Y57&lt;&gt;"",Y57,IF(E57="غير سعودي",cfg_WP,0))+IF(Z57&lt;&gt;"",Z57,cfg_MED)+N(AA57))</f>
        <v/>
      </c>
      <c r="AC57" s="123"/>
      <c r="AD57" s="121"/>
      <c r="AE57" s="119"/>
      <c r="AF57" s="118"/>
      <c r="AG57" s="117" t="str">
        <f aca="false">IF(B57="","",IF(AND(AE57&lt;&gt;"",AE57&lt;=cfg_VAL_DATE),"✖ منتهي الخدمة",IF(H57&gt;cfg_VAL_DATE,"⏳ لم يباشر بعد","✔ على رأس العمل")))</f>
        <v/>
      </c>
      <c r="AH57" s="117" t="str">
        <f aca="false">IF(B57="","",IF(AG57&lt;&gt;"✔ على رأس العمل",AG57,IF(COUNTIFS('سجل الإجازات والحالات'!$B$6:$B$505,B57,'سجل الإجازات والحالات'!$E$6:$E$505,"&lt;="&amp;cfg_VAL_DATE,'سجل الإجازات والحالات'!$F$6:$F$505,"&gt;="&amp;cfg_VAL_DATE)&gt;0,"✈ "&amp;INDEX('سجل الإجازات والحالات'!$D$6:$D$505,MATCH(1,INDEX(('سجل الإجازات والحالات'!$B$6:$B$505=B57)*('سجل الإجازات والحالات'!$E$6:$E$505&lt;=cfg_VAL_DATE)*('سجل الإجازات والحالات'!$F$6:$F$505&gt;=cfg_VAL_DATE),0),0)),"✔ على رأس العمل")))</f>
        <v/>
      </c>
      <c r="AI57" s="118"/>
      <c r="AJ57" s="118"/>
      <c r="AK57" s="118"/>
    </row>
    <row r="58" customFormat="false" ht="15" hidden="false" customHeight="false" outlineLevel="0" collapsed="false">
      <c r="A58" s="106" t="str">
        <f aca="false">IF(B58="","",ROW()-5)</f>
        <v/>
      </c>
      <c r="B58" s="118"/>
      <c r="C58" s="118"/>
      <c r="D58" s="118"/>
      <c r="E58" s="118"/>
      <c r="F58" s="118"/>
      <c r="G58" s="118"/>
      <c r="H58" s="119"/>
      <c r="I58" s="120"/>
      <c r="J58" s="119"/>
      <c r="K58" s="119"/>
      <c r="L58" s="121"/>
      <c r="M58" s="121"/>
      <c r="N58" s="121"/>
      <c r="O58" s="121"/>
      <c r="P58" s="111" t="str">
        <f aca="false">IF(B58="","",SUM(L58:O58))</f>
        <v/>
      </c>
      <c r="Q58" s="111" t="str">
        <f aca="false">IF(B58="","",L58+IF(cfg_EOS_H="نعم",M58,0)+IF(cfg_EOS_T="نعم",N58,0)+IF(cfg_EOS_O="نعم",O58,0))</f>
        <v/>
      </c>
      <c r="R58" s="111" t="str">
        <f aca="false">IF(B58="","",L58+IF(cfg_LV_H="نعم",M58,0)+IF(cfg_LV_T="نعم",N58,0)+IF(cfg_LV_O="نعم",O58,0))</f>
        <v/>
      </c>
      <c r="S58" s="111" t="str">
        <f aca="false">IF(B58="","",MIN(cfg_G_CAP,L58+M58))</f>
        <v/>
      </c>
      <c r="T58" s="122"/>
      <c r="U58" s="118"/>
      <c r="V58" s="121"/>
      <c r="W58" s="122"/>
      <c r="X58" s="121"/>
      <c r="Y58" s="121"/>
      <c r="Z58" s="121"/>
      <c r="AA58" s="121"/>
      <c r="AB58" s="111" t="str">
        <f aca="false">IF(B58="","",IF(X58&lt;&gt;"",X58,IF(E58="غير سعودي",cfg_IQ,0))+IF(Y58&lt;&gt;"",Y58,IF(E58="غير سعودي",cfg_WP,0))+IF(Z58&lt;&gt;"",Z58,cfg_MED)+N(AA58))</f>
        <v/>
      </c>
      <c r="AC58" s="123"/>
      <c r="AD58" s="121"/>
      <c r="AE58" s="119"/>
      <c r="AF58" s="118"/>
      <c r="AG58" s="114" t="str">
        <f aca="false">IF(B58="","",IF(AND(AE58&lt;&gt;"",AE58&lt;=cfg_VAL_DATE),"✖ منتهي الخدمة",IF(H58&gt;cfg_VAL_DATE,"⏳ لم يباشر بعد","✔ على رأس العمل")))</f>
        <v/>
      </c>
      <c r="AH58" s="114" t="str">
        <f aca="false">IF(B58="","",IF(AG58&lt;&gt;"✔ على رأس العمل",AG58,IF(COUNTIFS('سجل الإجازات والحالات'!$B$6:$B$505,B58,'سجل الإجازات والحالات'!$E$6:$E$505,"&lt;="&amp;cfg_VAL_DATE,'سجل الإجازات والحالات'!$F$6:$F$505,"&gt;="&amp;cfg_VAL_DATE)&gt;0,"✈ "&amp;INDEX('سجل الإجازات والحالات'!$D$6:$D$505,MATCH(1,INDEX(('سجل الإجازات والحالات'!$B$6:$B$505=B58)*('سجل الإجازات والحالات'!$E$6:$E$505&lt;=cfg_VAL_DATE)*('سجل الإجازات والحالات'!$F$6:$F$505&gt;=cfg_VAL_DATE),0),0)),"✔ على رأس العمل")))</f>
        <v/>
      </c>
      <c r="AI58" s="118"/>
      <c r="AJ58" s="118"/>
      <c r="AK58" s="118"/>
    </row>
    <row r="59" customFormat="false" ht="15" hidden="false" customHeight="false" outlineLevel="0" collapsed="false">
      <c r="A59" s="115" t="str">
        <f aca="false">IF(B59="","",ROW()-5)</f>
        <v/>
      </c>
      <c r="B59" s="118"/>
      <c r="C59" s="118"/>
      <c r="D59" s="118"/>
      <c r="E59" s="118"/>
      <c r="F59" s="118"/>
      <c r="G59" s="118"/>
      <c r="H59" s="119"/>
      <c r="I59" s="120"/>
      <c r="J59" s="119"/>
      <c r="K59" s="119"/>
      <c r="L59" s="121"/>
      <c r="M59" s="121"/>
      <c r="N59" s="121"/>
      <c r="O59" s="121"/>
      <c r="P59" s="116" t="str">
        <f aca="false">IF(B59="","",SUM(L59:O59))</f>
        <v/>
      </c>
      <c r="Q59" s="116" t="str">
        <f aca="false">IF(B59="","",L59+IF(cfg_EOS_H="نعم",M59,0)+IF(cfg_EOS_T="نعم",N59,0)+IF(cfg_EOS_O="نعم",O59,0))</f>
        <v/>
      </c>
      <c r="R59" s="116" t="str">
        <f aca="false">IF(B59="","",L59+IF(cfg_LV_H="نعم",M59,0)+IF(cfg_LV_T="نعم",N59,0)+IF(cfg_LV_O="نعم",O59,0))</f>
        <v/>
      </c>
      <c r="S59" s="116" t="str">
        <f aca="false">IF(B59="","",MIN(cfg_G_CAP,L59+M59))</f>
        <v/>
      </c>
      <c r="T59" s="122"/>
      <c r="U59" s="118"/>
      <c r="V59" s="121"/>
      <c r="W59" s="122"/>
      <c r="X59" s="121"/>
      <c r="Y59" s="121"/>
      <c r="Z59" s="121"/>
      <c r="AA59" s="121"/>
      <c r="AB59" s="116" t="str">
        <f aca="false">IF(B59="","",IF(X59&lt;&gt;"",X59,IF(E59="غير سعودي",cfg_IQ,0))+IF(Y59&lt;&gt;"",Y59,IF(E59="غير سعودي",cfg_WP,0))+IF(Z59&lt;&gt;"",Z59,cfg_MED)+N(AA59))</f>
        <v/>
      </c>
      <c r="AC59" s="123"/>
      <c r="AD59" s="121"/>
      <c r="AE59" s="119"/>
      <c r="AF59" s="118"/>
      <c r="AG59" s="117" t="str">
        <f aca="false">IF(B59="","",IF(AND(AE59&lt;&gt;"",AE59&lt;=cfg_VAL_DATE),"✖ منتهي الخدمة",IF(H59&gt;cfg_VAL_DATE,"⏳ لم يباشر بعد","✔ على رأس العمل")))</f>
        <v/>
      </c>
      <c r="AH59" s="117" t="str">
        <f aca="false">IF(B59="","",IF(AG59&lt;&gt;"✔ على رأس العمل",AG59,IF(COUNTIFS('سجل الإجازات والحالات'!$B$6:$B$505,B59,'سجل الإجازات والحالات'!$E$6:$E$505,"&lt;="&amp;cfg_VAL_DATE,'سجل الإجازات والحالات'!$F$6:$F$505,"&gt;="&amp;cfg_VAL_DATE)&gt;0,"✈ "&amp;INDEX('سجل الإجازات والحالات'!$D$6:$D$505,MATCH(1,INDEX(('سجل الإجازات والحالات'!$B$6:$B$505=B59)*('سجل الإجازات والحالات'!$E$6:$E$505&lt;=cfg_VAL_DATE)*('سجل الإجازات والحالات'!$F$6:$F$505&gt;=cfg_VAL_DATE),0),0)),"✔ على رأس العمل")))</f>
        <v/>
      </c>
      <c r="AI59" s="118"/>
      <c r="AJ59" s="118"/>
      <c r="AK59" s="118"/>
    </row>
    <row r="60" customFormat="false" ht="15" hidden="false" customHeight="false" outlineLevel="0" collapsed="false">
      <c r="A60" s="106" t="str">
        <f aca="false">IF(B60="","",ROW()-5)</f>
        <v/>
      </c>
      <c r="B60" s="118"/>
      <c r="C60" s="118"/>
      <c r="D60" s="118"/>
      <c r="E60" s="118"/>
      <c r="F60" s="118"/>
      <c r="G60" s="118"/>
      <c r="H60" s="119"/>
      <c r="I60" s="120"/>
      <c r="J60" s="119"/>
      <c r="K60" s="119"/>
      <c r="L60" s="121"/>
      <c r="M60" s="121"/>
      <c r="N60" s="121"/>
      <c r="O60" s="121"/>
      <c r="P60" s="111" t="str">
        <f aca="false">IF(B60="","",SUM(L60:O60))</f>
        <v/>
      </c>
      <c r="Q60" s="111" t="str">
        <f aca="false">IF(B60="","",L60+IF(cfg_EOS_H="نعم",M60,0)+IF(cfg_EOS_T="نعم",N60,0)+IF(cfg_EOS_O="نعم",O60,0))</f>
        <v/>
      </c>
      <c r="R60" s="111" t="str">
        <f aca="false">IF(B60="","",L60+IF(cfg_LV_H="نعم",M60,0)+IF(cfg_LV_T="نعم",N60,0)+IF(cfg_LV_O="نعم",O60,0))</f>
        <v/>
      </c>
      <c r="S60" s="111" t="str">
        <f aca="false">IF(B60="","",MIN(cfg_G_CAP,L60+M60))</f>
        <v/>
      </c>
      <c r="T60" s="122"/>
      <c r="U60" s="118"/>
      <c r="V60" s="121"/>
      <c r="W60" s="122"/>
      <c r="X60" s="121"/>
      <c r="Y60" s="121"/>
      <c r="Z60" s="121"/>
      <c r="AA60" s="121"/>
      <c r="AB60" s="111" t="str">
        <f aca="false">IF(B60="","",IF(X60&lt;&gt;"",X60,IF(E60="غير سعودي",cfg_IQ,0))+IF(Y60&lt;&gt;"",Y60,IF(E60="غير سعودي",cfg_WP,0))+IF(Z60&lt;&gt;"",Z60,cfg_MED)+N(AA60))</f>
        <v/>
      </c>
      <c r="AC60" s="123"/>
      <c r="AD60" s="121"/>
      <c r="AE60" s="119"/>
      <c r="AF60" s="118"/>
      <c r="AG60" s="114" t="str">
        <f aca="false">IF(B60="","",IF(AND(AE60&lt;&gt;"",AE60&lt;=cfg_VAL_DATE),"✖ منتهي الخدمة",IF(H60&gt;cfg_VAL_DATE,"⏳ لم يباشر بعد","✔ على رأس العمل")))</f>
        <v/>
      </c>
      <c r="AH60" s="114" t="str">
        <f aca="false">IF(B60="","",IF(AG60&lt;&gt;"✔ على رأس العمل",AG60,IF(COUNTIFS('سجل الإجازات والحالات'!$B$6:$B$505,B60,'سجل الإجازات والحالات'!$E$6:$E$505,"&lt;="&amp;cfg_VAL_DATE,'سجل الإجازات والحالات'!$F$6:$F$505,"&gt;="&amp;cfg_VAL_DATE)&gt;0,"✈ "&amp;INDEX('سجل الإجازات والحالات'!$D$6:$D$505,MATCH(1,INDEX(('سجل الإجازات والحالات'!$B$6:$B$505=B60)*('سجل الإجازات والحالات'!$E$6:$E$505&lt;=cfg_VAL_DATE)*('سجل الإجازات والحالات'!$F$6:$F$505&gt;=cfg_VAL_DATE),0),0)),"✔ على رأس العمل")))</f>
        <v/>
      </c>
      <c r="AI60" s="118"/>
      <c r="AJ60" s="118"/>
      <c r="AK60" s="118"/>
    </row>
    <row r="61" customFormat="false" ht="15" hidden="false" customHeight="false" outlineLevel="0" collapsed="false">
      <c r="A61" s="115" t="str">
        <f aca="false">IF(B61="","",ROW()-5)</f>
        <v/>
      </c>
      <c r="B61" s="118"/>
      <c r="C61" s="118"/>
      <c r="D61" s="118"/>
      <c r="E61" s="118"/>
      <c r="F61" s="118"/>
      <c r="G61" s="118"/>
      <c r="H61" s="119"/>
      <c r="I61" s="120"/>
      <c r="J61" s="119"/>
      <c r="K61" s="119"/>
      <c r="L61" s="121"/>
      <c r="M61" s="121"/>
      <c r="N61" s="121"/>
      <c r="O61" s="121"/>
      <c r="P61" s="116" t="str">
        <f aca="false">IF(B61="","",SUM(L61:O61))</f>
        <v/>
      </c>
      <c r="Q61" s="116" t="str">
        <f aca="false">IF(B61="","",L61+IF(cfg_EOS_H="نعم",M61,0)+IF(cfg_EOS_T="نعم",N61,0)+IF(cfg_EOS_O="نعم",O61,0))</f>
        <v/>
      </c>
      <c r="R61" s="116" t="str">
        <f aca="false">IF(B61="","",L61+IF(cfg_LV_H="نعم",M61,0)+IF(cfg_LV_T="نعم",N61,0)+IF(cfg_LV_O="نعم",O61,0))</f>
        <v/>
      </c>
      <c r="S61" s="116" t="str">
        <f aca="false">IF(B61="","",MIN(cfg_G_CAP,L61+M61))</f>
        <v/>
      </c>
      <c r="T61" s="122"/>
      <c r="U61" s="118"/>
      <c r="V61" s="121"/>
      <c r="W61" s="122"/>
      <c r="X61" s="121"/>
      <c r="Y61" s="121"/>
      <c r="Z61" s="121"/>
      <c r="AA61" s="121"/>
      <c r="AB61" s="116" t="str">
        <f aca="false">IF(B61="","",IF(X61&lt;&gt;"",X61,IF(E61="غير سعودي",cfg_IQ,0))+IF(Y61&lt;&gt;"",Y61,IF(E61="غير سعودي",cfg_WP,0))+IF(Z61&lt;&gt;"",Z61,cfg_MED)+N(AA61))</f>
        <v/>
      </c>
      <c r="AC61" s="123"/>
      <c r="AD61" s="121"/>
      <c r="AE61" s="119"/>
      <c r="AF61" s="118"/>
      <c r="AG61" s="117" t="str">
        <f aca="false">IF(B61="","",IF(AND(AE61&lt;&gt;"",AE61&lt;=cfg_VAL_DATE),"✖ منتهي الخدمة",IF(H61&gt;cfg_VAL_DATE,"⏳ لم يباشر بعد","✔ على رأس العمل")))</f>
        <v/>
      </c>
      <c r="AH61" s="117" t="str">
        <f aca="false">IF(B61="","",IF(AG61&lt;&gt;"✔ على رأس العمل",AG61,IF(COUNTIFS('سجل الإجازات والحالات'!$B$6:$B$505,B61,'سجل الإجازات والحالات'!$E$6:$E$505,"&lt;="&amp;cfg_VAL_DATE,'سجل الإجازات والحالات'!$F$6:$F$505,"&gt;="&amp;cfg_VAL_DATE)&gt;0,"✈ "&amp;INDEX('سجل الإجازات والحالات'!$D$6:$D$505,MATCH(1,INDEX(('سجل الإجازات والحالات'!$B$6:$B$505=B61)*('سجل الإجازات والحالات'!$E$6:$E$505&lt;=cfg_VAL_DATE)*('سجل الإجازات والحالات'!$F$6:$F$505&gt;=cfg_VAL_DATE),0),0)),"✔ على رأس العمل")))</f>
        <v/>
      </c>
      <c r="AI61" s="118"/>
      <c r="AJ61" s="118"/>
      <c r="AK61" s="118"/>
    </row>
    <row r="62" customFormat="false" ht="15" hidden="false" customHeight="false" outlineLevel="0" collapsed="false">
      <c r="A62" s="106" t="str">
        <f aca="false">IF(B62="","",ROW()-5)</f>
        <v/>
      </c>
      <c r="B62" s="118"/>
      <c r="C62" s="118"/>
      <c r="D62" s="118"/>
      <c r="E62" s="118"/>
      <c r="F62" s="118"/>
      <c r="G62" s="118"/>
      <c r="H62" s="119"/>
      <c r="I62" s="120"/>
      <c r="J62" s="119"/>
      <c r="K62" s="119"/>
      <c r="L62" s="121"/>
      <c r="M62" s="121"/>
      <c r="N62" s="121"/>
      <c r="O62" s="121"/>
      <c r="P62" s="111" t="str">
        <f aca="false">IF(B62="","",SUM(L62:O62))</f>
        <v/>
      </c>
      <c r="Q62" s="111" t="str">
        <f aca="false">IF(B62="","",L62+IF(cfg_EOS_H="نعم",M62,0)+IF(cfg_EOS_T="نعم",N62,0)+IF(cfg_EOS_O="نعم",O62,0))</f>
        <v/>
      </c>
      <c r="R62" s="111" t="str">
        <f aca="false">IF(B62="","",L62+IF(cfg_LV_H="نعم",M62,0)+IF(cfg_LV_T="نعم",N62,0)+IF(cfg_LV_O="نعم",O62,0))</f>
        <v/>
      </c>
      <c r="S62" s="111" t="str">
        <f aca="false">IF(B62="","",MIN(cfg_G_CAP,L62+M62))</f>
        <v/>
      </c>
      <c r="T62" s="122"/>
      <c r="U62" s="118"/>
      <c r="V62" s="121"/>
      <c r="W62" s="122"/>
      <c r="X62" s="121"/>
      <c r="Y62" s="121"/>
      <c r="Z62" s="121"/>
      <c r="AA62" s="121"/>
      <c r="AB62" s="111" t="str">
        <f aca="false">IF(B62="","",IF(X62&lt;&gt;"",X62,IF(E62="غير سعودي",cfg_IQ,0))+IF(Y62&lt;&gt;"",Y62,IF(E62="غير سعودي",cfg_WP,0))+IF(Z62&lt;&gt;"",Z62,cfg_MED)+N(AA62))</f>
        <v/>
      </c>
      <c r="AC62" s="123"/>
      <c r="AD62" s="121"/>
      <c r="AE62" s="119"/>
      <c r="AF62" s="118"/>
      <c r="AG62" s="114" t="str">
        <f aca="false">IF(B62="","",IF(AND(AE62&lt;&gt;"",AE62&lt;=cfg_VAL_DATE),"✖ منتهي الخدمة",IF(H62&gt;cfg_VAL_DATE,"⏳ لم يباشر بعد","✔ على رأس العمل")))</f>
        <v/>
      </c>
      <c r="AH62" s="114" t="str">
        <f aca="false">IF(B62="","",IF(AG62&lt;&gt;"✔ على رأس العمل",AG62,IF(COUNTIFS('سجل الإجازات والحالات'!$B$6:$B$505,B62,'سجل الإجازات والحالات'!$E$6:$E$505,"&lt;="&amp;cfg_VAL_DATE,'سجل الإجازات والحالات'!$F$6:$F$505,"&gt;="&amp;cfg_VAL_DATE)&gt;0,"✈ "&amp;INDEX('سجل الإجازات والحالات'!$D$6:$D$505,MATCH(1,INDEX(('سجل الإجازات والحالات'!$B$6:$B$505=B62)*('سجل الإجازات والحالات'!$E$6:$E$505&lt;=cfg_VAL_DATE)*('سجل الإجازات والحالات'!$F$6:$F$505&gt;=cfg_VAL_DATE),0),0)),"✔ على رأس العمل")))</f>
        <v/>
      </c>
      <c r="AI62" s="118"/>
      <c r="AJ62" s="118"/>
      <c r="AK62" s="118"/>
    </row>
    <row r="63" customFormat="false" ht="15" hidden="false" customHeight="false" outlineLevel="0" collapsed="false">
      <c r="A63" s="115" t="str">
        <f aca="false">IF(B63="","",ROW()-5)</f>
        <v/>
      </c>
      <c r="B63" s="118"/>
      <c r="C63" s="118"/>
      <c r="D63" s="118"/>
      <c r="E63" s="118"/>
      <c r="F63" s="118"/>
      <c r="G63" s="118"/>
      <c r="H63" s="119"/>
      <c r="I63" s="120"/>
      <c r="J63" s="119"/>
      <c r="K63" s="119"/>
      <c r="L63" s="121"/>
      <c r="M63" s="121"/>
      <c r="N63" s="121"/>
      <c r="O63" s="121"/>
      <c r="P63" s="116" t="str">
        <f aca="false">IF(B63="","",SUM(L63:O63))</f>
        <v/>
      </c>
      <c r="Q63" s="116" t="str">
        <f aca="false">IF(B63="","",L63+IF(cfg_EOS_H="نعم",M63,0)+IF(cfg_EOS_T="نعم",N63,0)+IF(cfg_EOS_O="نعم",O63,0))</f>
        <v/>
      </c>
      <c r="R63" s="116" t="str">
        <f aca="false">IF(B63="","",L63+IF(cfg_LV_H="نعم",M63,0)+IF(cfg_LV_T="نعم",N63,0)+IF(cfg_LV_O="نعم",O63,0))</f>
        <v/>
      </c>
      <c r="S63" s="116" t="str">
        <f aca="false">IF(B63="","",MIN(cfg_G_CAP,L63+M63))</f>
        <v/>
      </c>
      <c r="T63" s="122"/>
      <c r="U63" s="118"/>
      <c r="V63" s="121"/>
      <c r="W63" s="122"/>
      <c r="X63" s="121"/>
      <c r="Y63" s="121"/>
      <c r="Z63" s="121"/>
      <c r="AA63" s="121"/>
      <c r="AB63" s="116" t="str">
        <f aca="false">IF(B63="","",IF(X63&lt;&gt;"",X63,IF(E63="غير سعودي",cfg_IQ,0))+IF(Y63&lt;&gt;"",Y63,IF(E63="غير سعودي",cfg_WP,0))+IF(Z63&lt;&gt;"",Z63,cfg_MED)+N(AA63))</f>
        <v/>
      </c>
      <c r="AC63" s="123"/>
      <c r="AD63" s="121"/>
      <c r="AE63" s="119"/>
      <c r="AF63" s="118"/>
      <c r="AG63" s="117" t="str">
        <f aca="false">IF(B63="","",IF(AND(AE63&lt;&gt;"",AE63&lt;=cfg_VAL_DATE),"✖ منتهي الخدمة",IF(H63&gt;cfg_VAL_DATE,"⏳ لم يباشر بعد","✔ على رأس العمل")))</f>
        <v/>
      </c>
      <c r="AH63" s="117" t="str">
        <f aca="false">IF(B63="","",IF(AG63&lt;&gt;"✔ على رأس العمل",AG63,IF(COUNTIFS('سجل الإجازات والحالات'!$B$6:$B$505,B63,'سجل الإجازات والحالات'!$E$6:$E$505,"&lt;="&amp;cfg_VAL_DATE,'سجل الإجازات والحالات'!$F$6:$F$505,"&gt;="&amp;cfg_VAL_DATE)&gt;0,"✈ "&amp;INDEX('سجل الإجازات والحالات'!$D$6:$D$505,MATCH(1,INDEX(('سجل الإجازات والحالات'!$B$6:$B$505=B63)*('سجل الإجازات والحالات'!$E$6:$E$505&lt;=cfg_VAL_DATE)*('سجل الإجازات والحالات'!$F$6:$F$505&gt;=cfg_VAL_DATE),0),0)),"✔ على رأس العمل")))</f>
        <v/>
      </c>
      <c r="AI63" s="118"/>
      <c r="AJ63" s="118"/>
      <c r="AK63" s="118"/>
    </row>
    <row r="64" customFormat="false" ht="15" hidden="false" customHeight="false" outlineLevel="0" collapsed="false">
      <c r="A64" s="106" t="str">
        <f aca="false">IF(B64="","",ROW()-5)</f>
        <v/>
      </c>
      <c r="B64" s="118"/>
      <c r="C64" s="118"/>
      <c r="D64" s="118"/>
      <c r="E64" s="118"/>
      <c r="F64" s="118"/>
      <c r="G64" s="118"/>
      <c r="H64" s="119"/>
      <c r="I64" s="120"/>
      <c r="J64" s="119"/>
      <c r="K64" s="119"/>
      <c r="L64" s="121"/>
      <c r="M64" s="121"/>
      <c r="N64" s="121"/>
      <c r="O64" s="121"/>
      <c r="P64" s="111" t="str">
        <f aca="false">IF(B64="","",SUM(L64:O64))</f>
        <v/>
      </c>
      <c r="Q64" s="111" t="str">
        <f aca="false">IF(B64="","",L64+IF(cfg_EOS_H="نعم",M64,0)+IF(cfg_EOS_T="نعم",N64,0)+IF(cfg_EOS_O="نعم",O64,0))</f>
        <v/>
      </c>
      <c r="R64" s="111" t="str">
        <f aca="false">IF(B64="","",L64+IF(cfg_LV_H="نعم",M64,0)+IF(cfg_LV_T="نعم",N64,0)+IF(cfg_LV_O="نعم",O64,0))</f>
        <v/>
      </c>
      <c r="S64" s="111" t="str">
        <f aca="false">IF(B64="","",MIN(cfg_G_CAP,L64+M64))</f>
        <v/>
      </c>
      <c r="T64" s="122"/>
      <c r="U64" s="118"/>
      <c r="V64" s="121"/>
      <c r="W64" s="122"/>
      <c r="X64" s="121"/>
      <c r="Y64" s="121"/>
      <c r="Z64" s="121"/>
      <c r="AA64" s="121"/>
      <c r="AB64" s="111" t="str">
        <f aca="false">IF(B64="","",IF(X64&lt;&gt;"",X64,IF(E64="غير سعودي",cfg_IQ,0))+IF(Y64&lt;&gt;"",Y64,IF(E64="غير سعودي",cfg_WP,0))+IF(Z64&lt;&gt;"",Z64,cfg_MED)+N(AA64))</f>
        <v/>
      </c>
      <c r="AC64" s="123"/>
      <c r="AD64" s="121"/>
      <c r="AE64" s="119"/>
      <c r="AF64" s="118"/>
      <c r="AG64" s="114" t="str">
        <f aca="false">IF(B64="","",IF(AND(AE64&lt;&gt;"",AE64&lt;=cfg_VAL_DATE),"✖ منتهي الخدمة",IF(H64&gt;cfg_VAL_DATE,"⏳ لم يباشر بعد","✔ على رأس العمل")))</f>
        <v/>
      </c>
      <c r="AH64" s="114" t="str">
        <f aca="false">IF(B64="","",IF(AG64&lt;&gt;"✔ على رأس العمل",AG64,IF(COUNTIFS('سجل الإجازات والحالات'!$B$6:$B$505,B64,'سجل الإجازات والحالات'!$E$6:$E$505,"&lt;="&amp;cfg_VAL_DATE,'سجل الإجازات والحالات'!$F$6:$F$505,"&gt;="&amp;cfg_VAL_DATE)&gt;0,"✈ "&amp;INDEX('سجل الإجازات والحالات'!$D$6:$D$505,MATCH(1,INDEX(('سجل الإجازات والحالات'!$B$6:$B$505=B64)*('سجل الإجازات والحالات'!$E$6:$E$505&lt;=cfg_VAL_DATE)*('سجل الإجازات والحالات'!$F$6:$F$505&gt;=cfg_VAL_DATE),0),0)),"✔ على رأس العمل")))</f>
        <v/>
      </c>
      <c r="AI64" s="118"/>
      <c r="AJ64" s="118"/>
      <c r="AK64" s="118"/>
    </row>
    <row r="65" customFormat="false" ht="15" hidden="false" customHeight="false" outlineLevel="0" collapsed="false">
      <c r="A65" s="115" t="str">
        <f aca="false">IF(B65="","",ROW()-5)</f>
        <v/>
      </c>
      <c r="B65" s="118"/>
      <c r="C65" s="118"/>
      <c r="D65" s="118"/>
      <c r="E65" s="118"/>
      <c r="F65" s="118"/>
      <c r="G65" s="118"/>
      <c r="H65" s="119"/>
      <c r="I65" s="120"/>
      <c r="J65" s="119"/>
      <c r="K65" s="119"/>
      <c r="L65" s="121"/>
      <c r="M65" s="121"/>
      <c r="N65" s="121"/>
      <c r="O65" s="121"/>
      <c r="P65" s="116" t="str">
        <f aca="false">IF(B65="","",SUM(L65:O65))</f>
        <v/>
      </c>
      <c r="Q65" s="116" t="str">
        <f aca="false">IF(B65="","",L65+IF(cfg_EOS_H="نعم",M65,0)+IF(cfg_EOS_T="نعم",N65,0)+IF(cfg_EOS_O="نعم",O65,0))</f>
        <v/>
      </c>
      <c r="R65" s="116" t="str">
        <f aca="false">IF(B65="","",L65+IF(cfg_LV_H="نعم",M65,0)+IF(cfg_LV_T="نعم",N65,0)+IF(cfg_LV_O="نعم",O65,0))</f>
        <v/>
      </c>
      <c r="S65" s="116" t="str">
        <f aca="false">IF(B65="","",MIN(cfg_G_CAP,L65+M65))</f>
        <v/>
      </c>
      <c r="T65" s="122"/>
      <c r="U65" s="118"/>
      <c r="V65" s="121"/>
      <c r="W65" s="122"/>
      <c r="X65" s="121"/>
      <c r="Y65" s="121"/>
      <c r="Z65" s="121"/>
      <c r="AA65" s="121"/>
      <c r="AB65" s="116" t="str">
        <f aca="false">IF(B65="","",IF(X65&lt;&gt;"",X65,IF(E65="غير سعودي",cfg_IQ,0))+IF(Y65&lt;&gt;"",Y65,IF(E65="غير سعودي",cfg_WP,0))+IF(Z65&lt;&gt;"",Z65,cfg_MED)+N(AA65))</f>
        <v/>
      </c>
      <c r="AC65" s="123"/>
      <c r="AD65" s="121"/>
      <c r="AE65" s="119"/>
      <c r="AF65" s="118"/>
      <c r="AG65" s="117" t="str">
        <f aca="false">IF(B65="","",IF(AND(AE65&lt;&gt;"",AE65&lt;=cfg_VAL_DATE),"✖ منتهي الخدمة",IF(H65&gt;cfg_VAL_DATE,"⏳ لم يباشر بعد","✔ على رأس العمل")))</f>
        <v/>
      </c>
      <c r="AH65" s="117" t="str">
        <f aca="false">IF(B65="","",IF(AG65&lt;&gt;"✔ على رأس العمل",AG65,IF(COUNTIFS('سجل الإجازات والحالات'!$B$6:$B$505,B65,'سجل الإجازات والحالات'!$E$6:$E$505,"&lt;="&amp;cfg_VAL_DATE,'سجل الإجازات والحالات'!$F$6:$F$505,"&gt;="&amp;cfg_VAL_DATE)&gt;0,"✈ "&amp;INDEX('سجل الإجازات والحالات'!$D$6:$D$505,MATCH(1,INDEX(('سجل الإجازات والحالات'!$B$6:$B$505=B65)*('سجل الإجازات والحالات'!$E$6:$E$505&lt;=cfg_VAL_DATE)*('سجل الإجازات والحالات'!$F$6:$F$505&gt;=cfg_VAL_DATE),0),0)),"✔ على رأس العمل")))</f>
        <v/>
      </c>
      <c r="AI65" s="118"/>
      <c r="AJ65" s="118"/>
      <c r="AK65" s="118"/>
    </row>
    <row r="66" customFormat="false" ht="15" hidden="false" customHeight="false" outlineLevel="0" collapsed="false">
      <c r="A66" s="106" t="str">
        <f aca="false">IF(B66="","",ROW()-5)</f>
        <v/>
      </c>
      <c r="B66" s="118"/>
      <c r="C66" s="118"/>
      <c r="D66" s="118"/>
      <c r="E66" s="118"/>
      <c r="F66" s="118"/>
      <c r="G66" s="118"/>
      <c r="H66" s="119"/>
      <c r="I66" s="120"/>
      <c r="J66" s="119"/>
      <c r="K66" s="119"/>
      <c r="L66" s="121"/>
      <c r="M66" s="121"/>
      <c r="N66" s="121"/>
      <c r="O66" s="121"/>
      <c r="P66" s="111" t="str">
        <f aca="false">IF(B66="","",SUM(L66:O66))</f>
        <v/>
      </c>
      <c r="Q66" s="111" t="str">
        <f aca="false">IF(B66="","",L66+IF(cfg_EOS_H="نعم",M66,0)+IF(cfg_EOS_T="نعم",N66,0)+IF(cfg_EOS_O="نعم",O66,0))</f>
        <v/>
      </c>
      <c r="R66" s="111" t="str">
        <f aca="false">IF(B66="","",L66+IF(cfg_LV_H="نعم",M66,0)+IF(cfg_LV_T="نعم",N66,0)+IF(cfg_LV_O="نعم",O66,0))</f>
        <v/>
      </c>
      <c r="S66" s="111" t="str">
        <f aca="false">IF(B66="","",MIN(cfg_G_CAP,L66+M66))</f>
        <v/>
      </c>
      <c r="T66" s="122"/>
      <c r="U66" s="118"/>
      <c r="V66" s="121"/>
      <c r="W66" s="122"/>
      <c r="X66" s="121"/>
      <c r="Y66" s="121"/>
      <c r="Z66" s="121"/>
      <c r="AA66" s="121"/>
      <c r="AB66" s="111" t="str">
        <f aca="false">IF(B66="","",IF(X66&lt;&gt;"",X66,IF(E66="غير سعودي",cfg_IQ,0))+IF(Y66&lt;&gt;"",Y66,IF(E66="غير سعودي",cfg_WP,0))+IF(Z66&lt;&gt;"",Z66,cfg_MED)+N(AA66))</f>
        <v/>
      </c>
      <c r="AC66" s="123"/>
      <c r="AD66" s="121"/>
      <c r="AE66" s="119"/>
      <c r="AF66" s="118"/>
      <c r="AG66" s="114" t="str">
        <f aca="false">IF(B66="","",IF(AND(AE66&lt;&gt;"",AE66&lt;=cfg_VAL_DATE),"✖ منتهي الخدمة",IF(H66&gt;cfg_VAL_DATE,"⏳ لم يباشر بعد","✔ على رأس العمل")))</f>
        <v/>
      </c>
      <c r="AH66" s="114" t="str">
        <f aca="false">IF(B66="","",IF(AG66&lt;&gt;"✔ على رأس العمل",AG66,IF(COUNTIFS('سجل الإجازات والحالات'!$B$6:$B$505,B66,'سجل الإجازات والحالات'!$E$6:$E$505,"&lt;="&amp;cfg_VAL_DATE,'سجل الإجازات والحالات'!$F$6:$F$505,"&gt;="&amp;cfg_VAL_DATE)&gt;0,"✈ "&amp;INDEX('سجل الإجازات والحالات'!$D$6:$D$505,MATCH(1,INDEX(('سجل الإجازات والحالات'!$B$6:$B$505=B66)*('سجل الإجازات والحالات'!$E$6:$E$505&lt;=cfg_VAL_DATE)*('سجل الإجازات والحالات'!$F$6:$F$505&gt;=cfg_VAL_DATE),0),0)),"✔ على رأس العمل")))</f>
        <v/>
      </c>
      <c r="AI66" s="118"/>
      <c r="AJ66" s="118"/>
      <c r="AK66" s="118"/>
    </row>
    <row r="67" customFormat="false" ht="15" hidden="false" customHeight="false" outlineLevel="0" collapsed="false">
      <c r="A67" s="115" t="str">
        <f aca="false">IF(B67="","",ROW()-5)</f>
        <v/>
      </c>
      <c r="B67" s="118"/>
      <c r="C67" s="118"/>
      <c r="D67" s="118"/>
      <c r="E67" s="118"/>
      <c r="F67" s="118"/>
      <c r="G67" s="118"/>
      <c r="H67" s="119"/>
      <c r="I67" s="120"/>
      <c r="J67" s="119"/>
      <c r="K67" s="119"/>
      <c r="L67" s="121"/>
      <c r="M67" s="121"/>
      <c r="N67" s="121"/>
      <c r="O67" s="121"/>
      <c r="P67" s="116" t="str">
        <f aca="false">IF(B67="","",SUM(L67:O67))</f>
        <v/>
      </c>
      <c r="Q67" s="116" t="str">
        <f aca="false">IF(B67="","",L67+IF(cfg_EOS_H="نعم",M67,0)+IF(cfg_EOS_T="نعم",N67,0)+IF(cfg_EOS_O="نعم",O67,0))</f>
        <v/>
      </c>
      <c r="R67" s="116" t="str">
        <f aca="false">IF(B67="","",L67+IF(cfg_LV_H="نعم",M67,0)+IF(cfg_LV_T="نعم",N67,0)+IF(cfg_LV_O="نعم",O67,0))</f>
        <v/>
      </c>
      <c r="S67" s="116" t="str">
        <f aca="false">IF(B67="","",MIN(cfg_G_CAP,L67+M67))</f>
        <v/>
      </c>
      <c r="T67" s="122"/>
      <c r="U67" s="118"/>
      <c r="V67" s="121"/>
      <c r="W67" s="122"/>
      <c r="X67" s="121"/>
      <c r="Y67" s="121"/>
      <c r="Z67" s="121"/>
      <c r="AA67" s="121"/>
      <c r="AB67" s="116" t="str">
        <f aca="false">IF(B67="","",IF(X67&lt;&gt;"",X67,IF(E67="غير سعودي",cfg_IQ,0))+IF(Y67&lt;&gt;"",Y67,IF(E67="غير سعودي",cfg_WP,0))+IF(Z67&lt;&gt;"",Z67,cfg_MED)+N(AA67))</f>
        <v/>
      </c>
      <c r="AC67" s="123"/>
      <c r="AD67" s="121"/>
      <c r="AE67" s="119"/>
      <c r="AF67" s="118"/>
      <c r="AG67" s="117" t="str">
        <f aca="false">IF(B67="","",IF(AND(AE67&lt;&gt;"",AE67&lt;=cfg_VAL_DATE),"✖ منتهي الخدمة",IF(H67&gt;cfg_VAL_DATE,"⏳ لم يباشر بعد","✔ على رأس العمل")))</f>
        <v/>
      </c>
      <c r="AH67" s="117" t="str">
        <f aca="false">IF(B67="","",IF(AG67&lt;&gt;"✔ على رأس العمل",AG67,IF(COUNTIFS('سجل الإجازات والحالات'!$B$6:$B$505,B67,'سجل الإجازات والحالات'!$E$6:$E$505,"&lt;="&amp;cfg_VAL_DATE,'سجل الإجازات والحالات'!$F$6:$F$505,"&gt;="&amp;cfg_VAL_DATE)&gt;0,"✈ "&amp;INDEX('سجل الإجازات والحالات'!$D$6:$D$505,MATCH(1,INDEX(('سجل الإجازات والحالات'!$B$6:$B$505=B67)*('سجل الإجازات والحالات'!$E$6:$E$505&lt;=cfg_VAL_DATE)*('سجل الإجازات والحالات'!$F$6:$F$505&gt;=cfg_VAL_DATE),0),0)),"✔ على رأس العمل")))</f>
        <v/>
      </c>
      <c r="AI67" s="118"/>
      <c r="AJ67" s="118"/>
      <c r="AK67" s="118"/>
    </row>
    <row r="68" customFormat="false" ht="15" hidden="false" customHeight="false" outlineLevel="0" collapsed="false">
      <c r="A68" s="106" t="str">
        <f aca="false">IF(B68="","",ROW()-5)</f>
        <v/>
      </c>
      <c r="B68" s="118"/>
      <c r="C68" s="118"/>
      <c r="D68" s="118"/>
      <c r="E68" s="118"/>
      <c r="F68" s="118"/>
      <c r="G68" s="118"/>
      <c r="H68" s="119"/>
      <c r="I68" s="120"/>
      <c r="J68" s="119"/>
      <c r="K68" s="119"/>
      <c r="L68" s="121"/>
      <c r="M68" s="121"/>
      <c r="N68" s="121"/>
      <c r="O68" s="121"/>
      <c r="P68" s="111" t="str">
        <f aca="false">IF(B68="","",SUM(L68:O68))</f>
        <v/>
      </c>
      <c r="Q68" s="111" t="str">
        <f aca="false">IF(B68="","",L68+IF(cfg_EOS_H="نعم",M68,0)+IF(cfg_EOS_T="نعم",N68,0)+IF(cfg_EOS_O="نعم",O68,0))</f>
        <v/>
      </c>
      <c r="R68" s="111" t="str">
        <f aca="false">IF(B68="","",L68+IF(cfg_LV_H="نعم",M68,0)+IF(cfg_LV_T="نعم",N68,0)+IF(cfg_LV_O="نعم",O68,0))</f>
        <v/>
      </c>
      <c r="S68" s="111" t="str">
        <f aca="false">IF(B68="","",MIN(cfg_G_CAP,L68+M68))</f>
        <v/>
      </c>
      <c r="T68" s="122"/>
      <c r="U68" s="118"/>
      <c r="V68" s="121"/>
      <c r="W68" s="122"/>
      <c r="X68" s="121"/>
      <c r="Y68" s="121"/>
      <c r="Z68" s="121"/>
      <c r="AA68" s="121"/>
      <c r="AB68" s="111" t="str">
        <f aca="false">IF(B68="","",IF(X68&lt;&gt;"",X68,IF(E68="غير سعودي",cfg_IQ,0))+IF(Y68&lt;&gt;"",Y68,IF(E68="غير سعودي",cfg_WP,0))+IF(Z68&lt;&gt;"",Z68,cfg_MED)+N(AA68))</f>
        <v/>
      </c>
      <c r="AC68" s="123"/>
      <c r="AD68" s="121"/>
      <c r="AE68" s="119"/>
      <c r="AF68" s="118"/>
      <c r="AG68" s="114" t="str">
        <f aca="false">IF(B68="","",IF(AND(AE68&lt;&gt;"",AE68&lt;=cfg_VAL_DATE),"✖ منتهي الخدمة",IF(H68&gt;cfg_VAL_DATE,"⏳ لم يباشر بعد","✔ على رأس العمل")))</f>
        <v/>
      </c>
      <c r="AH68" s="114" t="str">
        <f aca="false">IF(B68="","",IF(AG68&lt;&gt;"✔ على رأس العمل",AG68,IF(COUNTIFS('سجل الإجازات والحالات'!$B$6:$B$505,B68,'سجل الإجازات والحالات'!$E$6:$E$505,"&lt;="&amp;cfg_VAL_DATE,'سجل الإجازات والحالات'!$F$6:$F$505,"&gt;="&amp;cfg_VAL_DATE)&gt;0,"✈ "&amp;INDEX('سجل الإجازات والحالات'!$D$6:$D$505,MATCH(1,INDEX(('سجل الإجازات والحالات'!$B$6:$B$505=B68)*('سجل الإجازات والحالات'!$E$6:$E$505&lt;=cfg_VAL_DATE)*('سجل الإجازات والحالات'!$F$6:$F$505&gt;=cfg_VAL_DATE),0),0)),"✔ على رأس العمل")))</f>
        <v/>
      </c>
      <c r="AI68" s="118"/>
      <c r="AJ68" s="118"/>
      <c r="AK68" s="118"/>
    </row>
    <row r="69" customFormat="false" ht="15" hidden="false" customHeight="false" outlineLevel="0" collapsed="false">
      <c r="A69" s="115" t="str">
        <f aca="false">IF(B69="","",ROW()-5)</f>
        <v/>
      </c>
      <c r="B69" s="118"/>
      <c r="C69" s="118"/>
      <c r="D69" s="118"/>
      <c r="E69" s="118"/>
      <c r="F69" s="118"/>
      <c r="G69" s="118"/>
      <c r="H69" s="119"/>
      <c r="I69" s="120"/>
      <c r="J69" s="119"/>
      <c r="K69" s="119"/>
      <c r="L69" s="121"/>
      <c r="M69" s="121"/>
      <c r="N69" s="121"/>
      <c r="O69" s="121"/>
      <c r="P69" s="116" t="str">
        <f aca="false">IF(B69="","",SUM(L69:O69))</f>
        <v/>
      </c>
      <c r="Q69" s="116" t="str">
        <f aca="false">IF(B69="","",L69+IF(cfg_EOS_H="نعم",M69,0)+IF(cfg_EOS_T="نعم",N69,0)+IF(cfg_EOS_O="نعم",O69,0))</f>
        <v/>
      </c>
      <c r="R69" s="116" t="str">
        <f aca="false">IF(B69="","",L69+IF(cfg_LV_H="نعم",M69,0)+IF(cfg_LV_T="نعم",N69,0)+IF(cfg_LV_O="نعم",O69,0))</f>
        <v/>
      </c>
      <c r="S69" s="116" t="str">
        <f aca="false">IF(B69="","",MIN(cfg_G_CAP,L69+M69))</f>
        <v/>
      </c>
      <c r="T69" s="122"/>
      <c r="U69" s="118"/>
      <c r="V69" s="121"/>
      <c r="W69" s="122"/>
      <c r="X69" s="121"/>
      <c r="Y69" s="121"/>
      <c r="Z69" s="121"/>
      <c r="AA69" s="121"/>
      <c r="AB69" s="116" t="str">
        <f aca="false">IF(B69="","",IF(X69&lt;&gt;"",X69,IF(E69="غير سعودي",cfg_IQ,0))+IF(Y69&lt;&gt;"",Y69,IF(E69="غير سعودي",cfg_WP,0))+IF(Z69&lt;&gt;"",Z69,cfg_MED)+N(AA69))</f>
        <v/>
      </c>
      <c r="AC69" s="123"/>
      <c r="AD69" s="121"/>
      <c r="AE69" s="119"/>
      <c r="AF69" s="118"/>
      <c r="AG69" s="117" t="str">
        <f aca="false">IF(B69="","",IF(AND(AE69&lt;&gt;"",AE69&lt;=cfg_VAL_DATE),"✖ منتهي الخدمة",IF(H69&gt;cfg_VAL_DATE,"⏳ لم يباشر بعد","✔ على رأس العمل")))</f>
        <v/>
      </c>
      <c r="AH69" s="117" t="str">
        <f aca="false">IF(B69="","",IF(AG69&lt;&gt;"✔ على رأس العمل",AG69,IF(COUNTIFS('سجل الإجازات والحالات'!$B$6:$B$505,B69,'سجل الإجازات والحالات'!$E$6:$E$505,"&lt;="&amp;cfg_VAL_DATE,'سجل الإجازات والحالات'!$F$6:$F$505,"&gt;="&amp;cfg_VAL_DATE)&gt;0,"✈ "&amp;INDEX('سجل الإجازات والحالات'!$D$6:$D$505,MATCH(1,INDEX(('سجل الإجازات والحالات'!$B$6:$B$505=B69)*('سجل الإجازات والحالات'!$E$6:$E$505&lt;=cfg_VAL_DATE)*('سجل الإجازات والحالات'!$F$6:$F$505&gt;=cfg_VAL_DATE),0),0)),"✔ على رأس العمل")))</f>
        <v/>
      </c>
      <c r="AI69" s="118"/>
      <c r="AJ69" s="118"/>
      <c r="AK69" s="118"/>
    </row>
    <row r="70" customFormat="false" ht="15" hidden="false" customHeight="false" outlineLevel="0" collapsed="false">
      <c r="A70" s="106" t="str">
        <f aca="false">IF(B70="","",ROW()-5)</f>
        <v/>
      </c>
      <c r="B70" s="118"/>
      <c r="C70" s="118"/>
      <c r="D70" s="118"/>
      <c r="E70" s="118"/>
      <c r="F70" s="118"/>
      <c r="G70" s="118"/>
      <c r="H70" s="119"/>
      <c r="I70" s="120"/>
      <c r="J70" s="119"/>
      <c r="K70" s="119"/>
      <c r="L70" s="121"/>
      <c r="M70" s="121"/>
      <c r="N70" s="121"/>
      <c r="O70" s="121"/>
      <c r="P70" s="111" t="str">
        <f aca="false">IF(B70="","",SUM(L70:O70))</f>
        <v/>
      </c>
      <c r="Q70" s="111" t="str">
        <f aca="false">IF(B70="","",L70+IF(cfg_EOS_H="نعم",M70,0)+IF(cfg_EOS_T="نعم",N70,0)+IF(cfg_EOS_O="نعم",O70,0))</f>
        <v/>
      </c>
      <c r="R70" s="111" t="str">
        <f aca="false">IF(B70="","",L70+IF(cfg_LV_H="نعم",M70,0)+IF(cfg_LV_T="نعم",N70,0)+IF(cfg_LV_O="نعم",O70,0))</f>
        <v/>
      </c>
      <c r="S70" s="111" t="str">
        <f aca="false">IF(B70="","",MIN(cfg_G_CAP,L70+M70))</f>
        <v/>
      </c>
      <c r="T70" s="122"/>
      <c r="U70" s="118"/>
      <c r="V70" s="121"/>
      <c r="W70" s="122"/>
      <c r="X70" s="121"/>
      <c r="Y70" s="121"/>
      <c r="Z70" s="121"/>
      <c r="AA70" s="121"/>
      <c r="AB70" s="111" t="str">
        <f aca="false">IF(B70="","",IF(X70&lt;&gt;"",X70,IF(E70="غير سعودي",cfg_IQ,0))+IF(Y70&lt;&gt;"",Y70,IF(E70="غير سعودي",cfg_WP,0))+IF(Z70&lt;&gt;"",Z70,cfg_MED)+N(AA70))</f>
        <v/>
      </c>
      <c r="AC70" s="123"/>
      <c r="AD70" s="121"/>
      <c r="AE70" s="119"/>
      <c r="AF70" s="118"/>
      <c r="AG70" s="114" t="str">
        <f aca="false">IF(B70="","",IF(AND(AE70&lt;&gt;"",AE70&lt;=cfg_VAL_DATE),"✖ منتهي الخدمة",IF(H70&gt;cfg_VAL_DATE,"⏳ لم يباشر بعد","✔ على رأس العمل")))</f>
        <v/>
      </c>
      <c r="AH70" s="114" t="str">
        <f aca="false">IF(B70="","",IF(AG70&lt;&gt;"✔ على رأس العمل",AG70,IF(COUNTIFS('سجل الإجازات والحالات'!$B$6:$B$505,B70,'سجل الإجازات والحالات'!$E$6:$E$505,"&lt;="&amp;cfg_VAL_DATE,'سجل الإجازات والحالات'!$F$6:$F$505,"&gt;="&amp;cfg_VAL_DATE)&gt;0,"✈ "&amp;INDEX('سجل الإجازات والحالات'!$D$6:$D$505,MATCH(1,INDEX(('سجل الإجازات والحالات'!$B$6:$B$505=B70)*('سجل الإجازات والحالات'!$E$6:$E$505&lt;=cfg_VAL_DATE)*('سجل الإجازات والحالات'!$F$6:$F$505&gt;=cfg_VAL_DATE),0),0)),"✔ على رأس العمل")))</f>
        <v/>
      </c>
      <c r="AI70" s="118"/>
      <c r="AJ70" s="118"/>
      <c r="AK70" s="118"/>
    </row>
    <row r="71" customFormat="false" ht="15" hidden="false" customHeight="false" outlineLevel="0" collapsed="false">
      <c r="A71" s="115" t="str">
        <f aca="false">IF(B71="","",ROW()-5)</f>
        <v/>
      </c>
      <c r="B71" s="118"/>
      <c r="C71" s="118"/>
      <c r="D71" s="118"/>
      <c r="E71" s="118"/>
      <c r="F71" s="118"/>
      <c r="G71" s="118"/>
      <c r="H71" s="119"/>
      <c r="I71" s="120"/>
      <c r="J71" s="119"/>
      <c r="K71" s="119"/>
      <c r="L71" s="121"/>
      <c r="M71" s="121"/>
      <c r="N71" s="121"/>
      <c r="O71" s="121"/>
      <c r="P71" s="116" t="str">
        <f aca="false">IF(B71="","",SUM(L71:O71))</f>
        <v/>
      </c>
      <c r="Q71" s="116" t="str">
        <f aca="false">IF(B71="","",L71+IF(cfg_EOS_H="نعم",M71,0)+IF(cfg_EOS_T="نعم",N71,0)+IF(cfg_EOS_O="نعم",O71,0))</f>
        <v/>
      </c>
      <c r="R71" s="116" t="str">
        <f aca="false">IF(B71="","",L71+IF(cfg_LV_H="نعم",M71,0)+IF(cfg_LV_T="نعم",N71,0)+IF(cfg_LV_O="نعم",O71,0))</f>
        <v/>
      </c>
      <c r="S71" s="116" t="str">
        <f aca="false">IF(B71="","",MIN(cfg_G_CAP,L71+M71))</f>
        <v/>
      </c>
      <c r="T71" s="122"/>
      <c r="U71" s="118"/>
      <c r="V71" s="121"/>
      <c r="W71" s="122"/>
      <c r="X71" s="121"/>
      <c r="Y71" s="121"/>
      <c r="Z71" s="121"/>
      <c r="AA71" s="121"/>
      <c r="AB71" s="116" t="str">
        <f aca="false">IF(B71="","",IF(X71&lt;&gt;"",X71,IF(E71="غير سعودي",cfg_IQ,0))+IF(Y71&lt;&gt;"",Y71,IF(E71="غير سعودي",cfg_WP,0))+IF(Z71&lt;&gt;"",Z71,cfg_MED)+N(AA71))</f>
        <v/>
      </c>
      <c r="AC71" s="123"/>
      <c r="AD71" s="121"/>
      <c r="AE71" s="119"/>
      <c r="AF71" s="118"/>
      <c r="AG71" s="117" t="str">
        <f aca="false">IF(B71="","",IF(AND(AE71&lt;&gt;"",AE71&lt;=cfg_VAL_DATE),"✖ منتهي الخدمة",IF(H71&gt;cfg_VAL_DATE,"⏳ لم يباشر بعد","✔ على رأس العمل")))</f>
        <v/>
      </c>
      <c r="AH71" s="117" t="str">
        <f aca="false">IF(B71="","",IF(AG71&lt;&gt;"✔ على رأس العمل",AG71,IF(COUNTIFS('سجل الإجازات والحالات'!$B$6:$B$505,B71,'سجل الإجازات والحالات'!$E$6:$E$505,"&lt;="&amp;cfg_VAL_DATE,'سجل الإجازات والحالات'!$F$6:$F$505,"&gt;="&amp;cfg_VAL_DATE)&gt;0,"✈ "&amp;INDEX('سجل الإجازات والحالات'!$D$6:$D$505,MATCH(1,INDEX(('سجل الإجازات والحالات'!$B$6:$B$505=B71)*('سجل الإجازات والحالات'!$E$6:$E$505&lt;=cfg_VAL_DATE)*('سجل الإجازات والحالات'!$F$6:$F$505&gt;=cfg_VAL_DATE),0),0)),"✔ على رأس العمل")))</f>
        <v/>
      </c>
      <c r="AI71" s="118"/>
      <c r="AJ71" s="118"/>
      <c r="AK71" s="118"/>
    </row>
    <row r="72" customFormat="false" ht="15" hidden="false" customHeight="false" outlineLevel="0" collapsed="false">
      <c r="A72" s="106" t="str">
        <f aca="false">IF(B72="","",ROW()-5)</f>
        <v/>
      </c>
      <c r="B72" s="118"/>
      <c r="C72" s="118"/>
      <c r="D72" s="118"/>
      <c r="E72" s="118"/>
      <c r="F72" s="118"/>
      <c r="G72" s="118"/>
      <c r="H72" s="119"/>
      <c r="I72" s="120"/>
      <c r="J72" s="119"/>
      <c r="K72" s="119"/>
      <c r="L72" s="121"/>
      <c r="M72" s="121"/>
      <c r="N72" s="121"/>
      <c r="O72" s="121"/>
      <c r="P72" s="111" t="str">
        <f aca="false">IF(B72="","",SUM(L72:O72))</f>
        <v/>
      </c>
      <c r="Q72" s="111" t="str">
        <f aca="false">IF(B72="","",L72+IF(cfg_EOS_H="نعم",M72,0)+IF(cfg_EOS_T="نعم",N72,0)+IF(cfg_EOS_O="نعم",O72,0))</f>
        <v/>
      </c>
      <c r="R72" s="111" t="str">
        <f aca="false">IF(B72="","",L72+IF(cfg_LV_H="نعم",M72,0)+IF(cfg_LV_T="نعم",N72,0)+IF(cfg_LV_O="نعم",O72,0))</f>
        <v/>
      </c>
      <c r="S72" s="111" t="str">
        <f aca="false">IF(B72="","",MIN(cfg_G_CAP,L72+M72))</f>
        <v/>
      </c>
      <c r="T72" s="122"/>
      <c r="U72" s="118"/>
      <c r="V72" s="121"/>
      <c r="W72" s="122"/>
      <c r="X72" s="121"/>
      <c r="Y72" s="121"/>
      <c r="Z72" s="121"/>
      <c r="AA72" s="121"/>
      <c r="AB72" s="111" t="str">
        <f aca="false">IF(B72="","",IF(X72&lt;&gt;"",X72,IF(E72="غير سعودي",cfg_IQ,0))+IF(Y72&lt;&gt;"",Y72,IF(E72="غير سعودي",cfg_WP,0))+IF(Z72&lt;&gt;"",Z72,cfg_MED)+N(AA72))</f>
        <v/>
      </c>
      <c r="AC72" s="123"/>
      <c r="AD72" s="121"/>
      <c r="AE72" s="119"/>
      <c r="AF72" s="118"/>
      <c r="AG72" s="114" t="str">
        <f aca="false">IF(B72="","",IF(AND(AE72&lt;&gt;"",AE72&lt;=cfg_VAL_DATE),"✖ منتهي الخدمة",IF(H72&gt;cfg_VAL_DATE,"⏳ لم يباشر بعد","✔ على رأس العمل")))</f>
        <v/>
      </c>
      <c r="AH72" s="114" t="str">
        <f aca="false">IF(B72="","",IF(AG72&lt;&gt;"✔ على رأس العمل",AG72,IF(COUNTIFS('سجل الإجازات والحالات'!$B$6:$B$505,B72,'سجل الإجازات والحالات'!$E$6:$E$505,"&lt;="&amp;cfg_VAL_DATE,'سجل الإجازات والحالات'!$F$6:$F$505,"&gt;="&amp;cfg_VAL_DATE)&gt;0,"✈ "&amp;INDEX('سجل الإجازات والحالات'!$D$6:$D$505,MATCH(1,INDEX(('سجل الإجازات والحالات'!$B$6:$B$505=B72)*('سجل الإجازات والحالات'!$E$6:$E$505&lt;=cfg_VAL_DATE)*('سجل الإجازات والحالات'!$F$6:$F$505&gt;=cfg_VAL_DATE),0),0)),"✔ على رأس العمل")))</f>
        <v/>
      </c>
      <c r="AI72" s="118"/>
      <c r="AJ72" s="118"/>
      <c r="AK72" s="118"/>
    </row>
    <row r="73" customFormat="false" ht="15" hidden="false" customHeight="false" outlineLevel="0" collapsed="false">
      <c r="A73" s="115" t="str">
        <f aca="false">IF(B73="","",ROW()-5)</f>
        <v/>
      </c>
      <c r="B73" s="118"/>
      <c r="C73" s="118"/>
      <c r="D73" s="118"/>
      <c r="E73" s="118"/>
      <c r="F73" s="118"/>
      <c r="G73" s="118"/>
      <c r="H73" s="119"/>
      <c r="I73" s="120"/>
      <c r="J73" s="119"/>
      <c r="K73" s="119"/>
      <c r="L73" s="121"/>
      <c r="M73" s="121"/>
      <c r="N73" s="121"/>
      <c r="O73" s="121"/>
      <c r="P73" s="116" t="str">
        <f aca="false">IF(B73="","",SUM(L73:O73))</f>
        <v/>
      </c>
      <c r="Q73" s="116" t="str">
        <f aca="false">IF(B73="","",L73+IF(cfg_EOS_H="نعم",M73,0)+IF(cfg_EOS_T="نعم",N73,0)+IF(cfg_EOS_O="نعم",O73,0))</f>
        <v/>
      </c>
      <c r="R73" s="116" t="str">
        <f aca="false">IF(B73="","",L73+IF(cfg_LV_H="نعم",M73,0)+IF(cfg_LV_T="نعم",N73,0)+IF(cfg_LV_O="نعم",O73,0))</f>
        <v/>
      </c>
      <c r="S73" s="116" t="str">
        <f aca="false">IF(B73="","",MIN(cfg_G_CAP,L73+M73))</f>
        <v/>
      </c>
      <c r="T73" s="122"/>
      <c r="U73" s="118"/>
      <c r="V73" s="121"/>
      <c r="W73" s="122"/>
      <c r="X73" s="121"/>
      <c r="Y73" s="121"/>
      <c r="Z73" s="121"/>
      <c r="AA73" s="121"/>
      <c r="AB73" s="116" t="str">
        <f aca="false">IF(B73="","",IF(X73&lt;&gt;"",X73,IF(E73="غير سعودي",cfg_IQ,0))+IF(Y73&lt;&gt;"",Y73,IF(E73="غير سعودي",cfg_WP,0))+IF(Z73&lt;&gt;"",Z73,cfg_MED)+N(AA73))</f>
        <v/>
      </c>
      <c r="AC73" s="123"/>
      <c r="AD73" s="121"/>
      <c r="AE73" s="119"/>
      <c r="AF73" s="118"/>
      <c r="AG73" s="117" t="str">
        <f aca="false">IF(B73="","",IF(AND(AE73&lt;&gt;"",AE73&lt;=cfg_VAL_DATE),"✖ منتهي الخدمة",IF(H73&gt;cfg_VAL_DATE,"⏳ لم يباشر بعد","✔ على رأس العمل")))</f>
        <v/>
      </c>
      <c r="AH73" s="117" t="str">
        <f aca="false">IF(B73="","",IF(AG73&lt;&gt;"✔ على رأس العمل",AG73,IF(COUNTIFS('سجل الإجازات والحالات'!$B$6:$B$505,B73,'سجل الإجازات والحالات'!$E$6:$E$505,"&lt;="&amp;cfg_VAL_DATE,'سجل الإجازات والحالات'!$F$6:$F$505,"&gt;="&amp;cfg_VAL_DATE)&gt;0,"✈ "&amp;INDEX('سجل الإجازات والحالات'!$D$6:$D$505,MATCH(1,INDEX(('سجل الإجازات والحالات'!$B$6:$B$505=B73)*('سجل الإجازات والحالات'!$E$6:$E$505&lt;=cfg_VAL_DATE)*('سجل الإجازات والحالات'!$F$6:$F$505&gt;=cfg_VAL_DATE),0),0)),"✔ على رأس العمل")))</f>
        <v/>
      </c>
      <c r="AI73" s="118"/>
      <c r="AJ73" s="118"/>
      <c r="AK73" s="118"/>
    </row>
    <row r="74" customFormat="false" ht="15" hidden="false" customHeight="false" outlineLevel="0" collapsed="false">
      <c r="A74" s="106" t="str">
        <f aca="false">IF(B74="","",ROW()-5)</f>
        <v/>
      </c>
      <c r="B74" s="118"/>
      <c r="C74" s="118"/>
      <c r="D74" s="118"/>
      <c r="E74" s="118"/>
      <c r="F74" s="118"/>
      <c r="G74" s="118"/>
      <c r="H74" s="119"/>
      <c r="I74" s="120"/>
      <c r="J74" s="119"/>
      <c r="K74" s="119"/>
      <c r="L74" s="121"/>
      <c r="M74" s="121"/>
      <c r="N74" s="121"/>
      <c r="O74" s="121"/>
      <c r="P74" s="111" t="str">
        <f aca="false">IF(B74="","",SUM(L74:O74))</f>
        <v/>
      </c>
      <c r="Q74" s="111" t="str">
        <f aca="false">IF(B74="","",L74+IF(cfg_EOS_H="نعم",M74,0)+IF(cfg_EOS_T="نعم",N74,0)+IF(cfg_EOS_O="نعم",O74,0))</f>
        <v/>
      </c>
      <c r="R74" s="111" t="str">
        <f aca="false">IF(B74="","",L74+IF(cfg_LV_H="نعم",M74,0)+IF(cfg_LV_T="نعم",N74,0)+IF(cfg_LV_O="نعم",O74,0))</f>
        <v/>
      </c>
      <c r="S74" s="111" t="str">
        <f aca="false">IF(B74="","",MIN(cfg_G_CAP,L74+M74))</f>
        <v/>
      </c>
      <c r="T74" s="122"/>
      <c r="U74" s="118"/>
      <c r="V74" s="121"/>
      <c r="W74" s="122"/>
      <c r="X74" s="121"/>
      <c r="Y74" s="121"/>
      <c r="Z74" s="121"/>
      <c r="AA74" s="121"/>
      <c r="AB74" s="111" t="str">
        <f aca="false">IF(B74="","",IF(X74&lt;&gt;"",X74,IF(E74="غير سعودي",cfg_IQ,0))+IF(Y74&lt;&gt;"",Y74,IF(E74="غير سعودي",cfg_WP,0))+IF(Z74&lt;&gt;"",Z74,cfg_MED)+N(AA74))</f>
        <v/>
      </c>
      <c r="AC74" s="123"/>
      <c r="AD74" s="121"/>
      <c r="AE74" s="119"/>
      <c r="AF74" s="118"/>
      <c r="AG74" s="114" t="str">
        <f aca="false">IF(B74="","",IF(AND(AE74&lt;&gt;"",AE74&lt;=cfg_VAL_DATE),"✖ منتهي الخدمة",IF(H74&gt;cfg_VAL_DATE,"⏳ لم يباشر بعد","✔ على رأس العمل")))</f>
        <v/>
      </c>
      <c r="AH74" s="114" t="str">
        <f aca="false">IF(B74="","",IF(AG74&lt;&gt;"✔ على رأس العمل",AG74,IF(COUNTIFS('سجل الإجازات والحالات'!$B$6:$B$505,B74,'سجل الإجازات والحالات'!$E$6:$E$505,"&lt;="&amp;cfg_VAL_DATE,'سجل الإجازات والحالات'!$F$6:$F$505,"&gt;="&amp;cfg_VAL_DATE)&gt;0,"✈ "&amp;INDEX('سجل الإجازات والحالات'!$D$6:$D$505,MATCH(1,INDEX(('سجل الإجازات والحالات'!$B$6:$B$505=B74)*('سجل الإجازات والحالات'!$E$6:$E$505&lt;=cfg_VAL_DATE)*('سجل الإجازات والحالات'!$F$6:$F$505&gt;=cfg_VAL_DATE),0),0)),"✔ على رأس العمل")))</f>
        <v/>
      </c>
      <c r="AI74" s="118"/>
      <c r="AJ74" s="118"/>
      <c r="AK74" s="118"/>
    </row>
    <row r="75" customFormat="false" ht="15" hidden="false" customHeight="false" outlineLevel="0" collapsed="false">
      <c r="A75" s="115" t="str">
        <f aca="false">IF(B75="","",ROW()-5)</f>
        <v/>
      </c>
      <c r="B75" s="118"/>
      <c r="C75" s="118"/>
      <c r="D75" s="118"/>
      <c r="E75" s="118"/>
      <c r="F75" s="118"/>
      <c r="G75" s="118"/>
      <c r="H75" s="119"/>
      <c r="I75" s="120"/>
      <c r="J75" s="119"/>
      <c r="K75" s="119"/>
      <c r="L75" s="121"/>
      <c r="M75" s="121"/>
      <c r="N75" s="121"/>
      <c r="O75" s="121"/>
      <c r="P75" s="116" t="str">
        <f aca="false">IF(B75="","",SUM(L75:O75))</f>
        <v/>
      </c>
      <c r="Q75" s="116" t="str">
        <f aca="false">IF(B75="","",L75+IF(cfg_EOS_H="نعم",M75,0)+IF(cfg_EOS_T="نعم",N75,0)+IF(cfg_EOS_O="نعم",O75,0))</f>
        <v/>
      </c>
      <c r="R75" s="116" t="str">
        <f aca="false">IF(B75="","",L75+IF(cfg_LV_H="نعم",M75,0)+IF(cfg_LV_T="نعم",N75,0)+IF(cfg_LV_O="نعم",O75,0))</f>
        <v/>
      </c>
      <c r="S75" s="116" t="str">
        <f aca="false">IF(B75="","",MIN(cfg_G_CAP,L75+M75))</f>
        <v/>
      </c>
      <c r="T75" s="122"/>
      <c r="U75" s="118"/>
      <c r="V75" s="121"/>
      <c r="W75" s="122"/>
      <c r="X75" s="121"/>
      <c r="Y75" s="121"/>
      <c r="Z75" s="121"/>
      <c r="AA75" s="121"/>
      <c r="AB75" s="116" t="str">
        <f aca="false">IF(B75="","",IF(X75&lt;&gt;"",X75,IF(E75="غير سعودي",cfg_IQ,0))+IF(Y75&lt;&gt;"",Y75,IF(E75="غير سعودي",cfg_WP,0))+IF(Z75&lt;&gt;"",Z75,cfg_MED)+N(AA75))</f>
        <v/>
      </c>
      <c r="AC75" s="123"/>
      <c r="AD75" s="121"/>
      <c r="AE75" s="119"/>
      <c r="AF75" s="118"/>
      <c r="AG75" s="117" t="str">
        <f aca="false">IF(B75="","",IF(AND(AE75&lt;&gt;"",AE75&lt;=cfg_VAL_DATE),"✖ منتهي الخدمة",IF(H75&gt;cfg_VAL_DATE,"⏳ لم يباشر بعد","✔ على رأس العمل")))</f>
        <v/>
      </c>
      <c r="AH75" s="117" t="str">
        <f aca="false">IF(B75="","",IF(AG75&lt;&gt;"✔ على رأس العمل",AG75,IF(COUNTIFS('سجل الإجازات والحالات'!$B$6:$B$505,B75,'سجل الإجازات والحالات'!$E$6:$E$505,"&lt;="&amp;cfg_VAL_DATE,'سجل الإجازات والحالات'!$F$6:$F$505,"&gt;="&amp;cfg_VAL_DATE)&gt;0,"✈ "&amp;INDEX('سجل الإجازات والحالات'!$D$6:$D$505,MATCH(1,INDEX(('سجل الإجازات والحالات'!$B$6:$B$505=B75)*('سجل الإجازات والحالات'!$E$6:$E$505&lt;=cfg_VAL_DATE)*('سجل الإجازات والحالات'!$F$6:$F$505&gt;=cfg_VAL_DATE),0),0)),"✔ على رأس العمل")))</f>
        <v/>
      </c>
      <c r="AI75" s="118"/>
      <c r="AJ75" s="118"/>
      <c r="AK75" s="118"/>
    </row>
    <row r="76" customFormat="false" ht="15" hidden="false" customHeight="false" outlineLevel="0" collapsed="false">
      <c r="A76" s="106" t="str">
        <f aca="false">IF(B76="","",ROW()-5)</f>
        <v/>
      </c>
      <c r="B76" s="118"/>
      <c r="C76" s="118"/>
      <c r="D76" s="118"/>
      <c r="E76" s="118"/>
      <c r="F76" s="118"/>
      <c r="G76" s="118"/>
      <c r="H76" s="119"/>
      <c r="I76" s="120"/>
      <c r="J76" s="119"/>
      <c r="K76" s="119"/>
      <c r="L76" s="121"/>
      <c r="M76" s="121"/>
      <c r="N76" s="121"/>
      <c r="O76" s="121"/>
      <c r="P76" s="111" t="str">
        <f aca="false">IF(B76="","",SUM(L76:O76))</f>
        <v/>
      </c>
      <c r="Q76" s="111" t="str">
        <f aca="false">IF(B76="","",L76+IF(cfg_EOS_H="نعم",M76,0)+IF(cfg_EOS_T="نعم",N76,0)+IF(cfg_EOS_O="نعم",O76,0))</f>
        <v/>
      </c>
      <c r="R76" s="111" t="str">
        <f aca="false">IF(B76="","",L76+IF(cfg_LV_H="نعم",M76,0)+IF(cfg_LV_T="نعم",N76,0)+IF(cfg_LV_O="نعم",O76,0))</f>
        <v/>
      </c>
      <c r="S76" s="111" t="str">
        <f aca="false">IF(B76="","",MIN(cfg_G_CAP,L76+M76))</f>
        <v/>
      </c>
      <c r="T76" s="122"/>
      <c r="U76" s="118"/>
      <c r="V76" s="121"/>
      <c r="W76" s="122"/>
      <c r="X76" s="121"/>
      <c r="Y76" s="121"/>
      <c r="Z76" s="121"/>
      <c r="AA76" s="121"/>
      <c r="AB76" s="111" t="str">
        <f aca="false">IF(B76="","",IF(X76&lt;&gt;"",X76,IF(E76="غير سعودي",cfg_IQ,0))+IF(Y76&lt;&gt;"",Y76,IF(E76="غير سعودي",cfg_WP,0))+IF(Z76&lt;&gt;"",Z76,cfg_MED)+N(AA76))</f>
        <v/>
      </c>
      <c r="AC76" s="123"/>
      <c r="AD76" s="121"/>
      <c r="AE76" s="119"/>
      <c r="AF76" s="118"/>
      <c r="AG76" s="114" t="str">
        <f aca="false">IF(B76="","",IF(AND(AE76&lt;&gt;"",AE76&lt;=cfg_VAL_DATE),"✖ منتهي الخدمة",IF(H76&gt;cfg_VAL_DATE,"⏳ لم يباشر بعد","✔ على رأس العمل")))</f>
        <v/>
      </c>
      <c r="AH76" s="114" t="str">
        <f aca="false">IF(B76="","",IF(AG76&lt;&gt;"✔ على رأس العمل",AG76,IF(COUNTIFS('سجل الإجازات والحالات'!$B$6:$B$505,B76,'سجل الإجازات والحالات'!$E$6:$E$505,"&lt;="&amp;cfg_VAL_DATE,'سجل الإجازات والحالات'!$F$6:$F$505,"&gt;="&amp;cfg_VAL_DATE)&gt;0,"✈ "&amp;INDEX('سجل الإجازات والحالات'!$D$6:$D$505,MATCH(1,INDEX(('سجل الإجازات والحالات'!$B$6:$B$505=B76)*('سجل الإجازات والحالات'!$E$6:$E$505&lt;=cfg_VAL_DATE)*('سجل الإجازات والحالات'!$F$6:$F$505&gt;=cfg_VAL_DATE),0),0)),"✔ على رأس العمل")))</f>
        <v/>
      </c>
      <c r="AI76" s="118"/>
      <c r="AJ76" s="118"/>
      <c r="AK76" s="118"/>
    </row>
    <row r="77" customFormat="false" ht="15" hidden="false" customHeight="false" outlineLevel="0" collapsed="false">
      <c r="A77" s="115" t="str">
        <f aca="false">IF(B77="","",ROW()-5)</f>
        <v/>
      </c>
      <c r="B77" s="118"/>
      <c r="C77" s="118"/>
      <c r="D77" s="118"/>
      <c r="E77" s="118"/>
      <c r="F77" s="118"/>
      <c r="G77" s="118"/>
      <c r="H77" s="119"/>
      <c r="I77" s="120"/>
      <c r="J77" s="119"/>
      <c r="K77" s="119"/>
      <c r="L77" s="121"/>
      <c r="M77" s="121"/>
      <c r="N77" s="121"/>
      <c r="O77" s="121"/>
      <c r="P77" s="116" t="str">
        <f aca="false">IF(B77="","",SUM(L77:O77))</f>
        <v/>
      </c>
      <c r="Q77" s="116" t="str">
        <f aca="false">IF(B77="","",L77+IF(cfg_EOS_H="نعم",M77,0)+IF(cfg_EOS_T="نعم",N77,0)+IF(cfg_EOS_O="نعم",O77,0))</f>
        <v/>
      </c>
      <c r="R77" s="116" t="str">
        <f aca="false">IF(B77="","",L77+IF(cfg_LV_H="نعم",M77,0)+IF(cfg_LV_T="نعم",N77,0)+IF(cfg_LV_O="نعم",O77,0))</f>
        <v/>
      </c>
      <c r="S77" s="116" t="str">
        <f aca="false">IF(B77="","",MIN(cfg_G_CAP,L77+M77))</f>
        <v/>
      </c>
      <c r="T77" s="122"/>
      <c r="U77" s="118"/>
      <c r="V77" s="121"/>
      <c r="W77" s="122"/>
      <c r="X77" s="121"/>
      <c r="Y77" s="121"/>
      <c r="Z77" s="121"/>
      <c r="AA77" s="121"/>
      <c r="AB77" s="116" t="str">
        <f aca="false">IF(B77="","",IF(X77&lt;&gt;"",X77,IF(E77="غير سعودي",cfg_IQ,0))+IF(Y77&lt;&gt;"",Y77,IF(E77="غير سعودي",cfg_WP,0))+IF(Z77&lt;&gt;"",Z77,cfg_MED)+N(AA77))</f>
        <v/>
      </c>
      <c r="AC77" s="123"/>
      <c r="AD77" s="121"/>
      <c r="AE77" s="119"/>
      <c r="AF77" s="118"/>
      <c r="AG77" s="117" t="str">
        <f aca="false">IF(B77="","",IF(AND(AE77&lt;&gt;"",AE77&lt;=cfg_VAL_DATE),"✖ منتهي الخدمة",IF(H77&gt;cfg_VAL_DATE,"⏳ لم يباشر بعد","✔ على رأس العمل")))</f>
        <v/>
      </c>
      <c r="AH77" s="117" t="str">
        <f aca="false">IF(B77="","",IF(AG77&lt;&gt;"✔ على رأس العمل",AG77,IF(COUNTIFS('سجل الإجازات والحالات'!$B$6:$B$505,B77,'سجل الإجازات والحالات'!$E$6:$E$505,"&lt;="&amp;cfg_VAL_DATE,'سجل الإجازات والحالات'!$F$6:$F$505,"&gt;="&amp;cfg_VAL_DATE)&gt;0,"✈ "&amp;INDEX('سجل الإجازات والحالات'!$D$6:$D$505,MATCH(1,INDEX(('سجل الإجازات والحالات'!$B$6:$B$505=B77)*('سجل الإجازات والحالات'!$E$6:$E$505&lt;=cfg_VAL_DATE)*('سجل الإجازات والحالات'!$F$6:$F$505&gt;=cfg_VAL_DATE),0),0)),"✔ على رأس العمل")))</f>
        <v/>
      </c>
      <c r="AI77" s="118"/>
      <c r="AJ77" s="118"/>
      <c r="AK77" s="118"/>
    </row>
    <row r="78" customFormat="false" ht="15" hidden="false" customHeight="false" outlineLevel="0" collapsed="false">
      <c r="A78" s="106" t="str">
        <f aca="false">IF(B78="","",ROW()-5)</f>
        <v/>
      </c>
      <c r="B78" s="118"/>
      <c r="C78" s="118"/>
      <c r="D78" s="118"/>
      <c r="E78" s="118"/>
      <c r="F78" s="118"/>
      <c r="G78" s="118"/>
      <c r="H78" s="119"/>
      <c r="I78" s="120"/>
      <c r="J78" s="119"/>
      <c r="K78" s="119"/>
      <c r="L78" s="121"/>
      <c r="M78" s="121"/>
      <c r="N78" s="121"/>
      <c r="O78" s="121"/>
      <c r="P78" s="111" t="str">
        <f aca="false">IF(B78="","",SUM(L78:O78))</f>
        <v/>
      </c>
      <c r="Q78" s="111" t="str">
        <f aca="false">IF(B78="","",L78+IF(cfg_EOS_H="نعم",M78,0)+IF(cfg_EOS_T="نعم",N78,0)+IF(cfg_EOS_O="نعم",O78,0))</f>
        <v/>
      </c>
      <c r="R78" s="111" t="str">
        <f aca="false">IF(B78="","",L78+IF(cfg_LV_H="نعم",M78,0)+IF(cfg_LV_T="نعم",N78,0)+IF(cfg_LV_O="نعم",O78,0))</f>
        <v/>
      </c>
      <c r="S78" s="111" t="str">
        <f aca="false">IF(B78="","",MIN(cfg_G_CAP,L78+M78))</f>
        <v/>
      </c>
      <c r="T78" s="122"/>
      <c r="U78" s="118"/>
      <c r="V78" s="121"/>
      <c r="W78" s="122"/>
      <c r="X78" s="121"/>
      <c r="Y78" s="121"/>
      <c r="Z78" s="121"/>
      <c r="AA78" s="121"/>
      <c r="AB78" s="111" t="str">
        <f aca="false">IF(B78="","",IF(X78&lt;&gt;"",X78,IF(E78="غير سعودي",cfg_IQ,0))+IF(Y78&lt;&gt;"",Y78,IF(E78="غير سعودي",cfg_WP,0))+IF(Z78&lt;&gt;"",Z78,cfg_MED)+N(AA78))</f>
        <v/>
      </c>
      <c r="AC78" s="123"/>
      <c r="AD78" s="121"/>
      <c r="AE78" s="119"/>
      <c r="AF78" s="118"/>
      <c r="AG78" s="114" t="str">
        <f aca="false">IF(B78="","",IF(AND(AE78&lt;&gt;"",AE78&lt;=cfg_VAL_DATE),"✖ منتهي الخدمة",IF(H78&gt;cfg_VAL_DATE,"⏳ لم يباشر بعد","✔ على رأس العمل")))</f>
        <v/>
      </c>
      <c r="AH78" s="114" t="str">
        <f aca="false">IF(B78="","",IF(AG78&lt;&gt;"✔ على رأس العمل",AG78,IF(COUNTIFS('سجل الإجازات والحالات'!$B$6:$B$505,B78,'سجل الإجازات والحالات'!$E$6:$E$505,"&lt;="&amp;cfg_VAL_DATE,'سجل الإجازات والحالات'!$F$6:$F$505,"&gt;="&amp;cfg_VAL_DATE)&gt;0,"✈ "&amp;INDEX('سجل الإجازات والحالات'!$D$6:$D$505,MATCH(1,INDEX(('سجل الإجازات والحالات'!$B$6:$B$505=B78)*('سجل الإجازات والحالات'!$E$6:$E$505&lt;=cfg_VAL_DATE)*('سجل الإجازات والحالات'!$F$6:$F$505&gt;=cfg_VAL_DATE),0),0)),"✔ على رأس العمل")))</f>
        <v/>
      </c>
      <c r="AI78" s="118"/>
      <c r="AJ78" s="118"/>
      <c r="AK78" s="118"/>
    </row>
    <row r="79" customFormat="false" ht="15" hidden="false" customHeight="false" outlineLevel="0" collapsed="false">
      <c r="A79" s="115" t="str">
        <f aca="false">IF(B79="","",ROW()-5)</f>
        <v/>
      </c>
      <c r="B79" s="118"/>
      <c r="C79" s="118"/>
      <c r="D79" s="118"/>
      <c r="E79" s="118"/>
      <c r="F79" s="118"/>
      <c r="G79" s="118"/>
      <c r="H79" s="119"/>
      <c r="I79" s="120"/>
      <c r="J79" s="119"/>
      <c r="K79" s="119"/>
      <c r="L79" s="121"/>
      <c r="M79" s="121"/>
      <c r="N79" s="121"/>
      <c r="O79" s="121"/>
      <c r="P79" s="116" t="str">
        <f aca="false">IF(B79="","",SUM(L79:O79))</f>
        <v/>
      </c>
      <c r="Q79" s="116" t="str">
        <f aca="false">IF(B79="","",L79+IF(cfg_EOS_H="نعم",M79,0)+IF(cfg_EOS_T="نعم",N79,0)+IF(cfg_EOS_O="نعم",O79,0))</f>
        <v/>
      </c>
      <c r="R79" s="116" t="str">
        <f aca="false">IF(B79="","",L79+IF(cfg_LV_H="نعم",M79,0)+IF(cfg_LV_T="نعم",N79,0)+IF(cfg_LV_O="نعم",O79,0))</f>
        <v/>
      </c>
      <c r="S79" s="116" t="str">
        <f aca="false">IF(B79="","",MIN(cfg_G_CAP,L79+M79))</f>
        <v/>
      </c>
      <c r="T79" s="122"/>
      <c r="U79" s="118"/>
      <c r="V79" s="121"/>
      <c r="W79" s="122"/>
      <c r="X79" s="121"/>
      <c r="Y79" s="121"/>
      <c r="Z79" s="121"/>
      <c r="AA79" s="121"/>
      <c r="AB79" s="116" t="str">
        <f aca="false">IF(B79="","",IF(X79&lt;&gt;"",X79,IF(E79="غير سعودي",cfg_IQ,0))+IF(Y79&lt;&gt;"",Y79,IF(E79="غير سعودي",cfg_WP,0))+IF(Z79&lt;&gt;"",Z79,cfg_MED)+N(AA79))</f>
        <v/>
      </c>
      <c r="AC79" s="123"/>
      <c r="AD79" s="121"/>
      <c r="AE79" s="119"/>
      <c r="AF79" s="118"/>
      <c r="AG79" s="117" t="str">
        <f aca="false">IF(B79="","",IF(AND(AE79&lt;&gt;"",AE79&lt;=cfg_VAL_DATE),"✖ منتهي الخدمة",IF(H79&gt;cfg_VAL_DATE,"⏳ لم يباشر بعد","✔ على رأس العمل")))</f>
        <v/>
      </c>
      <c r="AH79" s="117" t="str">
        <f aca="false">IF(B79="","",IF(AG79&lt;&gt;"✔ على رأس العمل",AG79,IF(COUNTIFS('سجل الإجازات والحالات'!$B$6:$B$505,B79,'سجل الإجازات والحالات'!$E$6:$E$505,"&lt;="&amp;cfg_VAL_DATE,'سجل الإجازات والحالات'!$F$6:$F$505,"&gt;="&amp;cfg_VAL_DATE)&gt;0,"✈ "&amp;INDEX('سجل الإجازات والحالات'!$D$6:$D$505,MATCH(1,INDEX(('سجل الإجازات والحالات'!$B$6:$B$505=B79)*('سجل الإجازات والحالات'!$E$6:$E$505&lt;=cfg_VAL_DATE)*('سجل الإجازات والحالات'!$F$6:$F$505&gt;=cfg_VAL_DATE),0),0)),"✔ على رأس العمل")))</f>
        <v/>
      </c>
      <c r="AI79" s="118"/>
      <c r="AJ79" s="118"/>
      <c r="AK79" s="118"/>
    </row>
    <row r="80" customFormat="false" ht="15" hidden="false" customHeight="false" outlineLevel="0" collapsed="false">
      <c r="A80" s="106" t="str">
        <f aca="false">IF(B80="","",ROW()-5)</f>
        <v/>
      </c>
      <c r="B80" s="118"/>
      <c r="C80" s="118"/>
      <c r="D80" s="118"/>
      <c r="E80" s="118"/>
      <c r="F80" s="118"/>
      <c r="G80" s="118"/>
      <c r="H80" s="119"/>
      <c r="I80" s="120"/>
      <c r="J80" s="119"/>
      <c r="K80" s="119"/>
      <c r="L80" s="121"/>
      <c r="M80" s="121"/>
      <c r="N80" s="121"/>
      <c r="O80" s="121"/>
      <c r="P80" s="111" t="str">
        <f aca="false">IF(B80="","",SUM(L80:O80))</f>
        <v/>
      </c>
      <c r="Q80" s="111" t="str">
        <f aca="false">IF(B80="","",L80+IF(cfg_EOS_H="نعم",M80,0)+IF(cfg_EOS_T="نعم",N80,0)+IF(cfg_EOS_O="نعم",O80,0))</f>
        <v/>
      </c>
      <c r="R80" s="111" t="str">
        <f aca="false">IF(B80="","",L80+IF(cfg_LV_H="نعم",M80,0)+IF(cfg_LV_T="نعم",N80,0)+IF(cfg_LV_O="نعم",O80,0))</f>
        <v/>
      </c>
      <c r="S80" s="111" t="str">
        <f aca="false">IF(B80="","",MIN(cfg_G_CAP,L80+M80))</f>
        <v/>
      </c>
      <c r="T80" s="122"/>
      <c r="U80" s="118"/>
      <c r="V80" s="121"/>
      <c r="W80" s="122"/>
      <c r="X80" s="121"/>
      <c r="Y80" s="121"/>
      <c r="Z80" s="121"/>
      <c r="AA80" s="121"/>
      <c r="AB80" s="111" t="str">
        <f aca="false">IF(B80="","",IF(X80&lt;&gt;"",X80,IF(E80="غير سعودي",cfg_IQ,0))+IF(Y80&lt;&gt;"",Y80,IF(E80="غير سعودي",cfg_WP,0))+IF(Z80&lt;&gt;"",Z80,cfg_MED)+N(AA80))</f>
        <v/>
      </c>
      <c r="AC80" s="123"/>
      <c r="AD80" s="121"/>
      <c r="AE80" s="119"/>
      <c r="AF80" s="118"/>
      <c r="AG80" s="114" t="str">
        <f aca="false">IF(B80="","",IF(AND(AE80&lt;&gt;"",AE80&lt;=cfg_VAL_DATE),"✖ منتهي الخدمة",IF(H80&gt;cfg_VAL_DATE,"⏳ لم يباشر بعد","✔ على رأس العمل")))</f>
        <v/>
      </c>
      <c r="AH80" s="114" t="str">
        <f aca="false">IF(B80="","",IF(AG80&lt;&gt;"✔ على رأس العمل",AG80,IF(COUNTIFS('سجل الإجازات والحالات'!$B$6:$B$505,B80,'سجل الإجازات والحالات'!$E$6:$E$505,"&lt;="&amp;cfg_VAL_DATE,'سجل الإجازات والحالات'!$F$6:$F$505,"&gt;="&amp;cfg_VAL_DATE)&gt;0,"✈ "&amp;INDEX('سجل الإجازات والحالات'!$D$6:$D$505,MATCH(1,INDEX(('سجل الإجازات والحالات'!$B$6:$B$505=B80)*('سجل الإجازات والحالات'!$E$6:$E$505&lt;=cfg_VAL_DATE)*('سجل الإجازات والحالات'!$F$6:$F$505&gt;=cfg_VAL_DATE),0),0)),"✔ على رأس العمل")))</f>
        <v/>
      </c>
      <c r="AI80" s="118"/>
      <c r="AJ80" s="118"/>
      <c r="AK80" s="118"/>
    </row>
    <row r="81" customFormat="false" ht="15" hidden="false" customHeight="false" outlineLevel="0" collapsed="false">
      <c r="A81" s="115" t="str">
        <f aca="false">IF(B81="","",ROW()-5)</f>
        <v/>
      </c>
      <c r="B81" s="118"/>
      <c r="C81" s="118"/>
      <c r="D81" s="118"/>
      <c r="E81" s="118"/>
      <c r="F81" s="118"/>
      <c r="G81" s="118"/>
      <c r="H81" s="119"/>
      <c r="I81" s="120"/>
      <c r="J81" s="119"/>
      <c r="K81" s="119"/>
      <c r="L81" s="121"/>
      <c r="M81" s="121"/>
      <c r="N81" s="121"/>
      <c r="O81" s="121"/>
      <c r="P81" s="116" t="str">
        <f aca="false">IF(B81="","",SUM(L81:O81))</f>
        <v/>
      </c>
      <c r="Q81" s="116" t="str">
        <f aca="false">IF(B81="","",L81+IF(cfg_EOS_H="نعم",M81,0)+IF(cfg_EOS_T="نعم",N81,0)+IF(cfg_EOS_O="نعم",O81,0))</f>
        <v/>
      </c>
      <c r="R81" s="116" t="str">
        <f aca="false">IF(B81="","",L81+IF(cfg_LV_H="نعم",M81,0)+IF(cfg_LV_T="نعم",N81,0)+IF(cfg_LV_O="نعم",O81,0))</f>
        <v/>
      </c>
      <c r="S81" s="116" t="str">
        <f aca="false">IF(B81="","",MIN(cfg_G_CAP,L81+M81))</f>
        <v/>
      </c>
      <c r="T81" s="122"/>
      <c r="U81" s="118"/>
      <c r="V81" s="121"/>
      <c r="W81" s="122"/>
      <c r="X81" s="121"/>
      <c r="Y81" s="121"/>
      <c r="Z81" s="121"/>
      <c r="AA81" s="121"/>
      <c r="AB81" s="116" t="str">
        <f aca="false">IF(B81="","",IF(X81&lt;&gt;"",X81,IF(E81="غير سعودي",cfg_IQ,0))+IF(Y81&lt;&gt;"",Y81,IF(E81="غير سعودي",cfg_WP,0))+IF(Z81&lt;&gt;"",Z81,cfg_MED)+N(AA81))</f>
        <v/>
      </c>
      <c r="AC81" s="123"/>
      <c r="AD81" s="121"/>
      <c r="AE81" s="119"/>
      <c r="AF81" s="118"/>
      <c r="AG81" s="117" t="str">
        <f aca="false">IF(B81="","",IF(AND(AE81&lt;&gt;"",AE81&lt;=cfg_VAL_DATE),"✖ منتهي الخدمة",IF(H81&gt;cfg_VAL_DATE,"⏳ لم يباشر بعد","✔ على رأس العمل")))</f>
        <v/>
      </c>
      <c r="AH81" s="117" t="str">
        <f aca="false">IF(B81="","",IF(AG81&lt;&gt;"✔ على رأس العمل",AG81,IF(COUNTIFS('سجل الإجازات والحالات'!$B$6:$B$505,B81,'سجل الإجازات والحالات'!$E$6:$E$505,"&lt;="&amp;cfg_VAL_DATE,'سجل الإجازات والحالات'!$F$6:$F$505,"&gt;="&amp;cfg_VAL_DATE)&gt;0,"✈ "&amp;INDEX('سجل الإجازات والحالات'!$D$6:$D$505,MATCH(1,INDEX(('سجل الإجازات والحالات'!$B$6:$B$505=B81)*('سجل الإجازات والحالات'!$E$6:$E$505&lt;=cfg_VAL_DATE)*('سجل الإجازات والحالات'!$F$6:$F$505&gt;=cfg_VAL_DATE),0),0)),"✔ على رأس العمل")))</f>
        <v/>
      </c>
      <c r="AI81" s="118"/>
      <c r="AJ81" s="118"/>
      <c r="AK81" s="118"/>
    </row>
    <row r="82" customFormat="false" ht="15" hidden="false" customHeight="false" outlineLevel="0" collapsed="false">
      <c r="A82" s="106" t="str">
        <f aca="false">IF(B82="","",ROW()-5)</f>
        <v/>
      </c>
      <c r="B82" s="118"/>
      <c r="C82" s="118"/>
      <c r="D82" s="118"/>
      <c r="E82" s="118"/>
      <c r="F82" s="118"/>
      <c r="G82" s="118"/>
      <c r="H82" s="119"/>
      <c r="I82" s="120"/>
      <c r="J82" s="119"/>
      <c r="K82" s="119"/>
      <c r="L82" s="121"/>
      <c r="M82" s="121"/>
      <c r="N82" s="121"/>
      <c r="O82" s="121"/>
      <c r="P82" s="111" t="str">
        <f aca="false">IF(B82="","",SUM(L82:O82))</f>
        <v/>
      </c>
      <c r="Q82" s="111" t="str">
        <f aca="false">IF(B82="","",L82+IF(cfg_EOS_H="نعم",M82,0)+IF(cfg_EOS_T="نعم",N82,0)+IF(cfg_EOS_O="نعم",O82,0))</f>
        <v/>
      </c>
      <c r="R82" s="111" t="str">
        <f aca="false">IF(B82="","",L82+IF(cfg_LV_H="نعم",M82,0)+IF(cfg_LV_T="نعم",N82,0)+IF(cfg_LV_O="نعم",O82,0))</f>
        <v/>
      </c>
      <c r="S82" s="111" t="str">
        <f aca="false">IF(B82="","",MIN(cfg_G_CAP,L82+M82))</f>
        <v/>
      </c>
      <c r="T82" s="122"/>
      <c r="U82" s="118"/>
      <c r="V82" s="121"/>
      <c r="W82" s="122"/>
      <c r="X82" s="121"/>
      <c r="Y82" s="121"/>
      <c r="Z82" s="121"/>
      <c r="AA82" s="121"/>
      <c r="AB82" s="111" t="str">
        <f aca="false">IF(B82="","",IF(X82&lt;&gt;"",X82,IF(E82="غير سعودي",cfg_IQ,0))+IF(Y82&lt;&gt;"",Y82,IF(E82="غير سعودي",cfg_WP,0))+IF(Z82&lt;&gt;"",Z82,cfg_MED)+N(AA82))</f>
        <v/>
      </c>
      <c r="AC82" s="123"/>
      <c r="AD82" s="121"/>
      <c r="AE82" s="119"/>
      <c r="AF82" s="118"/>
      <c r="AG82" s="114" t="str">
        <f aca="false">IF(B82="","",IF(AND(AE82&lt;&gt;"",AE82&lt;=cfg_VAL_DATE),"✖ منتهي الخدمة",IF(H82&gt;cfg_VAL_DATE,"⏳ لم يباشر بعد","✔ على رأس العمل")))</f>
        <v/>
      </c>
      <c r="AH82" s="114" t="str">
        <f aca="false">IF(B82="","",IF(AG82&lt;&gt;"✔ على رأس العمل",AG82,IF(COUNTIFS('سجل الإجازات والحالات'!$B$6:$B$505,B82,'سجل الإجازات والحالات'!$E$6:$E$505,"&lt;="&amp;cfg_VAL_DATE,'سجل الإجازات والحالات'!$F$6:$F$505,"&gt;="&amp;cfg_VAL_DATE)&gt;0,"✈ "&amp;INDEX('سجل الإجازات والحالات'!$D$6:$D$505,MATCH(1,INDEX(('سجل الإجازات والحالات'!$B$6:$B$505=B82)*('سجل الإجازات والحالات'!$E$6:$E$505&lt;=cfg_VAL_DATE)*('سجل الإجازات والحالات'!$F$6:$F$505&gt;=cfg_VAL_DATE),0),0)),"✔ على رأس العمل")))</f>
        <v/>
      </c>
      <c r="AI82" s="118"/>
      <c r="AJ82" s="118"/>
      <c r="AK82" s="118"/>
    </row>
    <row r="83" customFormat="false" ht="15" hidden="false" customHeight="false" outlineLevel="0" collapsed="false">
      <c r="A83" s="115" t="str">
        <f aca="false">IF(B83="","",ROW()-5)</f>
        <v/>
      </c>
      <c r="B83" s="118"/>
      <c r="C83" s="118"/>
      <c r="D83" s="118"/>
      <c r="E83" s="118"/>
      <c r="F83" s="118"/>
      <c r="G83" s="118"/>
      <c r="H83" s="119"/>
      <c r="I83" s="120"/>
      <c r="J83" s="119"/>
      <c r="K83" s="119"/>
      <c r="L83" s="121"/>
      <c r="M83" s="121"/>
      <c r="N83" s="121"/>
      <c r="O83" s="121"/>
      <c r="P83" s="116" t="str">
        <f aca="false">IF(B83="","",SUM(L83:O83))</f>
        <v/>
      </c>
      <c r="Q83" s="116" t="str">
        <f aca="false">IF(B83="","",L83+IF(cfg_EOS_H="نعم",M83,0)+IF(cfg_EOS_T="نعم",N83,0)+IF(cfg_EOS_O="نعم",O83,0))</f>
        <v/>
      </c>
      <c r="R83" s="116" t="str">
        <f aca="false">IF(B83="","",L83+IF(cfg_LV_H="نعم",M83,0)+IF(cfg_LV_T="نعم",N83,0)+IF(cfg_LV_O="نعم",O83,0))</f>
        <v/>
      </c>
      <c r="S83" s="116" t="str">
        <f aca="false">IF(B83="","",MIN(cfg_G_CAP,L83+M83))</f>
        <v/>
      </c>
      <c r="T83" s="122"/>
      <c r="U83" s="118"/>
      <c r="V83" s="121"/>
      <c r="W83" s="122"/>
      <c r="X83" s="121"/>
      <c r="Y83" s="121"/>
      <c r="Z83" s="121"/>
      <c r="AA83" s="121"/>
      <c r="AB83" s="116" t="str">
        <f aca="false">IF(B83="","",IF(X83&lt;&gt;"",X83,IF(E83="غير سعودي",cfg_IQ,0))+IF(Y83&lt;&gt;"",Y83,IF(E83="غير سعودي",cfg_WP,0))+IF(Z83&lt;&gt;"",Z83,cfg_MED)+N(AA83))</f>
        <v/>
      </c>
      <c r="AC83" s="123"/>
      <c r="AD83" s="121"/>
      <c r="AE83" s="119"/>
      <c r="AF83" s="118"/>
      <c r="AG83" s="117" t="str">
        <f aca="false">IF(B83="","",IF(AND(AE83&lt;&gt;"",AE83&lt;=cfg_VAL_DATE),"✖ منتهي الخدمة",IF(H83&gt;cfg_VAL_DATE,"⏳ لم يباشر بعد","✔ على رأس العمل")))</f>
        <v/>
      </c>
      <c r="AH83" s="117" t="str">
        <f aca="false">IF(B83="","",IF(AG83&lt;&gt;"✔ على رأس العمل",AG83,IF(COUNTIFS('سجل الإجازات والحالات'!$B$6:$B$505,B83,'سجل الإجازات والحالات'!$E$6:$E$505,"&lt;="&amp;cfg_VAL_DATE,'سجل الإجازات والحالات'!$F$6:$F$505,"&gt;="&amp;cfg_VAL_DATE)&gt;0,"✈ "&amp;INDEX('سجل الإجازات والحالات'!$D$6:$D$505,MATCH(1,INDEX(('سجل الإجازات والحالات'!$B$6:$B$505=B83)*('سجل الإجازات والحالات'!$E$6:$E$505&lt;=cfg_VAL_DATE)*('سجل الإجازات والحالات'!$F$6:$F$505&gt;=cfg_VAL_DATE),0),0)),"✔ على رأس العمل")))</f>
        <v/>
      </c>
      <c r="AI83" s="118"/>
      <c r="AJ83" s="118"/>
      <c r="AK83" s="118"/>
    </row>
    <row r="84" customFormat="false" ht="15" hidden="false" customHeight="false" outlineLevel="0" collapsed="false">
      <c r="A84" s="106" t="str">
        <f aca="false">IF(B84="","",ROW()-5)</f>
        <v/>
      </c>
      <c r="B84" s="118"/>
      <c r="C84" s="118"/>
      <c r="D84" s="118"/>
      <c r="E84" s="118"/>
      <c r="F84" s="118"/>
      <c r="G84" s="118"/>
      <c r="H84" s="119"/>
      <c r="I84" s="120"/>
      <c r="J84" s="119"/>
      <c r="K84" s="119"/>
      <c r="L84" s="121"/>
      <c r="M84" s="121"/>
      <c r="N84" s="121"/>
      <c r="O84" s="121"/>
      <c r="P84" s="111" t="str">
        <f aca="false">IF(B84="","",SUM(L84:O84))</f>
        <v/>
      </c>
      <c r="Q84" s="111" t="str">
        <f aca="false">IF(B84="","",L84+IF(cfg_EOS_H="نعم",M84,0)+IF(cfg_EOS_T="نعم",N84,0)+IF(cfg_EOS_O="نعم",O84,0))</f>
        <v/>
      </c>
      <c r="R84" s="111" t="str">
        <f aca="false">IF(B84="","",L84+IF(cfg_LV_H="نعم",M84,0)+IF(cfg_LV_T="نعم",N84,0)+IF(cfg_LV_O="نعم",O84,0))</f>
        <v/>
      </c>
      <c r="S84" s="111" t="str">
        <f aca="false">IF(B84="","",MIN(cfg_G_CAP,L84+M84))</f>
        <v/>
      </c>
      <c r="T84" s="122"/>
      <c r="U84" s="118"/>
      <c r="V84" s="121"/>
      <c r="W84" s="122"/>
      <c r="X84" s="121"/>
      <c r="Y84" s="121"/>
      <c r="Z84" s="121"/>
      <c r="AA84" s="121"/>
      <c r="AB84" s="111" t="str">
        <f aca="false">IF(B84="","",IF(X84&lt;&gt;"",X84,IF(E84="غير سعودي",cfg_IQ,0))+IF(Y84&lt;&gt;"",Y84,IF(E84="غير سعودي",cfg_WP,0))+IF(Z84&lt;&gt;"",Z84,cfg_MED)+N(AA84))</f>
        <v/>
      </c>
      <c r="AC84" s="123"/>
      <c r="AD84" s="121"/>
      <c r="AE84" s="119"/>
      <c r="AF84" s="118"/>
      <c r="AG84" s="114" t="str">
        <f aca="false">IF(B84="","",IF(AND(AE84&lt;&gt;"",AE84&lt;=cfg_VAL_DATE),"✖ منتهي الخدمة",IF(H84&gt;cfg_VAL_DATE,"⏳ لم يباشر بعد","✔ على رأس العمل")))</f>
        <v/>
      </c>
      <c r="AH84" s="114" t="str">
        <f aca="false">IF(B84="","",IF(AG84&lt;&gt;"✔ على رأس العمل",AG84,IF(COUNTIFS('سجل الإجازات والحالات'!$B$6:$B$505,B84,'سجل الإجازات والحالات'!$E$6:$E$505,"&lt;="&amp;cfg_VAL_DATE,'سجل الإجازات والحالات'!$F$6:$F$505,"&gt;="&amp;cfg_VAL_DATE)&gt;0,"✈ "&amp;INDEX('سجل الإجازات والحالات'!$D$6:$D$505,MATCH(1,INDEX(('سجل الإجازات والحالات'!$B$6:$B$505=B84)*('سجل الإجازات والحالات'!$E$6:$E$505&lt;=cfg_VAL_DATE)*('سجل الإجازات والحالات'!$F$6:$F$505&gt;=cfg_VAL_DATE),0),0)),"✔ على رأس العمل")))</f>
        <v/>
      </c>
      <c r="AI84" s="118"/>
      <c r="AJ84" s="118"/>
      <c r="AK84" s="118"/>
    </row>
    <row r="85" customFormat="false" ht="15" hidden="false" customHeight="false" outlineLevel="0" collapsed="false">
      <c r="A85" s="115" t="str">
        <f aca="false">IF(B85="","",ROW()-5)</f>
        <v/>
      </c>
      <c r="B85" s="118"/>
      <c r="C85" s="118"/>
      <c r="D85" s="118"/>
      <c r="E85" s="118"/>
      <c r="F85" s="118"/>
      <c r="G85" s="118"/>
      <c r="H85" s="119"/>
      <c r="I85" s="120"/>
      <c r="J85" s="119"/>
      <c r="K85" s="119"/>
      <c r="L85" s="121"/>
      <c r="M85" s="121"/>
      <c r="N85" s="121"/>
      <c r="O85" s="121"/>
      <c r="P85" s="116" t="str">
        <f aca="false">IF(B85="","",SUM(L85:O85))</f>
        <v/>
      </c>
      <c r="Q85" s="116" t="str">
        <f aca="false">IF(B85="","",L85+IF(cfg_EOS_H="نعم",M85,0)+IF(cfg_EOS_T="نعم",N85,0)+IF(cfg_EOS_O="نعم",O85,0))</f>
        <v/>
      </c>
      <c r="R85" s="116" t="str">
        <f aca="false">IF(B85="","",L85+IF(cfg_LV_H="نعم",M85,0)+IF(cfg_LV_T="نعم",N85,0)+IF(cfg_LV_O="نعم",O85,0))</f>
        <v/>
      </c>
      <c r="S85" s="116" t="str">
        <f aca="false">IF(B85="","",MIN(cfg_G_CAP,L85+M85))</f>
        <v/>
      </c>
      <c r="T85" s="122"/>
      <c r="U85" s="118"/>
      <c r="V85" s="121"/>
      <c r="W85" s="122"/>
      <c r="X85" s="121"/>
      <c r="Y85" s="121"/>
      <c r="Z85" s="121"/>
      <c r="AA85" s="121"/>
      <c r="AB85" s="116" t="str">
        <f aca="false">IF(B85="","",IF(X85&lt;&gt;"",X85,IF(E85="غير سعودي",cfg_IQ,0))+IF(Y85&lt;&gt;"",Y85,IF(E85="غير سعودي",cfg_WP,0))+IF(Z85&lt;&gt;"",Z85,cfg_MED)+N(AA85))</f>
        <v/>
      </c>
      <c r="AC85" s="123"/>
      <c r="AD85" s="121"/>
      <c r="AE85" s="119"/>
      <c r="AF85" s="118"/>
      <c r="AG85" s="117" t="str">
        <f aca="false">IF(B85="","",IF(AND(AE85&lt;&gt;"",AE85&lt;=cfg_VAL_DATE),"✖ منتهي الخدمة",IF(H85&gt;cfg_VAL_DATE,"⏳ لم يباشر بعد","✔ على رأس العمل")))</f>
        <v/>
      </c>
      <c r="AH85" s="117" t="str">
        <f aca="false">IF(B85="","",IF(AG85&lt;&gt;"✔ على رأس العمل",AG85,IF(COUNTIFS('سجل الإجازات والحالات'!$B$6:$B$505,B85,'سجل الإجازات والحالات'!$E$6:$E$505,"&lt;="&amp;cfg_VAL_DATE,'سجل الإجازات والحالات'!$F$6:$F$505,"&gt;="&amp;cfg_VAL_DATE)&gt;0,"✈ "&amp;INDEX('سجل الإجازات والحالات'!$D$6:$D$505,MATCH(1,INDEX(('سجل الإجازات والحالات'!$B$6:$B$505=B85)*('سجل الإجازات والحالات'!$E$6:$E$505&lt;=cfg_VAL_DATE)*('سجل الإجازات والحالات'!$F$6:$F$505&gt;=cfg_VAL_DATE),0),0)),"✔ على رأس العمل")))</f>
        <v/>
      </c>
      <c r="AI85" s="118"/>
      <c r="AJ85" s="118"/>
      <c r="AK85" s="118"/>
    </row>
    <row r="86" customFormat="false" ht="15" hidden="false" customHeight="false" outlineLevel="0" collapsed="false">
      <c r="A86" s="106" t="str">
        <f aca="false">IF(B86="","",ROW()-5)</f>
        <v/>
      </c>
      <c r="B86" s="118"/>
      <c r="C86" s="118"/>
      <c r="D86" s="118"/>
      <c r="E86" s="118"/>
      <c r="F86" s="118"/>
      <c r="G86" s="118"/>
      <c r="H86" s="119"/>
      <c r="I86" s="120"/>
      <c r="J86" s="119"/>
      <c r="K86" s="119"/>
      <c r="L86" s="121"/>
      <c r="M86" s="121"/>
      <c r="N86" s="121"/>
      <c r="O86" s="121"/>
      <c r="P86" s="111" t="str">
        <f aca="false">IF(B86="","",SUM(L86:O86))</f>
        <v/>
      </c>
      <c r="Q86" s="111" t="str">
        <f aca="false">IF(B86="","",L86+IF(cfg_EOS_H="نعم",M86,0)+IF(cfg_EOS_T="نعم",N86,0)+IF(cfg_EOS_O="نعم",O86,0))</f>
        <v/>
      </c>
      <c r="R86" s="111" t="str">
        <f aca="false">IF(B86="","",L86+IF(cfg_LV_H="نعم",M86,0)+IF(cfg_LV_T="نعم",N86,0)+IF(cfg_LV_O="نعم",O86,0))</f>
        <v/>
      </c>
      <c r="S86" s="111" t="str">
        <f aca="false">IF(B86="","",MIN(cfg_G_CAP,L86+M86))</f>
        <v/>
      </c>
      <c r="T86" s="122"/>
      <c r="U86" s="118"/>
      <c r="V86" s="121"/>
      <c r="W86" s="122"/>
      <c r="X86" s="121"/>
      <c r="Y86" s="121"/>
      <c r="Z86" s="121"/>
      <c r="AA86" s="121"/>
      <c r="AB86" s="111" t="str">
        <f aca="false">IF(B86="","",IF(X86&lt;&gt;"",X86,IF(E86="غير سعودي",cfg_IQ,0))+IF(Y86&lt;&gt;"",Y86,IF(E86="غير سعودي",cfg_WP,0))+IF(Z86&lt;&gt;"",Z86,cfg_MED)+N(AA86))</f>
        <v/>
      </c>
      <c r="AC86" s="123"/>
      <c r="AD86" s="121"/>
      <c r="AE86" s="119"/>
      <c r="AF86" s="118"/>
      <c r="AG86" s="114" t="str">
        <f aca="false">IF(B86="","",IF(AND(AE86&lt;&gt;"",AE86&lt;=cfg_VAL_DATE),"✖ منتهي الخدمة",IF(H86&gt;cfg_VAL_DATE,"⏳ لم يباشر بعد","✔ على رأس العمل")))</f>
        <v/>
      </c>
      <c r="AH86" s="114" t="str">
        <f aca="false">IF(B86="","",IF(AG86&lt;&gt;"✔ على رأس العمل",AG86,IF(COUNTIFS('سجل الإجازات والحالات'!$B$6:$B$505,B86,'سجل الإجازات والحالات'!$E$6:$E$505,"&lt;="&amp;cfg_VAL_DATE,'سجل الإجازات والحالات'!$F$6:$F$505,"&gt;="&amp;cfg_VAL_DATE)&gt;0,"✈ "&amp;INDEX('سجل الإجازات والحالات'!$D$6:$D$505,MATCH(1,INDEX(('سجل الإجازات والحالات'!$B$6:$B$505=B86)*('سجل الإجازات والحالات'!$E$6:$E$505&lt;=cfg_VAL_DATE)*('سجل الإجازات والحالات'!$F$6:$F$505&gt;=cfg_VAL_DATE),0),0)),"✔ على رأس العمل")))</f>
        <v/>
      </c>
      <c r="AI86" s="118"/>
      <c r="AJ86" s="118"/>
      <c r="AK86" s="118"/>
    </row>
    <row r="87" customFormat="false" ht="15" hidden="false" customHeight="false" outlineLevel="0" collapsed="false">
      <c r="A87" s="115" t="str">
        <f aca="false">IF(B87="","",ROW()-5)</f>
        <v/>
      </c>
      <c r="B87" s="118"/>
      <c r="C87" s="118"/>
      <c r="D87" s="118"/>
      <c r="E87" s="118"/>
      <c r="F87" s="118"/>
      <c r="G87" s="118"/>
      <c r="H87" s="119"/>
      <c r="I87" s="120"/>
      <c r="J87" s="119"/>
      <c r="K87" s="119"/>
      <c r="L87" s="121"/>
      <c r="M87" s="121"/>
      <c r="N87" s="121"/>
      <c r="O87" s="121"/>
      <c r="P87" s="116" t="str">
        <f aca="false">IF(B87="","",SUM(L87:O87))</f>
        <v/>
      </c>
      <c r="Q87" s="116" t="str">
        <f aca="false">IF(B87="","",L87+IF(cfg_EOS_H="نعم",M87,0)+IF(cfg_EOS_T="نعم",N87,0)+IF(cfg_EOS_O="نعم",O87,0))</f>
        <v/>
      </c>
      <c r="R87" s="116" t="str">
        <f aca="false">IF(B87="","",L87+IF(cfg_LV_H="نعم",M87,0)+IF(cfg_LV_T="نعم",N87,0)+IF(cfg_LV_O="نعم",O87,0))</f>
        <v/>
      </c>
      <c r="S87" s="116" t="str">
        <f aca="false">IF(B87="","",MIN(cfg_G_CAP,L87+M87))</f>
        <v/>
      </c>
      <c r="T87" s="122"/>
      <c r="U87" s="118"/>
      <c r="V87" s="121"/>
      <c r="W87" s="122"/>
      <c r="X87" s="121"/>
      <c r="Y87" s="121"/>
      <c r="Z87" s="121"/>
      <c r="AA87" s="121"/>
      <c r="AB87" s="116" t="str">
        <f aca="false">IF(B87="","",IF(X87&lt;&gt;"",X87,IF(E87="غير سعودي",cfg_IQ,0))+IF(Y87&lt;&gt;"",Y87,IF(E87="غير سعودي",cfg_WP,0))+IF(Z87&lt;&gt;"",Z87,cfg_MED)+N(AA87))</f>
        <v/>
      </c>
      <c r="AC87" s="123"/>
      <c r="AD87" s="121"/>
      <c r="AE87" s="119"/>
      <c r="AF87" s="118"/>
      <c r="AG87" s="117" t="str">
        <f aca="false">IF(B87="","",IF(AND(AE87&lt;&gt;"",AE87&lt;=cfg_VAL_DATE),"✖ منتهي الخدمة",IF(H87&gt;cfg_VAL_DATE,"⏳ لم يباشر بعد","✔ على رأس العمل")))</f>
        <v/>
      </c>
      <c r="AH87" s="117" t="str">
        <f aca="false">IF(B87="","",IF(AG87&lt;&gt;"✔ على رأس العمل",AG87,IF(COUNTIFS('سجل الإجازات والحالات'!$B$6:$B$505,B87,'سجل الإجازات والحالات'!$E$6:$E$505,"&lt;="&amp;cfg_VAL_DATE,'سجل الإجازات والحالات'!$F$6:$F$505,"&gt;="&amp;cfg_VAL_DATE)&gt;0,"✈ "&amp;INDEX('سجل الإجازات والحالات'!$D$6:$D$505,MATCH(1,INDEX(('سجل الإجازات والحالات'!$B$6:$B$505=B87)*('سجل الإجازات والحالات'!$E$6:$E$505&lt;=cfg_VAL_DATE)*('سجل الإجازات والحالات'!$F$6:$F$505&gt;=cfg_VAL_DATE),0),0)),"✔ على رأس العمل")))</f>
        <v/>
      </c>
      <c r="AI87" s="118"/>
      <c r="AJ87" s="118"/>
      <c r="AK87" s="118"/>
    </row>
    <row r="88" customFormat="false" ht="15" hidden="false" customHeight="false" outlineLevel="0" collapsed="false">
      <c r="A88" s="106" t="str">
        <f aca="false">IF(B88="","",ROW()-5)</f>
        <v/>
      </c>
      <c r="B88" s="118"/>
      <c r="C88" s="118"/>
      <c r="D88" s="118"/>
      <c r="E88" s="118"/>
      <c r="F88" s="118"/>
      <c r="G88" s="118"/>
      <c r="H88" s="119"/>
      <c r="I88" s="120"/>
      <c r="J88" s="119"/>
      <c r="K88" s="119"/>
      <c r="L88" s="121"/>
      <c r="M88" s="121"/>
      <c r="N88" s="121"/>
      <c r="O88" s="121"/>
      <c r="P88" s="111" t="str">
        <f aca="false">IF(B88="","",SUM(L88:O88))</f>
        <v/>
      </c>
      <c r="Q88" s="111" t="str">
        <f aca="false">IF(B88="","",L88+IF(cfg_EOS_H="نعم",M88,0)+IF(cfg_EOS_T="نعم",N88,0)+IF(cfg_EOS_O="نعم",O88,0))</f>
        <v/>
      </c>
      <c r="R88" s="111" t="str">
        <f aca="false">IF(B88="","",L88+IF(cfg_LV_H="نعم",M88,0)+IF(cfg_LV_T="نعم",N88,0)+IF(cfg_LV_O="نعم",O88,0))</f>
        <v/>
      </c>
      <c r="S88" s="111" t="str">
        <f aca="false">IF(B88="","",MIN(cfg_G_CAP,L88+M88))</f>
        <v/>
      </c>
      <c r="T88" s="122"/>
      <c r="U88" s="118"/>
      <c r="V88" s="121"/>
      <c r="W88" s="122"/>
      <c r="X88" s="121"/>
      <c r="Y88" s="121"/>
      <c r="Z88" s="121"/>
      <c r="AA88" s="121"/>
      <c r="AB88" s="111" t="str">
        <f aca="false">IF(B88="","",IF(X88&lt;&gt;"",X88,IF(E88="غير سعودي",cfg_IQ,0))+IF(Y88&lt;&gt;"",Y88,IF(E88="غير سعودي",cfg_WP,0))+IF(Z88&lt;&gt;"",Z88,cfg_MED)+N(AA88))</f>
        <v/>
      </c>
      <c r="AC88" s="123"/>
      <c r="AD88" s="121"/>
      <c r="AE88" s="119"/>
      <c r="AF88" s="118"/>
      <c r="AG88" s="114" t="str">
        <f aca="false">IF(B88="","",IF(AND(AE88&lt;&gt;"",AE88&lt;=cfg_VAL_DATE),"✖ منتهي الخدمة",IF(H88&gt;cfg_VAL_DATE,"⏳ لم يباشر بعد","✔ على رأس العمل")))</f>
        <v/>
      </c>
      <c r="AH88" s="114" t="str">
        <f aca="false">IF(B88="","",IF(AG88&lt;&gt;"✔ على رأس العمل",AG88,IF(COUNTIFS('سجل الإجازات والحالات'!$B$6:$B$505,B88,'سجل الإجازات والحالات'!$E$6:$E$505,"&lt;="&amp;cfg_VAL_DATE,'سجل الإجازات والحالات'!$F$6:$F$505,"&gt;="&amp;cfg_VAL_DATE)&gt;0,"✈ "&amp;INDEX('سجل الإجازات والحالات'!$D$6:$D$505,MATCH(1,INDEX(('سجل الإجازات والحالات'!$B$6:$B$505=B88)*('سجل الإجازات والحالات'!$E$6:$E$505&lt;=cfg_VAL_DATE)*('سجل الإجازات والحالات'!$F$6:$F$505&gt;=cfg_VAL_DATE),0),0)),"✔ على رأس العمل")))</f>
        <v/>
      </c>
      <c r="AI88" s="118"/>
      <c r="AJ88" s="118"/>
      <c r="AK88" s="118"/>
    </row>
    <row r="89" customFormat="false" ht="15" hidden="false" customHeight="false" outlineLevel="0" collapsed="false">
      <c r="A89" s="115" t="str">
        <f aca="false">IF(B89="","",ROW()-5)</f>
        <v/>
      </c>
      <c r="B89" s="118"/>
      <c r="C89" s="118"/>
      <c r="D89" s="118"/>
      <c r="E89" s="118"/>
      <c r="F89" s="118"/>
      <c r="G89" s="118"/>
      <c r="H89" s="119"/>
      <c r="I89" s="120"/>
      <c r="J89" s="119"/>
      <c r="K89" s="119"/>
      <c r="L89" s="121"/>
      <c r="M89" s="121"/>
      <c r="N89" s="121"/>
      <c r="O89" s="121"/>
      <c r="P89" s="116" t="str">
        <f aca="false">IF(B89="","",SUM(L89:O89))</f>
        <v/>
      </c>
      <c r="Q89" s="116" t="str">
        <f aca="false">IF(B89="","",L89+IF(cfg_EOS_H="نعم",M89,0)+IF(cfg_EOS_T="نعم",N89,0)+IF(cfg_EOS_O="نعم",O89,0))</f>
        <v/>
      </c>
      <c r="R89" s="116" t="str">
        <f aca="false">IF(B89="","",L89+IF(cfg_LV_H="نعم",M89,0)+IF(cfg_LV_T="نعم",N89,0)+IF(cfg_LV_O="نعم",O89,0))</f>
        <v/>
      </c>
      <c r="S89" s="116" t="str">
        <f aca="false">IF(B89="","",MIN(cfg_G_CAP,L89+M89))</f>
        <v/>
      </c>
      <c r="T89" s="122"/>
      <c r="U89" s="118"/>
      <c r="V89" s="121"/>
      <c r="W89" s="122"/>
      <c r="X89" s="121"/>
      <c r="Y89" s="121"/>
      <c r="Z89" s="121"/>
      <c r="AA89" s="121"/>
      <c r="AB89" s="116" t="str">
        <f aca="false">IF(B89="","",IF(X89&lt;&gt;"",X89,IF(E89="غير سعودي",cfg_IQ,0))+IF(Y89&lt;&gt;"",Y89,IF(E89="غير سعودي",cfg_WP,0))+IF(Z89&lt;&gt;"",Z89,cfg_MED)+N(AA89))</f>
        <v/>
      </c>
      <c r="AC89" s="123"/>
      <c r="AD89" s="121"/>
      <c r="AE89" s="119"/>
      <c r="AF89" s="118"/>
      <c r="AG89" s="117" t="str">
        <f aca="false">IF(B89="","",IF(AND(AE89&lt;&gt;"",AE89&lt;=cfg_VAL_DATE),"✖ منتهي الخدمة",IF(H89&gt;cfg_VAL_DATE,"⏳ لم يباشر بعد","✔ على رأس العمل")))</f>
        <v/>
      </c>
      <c r="AH89" s="117" t="str">
        <f aca="false">IF(B89="","",IF(AG89&lt;&gt;"✔ على رأس العمل",AG89,IF(COUNTIFS('سجل الإجازات والحالات'!$B$6:$B$505,B89,'سجل الإجازات والحالات'!$E$6:$E$505,"&lt;="&amp;cfg_VAL_DATE,'سجل الإجازات والحالات'!$F$6:$F$505,"&gt;="&amp;cfg_VAL_DATE)&gt;0,"✈ "&amp;INDEX('سجل الإجازات والحالات'!$D$6:$D$505,MATCH(1,INDEX(('سجل الإجازات والحالات'!$B$6:$B$505=B89)*('سجل الإجازات والحالات'!$E$6:$E$505&lt;=cfg_VAL_DATE)*('سجل الإجازات والحالات'!$F$6:$F$505&gt;=cfg_VAL_DATE),0),0)),"✔ على رأس العمل")))</f>
        <v/>
      </c>
      <c r="AI89" s="118"/>
      <c r="AJ89" s="118"/>
      <c r="AK89" s="118"/>
    </row>
    <row r="90" customFormat="false" ht="15" hidden="false" customHeight="false" outlineLevel="0" collapsed="false">
      <c r="A90" s="106" t="str">
        <f aca="false">IF(B90="","",ROW()-5)</f>
        <v/>
      </c>
      <c r="B90" s="118"/>
      <c r="C90" s="118"/>
      <c r="D90" s="118"/>
      <c r="E90" s="118"/>
      <c r="F90" s="118"/>
      <c r="G90" s="118"/>
      <c r="H90" s="119"/>
      <c r="I90" s="120"/>
      <c r="J90" s="119"/>
      <c r="K90" s="119"/>
      <c r="L90" s="121"/>
      <c r="M90" s="121"/>
      <c r="N90" s="121"/>
      <c r="O90" s="121"/>
      <c r="P90" s="111" t="str">
        <f aca="false">IF(B90="","",SUM(L90:O90))</f>
        <v/>
      </c>
      <c r="Q90" s="111" t="str">
        <f aca="false">IF(B90="","",L90+IF(cfg_EOS_H="نعم",M90,0)+IF(cfg_EOS_T="نعم",N90,0)+IF(cfg_EOS_O="نعم",O90,0))</f>
        <v/>
      </c>
      <c r="R90" s="111" t="str">
        <f aca="false">IF(B90="","",L90+IF(cfg_LV_H="نعم",M90,0)+IF(cfg_LV_T="نعم",N90,0)+IF(cfg_LV_O="نعم",O90,0))</f>
        <v/>
      </c>
      <c r="S90" s="111" t="str">
        <f aca="false">IF(B90="","",MIN(cfg_G_CAP,L90+M90))</f>
        <v/>
      </c>
      <c r="T90" s="122"/>
      <c r="U90" s="118"/>
      <c r="V90" s="121"/>
      <c r="W90" s="122"/>
      <c r="X90" s="121"/>
      <c r="Y90" s="121"/>
      <c r="Z90" s="121"/>
      <c r="AA90" s="121"/>
      <c r="AB90" s="111" t="str">
        <f aca="false">IF(B90="","",IF(X90&lt;&gt;"",X90,IF(E90="غير سعودي",cfg_IQ,0))+IF(Y90&lt;&gt;"",Y90,IF(E90="غير سعودي",cfg_WP,0))+IF(Z90&lt;&gt;"",Z90,cfg_MED)+N(AA90))</f>
        <v/>
      </c>
      <c r="AC90" s="123"/>
      <c r="AD90" s="121"/>
      <c r="AE90" s="119"/>
      <c r="AF90" s="118"/>
      <c r="AG90" s="114" t="str">
        <f aca="false">IF(B90="","",IF(AND(AE90&lt;&gt;"",AE90&lt;=cfg_VAL_DATE),"✖ منتهي الخدمة",IF(H90&gt;cfg_VAL_DATE,"⏳ لم يباشر بعد","✔ على رأس العمل")))</f>
        <v/>
      </c>
      <c r="AH90" s="114" t="str">
        <f aca="false">IF(B90="","",IF(AG90&lt;&gt;"✔ على رأس العمل",AG90,IF(COUNTIFS('سجل الإجازات والحالات'!$B$6:$B$505,B90,'سجل الإجازات والحالات'!$E$6:$E$505,"&lt;="&amp;cfg_VAL_DATE,'سجل الإجازات والحالات'!$F$6:$F$505,"&gt;="&amp;cfg_VAL_DATE)&gt;0,"✈ "&amp;INDEX('سجل الإجازات والحالات'!$D$6:$D$505,MATCH(1,INDEX(('سجل الإجازات والحالات'!$B$6:$B$505=B90)*('سجل الإجازات والحالات'!$E$6:$E$505&lt;=cfg_VAL_DATE)*('سجل الإجازات والحالات'!$F$6:$F$505&gt;=cfg_VAL_DATE),0),0)),"✔ على رأس العمل")))</f>
        <v/>
      </c>
      <c r="AI90" s="118"/>
      <c r="AJ90" s="118"/>
      <c r="AK90" s="118"/>
    </row>
    <row r="91" customFormat="false" ht="15" hidden="false" customHeight="false" outlineLevel="0" collapsed="false">
      <c r="A91" s="115" t="str">
        <f aca="false">IF(B91="","",ROW()-5)</f>
        <v/>
      </c>
      <c r="B91" s="118"/>
      <c r="C91" s="118"/>
      <c r="D91" s="118"/>
      <c r="E91" s="118"/>
      <c r="F91" s="118"/>
      <c r="G91" s="118"/>
      <c r="H91" s="119"/>
      <c r="I91" s="120"/>
      <c r="J91" s="119"/>
      <c r="K91" s="119"/>
      <c r="L91" s="121"/>
      <c r="M91" s="121"/>
      <c r="N91" s="121"/>
      <c r="O91" s="121"/>
      <c r="P91" s="116" t="str">
        <f aca="false">IF(B91="","",SUM(L91:O91))</f>
        <v/>
      </c>
      <c r="Q91" s="116" t="str">
        <f aca="false">IF(B91="","",L91+IF(cfg_EOS_H="نعم",M91,0)+IF(cfg_EOS_T="نعم",N91,0)+IF(cfg_EOS_O="نعم",O91,0))</f>
        <v/>
      </c>
      <c r="R91" s="116" t="str">
        <f aca="false">IF(B91="","",L91+IF(cfg_LV_H="نعم",M91,0)+IF(cfg_LV_T="نعم",N91,0)+IF(cfg_LV_O="نعم",O91,0))</f>
        <v/>
      </c>
      <c r="S91" s="116" t="str">
        <f aca="false">IF(B91="","",MIN(cfg_G_CAP,L91+M91))</f>
        <v/>
      </c>
      <c r="T91" s="122"/>
      <c r="U91" s="118"/>
      <c r="V91" s="121"/>
      <c r="W91" s="122"/>
      <c r="X91" s="121"/>
      <c r="Y91" s="121"/>
      <c r="Z91" s="121"/>
      <c r="AA91" s="121"/>
      <c r="AB91" s="116" t="str">
        <f aca="false">IF(B91="","",IF(X91&lt;&gt;"",X91,IF(E91="غير سعودي",cfg_IQ,0))+IF(Y91&lt;&gt;"",Y91,IF(E91="غير سعودي",cfg_WP,0))+IF(Z91&lt;&gt;"",Z91,cfg_MED)+N(AA91))</f>
        <v/>
      </c>
      <c r="AC91" s="123"/>
      <c r="AD91" s="121"/>
      <c r="AE91" s="119"/>
      <c r="AF91" s="118"/>
      <c r="AG91" s="117" t="str">
        <f aca="false">IF(B91="","",IF(AND(AE91&lt;&gt;"",AE91&lt;=cfg_VAL_DATE),"✖ منتهي الخدمة",IF(H91&gt;cfg_VAL_DATE,"⏳ لم يباشر بعد","✔ على رأس العمل")))</f>
        <v/>
      </c>
      <c r="AH91" s="117" t="str">
        <f aca="false">IF(B91="","",IF(AG91&lt;&gt;"✔ على رأس العمل",AG91,IF(COUNTIFS('سجل الإجازات والحالات'!$B$6:$B$505,B91,'سجل الإجازات والحالات'!$E$6:$E$505,"&lt;="&amp;cfg_VAL_DATE,'سجل الإجازات والحالات'!$F$6:$F$505,"&gt;="&amp;cfg_VAL_DATE)&gt;0,"✈ "&amp;INDEX('سجل الإجازات والحالات'!$D$6:$D$505,MATCH(1,INDEX(('سجل الإجازات والحالات'!$B$6:$B$505=B91)*('سجل الإجازات والحالات'!$E$6:$E$505&lt;=cfg_VAL_DATE)*('سجل الإجازات والحالات'!$F$6:$F$505&gt;=cfg_VAL_DATE),0),0)),"✔ على رأس العمل")))</f>
        <v/>
      </c>
      <c r="AI91" s="118"/>
      <c r="AJ91" s="118"/>
      <c r="AK91" s="118"/>
    </row>
    <row r="92" customFormat="false" ht="15" hidden="false" customHeight="false" outlineLevel="0" collapsed="false">
      <c r="A92" s="106" t="str">
        <f aca="false">IF(B92="","",ROW()-5)</f>
        <v/>
      </c>
      <c r="B92" s="118"/>
      <c r="C92" s="118"/>
      <c r="D92" s="118"/>
      <c r="E92" s="118"/>
      <c r="F92" s="118"/>
      <c r="G92" s="118"/>
      <c r="H92" s="119"/>
      <c r="I92" s="120"/>
      <c r="J92" s="119"/>
      <c r="K92" s="119"/>
      <c r="L92" s="121"/>
      <c r="M92" s="121"/>
      <c r="N92" s="121"/>
      <c r="O92" s="121"/>
      <c r="P92" s="111" t="str">
        <f aca="false">IF(B92="","",SUM(L92:O92))</f>
        <v/>
      </c>
      <c r="Q92" s="111" t="str">
        <f aca="false">IF(B92="","",L92+IF(cfg_EOS_H="نعم",M92,0)+IF(cfg_EOS_T="نعم",N92,0)+IF(cfg_EOS_O="نعم",O92,0))</f>
        <v/>
      </c>
      <c r="R92" s="111" t="str">
        <f aca="false">IF(B92="","",L92+IF(cfg_LV_H="نعم",M92,0)+IF(cfg_LV_T="نعم",N92,0)+IF(cfg_LV_O="نعم",O92,0))</f>
        <v/>
      </c>
      <c r="S92" s="111" t="str">
        <f aca="false">IF(B92="","",MIN(cfg_G_CAP,L92+M92))</f>
        <v/>
      </c>
      <c r="T92" s="122"/>
      <c r="U92" s="118"/>
      <c r="V92" s="121"/>
      <c r="W92" s="122"/>
      <c r="X92" s="121"/>
      <c r="Y92" s="121"/>
      <c r="Z92" s="121"/>
      <c r="AA92" s="121"/>
      <c r="AB92" s="111" t="str">
        <f aca="false">IF(B92="","",IF(X92&lt;&gt;"",X92,IF(E92="غير سعودي",cfg_IQ,0))+IF(Y92&lt;&gt;"",Y92,IF(E92="غير سعودي",cfg_WP,0))+IF(Z92&lt;&gt;"",Z92,cfg_MED)+N(AA92))</f>
        <v/>
      </c>
      <c r="AC92" s="123"/>
      <c r="AD92" s="121"/>
      <c r="AE92" s="119"/>
      <c r="AF92" s="118"/>
      <c r="AG92" s="114" t="str">
        <f aca="false">IF(B92="","",IF(AND(AE92&lt;&gt;"",AE92&lt;=cfg_VAL_DATE),"✖ منتهي الخدمة",IF(H92&gt;cfg_VAL_DATE,"⏳ لم يباشر بعد","✔ على رأس العمل")))</f>
        <v/>
      </c>
      <c r="AH92" s="114" t="str">
        <f aca="false">IF(B92="","",IF(AG92&lt;&gt;"✔ على رأس العمل",AG92,IF(COUNTIFS('سجل الإجازات والحالات'!$B$6:$B$505,B92,'سجل الإجازات والحالات'!$E$6:$E$505,"&lt;="&amp;cfg_VAL_DATE,'سجل الإجازات والحالات'!$F$6:$F$505,"&gt;="&amp;cfg_VAL_DATE)&gt;0,"✈ "&amp;INDEX('سجل الإجازات والحالات'!$D$6:$D$505,MATCH(1,INDEX(('سجل الإجازات والحالات'!$B$6:$B$505=B92)*('سجل الإجازات والحالات'!$E$6:$E$505&lt;=cfg_VAL_DATE)*('سجل الإجازات والحالات'!$F$6:$F$505&gt;=cfg_VAL_DATE),0),0)),"✔ على رأس العمل")))</f>
        <v/>
      </c>
      <c r="AI92" s="118"/>
      <c r="AJ92" s="118"/>
      <c r="AK92" s="118"/>
    </row>
    <row r="93" customFormat="false" ht="15" hidden="false" customHeight="false" outlineLevel="0" collapsed="false">
      <c r="A93" s="115" t="str">
        <f aca="false">IF(B93="","",ROW()-5)</f>
        <v/>
      </c>
      <c r="B93" s="118"/>
      <c r="C93" s="118"/>
      <c r="D93" s="118"/>
      <c r="E93" s="118"/>
      <c r="F93" s="118"/>
      <c r="G93" s="118"/>
      <c r="H93" s="119"/>
      <c r="I93" s="120"/>
      <c r="J93" s="119"/>
      <c r="K93" s="119"/>
      <c r="L93" s="121"/>
      <c r="M93" s="121"/>
      <c r="N93" s="121"/>
      <c r="O93" s="121"/>
      <c r="P93" s="116" t="str">
        <f aca="false">IF(B93="","",SUM(L93:O93))</f>
        <v/>
      </c>
      <c r="Q93" s="116" t="str">
        <f aca="false">IF(B93="","",L93+IF(cfg_EOS_H="نعم",M93,0)+IF(cfg_EOS_T="نعم",N93,0)+IF(cfg_EOS_O="نعم",O93,0))</f>
        <v/>
      </c>
      <c r="R93" s="116" t="str">
        <f aca="false">IF(B93="","",L93+IF(cfg_LV_H="نعم",M93,0)+IF(cfg_LV_T="نعم",N93,0)+IF(cfg_LV_O="نعم",O93,0))</f>
        <v/>
      </c>
      <c r="S93" s="116" t="str">
        <f aca="false">IF(B93="","",MIN(cfg_G_CAP,L93+M93))</f>
        <v/>
      </c>
      <c r="T93" s="122"/>
      <c r="U93" s="118"/>
      <c r="V93" s="121"/>
      <c r="W93" s="122"/>
      <c r="X93" s="121"/>
      <c r="Y93" s="121"/>
      <c r="Z93" s="121"/>
      <c r="AA93" s="121"/>
      <c r="AB93" s="116" t="str">
        <f aca="false">IF(B93="","",IF(X93&lt;&gt;"",X93,IF(E93="غير سعودي",cfg_IQ,0))+IF(Y93&lt;&gt;"",Y93,IF(E93="غير سعودي",cfg_WP,0))+IF(Z93&lt;&gt;"",Z93,cfg_MED)+N(AA93))</f>
        <v/>
      </c>
      <c r="AC93" s="123"/>
      <c r="AD93" s="121"/>
      <c r="AE93" s="119"/>
      <c r="AF93" s="118"/>
      <c r="AG93" s="117" t="str">
        <f aca="false">IF(B93="","",IF(AND(AE93&lt;&gt;"",AE93&lt;=cfg_VAL_DATE),"✖ منتهي الخدمة",IF(H93&gt;cfg_VAL_DATE,"⏳ لم يباشر بعد","✔ على رأس العمل")))</f>
        <v/>
      </c>
      <c r="AH93" s="117" t="str">
        <f aca="false">IF(B93="","",IF(AG93&lt;&gt;"✔ على رأس العمل",AG93,IF(COUNTIFS('سجل الإجازات والحالات'!$B$6:$B$505,B93,'سجل الإجازات والحالات'!$E$6:$E$505,"&lt;="&amp;cfg_VAL_DATE,'سجل الإجازات والحالات'!$F$6:$F$505,"&gt;="&amp;cfg_VAL_DATE)&gt;0,"✈ "&amp;INDEX('سجل الإجازات والحالات'!$D$6:$D$505,MATCH(1,INDEX(('سجل الإجازات والحالات'!$B$6:$B$505=B93)*('سجل الإجازات والحالات'!$E$6:$E$505&lt;=cfg_VAL_DATE)*('سجل الإجازات والحالات'!$F$6:$F$505&gt;=cfg_VAL_DATE),0),0)),"✔ على رأس العمل")))</f>
        <v/>
      </c>
      <c r="AI93" s="118"/>
      <c r="AJ93" s="118"/>
      <c r="AK93" s="118"/>
    </row>
    <row r="94" customFormat="false" ht="15" hidden="false" customHeight="false" outlineLevel="0" collapsed="false">
      <c r="A94" s="106" t="str">
        <f aca="false">IF(B94="","",ROW()-5)</f>
        <v/>
      </c>
      <c r="B94" s="118"/>
      <c r="C94" s="118"/>
      <c r="D94" s="118"/>
      <c r="E94" s="118"/>
      <c r="F94" s="118"/>
      <c r="G94" s="118"/>
      <c r="H94" s="119"/>
      <c r="I94" s="120"/>
      <c r="J94" s="119"/>
      <c r="K94" s="119"/>
      <c r="L94" s="121"/>
      <c r="M94" s="121"/>
      <c r="N94" s="121"/>
      <c r="O94" s="121"/>
      <c r="P94" s="111" t="str">
        <f aca="false">IF(B94="","",SUM(L94:O94))</f>
        <v/>
      </c>
      <c r="Q94" s="111" t="str">
        <f aca="false">IF(B94="","",L94+IF(cfg_EOS_H="نعم",M94,0)+IF(cfg_EOS_T="نعم",N94,0)+IF(cfg_EOS_O="نعم",O94,0))</f>
        <v/>
      </c>
      <c r="R94" s="111" t="str">
        <f aca="false">IF(B94="","",L94+IF(cfg_LV_H="نعم",M94,0)+IF(cfg_LV_T="نعم",N94,0)+IF(cfg_LV_O="نعم",O94,0))</f>
        <v/>
      </c>
      <c r="S94" s="111" t="str">
        <f aca="false">IF(B94="","",MIN(cfg_G_CAP,L94+M94))</f>
        <v/>
      </c>
      <c r="T94" s="122"/>
      <c r="U94" s="118"/>
      <c r="V94" s="121"/>
      <c r="W94" s="122"/>
      <c r="X94" s="121"/>
      <c r="Y94" s="121"/>
      <c r="Z94" s="121"/>
      <c r="AA94" s="121"/>
      <c r="AB94" s="111" t="str">
        <f aca="false">IF(B94="","",IF(X94&lt;&gt;"",X94,IF(E94="غير سعودي",cfg_IQ,0))+IF(Y94&lt;&gt;"",Y94,IF(E94="غير سعودي",cfg_WP,0))+IF(Z94&lt;&gt;"",Z94,cfg_MED)+N(AA94))</f>
        <v/>
      </c>
      <c r="AC94" s="123"/>
      <c r="AD94" s="121"/>
      <c r="AE94" s="119"/>
      <c r="AF94" s="118"/>
      <c r="AG94" s="114" t="str">
        <f aca="false">IF(B94="","",IF(AND(AE94&lt;&gt;"",AE94&lt;=cfg_VAL_DATE),"✖ منتهي الخدمة",IF(H94&gt;cfg_VAL_DATE,"⏳ لم يباشر بعد","✔ على رأس العمل")))</f>
        <v/>
      </c>
      <c r="AH94" s="114" t="str">
        <f aca="false">IF(B94="","",IF(AG94&lt;&gt;"✔ على رأس العمل",AG94,IF(COUNTIFS('سجل الإجازات والحالات'!$B$6:$B$505,B94,'سجل الإجازات والحالات'!$E$6:$E$505,"&lt;="&amp;cfg_VAL_DATE,'سجل الإجازات والحالات'!$F$6:$F$505,"&gt;="&amp;cfg_VAL_DATE)&gt;0,"✈ "&amp;INDEX('سجل الإجازات والحالات'!$D$6:$D$505,MATCH(1,INDEX(('سجل الإجازات والحالات'!$B$6:$B$505=B94)*('سجل الإجازات والحالات'!$E$6:$E$505&lt;=cfg_VAL_DATE)*('سجل الإجازات والحالات'!$F$6:$F$505&gt;=cfg_VAL_DATE),0),0)),"✔ على رأس العمل")))</f>
        <v/>
      </c>
      <c r="AI94" s="118"/>
      <c r="AJ94" s="118"/>
      <c r="AK94" s="118"/>
    </row>
    <row r="95" customFormat="false" ht="15" hidden="false" customHeight="false" outlineLevel="0" collapsed="false">
      <c r="A95" s="115" t="str">
        <f aca="false">IF(B95="","",ROW()-5)</f>
        <v/>
      </c>
      <c r="B95" s="118"/>
      <c r="C95" s="118"/>
      <c r="D95" s="118"/>
      <c r="E95" s="118"/>
      <c r="F95" s="118"/>
      <c r="G95" s="118"/>
      <c r="H95" s="119"/>
      <c r="I95" s="120"/>
      <c r="J95" s="119"/>
      <c r="K95" s="119"/>
      <c r="L95" s="121"/>
      <c r="M95" s="121"/>
      <c r="N95" s="121"/>
      <c r="O95" s="121"/>
      <c r="P95" s="116" t="str">
        <f aca="false">IF(B95="","",SUM(L95:O95))</f>
        <v/>
      </c>
      <c r="Q95" s="116" t="str">
        <f aca="false">IF(B95="","",L95+IF(cfg_EOS_H="نعم",M95,0)+IF(cfg_EOS_T="نعم",N95,0)+IF(cfg_EOS_O="نعم",O95,0))</f>
        <v/>
      </c>
      <c r="R95" s="116" t="str">
        <f aca="false">IF(B95="","",L95+IF(cfg_LV_H="نعم",M95,0)+IF(cfg_LV_T="نعم",N95,0)+IF(cfg_LV_O="نعم",O95,0))</f>
        <v/>
      </c>
      <c r="S95" s="116" t="str">
        <f aca="false">IF(B95="","",MIN(cfg_G_CAP,L95+M95))</f>
        <v/>
      </c>
      <c r="T95" s="122"/>
      <c r="U95" s="118"/>
      <c r="V95" s="121"/>
      <c r="W95" s="122"/>
      <c r="X95" s="121"/>
      <c r="Y95" s="121"/>
      <c r="Z95" s="121"/>
      <c r="AA95" s="121"/>
      <c r="AB95" s="116" t="str">
        <f aca="false">IF(B95="","",IF(X95&lt;&gt;"",X95,IF(E95="غير سعودي",cfg_IQ,0))+IF(Y95&lt;&gt;"",Y95,IF(E95="غير سعودي",cfg_WP,0))+IF(Z95&lt;&gt;"",Z95,cfg_MED)+N(AA95))</f>
        <v/>
      </c>
      <c r="AC95" s="123"/>
      <c r="AD95" s="121"/>
      <c r="AE95" s="119"/>
      <c r="AF95" s="118"/>
      <c r="AG95" s="117" t="str">
        <f aca="false">IF(B95="","",IF(AND(AE95&lt;&gt;"",AE95&lt;=cfg_VAL_DATE),"✖ منتهي الخدمة",IF(H95&gt;cfg_VAL_DATE,"⏳ لم يباشر بعد","✔ على رأس العمل")))</f>
        <v/>
      </c>
      <c r="AH95" s="117" t="str">
        <f aca="false">IF(B95="","",IF(AG95&lt;&gt;"✔ على رأس العمل",AG95,IF(COUNTIFS('سجل الإجازات والحالات'!$B$6:$B$505,B95,'سجل الإجازات والحالات'!$E$6:$E$505,"&lt;="&amp;cfg_VAL_DATE,'سجل الإجازات والحالات'!$F$6:$F$505,"&gt;="&amp;cfg_VAL_DATE)&gt;0,"✈ "&amp;INDEX('سجل الإجازات والحالات'!$D$6:$D$505,MATCH(1,INDEX(('سجل الإجازات والحالات'!$B$6:$B$505=B95)*('سجل الإجازات والحالات'!$E$6:$E$505&lt;=cfg_VAL_DATE)*('سجل الإجازات والحالات'!$F$6:$F$505&gt;=cfg_VAL_DATE),0),0)),"✔ على رأس العمل")))</f>
        <v/>
      </c>
      <c r="AI95" s="118"/>
      <c r="AJ95" s="118"/>
      <c r="AK95" s="118"/>
    </row>
    <row r="96" customFormat="false" ht="15" hidden="false" customHeight="false" outlineLevel="0" collapsed="false">
      <c r="A96" s="106" t="str">
        <f aca="false">IF(B96="","",ROW()-5)</f>
        <v/>
      </c>
      <c r="B96" s="118"/>
      <c r="C96" s="118"/>
      <c r="D96" s="118"/>
      <c r="E96" s="118"/>
      <c r="F96" s="118"/>
      <c r="G96" s="118"/>
      <c r="H96" s="119"/>
      <c r="I96" s="120"/>
      <c r="J96" s="119"/>
      <c r="K96" s="119"/>
      <c r="L96" s="121"/>
      <c r="M96" s="121"/>
      <c r="N96" s="121"/>
      <c r="O96" s="121"/>
      <c r="P96" s="111" t="str">
        <f aca="false">IF(B96="","",SUM(L96:O96))</f>
        <v/>
      </c>
      <c r="Q96" s="111" t="str">
        <f aca="false">IF(B96="","",L96+IF(cfg_EOS_H="نعم",M96,0)+IF(cfg_EOS_T="نعم",N96,0)+IF(cfg_EOS_O="نعم",O96,0))</f>
        <v/>
      </c>
      <c r="R96" s="111" t="str">
        <f aca="false">IF(B96="","",L96+IF(cfg_LV_H="نعم",M96,0)+IF(cfg_LV_T="نعم",N96,0)+IF(cfg_LV_O="نعم",O96,0))</f>
        <v/>
      </c>
      <c r="S96" s="111" t="str">
        <f aca="false">IF(B96="","",MIN(cfg_G_CAP,L96+M96))</f>
        <v/>
      </c>
      <c r="T96" s="122"/>
      <c r="U96" s="118"/>
      <c r="V96" s="121"/>
      <c r="W96" s="122"/>
      <c r="X96" s="121"/>
      <c r="Y96" s="121"/>
      <c r="Z96" s="121"/>
      <c r="AA96" s="121"/>
      <c r="AB96" s="111" t="str">
        <f aca="false">IF(B96="","",IF(X96&lt;&gt;"",X96,IF(E96="غير سعودي",cfg_IQ,0))+IF(Y96&lt;&gt;"",Y96,IF(E96="غير سعودي",cfg_WP,0))+IF(Z96&lt;&gt;"",Z96,cfg_MED)+N(AA96))</f>
        <v/>
      </c>
      <c r="AC96" s="123"/>
      <c r="AD96" s="121"/>
      <c r="AE96" s="119"/>
      <c r="AF96" s="118"/>
      <c r="AG96" s="114" t="str">
        <f aca="false">IF(B96="","",IF(AND(AE96&lt;&gt;"",AE96&lt;=cfg_VAL_DATE),"✖ منتهي الخدمة",IF(H96&gt;cfg_VAL_DATE,"⏳ لم يباشر بعد","✔ على رأس العمل")))</f>
        <v/>
      </c>
      <c r="AH96" s="114" t="str">
        <f aca="false">IF(B96="","",IF(AG96&lt;&gt;"✔ على رأس العمل",AG96,IF(COUNTIFS('سجل الإجازات والحالات'!$B$6:$B$505,B96,'سجل الإجازات والحالات'!$E$6:$E$505,"&lt;="&amp;cfg_VAL_DATE,'سجل الإجازات والحالات'!$F$6:$F$505,"&gt;="&amp;cfg_VAL_DATE)&gt;0,"✈ "&amp;INDEX('سجل الإجازات والحالات'!$D$6:$D$505,MATCH(1,INDEX(('سجل الإجازات والحالات'!$B$6:$B$505=B96)*('سجل الإجازات والحالات'!$E$6:$E$505&lt;=cfg_VAL_DATE)*('سجل الإجازات والحالات'!$F$6:$F$505&gt;=cfg_VAL_DATE),0),0)),"✔ على رأس العمل")))</f>
        <v/>
      </c>
      <c r="AI96" s="118"/>
      <c r="AJ96" s="118"/>
      <c r="AK96" s="118"/>
    </row>
    <row r="97" customFormat="false" ht="15" hidden="false" customHeight="false" outlineLevel="0" collapsed="false">
      <c r="A97" s="115" t="str">
        <f aca="false">IF(B97="","",ROW()-5)</f>
        <v/>
      </c>
      <c r="B97" s="118"/>
      <c r="C97" s="118"/>
      <c r="D97" s="118"/>
      <c r="E97" s="118"/>
      <c r="F97" s="118"/>
      <c r="G97" s="118"/>
      <c r="H97" s="119"/>
      <c r="I97" s="120"/>
      <c r="J97" s="119"/>
      <c r="K97" s="119"/>
      <c r="L97" s="121"/>
      <c r="M97" s="121"/>
      <c r="N97" s="121"/>
      <c r="O97" s="121"/>
      <c r="P97" s="116" t="str">
        <f aca="false">IF(B97="","",SUM(L97:O97))</f>
        <v/>
      </c>
      <c r="Q97" s="116" t="str">
        <f aca="false">IF(B97="","",L97+IF(cfg_EOS_H="نعم",M97,0)+IF(cfg_EOS_T="نعم",N97,0)+IF(cfg_EOS_O="نعم",O97,0))</f>
        <v/>
      </c>
      <c r="R97" s="116" t="str">
        <f aca="false">IF(B97="","",L97+IF(cfg_LV_H="نعم",M97,0)+IF(cfg_LV_T="نعم",N97,0)+IF(cfg_LV_O="نعم",O97,0))</f>
        <v/>
      </c>
      <c r="S97" s="116" t="str">
        <f aca="false">IF(B97="","",MIN(cfg_G_CAP,L97+M97))</f>
        <v/>
      </c>
      <c r="T97" s="122"/>
      <c r="U97" s="118"/>
      <c r="V97" s="121"/>
      <c r="W97" s="122"/>
      <c r="X97" s="121"/>
      <c r="Y97" s="121"/>
      <c r="Z97" s="121"/>
      <c r="AA97" s="121"/>
      <c r="AB97" s="116" t="str">
        <f aca="false">IF(B97="","",IF(X97&lt;&gt;"",X97,IF(E97="غير سعودي",cfg_IQ,0))+IF(Y97&lt;&gt;"",Y97,IF(E97="غير سعودي",cfg_WP,0))+IF(Z97&lt;&gt;"",Z97,cfg_MED)+N(AA97))</f>
        <v/>
      </c>
      <c r="AC97" s="123"/>
      <c r="AD97" s="121"/>
      <c r="AE97" s="119"/>
      <c r="AF97" s="118"/>
      <c r="AG97" s="117" t="str">
        <f aca="false">IF(B97="","",IF(AND(AE97&lt;&gt;"",AE97&lt;=cfg_VAL_DATE),"✖ منتهي الخدمة",IF(H97&gt;cfg_VAL_DATE,"⏳ لم يباشر بعد","✔ على رأس العمل")))</f>
        <v/>
      </c>
      <c r="AH97" s="117" t="str">
        <f aca="false">IF(B97="","",IF(AG97&lt;&gt;"✔ على رأس العمل",AG97,IF(COUNTIFS('سجل الإجازات والحالات'!$B$6:$B$505,B97,'سجل الإجازات والحالات'!$E$6:$E$505,"&lt;="&amp;cfg_VAL_DATE,'سجل الإجازات والحالات'!$F$6:$F$505,"&gt;="&amp;cfg_VAL_DATE)&gt;0,"✈ "&amp;INDEX('سجل الإجازات والحالات'!$D$6:$D$505,MATCH(1,INDEX(('سجل الإجازات والحالات'!$B$6:$B$505=B97)*('سجل الإجازات والحالات'!$E$6:$E$505&lt;=cfg_VAL_DATE)*('سجل الإجازات والحالات'!$F$6:$F$505&gt;=cfg_VAL_DATE),0),0)),"✔ على رأس العمل")))</f>
        <v/>
      </c>
      <c r="AI97" s="118"/>
      <c r="AJ97" s="118"/>
      <c r="AK97" s="118"/>
    </row>
    <row r="98" customFormat="false" ht="15" hidden="false" customHeight="false" outlineLevel="0" collapsed="false">
      <c r="A98" s="106" t="str">
        <f aca="false">IF(B98="","",ROW()-5)</f>
        <v/>
      </c>
      <c r="B98" s="118"/>
      <c r="C98" s="118"/>
      <c r="D98" s="118"/>
      <c r="E98" s="118"/>
      <c r="F98" s="118"/>
      <c r="G98" s="118"/>
      <c r="H98" s="119"/>
      <c r="I98" s="120"/>
      <c r="J98" s="119"/>
      <c r="K98" s="119"/>
      <c r="L98" s="121"/>
      <c r="M98" s="121"/>
      <c r="N98" s="121"/>
      <c r="O98" s="121"/>
      <c r="P98" s="111" t="str">
        <f aca="false">IF(B98="","",SUM(L98:O98))</f>
        <v/>
      </c>
      <c r="Q98" s="111" t="str">
        <f aca="false">IF(B98="","",L98+IF(cfg_EOS_H="نعم",M98,0)+IF(cfg_EOS_T="نعم",N98,0)+IF(cfg_EOS_O="نعم",O98,0))</f>
        <v/>
      </c>
      <c r="R98" s="111" t="str">
        <f aca="false">IF(B98="","",L98+IF(cfg_LV_H="نعم",M98,0)+IF(cfg_LV_T="نعم",N98,0)+IF(cfg_LV_O="نعم",O98,0))</f>
        <v/>
      </c>
      <c r="S98" s="111" t="str">
        <f aca="false">IF(B98="","",MIN(cfg_G_CAP,L98+M98))</f>
        <v/>
      </c>
      <c r="T98" s="122"/>
      <c r="U98" s="118"/>
      <c r="V98" s="121"/>
      <c r="W98" s="122"/>
      <c r="X98" s="121"/>
      <c r="Y98" s="121"/>
      <c r="Z98" s="121"/>
      <c r="AA98" s="121"/>
      <c r="AB98" s="111" t="str">
        <f aca="false">IF(B98="","",IF(X98&lt;&gt;"",X98,IF(E98="غير سعودي",cfg_IQ,0))+IF(Y98&lt;&gt;"",Y98,IF(E98="غير سعودي",cfg_WP,0))+IF(Z98&lt;&gt;"",Z98,cfg_MED)+N(AA98))</f>
        <v/>
      </c>
      <c r="AC98" s="123"/>
      <c r="AD98" s="121"/>
      <c r="AE98" s="119"/>
      <c r="AF98" s="118"/>
      <c r="AG98" s="114" t="str">
        <f aca="false">IF(B98="","",IF(AND(AE98&lt;&gt;"",AE98&lt;=cfg_VAL_DATE),"✖ منتهي الخدمة",IF(H98&gt;cfg_VAL_DATE,"⏳ لم يباشر بعد","✔ على رأس العمل")))</f>
        <v/>
      </c>
      <c r="AH98" s="114" t="str">
        <f aca="false">IF(B98="","",IF(AG98&lt;&gt;"✔ على رأس العمل",AG98,IF(COUNTIFS('سجل الإجازات والحالات'!$B$6:$B$505,B98,'سجل الإجازات والحالات'!$E$6:$E$505,"&lt;="&amp;cfg_VAL_DATE,'سجل الإجازات والحالات'!$F$6:$F$505,"&gt;="&amp;cfg_VAL_DATE)&gt;0,"✈ "&amp;INDEX('سجل الإجازات والحالات'!$D$6:$D$505,MATCH(1,INDEX(('سجل الإجازات والحالات'!$B$6:$B$505=B98)*('سجل الإجازات والحالات'!$E$6:$E$505&lt;=cfg_VAL_DATE)*('سجل الإجازات والحالات'!$F$6:$F$505&gt;=cfg_VAL_DATE),0),0)),"✔ على رأس العمل")))</f>
        <v/>
      </c>
      <c r="AI98" s="118"/>
      <c r="AJ98" s="118"/>
      <c r="AK98" s="118"/>
    </row>
    <row r="99" customFormat="false" ht="15" hidden="false" customHeight="false" outlineLevel="0" collapsed="false">
      <c r="A99" s="115" t="str">
        <f aca="false">IF(B99="","",ROW()-5)</f>
        <v/>
      </c>
      <c r="B99" s="118"/>
      <c r="C99" s="118"/>
      <c r="D99" s="118"/>
      <c r="E99" s="118"/>
      <c r="F99" s="118"/>
      <c r="G99" s="118"/>
      <c r="H99" s="119"/>
      <c r="I99" s="120"/>
      <c r="J99" s="119"/>
      <c r="K99" s="119"/>
      <c r="L99" s="121"/>
      <c r="M99" s="121"/>
      <c r="N99" s="121"/>
      <c r="O99" s="121"/>
      <c r="P99" s="116" t="str">
        <f aca="false">IF(B99="","",SUM(L99:O99))</f>
        <v/>
      </c>
      <c r="Q99" s="116" t="str">
        <f aca="false">IF(B99="","",L99+IF(cfg_EOS_H="نعم",M99,0)+IF(cfg_EOS_T="نعم",N99,0)+IF(cfg_EOS_O="نعم",O99,0))</f>
        <v/>
      </c>
      <c r="R99" s="116" t="str">
        <f aca="false">IF(B99="","",L99+IF(cfg_LV_H="نعم",M99,0)+IF(cfg_LV_T="نعم",N99,0)+IF(cfg_LV_O="نعم",O99,0))</f>
        <v/>
      </c>
      <c r="S99" s="116" t="str">
        <f aca="false">IF(B99="","",MIN(cfg_G_CAP,L99+M99))</f>
        <v/>
      </c>
      <c r="T99" s="122"/>
      <c r="U99" s="118"/>
      <c r="V99" s="121"/>
      <c r="W99" s="122"/>
      <c r="X99" s="121"/>
      <c r="Y99" s="121"/>
      <c r="Z99" s="121"/>
      <c r="AA99" s="121"/>
      <c r="AB99" s="116" t="str">
        <f aca="false">IF(B99="","",IF(X99&lt;&gt;"",X99,IF(E99="غير سعودي",cfg_IQ,0))+IF(Y99&lt;&gt;"",Y99,IF(E99="غير سعودي",cfg_WP,0))+IF(Z99&lt;&gt;"",Z99,cfg_MED)+N(AA99))</f>
        <v/>
      </c>
      <c r="AC99" s="123"/>
      <c r="AD99" s="121"/>
      <c r="AE99" s="119"/>
      <c r="AF99" s="118"/>
      <c r="AG99" s="117" t="str">
        <f aca="false">IF(B99="","",IF(AND(AE99&lt;&gt;"",AE99&lt;=cfg_VAL_DATE),"✖ منتهي الخدمة",IF(H99&gt;cfg_VAL_DATE,"⏳ لم يباشر بعد","✔ على رأس العمل")))</f>
        <v/>
      </c>
      <c r="AH99" s="117" t="str">
        <f aca="false">IF(B99="","",IF(AG99&lt;&gt;"✔ على رأس العمل",AG99,IF(COUNTIFS('سجل الإجازات والحالات'!$B$6:$B$505,B99,'سجل الإجازات والحالات'!$E$6:$E$505,"&lt;="&amp;cfg_VAL_DATE,'سجل الإجازات والحالات'!$F$6:$F$505,"&gt;="&amp;cfg_VAL_DATE)&gt;0,"✈ "&amp;INDEX('سجل الإجازات والحالات'!$D$6:$D$505,MATCH(1,INDEX(('سجل الإجازات والحالات'!$B$6:$B$505=B99)*('سجل الإجازات والحالات'!$E$6:$E$505&lt;=cfg_VAL_DATE)*('سجل الإجازات والحالات'!$F$6:$F$505&gt;=cfg_VAL_DATE),0),0)),"✔ على رأس العمل")))</f>
        <v/>
      </c>
      <c r="AI99" s="118"/>
      <c r="AJ99" s="118"/>
      <c r="AK99" s="118"/>
    </row>
    <row r="100" customFormat="false" ht="15" hidden="false" customHeight="false" outlineLevel="0" collapsed="false">
      <c r="A100" s="106" t="str">
        <f aca="false">IF(B100="","",ROW()-5)</f>
        <v/>
      </c>
      <c r="B100" s="118"/>
      <c r="C100" s="118"/>
      <c r="D100" s="118"/>
      <c r="E100" s="118"/>
      <c r="F100" s="118"/>
      <c r="G100" s="118"/>
      <c r="H100" s="119"/>
      <c r="I100" s="120"/>
      <c r="J100" s="119"/>
      <c r="K100" s="119"/>
      <c r="L100" s="121"/>
      <c r="M100" s="121"/>
      <c r="N100" s="121"/>
      <c r="O100" s="121"/>
      <c r="P100" s="111" t="str">
        <f aca="false">IF(B100="","",SUM(L100:O100))</f>
        <v/>
      </c>
      <c r="Q100" s="111" t="str">
        <f aca="false">IF(B100="","",L100+IF(cfg_EOS_H="نعم",M100,0)+IF(cfg_EOS_T="نعم",N100,0)+IF(cfg_EOS_O="نعم",O100,0))</f>
        <v/>
      </c>
      <c r="R100" s="111" t="str">
        <f aca="false">IF(B100="","",L100+IF(cfg_LV_H="نعم",M100,0)+IF(cfg_LV_T="نعم",N100,0)+IF(cfg_LV_O="نعم",O100,0))</f>
        <v/>
      </c>
      <c r="S100" s="111" t="str">
        <f aca="false">IF(B100="","",MIN(cfg_G_CAP,L100+M100))</f>
        <v/>
      </c>
      <c r="T100" s="122"/>
      <c r="U100" s="118"/>
      <c r="V100" s="121"/>
      <c r="W100" s="122"/>
      <c r="X100" s="121"/>
      <c r="Y100" s="121"/>
      <c r="Z100" s="121"/>
      <c r="AA100" s="121"/>
      <c r="AB100" s="111" t="str">
        <f aca="false">IF(B100="","",IF(X100&lt;&gt;"",X100,IF(E100="غير سعودي",cfg_IQ,0))+IF(Y100&lt;&gt;"",Y100,IF(E100="غير سعودي",cfg_WP,0))+IF(Z100&lt;&gt;"",Z100,cfg_MED)+N(AA100))</f>
        <v/>
      </c>
      <c r="AC100" s="123"/>
      <c r="AD100" s="121"/>
      <c r="AE100" s="119"/>
      <c r="AF100" s="118"/>
      <c r="AG100" s="114" t="str">
        <f aca="false">IF(B100="","",IF(AND(AE100&lt;&gt;"",AE100&lt;=cfg_VAL_DATE),"✖ منتهي الخدمة",IF(H100&gt;cfg_VAL_DATE,"⏳ لم يباشر بعد","✔ على رأس العمل")))</f>
        <v/>
      </c>
      <c r="AH100" s="114" t="str">
        <f aca="false">IF(B100="","",IF(AG100&lt;&gt;"✔ على رأس العمل",AG100,IF(COUNTIFS('سجل الإجازات والحالات'!$B$6:$B$505,B100,'سجل الإجازات والحالات'!$E$6:$E$505,"&lt;="&amp;cfg_VAL_DATE,'سجل الإجازات والحالات'!$F$6:$F$505,"&gt;="&amp;cfg_VAL_DATE)&gt;0,"✈ "&amp;INDEX('سجل الإجازات والحالات'!$D$6:$D$505,MATCH(1,INDEX(('سجل الإجازات والحالات'!$B$6:$B$505=B100)*('سجل الإجازات والحالات'!$E$6:$E$505&lt;=cfg_VAL_DATE)*('سجل الإجازات والحالات'!$F$6:$F$505&gt;=cfg_VAL_DATE),0),0)),"✔ على رأس العمل")))</f>
        <v/>
      </c>
      <c r="AI100" s="118"/>
      <c r="AJ100" s="118"/>
      <c r="AK100" s="118"/>
    </row>
    <row r="101" customFormat="false" ht="15" hidden="false" customHeight="false" outlineLevel="0" collapsed="false">
      <c r="A101" s="115" t="str">
        <f aca="false">IF(B101="","",ROW()-5)</f>
        <v/>
      </c>
      <c r="B101" s="118"/>
      <c r="C101" s="118"/>
      <c r="D101" s="118"/>
      <c r="E101" s="118"/>
      <c r="F101" s="118"/>
      <c r="G101" s="118"/>
      <c r="H101" s="119"/>
      <c r="I101" s="120"/>
      <c r="J101" s="119"/>
      <c r="K101" s="119"/>
      <c r="L101" s="121"/>
      <c r="M101" s="121"/>
      <c r="N101" s="121"/>
      <c r="O101" s="121"/>
      <c r="P101" s="116" t="str">
        <f aca="false">IF(B101="","",SUM(L101:O101))</f>
        <v/>
      </c>
      <c r="Q101" s="116" t="str">
        <f aca="false">IF(B101="","",L101+IF(cfg_EOS_H="نعم",M101,0)+IF(cfg_EOS_T="نعم",N101,0)+IF(cfg_EOS_O="نعم",O101,0))</f>
        <v/>
      </c>
      <c r="R101" s="116" t="str">
        <f aca="false">IF(B101="","",L101+IF(cfg_LV_H="نعم",M101,0)+IF(cfg_LV_T="نعم",N101,0)+IF(cfg_LV_O="نعم",O101,0))</f>
        <v/>
      </c>
      <c r="S101" s="116" t="str">
        <f aca="false">IF(B101="","",MIN(cfg_G_CAP,L101+M101))</f>
        <v/>
      </c>
      <c r="T101" s="122"/>
      <c r="U101" s="118"/>
      <c r="V101" s="121"/>
      <c r="W101" s="122"/>
      <c r="X101" s="121"/>
      <c r="Y101" s="121"/>
      <c r="Z101" s="121"/>
      <c r="AA101" s="121"/>
      <c r="AB101" s="116" t="str">
        <f aca="false">IF(B101="","",IF(X101&lt;&gt;"",X101,IF(E101="غير سعودي",cfg_IQ,0))+IF(Y101&lt;&gt;"",Y101,IF(E101="غير سعودي",cfg_WP,0))+IF(Z101&lt;&gt;"",Z101,cfg_MED)+N(AA101))</f>
        <v/>
      </c>
      <c r="AC101" s="123"/>
      <c r="AD101" s="121"/>
      <c r="AE101" s="119"/>
      <c r="AF101" s="118"/>
      <c r="AG101" s="117" t="str">
        <f aca="false">IF(B101="","",IF(AND(AE101&lt;&gt;"",AE101&lt;=cfg_VAL_DATE),"✖ منتهي الخدمة",IF(H101&gt;cfg_VAL_DATE,"⏳ لم يباشر بعد","✔ على رأس العمل")))</f>
        <v/>
      </c>
      <c r="AH101" s="117" t="str">
        <f aca="false">IF(B101="","",IF(AG101&lt;&gt;"✔ على رأس العمل",AG101,IF(COUNTIFS('سجل الإجازات والحالات'!$B$6:$B$505,B101,'سجل الإجازات والحالات'!$E$6:$E$505,"&lt;="&amp;cfg_VAL_DATE,'سجل الإجازات والحالات'!$F$6:$F$505,"&gt;="&amp;cfg_VAL_DATE)&gt;0,"✈ "&amp;INDEX('سجل الإجازات والحالات'!$D$6:$D$505,MATCH(1,INDEX(('سجل الإجازات والحالات'!$B$6:$B$505=B101)*('سجل الإجازات والحالات'!$E$6:$E$505&lt;=cfg_VAL_DATE)*('سجل الإجازات والحالات'!$F$6:$F$505&gt;=cfg_VAL_DATE),0),0)),"✔ على رأس العمل")))</f>
        <v/>
      </c>
      <c r="AI101" s="118"/>
      <c r="AJ101" s="118"/>
      <c r="AK101" s="118"/>
    </row>
    <row r="102" customFormat="false" ht="15" hidden="false" customHeight="false" outlineLevel="0" collapsed="false">
      <c r="A102" s="106" t="str">
        <f aca="false">IF(B102="","",ROW()-5)</f>
        <v/>
      </c>
      <c r="B102" s="118"/>
      <c r="C102" s="118"/>
      <c r="D102" s="118"/>
      <c r="E102" s="118"/>
      <c r="F102" s="118"/>
      <c r="G102" s="118"/>
      <c r="H102" s="119"/>
      <c r="I102" s="120"/>
      <c r="J102" s="119"/>
      <c r="K102" s="119"/>
      <c r="L102" s="121"/>
      <c r="M102" s="121"/>
      <c r="N102" s="121"/>
      <c r="O102" s="121"/>
      <c r="P102" s="111" t="str">
        <f aca="false">IF(B102="","",SUM(L102:O102))</f>
        <v/>
      </c>
      <c r="Q102" s="111" t="str">
        <f aca="false">IF(B102="","",L102+IF(cfg_EOS_H="نعم",M102,0)+IF(cfg_EOS_T="نعم",N102,0)+IF(cfg_EOS_O="نعم",O102,0))</f>
        <v/>
      </c>
      <c r="R102" s="111" t="str">
        <f aca="false">IF(B102="","",L102+IF(cfg_LV_H="نعم",M102,0)+IF(cfg_LV_T="نعم",N102,0)+IF(cfg_LV_O="نعم",O102,0))</f>
        <v/>
      </c>
      <c r="S102" s="111" t="str">
        <f aca="false">IF(B102="","",MIN(cfg_G_CAP,L102+M102))</f>
        <v/>
      </c>
      <c r="T102" s="122"/>
      <c r="U102" s="118"/>
      <c r="V102" s="121"/>
      <c r="W102" s="122"/>
      <c r="X102" s="121"/>
      <c r="Y102" s="121"/>
      <c r="Z102" s="121"/>
      <c r="AA102" s="121"/>
      <c r="AB102" s="111" t="str">
        <f aca="false">IF(B102="","",IF(X102&lt;&gt;"",X102,IF(E102="غير سعودي",cfg_IQ,0))+IF(Y102&lt;&gt;"",Y102,IF(E102="غير سعودي",cfg_WP,0))+IF(Z102&lt;&gt;"",Z102,cfg_MED)+N(AA102))</f>
        <v/>
      </c>
      <c r="AC102" s="123"/>
      <c r="AD102" s="121"/>
      <c r="AE102" s="119"/>
      <c r="AF102" s="118"/>
      <c r="AG102" s="114" t="str">
        <f aca="false">IF(B102="","",IF(AND(AE102&lt;&gt;"",AE102&lt;=cfg_VAL_DATE),"✖ منتهي الخدمة",IF(H102&gt;cfg_VAL_DATE,"⏳ لم يباشر بعد","✔ على رأس العمل")))</f>
        <v/>
      </c>
      <c r="AH102" s="114" t="str">
        <f aca="false">IF(B102="","",IF(AG102&lt;&gt;"✔ على رأس العمل",AG102,IF(COUNTIFS('سجل الإجازات والحالات'!$B$6:$B$505,B102,'سجل الإجازات والحالات'!$E$6:$E$505,"&lt;="&amp;cfg_VAL_DATE,'سجل الإجازات والحالات'!$F$6:$F$505,"&gt;="&amp;cfg_VAL_DATE)&gt;0,"✈ "&amp;INDEX('سجل الإجازات والحالات'!$D$6:$D$505,MATCH(1,INDEX(('سجل الإجازات والحالات'!$B$6:$B$505=B102)*('سجل الإجازات والحالات'!$E$6:$E$505&lt;=cfg_VAL_DATE)*('سجل الإجازات والحالات'!$F$6:$F$505&gt;=cfg_VAL_DATE),0),0)),"✔ على رأس العمل")))</f>
        <v/>
      </c>
      <c r="AI102" s="118"/>
      <c r="AJ102" s="118"/>
      <c r="AK102" s="118"/>
    </row>
    <row r="103" customFormat="false" ht="15" hidden="false" customHeight="false" outlineLevel="0" collapsed="false">
      <c r="A103" s="115" t="str">
        <f aca="false">IF(B103="","",ROW()-5)</f>
        <v/>
      </c>
      <c r="B103" s="118"/>
      <c r="C103" s="118"/>
      <c r="D103" s="118"/>
      <c r="E103" s="118"/>
      <c r="F103" s="118"/>
      <c r="G103" s="118"/>
      <c r="H103" s="119"/>
      <c r="I103" s="120"/>
      <c r="J103" s="119"/>
      <c r="K103" s="119"/>
      <c r="L103" s="121"/>
      <c r="M103" s="121"/>
      <c r="N103" s="121"/>
      <c r="O103" s="121"/>
      <c r="P103" s="116" t="str">
        <f aca="false">IF(B103="","",SUM(L103:O103))</f>
        <v/>
      </c>
      <c r="Q103" s="116" t="str">
        <f aca="false">IF(B103="","",L103+IF(cfg_EOS_H="نعم",M103,0)+IF(cfg_EOS_T="نعم",N103,0)+IF(cfg_EOS_O="نعم",O103,0))</f>
        <v/>
      </c>
      <c r="R103" s="116" t="str">
        <f aca="false">IF(B103="","",L103+IF(cfg_LV_H="نعم",M103,0)+IF(cfg_LV_T="نعم",N103,0)+IF(cfg_LV_O="نعم",O103,0))</f>
        <v/>
      </c>
      <c r="S103" s="116" t="str">
        <f aca="false">IF(B103="","",MIN(cfg_G_CAP,L103+M103))</f>
        <v/>
      </c>
      <c r="T103" s="122"/>
      <c r="U103" s="118"/>
      <c r="V103" s="121"/>
      <c r="W103" s="122"/>
      <c r="X103" s="121"/>
      <c r="Y103" s="121"/>
      <c r="Z103" s="121"/>
      <c r="AA103" s="121"/>
      <c r="AB103" s="116" t="str">
        <f aca="false">IF(B103="","",IF(X103&lt;&gt;"",X103,IF(E103="غير سعودي",cfg_IQ,0))+IF(Y103&lt;&gt;"",Y103,IF(E103="غير سعودي",cfg_WP,0))+IF(Z103&lt;&gt;"",Z103,cfg_MED)+N(AA103))</f>
        <v/>
      </c>
      <c r="AC103" s="123"/>
      <c r="AD103" s="121"/>
      <c r="AE103" s="119"/>
      <c r="AF103" s="118"/>
      <c r="AG103" s="117" t="str">
        <f aca="false">IF(B103="","",IF(AND(AE103&lt;&gt;"",AE103&lt;=cfg_VAL_DATE),"✖ منتهي الخدمة",IF(H103&gt;cfg_VAL_DATE,"⏳ لم يباشر بعد","✔ على رأس العمل")))</f>
        <v/>
      </c>
      <c r="AH103" s="117" t="str">
        <f aca="false">IF(B103="","",IF(AG103&lt;&gt;"✔ على رأس العمل",AG103,IF(COUNTIFS('سجل الإجازات والحالات'!$B$6:$B$505,B103,'سجل الإجازات والحالات'!$E$6:$E$505,"&lt;="&amp;cfg_VAL_DATE,'سجل الإجازات والحالات'!$F$6:$F$505,"&gt;="&amp;cfg_VAL_DATE)&gt;0,"✈ "&amp;INDEX('سجل الإجازات والحالات'!$D$6:$D$505,MATCH(1,INDEX(('سجل الإجازات والحالات'!$B$6:$B$505=B103)*('سجل الإجازات والحالات'!$E$6:$E$505&lt;=cfg_VAL_DATE)*('سجل الإجازات والحالات'!$F$6:$F$505&gt;=cfg_VAL_DATE),0),0)),"✔ على رأس العمل")))</f>
        <v/>
      </c>
      <c r="AI103" s="118"/>
      <c r="AJ103" s="118"/>
      <c r="AK103" s="118"/>
    </row>
    <row r="104" customFormat="false" ht="15" hidden="false" customHeight="false" outlineLevel="0" collapsed="false">
      <c r="A104" s="106" t="str">
        <f aca="false">IF(B104="","",ROW()-5)</f>
        <v/>
      </c>
      <c r="B104" s="118"/>
      <c r="C104" s="118"/>
      <c r="D104" s="118"/>
      <c r="E104" s="118"/>
      <c r="F104" s="118"/>
      <c r="G104" s="118"/>
      <c r="H104" s="119"/>
      <c r="I104" s="120"/>
      <c r="J104" s="119"/>
      <c r="K104" s="119"/>
      <c r="L104" s="121"/>
      <c r="M104" s="121"/>
      <c r="N104" s="121"/>
      <c r="O104" s="121"/>
      <c r="P104" s="111" t="str">
        <f aca="false">IF(B104="","",SUM(L104:O104))</f>
        <v/>
      </c>
      <c r="Q104" s="111" t="str">
        <f aca="false">IF(B104="","",L104+IF(cfg_EOS_H="نعم",M104,0)+IF(cfg_EOS_T="نعم",N104,0)+IF(cfg_EOS_O="نعم",O104,0))</f>
        <v/>
      </c>
      <c r="R104" s="111" t="str">
        <f aca="false">IF(B104="","",L104+IF(cfg_LV_H="نعم",M104,0)+IF(cfg_LV_T="نعم",N104,0)+IF(cfg_LV_O="نعم",O104,0))</f>
        <v/>
      </c>
      <c r="S104" s="111" t="str">
        <f aca="false">IF(B104="","",MIN(cfg_G_CAP,L104+M104))</f>
        <v/>
      </c>
      <c r="T104" s="122"/>
      <c r="U104" s="118"/>
      <c r="V104" s="121"/>
      <c r="W104" s="122"/>
      <c r="X104" s="121"/>
      <c r="Y104" s="121"/>
      <c r="Z104" s="121"/>
      <c r="AA104" s="121"/>
      <c r="AB104" s="111" t="str">
        <f aca="false">IF(B104="","",IF(X104&lt;&gt;"",X104,IF(E104="غير سعودي",cfg_IQ,0))+IF(Y104&lt;&gt;"",Y104,IF(E104="غير سعودي",cfg_WP,0))+IF(Z104&lt;&gt;"",Z104,cfg_MED)+N(AA104))</f>
        <v/>
      </c>
      <c r="AC104" s="123"/>
      <c r="AD104" s="121"/>
      <c r="AE104" s="119"/>
      <c r="AF104" s="118"/>
      <c r="AG104" s="114" t="str">
        <f aca="false">IF(B104="","",IF(AND(AE104&lt;&gt;"",AE104&lt;=cfg_VAL_DATE),"✖ منتهي الخدمة",IF(H104&gt;cfg_VAL_DATE,"⏳ لم يباشر بعد","✔ على رأس العمل")))</f>
        <v/>
      </c>
      <c r="AH104" s="114" t="str">
        <f aca="false">IF(B104="","",IF(AG104&lt;&gt;"✔ على رأس العمل",AG104,IF(COUNTIFS('سجل الإجازات والحالات'!$B$6:$B$505,B104,'سجل الإجازات والحالات'!$E$6:$E$505,"&lt;="&amp;cfg_VAL_DATE,'سجل الإجازات والحالات'!$F$6:$F$505,"&gt;="&amp;cfg_VAL_DATE)&gt;0,"✈ "&amp;INDEX('سجل الإجازات والحالات'!$D$6:$D$505,MATCH(1,INDEX(('سجل الإجازات والحالات'!$B$6:$B$505=B104)*('سجل الإجازات والحالات'!$E$6:$E$505&lt;=cfg_VAL_DATE)*('سجل الإجازات والحالات'!$F$6:$F$505&gt;=cfg_VAL_DATE),0),0)),"✔ على رأس العمل")))</f>
        <v/>
      </c>
      <c r="AI104" s="118"/>
      <c r="AJ104" s="118"/>
      <c r="AK104" s="118"/>
    </row>
    <row r="105" customFormat="false" ht="15" hidden="false" customHeight="false" outlineLevel="0" collapsed="false">
      <c r="A105" s="115" t="str">
        <f aca="false">IF(B105="","",ROW()-5)</f>
        <v/>
      </c>
      <c r="B105" s="118"/>
      <c r="C105" s="118"/>
      <c r="D105" s="118"/>
      <c r="E105" s="118"/>
      <c r="F105" s="118"/>
      <c r="G105" s="118"/>
      <c r="H105" s="119"/>
      <c r="I105" s="120"/>
      <c r="J105" s="119"/>
      <c r="K105" s="119"/>
      <c r="L105" s="121"/>
      <c r="M105" s="121"/>
      <c r="N105" s="121"/>
      <c r="O105" s="121"/>
      <c r="P105" s="116" t="str">
        <f aca="false">IF(B105="","",SUM(L105:O105))</f>
        <v/>
      </c>
      <c r="Q105" s="116" t="str">
        <f aca="false">IF(B105="","",L105+IF(cfg_EOS_H="نعم",M105,0)+IF(cfg_EOS_T="نعم",N105,0)+IF(cfg_EOS_O="نعم",O105,0))</f>
        <v/>
      </c>
      <c r="R105" s="116" t="str">
        <f aca="false">IF(B105="","",L105+IF(cfg_LV_H="نعم",M105,0)+IF(cfg_LV_T="نعم",N105,0)+IF(cfg_LV_O="نعم",O105,0))</f>
        <v/>
      </c>
      <c r="S105" s="116" t="str">
        <f aca="false">IF(B105="","",MIN(cfg_G_CAP,L105+M105))</f>
        <v/>
      </c>
      <c r="T105" s="122"/>
      <c r="U105" s="118"/>
      <c r="V105" s="121"/>
      <c r="W105" s="122"/>
      <c r="X105" s="121"/>
      <c r="Y105" s="121"/>
      <c r="Z105" s="121"/>
      <c r="AA105" s="121"/>
      <c r="AB105" s="116" t="str">
        <f aca="false">IF(B105="","",IF(X105&lt;&gt;"",X105,IF(E105="غير سعودي",cfg_IQ,0))+IF(Y105&lt;&gt;"",Y105,IF(E105="غير سعودي",cfg_WP,0))+IF(Z105&lt;&gt;"",Z105,cfg_MED)+N(AA105))</f>
        <v/>
      </c>
      <c r="AC105" s="123"/>
      <c r="AD105" s="121"/>
      <c r="AE105" s="119"/>
      <c r="AF105" s="118"/>
      <c r="AG105" s="117" t="str">
        <f aca="false">IF(B105="","",IF(AND(AE105&lt;&gt;"",AE105&lt;=cfg_VAL_DATE),"✖ منتهي الخدمة",IF(H105&gt;cfg_VAL_DATE,"⏳ لم يباشر بعد","✔ على رأس العمل")))</f>
        <v/>
      </c>
      <c r="AH105" s="117" t="str">
        <f aca="false">IF(B105="","",IF(AG105&lt;&gt;"✔ على رأس العمل",AG105,IF(COUNTIFS('سجل الإجازات والحالات'!$B$6:$B$505,B105,'سجل الإجازات والحالات'!$E$6:$E$505,"&lt;="&amp;cfg_VAL_DATE,'سجل الإجازات والحالات'!$F$6:$F$505,"&gt;="&amp;cfg_VAL_DATE)&gt;0,"✈ "&amp;INDEX('سجل الإجازات والحالات'!$D$6:$D$505,MATCH(1,INDEX(('سجل الإجازات والحالات'!$B$6:$B$505=B105)*('سجل الإجازات والحالات'!$E$6:$E$505&lt;=cfg_VAL_DATE)*('سجل الإجازات والحالات'!$F$6:$F$505&gt;=cfg_VAL_DATE),0),0)),"✔ على رأس العمل")))</f>
        <v/>
      </c>
      <c r="AI105" s="118"/>
      <c r="AJ105" s="118"/>
      <c r="AK105" s="118"/>
    </row>
    <row r="106" customFormat="false" ht="24" hidden="false" customHeight="true" outlineLevel="0" collapsed="false">
      <c r="A106" s="124"/>
      <c r="B106" s="125" t="str">
        <f aca="false">COUNTA(B6:B105)&amp;" موظف"</f>
        <v>12 موظف</v>
      </c>
      <c r="C106" s="124" t="s">
        <v>161</v>
      </c>
      <c r="D106" s="124"/>
      <c r="E106" s="124"/>
      <c r="F106" s="124"/>
      <c r="G106" s="124"/>
      <c r="H106" s="124"/>
      <c r="I106" s="124"/>
      <c r="J106" s="124"/>
      <c r="K106" s="124"/>
      <c r="L106" s="125" t="n">
        <f aca="false">SUM(L6:L105)</f>
        <v>141500</v>
      </c>
      <c r="M106" s="125" t="n">
        <f aca="false">SUM(M6:M105)</f>
        <v>35375</v>
      </c>
      <c r="N106" s="125" t="n">
        <f aca="false">SUM(N6:N105)</f>
        <v>14150</v>
      </c>
      <c r="O106" s="125" t="n">
        <f aca="false">SUM(O6:O105)</f>
        <v>10300</v>
      </c>
      <c r="P106" s="125" t="n">
        <f aca="false">SUM(P6:P105)</f>
        <v>201325</v>
      </c>
      <c r="Q106" s="125" t="n">
        <f aca="false">SUM(Q6:Q105)</f>
        <v>191025</v>
      </c>
      <c r="R106" s="125" t="n">
        <f aca="false">SUM(R6:R105)</f>
        <v>191025</v>
      </c>
      <c r="S106" s="125" t="n">
        <f aca="false">SUM(S6:S105)</f>
        <v>176875</v>
      </c>
      <c r="T106" s="124"/>
      <c r="U106" s="124"/>
      <c r="V106" s="125" t="n">
        <f aca="false">SUM(V6:V105)</f>
        <v>15300</v>
      </c>
      <c r="W106" s="124"/>
      <c r="X106" s="124"/>
      <c r="Y106" s="124"/>
      <c r="Z106" s="124"/>
      <c r="AA106" s="124"/>
      <c r="AB106" s="125" t="n">
        <f aca="false">SUM(AB6:AB105)</f>
        <v>89650</v>
      </c>
      <c r="AC106" s="124"/>
      <c r="AD106" s="125" t="n">
        <f aca="false">SUM(AD6:AD105)</f>
        <v>8700</v>
      </c>
      <c r="AE106" s="124"/>
      <c r="AF106" s="124"/>
      <c r="AG106" s="124"/>
      <c r="AH106" s="124"/>
      <c r="AI106" s="124"/>
      <c r="AJ106" s="124"/>
      <c r="AK106" s="124"/>
    </row>
  </sheetData>
  <sheetProtection sheet="true" password="ffa5" objects="true" scenarios="true"/>
  <autoFilter ref="A5:AK105"/>
  <mergeCells count="3">
    <mergeCell ref="A1:AH1"/>
    <mergeCell ref="A2:AH2"/>
    <mergeCell ref="A4:G4"/>
  </mergeCells>
  <conditionalFormatting sqref="AG6:AH105">
    <cfRule type="expression" priority="2" aboveAverage="0" equalAverage="0" bottom="0" percent="0" rank="0" text="" dxfId="0">
      <formula>ISNUMBER(SEARCH("✔",AG6))</formula>
    </cfRule>
    <cfRule type="expression" priority="3" aboveAverage="0" equalAverage="0" bottom="0" percent="0" rank="0" text="" dxfId="1">
      <formula>ISNUMBER(SEARCH("✖",AG6))</formula>
    </cfRule>
    <cfRule type="expression" priority="4" aboveAverage="0" equalAverage="0" bottom="0" percent="0" rank="0" text="" dxfId="2">
      <formula>ISNUMBER(SEARCH("⚠",AG6))</formula>
    </cfRule>
    <cfRule type="expression" priority="5" aboveAverage="0" equalAverage="0" bottom="0" percent="0" rank="0" text="" dxfId="3">
      <formula>ISNUMBER(SEARCH("✈",AG6))</formula>
    </cfRule>
    <cfRule type="expression" priority="6" aboveAverage="0" equalAverage="0" bottom="0" percent="0" rank="0" text="" dxfId="1">
      <formula>ISNUMBER(SEARCH("⛔",AG6))</formula>
    </cfRule>
    <cfRule type="expression" priority="7" aboveAverage="0" equalAverage="0" bottom="0" percent="0" rank="0" text="" dxfId="0">
      <formula>ISNUMBER(SEARCH("🌴",AG6))</formula>
    </cfRule>
    <cfRule type="expression" priority="8" aboveAverage="0" equalAverage="0" bottom="0" percent="0" rank="0" text="" dxfId="4">
      <formula>ISNUMBER(SEARCH("⏳",AG6))</formula>
    </cfRule>
  </conditionalFormatting>
  <conditionalFormatting sqref="J6:J105">
    <cfRule type="expression" priority="9" aboveAverage="0" equalAverage="0" bottom="0" percent="0" rank="0" text="" dxfId="1">
      <formula>AND(J6&lt;&gt;"",J6&lt;=cfg_TRACK+cfg_ALERT)</formula>
    </cfRule>
  </conditionalFormatting>
  <conditionalFormatting sqref="K6:K105">
    <cfRule type="expression" priority="10" aboveAverage="0" equalAverage="0" bottom="0" percent="0" rank="0" text="" dxfId="1">
      <formula>AND(K6&lt;&gt;"",K6&lt;=cfg_TRACK+cfg_ALERT)</formula>
    </cfRule>
  </conditionalFormatting>
  <conditionalFormatting sqref="AF6:AF105">
    <cfRule type="expression" priority="11" aboveAverage="0" equalAverage="0" bottom="0" percent="0" rank="0" text="" dxfId="20">
      <formula>AND(AE6&lt;&gt;"",AF6="")</formula>
    </cfRule>
  </conditionalFormatting>
  <dataValidations count="8">
    <dataValidation allowBlank="true" error="من فضلك اختر قيمة من القائمة المنسدلة." errorStyle="stop" errorTitle="قيمة غير مسموحة" operator="between" prompt="سعودي / غير سعودي — تحدد نسب التأمينات ورسوم الإقامة." promptTitle="فئة التأمينات" showDropDown="false" showErrorMessage="true" showInputMessage="true" sqref="E6:E105" type="list">
      <formula1>L_CAT</formula1>
      <formula2>0</formula2>
    </dataValidation>
    <dataValidation allowBlank="true" error="من فضلك اختر قيمة من القائمة المنسدلة." errorStyle="stop" errorTitle="قيمة غير مسموحة" operator="between" prompt="اختر القسم (تُضاف الأقسام من ورقة الإعدادات)." promptTitle="القسم" showDropDown="false" showErrorMessage="true" showInputMessage="true" sqref="F6:F105" type="list">
      <formula1>L_DEPT</formula1>
      <formula2>0</formula2>
    </dataValidation>
    <dataValidation allowBlank="true" error="من فضلك اختر قيمة من القائمة المنسدلة." errorStyle="stop" errorTitle="قيمة غير مسموحة" operator="between" showDropDown="false" showErrorMessage="true" showInputMessage="false" sqref="U6:U105" type="list">
      <formula1>L_YN</formula1>
      <formula2>0</formula2>
    </dataValidation>
    <dataValidation allowBlank="true" error="من فضلك اختر قيمة من القائمة المنسدلة." errorStyle="stop" errorTitle="قيمة غير مسموحة" operator="between" prompt="يحدد نسبة الاستحقاق (الاستقالة وفق المادة 85)." promptTitle="سبب انتهاء الخدمة" showDropDown="false" showErrorMessage="true" showInputMessage="true" sqref="AF6:AF105" type="list">
      <formula1>L_REASON</formula1>
      <formula2>0</formula2>
    </dataValidation>
    <dataValidation allowBlank="true" error="من فضلك اختر قيمة من القائمة المنسدلة." errorStyle="stop" errorTitle="قيمة غير مسموحة" operator="between" prompt="12 = تذكرة سنوية، 24 = كل سنتين." promptTitle="دورية التذكرة" showDropDown="false" showErrorMessage="true" showInputMessage="true" sqref="W6:W105" type="list">
      <formula1>"12,24"</formula1>
      <formula2>0</formula2>
    </dataValidation>
    <dataValidation allowBlank="false" error="الرقم الوظيفي مستخدم من قبل. كل موظف له رقم فريد." errorStyle="stop" errorTitle="رقم مكرر" operator="between" showDropDown="false" showErrorMessage="true" showInputMessage="false" sqref="B6:B105" type="custom">
      <formula1>COUNTIF($B$6:$B$105,B6)=1</formula1>
      <formula2>0</formula2>
    </dataValidation>
    <dataValidation allowBlank="true" error="القيمة المدخلة خارج النطاق المسموح." errorStyle="stop" errorTitle="قيمة غير صحيحة" operator="greaterThanOrEqual" showDropDown="false" showErrorMessage="true" showInputMessage="false" sqref="L6:O105 X6:AA105" type="decimal">
      <formula1>0</formula1>
      <formula2>0</formula2>
    </dataValidation>
    <dataValidation allowBlank="true" error="أدخل تاريخاً صحيحاً بالصيغة yyyy/mm/dd" errorStyle="stop" errorTitle="تاريخ غير صحيح" operator="greaterThan" showDropDown="false" showErrorMessage="true" showInputMessage="false" sqref="H6:H105 J6:K105 AE6:AE105" type="date">
      <formula1>1</formula1>
      <formula2>0</formula2>
    </dataValidation>
  </dataValidations>
  <hyperlinks>
    <hyperlink ref="A2" r:id="rId2" display="https://accopro.net/"/>
    <hyperlink ref="B3" location="'الرئيسية'!A1" display="🏠 الرئيسية"/>
    <hyperlink ref="C3" location="'لوحة التحكم'!A1" display="📊 لوحة التحكم"/>
    <hyperlink ref="E3" location="'الإعدادات'!A1" display="⚙ الإعدادات"/>
    <hyperlink ref="F3" location="'سجل الإجازات والحالات'!A1" display="🌴 سجل الإجازات"/>
    <hyperlink ref="G3" location="'الحركات الشهرية'!A1" display="✍ الحركات"/>
    <hyperlink ref="H3" location="'الإقامات ورخص العمل'!A1" display="🪪 الإقامات"/>
    <hyperlink ref="J3" location="'الملخص الشهري'!A1" display="📅 الملخص الشهري"/>
    <hyperlink ref="L3" location="'قيود الرواتب'!A1" display="🧾 القيود"/>
    <hyperlink ref="M3" location="'قسيمة الراتب'!A1" display="💳 القسيمة"/>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&amp;Cنسخة تجريبية — النسخة الكاملة: accopro.net</oddHeader>
    <oddFooter>&amp;CAccoPro — https://accopro.net</oddFooter>
  </headerFooter>
  <drawing r:id="rId3"/>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E505"/>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24"/>
    <col collapsed="false" customWidth="true" hidden="false" outlineLevel="0" max="4" min="4" style="0" width="30"/>
    <col collapsed="false" customWidth="true" hidden="false" outlineLevel="0" max="6" min="5" style="0" width="12"/>
    <col collapsed="false" customWidth="true" hidden="false" outlineLevel="0" max="7" min="7" style="0" width="8"/>
    <col collapsed="false" customWidth="true" hidden="false" outlineLevel="0" max="10" min="8" style="0" width="9"/>
    <col collapsed="false" customWidth="true" hidden="false" outlineLevel="0" max="12" min="11" style="0" width="8"/>
    <col collapsed="false" customWidth="true" hidden="false" outlineLevel="0" max="13" min="13" style="0" width="7"/>
    <col collapsed="false" customWidth="true" hidden="false" outlineLevel="0" max="14" min="14" style="0" width="12"/>
    <col collapsed="false" customWidth="true" hidden="false" outlineLevel="0" max="15" min="15" style="0" width="7"/>
    <col collapsed="false" customWidth="true" hidden="false" outlineLevel="0" max="16" min="16" style="0" width="22"/>
    <col collapsed="false" customWidth="true" hidden="false" outlineLevel="0" max="17" min="17" style="0" width="28"/>
    <col collapsed="false" customWidth="true" hidden="true" outlineLevel="0" max="19" min="18" style="0" width="9"/>
    <col collapsed="false" customWidth="true" hidden="true" outlineLevel="0" max="20" min="20" style="0" width="10"/>
    <col collapsed="false" customWidth="true" hidden="true" outlineLevel="0" max="21" min="21" style="0" width="2"/>
    <col collapsed="false" customWidth="true" hidden="true" outlineLevel="0" max="57" min="22" style="0" width="6"/>
  </cols>
  <sheetData>
    <row r="1" customFormat="false" ht="37.5" hidden="false" customHeight="true" outlineLevel="0" collapsed="false">
      <c r="A1" s="1" t="s">
        <v>414</v>
      </c>
      <c r="B1" s="1"/>
      <c r="C1" s="1"/>
      <c r="D1" s="1"/>
      <c r="E1" s="1"/>
      <c r="F1" s="1"/>
      <c r="G1" s="1"/>
      <c r="H1" s="1"/>
      <c r="I1" s="1"/>
      <c r="J1" s="1"/>
      <c r="K1" s="1"/>
      <c r="L1" s="1"/>
      <c r="M1" s="1"/>
      <c r="N1" s="1"/>
      <c r="O1" s="1"/>
      <c r="P1" s="1"/>
      <c r="Q1" s="1"/>
    </row>
    <row r="2" customFormat="false" ht="19.5" hidden="false" customHeight="true" outlineLevel="0" collapsed="false">
      <c r="A2" s="2" t="str">
        <f aca="false">"🛒 نسخة تجريبية — للنسخة الكاملة اضغط هنا ← accopro.net   |   "&amp;cfg_CO&amp;"   |   السنة المالية "&amp;cfg_FY&amp;"   |   شهر التقرير: "&amp;INDEX(L_MONTH,cfg_VAL_M)&amp;"   |   المبالغ بـ "&amp;cfg_CUR</f>
        <v>🛒 نسخة تجريبية — للنسخة الكاملة اضغط هنا ← accopro.net   |   شركة النخبة للتجارة والمقاولات   |   السنة المالية 2026   |   شهر التقرير: سبتمبر   |   المبالغ بـ ريال سعودي</v>
      </c>
      <c r="B2" s="2"/>
      <c r="C2" s="2"/>
      <c r="D2" s="2"/>
      <c r="E2" s="2"/>
      <c r="F2" s="2"/>
      <c r="G2" s="2"/>
      <c r="H2" s="2"/>
      <c r="I2" s="2"/>
      <c r="J2" s="2"/>
      <c r="K2" s="2"/>
      <c r="L2" s="2"/>
      <c r="M2" s="2"/>
      <c r="N2" s="2"/>
      <c r="O2" s="2"/>
      <c r="P2" s="2"/>
      <c r="Q2" s="2"/>
    </row>
    <row r="3" customFormat="false" ht="25.5" hidden="false" customHeight="true" outlineLevel="0" collapsed="false">
      <c r="A3" s="31" t="s">
        <v>114</v>
      </c>
      <c r="B3" s="12" t="s">
        <v>172</v>
      </c>
      <c r="C3" s="32" t="s">
        <v>115</v>
      </c>
      <c r="D3" s="32" t="s">
        <v>116</v>
      </c>
      <c r="E3" s="32" t="s">
        <v>118</v>
      </c>
      <c r="F3" s="34" t="s">
        <v>119</v>
      </c>
      <c r="G3" s="32" t="s">
        <v>39</v>
      </c>
      <c r="H3" s="32" t="s">
        <v>173</v>
      </c>
      <c r="I3" s="32" t="s">
        <v>174</v>
      </c>
    </row>
    <row r="4" customFormat="false" ht="19.5" hidden="false" customHeight="true" outlineLevel="0" collapsed="false">
      <c r="A4" s="105" t="s">
        <v>415</v>
      </c>
      <c r="B4" s="105"/>
      <c r="C4" s="105"/>
      <c r="D4" s="105"/>
      <c r="E4" s="105"/>
      <c r="F4" s="105"/>
      <c r="G4" s="105"/>
      <c r="V4" s="126" t="s">
        <v>416</v>
      </c>
      <c r="W4" s="126"/>
      <c r="X4" s="126"/>
      <c r="Y4" s="126"/>
      <c r="Z4" s="126"/>
      <c r="AA4" s="126"/>
      <c r="AB4" s="126"/>
      <c r="AC4" s="126"/>
      <c r="AD4" s="126"/>
      <c r="AE4" s="126"/>
      <c r="AF4" s="126"/>
      <c r="AG4" s="126"/>
      <c r="AH4" s="127" t="s">
        <v>417</v>
      </c>
      <c r="AI4" s="127"/>
      <c r="AJ4" s="127"/>
      <c r="AK4" s="127"/>
      <c r="AL4" s="127"/>
      <c r="AM4" s="127"/>
      <c r="AN4" s="127"/>
      <c r="AO4" s="127"/>
      <c r="AP4" s="127"/>
      <c r="AQ4" s="127"/>
      <c r="AR4" s="127"/>
      <c r="AS4" s="127"/>
      <c r="AT4" s="128" t="s">
        <v>418</v>
      </c>
      <c r="AU4" s="128"/>
      <c r="AV4" s="128"/>
      <c r="AW4" s="128"/>
      <c r="AX4" s="128"/>
      <c r="AY4" s="128"/>
      <c r="AZ4" s="128"/>
      <c r="BA4" s="128"/>
      <c r="BB4" s="128"/>
      <c r="BC4" s="128"/>
      <c r="BD4" s="128"/>
      <c r="BE4" s="128"/>
    </row>
    <row r="5" customFormat="false" ht="61.5" hidden="false" customHeight="true" outlineLevel="0" collapsed="false">
      <c r="A5" s="63" t="s">
        <v>308</v>
      </c>
      <c r="B5" s="63" t="s">
        <v>309</v>
      </c>
      <c r="C5" s="63" t="s">
        <v>419</v>
      </c>
      <c r="D5" s="63" t="s">
        <v>184</v>
      </c>
      <c r="E5" s="63" t="s">
        <v>420</v>
      </c>
      <c r="F5" s="63" t="s">
        <v>421</v>
      </c>
      <c r="G5" s="63" t="s">
        <v>422</v>
      </c>
      <c r="H5" s="63" t="s">
        <v>423</v>
      </c>
      <c r="I5" s="63" t="s">
        <v>424</v>
      </c>
      <c r="J5" s="63" t="s">
        <v>425</v>
      </c>
      <c r="K5" s="63" t="s">
        <v>426</v>
      </c>
      <c r="L5" s="63" t="s">
        <v>427</v>
      </c>
      <c r="M5" s="63" t="s">
        <v>428</v>
      </c>
      <c r="N5" s="63" t="s">
        <v>429</v>
      </c>
      <c r="O5" s="63" t="s">
        <v>430</v>
      </c>
      <c r="P5" s="63" t="s">
        <v>431</v>
      </c>
      <c r="Q5" s="63" t="s">
        <v>342</v>
      </c>
      <c r="R5" s="63" t="s">
        <v>432</v>
      </c>
      <c r="S5" s="63" t="s">
        <v>433</v>
      </c>
      <c r="T5" s="63" t="s">
        <v>434</v>
      </c>
      <c r="V5" s="129" t="s">
        <v>196</v>
      </c>
      <c r="W5" s="129" t="s">
        <v>204</v>
      </c>
      <c r="X5" s="129" t="s">
        <v>211</v>
      </c>
      <c r="Y5" s="129" t="s">
        <v>219</v>
      </c>
      <c r="Z5" s="129" t="s">
        <v>226</v>
      </c>
      <c r="AA5" s="129" t="s">
        <v>231</v>
      </c>
      <c r="AB5" s="129" t="s">
        <v>236</v>
      </c>
      <c r="AC5" s="129" t="s">
        <v>241</v>
      </c>
      <c r="AD5" s="129" t="s">
        <v>246</v>
      </c>
      <c r="AE5" s="129" t="s">
        <v>251</v>
      </c>
      <c r="AF5" s="129" t="s">
        <v>255</v>
      </c>
      <c r="AG5" s="129" t="s">
        <v>258</v>
      </c>
      <c r="AH5" s="130" t="s">
        <v>196</v>
      </c>
      <c r="AI5" s="130" t="s">
        <v>204</v>
      </c>
      <c r="AJ5" s="130" t="s">
        <v>211</v>
      </c>
      <c r="AK5" s="130" t="s">
        <v>219</v>
      </c>
      <c r="AL5" s="130" t="s">
        <v>226</v>
      </c>
      <c r="AM5" s="130" t="s">
        <v>231</v>
      </c>
      <c r="AN5" s="130" t="s">
        <v>236</v>
      </c>
      <c r="AO5" s="130" t="s">
        <v>241</v>
      </c>
      <c r="AP5" s="130" t="s">
        <v>246</v>
      </c>
      <c r="AQ5" s="130" t="s">
        <v>251</v>
      </c>
      <c r="AR5" s="130" t="s">
        <v>255</v>
      </c>
      <c r="AS5" s="130" t="s">
        <v>258</v>
      </c>
      <c r="AT5" s="131" t="s">
        <v>196</v>
      </c>
      <c r="AU5" s="131" t="s">
        <v>204</v>
      </c>
      <c r="AV5" s="131" t="s">
        <v>211</v>
      </c>
      <c r="AW5" s="131" t="s">
        <v>219</v>
      </c>
      <c r="AX5" s="131" t="s">
        <v>226</v>
      </c>
      <c r="AY5" s="131" t="s">
        <v>231</v>
      </c>
      <c r="AZ5" s="131" t="s">
        <v>236</v>
      </c>
      <c r="BA5" s="131" t="s">
        <v>241</v>
      </c>
      <c r="BB5" s="131" t="s">
        <v>246</v>
      </c>
      <c r="BC5" s="131" t="s">
        <v>251</v>
      </c>
      <c r="BD5" s="131" t="s">
        <v>255</v>
      </c>
      <c r="BE5" s="131" t="s">
        <v>258</v>
      </c>
    </row>
    <row r="6" customFormat="false" ht="15" hidden="false" customHeight="false" outlineLevel="0" collapsed="false">
      <c r="A6" s="106" t="n">
        <f aca="false">IF(B6="","",ROW()-5)</f>
        <v>1</v>
      </c>
      <c r="B6" s="107" t="s">
        <v>343</v>
      </c>
      <c r="C6" s="114" t="str">
        <f aca="false">IF(B6="","",IFERROR(INDEX(الموظفون!$C$6:$C$105,MATCH(B6,الموظفون!$B$6:$B$105,0)),"✖ رقم غير موجود"))</f>
        <v>عبدالله محمد العتيبي</v>
      </c>
      <c r="D6" s="107" t="s">
        <v>197</v>
      </c>
      <c r="E6" s="108" t="n">
        <v>46089</v>
      </c>
      <c r="F6" s="108" t="n">
        <v>46098</v>
      </c>
      <c r="G6" s="65" t="n">
        <f aca="false">IF(OR($B6="",$E6="",$F6=""),"",MAX(0,F6-E6+1))</f>
        <v>10</v>
      </c>
      <c r="H6" s="66" t="n">
        <f aca="false">IF(D6="","",IFERROR(VLOOKUP(D6,cfg_LT,2,FALSE()),1))</f>
        <v>1</v>
      </c>
      <c r="I6" s="132"/>
      <c r="J6" s="66" t="n">
        <f aca="false">IF(D6="","",IF(I6&lt;&gt;"",I6,H6))</f>
        <v>1</v>
      </c>
      <c r="K6" s="114" t="str">
        <f aca="false">IF(D6="","",IFERROR(VLOOKUP($D6,cfg_LT,3,FALSE()),""))</f>
        <v>نعم</v>
      </c>
      <c r="L6" s="114" t="str">
        <f aca="false">IF(D6="","",IFERROR(VLOOKUP($D6,cfg_LT,4,FALSE()),""))</f>
        <v>نعم</v>
      </c>
      <c r="M6" s="114" t="str">
        <f aca="false">IF(D6="","",IFERROR(VLOOKUP($D6,cfg_LT,5,FALSE()),""))</f>
        <v>لا</v>
      </c>
      <c r="N6" s="111" t="n">
        <f aca="false">IF(OR(OR($B6="",$E6="",$F6=""),M6&lt;&gt;"نعم"),0,G6*J6*IFERROR(INDEX(الموظفون!$R$6:$R$105,MATCH(B6,الموظفون!$B$6:$B$105,0)),0)/cfg_DAYS_M)</f>
        <v>0</v>
      </c>
      <c r="O6" s="106" t="str">
        <f aca="false">IF(OR(OR($B6="",$E6="",$F6=""),M6&lt;&gt;"نعم"),"",IF(YEAR(E6)=cfg_FY,MONTH(E6),""))</f>
        <v/>
      </c>
      <c r="P6" s="114" t="str">
        <f aca="false">IF(B6="","",IF(OR(D6="",E6="",F6=""),"⚠ أكمل النوع والتواريخ",IF(F6&lt;E6,"✖ النهاية قبل البداية",IF(COUNTIFS($B$6:$B$505,B6,$E$6:$E$505,"&lt;="&amp;F6,$F$6:$F$505,"&gt;="&amp;E6)&gt;1,"⚠ تداخل مع سجل آخر",IF(E6&gt;cfg_VAL_DATE,"⏳ قادمة",IF(F6&lt;cfg_VAL_DATE,"✔ منتهية","✈ جارية في تاريخ التقرير"))))))</f>
        <v>✔ منتهية</v>
      </c>
      <c r="Q6" s="107" t="s">
        <v>435</v>
      </c>
      <c r="R6" s="65" t="n">
        <f aca="false">IF(OR(OR($B6="",$E6="",$F6=""),L6&lt;&gt;"لا"),0,MAX(0,MIN(F6,cfg_Y_START-1)-E6+1))</f>
        <v>0</v>
      </c>
      <c r="S6" s="65" t="n">
        <f aca="false">IF(OR(OR($B6="",$E6="",$F6=""),L6&lt;&gt;"لا"),0,MAX(0,MIN(F6,cfg_VAL_DATE)-E6+1))</f>
        <v>0</v>
      </c>
      <c r="T6" s="65" t="n">
        <f aca="false">IF(OR(OR($B6="",$E6="",$F6=""),K6&lt;&gt;"نعم"),0,IF(M6="نعم",IF(AND(ISNUMBER(O6),N(O6)&lt;=cfg_VAL_M),G6,0),MAX(0,MIN(F6,cfg_VAL_DATE)-MAX(E6,cfg_Y_START)+1)))</f>
        <v>10</v>
      </c>
      <c r="V6" s="65" t="n">
        <f aca="false">IF(OR($B6="",$E6="",$F6=""),0,MAX(0,MIN($F6,EOMONTH(DATE(cfg_FY,1,1),0))-MAX($E6,DATE(cfg_FY,1,1))+1)*(1-IF($M6="نعم",0,N($J6))))</f>
        <v>0</v>
      </c>
      <c r="W6" s="65" t="n">
        <f aca="false">IF(OR($B6="",$E6="",$F6=""),0,MAX(0,MIN($F6,EOMONTH(DATE(cfg_FY,2,1),0))-MAX($E6,DATE(cfg_FY,2,1))+1)*(1-IF($M6="نعم",0,N($J6))))</f>
        <v>0</v>
      </c>
      <c r="X6" s="65" t="n">
        <f aca="false">IF(OR($B6="",$E6="",$F6=""),0,MAX(0,MIN($F6,EOMONTH(DATE(cfg_FY,3,1),0))-MAX($E6,DATE(cfg_FY,3,1))+1)*(1-IF($M6="نعم",0,N($J6))))</f>
        <v>0</v>
      </c>
      <c r="Y6" s="65" t="n">
        <f aca="false">IF(OR($B6="",$E6="",$F6=""),0,MAX(0,MIN($F6,EOMONTH(DATE(cfg_FY,4,1),0))-MAX($E6,DATE(cfg_FY,4,1))+1)*(1-IF($M6="نعم",0,N($J6))))</f>
        <v>0</v>
      </c>
      <c r="Z6" s="65" t="n">
        <f aca="false">IF(OR($B6="",$E6="",$F6=""),0,MAX(0,MIN($F6,EOMONTH(DATE(cfg_FY,5,1),0))-MAX($E6,DATE(cfg_FY,5,1))+1)*(1-IF($M6="نعم",0,N($J6))))</f>
        <v>0</v>
      </c>
      <c r="AA6" s="65" t="n">
        <f aca="false">IF(OR($B6="",$E6="",$F6=""),0,MAX(0,MIN($F6,EOMONTH(DATE(cfg_FY,6,1),0))-MAX($E6,DATE(cfg_FY,6,1))+1)*(1-IF($M6="نعم",0,N($J6))))</f>
        <v>0</v>
      </c>
      <c r="AB6" s="65" t="n">
        <f aca="false">IF(OR($B6="",$E6="",$F6=""),0,MAX(0,MIN($F6,EOMONTH(DATE(cfg_FY,7,1),0))-MAX($E6,DATE(cfg_FY,7,1))+1)*(1-IF($M6="نعم",0,N($J6))))</f>
        <v>0</v>
      </c>
      <c r="AC6" s="65" t="n">
        <f aca="false">IF(OR($B6="",$E6="",$F6=""),0,MAX(0,MIN($F6,EOMONTH(DATE(cfg_FY,8,1),0))-MAX($E6,DATE(cfg_FY,8,1))+1)*(1-IF($M6="نعم",0,N($J6))))</f>
        <v>0</v>
      </c>
      <c r="AD6" s="65" t="n">
        <f aca="false">IF(OR($B6="",$E6="",$F6=""),0,MAX(0,MIN($F6,EOMONTH(DATE(cfg_FY,9,1),0))-MAX($E6,DATE(cfg_FY,9,1))+1)*(1-IF($M6="نعم",0,N($J6))))</f>
        <v>0</v>
      </c>
      <c r="AE6" s="65" t="n">
        <f aca="false">IF(OR($B6="",$E6="",$F6=""),0,MAX(0,MIN($F6,EOMONTH(DATE(cfg_FY,10,1),0))-MAX($E6,DATE(cfg_FY,10,1))+1)*(1-IF($M6="نعم",0,N($J6))))</f>
        <v>0</v>
      </c>
      <c r="AF6" s="65" t="n">
        <f aca="false">IF(OR($B6="",$E6="",$F6=""),0,MAX(0,MIN($F6,EOMONTH(DATE(cfg_FY,11,1),0))-MAX($E6,DATE(cfg_FY,11,1))+1)*(1-IF($M6="نعم",0,N($J6))))</f>
        <v>0</v>
      </c>
      <c r="AG6" s="65" t="n">
        <f aca="false">IF(OR($B6="",$E6="",$F6=""),0,MAX(0,MIN($F6,EOMONTH(DATE(cfg_FY,12,1),0))-MAX($E6,DATE(cfg_FY,12,1))+1)*(1-IF($M6="نعم",0,N($J6))))</f>
        <v>0</v>
      </c>
      <c r="AH6" s="65" t="n">
        <f aca="false">IF(OR(OR($B6="",$E6="",$F6=""),$L6&lt;&gt;"لا"),0,MAX(0,MIN($F6,EOMONTH(DATE(cfg_FY,1,1),0))-$E6+1))</f>
        <v>0</v>
      </c>
      <c r="AI6" s="65" t="n">
        <f aca="false">IF(OR(OR($B6="",$E6="",$F6=""),$L6&lt;&gt;"لا"),0,MAX(0,MIN($F6,EOMONTH(DATE(cfg_FY,2,1),0))-$E6+1))</f>
        <v>0</v>
      </c>
      <c r="AJ6" s="65" t="n">
        <f aca="false">IF(OR(OR($B6="",$E6="",$F6=""),$L6&lt;&gt;"لا"),0,MAX(0,MIN($F6,EOMONTH(DATE(cfg_FY,3,1),0))-$E6+1))</f>
        <v>0</v>
      </c>
      <c r="AK6" s="65" t="n">
        <f aca="false">IF(OR(OR($B6="",$E6="",$F6=""),$L6&lt;&gt;"لا"),0,MAX(0,MIN($F6,EOMONTH(DATE(cfg_FY,4,1),0))-$E6+1))</f>
        <v>0</v>
      </c>
      <c r="AL6" s="65" t="n">
        <f aca="false">IF(OR(OR($B6="",$E6="",$F6=""),$L6&lt;&gt;"لا"),0,MAX(0,MIN($F6,EOMONTH(DATE(cfg_FY,5,1),0))-$E6+1))</f>
        <v>0</v>
      </c>
      <c r="AM6" s="65" t="n">
        <f aca="false">IF(OR(OR($B6="",$E6="",$F6=""),$L6&lt;&gt;"لا"),0,MAX(0,MIN($F6,EOMONTH(DATE(cfg_FY,6,1),0))-$E6+1))</f>
        <v>0</v>
      </c>
      <c r="AN6" s="65" t="n">
        <f aca="false">IF(OR(OR($B6="",$E6="",$F6=""),$L6&lt;&gt;"لا"),0,MAX(0,MIN($F6,EOMONTH(DATE(cfg_FY,7,1),0))-$E6+1))</f>
        <v>0</v>
      </c>
      <c r="AO6" s="65" t="n">
        <f aca="false">IF(OR(OR($B6="",$E6="",$F6=""),$L6&lt;&gt;"لا"),0,MAX(0,MIN($F6,EOMONTH(DATE(cfg_FY,8,1),0))-$E6+1))</f>
        <v>0</v>
      </c>
      <c r="AP6" s="65" t="n">
        <f aca="false">IF(OR(OR($B6="",$E6="",$F6=""),$L6&lt;&gt;"لا"),0,MAX(0,MIN($F6,EOMONTH(DATE(cfg_FY,9,1),0))-$E6+1))</f>
        <v>0</v>
      </c>
      <c r="AQ6" s="65" t="n">
        <f aca="false">IF(OR(OR($B6="",$E6="",$F6=""),$L6&lt;&gt;"لا"),0,MAX(0,MIN($F6,EOMONTH(DATE(cfg_FY,10,1),0))-$E6+1))</f>
        <v>0</v>
      </c>
      <c r="AR6" s="65" t="n">
        <f aca="false">IF(OR(OR($B6="",$E6="",$F6=""),$L6&lt;&gt;"لا"),0,MAX(0,MIN($F6,EOMONTH(DATE(cfg_FY,11,1),0))-$E6+1))</f>
        <v>0</v>
      </c>
      <c r="AS6" s="65" t="n">
        <f aca="false">IF(OR(OR($B6="",$E6="",$F6=""),$L6&lt;&gt;"لا"),0,MAX(0,MIN($F6,EOMONTH(DATE(cfg_FY,12,1),0))-$E6+1))</f>
        <v>0</v>
      </c>
      <c r="AT6" s="65" t="n">
        <f aca="false">IF(OR(OR($B6="",$E6="",$F6=""),$K6&lt;&gt;"نعم",$M6="نعم"),0,MAX(0,MIN($F6,EOMONTH(DATE(cfg_FY,1,1),0))-MAX($E6,DATE(cfg_FY,1,1))+1))</f>
        <v>0</v>
      </c>
      <c r="AU6" s="65" t="n">
        <f aca="false">IF(OR(OR($B6="",$E6="",$F6=""),$K6&lt;&gt;"نعم",$M6="نعم"),0,MAX(0,MIN($F6,EOMONTH(DATE(cfg_FY,2,1),0))-MAX($E6,DATE(cfg_FY,2,1))+1))</f>
        <v>0</v>
      </c>
      <c r="AV6" s="65" t="n">
        <f aca="false">IF(OR(OR($B6="",$E6="",$F6=""),$K6&lt;&gt;"نعم",$M6="نعم"),0,MAX(0,MIN($F6,EOMONTH(DATE(cfg_FY,3,1),0))-MAX($E6,DATE(cfg_FY,3,1))+1))</f>
        <v>10</v>
      </c>
      <c r="AW6" s="65" t="n">
        <f aca="false">IF(OR(OR($B6="",$E6="",$F6=""),$K6&lt;&gt;"نعم",$M6="نعم"),0,MAX(0,MIN($F6,EOMONTH(DATE(cfg_FY,4,1),0))-MAX($E6,DATE(cfg_FY,4,1))+1))</f>
        <v>0</v>
      </c>
      <c r="AX6" s="65" t="n">
        <f aca="false">IF(OR(OR($B6="",$E6="",$F6=""),$K6&lt;&gt;"نعم",$M6="نعم"),0,MAX(0,MIN($F6,EOMONTH(DATE(cfg_FY,5,1),0))-MAX($E6,DATE(cfg_FY,5,1))+1))</f>
        <v>0</v>
      </c>
      <c r="AY6" s="65" t="n">
        <f aca="false">IF(OR(OR($B6="",$E6="",$F6=""),$K6&lt;&gt;"نعم",$M6="نعم"),0,MAX(0,MIN($F6,EOMONTH(DATE(cfg_FY,6,1),0))-MAX($E6,DATE(cfg_FY,6,1))+1))</f>
        <v>0</v>
      </c>
      <c r="AZ6" s="65" t="n">
        <f aca="false">IF(OR(OR($B6="",$E6="",$F6=""),$K6&lt;&gt;"نعم",$M6="نعم"),0,MAX(0,MIN($F6,EOMONTH(DATE(cfg_FY,7,1),0))-MAX($E6,DATE(cfg_FY,7,1))+1))</f>
        <v>0</v>
      </c>
      <c r="BA6" s="65" t="n">
        <f aca="false">IF(OR(OR($B6="",$E6="",$F6=""),$K6&lt;&gt;"نعم",$M6="نعم"),0,MAX(0,MIN($F6,EOMONTH(DATE(cfg_FY,8,1),0))-MAX($E6,DATE(cfg_FY,8,1))+1))</f>
        <v>0</v>
      </c>
      <c r="BB6" s="65" t="n">
        <f aca="false">IF(OR(OR($B6="",$E6="",$F6=""),$K6&lt;&gt;"نعم",$M6="نعم"),0,MAX(0,MIN($F6,EOMONTH(DATE(cfg_FY,9,1),0))-MAX($E6,DATE(cfg_FY,9,1))+1))</f>
        <v>0</v>
      </c>
      <c r="BC6" s="65" t="n">
        <f aca="false">IF(OR(OR($B6="",$E6="",$F6=""),$K6&lt;&gt;"نعم",$M6="نعم"),0,MAX(0,MIN($F6,EOMONTH(DATE(cfg_FY,10,1),0))-MAX($E6,DATE(cfg_FY,10,1))+1))</f>
        <v>0</v>
      </c>
      <c r="BD6" s="65" t="n">
        <f aca="false">IF(OR(OR($B6="",$E6="",$F6=""),$K6&lt;&gt;"نعم",$M6="نعم"),0,MAX(0,MIN($F6,EOMONTH(DATE(cfg_FY,11,1),0))-MAX($E6,DATE(cfg_FY,11,1))+1))</f>
        <v>0</v>
      </c>
      <c r="BE6" s="65" t="n">
        <f aca="false">IF(OR(OR($B6="",$E6="",$F6=""),$K6&lt;&gt;"نعم",$M6="نعم"),0,MAX(0,MIN($F6,EOMONTH(DATE(cfg_FY,12,1),0))-MAX($E6,DATE(cfg_FY,12,1))+1))</f>
        <v>0</v>
      </c>
    </row>
    <row r="7" customFormat="false" ht="15" hidden="false" customHeight="false" outlineLevel="0" collapsed="false">
      <c r="A7" s="115" t="n">
        <f aca="false">IF(B7="","",ROW()-5)</f>
        <v>2</v>
      </c>
      <c r="B7" s="107" t="s">
        <v>379</v>
      </c>
      <c r="C7" s="117" t="str">
        <f aca="false">IF(B7="","",IFERROR(INDEX(الموظفون!$C$6:$C$105,MATCH(B7,الموظفون!$B$6:$B$105,0)),"✖ رقم غير موجود"))</f>
        <v>خالد يوسف الأحمد</v>
      </c>
      <c r="D7" s="107" t="s">
        <v>197</v>
      </c>
      <c r="E7" s="108" t="n">
        <v>46086</v>
      </c>
      <c r="F7" s="108" t="n">
        <v>46106</v>
      </c>
      <c r="G7" s="133" t="n">
        <f aca="false">IF(OR($B7="",$E7="",$F7=""),"",MAX(0,F7-E7+1))</f>
        <v>21</v>
      </c>
      <c r="H7" s="134" t="n">
        <f aca="false">IF(D7="","",IFERROR(VLOOKUP(D7,cfg_LT,2,FALSE()),1))</f>
        <v>1</v>
      </c>
      <c r="I7" s="132"/>
      <c r="J7" s="134" t="n">
        <f aca="false">IF(D7="","",IF(I7&lt;&gt;"",I7,H7))</f>
        <v>1</v>
      </c>
      <c r="K7" s="117" t="str">
        <f aca="false">IF(D7="","",IFERROR(VLOOKUP($D7,cfg_LT,3,FALSE()),""))</f>
        <v>نعم</v>
      </c>
      <c r="L7" s="117" t="str">
        <f aca="false">IF(D7="","",IFERROR(VLOOKUP($D7,cfg_LT,4,FALSE()),""))</f>
        <v>نعم</v>
      </c>
      <c r="M7" s="117" t="str">
        <f aca="false">IF(D7="","",IFERROR(VLOOKUP($D7,cfg_LT,5,FALSE()),""))</f>
        <v>لا</v>
      </c>
      <c r="N7" s="116" t="n">
        <f aca="false">IF(OR(OR($B7="",$E7="",$F7=""),M7&lt;&gt;"نعم"),0,G7*J7*IFERROR(INDEX(الموظفون!$R$6:$R$105,MATCH(B7,الموظفون!$B$6:$B$105,0)),0)/cfg_DAYS_M)</f>
        <v>0</v>
      </c>
      <c r="O7" s="115" t="str">
        <f aca="false">IF(OR(OR($B7="",$E7="",$F7=""),M7&lt;&gt;"نعم"),"",IF(YEAR(E7)=cfg_FY,MONTH(E7),""))</f>
        <v/>
      </c>
      <c r="P7" s="117" t="str">
        <f aca="false">IF(B7="","",IF(OR(D7="",E7="",F7=""),"⚠ أكمل النوع والتواريخ",IF(F7&lt;E7,"✖ النهاية قبل البداية",IF(COUNTIFS($B$6:$B$505,B7,$E$6:$E$505,"&lt;="&amp;F7,$F$6:$F$505,"&gt;="&amp;E7)&gt;1,"⚠ تداخل مع سجل آخر",IF(E7&gt;cfg_VAL_DATE,"⏳ قادمة",IF(F7&lt;cfg_VAL_DATE,"✔ منتهية","✈ جارية في تاريخ التقرير"))))))</f>
        <v>✔ منتهية</v>
      </c>
      <c r="Q7" s="107" t="s">
        <v>436</v>
      </c>
      <c r="R7" s="133" t="n">
        <f aca="false">IF(OR(OR($B7="",$E7="",$F7=""),L7&lt;&gt;"لا"),0,MAX(0,MIN(F7,cfg_Y_START-1)-E7+1))</f>
        <v>0</v>
      </c>
      <c r="S7" s="133" t="n">
        <f aca="false">IF(OR(OR($B7="",$E7="",$F7=""),L7&lt;&gt;"لا"),0,MAX(0,MIN(F7,cfg_VAL_DATE)-E7+1))</f>
        <v>0</v>
      </c>
      <c r="T7" s="133" t="n">
        <f aca="false">IF(OR(OR($B7="",$E7="",$F7=""),K7&lt;&gt;"نعم"),0,IF(M7="نعم",IF(AND(ISNUMBER(O7),N(O7)&lt;=cfg_VAL_M),G7,0),MAX(0,MIN(F7,cfg_VAL_DATE)-MAX(E7,cfg_Y_START)+1)))</f>
        <v>21</v>
      </c>
      <c r="V7" s="133" t="n">
        <f aca="false">IF(OR($B7="",$E7="",$F7=""),0,MAX(0,MIN($F7,EOMONTH(DATE(cfg_FY,1,1),0))-MAX($E7,DATE(cfg_FY,1,1))+1)*(1-IF($M7="نعم",0,N($J7))))</f>
        <v>0</v>
      </c>
      <c r="W7" s="133" t="n">
        <f aca="false">IF(OR($B7="",$E7="",$F7=""),0,MAX(0,MIN($F7,EOMONTH(DATE(cfg_FY,2,1),0))-MAX($E7,DATE(cfg_FY,2,1))+1)*(1-IF($M7="نعم",0,N($J7))))</f>
        <v>0</v>
      </c>
      <c r="X7" s="133" t="n">
        <f aca="false">IF(OR($B7="",$E7="",$F7=""),0,MAX(0,MIN($F7,EOMONTH(DATE(cfg_FY,3,1),0))-MAX($E7,DATE(cfg_FY,3,1))+1)*(1-IF($M7="نعم",0,N($J7))))</f>
        <v>0</v>
      </c>
      <c r="Y7" s="133" t="n">
        <f aca="false">IF(OR($B7="",$E7="",$F7=""),0,MAX(0,MIN($F7,EOMONTH(DATE(cfg_FY,4,1),0))-MAX($E7,DATE(cfg_FY,4,1))+1)*(1-IF($M7="نعم",0,N($J7))))</f>
        <v>0</v>
      </c>
      <c r="Z7" s="133" t="n">
        <f aca="false">IF(OR($B7="",$E7="",$F7=""),0,MAX(0,MIN($F7,EOMONTH(DATE(cfg_FY,5,1),0))-MAX($E7,DATE(cfg_FY,5,1))+1)*(1-IF($M7="نعم",0,N($J7))))</f>
        <v>0</v>
      </c>
      <c r="AA7" s="133" t="n">
        <f aca="false">IF(OR($B7="",$E7="",$F7=""),0,MAX(0,MIN($F7,EOMONTH(DATE(cfg_FY,6,1),0))-MAX($E7,DATE(cfg_FY,6,1))+1)*(1-IF($M7="نعم",0,N($J7))))</f>
        <v>0</v>
      </c>
      <c r="AB7" s="133" t="n">
        <f aca="false">IF(OR($B7="",$E7="",$F7=""),0,MAX(0,MIN($F7,EOMONTH(DATE(cfg_FY,7,1),0))-MAX($E7,DATE(cfg_FY,7,1))+1)*(1-IF($M7="نعم",0,N($J7))))</f>
        <v>0</v>
      </c>
      <c r="AC7" s="133" t="n">
        <f aca="false">IF(OR($B7="",$E7="",$F7=""),0,MAX(0,MIN($F7,EOMONTH(DATE(cfg_FY,8,1),0))-MAX($E7,DATE(cfg_FY,8,1))+1)*(1-IF($M7="نعم",0,N($J7))))</f>
        <v>0</v>
      </c>
      <c r="AD7" s="133" t="n">
        <f aca="false">IF(OR($B7="",$E7="",$F7=""),0,MAX(0,MIN($F7,EOMONTH(DATE(cfg_FY,9,1),0))-MAX($E7,DATE(cfg_FY,9,1))+1)*(1-IF($M7="نعم",0,N($J7))))</f>
        <v>0</v>
      </c>
      <c r="AE7" s="133" t="n">
        <f aca="false">IF(OR($B7="",$E7="",$F7=""),0,MAX(0,MIN($F7,EOMONTH(DATE(cfg_FY,10,1),0))-MAX($E7,DATE(cfg_FY,10,1))+1)*(1-IF($M7="نعم",0,N($J7))))</f>
        <v>0</v>
      </c>
      <c r="AF7" s="133" t="n">
        <f aca="false">IF(OR($B7="",$E7="",$F7=""),0,MAX(0,MIN($F7,EOMONTH(DATE(cfg_FY,11,1),0))-MAX($E7,DATE(cfg_FY,11,1))+1)*(1-IF($M7="نعم",0,N($J7))))</f>
        <v>0</v>
      </c>
      <c r="AG7" s="133" t="n">
        <f aca="false">IF(OR($B7="",$E7="",$F7=""),0,MAX(0,MIN($F7,EOMONTH(DATE(cfg_FY,12,1),0))-MAX($E7,DATE(cfg_FY,12,1))+1)*(1-IF($M7="نعم",0,N($J7))))</f>
        <v>0</v>
      </c>
      <c r="AH7" s="133" t="n">
        <f aca="false">IF(OR(OR($B7="",$E7="",$F7=""),$L7&lt;&gt;"لا"),0,MAX(0,MIN($F7,EOMONTH(DATE(cfg_FY,1,1),0))-$E7+1))</f>
        <v>0</v>
      </c>
      <c r="AI7" s="133" t="n">
        <f aca="false">IF(OR(OR($B7="",$E7="",$F7=""),$L7&lt;&gt;"لا"),0,MAX(0,MIN($F7,EOMONTH(DATE(cfg_FY,2,1),0))-$E7+1))</f>
        <v>0</v>
      </c>
      <c r="AJ7" s="133" t="n">
        <f aca="false">IF(OR(OR($B7="",$E7="",$F7=""),$L7&lt;&gt;"لا"),0,MAX(0,MIN($F7,EOMONTH(DATE(cfg_FY,3,1),0))-$E7+1))</f>
        <v>0</v>
      </c>
      <c r="AK7" s="133" t="n">
        <f aca="false">IF(OR(OR($B7="",$E7="",$F7=""),$L7&lt;&gt;"لا"),0,MAX(0,MIN($F7,EOMONTH(DATE(cfg_FY,4,1),0))-$E7+1))</f>
        <v>0</v>
      </c>
      <c r="AL7" s="133" t="n">
        <f aca="false">IF(OR(OR($B7="",$E7="",$F7=""),$L7&lt;&gt;"لا"),0,MAX(0,MIN($F7,EOMONTH(DATE(cfg_FY,5,1),0))-$E7+1))</f>
        <v>0</v>
      </c>
      <c r="AM7" s="133" t="n">
        <f aca="false">IF(OR(OR($B7="",$E7="",$F7=""),$L7&lt;&gt;"لا"),0,MAX(0,MIN($F7,EOMONTH(DATE(cfg_FY,6,1),0))-$E7+1))</f>
        <v>0</v>
      </c>
      <c r="AN7" s="133" t="n">
        <f aca="false">IF(OR(OR($B7="",$E7="",$F7=""),$L7&lt;&gt;"لا"),0,MAX(0,MIN($F7,EOMONTH(DATE(cfg_FY,7,1),0))-$E7+1))</f>
        <v>0</v>
      </c>
      <c r="AO7" s="133" t="n">
        <f aca="false">IF(OR(OR($B7="",$E7="",$F7=""),$L7&lt;&gt;"لا"),0,MAX(0,MIN($F7,EOMONTH(DATE(cfg_FY,8,1),0))-$E7+1))</f>
        <v>0</v>
      </c>
      <c r="AP7" s="133" t="n">
        <f aca="false">IF(OR(OR($B7="",$E7="",$F7=""),$L7&lt;&gt;"لا"),0,MAX(0,MIN($F7,EOMONTH(DATE(cfg_FY,9,1),0))-$E7+1))</f>
        <v>0</v>
      </c>
      <c r="AQ7" s="133" t="n">
        <f aca="false">IF(OR(OR($B7="",$E7="",$F7=""),$L7&lt;&gt;"لا"),0,MAX(0,MIN($F7,EOMONTH(DATE(cfg_FY,10,1),0))-$E7+1))</f>
        <v>0</v>
      </c>
      <c r="AR7" s="133" t="n">
        <f aca="false">IF(OR(OR($B7="",$E7="",$F7=""),$L7&lt;&gt;"لا"),0,MAX(0,MIN($F7,EOMONTH(DATE(cfg_FY,11,1),0))-$E7+1))</f>
        <v>0</v>
      </c>
      <c r="AS7" s="133" t="n">
        <f aca="false">IF(OR(OR($B7="",$E7="",$F7=""),$L7&lt;&gt;"لا"),0,MAX(0,MIN($F7,EOMONTH(DATE(cfg_FY,12,1),0))-$E7+1))</f>
        <v>0</v>
      </c>
      <c r="AT7" s="133" t="n">
        <f aca="false">IF(OR(OR($B7="",$E7="",$F7=""),$K7&lt;&gt;"نعم",$M7="نعم"),0,MAX(0,MIN($F7,EOMONTH(DATE(cfg_FY,1,1),0))-MAX($E7,DATE(cfg_FY,1,1))+1))</f>
        <v>0</v>
      </c>
      <c r="AU7" s="133" t="n">
        <f aca="false">IF(OR(OR($B7="",$E7="",$F7=""),$K7&lt;&gt;"نعم",$M7="نعم"),0,MAX(0,MIN($F7,EOMONTH(DATE(cfg_FY,2,1),0))-MAX($E7,DATE(cfg_FY,2,1))+1))</f>
        <v>0</v>
      </c>
      <c r="AV7" s="133" t="n">
        <f aca="false">IF(OR(OR($B7="",$E7="",$F7=""),$K7&lt;&gt;"نعم",$M7="نعم"),0,MAX(0,MIN($F7,EOMONTH(DATE(cfg_FY,3,1),0))-MAX($E7,DATE(cfg_FY,3,1))+1))</f>
        <v>21</v>
      </c>
      <c r="AW7" s="133" t="n">
        <f aca="false">IF(OR(OR($B7="",$E7="",$F7=""),$K7&lt;&gt;"نعم",$M7="نعم"),0,MAX(0,MIN($F7,EOMONTH(DATE(cfg_FY,4,1),0))-MAX($E7,DATE(cfg_FY,4,1))+1))</f>
        <v>0</v>
      </c>
      <c r="AX7" s="133" t="n">
        <f aca="false">IF(OR(OR($B7="",$E7="",$F7=""),$K7&lt;&gt;"نعم",$M7="نعم"),0,MAX(0,MIN($F7,EOMONTH(DATE(cfg_FY,5,1),0))-MAX($E7,DATE(cfg_FY,5,1))+1))</f>
        <v>0</v>
      </c>
      <c r="AY7" s="133" t="n">
        <f aca="false">IF(OR(OR($B7="",$E7="",$F7=""),$K7&lt;&gt;"نعم",$M7="نعم"),0,MAX(0,MIN($F7,EOMONTH(DATE(cfg_FY,6,1),0))-MAX($E7,DATE(cfg_FY,6,1))+1))</f>
        <v>0</v>
      </c>
      <c r="AZ7" s="133" t="n">
        <f aca="false">IF(OR(OR($B7="",$E7="",$F7=""),$K7&lt;&gt;"نعم",$M7="نعم"),0,MAX(0,MIN($F7,EOMONTH(DATE(cfg_FY,7,1),0))-MAX($E7,DATE(cfg_FY,7,1))+1))</f>
        <v>0</v>
      </c>
      <c r="BA7" s="133" t="n">
        <f aca="false">IF(OR(OR($B7="",$E7="",$F7=""),$K7&lt;&gt;"نعم",$M7="نعم"),0,MAX(0,MIN($F7,EOMONTH(DATE(cfg_FY,8,1),0))-MAX($E7,DATE(cfg_FY,8,1))+1))</f>
        <v>0</v>
      </c>
      <c r="BB7" s="133" t="n">
        <f aca="false">IF(OR(OR($B7="",$E7="",$F7=""),$K7&lt;&gt;"نعم",$M7="نعم"),0,MAX(0,MIN($F7,EOMONTH(DATE(cfg_FY,9,1),0))-MAX($E7,DATE(cfg_FY,9,1))+1))</f>
        <v>0</v>
      </c>
      <c r="BC7" s="133" t="n">
        <f aca="false">IF(OR(OR($B7="",$E7="",$F7=""),$K7&lt;&gt;"نعم",$M7="نعم"),0,MAX(0,MIN($F7,EOMONTH(DATE(cfg_FY,10,1),0))-MAX($E7,DATE(cfg_FY,10,1))+1))</f>
        <v>0</v>
      </c>
      <c r="BD7" s="133" t="n">
        <f aca="false">IF(OR(OR($B7="",$E7="",$F7=""),$K7&lt;&gt;"نعم",$M7="نعم"),0,MAX(0,MIN($F7,EOMONTH(DATE(cfg_FY,11,1),0))-MAX($E7,DATE(cfg_FY,11,1))+1))</f>
        <v>0</v>
      </c>
      <c r="BE7" s="133" t="n">
        <f aca="false">IF(OR(OR($B7="",$E7="",$F7=""),$K7&lt;&gt;"نعم",$M7="نعم"),0,MAX(0,MIN($F7,EOMONTH(DATE(cfg_FY,12,1),0))-MAX($E7,DATE(cfg_FY,12,1))+1))</f>
        <v>0</v>
      </c>
    </row>
    <row r="8" customFormat="false" ht="15" hidden="false" customHeight="false" outlineLevel="0" collapsed="false">
      <c r="A8" s="106" t="n">
        <f aca="false">IF(B8="","",ROW()-5)</f>
        <v>3</v>
      </c>
      <c r="B8" s="107" t="s">
        <v>355</v>
      </c>
      <c r="C8" s="114" t="str">
        <f aca="false">IF(B8="","",IFERROR(INDEX(الموظفون!$C$6:$C$105,MATCH(B8,الموظفون!$B$6:$B$105,0)),"✖ رقم غير موجود"))</f>
        <v>محمد علي حسن</v>
      </c>
      <c r="D8" s="107" t="s">
        <v>220</v>
      </c>
      <c r="E8" s="108" t="n">
        <v>46152</v>
      </c>
      <c r="F8" s="108" t="n">
        <v>46156</v>
      </c>
      <c r="G8" s="65" t="n">
        <f aca="false">IF(OR($B8="",$E8="",$F8=""),"",MAX(0,F8-E8+1))</f>
        <v>5</v>
      </c>
      <c r="H8" s="66" t="n">
        <f aca="false">IF(D8="","",IFERROR(VLOOKUP(D8,cfg_LT,2,FALSE()),1))</f>
        <v>1</v>
      </c>
      <c r="I8" s="132"/>
      <c r="J8" s="66" t="n">
        <f aca="false">IF(D8="","",IF(I8&lt;&gt;"",I8,H8))</f>
        <v>1</v>
      </c>
      <c r="K8" s="114" t="str">
        <f aca="false">IF(D8="","",IFERROR(VLOOKUP($D8,cfg_LT,3,FALSE()),""))</f>
        <v>لا</v>
      </c>
      <c r="L8" s="114" t="str">
        <f aca="false">IF(D8="","",IFERROR(VLOOKUP($D8,cfg_LT,4,FALSE()),""))</f>
        <v>نعم</v>
      </c>
      <c r="M8" s="114" t="str">
        <f aca="false">IF(D8="","",IFERROR(VLOOKUP($D8,cfg_LT,5,FALSE()),""))</f>
        <v>لا</v>
      </c>
      <c r="N8" s="111" t="n">
        <f aca="false">IF(OR(OR($B8="",$E8="",$F8=""),M8&lt;&gt;"نعم"),0,G8*J8*IFERROR(INDEX(الموظفون!$R$6:$R$105,MATCH(B8,الموظفون!$B$6:$B$105,0)),0)/cfg_DAYS_M)</f>
        <v>0</v>
      </c>
      <c r="O8" s="106" t="str">
        <f aca="false">IF(OR(OR($B8="",$E8="",$F8=""),M8&lt;&gt;"نعم"),"",IF(YEAR(E8)=cfg_FY,MONTH(E8),""))</f>
        <v/>
      </c>
      <c r="P8" s="114" t="str">
        <f aca="false">IF(B8="","",IF(OR(D8="",E8="",F8=""),"⚠ أكمل النوع والتواريخ",IF(F8&lt;E8,"✖ النهاية قبل البداية",IF(COUNTIFS($B$6:$B$505,B8,$E$6:$E$505,"&lt;="&amp;F8,$F$6:$F$505,"&gt;="&amp;E8)&gt;1,"⚠ تداخل مع سجل آخر",IF(E8&gt;cfg_VAL_DATE,"⏳ قادمة",IF(F8&lt;cfg_VAL_DATE,"✔ منتهية","✈ جارية في تاريخ التقرير"))))))</f>
        <v>✔ منتهية</v>
      </c>
      <c r="Q8" s="107" t="s">
        <v>437</v>
      </c>
      <c r="R8" s="65" t="n">
        <f aca="false">IF(OR(OR($B8="",$E8="",$F8=""),L8&lt;&gt;"لا"),0,MAX(0,MIN(F8,cfg_Y_START-1)-E8+1))</f>
        <v>0</v>
      </c>
      <c r="S8" s="65" t="n">
        <f aca="false">IF(OR(OR($B8="",$E8="",$F8=""),L8&lt;&gt;"لا"),0,MAX(0,MIN(F8,cfg_VAL_DATE)-E8+1))</f>
        <v>0</v>
      </c>
      <c r="T8" s="65" t="n">
        <f aca="false">IF(OR(OR($B8="",$E8="",$F8=""),K8&lt;&gt;"نعم"),0,IF(M8="نعم",IF(AND(ISNUMBER(O8),N(O8)&lt;=cfg_VAL_M),G8,0),MAX(0,MIN(F8,cfg_VAL_DATE)-MAX(E8,cfg_Y_START)+1)))</f>
        <v>0</v>
      </c>
      <c r="V8" s="65" t="n">
        <f aca="false">IF(OR($B8="",$E8="",$F8=""),0,MAX(0,MIN($F8,EOMONTH(DATE(cfg_FY,1,1),0))-MAX($E8,DATE(cfg_FY,1,1))+1)*(1-IF($M8="نعم",0,N($J8))))</f>
        <v>0</v>
      </c>
      <c r="W8" s="65" t="n">
        <f aca="false">IF(OR($B8="",$E8="",$F8=""),0,MAX(0,MIN($F8,EOMONTH(DATE(cfg_FY,2,1),0))-MAX($E8,DATE(cfg_FY,2,1))+1)*(1-IF($M8="نعم",0,N($J8))))</f>
        <v>0</v>
      </c>
      <c r="X8" s="65" t="n">
        <f aca="false">IF(OR($B8="",$E8="",$F8=""),0,MAX(0,MIN($F8,EOMONTH(DATE(cfg_FY,3,1),0))-MAX($E8,DATE(cfg_FY,3,1))+1)*(1-IF($M8="نعم",0,N($J8))))</f>
        <v>0</v>
      </c>
      <c r="Y8" s="65" t="n">
        <f aca="false">IF(OR($B8="",$E8="",$F8=""),0,MAX(0,MIN($F8,EOMONTH(DATE(cfg_FY,4,1),0))-MAX($E8,DATE(cfg_FY,4,1))+1)*(1-IF($M8="نعم",0,N($J8))))</f>
        <v>0</v>
      </c>
      <c r="Z8" s="65" t="n">
        <f aca="false">IF(OR($B8="",$E8="",$F8=""),0,MAX(0,MIN($F8,EOMONTH(DATE(cfg_FY,5,1),0))-MAX($E8,DATE(cfg_FY,5,1))+1)*(1-IF($M8="نعم",0,N($J8))))</f>
        <v>0</v>
      </c>
      <c r="AA8" s="65" t="n">
        <f aca="false">IF(OR($B8="",$E8="",$F8=""),0,MAX(0,MIN($F8,EOMONTH(DATE(cfg_FY,6,1),0))-MAX($E8,DATE(cfg_FY,6,1))+1)*(1-IF($M8="نعم",0,N($J8))))</f>
        <v>0</v>
      </c>
      <c r="AB8" s="65" t="n">
        <f aca="false">IF(OR($B8="",$E8="",$F8=""),0,MAX(0,MIN($F8,EOMONTH(DATE(cfg_FY,7,1),0))-MAX($E8,DATE(cfg_FY,7,1))+1)*(1-IF($M8="نعم",0,N($J8))))</f>
        <v>0</v>
      </c>
      <c r="AC8" s="65" t="n">
        <f aca="false">IF(OR($B8="",$E8="",$F8=""),0,MAX(0,MIN($F8,EOMONTH(DATE(cfg_FY,8,1),0))-MAX($E8,DATE(cfg_FY,8,1))+1)*(1-IF($M8="نعم",0,N($J8))))</f>
        <v>0</v>
      </c>
      <c r="AD8" s="65" t="n">
        <f aca="false">IF(OR($B8="",$E8="",$F8=""),0,MAX(0,MIN($F8,EOMONTH(DATE(cfg_FY,9,1),0))-MAX($E8,DATE(cfg_FY,9,1))+1)*(1-IF($M8="نعم",0,N($J8))))</f>
        <v>0</v>
      </c>
      <c r="AE8" s="65" t="n">
        <f aca="false">IF(OR($B8="",$E8="",$F8=""),0,MAX(0,MIN($F8,EOMONTH(DATE(cfg_FY,10,1),0))-MAX($E8,DATE(cfg_FY,10,1))+1)*(1-IF($M8="نعم",0,N($J8))))</f>
        <v>0</v>
      </c>
      <c r="AF8" s="65" t="n">
        <f aca="false">IF(OR($B8="",$E8="",$F8=""),0,MAX(0,MIN($F8,EOMONTH(DATE(cfg_FY,11,1),0))-MAX($E8,DATE(cfg_FY,11,1))+1)*(1-IF($M8="نعم",0,N($J8))))</f>
        <v>0</v>
      </c>
      <c r="AG8" s="65" t="n">
        <f aca="false">IF(OR($B8="",$E8="",$F8=""),0,MAX(0,MIN($F8,EOMONTH(DATE(cfg_FY,12,1),0))-MAX($E8,DATE(cfg_FY,12,1))+1)*(1-IF($M8="نعم",0,N($J8))))</f>
        <v>0</v>
      </c>
      <c r="AH8" s="65" t="n">
        <f aca="false">IF(OR(OR($B8="",$E8="",$F8=""),$L8&lt;&gt;"لا"),0,MAX(0,MIN($F8,EOMONTH(DATE(cfg_FY,1,1),0))-$E8+1))</f>
        <v>0</v>
      </c>
      <c r="AI8" s="65" t="n">
        <f aca="false">IF(OR(OR($B8="",$E8="",$F8=""),$L8&lt;&gt;"لا"),0,MAX(0,MIN($F8,EOMONTH(DATE(cfg_FY,2,1),0))-$E8+1))</f>
        <v>0</v>
      </c>
      <c r="AJ8" s="65" t="n">
        <f aca="false">IF(OR(OR($B8="",$E8="",$F8=""),$L8&lt;&gt;"لا"),0,MAX(0,MIN($F8,EOMONTH(DATE(cfg_FY,3,1),0))-$E8+1))</f>
        <v>0</v>
      </c>
      <c r="AK8" s="65" t="n">
        <f aca="false">IF(OR(OR($B8="",$E8="",$F8=""),$L8&lt;&gt;"لا"),0,MAX(0,MIN($F8,EOMONTH(DATE(cfg_FY,4,1),0))-$E8+1))</f>
        <v>0</v>
      </c>
      <c r="AL8" s="65" t="n">
        <f aca="false">IF(OR(OR($B8="",$E8="",$F8=""),$L8&lt;&gt;"لا"),0,MAX(0,MIN($F8,EOMONTH(DATE(cfg_FY,5,1),0))-$E8+1))</f>
        <v>0</v>
      </c>
      <c r="AM8" s="65" t="n">
        <f aca="false">IF(OR(OR($B8="",$E8="",$F8=""),$L8&lt;&gt;"لا"),0,MAX(0,MIN($F8,EOMONTH(DATE(cfg_FY,6,1),0))-$E8+1))</f>
        <v>0</v>
      </c>
      <c r="AN8" s="65" t="n">
        <f aca="false">IF(OR(OR($B8="",$E8="",$F8=""),$L8&lt;&gt;"لا"),0,MAX(0,MIN($F8,EOMONTH(DATE(cfg_FY,7,1),0))-$E8+1))</f>
        <v>0</v>
      </c>
      <c r="AO8" s="65" t="n">
        <f aca="false">IF(OR(OR($B8="",$E8="",$F8=""),$L8&lt;&gt;"لا"),0,MAX(0,MIN($F8,EOMONTH(DATE(cfg_FY,8,1),0))-$E8+1))</f>
        <v>0</v>
      </c>
      <c r="AP8" s="65" t="n">
        <f aca="false">IF(OR(OR($B8="",$E8="",$F8=""),$L8&lt;&gt;"لا"),0,MAX(0,MIN($F8,EOMONTH(DATE(cfg_FY,9,1),0))-$E8+1))</f>
        <v>0</v>
      </c>
      <c r="AQ8" s="65" t="n">
        <f aca="false">IF(OR(OR($B8="",$E8="",$F8=""),$L8&lt;&gt;"لا"),0,MAX(0,MIN($F8,EOMONTH(DATE(cfg_FY,10,1),0))-$E8+1))</f>
        <v>0</v>
      </c>
      <c r="AR8" s="65" t="n">
        <f aca="false">IF(OR(OR($B8="",$E8="",$F8=""),$L8&lt;&gt;"لا"),0,MAX(0,MIN($F8,EOMONTH(DATE(cfg_FY,11,1),0))-$E8+1))</f>
        <v>0</v>
      </c>
      <c r="AS8" s="65" t="n">
        <f aca="false">IF(OR(OR($B8="",$E8="",$F8=""),$L8&lt;&gt;"لا"),0,MAX(0,MIN($F8,EOMONTH(DATE(cfg_FY,12,1),0))-$E8+1))</f>
        <v>0</v>
      </c>
      <c r="AT8" s="65" t="n">
        <f aca="false">IF(OR(OR($B8="",$E8="",$F8=""),$K8&lt;&gt;"نعم",$M8="نعم"),0,MAX(0,MIN($F8,EOMONTH(DATE(cfg_FY,1,1),0))-MAX($E8,DATE(cfg_FY,1,1))+1))</f>
        <v>0</v>
      </c>
      <c r="AU8" s="65" t="n">
        <f aca="false">IF(OR(OR($B8="",$E8="",$F8=""),$K8&lt;&gt;"نعم",$M8="نعم"),0,MAX(0,MIN($F8,EOMONTH(DATE(cfg_FY,2,1),0))-MAX($E8,DATE(cfg_FY,2,1))+1))</f>
        <v>0</v>
      </c>
      <c r="AV8" s="65" t="n">
        <f aca="false">IF(OR(OR($B8="",$E8="",$F8=""),$K8&lt;&gt;"نعم",$M8="نعم"),0,MAX(0,MIN($F8,EOMONTH(DATE(cfg_FY,3,1),0))-MAX($E8,DATE(cfg_FY,3,1))+1))</f>
        <v>0</v>
      </c>
      <c r="AW8" s="65" t="n">
        <f aca="false">IF(OR(OR($B8="",$E8="",$F8=""),$K8&lt;&gt;"نعم",$M8="نعم"),0,MAX(0,MIN($F8,EOMONTH(DATE(cfg_FY,4,1),0))-MAX($E8,DATE(cfg_FY,4,1))+1))</f>
        <v>0</v>
      </c>
      <c r="AX8" s="65" t="n">
        <f aca="false">IF(OR(OR($B8="",$E8="",$F8=""),$K8&lt;&gt;"نعم",$M8="نعم"),0,MAX(0,MIN($F8,EOMONTH(DATE(cfg_FY,5,1),0))-MAX($E8,DATE(cfg_FY,5,1))+1))</f>
        <v>0</v>
      </c>
      <c r="AY8" s="65" t="n">
        <f aca="false">IF(OR(OR($B8="",$E8="",$F8=""),$K8&lt;&gt;"نعم",$M8="نعم"),0,MAX(0,MIN($F8,EOMONTH(DATE(cfg_FY,6,1),0))-MAX($E8,DATE(cfg_FY,6,1))+1))</f>
        <v>0</v>
      </c>
      <c r="AZ8" s="65" t="n">
        <f aca="false">IF(OR(OR($B8="",$E8="",$F8=""),$K8&lt;&gt;"نعم",$M8="نعم"),0,MAX(0,MIN($F8,EOMONTH(DATE(cfg_FY,7,1),0))-MAX($E8,DATE(cfg_FY,7,1))+1))</f>
        <v>0</v>
      </c>
      <c r="BA8" s="65" t="n">
        <f aca="false">IF(OR(OR($B8="",$E8="",$F8=""),$K8&lt;&gt;"نعم",$M8="نعم"),0,MAX(0,MIN($F8,EOMONTH(DATE(cfg_FY,8,1),0))-MAX($E8,DATE(cfg_FY,8,1))+1))</f>
        <v>0</v>
      </c>
      <c r="BB8" s="65" t="n">
        <f aca="false">IF(OR(OR($B8="",$E8="",$F8=""),$K8&lt;&gt;"نعم",$M8="نعم"),0,MAX(0,MIN($F8,EOMONTH(DATE(cfg_FY,9,1),0))-MAX($E8,DATE(cfg_FY,9,1))+1))</f>
        <v>0</v>
      </c>
      <c r="BC8" s="65" t="n">
        <f aca="false">IF(OR(OR($B8="",$E8="",$F8=""),$K8&lt;&gt;"نعم",$M8="نعم"),0,MAX(0,MIN($F8,EOMONTH(DATE(cfg_FY,10,1),0))-MAX($E8,DATE(cfg_FY,10,1))+1))</f>
        <v>0</v>
      </c>
      <c r="BD8" s="65" t="n">
        <f aca="false">IF(OR(OR($B8="",$E8="",$F8=""),$K8&lt;&gt;"نعم",$M8="نعم"),0,MAX(0,MIN($F8,EOMONTH(DATE(cfg_FY,11,1),0))-MAX($E8,DATE(cfg_FY,11,1))+1))</f>
        <v>0</v>
      </c>
      <c r="BE8" s="65" t="n">
        <f aca="false">IF(OR(OR($B8="",$E8="",$F8=""),$K8&lt;&gt;"نعم",$M8="نعم"),0,MAX(0,MIN($F8,EOMONTH(DATE(cfg_FY,12,1),0))-MAX($E8,DATE(cfg_FY,12,1))+1))</f>
        <v>0</v>
      </c>
    </row>
    <row r="9" customFormat="false" ht="15" hidden="false" customHeight="false" outlineLevel="0" collapsed="false">
      <c r="A9" s="115" t="n">
        <f aca="false">IF(B9="","",ROW()-5)</f>
        <v>4</v>
      </c>
      <c r="B9" s="107" t="s">
        <v>392</v>
      </c>
      <c r="C9" s="117" t="str">
        <f aca="false">IF(B9="","",IFERROR(INDEX(الموظفون!$C$6:$C$105,MATCH(B9,الموظفون!$B$6:$B$105,0)),"✖ رقم غير موجود"))</f>
        <v>محمد رفيق</v>
      </c>
      <c r="D9" s="107" t="s">
        <v>205</v>
      </c>
      <c r="E9" s="108" t="n">
        <v>46174</v>
      </c>
      <c r="F9" s="108" t="n">
        <v>46203</v>
      </c>
      <c r="G9" s="133" t="n">
        <f aca="false">IF(OR($B9="",$E9="",$F9=""),"",MAX(0,F9-E9+1))</f>
        <v>30</v>
      </c>
      <c r="H9" s="134" t="n">
        <f aca="false">IF(D9="","",IFERROR(VLOOKUP(D9,cfg_LT,2,FALSE()),1))</f>
        <v>1</v>
      </c>
      <c r="I9" s="132"/>
      <c r="J9" s="134" t="n">
        <f aca="false">IF(D9="","",IF(I9&lt;&gt;"",I9,H9))</f>
        <v>1</v>
      </c>
      <c r="K9" s="117" t="str">
        <f aca="false">IF(D9="","",IFERROR(VLOOKUP($D9,cfg_LT,3,FALSE()),""))</f>
        <v>نعم</v>
      </c>
      <c r="L9" s="117" t="str">
        <f aca="false">IF(D9="","",IFERROR(VLOOKUP($D9,cfg_LT,4,FALSE()),""))</f>
        <v>نعم</v>
      </c>
      <c r="M9" s="117" t="str">
        <f aca="false">IF(D9="","",IFERROR(VLOOKUP($D9,cfg_LT,5,FALSE()),""))</f>
        <v>نعم</v>
      </c>
      <c r="N9" s="116" t="n">
        <f aca="false">IF(OR(OR($B9="",$E9="",$F9=""),M9&lt;&gt;"نعم"),0,G9*J9*IFERROR(INDEX(الموظفون!$R$6:$R$105,MATCH(B9,الموظفون!$B$6:$B$105,0)),0)/cfg_DAYS_M)</f>
        <v>8775</v>
      </c>
      <c r="O9" s="115" t="n">
        <f aca="false">IF(OR(OR($B9="",$E9="",$F9=""),M9&lt;&gt;"نعم"),"",IF(YEAR(E9)=cfg_FY,MONTH(E9),""))</f>
        <v>6</v>
      </c>
      <c r="P9" s="117" t="str">
        <f aca="false">IF(B9="","",IF(OR(D9="",E9="",F9=""),"⚠ أكمل النوع والتواريخ",IF(F9&lt;E9,"✖ النهاية قبل البداية",IF(COUNTIFS($B$6:$B$505,B9,$E$6:$E$505,"&lt;="&amp;F9,$F$6:$F$505,"&gt;="&amp;E9)&gt;1,"⚠ تداخل مع سجل آخر",IF(E9&gt;cfg_VAL_DATE,"⏳ قادمة",IF(F9&lt;cfg_VAL_DATE,"✔ منتهية","✈ جارية في تاريخ التقرير"))))))</f>
        <v>✔ منتهية</v>
      </c>
      <c r="Q9" s="107" t="s">
        <v>438</v>
      </c>
      <c r="R9" s="133" t="n">
        <f aca="false">IF(OR(OR($B9="",$E9="",$F9=""),L9&lt;&gt;"لا"),0,MAX(0,MIN(F9,cfg_Y_START-1)-E9+1))</f>
        <v>0</v>
      </c>
      <c r="S9" s="133" t="n">
        <f aca="false">IF(OR(OR($B9="",$E9="",$F9=""),L9&lt;&gt;"لا"),0,MAX(0,MIN(F9,cfg_VAL_DATE)-E9+1))</f>
        <v>0</v>
      </c>
      <c r="T9" s="133" t="n">
        <f aca="false">IF(OR(OR($B9="",$E9="",$F9=""),K9&lt;&gt;"نعم"),0,IF(M9="نعم",IF(AND(ISNUMBER(O9),N(O9)&lt;=cfg_VAL_M),G9,0),MAX(0,MIN(F9,cfg_VAL_DATE)-MAX(E9,cfg_Y_START)+1)))</f>
        <v>30</v>
      </c>
      <c r="V9" s="133" t="n">
        <f aca="false">IF(OR($B9="",$E9="",$F9=""),0,MAX(0,MIN($F9,EOMONTH(DATE(cfg_FY,1,1),0))-MAX($E9,DATE(cfg_FY,1,1))+1)*(1-IF($M9="نعم",0,N($J9))))</f>
        <v>0</v>
      </c>
      <c r="W9" s="133" t="n">
        <f aca="false">IF(OR($B9="",$E9="",$F9=""),0,MAX(0,MIN($F9,EOMONTH(DATE(cfg_FY,2,1),0))-MAX($E9,DATE(cfg_FY,2,1))+1)*(1-IF($M9="نعم",0,N($J9))))</f>
        <v>0</v>
      </c>
      <c r="X9" s="133" t="n">
        <f aca="false">IF(OR($B9="",$E9="",$F9=""),0,MAX(0,MIN($F9,EOMONTH(DATE(cfg_FY,3,1),0))-MAX($E9,DATE(cfg_FY,3,1))+1)*(1-IF($M9="نعم",0,N($J9))))</f>
        <v>0</v>
      </c>
      <c r="Y9" s="133" t="n">
        <f aca="false">IF(OR($B9="",$E9="",$F9=""),0,MAX(0,MIN($F9,EOMONTH(DATE(cfg_FY,4,1),0))-MAX($E9,DATE(cfg_FY,4,1))+1)*(1-IF($M9="نعم",0,N($J9))))</f>
        <v>0</v>
      </c>
      <c r="Z9" s="133" t="n">
        <f aca="false">IF(OR($B9="",$E9="",$F9=""),0,MAX(0,MIN($F9,EOMONTH(DATE(cfg_FY,5,1),0))-MAX($E9,DATE(cfg_FY,5,1))+1)*(1-IF($M9="نعم",0,N($J9))))</f>
        <v>0</v>
      </c>
      <c r="AA9" s="133" t="n">
        <f aca="false">IF(OR($B9="",$E9="",$F9=""),0,MAX(0,MIN($F9,EOMONTH(DATE(cfg_FY,6,1),0))-MAX($E9,DATE(cfg_FY,6,1))+1)*(1-IF($M9="نعم",0,N($J9))))</f>
        <v>30</v>
      </c>
      <c r="AB9" s="133" t="n">
        <f aca="false">IF(OR($B9="",$E9="",$F9=""),0,MAX(0,MIN($F9,EOMONTH(DATE(cfg_FY,7,1),0))-MAX($E9,DATE(cfg_FY,7,1))+1)*(1-IF($M9="نعم",0,N($J9))))</f>
        <v>0</v>
      </c>
      <c r="AC9" s="133" t="n">
        <f aca="false">IF(OR($B9="",$E9="",$F9=""),0,MAX(0,MIN($F9,EOMONTH(DATE(cfg_FY,8,1),0))-MAX($E9,DATE(cfg_FY,8,1))+1)*(1-IF($M9="نعم",0,N($J9))))</f>
        <v>0</v>
      </c>
      <c r="AD9" s="133" t="n">
        <f aca="false">IF(OR($B9="",$E9="",$F9=""),0,MAX(0,MIN($F9,EOMONTH(DATE(cfg_FY,9,1),0))-MAX($E9,DATE(cfg_FY,9,1))+1)*(1-IF($M9="نعم",0,N($J9))))</f>
        <v>0</v>
      </c>
      <c r="AE9" s="133" t="n">
        <f aca="false">IF(OR($B9="",$E9="",$F9=""),0,MAX(0,MIN($F9,EOMONTH(DATE(cfg_FY,10,1),0))-MAX($E9,DATE(cfg_FY,10,1))+1)*(1-IF($M9="نعم",0,N($J9))))</f>
        <v>0</v>
      </c>
      <c r="AF9" s="133" t="n">
        <f aca="false">IF(OR($B9="",$E9="",$F9=""),0,MAX(0,MIN($F9,EOMONTH(DATE(cfg_FY,11,1),0))-MAX($E9,DATE(cfg_FY,11,1))+1)*(1-IF($M9="نعم",0,N($J9))))</f>
        <v>0</v>
      </c>
      <c r="AG9" s="133" t="n">
        <f aca="false">IF(OR($B9="",$E9="",$F9=""),0,MAX(0,MIN($F9,EOMONTH(DATE(cfg_FY,12,1),0))-MAX($E9,DATE(cfg_FY,12,1))+1)*(1-IF($M9="نعم",0,N($J9))))</f>
        <v>0</v>
      </c>
      <c r="AH9" s="133" t="n">
        <f aca="false">IF(OR(OR($B9="",$E9="",$F9=""),$L9&lt;&gt;"لا"),0,MAX(0,MIN($F9,EOMONTH(DATE(cfg_FY,1,1),0))-$E9+1))</f>
        <v>0</v>
      </c>
      <c r="AI9" s="133" t="n">
        <f aca="false">IF(OR(OR($B9="",$E9="",$F9=""),$L9&lt;&gt;"لا"),0,MAX(0,MIN($F9,EOMONTH(DATE(cfg_FY,2,1),0))-$E9+1))</f>
        <v>0</v>
      </c>
      <c r="AJ9" s="133" t="n">
        <f aca="false">IF(OR(OR($B9="",$E9="",$F9=""),$L9&lt;&gt;"لا"),0,MAX(0,MIN($F9,EOMONTH(DATE(cfg_FY,3,1),0))-$E9+1))</f>
        <v>0</v>
      </c>
      <c r="AK9" s="133" t="n">
        <f aca="false">IF(OR(OR($B9="",$E9="",$F9=""),$L9&lt;&gt;"لا"),0,MAX(0,MIN($F9,EOMONTH(DATE(cfg_FY,4,1),0))-$E9+1))</f>
        <v>0</v>
      </c>
      <c r="AL9" s="133" t="n">
        <f aca="false">IF(OR(OR($B9="",$E9="",$F9=""),$L9&lt;&gt;"لا"),0,MAX(0,MIN($F9,EOMONTH(DATE(cfg_FY,5,1),0))-$E9+1))</f>
        <v>0</v>
      </c>
      <c r="AM9" s="133" t="n">
        <f aca="false">IF(OR(OR($B9="",$E9="",$F9=""),$L9&lt;&gt;"لا"),0,MAX(0,MIN($F9,EOMONTH(DATE(cfg_FY,6,1),0))-$E9+1))</f>
        <v>0</v>
      </c>
      <c r="AN9" s="133" t="n">
        <f aca="false">IF(OR(OR($B9="",$E9="",$F9=""),$L9&lt;&gt;"لا"),0,MAX(0,MIN($F9,EOMONTH(DATE(cfg_FY,7,1),0))-$E9+1))</f>
        <v>0</v>
      </c>
      <c r="AO9" s="133" t="n">
        <f aca="false">IF(OR(OR($B9="",$E9="",$F9=""),$L9&lt;&gt;"لا"),0,MAX(0,MIN($F9,EOMONTH(DATE(cfg_FY,8,1),0))-$E9+1))</f>
        <v>0</v>
      </c>
      <c r="AP9" s="133" t="n">
        <f aca="false">IF(OR(OR($B9="",$E9="",$F9=""),$L9&lt;&gt;"لا"),0,MAX(0,MIN($F9,EOMONTH(DATE(cfg_FY,9,1),0))-$E9+1))</f>
        <v>0</v>
      </c>
      <c r="AQ9" s="133" t="n">
        <f aca="false">IF(OR(OR($B9="",$E9="",$F9=""),$L9&lt;&gt;"لا"),0,MAX(0,MIN($F9,EOMONTH(DATE(cfg_FY,10,1),0))-$E9+1))</f>
        <v>0</v>
      </c>
      <c r="AR9" s="133" t="n">
        <f aca="false">IF(OR(OR($B9="",$E9="",$F9=""),$L9&lt;&gt;"لا"),0,MAX(0,MIN($F9,EOMONTH(DATE(cfg_FY,11,1),0))-$E9+1))</f>
        <v>0</v>
      </c>
      <c r="AS9" s="133" t="n">
        <f aca="false">IF(OR(OR($B9="",$E9="",$F9=""),$L9&lt;&gt;"لا"),0,MAX(0,MIN($F9,EOMONTH(DATE(cfg_FY,12,1),0))-$E9+1))</f>
        <v>0</v>
      </c>
      <c r="AT9" s="133" t="n">
        <f aca="false">IF(OR(OR($B9="",$E9="",$F9=""),$K9&lt;&gt;"نعم",$M9="نعم"),0,MAX(0,MIN($F9,EOMONTH(DATE(cfg_FY,1,1),0))-MAX($E9,DATE(cfg_FY,1,1))+1))</f>
        <v>0</v>
      </c>
      <c r="AU9" s="133" t="n">
        <f aca="false">IF(OR(OR($B9="",$E9="",$F9=""),$K9&lt;&gt;"نعم",$M9="نعم"),0,MAX(0,MIN($F9,EOMONTH(DATE(cfg_FY,2,1),0))-MAX($E9,DATE(cfg_FY,2,1))+1))</f>
        <v>0</v>
      </c>
      <c r="AV9" s="133" t="n">
        <f aca="false">IF(OR(OR($B9="",$E9="",$F9=""),$K9&lt;&gt;"نعم",$M9="نعم"),0,MAX(0,MIN($F9,EOMONTH(DATE(cfg_FY,3,1),0))-MAX($E9,DATE(cfg_FY,3,1))+1))</f>
        <v>0</v>
      </c>
      <c r="AW9" s="133" t="n">
        <f aca="false">IF(OR(OR($B9="",$E9="",$F9=""),$K9&lt;&gt;"نعم",$M9="نعم"),0,MAX(0,MIN($F9,EOMONTH(DATE(cfg_FY,4,1),0))-MAX($E9,DATE(cfg_FY,4,1))+1))</f>
        <v>0</v>
      </c>
      <c r="AX9" s="133" t="n">
        <f aca="false">IF(OR(OR($B9="",$E9="",$F9=""),$K9&lt;&gt;"نعم",$M9="نعم"),0,MAX(0,MIN($F9,EOMONTH(DATE(cfg_FY,5,1),0))-MAX($E9,DATE(cfg_FY,5,1))+1))</f>
        <v>0</v>
      </c>
      <c r="AY9" s="133" t="n">
        <f aca="false">IF(OR(OR($B9="",$E9="",$F9=""),$K9&lt;&gt;"نعم",$M9="نعم"),0,MAX(0,MIN($F9,EOMONTH(DATE(cfg_FY,6,1),0))-MAX($E9,DATE(cfg_FY,6,1))+1))</f>
        <v>0</v>
      </c>
      <c r="AZ9" s="133" t="n">
        <f aca="false">IF(OR(OR($B9="",$E9="",$F9=""),$K9&lt;&gt;"نعم",$M9="نعم"),0,MAX(0,MIN($F9,EOMONTH(DATE(cfg_FY,7,1),0))-MAX($E9,DATE(cfg_FY,7,1))+1))</f>
        <v>0</v>
      </c>
      <c r="BA9" s="133" t="n">
        <f aca="false">IF(OR(OR($B9="",$E9="",$F9=""),$K9&lt;&gt;"نعم",$M9="نعم"),0,MAX(0,MIN($F9,EOMONTH(DATE(cfg_FY,8,1),0))-MAX($E9,DATE(cfg_FY,8,1))+1))</f>
        <v>0</v>
      </c>
      <c r="BB9" s="133" t="n">
        <f aca="false">IF(OR(OR($B9="",$E9="",$F9=""),$K9&lt;&gt;"نعم",$M9="نعم"),0,MAX(0,MIN($F9,EOMONTH(DATE(cfg_FY,9,1),0))-MAX($E9,DATE(cfg_FY,9,1))+1))</f>
        <v>0</v>
      </c>
      <c r="BC9" s="133" t="n">
        <f aca="false">IF(OR(OR($B9="",$E9="",$F9=""),$K9&lt;&gt;"نعم",$M9="نعم"),0,MAX(0,MIN($F9,EOMONTH(DATE(cfg_FY,10,1),0))-MAX($E9,DATE(cfg_FY,10,1))+1))</f>
        <v>0</v>
      </c>
      <c r="BD9" s="133" t="n">
        <f aca="false">IF(OR(OR($B9="",$E9="",$F9=""),$K9&lt;&gt;"نعم",$M9="نعم"),0,MAX(0,MIN($F9,EOMONTH(DATE(cfg_FY,11,1),0))-MAX($E9,DATE(cfg_FY,11,1))+1))</f>
        <v>0</v>
      </c>
      <c r="BE9" s="133" t="n">
        <f aca="false">IF(OR(OR($B9="",$E9="",$F9=""),$K9&lt;&gt;"نعم",$M9="نعم"),0,MAX(0,MIN($F9,EOMONTH(DATE(cfg_FY,12,1),0))-MAX($E9,DATE(cfg_FY,12,1))+1))</f>
        <v>0</v>
      </c>
    </row>
    <row r="10" customFormat="false" ht="15" hidden="false" customHeight="false" outlineLevel="0" collapsed="false">
      <c r="A10" s="106" t="n">
        <f aca="false">IF(B10="","",ROW()-5)</f>
        <v>5</v>
      </c>
      <c r="B10" s="107" t="s">
        <v>361</v>
      </c>
      <c r="C10" s="114" t="str">
        <f aca="false">IF(B10="","",IFERROR(INDEX(الموظفون!$C$6:$C$105,MATCH(B10,الموظفون!$B$6:$B$105,0)),"✖ رقم غير موجود"))</f>
        <v>نورة خالد الدوسري</v>
      </c>
      <c r="D10" s="107" t="s">
        <v>197</v>
      </c>
      <c r="E10" s="108" t="n">
        <v>46208</v>
      </c>
      <c r="F10" s="108" t="n">
        <v>46222</v>
      </c>
      <c r="G10" s="65" t="n">
        <f aca="false">IF(OR($B10="",$E10="",$F10=""),"",MAX(0,F10-E10+1))</f>
        <v>15</v>
      </c>
      <c r="H10" s="66" t="n">
        <f aca="false">IF(D10="","",IFERROR(VLOOKUP(D10,cfg_LT,2,FALSE()),1))</f>
        <v>1</v>
      </c>
      <c r="I10" s="132"/>
      <c r="J10" s="66" t="n">
        <f aca="false">IF(D10="","",IF(I10&lt;&gt;"",I10,H10))</f>
        <v>1</v>
      </c>
      <c r="K10" s="114" t="str">
        <f aca="false">IF(D10="","",IFERROR(VLOOKUP($D10,cfg_LT,3,FALSE()),""))</f>
        <v>نعم</v>
      </c>
      <c r="L10" s="114" t="str">
        <f aca="false">IF(D10="","",IFERROR(VLOOKUP($D10,cfg_LT,4,FALSE()),""))</f>
        <v>نعم</v>
      </c>
      <c r="M10" s="114" t="str">
        <f aca="false">IF(D10="","",IFERROR(VLOOKUP($D10,cfg_LT,5,FALSE()),""))</f>
        <v>لا</v>
      </c>
      <c r="N10" s="111" t="n">
        <f aca="false">IF(OR(OR($B10="",$E10="",$F10=""),M10&lt;&gt;"نعم"),0,G10*J10*IFERROR(INDEX(الموظفون!$R$6:$R$105,MATCH(B10,الموظفون!$B$6:$B$105,0)),0)/cfg_DAYS_M)</f>
        <v>0</v>
      </c>
      <c r="O10" s="106" t="str">
        <f aca="false">IF(OR(OR($B10="",$E10="",$F10=""),M10&lt;&gt;"نعم"),"",IF(YEAR(E10)=cfg_FY,MONTH(E10),""))</f>
        <v/>
      </c>
      <c r="P10" s="114" t="str">
        <f aca="false">IF(B10="","",IF(OR(D10="",E10="",F10=""),"⚠ أكمل النوع والتواريخ",IF(F10&lt;E10,"✖ النهاية قبل البداية",IF(COUNTIFS($B$6:$B$505,B10,$E$6:$E$505,"&lt;="&amp;F10,$F$6:$F$505,"&gt;="&amp;E10)&gt;1,"⚠ تداخل مع سجل آخر",IF(E10&gt;cfg_VAL_DATE,"⏳ قادمة",IF(F10&lt;cfg_VAL_DATE,"✔ منتهية","✈ جارية في تاريخ التقرير"))))))</f>
        <v>✔ منتهية</v>
      </c>
      <c r="Q10" s="107" t="s">
        <v>439</v>
      </c>
      <c r="R10" s="65" t="n">
        <f aca="false">IF(OR(OR($B10="",$E10="",$F10=""),L10&lt;&gt;"لا"),0,MAX(0,MIN(F10,cfg_Y_START-1)-E10+1))</f>
        <v>0</v>
      </c>
      <c r="S10" s="65" t="n">
        <f aca="false">IF(OR(OR($B10="",$E10="",$F10=""),L10&lt;&gt;"لا"),0,MAX(0,MIN(F10,cfg_VAL_DATE)-E10+1))</f>
        <v>0</v>
      </c>
      <c r="T10" s="65" t="n">
        <f aca="false">IF(OR(OR($B10="",$E10="",$F10=""),K10&lt;&gt;"نعم"),0,IF(M10="نعم",IF(AND(ISNUMBER(O10),N(O10)&lt;=cfg_VAL_M),G10,0),MAX(0,MIN(F10,cfg_VAL_DATE)-MAX(E10,cfg_Y_START)+1)))</f>
        <v>15</v>
      </c>
      <c r="V10" s="65" t="n">
        <f aca="false">IF(OR($B10="",$E10="",$F10=""),0,MAX(0,MIN($F10,EOMONTH(DATE(cfg_FY,1,1),0))-MAX($E10,DATE(cfg_FY,1,1))+1)*(1-IF($M10="نعم",0,N($J10))))</f>
        <v>0</v>
      </c>
      <c r="W10" s="65" t="n">
        <f aca="false">IF(OR($B10="",$E10="",$F10=""),0,MAX(0,MIN($F10,EOMONTH(DATE(cfg_FY,2,1),0))-MAX($E10,DATE(cfg_FY,2,1))+1)*(1-IF($M10="نعم",0,N($J10))))</f>
        <v>0</v>
      </c>
      <c r="X10" s="65" t="n">
        <f aca="false">IF(OR($B10="",$E10="",$F10=""),0,MAX(0,MIN($F10,EOMONTH(DATE(cfg_FY,3,1),0))-MAX($E10,DATE(cfg_FY,3,1))+1)*(1-IF($M10="نعم",0,N($J10))))</f>
        <v>0</v>
      </c>
      <c r="Y10" s="65" t="n">
        <f aca="false">IF(OR($B10="",$E10="",$F10=""),0,MAX(0,MIN($F10,EOMONTH(DATE(cfg_FY,4,1),0))-MAX($E10,DATE(cfg_FY,4,1))+1)*(1-IF($M10="نعم",0,N($J10))))</f>
        <v>0</v>
      </c>
      <c r="Z10" s="65" t="n">
        <f aca="false">IF(OR($B10="",$E10="",$F10=""),0,MAX(0,MIN($F10,EOMONTH(DATE(cfg_FY,5,1),0))-MAX($E10,DATE(cfg_FY,5,1))+1)*(1-IF($M10="نعم",0,N($J10))))</f>
        <v>0</v>
      </c>
      <c r="AA10" s="65" t="n">
        <f aca="false">IF(OR($B10="",$E10="",$F10=""),0,MAX(0,MIN($F10,EOMONTH(DATE(cfg_FY,6,1),0))-MAX($E10,DATE(cfg_FY,6,1))+1)*(1-IF($M10="نعم",0,N($J10))))</f>
        <v>0</v>
      </c>
      <c r="AB10" s="65" t="n">
        <f aca="false">IF(OR($B10="",$E10="",$F10=""),0,MAX(0,MIN($F10,EOMONTH(DATE(cfg_FY,7,1),0))-MAX($E10,DATE(cfg_FY,7,1))+1)*(1-IF($M10="نعم",0,N($J10))))</f>
        <v>0</v>
      </c>
      <c r="AC10" s="65" t="n">
        <f aca="false">IF(OR($B10="",$E10="",$F10=""),0,MAX(0,MIN($F10,EOMONTH(DATE(cfg_FY,8,1),0))-MAX($E10,DATE(cfg_FY,8,1))+1)*(1-IF($M10="نعم",0,N($J10))))</f>
        <v>0</v>
      </c>
      <c r="AD10" s="65" t="n">
        <f aca="false">IF(OR($B10="",$E10="",$F10=""),0,MAX(0,MIN($F10,EOMONTH(DATE(cfg_FY,9,1),0))-MAX($E10,DATE(cfg_FY,9,1))+1)*(1-IF($M10="نعم",0,N($J10))))</f>
        <v>0</v>
      </c>
      <c r="AE10" s="65" t="n">
        <f aca="false">IF(OR($B10="",$E10="",$F10=""),0,MAX(0,MIN($F10,EOMONTH(DATE(cfg_FY,10,1),0))-MAX($E10,DATE(cfg_FY,10,1))+1)*(1-IF($M10="نعم",0,N($J10))))</f>
        <v>0</v>
      </c>
      <c r="AF10" s="65" t="n">
        <f aca="false">IF(OR($B10="",$E10="",$F10=""),0,MAX(0,MIN($F10,EOMONTH(DATE(cfg_FY,11,1),0))-MAX($E10,DATE(cfg_FY,11,1))+1)*(1-IF($M10="نعم",0,N($J10))))</f>
        <v>0</v>
      </c>
      <c r="AG10" s="65" t="n">
        <f aca="false">IF(OR($B10="",$E10="",$F10=""),0,MAX(0,MIN($F10,EOMONTH(DATE(cfg_FY,12,1),0))-MAX($E10,DATE(cfg_FY,12,1))+1)*(1-IF($M10="نعم",0,N($J10))))</f>
        <v>0</v>
      </c>
      <c r="AH10" s="65" t="n">
        <f aca="false">IF(OR(OR($B10="",$E10="",$F10=""),$L10&lt;&gt;"لا"),0,MAX(0,MIN($F10,EOMONTH(DATE(cfg_FY,1,1),0))-$E10+1))</f>
        <v>0</v>
      </c>
      <c r="AI10" s="65" t="n">
        <f aca="false">IF(OR(OR($B10="",$E10="",$F10=""),$L10&lt;&gt;"لا"),0,MAX(0,MIN($F10,EOMONTH(DATE(cfg_FY,2,1),0))-$E10+1))</f>
        <v>0</v>
      </c>
      <c r="AJ10" s="65" t="n">
        <f aca="false">IF(OR(OR($B10="",$E10="",$F10=""),$L10&lt;&gt;"لا"),0,MAX(0,MIN($F10,EOMONTH(DATE(cfg_FY,3,1),0))-$E10+1))</f>
        <v>0</v>
      </c>
      <c r="AK10" s="65" t="n">
        <f aca="false">IF(OR(OR($B10="",$E10="",$F10=""),$L10&lt;&gt;"لا"),0,MAX(0,MIN($F10,EOMONTH(DATE(cfg_FY,4,1),0))-$E10+1))</f>
        <v>0</v>
      </c>
      <c r="AL10" s="65" t="n">
        <f aca="false">IF(OR(OR($B10="",$E10="",$F10=""),$L10&lt;&gt;"لا"),0,MAX(0,MIN($F10,EOMONTH(DATE(cfg_FY,5,1),0))-$E10+1))</f>
        <v>0</v>
      </c>
      <c r="AM10" s="65" t="n">
        <f aca="false">IF(OR(OR($B10="",$E10="",$F10=""),$L10&lt;&gt;"لا"),0,MAX(0,MIN($F10,EOMONTH(DATE(cfg_FY,6,1),0))-$E10+1))</f>
        <v>0</v>
      </c>
      <c r="AN10" s="65" t="n">
        <f aca="false">IF(OR(OR($B10="",$E10="",$F10=""),$L10&lt;&gt;"لا"),0,MAX(0,MIN($F10,EOMONTH(DATE(cfg_FY,7,1),0))-$E10+1))</f>
        <v>0</v>
      </c>
      <c r="AO10" s="65" t="n">
        <f aca="false">IF(OR(OR($B10="",$E10="",$F10=""),$L10&lt;&gt;"لا"),0,MAX(0,MIN($F10,EOMONTH(DATE(cfg_FY,8,1),0))-$E10+1))</f>
        <v>0</v>
      </c>
      <c r="AP10" s="65" t="n">
        <f aca="false">IF(OR(OR($B10="",$E10="",$F10=""),$L10&lt;&gt;"لا"),0,MAX(0,MIN($F10,EOMONTH(DATE(cfg_FY,9,1),0))-$E10+1))</f>
        <v>0</v>
      </c>
      <c r="AQ10" s="65" t="n">
        <f aca="false">IF(OR(OR($B10="",$E10="",$F10=""),$L10&lt;&gt;"لا"),0,MAX(0,MIN($F10,EOMONTH(DATE(cfg_FY,10,1),0))-$E10+1))</f>
        <v>0</v>
      </c>
      <c r="AR10" s="65" t="n">
        <f aca="false">IF(OR(OR($B10="",$E10="",$F10=""),$L10&lt;&gt;"لا"),0,MAX(0,MIN($F10,EOMONTH(DATE(cfg_FY,11,1),0))-$E10+1))</f>
        <v>0</v>
      </c>
      <c r="AS10" s="65" t="n">
        <f aca="false">IF(OR(OR($B10="",$E10="",$F10=""),$L10&lt;&gt;"لا"),0,MAX(0,MIN($F10,EOMONTH(DATE(cfg_FY,12,1),0))-$E10+1))</f>
        <v>0</v>
      </c>
      <c r="AT10" s="65" t="n">
        <f aca="false">IF(OR(OR($B10="",$E10="",$F10=""),$K10&lt;&gt;"نعم",$M10="نعم"),0,MAX(0,MIN($F10,EOMONTH(DATE(cfg_FY,1,1),0))-MAX($E10,DATE(cfg_FY,1,1))+1))</f>
        <v>0</v>
      </c>
      <c r="AU10" s="65" t="n">
        <f aca="false">IF(OR(OR($B10="",$E10="",$F10=""),$K10&lt;&gt;"نعم",$M10="نعم"),0,MAX(0,MIN($F10,EOMONTH(DATE(cfg_FY,2,1),0))-MAX($E10,DATE(cfg_FY,2,1))+1))</f>
        <v>0</v>
      </c>
      <c r="AV10" s="65" t="n">
        <f aca="false">IF(OR(OR($B10="",$E10="",$F10=""),$K10&lt;&gt;"نعم",$M10="نعم"),0,MAX(0,MIN($F10,EOMONTH(DATE(cfg_FY,3,1),0))-MAX($E10,DATE(cfg_FY,3,1))+1))</f>
        <v>0</v>
      </c>
      <c r="AW10" s="65" t="n">
        <f aca="false">IF(OR(OR($B10="",$E10="",$F10=""),$K10&lt;&gt;"نعم",$M10="نعم"),0,MAX(0,MIN($F10,EOMONTH(DATE(cfg_FY,4,1),0))-MAX($E10,DATE(cfg_FY,4,1))+1))</f>
        <v>0</v>
      </c>
      <c r="AX10" s="65" t="n">
        <f aca="false">IF(OR(OR($B10="",$E10="",$F10=""),$K10&lt;&gt;"نعم",$M10="نعم"),0,MAX(0,MIN($F10,EOMONTH(DATE(cfg_FY,5,1),0))-MAX($E10,DATE(cfg_FY,5,1))+1))</f>
        <v>0</v>
      </c>
      <c r="AY10" s="65" t="n">
        <f aca="false">IF(OR(OR($B10="",$E10="",$F10=""),$K10&lt;&gt;"نعم",$M10="نعم"),0,MAX(0,MIN($F10,EOMONTH(DATE(cfg_FY,6,1),0))-MAX($E10,DATE(cfg_FY,6,1))+1))</f>
        <v>0</v>
      </c>
      <c r="AZ10" s="65" t="n">
        <f aca="false">IF(OR(OR($B10="",$E10="",$F10=""),$K10&lt;&gt;"نعم",$M10="نعم"),0,MAX(0,MIN($F10,EOMONTH(DATE(cfg_FY,7,1),0))-MAX($E10,DATE(cfg_FY,7,1))+1))</f>
        <v>15</v>
      </c>
      <c r="BA10" s="65" t="n">
        <f aca="false">IF(OR(OR($B10="",$E10="",$F10=""),$K10&lt;&gt;"نعم",$M10="نعم"),0,MAX(0,MIN($F10,EOMONTH(DATE(cfg_FY,8,1),0))-MAX($E10,DATE(cfg_FY,8,1))+1))</f>
        <v>0</v>
      </c>
      <c r="BB10" s="65" t="n">
        <f aca="false">IF(OR(OR($B10="",$E10="",$F10=""),$K10&lt;&gt;"نعم",$M10="نعم"),0,MAX(0,MIN($F10,EOMONTH(DATE(cfg_FY,9,1),0))-MAX($E10,DATE(cfg_FY,9,1))+1))</f>
        <v>0</v>
      </c>
      <c r="BC10" s="65" t="n">
        <f aca="false">IF(OR(OR($B10="",$E10="",$F10=""),$K10&lt;&gt;"نعم",$M10="نعم"),0,MAX(0,MIN($F10,EOMONTH(DATE(cfg_FY,10,1),0))-MAX($E10,DATE(cfg_FY,10,1))+1))</f>
        <v>0</v>
      </c>
      <c r="BD10" s="65" t="n">
        <f aca="false">IF(OR(OR($B10="",$E10="",$F10=""),$K10&lt;&gt;"نعم",$M10="نعم"),0,MAX(0,MIN($F10,EOMONTH(DATE(cfg_FY,11,1),0))-MAX($E10,DATE(cfg_FY,11,1))+1))</f>
        <v>0</v>
      </c>
      <c r="BE10" s="65" t="n">
        <f aca="false">IF(OR(OR($B10="",$E10="",$F10=""),$K10&lt;&gt;"نعم",$M10="نعم"),0,MAX(0,MIN($F10,EOMONTH(DATE(cfg_FY,12,1),0))-MAX($E10,DATE(cfg_FY,12,1))+1))</f>
        <v>0</v>
      </c>
    </row>
    <row r="11" customFormat="false" ht="15" hidden="false" customHeight="false" outlineLevel="0" collapsed="false">
      <c r="A11" s="115" t="n">
        <f aca="false">IF(B11="","",ROW()-5)</f>
        <v>6</v>
      </c>
      <c r="B11" s="107" t="s">
        <v>349</v>
      </c>
      <c r="C11" s="117" t="str">
        <f aca="false">IF(B11="","",IFERROR(INDEX(الموظفون!$C$6:$C$105,MATCH(B11,الموظفون!$B$6:$B$105,0)),"✖ رقم غير موجود"))</f>
        <v>أحمد سعيد القحطاني</v>
      </c>
      <c r="D11" s="107" t="s">
        <v>197</v>
      </c>
      <c r="E11" s="108" t="n">
        <v>46215</v>
      </c>
      <c r="F11" s="108" t="n">
        <v>46234</v>
      </c>
      <c r="G11" s="133" t="n">
        <f aca="false">IF(OR($B11="",$E11="",$F11=""),"",MAX(0,F11-E11+1))</f>
        <v>20</v>
      </c>
      <c r="H11" s="134" t="n">
        <f aca="false">IF(D11="","",IFERROR(VLOOKUP(D11,cfg_LT,2,FALSE()),1))</f>
        <v>1</v>
      </c>
      <c r="I11" s="132"/>
      <c r="J11" s="134" t="n">
        <f aca="false">IF(D11="","",IF(I11&lt;&gt;"",I11,H11))</f>
        <v>1</v>
      </c>
      <c r="K11" s="117" t="str">
        <f aca="false">IF(D11="","",IFERROR(VLOOKUP($D11,cfg_LT,3,FALSE()),""))</f>
        <v>نعم</v>
      </c>
      <c r="L11" s="117" t="str">
        <f aca="false">IF(D11="","",IFERROR(VLOOKUP($D11,cfg_LT,4,FALSE()),""))</f>
        <v>نعم</v>
      </c>
      <c r="M11" s="117" t="str">
        <f aca="false">IF(D11="","",IFERROR(VLOOKUP($D11,cfg_LT,5,FALSE()),""))</f>
        <v>لا</v>
      </c>
      <c r="N11" s="116" t="n">
        <f aca="false">IF(OR(OR($B11="",$E11="",$F11=""),M11&lt;&gt;"نعم"),0,G11*J11*IFERROR(INDEX(الموظفون!$R$6:$R$105,MATCH(B11,الموظفون!$B$6:$B$105,0)),0)/cfg_DAYS_M)</f>
        <v>0</v>
      </c>
      <c r="O11" s="115" t="str">
        <f aca="false">IF(OR(OR($B11="",$E11="",$F11=""),M11&lt;&gt;"نعم"),"",IF(YEAR(E11)=cfg_FY,MONTH(E11),""))</f>
        <v/>
      </c>
      <c r="P11" s="117" t="str">
        <f aca="false">IF(B11="","",IF(OR(D11="",E11="",F11=""),"⚠ أكمل النوع والتواريخ",IF(F11&lt;E11,"✖ النهاية قبل البداية",IF(COUNTIFS($B$6:$B$505,B11,$E$6:$E$505,"&lt;="&amp;F11,$F$6:$F$505,"&gt;="&amp;E11)&gt;1,"⚠ تداخل مع سجل آخر",IF(E11&gt;cfg_VAL_DATE,"⏳ قادمة",IF(F11&lt;cfg_VAL_DATE,"✔ منتهية","✈ جارية في تاريخ التقرير"))))))</f>
        <v>✔ منتهية</v>
      </c>
      <c r="Q11" s="107" t="s">
        <v>439</v>
      </c>
      <c r="R11" s="133" t="n">
        <f aca="false">IF(OR(OR($B11="",$E11="",$F11=""),L11&lt;&gt;"لا"),0,MAX(0,MIN(F11,cfg_Y_START-1)-E11+1))</f>
        <v>0</v>
      </c>
      <c r="S11" s="133" t="n">
        <f aca="false">IF(OR(OR($B11="",$E11="",$F11=""),L11&lt;&gt;"لا"),0,MAX(0,MIN(F11,cfg_VAL_DATE)-E11+1))</f>
        <v>0</v>
      </c>
      <c r="T11" s="133" t="n">
        <f aca="false">IF(OR(OR($B11="",$E11="",$F11=""),K11&lt;&gt;"نعم"),0,IF(M11="نعم",IF(AND(ISNUMBER(O11),N(O11)&lt;=cfg_VAL_M),G11,0),MAX(0,MIN(F11,cfg_VAL_DATE)-MAX(E11,cfg_Y_START)+1)))</f>
        <v>20</v>
      </c>
      <c r="V11" s="133" t="n">
        <f aca="false">IF(OR($B11="",$E11="",$F11=""),0,MAX(0,MIN($F11,EOMONTH(DATE(cfg_FY,1,1),0))-MAX($E11,DATE(cfg_FY,1,1))+1)*(1-IF($M11="نعم",0,N($J11))))</f>
        <v>0</v>
      </c>
      <c r="W11" s="133" t="n">
        <f aca="false">IF(OR($B11="",$E11="",$F11=""),0,MAX(0,MIN($F11,EOMONTH(DATE(cfg_FY,2,1),0))-MAX($E11,DATE(cfg_FY,2,1))+1)*(1-IF($M11="نعم",0,N($J11))))</f>
        <v>0</v>
      </c>
      <c r="X11" s="133" t="n">
        <f aca="false">IF(OR($B11="",$E11="",$F11=""),0,MAX(0,MIN($F11,EOMONTH(DATE(cfg_FY,3,1),0))-MAX($E11,DATE(cfg_FY,3,1))+1)*(1-IF($M11="نعم",0,N($J11))))</f>
        <v>0</v>
      </c>
      <c r="Y11" s="133" t="n">
        <f aca="false">IF(OR($B11="",$E11="",$F11=""),0,MAX(0,MIN($F11,EOMONTH(DATE(cfg_FY,4,1),0))-MAX($E11,DATE(cfg_FY,4,1))+1)*(1-IF($M11="نعم",0,N($J11))))</f>
        <v>0</v>
      </c>
      <c r="Z11" s="133" t="n">
        <f aca="false">IF(OR($B11="",$E11="",$F11=""),0,MAX(0,MIN($F11,EOMONTH(DATE(cfg_FY,5,1),0))-MAX($E11,DATE(cfg_FY,5,1))+1)*(1-IF($M11="نعم",0,N($J11))))</f>
        <v>0</v>
      </c>
      <c r="AA11" s="133" t="n">
        <f aca="false">IF(OR($B11="",$E11="",$F11=""),0,MAX(0,MIN($F11,EOMONTH(DATE(cfg_FY,6,1),0))-MAX($E11,DATE(cfg_FY,6,1))+1)*(1-IF($M11="نعم",0,N($J11))))</f>
        <v>0</v>
      </c>
      <c r="AB11" s="133" t="n">
        <f aca="false">IF(OR($B11="",$E11="",$F11=""),0,MAX(0,MIN($F11,EOMONTH(DATE(cfg_FY,7,1),0))-MAX($E11,DATE(cfg_FY,7,1))+1)*(1-IF($M11="نعم",0,N($J11))))</f>
        <v>0</v>
      </c>
      <c r="AC11" s="133" t="n">
        <f aca="false">IF(OR($B11="",$E11="",$F11=""),0,MAX(0,MIN($F11,EOMONTH(DATE(cfg_FY,8,1),0))-MAX($E11,DATE(cfg_FY,8,1))+1)*(1-IF($M11="نعم",0,N($J11))))</f>
        <v>0</v>
      </c>
      <c r="AD11" s="133" t="n">
        <f aca="false">IF(OR($B11="",$E11="",$F11=""),0,MAX(0,MIN($F11,EOMONTH(DATE(cfg_FY,9,1),0))-MAX($E11,DATE(cfg_FY,9,1))+1)*(1-IF($M11="نعم",0,N($J11))))</f>
        <v>0</v>
      </c>
      <c r="AE11" s="133" t="n">
        <f aca="false">IF(OR($B11="",$E11="",$F11=""),0,MAX(0,MIN($F11,EOMONTH(DATE(cfg_FY,10,1),0))-MAX($E11,DATE(cfg_FY,10,1))+1)*(1-IF($M11="نعم",0,N($J11))))</f>
        <v>0</v>
      </c>
      <c r="AF11" s="133" t="n">
        <f aca="false">IF(OR($B11="",$E11="",$F11=""),0,MAX(0,MIN($F11,EOMONTH(DATE(cfg_FY,11,1),0))-MAX($E11,DATE(cfg_FY,11,1))+1)*(1-IF($M11="نعم",0,N($J11))))</f>
        <v>0</v>
      </c>
      <c r="AG11" s="133" t="n">
        <f aca="false">IF(OR($B11="",$E11="",$F11=""),0,MAX(0,MIN($F11,EOMONTH(DATE(cfg_FY,12,1),0))-MAX($E11,DATE(cfg_FY,12,1))+1)*(1-IF($M11="نعم",0,N($J11))))</f>
        <v>0</v>
      </c>
      <c r="AH11" s="133" t="n">
        <f aca="false">IF(OR(OR($B11="",$E11="",$F11=""),$L11&lt;&gt;"لا"),0,MAX(0,MIN($F11,EOMONTH(DATE(cfg_FY,1,1),0))-$E11+1))</f>
        <v>0</v>
      </c>
      <c r="AI11" s="133" t="n">
        <f aca="false">IF(OR(OR($B11="",$E11="",$F11=""),$L11&lt;&gt;"لا"),0,MAX(0,MIN($F11,EOMONTH(DATE(cfg_FY,2,1),0))-$E11+1))</f>
        <v>0</v>
      </c>
      <c r="AJ11" s="133" t="n">
        <f aca="false">IF(OR(OR($B11="",$E11="",$F11=""),$L11&lt;&gt;"لا"),0,MAX(0,MIN($F11,EOMONTH(DATE(cfg_FY,3,1),0))-$E11+1))</f>
        <v>0</v>
      </c>
      <c r="AK11" s="133" t="n">
        <f aca="false">IF(OR(OR($B11="",$E11="",$F11=""),$L11&lt;&gt;"لا"),0,MAX(0,MIN($F11,EOMONTH(DATE(cfg_FY,4,1),0))-$E11+1))</f>
        <v>0</v>
      </c>
      <c r="AL11" s="133" t="n">
        <f aca="false">IF(OR(OR($B11="",$E11="",$F11=""),$L11&lt;&gt;"لا"),0,MAX(0,MIN($F11,EOMONTH(DATE(cfg_FY,5,1),0))-$E11+1))</f>
        <v>0</v>
      </c>
      <c r="AM11" s="133" t="n">
        <f aca="false">IF(OR(OR($B11="",$E11="",$F11=""),$L11&lt;&gt;"لا"),0,MAX(0,MIN($F11,EOMONTH(DATE(cfg_FY,6,1),0))-$E11+1))</f>
        <v>0</v>
      </c>
      <c r="AN11" s="133" t="n">
        <f aca="false">IF(OR(OR($B11="",$E11="",$F11=""),$L11&lt;&gt;"لا"),0,MAX(0,MIN($F11,EOMONTH(DATE(cfg_FY,7,1),0))-$E11+1))</f>
        <v>0</v>
      </c>
      <c r="AO11" s="133" t="n">
        <f aca="false">IF(OR(OR($B11="",$E11="",$F11=""),$L11&lt;&gt;"لا"),0,MAX(0,MIN($F11,EOMONTH(DATE(cfg_FY,8,1),0))-$E11+1))</f>
        <v>0</v>
      </c>
      <c r="AP11" s="133" t="n">
        <f aca="false">IF(OR(OR($B11="",$E11="",$F11=""),$L11&lt;&gt;"لا"),0,MAX(0,MIN($F11,EOMONTH(DATE(cfg_FY,9,1),0))-$E11+1))</f>
        <v>0</v>
      </c>
      <c r="AQ11" s="133" t="n">
        <f aca="false">IF(OR(OR($B11="",$E11="",$F11=""),$L11&lt;&gt;"لا"),0,MAX(0,MIN($F11,EOMONTH(DATE(cfg_FY,10,1),0))-$E11+1))</f>
        <v>0</v>
      </c>
      <c r="AR11" s="133" t="n">
        <f aca="false">IF(OR(OR($B11="",$E11="",$F11=""),$L11&lt;&gt;"لا"),0,MAX(0,MIN($F11,EOMONTH(DATE(cfg_FY,11,1),0))-$E11+1))</f>
        <v>0</v>
      </c>
      <c r="AS11" s="133" t="n">
        <f aca="false">IF(OR(OR($B11="",$E11="",$F11=""),$L11&lt;&gt;"لا"),0,MAX(0,MIN($F11,EOMONTH(DATE(cfg_FY,12,1),0))-$E11+1))</f>
        <v>0</v>
      </c>
      <c r="AT11" s="133" t="n">
        <f aca="false">IF(OR(OR($B11="",$E11="",$F11=""),$K11&lt;&gt;"نعم",$M11="نعم"),0,MAX(0,MIN($F11,EOMONTH(DATE(cfg_FY,1,1),0))-MAX($E11,DATE(cfg_FY,1,1))+1))</f>
        <v>0</v>
      </c>
      <c r="AU11" s="133" t="n">
        <f aca="false">IF(OR(OR($B11="",$E11="",$F11=""),$K11&lt;&gt;"نعم",$M11="نعم"),0,MAX(0,MIN($F11,EOMONTH(DATE(cfg_FY,2,1),0))-MAX($E11,DATE(cfg_FY,2,1))+1))</f>
        <v>0</v>
      </c>
      <c r="AV11" s="133" t="n">
        <f aca="false">IF(OR(OR($B11="",$E11="",$F11=""),$K11&lt;&gt;"نعم",$M11="نعم"),0,MAX(0,MIN($F11,EOMONTH(DATE(cfg_FY,3,1),0))-MAX($E11,DATE(cfg_FY,3,1))+1))</f>
        <v>0</v>
      </c>
      <c r="AW11" s="133" t="n">
        <f aca="false">IF(OR(OR($B11="",$E11="",$F11=""),$K11&lt;&gt;"نعم",$M11="نعم"),0,MAX(0,MIN($F11,EOMONTH(DATE(cfg_FY,4,1),0))-MAX($E11,DATE(cfg_FY,4,1))+1))</f>
        <v>0</v>
      </c>
      <c r="AX11" s="133" t="n">
        <f aca="false">IF(OR(OR($B11="",$E11="",$F11=""),$K11&lt;&gt;"نعم",$M11="نعم"),0,MAX(0,MIN($F11,EOMONTH(DATE(cfg_FY,5,1),0))-MAX($E11,DATE(cfg_FY,5,1))+1))</f>
        <v>0</v>
      </c>
      <c r="AY11" s="133" t="n">
        <f aca="false">IF(OR(OR($B11="",$E11="",$F11=""),$K11&lt;&gt;"نعم",$M11="نعم"),0,MAX(0,MIN($F11,EOMONTH(DATE(cfg_FY,6,1),0))-MAX($E11,DATE(cfg_FY,6,1))+1))</f>
        <v>0</v>
      </c>
      <c r="AZ11" s="133" t="n">
        <f aca="false">IF(OR(OR($B11="",$E11="",$F11=""),$K11&lt;&gt;"نعم",$M11="نعم"),0,MAX(0,MIN($F11,EOMONTH(DATE(cfg_FY,7,1),0))-MAX($E11,DATE(cfg_FY,7,1))+1))</f>
        <v>20</v>
      </c>
      <c r="BA11" s="133" t="n">
        <f aca="false">IF(OR(OR($B11="",$E11="",$F11=""),$K11&lt;&gt;"نعم",$M11="نعم"),0,MAX(0,MIN($F11,EOMONTH(DATE(cfg_FY,8,1),0))-MAX($E11,DATE(cfg_FY,8,1))+1))</f>
        <v>0</v>
      </c>
      <c r="BB11" s="133" t="n">
        <f aca="false">IF(OR(OR($B11="",$E11="",$F11=""),$K11&lt;&gt;"نعم",$M11="نعم"),0,MAX(0,MIN($F11,EOMONTH(DATE(cfg_FY,9,1),0))-MAX($E11,DATE(cfg_FY,9,1))+1))</f>
        <v>0</v>
      </c>
      <c r="BC11" s="133" t="n">
        <f aca="false">IF(OR(OR($B11="",$E11="",$F11=""),$K11&lt;&gt;"نعم",$M11="نعم"),0,MAX(0,MIN($F11,EOMONTH(DATE(cfg_FY,10,1),0))-MAX($E11,DATE(cfg_FY,10,1))+1))</f>
        <v>0</v>
      </c>
      <c r="BD11" s="133" t="n">
        <f aca="false">IF(OR(OR($B11="",$E11="",$F11=""),$K11&lt;&gt;"نعم",$M11="نعم"),0,MAX(0,MIN($F11,EOMONTH(DATE(cfg_FY,11,1),0))-MAX($E11,DATE(cfg_FY,11,1))+1))</f>
        <v>0</v>
      </c>
      <c r="BE11" s="133" t="n">
        <f aca="false">IF(OR(OR($B11="",$E11="",$F11=""),$K11&lt;&gt;"نعم",$M11="نعم"),0,MAX(0,MIN($F11,EOMONTH(DATE(cfg_FY,12,1),0))-MAX($E11,DATE(cfg_FY,12,1))+1))</f>
        <v>0</v>
      </c>
    </row>
    <row r="12" customFormat="false" ht="15" hidden="false" customHeight="false" outlineLevel="0" collapsed="false">
      <c r="A12" s="106" t="n">
        <f aca="false">IF(B12="","",ROW()-5)</f>
        <v>7</v>
      </c>
      <c r="B12" s="107" t="s">
        <v>368</v>
      </c>
      <c r="C12" s="114" t="str">
        <f aca="false">IF(B12="","",IFERROR(INDEX(الموظفون!$C$6:$C$105,MATCH(B12,الموظفون!$B$6:$B$105,0)),"✖ رقم غير موجود"))</f>
        <v>راجيش كومار</v>
      </c>
      <c r="D12" s="107" t="s">
        <v>205</v>
      </c>
      <c r="E12" s="108" t="n">
        <v>46237</v>
      </c>
      <c r="F12" s="108" t="n">
        <v>46257</v>
      </c>
      <c r="G12" s="65" t="n">
        <f aca="false">IF(OR($B12="",$E12="",$F12=""),"",MAX(0,F12-E12+1))</f>
        <v>21</v>
      </c>
      <c r="H12" s="66" t="n">
        <f aca="false">IF(D12="","",IFERROR(VLOOKUP(D12,cfg_LT,2,FALSE()),1))</f>
        <v>1</v>
      </c>
      <c r="I12" s="132"/>
      <c r="J12" s="66" t="n">
        <f aca="false">IF(D12="","",IF(I12&lt;&gt;"",I12,H12))</f>
        <v>1</v>
      </c>
      <c r="K12" s="114" t="str">
        <f aca="false">IF(D12="","",IFERROR(VLOOKUP($D12,cfg_LT,3,FALSE()),""))</f>
        <v>نعم</v>
      </c>
      <c r="L12" s="114" t="str">
        <f aca="false">IF(D12="","",IFERROR(VLOOKUP($D12,cfg_LT,4,FALSE()),""))</f>
        <v>نعم</v>
      </c>
      <c r="M12" s="114" t="str">
        <f aca="false">IF(D12="","",IFERROR(VLOOKUP($D12,cfg_LT,5,FALSE()),""))</f>
        <v>نعم</v>
      </c>
      <c r="N12" s="111" t="n">
        <f aca="false">IF(OR(OR($B12="",$E12="",$F12=""),M12&lt;&gt;"نعم"),0,G12*J12*IFERROR(INDEX(الموظفون!$R$6:$R$105,MATCH(B12,الموظفون!$B$6:$B$105,0)),0)/cfg_DAYS_M)</f>
        <v>8505</v>
      </c>
      <c r="O12" s="106" t="n">
        <f aca="false">IF(OR(OR($B12="",$E12="",$F12=""),M12&lt;&gt;"نعم"),"",IF(YEAR(E12)=cfg_FY,MONTH(E12),""))</f>
        <v>8</v>
      </c>
      <c r="P12" s="114" t="str">
        <f aca="false">IF(B12="","",IF(OR(D12="",E12="",F12=""),"⚠ أكمل النوع والتواريخ",IF(F12&lt;E12,"✖ النهاية قبل البداية",IF(COUNTIFS($B$6:$B$505,B12,$E$6:$E$505,"&lt;="&amp;F12,$F$6:$F$505,"&gt;="&amp;E12)&gt;1,"⚠ تداخل مع سجل آخر",IF(E12&gt;cfg_VAL_DATE,"⏳ قادمة",IF(F12&lt;cfg_VAL_DATE,"✔ منتهية","✈ جارية في تاريخ التقرير"))))))</f>
        <v>✔ منتهية</v>
      </c>
      <c r="Q12" s="107" t="s">
        <v>440</v>
      </c>
      <c r="R12" s="65" t="n">
        <f aca="false">IF(OR(OR($B12="",$E12="",$F12=""),L12&lt;&gt;"لا"),0,MAX(0,MIN(F12,cfg_Y_START-1)-E12+1))</f>
        <v>0</v>
      </c>
      <c r="S12" s="65" t="n">
        <f aca="false">IF(OR(OR($B12="",$E12="",$F12=""),L12&lt;&gt;"لا"),0,MAX(0,MIN(F12,cfg_VAL_DATE)-E12+1))</f>
        <v>0</v>
      </c>
      <c r="T12" s="65" t="n">
        <f aca="false">IF(OR(OR($B12="",$E12="",$F12=""),K12&lt;&gt;"نعم"),0,IF(M12="نعم",IF(AND(ISNUMBER(O12),N(O12)&lt;=cfg_VAL_M),G12,0),MAX(0,MIN(F12,cfg_VAL_DATE)-MAX(E12,cfg_Y_START)+1)))</f>
        <v>21</v>
      </c>
      <c r="V12" s="65" t="n">
        <f aca="false">IF(OR($B12="",$E12="",$F12=""),0,MAX(0,MIN($F12,EOMONTH(DATE(cfg_FY,1,1),0))-MAX($E12,DATE(cfg_FY,1,1))+1)*(1-IF($M12="نعم",0,N($J12))))</f>
        <v>0</v>
      </c>
      <c r="W12" s="65" t="n">
        <f aca="false">IF(OR($B12="",$E12="",$F12=""),0,MAX(0,MIN($F12,EOMONTH(DATE(cfg_FY,2,1),0))-MAX($E12,DATE(cfg_FY,2,1))+1)*(1-IF($M12="نعم",0,N($J12))))</f>
        <v>0</v>
      </c>
      <c r="X12" s="65" t="n">
        <f aca="false">IF(OR($B12="",$E12="",$F12=""),0,MAX(0,MIN($F12,EOMONTH(DATE(cfg_FY,3,1),0))-MAX($E12,DATE(cfg_FY,3,1))+1)*(1-IF($M12="نعم",0,N($J12))))</f>
        <v>0</v>
      </c>
      <c r="Y12" s="65" t="n">
        <f aca="false">IF(OR($B12="",$E12="",$F12=""),0,MAX(0,MIN($F12,EOMONTH(DATE(cfg_FY,4,1),0))-MAX($E12,DATE(cfg_FY,4,1))+1)*(1-IF($M12="نعم",0,N($J12))))</f>
        <v>0</v>
      </c>
      <c r="Z12" s="65" t="n">
        <f aca="false">IF(OR($B12="",$E12="",$F12=""),0,MAX(0,MIN($F12,EOMONTH(DATE(cfg_FY,5,1),0))-MAX($E12,DATE(cfg_FY,5,1))+1)*(1-IF($M12="نعم",0,N($J12))))</f>
        <v>0</v>
      </c>
      <c r="AA12" s="65" t="n">
        <f aca="false">IF(OR($B12="",$E12="",$F12=""),0,MAX(0,MIN($F12,EOMONTH(DATE(cfg_FY,6,1),0))-MAX($E12,DATE(cfg_FY,6,1))+1)*(1-IF($M12="نعم",0,N($J12))))</f>
        <v>0</v>
      </c>
      <c r="AB12" s="65" t="n">
        <f aca="false">IF(OR($B12="",$E12="",$F12=""),0,MAX(0,MIN($F12,EOMONTH(DATE(cfg_FY,7,1),0))-MAX($E12,DATE(cfg_FY,7,1))+1)*(1-IF($M12="نعم",0,N($J12))))</f>
        <v>0</v>
      </c>
      <c r="AC12" s="65" t="n">
        <f aca="false">IF(OR($B12="",$E12="",$F12=""),0,MAX(0,MIN($F12,EOMONTH(DATE(cfg_FY,8,1),0))-MAX($E12,DATE(cfg_FY,8,1))+1)*(1-IF($M12="نعم",0,N($J12))))</f>
        <v>21</v>
      </c>
      <c r="AD12" s="65" t="n">
        <f aca="false">IF(OR($B12="",$E12="",$F12=""),0,MAX(0,MIN($F12,EOMONTH(DATE(cfg_FY,9,1),0))-MAX($E12,DATE(cfg_FY,9,1))+1)*(1-IF($M12="نعم",0,N($J12))))</f>
        <v>0</v>
      </c>
      <c r="AE12" s="65" t="n">
        <f aca="false">IF(OR($B12="",$E12="",$F12=""),0,MAX(0,MIN($F12,EOMONTH(DATE(cfg_FY,10,1),0))-MAX($E12,DATE(cfg_FY,10,1))+1)*(1-IF($M12="نعم",0,N($J12))))</f>
        <v>0</v>
      </c>
      <c r="AF12" s="65" t="n">
        <f aca="false">IF(OR($B12="",$E12="",$F12=""),0,MAX(0,MIN($F12,EOMONTH(DATE(cfg_FY,11,1),0))-MAX($E12,DATE(cfg_FY,11,1))+1)*(1-IF($M12="نعم",0,N($J12))))</f>
        <v>0</v>
      </c>
      <c r="AG12" s="65" t="n">
        <f aca="false">IF(OR($B12="",$E12="",$F12=""),0,MAX(0,MIN($F12,EOMONTH(DATE(cfg_FY,12,1),0))-MAX($E12,DATE(cfg_FY,12,1))+1)*(1-IF($M12="نعم",0,N($J12))))</f>
        <v>0</v>
      </c>
      <c r="AH12" s="65" t="n">
        <f aca="false">IF(OR(OR($B12="",$E12="",$F12=""),$L12&lt;&gt;"لا"),0,MAX(0,MIN($F12,EOMONTH(DATE(cfg_FY,1,1),0))-$E12+1))</f>
        <v>0</v>
      </c>
      <c r="AI12" s="65" t="n">
        <f aca="false">IF(OR(OR($B12="",$E12="",$F12=""),$L12&lt;&gt;"لا"),0,MAX(0,MIN($F12,EOMONTH(DATE(cfg_FY,2,1),0))-$E12+1))</f>
        <v>0</v>
      </c>
      <c r="AJ12" s="65" t="n">
        <f aca="false">IF(OR(OR($B12="",$E12="",$F12=""),$L12&lt;&gt;"لا"),0,MAX(0,MIN($F12,EOMONTH(DATE(cfg_FY,3,1),0))-$E12+1))</f>
        <v>0</v>
      </c>
      <c r="AK12" s="65" t="n">
        <f aca="false">IF(OR(OR($B12="",$E12="",$F12=""),$L12&lt;&gt;"لا"),0,MAX(0,MIN($F12,EOMONTH(DATE(cfg_FY,4,1),0))-$E12+1))</f>
        <v>0</v>
      </c>
      <c r="AL12" s="65" t="n">
        <f aca="false">IF(OR(OR($B12="",$E12="",$F12=""),$L12&lt;&gt;"لا"),0,MAX(0,MIN($F12,EOMONTH(DATE(cfg_FY,5,1),0))-$E12+1))</f>
        <v>0</v>
      </c>
      <c r="AM12" s="65" t="n">
        <f aca="false">IF(OR(OR($B12="",$E12="",$F12=""),$L12&lt;&gt;"لا"),0,MAX(0,MIN($F12,EOMONTH(DATE(cfg_FY,6,1),0))-$E12+1))</f>
        <v>0</v>
      </c>
      <c r="AN12" s="65" t="n">
        <f aca="false">IF(OR(OR($B12="",$E12="",$F12=""),$L12&lt;&gt;"لا"),0,MAX(0,MIN($F12,EOMONTH(DATE(cfg_FY,7,1),0))-$E12+1))</f>
        <v>0</v>
      </c>
      <c r="AO12" s="65" t="n">
        <f aca="false">IF(OR(OR($B12="",$E12="",$F12=""),$L12&lt;&gt;"لا"),0,MAX(0,MIN($F12,EOMONTH(DATE(cfg_FY,8,1),0))-$E12+1))</f>
        <v>0</v>
      </c>
      <c r="AP12" s="65" t="n">
        <f aca="false">IF(OR(OR($B12="",$E12="",$F12=""),$L12&lt;&gt;"لا"),0,MAX(0,MIN($F12,EOMONTH(DATE(cfg_FY,9,1),0))-$E12+1))</f>
        <v>0</v>
      </c>
      <c r="AQ12" s="65" t="n">
        <f aca="false">IF(OR(OR($B12="",$E12="",$F12=""),$L12&lt;&gt;"لا"),0,MAX(0,MIN($F12,EOMONTH(DATE(cfg_FY,10,1),0))-$E12+1))</f>
        <v>0</v>
      </c>
      <c r="AR12" s="65" t="n">
        <f aca="false">IF(OR(OR($B12="",$E12="",$F12=""),$L12&lt;&gt;"لا"),0,MAX(0,MIN($F12,EOMONTH(DATE(cfg_FY,11,1),0))-$E12+1))</f>
        <v>0</v>
      </c>
      <c r="AS12" s="65" t="n">
        <f aca="false">IF(OR(OR($B12="",$E12="",$F12=""),$L12&lt;&gt;"لا"),0,MAX(0,MIN($F12,EOMONTH(DATE(cfg_FY,12,1),0))-$E12+1))</f>
        <v>0</v>
      </c>
      <c r="AT12" s="65" t="n">
        <f aca="false">IF(OR(OR($B12="",$E12="",$F12=""),$K12&lt;&gt;"نعم",$M12="نعم"),0,MAX(0,MIN($F12,EOMONTH(DATE(cfg_FY,1,1),0))-MAX($E12,DATE(cfg_FY,1,1))+1))</f>
        <v>0</v>
      </c>
      <c r="AU12" s="65" t="n">
        <f aca="false">IF(OR(OR($B12="",$E12="",$F12=""),$K12&lt;&gt;"نعم",$M12="نعم"),0,MAX(0,MIN($F12,EOMONTH(DATE(cfg_FY,2,1),0))-MAX($E12,DATE(cfg_FY,2,1))+1))</f>
        <v>0</v>
      </c>
      <c r="AV12" s="65" t="n">
        <f aca="false">IF(OR(OR($B12="",$E12="",$F12=""),$K12&lt;&gt;"نعم",$M12="نعم"),0,MAX(0,MIN($F12,EOMONTH(DATE(cfg_FY,3,1),0))-MAX($E12,DATE(cfg_FY,3,1))+1))</f>
        <v>0</v>
      </c>
      <c r="AW12" s="65" t="n">
        <f aca="false">IF(OR(OR($B12="",$E12="",$F12=""),$K12&lt;&gt;"نعم",$M12="نعم"),0,MAX(0,MIN($F12,EOMONTH(DATE(cfg_FY,4,1),0))-MAX($E12,DATE(cfg_FY,4,1))+1))</f>
        <v>0</v>
      </c>
      <c r="AX12" s="65" t="n">
        <f aca="false">IF(OR(OR($B12="",$E12="",$F12=""),$K12&lt;&gt;"نعم",$M12="نعم"),0,MAX(0,MIN($F12,EOMONTH(DATE(cfg_FY,5,1),0))-MAX($E12,DATE(cfg_FY,5,1))+1))</f>
        <v>0</v>
      </c>
      <c r="AY12" s="65" t="n">
        <f aca="false">IF(OR(OR($B12="",$E12="",$F12=""),$K12&lt;&gt;"نعم",$M12="نعم"),0,MAX(0,MIN($F12,EOMONTH(DATE(cfg_FY,6,1),0))-MAX($E12,DATE(cfg_FY,6,1))+1))</f>
        <v>0</v>
      </c>
      <c r="AZ12" s="65" t="n">
        <f aca="false">IF(OR(OR($B12="",$E12="",$F12=""),$K12&lt;&gt;"نعم",$M12="نعم"),0,MAX(0,MIN($F12,EOMONTH(DATE(cfg_FY,7,1),0))-MAX($E12,DATE(cfg_FY,7,1))+1))</f>
        <v>0</v>
      </c>
      <c r="BA12" s="65" t="n">
        <f aca="false">IF(OR(OR($B12="",$E12="",$F12=""),$K12&lt;&gt;"نعم",$M12="نعم"),0,MAX(0,MIN($F12,EOMONTH(DATE(cfg_FY,8,1),0))-MAX($E12,DATE(cfg_FY,8,1))+1))</f>
        <v>0</v>
      </c>
      <c r="BB12" s="65" t="n">
        <f aca="false">IF(OR(OR($B12="",$E12="",$F12=""),$K12&lt;&gt;"نعم",$M12="نعم"),0,MAX(0,MIN($F12,EOMONTH(DATE(cfg_FY,9,1),0))-MAX($E12,DATE(cfg_FY,9,1))+1))</f>
        <v>0</v>
      </c>
      <c r="BC12" s="65" t="n">
        <f aca="false">IF(OR(OR($B12="",$E12="",$F12=""),$K12&lt;&gt;"نعم",$M12="نعم"),0,MAX(0,MIN($F12,EOMONTH(DATE(cfg_FY,10,1),0))-MAX($E12,DATE(cfg_FY,10,1))+1))</f>
        <v>0</v>
      </c>
      <c r="BD12" s="65" t="n">
        <f aca="false">IF(OR(OR($B12="",$E12="",$F12=""),$K12&lt;&gt;"نعم",$M12="نعم"),0,MAX(0,MIN($F12,EOMONTH(DATE(cfg_FY,11,1),0))-MAX($E12,DATE(cfg_FY,11,1))+1))</f>
        <v>0</v>
      </c>
      <c r="BE12" s="65" t="n">
        <f aca="false">IF(OR(OR($B12="",$E12="",$F12=""),$K12&lt;&gt;"نعم",$M12="نعم"),0,MAX(0,MIN($F12,EOMONTH(DATE(cfg_FY,12,1),0))-MAX($E12,DATE(cfg_FY,12,1))+1))</f>
        <v>0</v>
      </c>
    </row>
    <row r="13" customFormat="false" ht="15" hidden="false" customHeight="false" outlineLevel="0" collapsed="false">
      <c r="A13" s="115" t="n">
        <f aca="false">IF(B13="","",ROW()-5)</f>
        <v>8</v>
      </c>
      <c r="B13" s="107" t="s">
        <v>387</v>
      </c>
      <c r="C13" s="117" t="str">
        <f aca="false">IF(B13="","",IFERROR(INDEX(الموظفون!$C$6:$C$105,MATCH(B13,الموظفون!$B$6:$B$105,0)),"✖ رقم غير موجود"))</f>
        <v>سارة عبدالرحمن الزهراني</v>
      </c>
      <c r="D13" s="107" t="s">
        <v>212</v>
      </c>
      <c r="E13" s="108" t="n">
        <v>46244</v>
      </c>
      <c r="F13" s="108" t="n">
        <v>46246</v>
      </c>
      <c r="G13" s="133" t="n">
        <f aca="false">IF(OR($B13="",$E13="",$F13=""),"",MAX(0,F13-E13+1))</f>
        <v>3</v>
      </c>
      <c r="H13" s="134" t="n">
        <f aca="false">IF(D13="","",IFERROR(VLOOKUP(D13,cfg_LT,2,FALSE()),1))</f>
        <v>0</v>
      </c>
      <c r="I13" s="132"/>
      <c r="J13" s="134" t="n">
        <f aca="false">IF(D13="","",IF(I13&lt;&gt;"",I13,H13))</f>
        <v>0</v>
      </c>
      <c r="K13" s="117" t="str">
        <f aca="false">IF(D13="","",IFERROR(VLOOKUP($D13,cfg_LT,3,FALSE()),""))</f>
        <v>لا</v>
      </c>
      <c r="L13" s="117" t="str">
        <f aca="false">IF(D13="","",IFERROR(VLOOKUP($D13,cfg_LT,4,FALSE()),""))</f>
        <v>لا</v>
      </c>
      <c r="M13" s="117" t="str">
        <f aca="false">IF(D13="","",IFERROR(VLOOKUP($D13,cfg_LT,5,FALSE()),""))</f>
        <v>لا</v>
      </c>
      <c r="N13" s="116" t="n">
        <f aca="false">IF(OR(OR($B13="",$E13="",$F13=""),M13&lt;&gt;"نعم"),0,G13*J13*IFERROR(INDEX(الموظفون!$R$6:$R$105,MATCH(B13,الموظفون!$B$6:$B$105,0)),0)/cfg_DAYS_M)</f>
        <v>0</v>
      </c>
      <c r="O13" s="115" t="str">
        <f aca="false">IF(OR(OR($B13="",$E13="",$F13=""),M13&lt;&gt;"نعم"),"",IF(YEAR(E13)=cfg_FY,MONTH(E13),""))</f>
        <v/>
      </c>
      <c r="P13" s="117" t="str">
        <f aca="false">IF(B13="","",IF(OR(D13="",E13="",F13=""),"⚠ أكمل النوع والتواريخ",IF(F13&lt;E13,"✖ النهاية قبل البداية",IF(COUNTIFS($B$6:$B$505,B13,$E$6:$E$505,"&lt;="&amp;F13,$F$6:$F$505,"&gt;="&amp;E13)&gt;1,"⚠ تداخل مع سجل آخر",IF(E13&gt;cfg_VAL_DATE,"⏳ قادمة",IF(F13&lt;cfg_VAL_DATE,"✔ منتهية","✈ جارية في تاريخ التقرير"))))))</f>
        <v>✔ منتهية</v>
      </c>
      <c r="Q13" s="107" t="s">
        <v>441</v>
      </c>
      <c r="R13" s="133" t="n">
        <f aca="false">IF(OR(OR($B13="",$E13="",$F13=""),L13&lt;&gt;"لا"),0,MAX(0,MIN(F13,cfg_Y_START-1)-E13+1))</f>
        <v>0</v>
      </c>
      <c r="S13" s="133" t="n">
        <f aca="false">IF(OR(OR($B13="",$E13="",$F13=""),L13&lt;&gt;"لا"),0,MAX(0,MIN(F13,cfg_VAL_DATE)-E13+1))</f>
        <v>3</v>
      </c>
      <c r="T13" s="133" t="n">
        <f aca="false">IF(OR(OR($B13="",$E13="",$F13=""),K13&lt;&gt;"نعم"),0,IF(M13="نعم",IF(AND(ISNUMBER(O13),N(O13)&lt;=cfg_VAL_M),G13,0),MAX(0,MIN(F13,cfg_VAL_DATE)-MAX(E13,cfg_Y_START)+1)))</f>
        <v>0</v>
      </c>
      <c r="V13" s="133" t="n">
        <f aca="false">IF(OR($B13="",$E13="",$F13=""),0,MAX(0,MIN($F13,EOMONTH(DATE(cfg_FY,1,1),0))-MAX($E13,DATE(cfg_FY,1,1))+1)*(1-IF($M13="نعم",0,N($J13))))</f>
        <v>0</v>
      </c>
      <c r="W13" s="133" t="n">
        <f aca="false">IF(OR($B13="",$E13="",$F13=""),0,MAX(0,MIN($F13,EOMONTH(DATE(cfg_FY,2,1),0))-MAX($E13,DATE(cfg_FY,2,1))+1)*(1-IF($M13="نعم",0,N($J13))))</f>
        <v>0</v>
      </c>
      <c r="X13" s="133" t="n">
        <f aca="false">IF(OR($B13="",$E13="",$F13=""),0,MAX(0,MIN($F13,EOMONTH(DATE(cfg_FY,3,1),0))-MAX($E13,DATE(cfg_FY,3,1))+1)*(1-IF($M13="نعم",0,N($J13))))</f>
        <v>0</v>
      </c>
      <c r="Y13" s="133" t="n">
        <f aca="false">IF(OR($B13="",$E13="",$F13=""),0,MAX(0,MIN($F13,EOMONTH(DATE(cfg_FY,4,1),0))-MAX($E13,DATE(cfg_FY,4,1))+1)*(1-IF($M13="نعم",0,N($J13))))</f>
        <v>0</v>
      </c>
      <c r="Z13" s="133" t="n">
        <f aca="false">IF(OR($B13="",$E13="",$F13=""),0,MAX(0,MIN($F13,EOMONTH(DATE(cfg_FY,5,1),0))-MAX($E13,DATE(cfg_FY,5,1))+1)*(1-IF($M13="نعم",0,N($J13))))</f>
        <v>0</v>
      </c>
      <c r="AA13" s="133" t="n">
        <f aca="false">IF(OR($B13="",$E13="",$F13=""),0,MAX(0,MIN($F13,EOMONTH(DATE(cfg_FY,6,1),0))-MAX($E13,DATE(cfg_FY,6,1))+1)*(1-IF($M13="نعم",0,N($J13))))</f>
        <v>0</v>
      </c>
      <c r="AB13" s="133" t="n">
        <f aca="false">IF(OR($B13="",$E13="",$F13=""),0,MAX(0,MIN($F13,EOMONTH(DATE(cfg_FY,7,1),0))-MAX($E13,DATE(cfg_FY,7,1))+1)*(1-IF($M13="نعم",0,N($J13))))</f>
        <v>0</v>
      </c>
      <c r="AC13" s="133" t="n">
        <f aca="false">IF(OR($B13="",$E13="",$F13=""),0,MAX(0,MIN($F13,EOMONTH(DATE(cfg_FY,8,1),0))-MAX($E13,DATE(cfg_FY,8,1))+1)*(1-IF($M13="نعم",0,N($J13))))</f>
        <v>3</v>
      </c>
      <c r="AD13" s="133" t="n">
        <f aca="false">IF(OR($B13="",$E13="",$F13=""),0,MAX(0,MIN($F13,EOMONTH(DATE(cfg_FY,9,1),0))-MAX($E13,DATE(cfg_FY,9,1))+1)*(1-IF($M13="نعم",0,N($J13))))</f>
        <v>0</v>
      </c>
      <c r="AE13" s="133" t="n">
        <f aca="false">IF(OR($B13="",$E13="",$F13=""),0,MAX(0,MIN($F13,EOMONTH(DATE(cfg_FY,10,1),0))-MAX($E13,DATE(cfg_FY,10,1))+1)*(1-IF($M13="نعم",0,N($J13))))</f>
        <v>0</v>
      </c>
      <c r="AF13" s="133" t="n">
        <f aca="false">IF(OR($B13="",$E13="",$F13=""),0,MAX(0,MIN($F13,EOMONTH(DATE(cfg_FY,11,1),0))-MAX($E13,DATE(cfg_FY,11,1))+1)*(1-IF($M13="نعم",0,N($J13))))</f>
        <v>0</v>
      </c>
      <c r="AG13" s="133" t="n">
        <f aca="false">IF(OR($B13="",$E13="",$F13=""),0,MAX(0,MIN($F13,EOMONTH(DATE(cfg_FY,12,1),0))-MAX($E13,DATE(cfg_FY,12,1))+1)*(1-IF($M13="نعم",0,N($J13))))</f>
        <v>0</v>
      </c>
      <c r="AH13" s="133" t="n">
        <f aca="false">IF(OR(OR($B13="",$E13="",$F13=""),$L13&lt;&gt;"لا"),0,MAX(0,MIN($F13,EOMONTH(DATE(cfg_FY,1,1),0))-$E13+1))</f>
        <v>0</v>
      </c>
      <c r="AI13" s="133" t="n">
        <f aca="false">IF(OR(OR($B13="",$E13="",$F13=""),$L13&lt;&gt;"لا"),0,MAX(0,MIN($F13,EOMONTH(DATE(cfg_FY,2,1),0))-$E13+1))</f>
        <v>0</v>
      </c>
      <c r="AJ13" s="133" t="n">
        <f aca="false">IF(OR(OR($B13="",$E13="",$F13=""),$L13&lt;&gt;"لا"),0,MAX(0,MIN($F13,EOMONTH(DATE(cfg_FY,3,1),0))-$E13+1))</f>
        <v>0</v>
      </c>
      <c r="AK13" s="133" t="n">
        <f aca="false">IF(OR(OR($B13="",$E13="",$F13=""),$L13&lt;&gt;"لا"),0,MAX(0,MIN($F13,EOMONTH(DATE(cfg_FY,4,1),0))-$E13+1))</f>
        <v>0</v>
      </c>
      <c r="AL13" s="133" t="n">
        <f aca="false">IF(OR(OR($B13="",$E13="",$F13=""),$L13&lt;&gt;"لا"),0,MAX(0,MIN($F13,EOMONTH(DATE(cfg_FY,5,1),0))-$E13+1))</f>
        <v>0</v>
      </c>
      <c r="AM13" s="133" t="n">
        <f aca="false">IF(OR(OR($B13="",$E13="",$F13=""),$L13&lt;&gt;"لا"),0,MAX(0,MIN($F13,EOMONTH(DATE(cfg_FY,6,1),0))-$E13+1))</f>
        <v>0</v>
      </c>
      <c r="AN13" s="133" t="n">
        <f aca="false">IF(OR(OR($B13="",$E13="",$F13=""),$L13&lt;&gt;"لا"),0,MAX(0,MIN($F13,EOMONTH(DATE(cfg_FY,7,1),0))-$E13+1))</f>
        <v>0</v>
      </c>
      <c r="AO13" s="133" t="n">
        <f aca="false">IF(OR(OR($B13="",$E13="",$F13=""),$L13&lt;&gt;"لا"),0,MAX(0,MIN($F13,EOMONTH(DATE(cfg_FY,8,1),0))-$E13+1))</f>
        <v>3</v>
      </c>
      <c r="AP13" s="133" t="n">
        <f aca="false">IF(OR(OR($B13="",$E13="",$F13=""),$L13&lt;&gt;"لا"),0,MAX(0,MIN($F13,EOMONTH(DATE(cfg_FY,9,1),0))-$E13+1))</f>
        <v>3</v>
      </c>
      <c r="AQ13" s="133" t="n">
        <f aca="false">IF(OR(OR($B13="",$E13="",$F13=""),$L13&lt;&gt;"لا"),0,MAX(0,MIN($F13,EOMONTH(DATE(cfg_FY,10,1),0))-$E13+1))</f>
        <v>3</v>
      </c>
      <c r="AR13" s="133" t="n">
        <f aca="false">IF(OR(OR($B13="",$E13="",$F13=""),$L13&lt;&gt;"لا"),0,MAX(0,MIN($F13,EOMONTH(DATE(cfg_FY,11,1),0))-$E13+1))</f>
        <v>3</v>
      </c>
      <c r="AS13" s="133" t="n">
        <f aca="false">IF(OR(OR($B13="",$E13="",$F13=""),$L13&lt;&gt;"لا"),0,MAX(0,MIN($F13,EOMONTH(DATE(cfg_FY,12,1),0))-$E13+1))</f>
        <v>3</v>
      </c>
      <c r="AT13" s="133" t="n">
        <f aca="false">IF(OR(OR($B13="",$E13="",$F13=""),$K13&lt;&gt;"نعم",$M13="نعم"),0,MAX(0,MIN($F13,EOMONTH(DATE(cfg_FY,1,1),0))-MAX($E13,DATE(cfg_FY,1,1))+1))</f>
        <v>0</v>
      </c>
      <c r="AU13" s="133" t="n">
        <f aca="false">IF(OR(OR($B13="",$E13="",$F13=""),$K13&lt;&gt;"نعم",$M13="نعم"),0,MAX(0,MIN($F13,EOMONTH(DATE(cfg_FY,2,1),0))-MAX($E13,DATE(cfg_FY,2,1))+1))</f>
        <v>0</v>
      </c>
      <c r="AV13" s="133" t="n">
        <f aca="false">IF(OR(OR($B13="",$E13="",$F13=""),$K13&lt;&gt;"نعم",$M13="نعم"),0,MAX(0,MIN($F13,EOMONTH(DATE(cfg_FY,3,1),0))-MAX($E13,DATE(cfg_FY,3,1))+1))</f>
        <v>0</v>
      </c>
      <c r="AW13" s="133" t="n">
        <f aca="false">IF(OR(OR($B13="",$E13="",$F13=""),$K13&lt;&gt;"نعم",$M13="نعم"),0,MAX(0,MIN($F13,EOMONTH(DATE(cfg_FY,4,1),0))-MAX($E13,DATE(cfg_FY,4,1))+1))</f>
        <v>0</v>
      </c>
      <c r="AX13" s="133" t="n">
        <f aca="false">IF(OR(OR($B13="",$E13="",$F13=""),$K13&lt;&gt;"نعم",$M13="نعم"),0,MAX(0,MIN($F13,EOMONTH(DATE(cfg_FY,5,1),0))-MAX($E13,DATE(cfg_FY,5,1))+1))</f>
        <v>0</v>
      </c>
      <c r="AY13" s="133" t="n">
        <f aca="false">IF(OR(OR($B13="",$E13="",$F13=""),$K13&lt;&gt;"نعم",$M13="نعم"),0,MAX(0,MIN($F13,EOMONTH(DATE(cfg_FY,6,1),0))-MAX($E13,DATE(cfg_FY,6,1))+1))</f>
        <v>0</v>
      </c>
      <c r="AZ13" s="133" t="n">
        <f aca="false">IF(OR(OR($B13="",$E13="",$F13=""),$K13&lt;&gt;"نعم",$M13="نعم"),0,MAX(0,MIN($F13,EOMONTH(DATE(cfg_FY,7,1),0))-MAX($E13,DATE(cfg_FY,7,1))+1))</f>
        <v>0</v>
      </c>
      <c r="BA13" s="133" t="n">
        <f aca="false">IF(OR(OR($B13="",$E13="",$F13=""),$K13&lt;&gt;"نعم",$M13="نعم"),0,MAX(0,MIN($F13,EOMONTH(DATE(cfg_FY,8,1),0))-MAX($E13,DATE(cfg_FY,8,1))+1))</f>
        <v>0</v>
      </c>
      <c r="BB13" s="133" t="n">
        <f aca="false">IF(OR(OR($B13="",$E13="",$F13=""),$K13&lt;&gt;"نعم",$M13="نعم"),0,MAX(0,MIN($F13,EOMONTH(DATE(cfg_FY,9,1),0))-MAX($E13,DATE(cfg_FY,9,1))+1))</f>
        <v>0</v>
      </c>
      <c r="BC13" s="133" t="n">
        <f aca="false">IF(OR(OR($B13="",$E13="",$F13=""),$K13&lt;&gt;"نعم",$M13="نعم"),0,MAX(0,MIN($F13,EOMONTH(DATE(cfg_FY,10,1),0))-MAX($E13,DATE(cfg_FY,10,1))+1))</f>
        <v>0</v>
      </c>
      <c r="BD13" s="133" t="n">
        <f aca="false">IF(OR(OR($B13="",$E13="",$F13=""),$K13&lt;&gt;"نعم",$M13="نعم"),0,MAX(0,MIN($F13,EOMONTH(DATE(cfg_FY,11,1),0))-MAX($E13,DATE(cfg_FY,11,1))+1))</f>
        <v>0</v>
      </c>
      <c r="BE13" s="133" t="n">
        <f aca="false">IF(OR(OR($B13="",$E13="",$F13=""),$K13&lt;&gt;"نعم",$M13="نعم"),0,MAX(0,MIN($F13,EOMONTH(DATE(cfg_FY,12,1),0))-MAX($E13,DATE(cfg_FY,12,1))+1))</f>
        <v>0</v>
      </c>
    </row>
    <row r="14" customFormat="false" ht="15" hidden="false" customHeight="false" outlineLevel="0" collapsed="false">
      <c r="A14" s="106" t="n">
        <f aca="false">IF(B14="","",ROW()-5)</f>
        <v>9</v>
      </c>
      <c r="B14" s="107" t="s">
        <v>374</v>
      </c>
      <c r="C14" s="114" t="str">
        <f aca="false">IF(B14="","",IFERROR(INDEX(الموظفون!$C$6:$C$105,MATCH(B14,الموظفون!$B$6:$B$105,0)),"✖ رقم غير موجود"))</f>
        <v>فهد ناصر الشمري</v>
      </c>
      <c r="D14" s="107" t="s">
        <v>212</v>
      </c>
      <c r="E14" s="108" t="n">
        <v>46285</v>
      </c>
      <c r="F14" s="108" t="n">
        <v>46314</v>
      </c>
      <c r="G14" s="65" t="n">
        <f aca="false">IF(OR($B14="",$E14="",$F14=""),"",MAX(0,F14-E14+1))</f>
        <v>30</v>
      </c>
      <c r="H14" s="66" t="n">
        <f aca="false">IF(D14="","",IFERROR(VLOOKUP(D14,cfg_LT,2,FALSE()),1))</f>
        <v>0</v>
      </c>
      <c r="I14" s="132"/>
      <c r="J14" s="66" t="n">
        <f aca="false">IF(D14="","",IF(I14&lt;&gt;"",I14,H14))</f>
        <v>0</v>
      </c>
      <c r="K14" s="114" t="str">
        <f aca="false">IF(D14="","",IFERROR(VLOOKUP($D14,cfg_LT,3,FALSE()),""))</f>
        <v>لا</v>
      </c>
      <c r="L14" s="114" t="str">
        <f aca="false">IF(D14="","",IFERROR(VLOOKUP($D14,cfg_LT,4,FALSE()),""))</f>
        <v>لا</v>
      </c>
      <c r="M14" s="114" t="str">
        <f aca="false">IF(D14="","",IFERROR(VLOOKUP($D14,cfg_LT,5,FALSE()),""))</f>
        <v>لا</v>
      </c>
      <c r="N14" s="111" t="n">
        <f aca="false">IF(OR(OR($B14="",$E14="",$F14=""),M14&lt;&gt;"نعم"),0,G14*J14*IFERROR(INDEX(الموظفون!$R$6:$R$105,MATCH(B14,الموظفون!$B$6:$B$105,0)),0)/cfg_DAYS_M)</f>
        <v>0</v>
      </c>
      <c r="O14" s="106" t="str">
        <f aca="false">IF(OR(OR($B14="",$E14="",$F14=""),M14&lt;&gt;"نعم"),"",IF(YEAR(E14)=cfg_FY,MONTH(E14),""))</f>
        <v/>
      </c>
      <c r="P14" s="114" t="str">
        <f aca="false">IF(B14="","",IF(OR(D14="",E14="",F14=""),"⚠ أكمل النوع والتواريخ",IF(F14&lt;E14,"✖ النهاية قبل البداية",IF(COUNTIFS($B$6:$B$505,B14,$E$6:$E$505,"&lt;="&amp;F14,$F$6:$F$505,"&gt;="&amp;E14)&gt;1,"⚠ تداخل مع سجل آخر",IF(E14&gt;cfg_VAL_DATE,"⏳ قادمة",IF(F14&lt;cfg_VAL_DATE,"✔ منتهية","✈ جارية في تاريخ التقرير"))))))</f>
        <v>✈ جارية في تاريخ التقرير</v>
      </c>
      <c r="Q14" s="107" t="s">
        <v>442</v>
      </c>
      <c r="R14" s="65" t="n">
        <f aca="false">IF(OR(OR($B14="",$E14="",$F14=""),L14&lt;&gt;"لا"),0,MAX(0,MIN(F14,cfg_Y_START-1)-E14+1))</f>
        <v>0</v>
      </c>
      <c r="S14" s="65" t="n">
        <f aca="false">IF(OR(OR($B14="",$E14="",$F14=""),L14&lt;&gt;"لا"),0,MAX(0,MIN(F14,cfg_VAL_DATE)-E14+1))</f>
        <v>11</v>
      </c>
      <c r="T14" s="65" t="n">
        <f aca="false">IF(OR(OR($B14="",$E14="",$F14=""),K14&lt;&gt;"نعم"),0,IF(M14="نعم",IF(AND(ISNUMBER(O14),N(O14)&lt;=cfg_VAL_M),G14,0),MAX(0,MIN(F14,cfg_VAL_DATE)-MAX(E14,cfg_Y_START)+1)))</f>
        <v>0</v>
      </c>
      <c r="V14" s="65" t="n">
        <f aca="false">IF(OR($B14="",$E14="",$F14=""),0,MAX(0,MIN($F14,EOMONTH(DATE(cfg_FY,1,1),0))-MAX($E14,DATE(cfg_FY,1,1))+1)*(1-IF($M14="نعم",0,N($J14))))</f>
        <v>0</v>
      </c>
      <c r="W14" s="65" t="n">
        <f aca="false">IF(OR($B14="",$E14="",$F14=""),0,MAX(0,MIN($F14,EOMONTH(DATE(cfg_FY,2,1),0))-MAX($E14,DATE(cfg_FY,2,1))+1)*(1-IF($M14="نعم",0,N($J14))))</f>
        <v>0</v>
      </c>
      <c r="X14" s="65" t="n">
        <f aca="false">IF(OR($B14="",$E14="",$F14=""),0,MAX(0,MIN($F14,EOMONTH(DATE(cfg_FY,3,1),0))-MAX($E14,DATE(cfg_FY,3,1))+1)*(1-IF($M14="نعم",0,N($J14))))</f>
        <v>0</v>
      </c>
      <c r="Y14" s="65" t="n">
        <f aca="false">IF(OR($B14="",$E14="",$F14=""),0,MAX(0,MIN($F14,EOMONTH(DATE(cfg_FY,4,1),0))-MAX($E14,DATE(cfg_FY,4,1))+1)*(1-IF($M14="نعم",0,N($J14))))</f>
        <v>0</v>
      </c>
      <c r="Z14" s="65" t="n">
        <f aca="false">IF(OR($B14="",$E14="",$F14=""),0,MAX(0,MIN($F14,EOMONTH(DATE(cfg_FY,5,1),0))-MAX($E14,DATE(cfg_FY,5,1))+1)*(1-IF($M14="نعم",0,N($J14))))</f>
        <v>0</v>
      </c>
      <c r="AA14" s="65" t="n">
        <f aca="false">IF(OR($B14="",$E14="",$F14=""),0,MAX(0,MIN($F14,EOMONTH(DATE(cfg_FY,6,1),0))-MAX($E14,DATE(cfg_FY,6,1))+1)*(1-IF($M14="نعم",0,N($J14))))</f>
        <v>0</v>
      </c>
      <c r="AB14" s="65" t="n">
        <f aca="false">IF(OR($B14="",$E14="",$F14=""),0,MAX(0,MIN($F14,EOMONTH(DATE(cfg_FY,7,1),0))-MAX($E14,DATE(cfg_FY,7,1))+1)*(1-IF($M14="نعم",0,N($J14))))</f>
        <v>0</v>
      </c>
      <c r="AC14" s="65" t="n">
        <f aca="false">IF(OR($B14="",$E14="",$F14=""),0,MAX(0,MIN($F14,EOMONTH(DATE(cfg_FY,8,1),0))-MAX($E14,DATE(cfg_FY,8,1))+1)*(1-IF($M14="نعم",0,N($J14))))</f>
        <v>0</v>
      </c>
      <c r="AD14" s="65" t="n">
        <f aca="false">IF(OR($B14="",$E14="",$F14=""),0,MAX(0,MIN($F14,EOMONTH(DATE(cfg_FY,9,1),0))-MAX($E14,DATE(cfg_FY,9,1))+1)*(1-IF($M14="نعم",0,N($J14))))</f>
        <v>11</v>
      </c>
      <c r="AE14" s="65" t="n">
        <f aca="false">IF(OR($B14="",$E14="",$F14=""),0,MAX(0,MIN($F14,EOMONTH(DATE(cfg_FY,10,1),0))-MAX($E14,DATE(cfg_FY,10,1))+1)*(1-IF($M14="نعم",0,N($J14))))</f>
        <v>19</v>
      </c>
      <c r="AF14" s="65" t="n">
        <f aca="false">IF(OR($B14="",$E14="",$F14=""),0,MAX(0,MIN($F14,EOMONTH(DATE(cfg_FY,11,1),0))-MAX($E14,DATE(cfg_FY,11,1))+1)*(1-IF($M14="نعم",0,N($J14))))</f>
        <v>0</v>
      </c>
      <c r="AG14" s="65" t="n">
        <f aca="false">IF(OR($B14="",$E14="",$F14=""),0,MAX(0,MIN($F14,EOMONTH(DATE(cfg_FY,12,1),0))-MAX($E14,DATE(cfg_FY,12,1))+1)*(1-IF($M14="نعم",0,N($J14))))</f>
        <v>0</v>
      </c>
      <c r="AH14" s="65" t="n">
        <f aca="false">IF(OR(OR($B14="",$E14="",$F14=""),$L14&lt;&gt;"لا"),0,MAX(0,MIN($F14,EOMONTH(DATE(cfg_FY,1,1),0))-$E14+1))</f>
        <v>0</v>
      </c>
      <c r="AI14" s="65" t="n">
        <f aca="false">IF(OR(OR($B14="",$E14="",$F14=""),$L14&lt;&gt;"لا"),0,MAX(0,MIN($F14,EOMONTH(DATE(cfg_FY,2,1),0))-$E14+1))</f>
        <v>0</v>
      </c>
      <c r="AJ14" s="65" t="n">
        <f aca="false">IF(OR(OR($B14="",$E14="",$F14=""),$L14&lt;&gt;"لا"),0,MAX(0,MIN($F14,EOMONTH(DATE(cfg_FY,3,1),0))-$E14+1))</f>
        <v>0</v>
      </c>
      <c r="AK14" s="65" t="n">
        <f aca="false">IF(OR(OR($B14="",$E14="",$F14=""),$L14&lt;&gt;"لا"),0,MAX(0,MIN($F14,EOMONTH(DATE(cfg_FY,4,1),0))-$E14+1))</f>
        <v>0</v>
      </c>
      <c r="AL14" s="65" t="n">
        <f aca="false">IF(OR(OR($B14="",$E14="",$F14=""),$L14&lt;&gt;"لا"),0,MAX(0,MIN($F14,EOMONTH(DATE(cfg_FY,5,1),0))-$E14+1))</f>
        <v>0</v>
      </c>
      <c r="AM14" s="65" t="n">
        <f aca="false">IF(OR(OR($B14="",$E14="",$F14=""),$L14&lt;&gt;"لا"),0,MAX(0,MIN($F14,EOMONTH(DATE(cfg_FY,6,1),0))-$E14+1))</f>
        <v>0</v>
      </c>
      <c r="AN14" s="65" t="n">
        <f aca="false">IF(OR(OR($B14="",$E14="",$F14=""),$L14&lt;&gt;"لا"),0,MAX(0,MIN($F14,EOMONTH(DATE(cfg_FY,7,1),0))-$E14+1))</f>
        <v>0</v>
      </c>
      <c r="AO14" s="65" t="n">
        <f aca="false">IF(OR(OR($B14="",$E14="",$F14=""),$L14&lt;&gt;"لا"),0,MAX(0,MIN($F14,EOMONTH(DATE(cfg_FY,8,1),0))-$E14+1))</f>
        <v>0</v>
      </c>
      <c r="AP14" s="65" t="n">
        <f aca="false">IF(OR(OR($B14="",$E14="",$F14=""),$L14&lt;&gt;"لا"),0,MAX(0,MIN($F14,EOMONTH(DATE(cfg_FY,9,1),0))-$E14+1))</f>
        <v>11</v>
      </c>
      <c r="AQ14" s="65" t="n">
        <f aca="false">IF(OR(OR($B14="",$E14="",$F14=""),$L14&lt;&gt;"لا"),0,MAX(0,MIN($F14,EOMONTH(DATE(cfg_FY,10,1),0))-$E14+1))</f>
        <v>30</v>
      </c>
      <c r="AR14" s="65" t="n">
        <f aca="false">IF(OR(OR($B14="",$E14="",$F14=""),$L14&lt;&gt;"لا"),0,MAX(0,MIN($F14,EOMONTH(DATE(cfg_FY,11,1),0))-$E14+1))</f>
        <v>30</v>
      </c>
      <c r="AS14" s="65" t="n">
        <f aca="false">IF(OR(OR($B14="",$E14="",$F14=""),$L14&lt;&gt;"لا"),0,MAX(0,MIN($F14,EOMONTH(DATE(cfg_FY,12,1),0))-$E14+1))</f>
        <v>30</v>
      </c>
      <c r="AT14" s="65" t="n">
        <f aca="false">IF(OR(OR($B14="",$E14="",$F14=""),$K14&lt;&gt;"نعم",$M14="نعم"),0,MAX(0,MIN($F14,EOMONTH(DATE(cfg_FY,1,1),0))-MAX($E14,DATE(cfg_FY,1,1))+1))</f>
        <v>0</v>
      </c>
      <c r="AU14" s="65" t="n">
        <f aca="false">IF(OR(OR($B14="",$E14="",$F14=""),$K14&lt;&gt;"نعم",$M14="نعم"),0,MAX(0,MIN($F14,EOMONTH(DATE(cfg_FY,2,1),0))-MAX($E14,DATE(cfg_FY,2,1))+1))</f>
        <v>0</v>
      </c>
      <c r="AV14" s="65" t="n">
        <f aca="false">IF(OR(OR($B14="",$E14="",$F14=""),$K14&lt;&gt;"نعم",$M14="نعم"),0,MAX(0,MIN($F14,EOMONTH(DATE(cfg_FY,3,1),0))-MAX($E14,DATE(cfg_FY,3,1))+1))</f>
        <v>0</v>
      </c>
      <c r="AW14" s="65" t="n">
        <f aca="false">IF(OR(OR($B14="",$E14="",$F14=""),$K14&lt;&gt;"نعم",$M14="نعم"),0,MAX(0,MIN($F14,EOMONTH(DATE(cfg_FY,4,1),0))-MAX($E14,DATE(cfg_FY,4,1))+1))</f>
        <v>0</v>
      </c>
      <c r="AX14" s="65" t="n">
        <f aca="false">IF(OR(OR($B14="",$E14="",$F14=""),$K14&lt;&gt;"نعم",$M14="نعم"),0,MAX(0,MIN($F14,EOMONTH(DATE(cfg_FY,5,1),0))-MAX($E14,DATE(cfg_FY,5,1))+1))</f>
        <v>0</v>
      </c>
      <c r="AY14" s="65" t="n">
        <f aca="false">IF(OR(OR($B14="",$E14="",$F14=""),$K14&lt;&gt;"نعم",$M14="نعم"),0,MAX(0,MIN($F14,EOMONTH(DATE(cfg_FY,6,1),0))-MAX($E14,DATE(cfg_FY,6,1))+1))</f>
        <v>0</v>
      </c>
      <c r="AZ14" s="65" t="n">
        <f aca="false">IF(OR(OR($B14="",$E14="",$F14=""),$K14&lt;&gt;"نعم",$M14="نعم"),0,MAX(0,MIN($F14,EOMONTH(DATE(cfg_FY,7,1),0))-MAX($E14,DATE(cfg_FY,7,1))+1))</f>
        <v>0</v>
      </c>
      <c r="BA14" s="65" t="n">
        <f aca="false">IF(OR(OR($B14="",$E14="",$F14=""),$K14&lt;&gt;"نعم",$M14="نعم"),0,MAX(0,MIN($F14,EOMONTH(DATE(cfg_FY,8,1),0))-MAX($E14,DATE(cfg_FY,8,1))+1))</f>
        <v>0</v>
      </c>
      <c r="BB14" s="65" t="n">
        <f aca="false">IF(OR(OR($B14="",$E14="",$F14=""),$K14&lt;&gt;"نعم",$M14="نعم"),0,MAX(0,MIN($F14,EOMONTH(DATE(cfg_FY,9,1),0))-MAX($E14,DATE(cfg_FY,9,1))+1))</f>
        <v>0</v>
      </c>
      <c r="BC14" s="65" t="n">
        <f aca="false">IF(OR(OR($B14="",$E14="",$F14=""),$K14&lt;&gt;"نعم",$M14="نعم"),0,MAX(0,MIN($F14,EOMONTH(DATE(cfg_FY,10,1),0))-MAX($E14,DATE(cfg_FY,10,1))+1))</f>
        <v>0</v>
      </c>
      <c r="BD14" s="65" t="n">
        <f aca="false">IF(OR(OR($B14="",$E14="",$F14=""),$K14&lt;&gt;"نعم",$M14="نعم"),0,MAX(0,MIN($F14,EOMONTH(DATE(cfg_FY,11,1),0))-MAX($E14,DATE(cfg_FY,11,1))+1))</f>
        <v>0</v>
      </c>
      <c r="BE14" s="65" t="n">
        <f aca="false">IF(OR(OR($B14="",$E14="",$F14=""),$K14&lt;&gt;"نعم",$M14="نعم"),0,MAX(0,MIN($F14,EOMONTH(DATE(cfg_FY,12,1),0))-MAX($E14,DATE(cfg_FY,12,1))+1))</f>
        <v>0</v>
      </c>
    </row>
    <row r="15" customFormat="false" ht="15" hidden="false" customHeight="false" outlineLevel="0" collapsed="false">
      <c r="A15" s="115" t="n">
        <f aca="false">IF(B15="","",ROW()-5)</f>
        <v>10</v>
      </c>
      <c r="B15" s="107" t="s">
        <v>409</v>
      </c>
      <c r="C15" s="117" t="str">
        <f aca="false">IF(B15="","",IFERROR(INDEX(الموظفون!$C$6:$C$105,MATCH(B15,الموظفون!$B$6:$B$105,0)),"✖ رقم غير موجود"))</f>
        <v>عمر حسين البيشي</v>
      </c>
      <c r="D15" s="107" t="s">
        <v>227</v>
      </c>
      <c r="E15" s="108" t="n">
        <v>46266</v>
      </c>
      <c r="F15" s="108" t="n">
        <v>46275</v>
      </c>
      <c r="G15" s="133" t="n">
        <f aca="false">IF(OR($B15="",$E15="",$F15=""),"",MAX(0,F15-E15+1))</f>
        <v>10</v>
      </c>
      <c r="H15" s="134" t="n">
        <f aca="false">IF(D15="","",IFERROR(VLOOKUP(D15,cfg_LT,2,FALSE()),1))</f>
        <v>0.75</v>
      </c>
      <c r="I15" s="132"/>
      <c r="J15" s="134" t="n">
        <f aca="false">IF(D15="","",IF(I15&lt;&gt;"",I15,H15))</f>
        <v>0.75</v>
      </c>
      <c r="K15" s="117" t="str">
        <f aca="false">IF(D15="","",IFERROR(VLOOKUP($D15,cfg_LT,3,FALSE()),""))</f>
        <v>لا</v>
      </c>
      <c r="L15" s="117" t="str">
        <f aca="false">IF(D15="","",IFERROR(VLOOKUP($D15,cfg_LT,4,FALSE()),""))</f>
        <v>نعم</v>
      </c>
      <c r="M15" s="117" t="str">
        <f aca="false">IF(D15="","",IFERROR(VLOOKUP($D15,cfg_LT,5,FALSE()),""))</f>
        <v>لا</v>
      </c>
      <c r="N15" s="116" t="n">
        <f aca="false">IF(OR(OR($B15="",$E15="",$F15=""),M15&lt;&gt;"نعم"),0,G15*J15*IFERROR(INDEX(الموظفون!$R$6:$R$105,MATCH(B15,الموظفون!$B$6:$B$105,0)),0)/cfg_DAYS_M)</f>
        <v>0</v>
      </c>
      <c r="O15" s="115" t="str">
        <f aca="false">IF(OR(OR($B15="",$E15="",$F15=""),M15&lt;&gt;"نعم"),"",IF(YEAR(E15)=cfg_FY,MONTH(E15),""))</f>
        <v/>
      </c>
      <c r="P15" s="117" t="str">
        <f aca="false">IF(B15="","",IF(OR(D15="",E15="",F15=""),"⚠ أكمل النوع والتواريخ",IF(F15&lt;E15,"✖ النهاية قبل البداية",IF(COUNTIFS($B$6:$B$505,B15,$E$6:$E$505,"&lt;="&amp;F15,$F$6:$F$505,"&gt;="&amp;E15)&gt;1,"⚠ تداخل مع سجل آخر",IF(E15&gt;cfg_VAL_DATE,"⏳ قادمة",IF(F15&lt;cfg_VAL_DATE,"✔ منتهية","✈ جارية في تاريخ التقرير"))))))</f>
        <v>✔ منتهية</v>
      </c>
      <c r="Q15" s="107" t="s">
        <v>443</v>
      </c>
      <c r="R15" s="133" t="n">
        <f aca="false">IF(OR(OR($B15="",$E15="",$F15=""),L15&lt;&gt;"لا"),0,MAX(0,MIN(F15,cfg_Y_START-1)-E15+1))</f>
        <v>0</v>
      </c>
      <c r="S15" s="133" t="n">
        <f aca="false">IF(OR(OR($B15="",$E15="",$F15=""),L15&lt;&gt;"لا"),0,MAX(0,MIN(F15,cfg_VAL_DATE)-E15+1))</f>
        <v>0</v>
      </c>
      <c r="T15" s="133" t="n">
        <f aca="false">IF(OR(OR($B15="",$E15="",$F15=""),K15&lt;&gt;"نعم"),0,IF(M15="نعم",IF(AND(ISNUMBER(O15),N(O15)&lt;=cfg_VAL_M),G15,0),MAX(0,MIN(F15,cfg_VAL_DATE)-MAX(E15,cfg_Y_START)+1)))</f>
        <v>0</v>
      </c>
      <c r="V15" s="133" t="n">
        <f aca="false">IF(OR($B15="",$E15="",$F15=""),0,MAX(0,MIN($F15,EOMONTH(DATE(cfg_FY,1,1),0))-MAX($E15,DATE(cfg_FY,1,1))+1)*(1-IF($M15="نعم",0,N($J15))))</f>
        <v>0</v>
      </c>
      <c r="W15" s="133" t="n">
        <f aca="false">IF(OR($B15="",$E15="",$F15=""),0,MAX(0,MIN($F15,EOMONTH(DATE(cfg_FY,2,1),0))-MAX($E15,DATE(cfg_FY,2,1))+1)*(1-IF($M15="نعم",0,N($J15))))</f>
        <v>0</v>
      </c>
      <c r="X15" s="133" t="n">
        <f aca="false">IF(OR($B15="",$E15="",$F15=""),0,MAX(0,MIN($F15,EOMONTH(DATE(cfg_FY,3,1),0))-MAX($E15,DATE(cfg_FY,3,1))+1)*(1-IF($M15="نعم",0,N($J15))))</f>
        <v>0</v>
      </c>
      <c r="Y15" s="133" t="n">
        <f aca="false">IF(OR($B15="",$E15="",$F15=""),0,MAX(0,MIN($F15,EOMONTH(DATE(cfg_FY,4,1),0))-MAX($E15,DATE(cfg_FY,4,1))+1)*(1-IF($M15="نعم",0,N($J15))))</f>
        <v>0</v>
      </c>
      <c r="Z15" s="133" t="n">
        <f aca="false">IF(OR($B15="",$E15="",$F15=""),0,MAX(0,MIN($F15,EOMONTH(DATE(cfg_FY,5,1),0))-MAX($E15,DATE(cfg_FY,5,1))+1)*(1-IF($M15="نعم",0,N($J15))))</f>
        <v>0</v>
      </c>
      <c r="AA15" s="133" t="n">
        <f aca="false">IF(OR($B15="",$E15="",$F15=""),0,MAX(0,MIN($F15,EOMONTH(DATE(cfg_FY,6,1),0))-MAX($E15,DATE(cfg_FY,6,1))+1)*(1-IF($M15="نعم",0,N($J15))))</f>
        <v>0</v>
      </c>
      <c r="AB15" s="133" t="n">
        <f aca="false">IF(OR($B15="",$E15="",$F15=""),0,MAX(0,MIN($F15,EOMONTH(DATE(cfg_FY,7,1),0))-MAX($E15,DATE(cfg_FY,7,1))+1)*(1-IF($M15="نعم",0,N($J15))))</f>
        <v>0</v>
      </c>
      <c r="AC15" s="133" t="n">
        <f aca="false">IF(OR($B15="",$E15="",$F15=""),0,MAX(0,MIN($F15,EOMONTH(DATE(cfg_FY,8,1),0))-MAX($E15,DATE(cfg_FY,8,1))+1)*(1-IF($M15="نعم",0,N($J15))))</f>
        <v>0</v>
      </c>
      <c r="AD15" s="133" t="n">
        <f aca="false">IF(OR($B15="",$E15="",$F15=""),0,MAX(0,MIN($F15,EOMONTH(DATE(cfg_FY,9,1),0))-MAX($E15,DATE(cfg_FY,9,1))+1)*(1-IF($M15="نعم",0,N($J15))))</f>
        <v>2.5</v>
      </c>
      <c r="AE15" s="133" t="n">
        <f aca="false">IF(OR($B15="",$E15="",$F15=""),0,MAX(0,MIN($F15,EOMONTH(DATE(cfg_FY,10,1),0))-MAX($E15,DATE(cfg_FY,10,1))+1)*(1-IF($M15="نعم",0,N($J15))))</f>
        <v>0</v>
      </c>
      <c r="AF15" s="133" t="n">
        <f aca="false">IF(OR($B15="",$E15="",$F15=""),0,MAX(0,MIN($F15,EOMONTH(DATE(cfg_FY,11,1),0))-MAX($E15,DATE(cfg_FY,11,1))+1)*(1-IF($M15="نعم",0,N($J15))))</f>
        <v>0</v>
      </c>
      <c r="AG15" s="133" t="n">
        <f aca="false">IF(OR($B15="",$E15="",$F15=""),0,MAX(0,MIN($F15,EOMONTH(DATE(cfg_FY,12,1),0))-MAX($E15,DATE(cfg_FY,12,1))+1)*(1-IF($M15="نعم",0,N($J15))))</f>
        <v>0</v>
      </c>
      <c r="AH15" s="133" t="n">
        <f aca="false">IF(OR(OR($B15="",$E15="",$F15=""),$L15&lt;&gt;"لا"),0,MAX(0,MIN($F15,EOMONTH(DATE(cfg_FY,1,1),0))-$E15+1))</f>
        <v>0</v>
      </c>
      <c r="AI15" s="133" t="n">
        <f aca="false">IF(OR(OR($B15="",$E15="",$F15=""),$L15&lt;&gt;"لا"),0,MAX(0,MIN($F15,EOMONTH(DATE(cfg_FY,2,1),0))-$E15+1))</f>
        <v>0</v>
      </c>
      <c r="AJ15" s="133" t="n">
        <f aca="false">IF(OR(OR($B15="",$E15="",$F15=""),$L15&lt;&gt;"لا"),0,MAX(0,MIN($F15,EOMONTH(DATE(cfg_FY,3,1),0))-$E15+1))</f>
        <v>0</v>
      </c>
      <c r="AK15" s="133" t="n">
        <f aca="false">IF(OR(OR($B15="",$E15="",$F15=""),$L15&lt;&gt;"لا"),0,MAX(0,MIN($F15,EOMONTH(DATE(cfg_FY,4,1),0))-$E15+1))</f>
        <v>0</v>
      </c>
      <c r="AL15" s="133" t="n">
        <f aca="false">IF(OR(OR($B15="",$E15="",$F15=""),$L15&lt;&gt;"لا"),0,MAX(0,MIN($F15,EOMONTH(DATE(cfg_FY,5,1),0))-$E15+1))</f>
        <v>0</v>
      </c>
      <c r="AM15" s="133" t="n">
        <f aca="false">IF(OR(OR($B15="",$E15="",$F15=""),$L15&lt;&gt;"لا"),0,MAX(0,MIN($F15,EOMONTH(DATE(cfg_FY,6,1),0))-$E15+1))</f>
        <v>0</v>
      </c>
      <c r="AN15" s="133" t="n">
        <f aca="false">IF(OR(OR($B15="",$E15="",$F15=""),$L15&lt;&gt;"لا"),0,MAX(0,MIN($F15,EOMONTH(DATE(cfg_FY,7,1),0))-$E15+1))</f>
        <v>0</v>
      </c>
      <c r="AO15" s="133" t="n">
        <f aca="false">IF(OR(OR($B15="",$E15="",$F15=""),$L15&lt;&gt;"لا"),0,MAX(0,MIN($F15,EOMONTH(DATE(cfg_FY,8,1),0))-$E15+1))</f>
        <v>0</v>
      </c>
      <c r="AP15" s="133" t="n">
        <f aca="false">IF(OR(OR($B15="",$E15="",$F15=""),$L15&lt;&gt;"لا"),0,MAX(0,MIN($F15,EOMONTH(DATE(cfg_FY,9,1),0))-$E15+1))</f>
        <v>0</v>
      </c>
      <c r="AQ15" s="133" t="n">
        <f aca="false">IF(OR(OR($B15="",$E15="",$F15=""),$L15&lt;&gt;"لا"),0,MAX(0,MIN($F15,EOMONTH(DATE(cfg_FY,10,1),0))-$E15+1))</f>
        <v>0</v>
      </c>
      <c r="AR15" s="133" t="n">
        <f aca="false">IF(OR(OR($B15="",$E15="",$F15=""),$L15&lt;&gt;"لا"),0,MAX(0,MIN($F15,EOMONTH(DATE(cfg_FY,11,1),0))-$E15+1))</f>
        <v>0</v>
      </c>
      <c r="AS15" s="133" t="n">
        <f aca="false">IF(OR(OR($B15="",$E15="",$F15=""),$L15&lt;&gt;"لا"),0,MAX(0,MIN($F15,EOMONTH(DATE(cfg_FY,12,1),0))-$E15+1))</f>
        <v>0</v>
      </c>
      <c r="AT15" s="133" t="n">
        <f aca="false">IF(OR(OR($B15="",$E15="",$F15=""),$K15&lt;&gt;"نعم",$M15="نعم"),0,MAX(0,MIN($F15,EOMONTH(DATE(cfg_FY,1,1),0))-MAX($E15,DATE(cfg_FY,1,1))+1))</f>
        <v>0</v>
      </c>
      <c r="AU15" s="133" t="n">
        <f aca="false">IF(OR(OR($B15="",$E15="",$F15=""),$K15&lt;&gt;"نعم",$M15="نعم"),0,MAX(0,MIN($F15,EOMONTH(DATE(cfg_FY,2,1),0))-MAX($E15,DATE(cfg_FY,2,1))+1))</f>
        <v>0</v>
      </c>
      <c r="AV15" s="133" t="n">
        <f aca="false">IF(OR(OR($B15="",$E15="",$F15=""),$K15&lt;&gt;"نعم",$M15="نعم"),0,MAX(0,MIN($F15,EOMONTH(DATE(cfg_FY,3,1),0))-MAX($E15,DATE(cfg_FY,3,1))+1))</f>
        <v>0</v>
      </c>
      <c r="AW15" s="133" t="n">
        <f aca="false">IF(OR(OR($B15="",$E15="",$F15=""),$K15&lt;&gt;"نعم",$M15="نعم"),0,MAX(0,MIN($F15,EOMONTH(DATE(cfg_FY,4,1),0))-MAX($E15,DATE(cfg_FY,4,1))+1))</f>
        <v>0</v>
      </c>
      <c r="AX15" s="133" t="n">
        <f aca="false">IF(OR(OR($B15="",$E15="",$F15=""),$K15&lt;&gt;"نعم",$M15="نعم"),0,MAX(0,MIN($F15,EOMONTH(DATE(cfg_FY,5,1),0))-MAX($E15,DATE(cfg_FY,5,1))+1))</f>
        <v>0</v>
      </c>
      <c r="AY15" s="133" t="n">
        <f aca="false">IF(OR(OR($B15="",$E15="",$F15=""),$K15&lt;&gt;"نعم",$M15="نعم"),0,MAX(0,MIN($F15,EOMONTH(DATE(cfg_FY,6,1),0))-MAX($E15,DATE(cfg_FY,6,1))+1))</f>
        <v>0</v>
      </c>
      <c r="AZ15" s="133" t="n">
        <f aca="false">IF(OR(OR($B15="",$E15="",$F15=""),$K15&lt;&gt;"نعم",$M15="نعم"),0,MAX(0,MIN($F15,EOMONTH(DATE(cfg_FY,7,1),0))-MAX($E15,DATE(cfg_FY,7,1))+1))</f>
        <v>0</v>
      </c>
      <c r="BA15" s="133" t="n">
        <f aca="false">IF(OR(OR($B15="",$E15="",$F15=""),$K15&lt;&gt;"نعم",$M15="نعم"),0,MAX(0,MIN($F15,EOMONTH(DATE(cfg_FY,8,1),0))-MAX($E15,DATE(cfg_FY,8,1))+1))</f>
        <v>0</v>
      </c>
      <c r="BB15" s="133" t="n">
        <f aca="false">IF(OR(OR($B15="",$E15="",$F15=""),$K15&lt;&gt;"نعم",$M15="نعم"),0,MAX(0,MIN($F15,EOMONTH(DATE(cfg_FY,9,1),0))-MAX($E15,DATE(cfg_FY,9,1))+1))</f>
        <v>0</v>
      </c>
      <c r="BC15" s="133" t="n">
        <f aca="false">IF(OR(OR($B15="",$E15="",$F15=""),$K15&lt;&gt;"نعم",$M15="نعم"),0,MAX(0,MIN($F15,EOMONTH(DATE(cfg_FY,10,1),0))-MAX($E15,DATE(cfg_FY,10,1))+1))</f>
        <v>0</v>
      </c>
      <c r="BD15" s="133" t="n">
        <f aca="false">IF(OR(OR($B15="",$E15="",$F15=""),$K15&lt;&gt;"نعم",$M15="نعم"),0,MAX(0,MIN($F15,EOMONTH(DATE(cfg_FY,11,1),0))-MAX($E15,DATE(cfg_FY,11,1))+1))</f>
        <v>0</v>
      </c>
      <c r="BE15" s="133" t="n">
        <f aca="false">IF(OR(OR($B15="",$E15="",$F15=""),$K15&lt;&gt;"نعم",$M15="نعم"),0,MAX(0,MIN($F15,EOMONTH(DATE(cfg_FY,12,1),0))-MAX($E15,DATE(cfg_FY,12,1))+1))</f>
        <v>0</v>
      </c>
    </row>
    <row r="16" customFormat="false" ht="15" hidden="false" customHeight="false" outlineLevel="0" collapsed="false">
      <c r="A16" s="106" t="n">
        <f aca="false">IF(B16="","",ROW()-5)</f>
        <v>11</v>
      </c>
      <c r="B16" s="118" t="s">
        <v>355</v>
      </c>
      <c r="C16" s="114" t="str">
        <f aca="false">IF(B16="","",IFERROR(INDEX(الموظفون!$C$6:$C$105,MATCH(B16,الموظفون!$B$6:$B$105,0)),"✖ رقم غير موجود"))</f>
        <v>محمد علي حسن</v>
      </c>
      <c r="D16" s="118" t="s">
        <v>205</v>
      </c>
      <c r="E16" s="119" t="n">
        <v>46357</v>
      </c>
      <c r="F16" s="119" t="n">
        <v>46386</v>
      </c>
      <c r="G16" s="65" t="n">
        <f aca="false">IF(OR($B16="",$E16="",$F16=""),"",MAX(0,F16-E16+1))</f>
        <v>30</v>
      </c>
      <c r="H16" s="66" t="n">
        <f aca="false">IF(D16="","",IFERROR(VLOOKUP(D16,cfg_LT,2,FALSE()),1))</f>
        <v>1</v>
      </c>
      <c r="I16" s="135"/>
      <c r="J16" s="66" t="n">
        <f aca="false">IF(D16="","",IF(I16&lt;&gt;"",I16,H16))</f>
        <v>1</v>
      </c>
      <c r="K16" s="114" t="str">
        <f aca="false">IF(D16="","",IFERROR(VLOOKUP($D16,cfg_LT,3,FALSE()),""))</f>
        <v>نعم</v>
      </c>
      <c r="L16" s="114" t="str">
        <f aca="false">IF(D16="","",IFERROR(VLOOKUP($D16,cfg_LT,4,FALSE()),""))</f>
        <v>نعم</v>
      </c>
      <c r="M16" s="114" t="str">
        <f aca="false">IF(D16="","",IFERROR(VLOOKUP($D16,cfg_LT,5,FALSE()),""))</f>
        <v>نعم</v>
      </c>
      <c r="N16" s="111" t="n">
        <f aca="false">IF(OR(OR($B16="",$E16="",$F16=""),M16&lt;&gt;"نعم"),0,G16*J16*IFERROR(INDEX(الموظفون!$R$6:$R$105,MATCH(B16,الموظفون!$B$6:$B$105,0)),0)/cfg_DAYS_M)</f>
        <v>11475</v>
      </c>
      <c r="O16" s="106" t="n">
        <f aca="false">IF(OR(OR($B16="",$E16="",$F16=""),M16&lt;&gt;"نعم"),"",IF(YEAR(E16)=cfg_FY,MONTH(E16),""))</f>
        <v>12</v>
      </c>
      <c r="P16" s="114" t="str">
        <f aca="false">IF(B16="","",IF(OR(D16="",E16="",F16=""),"⚠ أكمل النوع والتواريخ",IF(F16&lt;E16,"✖ النهاية قبل البداية",IF(COUNTIFS($B$6:$B$505,B16,$E$6:$E$505,"&lt;="&amp;F16,$F$6:$F$505,"&gt;="&amp;E16)&gt;1,"⚠ تداخل مع سجل آخر",IF(E16&gt;cfg_VAL_DATE,"⏳ قادمة",IF(F16&lt;cfg_VAL_DATE,"✔ منتهية","✈ جارية في تاريخ التقرير"))))))</f>
        <v>⏳ قادمة</v>
      </c>
      <c r="Q16" s="118" t="s">
        <v>444</v>
      </c>
      <c r="R16" s="65" t="n">
        <f aca="false">IF(OR(OR($B16="",$E16="",$F16=""),L16&lt;&gt;"لا"),0,MAX(0,MIN(F16,cfg_Y_START-1)-E16+1))</f>
        <v>0</v>
      </c>
      <c r="S16" s="65" t="n">
        <f aca="false">IF(OR(OR($B16="",$E16="",$F16=""),L16&lt;&gt;"لا"),0,MAX(0,MIN(F16,cfg_VAL_DATE)-E16+1))</f>
        <v>0</v>
      </c>
      <c r="T16" s="65" t="n">
        <f aca="false">IF(OR(OR($B16="",$E16="",$F16=""),K16&lt;&gt;"نعم"),0,IF(M16="نعم",IF(AND(ISNUMBER(O16),N(O16)&lt;=cfg_VAL_M),G16,0),MAX(0,MIN(F16,cfg_VAL_DATE)-MAX(E16,cfg_Y_START)+1)))</f>
        <v>0</v>
      </c>
      <c r="V16" s="65" t="n">
        <f aca="false">IF(OR($B16="",$E16="",$F16=""),0,MAX(0,MIN($F16,EOMONTH(DATE(cfg_FY,1,1),0))-MAX($E16,DATE(cfg_FY,1,1))+1)*(1-IF($M16="نعم",0,N($J16))))</f>
        <v>0</v>
      </c>
      <c r="W16" s="65" t="n">
        <f aca="false">IF(OR($B16="",$E16="",$F16=""),0,MAX(0,MIN($F16,EOMONTH(DATE(cfg_FY,2,1),0))-MAX($E16,DATE(cfg_FY,2,1))+1)*(1-IF($M16="نعم",0,N($J16))))</f>
        <v>0</v>
      </c>
      <c r="X16" s="65" t="n">
        <f aca="false">IF(OR($B16="",$E16="",$F16=""),0,MAX(0,MIN($F16,EOMONTH(DATE(cfg_FY,3,1),0))-MAX($E16,DATE(cfg_FY,3,1))+1)*(1-IF($M16="نعم",0,N($J16))))</f>
        <v>0</v>
      </c>
      <c r="Y16" s="65" t="n">
        <f aca="false">IF(OR($B16="",$E16="",$F16=""),0,MAX(0,MIN($F16,EOMONTH(DATE(cfg_FY,4,1),0))-MAX($E16,DATE(cfg_FY,4,1))+1)*(1-IF($M16="نعم",0,N($J16))))</f>
        <v>0</v>
      </c>
      <c r="Z16" s="65" t="n">
        <f aca="false">IF(OR($B16="",$E16="",$F16=""),0,MAX(0,MIN($F16,EOMONTH(DATE(cfg_FY,5,1),0))-MAX($E16,DATE(cfg_FY,5,1))+1)*(1-IF($M16="نعم",0,N($J16))))</f>
        <v>0</v>
      </c>
      <c r="AA16" s="65" t="n">
        <f aca="false">IF(OR($B16="",$E16="",$F16=""),0,MAX(0,MIN($F16,EOMONTH(DATE(cfg_FY,6,1),0))-MAX($E16,DATE(cfg_FY,6,1))+1)*(1-IF($M16="نعم",0,N($J16))))</f>
        <v>0</v>
      </c>
      <c r="AB16" s="65" t="n">
        <f aca="false">IF(OR($B16="",$E16="",$F16=""),0,MAX(0,MIN($F16,EOMONTH(DATE(cfg_FY,7,1),0))-MAX($E16,DATE(cfg_FY,7,1))+1)*(1-IF($M16="نعم",0,N($J16))))</f>
        <v>0</v>
      </c>
      <c r="AC16" s="65" t="n">
        <f aca="false">IF(OR($B16="",$E16="",$F16=""),0,MAX(0,MIN($F16,EOMONTH(DATE(cfg_FY,8,1),0))-MAX($E16,DATE(cfg_FY,8,1))+1)*(1-IF($M16="نعم",0,N($J16))))</f>
        <v>0</v>
      </c>
      <c r="AD16" s="65" t="n">
        <f aca="false">IF(OR($B16="",$E16="",$F16=""),0,MAX(0,MIN($F16,EOMONTH(DATE(cfg_FY,9,1),0))-MAX($E16,DATE(cfg_FY,9,1))+1)*(1-IF($M16="نعم",0,N($J16))))</f>
        <v>0</v>
      </c>
      <c r="AE16" s="65" t="n">
        <f aca="false">IF(OR($B16="",$E16="",$F16=""),0,MAX(0,MIN($F16,EOMONTH(DATE(cfg_FY,10,1),0))-MAX($E16,DATE(cfg_FY,10,1))+1)*(1-IF($M16="نعم",0,N($J16))))</f>
        <v>0</v>
      </c>
      <c r="AF16" s="65" t="n">
        <f aca="false">IF(OR($B16="",$E16="",$F16=""),0,MAX(0,MIN($F16,EOMONTH(DATE(cfg_FY,11,1),0))-MAX($E16,DATE(cfg_FY,11,1))+1)*(1-IF($M16="نعم",0,N($J16))))</f>
        <v>0</v>
      </c>
      <c r="AG16" s="65" t="n">
        <f aca="false">IF(OR($B16="",$E16="",$F16=""),0,MAX(0,MIN($F16,EOMONTH(DATE(cfg_FY,12,1),0))-MAX($E16,DATE(cfg_FY,12,1))+1)*(1-IF($M16="نعم",0,N($J16))))</f>
        <v>30</v>
      </c>
      <c r="AH16" s="65" t="n">
        <f aca="false">IF(OR(OR($B16="",$E16="",$F16=""),$L16&lt;&gt;"لا"),0,MAX(0,MIN($F16,EOMONTH(DATE(cfg_FY,1,1),0))-$E16+1))</f>
        <v>0</v>
      </c>
      <c r="AI16" s="65" t="n">
        <f aca="false">IF(OR(OR($B16="",$E16="",$F16=""),$L16&lt;&gt;"لا"),0,MAX(0,MIN($F16,EOMONTH(DATE(cfg_FY,2,1),0))-$E16+1))</f>
        <v>0</v>
      </c>
      <c r="AJ16" s="65" t="n">
        <f aca="false">IF(OR(OR($B16="",$E16="",$F16=""),$L16&lt;&gt;"لا"),0,MAX(0,MIN($F16,EOMONTH(DATE(cfg_FY,3,1),0))-$E16+1))</f>
        <v>0</v>
      </c>
      <c r="AK16" s="65" t="n">
        <f aca="false">IF(OR(OR($B16="",$E16="",$F16=""),$L16&lt;&gt;"لا"),0,MAX(0,MIN($F16,EOMONTH(DATE(cfg_FY,4,1),0))-$E16+1))</f>
        <v>0</v>
      </c>
      <c r="AL16" s="65" t="n">
        <f aca="false">IF(OR(OR($B16="",$E16="",$F16=""),$L16&lt;&gt;"لا"),0,MAX(0,MIN($F16,EOMONTH(DATE(cfg_FY,5,1),0))-$E16+1))</f>
        <v>0</v>
      </c>
      <c r="AM16" s="65" t="n">
        <f aca="false">IF(OR(OR($B16="",$E16="",$F16=""),$L16&lt;&gt;"لا"),0,MAX(0,MIN($F16,EOMONTH(DATE(cfg_FY,6,1),0))-$E16+1))</f>
        <v>0</v>
      </c>
      <c r="AN16" s="65" t="n">
        <f aca="false">IF(OR(OR($B16="",$E16="",$F16=""),$L16&lt;&gt;"لا"),0,MAX(0,MIN($F16,EOMONTH(DATE(cfg_FY,7,1),0))-$E16+1))</f>
        <v>0</v>
      </c>
      <c r="AO16" s="65" t="n">
        <f aca="false">IF(OR(OR($B16="",$E16="",$F16=""),$L16&lt;&gt;"لا"),0,MAX(0,MIN($F16,EOMONTH(DATE(cfg_FY,8,1),0))-$E16+1))</f>
        <v>0</v>
      </c>
      <c r="AP16" s="65" t="n">
        <f aca="false">IF(OR(OR($B16="",$E16="",$F16=""),$L16&lt;&gt;"لا"),0,MAX(0,MIN($F16,EOMONTH(DATE(cfg_FY,9,1),0))-$E16+1))</f>
        <v>0</v>
      </c>
      <c r="AQ16" s="65" t="n">
        <f aca="false">IF(OR(OR($B16="",$E16="",$F16=""),$L16&lt;&gt;"لا"),0,MAX(0,MIN($F16,EOMONTH(DATE(cfg_FY,10,1),0))-$E16+1))</f>
        <v>0</v>
      </c>
      <c r="AR16" s="65" t="n">
        <f aca="false">IF(OR(OR($B16="",$E16="",$F16=""),$L16&lt;&gt;"لا"),0,MAX(0,MIN($F16,EOMONTH(DATE(cfg_FY,11,1),0))-$E16+1))</f>
        <v>0</v>
      </c>
      <c r="AS16" s="65" t="n">
        <f aca="false">IF(OR(OR($B16="",$E16="",$F16=""),$L16&lt;&gt;"لا"),0,MAX(0,MIN($F16,EOMONTH(DATE(cfg_FY,12,1),0))-$E16+1))</f>
        <v>0</v>
      </c>
      <c r="AT16" s="65" t="n">
        <f aca="false">IF(OR(OR($B16="",$E16="",$F16=""),$K16&lt;&gt;"نعم",$M16="نعم"),0,MAX(0,MIN($F16,EOMONTH(DATE(cfg_FY,1,1),0))-MAX($E16,DATE(cfg_FY,1,1))+1))</f>
        <v>0</v>
      </c>
      <c r="AU16" s="65" t="n">
        <f aca="false">IF(OR(OR($B16="",$E16="",$F16=""),$K16&lt;&gt;"نعم",$M16="نعم"),0,MAX(0,MIN($F16,EOMONTH(DATE(cfg_FY,2,1),0))-MAX($E16,DATE(cfg_FY,2,1))+1))</f>
        <v>0</v>
      </c>
      <c r="AV16" s="65" t="n">
        <f aca="false">IF(OR(OR($B16="",$E16="",$F16=""),$K16&lt;&gt;"نعم",$M16="نعم"),0,MAX(0,MIN($F16,EOMONTH(DATE(cfg_FY,3,1),0))-MAX($E16,DATE(cfg_FY,3,1))+1))</f>
        <v>0</v>
      </c>
      <c r="AW16" s="65" t="n">
        <f aca="false">IF(OR(OR($B16="",$E16="",$F16=""),$K16&lt;&gt;"نعم",$M16="نعم"),0,MAX(0,MIN($F16,EOMONTH(DATE(cfg_FY,4,1),0))-MAX($E16,DATE(cfg_FY,4,1))+1))</f>
        <v>0</v>
      </c>
      <c r="AX16" s="65" t="n">
        <f aca="false">IF(OR(OR($B16="",$E16="",$F16=""),$K16&lt;&gt;"نعم",$M16="نعم"),0,MAX(0,MIN($F16,EOMONTH(DATE(cfg_FY,5,1),0))-MAX($E16,DATE(cfg_FY,5,1))+1))</f>
        <v>0</v>
      </c>
      <c r="AY16" s="65" t="n">
        <f aca="false">IF(OR(OR($B16="",$E16="",$F16=""),$K16&lt;&gt;"نعم",$M16="نعم"),0,MAX(0,MIN($F16,EOMONTH(DATE(cfg_FY,6,1),0))-MAX($E16,DATE(cfg_FY,6,1))+1))</f>
        <v>0</v>
      </c>
      <c r="AZ16" s="65" t="n">
        <f aca="false">IF(OR(OR($B16="",$E16="",$F16=""),$K16&lt;&gt;"نعم",$M16="نعم"),0,MAX(0,MIN($F16,EOMONTH(DATE(cfg_FY,7,1),0))-MAX($E16,DATE(cfg_FY,7,1))+1))</f>
        <v>0</v>
      </c>
      <c r="BA16" s="65" t="n">
        <f aca="false">IF(OR(OR($B16="",$E16="",$F16=""),$K16&lt;&gt;"نعم",$M16="نعم"),0,MAX(0,MIN($F16,EOMONTH(DATE(cfg_FY,8,1),0))-MAX($E16,DATE(cfg_FY,8,1))+1))</f>
        <v>0</v>
      </c>
      <c r="BB16" s="65" t="n">
        <f aca="false">IF(OR(OR($B16="",$E16="",$F16=""),$K16&lt;&gt;"نعم",$M16="نعم"),0,MAX(0,MIN($F16,EOMONTH(DATE(cfg_FY,9,1),0))-MAX($E16,DATE(cfg_FY,9,1))+1))</f>
        <v>0</v>
      </c>
      <c r="BC16" s="65" t="n">
        <f aca="false">IF(OR(OR($B16="",$E16="",$F16=""),$K16&lt;&gt;"نعم",$M16="نعم"),0,MAX(0,MIN($F16,EOMONTH(DATE(cfg_FY,10,1),0))-MAX($E16,DATE(cfg_FY,10,1))+1))</f>
        <v>0</v>
      </c>
      <c r="BD16" s="65" t="n">
        <f aca="false">IF(OR(OR($B16="",$E16="",$F16=""),$K16&lt;&gt;"نعم",$M16="نعم"),0,MAX(0,MIN($F16,EOMONTH(DATE(cfg_FY,11,1),0))-MAX($E16,DATE(cfg_FY,11,1))+1))</f>
        <v>0</v>
      </c>
      <c r="BE16" s="65" t="n">
        <f aca="false">IF(OR(OR($B16="",$E16="",$F16=""),$K16&lt;&gt;"نعم",$M16="نعم"),0,MAX(0,MIN($F16,EOMONTH(DATE(cfg_FY,12,1),0))-MAX($E16,DATE(cfg_FY,12,1))+1))</f>
        <v>0</v>
      </c>
    </row>
    <row r="17" customFormat="false" ht="15" hidden="false" customHeight="false" outlineLevel="0" collapsed="false">
      <c r="A17" s="115" t="str">
        <f aca="false">IF(B17="","",ROW()-5)</f>
        <v/>
      </c>
      <c r="B17" s="118"/>
      <c r="C17" s="117" t="str">
        <f aca="false">IF(B17="","",IFERROR(INDEX(الموظفون!$C$6:$C$105,MATCH(B17,الموظفون!$B$6:$B$105,0)),"✖ رقم غير موجود"))</f>
        <v/>
      </c>
      <c r="D17" s="118"/>
      <c r="E17" s="119"/>
      <c r="F17" s="119"/>
      <c r="G17" s="133" t="str">
        <f aca="false">IF(OR($B17="",$E17="",$F17=""),"",MAX(0,F17-E17+1))</f>
        <v/>
      </c>
      <c r="H17" s="134" t="str">
        <f aca="false">IF(D17="","",IFERROR(VLOOKUP(D17,cfg_LT,2,FALSE()),1))</f>
        <v/>
      </c>
      <c r="I17" s="135"/>
      <c r="J17" s="134" t="str">
        <f aca="false">IF(D17="","",IF(I17&lt;&gt;"",I17,H17))</f>
        <v/>
      </c>
      <c r="K17" s="117" t="str">
        <f aca="false">IF(D17="","",IFERROR(VLOOKUP($D17,cfg_LT,3,FALSE()),""))</f>
        <v/>
      </c>
      <c r="L17" s="117" t="str">
        <f aca="false">IF(D17="","",IFERROR(VLOOKUP($D17,cfg_LT,4,FALSE()),""))</f>
        <v/>
      </c>
      <c r="M17" s="117" t="str">
        <f aca="false">IF(D17="","",IFERROR(VLOOKUP($D17,cfg_LT,5,FALSE()),""))</f>
        <v/>
      </c>
      <c r="N17" s="116" t="n">
        <f aca="false">IF(OR(OR($B17="",$E17="",$F17=""),M17&lt;&gt;"نعم"),0,G17*J17*IFERROR(INDEX(الموظفون!$R$6:$R$105,MATCH(B17,الموظفون!$B$6:$B$105,0)),0)/cfg_DAYS_M)</f>
        <v>0</v>
      </c>
      <c r="O17" s="115" t="str">
        <f aca="false">IF(OR(OR($B17="",$E17="",$F17=""),M17&lt;&gt;"نعم"),"",IF(YEAR(E17)=cfg_FY,MONTH(E17),""))</f>
        <v/>
      </c>
      <c r="P17" s="117" t="str">
        <f aca="false">IF(B17="","",IF(OR(D17="",E17="",F17=""),"⚠ أكمل النوع والتواريخ",IF(F17&lt;E17,"✖ النهاية قبل البداية",IF(COUNTIFS($B$6:$B$505,B17,$E$6:$E$505,"&lt;="&amp;F17,$F$6:$F$505,"&gt;="&amp;E17)&gt;1,"⚠ تداخل مع سجل آخر",IF(E17&gt;cfg_VAL_DATE,"⏳ قادمة",IF(F17&lt;cfg_VAL_DATE,"✔ منتهية","✈ جارية في تاريخ التقرير"))))))</f>
        <v/>
      </c>
      <c r="Q17" s="118"/>
      <c r="R17" s="133" t="n">
        <f aca="false">IF(OR(OR($B17="",$E17="",$F17=""),L17&lt;&gt;"لا"),0,MAX(0,MIN(F17,cfg_Y_START-1)-E17+1))</f>
        <v>0</v>
      </c>
      <c r="S17" s="133" t="n">
        <f aca="false">IF(OR(OR($B17="",$E17="",$F17=""),L17&lt;&gt;"لا"),0,MAX(0,MIN(F17,cfg_VAL_DATE)-E17+1))</f>
        <v>0</v>
      </c>
      <c r="T17" s="133" t="n">
        <f aca="false">IF(OR(OR($B17="",$E17="",$F17=""),K17&lt;&gt;"نعم"),0,IF(M17="نعم",IF(AND(ISNUMBER(O17),N(O17)&lt;=cfg_VAL_M),G17,0),MAX(0,MIN(F17,cfg_VAL_DATE)-MAX(E17,cfg_Y_START)+1)))</f>
        <v>0</v>
      </c>
      <c r="V17" s="133" t="n">
        <f aca="false">IF(OR($B17="",$E17="",$F17=""),0,MAX(0,MIN($F17,EOMONTH(DATE(cfg_FY,1,1),0))-MAX($E17,DATE(cfg_FY,1,1))+1)*(1-IF($M17="نعم",0,N($J17))))</f>
        <v>0</v>
      </c>
      <c r="W17" s="133" t="n">
        <f aca="false">IF(OR($B17="",$E17="",$F17=""),0,MAX(0,MIN($F17,EOMONTH(DATE(cfg_FY,2,1),0))-MAX($E17,DATE(cfg_FY,2,1))+1)*(1-IF($M17="نعم",0,N($J17))))</f>
        <v>0</v>
      </c>
      <c r="X17" s="133" t="n">
        <f aca="false">IF(OR($B17="",$E17="",$F17=""),0,MAX(0,MIN($F17,EOMONTH(DATE(cfg_FY,3,1),0))-MAX($E17,DATE(cfg_FY,3,1))+1)*(1-IF($M17="نعم",0,N($J17))))</f>
        <v>0</v>
      </c>
      <c r="Y17" s="133" t="n">
        <f aca="false">IF(OR($B17="",$E17="",$F17=""),0,MAX(0,MIN($F17,EOMONTH(DATE(cfg_FY,4,1),0))-MAX($E17,DATE(cfg_FY,4,1))+1)*(1-IF($M17="نعم",0,N($J17))))</f>
        <v>0</v>
      </c>
      <c r="Z17" s="133" t="n">
        <f aca="false">IF(OR($B17="",$E17="",$F17=""),0,MAX(0,MIN($F17,EOMONTH(DATE(cfg_FY,5,1),0))-MAX($E17,DATE(cfg_FY,5,1))+1)*(1-IF($M17="نعم",0,N($J17))))</f>
        <v>0</v>
      </c>
      <c r="AA17" s="133" t="n">
        <f aca="false">IF(OR($B17="",$E17="",$F17=""),0,MAX(0,MIN($F17,EOMONTH(DATE(cfg_FY,6,1),0))-MAX($E17,DATE(cfg_FY,6,1))+1)*(1-IF($M17="نعم",0,N($J17))))</f>
        <v>0</v>
      </c>
      <c r="AB17" s="133" t="n">
        <f aca="false">IF(OR($B17="",$E17="",$F17=""),0,MAX(0,MIN($F17,EOMONTH(DATE(cfg_FY,7,1),0))-MAX($E17,DATE(cfg_FY,7,1))+1)*(1-IF($M17="نعم",0,N($J17))))</f>
        <v>0</v>
      </c>
      <c r="AC17" s="133" t="n">
        <f aca="false">IF(OR($B17="",$E17="",$F17=""),0,MAX(0,MIN($F17,EOMONTH(DATE(cfg_FY,8,1),0))-MAX($E17,DATE(cfg_FY,8,1))+1)*(1-IF($M17="نعم",0,N($J17))))</f>
        <v>0</v>
      </c>
      <c r="AD17" s="133" t="n">
        <f aca="false">IF(OR($B17="",$E17="",$F17=""),0,MAX(0,MIN($F17,EOMONTH(DATE(cfg_FY,9,1),0))-MAX($E17,DATE(cfg_FY,9,1))+1)*(1-IF($M17="نعم",0,N($J17))))</f>
        <v>0</v>
      </c>
      <c r="AE17" s="133" t="n">
        <f aca="false">IF(OR($B17="",$E17="",$F17=""),0,MAX(0,MIN($F17,EOMONTH(DATE(cfg_FY,10,1),0))-MAX($E17,DATE(cfg_FY,10,1))+1)*(1-IF($M17="نعم",0,N($J17))))</f>
        <v>0</v>
      </c>
      <c r="AF17" s="133" t="n">
        <f aca="false">IF(OR($B17="",$E17="",$F17=""),0,MAX(0,MIN($F17,EOMONTH(DATE(cfg_FY,11,1),0))-MAX($E17,DATE(cfg_FY,11,1))+1)*(1-IF($M17="نعم",0,N($J17))))</f>
        <v>0</v>
      </c>
      <c r="AG17" s="133" t="n">
        <f aca="false">IF(OR($B17="",$E17="",$F17=""),0,MAX(0,MIN($F17,EOMONTH(DATE(cfg_FY,12,1),0))-MAX($E17,DATE(cfg_FY,12,1))+1)*(1-IF($M17="نعم",0,N($J17))))</f>
        <v>0</v>
      </c>
      <c r="AH17" s="133" t="n">
        <f aca="false">IF(OR(OR($B17="",$E17="",$F17=""),$L17&lt;&gt;"لا"),0,MAX(0,MIN($F17,EOMONTH(DATE(cfg_FY,1,1),0))-$E17+1))</f>
        <v>0</v>
      </c>
      <c r="AI17" s="133" t="n">
        <f aca="false">IF(OR(OR($B17="",$E17="",$F17=""),$L17&lt;&gt;"لا"),0,MAX(0,MIN($F17,EOMONTH(DATE(cfg_FY,2,1),0))-$E17+1))</f>
        <v>0</v>
      </c>
      <c r="AJ17" s="133" t="n">
        <f aca="false">IF(OR(OR($B17="",$E17="",$F17=""),$L17&lt;&gt;"لا"),0,MAX(0,MIN($F17,EOMONTH(DATE(cfg_FY,3,1),0))-$E17+1))</f>
        <v>0</v>
      </c>
      <c r="AK17" s="133" t="n">
        <f aca="false">IF(OR(OR($B17="",$E17="",$F17=""),$L17&lt;&gt;"لا"),0,MAX(0,MIN($F17,EOMONTH(DATE(cfg_FY,4,1),0))-$E17+1))</f>
        <v>0</v>
      </c>
      <c r="AL17" s="133" t="n">
        <f aca="false">IF(OR(OR($B17="",$E17="",$F17=""),$L17&lt;&gt;"لا"),0,MAX(0,MIN($F17,EOMONTH(DATE(cfg_FY,5,1),0))-$E17+1))</f>
        <v>0</v>
      </c>
      <c r="AM17" s="133" t="n">
        <f aca="false">IF(OR(OR($B17="",$E17="",$F17=""),$L17&lt;&gt;"لا"),0,MAX(0,MIN($F17,EOMONTH(DATE(cfg_FY,6,1),0))-$E17+1))</f>
        <v>0</v>
      </c>
      <c r="AN17" s="133" t="n">
        <f aca="false">IF(OR(OR($B17="",$E17="",$F17=""),$L17&lt;&gt;"لا"),0,MAX(0,MIN($F17,EOMONTH(DATE(cfg_FY,7,1),0))-$E17+1))</f>
        <v>0</v>
      </c>
      <c r="AO17" s="133" t="n">
        <f aca="false">IF(OR(OR($B17="",$E17="",$F17=""),$L17&lt;&gt;"لا"),0,MAX(0,MIN($F17,EOMONTH(DATE(cfg_FY,8,1),0))-$E17+1))</f>
        <v>0</v>
      </c>
      <c r="AP17" s="133" t="n">
        <f aca="false">IF(OR(OR($B17="",$E17="",$F17=""),$L17&lt;&gt;"لا"),0,MAX(0,MIN($F17,EOMONTH(DATE(cfg_FY,9,1),0))-$E17+1))</f>
        <v>0</v>
      </c>
      <c r="AQ17" s="133" t="n">
        <f aca="false">IF(OR(OR($B17="",$E17="",$F17=""),$L17&lt;&gt;"لا"),0,MAX(0,MIN($F17,EOMONTH(DATE(cfg_FY,10,1),0))-$E17+1))</f>
        <v>0</v>
      </c>
      <c r="AR17" s="133" t="n">
        <f aca="false">IF(OR(OR($B17="",$E17="",$F17=""),$L17&lt;&gt;"لا"),0,MAX(0,MIN($F17,EOMONTH(DATE(cfg_FY,11,1),0))-$E17+1))</f>
        <v>0</v>
      </c>
      <c r="AS17" s="133" t="n">
        <f aca="false">IF(OR(OR($B17="",$E17="",$F17=""),$L17&lt;&gt;"لا"),0,MAX(0,MIN($F17,EOMONTH(DATE(cfg_FY,12,1),0))-$E17+1))</f>
        <v>0</v>
      </c>
      <c r="AT17" s="133" t="n">
        <f aca="false">IF(OR(OR($B17="",$E17="",$F17=""),$K17&lt;&gt;"نعم",$M17="نعم"),0,MAX(0,MIN($F17,EOMONTH(DATE(cfg_FY,1,1),0))-MAX($E17,DATE(cfg_FY,1,1))+1))</f>
        <v>0</v>
      </c>
      <c r="AU17" s="133" t="n">
        <f aca="false">IF(OR(OR($B17="",$E17="",$F17=""),$K17&lt;&gt;"نعم",$M17="نعم"),0,MAX(0,MIN($F17,EOMONTH(DATE(cfg_FY,2,1),0))-MAX($E17,DATE(cfg_FY,2,1))+1))</f>
        <v>0</v>
      </c>
      <c r="AV17" s="133" t="n">
        <f aca="false">IF(OR(OR($B17="",$E17="",$F17=""),$K17&lt;&gt;"نعم",$M17="نعم"),0,MAX(0,MIN($F17,EOMONTH(DATE(cfg_FY,3,1),0))-MAX($E17,DATE(cfg_FY,3,1))+1))</f>
        <v>0</v>
      </c>
      <c r="AW17" s="133" t="n">
        <f aca="false">IF(OR(OR($B17="",$E17="",$F17=""),$K17&lt;&gt;"نعم",$M17="نعم"),0,MAX(0,MIN($F17,EOMONTH(DATE(cfg_FY,4,1),0))-MAX($E17,DATE(cfg_FY,4,1))+1))</f>
        <v>0</v>
      </c>
      <c r="AX17" s="133" t="n">
        <f aca="false">IF(OR(OR($B17="",$E17="",$F17=""),$K17&lt;&gt;"نعم",$M17="نعم"),0,MAX(0,MIN($F17,EOMONTH(DATE(cfg_FY,5,1),0))-MAX($E17,DATE(cfg_FY,5,1))+1))</f>
        <v>0</v>
      </c>
      <c r="AY17" s="133" t="n">
        <f aca="false">IF(OR(OR($B17="",$E17="",$F17=""),$K17&lt;&gt;"نعم",$M17="نعم"),0,MAX(0,MIN($F17,EOMONTH(DATE(cfg_FY,6,1),0))-MAX($E17,DATE(cfg_FY,6,1))+1))</f>
        <v>0</v>
      </c>
      <c r="AZ17" s="133" t="n">
        <f aca="false">IF(OR(OR($B17="",$E17="",$F17=""),$K17&lt;&gt;"نعم",$M17="نعم"),0,MAX(0,MIN($F17,EOMONTH(DATE(cfg_FY,7,1),0))-MAX($E17,DATE(cfg_FY,7,1))+1))</f>
        <v>0</v>
      </c>
      <c r="BA17" s="133" t="n">
        <f aca="false">IF(OR(OR($B17="",$E17="",$F17=""),$K17&lt;&gt;"نعم",$M17="نعم"),0,MAX(0,MIN($F17,EOMONTH(DATE(cfg_FY,8,1),0))-MAX($E17,DATE(cfg_FY,8,1))+1))</f>
        <v>0</v>
      </c>
      <c r="BB17" s="133" t="n">
        <f aca="false">IF(OR(OR($B17="",$E17="",$F17=""),$K17&lt;&gt;"نعم",$M17="نعم"),0,MAX(0,MIN($F17,EOMONTH(DATE(cfg_FY,9,1),0))-MAX($E17,DATE(cfg_FY,9,1))+1))</f>
        <v>0</v>
      </c>
      <c r="BC17" s="133" t="n">
        <f aca="false">IF(OR(OR($B17="",$E17="",$F17=""),$K17&lt;&gt;"نعم",$M17="نعم"),0,MAX(0,MIN($F17,EOMONTH(DATE(cfg_FY,10,1),0))-MAX($E17,DATE(cfg_FY,10,1))+1))</f>
        <v>0</v>
      </c>
      <c r="BD17" s="133" t="n">
        <f aca="false">IF(OR(OR($B17="",$E17="",$F17=""),$K17&lt;&gt;"نعم",$M17="نعم"),0,MAX(0,MIN($F17,EOMONTH(DATE(cfg_FY,11,1),0))-MAX($E17,DATE(cfg_FY,11,1))+1))</f>
        <v>0</v>
      </c>
      <c r="BE17" s="133" t="n">
        <f aca="false">IF(OR(OR($B17="",$E17="",$F17=""),$K17&lt;&gt;"نعم",$M17="نعم"),0,MAX(0,MIN($F17,EOMONTH(DATE(cfg_FY,12,1),0))-MAX($E17,DATE(cfg_FY,12,1))+1))</f>
        <v>0</v>
      </c>
    </row>
    <row r="18" customFormat="false" ht="15" hidden="false" customHeight="false" outlineLevel="0" collapsed="false">
      <c r="A18" s="106" t="str">
        <f aca="false">IF(B18="","",ROW()-5)</f>
        <v/>
      </c>
      <c r="B18" s="118"/>
      <c r="C18" s="114" t="str">
        <f aca="false">IF(B18="","",IFERROR(INDEX(الموظفون!$C$6:$C$105,MATCH(B18,الموظفون!$B$6:$B$105,0)),"✖ رقم غير موجود"))</f>
        <v/>
      </c>
      <c r="D18" s="118"/>
      <c r="E18" s="119"/>
      <c r="F18" s="119"/>
      <c r="G18" s="65" t="str">
        <f aca="false">IF(OR($B18="",$E18="",$F18=""),"",MAX(0,F18-E18+1))</f>
        <v/>
      </c>
      <c r="H18" s="66" t="str">
        <f aca="false">IF(D18="","",IFERROR(VLOOKUP(D18,cfg_LT,2,FALSE()),1))</f>
        <v/>
      </c>
      <c r="I18" s="135"/>
      <c r="J18" s="66" t="str">
        <f aca="false">IF(D18="","",IF(I18&lt;&gt;"",I18,H18))</f>
        <v/>
      </c>
      <c r="K18" s="114" t="str">
        <f aca="false">IF(D18="","",IFERROR(VLOOKUP($D18,cfg_LT,3,FALSE()),""))</f>
        <v/>
      </c>
      <c r="L18" s="114" t="str">
        <f aca="false">IF(D18="","",IFERROR(VLOOKUP($D18,cfg_LT,4,FALSE()),""))</f>
        <v/>
      </c>
      <c r="M18" s="114" t="str">
        <f aca="false">IF(D18="","",IFERROR(VLOOKUP($D18,cfg_LT,5,FALSE()),""))</f>
        <v/>
      </c>
      <c r="N18" s="111" t="n">
        <f aca="false">IF(OR(OR($B18="",$E18="",$F18=""),M18&lt;&gt;"نعم"),0,G18*J18*IFERROR(INDEX(الموظفون!$R$6:$R$105,MATCH(B18,الموظفون!$B$6:$B$105,0)),0)/cfg_DAYS_M)</f>
        <v>0</v>
      </c>
      <c r="O18" s="106" t="str">
        <f aca="false">IF(OR(OR($B18="",$E18="",$F18=""),M18&lt;&gt;"نعم"),"",IF(YEAR(E18)=cfg_FY,MONTH(E18),""))</f>
        <v/>
      </c>
      <c r="P18" s="114" t="str">
        <f aca="false">IF(B18="","",IF(OR(D18="",E18="",F18=""),"⚠ أكمل النوع والتواريخ",IF(F18&lt;E18,"✖ النهاية قبل البداية",IF(COUNTIFS($B$6:$B$505,B18,$E$6:$E$505,"&lt;="&amp;F18,$F$6:$F$505,"&gt;="&amp;E18)&gt;1,"⚠ تداخل مع سجل آخر",IF(E18&gt;cfg_VAL_DATE,"⏳ قادمة",IF(F18&lt;cfg_VAL_DATE,"✔ منتهية","✈ جارية في تاريخ التقرير"))))))</f>
        <v/>
      </c>
      <c r="Q18" s="118"/>
      <c r="R18" s="65" t="n">
        <f aca="false">IF(OR(OR($B18="",$E18="",$F18=""),L18&lt;&gt;"لا"),0,MAX(0,MIN(F18,cfg_Y_START-1)-E18+1))</f>
        <v>0</v>
      </c>
      <c r="S18" s="65" t="n">
        <f aca="false">IF(OR(OR($B18="",$E18="",$F18=""),L18&lt;&gt;"لا"),0,MAX(0,MIN(F18,cfg_VAL_DATE)-E18+1))</f>
        <v>0</v>
      </c>
      <c r="T18" s="65" t="n">
        <f aca="false">IF(OR(OR($B18="",$E18="",$F18=""),K18&lt;&gt;"نعم"),0,IF(M18="نعم",IF(AND(ISNUMBER(O18),N(O18)&lt;=cfg_VAL_M),G18,0),MAX(0,MIN(F18,cfg_VAL_DATE)-MAX(E18,cfg_Y_START)+1)))</f>
        <v>0</v>
      </c>
      <c r="V18" s="65" t="n">
        <f aca="false">IF(OR($B18="",$E18="",$F18=""),0,MAX(0,MIN($F18,EOMONTH(DATE(cfg_FY,1,1),0))-MAX($E18,DATE(cfg_FY,1,1))+1)*(1-IF($M18="نعم",0,N($J18))))</f>
        <v>0</v>
      </c>
      <c r="W18" s="65" t="n">
        <f aca="false">IF(OR($B18="",$E18="",$F18=""),0,MAX(0,MIN($F18,EOMONTH(DATE(cfg_FY,2,1),0))-MAX($E18,DATE(cfg_FY,2,1))+1)*(1-IF($M18="نعم",0,N($J18))))</f>
        <v>0</v>
      </c>
      <c r="X18" s="65" t="n">
        <f aca="false">IF(OR($B18="",$E18="",$F18=""),0,MAX(0,MIN($F18,EOMONTH(DATE(cfg_FY,3,1),0))-MAX($E18,DATE(cfg_FY,3,1))+1)*(1-IF($M18="نعم",0,N($J18))))</f>
        <v>0</v>
      </c>
      <c r="Y18" s="65" t="n">
        <f aca="false">IF(OR($B18="",$E18="",$F18=""),0,MAX(0,MIN($F18,EOMONTH(DATE(cfg_FY,4,1),0))-MAX($E18,DATE(cfg_FY,4,1))+1)*(1-IF($M18="نعم",0,N($J18))))</f>
        <v>0</v>
      </c>
      <c r="Z18" s="65" t="n">
        <f aca="false">IF(OR($B18="",$E18="",$F18=""),0,MAX(0,MIN($F18,EOMONTH(DATE(cfg_FY,5,1),0))-MAX($E18,DATE(cfg_FY,5,1))+1)*(1-IF($M18="نعم",0,N($J18))))</f>
        <v>0</v>
      </c>
      <c r="AA18" s="65" t="n">
        <f aca="false">IF(OR($B18="",$E18="",$F18=""),0,MAX(0,MIN($F18,EOMONTH(DATE(cfg_FY,6,1),0))-MAX($E18,DATE(cfg_FY,6,1))+1)*(1-IF($M18="نعم",0,N($J18))))</f>
        <v>0</v>
      </c>
      <c r="AB18" s="65" t="n">
        <f aca="false">IF(OR($B18="",$E18="",$F18=""),0,MAX(0,MIN($F18,EOMONTH(DATE(cfg_FY,7,1),0))-MAX($E18,DATE(cfg_FY,7,1))+1)*(1-IF($M18="نعم",0,N($J18))))</f>
        <v>0</v>
      </c>
      <c r="AC18" s="65" t="n">
        <f aca="false">IF(OR($B18="",$E18="",$F18=""),0,MAX(0,MIN($F18,EOMONTH(DATE(cfg_FY,8,1),0))-MAX($E18,DATE(cfg_FY,8,1))+1)*(1-IF($M18="نعم",0,N($J18))))</f>
        <v>0</v>
      </c>
      <c r="AD18" s="65" t="n">
        <f aca="false">IF(OR($B18="",$E18="",$F18=""),0,MAX(0,MIN($F18,EOMONTH(DATE(cfg_FY,9,1),0))-MAX($E18,DATE(cfg_FY,9,1))+1)*(1-IF($M18="نعم",0,N($J18))))</f>
        <v>0</v>
      </c>
      <c r="AE18" s="65" t="n">
        <f aca="false">IF(OR($B18="",$E18="",$F18=""),0,MAX(0,MIN($F18,EOMONTH(DATE(cfg_FY,10,1),0))-MAX($E18,DATE(cfg_FY,10,1))+1)*(1-IF($M18="نعم",0,N($J18))))</f>
        <v>0</v>
      </c>
      <c r="AF18" s="65" t="n">
        <f aca="false">IF(OR($B18="",$E18="",$F18=""),0,MAX(0,MIN($F18,EOMONTH(DATE(cfg_FY,11,1),0))-MAX($E18,DATE(cfg_FY,11,1))+1)*(1-IF($M18="نعم",0,N($J18))))</f>
        <v>0</v>
      </c>
      <c r="AG18" s="65" t="n">
        <f aca="false">IF(OR($B18="",$E18="",$F18=""),0,MAX(0,MIN($F18,EOMONTH(DATE(cfg_FY,12,1),0))-MAX($E18,DATE(cfg_FY,12,1))+1)*(1-IF($M18="نعم",0,N($J18))))</f>
        <v>0</v>
      </c>
      <c r="AH18" s="65" t="n">
        <f aca="false">IF(OR(OR($B18="",$E18="",$F18=""),$L18&lt;&gt;"لا"),0,MAX(0,MIN($F18,EOMONTH(DATE(cfg_FY,1,1),0))-$E18+1))</f>
        <v>0</v>
      </c>
      <c r="AI18" s="65" t="n">
        <f aca="false">IF(OR(OR($B18="",$E18="",$F18=""),$L18&lt;&gt;"لا"),0,MAX(0,MIN($F18,EOMONTH(DATE(cfg_FY,2,1),0))-$E18+1))</f>
        <v>0</v>
      </c>
      <c r="AJ18" s="65" t="n">
        <f aca="false">IF(OR(OR($B18="",$E18="",$F18=""),$L18&lt;&gt;"لا"),0,MAX(0,MIN($F18,EOMONTH(DATE(cfg_FY,3,1),0))-$E18+1))</f>
        <v>0</v>
      </c>
      <c r="AK18" s="65" t="n">
        <f aca="false">IF(OR(OR($B18="",$E18="",$F18=""),$L18&lt;&gt;"لا"),0,MAX(0,MIN($F18,EOMONTH(DATE(cfg_FY,4,1),0))-$E18+1))</f>
        <v>0</v>
      </c>
      <c r="AL18" s="65" t="n">
        <f aca="false">IF(OR(OR($B18="",$E18="",$F18=""),$L18&lt;&gt;"لا"),0,MAX(0,MIN($F18,EOMONTH(DATE(cfg_FY,5,1),0))-$E18+1))</f>
        <v>0</v>
      </c>
      <c r="AM18" s="65" t="n">
        <f aca="false">IF(OR(OR($B18="",$E18="",$F18=""),$L18&lt;&gt;"لا"),0,MAX(0,MIN($F18,EOMONTH(DATE(cfg_FY,6,1),0))-$E18+1))</f>
        <v>0</v>
      </c>
      <c r="AN18" s="65" t="n">
        <f aca="false">IF(OR(OR($B18="",$E18="",$F18=""),$L18&lt;&gt;"لا"),0,MAX(0,MIN($F18,EOMONTH(DATE(cfg_FY,7,1),0))-$E18+1))</f>
        <v>0</v>
      </c>
      <c r="AO18" s="65" t="n">
        <f aca="false">IF(OR(OR($B18="",$E18="",$F18=""),$L18&lt;&gt;"لا"),0,MAX(0,MIN($F18,EOMONTH(DATE(cfg_FY,8,1),0))-$E18+1))</f>
        <v>0</v>
      </c>
      <c r="AP18" s="65" t="n">
        <f aca="false">IF(OR(OR($B18="",$E18="",$F18=""),$L18&lt;&gt;"لا"),0,MAX(0,MIN($F18,EOMONTH(DATE(cfg_FY,9,1),0))-$E18+1))</f>
        <v>0</v>
      </c>
      <c r="AQ18" s="65" t="n">
        <f aca="false">IF(OR(OR($B18="",$E18="",$F18=""),$L18&lt;&gt;"لا"),0,MAX(0,MIN($F18,EOMONTH(DATE(cfg_FY,10,1),0))-$E18+1))</f>
        <v>0</v>
      </c>
      <c r="AR18" s="65" t="n">
        <f aca="false">IF(OR(OR($B18="",$E18="",$F18=""),$L18&lt;&gt;"لا"),0,MAX(0,MIN($F18,EOMONTH(DATE(cfg_FY,11,1),0))-$E18+1))</f>
        <v>0</v>
      </c>
      <c r="AS18" s="65" t="n">
        <f aca="false">IF(OR(OR($B18="",$E18="",$F18=""),$L18&lt;&gt;"لا"),0,MAX(0,MIN($F18,EOMONTH(DATE(cfg_FY,12,1),0))-$E18+1))</f>
        <v>0</v>
      </c>
      <c r="AT18" s="65" t="n">
        <f aca="false">IF(OR(OR($B18="",$E18="",$F18=""),$K18&lt;&gt;"نعم",$M18="نعم"),0,MAX(0,MIN($F18,EOMONTH(DATE(cfg_FY,1,1),0))-MAX($E18,DATE(cfg_FY,1,1))+1))</f>
        <v>0</v>
      </c>
      <c r="AU18" s="65" t="n">
        <f aca="false">IF(OR(OR($B18="",$E18="",$F18=""),$K18&lt;&gt;"نعم",$M18="نعم"),0,MAX(0,MIN($F18,EOMONTH(DATE(cfg_FY,2,1),0))-MAX($E18,DATE(cfg_FY,2,1))+1))</f>
        <v>0</v>
      </c>
      <c r="AV18" s="65" t="n">
        <f aca="false">IF(OR(OR($B18="",$E18="",$F18=""),$K18&lt;&gt;"نعم",$M18="نعم"),0,MAX(0,MIN($F18,EOMONTH(DATE(cfg_FY,3,1),0))-MAX($E18,DATE(cfg_FY,3,1))+1))</f>
        <v>0</v>
      </c>
      <c r="AW18" s="65" t="n">
        <f aca="false">IF(OR(OR($B18="",$E18="",$F18=""),$K18&lt;&gt;"نعم",$M18="نعم"),0,MAX(0,MIN($F18,EOMONTH(DATE(cfg_FY,4,1),0))-MAX($E18,DATE(cfg_FY,4,1))+1))</f>
        <v>0</v>
      </c>
      <c r="AX18" s="65" t="n">
        <f aca="false">IF(OR(OR($B18="",$E18="",$F18=""),$K18&lt;&gt;"نعم",$M18="نعم"),0,MAX(0,MIN($F18,EOMONTH(DATE(cfg_FY,5,1),0))-MAX($E18,DATE(cfg_FY,5,1))+1))</f>
        <v>0</v>
      </c>
      <c r="AY18" s="65" t="n">
        <f aca="false">IF(OR(OR($B18="",$E18="",$F18=""),$K18&lt;&gt;"نعم",$M18="نعم"),0,MAX(0,MIN($F18,EOMONTH(DATE(cfg_FY,6,1),0))-MAX($E18,DATE(cfg_FY,6,1))+1))</f>
        <v>0</v>
      </c>
      <c r="AZ18" s="65" t="n">
        <f aca="false">IF(OR(OR($B18="",$E18="",$F18=""),$K18&lt;&gt;"نعم",$M18="نعم"),0,MAX(0,MIN($F18,EOMONTH(DATE(cfg_FY,7,1),0))-MAX($E18,DATE(cfg_FY,7,1))+1))</f>
        <v>0</v>
      </c>
      <c r="BA18" s="65" t="n">
        <f aca="false">IF(OR(OR($B18="",$E18="",$F18=""),$K18&lt;&gt;"نعم",$M18="نعم"),0,MAX(0,MIN($F18,EOMONTH(DATE(cfg_FY,8,1),0))-MAX($E18,DATE(cfg_FY,8,1))+1))</f>
        <v>0</v>
      </c>
      <c r="BB18" s="65" t="n">
        <f aca="false">IF(OR(OR($B18="",$E18="",$F18=""),$K18&lt;&gt;"نعم",$M18="نعم"),0,MAX(0,MIN($F18,EOMONTH(DATE(cfg_FY,9,1),0))-MAX($E18,DATE(cfg_FY,9,1))+1))</f>
        <v>0</v>
      </c>
      <c r="BC18" s="65" t="n">
        <f aca="false">IF(OR(OR($B18="",$E18="",$F18=""),$K18&lt;&gt;"نعم",$M18="نعم"),0,MAX(0,MIN($F18,EOMONTH(DATE(cfg_FY,10,1),0))-MAX($E18,DATE(cfg_FY,10,1))+1))</f>
        <v>0</v>
      </c>
      <c r="BD18" s="65" t="n">
        <f aca="false">IF(OR(OR($B18="",$E18="",$F18=""),$K18&lt;&gt;"نعم",$M18="نعم"),0,MAX(0,MIN($F18,EOMONTH(DATE(cfg_FY,11,1),0))-MAX($E18,DATE(cfg_FY,11,1))+1))</f>
        <v>0</v>
      </c>
      <c r="BE18" s="65" t="n">
        <f aca="false">IF(OR(OR($B18="",$E18="",$F18=""),$K18&lt;&gt;"نعم",$M18="نعم"),0,MAX(0,MIN($F18,EOMONTH(DATE(cfg_FY,12,1),0))-MAX($E18,DATE(cfg_FY,12,1))+1))</f>
        <v>0</v>
      </c>
    </row>
    <row r="19" customFormat="false" ht="15" hidden="false" customHeight="false" outlineLevel="0" collapsed="false">
      <c r="A19" s="115" t="str">
        <f aca="false">IF(B19="","",ROW()-5)</f>
        <v/>
      </c>
      <c r="B19" s="118"/>
      <c r="C19" s="117" t="str">
        <f aca="false">IF(B19="","",IFERROR(INDEX(الموظفون!$C$6:$C$105,MATCH(B19,الموظفون!$B$6:$B$105,0)),"✖ رقم غير موجود"))</f>
        <v/>
      </c>
      <c r="D19" s="118"/>
      <c r="E19" s="119"/>
      <c r="F19" s="119"/>
      <c r="G19" s="133" t="str">
        <f aca="false">IF(OR($B19="",$E19="",$F19=""),"",MAX(0,F19-E19+1))</f>
        <v/>
      </c>
      <c r="H19" s="134" t="str">
        <f aca="false">IF(D19="","",IFERROR(VLOOKUP(D19,cfg_LT,2,FALSE()),1))</f>
        <v/>
      </c>
      <c r="I19" s="135"/>
      <c r="J19" s="134" t="str">
        <f aca="false">IF(D19="","",IF(I19&lt;&gt;"",I19,H19))</f>
        <v/>
      </c>
      <c r="K19" s="117" t="str">
        <f aca="false">IF(D19="","",IFERROR(VLOOKUP($D19,cfg_LT,3,FALSE()),""))</f>
        <v/>
      </c>
      <c r="L19" s="117" t="str">
        <f aca="false">IF(D19="","",IFERROR(VLOOKUP($D19,cfg_LT,4,FALSE()),""))</f>
        <v/>
      </c>
      <c r="M19" s="117" t="str">
        <f aca="false">IF(D19="","",IFERROR(VLOOKUP($D19,cfg_LT,5,FALSE()),""))</f>
        <v/>
      </c>
      <c r="N19" s="116" t="n">
        <f aca="false">IF(OR(OR($B19="",$E19="",$F19=""),M19&lt;&gt;"نعم"),0,G19*J19*IFERROR(INDEX(الموظفون!$R$6:$R$105,MATCH(B19,الموظفون!$B$6:$B$105,0)),0)/cfg_DAYS_M)</f>
        <v>0</v>
      </c>
      <c r="O19" s="115" t="str">
        <f aca="false">IF(OR(OR($B19="",$E19="",$F19=""),M19&lt;&gt;"نعم"),"",IF(YEAR(E19)=cfg_FY,MONTH(E19),""))</f>
        <v/>
      </c>
      <c r="P19" s="117" t="str">
        <f aca="false">IF(B19="","",IF(OR(D19="",E19="",F19=""),"⚠ أكمل النوع والتواريخ",IF(F19&lt;E19,"✖ النهاية قبل البداية",IF(COUNTIFS($B$6:$B$505,B19,$E$6:$E$505,"&lt;="&amp;F19,$F$6:$F$505,"&gt;="&amp;E19)&gt;1,"⚠ تداخل مع سجل آخر",IF(E19&gt;cfg_VAL_DATE,"⏳ قادمة",IF(F19&lt;cfg_VAL_DATE,"✔ منتهية","✈ جارية في تاريخ التقرير"))))))</f>
        <v/>
      </c>
      <c r="Q19" s="118"/>
      <c r="R19" s="133" t="n">
        <f aca="false">IF(OR(OR($B19="",$E19="",$F19=""),L19&lt;&gt;"لا"),0,MAX(0,MIN(F19,cfg_Y_START-1)-E19+1))</f>
        <v>0</v>
      </c>
      <c r="S19" s="133" t="n">
        <f aca="false">IF(OR(OR($B19="",$E19="",$F19=""),L19&lt;&gt;"لا"),0,MAX(0,MIN(F19,cfg_VAL_DATE)-E19+1))</f>
        <v>0</v>
      </c>
      <c r="T19" s="133" t="n">
        <f aca="false">IF(OR(OR($B19="",$E19="",$F19=""),K19&lt;&gt;"نعم"),0,IF(M19="نعم",IF(AND(ISNUMBER(O19),N(O19)&lt;=cfg_VAL_M),G19,0),MAX(0,MIN(F19,cfg_VAL_DATE)-MAX(E19,cfg_Y_START)+1)))</f>
        <v>0</v>
      </c>
      <c r="V19" s="133" t="n">
        <f aca="false">IF(OR($B19="",$E19="",$F19=""),0,MAX(0,MIN($F19,EOMONTH(DATE(cfg_FY,1,1),0))-MAX($E19,DATE(cfg_FY,1,1))+1)*(1-IF($M19="نعم",0,N($J19))))</f>
        <v>0</v>
      </c>
      <c r="W19" s="133" t="n">
        <f aca="false">IF(OR($B19="",$E19="",$F19=""),0,MAX(0,MIN($F19,EOMONTH(DATE(cfg_FY,2,1),0))-MAX($E19,DATE(cfg_FY,2,1))+1)*(1-IF($M19="نعم",0,N($J19))))</f>
        <v>0</v>
      </c>
      <c r="X19" s="133" t="n">
        <f aca="false">IF(OR($B19="",$E19="",$F19=""),0,MAX(0,MIN($F19,EOMONTH(DATE(cfg_FY,3,1),0))-MAX($E19,DATE(cfg_FY,3,1))+1)*(1-IF($M19="نعم",0,N($J19))))</f>
        <v>0</v>
      </c>
      <c r="Y19" s="133" t="n">
        <f aca="false">IF(OR($B19="",$E19="",$F19=""),0,MAX(0,MIN($F19,EOMONTH(DATE(cfg_FY,4,1),0))-MAX($E19,DATE(cfg_FY,4,1))+1)*(1-IF($M19="نعم",0,N($J19))))</f>
        <v>0</v>
      </c>
      <c r="Z19" s="133" t="n">
        <f aca="false">IF(OR($B19="",$E19="",$F19=""),0,MAX(0,MIN($F19,EOMONTH(DATE(cfg_FY,5,1),0))-MAX($E19,DATE(cfg_FY,5,1))+1)*(1-IF($M19="نعم",0,N($J19))))</f>
        <v>0</v>
      </c>
      <c r="AA19" s="133" t="n">
        <f aca="false">IF(OR($B19="",$E19="",$F19=""),0,MAX(0,MIN($F19,EOMONTH(DATE(cfg_FY,6,1),0))-MAX($E19,DATE(cfg_FY,6,1))+1)*(1-IF($M19="نعم",0,N($J19))))</f>
        <v>0</v>
      </c>
      <c r="AB19" s="133" t="n">
        <f aca="false">IF(OR($B19="",$E19="",$F19=""),0,MAX(0,MIN($F19,EOMONTH(DATE(cfg_FY,7,1),0))-MAX($E19,DATE(cfg_FY,7,1))+1)*(1-IF($M19="نعم",0,N($J19))))</f>
        <v>0</v>
      </c>
      <c r="AC19" s="133" t="n">
        <f aca="false">IF(OR($B19="",$E19="",$F19=""),0,MAX(0,MIN($F19,EOMONTH(DATE(cfg_FY,8,1),0))-MAX($E19,DATE(cfg_FY,8,1))+1)*(1-IF($M19="نعم",0,N($J19))))</f>
        <v>0</v>
      </c>
      <c r="AD19" s="133" t="n">
        <f aca="false">IF(OR($B19="",$E19="",$F19=""),0,MAX(0,MIN($F19,EOMONTH(DATE(cfg_FY,9,1),0))-MAX($E19,DATE(cfg_FY,9,1))+1)*(1-IF($M19="نعم",0,N($J19))))</f>
        <v>0</v>
      </c>
      <c r="AE19" s="133" t="n">
        <f aca="false">IF(OR($B19="",$E19="",$F19=""),0,MAX(0,MIN($F19,EOMONTH(DATE(cfg_FY,10,1),0))-MAX($E19,DATE(cfg_FY,10,1))+1)*(1-IF($M19="نعم",0,N($J19))))</f>
        <v>0</v>
      </c>
      <c r="AF19" s="133" t="n">
        <f aca="false">IF(OR($B19="",$E19="",$F19=""),0,MAX(0,MIN($F19,EOMONTH(DATE(cfg_FY,11,1),0))-MAX($E19,DATE(cfg_FY,11,1))+1)*(1-IF($M19="نعم",0,N($J19))))</f>
        <v>0</v>
      </c>
      <c r="AG19" s="133" t="n">
        <f aca="false">IF(OR($B19="",$E19="",$F19=""),0,MAX(0,MIN($F19,EOMONTH(DATE(cfg_FY,12,1),0))-MAX($E19,DATE(cfg_FY,12,1))+1)*(1-IF($M19="نعم",0,N($J19))))</f>
        <v>0</v>
      </c>
      <c r="AH19" s="133" t="n">
        <f aca="false">IF(OR(OR($B19="",$E19="",$F19=""),$L19&lt;&gt;"لا"),0,MAX(0,MIN($F19,EOMONTH(DATE(cfg_FY,1,1),0))-$E19+1))</f>
        <v>0</v>
      </c>
      <c r="AI19" s="133" t="n">
        <f aca="false">IF(OR(OR($B19="",$E19="",$F19=""),$L19&lt;&gt;"لا"),0,MAX(0,MIN($F19,EOMONTH(DATE(cfg_FY,2,1),0))-$E19+1))</f>
        <v>0</v>
      </c>
      <c r="AJ19" s="133" t="n">
        <f aca="false">IF(OR(OR($B19="",$E19="",$F19=""),$L19&lt;&gt;"لا"),0,MAX(0,MIN($F19,EOMONTH(DATE(cfg_FY,3,1),0))-$E19+1))</f>
        <v>0</v>
      </c>
      <c r="AK19" s="133" t="n">
        <f aca="false">IF(OR(OR($B19="",$E19="",$F19=""),$L19&lt;&gt;"لا"),0,MAX(0,MIN($F19,EOMONTH(DATE(cfg_FY,4,1),0))-$E19+1))</f>
        <v>0</v>
      </c>
      <c r="AL19" s="133" t="n">
        <f aca="false">IF(OR(OR($B19="",$E19="",$F19=""),$L19&lt;&gt;"لا"),0,MAX(0,MIN($F19,EOMONTH(DATE(cfg_FY,5,1),0))-$E19+1))</f>
        <v>0</v>
      </c>
      <c r="AM19" s="133" t="n">
        <f aca="false">IF(OR(OR($B19="",$E19="",$F19=""),$L19&lt;&gt;"لا"),0,MAX(0,MIN($F19,EOMONTH(DATE(cfg_FY,6,1),0))-$E19+1))</f>
        <v>0</v>
      </c>
      <c r="AN19" s="133" t="n">
        <f aca="false">IF(OR(OR($B19="",$E19="",$F19=""),$L19&lt;&gt;"لا"),0,MAX(0,MIN($F19,EOMONTH(DATE(cfg_FY,7,1),0))-$E19+1))</f>
        <v>0</v>
      </c>
      <c r="AO19" s="133" t="n">
        <f aca="false">IF(OR(OR($B19="",$E19="",$F19=""),$L19&lt;&gt;"لا"),0,MAX(0,MIN($F19,EOMONTH(DATE(cfg_FY,8,1),0))-$E19+1))</f>
        <v>0</v>
      </c>
      <c r="AP19" s="133" t="n">
        <f aca="false">IF(OR(OR($B19="",$E19="",$F19=""),$L19&lt;&gt;"لا"),0,MAX(0,MIN($F19,EOMONTH(DATE(cfg_FY,9,1),0))-$E19+1))</f>
        <v>0</v>
      </c>
      <c r="AQ19" s="133" t="n">
        <f aca="false">IF(OR(OR($B19="",$E19="",$F19=""),$L19&lt;&gt;"لا"),0,MAX(0,MIN($F19,EOMONTH(DATE(cfg_FY,10,1),0))-$E19+1))</f>
        <v>0</v>
      </c>
      <c r="AR19" s="133" t="n">
        <f aca="false">IF(OR(OR($B19="",$E19="",$F19=""),$L19&lt;&gt;"لا"),0,MAX(0,MIN($F19,EOMONTH(DATE(cfg_FY,11,1),0))-$E19+1))</f>
        <v>0</v>
      </c>
      <c r="AS19" s="133" t="n">
        <f aca="false">IF(OR(OR($B19="",$E19="",$F19=""),$L19&lt;&gt;"لا"),0,MAX(0,MIN($F19,EOMONTH(DATE(cfg_FY,12,1),0))-$E19+1))</f>
        <v>0</v>
      </c>
      <c r="AT19" s="133" t="n">
        <f aca="false">IF(OR(OR($B19="",$E19="",$F19=""),$K19&lt;&gt;"نعم",$M19="نعم"),0,MAX(0,MIN($F19,EOMONTH(DATE(cfg_FY,1,1),0))-MAX($E19,DATE(cfg_FY,1,1))+1))</f>
        <v>0</v>
      </c>
      <c r="AU19" s="133" t="n">
        <f aca="false">IF(OR(OR($B19="",$E19="",$F19=""),$K19&lt;&gt;"نعم",$M19="نعم"),0,MAX(0,MIN($F19,EOMONTH(DATE(cfg_FY,2,1),0))-MAX($E19,DATE(cfg_FY,2,1))+1))</f>
        <v>0</v>
      </c>
      <c r="AV19" s="133" t="n">
        <f aca="false">IF(OR(OR($B19="",$E19="",$F19=""),$K19&lt;&gt;"نعم",$M19="نعم"),0,MAX(0,MIN($F19,EOMONTH(DATE(cfg_FY,3,1),0))-MAX($E19,DATE(cfg_FY,3,1))+1))</f>
        <v>0</v>
      </c>
      <c r="AW19" s="133" t="n">
        <f aca="false">IF(OR(OR($B19="",$E19="",$F19=""),$K19&lt;&gt;"نعم",$M19="نعم"),0,MAX(0,MIN($F19,EOMONTH(DATE(cfg_FY,4,1),0))-MAX($E19,DATE(cfg_FY,4,1))+1))</f>
        <v>0</v>
      </c>
      <c r="AX19" s="133" t="n">
        <f aca="false">IF(OR(OR($B19="",$E19="",$F19=""),$K19&lt;&gt;"نعم",$M19="نعم"),0,MAX(0,MIN($F19,EOMONTH(DATE(cfg_FY,5,1),0))-MAX($E19,DATE(cfg_FY,5,1))+1))</f>
        <v>0</v>
      </c>
      <c r="AY19" s="133" t="n">
        <f aca="false">IF(OR(OR($B19="",$E19="",$F19=""),$K19&lt;&gt;"نعم",$M19="نعم"),0,MAX(0,MIN($F19,EOMONTH(DATE(cfg_FY,6,1),0))-MAX($E19,DATE(cfg_FY,6,1))+1))</f>
        <v>0</v>
      </c>
      <c r="AZ19" s="133" t="n">
        <f aca="false">IF(OR(OR($B19="",$E19="",$F19=""),$K19&lt;&gt;"نعم",$M19="نعم"),0,MAX(0,MIN($F19,EOMONTH(DATE(cfg_FY,7,1),0))-MAX($E19,DATE(cfg_FY,7,1))+1))</f>
        <v>0</v>
      </c>
      <c r="BA19" s="133" t="n">
        <f aca="false">IF(OR(OR($B19="",$E19="",$F19=""),$K19&lt;&gt;"نعم",$M19="نعم"),0,MAX(0,MIN($F19,EOMONTH(DATE(cfg_FY,8,1),0))-MAX($E19,DATE(cfg_FY,8,1))+1))</f>
        <v>0</v>
      </c>
      <c r="BB19" s="133" t="n">
        <f aca="false">IF(OR(OR($B19="",$E19="",$F19=""),$K19&lt;&gt;"نعم",$M19="نعم"),0,MAX(0,MIN($F19,EOMONTH(DATE(cfg_FY,9,1),0))-MAX($E19,DATE(cfg_FY,9,1))+1))</f>
        <v>0</v>
      </c>
      <c r="BC19" s="133" t="n">
        <f aca="false">IF(OR(OR($B19="",$E19="",$F19=""),$K19&lt;&gt;"نعم",$M19="نعم"),0,MAX(0,MIN($F19,EOMONTH(DATE(cfg_FY,10,1),0))-MAX($E19,DATE(cfg_FY,10,1))+1))</f>
        <v>0</v>
      </c>
      <c r="BD19" s="133" t="n">
        <f aca="false">IF(OR(OR($B19="",$E19="",$F19=""),$K19&lt;&gt;"نعم",$M19="نعم"),0,MAX(0,MIN($F19,EOMONTH(DATE(cfg_FY,11,1),0))-MAX($E19,DATE(cfg_FY,11,1))+1))</f>
        <v>0</v>
      </c>
      <c r="BE19" s="133" t="n">
        <f aca="false">IF(OR(OR($B19="",$E19="",$F19=""),$K19&lt;&gt;"نعم",$M19="نعم"),0,MAX(0,MIN($F19,EOMONTH(DATE(cfg_FY,12,1),0))-MAX($E19,DATE(cfg_FY,12,1))+1))</f>
        <v>0</v>
      </c>
    </row>
    <row r="20" customFormat="false" ht="15" hidden="false" customHeight="false" outlineLevel="0" collapsed="false">
      <c r="A20" s="106" t="str">
        <f aca="false">IF(B20="","",ROW()-5)</f>
        <v/>
      </c>
      <c r="B20" s="118"/>
      <c r="C20" s="114" t="str">
        <f aca="false">IF(B20="","",IFERROR(INDEX(الموظفون!$C$6:$C$105,MATCH(B20,الموظفون!$B$6:$B$105,0)),"✖ رقم غير موجود"))</f>
        <v/>
      </c>
      <c r="D20" s="118"/>
      <c r="E20" s="119"/>
      <c r="F20" s="119"/>
      <c r="G20" s="65" t="str">
        <f aca="false">IF(OR($B20="",$E20="",$F20=""),"",MAX(0,F20-E20+1))</f>
        <v/>
      </c>
      <c r="H20" s="66" t="str">
        <f aca="false">IF(D20="","",IFERROR(VLOOKUP(D20,cfg_LT,2,FALSE()),1))</f>
        <v/>
      </c>
      <c r="I20" s="135"/>
      <c r="J20" s="66" t="str">
        <f aca="false">IF(D20="","",IF(I20&lt;&gt;"",I20,H20))</f>
        <v/>
      </c>
      <c r="K20" s="114" t="str">
        <f aca="false">IF(D20="","",IFERROR(VLOOKUP($D20,cfg_LT,3,FALSE()),""))</f>
        <v/>
      </c>
      <c r="L20" s="114" t="str">
        <f aca="false">IF(D20="","",IFERROR(VLOOKUP($D20,cfg_LT,4,FALSE()),""))</f>
        <v/>
      </c>
      <c r="M20" s="114" t="str">
        <f aca="false">IF(D20="","",IFERROR(VLOOKUP($D20,cfg_LT,5,FALSE()),""))</f>
        <v/>
      </c>
      <c r="N20" s="111" t="n">
        <f aca="false">IF(OR(OR($B20="",$E20="",$F20=""),M20&lt;&gt;"نعم"),0,G20*J20*IFERROR(INDEX(الموظفون!$R$6:$R$105,MATCH(B20,الموظفون!$B$6:$B$105,0)),0)/cfg_DAYS_M)</f>
        <v>0</v>
      </c>
      <c r="O20" s="106" t="str">
        <f aca="false">IF(OR(OR($B20="",$E20="",$F20=""),M20&lt;&gt;"نعم"),"",IF(YEAR(E20)=cfg_FY,MONTH(E20),""))</f>
        <v/>
      </c>
      <c r="P20" s="114" t="str">
        <f aca="false">IF(B20="","",IF(OR(D20="",E20="",F20=""),"⚠ أكمل النوع والتواريخ",IF(F20&lt;E20,"✖ النهاية قبل البداية",IF(COUNTIFS($B$6:$B$505,B20,$E$6:$E$505,"&lt;="&amp;F20,$F$6:$F$505,"&gt;="&amp;E20)&gt;1,"⚠ تداخل مع سجل آخر",IF(E20&gt;cfg_VAL_DATE,"⏳ قادمة",IF(F20&lt;cfg_VAL_DATE,"✔ منتهية","✈ جارية في تاريخ التقرير"))))))</f>
        <v/>
      </c>
      <c r="Q20" s="118"/>
      <c r="R20" s="65" t="n">
        <f aca="false">IF(OR(OR($B20="",$E20="",$F20=""),L20&lt;&gt;"لا"),0,MAX(0,MIN(F20,cfg_Y_START-1)-E20+1))</f>
        <v>0</v>
      </c>
      <c r="S20" s="65" t="n">
        <f aca="false">IF(OR(OR($B20="",$E20="",$F20=""),L20&lt;&gt;"لا"),0,MAX(0,MIN(F20,cfg_VAL_DATE)-E20+1))</f>
        <v>0</v>
      </c>
      <c r="T20" s="65" t="n">
        <f aca="false">IF(OR(OR($B20="",$E20="",$F20=""),K20&lt;&gt;"نعم"),0,IF(M20="نعم",IF(AND(ISNUMBER(O20),N(O20)&lt;=cfg_VAL_M),G20,0),MAX(0,MIN(F20,cfg_VAL_DATE)-MAX(E20,cfg_Y_START)+1)))</f>
        <v>0</v>
      </c>
      <c r="V20" s="65" t="n">
        <f aca="false">IF(OR($B20="",$E20="",$F20=""),0,MAX(0,MIN($F20,EOMONTH(DATE(cfg_FY,1,1),0))-MAX($E20,DATE(cfg_FY,1,1))+1)*(1-IF($M20="نعم",0,N($J20))))</f>
        <v>0</v>
      </c>
      <c r="W20" s="65" t="n">
        <f aca="false">IF(OR($B20="",$E20="",$F20=""),0,MAX(0,MIN($F20,EOMONTH(DATE(cfg_FY,2,1),0))-MAX($E20,DATE(cfg_FY,2,1))+1)*(1-IF($M20="نعم",0,N($J20))))</f>
        <v>0</v>
      </c>
      <c r="X20" s="65" t="n">
        <f aca="false">IF(OR($B20="",$E20="",$F20=""),0,MAX(0,MIN($F20,EOMONTH(DATE(cfg_FY,3,1),0))-MAX($E20,DATE(cfg_FY,3,1))+1)*(1-IF($M20="نعم",0,N($J20))))</f>
        <v>0</v>
      </c>
      <c r="Y20" s="65" t="n">
        <f aca="false">IF(OR($B20="",$E20="",$F20=""),0,MAX(0,MIN($F20,EOMONTH(DATE(cfg_FY,4,1),0))-MAX($E20,DATE(cfg_FY,4,1))+1)*(1-IF($M20="نعم",0,N($J20))))</f>
        <v>0</v>
      </c>
      <c r="Z20" s="65" t="n">
        <f aca="false">IF(OR($B20="",$E20="",$F20=""),0,MAX(0,MIN($F20,EOMONTH(DATE(cfg_FY,5,1),0))-MAX($E20,DATE(cfg_FY,5,1))+1)*(1-IF($M20="نعم",0,N($J20))))</f>
        <v>0</v>
      </c>
      <c r="AA20" s="65" t="n">
        <f aca="false">IF(OR($B20="",$E20="",$F20=""),0,MAX(0,MIN($F20,EOMONTH(DATE(cfg_FY,6,1),0))-MAX($E20,DATE(cfg_FY,6,1))+1)*(1-IF($M20="نعم",0,N($J20))))</f>
        <v>0</v>
      </c>
      <c r="AB20" s="65" t="n">
        <f aca="false">IF(OR($B20="",$E20="",$F20=""),0,MAX(0,MIN($F20,EOMONTH(DATE(cfg_FY,7,1),0))-MAX($E20,DATE(cfg_FY,7,1))+1)*(1-IF($M20="نعم",0,N($J20))))</f>
        <v>0</v>
      </c>
      <c r="AC20" s="65" t="n">
        <f aca="false">IF(OR($B20="",$E20="",$F20=""),0,MAX(0,MIN($F20,EOMONTH(DATE(cfg_FY,8,1),0))-MAX($E20,DATE(cfg_FY,8,1))+1)*(1-IF($M20="نعم",0,N($J20))))</f>
        <v>0</v>
      </c>
      <c r="AD20" s="65" t="n">
        <f aca="false">IF(OR($B20="",$E20="",$F20=""),0,MAX(0,MIN($F20,EOMONTH(DATE(cfg_FY,9,1),0))-MAX($E20,DATE(cfg_FY,9,1))+1)*(1-IF($M20="نعم",0,N($J20))))</f>
        <v>0</v>
      </c>
      <c r="AE20" s="65" t="n">
        <f aca="false">IF(OR($B20="",$E20="",$F20=""),0,MAX(0,MIN($F20,EOMONTH(DATE(cfg_FY,10,1),0))-MAX($E20,DATE(cfg_FY,10,1))+1)*(1-IF($M20="نعم",0,N($J20))))</f>
        <v>0</v>
      </c>
      <c r="AF20" s="65" t="n">
        <f aca="false">IF(OR($B20="",$E20="",$F20=""),0,MAX(0,MIN($F20,EOMONTH(DATE(cfg_FY,11,1),0))-MAX($E20,DATE(cfg_FY,11,1))+1)*(1-IF($M20="نعم",0,N($J20))))</f>
        <v>0</v>
      </c>
      <c r="AG20" s="65" t="n">
        <f aca="false">IF(OR($B20="",$E20="",$F20=""),0,MAX(0,MIN($F20,EOMONTH(DATE(cfg_FY,12,1),0))-MAX($E20,DATE(cfg_FY,12,1))+1)*(1-IF($M20="نعم",0,N($J20))))</f>
        <v>0</v>
      </c>
      <c r="AH20" s="65" t="n">
        <f aca="false">IF(OR(OR($B20="",$E20="",$F20=""),$L20&lt;&gt;"لا"),0,MAX(0,MIN($F20,EOMONTH(DATE(cfg_FY,1,1),0))-$E20+1))</f>
        <v>0</v>
      </c>
      <c r="AI20" s="65" t="n">
        <f aca="false">IF(OR(OR($B20="",$E20="",$F20=""),$L20&lt;&gt;"لا"),0,MAX(0,MIN($F20,EOMONTH(DATE(cfg_FY,2,1),0))-$E20+1))</f>
        <v>0</v>
      </c>
      <c r="AJ20" s="65" t="n">
        <f aca="false">IF(OR(OR($B20="",$E20="",$F20=""),$L20&lt;&gt;"لا"),0,MAX(0,MIN($F20,EOMONTH(DATE(cfg_FY,3,1),0))-$E20+1))</f>
        <v>0</v>
      </c>
      <c r="AK20" s="65" t="n">
        <f aca="false">IF(OR(OR($B20="",$E20="",$F20=""),$L20&lt;&gt;"لا"),0,MAX(0,MIN($F20,EOMONTH(DATE(cfg_FY,4,1),0))-$E20+1))</f>
        <v>0</v>
      </c>
      <c r="AL20" s="65" t="n">
        <f aca="false">IF(OR(OR($B20="",$E20="",$F20=""),$L20&lt;&gt;"لا"),0,MAX(0,MIN($F20,EOMONTH(DATE(cfg_FY,5,1),0))-$E20+1))</f>
        <v>0</v>
      </c>
      <c r="AM20" s="65" t="n">
        <f aca="false">IF(OR(OR($B20="",$E20="",$F20=""),$L20&lt;&gt;"لا"),0,MAX(0,MIN($F20,EOMONTH(DATE(cfg_FY,6,1),0))-$E20+1))</f>
        <v>0</v>
      </c>
      <c r="AN20" s="65" t="n">
        <f aca="false">IF(OR(OR($B20="",$E20="",$F20=""),$L20&lt;&gt;"لا"),0,MAX(0,MIN($F20,EOMONTH(DATE(cfg_FY,7,1),0))-$E20+1))</f>
        <v>0</v>
      </c>
      <c r="AO20" s="65" t="n">
        <f aca="false">IF(OR(OR($B20="",$E20="",$F20=""),$L20&lt;&gt;"لا"),0,MAX(0,MIN($F20,EOMONTH(DATE(cfg_FY,8,1),0))-$E20+1))</f>
        <v>0</v>
      </c>
      <c r="AP20" s="65" t="n">
        <f aca="false">IF(OR(OR($B20="",$E20="",$F20=""),$L20&lt;&gt;"لا"),0,MAX(0,MIN($F20,EOMONTH(DATE(cfg_FY,9,1),0))-$E20+1))</f>
        <v>0</v>
      </c>
      <c r="AQ20" s="65" t="n">
        <f aca="false">IF(OR(OR($B20="",$E20="",$F20=""),$L20&lt;&gt;"لا"),0,MAX(0,MIN($F20,EOMONTH(DATE(cfg_FY,10,1),0))-$E20+1))</f>
        <v>0</v>
      </c>
      <c r="AR20" s="65" t="n">
        <f aca="false">IF(OR(OR($B20="",$E20="",$F20=""),$L20&lt;&gt;"لا"),0,MAX(0,MIN($F20,EOMONTH(DATE(cfg_FY,11,1),0))-$E20+1))</f>
        <v>0</v>
      </c>
      <c r="AS20" s="65" t="n">
        <f aca="false">IF(OR(OR($B20="",$E20="",$F20=""),$L20&lt;&gt;"لا"),0,MAX(0,MIN($F20,EOMONTH(DATE(cfg_FY,12,1),0))-$E20+1))</f>
        <v>0</v>
      </c>
      <c r="AT20" s="65" t="n">
        <f aca="false">IF(OR(OR($B20="",$E20="",$F20=""),$K20&lt;&gt;"نعم",$M20="نعم"),0,MAX(0,MIN($F20,EOMONTH(DATE(cfg_FY,1,1),0))-MAX($E20,DATE(cfg_FY,1,1))+1))</f>
        <v>0</v>
      </c>
      <c r="AU20" s="65" t="n">
        <f aca="false">IF(OR(OR($B20="",$E20="",$F20=""),$K20&lt;&gt;"نعم",$M20="نعم"),0,MAX(0,MIN($F20,EOMONTH(DATE(cfg_FY,2,1),0))-MAX($E20,DATE(cfg_FY,2,1))+1))</f>
        <v>0</v>
      </c>
      <c r="AV20" s="65" t="n">
        <f aca="false">IF(OR(OR($B20="",$E20="",$F20=""),$K20&lt;&gt;"نعم",$M20="نعم"),0,MAX(0,MIN($F20,EOMONTH(DATE(cfg_FY,3,1),0))-MAX($E20,DATE(cfg_FY,3,1))+1))</f>
        <v>0</v>
      </c>
      <c r="AW20" s="65" t="n">
        <f aca="false">IF(OR(OR($B20="",$E20="",$F20=""),$K20&lt;&gt;"نعم",$M20="نعم"),0,MAX(0,MIN($F20,EOMONTH(DATE(cfg_FY,4,1),0))-MAX($E20,DATE(cfg_FY,4,1))+1))</f>
        <v>0</v>
      </c>
      <c r="AX20" s="65" t="n">
        <f aca="false">IF(OR(OR($B20="",$E20="",$F20=""),$K20&lt;&gt;"نعم",$M20="نعم"),0,MAX(0,MIN($F20,EOMONTH(DATE(cfg_FY,5,1),0))-MAX($E20,DATE(cfg_FY,5,1))+1))</f>
        <v>0</v>
      </c>
      <c r="AY20" s="65" t="n">
        <f aca="false">IF(OR(OR($B20="",$E20="",$F20=""),$K20&lt;&gt;"نعم",$M20="نعم"),0,MAX(0,MIN($F20,EOMONTH(DATE(cfg_FY,6,1),0))-MAX($E20,DATE(cfg_FY,6,1))+1))</f>
        <v>0</v>
      </c>
      <c r="AZ20" s="65" t="n">
        <f aca="false">IF(OR(OR($B20="",$E20="",$F20=""),$K20&lt;&gt;"نعم",$M20="نعم"),0,MAX(0,MIN($F20,EOMONTH(DATE(cfg_FY,7,1),0))-MAX($E20,DATE(cfg_FY,7,1))+1))</f>
        <v>0</v>
      </c>
      <c r="BA20" s="65" t="n">
        <f aca="false">IF(OR(OR($B20="",$E20="",$F20=""),$K20&lt;&gt;"نعم",$M20="نعم"),0,MAX(0,MIN($F20,EOMONTH(DATE(cfg_FY,8,1),0))-MAX($E20,DATE(cfg_FY,8,1))+1))</f>
        <v>0</v>
      </c>
      <c r="BB20" s="65" t="n">
        <f aca="false">IF(OR(OR($B20="",$E20="",$F20=""),$K20&lt;&gt;"نعم",$M20="نعم"),0,MAX(0,MIN($F20,EOMONTH(DATE(cfg_FY,9,1),0))-MAX($E20,DATE(cfg_FY,9,1))+1))</f>
        <v>0</v>
      </c>
      <c r="BC20" s="65" t="n">
        <f aca="false">IF(OR(OR($B20="",$E20="",$F20=""),$K20&lt;&gt;"نعم",$M20="نعم"),0,MAX(0,MIN($F20,EOMONTH(DATE(cfg_FY,10,1),0))-MAX($E20,DATE(cfg_FY,10,1))+1))</f>
        <v>0</v>
      </c>
      <c r="BD20" s="65" t="n">
        <f aca="false">IF(OR(OR($B20="",$E20="",$F20=""),$K20&lt;&gt;"نعم",$M20="نعم"),0,MAX(0,MIN($F20,EOMONTH(DATE(cfg_FY,11,1),0))-MAX($E20,DATE(cfg_FY,11,1))+1))</f>
        <v>0</v>
      </c>
      <c r="BE20" s="65" t="n">
        <f aca="false">IF(OR(OR($B20="",$E20="",$F20=""),$K20&lt;&gt;"نعم",$M20="نعم"),0,MAX(0,MIN($F20,EOMONTH(DATE(cfg_FY,12,1),0))-MAX($E20,DATE(cfg_FY,12,1))+1))</f>
        <v>0</v>
      </c>
    </row>
    <row r="21" customFormat="false" ht="15" hidden="false" customHeight="false" outlineLevel="0" collapsed="false">
      <c r="A21" s="115" t="str">
        <f aca="false">IF(B21="","",ROW()-5)</f>
        <v/>
      </c>
      <c r="B21" s="118"/>
      <c r="C21" s="117" t="str">
        <f aca="false">IF(B21="","",IFERROR(INDEX(الموظفون!$C$6:$C$105,MATCH(B21,الموظفون!$B$6:$B$105,0)),"✖ رقم غير موجود"))</f>
        <v/>
      </c>
      <c r="D21" s="118"/>
      <c r="E21" s="119"/>
      <c r="F21" s="119"/>
      <c r="G21" s="133" t="str">
        <f aca="false">IF(OR($B21="",$E21="",$F21=""),"",MAX(0,F21-E21+1))</f>
        <v/>
      </c>
      <c r="H21" s="134" t="str">
        <f aca="false">IF(D21="","",IFERROR(VLOOKUP(D21,cfg_LT,2,FALSE()),1))</f>
        <v/>
      </c>
      <c r="I21" s="135"/>
      <c r="J21" s="134" t="str">
        <f aca="false">IF(D21="","",IF(I21&lt;&gt;"",I21,H21))</f>
        <v/>
      </c>
      <c r="K21" s="117" t="str">
        <f aca="false">IF(D21="","",IFERROR(VLOOKUP($D21,cfg_LT,3,FALSE()),""))</f>
        <v/>
      </c>
      <c r="L21" s="117" t="str">
        <f aca="false">IF(D21="","",IFERROR(VLOOKUP($D21,cfg_LT,4,FALSE()),""))</f>
        <v/>
      </c>
      <c r="M21" s="117" t="str">
        <f aca="false">IF(D21="","",IFERROR(VLOOKUP($D21,cfg_LT,5,FALSE()),""))</f>
        <v/>
      </c>
      <c r="N21" s="116" t="n">
        <f aca="false">IF(OR(OR($B21="",$E21="",$F21=""),M21&lt;&gt;"نعم"),0,G21*J21*IFERROR(INDEX(الموظفون!$R$6:$R$105,MATCH(B21,الموظفون!$B$6:$B$105,0)),0)/cfg_DAYS_M)</f>
        <v>0</v>
      </c>
      <c r="O21" s="115" t="str">
        <f aca="false">IF(OR(OR($B21="",$E21="",$F21=""),M21&lt;&gt;"نعم"),"",IF(YEAR(E21)=cfg_FY,MONTH(E21),""))</f>
        <v/>
      </c>
      <c r="P21" s="117" t="str">
        <f aca="false">IF(B21="","",IF(OR(D21="",E21="",F21=""),"⚠ أكمل النوع والتواريخ",IF(F21&lt;E21,"✖ النهاية قبل البداية",IF(COUNTIFS($B$6:$B$505,B21,$E$6:$E$505,"&lt;="&amp;F21,$F$6:$F$505,"&gt;="&amp;E21)&gt;1,"⚠ تداخل مع سجل آخر",IF(E21&gt;cfg_VAL_DATE,"⏳ قادمة",IF(F21&lt;cfg_VAL_DATE,"✔ منتهية","✈ جارية في تاريخ التقرير"))))))</f>
        <v/>
      </c>
      <c r="Q21" s="118"/>
      <c r="R21" s="133" t="n">
        <f aca="false">IF(OR(OR($B21="",$E21="",$F21=""),L21&lt;&gt;"لا"),0,MAX(0,MIN(F21,cfg_Y_START-1)-E21+1))</f>
        <v>0</v>
      </c>
      <c r="S21" s="133" t="n">
        <f aca="false">IF(OR(OR($B21="",$E21="",$F21=""),L21&lt;&gt;"لا"),0,MAX(0,MIN(F21,cfg_VAL_DATE)-E21+1))</f>
        <v>0</v>
      </c>
      <c r="T21" s="133" t="n">
        <f aca="false">IF(OR(OR($B21="",$E21="",$F21=""),K21&lt;&gt;"نعم"),0,IF(M21="نعم",IF(AND(ISNUMBER(O21),N(O21)&lt;=cfg_VAL_M),G21,0),MAX(0,MIN(F21,cfg_VAL_DATE)-MAX(E21,cfg_Y_START)+1)))</f>
        <v>0</v>
      </c>
      <c r="V21" s="133" t="n">
        <f aca="false">IF(OR($B21="",$E21="",$F21=""),0,MAX(0,MIN($F21,EOMONTH(DATE(cfg_FY,1,1),0))-MAX($E21,DATE(cfg_FY,1,1))+1)*(1-IF($M21="نعم",0,N($J21))))</f>
        <v>0</v>
      </c>
      <c r="W21" s="133" t="n">
        <f aca="false">IF(OR($B21="",$E21="",$F21=""),0,MAX(0,MIN($F21,EOMONTH(DATE(cfg_FY,2,1),0))-MAX($E21,DATE(cfg_FY,2,1))+1)*(1-IF($M21="نعم",0,N($J21))))</f>
        <v>0</v>
      </c>
      <c r="X21" s="133" t="n">
        <f aca="false">IF(OR($B21="",$E21="",$F21=""),0,MAX(0,MIN($F21,EOMONTH(DATE(cfg_FY,3,1),0))-MAX($E21,DATE(cfg_FY,3,1))+1)*(1-IF($M21="نعم",0,N($J21))))</f>
        <v>0</v>
      </c>
      <c r="Y21" s="133" t="n">
        <f aca="false">IF(OR($B21="",$E21="",$F21=""),0,MAX(0,MIN($F21,EOMONTH(DATE(cfg_FY,4,1),0))-MAX($E21,DATE(cfg_FY,4,1))+1)*(1-IF($M21="نعم",0,N($J21))))</f>
        <v>0</v>
      </c>
      <c r="Z21" s="133" t="n">
        <f aca="false">IF(OR($B21="",$E21="",$F21=""),0,MAX(0,MIN($F21,EOMONTH(DATE(cfg_FY,5,1),0))-MAX($E21,DATE(cfg_FY,5,1))+1)*(1-IF($M21="نعم",0,N($J21))))</f>
        <v>0</v>
      </c>
      <c r="AA21" s="133" t="n">
        <f aca="false">IF(OR($B21="",$E21="",$F21=""),0,MAX(0,MIN($F21,EOMONTH(DATE(cfg_FY,6,1),0))-MAX($E21,DATE(cfg_FY,6,1))+1)*(1-IF($M21="نعم",0,N($J21))))</f>
        <v>0</v>
      </c>
      <c r="AB21" s="133" t="n">
        <f aca="false">IF(OR($B21="",$E21="",$F21=""),0,MAX(0,MIN($F21,EOMONTH(DATE(cfg_FY,7,1),0))-MAX($E21,DATE(cfg_FY,7,1))+1)*(1-IF($M21="نعم",0,N($J21))))</f>
        <v>0</v>
      </c>
      <c r="AC21" s="133" t="n">
        <f aca="false">IF(OR($B21="",$E21="",$F21=""),0,MAX(0,MIN($F21,EOMONTH(DATE(cfg_FY,8,1),0))-MAX($E21,DATE(cfg_FY,8,1))+1)*(1-IF($M21="نعم",0,N($J21))))</f>
        <v>0</v>
      </c>
      <c r="AD21" s="133" t="n">
        <f aca="false">IF(OR($B21="",$E21="",$F21=""),0,MAX(0,MIN($F21,EOMONTH(DATE(cfg_FY,9,1),0))-MAX($E21,DATE(cfg_FY,9,1))+1)*(1-IF($M21="نعم",0,N($J21))))</f>
        <v>0</v>
      </c>
      <c r="AE21" s="133" t="n">
        <f aca="false">IF(OR($B21="",$E21="",$F21=""),0,MAX(0,MIN($F21,EOMONTH(DATE(cfg_FY,10,1),0))-MAX($E21,DATE(cfg_FY,10,1))+1)*(1-IF($M21="نعم",0,N($J21))))</f>
        <v>0</v>
      </c>
      <c r="AF21" s="133" t="n">
        <f aca="false">IF(OR($B21="",$E21="",$F21=""),0,MAX(0,MIN($F21,EOMONTH(DATE(cfg_FY,11,1),0))-MAX($E21,DATE(cfg_FY,11,1))+1)*(1-IF($M21="نعم",0,N($J21))))</f>
        <v>0</v>
      </c>
      <c r="AG21" s="133" t="n">
        <f aca="false">IF(OR($B21="",$E21="",$F21=""),0,MAX(0,MIN($F21,EOMONTH(DATE(cfg_FY,12,1),0))-MAX($E21,DATE(cfg_FY,12,1))+1)*(1-IF($M21="نعم",0,N($J21))))</f>
        <v>0</v>
      </c>
      <c r="AH21" s="133" t="n">
        <f aca="false">IF(OR(OR($B21="",$E21="",$F21=""),$L21&lt;&gt;"لا"),0,MAX(0,MIN($F21,EOMONTH(DATE(cfg_FY,1,1),0))-$E21+1))</f>
        <v>0</v>
      </c>
      <c r="AI21" s="133" t="n">
        <f aca="false">IF(OR(OR($B21="",$E21="",$F21=""),$L21&lt;&gt;"لا"),0,MAX(0,MIN($F21,EOMONTH(DATE(cfg_FY,2,1),0))-$E21+1))</f>
        <v>0</v>
      </c>
      <c r="AJ21" s="133" t="n">
        <f aca="false">IF(OR(OR($B21="",$E21="",$F21=""),$L21&lt;&gt;"لا"),0,MAX(0,MIN($F21,EOMONTH(DATE(cfg_FY,3,1),0))-$E21+1))</f>
        <v>0</v>
      </c>
      <c r="AK21" s="133" t="n">
        <f aca="false">IF(OR(OR($B21="",$E21="",$F21=""),$L21&lt;&gt;"لا"),0,MAX(0,MIN($F21,EOMONTH(DATE(cfg_FY,4,1),0))-$E21+1))</f>
        <v>0</v>
      </c>
      <c r="AL21" s="133" t="n">
        <f aca="false">IF(OR(OR($B21="",$E21="",$F21=""),$L21&lt;&gt;"لا"),0,MAX(0,MIN($F21,EOMONTH(DATE(cfg_FY,5,1),0))-$E21+1))</f>
        <v>0</v>
      </c>
      <c r="AM21" s="133" t="n">
        <f aca="false">IF(OR(OR($B21="",$E21="",$F21=""),$L21&lt;&gt;"لا"),0,MAX(0,MIN($F21,EOMONTH(DATE(cfg_FY,6,1),0))-$E21+1))</f>
        <v>0</v>
      </c>
      <c r="AN21" s="133" t="n">
        <f aca="false">IF(OR(OR($B21="",$E21="",$F21=""),$L21&lt;&gt;"لا"),0,MAX(0,MIN($F21,EOMONTH(DATE(cfg_FY,7,1),0))-$E21+1))</f>
        <v>0</v>
      </c>
      <c r="AO21" s="133" t="n">
        <f aca="false">IF(OR(OR($B21="",$E21="",$F21=""),$L21&lt;&gt;"لا"),0,MAX(0,MIN($F21,EOMONTH(DATE(cfg_FY,8,1),0))-$E21+1))</f>
        <v>0</v>
      </c>
      <c r="AP21" s="133" t="n">
        <f aca="false">IF(OR(OR($B21="",$E21="",$F21=""),$L21&lt;&gt;"لا"),0,MAX(0,MIN($F21,EOMONTH(DATE(cfg_FY,9,1),0))-$E21+1))</f>
        <v>0</v>
      </c>
      <c r="AQ21" s="133" t="n">
        <f aca="false">IF(OR(OR($B21="",$E21="",$F21=""),$L21&lt;&gt;"لا"),0,MAX(0,MIN($F21,EOMONTH(DATE(cfg_FY,10,1),0))-$E21+1))</f>
        <v>0</v>
      </c>
      <c r="AR21" s="133" t="n">
        <f aca="false">IF(OR(OR($B21="",$E21="",$F21=""),$L21&lt;&gt;"لا"),0,MAX(0,MIN($F21,EOMONTH(DATE(cfg_FY,11,1),0))-$E21+1))</f>
        <v>0</v>
      </c>
      <c r="AS21" s="133" t="n">
        <f aca="false">IF(OR(OR($B21="",$E21="",$F21=""),$L21&lt;&gt;"لا"),0,MAX(0,MIN($F21,EOMONTH(DATE(cfg_FY,12,1),0))-$E21+1))</f>
        <v>0</v>
      </c>
      <c r="AT21" s="133" t="n">
        <f aca="false">IF(OR(OR($B21="",$E21="",$F21=""),$K21&lt;&gt;"نعم",$M21="نعم"),0,MAX(0,MIN($F21,EOMONTH(DATE(cfg_FY,1,1),0))-MAX($E21,DATE(cfg_FY,1,1))+1))</f>
        <v>0</v>
      </c>
      <c r="AU21" s="133" t="n">
        <f aca="false">IF(OR(OR($B21="",$E21="",$F21=""),$K21&lt;&gt;"نعم",$M21="نعم"),0,MAX(0,MIN($F21,EOMONTH(DATE(cfg_FY,2,1),0))-MAX($E21,DATE(cfg_FY,2,1))+1))</f>
        <v>0</v>
      </c>
      <c r="AV21" s="133" t="n">
        <f aca="false">IF(OR(OR($B21="",$E21="",$F21=""),$K21&lt;&gt;"نعم",$M21="نعم"),0,MAX(0,MIN($F21,EOMONTH(DATE(cfg_FY,3,1),0))-MAX($E21,DATE(cfg_FY,3,1))+1))</f>
        <v>0</v>
      </c>
      <c r="AW21" s="133" t="n">
        <f aca="false">IF(OR(OR($B21="",$E21="",$F21=""),$K21&lt;&gt;"نعم",$M21="نعم"),0,MAX(0,MIN($F21,EOMONTH(DATE(cfg_FY,4,1),0))-MAX($E21,DATE(cfg_FY,4,1))+1))</f>
        <v>0</v>
      </c>
      <c r="AX21" s="133" t="n">
        <f aca="false">IF(OR(OR($B21="",$E21="",$F21=""),$K21&lt;&gt;"نعم",$M21="نعم"),0,MAX(0,MIN($F21,EOMONTH(DATE(cfg_FY,5,1),0))-MAX($E21,DATE(cfg_FY,5,1))+1))</f>
        <v>0</v>
      </c>
      <c r="AY21" s="133" t="n">
        <f aca="false">IF(OR(OR($B21="",$E21="",$F21=""),$K21&lt;&gt;"نعم",$M21="نعم"),0,MAX(0,MIN($F21,EOMONTH(DATE(cfg_FY,6,1),0))-MAX($E21,DATE(cfg_FY,6,1))+1))</f>
        <v>0</v>
      </c>
      <c r="AZ21" s="133" t="n">
        <f aca="false">IF(OR(OR($B21="",$E21="",$F21=""),$K21&lt;&gt;"نعم",$M21="نعم"),0,MAX(0,MIN($F21,EOMONTH(DATE(cfg_FY,7,1),0))-MAX($E21,DATE(cfg_FY,7,1))+1))</f>
        <v>0</v>
      </c>
      <c r="BA21" s="133" t="n">
        <f aca="false">IF(OR(OR($B21="",$E21="",$F21=""),$K21&lt;&gt;"نعم",$M21="نعم"),0,MAX(0,MIN($F21,EOMONTH(DATE(cfg_FY,8,1),0))-MAX($E21,DATE(cfg_FY,8,1))+1))</f>
        <v>0</v>
      </c>
      <c r="BB21" s="133" t="n">
        <f aca="false">IF(OR(OR($B21="",$E21="",$F21=""),$K21&lt;&gt;"نعم",$M21="نعم"),0,MAX(0,MIN($F21,EOMONTH(DATE(cfg_FY,9,1),0))-MAX($E21,DATE(cfg_FY,9,1))+1))</f>
        <v>0</v>
      </c>
      <c r="BC21" s="133" t="n">
        <f aca="false">IF(OR(OR($B21="",$E21="",$F21=""),$K21&lt;&gt;"نعم",$M21="نعم"),0,MAX(0,MIN($F21,EOMONTH(DATE(cfg_FY,10,1),0))-MAX($E21,DATE(cfg_FY,10,1))+1))</f>
        <v>0</v>
      </c>
      <c r="BD21" s="133" t="n">
        <f aca="false">IF(OR(OR($B21="",$E21="",$F21=""),$K21&lt;&gt;"نعم",$M21="نعم"),0,MAX(0,MIN($F21,EOMONTH(DATE(cfg_FY,11,1),0))-MAX($E21,DATE(cfg_FY,11,1))+1))</f>
        <v>0</v>
      </c>
      <c r="BE21" s="133" t="n">
        <f aca="false">IF(OR(OR($B21="",$E21="",$F21=""),$K21&lt;&gt;"نعم",$M21="نعم"),0,MAX(0,MIN($F21,EOMONTH(DATE(cfg_FY,12,1),0))-MAX($E21,DATE(cfg_FY,12,1))+1))</f>
        <v>0</v>
      </c>
    </row>
    <row r="22" customFormat="false" ht="15" hidden="false" customHeight="false" outlineLevel="0" collapsed="false">
      <c r="A22" s="106" t="str">
        <f aca="false">IF(B22="","",ROW()-5)</f>
        <v/>
      </c>
      <c r="B22" s="118"/>
      <c r="C22" s="114" t="str">
        <f aca="false">IF(B22="","",IFERROR(INDEX(الموظفون!$C$6:$C$105,MATCH(B22,الموظفون!$B$6:$B$105,0)),"✖ رقم غير موجود"))</f>
        <v/>
      </c>
      <c r="D22" s="118"/>
      <c r="E22" s="119"/>
      <c r="F22" s="119"/>
      <c r="G22" s="65" t="str">
        <f aca="false">IF(OR($B22="",$E22="",$F22=""),"",MAX(0,F22-E22+1))</f>
        <v/>
      </c>
      <c r="H22" s="66" t="str">
        <f aca="false">IF(D22="","",IFERROR(VLOOKUP(D22,cfg_LT,2,FALSE()),1))</f>
        <v/>
      </c>
      <c r="I22" s="135"/>
      <c r="J22" s="66" t="str">
        <f aca="false">IF(D22="","",IF(I22&lt;&gt;"",I22,H22))</f>
        <v/>
      </c>
      <c r="K22" s="114" t="str">
        <f aca="false">IF(D22="","",IFERROR(VLOOKUP($D22,cfg_LT,3,FALSE()),""))</f>
        <v/>
      </c>
      <c r="L22" s="114" t="str">
        <f aca="false">IF(D22="","",IFERROR(VLOOKUP($D22,cfg_LT,4,FALSE()),""))</f>
        <v/>
      </c>
      <c r="M22" s="114" t="str">
        <f aca="false">IF(D22="","",IFERROR(VLOOKUP($D22,cfg_LT,5,FALSE()),""))</f>
        <v/>
      </c>
      <c r="N22" s="111" t="n">
        <f aca="false">IF(OR(OR($B22="",$E22="",$F22=""),M22&lt;&gt;"نعم"),0,G22*J22*IFERROR(INDEX(الموظفون!$R$6:$R$105,MATCH(B22,الموظفون!$B$6:$B$105,0)),0)/cfg_DAYS_M)</f>
        <v>0</v>
      </c>
      <c r="O22" s="106" t="str">
        <f aca="false">IF(OR(OR($B22="",$E22="",$F22=""),M22&lt;&gt;"نعم"),"",IF(YEAR(E22)=cfg_FY,MONTH(E22),""))</f>
        <v/>
      </c>
      <c r="P22" s="114" t="str">
        <f aca="false">IF(B22="","",IF(OR(D22="",E22="",F22=""),"⚠ أكمل النوع والتواريخ",IF(F22&lt;E22,"✖ النهاية قبل البداية",IF(COUNTIFS($B$6:$B$505,B22,$E$6:$E$505,"&lt;="&amp;F22,$F$6:$F$505,"&gt;="&amp;E22)&gt;1,"⚠ تداخل مع سجل آخر",IF(E22&gt;cfg_VAL_DATE,"⏳ قادمة",IF(F22&lt;cfg_VAL_DATE,"✔ منتهية","✈ جارية في تاريخ التقرير"))))))</f>
        <v/>
      </c>
      <c r="Q22" s="118"/>
      <c r="R22" s="65" t="n">
        <f aca="false">IF(OR(OR($B22="",$E22="",$F22=""),L22&lt;&gt;"لا"),0,MAX(0,MIN(F22,cfg_Y_START-1)-E22+1))</f>
        <v>0</v>
      </c>
      <c r="S22" s="65" t="n">
        <f aca="false">IF(OR(OR($B22="",$E22="",$F22=""),L22&lt;&gt;"لا"),0,MAX(0,MIN(F22,cfg_VAL_DATE)-E22+1))</f>
        <v>0</v>
      </c>
      <c r="T22" s="65" t="n">
        <f aca="false">IF(OR(OR($B22="",$E22="",$F22=""),K22&lt;&gt;"نعم"),0,IF(M22="نعم",IF(AND(ISNUMBER(O22),N(O22)&lt;=cfg_VAL_M),G22,0),MAX(0,MIN(F22,cfg_VAL_DATE)-MAX(E22,cfg_Y_START)+1)))</f>
        <v>0</v>
      </c>
      <c r="V22" s="65" t="n">
        <f aca="false">IF(OR($B22="",$E22="",$F22=""),0,MAX(0,MIN($F22,EOMONTH(DATE(cfg_FY,1,1),0))-MAX($E22,DATE(cfg_FY,1,1))+1)*(1-IF($M22="نعم",0,N($J22))))</f>
        <v>0</v>
      </c>
      <c r="W22" s="65" t="n">
        <f aca="false">IF(OR($B22="",$E22="",$F22=""),0,MAX(0,MIN($F22,EOMONTH(DATE(cfg_FY,2,1),0))-MAX($E22,DATE(cfg_FY,2,1))+1)*(1-IF($M22="نعم",0,N($J22))))</f>
        <v>0</v>
      </c>
      <c r="X22" s="65" t="n">
        <f aca="false">IF(OR($B22="",$E22="",$F22=""),0,MAX(0,MIN($F22,EOMONTH(DATE(cfg_FY,3,1),0))-MAX($E22,DATE(cfg_FY,3,1))+1)*(1-IF($M22="نعم",0,N($J22))))</f>
        <v>0</v>
      </c>
      <c r="Y22" s="65" t="n">
        <f aca="false">IF(OR($B22="",$E22="",$F22=""),0,MAX(0,MIN($F22,EOMONTH(DATE(cfg_FY,4,1),0))-MAX($E22,DATE(cfg_FY,4,1))+1)*(1-IF($M22="نعم",0,N($J22))))</f>
        <v>0</v>
      </c>
      <c r="Z22" s="65" t="n">
        <f aca="false">IF(OR($B22="",$E22="",$F22=""),0,MAX(0,MIN($F22,EOMONTH(DATE(cfg_FY,5,1),0))-MAX($E22,DATE(cfg_FY,5,1))+1)*(1-IF($M22="نعم",0,N($J22))))</f>
        <v>0</v>
      </c>
      <c r="AA22" s="65" t="n">
        <f aca="false">IF(OR($B22="",$E22="",$F22=""),0,MAX(0,MIN($F22,EOMONTH(DATE(cfg_FY,6,1),0))-MAX($E22,DATE(cfg_FY,6,1))+1)*(1-IF($M22="نعم",0,N($J22))))</f>
        <v>0</v>
      </c>
      <c r="AB22" s="65" t="n">
        <f aca="false">IF(OR($B22="",$E22="",$F22=""),0,MAX(0,MIN($F22,EOMONTH(DATE(cfg_FY,7,1),0))-MAX($E22,DATE(cfg_FY,7,1))+1)*(1-IF($M22="نعم",0,N($J22))))</f>
        <v>0</v>
      </c>
      <c r="AC22" s="65" t="n">
        <f aca="false">IF(OR($B22="",$E22="",$F22=""),0,MAX(0,MIN($F22,EOMONTH(DATE(cfg_FY,8,1),0))-MAX($E22,DATE(cfg_FY,8,1))+1)*(1-IF($M22="نعم",0,N($J22))))</f>
        <v>0</v>
      </c>
      <c r="AD22" s="65" t="n">
        <f aca="false">IF(OR($B22="",$E22="",$F22=""),0,MAX(0,MIN($F22,EOMONTH(DATE(cfg_FY,9,1),0))-MAX($E22,DATE(cfg_FY,9,1))+1)*(1-IF($M22="نعم",0,N($J22))))</f>
        <v>0</v>
      </c>
      <c r="AE22" s="65" t="n">
        <f aca="false">IF(OR($B22="",$E22="",$F22=""),0,MAX(0,MIN($F22,EOMONTH(DATE(cfg_FY,10,1),0))-MAX($E22,DATE(cfg_FY,10,1))+1)*(1-IF($M22="نعم",0,N($J22))))</f>
        <v>0</v>
      </c>
      <c r="AF22" s="65" t="n">
        <f aca="false">IF(OR($B22="",$E22="",$F22=""),0,MAX(0,MIN($F22,EOMONTH(DATE(cfg_FY,11,1),0))-MAX($E22,DATE(cfg_FY,11,1))+1)*(1-IF($M22="نعم",0,N($J22))))</f>
        <v>0</v>
      </c>
      <c r="AG22" s="65" t="n">
        <f aca="false">IF(OR($B22="",$E22="",$F22=""),0,MAX(0,MIN($F22,EOMONTH(DATE(cfg_FY,12,1),0))-MAX($E22,DATE(cfg_FY,12,1))+1)*(1-IF($M22="نعم",0,N($J22))))</f>
        <v>0</v>
      </c>
      <c r="AH22" s="65" t="n">
        <f aca="false">IF(OR(OR($B22="",$E22="",$F22=""),$L22&lt;&gt;"لا"),0,MAX(0,MIN($F22,EOMONTH(DATE(cfg_FY,1,1),0))-$E22+1))</f>
        <v>0</v>
      </c>
      <c r="AI22" s="65" t="n">
        <f aca="false">IF(OR(OR($B22="",$E22="",$F22=""),$L22&lt;&gt;"لا"),0,MAX(0,MIN($F22,EOMONTH(DATE(cfg_FY,2,1),0))-$E22+1))</f>
        <v>0</v>
      </c>
      <c r="AJ22" s="65" t="n">
        <f aca="false">IF(OR(OR($B22="",$E22="",$F22=""),$L22&lt;&gt;"لا"),0,MAX(0,MIN($F22,EOMONTH(DATE(cfg_FY,3,1),0))-$E22+1))</f>
        <v>0</v>
      </c>
      <c r="AK22" s="65" t="n">
        <f aca="false">IF(OR(OR($B22="",$E22="",$F22=""),$L22&lt;&gt;"لا"),0,MAX(0,MIN($F22,EOMONTH(DATE(cfg_FY,4,1),0))-$E22+1))</f>
        <v>0</v>
      </c>
      <c r="AL22" s="65" t="n">
        <f aca="false">IF(OR(OR($B22="",$E22="",$F22=""),$L22&lt;&gt;"لا"),0,MAX(0,MIN($F22,EOMONTH(DATE(cfg_FY,5,1),0))-$E22+1))</f>
        <v>0</v>
      </c>
      <c r="AM22" s="65" t="n">
        <f aca="false">IF(OR(OR($B22="",$E22="",$F22=""),$L22&lt;&gt;"لا"),0,MAX(0,MIN($F22,EOMONTH(DATE(cfg_FY,6,1),0))-$E22+1))</f>
        <v>0</v>
      </c>
      <c r="AN22" s="65" t="n">
        <f aca="false">IF(OR(OR($B22="",$E22="",$F22=""),$L22&lt;&gt;"لا"),0,MAX(0,MIN($F22,EOMONTH(DATE(cfg_FY,7,1),0))-$E22+1))</f>
        <v>0</v>
      </c>
      <c r="AO22" s="65" t="n">
        <f aca="false">IF(OR(OR($B22="",$E22="",$F22=""),$L22&lt;&gt;"لا"),0,MAX(0,MIN($F22,EOMONTH(DATE(cfg_FY,8,1),0))-$E22+1))</f>
        <v>0</v>
      </c>
      <c r="AP22" s="65" t="n">
        <f aca="false">IF(OR(OR($B22="",$E22="",$F22=""),$L22&lt;&gt;"لا"),0,MAX(0,MIN($F22,EOMONTH(DATE(cfg_FY,9,1),0))-$E22+1))</f>
        <v>0</v>
      </c>
      <c r="AQ22" s="65" t="n">
        <f aca="false">IF(OR(OR($B22="",$E22="",$F22=""),$L22&lt;&gt;"لا"),0,MAX(0,MIN($F22,EOMONTH(DATE(cfg_FY,10,1),0))-$E22+1))</f>
        <v>0</v>
      </c>
      <c r="AR22" s="65" t="n">
        <f aca="false">IF(OR(OR($B22="",$E22="",$F22=""),$L22&lt;&gt;"لا"),0,MAX(0,MIN($F22,EOMONTH(DATE(cfg_FY,11,1),0))-$E22+1))</f>
        <v>0</v>
      </c>
      <c r="AS22" s="65" t="n">
        <f aca="false">IF(OR(OR($B22="",$E22="",$F22=""),$L22&lt;&gt;"لا"),0,MAX(0,MIN($F22,EOMONTH(DATE(cfg_FY,12,1),0))-$E22+1))</f>
        <v>0</v>
      </c>
      <c r="AT22" s="65" t="n">
        <f aca="false">IF(OR(OR($B22="",$E22="",$F22=""),$K22&lt;&gt;"نعم",$M22="نعم"),0,MAX(0,MIN($F22,EOMONTH(DATE(cfg_FY,1,1),0))-MAX($E22,DATE(cfg_FY,1,1))+1))</f>
        <v>0</v>
      </c>
      <c r="AU22" s="65" t="n">
        <f aca="false">IF(OR(OR($B22="",$E22="",$F22=""),$K22&lt;&gt;"نعم",$M22="نعم"),0,MAX(0,MIN($F22,EOMONTH(DATE(cfg_FY,2,1),0))-MAX($E22,DATE(cfg_FY,2,1))+1))</f>
        <v>0</v>
      </c>
      <c r="AV22" s="65" t="n">
        <f aca="false">IF(OR(OR($B22="",$E22="",$F22=""),$K22&lt;&gt;"نعم",$M22="نعم"),0,MAX(0,MIN($F22,EOMONTH(DATE(cfg_FY,3,1),0))-MAX($E22,DATE(cfg_FY,3,1))+1))</f>
        <v>0</v>
      </c>
      <c r="AW22" s="65" t="n">
        <f aca="false">IF(OR(OR($B22="",$E22="",$F22=""),$K22&lt;&gt;"نعم",$M22="نعم"),0,MAX(0,MIN($F22,EOMONTH(DATE(cfg_FY,4,1),0))-MAX($E22,DATE(cfg_FY,4,1))+1))</f>
        <v>0</v>
      </c>
      <c r="AX22" s="65" t="n">
        <f aca="false">IF(OR(OR($B22="",$E22="",$F22=""),$K22&lt;&gt;"نعم",$M22="نعم"),0,MAX(0,MIN($F22,EOMONTH(DATE(cfg_FY,5,1),0))-MAX($E22,DATE(cfg_FY,5,1))+1))</f>
        <v>0</v>
      </c>
      <c r="AY22" s="65" t="n">
        <f aca="false">IF(OR(OR($B22="",$E22="",$F22=""),$K22&lt;&gt;"نعم",$M22="نعم"),0,MAX(0,MIN($F22,EOMONTH(DATE(cfg_FY,6,1),0))-MAX($E22,DATE(cfg_FY,6,1))+1))</f>
        <v>0</v>
      </c>
      <c r="AZ22" s="65" t="n">
        <f aca="false">IF(OR(OR($B22="",$E22="",$F22=""),$K22&lt;&gt;"نعم",$M22="نعم"),0,MAX(0,MIN($F22,EOMONTH(DATE(cfg_FY,7,1),0))-MAX($E22,DATE(cfg_FY,7,1))+1))</f>
        <v>0</v>
      </c>
      <c r="BA22" s="65" t="n">
        <f aca="false">IF(OR(OR($B22="",$E22="",$F22=""),$K22&lt;&gt;"نعم",$M22="نعم"),0,MAX(0,MIN($F22,EOMONTH(DATE(cfg_FY,8,1),0))-MAX($E22,DATE(cfg_FY,8,1))+1))</f>
        <v>0</v>
      </c>
      <c r="BB22" s="65" t="n">
        <f aca="false">IF(OR(OR($B22="",$E22="",$F22=""),$K22&lt;&gt;"نعم",$M22="نعم"),0,MAX(0,MIN($F22,EOMONTH(DATE(cfg_FY,9,1),0))-MAX($E22,DATE(cfg_FY,9,1))+1))</f>
        <v>0</v>
      </c>
      <c r="BC22" s="65" t="n">
        <f aca="false">IF(OR(OR($B22="",$E22="",$F22=""),$K22&lt;&gt;"نعم",$M22="نعم"),0,MAX(0,MIN($F22,EOMONTH(DATE(cfg_FY,10,1),0))-MAX($E22,DATE(cfg_FY,10,1))+1))</f>
        <v>0</v>
      </c>
      <c r="BD22" s="65" t="n">
        <f aca="false">IF(OR(OR($B22="",$E22="",$F22=""),$K22&lt;&gt;"نعم",$M22="نعم"),0,MAX(0,MIN($F22,EOMONTH(DATE(cfg_FY,11,1),0))-MAX($E22,DATE(cfg_FY,11,1))+1))</f>
        <v>0</v>
      </c>
      <c r="BE22" s="65" t="n">
        <f aca="false">IF(OR(OR($B22="",$E22="",$F22=""),$K22&lt;&gt;"نعم",$M22="نعم"),0,MAX(0,MIN($F22,EOMONTH(DATE(cfg_FY,12,1),0))-MAX($E22,DATE(cfg_FY,12,1))+1))</f>
        <v>0</v>
      </c>
    </row>
    <row r="23" customFormat="false" ht="15" hidden="false" customHeight="false" outlineLevel="0" collapsed="false">
      <c r="A23" s="115" t="str">
        <f aca="false">IF(B23="","",ROW()-5)</f>
        <v/>
      </c>
      <c r="B23" s="118"/>
      <c r="C23" s="117" t="str">
        <f aca="false">IF(B23="","",IFERROR(INDEX(الموظفون!$C$6:$C$105,MATCH(B23,الموظفون!$B$6:$B$105,0)),"✖ رقم غير موجود"))</f>
        <v/>
      </c>
      <c r="D23" s="118"/>
      <c r="E23" s="119"/>
      <c r="F23" s="119"/>
      <c r="G23" s="133" t="str">
        <f aca="false">IF(OR($B23="",$E23="",$F23=""),"",MAX(0,F23-E23+1))</f>
        <v/>
      </c>
      <c r="H23" s="134" t="str">
        <f aca="false">IF(D23="","",IFERROR(VLOOKUP(D23,cfg_LT,2,FALSE()),1))</f>
        <v/>
      </c>
      <c r="I23" s="135"/>
      <c r="J23" s="134" t="str">
        <f aca="false">IF(D23="","",IF(I23&lt;&gt;"",I23,H23))</f>
        <v/>
      </c>
      <c r="K23" s="117" t="str">
        <f aca="false">IF(D23="","",IFERROR(VLOOKUP($D23,cfg_LT,3,FALSE()),""))</f>
        <v/>
      </c>
      <c r="L23" s="117" t="str">
        <f aca="false">IF(D23="","",IFERROR(VLOOKUP($D23,cfg_LT,4,FALSE()),""))</f>
        <v/>
      </c>
      <c r="M23" s="117" t="str">
        <f aca="false">IF(D23="","",IFERROR(VLOOKUP($D23,cfg_LT,5,FALSE()),""))</f>
        <v/>
      </c>
      <c r="N23" s="116" t="n">
        <f aca="false">IF(OR(OR($B23="",$E23="",$F23=""),M23&lt;&gt;"نعم"),0,G23*J23*IFERROR(INDEX(الموظفون!$R$6:$R$105,MATCH(B23,الموظفون!$B$6:$B$105,0)),0)/cfg_DAYS_M)</f>
        <v>0</v>
      </c>
      <c r="O23" s="115" t="str">
        <f aca="false">IF(OR(OR($B23="",$E23="",$F23=""),M23&lt;&gt;"نعم"),"",IF(YEAR(E23)=cfg_FY,MONTH(E23),""))</f>
        <v/>
      </c>
      <c r="P23" s="117" t="str">
        <f aca="false">IF(B23="","",IF(OR(D23="",E23="",F23=""),"⚠ أكمل النوع والتواريخ",IF(F23&lt;E23,"✖ النهاية قبل البداية",IF(COUNTIFS($B$6:$B$505,B23,$E$6:$E$505,"&lt;="&amp;F23,$F$6:$F$505,"&gt;="&amp;E23)&gt;1,"⚠ تداخل مع سجل آخر",IF(E23&gt;cfg_VAL_DATE,"⏳ قادمة",IF(F23&lt;cfg_VAL_DATE,"✔ منتهية","✈ جارية في تاريخ التقرير"))))))</f>
        <v/>
      </c>
      <c r="Q23" s="118"/>
      <c r="R23" s="133" t="n">
        <f aca="false">IF(OR(OR($B23="",$E23="",$F23=""),L23&lt;&gt;"لا"),0,MAX(0,MIN(F23,cfg_Y_START-1)-E23+1))</f>
        <v>0</v>
      </c>
      <c r="S23" s="133" t="n">
        <f aca="false">IF(OR(OR($B23="",$E23="",$F23=""),L23&lt;&gt;"لا"),0,MAX(0,MIN(F23,cfg_VAL_DATE)-E23+1))</f>
        <v>0</v>
      </c>
      <c r="T23" s="133" t="n">
        <f aca="false">IF(OR(OR($B23="",$E23="",$F23=""),K23&lt;&gt;"نعم"),0,IF(M23="نعم",IF(AND(ISNUMBER(O23),N(O23)&lt;=cfg_VAL_M),G23,0),MAX(0,MIN(F23,cfg_VAL_DATE)-MAX(E23,cfg_Y_START)+1)))</f>
        <v>0</v>
      </c>
      <c r="V23" s="133" t="n">
        <f aca="false">IF(OR($B23="",$E23="",$F23=""),0,MAX(0,MIN($F23,EOMONTH(DATE(cfg_FY,1,1),0))-MAX($E23,DATE(cfg_FY,1,1))+1)*(1-IF($M23="نعم",0,N($J23))))</f>
        <v>0</v>
      </c>
      <c r="W23" s="133" t="n">
        <f aca="false">IF(OR($B23="",$E23="",$F23=""),0,MAX(0,MIN($F23,EOMONTH(DATE(cfg_FY,2,1),0))-MAX($E23,DATE(cfg_FY,2,1))+1)*(1-IF($M23="نعم",0,N($J23))))</f>
        <v>0</v>
      </c>
      <c r="X23" s="133" t="n">
        <f aca="false">IF(OR($B23="",$E23="",$F23=""),0,MAX(0,MIN($F23,EOMONTH(DATE(cfg_FY,3,1),0))-MAX($E23,DATE(cfg_FY,3,1))+1)*(1-IF($M23="نعم",0,N($J23))))</f>
        <v>0</v>
      </c>
      <c r="Y23" s="133" t="n">
        <f aca="false">IF(OR($B23="",$E23="",$F23=""),0,MAX(0,MIN($F23,EOMONTH(DATE(cfg_FY,4,1),0))-MAX($E23,DATE(cfg_FY,4,1))+1)*(1-IF($M23="نعم",0,N($J23))))</f>
        <v>0</v>
      </c>
      <c r="Z23" s="133" t="n">
        <f aca="false">IF(OR($B23="",$E23="",$F23=""),0,MAX(0,MIN($F23,EOMONTH(DATE(cfg_FY,5,1),0))-MAX($E23,DATE(cfg_FY,5,1))+1)*(1-IF($M23="نعم",0,N($J23))))</f>
        <v>0</v>
      </c>
      <c r="AA23" s="133" t="n">
        <f aca="false">IF(OR($B23="",$E23="",$F23=""),0,MAX(0,MIN($F23,EOMONTH(DATE(cfg_FY,6,1),0))-MAX($E23,DATE(cfg_FY,6,1))+1)*(1-IF($M23="نعم",0,N($J23))))</f>
        <v>0</v>
      </c>
      <c r="AB23" s="133" t="n">
        <f aca="false">IF(OR($B23="",$E23="",$F23=""),0,MAX(0,MIN($F23,EOMONTH(DATE(cfg_FY,7,1),0))-MAX($E23,DATE(cfg_FY,7,1))+1)*(1-IF($M23="نعم",0,N($J23))))</f>
        <v>0</v>
      </c>
      <c r="AC23" s="133" t="n">
        <f aca="false">IF(OR($B23="",$E23="",$F23=""),0,MAX(0,MIN($F23,EOMONTH(DATE(cfg_FY,8,1),0))-MAX($E23,DATE(cfg_FY,8,1))+1)*(1-IF($M23="نعم",0,N($J23))))</f>
        <v>0</v>
      </c>
      <c r="AD23" s="133" t="n">
        <f aca="false">IF(OR($B23="",$E23="",$F23=""),0,MAX(0,MIN($F23,EOMONTH(DATE(cfg_FY,9,1),0))-MAX($E23,DATE(cfg_FY,9,1))+1)*(1-IF($M23="نعم",0,N($J23))))</f>
        <v>0</v>
      </c>
      <c r="AE23" s="133" t="n">
        <f aca="false">IF(OR($B23="",$E23="",$F23=""),0,MAX(0,MIN($F23,EOMONTH(DATE(cfg_FY,10,1),0))-MAX($E23,DATE(cfg_FY,10,1))+1)*(1-IF($M23="نعم",0,N($J23))))</f>
        <v>0</v>
      </c>
      <c r="AF23" s="133" t="n">
        <f aca="false">IF(OR($B23="",$E23="",$F23=""),0,MAX(0,MIN($F23,EOMONTH(DATE(cfg_FY,11,1),0))-MAX($E23,DATE(cfg_FY,11,1))+1)*(1-IF($M23="نعم",0,N($J23))))</f>
        <v>0</v>
      </c>
      <c r="AG23" s="133" t="n">
        <f aca="false">IF(OR($B23="",$E23="",$F23=""),0,MAX(0,MIN($F23,EOMONTH(DATE(cfg_FY,12,1),0))-MAX($E23,DATE(cfg_FY,12,1))+1)*(1-IF($M23="نعم",0,N($J23))))</f>
        <v>0</v>
      </c>
      <c r="AH23" s="133" t="n">
        <f aca="false">IF(OR(OR($B23="",$E23="",$F23=""),$L23&lt;&gt;"لا"),0,MAX(0,MIN($F23,EOMONTH(DATE(cfg_FY,1,1),0))-$E23+1))</f>
        <v>0</v>
      </c>
      <c r="AI23" s="133" t="n">
        <f aca="false">IF(OR(OR($B23="",$E23="",$F23=""),$L23&lt;&gt;"لا"),0,MAX(0,MIN($F23,EOMONTH(DATE(cfg_FY,2,1),0))-$E23+1))</f>
        <v>0</v>
      </c>
      <c r="AJ23" s="133" t="n">
        <f aca="false">IF(OR(OR($B23="",$E23="",$F23=""),$L23&lt;&gt;"لا"),0,MAX(0,MIN($F23,EOMONTH(DATE(cfg_FY,3,1),0))-$E23+1))</f>
        <v>0</v>
      </c>
      <c r="AK23" s="133" t="n">
        <f aca="false">IF(OR(OR($B23="",$E23="",$F23=""),$L23&lt;&gt;"لا"),0,MAX(0,MIN($F23,EOMONTH(DATE(cfg_FY,4,1),0))-$E23+1))</f>
        <v>0</v>
      </c>
      <c r="AL23" s="133" t="n">
        <f aca="false">IF(OR(OR($B23="",$E23="",$F23=""),$L23&lt;&gt;"لا"),0,MAX(0,MIN($F23,EOMONTH(DATE(cfg_FY,5,1),0))-$E23+1))</f>
        <v>0</v>
      </c>
      <c r="AM23" s="133" t="n">
        <f aca="false">IF(OR(OR($B23="",$E23="",$F23=""),$L23&lt;&gt;"لا"),0,MAX(0,MIN($F23,EOMONTH(DATE(cfg_FY,6,1),0))-$E23+1))</f>
        <v>0</v>
      </c>
      <c r="AN23" s="133" t="n">
        <f aca="false">IF(OR(OR($B23="",$E23="",$F23=""),$L23&lt;&gt;"لا"),0,MAX(0,MIN($F23,EOMONTH(DATE(cfg_FY,7,1),0))-$E23+1))</f>
        <v>0</v>
      </c>
      <c r="AO23" s="133" t="n">
        <f aca="false">IF(OR(OR($B23="",$E23="",$F23=""),$L23&lt;&gt;"لا"),0,MAX(0,MIN($F23,EOMONTH(DATE(cfg_FY,8,1),0))-$E23+1))</f>
        <v>0</v>
      </c>
      <c r="AP23" s="133" t="n">
        <f aca="false">IF(OR(OR($B23="",$E23="",$F23=""),$L23&lt;&gt;"لا"),0,MAX(0,MIN($F23,EOMONTH(DATE(cfg_FY,9,1),0))-$E23+1))</f>
        <v>0</v>
      </c>
      <c r="AQ23" s="133" t="n">
        <f aca="false">IF(OR(OR($B23="",$E23="",$F23=""),$L23&lt;&gt;"لا"),0,MAX(0,MIN($F23,EOMONTH(DATE(cfg_FY,10,1),0))-$E23+1))</f>
        <v>0</v>
      </c>
      <c r="AR23" s="133" t="n">
        <f aca="false">IF(OR(OR($B23="",$E23="",$F23=""),$L23&lt;&gt;"لا"),0,MAX(0,MIN($F23,EOMONTH(DATE(cfg_FY,11,1),0))-$E23+1))</f>
        <v>0</v>
      </c>
      <c r="AS23" s="133" t="n">
        <f aca="false">IF(OR(OR($B23="",$E23="",$F23=""),$L23&lt;&gt;"لا"),0,MAX(0,MIN($F23,EOMONTH(DATE(cfg_FY,12,1),0))-$E23+1))</f>
        <v>0</v>
      </c>
      <c r="AT23" s="133" t="n">
        <f aca="false">IF(OR(OR($B23="",$E23="",$F23=""),$K23&lt;&gt;"نعم",$M23="نعم"),0,MAX(0,MIN($F23,EOMONTH(DATE(cfg_FY,1,1),0))-MAX($E23,DATE(cfg_FY,1,1))+1))</f>
        <v>0</v>
      </c>
      <c r="AU23" s="133" t="n">
        <f aca="false">IF(OR(OR($B23="",$E23="",$F23=""),$K23&lt;&gt;"نعم",$M23="نعم"),0,MAX(0,MIN($F23,EOMONTH(DATE(cfg_FY,2,1),0))-MAX($E23,DATE(cfg_FY,2,1))+1))</f>
        <v>0</v>
      </c>
      <c r="AV23" s="133" t="n">
        <f aca="false">IF(OR(OR($B23="",$E23="",$F23=""),$K23&lt;&gt;"نعم",$M23="نعم"),0,MAX(0,MIN($F23,EOMONTH(DATE(cfg_FY,3,1),0))-MAX($E23,DATE(cfg_FY,3,1))+1))</f>
        <v>0</v>
      </c>
      <c r="AW23" s="133" t="n">
        <f aca="false">IF(OR(OR($B23="",$E23="",$F23=""),$K23&lt;&gt;"نعم",$M23="نعم"),0,MAX(0,MIN($F23,EOMONTH(DATE(cfg_FY,4,1),0))-MAX($E23,DATE(cfg_FY,4,1))+1))</f>
        <v>0</v>
      </c>
      <c r="AX23" s="133" t="n">
        <f aca="false">IF(OR(OR($B23="",$E23="",$F23=""),$K23&lt;&gt;"نعم",$M23="نعم"),0,MAX(0,MIN($F23,EOMONTH(DATE(cfg_FY,5,1),0))-MAX($E23,DATE(cfg_FY,5,1))+1))</f>
        <v>0</v>
      </c>
      <c r="AY23" s="133" t="n">
        <f aca="false">IF(OR(OR($B23="",$E23="",$F23=""),$K23&lt;&gt;"نعم",$M23="نعم"),0,MAX(0,MIN($F23,EOMONTH(DATE(cfg_FY,6,1),0))-MAX($E23,DATE(cfg_FY,6,1))+1))</f>
        <v>0</v>
      </c>
      <c r="AZ23" s="133" t="n">
        <f aca="false">IF(OR(OR($B23="",$E23="",$F23=""),$K23&lt;&gt;"نعم",$M23="نعم"),0,MAX(0,MIN($F23,EOMONTH(DATE(cfg_FY,7,1),0))-MAX($E23,DATE(cfg_FY,7,1))+1))</f>
        <v>0</v>
      </c>
      <c r="BA23" s="133" t="n">
        <f aca="false">IF(OR(OR($B23="",$E23="",$F23=""),$K23&lt;&gt;"نعم",$M23="نعم"),0,MAX(0,MIN($F23,EOMONTH(DATE(cfg_FY,8,1),0))-MAX($E23,DATE(cfg_FY,8,1))+1))</f>
        <v>0</v>
      </c>
      <c r="BB23" s="133" t="n">
        <f aca="false">IF(OR(OR($B23="",$E23="",$F23=""),$K23&lt;&gt;"نعم",$M23="نعم"),0,MAX(0,MIN($F23,EOMONTH(DATE(cfg_FY,9,1),0))-MAX($E23,DATE(cfg_FY,9,1))+1))</f>
        <v>0</v>
      </c>
      <c r="BC23" s="133" t="n">
        <f aca="false">IF(OR(OR($B23="",$E23="",$F23=""),$K23&lt;&gt;"نعم",$M23="نعم"),0,MAX(0,MIN($F23,EOMONTH(DATE(cfg_FY,10,1),0))-MAX($E23,DATE(cfg_FY,10,1))+1))</f>
        <v>0</v>
      </c>
      <c r="BD23" s="133" t="n">
        <f aca="false">IF(OR(OR($B23="",$E23="",$F23=""),$K23&lt;&gt;"نعم",$M23="نعم"),0,MAX(0,MIN($F23,EOMONTH(DATE(cfg_FY,11,1),0))-MAX($E23,DATE(cfg_FY,11,1))+1))</f>
        <v>0</v>
      </c>
      <c r="BE23" s="133" t="n">
        <f aca="false">IF(OR(OR($B23="",$E23="",$F23=""),$K23&lt;&gt;"نعم",$M23="نعم"),0,MAX(0,MIN($F23,EOMONTH(DATE(cfg_FY,12,1),0))-MAX($E23,DATE(cfg_FY,12,1))+1))</f>
        <v>0</v>
      </c>
    </row>
    <row r="24" customFormat="false" ht="15" hidden="false" customHeight="false" outlineLevel="0" collapsed="false">
      <c r="A24" s="106" t="str">
        <f aca="false">IF(B24="","",ROW()-5)</f>
        <v/>
      </c>
      <c r="B24" s="118"/>
      <c r="C24" s="114" t="str">
        <f aca="false">IF(B24="","",IFERROR(INDEX(الموظفون!$C$6:$C$105,MATCH(B24,الموظفون!$B$6:$B$105,0)),"✖ رقم غير موجود"))</f>
        <v/>
      </c>
      <c r="D24" s="118"/>
      <c r="E24" s="119"/>
      <c r="F24" s="119"/>
      <c r="G24" s="65" t="str">
        <f aca="false">IF(OR($B24="",$E24="",$F24=""),"",MAX(0,F24-E24+1))</f>
        <v/>
      </c>
      <c r="H24" s="66" t="str">
        <f aca="false">IF(D24="","",IFERROR(VLOOKUP(D24,cfg_LT,2,FALSE()),1))</f>
        <v/>
      </c>
      <c r="I24" s="135"/>
      <c r="J24" s="66" t="str">
        <f aca="false">IF(D24="","",IF(I24&lt;&gt;"",I24,H24))</f>
        <v/>
      </c>
      <c r="K24" s="114" t="str">
        <f aca="false">IF(D24="","",IFERROR(VLOOKUP($D24,cfg_LT,3,FALSE()),""))</f>
        <v/>
      </c>
      <c r="L24" s="114" t="str">
        <f aca="false">IF(D24="","",IFERROR(VLOOKUP($D24,cfg_LT,4,FALSE()),""))</f>
        <v/>
      </c>
      <c r="M24" s="114" t="str">
        <f aca="false">IF(D24="","",IFERROR(VLOOKUP($D24,cfg_LT,5,FALSE()),""))</f>
        <v/>
      </c>
      <c r="N24" s="111" t="n">
        <f aca="false">IF(OR(OR($B24="",$E24="",$F24=""),M24&lt;&gt;"نعم"),0,G24*J24*IFERROR(INDEX(الموظفون!$R$6:$R$105,MATCH(B24,الموظفون!$B$6:$B$105,0)),0)/cfg_DAYS_M)</f>
        <v>0</v>
      </c>
      <c r="O24" s="106" t="str">
        <f aca="false">IF(OR(OR($B24="",$E24="",$F24=""),M24&lt;&gt;"نعم"),"",IF(YEAR(E24)=cfg_FY,MONTH(E24),""))</f>
        <v/>
      </c>
      <c r="P24" s="114" t="str">
        <f aca="false">IF(B24="","",IF(OR(D24="",E24="",F24=""),"⚠ أكمل النوع والتواريخ",IF(F24&lt;E24,"✖ النهاية قبل البداية",IF(COUNTIFS($B$6:$B$505,B24,$E$6:$E$505,"&lt;="&amp;F24,$F$6:$F$505,"&gt;="&amp;E24)&gt;1,"⚠ تداخل مع سجل آخر",IF(E24&gt;cfg_VAL_DATE,"⏳ قادمة",IF(F24&lt;cfg_VAL_DATE,"✔ منتهية","✈ جارية في تاريخ التقرير"))))))</f>
        <v/>
      </c>
      <c r="Q24" s="118"/>
      <c r="R24" s="65" t="n">
        <f aca="false">IF(OR(OR($B24="",$E24="",$F24=""),L24&lt;&gt;"لا"),0,MAX(0,MIN(F24,cfg_Y_START-1)-E24+1))</f>
        <v>0</v>
      </c>
      <c r="S24" s="65" t="n">
        <f aca="false">IF(OR(OR($B24="",$E24="",$F24=""),L24&lt;&gt;"لا"),0,MAX(0,MIN(F24,cfg_VAL_DATE)-E24+1))</f>
        <v>0</v>
      </c>
      <c r="T24" s="65" t="n">
        <f aca="false">IF(OR(OR($B24="",$E24="",$F24=""),K24&lt;&gt;"نعم"),0,IF(M24="نعم",IF(AND(ISNUMBER(O24),N(O24)&lt;=cfg_VAL_M),G24,0),MAX(0,MIN(F24,cfg_VAL_DATE)-MAX(E24,cfg_Y_START)+1)))</f>
        <v>0</v>
      </c>
      <c r="V24" s="65" t="n">
        <f aca="false">IF(OR($B24="",$E24="",$F24=""),0,MAX(0,MIN($F24,EOMONTH(DATE(cfg_FY,1,1),0))-MAX($E24,DATE(cfg_FY,1,1))+1)*(1-IF($M24="نعم",0,N($J24))))</f>
        <v>0</v>
      </c>
      <c r="W24" s="65" t="n">
        <f aca="false">IF(OR($B24="",$E24="",$F24=""),0,MAX(0,MIN($F24,EOMONTH(DATE(cfg_FY,2,1),0))-MAX($E24,DATE(cfg_FY,2,1))+1)*(1-IF($M24="نعم",0,N($J24))))</f>
        <v>0</v>
      </c>
      <c r="X24" s="65" t="n">
        <f aca="false">IF(OR($B24="",$E24="",$F24=""),0,MAX(0,MIN($F24,EOMONTH(DATE(cfg_FY,3,1),0))-MAX($E24,DATE(cfg_FY,3,1))+1)*(1-IF($M24="نعم",0,N($J24))))</f>
        <v>0</v>
      </c>
      <c r="Y24" s="65" t="n">
        <f aca="false">IF(OR($B24="",$E24="",$F24=""),0,MAX(0,MIN($F24,EOMONTH(DATE(cfg_FY,4,1),0))-MAX($E24,DATE(cfg_FY,4,1))+1)*(1-IF($M24="نعم",0,N($J24))))</f>
        <v>0</v>
      </c>
      <c r="Z24" s="65" t="n">
        <f aca="false">IF(OR($B24="",$E24="",$F24=""),0,MAX(0,MIN($F24,EOMONTH(DATE(cfg_FY,5,1),0))-MAX($E24,DATE(cfg_FY,5,1))+1)*(1-IF($M24="نعم",0,N($J24))))</f>
        <v>0</v>
      </c>
      <c r="AA24" s="65" t="n">
        <f aca="false">IF(OR($B24="",$E24="",$F24=""),0,MAX(0,MIN($F24,EOMONTH(DATE(cfg_FY,6,1),0))-MAX($E24,DATE(cfg_FY,6,1))+1)*(1-IF($M24="نعم",0,N($J24))))</f>
        <v>0</v>
      </c>
      <c r="AB24" s="65" t="n">
        <f aca="false">IF(OR($B24="",$E24="",$F24=""),0,MAX(0,MIN($F24,EOMONTH(DATE(cfg_FY,7,1),0))-MAX($E24,DATE(cfg_FY,7,1))+1)*(1-IF($M24="نعم",0,N($J24))))</f>
        <v>0</v>
      </c>
      <c r="AC24" s="65" t="n">
        <f aca="false">IF(OR($B24="",$E24="",$F24=""),0,MAX(0,MIN($F24,EOMONTH(DATE(cfg_FY,8,1),0))-MAX($E24,DATE(cfg_FY,8,1))+1)*(1-IF($M24="نعم",0,N($J24))))</f>
        <v>0</v>
      </c>
      <c r="AD24" s="65" t="n">
        <f aca="false">IF(OR($B24="",$E24="",$F24=""),0,MAX(0,MIN($F24,EOMONTH(DATE(cfg_FY,9,1),0))-MAX($E24,DATE(cfg_FY,9,1))+1)*(1-IF($M24="نعم",0,N($J24))))</f>
        <v>0</v>
      </c>
      <c r="AE24" s="65" t="n">
        <f aca="false">IF(OR($B24="",$E24="",$F24=""),0,MAX(0,MIN($F24,EOMONTH(DATE(cfg_FY,10,1),0))-MAX($E24,DATE(cfg_FY,10,1))+1)*(1-IF($M24="نعم",0,N($J24))))</f>
        <v>0</v>
      </c>
      <c r="AF24" s="65" t="n">
        <f aca="false">IF(OR($B24="",$E24="",$F24=""),0,MAX(0,MIN($F24,EOMONTH(DATE(cfg_FY,11,1),0))-MAX($E24,DATE(cfg_FY,11,1))+1)*(1-IF($M24="نعم",0,N($J24))))</f>
        <v>0</v>
      </c>
      <c r="AG24" s="65" t="n">
        <f aca="false">IF(OR($B24="",$E24="",$F24=""),0,MAX(0,MIN($F24,EOMONTH(DATE(cfg_FY,12,1),0))-MAX($E24,DATE(cfg_FY,12,1))+1)*(1-IF($M24="نعم",0,N($J24))))</f>
        <v>0</v>
      </c>
      <c r="AH24" s="65" t="n">
        <f aca="false">IF(OR(OR($B24="",$E24="",$F24=""),$L24&lt;&gt;"لا"),0,MAX(0,MIN($F24,EOMONTH(DATE(cfg_FY,1,1),0))-$E24+1))</f>
        <v>0</v>
      </c>
      <c r="AI24" s="65" t="n">
        <f aca="false">IF(OR(OR($B24="",$E24="",$F24=""),$L24&lt;&gt;"لا"),0,MAX(0,MIN($F24,EOMONTH(DATE(cfg_FY,2,1),0))-$E24+1))</f>
        <v>0</v>
      </c>
      <c r="AJ24" s="65" t="n">
        <f aca="false">IF(OR(OR($B24="",$E24="",$F24=""),$L24&lt;&gt;"لا"),0,MAX(0,MIN($F24,EOMONTH(DATE(cfg_FY,3,1),0))-$E24+1))</f>
        <v>0</v>
      </c>
      <c r="AK24" s="65" t="n">
        <f aca="false">IF(OR(OR($B24="",$E24="",$F24=""),$L24&lt;&gt;"لا"),0,MAX(0,MIN($F24,EOMONTH(DATE(cfg_FY,4,1),0))-$E24+1))</f>
        <v>0</v>
      </c>
      <c r="AL24" s="65" t="n">
        <f aca="false">IF(OR(OR($B24="",$E24="",$F24=""),$L24&lt;&gt;"لا"),0,MAX(0,MIN($F24,EOMONTH(DATE(cfg_FY,5,1),0))-$E24+1))</f>
        <v>0</v>
      </c>
      <c r="AM24" s="65" t="n">
        <f aca="false">IF(OR(OR($B24="",$E24="",$F24=""),$L24&lt;&gt;"لا"),0,MAX(0,MIN($F24,EOMONTH(DATE(cfg_FY,6,1),0))-$E24+1))</f>
        <v>0</v>
      </c>
      <c r="AN24" s="65" t="n">
        <f aca="false">IF(OR(OR($B24="",$E24="",$F24=""),$L24&lt;&gt;"لا"),0,MAX(0,MIN($F24,EOMONTH(DATE(cfg_FY,7,1),0))-$E24+1))</f>
        <v>0</v>
      </c>
      <c r="AO24" s="65" t="n">
        <f aca="false">IF(OR(OR($B24="",$E24="",$F24=""),$L24&lt;&gt;"لا"),0,MAX(0,MIN($F24,EOMONTH(DATE(cfg_FY,8,1),0))-$E24+1))</f>
        <v>0</v>
      </c>
      <c r="AP24" s="65" t="n">
        <f aca="false">IF(OR(OR($B24="",$E24="",$F24=""),$L24&lt;&gt;"لا"),0,MAX(0,MIN($F24,EOMONTH(DATE(cfg_FY,9,1),0))-$E24+1))</f>
        <v>0</v>
      </c>
      <c r="AQ24" s="65" t="n">
        <f aca="false">IF(OR(OR($B24="",$E24="",$F24=""),$L24&lt;&gt;"لا"),0,MAX(0,MIN($F24,EOMONTH(DATE(cfg_FY,10,1),0))-$E24+1))</f>
        <v>0</v>
      </c>
      <c r="AR24" s="65" t="n">
        <f aca="false">IF(OR(OR($B24="",$E24="",$F24=""),$L24&lt;&gt;"لا"),0,MAX(0,MIN($F24,EOMONTH(DATE(cfg_FY,11,1),0))-$E24+1))</f>
        <v>0</v>
      </c>
      <c r="AS24" s="65" t="n">
        <f aca="false">IF(OR(OR($B24="",$E24="",$F24=""),$L24&lt;&gt;"لا"),0,MAX(0,MIN($F24,EOMONTH(DATE(cfg_FY,12,1),0))-$E24+1))</f>
        <v>0</v>
      </c>
      <c r="AT24" s="65" t="n">
        <f aca="false">IF(OR(OR($B24="",$E24="",$F24=""),$K24&lt;&gt;"نعم",$M24="نعم"),0,MAX(0,MIN($F24,EOMONTH(DATE(cfg_FY,1,1),0))-MAX($E24,DATE(cfg_FY,1,1))+1))</f>
        <v>0</v>
      </c>
      <c r="AU24" s="65" t="n">
        <f aca="false">IF(OR(OR($B24="",$E24="",$F24=""),$K24&lt;&gt;"نعم",$M24="نعم"),0,MAX(0,MIN($F24,EOMONTH(DATE(cfg_FY,2,1),0))-MAX($E24,DATE(cfg_FY,2,1))+1))</f>
        <v>0</v>
      </c>
      <c r="AV24" s="65" t="n">
        <f aca="false">IF(OR(OR($B24="",$E24="",$F24=""),$K24&lt;&gt;"نعم",$M24="نعم"),0,MAX(0,MIN($F24,EOMONTH(DATE(cfg_FY,3,1),0))-MAX($E24,DATE(cfg_FY,3,1))+1))</f>
        <v>0</v>
      </c>
      <c r="AW24" s="65" t="n">
        <f aca="false">IF(OR(OR($B24="",$E24="",$F24=""),$K24&lt;&gt;"نعم",$M24="نعم"),0,MAX(0,MIN($F24,EOMONTH(DATE(cfg_FY,4,1),0))-MAX($E24,DATE(cfg_FY,4,1))+1))</f>
        <v>0</v>
      </c>
      <c r="AX24" s="65" t="n">
        <f aca="false">IF(OR(OR($B24="",$E24="",$F24=""),$K24&lt;&gt;"نعم",$M24="نعم"),0,MAX(0,MIN($F24,EOMONTH(DATE(cfg_FY,5,1),0))-MAX($E24,DATE(cfg_FY,5,1))+1))</f>
        <v>0</v>
      </c>
      <c r="AY24" s="65" t="n">
        <f aca="false">IF(OR(OR($B24="",$E24="",$F24=""),$K24&lt;&gt;"نعم",$M24="نعم"),0,MAX(0,MIN($F24,EOMONTH(DATE(cfg_FY,6,1),0))-MAX($E24,DATE(cfg_FY,6,1))+1))</f>
        <v>0</v>
      </c>
      <c r="AZ24" s="65" t="n">
        <f aca="false">IF(OR(OR($B24="",$E24="",$F24=""),$K24&lt;&gt;"نعم",$M24="نعم"),0,MAX(0,MIN($F24,EOMONTH(DATE(cfg_FY,7,1),0))-MAX($E24,DATE(cfg_FY,7,1))+1))</f>
        <v>0</v>
      </c>
      <c r="BA24" s="65" t="n">
        <f aca="false">IF(OR(OR($B24="",$E24="",$F24=""),$K24&lt;&gt;"نعم",$M24="نعم"),0,MAX(0,MIN($F24,EOMONTH(DATE(cfg_FY,8,1),0))-MAX($E24,DATE(cfg_FY,8,1))+1))</f>
        <v>0</v>
      </c>
      <c r="BB24" s="65" t="n">
        <f aca="false">IF(OR(OR($B24="",$E24="",$F24=""),$K24&lt;&gt;"نعم",$M24="نعم"),0,MAX(0,MIN($F24,EOMONTH(DATE(cfg_FY,9,1),0))-MAX($E24,DATE(cfg_FY,9,1))+1))</f>
        <v>0</v>
      </c>
      <c r="BC24" s="65" t="n">
        <f aca="false">IF(OR(OR($B24="",$E24="",$F24=""),$K24&lt;&gt;"نعم",$M24="نعم"),0,MAX(0,MIN($F24,EOMONTH(DATE(cfg_FY,10,1),0))-MAX($E24,DATE(cfg_FY,10,1))+1))</f>
        <v>0</v>
      </c>
      <c r="BD24" s="65" t="n">
        <f aca="false">IF(OR(OR($B24="",$E24="",$F24=""),$K24&lt;&gt;"نعم",$M24="نعم"),0,MAX(0,MIN($F24,EOMONTH(DATE(cfg_FY,11,1),0))-MAX($E24,DATE(cfg_FY,11,1))+1))</f>
        <v>0</v>
      </c>
      <c r="BE24" s="65" t="n">
        <f aca="false">IF(OR(OR($B24="",$E24="",$F24=""),$K24&lt;&gt;"نعم",$M24="نعم"),0,MAX(0,MIN($F24,EOMONTH(DATE(cfg_FY,12,1),0))-MAX($E24,DATE(cfg_FY,12,1))+1))</f>
        <v>0</v>
      </c>
    </row>
    <row r="25" customFormat="false" ht="15" hidden="false" customHeight="false" outlineLevel="0" collapsed="false">
      <c r="A25" s="115" t="str">
        <f aca="false">IF(B25="","",ROW()-5)</f>
        <v/>
      </c>
      <c r="B25" s="118"/>
      <c r="C25" s="117" t="str">
        <f aca="false">IF(B25="","",IFERROR(INDEX(الموظفون!$C$6:$C$105,MATCH(B25,الموظفون!$B$6:$B$105,0)),"✖ رقم غير موجود"))</f>
        <v/>
      </c>
      <c r="D25" s="118"/>
      <c r="E25" s="119"/>
      <c r="F25" s="119"/>
      <c r="G25" s="133" t="str">
        <f aca="false">IF(OR($B25="",$E25="",$F25=""),"",MAX(0,F25-E25+1))</f>
        <v/>
      </c>
      <c r="H25" s="134" t="str">
        <f aca="false">IF(D25="","",IFERROR(VLOOKUP(D25,cfg_LT,2,FALSE()),1))</f>
        <v/>
      </c>
      <c r="I25" s="135"/>
      <c r="J25" s="134" t="str">
        <f aca="false">IF(D25="","",IF(I25&lt;&gt;"",I25,H25))</f>
        <v/>
      </c>
      <c r="K25" s="117" t="str">
        <f aca="false">IF(D25="","",IFERROR(VLOOKUP($D25,cfg_LT,3,FALSE()),""))</f>
        <v/>
      </c>
      <c r="L25" s="117" t="str">
        <f aca="false">IF(D25="","",IFERROR(VLOOKUP($D25,cfg_LT,4,FALSE()),""))</f>
        <v/>
      </c>
      <c r="M25" s="117" t="str">
        <f aca="false">IF(D25="","",IFERROR(VLOOKUP($D25,cfg_LT,5,FALSE()),""))</f>
        <v/>
      </c>
      <c r="N25" s="116" t="n">
        <f aca="false">IF(OR(OR($B25="",$E25="",$F25=""),M25&lt;&gt;"نعم"),0,G25*J25*IFERROR(INDEX(الموظفون!$R$6:$R$105,MATCH(B25,الموظفون!$B$6:$B$105,0)),0)/cfg_DAYS_M)</f>
        <v>0</v>
      </c>
      <c r="O25" s="115" t="str">
        <f aca="false">IF(OR(OR($B25="",$E25="",$F25=""),M25&lt;&gt;"نعم"),"",IF(YEAR(E25)=cfg_FY,MONTH(E25),""))</f>
        <v/>
      </c>
      <c r="P25" s="117" t="str">
        <f aca="false">IF(B25="","",IF(OR(D25="",E25="",F25=""),"⚠ أكمل النوع والتواريخ",IF(F25&lt;E25,"✖ النهاية قبل البداية",IF(COUNTIFS($B$6:$B$505,B25,$E$6:$E$505,"&lt;="&amp;F25,$F$6:$F$505,"&gt;="&amp;E25)&gt;1,"⚠ تداخل مع سجل آخر",IF(E25&gt;cfg_VAL_DATE,"⏳ قادمة",IF(F25&lt;cfg_VAL_DATE,"✔ منتهية","✈ جارية في تاريخ التقرير"))))))</f>
        <v/>
      </c>
      <c r="Q25" s="118"/>
      <c r="R25" s="133" t="n">
        <f aca="false">IF(OR(OR($B25="",$E25="",$F25=""),L25&lt;&gt;"لا"),0,MAX(0,MIN(F25,cfg_Y_START-1)-E25+1))</f>
        <v>0</v>
      </c>
      <c r="S25" s="133" t="n">
        <f aca="false">IF(OR(OR($B25="",$E25="",$F25=""),L25&lt;&gt;"لا"),0,MAX(0,MIN(F25,cfg_VAL_DATE)-E25+1))</f>
        <v>0</v>
      </c>
      <c r="T25" s="133" t="n">
        <f aca="false">IF(OR(OR($B25="",$E25="",$F25=""),K25&lt;&gt;"نعم"),0,IF(M25="نعم",IF(AND(ISNUMBER(O25),N(O25)&lt;=cfg_VAL_M),G25,0),MAX(0,MIN(F25,cfg_VAL_DATE)-MAX(E25,cfg_Y_START)+1)))</f>
        <v>0</v>
      </c>
      <c r="V25" s="133" t="n">
        <f aca="false">IF(OR($B25="",$E25="",$F25=""),0,MAX(0,MIN($F25,EOMONTH(DATE(cfg_FY,1,1),0))-MAX($E25,DATE(cfg_FY,1,1))+1)*(1-IF($M25="نعم",0,N($J25))))</f>
        <v>0</v>
      </c>
      <c r="W25" s="133" t="n">
        <f aca="false">IF(OR($B25="",$E25="",$F25=""),0,MAX(0,MIN($F25,EOMONTH(DATE(cfg_FY,2,1),0))-MAX($E25,DATE(cfg_FY,2,1))+1)*(1-IF($M25="نعم",0,N($J25))))</f>
        <v>0</v>
      </c>
      <c r="X25" s="133" t="n">
        <f aca="false">IF(OR($B25="",$E25="",$F25=""),0,MAX(0,MIN($F25,EOMONTH(DATE(cfg_FY,3,1),0))-MAX($E25,DATE(cfg_FY,3,1))+1)*(1-IF($M25="نعم",0,N($J25))))</f>
        <v>0</v>
      </c>
      <c r="Y25" s="133" t="n">
        <f aca="false">IF(OR($B25="",$E25="",$F25=""),0,MAX(0,MIN($F25,EOMONTH(DATE(cfg_FY,4,1),0))-MAX($E25,DATE(cfg_FY,4,1))+1)*(1-IF($M25="نعم",0,N($J25))))</f>
        <v>0</v>
      </c>
      <c r="Z25" s="133" t="n">
        <f aca="false">IF(OR($B25="",$E25="",$F25=""),0,MAX(0,MIN($F25,EOMONTH(DATE(cfg_FY,5,1),0))-MAX($E25,DATE(cfg_FY,5,1))+1)*(1-IF($M25="نعم",0,N($J25))))</f>
        <v>0</v>
      </c>
      <c r="AA25" s="133" t="n">
        <f aca="false">IF(OR($B25="",$E25="",$F25=""),0,MAX(0,MIN($F25,EOMONTH(DATE(cfg_FY,6,1),0))-MAX($E25,DATE(cfg_FY,6,1))+1)*(1-IF($M25="نعم",0,N($J25))))</f>
        <v>0</v>
      </c>
      <c r="AB25" s="133" t="n">
        <f aca="false">IF(OR($B25="",$E25="",$F25=""),0,MAX(0,MIN($F25,EOMONTH(DATE(cfg_FY,7,1),0))-MAX($E25,DATE(cfg_FY,7,1))+1)*(1-IF($M25="نعم",0,N($J25))))</f>
        <v>0</v>
      </c>
      <c r="AC25" s="133" t="n">
        <f aca="false">IF(OR($B25="",$E25="",$F25=""),0,MAX(0,MIN($F25,EOMONTH(DATE(cfg_FY,8,1),0))-MAX($E25,DATE(cfg_FY,8,1))+1)*(1-IF($M25="نعم",0,N($J25))))</f>
        <v>0</v>
      </c>
      <c r="AD25" s="133" t="n">
        <f aca="false">IF(OR($B25="",$E25="",$F25=""),0,MAX(0,MIN($F25,EOMONTH(DATE(cfg_FY,9,1),0))-MAX($E25,DATE(cfg_FY,9,1))+1)*(1-IF($M25="نعم",0,N($J25))))</f>
        <v>0</v>
      </c>
      <c r="AE25" s="133" t="n">
        <f aca="false">IF(OR($B25="",$E25="",$F25=""),0,MAX(0,MIN($F25,EOMONTH(DATE(cfg_FY,10,1),0))-MAX($E25,DATE(cfg_FY,10,1))+1)*(1-IF($M25="نعم",0,N($J25))))</f>
        <v>0</v>
      </c>
      <c r="AF25" s="133" t="n">
        <f aca="false">IF(OR($B25="",$E25="",$F25=""),0,MAX(0,MIN($F25,EOMONTH(DATE(cfg_FY,11,1),0))-MAX($E25,DATE(cfg_FY,11,1))+1)*(1-IF($M25="نعم",0,N($J25))))</f>
        <v>0</v>
      </c>
      <c r="AG25" s="133" t="n">
        <f aca="false">IF(OR($B25="",$E25="",$F25=""),0,MAX(0,MIN($F25,EOMONTH(DATE(cfg_FY,12,1),0))-MAX($E25,DATE(cfg_FY,12,1))+1)*(1-IF($M25="نعم",0,N($J25))))</f>
        <v>0</v>
      </c>
      <c r="AH25" s="133" t="n">
        <f aca="false">IF(OR(OR($B25="",$E25="",$F25=""),$L25&lt;&gt;"لا"),0,MAX(0,MIN($F25,EOMONTH(DATE(cfg_FY,1,1),0))-$E25+1))</f>
        <v>0</v>
      </c>
      <c r="AI25" s="133" t="n">
        <f aca="false">IF(OR(OR($B25="",$E25="",$F25=""),$L25&lt;&gt;"لا"),0,MAX(0,MIN($F25,EOMONTH(DATE(cfg_FY,2,1),0))-$E25+1))</f>
        <v>0</v>
      </c>
      <c r="AJ25" s="133" t="n">
        <f aca="false">IF(OR(OR($B25="",$E25="",$F25=""),$L25&lt;&gt;"لا"),0,MAX(0,MIN($F25,EOMONTH(DATE(cfg_FY,3,1),0))-$E25+1))</f>
        <v>0</v>
      </c>
      <c r="AK25" s="133" t="n">
        <f aca="false">IF(OR(OR($B25="",$E25="",$F25=""),$L25&lt;&gt;"لا"),0,MAX(0,MIN($F25,EOMONTH(DATE(cfg_FY,4,1),0))-$E25+1))</f>
        <v>0</v>
      </c>
      <c r="AL25" s="133" t="n">
        <f aca="false">IF(OR(OR($B25="",$E25="",$F25=""),$L25&lt;&gt;"لا"),0,MAX(0,MIN($F25,EOMONTH(DATE(cfg_FY,5,1),0))-$E25+1))</f>
        <v>0</v>
      </c>
      <c r="AM25" s="133" t="n">
        <f aca="false">IF(OR(OR($B25="",$E25="",$F25=""),$L25&lt;&gt;"لا"),0,MAX(0,MIN($F25,EOMONTH(DATE(cfg_FY,6,1),0))-$E25+1))</f>
        <v>0</v>
      </c>
      <c r="AN25" s="133" t="n">
        <f aca="false">IF(OR(OR($B25="",$E25="",$F25=""),$L25&lt;&gt;"لا"),0,MAX(0,MIN($F25,EOMONTH(DATE(cfg_FY,7,1),0))-$E25+1))</f>
        <v>0</v>
      </c>
      <c r="AO25" s="133" t="n">
        <f aca="false">IF(OR(OR($B25="",$E25="",$F25=""),$L25&lt;&gt;"لا"),0,MAX(0,MIN($F25,EOMONTH(DATE(cfg_FY,8,1),0))-$E25+1))</f>
        <v>0</v>
      </c>
      <c r="AP25" s="133" t="n">
        <f aca="false">IF(OR(OR($B25="",$E25="",$F25=""),$L25&lt;&gt;"لا"),0,MAX(0,MIN($F25,EOMONTH(DATE(cfg_FY,9,1),0))-$E25+1))</f>
        <v>0</v>
      </c>
      <c r="AQ25" s="133" t="n">
        <f aca="false">IF(OR(OR($B25="",$E25="",$F25=""),$L25&lt;&gt;"لا"),0,MAX(0,MIN($F25,EOMONTH(DATE(cfg_FY,10,1),0))-$E25+1))</f>
        <v>0</v>
      </c>
      <c r="AR25" s="133" t="n">
        <f aca="false">IF(OR(OR($B25="",$E25="",$F25=""),$L25&lt;&gt;"لا"),0,MAX(0,MIN($F25,EOMONTH(DATE(cfg_FY,11,1),0))-$E25+1))</f>
        <v>0</v>
      </c>
      <c r="AS25" s="133" t="n">
        <f aca="false">IF(OR(OR($B25="",$E25="",$F25=""),$L25&lt;&gt;"لا"),0,MAX(0,MIN($F25,EOMONTH(DATE(cfg_FY,12,1),0))-$E25+1))</f>
        <v>0</v>
      </c>
      <c r="AT25" s="133" t="n">
        <f aca="false">IF(OR(OR($B25="",$E25="",$F25=""),$K25&lt;&gt;"نعم",$M25="نعم"),0,MAX(0,MIN($F25,EOMONTH(DATE(cfg_FY,1,1),0))-MAX($E25,DATE(cfg_FY,1,1))+1))</f>
        <v>0</v>
      </c>
      <c r="AU25" s="133" t="n">
        <f aca="false">IF(OR(OR($B25="",$E25="",$F25=""),$K25&lt;&gt;"نعم",$M25="نعم"),0,MAX(0,MIN($F25,EOMONTH(DATE(cfg_FY,2,1),0))-MAX($E25,DATE(cfg_FY,2,1))+1))</f>
        <v>0</v>
      </c>
      <c r="AV25" s="133" t="n">
        <f aca="false">IF(OR(OR($B25="",$E25="",$F25=""),$K25&lt;&gt;"نعم",$M25="نعم"),0,MAX(0,MIN($F25,EOMONTH(DATE(cfg_FY,3,1),0))-MAX($E25,DATE(cfg_FY,3,1))+1))</f>
        <v>0</v>
      </c>
      <c r="AW25" s="133" t="n">
        <f aca="false">IF(OR(OR($B25="",$E25="",$F25=""),$K25&lt;&gt;"نعم",$M25="نعم"),0,MAX(0,MIN($F25,EOMONTH(DATE(cfg_FY,4,1),0))-MAX($E25,DATE(cfg_FY,4,1))+1))</f>
        <v>0</v>
      </c>
      <c r="AX25" s="133" t="n">
        <f aca="false">IF(OR(OR($B25="",$E25="",$F25=""),$K25&lt;&gt;"نعم",$M25="نعم"),0,MAX(0,MIN($F25,EOMONTH(DATE(cfg_FY,5,1),0))-MAX($E25,DATE(cfg_FY,5,1))+1))</f>
        <v>0</v>
      </c>
      <c r="AY25" s="133" t="n">
        <f aca="false">IF(OR(OR($B25="",$E25="",$F25=""),$K25&lt;&gt;"نعم",$M25="نعم"),0,MAX(0,MIN($F25,EOMONTH(DATE(cfg_FY,6,1),0))-MAX($E25,DATE(cfg_FY,6,1))+1))</f>
        <v>0</v>
      </c>
      <c r="AZ25" s="133" t="n">
        <f aca="false">IF(OR(OR($B25="",$E25="",$F25=""),$K25&lt;&gt;"نعم",$M25="نعم"),0,MAX(0,MIN($F25,EOMONTH(DATE(cfg_FY,7,1),0))-MAX($E25,DATE(cfg_FY,7,1))+1))</f>
        <v>0</v>
      </c>
      <c r="BA25" s="133" t="n">
        <f aca="false">IF(OR(OR($B25="",$E25="",$F25=""),$K25&lt;&gt;"نعم",$M25="نعم"),0,MAX(0,MIN($F25,EOMONTH(DATE(cfg_FY,8,1),0))-MAX($E25,DATE(cfg_FY,8,1))+1))</f>
        <v>0</v>
      </c>
      <c r="BB25" s="133" t="n">
        <f aca="false">IF(OR(OR($B25="",$E25="",$F25=""),$K25&lt;&gt;"نعم",$M25="نعم"),0,MAX(0,MIN($F25,EOMONTH(DATE(cfg_FY,9,1),0))-MAX($E25,DATE(cfg_FY,9,1))+1))</f>
        <v>0</v>
      </c>
      <c r="BC25" s="133" t="n">
        <f aca="false">IF(OR(OR($B25="",$E25="",$F25=""),$K25&lt;&gt;"نعم",$M25="نعم"),0,MAX(0,MIN($F25,EOMONTH(DATE(cfg_FY,10,1),0))-MAX($E25,DATE(cfg_FY,10,1))+1))</f>
        <v>0</v>
      </c>
      <c r="BD25" s="133" t="n">
        <f aca="false">IF(OR(OR($B25="",$E25="",$F25=""),$K25&lt;&gt;"نعم",$M25="نعم"),0,MAX(0,MIN($F25,EOMONTH(DATE(cfg_FY,11,1),0))-MAX($E25,DATE(cfg_FY,11,1))+1))</f>
        <v>0</v>
      </c>
      <c r="BE25" s="133" t="n">
        <f aca="false">IF(OR(OR($B25="",$E25="",$F25=""),$K25&lt;&gt;"نعم",$M25="نعم"),0,MAX(0,MIN($F25,EOMONTH(DATE(cfg_FY,12,1),0))-MAX($E25,DATE(cfg_FY,12,1))+1))</f>
        <v>0</v>
      </c>
    </row>
    <row r="26" customFormat="false" ht="15" hidden="false" customHeight="false" outlineLevel="0" collapsed="false">
      <c r="A26" s="106" t="str">
        <f aca="false">IF(B26="","",ROW()-5)</f>
        <v/>
      </c>
      <c r="B26" s="118"/>
      <c r="C26" s="114" t="str">
        <f aca="false">IF(B26="","",IFERROR(INDEX(الموظفون!$C$6:$C$105,MATCH(B26,الموظفون!$B$6:$B$105,0)),"✖ رقم غير موجود"))</f>
        <v/>
      </c>
      <c r="D26" s="118"/>
      <c r="E26" s="119"/>
      <c r="F26" s="119"/>
      <c r="G26" s="65" t="str">
        <f aca="false">IF(OR($B26="",$E26="",$F26=""),"",MAX(0,F26-E26+1))</f>
        <v/>
      </c>
      <c r="H26" s="66" t="str">
        <f aca="false">IF(D26="","",IFERROR(VLOOKUP(D26,cfg_LT,2,FALSE()),1))</f>
        <v/>
      </c>
      <c r="I26" s="135"/>
      <c r="J26" s="66" t="str">
        <f aca="false">IF(D26="","",IF(I26&lt;&gt;"",I26,H26))</f>
        <v/>
      </c>
      <c r="K26" s="114" t="str">
        <f aca="false">IF(D26="","",IFERROR(VLOOKUP($D26,cfg_LT,3,FALSE()),""))</f>
        <v/>
      </c>
      <c r="L26" s="114" t="str">
        <f aca="false">IF(D26="","",IFERROR(VLOOKUP($D26,cfg_LT,4,FALSE()),""))</f>
        <v/>
      </c>
      <c r="M26" s="114" t="str">
        <f aca="false">IF(D26="","",IFERROR(VLOOKUP($D26,cfg_LT,5,FALSE()),""))</f>
        <v/>
      </c>
      <c r="N26" s="111" t="n">
        <f aca="false">IF(OR(OR($B26="",$E26="",$F26=""),M26&lt;&gt;"نعم"),0,G26*J26*IFERROR(INDEX(الموظفون!$R$6:$R$105,MATCH(B26,الموظفون!$B$6:$B$105,0)),0)/cfg_DAYS_M)</f>
        <v>0</v>
      </c>
      <c r="O26" s="106" t="str">
        <f aca="false">IF(OR(OR($B26="",$E26="",$F26=""),M26&lt;&gt;"نعم"),"",IF(YEAR(E26)=cfg_FY,MONTH(E26),""))</f>
        <v/>
      </c>
      <c r="P26" s="114" t="str">
        <f aca="false">IF(B26="","",IF(OR(D26="",E26="",F26=""),"⚠ أكمل النوع والتواريخ",IF(F26&lt;E26,"✖ النهاية قبل البداية",IF(COUNTIFS($B$6:$B$505,B26,$E$6:$E$505,"&lt;="&amp;F26,$F$6:$F$505,"&gt;="&amp;E26)&gt;1,"⚠ تداخل مع سجل آخر",IF(E26&gt;cfg_VAL_DATE,"⏳ قادمة",IF(F26&lt;cfg_VAL_DATE,"✔ منتهية","✈ جارية في تاريخ التقرير"))))))</f>
        <v/>
      </c>
      <c r="Q26" s="118"/>
      <c r="R26" s="65" t="n">
        <f aca="false">IF(OR(OR($B26="",$E26="",$F26=""),L26&lt;&gt;"لا"),0,MAX(0,MIN(F26,cfg_Y_START-1)-E26+1))</f>
        <v>0</v>
      </c>
      <c r="S26" s="65" t="n">
        <f aca="false">IF(OR(OR($B26="",$E26="",$F26=""),L26&lt;&gt;"لا"),0,MAX(0,MIN(F26,cfg_VAL_DATE)-E26+1))</f>
        <v>0</v>
      </c>
      <c r="T26" s="65" t="n">
        <f aca="false">IF(OR(OR($B26="",$E26="",$F26=""),K26&lt;&gt;"نعم"),0,IF(M26="نعم",IF(AND(ISNUMBER(O26),N(O26)&lt;=cfg_VAL_M),G26,0),MAX(0,MIN(F26,cfg_VAL_DATE)-MAX(E26,cfg_Y_START)+1)))</f>
        <v>0</v>
      </c>
      <c r="V26" s="65" t="n">
        <f aca="false">IF(OR($B26="",$E26="",$F26=""),0,MAX(0,MIN($F26,EOMONTH(DATE(cfg_FY,1,1),0))-MAX($E26,DATE(cfg_FY,1,1))+1)*(1-IF($M26="نعم",0,N($J26))))</f>
        <v>0</v>
      </c>
      <c r="W26" s="65" t="n">
        <f aca="false">IF(OR($B26="",$E26="",$F26=""),0,MAX(0,MIN($F26,EOMONTH(DATE(cfg_FY,2,1),0))-MAX($E26,DATE(cfg_FY,2,1))+1)*(1-IF($M26="نعم",0,N($J26))))</f>
        <v>0</v>
      </c>
      <c r="X26" s="65" t="n">
        <f aca="false">IF(OR($B26="",$E26="",$F26=""),0,MAX(0,MIN($F26,EOMONTH(DATE(cfg_FY,3,1),0))-MAX($E26,DATE(cfg_FY,3,1))+1)*(1-IF($M26="نعم",0,N($J26))))</f>
        <v>0</v>
      </c>
      <c r="Y26" s="65" t="n">
        <f aca="false">IF(OR($B26="",$E26="",$F26=""),0,MAX(0,MIN($F26,EOMONTH(DATE(cfg_FY,4,1),0))-MAX($E26,DATE(cfg_FY,4,1))+1)*(1-IF($M26="نعم",0,N($J26))))</f>
        <v>0</v>
      </c>
      <c r="Z26" s="65" t="n">
        <f aca="false">IF(OR($B26="",$E26="",$F26=""),0,MAX(0,MIN($F26,EOMONTH(DATE(cfg_FY,5,1),0))-MAX($E26,DATE(cfg_FY,5,1))+1)*(1-IF($M26="نعم",0,N($J26))))</f>
        <v>0</v>
      </c>
      <c r="AA26" s="65" t="n">
        <f aca="false">IF(OR($B26="",$E26="",$F26=""),0,MAX(0,MIN($F26,EOMONTH(DATE(cfg_FY,6,1),0))-MAX($E26,DATE(cfg_FY,6,1))+1)*(1-IF($M26="نعم",0,N($J26))))</f>
        <v>0</v>
      </c>
      <c r="AB26" s="65" t="n">
        <f aca="false">IF(OR($B26="",$E26="",$F26=""),0,MAX(0,MIN($F26,EOMONTH(DATE(cfg_FY,7,1),0))-MAX($E26,DATE(cfg_FY,7,1))+1)*(1-IF($M26="نعم",0,N($J26))))</f>
        <v>0</v>
      </c>
      <c r="AC26" s="65" t="n">
        <f aca="false">IF(OR($B26="",$E26="",$F26=""),0,MAX(0,MIN($F26,EOMONTH(DATE(cfg_FY,8,1),0))-MAX($E26,DATE(cfg_FY,8,1))+1)*(1-IF($M26="نعم",0,N($J26))))</f>
        <v>0</v>
      </c>
      <c r="AD26" s="65" t="n">
        <f aca="false">IF(OR($B26="",$E26="",$F26=""),0,MAX(0,MIN($F26,EOMONTH(DATE(cfg_FY,9,1),0))-MAX($E26,DATE(cfg_FY,9,1))+1)*(1-IF($M26="نعم",0,N($J26))))</f>
        <v>0</v>
      </c>
      <c r="AE26" s="65" t="n">
        <f aca="false">IF(OR($B26="",$E26="",$F26=""),0,MAX(0,MIN($F26,EOMONTH(DATE(cfg_FY,10,1),0))-MAX($E26,DATE(cfg_FY,10,1))+1)*(1-IF($M26="نعم",0,N($J26))))</f>
        <v>0</v>
      </c>
      <c r="AF26" s="65" t="n">
        <f aca="false">IF(OR($B26="",$E26="",$F26=""),0,MAX(0,MIN($F26,EOMONTH(DATE(cfg_FY,11,1),0))-MAX($E26,DATE(cfg_FY,11,1))+1)*(1-IF($M26="نعم",0,N($J26))))</f>
        <v>0</v>
      </c>
      <c r="AG26" s="65" t="n">
        <f aca="false">IF(OR($B26="",$E26="",$F26=""),0,MAX(0,MIN($F26,EOMONTH(DATE(cfg_FY,12,1),0))-MAX($E26,DATE(cfg_FY,12,1))+1)*(1-IF($M26="نعم",0,N($J26))))</f>
        <v>0</v>
      </c>
      <c r="AH26" s="65" t="n">
        <f aca="false">IF(OR(OR($B26="",$E26="",$F26=""),$L26&lt;&gt;"لا"),0,MAX(0,MIN($F26,EOMONTH(DATE(cfg_FY,1,1),0))-$E26+1))</f>
        <v>0</v>
      </c>
      <c r="AI26" s="65" t="n">
        <f aca="false">IF(OR(OR($B26="",$E26="",$F26=""),$L26&lt;&gt;"لا"),0,MAX(0,MIN($F26,EOMONTH(DATE(cfg_FY,2,1),0))-$E26+1))</f>
        <v>0</v>
      </c>
      <c r="AJ26" s="65" t="n">
        <f aca="false">IF(OR(OR($B26="",$E26="",$F26=""),$L26&lt;&gt;"لا"),0,MAX(0,MIN($F26,EOMONTH(DATE(cfg_FY,3,1),0))-$E26+1))</f>
        <v>0</v>
      </c>
      <c r="AK26" s="65" t="n">
        <f aca="false">IF(OR(OR($B26="",$E26="",$F26=""),$L26&lt;&gt;"لا"),0,MAX(0,MIN($F26,EOMONTH(DATE(cfg_FY,4,1),0))-$E26+1))</f>
        <v>0</v>
      </c>
      <c r="AL26" s="65" t="n">
        <f aca="false">IF(OR(OR($B26="",$E26="",$F26=""),$L26&lt;&gt;"لا"),0,MAX(0,MIN($F26,EOMONTH(DATE(cfg_FY,5,1),0))-$E26+1))</f>
        <v>0</v>
      </c>
      <c r="AM26" s="65" t="n">
        <f aca="false">IF(OR(OR($B26="",$E26="",$F26=""),$L26&lt;&gt;"لا"),0,MAX(0,MIN($F26,EOMONTH(DATE(cfg_FY,6,1),0))-$E26+1))</f>
        <v>0</v>
      </c>
      <c r="AN26" s="65" t="n">
        <f aca="false">IF(OR(OR($B26="",$E26="",$F26=""),$L26&lt;&gt;"لا"),0,MAX(0,MIN($F26,EOMONTH(DATE(cfg_FY,7,1),0))-$E26+1))</f>
        <v>0</v>
      </c>
      <c r="AO26" s="65" t="n">
        <f aca="false">IF(OR(OR($B26="",$E26="",$F26=""),$L26&lt;&gt;"لا"),0,MAX(0,MIN($F26,EOMONTH(DATE(cfg_FY,8,1),0))-$E26+1))</f>
        <v>0</v>
      </c>
      <c r="AP26" s="65" t="n">
        <f aca="false">IF(OR(OR($B26="",$E26="",$F26=""),$L26&lt;&gt;"لا"),0,MAX(0,MIN($F26,EOMONTH(DATE(cfg_FY,9,1),0))-$E26+1))</f>
        <v>0</v>
      </c>
      <c r="AQ26" s="65" t="n">
        <f aca="false">IF(OR(OR($B26="",$E26="",$F26=""),$L26&lt;&gt;"لا"),0,MAX(0,MIN($F26,EOMONTH(DATE(cfg_FY,10,1),0))-$E26+1))</f>
        <v>0</v>
      </c>
      <c r="AR26" s="65" t="n">
        <f aca="false">IF(OR(OR($B26="",$E26="",$F26=""),$L26&lt;&gt;"لا"),0,MAX(0,MIN($F26,EOMONTH(DATE(cfg_FY,11,1),0))-$E26+1))</f>
        <v>0</v>
      </c>
      <c r="AS26" s="65" t="n">
        <f aca="false">IF(OR(OR($B26="",$E26="",$F26=""),$L26&lt;&gt;"لا"),0,MAX(0,MIN($F26,EOMONTH(DATE(cfg_FY,12,1),0))-$E26+1))</f>
        <v>0</v>
      </c>
      <c r="AT26" s="65" t="n">
        <f aca="false">IF(OR(OR($B26="",$E26="",$F26=""),$K26&lt;&gt;"نعم",$M26="نعم"),0,MAX(0,MIN($F26,EOMONTH(DATE(cfg_FY,1,1),0))-MAX($E26,DATE(cfg_FY,1,1))+1))</f>
        <v>0</v>
      </c>
      <c r="AU26" s="65" t="n">
        <f aca="false">IF(OR(OR($B26="",$E26="",$F26=""),$K26&lt;&gt;"نعم",$M26="نعم"),0,MAX(0,MIN($F26,EOMONTH(DATE(cfg_FY,2,1),0))-MAX($E26,DATE(cfg_FY,2,1))+1))</f>
        <v>0</v>
      </c>
      <c r="AV26" s="65" t="n">
        <f aca="false">IF(OR(OR($B26="",$E26="",$F26=""),$K26&lt;&gt;"نعم",$M26="نعم"),0,MAX(0,MIN($F26,EOMONTH(DATE(cfg_FY,3,1),0))-MAX($E26,DATE(cfg_FY,3,1))+1))</f>
        <v>0</v>
      </c>
      <c r="AW26" s="65" t="n">
        <f aca="false">IF(OR(OR($B26="",$E26="",$F26=""),$K26&lt;&gt;"نعم",$M26="نعم"),0,MAX(0,MIN($F26,EOMONTH(DATE(cfg_FY,4,1),0))-MAX($E26,DATE(cfg_FY,4,1))+1))</f>
        <v>0</v>
      </c>
      <c r="AX26" s="65" t="n">
        <f aca="false">IF(OR(OR($B26="",$E26="",$F26=""),$K26&lt;&gt;"نعم",$M26="نعم"),0,MAX(0,MIN($F26,EOMONTH(DATE(cfg_FY,5,1),0))-MAX($E26,DATE(cfg_FY,5,1))+1))</f>
        <v>0</v>
      </c>
      <c r="AY26" s="65" t="n">
        <f aca="false">IF(OR(OR($B26="",$E26="",$F26=""),$K26&lt;&gt;"نعم",$M26="نعم"),0,MAX(0,MIN($F26,EOMONTH(DATE(cfg_FY,6,1),0))-MAX($E26,DATE(cfg_FY,6,1))+1))</f>
        <v>0</v>
      </c>
      <c r="AZ26" s="65" t="n">
        <f aca="false">IF(OR(OR($B26="",$E26="",$F26=""),$K26&lt;&gt;"نعم",$M26="نعم"),0,MAX(0,MIN($F26,EOMONTH(DATE(cfg_FY,7,1),0))-MAX($E26,DATE(cfg_FY,7,1))+1))</f>
        <v>0</v>
      </c>
      <c r="BA26" s="65" t="n">
        <f aca="false">IF(OR(OR($B26="",$E26="",$F26=""),$K26&lt;&gt;"نعم",$M26="نعم"),0,MAX(0,MIN($F26,EOMONTH(DATE(cfg_FY,8,1),0))-MAX($E26,DATE(cfg_FY,8,1))+1))</f>
        <v>0</v>
      </c>
      <c r="BB26" s="65" t="n">
        <f aca="false">IF(OR(OR($B26="",$E26="",$F26=""),$K26&lt;&gt;"نعم",$M26="نعم"),0,MAX(0,MIN($F26,EOMONTH(DATE(cfg_FY,9,1),0))-MAX($E26,DATE(cfg_FY,9,1))+1))</f>
        <v>0</v>
      </c>
      <c r="BC26" s="65" t="n">
        <f aca="false">IF(OR(OR($B26="",$E26="",$F26=""),$K26&lt;&gt;"نعم",$M26="نعم"),0,MAX(0,MIN($F26,EOMONTH(DATE(cfg_FY,10,1),0))-MAX($E26,DATE(cfg_FY,10,1))+1))</f>
        <v>0</v>
      </c>
      <c r="BD26" s="65" t="n">
        <f aca="false">IF(OR(OR($B26="",$E26="",$F26=""),$K26&lt;&gt;"نعم",$M26="نعم"),0,MAX(0,MIN($F26,EOMONTH(DATE(cfg_FY,11,1),0))-MAX($E26,DATE(cfg_FY,11,1))+1))</f>
        <v>0</v>
      </c>
      <c r="BE26" s="65" t="n">
        <f aca="false">IF(OR(OR($B26="",$E26="",$F26=""),$K26&lt;&gt;"نعم",$M26="نعم"),0,MAX(0,MIN($F26,EOMONTH(DATE(cfg_FY,12,1),0))-MAX($E26,DATE(cfg_FY,12,1))+1))</f>
        <v>0</v>
      </c>
    </row>
    <row r="27" customFormat="false" ht="15" hidden="false" customHeight="false" outlineLevel="0" collapsed="false">
      <c r="A27" s="115" t="str">
        <f aca="false">IF(B27="","",ROW()-5)</f>
        <v/>
      </c>
      <c r="B27" s="118"/>
      <c r="C27" s="117" t="str">
        <f aca="false">IF(B27="","",IFERROR(INDEX(الموظفون!$C$6:$C$105,MATCH(B27,الموظفون!$B$6:$B$105,0)),"✖ رقم غير موجود"))</f>
        <v/>
      </c>
      <c r="D27" s="118"/>
      <c r="E27" s="119"/>
      <c r="F27" s="119"/>
      <c r="G27" s="133" t="str">
        <f aca="false">IF(OR($B27="",$E27="",$F27=""),"",MAX(0,F27-E27+1))</f>
        <v/>
      </c>
      <c r="H27" s="134" t="str">
        <f aca="false">IF(D27="","",IFERROR(VLOOKUP(D27,cfg_LT,2,FALSE()),1))</f>
        <v/>
      </c>
      <c r="I27" s="135"/>
      <c r="J27" s="134" t="str">
        <f aca="false">IF(D27="","",IF(I27&lt;&gt;"",I27,H27))</f>
        <v/>
      </c>
      <c r="K27" s="117" t="str">
        <f aca="false">IF(D27="","",IFERROR(VLOOKUP($D27,cfg_LT,3,FALSE()),""))</f>
        <v/>
      </c>
      <c r="L27" s="117" t="str">
        <f aca="false">IF(D27="","",IFERROR(VLOOKUP($D27,cfg_LT,4,FALSE()),""))</f>
        <v/>
      </c>
      <c r="M27" s="117" t="str">
        <f aca="false">IF(D27="","",IFERROR(VLOOKUP($D27,cfg_LT,5,FALSE()),""))</f>
        <v/>
      </c>
      <c r="N27" s="116" t="n">
        <f aca="false">IF(OR(OR($B27="",$E27="",$F27=""),M27&lt;&gt;"نعم"),0,G27*J27*IFERROR(INDEX(الموظفون!$R$6:$R$105,MATCH(B27,الموظفون!$B$6:$B$105,0)),0)/cfg_DAYS_M)</f>
        <v>0</v>
      </c>
      <c r="O27" s="115" t="str">
        <f aca="false">IF(OR(OR($B27="",$E27="",$F27=""),M27&lt;&gt;"نعم"),"",IF(YEAR(E27)=cfg_FY,MONTH(E27),""))</f>
        <v/>
      </c>
      <c r="P27" s="117" t="str">
        <f aca="false">IF(B27="","",IF(OR(D27="",E27="",F27=""),"⚠ أكمل النوع والتواريخ",IF(F27&lt;E27,"✖ النهاية قبل البداية",IF(COUNTIFS($B$6:$B$505,B27,$E$6:$E$505,"&lt;="&amp;F27,$F$6:$F$505,"&gt;="&amp;E27)&gt;1,"⚠ تداخل مع سجل آخر",IF(E27&gt;cfg_VAL_DATE,"⏳ قادمة",IF(F27&lt;cfg_VAL_DATE,"✔ منتهية","✈ جارية في تاريخ التقرير"))))))</f>
        <v/>
      </c>
      <c r="Q27" s="118"/>
      <c r="R27" s="133" t="n">
        <f aca="false">IF(OR(OR($B27="",$E27="",$F27=""),L27&lt;&gt;"لا"),0,MAX(0,MIN(F27,cfg_Y_START-1)-E27+1))</f>
        <v>0</v>
      </c>
      <c r="S27" s="133" t="n">
        <f aca="false">IF(OR(OR($B27="",$E27="",$F27=""),L27&lt;&gt;"لا"),0,MAX(0,MIN(F27,cfg_VAL_DATE)-E27+1))</f>
        <v>0</v>
      </c>
      <c r="T27" s="133" t="n">
        <f aca="false">IF(OR(OR($B27="",$E27="",$F27=""),K27&lt;&gt;"نعم"),0,IF(M27="نعم",IF(AND(ISNUMBER(O27),N(O27)&lt;=cfg_VAL_M),G27,0),MAX(0,MIN(F27,cfg_VAL_DATE)-MAX(E27,cfg_Y_START)+1)))</f>
        <v>0</v>
      </c>
      <c r="V27" s="133" t="n">
        <f aca="false">IF(OR($B27="",$E27="",$F27=""),0,MAX(0,MIN($F27,EOMONTH(DATE(cfg_FY,1,1),0))-MAX($E27,DATE(cfg_FY,1,1))+1)*(1-IF($M27="نعم",0,N($J27))))</f>
        <v>0</v>
      </c>
      <c r="W27" s="133" t="n">
        <f aca="false">IF(OR($B27="",$E27="",$F27=""),0,MAX(0,MIN($F27,EOMONTH(DATE(cfg_FY,2,1),0))-MAX($E27,DATE(cfg_FY,2,1))+1)*(1-IF($M27="نعم",0,N($J27))))</f>
        <v>0</v>
      </c>
      <c r="X27" s="133" t="n">
        <f aca="false">IF(OR($B27="",$E27="",$F27=""),0,MAX(0,MIN($F27,EOMONTH(DATE(cfg_FY,3,1),0))-MAX($E27,DATE(cfg_FY,3,1))+1)*(1-IF($M27="نعم",0,N($J27))))</f>
        <v>0</v>
      </c>
      <c r="Y27" s="133" t="n">
        <f aca="false">IF(OR($B27="",$E27="",$F27=""),0,MAX(0,MIN($F27,EOMONTH(DATE(cfg_FY,4,1),0))-MAX($E27,DATE(cfg_FY,4,1))+1)*(1-IF($M27="نعم",0,N($J27))))</f>
        <v>0</v>
      </c>
      <c r="Z27" s="133" t="n">
        <f aca="false">IF(OR($B27="",$E27="",$F27=""),0,MAX(0,MIN($F27,EOMONTH(DATE(cfg_FY,5,1),0))-MAX($E27,DATE(cfg_FY,5,1))+1)*(1-IF($M27="نعم",0,N($J27))))</f>
        <v>0</v>
      </c>
      <c r="AA27" s="133" t="n">
        <f aca="false">IF(OR($B27="",$E27="",$F27=""),0,MAX(0,MIN($F27,EOMONTH(DATE(cfg_FY,6,1),0))-MAX($E27,DATE(cfg_FY,6,1))+1)*(1-IF($M27="نعم",0,N($J27))))</f>
        <v>0</v>
      </c>
      <c r="AB27" s="133" t="n">
        <f aca="false">IF(OR($B27="",$E27="",$F27=""),0,MAX(0,MIN($F27,EOMONTH(DATE(cfg_FY,7,1),0))-MAX($E27,DATE(cfg_FY,7,1))+1)*(1-IF($M27="نعم",0,N($J27))))</f>
        <v>0</v>
      </c>
      <c r="AC27" s="133" t="n">
        <f aca="false">IF(OR($B27="",$E27="",$F27=""),0,MAX(0,MIN($F27,EOMONTH(DATE(cfg_FY,8,1),0))-MAX($E27,DATE(cfg_FY,8,1))+1)*(1-IF($M27="نعم",0,N($J27))))</f>
        <v>0</v>
      </c>
      <c r="AD27" s="133" t="n">
        <f aca="false">IF(OR($B27="",$E27="",$F27=""),0,MAX(0,MIN($F27,EOMONTH(DATE(cfg_FY,9,1),0))-MAX($E27,DATE(cfg_FY,9,1))+1)*(1-IF($M27="نعم",0,N($J27))))</f>
        <v>0</v>
      </c>
      <c r="AE27" s="133" t="n">
        <f aca="false">IF(OR($B27="",$E27="",$F27=""),0,MAX(0,MIN($F27,EOMONTH(DATE(cfg_FY,10,1),0))-MAX($E27,DATE(cfg_FY,10,1))+1)*(1-IF($M27="نعم",0,N($J27))))</f>
        <v>0</v>
      </c>
      <c r="AF27" s="133" t="n">
        <f aca="false">IF(OR($B27="",$E27="",$F27=""),0,MAX(0,MIN($F27,EOMONTH(DATE(cfg_FY,11,1),0))-MAX($E27,DATE(cfg_FY,11,1))+1)*(1-IF($M27="نعم",0,N($J27))))</f>
        <v>0</v>
      </c>
      <c r="AG27" s="133" t="n">
        <f aca="false">IF(OR($B27="",$E27="",$F27=""),0,MAX(0,MIN($F27,EOMONTH(DATE(cfg_FY,12,1),0))-MAX($E27,DATE(cfg_FY,12,1))+1)*(1-IF($M27="نعم",0,N($J27))))</f>
        <v>0</v>
      </c>
      <c r="AH27" s="133" t="n">
        <f aca="false">IF(OR(OR($B27="",$E27="",$F27=""),$L27&lt;&gt;"لا"),0,MAX(0,MIN($F27,EOMONTH(DATE(cfg_FY,1,1),0))-$E27+1))</f>
        <v>0</v>
      </c>
      <c r="AI27" s="133" t="n">
        <f aca="false">IF(OR(OR($B27="",$E27="",$F27=""),$L27&lt;&gt;"لا"),0,MAX(0,MIN($F27,EOMONTH(DATE(cfg_FY,2,1),0))-$E27+1))</f>
        <v>0</v>
      </c>
      <c r="AJ27" s="133" t="n">
        <f aca="false">IF(OR(OR($B27="",$E27="",$F27=""),$L27&lt;&gt;"لا"),0,MAX(0,MIN($F27,EOMONTH(DATE(cfg_FY,3,1),0))-$E27+1))</f>
        <v>0</v>
      </c>
      <c r="AK27" s="133" t="n">
        <f aca="false">IF(OR(OR($B27="",$E27="",$F27=""),$L27&lt;&gt;"لا"),0,MAX(0,MIN($F27,EOMONTH(DATE(cfg_FY,4,1),0))-$E27+1))</f>
        <v>0</v>
      </c>
      <c r="AL27" s="133" t="n">
        <f aca="false">IF(OR(OR($B27="",$E27="",$F27=""),$L27&lt;&gt;"لا"),0,MAX(0,MIN($F27,EOMONTH(DATE(cfg_FY,5,1),0))-$E27+1))</f>
        <v>0</v>
      </c>
      <c r="AM27" s="133" t="n">
        <f aca="false">IF(OR(OR($B27="",$E27="",$F27=""),$L27&lt;&gt;"لا"),0,MAX(0,MIN($F27,EOMONTH(DATE(cfg_FY,6,1),0))-$E27+1))</f>
        <v>0</v>
      </c>
      <c r="AN27" s="133" t="n">
        <f aca="false">IF(OR(OR($B27="",$E27="",$F27=""),$L27&lt;&gt;"لا"),0,MAX(0,MIN($F27,EOMONTH(DATE(cfg_FY,7,1),0))-$E27+1))</f>
        <v>0</v>
      </c>
      <c r="AO27" s="133" t="n">
        <f aca="false">IF(OR(OR($B27="",$E27="",$F27=""),$L27&lt;&gt;"لا"),0,MAX(0,MIN($F27,EOMONTH(DATE(cfg_FY,8,1),0))-$E27+1))</f>
        <v>0</v>
      </c>
      <c r="AP27" s="133" t="n">
        <f aca="false">IF(OR(OR($B27="",$E27="",$F27=""),$L27&lt;&gt;"لا"),0,MAX(0,MIN($F27,EOMONTH(DATE(cfg_FY,9,1),0))-$E27+1))</f>
        <v>0</v>
      </c>
      <c r="AQ27" s="133" t="n">
        <f aca="false">IF(OR(OR($B27="",$E27="",$F27=""),$L27&lt;&gt;"لا"),0,MAX(0,MIN($F27,EOMONTH(DATE(cfg_FY,10,1),0))-$E27+1))</f>
        <v>0</v>
      </c>
      <c r="AR27" s="133" t="n">
        <f aca="false">IF(OR(OR($B27="",$E27="",$F27=""),$L27&lt;&gt;"لا"),0,MAX(0,MIN($F27,EOMONTH(DATE(cfg_FY,11,1),0))-$E27+1))</f>
        <v>0</v>
      </c>
      <c r="AS27" s="133" t="n">
        <f aca="false">IF(OR(OR($B27="",$E27="",$F27=""),$L27&lt;&gt;"لا"),0,MAX(0,MIN($F27,EOMONTH(DATE(cfg_FY,12,1),0))-$E27+1))</f>
        <v>0</v>
      </c>
      <c r="AT27" s="133" t="n">
        <f aca="false">IF(OR(OR($B27="",$E27="",$F27=""),$K27&lt;&gt;"نعم",$M27="نعم"),0,MAX(0,MIN($F27,EOMONTH(DATE(cfg_FY,1,1),0))-MAX($E27,DATE(cfg_FY,1,1))+1))</f>
        <v>0</v>
      </c>
      <c r="AU27" s="133" t="n">
        <f aca="false">IF(OR(OR($B27="",$E27="",$F27=""),$K27&lt;&gt;"نعم",$M27="نعم"),0,MAX(0,MIN($F27,EOMONTH(DATE(cfg_FY,2,1),0))-MAX($E27,DATE(cfg_FY,2,1))+1))</f>
        <v>0</v>
      </c>
      <c r="AV27" s="133" t="n">
        <f aca="false">IF(OR(OR($B27="",$E27="",$F27=""),$K27&lt;&gt;"نعم",$M27="نعم"),0,MAX(0,MIN($F27,EOMONTH(DATE(cfg_FY,3,1),0))-MAX($E27,DATE(cfg_FY,3,1))+1))</f>
        <v>0</v>
      </c>
      <c r="AW27" s="133" t="n">
        <f aca="false">IF(OR(OR($B27="",$E27="",$F27=""),$K27&lt;&gt;"نعم",$M27="نعم"),0,MAX(0,MIN($F27,EOMONTH(DATE(cfg_FY,4,1),0))-MAX($E27,DATE(cfg_FY,4,1))+1))</f>
        <v>0</v>
      </c>
      <c r="AX27" s="133" t="n">
        <f aca="false">IF(OR(OR($B27="",$E27="",$F27=""),$K27&lt;&gt;"نعم",$M27="نعم"),0,MAX(0,MIN($F27,EOMONTH(DATE(cfg_FY,5,1),0))-MAX($E27,DATE(cfg_FY,5,1))+1))</f>
        <v>0</v>
      </c>
      <c r="AY27" s="133" t="n">
        <f aca="false">IF(OR(OR($B27="",$E27="",$F27=""),$K27&lt;&gt;"نعم",$M27="نعم"),0,MAX(0,MIN($F27,EOMONTH(DATE(cfg_FY,6,1),0))-MAX($E27,DATE(cfg_FY,6,1))+1))</f>
        <v>0</v>
      </c>
      <c r="AZ27" s="133" t="n">
        <f aca="false">IF(OR(OR($B27="",$E27="",$F27=""),$K27&lt;&gt;"نعم",$M27="نعم"),0,MAX(0,MIN($F27,EOMONTH(DATE(cfg_FY,7,1),0))-MAX($E27,DATE(cfg_FY,7,1))+1))</f>
        <v>0</v>
      </c>
      <c r="BA27" s="133" t="n">
        <f aca="false">IF(OR(OR($B27="",$E27="",$F27=""),$K27&lt;&gt;"نعم",$M27="نعم"),0,MAX(0,MIN($F27,EOMONTH(DATE(cfg_FY,8,1),0))-MAX($E27,DATE(cfg_FY,8,1))+1))</f>
        <v>0</v>
      </c>
      <c r="BB27" s="133" t="n">
        <f aca="false">IF(OR(OR($B27="",$E27="",$F27=""),$K27&lt;&gt;"نعم",$M27="نعم"),0,MAX(0,MIN($F27,EOMONTH(DATE(cfg_FY,9,1),0))-MAX($E27,DATE(cfg_FY,9,1))+1))</f>
        <v>0</v>
      </c>
      <c r="BC27" s="133" t="n">
        <f aca="false">IF(OR(OR($B27="",$E27="",$F27=""),$K27&lt;&gt;"نعم",$M27="نعم"),0,MAX(0,MIN($F27,EOMONTH(DATE(cfg_FY,10,1),0))-MAX($E27,DATE(cfg_FY,10,1))+1))</f>
        <v>0</v>
      </c>
      <c r="BD27" s="133" t="n">
        <f aca="false">IF(OR(OR($B27="",$E27="",$F27=""),$K27&lt;&gt;"نعم",$M27="نعم"),0,MAX(0,MIN($F27,EOMONTH(DATE(cfg_FY,11,1),0))-MAX($E27,DATE(cfg_FY,11,1))+1))</f>
        <v>0</v>
      </c>
      <c r="BE27" s="133" t="n">
        <f aca="false">IF(OR(OR($B27="",$E27="",$F27=""),$K27&lt;&gt;"نعم",$M27="نعم"),0,MAX(0,MIN($F27,EOMONTH(DATE(cfg_FY,12,1),0))-MAX($E27,DATE(cfg_FY,12,1))+1))</f>
        <v>0</v>
      </c>
    </row>
    <row r="28" customFormat="false" ht="15" hidden="false" customHeight="false" outlineLevel="0" collapsed="false">
      <c r="A28" s="106" t="str">
        <f aca="false">IF(B28="","",ROW()-5)</f>
        <v/>
      </c>
      <c r="B28" s="118"/>
      <c r="C28" s="114" t="str">
        <f aca="false">IF(B28="","",IFERROR(INDEX(الموظفون!$C$6:$C$105,MATCH(B28,الموظفون!$B$6:$B$105,0)),"✖ رقم غير موجود"))</f>
        <v/>
      </c>
      <c r="D28" s="118"/>
      <c r="E28" s="119"/>
      <c r="F28" s="119"/>
      <c r="G28" s="65" t="str">
        <f aca="false">IF(OR($B28="",$E28="",$F28=""),"",MAX(0,F28-E28+1))</f>
        <v/>
      </c>
      <c r="H28" s="66" t="str">
        <f aca="false">IF(D28="","",IFERROR(VLOOKUP(D28,cfg_LT,2,FALSE()),1))</f>
        <v/>
      </c>
      <c r="I28" s="135"/>
      <c r="J28" s="66" t="str">
        <f aca="false">IF(D28="","",IF(I28&lt;&gt;"",I28,H28))</f>
        <v/>
      </c>
      <c r="K28" s="114" t="str">
        <f aca="false">IF(D28="","",IFERROR(VLOOKUP($D28,cfg_LT,3,FALSE()),""))</f>
        <v/>
      </c>
      <c r="L28" s="114" t="str">
        <f aca="false">IF(D28="","",IFERROR(VLOOKUP($D28,cfg_LT,4,FALSE()),""))</f>
        <v/>
      </c>
      <c r="M28" s="114" t="str">
        <f aca="false">IF(D28="","",IFERROR(VLOOKUP($D28,cfg_LT,5,FALSE()),""))</f>
        <v/>
      </c>
      <c r="N28" s="111" t="n">
        <f aca="false">IF(OR(OR($B28="",$E28="",$F28=""),M28&lt;&gt;"نعم"),0,G28*J28*IFERROR(INDEX(الموظفون!$R$6:$R$105,MATCH(B28,الموظفون!$B$6:$B$105,0)),0)/cfg_DAYS_M)</f>
        <v>0</v>
      </c>
      <c r="O28" s="106" t="str">
        <f aca="false">IF(OR(OR($B28="",$E28="",$F28=""),M28&lt;&gt;"نعم"),"",IF(YEAR(E28)=cfg_FY,MONTH(E28),""))</f>
        <v/>
      </c>
      <c r="P28" s="114" t="str">
        <f aca="false">IF(B28="","",IF(OR(D28="",E28="",F28=""),"⚠ أكمل النوع والتواريخ",IF(F28&lt;E28,"✖ النهاية قبل البداية",IF(COUNTIFS($B$6:$B$505,B28,$E$6:$E$505,"&lt;="&amp;F28,$F$6:$F$505,"&gt;="&amp;E28)&gt;1,"⚠ تداخل مع سجل آخر",IF(E28&gt;cfg_VAL_DATE,"⏳ قادمة",IF(F28&lt;cfg_VAL_DATE,"✔ منتهية","✈ جارية في تاريخ التقرير"))))))</f>
        <v/>
      </c>
      <c r="Q28" s="118"/>
      <c r="R28" s="65" t="n">
        <f aca="false">IF(OR(OR($B28="",$E28="",$F28=""),L28&lt;&gt;"لا"),0,MAX(0,MIN(F28,cfg_Y_START-1)-E28+1))</f>
        <v>0</v>
      </c>
      <c r="S28" s="65" t="n">
        <f aca="false">IF(OR(OR($B28="",$E28="",$F28=""),L28&lt;&gt;"لا"),0,MAX(0,MIN(F28,cfg_VAL_DATE)-E28+1))</f>
        <v>0</v>
      </c>
      <c r="T28" s="65" t="n">
        <f aca="false">IF(OR(OR($B28="",$E28="",$F28=""),K28&lt;&gt;"نعم"),0,IF(M28="نعم",IF(AND(ISNUMBER(O28),N(O28)&lt;=cfg_VAL_M),G28,0),MAX(0,MIN(F28,cfg_VAL_DATE)-MAX(E28,cfg_Y_START)+1)))</f>
        <v>0</v>
      </c>
      <c r="V28" s="65" t="n">
        <f aca="false">IF(OR($B28="",$E28="",$F28=""),0,MAX(0,MIN($F28,EOMONTH(DATE(cfg_FY,1,1),0))-MAX($E28,DATE(cfg_FY,1,1))+1)*(1-IF($M28="نعم",0,N($J28))))</f>
        <v>0</v>
      </c>
      <c r="W28" s="65" t="n">
        <f aca="false">IF(OR($B28="",$E28="",$F28=""),0,MAX(0,MIN($F28,EOMONTH(DATE(cfg_FY,2,1),0))-MAX($E28,DATE(cfg_FY,2,1))+1)*(1-IF($M28="نعم",0,N($J28))))</f>
        <v>0</v>
      </c>
      <c r="X28" s="65" t="n">
        <f aca="false">IF(OR($B28="",$E28="",$F28=""),0,MAX(0,MIN($F28,EOMONTH(DATE(cfg_FY,3,1),0))-MAX($E28,DATE(cfg_FY,3,1))+1)*(1-IF($M28="نعم",0,N($J28))))</f>
        <v>0</v>
      </c>
      <c r="Y28" s="65" t="n">
        <f aca="false">IF(OR($B28="",$E28="",$F28=""),0,MAX(0,MIN($F28,EOMONTH(DATE(cfg_FY,4,1),0))-MAX($E28,DATE(cfg_FY,4,1))+1)*(1-IF($M28="نعم",0,N($J28))))</f>
        <v>0</v>
      </c>
      <c r="Z28" s="65" t="n">
        <f aca="false">IF(OR($B28="",$E28="",$F28=""),0,MAX(0,MIN($F28,EOMONTH(DATE(cfg_FY,5,1),0))-MAX($E28,DATE(cfg_FY,5,1))+1)*(1-IF($M28="نعم",0,N($J28))))</f>
        <v>0</v>
      </c>
      <c r="AA28" s="65" t="n">
        <f aca="false">IF(OR($B28="",$E28="",$F28=""),0,MAX(0,MIN($F28,EOMONTH(DATE(cfg_FY,6,1),0))-MAX($E28,DATE(cfg_FY,6,1))+1)*(1-IF($M28="نعم",0,N($J28))))</f>
        <v>0</v>
      </c>
      <c r="AB28" s="65" t="n">
        <f aca="false">IF(OR($B28="",$E28="",$F28=""),0,MAX(0,MIN($F28,EOMONTH(DATE(cfg_FY,7,1),0))-MAX($E28,DATE(cfg_FY,7,1))+1)*(1-IF($M28="نعم",0,N($J28))))</f>
        <v>0</v>
      </c>
      <c r="AC28" s="65" t="n">
        <f aca="false">IF(OR($B28="",$E28="",$F28=""),0,MAX(0,MIN($F28,EOMONTH(DATE(cfg_FY,8,1),0))-MAX($E28,DATE(cfg_FY,8,1))+1)*(1-IF($M28="نعم",0,N($J28))))</f>
        <v>0</v>
      </c>
      <c r="AD28" s="65" t="n">
        <f aca="false">IF(OR($B28="",$E28="",$F28=""),0,MAX(0,MIN($F28,EOMONTH(DATE(cfg_FY,9,1),0))-MAX($E28,DATE(cfg_FY,9,1))+1)*(1-IF($M28="نعم",0,N($J28))))</f>
        <v>0</v>
      </c>
      <c r="AE28" s="65" t="n">
        <f aca="false">IF(OR($B28="",$E28="",$F28=""),0,MAX(0,MIN($F28,EOMONTH(DATE(cfg_FY,10,1),0))-MAX($E28,DATE(cfg_FY,10,1))+1)*(1-IF($M28="نعم",0,N($J28))))</f>
        <v>0</v>
      </c>
      <c r="AF28" s="65" t="n">
        <f aca="false">IF(OR($B28="",$E28="",$F28=""),0,MAX(0,MIN($F28,EOMONTH(DATE(cfg_FY,11,1),0))-MAX($E28,DATE(cfg_FY,11,1))+1)*(1-IF($M28="نعم",0,N($J28))))</f>
        <v>0</v>
      </c>
      <c r="AG28" s="65" t="n">
        <f aca="false">IF(OR($B28="",$E28="",$F28=""),0,MAX(0,MIN($F28,EOMONTH(DATE(cfg_FY,12,1),0))-MAX($E28,DATE(cfg_FY,12,1))+1)*(1-IF($M28="نعم",0,N($J28))))</f>
        <v>0</v>
      </c>
      <c r="AH28" s="65" t="n">
        <f aca="false">IF(OR(OR($B28="",$E28="",$F28=""),$L28&lt;&gt;"لا"),0,MAX(0,MIN($F28,EOMONTH(DATE(cfg_FY,1,1),0))-$E28+1))</f>
        <v>0</v>
      </c>
      <c r="AI28" s="65" t="n">
        <f aca="false">IF(OR(OR($B28="",$E28="",$F28=""),$L28&lt;&gt;"لا"),0,MAX(0,MIN($F28,EOMONTH(DATE(cfg_FY,2,1),0))-$E28+1))</f>
        <v>0</v>
      </c>
      <c r="AJ28" s="65" t="n">
        <f aca="false">IF(OR(OR($B28="",$E28="",$F28=""),$L28&lt;&gt;"لا"),0,MAX(0,MIN($F28,EOMONTH(DATE(cfg_FY,3,1),0))-$E28+1))</f>
        <v>0</v>
      </c>
      <c r="AK28" s="65" t="n">
        <f aca="false">IF(OR(OR($B28="",$E28="",$F28=""),$L28&lt;&gt;"لا"),0,MAX(0,MIN($F28,EOMONTH(DATE(cfg_FY,4,1),0))-$E28+1))</f>
        <v>0</v>
      </c>
      <c r="AL28" s="65" t="n">
        <f aca="false">IF(OR(OR($B28="",$E28="",$F28=""),$L28&lt;&gt;"لا"),0,MAX(0,MIN($F28,EOMONTH(DATE(cfg_FY,5,1),0))-$E28+1))</f>
        <v>0</v>
      </c>
      <c r="AM28" s="65" t="n">
        <f aca="false">IF(OR(OR($B28="",$E28="",$F28=""),$L28&lt;&gt;"لا"),0,MAX(0,MIN($F28,EOMONTH(DATE(cfg_FY,6,1),0))-$E28+1))</f>
        <v>0</v>
      </c>
      <c r="AN28" s="65" t="n">
        <f aca="false">IF(OR(OR($B28="",$E28="",$F28=""),$L28&lt;&gt;"لا"),0,MAX(0,MIN($F28,EOMONTH(DATE(cfg_FY,7,1),0))-$E28+1))</f>
        <v>0</v>
      </c>
      <c r="AO28" s="65" t="n">
        <f aca="false">IF(OR(OR($B28="",$E28="",$F28=""),$L28&lt;&gt;"لا"),0,MAX(0,MIN($F28,EOMONTH(DATE(cfg_FY,8,1),0))-$E28+1))</f>
        <v>0</v>
      </c>
      <c r="AP28" s="65" t="n">
        <f aca="false">IF(OR(OR($B28="",$E28="",$F28=""),$L28&lt;&gt;"لا"),0,MAX(0,MIN($F28,EOMONTH(DATE(cfg_FY,9,1),0))-$E28+1))</f>
        <v>0</v>
      </c>
      <c r="AQ28" s="65" t="n">
        <f aca="false">IF(OR(OR($B28="",$E28="",$F28=""),$L28&lt;&gt;"لا"),0,MAX(0,MIN($F28,EOMONTH(DATE(cfg_FY,10,1),0))-$E28+1))</f>
        <v>0</v>
      </c>
      <c r="AR28" s="65" t="n">
        <f aca="false">IF(OR(OR($B28="",$E28="",$F28=""),$L28&lt;&gt;"لا"),0,MAX(0,MIN($F28,EOMONTH(DATE(cfg_FY,11,1),0))-$E28+1))</f>
        <v>0</v>
      </c>
      <c r="AS28" s="65" t="n">
        <f aca="false">IF(OR(OR($B28="",$E28="",$F28=""),$L28&lt;&gt;"لا"),0,MAX(0,MIN($F28,EOMONTH(DATE(cfg_FY,12,1),0))-$E28+1))</f>
        <v>0</v>
      </c>
      <c r="AT28" s="65" t="n">
        <f aca="false">IF(OR(OR($B28="",$E28="",$F28=""),$K28&lt;&gt;"نعم",$M28="نعم"),0,MAX(0,MIN($F28,EOMONTH(DATE(cfg_FY,1,1),0))-MAX($E28,DATE(cfg_FY,1,1))+1))</f>
        <v>0</v>
      </c>
      <c r="AU28" s="65" t="n">
        <f aca="false">IF(OR(OR($B28="",$E28="",$F28=""),$K28&lt;&gt;"نعم",$M28="نعم"),0,MAX(0,MIN($F28,EOMONTH(DATE(cfg_FY,2,1),0))-MAX($E28,DATE(cfg_FY,2,1))+1))</f>
        <v>0</v>
      </c>
      <c r="AV28" s="65" t="n">
        <f aca="false">IF(OR(OR($B28="",$E28="",$F28=""),$K28&lt;&gt;"نعم",$M28="نعم"),0,MAX(0,MIN($F28,EOMONTH(DATE(cfg_FY,3,1),0))-MAX($E28,DATE(cfg_FY,3,1))+1))</f>
        <v>0</v>
      </c>
      <c r="AW28" s="65" t="n">
        <f aca="false">IF(OR(OR($B28="",$E28="",$F28=""),$K28&lt;&gt;"نعم",$M28="نعم"),0,MAX(0,MIN($F28,EOMONTH(DATE(cfg_FY,4,1),0))-MAX($E28,DATE(cfg_FY,4,1))+1))</f>
        <v>0</v>
      </c>
      <c r="AX28" s="65" t="n">
        <f aca="false">IF(OR(OR($B28="",$E28="",$F28=""),$K28&lt;&gt;"نعم",$M28="نعم"),0,MAX(0,MIN($F28,EOMONTH(DATE(cfg_FY,5,1),0))-MAX($E28,DATE(cfg_FY,5,1))+1))</f>
        <v>0</v>
      </c>
      <c r="AY28" s="65" t="n">
        <f aca="false">IF(OR(OR($B28="",$E28="",$F28=""),$K28&lt;&gt;"نعم",$M28="نعم"),0,MAX(0,MIN($F28,EOMONTH(DATE(cfg_FY,6,1),0))-MAX($E28,DATE(cfg_FY,6,1))+1))</f>
        <v>0</v>
      </c>
      <c r="AZ28" s="65" t="n">
        <f aca="false">IF(OR(OR($B28="",$E28="",$F28=""),$K28&lt;&gt;"نعم",$M28="نعم"),0,MAX(0,MIN($F28,EOMONTH(DATE(cfg_FY,7,1),0))-MAX($E28,DATE(cfg_FY,7,1))+1))</f>
        <v>0</v>
      </c>
      <c r="BA28" s="65" t="n">
        <f aca="false">IF(OR(OR($B28="",$E28="",$F28=""),$K28&lt;&gt;"نعم",$M28="نعم"),0,MAX(0,MIN($F28,EOMONTH(DATE(cfg_FY,8,1),0))-MAX($E28,DATE(cfg_FY,8,1))+1))</f>
        <v>0</v>
      </c>
      <c r="BB28" s="65" t="n">
        <f aca="false">IF(OR(OR($B28="",$E28="",$F28=""),$K28&lt;&gt;"نعم",$M28="نعم"),0,MAX(0,MIN($F28,EOMONTH(DATE(cfg_FY,9,1),0))-MAX($E28,DATE(cfg_FY,9,1))+1))</f>
        <v>0</v>
      </c>
      <c r="BC28" s="65" t="n">
        <f aca="false">IF(OR(OR($B28="",$E28="",$F28=""),$K28&lt;&gt;"نعم",$M28="نعم"),0,MAX(0,MIN($F28,EOMONTH(DATE(cfg_FY,10,1),0))-MAX($E28,DATE(cfg_FY,10,1))+1))</f>
        <v>0</v>
      </c>
      <c r="BD28" s="65" t="n">
        <f aca="false">IF(OR(OR($B28="",$E28="",$F28=""),$K28&lt;&gt;"نعم",$M28="نعم"),0,MAX(0,MIN($F28,EOMONTH(DATE(cfg_FY,11,1),0))-MAX($E28,DATE(cfg_FY,11,1))+1))</f>
        <v>0</v>
      </c>
      <c r="BE28" s="65" t="n">
        <f aca="false">IF(OR(OR($B28="",$E28="",$F28=""),$K28&lt;&gt;"نعم",$M28="نعم"),0,MAX(0,MIN($F28,EOMONTH(DATE(cfg_FY,12,1),0))-MAX($E28,DATE(cfg_FY,12,1))+1))</f>
        <v>0</v>
      </c>
    </row>
    <row r="29" customFormat="false" ht="15" hidden="false" customHeight="false" outlineLevel="0" collapsed="false">
      <c r="A29" s="115" t="str">
        <f aca="false">IF(B29="","",ROW()-5)</f>
        <v/>
      </c>
      <c r="B29" s="118"/>
      <c r="C29" s="117" t="str">
        <f aca="false">IF(B29="","",IFERROR(INDEX(الموظفون!$C$6:$C$105,MATCH(B29,الموظفون!$B$6:$B$105,0)),"✖ رقم غير موجود"))</f>
        <v/>
      </c>
      <c r="D29" s="118"/>
      <c r="E29" s="119"/>
      <c r="F29" s="119"/>
      <c r="G29" s="133" t="str">
        <f aca="false">IF(OR($B29="",$E29="",$F29=""),"",MAX(0,F29-E29+1))</f>
        <v/>
      </c>
      <c r="H29" s="134" t="str">
        <f aca="false">IF(D29="","",IFERROR(VLOOKUP(D29,cfg_LT,2,FALSE()),1))</f>
        <v/>
      </c>
      <c r="I29" s="135"/>
      <c r="J29" s="134" t="str">
        <f aca="false">IF(D29="","",IF(I29&lt;&gt;"",I29,H29))</f>
        <v/>
      </c>
      <c r="K29" s="117" t="str">
        <f aca="false">IF(D29="","",IFERROR(VLOOKUP($D29,cfg_LT,3,FALSE()),""))</f>
        <v/>
      </c>
      <c r="L29" s="117" t="str">
        <f aca="false">IF(D29="","",IFERROR(VLOOKUP($D29,cfg_LT,4,FALSE()),""))</f>
        <v/>
      </c>
      <c r="M29" s="117" t="str">
        <f aca="false">IF(D29="","",IFERROR(VLOOKUP($D29,cfg_LT,5,FALSE()),""))</f>
        <v/>
      </c>
      <c r="N29" s="116" t="n">
        <f aca="false">IF(OR(OR($B29="",$E29="",$F29=""),M29&lt;&gt;"نعم"),0,G29*J29*IFERROR(INDEX(الموظفون!$R$6:$R$105,MATCH(B29,الموظفون!$B$6:$B$105,0)),0)/cfg_DAYS_M)</f>
        <v>0</v>
      </c>
      <c r="O29" s="115" t="str">
        <f aca="false">IF(OR(OR($B29="",$E29="",$F29=""),M29&lt;&gt;"نعم"),"",IF(YEAR(E29)=cfg_FY,MONTH(E29),""))</f>
        <v/>
      </c>
      <c r="P29" s="117" t="str">
        <f aca="false">IF(B29="","",IF(OR(D29="",E29="",F29=""),"⚠ أكمل النوع والتواريخ",IF(F29&lt;E29,"✖ النهاية قبل البداية",IF(COUNTIFS($B$6:$B$505,B29,$E$6:$E$505,"&lt;="&amp;F29,$F$6:$F$505,"&gt;="&amp;E29)&gt;1,"⚠ تداخل مع سجل آخر",IF(E29&gt;cfg_VAL_DATE,"⏳ قادمة",IF(F29&lt;cfg_VAL_DATE,"✔ منتهية","✈ جارية في تاريخ التقرير"))))))</f>
        <v/>
      </c>
      <c r="Q29" s="118"/>
      <c r="R29" s="133" t="n">
        <f aca="false">IF(OR(OR($B29="",$E29="",$F29=""),L29&lt;&gt;"لا"),0,MAX(0,MIN(F29,cfg_Y_START-1)-E29+1))</f>
        <v>0</v>
      </c>
      <c r="S29" s="133" t="n">
        <f aca="false">IF(OR(OR($B29="",$E29="",$F29=""),L29&lt;&gt;"لا"),0,MAX(0,MIN(F29,cfg_VAL_DATE)-E29+1))</f>
        <v>0</v>
      </c>
      <c r="T29" s="133" t="n">
        <f aca="false">IF(OR(OR($B29="",$E29="",$F29=""),K29&lt;&gt;"نعم"),0,IF(M29="نعم",IF(AND(ISNUMBER(O29),N(O29)&lt;=cfg_VAL_M),G29,0),MAX(0,MIN(F29,cfg_VAL_DATE)-MAX(E29,cfg_Y_START)+1)))</f>
        <v>0</v>
      </c>
      <c r="V29" s="133" t="n">
        <f aca="false">IF(OR($B29="",$E29="",$F29=""),0,MAX(0,MIN($F29,EOMONTH(DATE(cfg_FY,1,1),0))-MAX($E29,DATE(cfg_FY,1,1))+1)*(1-IF($M29="نعم",0,N($J29))))</f>
        <v>0</v>
      </c>
      <c r="W29" s="133" t="n">
        <f aca="false">IF(OR($B29="",$E29="",$F29=""),0,MAX(0,MIN($F29,EOMONTH(DATE(cfg_FY,2,1),0))-MAX($E29,DATE(cfg_FY,2,1))+1)*(1-IF($M29="نعم",0,N($J29))))</f>
        <v>0</v>
      </c>
      <c r="X29" s="133" t="n">
        <f aca="false">IF(OR($B29="",$E29="",$F29=""),0,MAX(0,MIN($F29,EOMONTH(DATE(cfg_FY,3,1),0))-MAX($E29,DATE(cfg_FY,3,1))+1)*(1-IF($M29="نعم",0,N($J29))))</f>
        <v>0</v>
      </c>
      <c r="Y29" s="133" t="n">
        <f aca="false">IF(OR($B29="",$E29="",$F29=""),0,MAX(0,MIN($F29,EOMONTH(DATE(cfg_FY,4,1),0))-MAX($E29,DATE(cfg_FY,4,1))+1)*(1-IF($M29="نعم",0,N($J29))))</f>
        <v>0</v>
      </c>
      <c r="Z29" s="133" t="n">
        <f aca="false">IF(OR($B29="",$E29="",$F29=""),0,MAX(0,MIN($F29,EOMONTH(DATE(cfg_FY,5,1),0))-MAX($E29,DATE(cfg_FY,5,1))+1)*(1-IF($M29="نعم",0,N($J29))))</f>
        <v>0</v>
      </c>
      <c r="AA29" s="133" t="n">
        <f aca="false">IF(OR($B29="",$E29="",$F29=""),0,MAX(0,MIN($F29,EOMONTH(DATE(cfg_FY,6,1),0))-MAX($E29,DATE(cfg_FY,6,1))+1)*(1-IF($M29="نعم",0,N($J29))))</f>
        <v>0</v>
      </c>
      <c r="AB29" s="133" t="n">
        <f aca="false">IF(OR($B29="",$E29="",$F29=""),0,MAX(0,MIN($F29,EOMONTH(DATE(cfg_FY,7,1),0))-MAX($E29,DATE(cfg_FY,7,1))+1)*(1-IF($M29="نعم",0,N($J29))))</f>
        <v>0</v>
      </c>
      <c r="AC29" s="133" t="n">
        <f aca="false">IF(OR($B29="",$E29="",$F29=""),0,MAX(0,MIN($F29,EOMONTH(DATE(cfg_FY,8,1),0))-MAX($E29,DATE(cfg_FY,8,1))+1)*(1-IF($M29="نعم",0,N($J29))))</f>
        <v>0</v>
      </c>
      <c r="AD29" s="133" t="n">
        <f aca="false">IF(OR($B29="",$E29="",$F29=""),0,MAX(0,MIN($F29,EOMONTH(DATE(cfg_FY,9,1),0))-MAX($E29,DATE(cfg_FY,9,1))+1)*(1-IF($M29="نعم",0,N($J29))))</f>
        <v>0</v>
      </c>
      <c r="AE29" s="133" t="n">
        <f aca="false">IF(OR($B29="",$E29="",$F29=""),0,MAX(0,MIN($F29,EOMONTH(DATE(cfg_FY,10,1),0))-MAX($E29,DATE(cfg_FY,10,1))+1)*(1-IF($M29="نعم",0,N($J29))))</f>
        <v>0</v>
      </c>
      <c r="AF29" s="133" t="n">
        <f aca="false">IF(OR($B29="",$E29="",$F29=""),0,MAX(0,MIN($F29,EOMONTH(DATE(cfg_FY,11,1),0))-MAX($E29,DATE(cfg_FY,11,1))+1)*(1-IF($M29="نعم",0,N($J29))))</f>
        <v>0</v>
      </c>
      <c r="AG29" s="133" t="n">
        <f aca="false">IF(OR($B29="",$E29="",$F29=""),0,MAX(0,MIN($F29,EOMONTH(DATE(cfg_FY,12,1),0))-MAX($E29,DATE(cfg_FY,12,1))+1)*(1-IF($M29="نعم",0,N($J29))))</f>
        <v>0</v>
      </c>
      <c r="AH29" s="133" t="n">
        <f aca="false">IF(OR(OR($B29="",$E29="",$F29=""),$L29&lt;&gt;"لا"),0,MAX(0,MIN($F29,EOMONTH(DATE(cfg_FY,1,1),0))-$E29+1))</f>
        <v>0</v>
      </c>
      <c r="AI29" s="133" t="n">
        <f aca="false">IF(OR(OR($B29="",$E29="",$F29=""),$L29&lt;&gt;"لا"),0,MAX(0,MIN($F29,EOMONTH(DATE(cfg_FY,2,1),0))-$E29+1))</f>
        <v>0</v>
      </c>
      <c r="AJ29" s="133" t="n">
        <f aca="false">IF(OR(OR($B29="",$E29="",$F29=""),$L29&lt;&gt;"لا"),0,MAX(0,MIN($F29,EOMONTH(DATE(cfg_FY,3,1),0))-$E29+1))</f>
        <v>0</v>
      </c>
      <c r="AK29" s="133" t="n">
        <f aca="false">IF(OR(OR($B29="",$E29="",$F29=""),$L29&lt;&gt;"لا"),0,MAX(0,MIN($F29,EOMONTH(DATE(cfg_FY,4,1),0))-$E29+1))</f>
        <v>0</v>
      </c>
      <c r="AL29" s="133" t="n">
        <f aca="false">IF(OR(OR($B29="",$E29="",$F29=""),$L29&lt;&gt;"لا"),0,MAX(0,MIN($F29,EOMONTH(DATE(cfg_FY,5,1),0))-$E29+1))</f>
        <v>0</v>
      </c>
      <c r="AM29" s="133" t="n">
        <f aca="false">IF(OR(OR($B29="",$E29="",$F29=""),$L29&lt;&gt;"لا"),0,MAX(0,MIN($F29,EOMONTH(DATE(cfg_FY,6,1),0))-$E29+1))</f>
        <v>0</v>
      </c>
      <c r="AN29" s="133" t="n">
        <f aca="false">IF(OR(OR($B29="",$E29="",$F29=""),$L29&lt;&gt;"لا"),0,MAX(0,MIN($F29,EOMONTH(DATE(cfg_FY,7,1),0))-$E29+1))</f>
        <v>0</v>
      </c>
      <c r="AO29" s="133" t="n">
        <f aca="false">IF(OR(OR($B29="",$E29="",$F29=""),$L29&lt;&gt;"لا"),0,MAX(0,MIN($F29,EOMONTH(DATE(cfg_FY,8,1),0))-$E29+1))</f>
        <v>0</v>
      </c>
      <c r="AP29" s="133" t="n">
        <f aca="false">IF(OR(OR($B29="",$E29="",$F29=""),$L29&lt;&gt;"لا"),0,MAX(0,MIN($F29,EOMONTH(DATE(cfg_FY,9,1),0))-$E29+1))</f>
        <v>0</v>
      </c>
      <c r="AQ29" s="133" t="n">
        <f aca="false">IF(OR(OR($B29="",$E29="",$F29=""),$L29&lt;&gt;"لا"),0,MAX(0,MIN($F29,EOMONTH(DATE(cfg_FY,10,1),0))-$E29+1))</f>
        <v>0</v>
      </c>
      <c r="AR29" s="133" t="n">
        <f aca="false">IF(OR(OR($B29="",$E29="",$F29=""),$L29&lt;&gt;"لا"),0,MAX(0,MIN($F29,EOMONTH(DATE(cfg_FY,11,1),0))-$E29+1))</f>
        <v>0</v>
      </c>
      <c r="AS29" s="133" t="n">
        <f aca="false">IF(OR(OR($B29="",$E29="",$F29=""),$L29&lt;&gt;"لا"),0,MAX(0,MIN($F29,EOMONTH(DATE(cfg_FY,12,1),0))-$E29+1))</f>
        <v>0</v>
      </c>
      <c r="AT29" s="133" t="n">
        <f aca="false">IF(OR(OR($B29="",$E29="",$F29=""),$K29&lt;&gt;"نعم",$M29="نعم"),0,MAX(0,MIN($F29,EOMONTH(DATE(cfg_FY,1,1),0))-MAX($E29,DATE(cfg_FY,1,1))+1))</f>
        <v>0</v>
      </c>
      <c r="AU29" s="133" t="n">
        <f aca="false">IF(OR(OR($B29="",$E29="",$F29=""),$K29&lt;&gt;"نعم",$M29="نعم"),0,MAX(0,MIN($F29,EOMONTH(DATE(cfg_FY,2,1),0))-MAX($E29,DATE(cfg_FY,2,1))+1))</f>
        <v>0</v>
      </c>
      <c r="AV29" s="133" t="n">
        <f aca="false">IF(OR(OR($B29="",$E29="",$F29=""),$K29&lt;&gt;"نعم",$M29="نعم"),0,MAX(0,MIN($F29,EOMONTH(DATE(cfg_FY,3,1),0))-MAX($E29,DATE(cfg_FY,3,1))+1))</f>
        <v>0</v>
      </c>
      <c r="AW29" s="133" t="n">
        <f aca="false">IF(OR(OR($B29="",$E29="",$F29=""),$K29&lt;&gt;"نعم",$M29="نعم"),0,MAX(0,MIN($F29,EOMONTH(DATE(cfg_FY,4,1),0))-MAX($E29,DATE(cfg_FY,4,1))+1))</f>
        <v>0</v>
      </c>
      <c r="AX29" s="133" t="n">
        <f aca="false">IF(OR(OR($B29="",$E29="",$F29=""),$K29&lt;&gt;"نعم",$M29="نعم"),0,MAX(0,MIN($F29,EOMONTH(DATE(cfg_FY,5,1),0))-MAX($E29,DATE(cfg_FY,5,1))+1))</f>
        <v>0</v>
      </c>
      <c r="AY29" s="133" t="n">
        <f aca="false">IF(OR(OR($B29="",$E29="",$F29=""),$K29&lt;&gt;"نعم",$M29="نعم"),0,MAX(0,MIN($F29,EOMONTH(DATE(cfg_FY,6,1),0))-MAX($E29,DATE(cfg_FY,6,1))+1))</f>
        <v>0</v>
      </c>
      <c r="AZ29" s="133" t="n">
        <f aca="false">IF(OR(OR($B29="",$E29="",$F29=""),$K29&lt;&gt;"نعم",$M29="نعم"),0,MAX(0,MIN($F29,EOMONTH(DATE(cfg_FY,7,1),0))-MAX($E29,DATE(cfg_FY,7,1))+1))</f>
        <v>0</v>
      </c>
      <c r="BA29" s="133" t="n">
        <f aca="false">IF(OR(OR($B29="",$E29="",$F29=""),$K29&lt;&gt;"نعم",$M29="نعم"),0,MAX(0,MIN($F29,EOMONTH(DATE(cfg_FY,8,1),0))-MAX($E29,DATE(cfg_FY,8,1))+1))</f>
        <v>0</v>
      </c>
      <c r="BB29" s="133" t="n">
        <f aca="false">IF(OR(OR($B29="",$E29="",$F29=""),$K29&lt;&gt;"نعم",$M29="نعم"),0,MAX(0,MIN($F29,EOMONTH(DATE(cfg_FY,9,1),0))-MAX($E29,DATE(cfg_FY,9,1))+1))</f>
        <v>0</v>
      </c>
      <c r="BC29" s="133" t="n">
        <f aca="false">IF(OR(OR($B29="",$E29="",$F29=""),$K29&lt;&gt;"نعم",$M29="نعم"),0,MAX(0,MIN($F29,EOMONTH(DATE(cfg_FY,10,1),0))-MAX($E29,DATE(cfg_FY,10,1))+1))</f>
        <v>0</v>
      </c>
      <c r="BD29" s="133" t="n">
        <f aca="false">IF(OR(OR($B29="",$E29="",$F29=""),$K29&lt;&gt;"نعم",$M29="نعم"),0,MAX(0,MIN($F29,EOMONTH(DATE(cfg_FY,11,1),0))-MAX($E29,DATE(cfg_FY,11,1))+1))</f>
        <v>0</v>
      </c>
      <c r="BE29" s="133" t="n">
        <f aca="false">IF(OR(OR($B29="",$E29="",$F29=""),$K29&lt;&gt;"نعم",$M29="نعم"),0,MAX(0,MIN($F29,EOMONTH(DATE(cfg_FY,12,1),0))-MAX($E29,DATE(cfg_FY,12,1))+1))</f>
        <v>0</v>
      </c>
    </row>
    <row r="30" customFormat="false" ht="15" hidden="false" customHeight="false" outlineLevel="0" collapsed="false">
      <c r="A30" s="106" t="str">
        <f aca="false">IF(B30="","",ROW()-5)</f>
        <v/>
      </c>
      <c r="B30" s="118"/>
      <c r="C30" s="114" t="str">
        <f aca="false">IF(B30="","",IFERROR(INDEX(الموظفون!$C$6:$C$105,MATCH(B30,الموظفون!$B$6:$B$105,0)),"✖ رقم غير موجود"))</f>
        <v/>
      </c>
      <c r="D30" s="118"/>
      <c r="E30" s="119"/>
      <c r="F30" s="119"/>
      <c r="G30" s="65" t="str">
        <f aca="false">IF(OR($B30="",$E30="",$F30=""),"",MAX(0,F30-E30+1))</f>
        <v/>
      </c>
      <c r="H30" s="66" t="str">
        <f aca="false">IF(D30="","",IFERROR(VLOOKUP(D30,cfg_LT,2,FALSE()),1))</f>
        <v/>
      </c>
      <c r="I30" s="135"/>
      <c r="J30" s="66" t="str">
        <f aca="false">IF(D30="","",IF(I30&lt;&gt;"",I30,H30))</f>
        <v/>
      </c>
      <c r="K30" s="114" t="str">
        <f aca="false">IF(D30="","",IFERROR(VLOOKUP($D30,cfg_LT,3,FALSE()),""))</f>
        <v/>
      </c>
      <c r="L30" s="114" t="str">
        <f aca="false">IF(D30="","",IFERROR(VLOOKUP($D30,cfg_LT,4,FALSE()),""))</f>
        <v/>
      </c>
      <c r="M30" s="114" t="str">
        <f aca="false">IF(D30="","",IFERROR(VLOOKUP($D30,cfg_LT,5,FALSE()),""))</f>
        <v/>
      </c>
      <c r="N30" s="111" t="n">
        <f aca="false">IF(OR(OR($B30="",$E30="",$F30=""),M30&lt;&gt;"نعم"),0,G30*J30*IFERROR(INDEX(الموظفون!$R$6:$R$105,MATCH(B30,الموظفون!$B$6:$B$105,0)),0)/cfg_DAYS_M)</f>
        <v>0</v>
      </c>
      <c r="O30" s="106" t="str">
        <f aca="false">IF(OR(OR($B30="",$E30="",$F30=""),M30&lt;&gt;"نعم"),"",IF(YEAR(E30)=cfg_FY,MONTH(E30),""))</f>
        <v/>
      </c>
      <c r="P30" s="114" t="str">
        <f aca="false">IF(B30="","",IF(OR(D30="",E30="",F30=""),"⚠ أكمل النوع والتواريخ",IF(F30&lt;E30,"✖ النهاية قبل البداية",IF(COUNTIFS($B$6:$B$505,B30,$E$6:$E$505,"&lt;="&amp;F30,$F$6:$F$505,"&gt;="&amp;E30)&gt;1,"⚠ تداخل مع سجل آخر",IF(E30&gt;cfg_VAL_DATE,"⏳ قادمة",IF(F30&lt;cfg_VAL_DATE,"✔ منتهية","✈ جارية في تاريخ التقرير"))))))</f>
        <v/>
      </c>
      <c r="Q30" s="118"/>
      <c r="R30" s="65" t="n">
        <f aca="false">IF(OR(OR($B30="",$E30="",$F30=""),L30&lt;&gt;"لا"),0,MAX(0,MIN(F30,cfg_Y_START-1)-E30+1))</f>
        <v>0</v>
      </c>
      <c r="S30" s="65" t="n">
        <f aca="false">IF(OR(OR($B30="",$E30="",$F30=""),L30&lt;&gt;"لا"),0,MAX(0,MIN(F30,cfg_VAL_DATE)-E30+1))</f>
        <v>0</v>
      </c>
      <c r="T30" s="65" t="n">
        <f aca="false">IF(OR(OR($B30="",$E30="",$F30=""),K30&lt;&gt;"نعم"),0,IF(M30="نعم",IF(AND(ISNUMBER(O30),N(O30)&lt;=cfg_VAL_M),G30,0),MAX(0,MIN(F30,cfg_VAL_DATE)-MAX(E30,cfg_Y_START)+1)))</f>
        <v>0</v>
      </c>
      <c r="V30" s="65" t="n">
        <f aca="false">IF(OR($B30="",$E30="",$F30=""),0,MAX(0,MIN($F30,EOMONTH(DATE(cfg_FY,1,1),0))-MAX($E30,DATE(cfg_FY,1,1))+1)*(1-IF($M30="نعم",0,N($J30))))</f>
        <v>0</v>
      </c>
      <c r="W30" s="65" t="n">
        <f aca="false">IF(OR($B30="",$E30="",$F30=""),0,MAX(0,MIN($F30,EOMONTH(DATE(cfg_FY,2,1),0))-MAX($E30,DATE(cfg_FY,2,1))+1)*(1-IF($M30="نعم",0,N($J30))))</f>
        <v>0</v>
      </c>
      <c r="X30" s="65" t="n">
        <f aca="false">IF(OR($B30="",$E30="",$F30=""),0,MAX(0,MIN($F30,EOMONTH(DATE(cfg_FY,3,1),0))-MAX($E30,DATE(cfg_FY,3,1))+1)*(1-IF($M30="نعم",0,N($J30))))</f>
        <v>0</v>
      </c>
      <c r="Y30" s="65" t="n">
        <f aca="false">IF(OR($B30="",$E30="",$F30=""),0,MAX(0,MIN($F30,EOMONTH(DATE(cfg_FY,4,1),0))-MAX($E30,DATE(cfg_FY,4,1))+1)*(1-IF($M30="نعم",0,N($J30))))</f>
        <v>0</v>
      </c>
      <c r="Z30" s="65" t="n">
        <f aca="false">IF(OR($B30="",$E30="",$F30=""),0,MAX(0,MIN($F30,EOMONTH(DATE(cfg_FY,5,1),0))-MAX($E30,DATE(cfg_FY,5,1))+1)*(1-IF($M30="نعم",0,N($J30))))</f>
        <v>0</v>
      </c>
      <c r="AA30" s="65" t="n">
        <f aca="false">IF(OR($B30="",$E30="",$F30=""),0,MAX(0,MIN($F30,EOMONTH(DATE(cfg_FY,6,1),0))-MAX($E30,DATE(cfg_FY,6,1))+1)*(1-IF($M30="نعم",0,N($J30))))</f>
        <v>0</v>
      </c>
      <c r="AB30" s="65" t="n">
        <f aca="false">IF(OR($B30="",$E30="",$F30=""),0,MAX(0,MIN($F30,EOMONTH(DATE(cfg_FY,7,1),0))-MAX($E30,DATE(cfg_FY,7,1))+1)*(1-IF($M30="نعم",0,N($J30))))</f>
        <v>0</v>
      </c>
      <c r="AC30" s="65" t="n">
        <f aca="false">IF(OR($B30="",$E30="",$F30=""),0,MAX(0,MIN($F30,EOMONTH(DATE(cfg_FY,8,1),0))-MAX($E30,DATE(cfg_FY,8,1))+1)*(1-IF($M30="نعم",0,N($J30))))</f>
        <v>0</v>
      </c>
      <c r="AD30" s="65" t="n">
        <f aca="false">IF(OR($B30="",$E30="",$F30=""),0,MAX(0,MIN($F30,EOMONTH(DATE(cfg_FY,9,1),0))-MAX($E30,DATE(cfg_FY,9,1))+1)*(1-IF($M30="نعم",0,N($J30))))</f>
        <v>0</v>
      </c>
      <c r="AE30" s="65" t="n">
        <f aca="false">IF(OR($B30="",$E30="",$F30=""),0,MAX(0,MIN($F30,EOMONTH(DATE(cfg_FY,10,1),0))-MAX($E30,DATE(cfg_FY,10,1))+1)*(1-IF($M30="نعم",0,N($J30))))</f>
        <v>0</v>
      </c>
      <c r="AF30" s="65" t="n">
        <f aca="false">IF(OR($B30="",$E30="",$F30=""),0,MAX(0,MIN($F30,EOMONTH(DATE(cfg_FY,11,1),0))-MAX($E30,DATE(cfg_FY,11,1))+1)*(1-IF($M30="نعم",0,N($J30))))</f>
        <v>0</v>
      </c>
      <c r="AG30" s="65" t="n">
        <f aca="false">IF(OR($B30="",$E30="",$F30=""),0,MAX(0,MIN($F30,EOMONTH(DATE(cfg_FY,12,1),0))-MAX($E30,DATE(cfg_FY,12,1))+1)*(1-IF($M30="نعم",0,N($J30))))</f>
        <v>0</v>
      </c>
      <c r="AH30" s="65" t="n">
        <f aca="false">IF(OR(OR($B30="",$E30="",$F30=""),$L30&lt;&gt;"لا"),0,MAX(0,MIN($F30,EOMONTH(DATE(cfg_FY,1,1),0))-$E30+1))</f>
        <v>0</v>
      </c>
      <c r="AI30" s="65" t="n">
        <f aca="false">IF(OR(OR($B30="",$E30="",$F30=""),$L30&lt;&gt;"لا"),0,MAX(0,MIN($F30,EOMONTH(DATE(cfg_FY,2,1),0))-$E30+1))</f>
        <v>0</v>
      </c>
      <c r="AJ30" s="65" t="n">
        <f aca="false">IF(OR(OR($B30="",$E30="",$F30=""),$L30&lt;&gt;"لا"),0,MAX(0,MIN($F30,EOMONTH(DATE(cfg_FY,3,1),0))-$E30+1))</f>
        <v>0</v>
      </c>
      <c r="AK30" s="65" t="n">
        <f aca="false">IF(OR(OR($B30="",$E30="",$F30=""),$L30&lt;&gt;"لا"),0,MAX(0,MIN($F30,EOMONTH(DATE(cfg_FY,4,1),0))-$E30+1))</f>
        <v>0</v>
      </c>
      <c r="AL30" s="65" t="n">
        <f aca="false">IF(OR(OR($B30="",$E30="",$F30=""),$L30&lt;&gt;"لا"),0,MAX(0,MIN($F30,EOMONTH(DATE(cfg_FY,5,1),0))-$E30+1))</f>
        <v>0</v>
      </c>
      <c r="AM30" s="65" t="n">
        <f aca="false">IF(OR(OR($B30="",$E30="",$F30=""),$L30&lt;&gt;"لا"),0,MAX(0,MIN($F30,EOMONTH(DATE(cfg_FY,6,1),0))-$E30+1))</f>
        <v>0</v>
      </c>
      <c r="AN30" s="65" t="n">
        <f aca="false">IF(OR(OR($B30="",$E30="",$F30=""),$L30&lt;&gt;"لا"),0,MAX(0,MIN($F30,EOMONTH(DATE(cfg_FY,7,1),0))-$E30+1))</f>
        <v>0</v>
      </c>
      <c r="AO30" s="65" t="n">
        <f aca="false">IF(OR(OR($B30="",$E30="",$F30=""),$L30&lt;&gt;"لا"),0,MAX(0,MIN($F30,EOMONTH(DATE(cfg_FY,8,1),0))-$E30+1))</f>
        <v>0</v>
      </c>
      <c r="AP30" s="65" t="n">
        <f aca="false">IF(OR(OR($B30="",$E30="",$F30=""),$L30&lt;&gt;"لا"),0,MAX(0,MIN($F30,EOMONTH(DATE(cfg_FY,9,1),0))-$E30+1))</f>
        <v>0</v>
      </c>
      <c r="AQ30" s="65" t="n">
        <f aca="false">IF(OR(OR($B30="",$E30="",$F30=""),$L30&lt;&gt;"لا"),0,MAX(0,MIN($F30,EOMONTH(DATE(cfg_FY,10,1),0))-$E30+1))</f>
        <v>0</v>
      </c>
      <c r="AR30" s="65" t="n">
        <f aca="false">IF(OR(OR($B30="",$E30="",$F30=""),$L30&lt;&gt;"لا"),0,MAX(0,MIN($F30,EOMONTH(DATE(cfg_FY,11,1),0))-$E30+1))</f>
        <v>0</v>
      </c>
      <c r="AS30" s="65" t="n">
        <f aca="false">IF(OR(OR($B30="",$E30="",$F30=""),$L30&lt;&gt;"لا"),0,MAX(0,MIN($F30,EOMONTH(DATE(cfg_FY,12,1),0))-$E30+1))</f>
        <v>0</v>
      </c>
      <c r="AT30" s="65" t="n">
        <f aca="false">IF(OR(OR($B30="",$E30="",$F30=""),$K30&lt;&gt;"نعم",$M30="نعم"),0,MAX(0,MIN($F30,EOMONTH(DATE(cfg_FY,1,1),0))-MAX($E30,DATE(cfg_FY,1,1))+1))</f>
        <v>0</v>
      </c>
      <c r="AU30" s="65" t="n">
        <f aca="false">IF(OR(OR($B30="",$E30="",$F30=""),$K30&lt;&gt;"نعم",$M30="نعم"),0,MAX(0,MIN($F30,EOMONTH(DATE(cfg_FY,2,1),0))-MAX($E30,DATE(cfg_FY,2,1))+1))</f>
        <v>0</v>
      </c>
      <c r="AV30" s="65" t="n">
        <f aca="false">IF(OR(OR($B30="",$E30="",$F30=""),$K30&lt;&gt;"نعم",$M30="نعم"),0,MAX(0,MIN($F30,EOMONTH(DATE(cfg_FY,3,1),0))-MAX($E30,DATE(cfg_FY,3,1))+1))</f>
        <v>0</v>
      </c>
      <c r="AW30" s="65" t="n">
        <f aca="false">IF(OR(OR($B30="",$E30="",$F30=""),$K30&lt;&gt;"نعم",$M30="نعم"),0,MAX(0,MIN($F30,EOMONTH(DATE(cfg_FY,4,1),0))-MAX($E30,DATE(cfg_FY,4,1))+1))</f>
        <v>0</v>
      </c>
      <c r="AX30" s="65" t="n">
        <f aca="false">IF(OR(OR($B30="",$E30="",$F30=""),$K30&lt;&gt;"نعم",$M30="نعم"),0,MAX(0,MIN($F30,EOMONTH(DATE(cfg_FY,5,1),0))-MAX($E30,DATE(cfg_FY,5,1))+1))</f>
        <v>0</v>
      </c>
      <c r="AY30" s="65" t="n">
        <f aca="false">IF(OR(OR($B30="",$E30="",$F30=""),$K30&lt;&gt;"نعم",$M30="نعم"),0,MAX(0,MIN($F30,EOMONTH(DATE(cfg_FY,6,1),0))-MAX($E30,DATE(cfg_FY,6,1))+1))</f>
        <v>0</v>
      </c>
      <c r="AZ30" s="65" t="n">
        <f aca="false">IF(OR(OR($B30="",$E30="",$F30=""),$K30&lt;&gt;"نعم",$M30="نعم"),0,MAX(0,MIN($F30,EOMONTH(DATE(cfg_FY,7,1),0))-MAX($E30,DATE(cfg_FY,7,1))+1))</f>
        <v>0</v>
      </c>
      <c r="BA30" s="65" t="n">
        <f aca="false">IF(OR(OR($B30="",$E30="",$F30=""),$K30&lt;&gt;"نعم",$M30="نعم"),0,MAX(0,MIN($F30,EOMONTH(DATE(cfg_FY,8,1),0))-MAX($E30,DATE(cfg_FY,8,1))+1))</f>
        <v>0</v>
      </c>
      <c r="BB30" s="65" t="n">
        <f aca="false">IF(OR(OR($B30="",$E30="",$F30=""),$K30&lt;&gt;"نعم",$M30="نعم"),0,MAX(0,MIN($F30,EOMONTH(DATE(cfg_FY,9,1),0))-MAX($E30,DATE(cfg_FY,9,1))+1))</f>
        <v>0</v>
      </c>
      <c r="BC30" s="65" t="n">
        <f aca="false">IF(OR(OR($B30="",$E30="",$F30=""),$K30&lt;&gt;"نعم",$M30="نعم"),0,MAX(0,MIN($F30,EOMONTH(DATE(cfg_FY,10,1),0))-MAX($E30,DATE(cfg_FY,10,1))+1))</f>
        <v>0</v>
      </c>
      <c r="BD30" s="65" t="n">
        <f aca="false">IF(OR(OR($B30="",$E30="",$F30=""),$K30&lt;&gt;"نعم",$M30="نعم"),0,MAX(0,MIN($F30,EOMONTH(DATE(cfg_FY,11,1),0))-MAX($E30,DATE(cfg_FY,11,1))+1))</f>
        <v>0</v>
      </c>
      <c r="BE30" s="65" t="n">
        <f aca="false">IF(OR(OR($B30="",$E30="",$F30=""),$K30&lt;&gt;"نعم",$M30="نعم"),0,MAX(0,MIN($F30,EOMONTH(DATE(cfg_FY,12,1),0))-MAX($E30,DATE(cfg_FY,12,1))+1))</f>
        <v>0</v>
      </c>
    </row>
    <row r="31" customFormat="false" ht="15" hidden="false" customHeight="false" outlineLevel="0" collapsed="false">
      <c r="A31" s="115" t="str">
        <f aca="false">IF(B31="","",ROW()-5)</f>
        <v/>
      </c>
      <c r="B31" s="118"/>
      <c r="C31" s="117" t="str">
        <f aca="false">IF(B31="","",IFERROR(INDEX(الموظفون!$C$6:$C$105,MATCH(B31,الموظفون!$B$6:$B$105,0)),"✖ رقم غير موجود"))</f>
        <v/>
      </c>
      <c r="D31" s="118"/>
      <c r="E31" s="119"/>
      <c r="F31" s="119"/>
      <c r="G31" s="133" t="str">
        <f aca="false">IF(OR($B31="",$E31="",$F31=""),"",MAX(0,F31-E31+1))</f>
        <v/>
      </c>
      <c r="H31" s="134" t="str">
        <f aca="false">IF(D31="","",IFERROR(VLOOKUP(D31,cfg_LT,2,FALSE()),1))</f>
        <v/>
      </c>
      <c r="I31" s="135"/>
      <c r="J31" s="134" t="str">
        <f aca="false">IF(D31="","",IF(I31&lt;&gt;"",I31,H31))</f>
        <v/>
      </c>
      <c r="K31" s="117" t="str">
        <f aca="false">IF(D31="","",IFERROR(VLOOKUP($D31,cfg_LT,3,FALSE()),""))</f>
        <v/>
      </c>
      <c r="L31" s="117" t="str">
        <f aca="false">IF(D31="","",IFERROR(VLOOKUP($D31,cfg_LT,4,FALSE()),""))</f>
        <v/>
      </c>
      <c r="M31" s="117" t="str">
        <f aca="false">IF(D31="","",IFERROR(VLOOKUP($D31,cfg_LT,5,FALSE()),""))</f>
        <v/>
      </c>
      <c r="N31" s="116" t="n">
        <f aca="false">IF(OR(OR($B31="",$E31="",$F31=""),M31&lt;&gt;"نعم"),0,G31*J31*IFERROR(INDEX(الموظفون!$R$6:$R$105,MATCH(B31,الموظفون!$B$6:$B$105,0)),0)/cfg_DAYS_M)</f>
        <v>0</v>
      </c>
      <c r="O31" s="115" t="str">
        <f aca="false">IF(OR(OR($B31="",$E31="",$F31=""),M31&lt;&gt;"نعم"),"",IF(YEAR(E31)=cfg_FY,MONTH(E31),""))</f>
        <v/>
      </c>
      <c r="P31" s="117" t="str">
        <f aca="false">IF(B31="","",IF(OR(D31="",E31="",F31=""),"⚠ أكمل النوع والتواريخ",IF(F31&lt;E31,"✖ النهاية قبل البداية",IF(COUNTIFS($B$6:$B$505,B31,$E$6:$E$505,"&lt;="&amp;F31,$F$6:$F$505,"&gt;="&amp;E31)&gt;1,"⚠ تداخل مع سجل آخر",IF(E31&gt;cfg_VAL_DATE,"⏳ قادمة",IF(F31&lt;cfg_VAL_DATE,"✔ منتهية","✈ جارية في تاريخ التقرير"))))))</f>
        <v/>
      </c>
      <c r="Q31" s="118"/>
      <c r="R31" s="133" t="n">
        <f aca="false">IF(OR(OR($B31="",$E31="",$F31=""),L31&lt;&gt;"لا"),0,MAX(0,MIN(F31,cfg_Y_START-1)-E31+1))</f>
        <v>0</v>
      </c>
      <c r="S31" s="133" t="n">
        <f aca="false">IF(OR(OR($B31="",$E31="",$F31=""),L31&lt;&gt;"لا"),0,MAX(0,MIN(F31,cfg_VAL_DATE)-E31+1))</f>
        <v>0</v>
      </c>
      <c r="T31" s="133" t="n">
        <f aca="false">IF(OR(OR($B31="",$E31="",$F31=""),K31&lt;&gt;"نعم"),0,IF(M31="نعم",IF(AND(ISNUMBER(O31),N(O31)&lt;=cfg_VAL_M),G31,0),MAX(0,MIN(F31,cfg_VAL_DATE)-MAX(E31,cfg_Y_START)+1)))</f>
        <v>0</v>
      </c>
      <c r="V31" s="133" t="n">
        <f aca="false">IF(OR($B31="",$E31="",$F31=""),0,MAX(0,MIN($F31,EOMONTH(DATE(cfg_FY,1,1),0))-MAX($E31,DATE(cfg_FY,1,1))+1)*(1-IF($M31="نعم",0,N($J31))))</f>
        <v>0</v>
      </c>
      <c r="W31" s="133" t="n">
        <f aca="false">IF(OR($B31="",$E31="",$F31=""),0,MAX(0,MIN($F31,EOMONTH(DATE(cfg_FY,2,1),0))-MAX($E31,DATE(cfg_FY,2,1))+1)*(1-IF($M31="نعم",0,N($J31))))</f>
        <v>0</v>
      </c>
      <c r="X31" s="133" t="n">
        <f aca="false">IF(OR($B31="",$E31="",$F31=""),0,MAX(0,MIN($F31,EOMONTH(DATE(cfg_FY,3,1),0))-MAX($E31,DATE(cfg_FY,3,1))+1)*(1-IF($M31="نعم",0,N($J31))))</f>
        <v>0</v>
      </c>
      <c r="Y31" s="133" t="n">
        <f aca="false">IF(OR($B31="",$E31="",$F31=""),0,MAX(0,MIN($F31,EOMONTH(DATE(cfg_FY,4,1),0))-MAX($E31,DATE(cfg_FY,4,1))+1)*(1-IF($M31="نعم",0,N($J31))))</f>
        <v>0</v>
      </c>
      <c r="Z31" s="133" t="n">
        <f aca="false">IF(OR($B31="",$E31="",$F31=""),0,MAX(0,MIN($F31,EOMONTH(DATE(cfg_FY,5,1),0))-MAX($E31,DATE(cfg_FY,5,1))+1)*(1-IF($M31="نعم",0,N($J31))))</f>
        <v>0</v>
      </c>
      <c r="AA31" s="133" t="n">
        <f aca="false">IF(OR($B31="",$E31="",$F31=""),0,MAX(0,MIN($F31,EOMONTH(DATE(cfg_FY,6,1),0))-MAX($E31,DATE(cfg_FY,6,1))+1)*(1-IF($M31="نعم",0,N($J31))))</f>
        <v>0</v>
      </c>
      <c r="AB31" s="133" t="n">
        <f aca="false">IF(OR($B31="",$E31="",$F31=""),0,MAX(0,MIN($F31,EOMONTH(DATE(cfg_FY,7,1),0))-MAX($E31,DATE(cfg_FY,7,1))+1)*(1-IF($M31="نعم",0,N($J31))))</f>
        <v>0</v>
      </c>
      <c r="AC31" s="133" t="n">
        <f aca="false">IF(OR($B31="",$E31="",$F31=""),0,MAX(0,MIN($F31,EOMONTH(DATE(cfg_FY,8,1),0))-MAX($E31,DATE(cfg_FY,8,1))+1)*(1-IF($M31="نعم",0,N($J31))))</f>
        <v>0</v>
      </c>
      <c r="AD31" s="133" t="n">
        <f aca="false">IF(OR($B31="",$E31="",$F31=""),0,MAX(0,MIN($F31,EOMONTH(DATE(cfg_FY,9,1),0))-MAX($E31,DATE(cfg_FY,9,1))+1)*(1-IF($M31="نعم",0,N($J31))))</f>
        <v>0</v>
      </c>
      <c r="AE31" s="133" t="n">
        <f aca="false">IF(OR($B31="",$E31="",$F31=""),0,MAX(0,MIN($F31,EOMONTH(DATE(cfg_FY,10,1),0))-MAX($E31,DATE(cfg_FY,10,1))+1)*(1-IF($M31="نعم",0,N($J31))))</f>
        <v>0</v>
      </c>
      <c r="AF31" s="133" t="n">
        <f aca="false">IF(OR($B31="",$E31="",$F31=""),0,MAX(0,MIN($F31,EOMONTH(DATE(cfg_FY,11,1),0))-MAX($E31,DATE(cfg_FY,11,1))+1)*(1-IF($M31="نعم",0,N($J31))))</f>
        <v>0</v>
      </c>
      <c r="AG31" s="133" t="n">
        <f aca="false">IF(OR($B31="",$E31="",$F31=""),0,MAX(0,MIN($F31,EOMONTH(DATE(cfg_FY,12,1),0))-MAX($E31,DATE(cfg_FY,12,1))+1)*(1-IF($M31="نعم",0,N($J31))))</f>
        <v>0</v>
      </c>
      <c r="AH31" s="133" t="n">
        <f aca="false">IF(OR(OR($B31="",$E31="",$F31=""),$L31&lt;&gt;"لا"),0,MAX(0,MIN($F31,EOMONTH(DATE(cfg_FY,1,1),0))-$E31+1))</f>
        <v>0</v>
      </c>
      <c r="AI31" s="133" t="n">
        <f aca="false">IF(OR(OR($B31="",$E31="",$F31=""),$L31&lt;&gt;"لا"),0,MAX(0,MIN($F31,EOMONTH(DATE(cfg_FY,2,1),0))-$E31+1))</f>
        <v>0</v>
      </c>
      <c r="AJ31" s="133" t="n">
        <f aca="false">IF(OR(OR($B31="",$E31="",$F31=""),$L31&lt;&gt;"لا"),0,MAX(0,MIN($F31,EOMONTH(DATE(cfg_FY,3,1),0))-$E31+1))</f>
        <v>0</v>
      </c>
      <c r="AK31" s="133" t="n">
        <f aca="false">IF(OR(OR($B31="",$E31="",$F31=""),$L31&lt;&gt;"لا"),0,MAX(0,MIN($F31,EOMONTH(DATE(cfg_FY,4,1),0))-$E31+1))</f>
        <v>0</v>
      </c>
      <c r="AL31" s="133" t="n">
        <f aca="false">IF(OR(OR($B31="",$E31="",$F31=""),$L31&lt;&gt;"لا"),0,MAX(0,MIN($F31,EOMONTH(DATE(cfg_FY,5,1),0))-$E31+1))</f>
        <v>0</v>
      </c>
      <c r="AM31" s="133" t="n">
        <f aca="false">IF(OR(OR($B31="",$E31="",$F31=""),$L31&lt;&gt;"لا"),0,MAX(0,MIN($F31,EOMONTH(DATE(cfg_FY,6,1),0))-$E31+1))</f>
        <v>0</v>
      </c>
      <c r="AN31" s="133" t="n">
        <f aca="false">IF(OR(OR($B31="",$E31="",$F31=""),$L31&lt;&gt;"لا"),0,MAX(0,MIN($F31,EOMONTH(DATE(cfg_FY,7,1),0))-$E31+1))</f>
        <v>0</v>
      </c>
      <c r="AO31" s="133" t="n">
        <f aca="false">IF(OR(OR($B31="",$E31="",$F31=""),$L31&lt;&gt;"لا"),0,MAX(0,MIN($F31,EOMONTH(DATE(cfg_FY,8,1),0))-$E31+1))</f>
        <v>0</v>
      </c>
      <c r="AP31" s="133" t="n">
        <f aca="false">IF(OR(OR($B31="",$E31="",$F31=""),$L31&lt;&gt;"لا"),0,MAX(0,MIN($F31,EOMONTH(DATE(cfg_FY,9,1),0))-$E31+1))</f>
        <v>0</v>
      </c>
      <c r="AQ31" s="133" t="n">
        <f aca="false">IF(OR(OR($B31="",$E31="",$F31=""),$L31&lt;&gt;"لا"),0,MAX(0,MIN($F31,EOMONTH(DATE(cfg_FY,10,1),0))-$E31+1))</f>
        <v>0</v>
      </c>
      <c r="AR31" s="133" t="n">
        <f aca="false">IF(OR(OR($B31="",$E31="",$F31=""),$L31&lt;&gt;"لا"),0,MAX(0,MIN($F31,EOMONTH(DATE(cfg_FY,11,1),0))-$E31+1))</f>
        <v>0</v>
      </c>
      <c r="AS31" s="133" t="n">
        <f aca="false">IF(OR(OR($B31="",$E31="",$F31=""),$L31&lt;&gt;"لا"),0,MAX(0,MIN($F31,EOMONTH(DATE(cfg_FY,12,1),0))-$E31+1))</f>
        <v>0</v>
      </c>
      <c r="AT31" s="133" t="n">
        <f aca="false">IF(OR(OR($B31="",$E31="",$F31=""),$K31&lt;&gt;"نعم",$M31="نعم"),0,MAX(0,MIN($F31,EOMONTH(DATE(cfg_FY,1,1),0))-MAX($E31,DATE(cfg_FY,1,1))+1))</f>
        <v>0</v>
      </c>
      <c r="AU31" s="133" t="n">
        <f aca="false">IF(OR(OR($B31="",$E31="",$F31=""),$K31&lt;&gt;"نعم",$M31="نعم"),0,MAX(0,MIN($F31,EOMONTH(DATE(cfg_FY,2,1),0))-MAX($E31,DATE(cfg_FY,2,1))+1))</f>
        <v>0</v>
      </c>
      <c r="AV31" s="133" t="n">
        <f aca="false">IF(OR(OR($B31="",$E31="",$F31=""),$K31&lt;&gt;"نعم",$M31="نعم"),0,MAX(0,MIN($F31,EOMONTH(DATE(cfg_FY,3,1),0))-MAX($E31,DATE(cfg_FY,3,1))+1))</f>
        <v>0</v>
      </c>
      <c r="AW31" s="133" t="n">
        <f aca="false">IF(OR(OR($B31="",$E31="",$F31=""),$K31&lt;&gt;"نعم",$M31="نعم"),0,MAX(0,MIN($F31,EOMONTH(DATE(cfg_FY,4,1),0))-MAX($E31,DATE(cfg_FY,4,1))+1))</f>
        <v>0</v>
      </c>
      <c r="AX31" s="133" t="n">
        <f aca="false">IF(OR(OR($B31="",$E31="",$F31=""),$K31&lt;&gt;"نعم",$M31="نعم"),0,MAX(0,MIN($F31,EOMONTH(DATE(cfg_FY,5,1),0))-MAX($E31,DATE(cfg_FY,5,1))+1))</f>
        <v>0</v>
      </c>
      <c r="AY31" s="133" t="n">
        <f aca="false">IF(OR(OR($B31="",$E31="",$F31=""),$K31&lt;&gt;"نعم",$M31="نعم"),0,MAX(0,MIN($F31,EOMONTH(DATE(cfg_FY,6,1),0))-MAX($E31,DATE(cfg_FY,6,1))+1))</f>
        <v>0</v>
      </c>
      <c r="AZ31" s="133" t="n">
        <f aca="false">IF(OR(OR($B31="",$E31="",$F31=""),$K31&lt;&gt;"نعم",$M31="نعم"),0,MAX(0,MIN($F31,EOMONTH(DATE(cfg_FY,7,1),0))-MAX($E31,DATE(cfg_FY,7,1))+1))</f>
        <v>0</v>
      </c>
      <c r="BA31" s="133" t="n">
        <f aca="false">IF(OR(OR($B31="",$E31="",$F31=""),$K31&lt;&gt;"نعم",$M31="نعم"),0,MAX(0,MIN($F31,EOMONTH(DATE(cfg_FY,8,1),0))-MAX($E31,DATE(cfg_FY,8,1))+1))</f>
        <v>0</v>
      </c>
      <c r="BB31" s="133" t="n">
        <f aca="false">IF(OR(OR($B31="",$E31="",$F31=""),$K31&lt;&gt;"نعم",$M31="نعم"),0,MAX(0,MIN($F31,EOMONTH(DATE(cfg_FY,9,1),0))-MAX($E31,DATE(cfg_FY,9,1))+1))</f>
        <v>0</v>
      </c>
      <c r="BC31" s="133" t="n">
        <f aca="false">IF(OR(OR($B31="",$E31="",$F31=""),$K31&lt;&gt;"نعم",$M31="نعم"),0,MAX(0,MIN($F31,EOMONTH(DATE(cfg_FY,10,1),0))-MAX($E31,DATE(cfg_FY,10,1))+1))</f>
        <v>0</v>
      </c>
      <c r="BD31" s="133" t="n">
        <f aca="false">IF(OR(OR($B31="",$E31="",$F31=""),$K31&lt;&gt;"نعم",$M31="نعم"),0,MAX(0,MIN($F31,EOMONTH(DATE(cfg_FY,11,1),0))-MAX($E31,DATE(cfg_FY,11,1))+1))</f>
        <v>0</v>
      </c>
      <c r="BE31" s="133" t="n">
        <f aca="false">IF(OR(OR($B31="",$E31="",$F31=""),$K31&lt;&gt;"نعم",$M31="نعم"),0,MAX(0,MIN($F31,EOMONTH(DATE(cfg_FY,12,1),0))-MAX($E31,DATE(cfg_FY,12,1))+1))</f>
        <v>0</v>
      </c>
    </row>
    <row r="32" customFormat="false" ht="15" hidden="false" customHeight="false" outlineLevel="0" collapsed="false">
      <c r="A32" s="106" t="str">
        <f aca="false">IF(B32="","",ROW()-5)</f>
        <v/>
      </c>
      <c r="B32" s="118"/>
      <c r="C32" s="114" t="str">
        <f aca="false">IF(B32="","",IFERROR(INDEX(الموظفون!$C$6:$C$105,MATCH(B32,الموظفون!$B$6:$B$105,0)),"✖ رقم غير موجود"))</f>
        <v/>
      </c>
      <c r="D32" s="118"/>
      <c r="E32" s="119"/>
      <c r="F32" s="119"/>
      <c r="G32" s="65" t="str">
        <f aca="false">IF(OR($B32="",$E32="",$F32=""),"",MAX(0,F32-E32+1))</f>
        <v/>
      </c>
      <c r="H32" s="66" t="str">
        <f aca="false">IF(D32="","",IFERROR(VLOOKUP(D32,cfg_LT,2,FALSE()),1))</f>
        <v/>
      </c>
      <c r="I32" s="135"/>
      <c r="J32" s="66" t="str">
        <f aca="false">IF(D32="","",IF(I32&lt;&gt;"",I32,H32))</f>
        <v/>
      </c>
      <c r="K32" s="114" t="str">
        <f aca="false">IF(D32="","",IFERROR(VLOOKUP($D32,cfg_LT,3,FALSE()),""))</f>
        <v/>
      </c>
      <c r="L32" s="114" t="str">
        <f aca="false">IF(D32="","",IFERROR(VLOOKUP($D32,cfg_LT,4,FALSE()),""))</f>
        <v/>
      </c>
      <c r="M32" s="114" t="str">
        <f aca="false">IF(D32="","",IFERROR(VLOOKUP($D32,cfg_LT,5,FALSE()),""))</f>
        <v/>
      </c>
      <c r="N32" s="111" t="n">
        <f aca="false">IF(OR(OR($B32="",$E32="",$F32=""),M32&lt;&gt;"نعم"),0,G32*J32*IFERROR(INDEX(الموظفون!$R$6:$R$105,MATCH(B32,الموظفون!$B$6:$B$105,0)),0)/cfg_DAYS_M)</f>
        <v>0</v>
      </c>
      <c r="O32" s="106" t="str">
        <f aca="false">IF(OR(OR($B32="",$E32="",$F32=""),M32&lt;&gt;"نعم"),"",IF(YEAR(E32)=cfg_FY,MONTH(E32),""))</f>
        <v/>
      </c>
      <c r="P32" s="114" t="str">
        <f aca="false">IF(B32="","",IF(OR(D32="",E32="",F32=""),"⚠ أكمل النوع والتواريخ",IF(F32&lt;E32,"✖ النهاية قبل البداية",IF(COUNTIFS($B$6:$B$505,B32,$E$6:$E$505,"&lt;="&amp;F32,$F$6:$F$505,"&gt;="&amp;E32)&gt;1,"⚠ تداخل مع سجل آخر",IF(E32&gt;cfg_VAL_DATE,"⏳ قادمة",IF(F32&lt;cfg_VAL_DATE,"✔ منتهية","✈ جارية في تاريخ التقرير"))))))</f>
        <v/>
      </c>
      <c r="Q32" s="118"/>
      <c r="R32" s="65" t="n">
        <f aca="false">IF(OR(OR($B32="",$E32="",$F32=""),L32&lt;&gt;"لا"),0,MAX(0,MIN(F32,cfg_Y_START-1)-E32+1))</f>
        <v>0</v>
      </c>
      <c r="S32" s="65" t="n">
        <f aca="false">IF(OR(OR($B32="",$E32="",$F32=""),L32&lt;&gt;"لا"),0,MAX(0,MIN(F32,cfg_VAL_DATE)-E32+1))</f>
        <v>0</v>
      </c>
      <c r="T32" s="65" t="n">
        <f aca="false">IF(OR(OR($B32="",$E32="",$F32=""),K32&lt;&gt;"نعم"),0,IF(M32="نعم",IF(AND(ISNUMBER(O32),N(O32)&lt;=cfg_VAL_M),G32,0),MAX(0,MIN(F32,cfg_VAL_DATE)-MAX(E32,cfg_Y_START)+1)))</f>
        <v>0</v>
      </c>
      <c r="V32" s="65" t="n">
        <f aca="false">IF(OR($B32="",$E32="",$F32=""),0,MAX(0,MIN($F32,EOMONTH(DATE(cfg_FY,1,1),0))-MAX($E32,DATE(cfg_FY,1,1))+1)*(1-IF($M32="نعم",0,N($J32))))</f>
        <v>0</v>
      </c>
      <c r="W32" s="65" t="n">
        <f aca="false">IF(OR($B32="",$E32="",$F32=""),0,MAX(0,MIN($F32,EOMONTH(DATE(cfg_FY,2,1),0))-MAX($E32,DATE(cfg_FY,2,1))+1)*(1-IF($M32="نعم",0,N($J32))))</f>
        <v>0</v>
      </c>
      <c r="X32" s="65" t="n">
        <f aca="false">IF(OR($B32="",$E32="",$F32=""),0,MAX(0,MIN($F32,EOMONTH(DATE(cfg_FY,3,1),0))-MAX($E32,DATE(cfg_FY,3,1))+1)*(1-IF($M32="نعم",0,N($J32))))</f>
        <v>0</v>
      </c>
      <c r="Y32" s="65" t="n">
        <f aca="false">IF(OR($B32="",$E32="",$F32=""),0,MAX(0,MIN($F32,EOMONTH(DATE(cfg_FY,4,1),0))-MAX($E32,DATE(cfg_FY,4,1))+1)*(1-IF($M32="نعم",0,N($J32))))</f>
        <v>0</v>
      </c>
      <c r="Z32" s="65" t="n">
        <f aca="false">IF(OR($B32="",$E32="",$F32=""),0,MAX(0,MIN($F32,EOMONTH(DATE(cfg_FY,5,1),0))-MAX($E32,DATE(cfg_FY,5,1))+1)*(1-IF($M32="نعم",0,N($J32))))</f>
        <v>0</v>
      </c>
      <c r="AA32" s="65" t="n">
        <f aca="false">IF(OR($B32="",$E32="",$F32=""),0,MAX(0,MIN($F32,EOMONTH(DATE(cfg_FY,6,1),0))-MAX($E32,DATE(cfg_FY,6,1))+1)*(1-IF($M32="نعم",0,N($J32))))</f>
        <v>0</v>
      </c>
      <c r="AB32" s="65" t="n">
        <f aca="false">IF(OR($B32="",$E32="",$F32=""),0,MAX(0,MIN($F32,EOMONTH(DATE(cfg_FY,7,1),0))-MAX($E32,DATE(cfg_FY,7,1))+1)*(1-IF($M32="نعم",0,N($J32))))</f>
        <v>0</v>
      </c>
      <c r="AC32" s="65" t="n">
        <f aca="false">IF(OR($B32="",$E32="",$F32=""),0,MAX(0,MIN($F32,EOMONTH(DATE(cfg_FY,8,1),0))-MAX($E32,DATE(cfg_FY,8,1))+1)*(1-IF($M32="نعم",0,N($J32))))</f>
        <v>0</v>
      </c>
      <c r="AD32" s="65" t="n">
        <f aca="false">IF(OR($B32="",$E32="",$F32=""),0,MAX(0,MIN($F32,EOMONTH(DATE(cfg_FY,9,1),0))-MAX($E32,DATE(cfg_FY,9,1))+1)*(1-IF($M32="نعم",0,N($J32))))</f>
        <v>0</v>
      </c>
      <c r="AE32" s="65" t="n">
        <f aca="false">IF(OR($B32="",$E32="",$F32=""),0,MAX(0,MIN($F32,EOMONTH(DATE(cfg_FY,10,1),0))-MAX($E32,DATE(cfg_FY,10,1))+1)*(1-IF($M32="نعم",0,N($J32))))</f>
        <v>0</v>
      </c>
      <c r="AF32" s="65" t="n">
        <f aca="false">IF(OR($B32="",$E32="",$F32=""),0,MAX(0,MIN($F32,EOMONTH(DATE(cfg_FY,11,1),0))-MAX($E32,DATE(cfg_FY,11,1))+1)*(1-IF($M32="نعم",0,N($J32))))</f>
        <v>0</v>
      </c>
      <c r="AG32" s="65" t="n">
        <f aca="false">IF(OR($B32="",$E32="",$F32=""),0,MAX(0,MIN($F32,EOMONTH(DATE(cfg_FY,12,1),0))-MAX($E32,DATE(cfg_FY,12,1))+1)*(1-IF($M32="نعم",0,N($J32))))</f>
        <v>0</v>
      </c>
      <c r="AH32" s="65" t="n">
        <f aca="false">IF(OR(OR($B32="",$E32="",$F32=""),$L32&lt;&gt;"لا"),0,MAX(0,MIN($F32,EOMONTH(DATE(cfg_FY,1,1),0))-$E32+1))</f>
        <v>0</v>
      </c>
      <c r="AI32" s="65" t="n">
        <f aca="false">IF(OR(OR($B32="",$E32="",$F32=""),$L32&lt;&gt;"لا"),0,MAX(0,MIN($F32,EOMONTH(DATE(cfg_FY,2,1),0))-$E32+1))</f>
        <v>0</v>
      </c>
      <c r="AJ32" s="65" t="n">
        <f aca="false">IF(OR(OR($B32="",$E32="",$F32=""),$L32&lt;&gt;"لا"),0,MAX(0,MIN($F32,EOMONTH(DATE(cfg_FY,3,1),0))-$E32+1))</f>
        <v>0</v>
      </c>
      <c r="AK32" s="65" t="n">
        <f aca="false">IF(OR(OR($B32="",$E32="",$F32=""),$L32&lt;&gt;"لا"),0,MAX(0,MIN($F32,EOMONTH(DATE(cfg_FY,4,1),0))-$E32+1))</f>
        <v>0</v>
      </c>
      <c r="AL32" s="65" t="n">
        <f aca="false">IF(OR(OR($B32="",$E32="",$F32=""),$L32&lt;&gt;"لا"),0,MAX(0,MIN($F32,EOMONTH(DATE(cfg_FY,5,1),0))-$E32+1))</f>
        <v>0</v>
      </c>
      <c r="AM32" s="65" t="n">
        <f aca="false">IF(OR(OR($B32="",$E32="",$F32=""),$L32&lt;&gt;"لا"),0,MAX(0,MIN($F32,EOMONTH(DATE(cfg_FY,6,1),0))-$E32+1))</f>
        <v>0</v>
      </c>
      <c r="AN32" s="65" t="n">
        <f aca="false">IF(OR(OR($B32="",$E32="",$F32=""),$L32&lt;&gt;"لا"),0,MAX(0,MIN($F32,EOMONTH(DATE(cfg_FY,7,1),0))-$E32+1))</f>
        <v>0</v>
      </c>
      <c r="AO32" s="65" t="n">
        <f aca="false">IF(OR(OR($B32="",$E32="",$F32=""),$L32&lt;&gt;"لا"),0,MAX(0,MIN($F32,EOMONTH(DATE(cfg_FY,8,1),0))-$E32+1))</f>
        <v>0</v>
      </c>
      <c r="AP32" s="65" t="n">
        <f aca="false">IF(OR(OR($B32="",$E32="",$F32=""),$L32&lt;&gt;"لا"),0,MAX(0,MIN($F32,EOMONTH(DATE(cfg_FY,9,1),0))-$E32+1))</f>
        <v>0</v>
      </c>
      <c r="AQ32" s="65" t="n">
        <f aca="false">IF(OR(OR($B32="",$E32="",$F32=""),$L32&lt;&gt;"لا"),0,MAX(0,MIN($F32,EOMONTH(DATE(cfg_FY,10,1),0))-$E32+1))</f>
        <v>0</v>
      </c>
      <c r="AR32" s="65" t="n">
        <f aca="false">IF(OR(OR($B32="",$E32="",$F32=""),$L32&lt;&gt;"لا"),0,MAX(0,MIN($F32,EOMONTH(DATE(cfg_FY,11,1),0))-$E32+1))</f>
        <v>0</v>
      </c>
      <c r="AS32" s="65" t="n">
        <f aca="false">IF(OR(OR($B32="",$E32="",$F32=""),$L32&lt;&gt;"لا"),0,MAX(0,MIN($F32,EOMONTH(DATE(cfg_FY,12,1),0))-$E32+1))</f>
        <v>0</v>
      </c>
      <c r="AT32" s="65" t="n">
        <f aca="false">IF(OR(OR($B32="",$E32="",$F32=""),$K32&lt;&gt;"نعم",$M32="نعم"),0,MAX(0,MIN($F32,EOMONTH(DATE(cfg_FY,1,1),0))-MAX($E32,DATE(cfg_FY,1,1))+1))</f>
        <v>0</v>
      </c>
      <c r="AU32" s="65" t="n">
        <f aca="false">IF(OR(OR($B32="",$E32="",$F32=""),$K32&lt;&gt;"نعم",$M32="نعم"),0,MAX(0,MIN($F32,EOMONTH(DATE(cfg_FY,2,1),0))-MAX($E32,DATE(cfg_FY,2,1))+1))</f>
        <v>0</v>
      </c>
      <c r="AV32" s="65" t="n">
        <f aca="false">IF(OR(OR($B32="",$E32="",$F32=""),$K32&lt;&gt;"نعم",$M32="نعم"),0,MAX(0,MIN($F32,EOMONTH(DATE(cfg_FY,3,1),0))-MAX($E32,DATE(cfg_FY,3,1))+1))</f>
        <v>0</v>
      </c>
      <c r="AW32" s="65" t="n">
        <f aca="false">IF(OR(OR($B32="",$E32="",$F32=""),$K32&lt;&gt;"نعم",$M32="نعم"),0,MAX(0,MIN($F32,EOMONTH(DATE(cfg_FY,4,1),0))-MAX($E32,DATE(cfg_FY,4,1))+1))</f>
        <v>0</v>
      </c>
      <c r="AX32" s="65" t="n">
        <f aca="false">IF(OR(OR($B32="",$E32="",$F32=""),$K32&lt;&gt;"نعم",$M32="نعم"),0,MAX(0,MIN($F32,EOMONTH(DATE(cfg_FY,5,1),0))-MAX($E32,DATE(cfg_FY,5,1))+1))</f>
        <v>0</v>
      </c>
      <c r="AY32" s="65" t="n">
        <f aca="false">IF(OR(OR($B32="",$E32="",$F32=""),$K32&lt;&gt;"نعم",$M32="نعم"),0,MAX(0,MIN($F32,EOMONTH(DATE(cfg_FY,6,1),0))-MAX($E32,DATE(cfg_FY,6,1))+1))</f>
        <v>0</v>
      </c>
      <c r="AZ32" s="65" t="n">
        <f aca="false">IF(OR(OR($B32="",$E32="",$F32=""),$K32&lt;&gt;"نعم",$M32="نعم"),0,MAX(0,MIN($F32,EOMONTH(DATE(cfg_FY,7,1),0))-MAX($E32,DATE(cfg_FY,7,1))+1))</f>
        <v>0</v>
      </c>
      <c r="BA32" s="65" t="n">
        <f aca="false">IF(OR(OR($B32="",$E32="",$F32=""),$K32&lt;&gt;"نعم",$M32="نعم"),0,MAX(0,MIN($F32,EOMONTH(DATE(cfg_FY,8,1),0))-MAX($E32,DATE(cfg_FY,8,1))+1))</f>
        <v>0</v>
      </c>
      <c r="BB32" s="65" t="n">
        <f aca="false">IF(OR(OR($B32="",$E32="",$F32=""),$K32&lt;&gt;"نعم",$M32="نعم"),0,MAX(0,MIN($F32,EOMONTH(DATE(cfg_FY,9,1),0))-MAX($E32,DATE(cfg_FY,9,1))+1))</f>
        <v>0</v>
      </c>
      <c r="BC32" s="65" t="n">
        <f aca="false">IF(OR(OR($B32="",$E32="",$F32=""),$K32&lt;&gt;"نعم",$M32="نعم"),0,MAX(0,MIN($F32,EOMONTH(DATE(cfg_FY,10,1),0))-MAX($E32,DATE(cfg_FY,10,1))+1))</f>
        <v>0</v>
      </c>
      <c r="BD32" s="65" t="n">
        <f aca="false">IF(OR(OR($B32="",$E32="",$F32=""),$K32&lt;&gt;"نعم",$M32="نعم"),0,MAX(0,MIN($F32,EOMONTH(DATE(cfg_FY,11,1),0))-MAX($E32,DATE(cfg_FY,11,1))+1))</f>
        <v>0</v>
      </c>
      <c r="BE32" s="65" t="n">
        <f aca="false">IF(OR(OR($B32="",$E32="",$F32=""),$K32&lt;&gt;"نعم",$M32="نعم"),0,MAX(0,MIN($F32,EOMONTH(DATE(cfg_FY,12,1),0))-MAX($E32,DATE(cfg_FY,12,1))+1))</f>
        <v>0</v>
      </c>
    </row>
    <row r="33" customFormat="false" ht="15" hidden="false" customHeight="false" outlineLevel="0" collapsed="false">
      <c r="A33" s="115" t="str">
        <f aca="false">IF(B33="","",ROW()-5)</f>
        <v/>
      </c>
      <c r="B33" s="118"/>
      <c r="C33" s="117" t="str">
        <f aca="false">IF(B33="","",IFERROR(INDEX(الموظفون!$C$6:$C$105,MATCH(B33,الموظفون!$B$6:$B$105,0)),"✖ رقم غير موجود"))</f>
        <v/>
      </c>
      <c r="D33" s="118"/>
      <c r="E33" s="119"/>
      <c r="F33" s="119"/>
      <c r="G33" s="133" t="str">
        <f aca="false">IF(OR($B33="",$E33="",$F33=""),"",MAX(0,F33-E33+1))</f>
        <v/>
      </c>
      <c r="H33" s="134" t="str">
        <f aca="false">IF(D33="","",IFERROR(VLOOKUP(D33,cfg_LT,2,FALSE()),1))</f>
        <v/>
      </c>
      <c r="I33" s="135"/>
      <c r="J33" s="134" t="str">
        <f aca="false">IF(D33="","",IF(I33&lt;&gt;"",I33,H33))</f>
        <v/>
      </c>
      <c r="K33" s="117" t="str">
        <f aca="false">IF(D33="","",IFERROR(VLOOKUP($D33,cfg_LT,3,FALSE()),""))</f>
        <v/>
      </c>
      <c r="L33" s="117" t="str">
        <f aca="false">IF(D33="","",IFERROR(VLOOKUP($D33,cfg_LT,4,FALSE()),""))</f>
        <v/>
      </c>
      <c r="M33" s="117" t="str">
        <f aca="false">IF(D33="","",IFERROR(VLOOKUP($D33,cfg_LT,5,FALSE()),""))</f>
        <v/>
      </c>
      <c r="N33" s="116" t="n">
        <f aca="false">IF(OR(OR($B33="",$E33="",$F33=""),M33&lt;&gt;"نعم"),0,G33*J33*IFERROR(INDEX(الموظفون!$R$6:$R$105,MATCH(B33,الموظفون!$B$6:$B$105,0)),0)/cfg_DAYS_M)</f>
        <v>0</v>
      </c>
      <c r="O33" s="115" t="str">
        <f aca="false">IF(OR(OR($B33="",$E33="",$F33=""),M33&lt;&gt;"نعم"),"",IF(YEAR(E33)=cfg_FY,MONTH(E33),""))</f>
        <v/>
      </c>
      <c r="P33" s="117" t="str">
        <f aca="false">IF(B33="","",IF(OR(D33="",E33="",F33=""),"⚠ أكمل النوع والتواريخ",IF(F33&lt;E33,"✖ النهاية قبل البداية",IF(COUNTIFS($B$6:$B$505,B33,$E$6:$E$505,"&lt;="&amp;F33,$F$6:$F$505,"&gt;="&amp;E33)&gt;1,"⚠ تداخل مع سجل آخر",IF(E33&gt;cfg_VAL_DATE,"⏳ قادمة",IF(F33&lt;cfg_VAL_DATE,"✔ منتهية","✈ جارية في تاريخ التقرير"))))))</f>
        <v/>
      </c>
      <c r="Q33" s="118"/>
      <c r="R33" s="133" t="n">
        <f aca="false">IF(OR(OR($B33="",$E33="",$F33=""),L33&lt;&gt;"لا"),0,MAX(0,MIN(F33,cfg_Y_START-1)-E33+1))</f>
        <v>0</v>
      </c>
      <c r="S33" s="133" t="n">
        <f aca="false">IF(OR(OR($B33="",$E33="",$F33=""),L33&lt;&gt;"لا"),0,MAX(0,MIN(F33,cfg_VAL_DATE)-E33+1))</f>
        <v>0</v>
      </c>
      <c r="T33" s="133" t="n">
        <f aca="false">IF(OR(OR($B33="",$E33="",$F33=""),K33&lt;&gt;"نعم"),0,IF(M33="نعم",IF(AND(ISNUMBER(O33),N(O33)&lt;=cfg_VAL_M),G33,0),MAX(0,MIN(F33,cfg_VAL_DATE)-MAX(E33,cfg_Y_START)+1)))</f>
        <v>0</v>
      </c>
      <c r="V33" s="133" t="n">
        <f aca="false">IF(OR($B33="",$E33="",$F33=""),0,MAX(0,MIN($F33,EOMONTH(DATE(cfg_FY,1,1),0))-MAX($E33,DATE(cfg_FY,1,1))+1)*(1-IF($M33="نعم",0,N($J33))))</f>
        <v>0</v>
      </c>
      <c r="W33" s="133" t="n">
        <f aca="false">IF(OR($B33="",$E33="",$F33=""),0,MAX(0,MIN($F33,EOMONTH(DATE(cfg_FY,2,1),0))-MAX($E33,DATE(cfg_FY,2,1))+1)*(1-IF($M33="نعم",0,N($J33))))</f>
        <v>0</v>
      </c>
      <c r="X33" s="133" t="n">
        <f aca="false">IF(OR($B33="",$E33="",$F33=""),0,MAX(0,MIN($F33,EOMONTH(DATE(cfg_FY,3,1),0))-MAX($E33,DATE(cfg_FY,3,1))+1)*(1-IF($M33="نعم",0,N($J33))))</f>
        <v>0</v>
      </c>
      <c r="Y33" s="133" t="n">
        <f aca="false">IF(OR($B33="",$E33="",$F33=""),0,MAX(0,MIN($F33,EOMONTH(DATE(cfg_FY,4,1),0))-MAX($E33,DATE(cfg_FY,4,1))+1)*(1-IF($M33="نعم",0,N($J33))))</f>
        <v>0</v>
      </c>
      <c r="Z33" s="133" t="n">
        <f aca="false">IF(OR($B33="",$E33="",$F33=""),0,MAX(0,MIN($F33,EOMONTH(DATE(cfg_FY,5,1),0))-MAX($E33,DATE(cfg_FY,5,1))+1)*(1-IF($M33="نعم",0,N($J33))))</f>
        <v>0</v>
      </c>
      <c r="AA33" s="133" t="n">
        <f aca="false">IF(OR($B33="",$E33="",$F33=""),0,MAX(0,MIN($F33,EOMONTH(DATE(cfg_FY,6,1),0))-MAX($E33,DATE(cfg_FY,6,1))+1)*(1-IF($M33="نعم",0,N($J33))))</f>
        <v>0</v>
      </c>
      <c r="AB33" s="133" t="n">
        <f aca="false">IF(OR($B33="",$E33="",$F33=""),0,MAX(0,MIN($F33,EOMONTH(DATE(cfg_FY,7,1),0))-MAX($E33,DATE(cfg_FY,7,1))+1)*(1-IF($M33="نعم",0,N($J33))))</f>
        <v>0</v>
      </c>
      <c r="AC33" s="133" t="n">
        <f aca="false">IF(OR($B33="",$E33="",$F33=""),0,MAX(0,MIN($F33,EOMONTH(DATE(cfg_FY,8,1),0))-MAX($E33,DATE(cfg_FY,8,1))+1)*(1-IF($M33="نعم",0,N($J33))))</f>
        <v>0</v>
      </c>
      <c r="AD33" s="133" t="n">
        <f aca="false">IF(OR($B33="",$E33="",$F33=""),0,MAX(0,MIN($F33,EOMONTH(DATE(cfg_FY,9,1),0))-MAX($E33,DATE(cfg_FY,9,1))+1)*(1-IF($M33="نعم",0,N($J33))))</f>
        <v>0</v>
      </c>
      <c r="AE33" s="133" t="n">
        <f aca="false">IF(OR($B33="",$E33="",$F33=""),0,MAX(0,MIN($F33,EOMONTH(DATE(cfg_FY,10,1),0))-MAX($E33,DATE(cfg_FY,10,1))+1)*(1-IF($M33="نعم",0,N($J33))))</f>
        <v>0</v>
      </c>
      <c r="AF33" s="133" t="n">
        <f aca="false">IF(OR($B33="",$E33="",$F33=""),0,MAX(0,MIN($F33,EOMONTH(DATE(cfg_FY,11,1),0))-MAX($E33,DATE(cfg_FY,11,1))+1)*(1-IF($M33="نعم",0,N($J33))))</f>
        <v>0</v>
      </c>
      <c r="AG33" s="133" t="n">
        <f aca="false">IF(OR($B33="",$E33="",$F33=""),0,MAX(0,MIN($F33,EOMONTH(DATE(cfg_FY,12,1),0))-MAX($E33,DATE(cfg_FY,12,1))+1)*(1-IF($M33="نعم",0,N($J33))))</f>
        <v>0</v>
      </c>
      <c r="AH33" s="133" t="n">
        <f aca="false">IF(OR(OR($B33="",$E33="",$F33=""),$L33&lt;&gt;"لا"),0,MAX(0,MIN($F33,EOMONTH(DATE(cfg_FY,1,1),0))-$E33+1))</f>
        <v>0</v>
      </c>
      <c r="AI33" s="133" t="n">
        <f aca="false">IF(OR(OR($B33="",$E33="",$F33=""),$L33&lt;&gt;"لا"),0,MAX(0,MIN($F33,EOMONTH(DATE(cfg_FY,2,1),0))-$E33+1))</f>
        <v>0</v>
      </c>
      <c r="AJ33" s="133" t="n">
        <f aca="false">IF(OR(OR($B33="",$E33="",$F33=""),$L33&lt;&gt;"لا"),0,MAX(0,MIN($F33,EOMONTH(DATE(cfg_FY,3,1),0))-$E33+1))</f>
        <v>0</v>
      </c>
      <c r="AK33" s="133" t="n">
        <f aca="false">IF(OR(OR($B33="",$E33="",$F33=""),$L33&lt;&gt;"لا"),0,MAX(0,MIN($F33,EOMONTH(DATE(cfg_FY,4,1),0))-$E33+1))</f>
        <v>0</v>
      </c>
      <c r="AL33" s="133" t="n">
        <f aca="false">IF(OR(OR($B33="",$E33="",$F33=""),$L33&lt;&gt;"لا"),0,MAX(0,MIN($F33,EOMONTH(DATE(cfg_FY,5,1),0))-$E33+1))</f>
        <v>0</v>
      </c>
      <c r="AM33" s="133" t="n">
        <f aca="false">IF(OR(OR($B33="",$E33="",$F33=""),$L33&lt;&gt;"لا"),0,MAX(0,MIN($F33,EOMONTH(DATE(cfg_FY,6,1),0))-$E33+1))</f>
        <v>0</v>
      </c>
      <c r="AN33" s="133" t="n">
        <f aca="false">IF(OR(OR($B33="",$E33="",$F33=""),$L33&lt;&gt;"لا"),0,MAX(0,MIN($F33,EOMONTH(DATE(cfg_FY,7,1),0))-$E33+1))</f>
        <v>0</v>
      </c>
      <c r="AO33" s="133" t="n">
        <f aca="false">IF(OR(OR($B33="",$E33="",$F33=""),$L33&lt;&gt;"لا"),0,MAX(0,MIN($F33,EOMONTH(DATE(cfg_FY,8,1),0))-$E33+1))</f>
        <v>0</v>
      </c>
      <c r="AP33" s="133" t="n">
        <f aca="false">IF(OR(OR($B33="",$E33="",$F33=""),$L33&lt;&gt;"لا"),0,MAX(0,MIN($F33,EOMONTH(DATE(cfg_FY,9,1),0))-$E33+1))</f>
        <v>0</v>
      </c>
      <c r="AQ33" s="133" t="n">
        <f aca="false">IF(OR(OR($B33="",$E33="",$F33=""),$L33&lt;&gt;"لا"),0,MAX(0,MIN($F33,EOMONTH(DATE(cfg_FY,10,1),0))-$E33+1))</f>
        <v>0</v>
      </c>
      <c r="AR33" s="133" t="n">
        <f aca="false">IF(OR(OR($B33="",$E33="",$F33=""),$L33&lt;&gt;"لا"),0,MAX(0,MIN($F33,EOMONTH(DATE(cfg_FY,11,1),0))-$E33+1))</f>
        <v>0</v>
      </c>
      <c r="AS33" s="133" t="n">
        <f aca="false">IF(OR(OR($B33="",$E33="",$F33=""),$L33&lt;&gt;"لا"),0,MAX(0,MIN($F33,EOMONTH(DATE(cfg_FY,12,1),0))-$E33+1))</f>
        <v>0</v>
      </c>
      <c r="AT33" s="133" t="n">
        <f aca="false">IF(OR(OR($B33="",$E33="",$F33=""),$K33&lt;&gt;"نعم",$M33="نعم"),0,MAX(0,MIN($F33,EOMONTH(DATE(cfg_FY,1,1),0))-MAX($E33,DATE(cfg_FY,1,1))+1))</f>
        <v>0</v>
      </c>
      <c r="AU33" s="133" t="n">
        <f aca="false">IF(OR(OR($B33="",$E33="",$F33=""),$K33&lt;&gt;"نعم",$M33="نعم"),0,MAX(0,MIN($F33,EOMONTH(DATE(cfg_FY,2,1),0))-MAX($E33,DATE(cfg_FY,2,1))+1))</f>
        <v>0</v>
      </c>
      <c r="AV33" s="133" t="n">
        <f aca="false">IF(OR(OR($B33="",$E33="",$F33=""),$K33&lt;&gt;"نعم",$M33="نعم"),0,MAX(0,MIN($F33,EOMONTH(DATE(cfg_FY,3,1),0))-MAX($E33,DATE(cfg_FY,3,1))+1))</f>
        <v>0</v>
      </c>
      <c r="AW33" s="133" t="n">
        <f aca="false">IF(OR(OR($B33="",$E33="",$F33=""),$K33&lt;&gt;"نعم",$M33="نعم"),0,MAX(0,MIN($F33,EOMONTH(DATE(cfg_FY,4,1),0))-MAX($E33,DATE(cfg_FY,4,1))+1))</f>
        <v>0</v>
      </c>
      <c r="AX33" s="133" t="n">
        <f aca="false">IF(OR(OR($B33="",$E33="",$F33=""),$K33&lt;&gt;"نعم",$M33="نعم"),0,MAX(0,MIN($F33,EOMONTH(DATE(cfg_FY,5,1),0))-MAX($E33,DATE(cfg_FY,5,1))+1))</f>
        <v>0</v>
      </c>
      <c r="AY33" s="133" t="n">
        <f aca="false">IF(OR(OR($B33="",$E33="",$F33=""),$K33&lt;&gt;"نعم",$M33="نعم"),0,MAX(0,MIN($F33,EOMONTH(DATE(cfg_FY,6,1),0))-MAX($E33,DATE(cfg_FY,6,1))+1))</f>
        <v>0</v>
      </c>
      <c r="AZ33" s="133" t="n">
        <f aca="false">IF(OR(OR($B33="",$E33="",$F33=""),$K33&lt;&gt;"نعم",$M33="نعم"),0,MAX(0,MIN($F33,EOMONTH(DATE(cfg_FY,7,1),0))-MAX($E33,DATE(cfg_FY,7,1))+1))</f>
        <v>0</v>
      </c>
      <c r="BA33" s="133" t="n">
        <f aca="false">IF(OR(OR($B33="",$E33="",$F33=""),$K33&lt;&gt;"نعم",$M33="نعم"),0,MAX(0,MIN($F33,EOMONTH(DATE(cfg_FY,8,1),0))-MAX($E33,DATE(cfg_FY,8,1))+1))</f>
        <v>0</v>
      </c>
      <c r="BB33" s="133" t="n">
        <f aca="false">IF(OR(OR($B33="",$E33="",$F33=""),$K33&lt;&gt;"نعم",$M33="نعم"),0,MAX(0,MIN($F33,EOMONTH(DATE(cfg_FY,9,1),0))-MAX($E33,DATE(cfg_FY,9,1))+1))</f>
        <v>0</v>
      </c>
      <c r="BC33" s="133" t="n">
        <f aca="false">IF(OR(OR($B33="",$E33="",$F33=""),$K33&lt;&gt;"نعم",$M33="نعم"),0,MAX(0,MIN($F33,EOMONTH(DATE(cfg_FY,10,1),0))-MAX($E33,DATE(cfg_FY,10,1))+1))</f>
        <v>0</v>
      </c>
      <c r="BD33" s="133" t="n">
        <f aca="false">IF(OR(OR($B33="",$E33="",$F33=""),$K33&lt;&gt;"نعم",$M33="نعم"),0,MAX(0,MIN($F33,EOMONTH(DATE(cfg_FY,11,1),0))-MAX($E33,DATE(cfg_FY,11,1))+1))</f>
        <v>0</v>
      </c>
      <c r="BE33" s="133" t="n">
        <f aca="false">IF(OR(OR($B33="",$E33="",$F33=""),$K33&lt;&gt;"نعم",$M33="نعم"),0,MAX(0,MIN($F33,EOMONTH(DATE(cfg_FY,12,1),0))-MAX($E33,DATE(cfg_FY,12,1))+1))</f>
        <v>0</v>
      </c>
    </row>
    <row r="34" customFormat="false" ht="15" hidden="false" customHeight="false" outlineLevel="0" collapsed="false">
      <c r="A34" s="106" t="str">
        <f aca="false">IF(B34="","",ROW()-5)</f>
        <v/>
      </c>
      <c r="B34" s="118"/>
      <c r="C34" s="114" t="str">
        <f aca="false">IF(B34="","",IFERROR(INDEX(الموظفون!$C$6:$C$105,MATCH(B34,الموظفون!$B$6:$B$105,0)),"✖ رقم غير موجود"))</f>
        <v/>
      </c>
      <c r="D34" s="118"/>
      <c r="E34" s="119"/>
      <c r="F34" s="119"/>
      <c r="G34" s="65" t="str">
        <f aca="false">IF(OR($B34="",$E34="",$F34=""),"",MAX(0,F34-E34+1))</f>
        <v/>
      </c>
      <c r="H34" s="66" t="str">
        <f aca="false">IF(D34="","",IFERROR(VLOOKUP(D34,cfg_LT,2,FALSE()),1))</f>
        <v/>
      </c>
      <c r="I34" s="135"/>
      <c r="J34" s="66" t="str">
        <f aca="false">IF(D34="","",IF(I34&lt;&gt;"",I34,H34))</f>
        <v/>
      </c>
      <c r="K34" s="114" t="str">
        <f aca="false">IF(D34="","",IFERROR(VLOOKUP($D34,cfg_LT,3,FALSE()),""))</f>
        <v/>
      </c>
      <c r="L34" s="114" t="str">
        <f aca="false">IF(D34="","",IFERROR(VLOOKUP($D34,cfg_LT,4,FALSE()),""))</f>
        <v/>
      </c>
      <c r="M34" s="114" t="str">
        <f aca="false">IF(D34="","",IFERROR(VLOOKUP($D34,cfg_LT,5,FALSE()),""))</f>
        <v/>
      </c>
      <c r="N34" s="111" t="n">
        <f aca="false">IF(OR(OR($B34="",$E34="",$F34=""),M34&lt;&gt;"نعم"),0,G34*J34*IFERROR(INDEX(الموظفون!$R$6:$R$105,MATCH(B34,الموظفون!$B$6:$B$105,0)),0)/cfg_DAYS_M)</f>
        <v>0</v>
      </c>
      <c r="O34" s="106" t="str">
        <f aca="false">IF(OR(OR($B34="",$E34="",$F34=""),M34&lt;&gt;"نعم"),"",IF(YEAR(E34)=cfg_FY,MONTH(E34),""))</f>
        <v/>
      </c>
      <c r="P34" s="114" t="str">
        <f aca="false">IF(B34="","",IF(OR(D34="",E34="",F34=""),"⚠ أكمل النوع والتواريخ",IF(F34&lt;E34,"✖ النهاية قبل البداية",IF(COUNTIFS($B$6:$B$505,B34,$E$6:$E$505,"&lt;="&amp;F34,$F$6:$F$505,"&gt;="&amp;E34)&gt;1,"⚠ تداخل مع سجل آخر",IF(E34&gt;cfg_VAL_DATE,"⏳ قادمة",IF(F34&lt;cfg_VAL_DATE,"✔ منتهية","✈ جارية في تاريخ التقرير"))))))</f>
        <v/>
      </c>
      <c r="Q34" s="118"/>
      <c r="R34" s="65" t="n">
        <f aca="false">IF(OR(OR($B34="",$E34="",$F34=""),L34&lt;&gt;"لا"),0,MAX(0,MIN(F34,cfg_Y_START-1)-E34+1))</f>
        <v>0</v>
      </c>
      <c r="S34" s="65" t="n">
        <f aca="false">IF(OR(OR($B34="",$E34="",$F34=""),L34&lt;&gt;"لا"),0,MAX(0,MIN(F34,cfg_VAL_DATE)-E34+1))</f>
        <v>0</v>
      </c>
      <c r="T34" s="65" t="n">
        <f aca="false">IF(OR(OR($B34="",$E34="",$F34=""),K34&lt;&gt;"نعم"),0,IF(M34="نعم",IF(AND(ISNUMBER(O34),N(O34)&lt;=cfg_VAL_M),G34,0),MAX(0,MIN(F34,cfg_VAL_DATE)-MAX(E34,cfg_Y_START)+1)))</f>
        <v>0</v>
      </c>
      <c r="V34" s="65" t="n">
        <f aca="false">IF(OR($B34="",$E34="",$F34=""),0,MAX(0,MIN($F34,EOMONTH(DATE(cfg_FY,1,1),0))-MAX($E34,DATE(cfg_FY,1,1))+1)*(1-IF($M34="نعم",0,N($J34))))</f>
        <v>0</v>
      </c>
      <c r="W34" s="65" t="n">
        <f aca="false">IF(OR($B34="",$E34="",$F34=""),0,MAX(0,MIN($F34,EOMONTH(DATE(cfg_FY,2,1),0))-MAX($E34,DATE(cfg_FY,2,1))+1)*(1-IF($M34="نعم",0,N($J34))))</f>
        <v>0</v>
      </c>
      <c r="X34" s="65" t="n">
        <f aca="false">IF(OR($B34="",$E34="",$F34=""),0,MAX(0,MIN($F34,EOMONTH(DATE(cfg_FY,3,1),0))-MAX($E34,DATE(cfg_FY,3,1))+1)*(1-IF($M34="نعم",0,N($J34))))</f>
        <v>0</v>
      </c>
      <c r="Y34" s="65" t="n">
        <f aca="false">IF(OR($B34="",$E34="",$F34=""),0,MAX(0,MIN($F34,EOMONTH(DATE(cfg_FY,4,1),0))-MAX($E34,DATE(cfg_FY,4,1))+1)*(1-IF($M34="نعم",0,N($J34))))</f>
        <v>0</v>
      </c>
      <c r="Z34" s="65" t="n">
        <f aca="false">IF(OR($B34="",$E34="",$F34=""),0,MAX(0,MIN($F34,EOMONTH(DATE(cfg_FY,5,1),0))-MAX($E34,DATE(cfg_FY,5,1))+1)*(1-IF($M34="نعم",0,N($J34))))</f>
        <v>0</v>
      </c>
      <c r="AA34" s="65" t="n">
        <f aca="false">IF(OR($B34="",$E34="",$F34=""),0,MAX(0,MIN($F34,EOMONTH(DATE(cfg_FY,6,1),0))-MAX($E34,DATE(cfg_FY,6,1))+1)*(1-IF($M34="نعم",0,N($J34))))</f>
        <v>0</v>
      </c>
      <c r="AB34" s="65" t="n">
        <f aca="false">IF(OR($B34="",$E34="",$F34=""),0,MAX(0,MIN($F34,EOMONTH(DATE(cfg_FY,7,1),0))-MAX($E34,DATE(cfg_FY,7,1))+1)*(1-IF($M34="نعم",0,N($J34))))</f>
        <v>0</v>
      </c>
      <c r="AC34" s="65" t="n">
        <f aca="false">IF(OR($B34="",$E34="",$F34=""),0,MAX(0,MIN($F34,EOMONTH(DATE(cfg_FY,8,1),0))-MAX($E34,DATE(cfg_FY,8,1))+1)*(1-IF($M34="نعم",0,N($J34))))</f>
        <v>0</v>
      </c>
      <c r="AD34" s="65" t="n">
        <f aca="false">IF(OR($B34="",$E34="",$F34=""),0,MAX(0,MIN($F34,EOMONTH(DATE(cfg_FY,9,1),0))-MAX($E34,DATE(cfg_FY,9,1))+1)*(1-IF($M34="نعم",0,N($J34))))</f>
        <v>0</v>
      </c>
      <c r="AE34" s="65" t="n">
        <f aca="false">IF(OR($B34="",$E34="",$F34=""),0,MAX(0,MIN($F34,EOMONTH(DATE(cfg_FY,10,1),0))-MAX($E34,DATE(cfg_FY,10,1))+1)*(1-IF($M34="نعم",0,N($J34))))</f>
        <v>0</v>
      </c>
      <c r="AF34" s="65" t="n">
        <f aca="false">IF(OR($B34="",$E34="",$F34=""),0,MAX(0,MIN($F34,EOMONTH(DATE(cfg_FY,11,1),0))-MAX($E34,DATE(cfg_FY,11,1))+1)*(1-IF($M34="نعم",0,N($J34))))</f>
        <v>0</v>
      </c>
      <c r="AG34" s="65" t="n">
        <f aca="false">IF(OR($B34="",$E34="",$F34=""),0,MAX(0,MIN($F34,EOMONTH(DATE(cfg_FY,12,1),0))-MAX($E34,DATE(cfg_FY,12,1))+1)*(1-IF($M34="نعم",0,N($J34))))</f>
        <v>0</v>
      </c>
      <c r="AH34" s="65" t="n">
        <f aca="false">IF(OR(OR($B34="",$E34="",$F34=""),$L34&lt;&gt;"لا"),0,MAX(0,MIN($F34,EOMONTH(DATE(cfg_FY,1,1),0))-$E34+1))</f>
        <v>0</v>
      </c>
      <c r="AI34" s="65" t="n">
        <f aca="false">IF(OR(OR($B34="",$E34="",$F34=""),$L34&lt;&gt;"لا"),0,MAX(0,MIN($F34,EOMONTH(DATE(cfg_FY,2,1),0))-$E34+1))</f>
        <v>0</v>
      </c>
      <c r="AJ34" s="65" t="n">
        <f aca="false">IF(OR(OR($B34="",$E34="",$F34=""),$L34&lt;&gt;"لا"),0,MAX(0,MIN($F34,EOMONTH(DATE(cfg_FY,3,1),0))-$E34+1))</f>
        <v>0</v>
      </c>
      <c r="AK34" s="65" t="n">
        <f aca="false">IF(OR(OR($B34="",$E34="",$F34=""),$L34&lt;&gt;"لا"),0,MAX(0,MIN($F34,EOMONTH(DATE(cfg_FY,4,1),0))-$E34+1))</f>
        <v>0</v>
      </c>
      <c r="AL34" s="65" t="n">
        <f aca="false">IF(OR(OR($B34="",$E34="",$F34=""),$L34&lt;&gt;"لا"),0,MAX(0,MIN($F34,EOMONTH(DATE(cfg_FY,5,1),0))-$E34+1))</f>
        <v>0</v>
      </c>
      <c r="AM34" s="65" t="n">
        <f aca="false">IF(OR(OR($B34="",$E34="",$F34=""),$L34&lt;&gt;"لا"),0,MAX(0,MIN($F34,EOMONTH(DATE(cfg_FY,6,1),0))-$E34+1))</f>
        <v>0</v>
      </c>
      <c r="AN34" s="65" t="n">
        <f aca="false">IF(OR(OR($B34="",$E34="",$F34=""),$L34&lt;&gt;"لا"),0,MAX(0,MIN($F34,EOMONTH(DATE(cfg_FY,7,1),0))-$E34+1))</f>
        <v>0</v>
      </c>
      <c r="AO34" s="65" t="n">
        <f aca="false">IF(OR(OR($B34="",$E34="",$F34=""),$L34&lt;&gt;"لا"),0,MAX(0,MIN($F34,EOMONTH(DATE(cfg_FY,8,1),0))-$E34+1))</f>
        <v>0</v>
      </c>
      <c r="AP34" s="65" t="n">
        <f aca="false">IF(OR(OR($B34="",$E34="",$F34=""),$L34&lt;&gt;"لا"),0,MAX(0,MIN($F34,EOMONTH(DATE(cfg_FY,9,1),0))-$E34+1))</f>
        <v>0</v>
      </c>
      <c r="AQ34" s="65" t="n">
        <f aca="false">IF(OR(OR($B34="",$E34="",$F34=""),$L34&lt;&gt;"لا"),0,MAX(0,MIN($F34,EOMONTH(DATE(cfg_FY,10,1),0))-$E34+1))</f>
        <v>0</v>
      </c>
      <c r="AR34" s="65" t="n">
        <f aca="false">IF(OR(OR($B34="",$E34="",$F34=""),$L34&lt;&gt;"لا"),0,MAX(0,MIN($F34,EOMONTH(DATE(cfg_FY,11,1),0))-$E34+1))</f>
        <v>0</v>
      </c>
      <c r="AS34" s="65" t="n">
        <f aca="false">IF(OR(OR($B34="",$E34="",$F34=""),$L34&lt;&gt;"لا"),0,MAX(0,MIN($F34,EOMONTH(DATE(cfg_FY,12,1),0))-$E34+1))</f>
        <v>0</v>
      </c>
      <c r="AT34" s="65" t="n">
        <f aca="false">IF(OR(OR($B34="",$E34="",$F34=""),$K34&lt;&gt;"نعم",$M34="نعم"),0,MAX(0,MIN($F34,EOMONTH(DATE(cfg_FY,1,1),0))-MAX($E34,DATE(cfg_FY,1,1))+1))</f>
        <v>0</v>
      </c>
      <c r="AU34" s="65" t="n">
        <f aca="false">IF(OR(OR($B34="",$E34="",$F34=""),$K34&lt;&gt;"نعم",$M34="نعم"),0,MAX(0,MIN($F34,EOMONTH(DATE(cfg_FY,2,1),0))-MAX($E34,DATE(cfg_FY,2,1))+1))</f>
        <v>0</v>
      </c>
      <c r="AV34" s="65" t="n">
        <f aca="false">IF(OR(OR($B34="",$E34="",$F34=""),$K34&lt;&gt;"نعم",$M34="نعم"),0,MAX(0,MIN($F34,EOMONTH(DATE(cfg_FY,3,1),0))-MAX($E34,DATE(cfg_FY,3,1))+1))</f>
        <v>0</v>
      </c>
      <c r="AW34" s="65" t="n">
        <f aca="false">IF(OR(OR($B34="",$E34="",$F34=""),$K34&lt;&gt;"نعم",$M34="نعم"),0,MAX(0,MIN($F34,EOMONTH(DATE(cfg_FY,4,1),0))-MAX($E34,DATE(cfg_FY,4,1))+1))</f>
        <v>0</v>
      </c>
      <c r="AX34" s="65" t="n">
        <f aca="false">IF(OR(OR($B34="",$E34="",$F34=""),$K34&lt;&gt;"نعم",$M34="نعم"),0,MAX(0,MIN($F34,EOMONTH(DATE(cfg_FY,5,1),0))-MAX($E34,DATE(cfg_FY,5,1))+1))</f>
        <v>0</v>
      </c>
      <c r="AY34" s="65" t="n">
        <f aca="false">IF(OR(OR($B34="",$E34="",$F34=""),$K34&lt;&gt;"نعم",$M34="نعم"),0,MAX(0,MIN($F34,EOMONTH(DATE(cfg_FY,6,1),0))-MAX($E34,DATE(cfg_FY,6,1))+1))</f>
        <v>0</v>
      </c>
      <c r="AZ34" s="65" t="n">
        <f aca="false">IF(OR(OR($B34="",$E34="",$F34=""),$K34&lt;&gt;"نعم",$M34="نعم"),0,MAX(0,MIN($F34,EOMONTH(DATE(cfg_FY,7,1),0))-MAX($E34,DATE(cfg_FY,7,1))+1))</f>
        <v>0</v>
      </c>
      <c r="BA34" s="65" t="n">
        <f aca="false">IF(OR(OR($B34="",$E34="",$F34=""),$K34&lt;&gt;"نعم",$M34="نعم"),0,MAX(0,MIN($F34,EOMONTH(DATE(cfg_FY,8,1),0))-MAX($E34,DATE(cfg_FY,8,1))+1))</f>
        <v>0</v>
      </c>
      <c r="BB34" s="65" t="n">
        <f aca="false">IF(OR(OR($B34="",$E34="",$F34=""),$K34&lt;&gt;"نعم",$M34="نعم"),0,MAX(0,MIN($F34,EOMONTH(DATE(cfg_FY,9,1),0))-MAX($E34,DATE(cfg_FY,9,1))+1))</f>
        <v>0</v>
      </c>
      <c r="BC34" s="65" t="n">
        <f aca="false">IF(OR(OR($B34="",$E34="",$F34=""),$K34&lt;&gt;"نعم",$M34="نعم"),0,MAX(0,MIN($F34,EOMONTH(DATE(cfg_FY,10,1),0))-MAX($E34,DATE(cfg_FY,10,1))+1))</f>
        <v>0</v>
      </c>
      <c r="BD34" s="65" t="n">
        <f aca="false">IF(OR(OR($B34="",$E34="",$F34=""),$K34&lt;&gt;"نعم",$M34="نعم"),0,MAX(0,MIN($F34,EOMONTH(DATE(cfg_FY,11,1),0))-MAX($E34,DATE(cfg_FY,11,1))+1))</f>
        <v>0</v>
      </c>
      <c r="BE34" s="65" t="n">
        <f aca="false">IF(OR(OR($B34="",$E34="",$F34=""),$K34&lt;&gt;"نعم",$M34="نعم"),0,MAX(0,MIN($F34,EOMONTH(DATE(cfg_FY,12,1),0))-MAX($E34,DATE(cfg_FY,12,1))+1))</f>
        <v>0</v>
      </c>
    </row>
    <row r="35" customFormat="false" ht="15" hidden="false" customHeight="false" outlineLevel="0" collapsed="false">
      <c r="A35" s="115" t="str">
        <f aca="false">IF(B35="","",ROW()-5)</f>
        <v/>
      </c>
      <c r="B35" s="118"/>
      <c r="C35" s="117" t="str">
        <f aca="false">IF(B35="","",IFERROR(INDEX(الموظفون!$C$6:$C$105,MATCH(B35,الموظفون!$B$6:$B$105,0)),"✖ رقم غير موجود"))</f>
        <v/>
      </c>
      <c r="D35" s="118"/>
      <c r="E35" s="119"/>
      <c r="F35" s="119"/>
      <c r="G35" s="133" t="str">
        <f aca="false">IF(OR($B35="",$E35="",$F35=""),"",MAX(0,F35-E35+1))</f>
        <v/>
      </c>
      <c r="H35" s="134" t="str">
        <f aca="false">IF(D35="","",IFERROR(VLOOKUP(D35,cfg_LT,2,FALSE()),1))</f>
        <v/>
      </c>
      <c r="I35" s="135"/>
      <c r="J35" s="134" t="str">
        <f aca="false">IF(D35="","",IF(I35&lt;&gt;"",I35,H35))</f>
        <v/>
      </c>
      <c r="K35" s="117" t="str">
        <f aca="false">IF(D35="","",IFERROR(VLOOKUP($D35,cfg_LT,3,FALSE()),""))</f>
        <v/>
      </c>
      <c r="L35" s="117" t="str">
        <f aca="false">IF(D35="","",IFERROR(VLOOKUP($D35,cfg_LT,4,FALSE()),""))</f>
        <v/>
      </c>
      <c r="M35" s="117" t="str">
        <f aca="false">IF(D35="","",IFERROR(VLOOKUP($D35,cfg_LT,5,FALSE()),""))</f>
        <v/>
      </c>
      <c r="N35" s="116" t="n">
        <f aca="false">IF(OR(OR($B35="",$E35="",$F35=""),M35&lt;&gt;"نعم"),0,G35*J35*IFERROR(INDEX(الموظفون!$R$6:$R$105,MATCH(B35,الموظفون!$B$6:$B$105,0)),0)/cfg_DAYS_M)</f>
        <v>0</v>
      </c>
      <c r="O35" s="115" t="str">
        <f aca="false">IF(OR(OR($B35="",$E35="",$F35=""),M35&lt;&gt;"نعم"),"",IF(YEAR(E35)=cfg_FY,MONTH(E35),""))</f>
        <v/>
      </c>
      <c r="P35" s="117" t="str">
        <f aca="false">IF(B35="","",IF(OR(D35="",E35="",F35=""),"⚠ أكمل النوع والتواريخ",IF(F35&lt;E35,"✖ النهاية قبل البداية",IF(COUNTIFS($B$6:$B$505,B35,$E$6:$E$505,"&lt;="&amp;F35,$F$6:$F$505,"&gt;="&amp;E35)&gt;1,"⚠ تداخل مع سجل آخر",IF(E35&gt;cfg_VAL_DATE,"⏳ قادمة",IF(F35&lt;cfg_VAL_DATE,"✔ منتهية","✈ جارية في تاريخ التقرير"))))))</f>
        <v/>
      </c>
      <c r="Q35" s="118"/>
      <c r="R35" s="133" t="n">
        <f aca="false">IF(OR(OR($B35="",$E35="",$F35=""),L35&lt;&gt;"لا"),0,MAX(0,MIN(F35,cfg_Y_START-1)-E35+1))</f>
        <v>0</v>
      </c>
      <c r="S35" s="133" t="n">
        <f aca="false">IF(OR(OR($B35="",$E35="",$F35=""),L35&lt;&gt;"لا"),0,MAX(0,MIN(F35,cfg_VAL_DATE)-E35+1))</f>
        <v>0</v>
      </c>
      <c r="T35" s="133" t="n">
        <f aca="false">IF(OR(OR($B35="",$E35="",$F35=""),K35&lt;&gt;"نعم"),0,IF(M35="نعم",IF(AND(ISNUMBER(O35),N(O35)&lt;=cfg_VAL_M),G35,0),MAX(0,MIN(F35,cfg_VAL_DATE)-MAX(E35,cfg_Y_START)+1)))</f>
        <v>0</v>
      </c>
      <c r="V35" s="133" t="n">
        <f aca="false">IF(OR($B35="",$E35="",$F35=""),0,MAX(0,MIN($F35,EOMONTH(DATE(cfg_FY,1,1),0))-MAX($E35,DATE(cfg_FY,1,1))+1)*(1-IF($M35="نعم",0,N($J35))))</f>
        <v>0</v>
      </c>
      <c r="W35" s="133" t="n">
        <f aca="false">IF(OR($B35="",$E35="",$F35=""),0,MAX(0,MIN($F35,EOMONTH(DATE(cfg_FY,2,1),0))-MAX($E35,DATE(cfg_FY,2,1))+1)*(1-IF($M35="نعم",0,N($J35))))</f>
        <v>0</v>
      </c>
      <c r="X35" s="133" t="n">
        <f aca="false">IF(OR($B35="",$E35="",$F35=""),0,MAX(0,MIN($F35,EOMONTH(DATE(cfg_FY,3,1),0))-MAX($E35,DATE(cfg_FY,3,1))+1)*(1-IF($M35="نعم",0,N($J35))))</f>
        <v>0</v>
      </c>
      <c r="Y35" s="133" t="n">
        <f aca="false">IF(OR($B35="",$E35="",$F35=""),0,MAX(0,MIN($F35,EOMONTH(DATE(cfg_FY,4,1),0))-MAX($E35,DATE(cfg_FY,4,1))+1)*(1-IF($M35="نعم",0,N($J35))))</f>
        <v>0</v>
      </c>
      <c r="Z35" s="133" t="n">
        <f aca="false">IF(OR($B35="",$E35="",$F35=""),0,MAX(0,MIN($F35,EOMONTH(DATE(cfg_FY,5,1),0))-MAX($E35,DATE(cfg_FY,5,1))+1)*(1-IF($M35="نعم",0,N($J35))))</f>
        <v>0</v>
      </c>
      <c r="AA35" s="133" t="n">
        <f aca="false">IF(OR($B35="",$E35="",$F35=""),0,MAX(0,MIN($F35,EOMONTH(DATE(cfg_FY,6,1),0))-MAX($E35,DATE(cfg_FY,6,1))+1)*(1-IF($M35="نعم",0,N($J35))))</f>
        <v>0</v>
      </c>
      <c r="AB35" s="133" t="n">
        <f aca="false">IF(OR($B35="",$E35="",$F35=""),0,MAX(0,MIN($F35,EOMONTH(DATE(cfg_FY,7,1),0))-MAX($E35,DATE(cfg_FY,7,1))+1)*(1-IF($M35="نعم",0,N($J35))))</f>
        <v>0</v>
      </c>
      <c r="AC35" s="133" t="n">
        <f aca="false">IF(OR($B35="",$E35="",$F35=""),0,MAX(0,MIN($F35,EOMONTH(DATE(cfg_FY,8,1),0))-MAX($E35,DATE(cfg_FY,8,1))+1)*(1-IF($M35="نعم",0,N($J35))))</f>
        <v>0</v>
      </c>
      <c r="AD35" s="133" t="n">
        <f aca="false">IF(OR($B35="",$E35="",$F35=""),0,MAX(0,MIN($F35,EOMONTH(DATE(cfg_FY,9,1),0))-MAX($E35,DATE(cfg_FY,9,1))+1)*(1-IF($M35="نعم",0,N($J35))))</f>
        <v>0</v>
      </c>
      <c r="AE35" s="133" t="n">
        <f aca="false">IF(OR($B35="",$E35="",$F35=""),0,MAX(0,MIN($F35,EOMONTH(DATE(cfg_FY,10,1),0))-MAX($E35,DATE(cfg_FY,10,1))+1)*(1-IF($M35="نعم",0,N($J35))))</f>
        <v>0</v>
      </c>
      <c r="AF35" s="133" t="n">
        <f aca="false">IF(OR($B35="",$E35="",$F35=""),0,MAX(0,MIN($F35,EOMONTH(DATE(cfg_FY,11,1),0))-MAX($E35,DATE(cfg_FY,11,1))+1)*(1-IF($M35="نعم",0,N($J35))))</f>
        <v>0</v>
      </c>
      <c r="AG35" s="133" t="n">
        <f aca="false">IF(OR($B35="",$E35="",$F35=""),0,MAX(0,MIN($F35,EOMONTH(DATE(cfg_FY,12,1),0))-MAX($E35,DATE(cfg_FY,12,1))+1)*(1-IF($M35="نعم",0,N($J35))))</f>
        <v>0</v>
      </c>
      <c r="AH35" s="133" t="n">
        <f aca="false">IF(OR(OR($B35="",$E35="",$F35=""),$L35&lt;&gt;"لا"),0,MAX(0,MIN($F35,EOMONTH(DATE(cfg_FY,1,1),0))-$E35+1))</f>
        <v>0</v>
      </c>
      <c r="AI35" s="133" t="n">
        <f aca="false">IF(OR(OR($B35="",$E35="",$F35=""),$L35&lt;&gt;"لا"),0,MAX(0,MIN($F35,EOMONTH(DATE(cfg_FY,2,1),0))-$E35+1))</f>
        <v>0</v>
      </c>
      <c r="AJ35" s="133" t="n">
        <f aca="false">IF(OR(OR($B35="",$E35="",$F35=""),$L35&lt;&gt;"لا"),0,MAX(0,MIN($F35,EOMONTH(DATE(cfg_FY,3,1),0))-$E35+1))</f>
        <v>0</v>
      </c>
      <c r="AK35" s="133" t="n">
        <f aca="false">IF(OR(OR($B35="",$E35="",$F35=""),$L35&lt;&gt;"لا"),0,MAX(0,MIN($F35,EOMONTH(DATE(cfg_FY,4,1),0))-$E35+1))</f>
        <v>0</v>
      </c>
      <c r="AL35" s="133" t="n">
        <f aca="false">IF(OR(OR($B35="",$E35="",$F35=""),$L35&lt;&gt;"لا"),0,MAX(0,MIN($F35,EOMONTH(DATE(cfg_FY,5,1),0))-$E35+1))</f>
        <v>0</v>
      </c>
      <c r="AM35" s="133" t="n">
        <f aca="false">IF(OR(OR($B35="",$E35="",$F35=""),$L35&lt;&gt;"لا"),0,MAX(0,MIN($F35,EOMONTH(DATE(cfg_FY,6,1),0))-$E35+1))</f>
        <v>0</v>
      </c>
      <c r="AN35" s="133" t="n">
        <f aca="false">IF(OR(OR($B35="",$E35="",$F35=""),$L35&lt;&gt;"لا"),0,MAX(0,MIN($F35,EOMONTH(DATE(cfg_FY,7,1),0))-$E35+1))</f>
        <v>0</v>
      </c>
      <c r="AO35" s="133" t="n">
        <f aca="false">IF(OR(OR($B35="",$E35="",$F35=""),$L35&lt;&gt;"لا"),0,MAX(0,MIN($F35,EOMONTH(DATE(cfg_FY,8,1),0))-$E35+1))</f>
        <v>0</v>
      </c>
      <c r="AP35" s="133" t="n">
        <f aca="false">IF(OR(OR($B35="",$E35="",$F35=""),$L35&lt;&gt;"لا"),0,MAX(0,MIN($F35,EOMONTH(DATE(cfg_FY,9,1),0))-$E35+1))</f>
        <v>0</v>
      </c>
      <c r="AQ35" s="133" t="n">
        <f aca="false">IF(OR(OR($B35="",$E35="",$F35=""),$L35&lt;&gt;"لا"),0,MAX(0,MIN($F35,EOMONTH(DATE(cfg_FY,10,1),0))-$E35+1))</f>
        <v>0</v>
      </c>
      <c r="AR35" s="133" t="n">
        <f aca="false">IF(OR(OR($B35="",$E35="",$F35=""),$L35&lt;&gt;"لا"),0,MAX(0,MIN($F35,EOMONTH(DATE(cfg_FY,11,1),0))-$E35+1))</f>
        <v>0</v>
      </c>
      <c r="AS35" s="133" t="n">
        <f aca="false">IF(OR(OR($B35="",$E35="",$F35=""),$L35&lt;&gt;"لا"),0,MAX(0,MIN($F35,EOMONTH(DATE(cfg_FY,12,1),0))-$E35+1))</f>
        <v>0</v>
      </c>
      <c r="AT35" s="133" t="n">
        <f aca="false">IF(OR(OR($B35="",$E35="",$F35=""),$K35&lt;&gt;"نعم",$M35="نعم"),0,MAX(0,MIN($F35,EOMONTH(DATE(cfg_FY,1,1),0))-MAX($E35,DATE(cfg_FY,1,1))+1))</f>
        <v>0</v>
      </c>
      <c r="AU35" s="133" t="n">
        <f aca="false">IF(OR(OR($B35="",$E35="",$F35=""),$K35&lt;&gt;"نعم",$M35="نعم"),0,MAX(0,MIN($F35,EOMONTH(DATE(cfg_FY,2,1),0))-MAX($E35,DATE(cfg_FY,2,1))+1))</f>
        <v>0</v>
      </c>
      <c r="AV35" s="133" t="n">
        <f aca="false">IF(OR(OR($B35="",$E35="",$F35=""),$K35&lt;&gt;"نعم",$M35="نعم"),0,MAX(0,MIN($F35,EOMONTH(DATE(cfg_FY,3,1),0))-MAX($E35,DATE(cfg_FY,3,1))+1))</f>
        <v>0</v>
      </c>
      <c r="AW35" s="133" t="n">
        <f aca="false">IF(OR(OR($B35="",$E35="",$F35=""),$K35&lt;&gt;"نعم",$M35="نعم"),0,MAX(0,MIN($F35,EOMONTH(DATE(cfg_FY,4,1),0))-MAX($E35,DATE(cfg_FY,4,1))+1))</f>
        <v>0</v>
      </c>
      <c r="AX35" s="133" t="n">
        <f aca="false">IF(OR(OR($B35="",$E35="",$F35=""),$K35&lt;&gt;"نعم",$M35="نعم"),0,MAX(0,MIN($F35,EOMONTH(DATE(cfg_FY,5,1),0))-MAX($E35,DATE(cfg_FY,5,1))+1))</f>
        <v>0</v>
      </c>
      <c r="AY35" s="133" t="n">
        <f aca="false">IF(OR(OR($B35="",$E35="",$F35=""),$K35&lt;&gt;"نعم",$M35="نعم"),0,MAX(0,MIN($F35,EOMONTH(DATE(cfg_FY,6,1),0))-MAX($E35,DATE(cfg_FY,6,1))+1))</f>
        <v>0</v>
      </c>
      <c r="AZ35" s="133" t="n">
        <f aca="false">IF(OR(OR($B35="",$E35="",$F35=""),$K35&lt;&gt;"نعم",$M35="نعم"),0,MAX(0,MIN($F35,EOMONTH(DATE(cfg_FY,7,1),0))-MAX($E35,DATE(cfg_FY,7,1))+1))</f>
        <v>0</v>
      </c>
      <c r="BA35" s="133" t="n">
        <f aca="false">IF(OR(OR($B35="",$E35="",$F35=""),$K35&lt;&gt;"نعم",$M35="نعم"),0,MAX(0,MIN($F35,EOMONTH(DATE(cfg_FY,8,1),0))-MAX($E35,DATE(cfg_FY,8,1))+1))</f>
        <v>0</v>
      </c>
      <c r="BB35" s="133" t="n">
        <f aca="false">IF(OR(OR($B35="",$E35="",$F35=""),$K35&lt;&gt;"نعم",$M35="نعم"),0,MAX(0,MIN($F35,EOMONTH(DATE(cfg_FY,9,1),0))-MAX($E35,DATE(cfg_FY,9,1))+1))</f>
        <v>0</v>
      </c>
      <c r="BC35" s="133" t="n">
        <f aca="false">IF(OR(OR($B35="",$E35="",$F35=""),$K35&lt;&gt;"نعم",$M35="نعم"),0,MAX(0,MIN($F35,EOMONTH(DATE(cfg_FY,10,1),0))-MAX($E35,DATE(cfg_FY,10,1))+1))</f>
        <v>0</v>
      </c>
      <c r="BD35" s="133" t="n">
        <f aca="false">IF(OR(OR($B35="",$E35="",$F35=""),$K35&lt;&gt;"نعم",$M35="نعم"),0,MAX(0,MIN($F35,EOMONTH(DATE(cfg_FY,11,1),0))-MAX($E35,DATE(cfg_FY,11,1))+1))</f>
        <v>0</v>
      </c>
      <c r="BE35" s="133" t="n">
        <f aca="false">IF(OR(OR($B35="",$E35="",$F35=""),$K35&lt;&gt;"نعم",$M35="نعم"),0,MAX(0,MIN($F35,EOMONTH(DATE(cfg_FY,12,1),0))-MAX($E35,DATE(cfg_FY,12,1))+1))</f>
        <v>0</v>
      </c>
    </row>
    <row r="36" customFormat="false" ht="15" hidden="false" customHeight="false" outlineLevel="0" collapsed="false">
      <c r="A36" s="106" t="str">
        <f aca="false">IF(B36="","",ROW()-5)</f>
        <v/>
      </c>
      <c r="B36" s="118"/>
      <c r="C36" s="114" t="str">
        <f aca="false">IF(B36="","",IFERROR(INDEX(الموظفون!$C$6:$C$105,MATCH(B36,الموظفون!$B$6:$B$105,0)),"✖ رقم غير موجود"))</f>
        <v/>
      </c>
      <c r="D36" s="118"/>
      <c r="E36" s="119"/>
      <c r="F36" s="119"/>
      <c r="G36" s="65" t="str">
        <f aca="false">IF(OR($B36="",$E36="",$F36=""),"",MAX(0,F36-E36+1))</f>
        <v/>
      </c>
      <c r="H36" s="66" t="str">
        <f aca="false">IF(D36="","",IFERROR(VLOOKUP(D36,cfg_LT,2,FALSE()),1))</f>
        <v/>
      </c>
      <c r="I36" s="135"/>
      <c r="J36" s="66" t="str">
        <f aca="false">IF(D36="","",IF(I36&lt;&gt;"",I36,H36))</f>
        <v/>
      </c>
      <c r="K36" s="114" t="str">
        <f aca="false">IF(D36="","",IFERROR(VLOOKUP($D36,cfg_LT,3,FALSE()),""))</f>
        <v/>
      </c>
      <c r="L36" s="114" t="str">
        <f aca="false">IF(D36="","",IFERROR(VLOOKUP($D36,cfg_LT,4,FALSE()),""))</f>
        <v/>
      </c>
      <c r="M36" s="114" t="str">
        <f aca="false">IF(D36="","",IFERROR(VLOOKUP($D36,cfg_LT,5,FALSE()),""))</f>
        <v/>
      </c>
      <c r="N36" s="111" t="n">
        <f aca="false">IF(OR(OR($B36="",$E36="",$F36=""),M36&lt;&gt;"نعم"),0,G36*J36*IFERROR(INDEX(الموظفون!$R$6:$R$105,MATCH(B36,الموظفون!$B$6:$B$105,0)),0)/cfg_DAYS_M)</f>
        <v>0</v>
      </c>
      <c r="O36" s="106" t="str">
        <f aca="false">IF(OR(OR($B36="",$E36="",$F36=""),M36&lt;&gt;"نعم"),"",IF(YEAR(E36)=cfg_FY,MONTH(E36),""))</f>
        <v/>
      </c>
      <c r="P36" s="114" t="str">
        <f aca="false">IF(B36="","",IF(OR(D36="",E36="",F36=""),"⚠ أكمل النوع والتواريخ",IF(F36&lt;E36,"✖ النهاية قبل البداية",IF(COUNTIFS($B$6:$B$505,B36,$E$6:$E$505,"&lt;="&amp;F36,$F$6:$F$505,"&gt;="&amp;E36)&gt;1,"⚠ تداخل مع سجل آخر",IF(E36&gt;cfg_VAL_DATE,"⏳ قادمة",IF(F36&lt;cfg_VAL_DATE,"✔ منتهية","✈ جارية في تاريخ التقرير"))))))</f>
        <v/>
      </c>
      <c r="Q36" s="118"/>
      <c r="R36" s="65" t="n">
        <f aca="false">IF(OR(OR($B36="",$E36="",$F36=""),L36&lt;&gt;"لا"),0,MAX(0,MIN(F36,cfg_Y_START-1)-E36+1))</f>
        <v>0</v>
      </c>
      <c r="S36" s="65" t="n">
        <f aca="false">IF(OR(OR($B36="",$E36="",$F36=""),L36&lt;&gt;"لا"),0,MAX(0,MIN(F36,cfg_VAL_DATE)-E36+1))</f>
        <v>0</v>
      </c>
      <c r="T36" s="65" t="n">
        <f aca="false">IF(OR(OR($B36="",$E36="",$F36=""),K36&lt;&gt;"نعم"),0,IF(M36="نعم",IF(AND(ISNUMBER(O36),N(O36)&lt;=cfg_VAL_M),G36,0),MAX(0,MIN(F36,cfg_VAL_DATE)-MAX(E36,cfg_Y_START)+1)))</f>
        <v>0</v>
      </c>
      <c r="V36" s="65" t="n">
        <f aca="false">IF(OR($B36="",$E36="",$F36=""),0,MAX(0,MIN($F36,EOMONTH(DATE(cfg_FY,1,1),0))-MAX($E36,DATE(cfg_FY,1,1))+1)*(1-IF($M36="نعم",0,N($J36))))</f>
        <v>0</v>
      </c>
      <c r="W36" s="65" t="n">
        <f aca="false">IF(OR($B36="",$E36="",$F36=""),0,MAX(0,MIN($F36,EOMONTH(DATE(cfg_FY,2,1),0))-MAX($E36,DATE(cfg_FY,2,1))+1)*(1-IF($M36="نعم",0,N($J36))))</f>
        <v>0</v>
      </c>
      <c r="X36" s="65" t="n">
        <f aca="false">IF(OR($B36="",$E36="",$F36=""),0,MAX(0,MIN($F36,EOMONTH(DATE(cfg_FY,3,1),0))-MAX($E36,DATE(cfg_FY,3,1))+1)*(1-IF($M36="نعم",0,N($J36))))</f>
        <v>0</v>
      </c>
      <c r="Y36" s="65" t="n">
        <f aca="false">IF(OR($B36="",$E36="",$F36=""),0,MAX(0,MIN($F36,EOMONTH(DATE(cfg_FY,4,1),0))-MAX($E36,DATE(cfg_FY,4,1))+1)*(1-IF($M36="نعم",0,N($J36))))</f>
        <v>0</v>
      </c>
      <c r="Z36" s="65" t="n">
        <f aca="false">IF(OR($B36="",$E36="",$F36=""),0,MAX(0,MIN($F36,EOMONTH(DATE(cfg_FY,5,1),0))-MAX($E36,DATE(cfg_FY,5,1))+1)*(1-IF($M36="نعم",0,N($J36))))</f>
        <v>0</v>
      </c>
      <c r="AA36" s="65" t="n">
        <f aca="false">IF(OR($B36="",$E36="",$F36=""),0,MAX(0,MIN($F36,EOMONTH(DATE(cfg_FY,6,1),0))-MAX($E36,DATE(cfg_FY,6,1))+1)*(1-IF($M36="نعم",0,N($J36))))</f>
        <v>0</v>
      </c>
      <c r="AB36" s="65" t="n">
        <f aca="false">IF(OR($B36="",$E36="",$F36=""),0,MAX(0,MIN($F36,EOMONTH(DATE(cfg_FY,7,1),0))-MAX($E36,DATE(cfg_FY,7,1))+1)*(1-IF($M36="نعم",0,N($J36))))</f>
        <v>0</v>
      </c>
      <c r="AC36" s="65" t="n">
        <f aca="false">IF(OR($B36="",$E36="",$F36=""),0,MAX(0,MIN($F36,EOMONTH(DATE(cfg_FY,8,1),0))-MAX($E36,DATE(cfg_FY,8,1))+1)*(1-IF($M36="نعم",0,N($J36))))</f>
        <v>0</v>
      </c>
      <c r="AD36" s="65" t="n">
        <f aca="false">IF(OR($B36="",$E36="",$F36=""),0,MAX(0,MIN($F36,EOMONTH(DATE(cfg_FY,9,1),0))-MAX($E36,DATE(cfg_FY,9,1))+1)*(1-IF($M36="نعم",0,N($J36))))</f>
        <v>0</v>
      </c>
      <c r="AE36" s="65" t="n">
        <f aca="false">IF(OR($B36="",$E36="",$F36=""),0,MAX(0,MIN($F36,EOMONTH(DATE(cfg_FY,10,1),0))-MAX($E36,DATE(cfg_FY,10,1))+1)*(1-IF($M36="نعم",0,N($J36))))</f>
        <v>0</v>
      </c>
      <c r="AF36" s="65" t="n">
        <f aca="false">IF(OR($B36="",$E36="",$F36=""),0,MAX(0,MIN($F36,EOMONTH(DATE(cfg_FY,11,1),0))-MAX($E36,DATE(cfg_FY,11,1))+1)*(1-IF($M36="نعم",0,N($J36))))</f>
        <v>0</v>
      </c>
      <c r="AG36" s="65" t="n">
        <f aca="false">IF(OR($B36="",$E36="",$F36=""),0,MAX(0,MIN($F36,EOMONTH(DATE(cfg_FY,12,1),0))-MAX($E36,DATE(cfg_FY,12,1))+1)*(1-IF($M36="نعم",0,N($J36))))</f>
        <v>0</v>
      </c>
      <c r="AH36" s="65" t="n">
        <f aca="false">IF(OR(OR($B36="",$E36="",$F36=""),$L36&lt;&gt;"لا"),0,MAX(0,MIN($F36,EOMONTH(DATE(cfg_FY,1,1),0))-$E36+1))</f>
        <v>0</v>
      </c>
      <c r="AI36" s="65" t="n">
        <f aca="false">IF(OR(OR($B36="",$E36="",$F36=""),$L36&lt;&gt;"لا"),0,MAX(0,MIN($F36,EOMONTH(DATE(cfg_FY,2,1),0))-$E36+1))</f>
        <v>0</v>
      </c>
      <c r="AJ36" s="65" t="n">
        <f aca="false">IF(OR(OR($B36="",$E36="",$F36=""),$L36&lt;&gt;"لا"),0,MAX(0,MIN($F36,EOMONTH(DATE(cfg_FY,3,1),0))-$E36+1))</f>
        <v>0</v>
      </c>
      <c r="AK36" s="65" t="n">
        <f aca="false">IF(OR(OR($B36="",$E36="",$F36=""),$L36&lt;&gt;"لا"),0,MAX(0,MIN($F36,EOMONTH(DATE(cfg_FY,4,1),0))-$E36+1))</f>
        <v>0</v>
      </c>
      <c r="AL36" s="65" t="n">
        <f aca="false">IF(OR(OR($B36="",$E36="",$F36=""),$L36&lt;&gt;"لا"),0,MAX(0,MIN($F36,EOMONTH(DATE(cfg_FY,5,1),0))-$E36+1))</f>
        <v>0</v>
      </c>
      <c r="AM36" s="65" t="n">
        <f aca="false">IF(OR(OR($B36="",$E36="",$F36=""),$L36&lt;&gt;"لا"),0,MAX(0,MIN($F36,EOMONTH(DATE(cfg_FY,6,1),0))-$E36+1))</f>
        <v>0</v>
      </c>
      <c r="AN36" s="65" t="n">
        <f aca="false">IF(OR(OR($B36="",$E36="",$F36=""),$L36&lt;&gt;"لا"),0,MAX(0,MIN($F36,EOMONTH(DATE(cfg_FY,7,1),0))-$E36+1))</f>
        <v>0</v>
      </c>
      <c r="AO36" s="65" t="n">
        <f aca="false">IF(OR(OR($B36="",$E36="",$F36=""),$L36&lt;&gt;"لا"),0,MAX(0,MIN($F36,EOMONTH(DATE(cfg_FY,8,1),0))-$E36+1))</f>
        <v>0</v>
      </c>
      <c r="AP36" s="65" t="n">
        <f aca="false">IF(OR(OR($B36="",$E36="",$F36=""),$L36&lt;&gt;"لا"),0,MAX(0,MIN($F36,EOMONTH(DATE(cfg_FY,9,1),0))-$E36+1))</f>
        <v>0</v>
      </c>
      <c r="AQ36" s="65" t="n">
        <f aca="false">IF(OR(OR($B36="",$E36="",$F36=""),$L36&lt;&gt;"لا"),0,MAX(0,MIN($F36,EOMONTH(DATE(cfg_FY,10,1),0))-$E36+1))</f>
        <v>0</v>
      </c>
      <c r="AR36" s="65" t="n">
        <f aca="false">IF(OR(OR($B36="",$E36="",$F36=""),$L36&lt;&gt;"لا"),0,MAX(0,MIN($F36,EOMONTH(DATE(cfg_FY,11,1),0))-$E36+1))</f>
        <v>0</v>
      </c>
      <c r="AS36" s="65" t="n">
        <f aca="false">IF(OR(OR($B36="",$E36="",$F36=""),$L36&lt;&gt;"لا"),0,MAX(0,MIN($F36,EOMONTH(DATE(cfg_FY,12,1),0))-$E36+1))</f>
        <v>0</v>
      </c>
      <c r="AT36" s="65" t="n">
        <f aca="false">IF(OR(OR($B36="",$E36="",$F36=""),$K36&lt;&gt;"نعم",$M36="نعم"),0,MAX(0,MIN($F36,EOMONTH(DATE(cfg_FY,1,1),0))-MAX($E36,DATE(cfg_FY,1,1))+1))</f>
        <v>0</v>
      </c>
      <c r="AU36" s="65" t="n">
        <f aca="false">IF(OR(OR($B36="",$E36="",$F36=""),$K36&lt;&gt;"نعم",$M36="نعم"),0,MAX(0,MIN($F36,EOMONTH(DATE(cfg_FY,2,1),0))-MAX($E36,DATE(cfg_FY,2,1))+1))</f>
        <v>0</v>
      </c>
      <c r="AV36" s="65" t="n">
        <f aca="false">IF(OR(OR($B36="",$E36="",$F36=""),$K36&lt;&gt;"نعم",$M36="نعم"),0,MAX(0,MIN($F36,EOMONTH(DATE(cfg_FY,3,1),0))-MAX($E36,DATE(cfg_FY,3,1))+1))</f>
        <v>0</v>
      </c>
      <c r="AW36" s="65" t="n">
        <f aca="false">IF(OR(OR($B36="",$E36="",$F36=""),$K36&lt;&gt;"نعم",$M36="نعم"),0,MAX(0,MIN($F36,EOMONTH(DATE(cfg_FY,4,1),0))-MAX($E36,DATE(cfg_FY,4,1))+1))</f>
        <v>0</v>
      </c>
      <c r="AX36" s="65" t="n">
        <f aca="false">IF(OR(OR($B36="",$E36="",$F36=""),$K36&lt;&gt;"نعم",$M36="نعم"),0,MAX(0,MIN($F36,EOMONTH(DATE(cfg_FY,5,1),0))-MAX($E36,DATE(cfg_FY,5,1))+1))</f>
        <v>0</v>
      </c>
      <c r="AY36" s="65" t="n">
        <f aca="false">IF(OR(OR($B36="",$E36="",$F36=""),$K36&lt;&gt;"نعم",$M36="نعم"),0,MAX(0,MIN($F36,EOMONTH(DATE(cfg_FY,6,1),0))-MAX($E36,DATE(cfg_FY,6,1))+1))</f>
        <v>0</v>
      </c>
      <c r="AZ36" s="65" t="n">
        <f aca="false">IF(OR(OR($B36="",$E36="",$F36=""),$K36&lt;&gt;"نعم",$M36="نعم"),0,MAX(0,MIN($F36,EOMONTH(DATE(cfg_FY,7,1),0))-MAX($E36,DATE(cfg_FY,7,1))+1))</f>
        <v>0</v>
      </c>
      <c r="BA36" s="65" t="n">
        <f aca="false">IF(OR(OR($B36="",$E36="",$F36=""),$K36&lt;&gt;"نعم",$M36="نعم"),0,MAX(0,MIN($F36,EOMONTH(DATE(cfg_FY,8,1),0))-MAX($E36,DATE(cfg_FY,8,1))+1))</f>
        <v>0</v>
      </c>
      <c r="BB36" s="65" t="n">
        <f aca="false">IF(OR(OR($B36="",$E36="",$F36=""),$K36&lt;&gt;"نعم",$M36="نعم"),0,MAX(0,MIN($F36,EOMONTH(DATE(cfg_FY,9,1),0))-MAX($E36,DATE(cfg_FY,9,1))+1))</f>
        <v>0</v>
      </c>
      <c r="BC36" s="65" t="n">
        <f aca="false">IF(OR(OR($B36="",$E36="",$F36=""),$K36&lt;&gt;"نعم",$M36="نعم"),0,MAX(0,MIN($F36,EOMONTH(DATE(cfg_FY,10,1),0))-MAX($E36,DATE(cfg_FY,10,1))+1))</f>
        <v>0</v>
      </c>
      <c r="BD36" s="65" t="n">
        <f aca="false">IF(OR(OR($B36="",$E36="",$F36=""),$K36&lt;&gt;"نعم",$M36="نعم"),0,MAX(0,MIN($F36,EOMONTH(DATE(cfg_FY,11,1),0))-MAX($E36,DATE(cfg_FY,11,1))+1))</f>
        <v>0</v>
      </c>
      <c r="BE36" s="65" t="n">
        <f aca="false">IF(OR(OR($B36="",$E36="",$F36=""),$K36&lt;&gt;"نعم",$M36="نعم"),0,MAX(0,MIN($F36,EOMONTH(DATE(cfg_FY,12,1),0))-MAX($E36,DATE(cfg_FY,12,1))+1))</f>
        <v>0</v>
      </c>
    </row>
    <row r="37" customFormat="false" ht="15" hidden="false" customHeight="false" outlineLevel="0" collapsed="false">
      <c r="A37" s="115" t="str">
        <f aca="false">IF(B37="","",ROW()-5)</f>
        <v/>
      </c>
      <c r="B37" s="118"/>
      <c r="C37" s="117" t="str">
        <f aca="false">IF(B37="","",IFERROR(INDEX(الموظفون!$C$6:$C$105,MATCH(B37,الموظفون!$B$6:$B$105,0)),"✖ رقم غير موجود"))</f>
        <v/>
      </c>
      <c r="D37" s="118"/>
      <c r="E37" s="119"/>
      <c r="F37" s="119"/>
      <c r="G37" s="133" t="str">
        <f aca="false">IF(OR($B37="",$E37="",$F37=""),"",MAX(0,F37-E37+1))</f>
        <v/>
      </c>
      <c r="H37" s="134" t="str">
        <f aca="false">IF(D37="","",IFERROR(VLOOKUP(D37,cfg_LT,2,FALSE()),1))</f>
        <v/>
      </c>
      <c r="I37" s="135"/>
      <c r="J37" s="134" t="str">
        <f aca="false">IF(D37="","",IF(I37&lt;&gt;"",I37,H37))</f>
        <v/>
      </c>
      <c r="K37" s="117" t="str">
        <f aca="false">IF(D37="","",IFERROR(VLOOKUP($D37,cfg_LT,3,FALSE()),""))</f>
        <v/>
      </c>
      <c r="L37" s="117" t="str">
        <f aca="false">IF(D37="","",IFERROR(VLOOKUP($D37,cfg_LT,4,FALSE()),""))</f>
        <v/>
      </c>
      <c r="M37" s="117" t="str">
        <f aca="false">IF(D37="","",IFERROR(VLOOKUP($D37,cfg_LT,5,FALSE()),""))</f>
        <v/>
      </c>
      <c r="N37" s="116" t="n">
        <f aca="false">IF(OR(OR($B37="",$E37="",$F37=""),M37&lt;&gt;"نعم"),0,G37*J37*IFERROR(INDEX(الموظفون!$R$6:$R$105,MATCH(B37,الموظفون!$B$6:$B$105,0)),0)/cfg_DAYS_M)</f>
        <v>0</v>
      </c>
      <c r="O37" s="115" t="str">
        <f aca="false">IF(OR(OR($B37="",$E37="",$F37=""),M37&lt;&gt;"نعم"),"",IF(YEAR(E37)=cfg_FY,MONTH(E37),""))</f>
        <v/>
      </c>
      <c r="P37" s="117" t="str">
        <f aca="false">IF(B37="","",IF(OR(D37="",E37="",F37=""),"⚠ أكمل النوع والتواريخ",IF(F37&lt;E37,"✖ النهاية قبل البداية",IF(COUNTIFS($B$6:$B$505,B37,$E$6:$E$505,"&lt;="&amp;F37,$F$6:$F$505,"&gt;="&amp;E37)&gt;1,"⚠ تداخل مع سجل آخر",IF(E37&gt;cfg_VAL_DATE,"⏳ قادمة",IF(F37&lt;cfg_VAL_DATE,"✔ منتهية","✈ جارية في تاريخ التقرير"))))))</f>
        <v/>
      </c>
      <c r="Q37" s="118"/>
      <c r="R37" s="133" t="n">
        <f aca="false">IF(OR(OR($B37="",$E37="",$F37=""),L37&lt;&gt;"لا"),0,MAX(0,MIN(F37,cfg_Y_START-1)-E37+1))</f>
        <v>0</v>
      </c>
      <c r="S37" s="133" t="n">
        <f aca="false">IF(OR(OR($B37="",$E37="",$F37=""),L37&lt;&gt;"لا"),0,MAX(0,MIN(F37,cfg_VAL_DATE)-E37+1))</f>
        <v>0</v>
      </c>
      <c r="T37" s="133" t="n">
        <f aca="false">IF(OR(OR($B37="",$E37="",$F37=""),K37&lt;&gt;"نعم"),0,IF(M37="نعم",IF(AND(ISNUMBER(O37),N(O37)&lt;=cfg_VAL_M),G37,0),MAX(0,MIN(F37,cfg_VAL_DATE)-MAX(E37,cfg_Y_START)+1)))</f>
        <v>0</v>
      </c>
      <c r="V37" s="133" t="n">
        <f aca="false">IF(OR($B37="",$E37="",$F37=""),0,MAX(0,MIN($F37,EOMONTH(DATE(cfg_FY,1,1),0))-MAX($E37,DATE(cfg_FY,1,1))+1)*(1-IF($M37="نعم",0,N($J37))))</f>
        <v>0</v>
      </c>
      <c r="W37" s="133" t="n">
        <f aca="false">IF(OR($B37="",$E37="",$F37=""),0,MAX(0,MIN($F37,EOMONTH(DATE(cfg_FY,2,1),0))-MAX($E37,DATE(cfg_FY,2,1))+1)*(1-IF($M37="نعم",0,N($J37))))</f>
        <v>0</v>
      </c>
      <c r="X37" s="133" t="n">
        <f aca="false">IF(OR($B37="",$E37="",$F37=""),0,MAX(0,MIN($F37,EOMONTH(DATE(cfg_FY,3,1),0))-MAX($E37,DATE(cfg_FY,3,1))+1)*(1-IF($M37="نعم",0,N($J37))))</f>
        <v>0</v>
      </c>
      <c r="Y37" s="133" t="n">
        <f aca="false">IF(OR($B37="",$E37="",$F37=""),0,MAX(0,MIN($F37,EOMONTH(DATE(cfg_FY,4,1),0))-MAX($E37,DATE(cfg_FY,4,1))+1)*(1-IF($M37="نعم",0,N($J37))))</f>
        <v>0</v>
      </c>
      <c r="Z37" s="133" t="n">
        <f aca="false">IF(OR($B37="",$E37="",$F37=""),0,MAX(0,MIN($F37,EOMONTH(DATE(cfg_FY,5,1),0))-MAX($E37,DATE(cfg_FY,5,1))+1)*(1-IF($M37="نعم",0,N($J37))))</f>
        <v>0</v>
      </c>
      <c r="AA37" s="133" t="n">
        <f aca="false">IF(OR($B37="",$E37="",$F37=""),0,MAX(0,MIN($F37,EOMONTH(DATE(cfg_FY,6,1),0))-MAX($E37,DATE(cfg_FY,6,1))+1)*(1-IF($M37="نعم",0,N($J37))))</f>
        <v>0</v>
      </c>
      <c r="AB37" s="133" t="n">
        <f aca="false">IF(OR($B37="",$E37="",$F37=""),0,MAX(0,MIN($F37,EOMONTH(DATE(cfg_FY,7,1),0))-MAX($E37,DATE(cfg_FY,7,1))+1)*(1-IF($M37="نعم",0,N($J37))))</f>
        <v>0</v>
      </c>
      <c r="AC37" s="133" t="n">
        <f aca="false">IF(OR($B37="",$E37="",$F37=""),0,MAX(0,MIN($F37,EOMONTH(DATE(cfg_FY,8,1),0))-MAX($E37,DATE(cfg_FY,8,1))+1)*(1-IF($M37="نعم",0,N($J37))))</f>
        <v>0</v>
      </c>
      <c r="AD37" s="133" t="n">
        <f aca="false">IF(OR($B37="",$E37="",$F37=""),0,MAX(0,MIN($F37,EOMONTH(DATE(cfg_FY,9,1),0))-MAX($E37,DATE(cfg_FY,9,1))+1)*(1-IF($M37="نعم",0,N($J37))))</f>
        <v>0</v>
      </c>
      <c r="AE37" s="133" t="n">
        <f aca="false">IF(OR($B37="",$E37="",$F37=""),0,MAX(0,MIN($F37,EOMONTH(DATE(cfg_FY,10,1),0))-MAX($E37,DATE(cfg_FY,10,1))+1)*(1-IF($M37="نعم",0,N($J37))))</f>
        <v>0</v>
      </c>
      <c r="AF37" s="133" t="n">
        <f aca="false">IF(OR($B37="",$E37="",$F37=""),0,MAX(0,MIN($F37,EOMONTH(DATE(cfg_FY,11,1),0))-MAX($E37,DATE(cfg_FY,11,1))+1)*(1-IF($M37="نعم",0,N($J37))))</f>
        <v>0</v>
      </c>
      <c r="AG37" s="133" t="n">
        <f aca="false">IF(OR($B37="",$E37="",$F37=""),0,MAX(0,MIN($F37,EOMONTH(DATE(cfg_FY,12,1),0))-MAX($E37,DATE(cfg_FY,12,1))+1)*(1-IF($M37="نعم",0,N($J37))))</f>
        <v>0</v>
      </c>
      <c r="AH37" s="133" t="n">
        <f aca="false">IF(OR(OR($B37="",$E37="",$F37=""),$L37&lt;&gt;"لا"),0,MAX(0,MIN($F37,EOMONTH(DATE(cfg_FY,1,1),0))-$E37+1))</f>
        <v>0</v>
      </c>
      <c r="AI37" s="133" t="n">
        <f aca="false">IF(OR(OR($B37="",$E37="",$F37=""),$L37&lt;&gt;"لا"),0,MAX(0,MIN($F37,EOMONTH(DATE(cfg_FY,2,1),0))-$E37+1))</f>
        <v>0</v>
      </c>
      <c r="AJ37" s="133" t="n">
        <f aca="false">IF(OR(OR($B37="",$E37="",$F37=""),$L37&lt;&gt;"لا"),0,MAX(0,MIN($F37,EOMONTH(DATE(cfg_FY,3,1),0))-$E37+1))</f>
        <v>0</v>
      </c>
      <c r="AK37" s="133" t="n">
        <f aca="false">IF(OR(OR($B37="",$E37="",$F37=""),$L37&lt;&gt;"لا"),0,MAX(0,MIN($F37,EOMONTH(DATE(cfg_FY,4,1),0))-$E37+1))</f>
        <v>0</v>
      </c>
      <c r="AL37" s="133" t="n">
        <f aca="false">IF(OR(OR($B37="",$E37="",$F37=""),$L37&lt;&gt;"لا"),0,MAX(0,MIN($F37,EOMONTH(DATE(cfg_FY,5,1),0))-$E37+1))</f>
        <v>0</v>
      </c>
      <c r="AM37" s="133" t="n">
        <f aca="false">IF(OR(OR($B37="",$E37="",$F37=""),$L37&lt;&gt;"لا"),0,MAX(0,MIN($F37,EOMONTH(DATE(cfg_FY,6,1),0))-$E37+1))</f>
        <v>0</v>
      </c>
      <c r="AN37" s="133" t="n">
        <f aca="false">IF(OR(OR($B37="",$E37="",$F37=""),$L37&lt;&gt;"لا"),0,MAX(0,MIN($F37,EOMONTH(DATE(cfg_FY,7,1),0))-$E37+1))</f>
        <v>0</v>
      </c>
      <c r="AO37" s="133" t="n">
        <f aca="false">IF(OR(OR($B37="",$E37="",$F37=""),$L37&lt;&gt;"لا"),0,MAX(0,MIN($F37,EOMONTH(DATE(cfg_FY,8,1),0))-$E37+1))</f>
        <v>0</v>
      </c>
      <c r="AP37" s="133" t="n">
        <f aca="false">IF(OR(OR($B37="",$E37="",$F37=""),$L37&lt;&gt;"لا"),0,MAX(0,MIN($F37,EOMONTH(DATE(cfg_FY,9,1),0))-$E37+1))</f>
        <v>0</v>
      </c>
      <c r="AQ37" s="133" t="n">
        <f aca="false">IF(OR(OR($B37="",$E37="",$F37=""),$L37&lt;&gt;"لا"),0,MAX(0,MIN($F37,EOMONTH(DATE(cfg_FY,10,1),0))-$E37+1))</f>
        <v>0</v>
      </c>
      <c r="AR37" s="133" t="n">
        <f aca="false">IF(OR(OR($B37="",$E37="",$F37=""),$L37&lt;&gt;"لا"),0,MAX(0,MIN($F37,EOMONTH(DATE(cfg_FY,11,1),0))-$E37+1))</f>
        <v>0</v>
      </c>
      <c r="AS37" s="133" t="n">
        <f aca="false">IF(OR(OR($B37="",$E37="",$F37=""),$L37&lt;&gt;"لا"),0,MAX(0,MIN($F37,EOMONTH(DATE(cfg_FY,12,1),0))-$E37+1))</f>
        <v>0</v>
      </c>
      <c r="AT37" s="133" t="n">
        <f aca="false">IF(OR(OR($B37="",$E37="",$F37=""),$K37&lt;&gt;"نعم",$M37="نعم"),0,MAX(0,MIN($F37,EOMONTH(DATE(cfg_FY,1,1),0))-MAX($E37,DATE(cfg_FY,1,1))+1))</f>
        <v>0</v>
      </c>
      <c r="AU37" s="133" t="n">
        <f aca="false">IF(OR(OR($B37="",$E37="",$F37=""),$K37&lt;&gt;"نعم",$M37="نعم"),0,MAX(0,MIN($F37,EOMONTH(DATE(cfg_FY,2,1),0))-MAX($E37,DATE(cfg_FY,2,1))+1))</f>
        <v>0</v>
      </c>
      <c r="AV37" s="133" t="n">
        <f aca="false">IF(OR(OR($B37="",$E37="",$F37=""),$K37&lt;&gt;"نعم",$M37="نعم"),0,MAX(0,MIN($F37,EOMONTH(DATE(cfg_FY,3,1),0))-MAX($E37,DATE(cfg_FY,3,1))+1))</f>
        <v>0</v>
      </c>
      <c r="AW37" s="133" t="n">
        <f aca="false">IF(OR(OR($B37="",$E37="",$F37=""),$K37&lt;&gt;"نعم",$M37="نعم"),0,MAX(0,MIN($F37,EOMONTH(DATE(cfg_FY,4,1),0))-MAX($E37,DATE(cfg_FY,4,1))+1))</f>
        <v>0</v>
      </c>
      <c r="AX37" s="133" t="n">
        <f aca="false">IF(OR(OR($B37="",$E37="",$F37=""),$K37&lt;&gt;"نعم",$M37="نعم"),0,MAX(0,MIN($F37,EOMONTH(DATE(cfg_FY,5,1),0))-MAX($E37,DATE(cfg_FY,5,1))+1))</f>
        <v>0</v>
      </c>
      <c r="AY37" s="133" t="n">
        <f aca="false">IF(OR(OR($B37="",$E37="",$F37=""),$K37&lt;&gt;"نعم",$M37="نعم"),0,MAX(0,MIN($F37,EOMONTH(DATE(cfg_FY,6,1),0))-MAX($E37,DATE(cfg_FY,6,1))+1))</f>
        <v>0</v>
      </c>
      <c r="AZ37" s="133" t="n">
        <f aca="false">IF(OR(OR($B37="",$E37="",$F37=""),$K37&lt;&gt;"نعم",$M37="نعم"),0,MAX(0,MIN($F37,EOMONTH(DATE(cfg_FY,7,1),0))-MAX($E37,DATE(cfg_FY,7,1))+1))</f>
        <v>0</v>
      </c>
      <c r="BA37" s="133" t="n">
        <f aca="false">IF(OR(OR($B37="",$E37="",$F37=""),$K37&lt;&gt;"نعم",$M37="نعم"),0,MAX(0,MIN($F37,EOMONTH(DATE(cfg_FY,8,1),0))-MAX($E37,DATE(cfg_FY,8,1))+1))</f>
        <v>0</v>
      </c>
      <c r="BB37" s="133" t="n">
        <f aca="false">IF(OR(OR($B37="",$E37="",$F37=""),$K37&lt;&gt;"نعم",$M37="نعم"),0,MAX(0,MIN($F37,EOMONTH(DATE(cfg_FY,9,1),0))-MAX($E37,DATE(cfg_FY,9,1))+1))</f>
        <v>0</v>
      </c>
      <c r="BC37" s="133" t="n">
        <f aca="false">IF(OR(OR($B37="",$E37="",$F37=""),$K37&lt;&gt;"نعم",$M37="نعم"),0,MAX(0,MIN($F37,EOMONTH(DATE(cfg_FY,10,1),0))-MAX($E37,DATE(cfg_FY,10,1))+1))</f>
        <v>0</v>
      </c>
      <c r="BD37" s="133" t="n">
        <f aca="false">IF(OR(OR($B37="",$E37="",$F37=""),$K37&lt;&gt;"نعم",$M37="نعم"),0,MAX(0,MIN($F37,EOMONTH(DATE(cfg_FY,11,1),0))-MAX($E37,DATE(cfg_FY,11,1))+1))</f>
        <v>0</v>
      </c>
      <c r="BE37" s="133" t="n">
        <f aca="false">IF(OR(OR($B37="",$E37="",$F37=""),$K37&lt;&gt;"نعم",$M37="نعم"),0,MAX(0,MIN($F37,EOMONTH(DATE(cfg_FY,12,1),0))-MAX($E37,DATE(cfg_FY,12,1))+1))</f>
        <v>0</v>
      </c>
    </row>
    <row r="38" customFormat="false" ht="15" hidden="false" customHeight="false" outlineLevel="0" collapsed="false">
      <c r="A38" s="106" t="str">
        <f aca="false">IF(B38="","",ROW()-5)</f>
        <v/>
      </c>
      <c r="B38" s="118"/>
      <c r="C38" s="114" t="str">
        <f aca="false">IF(B38="","",IFERROR(INDEX(الموظفون!$C$6:$C$105,MATCH(B38,الموظفون!$B$6:$B$105,0)),"✖ رقم غير موجود"))</f>
        <v/>
      </c>
      <c r="D38" s="118"/>
      <c r="E38" s="119"/>
      <c r="F38" s="119"/>
      <c r="G38" s="65" t="str">
        <f aca="false">IF(OR($B38="",$E38="",$F38=""),"",MAX(0,F38-E38+1))</f>
        <v/>
      </c>
      <c r="H38" s="66" t="str">
        <f aca="false">IF(D38="","",IFERROR(VLOOKUP(D38,cfg_LT,2,FALSE()),1))</f>
        <v/>
      </c>
      <c r="I38" s="135"/>
      <c r="J38" s="66" t="str">
        <f aca="false">IF(D38="","",IF(I38&lt;&gt;"",I38,H38))</f>
        <v/>
      </c>
      <c r="K38" s="114" t="str">
        <f aca="false">IF(D38="","",IFERROR(VLOOKUP($D38,cfg_LT,3,FALSE()),""))</f>
        <v/>
      </c>
      <c r="L38" s="114" t="str">
        <f aca="false">IF(D38="","",IFERROR(VLOOKUP($D38,cfg_LT,4,FALSE()),""))</f>
        <v/>
      </c>
      <c r="M38" s="114" t="str">
        <f aca="false">IF(D38="","",IFERROR(VLOOKUP($D38,cfg_LT,5,FALSE()),""))</f>
        <v/>
      </c>
      <c r="N38" s="111" t="n">
        <f aca="false">IF(OR(OR($B38="",$E38="",$F38=""),M38&lt;&gt;"نعم"),0,G38*J38*IFERROR(INDEX(الموظفون!$R$6:$R$105,MATCH(B38,الموظفون!$B$6:$B$105,0)),0)/cfg_DAYS_M)</f>
        <v>0</v>
      </c>
      <c r="O38" s="106" t="str">
        <f aca="false">IF(OR(OR($B38="",$E38="",$F38=""),M38&lt;&gt;"نعم"),"",IF(YEAR(E38)=cfg_FY,MONTH(E38),""))</f>
        <v/>
      </c>
      <c r="P38" s="114" t="str">
        <f aca="false">IF(B38="","",IF(OR(D38="",E38="",F38=""),"⚠ أكمل النوع والتواريخ",IF(F38&lt;E38,"✖ النهاية قبل البداية",IF(COUNTIFS($B$6:$B$505,B38,$E$6:$E$505,"&lt;="&amp;F38,$F$6:$F$505,"&gt;="&amp;E38)&gt;1,"⚠ تداخل مع سجل آخر",IF(E38&gt;cfg_VAL_DATE,"⏳ قادمة",IF(F38&lt;cfg_VAL_DATE,"✔ منتهية","✈ جارية في تاريخ التقرير"))))))</f>
        <v/>
      </c>
      <c r="Q38" s="118"/>
      <c r="R38" s="65" t="n">
        <f aca="false">IF(OR(OR($B38="",$E38="",$F38=""),L38&lt;&gt;"لا"),0,MAX(0,MIN(F38,cfg_Y_START-1)-E38+1))</f>
        <v>0</v>
      </c>
      <c r="S38" s="65" t="n">
        <f aca="false">IF(OR(OR($B38="",$E38="",$F38=""),L38&lt;&gt;"لا"),0,MAX(0,MIN(F38,cfg_VAL_DATE)-E38+1))</f>
        <v>0</v>
      </c>
      <c r="T38" s="65" t="n">
        <f aca="false">IF(OR(OR($B38="",$E38="",$F38=""),K38&lt;&gt;"نعم"),0,IF(M38="نعم",IF(AND(ISNUMBER(O38),N(O38)&lt;=cfg_VAL_M),G38,0),MAX(0,MIN(F38,cfg_VAL_DATE)-MAX(E38,cfg_Y_START)+1)))</f>
        <v>0</v>
      </c>
      <c r="V38" s="65" t="n">
        <f aca="false">IF(OR($B38="",$E38="",$F38=""),0,MAX(0,MIN($F38,EOMONTH(DATE(cfg_FY,1,1),0))-MAX($E38,DATE(cfg_FY,1,1))+1)*(1-IF($M38="نعم",0,N($J38))))</f>
        <v>0</v>
      </c>
      <c r="W38" s="65" t="n">
        <f aca="false">IF(OR($B38="",$E38="",$F38=""),0,MAX(0,MIN($F38,EOMONTH(DATE(cfg_FY,2,1),0))-MAX($E38,DATE(cfg_FY,2,1))+1)*(1-IF($M38="نعم",0,N($J38))))</f>
        <v>0</v>
      </c>
      <c r="X38" s="65" t="n">
        <f aca="false">IF(OR($B38="",$E38="",$F38=""),0,MAX(0,MIN($F38,EOMONTH(DATE(cfg_FY,3,1),0))-MAX($E38,DATE(cfg_FY,3,1))+1)*(1-IF($M38="نعم",0,N($J38))))</f>
        <v>0</v>
      </c>
      <c r="Y38" s="65" t="n">
        <f aca="false">IF(OR($B38="",$E38="",$F38=""),0,MAX(0,MIN($F38,EOMONTH(DATE(cfg_FY,4,1),0))-MAX($E38,DATE(cfg_FY,4,1))+1)*(1-IF($M38="نعم",0,N($J38))))</f>
        <v>0</v>
      </c>
      <c r="Z38" s="65" t="n">
        <f aca="false">IF(OR($B38="",$E38="",$F38=""),0,MAX(0,MIN($F38,EOMONTH(DATE(cfg_FY,5,1),0))-MAX($E38,DATE(cfg_FY,5,1))+1)*(1-IF($M38="نعم",0,N($J38))))</f>
        <v>0</v>
      </c>
      <c r="AA38" s="65" t="n">
        <f aca="false">IF(OR($B38="",$E38="",$F38=""),0,MAX(0,MIN($F38,EOMONTH(DATE(cfg_FY,6,1),0))-MAX($E38,DATE(cfg_FY,6,1))+1)*(1-IF($M38="نعم",0,N($J38))))</f>
        <v>0</v>
      </c>
      <c r="AB38" s="65" t="n">
        <f aca="false">IF(OR($B38="",$E38="",$F38=""),0,MAX(0,MIN($F38,EOMONTH(DATE(cfg_FY,7,1),0))-MAX($E38,DATE(cfg_FY,7,1))+1)*(1-IF($M38="نعم",0,N($J38))))</f>
        <v>0</v>
      </c>
      <c r="AC38" s="65" t="n">
        <f aca="false">IF(OR($B38="",$E38="",$F38=""),0,MAX(0,MIN($F38,EOMONTH(DATE(cfg_FY,8,1),0))-MAX($E38,DATE(cfg_FY,8,1))+1)*(1-IF($M38="نعم",0,N($J38))))</f>
        <v>0</v>
      </c>
      <c r="AD38" s="65" t="n">
        <f aca="false">IF(OR($B38="",$E38="",$F38=""),0,MAX(0,MIN($F38,EOMONTH(DATE(cfg_FY,9,1),0))-MAX($E38,DATE(cfg_FY,9,1))+1)*(1-IF($M38="نعم",0,N($J38))))</f>
        <v>0</v>
      </c>
      <c r="AE38" s="65" t="n">
        <f aca="false">IF(OR($B38="",$E38="",$F38=""),0,MAX(0,MIN($F38,EOMONTH(DATE(cfg_FY,10,1),0))-MAX($E38,DATE(cfg_FY,10,1))+1)*(1-IF($M38="نعم",0,N($J38))))</f>
        <v>0</v>
      </c>
      <c r="AF38" s="65" t="n">
        <f aca="false">IF(OR($B38="",$E38="",$F38=""),0,MAX(0,MIN($F38,EOMONTH(DATE(cfg_FY,11,1),0))-MAX($E38,DATE(cfg_FY,11,1))+1)*(1-IF($M38="نعم",0,N($J38))))</f>
        <v>0</v>
      </c>
      <c r="AG38" s="65" t="n">
        <f aca="false">IF(OR($B38="",$E38="",$F38=""),0,MAX(0,MIN($F38,EOMONTH(DATE(cfg_FY,12,1),0))-MAX($E38,DATE(cfg_FY,12,1))+1)*(1-IF($M38="نعم",0,N($J38))))</f>
        <v>0</v>
      </c>
      <c r="AH38" s="65" t="n">
        <f aca="false">IF(OR(OR($B38="",$E38="",$F38=""),$L38&lt;&gt;"لا"),0,MAX(0,MIN($F38,EOMONTH(DATE(cfg_FY,1,1),0))-$E38+1))</f>
        <v>0</v>
      </c>
      <c r="AI38" s="65" t="n">
        <f aca="false">IF(OR(OR($B38="",$E38="",$F38=""),$L38&lt;&gt;"لا"),0,MAX(0,MIN($F38,EOMONTH(DATE(cfg_FY,2,1),0))-$E38+1))</f>
        <v>0</v>
      </c>
      <c r="AJ38" s="65" t="n">
        <f aca="false">IF(OR(OR($B38="",$E38="",$F38=""),$L38&lt;&gt;"لا"),0,MAX(0,MIN($F38,EOMONTH(DATE(cfg_FY,3,1),0))-$E38+1))</f>
        <v>0</v>
      </c>
      <c r="AK38" s="65" t="n">
        <f aca="false">IF(OR(OR($B38="",$E38="",$F38=""),$L38&lt;&gt;"لا"),0,MAX(0,MIN($F38,EOMONTH(DATE(cfg_FY,4,1),0))-$E38+1))</f>
        <v>0</v>
      </c>
      <c r="AL38" s="65" t="n">
        <f aca="false">IF(OR(OR($B38="",$E38="",$F38=""),$L38&lt;&gt;"لا"),0,MAX(0,MIN($F38,EOMONTH(DATE(cfg_FY,5,1),0))-$E38+1))</f>
        <v>0</v>
      </c>
      <c r="AM38" s="65" t="n">
        <f aca="false">IF(OR(OR($B38="",$E38="",$F38=""),$L38&lt;&gt;"لا"),0,MAX(0,MIN($F38,EOMONTH(DATE(cfg_FY,6,1),0))-$E38+1))</f>
        <v>0</v>
      </c>
      <c r="AN38" s="65" t="n">
        <f aca="false">IF(OR(OR($B38="",$E38="",$F38=""),$L38&lt;&gt;"لا"),0,MAX(0,MIN($F38,EOMONTH(DATE(cfg_FY,7,1),0))-$E38+1))</f>
        <v>0</v>
      </c>
      <c r="AO38" s="65" t="n">
        <f aca="false">IF(OR(OR($B38="",$E38="",$F38=""),$L38&lt;&gt;"لا"),0,MAX(0,MIN($F38,EOMONTH(DATE(cfg_FY,8,1),0))-$E38+1))</f>
        <v>0</v>
      </c>
      <c r="AP38" s="65" t="n">
        <f aca="false">IF(OR(OR($B38="",$E38="",$F38=""),$L38&lt;&gt;"لا"),0,MAX(0,MIN($F38,EOMONTH(DATE(cfg_FY,9,1),0))-$E38+1))</f>
        <v>0</v>
      </c>
      <c r="AQ38" s="65" t="n">
        <f aca="false">IF(OR(OR($B38="",$E38="",$F38=""),$L38&lt;&gt;"لا"),0,MAX(0,MIN($F38,EOMONTH(DATE(cfg_FY,10,1),0))-$E38+1))</f>
        <v>0</v>
      </c>
      <c r="AR38" s="65" t="n">
        <f aca="false">IF(OR(OR($B38="",$E38="",$F38=""),$L38&lt;&gt;"لا"),0,MAX(0,MIN($F38,EOMONTH(DATE(cfg_FY,11,1),0))-$E38+1))</f>
        <v>0</v>
      </c>
      <c r="AS38" s="65" t="n">
        <f aca="false">IF(OR(OR($B38="",$E38="",$F38=""),$L38&lt;&gt;"لا"),0,MAX(0,MIN($F38,EOMONTH(DATE(cfg_FY,12,1),0))-$E38+1))</f>
        <v>0</v>
      </c>
      <c r="AT38" s="65" t="n">
        <f aca="false">IF(OR(OR($B38="",$E38="",$F38=""),$K38&lt;&gt;"نعم",$M38="نعم"),0,MAX(0,MIN($F38,EOMONTH(DATE(cfg_FY,1,1),0))-MAX($E38,DATE(cfg_FY,1,1))+1))</f>
        <v>0</v>
      </c>
      <c r="AU38" s="65" t="n">
        <f aca="false">IF(OR(OR($B38="",$E38="",$F38=""),$K38&lt;&gt;"نعم",$M38="نعم"),0,MAX(0,MIN($F38,EOMONTH(DATE(cfg_FY,2,1),0))-MAX($E38,DATE(cfg_FY,2,1))+1))</f>
        <v>0</v>
      </c>
      <c r="AV38" s="65" t="n">
        <f aca="false">IF(OR(OR($B38="",$E38="",$F38=""),$K38&lt;&gt;"نعم",$M38="نعم"),0,MAX(0,MIN($F38,EOMONTH(DATE(cfg_FY,3,1),0))-MAX($E38,DATE(cfg_FY,3,1))+1))</f>
        <v>0</v>
      </c>
      <c r="AW38" s="65" t="n">
        <f aca="false">IF(OR(OR($B38="",$E38="",$F38=""),$K38&lt;&gt;"نعم",$M38="نعم"),0,MAX(0,MIN($F38,EOMONTH(DATE(cfg_FY,4,1),0))-MAX($E38,DATE(cfg_FY,4,1))+1))</f>
        <v>0</v>
      </c>
      <c r="AX38" s="65" t="n">
        <f aca="false">IF(OR(OR($B38="",$E38="",$F38=""),$K38&lt;&gt;"نعم",$M38="نعم"),0,MAX(0,MIN($F38,EOMONTH(DATE(cfg_FY,5,1),0))-MAX($E38,DATE(cfg_FY,5,1))+1))</f>
        <v>0</v>
      </c>
      <c r="AY38" s="65" t="n">
        <f aca="false">IF(OR(OR($B38="",$E38="",$F38=""),$K38&lt;&gt;"نعم",$M38="نعم"),0,MAX(0,MIN($F38,EOMONTH(DATE(cfg_FY,6,1),0))-MAX($E38,DATE(cfg_FY,6,1))+1))</f>
        <v>0</v>
      </c>
      <c r="AZ38" s="65" t="n">
        <f aca="false">IF(OR(OR($B38="",$E38="",$F38=""),$K38&lt;&gt;"نعم",$M38="نعم"),0,MAX(0,MIN($F38,EOMONTH(DATE(cfg_FY,7,1),0))-MAX($E38,DATE(cfg_FY,7,1))+1))</f>
        <v>0</v>
      </c>
      <c r="BA38" s="65" t="n">
        <f aca="false">IF(OR(OR($B38="",$E38="",$F38=""),$K38&lt;&gt;"نعم",$M38="نعم"),0,MAX(0,MIN($F38,EOMONTH(DATE(cfg_FY,8,1),0))-MAX($E38,DATE(cfg_FY,8,1))+1))</f>
        <v>0</v>
      </c>
      <c r="BB38" s="65" t="n">
        <f aca="false">IF(OR(OR($B38="",$E38="",$F38=""),$K38&lt;&gt;"نعم",$M38="نعم"),0,MAX(0,MIN($F38,EOMONTH(DATE(cfg_FY,9,1),0))-MAX($E38,DATE(cfg_FY,9,1))+1))</f>
        <v>0</v>
      </c>
      <c r="BC38" s="65" t="n">
        <f aca="false">IF(OR(OR($B38="",$E38="",$F38=""),$K38&lt;&gt;"نعم",$M38="نعم"),0,MAX(0,MIN($F38,EOMONTH(DATE(cfg_FY,10,1),0))-MAX($E38,DATE(cfg_FY,10,1))+1))</f>
        <v>0</v>
      </c>
      <c r="BD38" s="65" t="n">
        <f aca="false">IF(OR(OR($B38="",$E38="",$F38=""),$K38&lt;&gt;"نعم",$M38="نعم"),0,MAX(0,MIN($F38,EOMONTH(DATE(cfg_FY,11,1),0))-MAX($E38,DATE(cfg_FY,11,1))+1))</f>
        <v>0</v>
      </c>
      <c r="BE38" s="65" t="n">
        <f aca="false">IF(OR(OR($B38="",$E38="",$F38=""),$K38&lt;&gt;"نعم",$M38="نعم"),0,MAX(0,MIN($F38,EOMONTH(DATE(cfg_FY,12,1),0))-MAX($E38,DATE(cfg_FY,12,1))+1))</f>
        <v>0</v>
      </c>
    </row>
    <row r="39" customFormat="false" ht="15" hidden="false" customHeight="false" outlineLevel="0" collapsed="false">
      <c r="A39" s="115" t="str">
        <f aca="false">IF(B39="","",ROW()-5)</f>
        <v/>
      </c>
      <c r="B39" s="118"/>
      <c r="C39" s="117" t="str">
        <f aca="false">IF(B39="","",IFERROR(INDEX(الموظفون!$C$6:$C$105,MATCH(B39,الموظفون!$B$6:$B$105,0)),"✖ رقم غير موجود"))</f>
        <v/>
      </c>
      <c r="D39" s="118"/>
      <c r="E39" s="119"/>
      <c r="F39" s="119"/>
      <c r="G39" s="133" t="str">
        <f aca="false">IF(OR($B39="",$E39="",$F39=""),"",MAX(0,F39-E39+1))</f>
        <v/>
      </c>
      <c r="H39" s="134" t="str">
        <f aca="false">IF(D39="","",IFERROR(VLOOKUP(D39,cfg_LT,2,FALSE()),1))</f>
        <v/>
      </c>
      <c r="I39" s="135"/>
      <c r="J39" s="134" t="str">
        <f aca="false">IF(D39="","",IF(I39&lt;&gt;"",I39,H39))</f>
        <v/>
      </c>
      <c r="K39" s="117" t="str">
        <f aca="false">IF(D39="","",IFERROR(VLOOKUP($D39,cfg_LT,3,FALSE()),""))</f>
        <v/>
      </c>
      <c r="L39" s="117" t="str">
        <f aca="false">IF(D39="","",IFERROR(VLOOKUP($D39,cfg_LT,4,FALSE()),""))</f>
        <v/>
      </c>
      <c r="M39" s="117" t="str">
        <f aca="false">IF(D39="","",IFERROR(VLOOKUP($D39,cfg_LT,5,FALSE()),""))</f>
        <v/>
      </c>
      <c r="N39" s="116" t="n">
        <f aca="false">IF(OR(OR($B39="",$E39="",$F39=""),M39&lt;&gt;"نعم"),0,G39*J39*IFERROR(INDEX(الموظفون!$R$6:$R$105,MATCH(B39,الموظفون!$B$6:$B$105,0)),0)/cfg_DAYS_M)</f>
        <v>0</v>
      </c>
      <c r="O39" s="115" t="str">
        <f aca="false">IF(OR(OR($B39="",$E39="",$F39=""),M39&lt;&gt;"نعم"),"",IF(YEAR(E39)=cfg_FY,MONTH(E39),""))</f>
        <v/>
      </c>
      <c r="P39" s="117" t="str">
        <f aca="false">IF(B39="","",IF(OR(D39="",E39="",F39=""),"⚠ أكمل النوع والتواريخ",IF(F39&lt;E39,"✖ النهاية قبل البداية",IF(COUNTIFS($B$6:$B$505,B39,$E$6:$E$505,"&lt;="&amp;F39,$F$6:$F$505,"&gt;="&amp;E39)&gt;1,"⚠ تداخل مع سجل آخر",IF(E39&gt;cfg_VAL_DATE,"⏳ قادمة",IF(F39&lt;cfg_VAL_DATE,"✔ منتهية","✈ جارية في تاريخ التقرير"))))))</f>
        <v/>
      </c>
      <c r="Q39" s="118"/>
      <c r="R39" s="133" t="n">
        <f aca="false">IF(OR(OR($B39="",$E39="",$F39=""),L39&lt;&gt;"لا"),0,MAX(0,MIN(F39,cfg_Y_START-1)-E39+1))</f>
        <v>0</v>
      </c>
      <c r="S39" s="133" t="n">
        <f aca="false">IF(OR(OR($B39="",$E39="",$F39=""),L39&lt;&gt;"لا"),0,MAX(0,MIN(F39,cfg_VAL_DATE)-E39+1))</f>
        <v>0</v>
      </c>
      <c r="T39" s="133" t="n">
        <f aca="false">IF(OR(OR($B39="",$E39="",$F39=""),K39&lt;&gt;"نعم"),0,IF(M39="نعم",IF(AND(ISNUMBER(O39),N(O39)&lt;=cfg_VAL_M),G39,0),MAX(0,MIN(F39,cfg_VAL_DATE)-MAX(E39,cfg_Y_START)+1)))</f>
        <v>0</v>
      </c>
      <c r="V39" s="133" t="n">
        <f aca="false">IF(OR($B39="",$E39="",$F39=""),0,MAX(0,MIN($F39,EOMONTH(DATE(cfg_FY,1,1),0))-MAX($E39,DATE(cfg_FY,1,1))+1)*(1-IF($M39="نعم",0,N($J39))))</f>
        <v>0</v>
      </c>
      <c r="W39" s="133" t="n">
        <f aca="false">IF(OR($B39="",$E39="",$F39=""),0,MAX(0,MIN($F39,EOMONTH(DATE(cfg_FY,2,1),0))-MAX($E39,DATE(cfg_FY,2,1))+1)*(1-IF($M39="نعم",0,N($J39))))</f>
        <v>0</v>
      </c>
      <c r="X39" s="133" t="n">
        <f aca="false">IF(OR($B39="",$E39="",$F39=""),0,MAX(0,MIN($F39,EOMONTH(DATE(cfg_FY,3,1),0))-MAX($E39,DATE(cfg_FY,3,1))+1)*(1-IF($M39="نعم",0,N($J39))))</f>
        <v>0</v>
      </c>
      <c r="Y39" s="133" t="n">
        <f aca="false">IF(OR($B39="",$E39="",$F39=""),0,MAX(0,MIN($F39,EOMONTH(DATE(cfg_FY,4,1),0))-MAX($E39,DATE(cfg_FY,4,1))+1)*(1-IF($M39="نعم",0,N($J39))))</f>
        <v>0</v>
      </c>
      <c r="Z39" s="133" t="n">
        <f aca="false">IF(OR($B39="",$E39="",$F39=""),0,MAX(0,MIN($F39,EOMONTH(DATE(cfg_FY,5,1),0))-MAX($E39,DATE(cfg_FY,5,1))+1)*(1-IF($M39="نعم",0,N($J39))))</f>
        <v>0</v>
      </c>
      <c r="AA39" s="133" t="n">
        <f aca="false">IF(OR($B39="",$E39="",$F39=""),0,MAX(0,MIN($F39,EOMONTH(DATE(cfg_FY,6,1),0))-MAX($E39,DATE(cfg_FY,6,1))+1)*(1-IF($M39="نعم",0,N($J39))))</f>
        <v>0</v>
      </c>
      <c r="AB39" s="133" t="n">
        <f aca="false">IF(OR($B39="",$E39="",$F39=""),0,MAX(0,MIN($F39,EOMONTH(DATE(cfg_FY,7,1),0))-MAX($E39,DATE(cfg_FY,7,1))+1)*(1-IF($M39="نعم",0,N($J39))))</f>
        <v>0</v>
      </c>
      <c r="AC39" s="133" t="n">
        <f aca="false">IF(OR($B39="",$E39="",$F39=""),0,MAX(0,MIN($F39,EOMONTH(DATE(cfg_FY,8,1),0))-MAX($E39,DATE(cfg_FY,8,1))+1)*(1-IF($M39="نعم",0,N($J39))))</f>
        <v>0</v>
      </c>
      <c r="AD39" s="133" t="n">
        <f aca="false">IF(OR($B39="",$E39="",$F39=""),0,MAX(0,MIN($F39,EOMONTH(DATE(cfg_FY,9,1),0))-MAX($E39,DATE(cfg_FY,9,1))+1)*(1-IF($M39="نعم",0,N($J39))))</f>
        <v>0</v>
      </c>
      <c r="AE39" s="133" t="n">
        <f aca="false">IF(OR($B39="",$E39="",$F39=""),0,MAX(0,MIN($F39,EOMONTH(DATE(cfg_FY,10,1),0))-MAX($E39,DATE(cfg_FY,10,1))+1)*(1-IF($M39="نعم",0,N($J39))))</f>
        <v>0</v>
      </c>
      <c r="AF39" s="133" t="n">
        <f aca="false">IF(OR($B39="",$E39="",$F39=""),0,MAX(0,MIN($F39,EOMONTH(DATE(cfg_FY,11,1),0))-MAX($E39,DATE(cfg_FY,11,1))+1)*(1-IF($M39="نعم",0,N($J39))))</f>
        <v>0</v>
      </c>
      <c r="AG39" s="133" t="n">
        <f aca="false">IF(OR($B39="",$E39="",$F39=""),0,MAX(0,MIN($F39,EOMONTH(DATE(cfg_FY,12,1),0))-MAX($E39,DATE(cfg_FY,12,1))+1)*(1-IF($M39="نعم",0,N($J39))))</f>
        <v>0</v>
      </c>
      <c r="AH39" s="133" t="n">
        <f aca="false">IF(OR(OR($B39="",$E39="",$F39=""),$L39&lt;&gt;"لا"),0,MAX(0,MIN($F39,EOMONTH(DATE(cfg_FY,1,1),0))-$E39+1))</f>
        <v>0</v>
      </c>
      <c r="AI39" s="133" t="n">
        <f aca="false">IF(OR(OR($B39="",$E39="",$F39=""),$L39&lt;&gt;"لا"),0,MAX(0,MIN($F39,EOMONTH(DATE(cfg_FY,2,1),0))-$E39+1))</f>
        <v>0</v>
      </c>
      <c r="AJ39" s="133" t="n">
        <f aca="false">IF(OR(OR($B39="",$E39="",$F39=""),$L39&lt;&gt;"لا"),0,MAX(0,MIN($F39,EOMONTH(DATE(cfg_FY,3,1),0))-$E39+1))</f>
        <v>0</v>
      </c>
      <c r="AK39" s="133" t="n">
        <f aca="false">IF(OR(OR($B39="",$E39="",$F39=""),$L39&lt;&gt;"لا"),0,MAX(0,MIN($F39,EOMONTH(DATE(cfg_FY,4,1),0))-$E39+1))</f>
        <v>0</v>
      </c>
      <c r="AL39" s="133" t="n">
        <f aca="false">IF(OR(OR($B39="",$E39="",$F39=""),$L39&lt;&gt;"لا"),0,MAX(0,MIN($F39,EOMONTH(DATE(cfg_FY,5,1),0))-$E39+1))</f>
        <v>0</v>
      </c>
      <c r="AM39" s="133" t="n">
        <f aca="false">IF(OR(OR($B39="",$E39="",$F39=""),$L39&lt;&gt;"لا"),0,MAX(0,MIN($F39,EOMONTH(DATE(cfg_FY,6,1),0))-$E39+1))</f>
        <v>0</v>
      </c>
      <c r="AN39" s="133" t="n">
        <f aca="false">IF(OR(OR($B39="",$E39="",$F39=""),$L39&lt;&gt;"لا"),0,MAX(0,MIN($F39,EOMONTH(DATE(cfg_FY,7,1),0))-$E39+1))</f>
        <v>0</v>
      </c>
      <c r="AO39" s="133" t="n">
        <f aca="false">IF(OR(OR($B39="",$E39="",$F39=""),$L39&lt;&gt;"لا"),0,MAX(0,MIN($F39,EOMONTH(DATE(cfg_FY,8,1),0))-$E39+1))</f>
        <v>0</v>
      </c>
      <c r="AP39" s="133" t="n">
        <f aca="false">IF(OR(OR($B39="",$E39="",$F39=""),$L39&lt;&gt;"لا"),0,MAX(0,MIN($F39,EOMONTH(DATE(cfg_FY,9,1),0))-$E39+1))</f>
        <v>0</v>
      </c>
      <c r="AQ39" s="133" t="n">
        <f aca="false">IF(OR(OR($B39="",$E39="",$F39=""),$L39&lt;&gt;"لا"),0,MAX(0,MIN($F39,EOMONTH(DATE(cfg_FY,10,1),0))-$E39+1))</f>
        <v>0</v>
      </c>
      <c r="AR39" s="133" t="n">
        <f aca="false">IF(OR(OR($B39="",$E39="",$F39=""),$L39&lt;&gt;"لا"),0,MAX(0,MIN($F39,EOMONTH(DATE(cfg_FY,11,1),0))-$E39+1))</f>
        <v>0</v>
      </c>
      <c r="AS39" s="133" t="n">
        <f aca="false">IF(OR(OR($B39="",$E39="",$F39=""),$L39&lt;&gt;"لا"),0,MAX(0,MIN($F39,EOMONTH(DATE(cfg_FY,12,1),0))-$E39+1))</f>
        <v>0</v>
      </c>
      <c r="AT39" s="133" t="n">
        <f aca="false">IF(OR(OR($B39="",$E39="",$F39=""),$K39&lt;&gt;"نعم",$M39="نعم"),0,MAX(0,MIN($F39,EOMONTH(DATE(cfg_FY,1,1),0))-MAX($E39,DATE(cfg_FY,1,1))+1))</f>
        <v>0</v>
      </c>
      <c r="AU39" s="133" t="n">
        <f aca="false">IF(OR(OR($B39="",$E39="",$F39=""),$K39&lt;&gt;"نعم",$M39="نعم"),0,MAX(0,MIN($F39,EOMONTH(DATE(cfg_FY,2,1),0))-MAX($E39,DATE(cfg_FY,2,1))+1))</f>
        <v>0</v>
      </c>
      <c r="AV39" s="133" t="n">
        <f aca="false">IF(OR(OR($B39="",$E39="",$F39=""),$K39&lt;&gt;"نعم",$M39="نعم"),0,MAX(0,MIN($F39,EOMONTH(DATE(cfg_FY,3,1),0))-MAX($E39,DATE(cfg_FY,3,1))+1))</f>
        <v>0</v>
      </c>
      <c r="AW39" s="133" t="n">
        <f aca="false">IF(OR(OR($B39="",$E39="",$F39=""),$K39&lt;&gt;"نعم",$M39="نعم"),0,MAX(0,MIN($F39,EOMONTH(DATE(cfg_FY,4,1),0))-MAX($E39,DATE(cfg_FY,4,1))+1))</f>
        <v>0</v>
      </c>
      <c r="AX39" s="133" t="n">
        <f aca="false">IF(OR(OR($B39="",$E39="",$F39=""),$K39&lt;&gt;"نعم",$M39="نعم"),0,MAX(0,MIN($F39,EOMONTH(DATE(cfg_FY,5,1),0))-MAX($E39,DATE(cfg_FY,5,1))+1))</f>
        <v>0</v>
      </c>
      <c r="AY39" s="133" t="n">
        <f aca="false">IF(OR(OR($B39="",$E39="",$F39=""),$K39&lt;&gt;"نعم",$M39="نعم"),0,MAX(0,MIN($F39,EOMONTH(DATE(cfg_FY,6,1),0))-MAX($E39,DATE(cfg_FY,6,1))+1))</f>
        <v>0</v>
      </c>
      <c r="AZ39" s="133" t="n">
        <f aca="false">IF(OR(OR($B39="",$E39="",$F39=""),$K39&lt;&gt;"نعم",$M39="نعم"),0,MAX(0,MIN($F39,EOMONTH(DATE(cfg_FY,7,1),0))-MAX($E39,DATE(cfg_FY,7,1))+1))</f>
        <v>0</v>
      </c>
      <c r="BA39" s="133" t="n">
        <f aca="false">IF(OR(OR($B39="",$E39="",$F39=""),$K39&lt;&gt;"نعم",$M39="نعم"),0,MAX(0,MIN($F39,EOMONTH(DATE(cfg_FY,8,1),0))-MAX($E39,DATE(cfg_FY,8,1))+1))</f>
        <v>0</v>
      </c>
      <c r="BB39" s="133" t="n">
        <f aca="false">IF(OR(OR($B39="",$E39="",$F39=""),$K39&lt;&gt;"نعم",$M39="نعم"),0,MAX(0,MIN($F39,EOMONTH(DATE(cfg_FY,9,1),0))-MAX($E39,DATE(cfg_FY,9,1))+1))</f>
        <v>0</v>
      </c>
      <c r="BC39" s="133" t="n">
        <f aca="false">IF(OR(OR($B39="",$E39="",$F39=""),$K39&lt;&gt;"نعم",$M39="نعم"),0,MAX(0,MIN($F39,EOMONTH(DATE(cfg_FY,10,1),0))-MAX($E39,DATE(cfg_FY,10,1))+1))</f>
        <v>0</v>
      </c>
      <c r="BD39" s="133" t="n">
        <f aca="false">IF(OR(OR($B39="",$E39="",$F39=""),$K39&lt;&gt;"نعم",$M39="نعم"),0,MAX(0,MIN($F39,EOMONTH(DATE(cfg_FY,11,1),0))-MAX($E39,DATE(cfg_FY,11,1))+1))</f>
        <v>0</v>
      </c>
      <c r="BE39" s="133" t="n">
        <f aca="false">IF(OR(OR($B39="",$E39="",$F39=""),$K39&lt;&gt;"نعم",$M39="نعم"),0,MAX(0,MIN($F39,EOMONTH(DATE(cfg_FY,12,1),0))-MAX($E39,DATE(cfg_FY,12,1))+1))</f>
        <v>0</v>
      </c>
    </row>
    <row r="40" customFormat="false" ht="15" hidden="false" customHeight="false" outlineLevel="0" collapsed="false">
      <c r="A40" s="106" t="str">
        <f aca="false">IF(B40="","",ROW()-5)</f>
        <v/>
      </c>
      <c r="B40" s="118"/>
      <c r="C40" s="114" t="str">
        <f aca="false">IF(B40="","",IFERROR(INDEX(الموظفون!$C$6:$C$105,MATCH(B40,الموظفون!$B$6:$B$105,0)),"✖ رقم غير موجود"))</f>
        <v/>
      </c>
      <c r="D40" s="118"/>
      <c r="E40" s="119"/>
      <c r="F40" s="119"/>
      <c r="G40" s="65" t="str">
        <f aca="false">IF(OR($B40="",$E40="",$F40=""),"",MAX(0,F40-E40+1))</f>
        <v/>
      </c>
      <c r="H40" s="66" t="str">
        <f aca="false">IF(D40="","",IFERROR(VLOOKUP(D40,cfg_LT,2,FALSE()),1))</f>
        <v/>
      </c>
      <c r="I40" s="135"/>
      <c r="J40" s="66" t="str">
        <f aca="false">IF(D40="","",IF(I40&lt;&gt;"",I40,H40))</f>
        <v/>
      </c>
      <c r="K40" s="114" t="str">
        <f aca="false">IF(D40="","",IFERROR(VLOOKUP($D40,cfg_LT,3,FALSE()),""))</f>
        <v/>
      </c>
      <c r="L40" s="114" t="str">
        <f aca="false">IF(D40="","",IFERROR(VLOOKUP($D40,cfg_LT,4,FALSE()),""))</f>
        <v/>
      </c>
      <c r="M40" s="114" t="str">
        <f aca="false">IF(D40="","",IFERROR(VLOOKUP($D40,cfg_LT,5,FALSE()),""))</f>
        <v/>
      </c>
      <c r="N40" s="111" t="n">
        <f aca="false">IF(OR(OR($B40="",$E40="",$F40=""),M40&lt;&gt;"نعم"),0,G40*J40*IFERROR(INDEX(الموظفون!$R$6:$R$105,MATCH(B40,الموظفون!$B$6:$B$105,0)),0)/cfg_DAYS_M)</f>
        <v>0</v>
      </c>
      <c r="O40" s="106" t="str">
        <f aca="false">IF(OR(OR($B40="",$E40="",$F40=""),M40&lt;&gt;"نعم"),"",IF(YEAR(E40)=cfg_FY,MONTH(E40),""))</f>
        <v/>
      </c>
      <c r="P40" s="114" t="str">
        <f aca="false">IF(B40="","",IF(OR(D40="",E40="",F40=""),"⚠ أكمل النوع والتواريخ",IF(F40&lt;E40,"✖ النهاية قبل البداية",IF(COUNTIFS($B$6:$B$505,B40,$E$6:$E$505,"&lt;="&amp;F40,$F$6:$F$505,"&gt;="&amp;E40)&gt;1,"⚠ تداخل مع سجل آخر",IF(E40&gt;cfg_VAL_DATE,"⏳ قادمة",IF(F40&lt;cfg_VAL_DATE,"✔ منتهية","✈ جارية في تاريخ التقرير"))))))</f>
        <v/>
      </c>
      <c r="Q40" s="118"/>
      <c r="R40" s="65" t="n">
        <f aca="false">IF(OR(OR($B40="",$E40="",$F40=""),L40&lt;&gt;"لا"),0,MAX(0,MIN(F40,cfg_Y_START-1)-E40+1))</f>
        <v>0</v>
      </c>
      <c r="S40" s="65" t="n">
        <f aca="false">IF(OR(OR($B40="",$E40="",$F40=""),L40&lt;&gt;"لا"),0,MAX(0,MIN(F40,cfg_VAL_DATE)-E40+1))</f>
        <v>0</v>
      </c>
      <c r="T40" s="65" t="n">
        <f aca="false">IF(OR(OR($B40="",$E40="",$F40=""),K40&lt;&gt;"نعم"),0,IF(M40="نعم",IF(AND(ISNUMBER(O40),N(O40)&lt;=cfg_VAL_M),G40,0),MAX(0,MIN(F40,cfg_VAL_DATE)-MAX(E40,cfg_Y_START)+1)))</f>
        <v>0</v>
      </c>
      <c r="V40" s="65" t="n">
        <f aca="false">IF(OR($B40="",$E40="",$F40=""),0,MAX(0,MIN($F40,EOMONTH(DATE(cfg_FY,1,1),0))-MAX($E40,DATE(cfg_FY,1,1))+1)*(1-IF($M40="نعم",0,N($J40))))</f>
        <v>0</v>
      </c>
      <c r="W40" s="65" t="n">
        <f aca="false">IF(OR($B40="",$E40="",$F40=""),0,MAX(0,MIN($F40,EOMONTH(DATE(cfg_FY,2,1),0))-MAX($E40,DATE(cfg_FY,2,1))+1)*(1-IF($M40="نعم",0,N($J40))))</f>
        <v>0</v>
      </c>
      <c r="X40" s="65" t="n">
        <f aca="false">IF(OR($B40="",$E40="",$F40=""),0,MAX(0,MIN($F40,EOMONTH(DATE(cfg_FY,3,1),0))-MAX($E40,DATE(cfg_FY,3,1))+1)*(1-IF($M40="نعم",0,N($J40))))</f>
        <v>0</v>
      </c>
      <c r="Y40" s="65" t="n">
        <f aca="false">IF(OR($B40="",$E40="",$F40=""),0,MAX(0,MIN($F40,EOMONTH(DATE(cfg_FY,4,1),0))-MAX($E40,DATE(cfg_FY,4,1))+1)*(1-IF($M40="نعم",0,N($J40))))</f>
        <v>0</v>
      </c>
      <c r="Z40" s="65" t="n">
        <f aca="false">IF(OR($B40="",$E40="",$F40=""),0,MAX(0,MIN($F40,EOMONTH(DATE(cfg_FY,5,1),0))-MAX($E40,DATE(cfg_FY,5,1))+1)*(1-IF($M40="نعم",0,N($J40))))</f>
        <v>0</v>
      </c>
      <c r="AA40" s="65" t="n">
        <f aca="false">IF(OR($B40="",$E40="",$F40=""),0,MAX(0,MIN($F40,EOMONTH(DATE(cfg_FY,6,1),0))-MAX($E40,DATE(cfg_FY,6,1))+1)*(1-IF($M40="نعم",0,N($J40))))</f>
        <v>0</v>
      </c>
      <c r="AB40" s="65" t="n">
        <f aca="false">IF(OR($B40="",$E40="",$F40=""),0,MAX(0,MIN($F40,EOMONTH(DATE(cfg_FY,7,1),0))-MAX($E40,DATE(cfg_FY,7,1))+1)*(1-IF($M40="نعم",0,N($J40))))</f>
        <v>0</v>
      </c>
      <c r="AC40" s="65" t="n">
        <f aca="false">IF(OR($B40="",$E40="",$F40=""),0,MAX(0,MIN($F40,EOMONTH(DATE(cfg_FY,8,1),0))-MAX($E40,DATE(cfg_FY,8,1))+1)*(1-IF($M40="نعم",0,N($J40))))</f>
        <v>0</v>
      </c>
      <c r="AD40" s="65" t="n">
        <f aca="false">IF(OR($B40="",$E40="",$F40=""),0,MAX(0,MIN($F40,EOMONTH(DATE(cfg_FY,9,1),0))-MAX($E40,DATE(cfg_FY,9,1))+1)*(1-IF($M40="نعم",0,N($J40))))</f>
        <v>0</v>
      </c>
      <c r="AE40" s="65" t="n">
        <f aca="false">IF(OR($B40="",$E40="",$F40=""),0,MAX(0,MIN($F40,EOMONTH(DATE(cfg_FY,10,1),0))-MAX($E40,DATE(cfg_FY,10,1))+1)*(1-IF($M40="نعم",0,N($J40))))</f>
        <v>0</v>
      </c>
      <c r="AF40" s="65" t="n">
        <f aca="false">IF(OR($B40="",$E40="",$F40=""),0,MAX(0,MIN($F40,EOMONTH(DATE(cfg_FY,11,1),0))-MAX($E40,DATE(cfg_FY,11,1))+1)*(1-IF($M40="نعم",0,N($J40))))</f>
        <v>0</v>
      </c>
      <c r="AG40" s="65" t="n">
        <f aca="false">IF(OR($B40="",$E40="",$F40=""),0,MAX(0,MIN($F40,EOMONTH(DATE(cfg_FY,12,1),0))-MAX($E40,DATE(cfg_FY,12,1))+1)*(1-IF($M40="نعم",0,N($J40))))</f>
        <v>0</v>
      </c>
      <c r="AH40" s="65" t="n">
        <f aca="false">IF(OR(OR($B40="",$E40="",$F40=""),$L40&lt;&gt;"لا"),0,MAX(0,MIN($F40,EOMONTH(DATE(cfg_FY,1,1),0))-$E40+1))</f>
        <v>0</v>
      </c>
      <c r="AI40" s="65" t="n">
        <f aca="false">IF(OR(OR($B40="",$E40="",$F40=""),$L40&lt;&gt;"لا"),0,MAX(0,MIN($F40,EOMONTH(DATE(cfg_FY,2,1),0))-$E40+1))</f>
        <v>0</v>
      </c>
      <c r="AJ40" s="65" t="n">
        <f aca="false">IF(OR(OR($B40="",$E40="",$F40=""),$L40&lt;&gt;"لا"),0,MAX(0,MIN($F40,EOMONTH(DATE(cfg_FY,3,1),0))-$E40+1))</f>
        <v>0</v>
      </c>
      <c r="AK40" s="65" t="n">
        <f aca="false">IF(OR(OR($B40="",$E40="",$F40=""),$L40&lt;&gt;"لا"),0,MAX(0,MIN($F40,EOMONTH(DATE(cfg_FY,4,1),0))-$E40+1))</f>
        <v>0</v>
      </c>
      <c r="AL40" s="65" t="n">
        <f aca="false">IF(OR(OR($B40="",$E40="",$F40=""),$L40&lt;&gt;"لا"),0,MAX(0,MIN($F40,EOMONTH(DATE(cfg_FY,5,1),0))-$E40+1))</f>
        <v>0</v>
      </c>
      <c r="AM40" s="65" t="n">
        <f aca="false">IF(OR(OR($B40="",$E40="",$F40=""),$L40&lt;&gt;"لا"),0,MAX(0,MIN($F40,EOMONTH(DATE(cfg_FY,6,1),0))-$E40+1))</f>
        <v>0</v>
      </c>
      <c r="AN40" s="65" t="n">
        <f aca="false">IF(OR(OR($B40="",$E40="",$F40=""),$L40&lt;&gt;"لا"),0,MAX(0,MIN($F40,EOMONTH(DATE(cfg_FY,7,1),0))-$E40+1))</f>
        <v>0</v>
      </c>
      <c r="AO40" s="65" t="n">
        <f aca="false">IF(OR(OR($B40="",$E40="",$F40=""),$L40&lt;&gt;"لا"),0,MAX(0,MIN($F40,EOMONTH(DATE(cfg_FY,8,1),0))-$E40+1))</f>
        <v>0</v>
      </c>
      <c r="AP40" s="65" t="n">
        <f aca="false">IF(OR(OR($B40="",$E40="",$F40=""),$L40&lt;&gt;"لا"),0,MAX(0,MIN($F40,EOMONTH(DATE(cfg_FY,9,1),0))-$E40+1))</f>
        <v>0</v>
      </c>
      <c r="AQ40" s="65" t="n">
        <f aca="false">IF(OR(OR($B40="",$E40="",$F40=""),$L40&lt;&gt;"لا"),0,MAX(0,MIN($F40,EOMONTH(DATE(cfg_FY,10,1),0))-$E40+1))</f>
        <v>0</v>
      </c>
      <c r="AR40" s="65" t="n">
        <f aca="false">IF(OR(OR($B40="",$E40="",$F40=""),$L40&lt;&gt;"لا"),0,MAX(0,MIN($F40,EOMONTH(DATE(cfg_FY,11,1),0))-$E40+1))</f>
        <v>0</v>
      </c>
      <c r="AS40" s="65" t="n">
        <f aca="false">IF(OR(OR($B40="",$E40="",$F40=""),$L40&lt;&gt;"لا"),0,MAX(0,MIN($F40,EOMONTH(DATE(cfg_FY,12,1),0))-$E40+1))</f>
        <v>0</v>
      </c>
      <c r="AT40" s="65" t="n">
        <f aca="false">IF(OR(OR($B40="",$E40="",$F40=""),$K40&lt;&gt;"نعم",$M40="نعم"),0,MAX(0,MIN($F40,EOMONTH(DATE(cfg_FY,1,1),0))-MAX($E40,DATE(cfg_FY,1,1))+1))</f>
        <v>0</v>
      </c>
      <c r="AU40" s="65" t="n">
        <f aca="false">IF(OR(OR($B40="",$E40="",$F40=""),$K40&lt;&gt;"نعم",$M40="نعم"),0,MAX(0,MIN($F40,EOMONTH(DATE(cfg_FY,2,1),0))-MAX($E40,DATE(cfg_FY,2,1))+1))</f>
        <v>0</v>
      </c>
      <c r="AV40" s="65" t="n">
        <f aca="false">IF(OR(OR($B40="",$E40="",$F40=""),$K40&lt;&gt;"نعم",$M40="نعم"),0,MAX(0,MIN($F40,EOMONTH(DATE(cfg_FY,3,1),0))-MAX($E40,DATE(cfg_FY,3,1))+1))</f>
        <v>0</v>
      </c>
      <c r="AW40" s="65" t="n">
        <f aca="false">IF(OR(OR($B40="",$E40="",$F40=""),$K40&lt;&gt;"نعم",$M40="نعم"),0,MAX(0,MIN($F40,EOMONTH(DATE(cfg_FY,4,1),0))-MAX($E40,DATE(cfg_FY,4,1))+1))</f>
        <v>0</v>
      </c>
      <c r="AX40" s="65" t="n">
        <f aca="false">IF(OR(OR($B40="",$E40="",$F40=""),$K40&lt;&gt;"نعم",$M40="نعم"),0,MAX(0,MIN($F40,EOMONTH(DATE(cfg_FY,5,1),0))-MAX($E40,DATE(cfg_FY,5,1))+1))</f>
        <v>0</v>
      </c>
      <c r="AY40" s="65" t="n">
        <f aca="false">IF(OR(OR($B40="",$E40="",$F40=""),$K40&lt;&gt;"نعم",$M40="نعم"),0,MAX(0,MIN($F40,EOMONTH(DATE(cfg_FY,6,1),0))-MAX($E40,DATE(cfg_FY,6,1))+1))</f>
        <v>0</v>
      </c>
      <c r="AZ40" s="65" t="n">
        <f aca="false">IF(OR(OR($B40="",$E40="",$F40=""),$K40&lt;&gt;"نعم",$M40="نعم"),0,MAX(0,MIN($F40,EOMONTH(DATE(cfg_FY,7,1),0))-MAX($E40,DATE(cfg_FY,7,1))+1))</f>
        <v>0</v>
      </c>
      <c r="BA40" s="65" t="n">
        <f aca="false">IF(OR(OR($B40="",$E40="",$F40=""),$K40&lt;&gt;"نعم",$M40="نعم"),0,MAX(0,MIN($F40,EOMONTH(DATE(cfg_FY,8,1),0))-MAX($E40,DATE(cfg_FY,8,1))+1))</f>
        <v>0</v>
      </c>
      <c r="BB40" s="65" t="n">
        <f aca="false">IF(OR(OR($B40="",$E40="",$F40=""),$K40&lt;&gt;"نعم",$M40="نعم"),0,MAX(0,MIN($F40,EOMONTH(DATE(cfg_FY,9,1),0))-MAX($E40,DATE(cfg_FY,9,1))+1))</f>
        <v>0</v>
      </c>
      <c r="BC40" s="65" t="n">
        <f aca="false">IF(OR(OR($B40="",$E40="",$F40=""),$K40&lt;&gt;"نعم",$M40="نعم"),0,MAX(0,MIN($F40,EOMONTH(DATE(cfg_FY,10,1),0))-MAX($E40,DATE(cfg_FY,10,1))+1))</f>
        <v>0</v>
      </c>
      <c r="BD40" s="65" t="n">
        <f aca="false">IF(OR(OR($B40="",$E40="",$F40=""),$K40&lt;&gt;"نعم",$M40="نعم"),0,MAX(0,MIN($F40,EOMONTH(DATE(cfg_FY,11,1),0))-MAX($E40,DATE(cfg_FY,11,1))+1))</f>
        <v>0</v>
      </c>
      <c r="BE40" s="65" t="n">
        <f aca="false">IF(OR(OR($B40="",$E40="",$F40=""),$K40&lt;&gt;"نعم",$M40="نعم"),0,MAX(0,MIN($F40,EOMONTH(DATE(cfg_FY,12,1),0))-MAX($E40,DATE(cfg_FY,12,1))+1))</f>
        <v>0</v>
      </c>
    </row>
    <row r="41" customFormat="false" ht="15" hidden="false" customHeight="false" outlineLevel="0" collapsed="false">
      <c r="A41" s="115" t="str">
        <f aca="false">IF(B41="","",ROW()-5)</f>
        <v/>
      </c>
      <c r="B41" s="118"/>
      <c r="C41" s="117" t="str">
        <f aca="false">IF(B41="","",IFERROR(INDEX(الموظفون!$C$6:$C$105,MATCH(B41,الموظفون!$B$6:$B$105,0)),"✖ رقم غير موجود"))</f>
        <v/>
      </c>
      <c r="D41" s="118"/>
      <c r="E41" s="119"/>
      <c r="F41" s="119"/>
      <c r="G41" s="133" t="str">
        <f aca="false">IF(OR($B41="",$E41="",$F41=""),"",MAX(0,F41-E41+1))</f>
        <v/>
      </c>
      <c r="H41" s="134" t="str">
        <f aca="false">IF(D41="","",IFERROR(VLOOKUP(D41,cfg_LT,2,FALSE()),1))</f>
        <v/>
      </c>
      <c r="I41" s="135"/>
      <c r="J41" s="134" t="str">
        <f aca="false">IF(D41="","",IF(I41&lt;&gt;"",I41,H41))</f>
        <v/>
      </c>
      <c r="K41" s="117" t="str">
        <f aca="false">IF(D41="","",IFERROR(VLOOKUP($D41,cfg_LT,3,FALSE()),""))</f>
        <v/>
      </c>
      <c r="L41" s="117" t="str">
        <f aca="false">IF(D41="","",IFERROR(VLOOKUP($D41,cfg_LT,4,FALSE()),""))</f>
        <v/>
      </c>
      <c r="M41" s="117" t="str">
        <f aca="false">IF(D41="","",IFERROR(VLOOKUP($D41,cfg_LT,5,FALSE()),""))</f>
        <v/>
      </c>
      <c r="N41" s="116" t="n">
        <f aca="false">IF(OR(OR($B41="",$E41="",$F41=""),M41&lt;&gt;"نعم"),0,G41*J41*IFERROR(INDEX(الموظفون!$R$6:$R$105,MATCH(B41,الموظفون!$B$6:$B$105,0)),0)/cfg_DAYS_M)</f>
        <v>0</v>
      </c>
      <c r="O41" s="115" t="str">
        <f aca="false">IF(OR(OR($B41="",$E41="",$F41=""),M41&lt;&gt;"نعم"),"",IF(YEAR(E41)=cfg_FY,MONTH(E41),""))</f>
        <v/>
      </c>
      <c r="P41" s="117" t="str">
        <f aca="false">IF(B41="","",IF(OR(D41="",E41="",F41=""),"⚠ أكمل النوع والتواريخ",IF(F41&lt;E41,"✖ النهاية قبل البداية",IF(COUNTIFS($B$6:$B$505,B41,$E$6:$E$505,"&lt;="&amp;F41,$F$6:$F$505,"&gt;="&amp;E41)&gt;1,"⚠ تداخل مع سجل آخر",IF(E41&gt;cfg_VAL_DATE,"⏳ قادمة",IF(F41&lt;cfg_VAL_DATE,"✔ منتهية","✈ جارية في تاريخ التقرير"))))))</f>
        <v/>
      </c>
      <c r="Q41" s="118"/>
      <c r="R41" s="133" t="n">
        <f aca="false">IF(OR(OR($B41="",$E41="",$F41=""),L41&lt;&gt;"لا"),0,MAX(0,MIN(F41,cfg_Y_START-1)-E41+1))</f>
        <v>0</v>
      </c>
      <c r="S41" s="133" t="n">
        <f aca="false">IF(OR(OR($B41="",$E41="",$F41=""),L41&lt;&gt;"لا"),0,MAX(0,MIN(F41,cfg_VAL_DATE)-E41+1))</f>
        <v>0</v>
      </c>
      <c r="T41" s="133" t="n">
        <f aca="false">IF(OR(OR($B41="",$E41="",$F41=""),K41&lt;&gt;"نعم"),0,IF(M41="نعم",IF(AND(ISNUMBER(O41),N(O41)&lt;=cfg_VAL_M),G41,0),MAX(0,MIN(F41,cfg_VAL_DATE)-MAX(E41,cfg_Y_START)+1)))</f>
        <v>0</v>
      </c>
      <c r="V41" s="133" t="n">
        <f aca="false">IF(OR($B41="",$E41="",$F41=""),0,MAX(0,MIN($F41,EOMONTH(DATE(cfg_FY,1,1),0))-MAX($E41,DATE(cfg_FY,1,1))+1)*(1-IF($M41="نعم",0,N($J41))))</f>
        <v>0</v>
      </c>
      <c r="W41" s="133" t="n">
        <f aca="false">IF(OR($B41="",$E41="",$F41=""),0,MAX(0,MIN($F41,EOMONTH(DATE(cfg_FY,2,1),0))-MAX($E41,DATE(cfg_FY,2,1))+1)*(1-IF($M41="نعم",0,N($J41))))</f>
        <v>0</v>
      </c>
      <c r="X41" s="133" t="n">
        <f aca="false">IF(OR($B41="",$E41="",$F41=""),0,MAX(0,MIN($F41,EOMONTH(DATE(cfg_FY,3,1),0))-MAX($E41,DATE(cfg_FY,3,1))+1)*(1-IF($M41="نعم",0,N($J41))))</f>
        <v>0</v>
      </c>
      <c r="Y41" s="133" t="n">
        <f aca="false">IF(OR($B41="",$E41="",$F41=""),0,MAX(0,MIN($F41,EOMONTH(DATE(cfg_FY,4,1),0))-MAX($E41,DATE(cfg_FY,4,1))+1)*(1-IF($M41="نعم",0,N($J41))))</f>
        <v>0</v>
      </c>
      <c r="Z41" s="133" t="n">
        <f aca="false">IF(OR($B41="",$E41="",$F41=""),0,MAX(0,MIN($F41,EOMONTH(DATE(cfg_FY,5,1),0))-MAX($E41,DATE(cfg_FY,5,1))+1)*(1-IF($M41="نعم",0,N($J41))))</f>
        <v>0</v>
      </c>
      <c r="AA41" s="133" t="n">
        <f aca="false">IF(OR($B41="",$E41="",$F41=""),0,MAX(0,MIN($F41,EOMONTH(DATE(cfg_FY,6,1),0))-MAX($E41,DATE(cfg_FY,6,1))+1)*(1-IF($M41="نعم",0,N($J41))))</f>
        <v>0</v>
      </c>
      <c r="AB41" s="133" t="n">
        <f aca="false">IF(OR($B41="",$E41="",$F41=""),0,MAX(0,MIN($F41,EOMONTH(DATE(cfg_FY,7,1),0))-MAX($E41,DATE(cfg_FY,7,1))+1)*(1-IF($M41="نعم",0,N($J41))))</f>
        <v>0</v>
      </c>
      <c r="AC41" s="133" t="n">
        <f aca="false">IF(OR($B41="",$E41="",$F41=""),0,MAX(0,MIN($F41,EOMONTH(DATE(cfg_FY,8,1),0))-MAX($E41,DATE(cfg_FY,8,1))+1)*(1-IF($M41="نعم",0,N($J41))))</f>
        <v>0</v>
      </c>
      <c r="AD41" s="133" t="n">
        <f aca="false">IF(OR($B41="",$E41="",$F41=""),0,MAX(0,MIN($F41,EOMONTH(DATE(cfg_FY,9,1),0))-MAX($E41,DATE(cfg_FY,9,1))+1)*(1-IF($M41="نعم",0,N($J41))))</f>
        <v>0</v>
      </c>
      <c r="AE41" s="133" t="n">
        <f aca="false">IF(OR($B41="",$E41="",$F41=""),0,MAX(0,MIN($F41,EOMONTH(DATE(cfg_FY,10,1),0))-MAX($E41,DATE(cfg_FY,10,1))+1)*(1-IF($M41="نعم",0,N($J41))))</f>
        <v>0</v>
      </c>
      <c r="AF41" s="133" t="n">
        <f aca="false">IF(OR($B41="",$E41="",$F41=""),0,MAX(0,MIN($F41,EOMONTH(DATE(cfg_FY,11,1),0))-MAX($E41,DATE(cfg_FY,11,1))+1)*(1-IF($M41="نعم",0,N($J41))))</f>
        <v>0</v>
      </c>
      <c r="AG41" s="133" t="n">
        <f aca="false">IF(OR($B41="",$E41="",$F41=""),0,MAX(0,MIN($F41,EOMONTH(DATE(cfg_FY,12,1),0))-MAX($E41,DATE(cfg_FY,12,1))+1)*(1-IF($M41="نعم",0,N($J41))))</f>
        <v>0</v>
      </c>
      <c r="AH41" s="133" t="n">
        <f aca="false">IF(OR(OR($B41="",$E41="",$F41=""),$L41&lt;&gt;"لا"),0,MAX(0,MIN($F41,EOMONTH(DATE(cfg_FY,1,1),0))-$E41+1))</f>
        <v>0</v>
      </c>
      <c r="AI41" s="133" t="n">
        <f aca="false">IF(OR(OR($B41="",$E41="",$F41=""),$L41&lt;&gt;"لا"),0,MAX(0,MIN($F41,EOMONTH(DATE(cfg_FY,2,1),0))-$E41+1))</f>
        <v>0</v>
      </c>
      <c r="AJ41" s="133" t="n">
        <f aca="false">IF(OR(OR($B41="",$E41="",$F41=""),$L41&lt;&gt;"لا"),0,MAX(0,MIN($F41,EOMONTH(DATE(cfg_FY,3,1),0))-$E41+1))</f>
        <v>0</v>
      </c>
      <c r="AK41" s="133" t="n">
        <f aca="false">IF(OR(OR($B41="",$E41="",$F41=""),$L41&lt;&gt;"لا"),0,MAX(0,MIN($F41,EOMONTH(DATE(cfg_FY,4,1),0))-$E41+1))</f>
        <v>0</v>
      </c>
      <c r="AL41" s="133" t="n">
        <f aca="false">IF(OR(OR($B41="",$E41="",$F41=""),$L41&lt;&gt;"لا"),0,MAX(0,MIN($F41,EOMONTH(DATE(cfg_FY,5,1),0))-$E41+1))</f>
        <v>0</v>
      </c>
      <c r="AM41" s="133" t="n">
        <f aca="false">IF(OR(OR($B41="",$E41="",$F41=""),$L41&lt;&gt;"لا"),0,MAX(0,MIN($F41,EOMONTH(DATE(cfg_FY,6,1),0))-$E41+1))</f>
        <v>0</v>
      </c>
      <c r="AN41" s="133" t="n">
        <f aca="false">IF(OR(OR($B41="",$E41="",$F41=""),$L41&lt;&gt;"لا"),0,MAX(0,MIN($F41,EOMONTH(DATE(cfg_FY,7,1),0))-$E41+1))</f>
        <v>0</v>
      </c>
      <c r="AO41" s="133" t="n">
        <f aca="false">IF(OR(OR($B41="",$E41="",$F41=""),$L41&lt;&gt;"لا"),0,MAX(0,MIN($F41,EOMONTH(DATE(cfg_FY,8,1),0))-$E41+1))</f>
        <v>0</v>
      </c>
      <c r="AP41" s="133" t="n">
        <f aca="false">IF(OR(OR($B41="",$E41="",$F41=""),$L41&lt;&gt;"لا"),0,MAX(0,MIN($F41,EOMONTH(DATE(cfg_FY,9,1),0))-$E41+1))</f>
        <v>0</v>
      </c>
      <c r="AQ41" s="133" t="n">
        <f aca="false">IF(OR(OR($B41="",$E41="",$F41=""),$L41&lt;&gt;"لا"),0,MAX(0,MIN($F41,EOMONTH(DATE(cfg_FY,10,1),0))-$E41+1))</f>
        <v>0</v>
      </c>
      <c r="AR41" s="133" t="n">
        <f aca="false">IF(OR(OR($B41="",$E41="",$F41=""),$L41&lt;&gt;"لا"),0,MAX(0,MIN($F41,EOMONTH(DATE(cfg_FY,11,1),0))-$E41+1))</f>
        <v>0</v>
      </c>
      <c r="AS41" s="133" t="n">
        <f aca="false">IF(OR(OR($B41="",$E41="",$F41=""),$L41&lt;&gt;"لا"),0,MAX(0,MIN($F41,EOMONTH(DATE(cfg_FY,12,1),0))-$E41+1))</f>
        <v>0</v>
      </c>
      <c r="AT41" s="133" t="n">
        <f aca="false">IF(OR(OR($B41="",$E41="",$F41=""),$K41&lt;&gt;"نعم",$M41="نعم"),0,MAX(0,MIN($F41,EOMONTH(DATE(cfg_FY,1,1),0))-MAX($E41,DATE(cfg_FY,1,1))+1))</f>
        <v>0</v>
      </c>
      <c r="AU41" s="133" t="n">
        <f aca="false">IF(OR(OR($B41="",$E41="",$F41=""),$K41&lt;&gt;"نعم",$M41="نعم"),0,MAX(0,MIN($F41,EOMONTH(DATE(cfg_FY,2,1),0))-MAX($E41,DATE(cfg_FY,2,1))+1))</f>
        <v>0</v>
      </c>
      <c r="AV41" s="133" t="n">
        <f aca="false">IF(OR(OR($B41="",$E41="",$F41=""),$K41&lt;&gt;"نعم",$M41="نعم"),0,MAX(0,MIN($F41,EOMONTH(DATE(cfg_FY,3,1),0))-MAX($E41,DATE(cfg_FY,3,1))+1))</f>
        <v>0</v>
      </c>
      <c r="AW41" s="133" t="n">
        <f aca="false">IF(OR(OR($B41="",$E41="",$F41=""),$K41&lt;&gt;"نعم",$M41="نعم"),0,MAX(0,MIN($F41,EOMONTH(DATE(cfg_FY,4,1),0))-MAX($E41,DATE(cfg_FY,4,1))+1))</f>
        <v>0</v>
      </c>
      <c r="AX41" s="133" t="n">
        <f aca="false">IF(OR(OR($B41="",$E41="",$F41=""),$K41&lt;&gt;"نعم",$M41="نعم"),0,MAX(0,MIN($F41,EOMONTH(DATE(cfg_FY,5,1),0))-MAX($E41,DATE(cfg_FY,5,1))+1))</f>
        <v>0</v>
      </c>
      <c r="AY41" s="133" t="n">
        <f aca="false">IF(OR(OR($B41="",$E41="",$F41=""),$K41&lt;&gt;"نعم",$M41="نعم"),0,MAX(0,MIN($F41,EOMONTH(DATE(cfg_FY,6,1),0))-MAX($E41,DATE(cfg_FY,6,1))+1))</f>
        <v>0</v>
      </c>
      <c r="AZ41" s="133" t="n">
        <f aca="false">IF(OR(OR($B41="",$E41="",$F41=""),$K41&lt;&gt;"نعم",$M41="نعم"),0,MAX(0,MIN($F41,EOMONTH(DATE(cfg_FY,7,1),0))-MAX($E41,DATE(cfg_FY,7,1))+1))</f>
        <v>0</v>
      </c>
      <c r="BA41" s="133" t="n">
        <f aca="false">IF(OR(OR($B41="",$E41="",$F41=""),$K41&lt;&gt;"نعم",$M41="نعم"),0,MAX(0,MIN($F41,EOMONTH(DATE(cfg_FY,8,1),0))-MAX($E41,DATE(cfg_FY,8,1))+1))</f>
        <v>0</v>
      </c>
      <c r="BB41" s="133" t="n">
        <f aca="false">IF(OR(OR($B41="",$E41="",$F41=""),$K41&lt;&gt;"نعم",$M41="نعم"),0,MAX(0,MIN($F41,EOMONTH(DATE(cfg_FY,9,1),0))-MAX($E41,DATE(cfg_FY,9,1))+1))</f>
        <v>0</v>
      </c>
      <c r="BC41" s="133" t="n">
        <f aca="false">IF(OR(OR($B41="",$E41="",$F41=""),$K41&lt;&gt;"نعم",$M41="نعم"),0,MAX(0,MIN($F41,EOMONTH(DATE(cfg_FY,10,1),0))-MAX($E41,DATE(cfg_FY,10,1))+1))</f>
        <v>0</v>
      </c>
      <c r="BD41" s="133" t="n">
        <f aca="false">IF(OR(OR($B41="",$E41="",$F41=""),$K41&lt;&gt;"نعم",$M41="نعم"),0,MAX(0,MIN($F41,EOMONTH(DATE(cfg_FY,11,1),0))-MAX($E41,DATE(cfg_FY,11,1))+1))</f>
        <v>0</v>
      </c>
      <c r="BE41" s="133" t="n">
        <f aca="false">IF(OR(OR($B41="",$E41="",$F41=""),$K41&lt;&gt;"نعم",$M41="نعم"),0,MAX(0,MIN($F41,EOMONTH(DATE(cfg_FY,12,1),0))-MAX($E41,DATE(cfg_FY,12,1))+1))</f>
        <v>0</v>
      </c>
    </row>
    <row r="42" customFormat="false" ht="15" hidden="false" customHeight="false" outlineLevel="0" collapsed="false">
      <c r="A42" s="106" t="str">
        <f aca="false">IF(B42="","",ROW()-5)</f>
        <v/>
      </c>
      <c r="B42" s="118"/>
      <c r="C42" s="114" t="str">
        <f aca="false">IF(B42="","",IFERROR(INDEX(الموظفون!$C$6:$C$105,MATCH(B42,الموظفون!$B$6:$B$105,0)),"✖ رقم غير موجود"))</f>
        <v/>
      </c>
      <c r="D42" s="118"/>
      <c r="E42" s="119"/>
      <c r="F42" s="119"/>
      <c r="G42" s="65" t="str">
        <f aca="false">IF(OR($B42="",$E42="",$F42=""),"",MAX(0,F42-E42+1))</f>
        <v/>
      </c>
      <c r="H42" s="66" t="str">
        <f aca="false">IF(D42="","",IFERROR(VLOOKUP(D42,cfg_LT,2,FALSE()),1))</f>
        <v/>
      </c>
      <c r="I42" s="135"/>
      <c r="J42" s="66" t="str">
        <f aca="false">IF(D42="","",IF(I42&lt;&gt;"",I42,H42))</f>
        <v/>
      </c>
      <c r="K42" s="114" t="str">
        <f aca="false">IF(D42="","",IFERROR(VLOOKUP($D42,cfg_LT,3,FALSE()),""))</f>
        <v/>
      </c>
      <c r="L42" s="114" t="str">
        <f aca="false">IF(D42="","",IFERROR(VLOOKUP($D42,cfg_LT,4,FALSE()),""))</f>
        <v/>
      </c>
      <c r="M42" s="114" t="str">
        <f aca="false">IF(D42="","",IFERROR(VLOOKUP($D42,cfg_LT,5,FALSE()),""))</f>
        <v/>
      </c>
      <c r="N42" s="111" t="n">
        <f aca="false">IF(OR(OR($B42="",$E42="",$F42=""),M42&lt;&gt;"نعم"),0,G42*J42*IFERROR(INDEX(الموظفون!$R$6:$R$105,MATCH(B42,الموظفون!$B$6:$B$105,0)),0)/cfg_DAYS_M)</f>
        <v>0</v>
      </c>
      <c r="O42" s="106" t="str">
        <f aca="false">IF(OR(OR($B42="",$E42="",$F42=""),M42&lt;&gt;"نعم"),"",IF(YEAR(E42)=cfg_FY,MONTH(E42),""))</f>
        <v/>
      </c>
      <c r="P42" s="114" t="str">
        <f aca="false">IF(B42="","",IF(OR(D42="",E42="",F42=""),"⚠ أكمل النوع والتواريخ",IF(F42&lt;E42,"✖ النهاية قبل البداية",IF(COUNTIFS($B$6:$B$505,B42,$E$6:$E$505,"&lt;="&amp;F42,$F$6:$F$505,"&gt;="&amp;E42)&gt;1,"⚠ تداخل مع سجل آخر",IF(E42&gt;cfg_VAL_DATE,"⏳ قادمة",IF(F42&lt;cfg_VAL_DATE,"✔ منتهية","✈ جارية في تاريخ التقرير"))))))</f>
        <v/>
      </c>
      <c r="Q42" s="118"/>
      <c r="R42" s="65" t="n">
        <f aca="false">IF(OR(OR($B42="",$E42="",$F42=""),L42&lt;&gt;"لا"),0,MAX(0,MIN(F42,cfg_Y_START-1)-E42+1))</f>
        <v>0</v>
      </c>
      <c r="S42" s="65" t="n">
        <f aca="false">IF(OR(OR($B42="",$E42="",$F42=""),L42&lt;&gt;"لا"),0,MAX(0,MIN(F42,cfg_VAL_DATE)-E42+1))</f>
        <v>0</v>
      </c>
      <c r="T42" s="65" t="n">
        <f aca="false">IF(OR(OR($B42="",$E42="",$F42=""),K42&lt;&gt;"نعم"),0,IF(M42="نعم",IF(AND(ISNUMBER(O42),N(O42)&lt;=cfg_VAL_M),G42,0),MAX(0,MIN(F42,cfg_VAL_DATE)-MAX(E42,cfg_Y_START)+1)))</f>
        <v>0</v>
      </c>
      <c r="V42" s="65" t="n">
        <f aca="false">IF(OR($B42="",$E42="",$F42=""),0,MAX(0,MIN($F42,EOMONTH(DATE(cfg_FY,1,1),0))-MAX($E42,DATE(cfg_FY,1,1))+1)*(1-IF($M42="نعم",0,N($J42))))</f>
        <v>0</v>
      </c>
      <c r="W42" s="65" t="n">
        <f aca="false">IF(OR($B42="",$E42="",$F42=""),0,MAX(0,MIN($F42,EOMONTH(DATE(cfg_FY,2,1),0))-MAX($E42,DATE(cfg_FY,2,1))+1)*(1-IF($M42="نعم",0,N($J42))))</f>
        <v>0</v>
      </c>
      <c r="X42" s="65" t="n">
        <f aca="false">IF(OR($B42="",$E42="",$F42=""),0,MAX(0,MIN($F42,EOMONTH(DATE(cfg_FY,3,1),0))-MAX($E42,DATE(cfg_FY,3,1))+1)*(1-IF($M42="نعم",0,N($J42))))</f>
        <v>0</v>
      </c>
      <c r="Y42" s="65" t="n">
        <f aca="false">IF(OR($B42="",$E42="",$F42=""),0,MAX(0,MIN($F42,EOMONTH(DATE(cfg_FY,4,1),0))-MAX($E42,DATE(cfg_FY,4,1))+1)*(1-IF($M42="نعم",0,N($J42))))</f>
        <v>0</v>
      </c>
      <c r="Z42" s="65" t="n">
        <f aca="false">IF(OR($B42="",$E42="",$F42=""),0,MAX(0,MIN($F42,EOMONTH(DATE(cfg_FY,5,1),0))-MAX($E42,DATE(cfg_FY,5,1))+1)*(1-IF($M42="نعم",0,N($J42))))</f>
        <v>0</v>
      </c>
      <c r="AA42" s="65" t="n">
        <f aca="false">IF(OR($B42="",$E42="",$F42=""),0,MAX(0,MIN($F42,EOMONTH(DATE(cfg_FY,6,1),0))-MAX($E42,DATE(cfg_FY,6,1))+1)*(1-IF($M42="نعم",0,N($J42))))</f>
        <v>0</v>
      </c>
      <c r="AB42" s="65" t="n">
        <f aca="false">IF(OR($B42="",$E42="",$F42=""),0,MAX(0,MIN($F42,EOMONTH(DATE(cfg_FY,7,1),0))-MAX($E42,DATE(cfg_FY,7,1))+1)*(1-IF($M42="نعم",0,N($J42))))</f>
        <v>0</v>
      </c>
      <c r="AC42" s="65" t="n">
        <f aca="false">IF(OR($B42="",$E42="",$F42=""),0,MAX(0,MIN($F42,EOMONTH(DATE(cfg_FY,8,1),0))-MAX($E42,DATE(cfg_FY,8,1))+1)*(1-IF($M42="نعم",0,N($J42))))</f>
        <v>0</v>
      </c>
      <c r="AD42" s="65" t="n">
        <f aca="false">IF(OR($B42="",$E42="",$F42=""),0,MAX(0,MIN($F42,EOMONTH(DATE(cfg_FY,9,1),0))-MAX($E42,DATE(cfg_FY,9,1))+1)*(1-IF($M42="نعم",0,N($J42))))</f>
        <v>0</v>
      </c>
      <c r="AE42" s="65" t="n">
        <f aca="false">IF(OR($B42="",$E42="",$F42=""),0,MAX(0,MIN($F42,EOMONTH(DATE(cfg_FY,10,1),0))-MAX($E42,DATE(cfg_FY,10,1))+1)*(1-IF($M42="نعم",0,N($J42))))</f>
        <v>0</v>
      </c>
      <c r="AF42" s="65" t="n">
        <f aca="false">IF(OR($B42="",$E42="",$F42=""),0,MAX(0,MIN($F42,EOMONTH(DATE(cfg_FY,11,1),0))-MAX($E42,DATE(cfg_FY,11,1))+1)*(1-IF($M42="نعم",0,N($J42))))</f>
        <v>0</v>
      </c>
      <c r="AG42" s="65" t="n">
        <f aca="false">IF(OR($B42="",$E42="",$F42=""),0,MAX(0,MIN($F42,EOMONTH(DATE(cfg_FY,12,1),0))-MAX($E42,DATE(cfg_FY,12,1))+1)*(1-IF($M42="نعم",0,N($J42))))</f>
        <v>0</v>
      </c>
      <c r="AH42" s="65" t="n">
        <f aca="false">IF(OR(OR($B42="",$E42="",$F42=""),$L42&lt;&gt;"لا"),0,MAX(0,MIN($F42,EOMONTH(DATE(cfg_FY,1,1),0))-$E42+1))</f>
        <v>0</v>
      </c>
      <c r="AI42" s="65" t="n">
        <f aca="false">IF(OR(OR($B42="",$E42="",$F42=""),$L42&lt;&gt;"لا"),0,MAX(0,MIN($F42,EOMONTH(DATE(cfg_FY,2,1),0))-$E42+1))</f>
        <v>0</v>
      </c>
      <c r="AJ42" s="65" t="n">
        <f aca="false">IF(OR(OR($B42="",$E42="",$F42=""),$L42&lt;&gt;"لا"),0,MAX(0,MIN($F42,EOMONTH(DATE(cfg_FY,3,1),0))-$E42+1))</f>
        <v>0</v>
      </c>
      <c r="AK42" s="65" t="n">
        <f aca="false">IF(OR(OR($B42="",$E42="",$F42=""),$L42&lt;&gt;"لا"),0,MAX(0,MIN($F42,EOMONTH(DATE(cfg_FY,4,1),0))-$E42+1))</f>
        <v>0</v>
      </c>
      <c r="AL42" s="65" t="n">
        <f aca="false">IF(OR(OR($B42="",$E42="",$F42=""),$L42&lt;&gt;"لا"),0,MAX(0,MIN($F42,EOMONTH(DATE(cfg_FY,5,1),0))-$E42+1))</f>
        <v>0</v>
      </c>
      <c r="AM42" s="65" t="n">
        <f aca="false">IF(OR(OR($B42="",$E42="",$F42=""),$L42&lt;&gt;"لا"),0,MAX(0,MIN($F42,EOMONTH(DATE(cfg_FY,6,1),0))-$E42+1))</f>
        <v>0</v>
      </c>
      <c r="AN42" s="65" t="n">
        <f aca="false">IF(OR(OR($B42="",$E42="",$F42=""),$L42&lt;&gt;"لا"),0,MAX(0,MIN($F42,EOMONTH(DATE(cfg_FY,7,1),0))-$E42+1))</f>
        <v>0</v>
      </c>
      <c r="AO42" s="65" t="n">
        <f aca="false">IF(OR(OR($B42="",$E42="",$F42=""),$L42&lt;&gt;"لا"),0,MAX(0,MIN($F42,EOMONTH(DATE(cfg_FY,8,1),0))-$E42+1))</f>
        <v>0</v>
      </c>
      <c r="AP42" s="65" t="n">
        <f aca="false">IF(OR(OR($B42="",$E42="",$F42=""),$L42&lt;&gt;"لا"),0,MAX(0,MIN($F42,EOMONTH(DATE(cfg_FY,9,1),0))-$E42+1))</f>
        <v>0</v>
      </c>
      <c r="AQ42" s="65" t="n">
        <f aca="false">IF(OR(OR($B42="",$E42="",$F42=""),$L42&lt;&gt;"لا"),0,MAX(0,MIN($F42,EOMONTH(DATE(cfg_FY,10,1),0))-$E42+1))</f>
        <v>0</v>
      </c>
      <c r="AR42" s="65" t="n">
        <f aca="false">IF(OR(OR($B42="",$E42="",$F42=""),$L42&lt;&gt;"لا"),0,MAX(0,MIN($F42,EOMONTH(DATE(cfg_FY,11,1),0))-$E42+1))</f>
        <v>0</v>
      </c>
      <c r="AS42" s="65" t="n">
        <f aca="false">IF(OR(OR($B42="",$E42="",$F42=""),$L42&lt;&gt;"لا"),0,MAX(0,MIN($F42,EOMONTH(DATE(cfg_FY,12,1),0))-$E42+1))</f>
        <v>0</v>
      </c>
      <c r="AT42" s="65" t="n">
        <f aca="false">IF(OR(OR($B42="",$E42="",$F42=""),$K42&lt;&gt;"نعم",$M42="نعم"),0,MAX(0,MIN($F42,EOMONTH(DATE(cfg_FY,1,1),0))-MAX($E42,DATE(cfg_FY,1,1))+1))</f>
        <v>0</v>
      </c>
      <c r="AU42" s="65" t="n">
        <f aca="false">IF(OR(OR($B42="",$E42="",$F42=""),$K42&lt;&gt;"نعم",$M42="نعم"),0,MAX(0,MIN($F42,EOMONTH(DATE(cfg_FY,2,1),0))-MAX($E42,DATE(cfg_FY,2,1))+1))</f>
        <v>0</v>
      </c>
      <c r="AV42" s="65" t="n">
        <f aca="false">IF(OR(OR($B42="",$E42="",$F42=""),$K42&lt;&gt;"نعم",$M42="نعم"),0,MAX(0,MIN($F42,EOMONTH(DATE(cfg_FY,3,1),0))-MAX($E42,DATE(cfg_FY,3,1))+1))</f>
        <v>0</v>
      </c>
      <c r="AW42" s="65" t="n">
        <f aca="false">IF(OR(OR($B42="",$E42="",$F42=""),$K42&lt;&gt;"نعم",$M42="نعم"),0,MAX(0,MIN($F42,EOMONTH(DATE(cfg_FY,4,1),0))-MAX($E42,DATE(cfg_FY,4,1))+1))</f>
        <v>0</v>
      </c>
      <c r="AX42" s="65" t="n">
        <f aca="false">IF(OR(OR($B42="",$E42="",$F42=""),$K42&lt;&gt;"نعم",$M42="نعم"),0,MAX(0,MIN($F42,EOMONTH(DATE(cfg_FY,5,1),0))-MAX($E42,DATE(cfg_FY,5,1))+1))</f>
        <v>0</v>
      </c>
      <c r="AY42" s="65" t="n">
        <f aca="false">IF(OR(OR($B42="",$E42="",$F42=""),$K42&lt;&gt;"نعم",$M42="نعم"),0,MAX(0,MIN($F42,EOMONTH(DATE(cfg_FY,6,1),0))-MAX($E42,DATE(cfg_FY,6,1))+1))</f>
        <v>0</v>
      </c>
      <c r="AZ42" s="65" t="n">
        <f aca="false">IF(OR(OR($B42="",$E42="",$F42=""),$K42&lt;&gt;"نعم",$M42="نعم"),0,MAX(0,MIN($F42,EOMONTH(DATE(cfg_FY,7,1),0))-MAX($E42,DATE(cfg_FY,7,1))+1))</f>
        <v>0</v>
      </c>
      <c r="BA42" s="65" t="n">
        <f aca="false">IF(OR(OR($B42="",$E42="",$F42=""),$K42&lt;&gt;"نعم",$M42="نعم"),0,MAX(0,MIN($F42,EOMONTH(DATE(cfg_FY,8,1),0))-MAX($E42,DATE(cfg_FY,8,1))+1))</f>
        <v>0</v>
      </c>
      <c r="BB42" s="65" t="n">
        <f aca="false">IF(OR(OR($B42="",$E42="",$F42=""),$K42&lt;&gt;"نعم",$M42="نعم"),0,MAX(0,MIN($F42,EOMONTH(DATE(cfg_FY,9,1),0))-MAX($E42,DATE(cfg_FY,9,1))+1))</f>
        <v>0</v>
      </c>
      <c r="BC42" s="65" t="n">
        <f aca="false">IF(OR(OR($B42="",$E42="",$F42=""),$K42&lt;&gt;"نعم",$M42="نعم"),0,MAX(0,MIN($F42,EOMONTH(DATE(cfg_FY,10,1),0))-MAX($E42,DATE(cfg_FY,10,1))+1))</f>
        <v>0</v>
      </c>
      <c r="BD42" s="65" t="n">
        <f aca="false">IF(OR(OR($B42="",$E42="",$F42=""),$K42&lt;&gt;"نعم",$M42="نعم"),0,MAX(0,MIN($F42,EOMONTH(DATE(cfg_FY,11,1),0))-MAX($E42,DATE(cfg_FY,11,1))+1))</f>
        <v>0</v>
      </c>
      <c r="BE42" s="65" t="n">
        <f aca="false">IF(OR(OR($B42="",$E42="",$F42=""),$K42&lt;&gt;"نعم",$M42="نعم"),0,MAX(0,MIN($F42,EOMONTH(DATE(cfg_FY,12,1),0))-MAX($E42,DATE(cfg_FY,12,1))+1))</f>
        <v>0</v>
      </c>
    </row>
    <row r="43" customFormat="false" ht="15" hidden="false" customHeight="false" outlineLevel="0" collapsed="false">
      <c r="A43" s="115" t="str">
        <f aca="false">IF(B43="","",ROW()-5)</f>
        <v/>
      </c>
      <c r="B43" s="118"/>
      <c r="C43" s="117" t="str">
        <f aca="false">IF(B43="","",IFERROR(INDEX(الموظفون!$C$6:$C$105,MATCH(B43,الموظفون!$B$6:$B$105,0)),"✖ رقم غير موجود"))</f>
        <v/>
      </c>
      <c r="D43" s="118"/>
      <c r="E43" s="119"/>
      <c r="F43" s="119"/>
      <c r="G43" s="133" t="str">
        <f aca="false">IF(OR($B43="",$E43="",$F43=""),"",MAX(0,F43-E43+1))</f>
        <v/>
      </c>
      <c r="H43" s="134" t="str">
        <f aca="false">IF(D43="","",IFERROR(VLOOKUP(D43,cfg_LT,2,FALSE()),1))</f>
        <v/>
      </c>
      <c r="I43" s="135"/>
      <c r="J43" s="134" t="str">
        <f aca="false">IF(D43="","",IF(I43&lt;&gt;"",I43,H43))</f>
        <v/>
      </c>
      <c r="K43" s="117" t="str">
        <f aca="false">IF(D43="","",IFERROR(VLOOKUP($D43,cfg_LT,3,FALSE()),""))</f>
        <v/>
      </c>
      <c r="L43" s="117" t="str">
        <f aca="false">IF(D43="","",IFERROR(VLOOKUP($D43,cfg_LT,4,FALSE()),""))</f>
        <v/>
      </c>
      <c r="M43" s="117" t="str">
        <f aca="false">IF(D43="","",IFERROR(VLOOKUP($D43,cfg_LT,5,FALSE()),""))</f>
        <v/>
      </c>
      <c r="N43" s="116" t="n">
        <f aca="false">IF(OR(OR($B43="",$E43="",$F43=""),M43&lt;&gt;"نعم"),0,G43*J43*IFERROR(INDEX(الموظفون!$R$6:$R$105,MATCH(B43,الموظفون!$B$6:$B$105,0)),0)/cfg_DAYS_M)</f>
        <v>0</v>
      </c>
      <c r="O43" s="115" t="str">
        <f aca="false">IF(OR(OR($B43="",$E43="",$F43=""),M43&lt;&gt;"نعم"),"",IF(YEAR(E43)=cfg_FY,MONTH(E43),""))</f>
        <v/>
      </c>
      <c r="P43" s="117" t="str">
        <f aca="false">IF(B43="","",IF(OR(D43="",E43="",F43=""),"⚠ أكمل النوع والتواريخ",IF(F43&lt;E43,"✖ النهاية قبل البداية",IF(COUNTIFS($B$6:$B$505,B43,$E$6:$E$505,"&lt;="&amp;F43,$F$6:$F$505,"&gt;="&amp;E43)&gt;1,"⚠ تداخل مع سجل آخر",IF(E43&gt;cfg_VAL_DATE,"⏳ قادمة",IF(F43&lt;cfg_VAL_DATE,"✔ منتهية","✈ جارية في تاريخ التقرير"))))))</f>
        <v/>
      </c>
      <c r="Q43" s="118"/>
      <c r="R43" s="133" t="n">
        <f aca="false">IF(OR(OR($B43="",$E43="",$F43=""),L43&lt;&gt;"لا"),0,MAX(0,MIN(F43,cfg_Y_START-1)-E43+1))</f>
        <v>0</v>
      </c>
      <c r="S43" s="133" t="n">
        <f aca="false">IF(OR(OR($B43="",$E43="",$F43=""),L43&lt;&gt;"لا"),0,MAX(0,MIN(F43,cfg_VAL_DATE)-E43+1))</f>
        <v>0</v>
      </c>
      <c r="T43" s="133" t="n">
        <f aca="false">IF(OR(OR($B43="",$E43="",$F43=""),K43&lt;&gt;"نعم"),0,IF(M43="نعم",IF(AND(ISNUMBER(O43),N(O43)&lt;=cfg_VAL_M),G43,0),MAX(0,MIN(F43,cfg_VAL_DATE)-MAX(E43,cfg_Y_START)+1)))</f>
        <v>0</v>
      </c>
      <c r="V43" s="133" t="n">
        <f aca="false">IF(OR($B43="",$E43="",$F43=""),0,MAX(0,MIN($F43,EOMONTH(DATE(cfg_FY,1,1),0))-MAX($E43,DATE(cfg_FY,1,1))+1)*(1-IF($M43="نعم",0,N($J43))))</f>
        <v>0</v>
      </c>
      <c r="W43" s="133" t="n">
        <f aca="false">IF(OR($B43="",$E43="",$F43=""),0,MAX(0,MIN($F43,EOMONTH(DATE(cfg_FY,2,1),0))-MAX($E43,DATE(cfg_FY,2,1))+1)*(1-IF($M43="نعم",0,N($J43))))</f>
        <v>0</v>
      </c>
      <c r="X43" s="133" t="n">
        <f aca="false">IF(OR($B43="",$E43="",$F43=""),0,MAX(0,MIN($F43,EOMONTH(DATE(cfg_FY,3,1),0))-MAX($E43,DATE(cfg_FY,3,1))+1)*(1-IF($M43="نعم",0,N($J43))))</f>
        <v>0</v>
      </c>
      <c r="Y43" s="133" t="n">
        <f aca="false">IF(OR($B43="",$E43="",$F43=""),0,MAX(0,MIN($F43,EOMONTH(DATE(cfg_FY,4,1),0))-MAX($E43,DATE(cfg_FY,4,1))+1)*(1-IF($M43="نعم",0,N($J43))))</f>
        <v>0</v>
      </c>
      <c r="Z43" s="133" t="n">
        <f aca="false">IF(OR($B43="",$E43="",$F43=""),0,MAX(0,MIN($F43,EOMONTH(DATE(cfg_FY,5,1),0))-MAX($E43,DATE(cfg_FY,5,1))+1)*(1-IF($M43="نعم",0,N($J43))))</f>
        <v>0</v>
      </c>
      <c r="AA43" s="133" t="n">
        <f aca="false">IF(OR($B43="",$E43="",$F43=""),0,MAX(0,MIN($F43,EOMONTH(DATE(cfg_FY,6,1),0))-MAX($E43,DATE(cfg_FY,6,1))+1)*(1-IF($M43="نعم",0,N($J43))))</f>
        <v>0</v>
      </c>
      <c r="AB43" s="133" t="n">
        <f aca="false">IF(OR($B43="",$E43="",$F43=""),0,MAX(0,MIN($F43,EOMONTH(DATE(cfg_FY,7,1),0))-MAX($E43,DATE(cfg_FY,7,1))+1)*(1-IF($M43="نعم",0,N($J43))))</f>
        <v>0</v>
      </c>
      <c r="AC43" s="133" t="n">
        <f aca="false">IF(OR($B43="",$E43="",$F43=""),0,MAX(0,MIN($F43,EOMONTH(DATE(cfg_FY,8,1),0))-MAX($E43,DATE(cfg_FY,8,1))+1)*(1-IF($M43="نعم",0,N($J43))))</f>
        <v>0</v>
      </c>
      <c r="AD43" s="133" t="n">
        <f aca="false">IF(OR($B43="",$E43="",$F43=""),0,MAX(0,MIN($F43,EOMONTH(DATE(cfg_FY,9,1),0))-MAX($E43,DATE(cfg_FY,9,1))+1)*(1-IF($M43="نعم",0,N($J43))))</f>
        <v>0</v>
      </c>
      <c r="AE43" s="133" t="n">
        <f aca="false">IF(OR($B43="",$E43="",$F43=""),0,MAX(0,MIN($F43,EOMONTH(DATE(cfg_FY,10,1),0))-MAX($E43,DATE(cfg_FY,10,1))+1)*(1-IF($M43="نعم",0,N($J43))))</f>
        <v>0</v>
      </c>
      <c r="AF43" s="133" t="n">
        <f aca="false">IF(OR($B43="",$E43="",$F43=""),0,MAX(0,MIN($F43,EOMONTH(DATE(cfg_FY,11,1),0))-MAX($E43,DATE(cfg_FY,11,1))+1)*(1-IF($M43="نعم",0,N($J43))))</f>
        <v>0</v>
      </c>
      <c r="AG43" s="133" t="n">
        <f aca="false">IF(OR($B43="",$E43="",$F43=""),0,MAX(0,MIN($F43,EOMONTH(DATE(cfg_FY,12,1),0))-MAX($E43,DATE(cfg_FY,12,1))+1)*(1-IF($M43="نعم",0,N($J43))))</f>
        <v>0</v>
      </c>
      <c r="AH43" s="133" t="n">
        <f aca="false">IF(OR(OR($B43="",$E43="",$F43=""),$L43&lt;&gt;"لا"),0,MAX(0,MIN($F43,EOMONTH(DATE(cfg_FY,1,1),0))-$E43+1))</f>
        <v>0</v>
      </c>
      <c r="AI43" s="133" t="n">
        <f aca="false">IF(OR(OR($B43="",$E43="",$F43=""),$L43&lt;&gt;"لا"),0,MAX(0,MIN($F43,EOMONTH(DATE(cfg_FY,2,1),0))-$E43+1))</f>
        <v>0</v>
      </c>
      <c r="AJ43" s="133" t="n">
        <f aca="false">IF(OR(OR($B43="",$E43="",$F43=""),$L43&lt;&gt;"لا"),0,MAX(0,MIN($F43,EOMONTH(DATE(cfg_FY,3,1),0))-$E43+1))</f>
        <v>0</v>
      </c>
      <c r="AK43" s="133" t="n">
        <f aca="false">IF(OR(OR($B43="",$E43="",$F43=""),$L43&lt;&gt;"لا"),0,MAX(0,MIN($F43,EOMONTH(DATE(cfg_FY,4,1),0))-$E43+1))</f>
        <v>0</v>
      </c>
      <c r="AL43" s="133" t="n">
        <f aca="false">IF(OR(OR($B43="",$E43="",$F43=""),$L43&lt;&gt;"لا"),0,MAX(0,MIN($F43,EOMONTH(DATE(cfg_FY,5,1),0))-$E43+1))</f>
        <v>0</v>
      </c>
      <c r="AM43" s="133" t="n">
        <f aca="false">IF(OR(OR($B43="",$E43="",$F43=""),$L43&lt;&gt;"لا"),0,MAX(0,MIN($F43,EOMONTH(DATE(cfg_FY,6,1),0))-$E43+1))</f>
        <v>0</v>
      </c>
      <c r="AN43" s="133" t="n">
        <f aca="false">IF(OR(OR($B43="",$E43="",$F43=""),$L43&lt;&gt;"لا"),0,MAX(0,MIN($F43,EOMONTH(DATE(cfg_FY,7,1),0))-$E43+1))</f>
        <v>0</v>
      </c>
      <c r="AO43" s="133" t="n">
        <f aca="false">IF(OR(OR($B43="",$E43="",$F43=""),$L43&lt;&gt;"لا"),0,MAX(0,MIN($F43,EOMONTH(DATE(cfg_FY,8,1),0))-$E43+1))</f>
        <v>0</v>
      </c>
      <c r="AP43" s="133" t="n">
        <f aca="false">IF(OR(OR($B43="",$E43="",$F43=""),$L43&lt;&gt;"لا"),0,MAX(0,MIN($F43,EOMONTH(DATE(cfg_FY,9,1),0))-$E43+1))</f>
        <v>0</v>
      </c>
      <c r="AQ43" s="133" t="n">
        <f aca="false">IF(OR(OR($B43="",$E43="",$F43=""),$L43&lt;&gt;"لا"),0,MAX(0,MIN($F43,EOMONTH(DATE(cfg_FY,10,1),0))-$E43+1))</f>
        <v>0</v>
      </c>
      <c r="AR43" s="133" t="n">
        <f aca="false">IF(OR(OR($B43="",$E43="",$F43=""),$L43&lt;&gt;"لا"),0,MAX(0,MIN($F43,EOMONTH(DATE(cfg_FY,11,1),0))-$E43+1))</f>
        <v>0</v>
      </c>
      <c r="AS43" s="133" t="n">
        <f aca="false">IF(OR(OR($B43="",$E43="",$F43=""),$L43&lt;&gt;"لا"),0,MAX(0,MIN($F43,EOMONTH(DATE(cfg_FY,12,1),0))-$E43+1))</f>
        <v>0</v>
      </c>
      <c r="AT43" s="133" t="n">
        <f aca="false">IF(OR(OR($B43="",$E43="",$F43=""),$K43&lt;&gt;"نعم",$M43="نعم"),0,MAX(0,MIN($F43,EOMONTH(DATE(cfg_FY,1,1),0))-MAX($E43,DATE(cfg_FY,1,1))+1))</f>
        <v>0</v>
      </c>
      <c r="AU43" s="133" t="n">
        <f aca="false">IF(OR(OR($B43="",$E43="",$F43=""),$K43&lt;&gt;"نعم",$M43="نعم"),0,MAX(0,MIN($F43,EOMONTH(DATE(cfg_FY,2,1),0))-MAX($E43,DATE(cfg_FY,2,1))+1))</f>
        <v>0</v>
      </c>
      <c r="AV43" s="133" t="n">
        <f aca="false">IF(OR(OR($B43="",$E43="",$F43=""),$K43&lt;&gt;"نعم",$M43="نعم"),0,MAX(0,MIN($F43,EOMONTH(DATE(cfg_FY,3,1),0))-MAX($E43,DATE(cfg_FY,3,1))+1))</f>
        <v>0</v>
      </c>
      <c r="AW43" s="133" t="n">
        <f aca="false">IF(OR(OR($B43="",$E43="",$F43=""),$K43&lt;&gt;"نعم",$M43="نعم"),0,MAX(0,MIN($F43,EOMONTH(DATE(cfg_FY,4,1),0))-MAX($E43,DATE(cfg_FY,4,1))+1))</f>
        <v>0</v>
      </c>
      <c r="AX43" s="133" t="n">
        <f aca="false">IF(OR(OR($B43="",$E43="",$F43=""),$K43&lt;&gt;"نعم",$M43="نعم"),0,MAX(0,MIN($F43,EOMONTH(DATE(cfg_FY,5,1),0))-MAX($E43,DATE(cfg_FY,5,1))+1))</f>
        <v>0</v>
      </c>
      <c r="AY43" s="133" t="n">
        <f aca="false">IF(OR(OR($B43="",$E43="",$F43=""),$K43&lt;&gt;"نعم",$M43="نعم"),0,MAX(0,MIN($F43,EOMONTH(DATE(cfg_FY,6,1),0))-MAX($E43,DATE(cfg_FY,6,1))+1))</f>
        <v>0</v>
      </c>
      <c r="AZ43" s="133" t="n">
        <f aca="false">IF(OR(OR($B43="",$E43="",$F43=""),$K43&lt;&gt;"نعم",$M43="نعم"),0,MAX(0,MIN($F43,EOMONTH(DATE(cfg_FY,7,1),0))-MAX($E43,DATE(cfg_FY,7,1))+1))</f>
        <v>0</v>
      </c>
      <c r="BA43" s="133" t="n">
        <f aca="false">IF(OR(OR($B43="",$E43="",$F43=""),$K43&lt;&gt;"نعم",$M43="نعم"),0,MAX(0,MIN($F43,EOMONTH(DATE(cfg_FY,8,1),0))-MAX($E43,DATE(cfg_FY,8,1))+1))</f>
        <v>0</v>
      </c>
      <c r="BB43" s="133" t="n">
        <f aca="false">IF(OR(OR($B43="",$E43="",$F43=""),$K43&lt;&gt;"نعم",$M43="نعم"),0,MAX(0,MIN($F43,EOMONTH(DATE(cfg_FY,9,1),0))-MAX($E43,DATE(cfg_FY,9,1))+1))</f>
        <v>0</v>
      </c>
      <c r="BC43" s="133" t="n">
        <f aca="false">IF(OR(OR($B43="",$E43="",$F43=""),$K43&lt;&gt;"نعم",$M43="نعم"),0,MAX(0,MIN($F43,EOMONTH(DATE(cfg_FY,10,1),0))-MAX($E43,DATE(cfg_FY,10,1))+1))</f>
        <v>0</v>
      </c>
      <c r="BD43" s="133" t="n">
        <f aca="false">IF(OR(OR($B43="",$E43="",$F43=""),$K43&lt;&gt;"نعم",$M43="نعم"),0,MAX(0,MIN($F43,EOMONTH(DATE(cfg_FY,11,1),0))-MAX($E43,DATE(cfg_FY,11,1))+1))</f>
        <v>0</v>
      </c>
      <c r="BE43" s="133" t="n">
        <f aca="false">IF(OR(OR($B43="",$E43="",$F43=""),$K43&lt;&gt;"نعم",$M43="نعم"),0,MAX(0,MIN($F43,EOMONTH(DATE(cfg_FY,12,1),0))-MAX($E43,DATE(cfg_FY,12,1))+1))</f>
        <v>0</v>
      </c>
    </row>
    <row r="44" customFormat="false" ht="15" hidden="false" customHeight="false" outlineLevel="0" collapsed="false">
      <c r="A44" s="106" t="str">
        <f aca="false">IF(B44="","",ROW()-5)</f>
        <v/>
      </c>
      <c r="B44" s="118"/>
      <c r="C44" s="114" t="str">
        <f aca="false">IF(B44="","",IFERROR(INDEX(الموظفون!$C$6:$C$105,MATCH(B44,الموظفون!$B$6:$B$105,0)),"✖ رقم غير موجود"))</f>
        <v/>
      </c>
      <c r="D44" s="118"/>
      <c r="E44" s="119"/>
      <c r="F44" s="119"/>
      <c r="G44" s="65" t="str">
        <f aca="false">IF(OR($B44="",$E44="",$F44=""),"",MAX(0,F44-E44+1))</f>
        <v/>
      </c>
      <c r="H44" s="66" t="str">
        <f aca="false">IF(D44="","",IFERROR(VLOOKUP(D44,cfg_LT,2,FALSE()),1))</f>
        <v/>
      </c>
      <c r="I44" s="135"/>
      <c r="J44" s="66" t="str">
        <f aca="false">IF(D44="","",IF(I44&lt;&gt;"",I44,H44))</f>
        <v/>
      </c>
      <c r="K44" s="114" t="str">
        <f aca="false">IF(D44="","",IFERROR(VLOOKUP($D44,cfg_LT,3,FALSE()),""))</f>
        <v/>
      </c>
      <c r="L44" s="114" t="str">
        <f aca="false">IF(D44="","",IFERROR(VLOOKUP($D44,cfg_LT,4,FALSE()),""))</f>
        <v/>
      </c>
      <c r="M44" s="114" t="str">
        <f aca="false">IF(D44="","",IFERROR(VLOOKUP($D44,cfg_LT,5,FALSE()),""))</f>
        <v/>
      </c>
      <c r="N44" s="111" t="n">
        <f aca="false">IF(OR(OR($B44="",$E44="",$F44=""),M44&lt;&gt;"نعم"),0,G44*J44*IFERROR(INDEX(الموظفون!$R$6:$R$105,MATCH(B44,الموظفون!$B$6:$B$105,0)),0)/cfg_DAYS_M)</f>
        <v>0</v>
      </c>
      <c r="O44" s="106" t="str">
        <f aca="false">IF(OR(OR($B44="",$E44="",$F44=""),M44&lt;&gt;"نعم"),"",IF(YEAR(E44)=cfg_FY,MONTH(E44),""))</f>
        <v/>
      </c>
      <c r="P44" s="114" t="str">
        <f aca="false">IF(B44="","",IF(OR(D44="",E44="",F44=""),"⚠ أكمل النوع والتواريخ",IF(F44&lt;E44,"✖ النهاية قبل البداية",IF(COUNTIFS($B$6:$B$505,B44,$E$6:$E$505,"&lt;="&amp;F44,$F$6:$F$505,"&gt;="&amp;E44)&gt;1,"⚠ تداخل مع سجل آخر",IF(E44&gt;cfg_VAL_DATE,"⏳ قادمة",IF(F44&lt;cfg_VAL_DATE,"✔ منتهية","✈ جارية في تاريخ التقرير"))))))</f>
        <v/>
      </c>
      <c r="Q44" s="118"/>
      <c r="R44" s="65" t="n">
        <f aca="false">IF(OR(OR($B44="",$E44="",$F44=""),L44&lt;&gt;"لا"),0,MAX(0,MIN(F44,cfg_Y_START-1)-E44+1))</f>
        <v>0</v>
      </c>
      <c r="S44" s="65" t="n">
        <f aca="false">IF(OR(OR($B44="",$E44="",$F44=""),L44&lt;&gt;"لا"),0,MAX(0,MIN(F44,cfg_VAL_DATE)-E44+1))</f>
        <v>0</v>
      </c>
      <c r="T44" s="65" t="n">
        <f aca="false">IF(OR(OR($B44="",$E44="",$F44=""),K44&lt;&gt;"نعم"),0,IF(M44="نعم",IF(AND(ISNUMBER(O44),N(O44)&lt;=cfg_VAL_M),G44,0),MAX(0,MIN(F44,cfg_VAL_DATE)-MAX(E44,cfg_Y_START)+1)))</f>
        <v>0</v>
      </c>
      <c r="V44" s="65" t="n">
        <f aca="false">IF(OR($B44="",$E44="",$F44=""),0,MAX(0,MIN($F44,EOMONTH(DATE(cfg_FY,1,1),0))-MAX($E44,DATE(cfg_FY,1,1))+1)*(1-IF($M44="نعم",0,N($J44))))</f>
        <v>0</v>
      </c>
      <c r="W44" s="65" t="n">
        <f aca="false">IF(OR($B44="",$E44="",$F44=""),0,MAX(0,MIN($F44,EOMONTH(DATE(cfg_FY,2,1),0))-MAX($E44,DATE(cfg_FY,2,1))+1)*(1-IF($M44="نعم",0,N($J44))))</f>
        <v>0</v>
      </c>
      <c r="X44" s="65" t="n">
        <f aca="false">IF(OR($B44="",$E44="",$F44=""),0,MAX(0,MIN($F44,EOMONTH(DATE(cfg_FY,3,1),0))-MAX($E44,DATE(cfg_FY,3,1))+1)*(1-IF($M44="نعم",0,N($J44))))</f>
        <v>0</v>
      </c>
      <c r="Y44" s="65" t="n">
        <f aca="false">IF(OR($B44="",$E44="",$F44=""),0,MAX(0,MIN($F44,EOMONTH(DATE(cfg_FY,4,1),0))-MAX($E44,DATE(cfg_FY,4,1))+1)*(1-IF($M44="نعم",0,N($J44))))</f>
        <v>0</v>
      </c>
      <c r="Z44" s="65" t="n">
        <f aca="false">IF(OR($B44="",$E44="",$F44=""),0,MAX(0,MIN($F44,EOMONTH(DATE(cfg_FY,5,1),0))-MAX($E44,DATE(cfg_FY,5,1))+1)*(1-IF($M44="نعم",0,N($J44))))</f>
        <v>0</v>
      </c>
      <c r="AA44" s="65" t="n">
        <f aca="false">IF(OR($B44="",$E44="",$F44=""),0,MAX(0,MIN($F44,EOMONTH(DATE(cfg_FY,6,1),0))-MAX($E44,DATE(cfg_FY,6,1))+1)*(1-IF($M44="نعم",0,N($J44))))</f>
        <v>0</v>
      </c>
      <c r="AB44" s="65" t="n">
        <f aca="false">IF(OR($B44="",$E44="",$F44=""),0,MAX(0,MIN($F44,EOMONTH(DATE(cfg_FY,7,1),0))-MAX($E44,DATE(cfg_FY,7,1))+1)*(1-IF($M44="نعم",0,N($J44))))</f>
        <v>0</v>
      </c>
      <c r="AC44" s="65" t="n">
        <f aca="false">IF(OR($B44="",$E44="",$F44=""),0,MAX(0,MIN($F44,EOMONTH(DATE(cfg_FY,8,1),0))-MAX($E44,DATE(cfg_FY,8,1))+1)*(1-IF($M44="نعم",0,N($J44))))</f>
        <v>0</v>
      </c>
      <c r="AD44" s="65" t="n">
        <f aca="false">IF(OR($B44="",$E44="",$F44=""),0,MAX(0,MIN($F44,EOMONTH(DATE(cfg_FY,9,1),0))-MAX($E44,DATE(cfg_FY,9,1))+1)*(1-IF($M44="نعم",0,N($J44))))</f>
        <v>0</v>
      </c>
      <c r="AE44" s="65" t="n">
        <f aca="false">IF(OR($B44="",$E44="",$F44=""),0,MAX(0,MIN($F44,EOMONTH(DATE(cfg_FY,10,1),0))-MAX($E44,DATE(cfg_FY,10,1))+1)*(1-IF($M44="نعم",0,N($J44))))</f>
        <v>0</v>
      </c>
      <c r="AF44" s="65" t="n">
        <f aca="false">IF(OR($B44="",$E44="",$F44=""),0,MAX(0,MIN($F44,EOMONTH(DATE(cfg_FY,11,1),0))-MAX($E44,DATE(cfg_FY,11,1))+1)*(1-IF($M44="نعم",0,N($J44))))</f>
        <v>0</v>
      </c>
      <c r="AG44" s="65" t="n">
        <f aca="false">IF(OR($B44="",$E44="",$F44=""),0,MAX(0,MIN($F44,EOMONTH(DATE(cfg_FY,12,1),0))-MAX($E44,DATE(cfg_FY,12,1))+1)*(1-IF($M44="نعم",0,N($J44))))</f>
        <v>0</v>
      </c>
      <c r="AH44" s="65" t="n">
        <f aca="false">IF(OR(OR($B44="",$E44="",$F44=""),$L44&lt;&gt;"لا"),0,MAX(0,MIN($F44,EOMONTH(DATE(cfg_FY,1,1),0))-$E44+1))</f>
        <v>0</v>
      </c>
      <c r="AI44" s="65" t="n">
        <f aca="false">IF(OR(OR($B44="",$E44="",$F44=""),$L44&lt;&gt;"لا"),0,MAX(0,MIN($F44,EOMONTH(DATE(cfg_FY,2,1),0))-$E44+1))</f>
        <v>0</v>
      </c>
      <c r="AJ44" s="65" t="n">
        <f aca="false">IF(OR(OR($B44="",$E44="",$F44=""),$L44&lt;&gt;"لا"),0,MAX(0,MIN($F44,EOMONTH(DATE(cfg_FY,3,1),0))-$E44+1))</f>
        <v>0</v>
      </c>
      <c r="AK44" s="65" t="n">
        <f aca="false">IF(OR(OR($B44="",$E44="",$F44=""),$L44&lt;&gt;"لا"),0,MAX(0,MIN($F44,EOMONTH(DATE(cfg_FY,4,1),0))-$E44+1))</f>
        <v>0</v>
      </c>
      <c r="AL44" s="65" t="n">
        <f aca="false">IF(OR(OR($B44="",$E44="",$F44=""),$L44&lt;&gt;"لا"),0,MAX(0,MIN($F44,EOMONTH(DATE(cfg_FY,5,1),0))-$E44+1))</f>
        <v>0</v>
      </c>
      <c r="AM44" s="65" t="n">
        <f aca="false">IF(OR(OR($B44="",$E44="",$F44=""),$L44&lt;&gt;"لا"),0,MAX(0,MIN($F44,EOMONTH(DATE(cfg_FY,6,1),0))-$E44+1))</f>
        <v>0</v>
      </c>
      <c r="AN44" s="65" t="n">
        <f aca="false">IF(OR(OR($B44="",$E44="",$F44=""),$L44&lt;&gt;"لا"),0,MAX(0,MIN($F44,EOMONTH(DATE(cfg_FY,7,1),0))-$E44+1))</f>
        <v>0</v>
      </c>
      <c r="AO44" s="65" t="n">
        <f aca="false">IF(OR(OR($B44="",$E44="",$F44=""),$L44&lt;&gt;"لا"),0,MAX(0,MIN($F44,EOMONTH(DATE(cfg_FY,8,1),0))-$E44+1))</f>
        <v>0</v>
      </c>
      <c r="AP44" s="65" t="n">
        <f aca="false">IF(OR(OR($B44="",$E44="",$F44=""),$L44&lt;&gt;"لا"),0,MAX(0,MIN($F44,EOMONTH(DATE(cfg_FY,9,1),0))-$E44+1))</f>
        <v>0</v>
      </c>
      <c r="AQ44" s="65" t="n">
        <f aca="false">IF(OR(OR($B44="",$E44="",$F44=""),$L44&lt;&gt;"لا"),0,MAX(0,MIN($F44,EOMONTH(DATE(cfg_FY,10,1),0))-$E44+1))</f>
        <v>0</v>
      </c>
      <c r="AR44" s="65" t="n">
        <f aca="false">IF(OR(OR($B44="",$E44="",$F44=""),$L44&lt;&gt;"لا"),0,MAX(0,MIN($F44,EOMONTH(DATE(cfg_FY,11,1),0))-$E44+1))</f>
        <v>0</v>
      </c>
      <c r="AS44" s="65" t="n">
        <f aca="false">IF(OR(OR($B44="",$E44="",$F44=""),$L44&lt;&gt;"لا"),0,MAX(0,MIN($F44,EOMONTH(DATE(cfg_FY,12,1),0))-$E44+1))</f>
        <v>0</v>
      </c>
      <c r="AT44" s="65" t="n">
        <f aca="false">IF(OR(OR($B44="",$E44="",$F44=""),$K44&lt;&gt;"نعم",$M44="نعم"),0,MAX(0,MIN($F44,EOMONTH(DATE(cfg_FY,1,1),0))-MAX($E44,DATE(cfg_FY,1,1))+1))</f>
        <v>0</v>
      </c>
      <c r="AU44" s="65" t="n">
        <f aca="false">IF(OR(OR($B44="",$E44="",$F44=""),$K44&lt;&gt;"نعم",$M44="نعم"),0,MAX(0,MIN($F44,EOMONTH(DATE(cfg_FY,2,1),0))-MAX($E44,DATE(cfg_FY,2,1))+1))</f>
        <v>0</v>
      </c>
      <c r="AV44" s="65" t="n">
        <f aca="false">IF(OR(OR($B44="",$E44="",$F44=""),$K44&lt;&gt;"نعم",$M44="نعم"),0,MAX(0,MIN($F44,EOMONTH(DATE(cfg_FY,3,1),0))-MAX($E44,DATE(cfg_FY,3,1))+1))</f>
        <v>0</v>
      </c>
      <c r="AW44" s="65" t="n">
        <f aca="false">IF(OR(OR($B44="",$E44="",$F44=""),$K44&lt;&gt;"نعم",$M44="نعم"),0,MAX(0,MIN($F44,EOMONTH(DATE(cfg_FY,4,1),0))-MAX($E44,DATE(cfg_FY,4,1))+1))</f>
        <v>0</v>
      </c>
      <c r="AX44" s="65" t="n">
        <f aca="false">IF(OR(OR($B44="",$E44="",$F44=""),$K44&lt;&gt;"نعم",$M44="نعم"),0,MAX(0,MIN($F44,EOMONTH(DATE(cfg_FY,5,1),0))-MAX($E44,DATE(cfg_FY,5,1))+1))</f>
        <v>0</v>
      </c>
      <c r="AY44" s="65" t="n">
        <f aca="false">IF(OR(OR($B44="",$E44="",$F44=""),$K44&lt;&gt;"نعم",$M44="نعم"),0,MAX(0,MIN($F44,EOMONTH(DATE(cfg_FY,6,1),0))-MAX($E44,DATE(cfg_FY,6,1))+1))</f>
        <v>0</v>
      </c>
      <c r="AZ44" s="65" t="n">
        <f aca="false">IF(OR(OR($B44="",$E44="",$F44=""),$K44&lt;&gt;"نعم",$M44="نعم"),0,MAX(0,MIN($F44,EOMONTH(DATE(cfg_FY,7,1),0))-MAX($E44,DATE(cfg_FY,7,1))+1))</f>
        <v>0</v>
      </c>
      <c r="BA44" s="65" t="n">
        <f aca="false">IF(OR(OR($B44="",$E44="",$F44=""),$K44&lt;&gt;"نعم",$M44="نعم"),0,MAX(0,MIN($F44,EOMONTH(DATE(cfg_FY,8,1),0))-MAX($E44,DATE(cfg_FY,8,1))+1))</f>
        <v>0</v>
      </c>
      <c r="BB44" s="65" t="n">
        <f aca="false">IF(OR(OR($B44="",$E44="",$F44=""),$K44&lt;&gt;"نعم",$M44="نعم"),0,MAX(0,MIN($F44,EOMONTH(DATE(cfg_FY,9,1),0))-MAX($E44,DATE(cfg_FY,9,1))+1))</f>
        <v>0</v>
      </c>
      <c r="BC44" s="65" t="n">
        <f aca="false">IF(OR(OR($B44="",$E44="",$F44=""),$K44&lt;&gt;"نعم",$M44="نعم"),0,MAX(0,MIN($F44,EOMONTH(DATE(cfg_FY,10,1),0))-MAX($E44,DATE(cfg_FY,10,1))+1))</f>
        <v>0</v>
      </c>
      <c r="BD44" s="65" t="n">
        <f aca="false">IF(OR(OR($B44="",$E44="",$F44=""),$K44&lt;&gt;"نعم",$M44="نعم"),0,MAX(0,MIN($F44,EOMONTH(DATE(cfg_FY,11,1),0))-MAX($E44,DATE(cfg_FY,11,1))+1))</f>
        <v>0</v>
      </c>
      <c r="BE44" s="65" t="n">
        <f aca="false">IF(OR(OR($B44="",$E44="",$F44=""),$K44&lt;&gt;"نعم",$M44="نعم"),0,MAX(0,MIN($F44,EOMONTH(DATE(cfg_FY,12,1),0))-MAX($E44,DATE(cfg_FY,12,1))+1))</f>
        <v>0</v>
      </c>
    </row>
    <row r="45" customFormat="false" ht="15" hidden="false" customHeight="false" outlineLevel="0" collapsed="false">
      <c r="A45" s="115" t="str">
        <f aca="false">IF(B45="","",ROW()-5)</f>
        <v/>
      </c>
      <c r="B45" s="118"/>
      <c r="C45" s="117" t="str">
        <f aca="false">IF(B45="","",IFERROR(INDEX(الموظفون!$C$6:$C$105,MATCH(B45,الموظفون!$B$6:$B$105,0)),"✖ رقم غير موجود"))</f>
        <v/>
      </c>
      <c r="D45" s="118"/>
      <c r="E45" s="119"/>
      <c r="F45" s="119"/>
      <c r="G45" s="133" t="str">
        <f aca="false">IF(OR($B45="",$E45="",$F45=""),"",MAX(0,F45-E45+1))</f>
        <v/>
      </c>
      <c r="H45" s="134" t="str">
        <f aca="false">IF(D45="","",IFERROR(VLOOKUP(D45,cfg_LT,2,FALSE()),1))</f>
        <v/>
      </c>
      <c r="I45" s="135"/>
      <c r="J45" s="134" t="str">
        <f aca="false">IF(D45="","",IF(I45&lt;&gt;"",I45,H45))</f>
        <v/>
      </c>
      <c r="K45" s="117" t="str">
        <f aca="false">IF(D45="","",IFERROR(VLOOKUP($D45,cfg_LT,3,FALSE()),""))</f>
        <v/>
      </c>
      <c r="L45" s="117" t="str">
        <f aca="false">IF(D45="","",IFERROR(VLOOKUP($D45,cfg_LT,4,FALSE()),""))</f>
        <v/>
      </c>
      <c r="M45" s="117" t="str">
        <f aca="false">IF(D45="","",IFERROR(VLOOKUP($D45,cfg_LT,5,FALSE()),""))</f>
        <v/>
      </c>
      <c r="N45" s="116" t="n">
        <f aca="false">IF(OR(OR($B45="",$E45="",$F45=""),M45&lt;&gt;"نعم"),0,G45*J45*IFERROR(INDEX(الموظفون!$R$6:$R$105,MATCH(B45,الموظفون!$B$6:$B$105,0)),0)/cfg_DAYS_M)</f>
        <v>0</v>
      </c>
      <c r="O45" s="115" t="str">
        <f aca="false">IF(OR(OR($B45="",$E45="",$F45=""),M45&lt;&gt;"نعم"),"",IF(YEAR(E45)=cfg_FY,MONTH(E45),""))</f>
        <v/>
      </c>
      <c r="P45" s="117" t="str">
        <f aca="false">IF(B45="","",IF(OR(D45="",E45="",F45=""),"⚠ أكمل النوع والتواريخ",IF(F45&lt;E45,"✖ النهاية قبل البداية",IF(COUNTIFS($B$6:$B$505,B45,$E$6:$E$505,"&lt;="&amp;F45,$F$6:$F$505,"&gt;="&amp;E45)&gt;1,"⚠ تداخل مع سجل آخر",IF(E45&gt;cfg_VAL_DATE,"⏳ قادمة",IF(F45&lt;cfg_VAL_DATE,"✔ منتهية","✈ جارية في تاريخ التقرير"))))))</f>
        <v/>
      </c>
      <c r="Q45" s="118"/>
      <c r="R45" s="133" t="n">
        <f aca="false">IF(OR(OR($B45="",$E45="",$F45=""),L45&lt;&gt;"لا"),0,MAX(0,MIN(F45,cfg_Y_START-1)-E45+1))</f>
        <v>0</v>
      </c>
      <c r="S45" s="133" t="n">
        <f aca="false">IF(OR(OR($B45="",$E45="",$F45=""),L45&lt;&gt;"لا"),0,MAX(0,MIN(F45,cfg_VAL_DATE)-E45+1))</f>
        <v>0</v>
      </c>
      <c r="T45" s="133" t="n">
        <f aca="false">IF(OR(OR($B45="",$E45="",$F45=""),K45&lt;&gt;"نعم"),0,IF(M45="نعم",IF(AND(ISNUMBER(O45),N(O45)&lt;=cfg_VAL_M),G45,0),MAX(0,MIN(F45,cfg_VAL_DATE)-MAX(E45,cfg_Y_START)+1)))</f>
        <v>0</v>
      </c>
      <c r="V45" s="133" t="n">
        <f aca="false">IF(OR($B45="",$E45="",$F45=""),0,MAX(0,MIN($F45,EOMONTH(DATE(cfg_FY,1,1),0))-MAX($E45,DATE(cfg_FY,1,1))+1)*(1-IF($M45="نعم",0,N($J45))))</f>
        <v>0</v>
      </c>
      <c r="W45" s="133" t="n">
        <f aca="false">IF(OR($B45="",$E45="",$F45=""),0,MAX(0,MIN($F45,EOMONTH(DATE(cfg_FY,2,1),0))-MAX($E45,DATE(cfg_FY,2,1))+1)*(1-IF($M45="نعم",0,N($J45))))</f>
        <v>0</v>
      </c>
      <c r="X45" s="133" t="n">
        <f aca="false">IF(OR($B45="",$E45="",$F45=""),0,MAX(0,MIN($F45,EOMONTH(DATE(cfg_FY,3,1),0))-MAX($E45,DATE(cfg_FY,3,1))+1)*(1-IF($M45="نعم",0,N($J45))))</f>
        <v>0</v>
      </c>
      <c r="Y45" s="133" t="n">
        <f aca="false">IF(OR($B45="",$E45="",$F45=""),0,MAX(0,MIN($F45,EOMONTH(DATE(cfg_FY,4,1),0))-MAX($E45,DATE(cfg_FY,4,1))+1)*(1-IF($M45="نعم",0,N($J45))))</f>
        <v>0</v>
      </c>
      <c r="Z45" s="133" t="n">
        <f aca="false">IF(OR($B45="",$E45="",$F45=""),0,MAX(0,MIN($F45,EOMONTH(DATE(cfg_FY,5,1),0))-MAX($E45,DATE(cfg_FY,5,1))+1)*(1-IF($M45="نعم",0,N($J45))))</f>
        <v>0</v>
      </c>
      <c r="AA45" s="133" t="n">
        <f aca="false">IF(OR($B45="",$E45="",$F45=""),0,MAX(0,MIN($F45,EOMONTH(DATE(cfg_FY,6,1),0))-MAX($E45,DATE(cfg_FY,6,1))+1)*(1-IF($M45="نعم",0,N($J45))))</f>
        <v>0</v>
      </c>
      <c r="AB45" s="133" t="n">
        <f aca="false">IF(OR($B45="",$E45="",$F45=""),0,MAX(0,MIN($F45,EOMONTH(DATE(cfg_FY,7,1),0))-MAX($E45,DATE(cfg_FY,7,1))+1)*(1-IF($M45="نعم",0,N($J45))))</f>
        <v>0</v>
      </c>
      <c r="AC45" s="133" t="n">
        <f aca="false">IF(OR($B45="",$E45="",$F45=""),0,MAX(0,MIN($F45,EOMONTH(DATE(cfg_FY,8,1),0))-MAX($E45,DATE(cfg_FY,8,1))+1)*(1-IF($M45="نعم",0,N($J45))))</f>
        <v>0</v>
      </c>
      <c r="AD45" s="133" t="n">
        <f aca="false">IF(OR($B45="",$E45="",$F45=""),0,MAX(0,MIN($F45,EOMONTH(DATE(cfg_FY,9,1),0))-MAX($E45,DATE(cfg_FY,9,1))+1)*(1-IF($M45="نعم",0,N($J45))))</f>
        <v>0</v>
      </c>
      <c r="AE45" s="133" t="n">
        <f aca="false">IF(OR($B45="",$E45="",$F45=""),0,MAX(0,MIN($F45,EOMONTH(DATE(cfg_FY,10,1),0))-MAX($E45,DATE(cfg_FY,10,1))+1)*(1-IF($M45="نعم",0,N($J45))))</f>
        <v>0</v>
      </c>
      <c r="AF45" s="133" t="n">
        <f aca="false">IF(OR($B45="",$E45="",$F45=""),0,MAX(0,MIN($F45,EOMONTH(DATE(cfg_FY,11,1),0))-MAX($E45,DATE(cfg_FY,11,1))+1)*(1-IF($M45="نعم",0,N($J45))))</f>
        <v>0</v>
      </c>
      <c r="AG45" s="133" t="n">
        <f aca="false">IF(OR($B45="",$E45="",$F45=""),0,MAX(0,MIN($F45,EOMONTH(DATE(cfg_FY,12,1),0))-MAX($E45,DATE(cfg_FY,12,1))+1)*(1-IF($M45="نعم",0,N($J45))))</f>
        <v>0</v>
      </c>
      <c r="AH45" s="133" t="n">
        <f aca="false">IF(OR(OR($B45="",$E45="",$F45=""),$L45&lt;&gt;"لا"),0,MAX(0,MIN($F45,EOMONTH(DATE(cfg_FY,1,1),0))-$E45+1))</f>
        <v>0</v>
      </c>
      <c r="AI45" s="133" t="n">
        <f aca="false">IF(OR(OR($B45="",$E45="",$F45=""),$L45&lt;&gt;"لا"),0,MAX(0,MIN($F45,EOMONTH(DATE(cfg_FY,2,1),0))-$E45+1))</f>
        <v>0</v>
      </c>
      <c r="AJ45" s="133" t="n">
        <f aca="false">IF(OR(OR($B45="",$E45="",$F45=""),$L45&lt;&gt;"لا"),0,MAX(0,MIN($F45,EOMONTH(DATE(cfg_FY,3,1),0))-$E45+1))</f>
        <v>0</v>
      </c>
      <c r="AK45" s="133" t="n">
        <f aca="false">IF(OR(OR($B45="",$E45="",$F45=""),$L45&lt;&gt;"لا"),0,MAX(0,MIN($F45,EOMONTH(DATE(cfg_FY,4,1),0))-$E45+1))</f>
        <v>0</v>
      </c>
      <c r="AL45" s="133" t="n">
        <f aca="false">IF(OR(OR($B45="",$E45="",$F45=""),$L45&lt;&gt;"لا"),0,MAX(0,MIN($F45,EOMONTH(DATE(cfg_FY,5,1),0))-$E45+1))</f>
        <v>0</v>
      </c>
      <c r="AM45" s="133" t="n">
        <f aca="false">IF(OR(OR($B45="",$E45="",$F45=""),$L45&lt;&gt;"لا"),0,MAX(0,MIN($F45,EOMONTH(DATE(cfg_FY,6,1),0))-$E45+1))</f>
        <v>0</v>
      </c>
      <c r="AN45" s="133" t="n">
        <f aca="false">IF(OR(OR($B45="",$E45="",$F45=""),$L45&lt;&gt;"لا"),0,MAX(0,MIN($F45,EOMONTH(DATE(cfg_FY,7,1),0))-$E45+1))</f>
        <v>0</v>
      </c>
      <c r="AO45" s="133" t="n">
        <f aca="false">IF(OR(OR($B45="",$E45="",$F45=""),$L45&lt;&gt;"لا"),0,MAX(0,MIN($F45,EOMONTH(DATE(cfg_FY,8,1),0))-$E45+1))</f>
        <v>0</v>
      </c>
      <c r="AP45" s="133" t="n">
        <f aca="false">IF(OR(OR($B45="",$E45="",$F45=""),$L45&lt;&gt;"لا"),0,MAX(0,MIN($F45,EOMONTH(DATE(cfg_FY,9,1),0))-$E45+1))</f>
        <v>0</v>
      </c>
      <c r="AQ45" s="133" t="n">
        <f aca="false">IF(OR(OR($B45="",$E45="",$F45=""),$L45&lt;&gt;"لا"),0,MAX(0,MIN($F45,EOMONTH(DATE(cfg_FY,10,1),0))-$E45+1))</f>
        <v>0</v>
      </c>
      <c r="AR45" s="133" t="n">
        <f aca="false">IF(OR(OR($B45="",$E45="",$F45=""),$L45&lt;&gt;"لا"),0,MAX(0,MIN($F45,EOMONTH(DATE(cfg_FY,11,1),0))-$E45+1))</f>
        <v>0</v>
      </c>
      <c r="AS45" s="133" t="n">
        <f aca="false">IF(OR(OR($B45="",$E45="",$F45=""),$L45&lt;&gt;"لا"),0,MAX(0,MIN($F45,EOMONTH(DATE(cfg_FY,12,1),0))-$E45+1))</f>
        <v>0</v>
      </c>
      <c r="AT45" s="133" t="n">
        <f aca="false">IF(OR(OR($B45="",$E45="",$F45=""),$K45&lt;&gt;"نعم",$M45="نعم"),0,MAX(0,MIN($F45,EOMONTH(DATE(cfg_FY,1,1),0))-MAX($E45,DATE(cfg_FY,1,1))+1))</f>
        <v>0</v>
      </c>
      <c r="AU45" s="133" t="n">
        <f aca="false">IF(OR(OR($B45="",$E45="",$F45=""),$K45&lt;&gt;"نعم",$M45="نعم"),0,MAX(0,MIN($F45,EOMONTH(DATE(cfg_FY,2,1),0))-MAX($E45,DATE(cfg_FY,2,1))+1))</f>
        <v>0</v>
      </c>
      <c r="AV45" s="133" t="n">
        <f aca="false">IF(OR(OR($B45="",$E45="",$F45=""),$K45&lt;&gt;"نعم",$M45="نعم"),0,MAX(0,MIN($F45,EOMONTH(DATE(cfg_FY,3,1),0))-MAX($E45,DATE(cfg_FY,3,1))+1))</f>
        <v>0</v>
      </c>
      <c r="AW45" s="133" t="n">
        <f aca="false">IF(OR(OR($B45="",$E45="",$F45=""),$K45&lt;&gt;"نعم",$M45="نعم"),0,MAX(0,MIN($F45,EOMONTH(DATE(cfg_FY,4,1),0))-MAX($E45,DATE(cfg_FY,4,1))+1))</f>
        <v>0</v>
      </c>
      <c r="AX45" s="133" t="n">
        <f aca="false">IF(OR(OR($B45="",$E45="",$F45=""),$K45&lt;&gt;"نعم",$M45="نعم"),0,MAX(0,MIN($F45,EOMONTH(DATE(cfg_FY,5,1),0))-MAX($E45,DATE(cfg_FY,5,1))+1))</f>
        <v>0</v>
      </c>
      <c r="AY45" s="133" t="n">
        <f aca="false">IF(OR(OR($B45="",$E45="",$F45=""),$K45&lt;&gt;"نعم",$M45="نعم"),0,MAX(0,MIN($F45,EOMONTH(DATE(cfg_FY,6,1),0))-MAX($E45,DATE(cfg_FY,6,1))+1))</f>
        <v>0</v>
      </c>
      <c r="AZ45" s="133" t="n">
        <f aca="false">IF(OR(OR($B45="",$E45="",$F45=""),$K45&lt;&gt;"نعم",$M45="نعم"),0,MAX(0,MIN($F45,EOMONTH(DATE(cfg_FY,7,1),0))-MAX($E45,DATE(cfg_FY,7,1))+1))</f>
        <v>0</v>
      </c>
      <c r="BA45" s="133" t="n">
        <f aca="false">IF(OR(OR($B45="",$E45="",$F45=""),$K45&lt;&gt;"نعم",$M45="نعم"),0,MAX(0,MIN($F45,EOMONTH(DATE(cfg_FY,8,1),0))-MAX($E45,DATE(cfg_FY,8,1))+1))</f>
        <v>0</v>
      </c>
      <c r="BB45" s="133" t="n">
        <f aca="false">IF(OR(OR($B45="",$E45="",$F45=""),$K45&lt;&gt;"نعم",$M45="نعم"),0,MAX(0,MIN($F45,EOMONTH(DATE(cfg_FY,9,1),0))-MAX($E45,DATE(cfg_FY,9,1))+1))</f>
        <v>0</v>
      </c>
      <c r="BC45" s="133" t="n">
        <f aca="false">IF(OR(OR($B45="",$E45="",$F45=""),$K45&lt;&gt;"نعم",$M45="نعم"),0,MAX(0,MIN($F45,EOMONTH(DATE(cfg_FY,10,1),0))-MAX($E45,DATE(cfg_FY,10,1))+1))</f>
        <v>0</v>
      </c>
      <c r="BD45" s="133" t="n">
        <f aca="false">IF(OR(OR($B45="",$E45="",$F45=""),$K45&lt;&gt;"نعم",$M45="نعم"),0,MAX(0,MIN($F45,EOMONTH(DATE(cfg_FY,11,1),0))-MAX($E45,DATE(cfg_FY,11,1))+1))</f>
        <v>0</v>
      </c>
      <c r="BE45" s="133" t="n">
        <f aca="false">IF(OR(OR($B45="",$E45="",$F45=""),$K45&lt;&gt;"نعم",$M45="نعم"),0,MAX(0,MIN($F45,EOMONTH(DATE(cfg_FY,12,1),0))-MAX($E45,DATE(cfg_FY,12,1))+1))</f>
        <v>0</v>
      </c>
    </row>
    <row r="46" customFormat="false" ht="15" hidden="false" customHeight="false" outlineLevel="0" collapsed="false">
      <c r="A46" s="106" t="str">
        <f aca="false">IF(B46="","",ROW()-5)</f>
        <v/>
      </c>
      <c r="B46" s="118"/>
      <c r="C46" s="114" t="str">
        <f aca="false">IF(B46="","",IFERROR(INDEX(الموظفون!$C$6:$C$105,MATCH(B46,الموظفون!$B$6:$B$105,0)),"✖ رقم غير موجود"))</f>
        <v/>
      </c>
      <c r="D46" s="118"/>
      <c r="E46" s="119"/>
      <c r="F46" s="119"/>
      <c r="G46" s="65" t="str">
        <f aca="false">IF(OR($B46="",$E46="",$F46=""),"",MAX(0,F46-E46+1))</f>
        <v/>
      </c>
      <c r="H46" s="66" t="str">
        <f aca="false">IF(D46="","",IFERROR(VLOOKUP(D46,cfg_LT,2,FALSE()),1))</f>
        <v/>
      </c>
      <c r="I46" s="135"/>
      <c r="J46" s="66" t="str">
        <f aca="false">IF(D46="","",IF(I46&lt;&gt;"",I46,H46))</f>
        <v/>
      </c>
      <c r="K46" s="114" t="str">
        <f aca="false">IF(D46="","",IFERROR(VLOOKUP($D46,cfg_LT,3,FALSE()),""))</f>
        <v/>
      </c>
      <c r="L46" s="114" t="str">
        <f aca="false">IF(D46="","",IFERROR(VLOOKUP($D46,cfg_LT,4,FALSE()),""))</f>
        <v/>
      </c>
      <c r="M46" s="114" t="str">
        <f aca="false">IF(D46="","",IFERROR(VLOOKUP($D46,cfg_LT,5,FALSE()),""))</f>
        <v/>
      </c>
      <c r="N46" s="111" t="n">
        <f aca="false">IF(OR(OR($B46="",$E46="",$F46=""),M46&lt;&gt;"نعم"),0,G46*J46*IFERROR(INDEX(الموظفون!$R$6:$R$105,MATCH(B46,الموظفون!$B$6:$B$105,0)),0)/cfg_DAYS_M)</f>
        <v>0</v>
      </c>
      <c r="O46" s="106" t="str">
        <f aca="false">IF(OR(OR($B46="",$E46="",$F46=""),M46&lt;&gt;"نعم"),"",IF(YEAR(E46)=cfg_FY,MONTH(E46),""))</f>
        <v/>
      </c>
      <c r="P46" s="114" t="str">
        <f aca="false">IF(B46="","",IF(OR(D46="",E46="",F46=""),"⚠ أكمل النوع والتواريخ",IF(F46&lt;E46,"✖ النهاية قبل البداية",IF(COUNTIFS($B$6:$B$505,B46,$E$6:$E$505,"&lt;="&amp;F46,$F$6:$F$505,"&gt;="&amp;E46)&gt;1,"⚠ تداخل مع سجل آخر",IF(E46&gt;cfg_VAL_DATE,"⏳ قادمة",IF(F46&lt;cfg_VAL_DATE,"✔ منتهية","✈ جارية في تاريخ التقرير"))))))</f>
        <v/>
      </c>
      <c r="Q46" s="118"/>
      <c r="R46" s="65" t="n">
        <f aca="false">IF(OR(OR($B46="",$E46="",$F46=""),L46&lt;&gt;"لا"),0,MAX(0,MIN(F46,cfg_Y_START-1)-E46+1))</f>
        <v>0</v>
      </c>
      <c r="S46" s="65" t="n">
        <f aca="false">IF(OR(OR($B46="",$E46="",$F46=""),L46&lt;&gt;"لا"),0,MAX(0,MIN(F46,cfg_VAL_DATE)-E46+1))</f>
        <v>0</v>
      </c>
      <c r="T46" s="65" t="n">
        <f aca="false">IF(OR(OR($B46="",$E46="",$F46=""),K46&lt;&gt;"نعم"),0,IF(M46="نعم",IF(AND(ISNUMBER(O46),N(O46)&lt;=cfg_VAL_M),G46,0),MAX(0,MIN(F46,cfg_VAL_DATE)-MAX(E46,cfg_Y_START)+1)))</f>
        <v>0</v>
      </c>
      <c r="V46" s="65" t="n">
        <f aca="false">IF(OR($B46="",$E46="",$F46=""),0,MAX(0,MIN($F46,EOMONTH(DATE(cfg_FY,1,1),0))-MAX($E46,DATE(cfg_FY,1,1))+1)*(1-IF($M46="نعم",0,N($J46))))</f>
        <v>0</v>
      </c>
      <c r="W46" s="65" t="n">
        <f aca="false">IF(OR($B46="",$E46="",$F46=""),0,MAX(0,MIN($F46,EOMONTH(DATE(cfg_FY,2,1),0))-MAX($E46,DATE(cfg_FY,2,1))+1)*(1-IF($M46="نعم",0,N($J46))))</f>
        <v>0</v>
      </c>
      <c r="X46" s="65" t="n">
        <f aca="false">IF(OR($B46="",$E46="",$F46=""),0,MAX(0,MIN($F46,EOMONTH(DATE(cfg_FY,3,1),0))-MAX($E46,DATE(cfg_FY,3,1))+1)*(1-IF($M46="نعم",0,N($J46))))</f>
        <v>0</v>
      </c>
      <c r="Y46" s="65" t="n">
        <f aca="false">IF(OR($B46="",$E46="",$F46=""),0,MAX(0,MIN($F46,EOMONTH(DATE(cfg_FY,4,1),0))-MAX($E46,DATE(cfg_FY,4,1))+1)*(1-IF($M46="نعم",0,N($J46))))</f>
        <v>0</v>
      </c>
      <c r="Z46" s="65" t="n">
        <f aca="false">IF(OR($B46="",$E46="",$F46=""),0,MAX(0,MIN($F46,EOMONTH(DATE(cfg_FY,5,1),0))-MAX($E46,DATE(cfg_FY,5,1))+1)*(1-IF($M46="نعم",0,N($J46))))</f>
        <v>0</v>
      </c>
      <c r="AA46" s="65" t="n">
        <f aca="false">IF(OR($B46="",$E46="",$F46=""),0,MAX(0,MIN($F46,EOMONTH(DATE(cfg_FY,6,1),0))-MAX($E46,DATE(cfg_FY,6,1))+1)*(1-IF($M46="نعم",0,N($J46))))</f>
        <v>0</v>
      </c>
      <c r="AB46" s="65" t="n">
        <f aca="false">IF(OR($B46="",$E46="",$F46=""),0,MAX(0,MIN($F46,EOMONTH(DATE(cfg_FY,7,1),0))-MAX($E46,DATE(cfg_FY,7,1))+1)*(1-IF($M46="نعم",0,N($J46))))</f>
        <v>0</v>
      </c>
      <c r="AC46" s="65" t="n">
        <f aca="false">IF(OR($B46="",$E46="",$F46=""),0,MAX(0,MIN($F46,EOMONTH(DATE(cfg_FY,8,1),0))-MAX($E46,DATE(cfg_FY,8,1))+1)*(1-IF($M46="نعم",0,N($J46))))</f>
        <v>0</v>
      </c>
      <c r="AD46" s="65" t="n">
        <f aca="false">IF(OR($B46="",$E46="",$F46=""),0,MAX(0,MIN($F46,EOMONTH(DATE(cfg_FY,9,1),0))-MAX($E46,DATE(cfg_FY,9,1))+1)*(1-IF($M46="نعم",0,N($J46))))</f>
        <v>0</v>
      </c>
      <c r="AE46" s="65" t="n">
        <f aca="false">IF(OR($B46="",$E46="",$F46=""),0,MAX(0,MIN($F46,EOMONTH(DATE(cfg_FY,10,1),0))-MAX($E46,DATE(cfg_FY,10,1))+1)*(1-IF($M46="نعم",0,N($J46))))</f>
        <v>0</v>
      </c>
      <c r="AF46" s="65" t="n">
        <f aca="false">IF(OR($B46="",$E46="",$F46=""),0,MAX(0,MIN($F46,EOMONTH(DATE(cfg_FY,11,1),0))-MAX($E46,DATE(cfg_FY,11,1))+1)*(1-IF($M46="نعم",0,N($J46))))</f>
        <v>0</v>
      </c>
      <c r="AG46" s="65" t="n">
        <f aca="false">IF(OR($B46="",$E46="",$F46=""),0,MAX(0,MIN($F46,EOMONTH(DATE(cfg_FY,12,1),0))-MAX($E46,DATE(cfg_FY,12,1))+1)*(1-IF($M46="نعم",0,N($J46))))</f>
        <v>0</v>
      </c>
      <c r="AH46" s="65" t="n">
        <f aca="false">IF(OR(OR($B46="",$E46="",$F46=""),$L46&lt;&gt;"لا"),0,MAX(0,MIN($F46,EOMONTH(DATE(cfg_FY,1,1),0))-$E46+1))</f>
        <v>0</v>
      </c>
      <c r="AI46" s="65" t="n">
        <f aca="false">IF(OR(OR($B46="",$E46="",$F46=""),$L46&lt;&gt;"لا"),0,MAX(0,MIN($F46,EOMONTH(DATE(cfg_FY,2,1),0))-$E46+1))</f>
        <v>0</v>
      </c>
      <c r="AJ46" s="65" t="n">
        <f aca="false">IF(OR(OR($B46="",$E46="",$F46=""),$L46&lt;&gt;"لا"),0,MAX(0,MIN($F46,EOMONTH(DATE(cfg_FY,3,1),0))-$E46+1))</f>
        <v>0</v>
      </c>
      <c r="AK46" s="65" t="n">
        <f aca="false">IF(OR(OR($B46="",$E46="",$F46=""),$L46&lt;&gt;"لا"),0,MAX(0,MIN($F46,EOMONTH(DATE(cfg_FY,4,1),0))-$E46+1))</f>
        <v>0</v>
      </c>
      <c r="AL46" s="65" t="n">
        <f aca="false">IF(OR(OR($B46="",$E46="",$F46=""),$L46&lt;&gt;"لا"),0,MAX(0,MIN($F46,EOMONTH(DATE(cfg_FY,5,1),0))-$E46+1))</f>
        <v>0</v>
      </c>
      <c r="AM46" s="65" t="n">
        <f aca="false">IF(OR(OR($B46="",$E46="",$F46=""),$L46&lt;&gt;"لا"),0,MAX(0,MIN($F46,EOMONTH(DATE(cfg_FY,6,1),0))-$E46+1))</f>
        <v>0</v>
      </c>
      <c r="AN46" s="65" t="n">
        <f aca="false">IF(OR(OR($B46="",$E46="",$F46=""),$L46&lt;&gt;"لا"),0,MAX(0,MIN($F46,EOMONTH(DATE(cfg_FY,7,1),0))-$E46+1))</f>
        <v>0</v>
      </c>
      <c r="AO46" s="65" t="n">
        <f aca="false">IF(OR(OR($B46="",$E46="",$F46=""),$L46&lt;&gt;"لا"),0,MAX(0,MIN($F46,EOMONTH(DATE(cfg_FY,8,1),0))-$E46+1))</f>
        <v>0</v>
      </c>
      <c r="AP46" s="65" t="n">
        <f aca="false">IF(OR(OR($B46="",$E46="",$F46=""),$L46&lt;&gt;"لا"),0,MAX(0,MIN($F46,EOMONTH(DATE(cfg_FY,9,1),0))-$E46+1))</f>
        <v>0</v>
      </c>
      <c r="AQ46" s="65" t="n">
        <f aca="false">IF(OR(OR($B46="",$E46="",$F46=""),$L46&lt;&gt;"لا"),0,MAX(0,MIN($F46,EOMONTH(DATE(cfg_FY,10,1),0))-$E46+1))</f>
        <v>0</v>
      </c>
      <c r="AR46" s="65" t="n">
        <f aca="false">IF(OR(OR($B46="",$E46="",$F46=""),$L46&lt;&gt;"لا"),0,MAX(0,MIN($F46,EOMONTH(DATE(cfg_FY,11,1),0))-$E46+1))</f>
        <v>0</v>
      </c>
      <c r="AS46" s="65" t="n">
        <f aca="false">IF(OR(OR($B46="",$E46="",$F46=""),$L46&lt;&gt;"لا"),0,MAX(0,MIN($F46,EOMONTH(DATE(cfg_FY,12,1),0))-$E46+1))</f>
        <v>0</v>
      </c>
      <c r="AT46" s="65" t="n">
        <f aca="false">IF(OR(OR($B46="",$E46="",$F46=""),$K46&lt;&gt;"نعم",$M46="نعم"),0,MAX(0,MIN($F46,EOMONTH(DATE(cfg_FY,1,1),0))-MAX($E46,DATE(cfg_FY,1,1))+1))</f>
        <v>0</v>
      </c>
      <c r="AU46" s="65" t="n">
        <f aca="false">IF(OR(OR($B46="",$E46="",$F46=""),$K46&lt;&gt;"نعم",$M46="نعم"),0,MAX(0,MIN($F46,EOMONTH(DATE(cfg_FY,2,1),0))-MAX($E46,DATE(cfg_FY,2,1))+1))</f>
        <v>0</v>
      </c>
      <c r="AV46" s="65" t="n">
        <f aca="false">IF(OR(OR($B46="",$E46="",$F46=""),$K46&lt;&gt;"نعم",$M46="نعم"),0,MAX(0,MIN($F46,EOMONTH(DATE(cfg_FY,3,1),0))-MAX($E46,DATE(cfg_FY,3,1))+1))</f>
        <v>0</v>
      </c>
      <c r="AW46" s="65" t="n">
        <f aca="false">IF(OR(OR($B46="",$E46="",$F46=""),$K46&lt;&gt;"نعم",$M46="نعم"),0,MAX(0,MIN($F46,EOMONTH(DATE(cfg_FY,4,1),0))-MAX($E46,DATE(cfg_FY,4,1))+1))</f>
        <v>0</v>
      </c>
      <c r="AX46" s="65" t="n">
        <f aca="false">IF(OR(OR($B46="",$E46="",$F46=""),$K46&lt;&gt;"نعم",$M46="نعم"),0,MAX(0,MIN($F46,EOMONTH(DATE(cfg_FY,5,1),0))-MAX($E46,DATE(cfg_FY,5,1))+1))</f>
        <v>0</v>
      </c>
      <c r="AY46" s="65" t="n">
        <f aca="false">IF(OR(OR($B46="",$E46="",$F46=""),$K46&lt;&gt;"نعم",$M46="نعم"),0,MAX(0,MIN($F46,EOMONTH(DATE(cfg_FY,6,1),0))-MAX($E46,DATE(cfg_FY,6,1))+1))</f>
        <v>0</v>
      </c>
      <c r="AZ46" s="65" t="n">
        <f aca="false">IF(OR(OR($B46="",$E46="",$F46=""),$K46&lt;&gt;"نعم",$M46="نعم"),0,MAX(0,MIN($F46,EOMONTH(DATE(cfg_FY,7,1),0))-MAX($E46,DATE(cfg_FY,7,1))+1))</f>
        <v>0</v>
      </c>
      <c r="BA46" s="65" t="n">
        <f aca="false">IF(OR(OR($B46="",$E46="",$F46=""),$K46&lt;&gt;"نعم",$M46="نعم"),0,MAX(0,MIN($F46,EOMONTH(DATE(cfg_FY,8,1),0))-MAX($E46,DATE(cfg_FY,8,1))+1))</f>
        <v>0</v>
      </c>
      <c r="BB46" s="65" t="n">
        <f aca="false">IF(OR(OR($B46="",$E46="",$F46=""),$K46&lt;&gt;"نعم",$M46="نعم"),0,MAX(0,MIN($F46,EOMONTH(DATE(cfg_FY,9,1),0))-MAX($E46,DATE(cfg_FY,9,1))+1))</f>
        <v>0</v>
      </c>
      <c r="BC46" s="65" t="n">
        <f aca="false">IF(OR(OR($B46="",$E46="",$F46=""),$K46&lt;&gt;"نعم",$M46="نعم"),0,MAX(0,MIN($F46,EOMONTH(DATE(cfg_FY,10,1),0))-MAX($E46,DATE(cfg_FY,10,1))+1))</f>
        <v>0</v>
      </c>
      <c r="BD46" s="65" t="n">
        <f aca="false">IF(OR(OR($B46="",$E46="",$F46=""),$K46&lt;&gt;"نعم",$M46="نعم"),0,MAX(0,MIN($F46,EOMONTH(DATE(cfg_FY,11,1),0))-MAX($E46,DATE(cfg_FY,11,1))+1))</f>
        <v>0</v>
      </c>
      <c r="BE46" s="65" t="n">
        <f aca="false">IF(OR(OR($B46="",$E46="",$F46=""),$K46&lt;&gt;"نعم",$M46="نعم"),0,MAX(0,MIN($F46,EOMONTH(DATE(cfg_FY,12,1),0))-MAX($E46,DATE(cfg_FY,12,1))+1))</f>
        <v>0</v>
      </c>
    </row>
    <row r="47" customFormat="false" ht="15" hidden="false" customHeight="false" outlineLevel="0" collapsed="false">
      <c r="A47" s="115" t="str">
        <f aca="false">IF(B47="","",ROW()-5)</f>
        <v/>
      </c>
      <c r="B47" s="118"/>
      <c r="C47" s="117" t="str">
        <f aca="false">IF(B47="","",IFERROR(INDEX(الموظفون!$C$6:$C$105,MATCH(B47,الموظفون!$B$6:$B$105,0)),"✖ رقم غير موجود"))</f>
        <v/>
      </c>
      <c r="D47" s="118"/>
      <c r="E47" s="119"/>
      <c r="F47" s="119"/>
      <c r="G47" s="133" t="str">
        <f aca="false">IF(OR($B47="",$E47="",$F47=""),"",MAX(0,F47-E47+1))</f>
        <v/>
      </c>
      <c r="H47" s="134" t="str">
        <f aca="false">IF(D47="","",IFERROR(VLOOKUP(D47,cfg_LT,2,FALSE()),1))</f>
        <v/>
      </c>
      <c r="I47" s="135"/>
      <c r="J47" s="134" t="str">
        <f aca="false">IF(D47="","",IF(I47&lt;&gt;"",I47,H47))</f>
        <v/>
      </c>
      <c r="K47" s="117" t="str">
        <f aca="false">IF(D47="","",IFERROR(VLOOKUP($D47,cfg_LT,3,FALSE()),""))</f>
        <v/>
      </c>
      <c r="L47" s="117" t="str">
        <f aca="false">IF(D47="","",IFERROR(VLOOKUP($D47,cfg_LT,4,FALSE()),""))</f>
        <v/>
      </c>
      <c r="M47" s="117" t="str">
        <f aca="false">IF(D47="","",IFERROR(VLOOKUP($D47,cfg_LT,5,FALSE()),""))</f>
        <v/>
      </c>
      <c r="N47" s="116" t="n">
        <f aca="false">IF(OR(OR($B47="",$E47="",$F47=""),M47&lt;&gt;"نعم"),0,G47*J47*IFERROR(INDEX(الموظفون!$R$6:$R$105,MATCH(B47,الموظفون!$B$6:$B$105,0)),0)/cfg_DAYS_M)</f>
        <v>0</v>
      </c>
      <c r="O47" s="115" t="str">
        <f aca="false">IF(OR(OR($B47="",$E47="",$F47=""),M47&lt;&gt;"نعم"),"",IF(YEAR(E47)=cfg_FY,MONTH(E47),""))</f>
        <v/>
      </c>
      <c r="P47" s="117" t="str">
        <f aca="false">IF(B47="","",IF(OR(D47="",E47="",F47=""),"⚠ أكمل النوع والتواريخ",IF(F47&lt;E47,"✖ النهاية قبل البداية",IF(COUNTIFS($B$6:$B$505,B47,$E$6:$E$505,"&lt;="&amp;F47,$F$6:$F$505,"&gt;="&amp;E47)&gt;1,"⚠ تداخل مع سجل آخر",IF(E47&gt;cfg_VAL_DATE,"⏳ قادمة",IF(F47&lt;cfg_VAL_DATE,"✔ منتهية","✈ جارية في تاريخ التقرير"))))))</f>
        <v/>
      </c>
      <c r="Q47" s="118"/>
      <c r="R47" s="133" t="n">
        <f aca="false">IF(OR(OR($B47="",$E47="",$F47=""),L47&lt;&gt;"لا"),0,MAX(0,MIN(F47,cfg_Y_START-1)-E47+1))</f>
        <v>0</v>
      </c>
      <c r="S47" s="133" t="n">
        <f aca="false">IF(OR(OR($B47="",$E47="",$F47=""),L47&lt;&gt;"لا"),0,MAX(0,MIN(F47,cfg_VAL_DATE)-E47+1))</f>
        <v>0</v>
      </c>
      <c r="T47" s="133" t="n">
        <f aca="false">IF(OR(OR($B47="",$E47="",$F47=""),K47&lt;&gt;"نعم"),0,IF(M47="نعم",IF(AND(ISNUMBER(O47),N(O47)&lt;=cfg_VAL_M),G47,0),MAX(0,MIN(F47,cfg_VAL_DATE)-MAX(E47,cfg_Y_START)+1)))</f>
        <v>0</v>
      </c>
      <c r="V47" s="133" t="n">
        <f aca="false">IF(OR($B47="",$E47="",$F47=""),0,MAX(0,MIN($F47,EOMONTH(DATE(cfg_FY,1,1),0))-MAX($E47,DATE(cfg_FY,1,1))+1)*(1-IF($M47="نعم",0,N($J47))))</f>
        <v>0</v>
      </c>
      <c r="W47" s="133" t="n">
        <f aca="false">IF(OR($B47="",$E47="",$F47=""),0,MAX(0,MIN($F47,EOMONTH(DATE(cfg_FY,2,1),0))-MAX($E47,DATE(cfg_FY,2,1))+1)*(1-IF($M47="نعم",0,N($J47))))</f>
        <v>0</v>
      </c>
      <c r="X47" s="133" t="n">
        <f aca="false">IF(OR($B47="",$E47="",$F47=""),0,MAX(0,MIN($F47,EOMONTH(DATE(cfg_FY,3,1),0))-MAX($E47,DATE(cfg_FY,3,1))+1)*(1-IF($M47="نعم",0,N($J47))))</f>
        <v>0</v>
      </c>
      <c r="Y47" s="133" t="n">
        <f aca="false">IF(OR($B47="",$E47="",$F47=""),0,MAX(0,MIN($F47,EOMONTH(DATE(cfg_FY,4,1),0))-MAX($E47,DATE(cfg_FY,4,1))+1)*(1-IF($M47="نعم",0,N($J47))))</f>
        <v>0</v>
      </c>
      <c r="Z47" s="133" t="n">
        <f aca="false">IF(OR($B47="",$E47="",$F47=""),0,MAX(0,MIN($F47,EOMONTH(DATE(cfg_FY,5,1),0))-MAX($E47,DATE(cfg_FY,5,1))+1)*(1-IF($M47="نعم",0,N($J47))))</f>
        <v>0</v>
      </c>
      <c r="AA47" s="133" t="n">
        <f aca="false">IF(OR($B47="",$E47="",$F47=""),0,MAX(0,MIN($F47,EOMONTH(DATE(cfg_FY,6,1),0))-MAX($E47,DATE(cfg_FY,6,1))+1)*(1-IF($M47="نعم",0,N($J47))))</f>
        <v>0</v>
      </c>
      <c r="AB47" s="133" t="n">
        <f aca="false">IF(OR($B47="",$E47="",$F47=""),0,MAX(0,MIN($F47,EOMONTH(DATE(cfg_FY,7,1),0))-MAX($E47,DATE(cfg_FY,7,1))+1)*(1-IF($M47="نعم",0,N($J47))))</f>
        <v>0</v>
      </c>
      <c r="AC47" s="133" t="n">
        <f aca="false">IF(OR($B47="",$E47="",$F47=""),0,MAX(0,MIN($F47,EOMONTH(DATE(cfg_FY,8,1),0))-MAX($E47,DATE(cfg_FY,8,1))+1)*(1-IF($M47="نعم",0,N($J47))))</f>
        <v>0</v>
      </c>
      <c r="AD47" s="133" t="n">
        <f aca="false">IF(OR($B47="",$E47="",$F47=""),0,MAX(0,MIN($F47,EOMONTH(DATE(cfg_FY,9,1),0))-MAX($E47,DATE(cfg_FY,9,1))+1)*(1-IF($M47="نعم",0,N($J47))))</f>
        <v>0</v>
      </c>
      <c r="AE47" s="133" t="n">
        <f aca="false">IF(OR($B47="",$E47="",$F47=""),0,MAX(0,MIN($F47,EOMONTH(DATE(cfg_FY,10,1),0))-MAX($E47,DATE(cfg_FY,10,1))+1)*(1-IF($M47="نعم",0,N($J47))))</f>
        <v>0</v>
      </c>
      <c r="AF47" s="133" t="n">
        <f aca="false">IF(OR($B47="",$E47="",$F47=""),0,MAX(0,MIN($F47,EOMONTH(DATE(cfg_FY,11,1),0))-MAX($E47,DATE(cfg_FY,11,1))+1)*(1-IF($M47="نعم",0,N($J47))))</f>
        <v>0</v>
      </c>
      <c r="AG47" s="133" t="n">
        <f aca="false">IF(OR($B47="",$E47="",$F47=""),0,MAX(0,MIN($F47,EOMONTH(DATE(cfg_FY,12,1),0))-MAX($E47,DATE(cfg_FY,12,1))+1)*(1-IF($M47="نعم",0,N($J47))))</f>
        <v>0</v>
      </c>
      <c r="AH47" s="133" t="n">
        <f aca="false">IF(OR(OR($B47="",$E47="",$F47=""),$L47&lt;&gt;"لا"),0,MAX(0,MIN($F47,EOMONTH(DATE(cfg_FY,1,1),0))-$E47+1))</f>
        <v>0</v>
      </c>
      <c r="AI47" s="133" t="n">
        <f aca="false">IF(OR(OR($B47="",$E47="",$F47=""),$L47&lt;&gt;"لا"),0,MAX(0,MIN($F47,EOMONTH(DATE(cfg_FY,2,1),0))-$E47+1))</f>
        <v>0</v>
      </c>
      <c r="AJ47" s="133" t="n">
        <f aca="false">IF(OR(OR($B47="",$E47="",$F47=""),$L47&lt;&gt;"لا"),0,MAX(0,MIN($F47,EOMONTH(DATE(cfg_FY,3,1),0))-$E47+1))</f>
        <v>0</v>
      </c>
      <c r="AK47" s="133" t="n">
        <f aca="false">IF(OR(OR($B47="",$E47="",$F47=""),$L47&lt;&gt;"لا"),0,MAX(0,MIN($F47,EOMONTH(DATE(cfg_FY,4,1),0))-$E47+1))</f>
        <v>0</v>
      </c>
      <c r="AL47" s="133" t="n">
        <f aca="false">IF(OR(OR($B47="",$E47="",$F47=""),$L47&lt;&gt;"لا"),0,MAX(0,MIN($F47,EOMONTH(DATE(cfg_FY,5,1),0))-$E47+1))</f>
        <v>0</v>
      </c>
      <c r="AM47" s="133" t="n">
        <f aca="false">IF(OR(OR($B47="",$E47="",$F47=""),$L47&lt;&gt;"لا"),0,MAX(0,MIN($F47,EOMONTH(DATE(cfg_FY,6,1),0))-$E47+1))</f>
        <v>0</v>
      </c>
      <c r="AN47" s="133" t="n">
        <f aca="false">IF(OR(OR($B47="",$E47="",$F47=""),$L47&lt;&gt;"لا"),0,MAX(0,MIN($F47,EOMONTH(DATE(cfg_FY,7,1),0))-$E47+1))</f>
        <v>0</v>
      </c>
      <c r="AO47" s="133" t="n">
        <f aca="false">IF(OR(OR($B47="",$E47="",$F47=""),$L47&lt;&gt;"لا"),0,MAX(0,MIN($F47,EOMONTH(DATE(cfg_FY,8,1),0))-$E47+1))</f>
        <v>0</v>
      </c>
      <c r="AP47" s="133" t="n">
        <f aca="false">IF(OR(OR($B47="",$E47="",$F47=""),$L47&lt;&gt;"لا"),0,MAX(0,MIN($F47,EOMONTH(DATE(cfg_FY,9,1),0))-$E47+1))</f>
        <v>0</v>
      </c>
      <c r="AQ47" s="133" t="n">
        <f aca="false">IF(OR(OR($B47="",$E47="",$F47=""),$L47&lt;&gt;"لا"),0,MAX(0,MIN($F47,EOMONTH(DATE(cfg_FY,10,1),0))-$E47+1))</f>
        <v>0</v>
      </c>
      <c r="AR47" s="133" t="n">
        <f aca="false">IF(OR(OR($B47="",$E47="",$F47=""),$L47&lt;&gt;"لا"),0,MAX(0,MIN($F47,EOMONTH(DATE(cfg_FY,11,1),0))-$E47+1))</f>
        <v>0</v>
      </c>
      <c r="AS47" s="133" t="n">
        <f aca="false">IF(OR(OR($B47="",$E47="",$F47=""),$L47&lt;&gt;"لا"),0,MAX(0,MIN($F47,EOMONTH(DATE(cfg_FY,12,1),0))-$E47+1))</f>
        <v>0</v>
      </c>
      <c r="AT47" s="133" t="n">
        <f aca="false">IF(OR(OR($B47="",$E47="",$F47=""),$K47&lt;&gt;"نعم",$M47="نعم"),0,MAX(0,MIN($F47,EOMONTH(DATE(cfg_FY,1,1),0))-MAX($E47,DATE(cfg_FY,1,1))+1))</f>
        <v>0</v>
      </c>
      <c r="AU47" s="133" t="n">
        <f aca="false">IF(OR(OR($B47="",$E47="",$F47=""),$K47&lt;&gt;"نعم",$M47="نعم"),0,MAX(0,MIN($F47,EOMONTH(DATE(cfg_FY,2,1),0))-MAX($E47,DATE(cfg_FY,2,1))+1))</f>
        <v>0</v>
      </c>
      <c r="AV47" s="133" t="n">
        <f aca="false">IF(OR(OR($B47="",$E47="",$F47=""),$K47&lt;&gt;"نعم",$M47="نعم"),0,MAX(0,MIN($F47,EOMONTH(DATE(cfg_FY,3,1),0))-MAX($E47,DATE(cfg_FY,3,1))+1))</f>
        <v>0</v>
      </c>
      <c r="AW47" s="133" t="n">
        <f aca="false">IF(OR(OR($B47="",$E47="",$F47=""),$K47&lt;&gt;"نعم",$M47="نعم"),0,MAX(0,MIN($F47,EOMONTH(DATE(cfg_FY,4,1),0))-MAX($E47,DATE(cfg_FY,4,1))+1))</f>
        <v>0</v>
      </c>
      <c r="AX47" s="133" t="n">
        <f aca="false">IF(OR(OR($B47="",$E47="",$F47=""),$K47&lt;&gt;"نعم",$M47="نعم"),0,MAX(0,MIN($F47,EOMONTH(DATE(cfg_FY,5,1),0))-MAX($E47,DATE(cfg_FY,5,1))+1))</f>
        <v>0</v>
      </c>
      <c r="AY47" s="133" t="n">
        <f aca="false">IF(OR(OR($B47="",$E47="",$F47=""),$K47&lt;&gt;"نعم",$M47="نعم"),0,MAX(0,MIN($F47,EOMONTH(DATE(cfg_FY,6,1),0))-MAX($E47,DATE(cfg_FY,6,1))+1))</f>
        <v>0</v>
      </c>
      <c r="AZ47" s="133" t="n">
        <f aca="false">IF(OR(OR($B47="",$E47="",$F47=""),$K47&lt;&gt;"نعم",$M47="نعم"),0,MAX(0,MIN($F47,EOMONTH(DATE(cfg_FY,7,1),0))-MAX($E47,DATE(cfg_FY,7,1))+1))</f>
        <v>0</v>
      </c>
      <c r="BA47" s="133" t="n">
        <f aca="false">IF(OR(OR($B47="",$E47="",$F47=""),$K47&lt;&gt;"نعم",$M47="نعم"),0,MAX(0,MIN($F47,EOMONTH(DATE(cfg_FY,8,1),0))-MAX($E47,DATE(cfg_FY,8,1))+1))</f>
        <v>0</v>
      </c>
      <c r="BB47" s="133" t="n">
        <f aca="false">IF(OR(OR($B47="",$E47="",$F47=""),$K47&lt;&gt;"نعم",$M47="نعم"),0,MAX(0,MIN($F47,EOMONTH(DATE(cfg_FY,9,1),0))-MAX($E47,DATE(cfg_FY,9,1))+1))</f>
        <v>0</v>
      </c>
      <c r="BC47" s="133" t="n">
        <f aca="false">IF(OR(OR($B47="",$E47="",$F47=""),$K47&lt;&gt;"نعم",$M47="نعم"),0,MAX(0,MIN($F47,EOMONTH(DATE(cfg_FY,10,1),0))-MAX($E47,DATE(cfg_FY,10,1))+1))</f>
        <v>0</v>
      </c>
      <c r="BD47" s="133" t="n">
        <f aca="false">IF(OR(OR($B47="",$E47="",$F47=""),$K47&lt;&gt;"نعم",$M47="نعم"),0,MAX(0,MIN($F47,EOMONTH(DATE(cfg_FY,11,1),0))-MAX($E47,DATE(cfg_FY,11,1))+1))</f>
        <v>0</v>
      </c>
      <c r="BE47" s="133" t="n">
        <f aca="false">IF(OR(OR($B47="",$E47="",$F47=""),$K47&lt;&gt;"نعم",$M47="نعم"),0,MAX(0,MIN($F47,EOMONTH(DATE(cfg_FY,12,1),0))-MAX($E47,DATE(cfg_FY,12,1))+1))</f>
        <v>0</v>
      </c>
    </row>
    <row r="48" customFormat="false" ht="15" hidden="false" customHeight="false" outlineLevel="0" collapsed="false">
      <c r="A48" s="106" t="str">
        <f aca="false">IF(B48="","",ROW()-5)</f>
        <v/>
      </c>
      <c r="B48" s="118"/>
      <c r="C48" s="114" t="str">
        <f aca="false">IF(B48="","",IFERROR(INDEX(الموظفون!$C$6:$C$105,MATCH(B48,الموظفون!$B$6:$B$105,0)),"✖ رقم غير موجود"))</f>
        <v/>
      </c>
      <c r="D48" s="118"/>
      <c r="E48" s="119"/>
      <c r="F48" s="119"/>
      <c r="G48" s="65" t="str">
        <f aca="false">IF(OR($B48="",$E48="",$F48=""),"",MAX(0,F48-E48+1))</f>
        <v/>
      </c>
      <c r="H48" s="66" t="str">
        <f aca="false">IF(D48="","",IFERROR(VLOOKUP(D48,cfg_LT,2,FALSE()),1))</f>
        <v/>
      </c>
      <c r="I48" s="135"/>
      <c r="J48" s="66" t="str">
        <f aca="false">IF(D48="","",IF(I48&lt;&gt;"",I48,H48))</f>
        <v/>
      </c>
      <c r="K48" s="114" t="str">
        <f aca="false">IF(D48="","",IFERROR(VLOOKUP($D48,cfg_LT,3,FALSE()),""))</f>
        <v/>
      </c>
      <c r="L48" s="114" t="str">
        <f aca="false">IF(D48="","",IFERROR(VLOOKUP($D48,cfg_LT,4,FALSE()),""))</f>
        <v/>
      </c>
      <c r="M48" s="114" t="str">
        <f aca="false">IF(D48="","",IFERROR(VLOOKUP($D48,cfg_LT,5,FALSE()),""))</f>
        <v/>
      </c>
      <c r="N48" s="111" t="n">
        <f aca="false">IF(OR(OR($B48="",$E48="",$F48=""),M48&lt;&gt;"نعم"),0,G48*J48*IFERROR(INDEX(الموظفون!$R$6:$R$105,MATCH(B48,الموظفون!$B$6:$B$105,0)),0)/cfg_DAYS_M)</f>
        <v>0</v>
      </c>
      <c r="O48" s="106" t="str">
        <f aca="false">IF(OR(OR($B48="",$E48="",$F48=""),M48&lt;&gt;"نعم"),"",IF(YEAR(E48)=cfg_FY,MONTH(E48),""))</f>
        <v/>
      </c>
      <c r="P48" s="114" t="str">
        <f aca="false">IF(B48="","",IF(OR(D48="",E48="",F48=""),"⚠ أكمل النوع والتواريخ",IF(F48&lt;E48,"✖ النهاية قبل البداية",IF(COUNTIFS($B$6:$B$505,B48,$E$6:$E$505,"&lt;="&amp;F48,$F$6:$F$505,"&gt;="&amp;E48)&gt;1,"⚠ تداخل مع سجل آخر",IF(E48&gt;cfg_VAL_DATE,"⏳ قادمة",IF(F48&lt;cfg_VAL_DATE,"✔ منتهية","✈ جارية في تاريخ التقرير"))))))</f>
        <v/>
      </c>
      <c r="Q48" s="118"/>
      <c r="R48" s="65" t="n">
        <f aca="false">IF(OR(OR($B48="",$E48="",$F48=""),L48&lt;&gt;"لا"),0,MAX(0,MIN(F48,cfg_Y_START-1)-E48+1))</f>
        <v>0</v>
      </c>
      <c r="S48" s="65" t="n">
        <f aca="false">IF(OR(OR($B48="",$E48="",$F48=""),L48&lt;&gt;"لا"),0,MAX(0,MIN(F48,cfg_VAL_DATE)-E48+1))</f>
        <v>0</v>
      </c>
      <c r="T48" s="65" t="n">
        <f aca="false">IF(OR(OR($B48="",$E48="",$F48=""),K48&lt;&gt;"نعم"),0,IF(M48="نعم",IF(AND(ISNUMBER(O48),N(O48)&lt;=cfg_VAL_M),G48,0),MAX(0,MIN(F48,cfg_VAL_DATE)-MAX(E48,cfg_Y_START)+1)))</f>
        <v>0</v>
      </c>
      <c r="V48" s="65" t="n">
        <f aca="false">IF(OR($B48="",$E48="",$F48=""),0,MAX(0,MIN($F48,EOMONTH(DATE(cfg_FY,1,1),0))-MAX($E48,DATE(cfg_FY,1,1))+1)*(1-IF($M48="نعم",0,N($J48))))</f>
        <v>0</v>
      </c>
      <c r="W48" s="65" t="n">
        <f aca="false">IF(OR($B48="",$E48="",$F48=""),0,MAX(0,MIN($F48,EOMONTH(DATE(cfg_FY,2,1),0))-MAX($E48,DATE(cfg_FY,2,1))+1)*(1-IF($M48="نعم",0,N($J48))))</f>
        <v>0</v>
      </c>
      <c r="X48" s="65" t="n">
        <f aca="false">IF(OR($B48="",$E48="",$F48=""),0,MAX(0,MIN($F48,EOMONTH(DATE(cfg_FY,3,1),0))-MAX($E48,DATE(cfg_FY,3,1))+1)*(1-IF($M48="نعم",0,N($J48))))</f>
        <v>0</v>
      </c>
      <c r="Y48" s="65" t="n">
        <f aca="false">IF(OR($B48="",$E48="",$F48=""),0,MAX(0,MIN($F48,EOMONTH(DATE(cfg_FY,4,1),0))-MAX($E48,DATE(cfg_FY,4,1))+1)*(1-IF($M48="نعم",0,N($J48))))</f>
        <v>0</v>
      </c>
      <c r="Z48" s="65" t="n">
        <f aca="false">IF(OR($B48="",$E48="",$F48=""),0,MAX(0,MIN($F48,EOMONTH(DATE(cfg_FY,5,1),0))-MAX($E48,DATE(cfg_FY,5,1))+1)*(1-IF($M48="نعم",0,N($J48))))</f>
        <v>0</v>
      </c>
      <c r="AA48" s="65" t="n">
        <f aca="false">IF(OR($B48="",$E48="",$F48=""),0,MAX(0,MIN($F48,EOMONTH(DATE(cfg_FY,6,1),0))-MAX($E48,DATE(cfg_FY,6,1))+1)*(1-IF($M48="نعم",0,N($J48))))</f>
        <v>0</v>
      </c>
      <c r="AB48" s="65" t="n">
        <f aca="false">IF(OR($B48="",$E48="",$F48=""),0,MAX(0,MIN($F48,EOMONTH(DATE(cfg_FY,7,1),0))-MAX($E48,DATE(cfg_FY,7,1))+1)*(1-IF($M48="نعم",0,N($J48))))</f>
        <v>0</v>
      </c>
      <c r="AC48" s="65" t="n">
        <f aca="false">IF(OR($B48="",$E48="",$F48=""),0,MAX(0,MIN($F48,EOMONTH(DATE(cfg_FY,8,1),0))-MAX($E48,DATE(cfg_FY,8,1))+1)*(1-IF($M48="نعم",0,N($J48))))</f>
        <v>0</v>
      </c>
      <c r="AD48" s="65" t="n">
        <f aca="false">IF(OR($B48="",$E48="",$F48=""),0,MAX(0,MIN($F48,EOMONTH(DATE(cfg_FY,9,1),0))-MAX($E48,DATE(cfg_FY,9,1))+1)*(1-IF($M48="نعم",0,N($J48))))</f>
        <v>0</v>
      </c>
      <c r="AE48" s="65" t="n">
        <f aca="false">IF(OR($B48="",$E48="",$F48=""),0,MAX(0,MIN($F48,EOMONTH(DATE(cfg_FY,10,1),0))-MAX($E48,DATE(cfg_FY,10,1))+1)*(1-IF($M48="نعم",0,N($J48))))</f>
        <v>0</v>
      </c>
      <c r="AF48" s="65" t="n">
        <f aca="false">IF(OR($B48="",$E48="",$F48=""),0,MAX(0,MIN($F48,EOMONTH(DATE(cfg_FY,11,1),0))-MAX($E48,DATE(cfg_FY,11,1))+1)*(1-IF($M48="نعم",0,N($J48))))</f>
        <v>0</v>
      </c>
      <c r="AG48" s="65" t="n">
        <f aca="false">IF(OR($B48="",$E48="",$F48=""),0,MAX(0,MIN($F48,EOMONTH(DATE(cfg_FY,12,1),0))-MAX($E48,DATE(cfg_FY,12,1))+1)*(1-IF($M48="نعم",0,N($J48))))</f>
        <v>0</v>
      </c>
      <c r="AH48" s="65" t="n">
        <f aca="false">IF(OR(OR($B48="",$E48="",$F48=""),$L48&lt;&gt;"لا"),0,MAX(0,MIN($F48,EOMONTH(DATE(cfg_FY,1,1),0))-$E48+1))</f>
        <v>0</v>
      </c>
      <c r="AI48" s="65" t="n">
        <f aca="false">IF(OR(OR($B48="",$E48="",$F48=""),$L48&lt;&gt;"لا"),0,MAX(0,MIN($F48,EOMONTH(DATE(cfg_FY,2,1),0))-$E48+1))</f>
        <v>0</v>
      </c>
      <c r="AJ48" s="65" t="n">
        <f aca="false">IF(OR(OR($B48="",$E48="",$F48=""),$L48&lt;&gt;"لا"),0,MAX(0,MIN($F48,EOMONTH(DATE(cfg_FY,3,1),0))-$E48+1))</f>
        <v>0</v>
      </c>
      <c r="AK48" s="65" t="n">
        <f aca="false">IF(OR(OR($B48="",$E48="",$F48=""),$L48&lt;&gt;"لا"),0,MAX(0,MIN($F48,EOMONTH(DATE(cfg_FY,4,1),0))-$E48+1))</f>
        <v>0</v>
      </c>
      <c r="AL48" s="65" t="n">
        <f aca="false">IF(OR(OR($B48="",$E48="",$F48=""),$L48&lt;&gt;"لا"),0,MAX(0,MIN($F48,EOMONTH(DATE(cfg_FY,5,1),0))-$E48+1))</f>
        <v>0</v>
      </c>
      <c r="AM48" s="65" t="n">
        <f aca="false">IF(OR(OR($B48="",$E48="",$F48=""),$L48&lt;&gt;"لا"),0,MAX(0,MIN($F48,EOMONTH(DATE(cfg_FY,6,1),0))-$E48+1))</f>
        <v>0</v>
      </c>
      <c r="AN48" s="65" t="n">
        <f aca="false">IF(OR(OR($B48="",$E48="",$F48=""),$L48&lt;&gt;"لا"),0,MAX(0,MIN($F48,EOMONTH(DATE(cfg_FY,7,1),0))-$E48+1))</f>
        <v>0</v>
      </c>
      <c r="AO48" s="65" t="n">
        <f aca="false">IF(OR(OR($B48="",$E48="",$F48=""),$L48&lt;&gt;"لا"),0,MAX(0,MIN($F48,EOMONTH(DATE(cfg_FY,8,1),0))-$E48+1))</f>
        <v>0</v>
      </c>
      <c r="AP48" s="65" t="n">
        <f aca="false">IF(OR(OR($B48="",$E48="",$F48=""),$L48&lt;&gt;"لا"),0,MAX(0,MIN($F48,EOMONTH(DATE(cfg_FY,9,1),0))-$E48+1))</f>
        <v>0</v>
      </c>
      <c r="AQ48" s="65" t="n">
        <f aca="false">IF(OR(OR($B48="",$E48="",$F48=""),$L48&lt;&gt;"لا"),0,MAX(0,MIN($F48,EOMONTH(DATE(cfg_FY,10,1),0))-$E48+1))</f>
        <v>0</v>
      </c>
      <c r="AR48" s="65" t="n">
        <f aca="false">IF(OR(OR($B48="",$E48="",$F48=""),$L48&lt;&gt;"لا"),0,MAX(0,MIN($F48,EOMONTH(DATE(cfg_FY,11,1),0))-$E48+1))</f>
        <v>0</v>
      </c>
      <c r="AS48" s="65" t="n">
        <f aca="false">IF(OR(OR($B48="",$E48="",$F48=""),$L48&lt;&gt;"لا"),0,MAX(0,MIN($F48,EOMONTH(DATE(cfg_FY,12,1),0))-$E48+1))</f>
        <v>0</v>
      </c>
      <c r="AT48" s="65" t="n">
        <f aca="false">IF(OR(OR($B48="",$E48="",$F48=""),$K48&lt;&gt;"نعم",$M48="نعم"),0,MAX(0,MIN($F48,EOMONTH(DATE(cfg_FY,1,1),0))-MAX($E48,DATE(cfg_FY,1,1))+1))</f>
        <v>0</v>
      </c>
      <c r="AU48" s="65" t="n">
        <f aca="false">IF(OR(OR($B48="",$E48="",$F48=""),$K48&lt;&gt;"نعم",$M48="نعم"),0,MAX(0,MIN($F48,EOMONTH(DATE(cfg_FY,2,1),0))-MAX($E48,DATE(cfg_FY,2,1))+1))</f>
        <v>0</v>
      </c>
      <c r="AV48" s="65" t="n">
        <f aca="false">IF(OR(OR($B48="",$E48="",$F48=""),$K48&lt;&gt;"نعم",$M48="نعم"),0,MAX(0,MIN($F48,EOMONTH(DATE(cfg_FY,3,1),0))-MAX($E48,DATE(cfg_FY,3,1))+1))</f>
        <v>0</v>
      </c>
      <c r="AW48" s="65" t="n">
        <f aca="false">IF(OR(OR($B48="",$E48="",$F48=""),$K48&lt;&gt;"نعم",$M48="نعم"),0,MAX(0,MIN($F48,EOMONTH(DATE(cfg_FY,4,1),0))-MAX($E48,DATE(cfg_FY,4,1))+1))</f>
        <v>0</v>
      </c>
      <c r="AX48" s="65" t="n">
        <f aca="false">IF(OR(OR($B48="",$E48="",$F48=""),$K48&lt;&gt;"نعم",$M48="نعم"),0,MAX(0,MIN($F48,EOMONTH(DATE(cfg_FY,5,1),0))-MAX($E48,DATE(cfg_FY,5,1))+1))</f>
        <v>0</v>
      </c>
      <c r="AY48" s="65" t="n">
        <f aca="false">IF(OR(OR($B48="",$E48="",$F48=""),$K48&lt;&gt;"نعم",$M48="نعم"),0,MAX(0,MIN($F48,EOMONTH(DATE(cfg_FY,6,1),0))-MAX($E48,DATE(cfg_FY,6,1))+1))</f>
        <v>0</v>
      </c>
      <c r="AZ48" s="65" t="n">
        <f aca="false">IF(OR(OR($B48="",$E48="",$F48=""),$K48&lt;&gt;"نعم",$M48="نعم"),0,MAX(0,MIN($F48,EOMONTH(DATE(cfg_FY,7,1),0))-MAX($E48,DATE(cfg_FY,7,1))+1))</f>
        <v>0</v>
      </c>
      <c r="BA48" s="65" t="n">
        <f aca="false">IF(OR(OR($B48="",$E48="",$F48=""),$K48&lt;&gt;"نعم",$M48="نعم"),0,MAX(0,MIN($F48,EOMONTH(DATE(cfg_FY,8,1),0))-MAX($E48,DATE(cfg_FY,8,1))+1))</f>
        <v>0</v>
      </c>
      <c r="BB48" s="65" t="n">
        <f aca="false">IF(OR(OR($B48="",$E48="",$F48=""),$K48&lt;&gt;"نعم",$M48="نعم"),0,MAX(0,MIN($F48,EOMONTH(DATE(cfg_FY,9,1),0))-MAX($E48,DATE(cfg_FY,9,1))+1))</f>
        <v>0</v>
      </c>
      <c r="BC48" s="65" t="n">
        <f aca="false">IF(OR(OR($B48="",$E48="",$F48=""),$K48&lt;&gt;"نعم",$M48="نعم"),0,MAX(0,MIN($F48,EOMONTH(DATE(cfg_FY,10,1),0))-MAX($E48,DATE(cfg_FY,10,1))+1))</f>
        <v>0</v>
      </c>
      <c r="BD48" s="65" t="n">
        <f aca="false">IF(OR(OR($B48="",$E48="",$F48=""),$K48&lt;&gt;"نعم",$M48="نعم"),0,MAX(0,MIN($F48,EOMONTH(DATE(cfg_FY,11,1),0))-MAX($E48,DATE(cfg_FY,11,1))+1))</f>
        <v>0</v>
      </c>
      <c r="BE48" s="65" t="n">
        <f aca="false">IF(OR(OR($B48="",$E48="",$F48=""),$K48&lt;&gt;"نعم",$M48="نعم"),0,MAX(0,MIN($F48,EOMONTH(DATE(cfg_FY,12,1),0))-MAX($E48,DATE(cfg_FY,12,1))+1))</f>
        <v>0</v>
      </c>
    </row>
    <row r="49" customFormat="false" ht="15" hidden="false" customHeight="false" outlineLevel="0" collapsed="false">
      <c r="A49" s="115" t="str">
        <f aca="false">IF(B49="","",ROW()-5)</f>
        <v/>
      </c>
      <c r="B49" s="118"/>
      <c r="C49" s="117" t="str">
        <f aca="false">IF(B49="","",IFERROR(INDEX(الموظفون!$C$6:$C$105,MATCH(B49,الموظفون!$B$6:$B$105,0)),"✖ رقم غير موجود"))</f>
        <v/>
      </c>
      <c r="D49" s="118"/>
      <c r="E49" s="119"/>
      <c r="F49" s="119"/>
      <c r="G49" s="133" t="str">
        <f aca="false">IF(OR($B49="",$E49="",$F49=""),"",MAX(0,F49-E49+1))</f>
        <v/>
      </c>
      <c r="H49" s="134" t="str">
        <f aca="false">IF(D49="","",IFERROR(VLOOKUP(D49,cfg_LT,2,FALSE()),1))</f>
        <v/>
      </c>
      <c r="I49" s="135"/>
      <c r="J49" s="134" t="str">
        <f aca="false">IF(D49="","",IF(I49&lt;&gt;"",I49,H49))</f>
        <v/>
      </c>
      <c r="K49" s="117" t="str">
        <f aca="false">IF(D49="","",IFERROR(VLOOKUP($D49,cfg_LT,3,FALSE()),""))</f>
        <v/>
      </c>
      <c r="L49" s="117" t="str">
        <f aca="false">IF(D49="","",IFERROR(VLOOKUP($D49,cfg_LT,4,FALSE()),""))</f>
        <v/>
      </c>
      <c r="M49" s="117" t="str">
        <f aca="false">IF(D49="","",IFERROR(VLOOKUP($D49,cfg_LT,5,FALSE()),""))</f>
        <v/>
      </c>
      <c r="N49" s="116" t="n">
        <f aca="false">IF(OR(OR($B49="",$E49="",$F49=""),M49&lt;&gt;"نعم"),0,G49*J49*IFERROR(INDEX(الموظفون!$R$6:$R$105,MATCH(B49,الموظفون!$B$6:$B$105,0)),0)/cfg_DAYS_M)</f>
        <v>0</v>
      </c>
      <c r="O49" s="115" t="str">
        <f aca="false">IF(OR(OR($B49="",$E49="",$F49=""),M49&lt;&gt;"نعم"),"",IF(YEAR(E49)=cfg_FY,MONTH(E49),""))</f>
        <v/>
      </c>
      <c r="P49" s="117" t="str">
        <f aca="false">IF(B49="","",IF(OR(D49="",E49="",F49=""),"⚠ أكمل النوع والتواريخ",IF(F49&lt;E49,"✖ النهاية قبل البداية",IF(COUNTIFS($B$6:$B$505,B49,$E$6:$E$505,"&lt;="&amp;F49,$F$6:$F$505,"&gt;="&amp;E49)&gt;1,"⚠ تداخل مع سجل آخر",IF(E49&gt;cfg_VAL_DATE,"⏳ قادمة",IF(F49&lt;cfg_VAL_DATE,"✔ منتهية","✈ جارية في تاريخ التقرير"))))))</f>
        <v/>
      </c>
      <c r="Q49" s="118"/>
      <c r="R49" s="133" t="n">
        <f aca="false">IF(OR(OR($B49="",$E49="",$F49=""),L49&lt;&gt;"لا"),0,MAX(0,MIN(F49,cfg_Y_START-1)-E49+1))</f>
        <v>0</v>
      </c>
      <c r="S49" s="133" t="n">
        <f aca="false">IF(OR(OR($B49="",$E49="",$F49=""),L49&lt;&gt;"لا"),0,MAX(0,MIN(F49,cfg_VAL_DATE)-E49+1))</f>
        <v>0</v>
      </c>
      <c r="T49" s="133" t="n">
        <f aca="false">IF(OR(OR($B49="",$E49="",$F49=""),K49&lt;&gt;"نعم"),0,IF(M49="نعم",IF(AND(ISNUMBER(O49),N(O49)&lt;=cfg_VAL_M),G49,0),MAX(0,MIN(F49,cfg_VAL_DATE)-MAX(E49,cfg_Y_START)+1)))</f>
        <v>0</v>
      </c>
      <c r="V49" s="133" t="n">
        <f aca="false">IF(OR($B49="",$E49="",$F49=""),0,MAX(0,MIN($F49,EOMONTH(DATE(cfg_FY,1,1),0))-MAX($E49,DATE(cfg_FY,1,1))+1)*(1-IF($M49="نعم",0,N($J49))))</f>
        <v>0</v>
      </c>
      <c r="W49" s="133" t="n">
        <f aca="false">IF(OR($B49="",$E49="",$F49=""),0,MAX(0,MIN($F49,EOMONTH(DATE(cfg_FY,2,1),0))-MAX($E49,DATE(cfg_FY,2,1))+1)*(1-IF($M49="نعم",0,N($J49))))</f>
        <v>0</v>
      </c>
      <c r="X49" s="133" t="n">
        <f aca="false">IF(OR($B49="",$E49="",$F49=""),0,MAX(0,MIN($F49,EOMONTH(DATE(cfg_FY,3,1),0))-MAX($E49,DATE(cfg_FY,3,1))+1)*(1-IF($M49="نعم",0,N($J49))))</f>
        <v>0</v>
      </c>
      <c r="Y49" s="133" t="n">
        <f aca="false">IF(OR($B49="",$E49="",$F49=""),0,MAX(0,MIN($F49,EOMONTH(DATE(cfg_FY,4,1),0))-MAX($E49,DATE(cfg_FY,4,1))+1)*(1-IF($M49="نعم",0,N($J49))))</f>
        <v>0</v>
      </c>
      <c r="Z49" s="133" t="n">
        <f aca="false">IF(OR($B49="",$E49="",$F49=""),0,MAX(0,MIN($F49,EOMONTH(DATE(cfg_FY,5,1),0))-MAX($E49,DATE(cfg_FY,5,1))+1)*(1-IF($M49="نعم",0,N($J49))))</f>
        <v>0</v>
      </c>
      <c r="AA49" s="133" t="n">
        <f aca="false">IF(OR($B49="",$E49="",$F49=""),0,MAX(0,MIN($F49,EOMONTH(DATE(cfg_FY,6,1),0))-MAX($E49,DATE(cfg_FY,6,1))+1)*(1-IF($M49="نعم",0,N($J49))))</f>
        <v>0</v>
      </c>
      <c r="AB49" s="133" t="n">
        <f aca="false">IF(OR($B49="",$E49="",$F49=""),0,MAX(0,MIN($F49,EOMONTH(DATE(cfg_FY,7,1),0))-MAX($E49,DATE(cfg_FY,7,1))+1)*(1-IF($M49="نعم",0,N($J49))))</f>
        <v>0</v>
      </c>
      <c r="AC49" s="133" t="n">
        <f aca="false">IF(OR($B49="",$E49="",$F49=""),0,MAX(0,MIN($F49,EOMONTH(DATE(cfg_FY,8,1),0))-MAX($E49,DATE(cfg_FY,8,1))+1)*(1-IF($M49="نعم",0,N($J49))))</f>
        <v>0</v>
      </c>
      <c r="AD49" s="133" t="n">
        <f aca="false">IF(OR($B49="",$E49="",$F49=""),0,MAX(0,MIN($F49,EOMONTH(DATE(cfg_FY,9,1),0))-MAX($E49,DATE(cfg_FY,9,1))+1)*(1-IF($M49="نعم",0,N($J49))))</f>
        <v>0</v>
      </c>
      <c r="AE49" s="133" t="n">
        <f aca="false">IF(OR($B49="",$E49="",$F49=""),0,MAX(0,MIN($F49,EOMONTH(DATE(cfg_FY,10,1),0))-MAX($E49,DATE(cfg_FY,10,1))+1)*(1-IF($M49="نعم",0,N($J49))))</f>
        <v>0</v>
      </c>
      <c r="AF49" s="133" t="n">
        <f aca="false">IF(OR($B49="",$E49="",$F49=""),0,MAX(0,MIN($F49,EOMONTH(DATE(cfg_FY,11,1),0))-MAX($E49,DATE(cfg_FY,11,1))+1)*(1-IF($M49="نعم",0,N($J49))))</f>
        <v>0</v>
      </c>
      <c r="AG49" s="133" t="n">
        <f aca="false">IF(OR($B49="",$E49="",$F49=""),0,MAX(0,MIN($F49,EOMONTH(DATE(cfg_FY,12,1),0))-MAX($E49,DATE(cfg_FY,12,1))+1)*(1-IF($M49="نعم",0,N($J49))))</f>
        <v>0</v>
      </c>
      <c r="AH49" s="133" t="n">
        <f aca="false">IF(OR(OR($B49="",$E49="",$F49=""),$L49&lt;&gt;"لا"),0,MAX(0,MIN($F49,EOMONTH(DATE(cfg_FY,1,1),0))-$E49+1))</f>
        <v>0</v>
      </c>
      <c r="AI49" s="133" t="n">
        <f aca="false">IF(OR(OR($B49="",$E49="",$F49=""),$L49&lt;&gt;"لا"),0,MAX(0,MIN($F49,EOMONTH(DATE(cfg_FY,2,1),0))-$E49+1))</f>
        <v>0</v>
      </c>
      <c r="AJ49" s="133" t="n">
        <f aca="false">IF(OR(OR($B49="",$E49="",$F49=""),$L49&lt;&gt;"لا"),0,MAX(0,MIN($F49,EOMONTH(DATE(cfg_FY,3,1),0))-$E49+1))</f>
        <v>0</v>
      </c>
      <c r="AK49" s="133" t="n">
        <f aca="false">IF(OR(OR($B49="",$E49="",$F49=""),$L49&lt;&gt;"لا"),0,MAX(0,MIN($F49,EOMONTH(DATE(cfg_FY,4,1),0))-$E49+1))</f>
        <v>0</v>
      </c>
      <c r="AL49" s="133" t="n">
        <f aca="false">IF(OR(OR($B49="",$E49="",$F49=""),$L49&lt;&gt;"لا"),0,MAX(0,MIN($F49,EOMONTH(DATE(cfg_FY,5,1),0))-$E49+1))</f>
        <v>0</v>
      </c>
      <c r="AM49" s="133" t="n">
        <f aca="false">IF(OR(OR($B49="",$E49="",$F49=""),$L49&lt;&gt;"لا"),0,MAX(0,MIN($F49,EOMONTH(DATE(cfg_FY,6,1),0))-$E49+1))</f>
        <v>0</v>
      </c>
      <c r="AN49" s="133" t="n">
        <f aca="false">IF(OR(OR($B49="",$E49="",$F49=""),$L49&lt;&gt;"لا"),0,MAX(0,MIN($F49,EOMONTH(DATE(cfg_FY,7,1),0))-$E49+1))</f>
        <v>0</v>
      </c>
      <c r="AO49" s="133" t="n">
        <f aca="false">IF(OR(OR($B49="",$E49="",$F49=""),$L49&lt;&gt;"لا"),0,MAX(0,MIN($F49,EOMONTH(DATE(cfg_FY,8,1),0))-$E49+1))</f>
        <v>0</v>
      </c>
      <c r="AP49" s="133" t="n">
        <f aca="false">IF(OR(OR($B49="",$E49="",$F49=""),$L49&lt;&gt;"لا"),0,MAX(0,MIN($F49,EOMONTH(DATE(cfg_FY,9,1),0))-$E49+1))</f>
        <v>0</v>
      </c>
      <c r="AQ49" s="133" t="n">
        <f aca="false">IF(OR(OR($B49="",$E49="",$F49=""),$L49&lt;&gt;"لا"),0,MAX(0,MIN($F49,EOMONTH(DATE(cfg_FY,10,1),0))-$E49+1))</f>
        <v>0</v>
      </c>
      <c r="AR49" s="133" t="n">
        <f aca="false">IF(OR(OR($B49="",$E49="",$F49=""),$L49&lt;&gt;"لا"),0,MAX(0,MIN($F49,EOMONTH(DATE(cfg_FY,11,1),0))-$E49+1))</f>
        <v>0</v>
      </c>
      <c r="AS49" s="133" t="n">
        <f aca="false">IF(OR(OR($B49="",$E49="",$F49=""),$L49&lt;&gt;"لا"),0,MAX(0,MIN($F49,EOMONTH(DATE(cfg_FY,12,1),0))-$E49+1))</f>
        <v>0</v>
      </c>
      <c r="AT49" s="133" t="n">
        <f aca="false">IF(OR(OR($B49="",$E49="",$F49=""),$K49&lt;&gt;"نعم",$M49="نعم"),0,MAX(0,MIN($F49,EOMONTH(DATE(cfg_FY,1,1),0))-MAX($E49,DATE(cfg_FY,1,1))+1))</f>
        <v>0</v>
      </c>
      <c r="AU49" s="133" t="n">
        <f aca="false">IF(OR(OR($B49="",$E49="",$F49=""),$K49&lt;&gt;"نعم",$M49="نعم"),0,MAX(0,MIN($F49,EOMONTH(DATE(cfg_FY,2,1),0))-MAX($E49,DATE(cfg_FY,2,1))+1))</f>
        <v>0</v>
      </c>
      <c r="AV49" s="133" t="n">
        <f aca="false">IF(OR(OR($B49="",$E49="",$F49=""),$K49&lt;&gt;"نعم",$M49="نعم"),0,MAX(0,MIN($F49,EOMONTH(DATE(cfg_FY,3,1),0))-MAX($E49,DATE(cfg_FY,3,1))+1))</f>
        <v>0</v>
      </c>
      <c r="AW49" s="133" t="n">
        <f aca="false">IF(OR(OR($B49="",$E49="",$F49=""),$K49&lt;&gt;"نعم",$M49="نعم"),0,MAX(0,MIN($F49,EOMONTH(DATE(cfg_FY,4,1),0))-MAX($E49,DATE(cfg_FY,4,1))+1))</f>
        <v>0</v>
      </c>
      <c r="AX49" s="133" t="n">
        <f aca="false">IF(OR(OR($B49="",$E49="",$F49=""),$K49&lt;&gt;"نعم",$M49="نعم"),0,MAX(0,MIN($F49,EOMONTH(DATE(cfg_FY,5,1),0))-MAX($E49,DATE(cfg_FY,5,1))+1))</f>
        <v>0</v>
      </c>
      <c r="AY49" s="133" t="n">
        <f aca="false">IF(OR(OR($B49="",$E49="",$F49=""),$K49&lt;&gt;"نعم",$M49="نعم"),0,MAX(0,MIN($F49,EOMONTH(DATE(cfg_FY,6,1),0))-MAX($E49,DATE(cfg_FY,6,1))+1))</f>
        <v>0</v>
      </c>
      <c r="AZ49" s="133" t="n">
        <f aca="false">IF(OR(OR($B49="",$E49="",$F49=""),$K49&lt;&gt;"نعم",$M49="نعم"),0,MAX(0,MIN($F49,EOMONTH(DATE(cfg_FY,7,1),0))-MAX($E49,DATE(cfg_FY,7,1))+1))</f>
        <v>0</v>
      </c>
      <c r="BA49" s="133" t="n">
        <f aca="false">IF(OR(OR($B49="",$E49="",$F49=""),$K49&lt;&gt;"نعم",$M49="نعم"),0,MAX(0,MIN($F49,EOMONTH(DATE(cfg_FY,8,1),0))-MAX($E49,DATE(cfg_FY,8,1))+1))</f>
        <v>0</v>
      </c>
      <c r="BB49" s="133" t="n">
        <f aca="false">IF(OR(OR($B49="",$E49="",$F49=""),$K49&lt;&gt;"نعم",$M49="نعم"),0,MAX(0,MIN($F49,EOMONTH(DATE(cfg_FY,9,1),0))-MAX($E49,DATE(cfg_FY,9,1))+1))</f>
        <v>0</v>
      </c>
      <c r="BC49" s="133" t="n">
        <f aca="false">IF(OR(OR($B49="",$E49="",$F49=""),$K49&lt;&gt;"نعم",$M49="نعم"),0,MAX(0,MIN($F49,EOMONTH(DATE(cfg_FY,10,1),0))-MAX($E49,DATE(cfg_FY,10,1))+1))</f>
        <v>0</v>
      </c>
      <c r="BD49" s="133" t="n">
        <f aca="false">IF(OR(OR($B49="",$E49="",$F49=""),$K49&lt;&gt;"نعم",$M49="نعم"),0,MAX(0,MIN($F49,EOMONTH(DATE(cfg_FY,11,1),0))-MAX($E49,DATE(cfg_FY,11,1))+1))</f>
        <v>0</v>
      </c>
      <c r="BE49" s="133" t="n">
        <f aca="false">IF(OR(OR($B49="",$E49="",$F49=""),$K49&lt;&gt;"نعم",$M49="نعم"),0,MAX(0,MIN($F49,EOMONTH(DATE(cfg_FY,12,1),0))-MAX($E49,DATE(cfg_FY,12,1))+1))</f>
        <v>0</v>
      </c>
    </row>
    <row r="50" customFormat="false" ht="15" hidden="false" customHeight="false" outlineLevel="0" collapsed="false">
      <c r="A50" s="106" t="str">
        <f aca="false">IF(B50="","",ROW()-5)</f>
        <v/>
      </c>
      <c r="B50" s="118"/>
      <c r="C50" s="114" t="str">
        <f aca="false">IF(B50="","",IFERROR(INDEX(الموظفون!$C$6:$C$105,MATCH(B50,الموظفون!$B$6:$B$105,0)),"✖ رقم غير موجود"))</f>
        <v/>
      </c>
      <c r="D50" s="118"/>
      <c r="E50" s="119"/>
      <c r="F50" s="119"/>
      <c r="G50" s="65" t="str">
        <f aca="false">IF(OR($B50="",$E50="",$F50=""),"",MAX(0,F50-E50+1))</f>
        <v/>
      </c>
      <c r="H50" s="66" t="str">
        <f aca="false">IF(D50="","",IFERROR(VLOOKUP(D50,cfg_LT,2,FALSE()),1))</f>
        <v/>
      </c>
      <c r="I50" s="135"/>
      <c r="J50" s="66" t="str">
        <f aca="false">IF(D50="","",IF(I50&lt;&gt;"",I50,H50))</f>
        <v/>
      </c>
      <c r="K50" s="114" t="str">
        <f aca="false">IF(D50="","",IFERROR(VLOOKUP($D50,cfg_LT,3,FALSE()),""))</f>
        <v/>
      </c>
      <c r="L50" s="114" t="str">
        <f aca="false">IF(D50="","",IFERROR(VLOOKUP($D50,cfg_LT,4,FALSE()),""))</f>
        <v/>
      </c>
      <c r="M50" s="114" t="str">
        <f aca="false">IF(D50="","",IFERROR(VLOOKUP($D50,cfg_LT,5,FALSE()),""))</f>
        <v/>
      </c>
      <c r="N50" s="111" t="n">
        <f aca="false">IF(OR(OR($B50="",$E50="",$F50=""),M50&lt;&gt;"نعم"),0,G50*J50*IFERROR(INDEX(الموظفون!$R$6:$R$105,MATCH(B50,الموظفون!$B$6:$B$105,0)),0)/cfg_DAYS_M)</f>
        <v>0</v>
      </c>
      <c r="O50" s="106" t="str">
        <f aca="false">IF(OR(OR($B50="",$E50="",$F50=""),M50&lt;&gt;"نعم"),"",IF(YEAR(E50)=cfg_FY,MONTH(E50),""))</f>
        <v/>
      </c>
      <c r="P50" s="114" t="str">
        <f aca="false">IF(B50="","",IF(OR(D50="",E50="",F50=""),"⚠ أكمل النوع والتواريخ",IF(F50&lt;E50,"✖ النهاية قبل البداية",IF(COUNTIFS($B$6:$B$505,B50,$E$6:$E$505,"&lt;="&amp;F50,$F$6:$F$505,"&gt;="&amp;E50)&gt;1,"⚠ تداخل مع سجل آخر",IF(E50&gt;cfg_VAL_DATE,"⏳ قادمة",IF(F50&lt;cfg_VAL_DATE,"✔ منتهية","✈ جارية في تاريخ التقرير"))))))</f>
        <v/>
      </c>
      <c r="Q50" s="118"/>
      <c r="R50" s="65" t="n">
        <f aca="false">IF(OR(OR($B50="",$E50="",$F50=""),L50&lt;&gt;"لا"),0,MAX(0,MIN(F50,cfg_Y_START-1)-E50+1))</f>
        <v>0</v>
      </c>
      <c r="S50" s="65" t="n">
        <f aca="false">IF(OR(OR($B50="",$E50="",$F50=""),L50&lt;&gt;"لا"),0,MAX(0,MIN(F50,cfg_VAL_DATE)-E50+1))</f>
        <v>0</v>
      </c>
      <c r="T50" s="65" t="n">
        <f aca="false">IF(OR(OR($B50="",$E50="",$F50=""),K50&lt;&gt;"نعم"),0,IF(M50="نعم",IF(AND(ISNUMBER(O50),N(O50)&lt;=cfg_VAL_M),G50,0),MAX(0,MIN(F50,cfg_VAL_DATE)-MAX(E50,cfg_Y_START)+1)))</f>
        <v>0</v>
      </c>
      <c r="V50" s="65" t="n">
        <f aca="false">IF(OR($B50="",$E50="",$F50=""),0,MAX(0,MIN($F50,EOMONTH(DATE(cfg_FY,1,1),0))-MAX($E50,DATE(cfg_FY,1,1))+1)*(1-IF($M50="نعم",0,N($J50))))</f>
        <v>0</v>
      </c>
      <c r="W50" s="65" t="n">
        <f aca="false">IF(OR($B50="",$E50="",$F50=""),0,MAX(0,MIN($F50,EOMONTH(DATE(cfg_FY,2,1),0))-MAX($E50,DATE(cfg_FY,2,1))+1)*(1-IF($M50="نعم",0,N($J50))))</f>
        <v>0</v>
      </c>
      <c r="X50" s="65" t="n">
        <f aca="false">IF(OR($B50="",$E50="",$F50=""),0,MAX(0,MIN($F50,EOMONTH(DATE(cfg_FY,3,1),0))-MAX($E50,DATE(cfg_FY,3,1))+1)*(1-IF($M50="نعم",0,N($J50))))</f>
        <v>0</v>
      </c>
      <c r="Y50" s="65" t="n">
        <f aca="false">IF(OR($B50="",$E50="",$F50=""),0,MAX(0,MIN($F50,EOMONTH(DATE(cfg_FY,4,1),0))-MAX($E50,DATE(cfg_FY,4,1))+1)*(1-IF($M50="نعم",0,N($J50))))</f>
        <v>0</v>
      </c>
      <c r="Z50" s="65" t="n">
        <f aca="false">IF(OR($B50="",$E50="",$F50=""),0,MAX(0,MIN($F50,EOMONTH(DATE(cfg_FY,5,1),0))-MAX($E50,DATE(cfg_FY,5,1))+1)*(1-IF($M50="نعم",0,N($J50))))</f>
        <v>0</v>
      </c>
      <c r="AA50" s="65" t="n">
        <f aca="false">IF(OR($B50="",$E50="",$F50=""),0,MAX(0,MIN($F50,EOMONTH(DATE(cfg_FY,6,1),0))-MAX($E50,DATE(cfg_FY,6,1))+1)*(1-IF($M50="نعم",0,N($J50))))</f>
        <v>0</v>
      </c>
      <c r="AB50" s="65" t="n">
        <f aca="false">IF(OR($B50="",$E50="",$F50=""),0,MAX(0,MIN($F50,EOMONTH(DATE(cfg_FY,7,1),0))-MAX($E50,DATE(cfg_FY,7,1))+1)*(1-IF($M50="نعم",0,N($J50))))</f>
        <v>0</v>
      </c>
      <c r="AC50" s="65" t="n">
        <f aca="false">IF(OR($B50="",$E50="",$F50=""),0,MAX(0,MIN($F50,EOMONTH(DATE(cfg_FY,8,1),0))-MAX($E50,DATE(cfg_FY,8,1))+1)*(1-IF($M50="نعم",0,N($J50))))</f>
        <v>0</v>
      </c>
      <c r="AD50" s="65" t="n">
        <f aca="false">IF(OR($B50="",$E50="",$F50=""),0,MAX(0,MIN($F50,EOMONTH(DATE(cfg_FY,9,1),0))-MAX($E50,DATE(cfg_FY,9,1))+1)*(1-IF($M50="نعم",0,N($J50))))</f>
        <v>0</v>
      </c>
      <c r="AE50" s="65" t="n">
        <f aca="false">IF(OR($B50="",$E50="",$F50=""),0,MAX(0,MIN($F50,EOMONTH(DATE(cfg_FY,10,1),0))-MAX($E50,DATE(cfg_FY,10,1))+1)*(1-IF($M50="نعم",0,N($J50))))</f>
        <v>0</v>
      </c>
      <c r="AF50" s="65" t="n">
        <f aca="false">IF(OR($B50="",$E50="",$F50=""),0,MAX(0,MIN($F50,EOMONTH(DATE(cfg_FY,11,1),0))-MAX($E50,DATE(cfg_FY,11,1))+1)*(1-IF($M50="نعم",0,N($J50))))</f>
        <v>0</v>
      </c>
      <c r="AG50" s="65" t="n">
        <f aca="false">IF(OR($B50="",$E50="",$F50=""),0,MAX(0,MIN($F50,EOMONTH(DATE(cfg_FY,12,1),0))-MAX($E50,DATE(cfg_FY,12,1))+1)*(1-IF($M50="نعم",0,N($J50))))</f>
        <v>0</v>
      </c>
      <c r="AH50" s="65" t="n">
        <f aca="false">IF(OR(OR($B50="",$E50="",$F50=""),$L50&lt;&gt;"لا"),0,MAX(0,MIN($F50,EOMONTH(DATE(cfg_FY,1,1),0))-$E50+1))</f>
        <v>0</v>
      </c>
      <c r="AI50" s="65" t="n">
        <f aca="false">IF(OR(OR($B50="",$E50="",$F50=""),$L50&lt;&gt;"لا"),0,MAX(0,MIN($F50,EOMONTH(DATE(cfg_FY,2,1),0))-$E50+1))</f>
        <v>0</v>
      </c>
      <c r="AJ50" s="65" t="n">
        <f aca="false">IF(OR(OR($B50="",$E50="",$F50=""),$L50&lt;&gt;"لا"),0,MAX(0,MIN($F50,EOMONTH(DATE(cfg_FY,3,1),0))-$E50+1))</f>
        <v>0</v>
      </c>
      <c r="AK50" s="65" t="n">
        <f aca="false">IF(OR(OR($B50="",$E50="",$F50=""),$L50&lt;&gt;"لا"),0,MAX(0,MIN($F50,EOMONTH(DATE(cfg_FY,4,1),0))-$E50+1))</f>
        <v>0</v>
      </c>
      <c r="AL50" s="65" t="n">
        <f aca="false">IF(OR(OR($B50="",$E50="",$F50=""),$L50&lt;&gt;"لا"),0,MAX(0,MIN($F50,EOMONTH(DATE(cfg_FY,5,1),0))-$E50+1))</f>
        <v>0</v>
      </c>
      <c r="AM50" s="65" t="n">
        <f aca="false">IF(OR(OR($B50="",$E50="",$F50=""),$L50&lt;&gt;"لا"),0,MAX(0,MIN($F50,EOMONTH(DATE(cfg_FY,6,1),0))-$E50+1))</f>
        <v>0</v>
      </c>
      <c r="AN50" s="65" t="n">
        <f aca="false">IF(OR(OR($B50="",$E50="",$F50=""),$L50&lt;&gt;"لا"),0,MAX(0,MIN($F50,EOMONTH(DATE(cfg_FY,7,1),0))-$E50+1))</f>
        <v>0</v>
      </c>
      <c r="AO50" s="65" t="n">
        <f aca="false">IF(OR(OR($B50="",$E50="",$F50=""),$L50&lt;&gt;"لا"),0,MAX(0,MIN($F50,EOMONTH(DATE(cfg_FY,8,1),0))-$E50+1))</f>
        <v>0</v>
      </c>
      <c r="AP50" s="65" t="n">
        <f aca="false">IF(OR(OR($B50="",$E50="",$F50=""),$L50&lt;&gt;"لا"),0,MAX(0,MIN($F50,EOMONTH(DATE(cfg_FY,9,1),0))-$E50+1))</f>
        <v>0</v>
      </c>
      <c r="AQ50" s="65" t="n">
        <f aca="false">IF(OR(OR($B50="",$E50="",$F50=""),$L50&lt;&gt;"لا"),0,MAX(0,MIN($F50,EOMONTH(DATE(cfg_FY,10,1),0))-$E50+1))</f>
        <v>0</v>
      </c>
      <c r="AR50" s="65" t="n">
        <f aca="false">IF(OR(OR($B50="",$E50="",$F50=""),$L50&lt;&gt;"لا"),0,MAX(0,MIN($F50,EOMONTH(DATE(cfg_FY,11,1),0))-$E50+1))</f>
        <v>0</v>
      </c>
      <c r="AS50" s="65" t="n">
        <f aca="false">IF(OR(OR($B50="",$E50="",$F50=""),$L50&lt;&gt;"لا"),0,MAX(0,MIN($F50,EOMONTH(DATE(cfg_FY,12,1),0))-$E50+1))</f>
        <v>0</v>
      </c>
      <c r="AT50" s="65" t="n">
        <f aca="false">IF(OR(OR($B50="",$E50="",$F50=""),$K50&lt;&gt;"نعم",$M50="نعم"),0,MAX(0,MIN($F50,EOMONTH(DATE(cfg_FY,1,1),0))-MAX($E50,DATE(cfg_FY,1,1))+1))</f>
        <v>0</v>
      </c>
      <c r="AU50" s="65" t="n">
        <f aca="false">IF(OR(OR($B50="",$E50="",$F50=""),$K50&lt;&gt;"نعم",$M50="نعم"),0,MAX(0,MIN($F50,EOMONTH(DATE(cfg_FY,2,1),0))-MAX($E50,DATE(cfg_FY,2,1))+1))</f>
        <v>0</v>
      </c>
      <c r="AV50" s="65" t="n">
        <f aca="false">IF(OR(OR($B50="",$E50="",$F50=""),$K50&lt;&gt;"نعم",$M50="نعم"),0,MAX(0,MIN($F50,EOMONTH(DATE(cfg_FY,3,1),0))-MAX($E50,DATE(cfg_FY,3,1))+1))</f>
        <v>0</v>
      </c>
      <c r="AW50" s="65" t="n">
        <f aca="false">IF(OR(OR($B50="",$E50="",$F50=""),$K50&lt;&gt;"نعم",$M50="نعم"),0,MAX(0,MIN($F50,EOMONTH(DATE(cfg_FY,4,1),0))-MAX($E50,DATE(cfg_FY,4,1))+1))</f>
        <v>0</v>
      </c>
      <c r="AX50" s="65" t="n">
        <f aca="false">IF(OR(OR($B50="",$E50="",$F50=""),$K50&lt;&gt;"نعم",$M50="نعم"),0,MAX(0,MIN($F50,EOMONTH(DATE(cfg_FY,5,1),0))-MAX($E50,DATE(cfg_FY,5,1))+1))</f>
        <v>0</v>
      </c>
      <c r="AY50" s="65" t="n">
        <f aca="false">IF(OR(OR($B50="",$E50="",$F50=""),$K50&lt;&gt;"نعم",$M50="نعم"),0,MAX(0,MIN($F50,EOMONTH(DATE(cfg_FY,6,1),0))-MAX($E50,DATE(cfg_FY,6,1))+1))</f>
        <v>0</v>
      </c>
      <c r="AZ50" s="65" t="n">
        <f aca="false">IF(OR(OR($B50="",$E50="",$F50=""),$K50&lt;&gt;"نعم",$M50="نعم"),0,MAX(0,MIN($F50,EOMONTH(DATE(cfg_FY,7,1),0))-MAX($E50,DATE(cfg_FY,7,1))+1))</f>
        <v>0</v>
      </c>
      <c r="BA50" s="65" t="n">
        <f aca="false">IF(OR(OR($B50="",$E50="",$F50=""),$K50&lt;&gt;"نعم",$M50="نعم"),0,MAX(0,MIN($F50,EOMONTH(DATE(cfg_FY,8,1),0))-MAX($E50,DATE(cfg_FY,8,1))+1))</f>
        <v>0</v>
      </c>
      <c r="BB50" s="65" t="n">
        <f aca="false">IF(OR(OR($B50="",$E50="",$F50=""),$K50&lt;&gt;"نعم",$M50="نعم"),0,MAX(0,MIN($F50,EOMONTH(DATE(cfg_FY,9,1),0))-MAX($E50,DATE(cfg_FY,9,1))+1))</f>
        <v>0</v>
      </c>
      <c r="BC50" s="65" t="n">
        <f aca="false">IF(OR(OR($B50="",$E50="",$F50=""),$K50&lt;&gt;"نعم",$M50="نعم"),0,MAX(0,MIN($F50,EOMONTH(DATE(cfg_FY,10,1),0))-MAX($E50,DATE(cfg_FY,10,1))+1))</f>
        <v>0</v>
      </c>
      <c r="BD50" s="65" t="n">
        <f aca="false">IF(OR(OR($B50="",$E50="",$F50=""),$K50&lt;&gt;"نعم",$M50="نعم"),0,MAX(0,MIN($F50,EOMONTH(DATE(cfg_FY,11,1),0))-MAX($E50,DATE(cfg_FY,11,1))+1))</f>
        <v>0</v>
      </c>
      <c r="BE50" s="65" t="n">
        <f aca="false">IF(OR(OR($B50="",$E50="",$F50=""),$K50&lt;&gt;"نعم",$M50="نعم"),0,MAX(0,MIN($F50,EOMONTH(DATE(cfg_FY,12,1),0))-MAX($E50,DATE(cfg_FY,12,1))+1))</f>
        <v>0</v>
      </c>
    </row>
    <row r="51" customFormat="false" ht="15" hidden="false" customHeight="false" outlineLevel="0" collapsed="false">
      <c r="A51" s="115" t="str">
        <f aca="false">IF(B51="","",ROW()-5)</f>
        <v/>
      </c>
      <c r="B51" s="118"/>
      <c r="C51" s="117" t="str">
        <f aca="false">IF(B51="","",IFERROR(INDEX(الموظفون!$C$6:$C$105,MATCH(B51,الموظفون!$B$6:$B$105,0)),"✖ رقم غير موجود"))</f>
        <v/>
      </c>
      <c r="D51" s="118"/>
      <c r="E51" s="119"/>
      <c r="F51" s="119"/>
      <c r="G51" s="133" t="str">
        <f aca="false">IF(OR($B51="",$E51="",$F51=""),"",MAX(0,F51-E51+1))</f>
        <v/>
      </c>
      <c r="H51" s="134" t="str">
        <f aca="false">IF(D51="","",IFERROR(VLOOKUP(D51,cfg_LT,2,FALSE()),1))</f>
        <v/>
      </c>
      <c r="I51" s="135"/>
      <c r="J51" s="134" t="str">
        <f aca="false">IF(D51="","",IF(I51&lt;&gt;"",I51,H51))</f>
        <v/>
      </c>
      <c r="K51" s="117" t="str">
        <f aca="false">IF(D51="","",IFERROR(VLOOKUP($D51,cfg_LT,3,FALSE()),""))</f>
        <v/>
      </c>
      <c r="L51" s="117" t="str">
        <f aca="false">IF(D51="","",IFERROR(VLOOKUP($D51,cfg_LT,4,FALSE()),""))</f>
        <v/>
      </c>
      <c r="M51" s="117" t="str">
        <f aca="false">IF(D51="","",IFERROR(VLOOKUP($D51,cfg_LT,5,FALSE()),""))</f>
        <v/>
      </c>
      <c r="N51" s="116" t="n">
        <f aca="false">IF(OR(OR($B51="",$E51="",$F51=""),M51&lt;&gt;"نعم"),0,G51*J51*IFERROR(INDEX(الموظفون!$R$6:$R$105,MATCH(B51,الموظفون!$B$6:$B$105,0)),0)/cfg_DAYS_M)</f>
        <v>0</v>
      </c>
      <c r="O51" s="115" t="str">
        <f aca="false">IF(OR(OR($B51="",$E51="",$F51=""),M51&lt;&gt;"نعم"),"",IF(YEAR(E51)=cfg_FY,MONTH(E51),""))</f>
        <v/>
      </c>
      <c r="P51" s="117" t="str">
        <f aca="false">IF(B51="","",IF(OR(D51="",E51="",F51=""),"⚠ أكمل النوع والتواريخ",IF(F51&lt;E51,"✖ النهاية قبل البداية",IF(COUNTIFS($B$6:$B$505,B51,$E$6:$E$505,"&lt;="&amp;F51,$F$6:$F$505,"&gt;="&amp;E51)&gt;1,"⚠ تداخل مع سجل آخر",IF(E51&gt;cfg_VAL_DATE,"⏳ قادمة",IF(F51&lt;cfg_VAL_DATE,"✔ منتهية","✈ جارية في تاريخ التقرير"))))))</f>
        <v/>
      </c>
      <c r="Q51" s="118"/>
      <c r="R51" s="133" t="n">
        <f aca="false">IF(OR(OR($B51="",$E51="",$F51=""),L51&lt;&gt;"لا"),0,MAX(0,MIN(F51,cfg_Y_START-1)-E51+1))</f>
        <v>0</v>
      </c>
      <c r="S51" s="133" t="n">
        <f aca="false">IF(OR(OR($B51="",$E51="",$F51=""),L51&lt;&gt;"لا"),0,MAX(0,MIN(F51,cfg_VAL_DATE)-E51+1))</f>
        <v>0</v>
      </c>
      <c r="T51" s="133" t="n">
        <f aca="false">IF(OR(OR($B51="",$E51="",$F51=""),K51&lt;&gt;"نعم"),0,IF(M51="نعم",IF(AND(ISNUMBER(O51),N(O51)&lt;=cfg_VAL_M),G51,0),MAX(0,MIN(F51,cfg_VAL_DATE)-MAX(E51,cfg_Y_START)+1)))</f>
        <v>0</v>
      </c>
      <c r="V51" s="133" t="n">
        <f aca="false">IF(OR($B51="",$E51="",$F51=""),0,MAX(0,MIN($F51,EOMONTH(DATE(cfg_FY,1,1),0))-MAX($E51,DATE(cfg_FY,1,1))+1)*(1-IF($M51="نعم",0,N($J51))))</f>
        <v>0</v>
      </c>
      <c r="W51" s="133" t="n">
        <f aca="false">IF(OR($B51="",$E51="",$F51=""),0,MAX(0,MIN($F51,EOMONTH(DATE(cfg_FY,2,1),0))-MAX($E51,DATE(cfg_FY,2,1))+1)*(1-IF($M51="نعم",0,N($J51))))</f>
        <v>0</v>
      </c>
      <c r="X51" s="133" t="n">
        <f aca="false">IF(OR($B51="",$E51="",$F51=""),0,MAX(0,MIN($F51,EOMONTH(DATE(cfg_FY,3,1),0))-MAX($E51,DATE(cfg_FY,3,1))+1)*(1-IF($M51="نعم",0,N($J51))))</f>
        <v>0</v>
      </c>
      <c r="Y51" s="133" t="n">
        <f aca="false">IF(OR($B51="",$E51="",$F51=""),0,MAX(0,MIN($F51,EOMONTH(DATE(cfg_FY,4,1),0))-MAX($E51,DATE(cfg_FY,4,1))+1)*(1-IF($M51="نعم",0,N($J51))))</f>
        <v>0</v>
      </c>
      <c r="Z51" s="133" t="n">
        <f aca="false">IF(OR($B51="",$E51="",$F51=""),0,MAX(0,MIN($F51,EOMONTH(DATE(cfg_FY,5,1),0))-MAX($E51,DATE(cfg_FY,5,1))+1)*(1-IF($M51="نعم",0,N($J51))))</f>
        <v>0</v>
      </c>
      <c r="AA51" s="133" t="n">
        <f aca="false">IF(OR($B51="",$E51="",$F51=""),0,MAX(0,MIN($F51,EOMONTH(DATE(cfg_FY,6,1),0))-MAX($E51,DATE(cfg_FY,6,1))+1)*(1-IF($M51="نعم",0,N($J51))))</f>
        <v>0</v>
      </c>
      <c r="AB51" s="133" t="n">
        <f aca="false">IF(OR($B51="",$E51="",$F51=""),0,MAX(0,MIN($F51,EOMONTH(DATE(cfg_FY,7,1),0))-MAX($E51,DATE(cfg_FY,7,1))+1)*(1-IF($M51="نعم",0,N($J51))))</f>
        <v>0</v>
      </c>
      <c r="AC51" s="133" t="n">
        <f aca="false">IF(OR($B51="",$E51="",$F51=""),0,MAX(0,MIN($F51,EOMONTH(DATE(cfg_FY,8,1),0))-MAX($E51,DATE(cfg_FY,8,1))+1)*(1-IF($M51="نعم",0,N($J51))))</f>
        <v>0</v>
      </c>
      <c r="AD51" s="133" t="n">
        <f aca="false">IF(OR($B51="",$E51="",$F51=""),0,MAX(0,MIN($F51,EOMONTH(DATE(cfg_FY,9,1),0))-MAX($E51,DATE(cfg_FY,9,1))+1)*(1-IF($M51="نعم",0,N($J51))))</f>
        <v>0</v>
      </c>
      <c r="AE51" s="133" t="n">
        <f aca="false">IF(OR($B51="",$E51="",$F51=""),0,MAX(0,MIN($F51,EOMONTH(DATE(cfg_FY,10,1),0))-MAX($E51,DATE(cfg_FY,10,1))+1)*(1-IF($M51="نعم",0,N($J51))))</f>
        <v>0</v>
      </c>
      <c r="AF51" s="133" t="n">
        <f aca="false">IF(OR($B51="",$E51="",$F51=""),0,MAX(0,MIN($F51,EOMONTH(DATE(cfg_FY,11,1),0))-MAX($E51,DATE(cfg_FY,11,1))+1)*(1-IF($M51="نعم",0,N($J51))))</f>
        <v>0</v>
      </c>
      <c r="AG51" s="133" t="n">
        <f aca="false">IF(OR($B51="",$E51="",$F51=""),0,MAX(0,MIN($F51,EOMONTH(DATE(cfg_FY,12,1),0))-MAX($E51,DATE(cfg_FY,12,1))+1)*(1-IF($M51="نعم",0,N($J51))))</f>
        <v>0</v>
      </c>
      <c r="AH51" s="133" t="n">
        <f aca="false">IF(OR(OR($B51="",$E51="",$F51=""),$L51&lt;&gt;"لا"),0,MAX(0,MIN($F51,EOMONTH(DATE(cfg_FY,1,1),0))-$E51+1))</f>
        <v>0</v>
      </c>
      <c r="AI51" s="133" t="n">
        <f aca="false">IF(OR(OR($B51="",$E51="",$F51=""),$L51&lt;&gt;"لا"),0,MAX(0,MIN($F51,EOMONTH(DATE(cfg_FY,2,1),0))-$E51+1))</f>
        <v>0</v>
      </c>
      <c r="AJ51" s="133" t="n">
        <f aca="false">IF(OR(OR($B51="",$E51="",$F51=""),$L51&lt;&gt;"لا"),0,MAX(0,MIN($F51,EOMONTH(DATE(cfg_FY,3,1),0))-$E51+1))</f>
        <v>0</v>
      </c>
      <c r="AK51" s="133" t="n">
        <f aca="false">IF(OR(OR($B51="",$E51="",$F51=""),$L51&lt;&gt;"لا"),0,MAX(0,MIN($F51,EOMONTH(DATE(cfg_FY,4,1),0))-$E51+1))</f>
        <v>0</v>
      </c>
      <c r="AL51" s="133" t="n">
        <f aca="false">IF(OR(OR($B51="",$E51="",$F51=""),$L51&lt;&gt;"لا"),0,MAX(0,MIN($F51,EOMONTH(DATE(cfg_FY,5,1),0))-$E51+1))</f>
        <v>0</v>
      </c>
      <c r="AM51" s="133" t="n">
        <f aca="false">IF(OR(OR($B51="",$E51="",$F51=""),$L51&lt;&gt;"لا"),0,MAX(0,MIN($F51,EOMONTH(DATE(cfg_FY,6,1),0))-$E51+1))</f>
        <v>0</v>
      </c>
      <c r="AN51" s="133" t="n">
        <f aca="false">IF(OR(OR($B51="",$E51="",$F51=""),$L51&lt;&gt;"لا"),0,MAX(0,MIN($F51,EOMONTH(DATE(cfg_FY,7,1),0))-$E51+1))</f>
        <v>0</v>
      </c>
      <c r="AO51" s="133" t="n">
        <f aca="false">IF(OR(OR($B51="",$E51="",$F51=""),$L51&lt;&gt;"لا"),0,MAX(0,MIN($F51,EOMONTH(DATE(cfg_FY,8,1),0))-$E51+1))</f>
        <v>0</v>
      </c>
      <c r="AP51" s="133" t="n">
        <f aca="false">IF(OR(OR($B51="",$E51="",$F51=""),$L51&lt;&gt;"لا"),0,MAX(0,MIN($F51,EOMONTH(DATE(cfg_FY,9,1),0))-$E51+1))</f>
        <v>0</v>
      </c>
      <c r="AQ51" s="133" t="n">
        <f aca="false">IF(OR(OR($B51="",$E51="",$F51=""),$L51&lt;&gt;"لا"),0,MAX(0,MIN($F51,EOMONTH(DATE(cfg_FY,10,1),0))-$E51+1))</f>
        <v>0</v>
      </c>
      <c r="AR51" s="133" t="n">
        <f aca="false">IF(OR(OR($B51="",$E51="",$F51=""),$L51&lt;&gt;"لا"),0,MAX(0,MIN($F51,EOMONTH(DATE(cfg_FY,11,1),0))-$E51+1))</f>
        <v>0</v>
      </c>
      <c r="AS51" s="133" t="n">
        <f aca="false">IF(OR(OR($B51="",$E51="",$F51=""),$L51&lt;&gt;"لا"),0,MAX(0,MIN($F51,EOMONTH(DATE(cfg_FY,12,1),0))-$E51+1))</f>
        <v>0</v>
      </c>
      <c r="AT51" s="133" t="n">
        <f aca="false">IF(OR(OR($B51="",$E51="",$F51=""),$K51&lt;&gt;"نعم",$M51="نعم"),0,MAX(0,MIN($F51,EOMONTH(DATE(cfg_FY,1,1),0))-MAX($E51,DATE(cfg_FY,1,1))+1))</f>
        <v>0</v>
      </c>
      <c r="AU51" s="133" t="n">
        <f aca="false">IF(OR(OR($B51="",$E51="",$F51=""),$K51&lt;&gt;"نعم",$M51="نعم"),0,MAX(0,MIN($F51,EOMONTH(DATE(cfg_FY,2,1),0))-MAX($E51,DATE(cfg_FY,2,1))+1))</f>
        <v>0</v>
      </c>
      <c r="AV51" s="133" t="n">
        <f aca="false">IF(OR(OR($B51="",$E51="",$F51=""),$K51&lt;&gt;"نعم",$M51="نعم"),0,MAX(0,MIN($F51,EOMONTH(DATE(cfg_FY,3,1),0))-MAX($E51,DATE(cfg_FY,3,1))+1))</f>
        <v>0</v>
      </c>
      <c r="AW51" s="133" t="n">
        <f aca="false">IF(OR(OR($B51="",$E51="",$F51=""),$K51&lt;&gt;"نعم",$M51="نعم"),0,MAX(0,MIN($F51,EOMONTH(DATE(cfg_FY,4,1),0))-MAX($E51,DATE(cfg_FY,4,1))+1))</f>
        <v>0</v>
      </c>
      <c r="AX51" s="133" t="n">
        <f aca="false">IF(OR(OR($B51="",$E51="",$F51=""),$K51&lt;&gt;"نعم",$M51="نعم"),0,MAX(0,MIN($F51,EOMONTH(DATE(cfg_FY,5,1),0))-MAX($E51,DATE(cfg_FY,5,1))+1))</f>
        <v>0</v>
      </c>
      <c r="AY51" s="133" t="n">
        <f aca="false">IF(OR(OR($B51="",$E51="",$F51=""),$K51&lt;&gt;"نعم",$M51="نعم"),0,MAX(0,MIN($F51,EOMONTH(DATE(cfg_FY,6,1),0))-MAX($E51,DATE(cfg_FY,6,1))+1))</f>
        <v>0</v>
      </c>
      <c r="AZ51" s="133" t="n">
        <f aca="false">IF(OR(OR($B51="",$E51="",$F51=""),$K51&lt;&gt;"نعم",$M51="نعم"),0,MAX(0,MIN($F51,EOMONTH(DATE(cfg_FY,7,1),0))-MAX($E51,DATE(cfg_FY,7,1))+1))</f>
        <v>0</v>
      </c>
      <c r="BA51" s="133" t="n">
        <f aca="false">IF(OR(OR($B51="",$E51="",$F51=""),$K51&lt;&gt;"نعم",$M51="نعم"),0,MAX(0,MIN($F51,EOMONTH(DATE(cfg_FY,8,1),0))-MAX($E51,DATE(cfg_FY,8,1))+1))</f>
        <v>0</v>
      </c>
      <c r="BB51" s="133" t="n">
        <f aca="false">IF(OR(OR($B51="",$E51="",$F51=""),$K51&lt;&gt;"نعم",$M51="نعم"),0,MAX(0,MIN($F51,EOMONTH(DATE(cfg_FY,9,1),0))-MAX($E51,DATE(cfg_FY,9,1))+1))</f>
        <v>0</v>
      </c>
      <c r="BC51" s="133" t="n">
        <f aca="false">IF(OR(OR($B51="",$E51="",$F51=""),$K51&lt;&gt;"نعم",$M51="نعم"),0,MAX(0,MIN($F51,EOMONTH(DATE(cfg_FY,10,1),0))-MAX($E51,DATE(cfg_FY,10,1))+1))</f>
        <v>0</v>
      </c>
      <c r="BD51" s="133" t="n">
        <f aca="false">IF(OR(OR($B51="",$E51="",$F51=""),$K51&lt;&gt;"نعم",$M51="نعم"),0,MAX(0,MIN($F51,EOMONTH(DATE(cfg_FY,11,1),0))-MAX($E51,DATE(cfg_FY,11,1))+1))</f>
        <v>0</v>
      </c>
      <c r="BE51" s="133" t="n">
        <f aca="false">IF(OR(OR($B51="",$E51="",$F51=""),$K51&lt;&gt;"نعم",$M51="نعم"),0,MAX(0,MIN($F51,EOMONTH(DATE(cfg_FY,12,1),0))-MAX($E51,DATE(cfg_FY,12,1))+1))</f>
        <v>0</v>
      </c>
    </row>
    <row r="52" customFormat="false" ht="15" hidden="false" customHeight="false" outlineLevel="0" collapsed="false">
      <c r="A52" s="106" t="str">
        <f aca="false">IF(B52="","",ROW()-5)</f>
        <v/>
      </c>
      <c r="B52" s="118"/>
      <c r="C52" s="114" t="str">
        <f aca="false">IF(B52="","",IFERROR(INDEX(الموظفون!$C$6:$C$105,MATCH(B52,الموظفون!$B$6:$B$105,0)),"✖ رقم غير موجود"))</f>
        <v/>
      </c>
      <c r="D52" s="118"/>
      <c r="E52" s="119"/>
      <c r="F52" s="119"/>
      <c r="G52" s="65" t="str">
        <f aca="false">IF(OR($B52="",$E52="",$F52=""),"",MAX(0,F52-E52+1))</f>
        <v/>
      </c>
      <c r="H52" s="66" t="str">
        <f aca="false">IF(D52="","",IFERROR(VLOOKUP(D52,cfg_LT,2,FALSE()),1))</f>
        <v/>
      </c>
      <c r="I52" s="135"/>
      <c r="J52" s="66" t="str">
        <f aca="false">IF(D52="","",IF(I52&lt;&gt;"",I52,H52))</f>
        <v/>
      </c>
      <c r="K52" s="114" t="str">
        <f aca="false">IF(D52="","",IFERROR(VLOOKUP($D52,cfg_LT,3,FALSE()),""))</f>
        <v/>
      </c>
      <c r="L52" s="114" t="str">
        <f aca="false">IF(D52="","",IFERROR(VLOOKUP($D52,cfg_LT,4,FALSE()),""))</f>
        <v/>
      </c>
      <c r="M52" s="114" t="str">
        <f aca="false">IF(D52="","",IFERROR(VLOOKUP($D52,cfg_LT,5,FALSE()),""))</f>
        <v/>
      </c>
      <c r="N52" s="111" t="n">
        <f aca="false">IF(OR(OR($B52="",$E52="",$F52=""),M52&lt;&gt;"نعم"),0,G52*J52*IFERROR(INDEX(الموظفون!$R$6:$R$105,MATCH(B52,الموظفون!$B$6:$B$105,0)),0)/cfg_DAYS_M)</f>
        <v>0</v>
      </c>
      <c r="O52" s="106" t="str">
        <f aca="false">IF(OR(OR($B52="",$E52="",$F52=""),M52&lt;&gt;"نعم"),"",IF(YEAR(E52)=cfg_FY,MONTH(E52),""))</f>
        <v/>
      </c>
      <c r="P52" s="114" t="str">
        <f aca="false">IF(B52="","",IF(OR(D52="",E52="",F52=""),"⚠ أكمل النوع والتواريخ",IF(F52&lt;E52,"✖ النهاية قبل البداية",IF(COUNTIFS($B$6:$B$505,B52,$E$6:$E$505,"&lt;="&amp;F52,$F$6:$F$505,"&gt;="&amp;E52)&gt;1,"⚠ تداخل مع سجل آخر",IF(E52&gt;cfg_VAL_DATE,"⏳ قادمة",IF(F52&lt;cfg_VAL_DATE,"✔ منتهية","✈ جارية في تاريخ التقرير"))))))</f>
        <v/>
      </c>
      <c r="Q52" s="118"/>
      <c r="R52" s="65" t="n">
        <f aca="false">IF(OR(OR($B52="",$E52="",$F52=""),L52&lt;&gt;"لا"),0,MAX(0,MIN(F52,cfg_Y_START-1)-E52+1))</f>
        <v>0</v>
      </c>
      <c r="S52" s="65" t="n">
        <f aca="false">IF(OR(OR($B52="",$E52="",$F52=""),L52&lt;&gt;"لا"),0,MAX(0,MIN(F52,cfg_VAL_DATE)-E52+1))</f>
        <v>0</v>
      </c>
      <c r="T52" s="65" t="n">
        <f aca="false">IF(OR(OR($B52="",$E52="",$F52=""),K52&lt;&gt;"نعم"),0,IF(M52="نعم",IF(AND(ISNUMBER(O52),N(O52)&lt;=cfg_VAL_M),G52,0),MAX(0,MIN(F52,cfg_VAL_DATE)-MAX(E52,cfg_Y_START)+1)))</f>
        <v>0</v>
      </c>
      <c r="V52" s="65" t="n">
        <f aca="false">IF(OR($B52="",$E52="",$F52=""),0,MAX(0,MIN($F52,EOMONTH(DATE(cfg_FY,1,1),0))-MAX($E52,DATE(cfg_FY,1,1))+1)*(1-IF($M52="نعم",0,N($J52))))</f>
        <v>0</v>
      </c>
      <c r="W52" s="65" t="n">
        <f aca="false">IF(OR($B52="",$E52="",$F52=""),0,MAX(0,MIN($F52,EOMONTH(DATE(cfg_FY,2,1),0))-MAX($E52,DATE(cfg_FY,2,1))+1)*(1-IF($M52="نعم",0,N($J52))))</f>
        <v>0</v>
      </c>
      <c r="X52" s="65" t="n">
        <f aca="false">IF(OR($B52="",$E52="",$F52=""),0,MAX(0,MIN($F52,EOMONTH(DATE(cfg_FY,3,1),0))-MAX($E52,DATE(cfg_FY,3,1))+1)*(1-IF($M52="نعم",0,N($J52))))</f>
        <v>0</v>
      </c>
      <c r="Y52" s="65" t="n">
        <f aca="false">IF(OR($B52="",$E52="",$F52=""),0,MAX(0,MIN($F52,EOMONTH(DATE(cfg_FY,4,1),0))-MAX($E52,DATE(cfg_FY,4,1))+1)*(1-IF($M52="نعم",0,N($J52))))</f>
        <v>0</v>
      </c>
      <c r="Z52" s="65" t="n">
        <f aca="false">IF(OR($B52="",$E52="",$F52=""),0,MAX(0,MIN($F52,EOMONTH(DATE(cfg_FY,5,1),0))-MAX($E52,DATE(cfg_FY,5,1))+1)*(1-IF($M52="نعم",0,N($J52))))</f>
        <v>0</v>
      </c>
      <c r="AA52" s="65" t="n">
        <f aca="false">IF(OR($B52="",$E52="",$F52=""),0,MAX(0,MIN($F52,EOMONTH(DATE(cfg_FY,6,1),0))-MAX($E52,DATE(cfg_FY,6,1))+1)*(1-IF($M52="نعم",0,N($J52))))</f>
        <v>0</v>
      </c>
      <c r="AB52" s="65" t="n">
        <f aca="false">IF(OR($B52="",$E52="",$F52=""),0,MAX(0,MIN($F52,EOMONTH(DATE(cfg_FY,7,1),0))-MAX($E52,DATE(cfg_FY,7,1))+1)*(1-IF($M52="نعم",0,N($J52))))</f>
        <v>0</v>
      </c>
      <c r="AC52" s="65" t="n">
        <f aca="false">IF(OR($B52="",$E52="",$F52=""),0,MAX(0,MIN($F52,EOMONTH(DATE(cfg_FY,8,1),0))-MAX($E52,DATE(cfg_FY,8,1))+1)*(1-IF($M52="نعم",0,N($J52))))</f>
        <v>0</v>
      </c>
      <c r="AD52" s="65" t="n">
        <f aca="false">IF(OR($B52="",$E52="",$F52=""),0,MAX(0,MIN($F52,EOMONTH(DATE(cfg_FY,9,1),0))-MAX($E52,DATE(cfg_FY,9,1))+1)*(1-IF($M52="نعم",0,N($J52))))</f>
        <v>0</v>
      </c>
      <c r="AE52" s="65" t="n">
        <f aca="false">IF(OR($B52="",$E52="",$F52=""),0,MAX(0,MIN($F52,EOMONTH(DATE(cfg_FY,10,1),0))-MAX($E52,DATE(cfg_FY,10,1))+1)*(1-IF($M52="نعم",0,N($J52))))</f>
        <v>0</v>
      </c>
      <c r="AF52" s="65" t="n">
        <f aca="false">IF(OR($B52="",$E52="",$F52=""),0,MAX(0,MIN($F52,EOMONTH(DATE(cfg_FY,11,1),0))-MAX($E52,DATE(cfg_FY,11,1))+1)*(1-IF($M52="نعم",0,N($J52))))</f>
        <v>0</v>
      </c>
      <c r="AG52" s="65" t="n">
        <f aca="false">IF(OR($B52="",$E52="",$F52=""),0,MAX(0,MIN($F52,EOMONTH(DATE(cfg_FY,12,1),0))-MAX($E52,DATE(cfg_FY,12,1))+1)*(1-IF($M52="نعم",0,N($J52))))</f>
        <v>0</v>
      </c>
      <c r="AH52" s="65" t="n">
        <f aca="false">IF(OR(OR($B52="",$E52="",$F52=""),$L52&lt;&gt;"لا"),0,MAX(0,MIN($F52,EOMONTH(DATE(cfg_FY,1,1),0))-$E52+1))</f>
        <v>0</v>
      </c>
      <c r="AI52" s="65" t="n">
        <f aca="false">IF(OR(OR($B52="",$E52="",$F52=""),$L52&lt;&gt;"لا"),0,MAX(0,MIN($F52,EOMONTH(DATE(cfg_FY,2,1),0))-$E52+1))</f>
        <v>0</v>
      </c>
      <c r="AJ52" s="65" t="n">
        <f aca="false">IF(OR(OR($B52="",$E52="",$F52=""),$L52&lt;&gt;"لا"),0,MAX(0,MIN($F52,EOMONTH(DATE(cfg_FY,3,1),0))-$E52+1))</f>
        <v>0</v>
      </c>
      <c r="AK52" s="65" t="n">
        <f aca="false">IF(OR(OR($B52="",$E52="",$F52=""),$L52&lt;&gt;"لا"),0,MAX(0,MIN($F52,EOMONTH(DATE(cfg_FY,4,1),0))-$E52+1))</f>
        <v>0</v>
      </c>
      <c r="AL52" s="65" t="n">
        <f aca="false">IF(OR(OR($B52="",$E52="",$F52=""),$L52&lt;&gt;"لا"),0,MAX(0,MIN($F52,EOMONTH(DATE(cfg_FY,5,1),0))-$E52+1))</f>
        <v>0</v>
      </c>
      <c r="AM52" s="65" t="n">
        <f aca="false">IF(OR(OR($B52="",$E52="",$F52=""),$L52&lt;&gt;"لا"),0,MAX(0,MIN($F52,EOMONTH(DATE(cfg_FY,6,1),0))-$E52+1))</f>
        <v>0</v>
      </c>
      <c r="AN52" s="65" t="n">
        <f aca="false">IF(OR(OR($B52="",$E52="",$F52=""),$L52&lt;&gt;"لا"),0,MAX(0,MIN($F52,EOMONTH(DATE(cfg_FY,7,1),0))-$E52+1))</f>
        <v>0</v>
      </c>
      <c r="AO52" s="65" t="n">
        <f aca="false">IF(OR(OR($B52="",$E52="",$F52=""),$L52&lt;&gt;"لا"),0,MAX(0,MIN($F52,EOMONTH(DATE(cfg_FY,8,1),0))-$E52+1))</f>
        <v>0</v>
      </c>
      <c r="AP52" s="65" t="n">
        <f aca="false">IF(OR(OR($B52="",$E52="",$F52=""),$L52&lt;&gt;"لا"),0,MAX(0,MIN($F52,EOMONTH(DATE(cfg_FY,9,1),0))-$E52+1))</f>
        <v>0</v>
      </c>
      <c r="AQ52" s="65" t="n">
        <f aca="false">IF(OR(OR($B52="",$E52="",$F52=""),$L52&lt;&gt;"لا"),0,MAX(0,MIN($F52,EOMONTH(DATE(cfg_FY,10,1),0))-$E52+1))</f>
        <v>0</v>
      </c>
      <c r="AR52" s="65" t="n">
        <f aca="false">IF(OR(OR($B52="",$E52="",$F52=""),$L52&lt;&gt;"لا"),0,MAX(0,MIN($F52,EOMONTH(DATE(cfg_FY,11,1),0))-$E52+1))</f>
        <v>0</v>
      </c>
      <c r="AS52" s="65" t="n">
        <f aca="false">IF(OR(OR($B52="",$E52="",$F52=""),$L52&lt;&gt;"لا"),0,MAX(0,MIN($F52,EOMONTH(DATE(cfg_FY,12,1),0))-$E52+1))</f>
        <v>0</v>
      </c>
      <c r="AT52" s="65" t="n">
        <f aca="false">IF(OR(OR($B52="",$E52="",$F52=""),$K52&lt;&gt;"نعم",$M52="نعم"),0,MAX(0,MIN($F52,EOMONTH(DATE(cfg_FY,1,1),0))-MAX($E52,DATE(cfg_FY,1,1))+1))</f>
        <v>0</v>
      </c>
      <c r="AU52" s="65" t="n">
        <f aca="false">IF(OR(OR($B52="",$E52="",$F52=""),$K52&lt;&gt;"نعم",$M52="نعم"),0,MAX(0,MIN($F52,EOMONTH(DATE(cfg_FY,2,1),0))-MAX($E52,DATE(cfg_FY,2,1))+1))</f>
        <v>0</v>
      </c>
      <c r="AV52" s="65" t="n">
        <f aca="false">IF(OR(OR($B52="",$E52="",$F52=""),$K52&lt;&gt;"نعم",$M52="نعم"),0,MAX(0,MIN($F52,EOMONTH(DATE(cfg_FY,3,1),0))-MAX($E52,DATE(cfg_FY,3,1))+1))</f>
        <v>0</v>
      </c>
      <c r="AW52" s="65" t="n">
        <f aca="false">IF(OR(OR($B52="",$E52="",$F52=""),$K52&lt;&gt;"نعم",$M52="نعم"),0,MAX(0,MIN($F52,EOMONTH(DATE(cfg_FY,4,1),0))-MAX($E52,DATE(cfg_FY,4,1))+1))</f>
        <v>0</v>
      </c>
      <c r="AX52" s="65" t="n">
        <f aca="false">IF(OR(OR($B52="",$E52="",$F52=""),$K52&lt;&gt;"نعم",$M52="نعم"),0,MAX(0,MIN($F52,EOMONTH(DATE(cfg_FY,5,1),0))-MAX($E52,DATE(cfg_FY,5,1))+1))</f>
        <v>0</v>
      </c>
      <c r="AY52" s="65" t="n">
        <f aca="false">IF(OR(OR($B52="",$E52="",$F52=""),$K52&lt;&gt;"نعم",$M52="نعم"),0,MAX(0,MIN($F52,EOMONTH(DATE(cfg_FY,6,1),0))-MAX($E52,DATE(cfg_FY,6,1))+1))</f>
        <v>0</v>
      </c>
      <c r="AZ52" s="65" t="n">
        <f aca="false">IF(OR(OR($B52="",$E52="",$F52=""),$K52&lt;&gt;"نعم",$M52="نعم"),0,MAX(0,MIN($F52,EOMONTH(DATE(cfg_FY,7,1),0))-MAX($E52,DATE(cfg_FY,7,1))+1))</f>
        <v>0</v>
      </c>
      <c r="BA52" s="65" t="n">
        <f aca="false">IF(OR(OR($B52="",$E52="",$F52=""),$K52&lt;&gt;"نعم",$M52="نعم"),0,MAX(0,MIN($F52,EOMONTH(DATE(cfg_FY,8,1),0))-MAX($E52,DATE(cfg_FY,8,1))+1))</f>
        <v>0</v>
      </c>
      <c r="BB52" s="65" t="n">
        <f aca="false">IF(OR(OR($B52="",$E52="",$F52=""),$K52&lt;&gt;"نعم",$M52="نعم"),0,MAX(0,MIN($F52,EOMONTH(DATE(cfg_FY,9,1),0))-MAX($E52,DATE(cfg_FY,9,1))+1))</f>
        <v>0</v>
      </c>
      <c r="BC52" s="65" t="n">
        <f aca="false">IF(OR(OR($B52="",$E52="",$F52=""),$K52&lt;&gt;"نعم",$M52="نعم"),0,MAX(0,MIN($F52,EOMONTH(DATE(cfg_FY,10,1),0))-MAX($E52,DATE(cfg_FY,10,1))+1))</f>
        <v>0</v>
      </c>
      <c r="BD52" s="65" t="n">
        <f aca="false">IF(OR(OR($B52="",$E52="",$F52=""),$K52&lt;&gt;"نعم",$M52="نعم"),0,MAX(0,MIN($F52,EOMONTH(DATE(cfg_FY,11,1),0))-MAX($E52,DATE(cfg_FY,11,1))+1))</f>
        <v>0</v>
      </c>
      <c r="BE52" s="65" t="n">
        <f aca="false">IF(OR(OR($B52="",$E52="",$F52=""),$K52&lt;&gt;"نعم",$M52="نعم"),0,MAX(0,MIN($F52,EOMONTH(DATE(cfg_FY,12,1),0))-MAX($E52,DATE(cfg_FY,12,1))+1))</f>
        <v>0</v>
      </c>
    </row>
    <row r="53" customFormat="false" ht="15" hidden="false" customHeight="false" outlineLevel="0" collapsed="false">
      <c r="A53" s="115" t="str">
        <f aca="false">IF(B53="","",ROW()-5)</f>
        <v/>
      </c>
      <c r="B53" s="118"/>
      <c r="C53" s="117" t="str">
        <f aca="false">IF(B53="","",IFERROR(INDEX(الموظفون!$C$6:$C$105,MATCH(B53,الموظفون!$B$6:$B$105,0)),"✖ رقم غير موجود"))</f>
        <v/>
      </c>
      <c r="D53" s="118"/>
      <c r="E53" s="119"/>
      <c r="F53" s="119"/>
      <c r="G53" s="133" t="str">
        <f aca="false">IF(OR($B53="",$E53="",$F53=""),"",MAX(0,F53-E53+1))</f>
        <v/>
      </c>
      <c r="H53" s="134" t="str">
        <f aca="false">IF(D53="","",IFERROR(VLOOKUP(D53,cfg_LT,2,FALSE()),1))</f>
        <v/>
      </c>
      <c r="I53" s="135"/>
      <c r="J53" s="134" t="str">
        <f aca="false">IF(D53="","",IF(I53&lt;&gt;"",I53,H53))</f>
        <v/>
      </c>
      <c r="K53" s="117" t="str">
        <f aca="false">IF(D53="","",IFERROR(VLOOKUP($D53,cfg_LT,3,FALSE()),""))</f>
        <v/>
      </c>
      <c r="L53" s="117" t="str">
        <f aca="false">IF(D53="","",IFERROR(VLOOKUP($D53,cfg_LT,4,FALSE()),""))</f>
        <v/>
      </c>
      <c r="M53" s="117" t="str">
        <f aca="false">IF(D53="","",IFERROR(VLOOKUP($D53,cfg_LT,5,FALSE()),""))</f>
        <v/>
      </c>
      <c r="N53" s="116" t="n">
        <f aca="false">IF(OR(OR($B53="",$E53="",$F53=""),M53&lt;&gt;"نعم"),0,G53*J53*IFERROR(INDEX(الموظفون!$R$6:$R$105,MATCH(B53,الموظفون!$B$6:$B$105,0)),0)/cfg_DAYS_M)</f>
        <v>0</v>
      </c>
      <c r="O53" s="115" t="str">
        <f aca="false">IF(OR(OR($B53="",$E53="",$F53=""),M53&lt;&gt;"نعم"),"",IF(YEAR(E53)=cfg_FY,MONTH(E53),""))</f>
        <v/>
      </c>
      <c r="P53" s="117" t="str">
        <f aca="false">IF(B53="","",IF(OR(D53="",E53="",F53=""),"⚠ أكمل النوع والتواريخ",IF(F53&lt;E53,"✖ النهاية قبل البداية",IF(COUNTIFS($B$6:$B$505,B53,$E$6:$E$505,"&lt;="&amp;F53,$F$6:$F$505,"&gt;="&amp;E53)&gt;1,"⚠ تداخل مع سجل آخر",IF(E53&gt;cfg_VAL_DATE,"⏳ قادمة",IF(F53&lt;cfg_VAL_DATE,"✔ منتهية","✈ جارية في تاريخ التقرير"))))))</f>
        <v/>
      </c>
      <c r="Q53" s="118"/>
      <c r="R53" s="133" t="n">
        <f aca="false">IF(OR(OR($B53="",$E53="",$F53=""),L53&lt;&gt;"لا"),0,MAX(0,MIN(F53,cfg_Y_START-1)-E53+1))</f>
        <v>0</v>
      </c>
      <c r="S53" s="133" t="n">
        <f aca="false">IF(OR(OR($B53="",$E53="",$F53=""),L53&lt;&gt;"لا"),0,MAX(0,MIN(F53,cfg_VAL_DATE)-E53+1))</f>
        <v>0</v>
      </c>
      <c r="T53" s="133" t="n">
        <f aca="false">IF(OR(OR($B53="",$E53="",$F53=""),K53&lt;&gt;"نعم"),0,IF(M53="نعم",IF(AND(ISNUMBER(O53),N(O53)&lt;=cfg_VAL_M),G53,0),MAX(0,MIN(F53,cfg_VAL_DATE)-MAX(E53,cfg_Y_START)+1)))</f>
        <v>0</v>
      </c>
      <c r="V53" s="133" t="n">
        <f aca="false">IF(OR($B53="",$E53="",$F53=""),0,MAX(0,MIN($F53,EOMONTH(DATE(cfg_FY,1,1),0))-MAX($E53,DATE(cfg_FY,1,1))+1)*(1-IF($M53="نعم",0,N($J53))))</f>
        <v>0</v>
      </c>
      <c r="W53" s="133" t="n">
        <f aca="false">IF(OR($B53="",$E53="",$F53=""),0,MAX(0,MIN($F53,EOMONTH(DATE(cfg_FY,2,1),0))-MAX($E53,DATE(cfg_FY,2,1))+1)*(1-IF($M53="نعم",0,N($J53))))</f>
        <v>0</v>
      </c>
      <c r="X53" s="133" t="n">
        <f aca="false">IF(OR($B53="",$E53="",$F53=""),0,MAX(0,MIN($F53,EOMONTH(DATE(cfg_FY,3,1),0))-MAX($E53,DATE(cfg_FY,3,1))+1)*(1-IF($M53="نعم",0,N($J53))))</f>
        <v>0</v>
      </c>
      <c r="Y53" s="133" t="n">
        <f aca="false">IF(OR($B53="",$E53="",$F53=""),0,MAX(0,MIN($F53,EOMONTH(DATE(cfg_FY,4,1),0))-MAX($E53,DATE(cfg_FY,4,1))+1)*(1-IF($M53="نعم",0,N($J53))))</f>
        <v>0</v>
      </c>
      <c r="Z53" s="133" t="n">
        <f aca="false">IF(OR($B53="",$E53="",$F53=""),0,MAX(0,MIN($F53,EOMONTH(DATE(cfg_FY,5,1),0))-MAX($E53,DATE(cfg_FY,5,1))+1)*(1-IF($M53="نعم",0,N($J53))))</f>
        <v>0</v>
      </c>
      <c r="AA53" s="133" t="n">
        <f aca="false">IF(OR($B53="",$E53="",$F53=""),0,MAX(0,MIN($F53,EOMONTH(DATE(cfg_FY,6,1),0))-MAX($E53,DATE(cfg_FY,6,1))+1)*(1-IF($M53="نعم",0,N($J53))))</f>
        <v>0</v>
      </c>
      <c r="AB53" s="133" t="n">
        <f aca="false">IF(OR($B53="",$E53="",$F53=""),0,MAX(0,MIN($F53,EOMONTH(DATE(cfg_FY,7,1),0))-MAX($E53,DATE(cfg_FY,7,1))+1)*(1-IF($M53="نعم",0,N($J53))))</f>
        <v>0</v>
      </c>
      <c r="AC53" s="133" t="n">
        <f aca="false">IF(OR($B53="",$E53="",$F53=""),0,MAX(0,MIN($F53,EOMONTH(DATE(cfg_FY,8,1),0))-MAX($E53,DATE(cfg_FY,8,1))+1)*(1-IF($M53="نعم",0,N($J53))))</f>
        <v>0</v>
      </c>
      <c r="AD53" s="133" t="n">
        <f aca="false">IF(OR($B53="",$E53="",$F53=""),0,MAX(0,MIN($F53,EOMONTH(DATE(cfg_FY,9,1),0))-MAX($E53,DATE(cfg_FY,9,1))+1)*(1-IF($M53="نعم",0,N($J53))))</f>
        <v>0</v>
      </c>
      <c r="AE53" s="133" t="n">
        <f aca="false">IF(OR($B53="",$E53="",$F53=""),0,MAX(0,MIN($F53,EOMONTH(DATE(cfg_FY,10,1),0))-MAX($E53,DATE(cfg_FY,10,1))+1)*(1-IF($M53="نعم",0,N($J53))))</f>
        <v>0</v>
      </c>
      <c r="AF53" s="133" t="n">
        <f aca="false">IF(OR($B53="",$E53="",$F53=""),0,MAX(0,MIN($F53,EOMONTH(DATE(cfg_FY,11,1),0))-MAX($E53,DATE(cfg_FY,11,1))+1)*(1-IF($M53="نعم",0,N($J53))))</f>
        <v>0</v>
      </c>
      <c r="AG53" s="133" t="n">
        <f aca="false">IF(OR($B53="",$E53="",$F53=""),0,MAX(0,MIN($F53,EOMONTH(DATE(cfg_FY,12,1),0))-MAX($E53,DATE(cfg_FY,12,1))+1)*(1-IF($M53="نعم",0,N($J53))))</f>
        <v>0</v>
      </c>
      <c r="AH53" s="133" t="n">
        <f aca="false">IF(OR(OR($B53="",$E53="",$F53=""),$L53&lt;&gt;"لا"),0,MAX(0,MIN($F53,EOMONTH(DATE(cfg_FY,1,1),0))-$E53+1))</f>
        <v>0</v>
      </c>
      <c r="AI53" s="133" t="n">
        <f aca="false">IF(OR(OR($B53="",$E53="",$F53=""),$L53&lt;&gt;"لا"),0,MAX(0,MIN($F53,EOMONTH(DATE(cfg_FY,2,1),0))-$E53+1))</f>
        <v>0</v>
      </c>
      <c r="AJ53" s="133" t="n">
        <f aca="false">IF(OR(OR($B53="",$E53="",$F53=""),$L53&lt;&gt;"لا"),0,MAX(0,MIN($F53,EOMONTH(DATE(cfg_FY,3,1),0))-$E53+1))</f>
        <v>0</v>
      </c>
      <c r="AK53" s="133" t="n">
        <f aca="false">IF(OR(OR($B53="",$E53="",$F53=""),$L53&lt;&gt;"لا"),0,MAX(0,MIN($F53,EOMONTH(DATE(cfg_FY,4,1),0))-$E53+1))</f>
        <v>0</v>
      </c>
      <c r="AL53" s="133" t="n">
        <f aca="false">IF(OR(OR($B53="",$E53="",$F53=""),$L53&lt;&gt;"لا"),0,MAX(0,MIN($F53,EOMONTH(DATE(cfg_FY,5,1),0))-$E53+1))</f>
        <v>0</v>
      </c>
      <c r="AM53" s="133" t="n">
        <f aca="false">IF(OR(OR($B53="",$E53="",$F53=""),$L53&lt;&gt;"لا"),0,MAX(0,MIN($F53,EOMONTH(DATE(cfg_FY,6,1),0))-$E53+1))</f>
        <v>0</v>
      </c>
      <c r="AN53" s="133" t="n">
        <f aca="false">IF(OR(OR($B53="",$E53="",$F53=""),$L53&lt;&gt;"لا"),0,MAX(0,MIN($F53,EOMONTH(DATE(cfg_FY,7,1),0))-$E53+1))</f>
        <v>0</v>
      </c>
      <c r="AO53" s="133" t="n">
        <f aca="false">IF(OR(OR($B53="",$E53="",$F53=""),$L53&lt;&gt;"لا"),0,MAX(0,MIN($F53,EOMONTH(DATE(cfg_FY,8,1),0))-$E53+1))</f>
        <v>0</v>
      </c>
      <c r="AP53" s="133" t="n">
        <f aca="false">IF(OR(OR($B53="",$E53="",$F53=""),$L53&lt;&gt;"لا"),0,MAX(0,MIN($F53,EOMONTH(DATE(cfg_FY,9,1),0))-$E53+1))</f>
        <v>0</v>
      </c>
      <c r="AQ53" s="133" t="n">
        <f aca="false">IF(OR(OR($B53="",$E53="",$F53=""),$L53&lt;&gt;"لا"),0,MAX(0,MIN($F53,EOMONTH(DATE(cfg_FY,10,1),0))-$E53+1))</f>
        <v>0</v>
      </c>
      <c r="AR53" s="133" t="n">
        <f aca="false">IF(OR(OR($B53="",$E53="",$F53=""),$L53&lt;&gt;"لا"),0,MAX(0,MIN($F53,EOMONTH(DATE(cfg_FY,11,1),0))-$E53+1))</f>
        <v>0</v>
      </c>
      <c r="AS53" s="133" t="n">
        <f aca="false">IF(OR(OR($B53="",$E53="",$F53=""),$L53&lt;&gt;"لا"),0,MAX(0,MIN($F53,EOMONTH(DATE(cfg_FY,12,1),0))-$E53+1))</f>
        <v>0</v>
      </c>
      <c r="AT53" s="133" t="n">
        <f aca="false">IF(OR(OR($B53="",$E53="",$F53=""),$K53&lt;&gt;"نعم",$M53="نعم"),0,MAX(0,MIN($F53,EOMONTH(DATE(cfg_FY,1,1),0))-MAX($E53,DATE(cfg_FY,1,1))+1))</f>
        <v>0</v>
      </c>
      <c r="AU53" s="133" t="n">
        <f aca="false">IF(OR(OR($B53="",$E53="",$F53=""),$K53&lt;&gt;"نعم",$M53="نعم"),0,MAX(0,MIN($F53,EOMONTH(DATE(cfg_FY,2,1),0))-MAX($E53,DATE(cfg_FY,2,1))+1))</f>
        <v>0</v>
      </c>
      <c r="AV53" s="133" t="n">
        <f aca="false">IF(OR(OR($B53="",$E53="",$F53=""),$K53&lt;&gt;"نعم",$M53="نعم"),0,MAX(0,MIN($F53,EOMONTH(DATE(cfg_FY,3,1),0))-MAX($E53,DATE(cfg_FY,3,1))+1))</f>
        <v>0</v>
      </c>
      <c r="AW53" s="133" t="n">
        <f aca="false">IF(OR(OR($B53="",$E53="",$F53=""),$K53&lt;&gt;"نعم",$M53="نعم"),0,MAX(0,MIN($F53,EOMONTH(DATE(cfg_FY,4,1),0))-MAX($E53,DATE(cfg_FY,4,1))+1))</f>
        <v>0</v>
      </c>
      <c r="AX53" s="133" t="n">
        <f aca="false">IF(OR(OR($B53="",$E53="",$F53=""),$K53&lt;&gt;"نعم",$M53="نعم"),0,MAX(0,MIN($F53,EOMONTH(DATE(cfg_FY,5,1),0))-MAX($E53,DATE(cfg_FY,5,1))+1))</f>
        <v>0</v>
      </c>
      <c r="AY53" s="133" t="n">
        <f aca="false">IF(OR(OR($B53="",$E53="",$F53=""),$K53&lt;&gt;"نعم",$M53="نعم"),0,MAX(0,MIN($F53,EOMONTH(DATE(cfg_FY,6,1),0))-MAX($E53,DATE(cfg_FY,6,1))+1))</f>
        <v>0</v>
      </c>
      <c r="AZ53" s="133" t="n">
        <f aca="false">IF(OR(OR($B53="",$E53="",$F53=""),$K53&lt;&gt;"نعم",$M53="نعم"),0,MAX(0,MIN($F53,EOMONTH(DATE(cfg_FY,7,1),0))-MAX($E53,DATE(cfg_FY,7,1))+1))</f>
        <v>0</v>
      </c>
      <c r="BA53" s="133" t="n">
        <f aca="false">IF(OR(OR($B53="",$E53="",$F53=""),$K53&lt;&gt;"نعم",$M53="نعم"),0,MAX(0,MIN($F53,EOMONTH(DATE(cfg_FY,8,1),0))-MAX($E53,DATE(cfg_FY,8,1))+1))</f>
        <v>0</v>
      </c>
      <c r="BB53" s="133" t="n">
        <f aca="false">IF(OR(OR($B53="",$E53="",$F53=""),$K53&lt;&gt;"نعم",$M53="نعم"),0,MAX(0,MIN($F53,EOMONTH(DATE(cfg_FY,9,1),0))-MAX($E53,DATE(cfg_FY,9,1))+1))</f>
        <v>0</v>
      </c>
      <c r="BC53" s="133" t="n">
        <f aca="false">IF(OR(OR($B53="",$E53="",$F53=""),$K53&lt;&gt;"نعم",$M53="نعم"),0,MAX(0,MIN($F53,EOMONTH(DATE(cfg_FY,10,1),0))-MAX($E53,DATE(cfg_FY,10,1))+1))</f>
        <v>0</v>
      </c>
      <c r="BD53" s="133" t="n">
        <f aca="false">IF(OR(OR($B53="",$E53="",$F53=""),$K53&lt;&gt;"نعم",$M53="نعم"),0,MAX(0,MIN($F53,EOMONTH(DATE(cfg_FY,11,1),0))-MAX($E53,DATE(cfg_FY,11,1))+1))</f>
        <v>0</v>
      </c>
      <c r="BE53" s="133" t="n">
        <f aca="false">IF(OR(OR($B53="",$E53="",$F53=""),$K53&lt;&gt;"نعم",$M53="نعم"),0,MAX(0,MIN($F53,EOMONTH(DATE(cfg_FY,12,1),0))-MAX($E53,DATE(cfg_FY,12,1))+1))</f>
        <v>0</v>
      </c>
    </row>
    <row r="54" customFormat="false" ht="15" hidden="false" customHeight="false" outlineLevel="0" collapsed="false">
      <c r="A54" s="106" t="str">
        <f aca="false">IF(B54="","",ROW()-5)</f>
        <v/>
      </c>
      <c r="B54" s="118"/>
      <c r="C54" s="114" t="str">
        <f aca="false">IF(B54="","",IFERROR(INDEX(الموظفون!$C$6:$C$105,MATCH(B54,الموظفون!$B$6:$B$105,0)),"✖ رقم غير موجود"))</f>
        <v/>
      </c>
      <c r="D54" s="118"/>
      <c r="E54" s="119"/>
      <c r="F54" s="119"/>
      <c r="G54" s="65" t="str">
        <f aca="false">IF(OR($B54="",$E54="",$F54=""),"",MAX(0,F54-E54+1))</f>
        <v/>
      </c>
      <c r="H54" s="66" t="str">
        <f aca="false">IF(D54="","",IFERROR(VLOOKUP(D54,cfg_LT,2,FALSE()),1))</f>
        <v/>
      </c>
      <c r="I54" s="135"/>
      <c r="J54" s="66" t="str">
        <f aca="false">IF(D54="","",IF(I54&lt;&gt;"",I54,H54))</f>
        <v/>
      </c>
      <c r="K54" s="114" t="str">
        <f aca="false">IF(D54="","",IFERROR(VLOOKUP($D54,cfg_LT,3,FALSE()),""))</f>
        <v/>
      </c>
      <c r="L54" s="114" t="str">
        <f aca="false">IF(D54="","",IFERROR(VLOOKUP($D54,cfg_LT,4,FALSE()),""))</f>
        <v/>
      </c>
      <c r="M54" s="114" t="str">
        <f aca="false">IF(D54="","",IFERROR(VLOOKUP($D54,cfg_LT,5,FALSE()),""))</f>
        <v/>
      </c>
      <c r="N54" s="111" t="n">
        <f aca="false">IF(OR(OR($B54="",$E54="",$F54=""),M54&lt;&gt;"نعم"),0,G54*J54*IFERROR(INDEX(الموظفون!$R$6:$R$105,MATCH(B54,الموظفون!$B$6:$B$105,0)),0)/cfg_DAYS_M)</f>
        <v>0</v>
      </c>
      <c r="O54" s="106" t="str">
        <f aca="false">IF(OR(OR($B54="",$E54="",$F54=""),M54&lt;&gt;"نعم"),"",IF(YEAR(E54)=cfg_FY,MONTH(E54),""))</f>
        <v/>
      </c>
      <c r="P54" s="114" t="str">
        <f aca="false">IF(B54="","",IF(OR(D54="",E54="",F54=""),"⚠ أكمل النوع والتواريخ",IF(F54&lt;E54,"✖ النهاية قبل البداية",IF(COUNTIFS($B$6:$B$505,B54,$E$6:$E$505,"&lt;="&amp;F54,$F$6:$F$505,"&gt;="&amp;E54)&gt;1,"⚠ تداخل مع سجل آخر",IF(E54&gt;cfg_VAL_DATE,"⏳ قادمة",IF(F54&lt;cfg_VAL_DATE,"✔ منتهية","✈ جارية في تاريخ التقرير"))))))</f>
        <v/>
      </c>
      <c r="Q54" s="118"/>
      <c r="R54" s="65" t="n">
        <f aca="false">IF(OR(OR($B54="",$E54="",$F54=""),L54&lt;&gt;"لا"),0,MAX(0,MIN(F54,cfg_Y_START-1)-E54+1))</f>
        <v>0</v>
      </c>
      <c r="S54" s="65" t="n">
        <f aca="false">IF(OR(OR($B54="",$E54="",$F54=""),L54&lt;&gt;"لا"),0,MAX(0,MIN(F54,cfg_VAL_DATE)-E54+1))</f>
        <v>0</v>
      </c>
      <c r="T54" s="65" t="n">
        <f aca="false">IF(OR(OR($B54="",$E54="",$F54=""),K54&lt;&gt;"نعم"),0,IF(M54="نعم",IF(AND(ISNUMBER(O54),N(O54)&lt;=cfg_VAL_M),G54,0),MAX(0,MIN(F54,cfg_VAL_DATE)-MAX(E54,cfg_Y_START)+1)))</f>
        <v>0</v>
      </c>
      <c r="V54" s="65" t="n">
        <f aca="false">IF(OR($B54="",$E54="",$F54=""),0,MAX(0,MIN($F54,EOMONTH(DATE(cfg_FY,1,1),0))-MAX($E54,DATE(cfg_FY,1,1))+1)*(1-IF($M54="نعم",0,N($J54))))</f>
        <v>0</v>
      </c>
      <c r="W54" s="65" t="n">
        <f aca="false">IF(OR($B54="",$E54="",$F54=""),0,MAX(0,MIN($F54,EOMONTH(DATE(cfg_FY,2,1),0))-MAX($E54,DATE(cfg_FY,2,1))+1)*(1-IF($M54="نعم",0,N($J54))))</f>
        <v>0</v>
      </c>
      <c r="X54" s="65" t="n">
        <f aca="false">IF(OR($B54="",$E54="",$F54=""),0,MAX(0,MIN($F54,EOMONTH(DATE(cfg_FY,3,1),0))-MAX($E54,DATE(cfg_FY,3,1))+1)*(1-IF($M54="نعم",0,N($J54))))</f>
        <v>0</v>
      </c>
      <c r="Y54" s="65" t="n">
        <f aca="false">IF(OR($B54="",$E54="",$F54=""),0,MAX(0,MIN($F54,EOMONTH(DATE(cfg_FY,4,1),0))-MAX($E54,DATE(cfg_FY,4,1))+1)*(1-IF($M54="نعم",0,N($J54))))</f>
        <v>0</v>
      </c>
      <c r="Z54" s="65" t="n">
        <f aca="false">IF(OR($B54="",$E54="",$F54=""),0,MAX(0,MIN($F54,EOMONTH(DATE(cfg_FY,5,1),0))-MAX($E54,DATE(cfg_FY,5,1))+1)*(1-IF($M54="نعم",0,N($J54))))</f>
        <v>0</v>
      </c>
      <c r="AA54" s="65" t="n">
        <f aca="false">IF(OR($B54="",$E54="",$F54=""),0,MAX(0,MIN($F54,EOMONTH(DATE(cfg_FY,6,1),0))-MAX($E54,DATE(cfg_FY,6,1))+1)*(1-IF($M54="نعم",0,N($J54))))</f>
        <v>0</v>
      </c>
      <c r="AB54" s="65" t="n">
        <f aca="false">IF(OR($B54="",$E54="",$F54=""),0,MAX(0,MIN($F54,EOMONTH(DATE(cfg_FY,7,1),0))-MAX($E54,DATE(cfg_FY,7,1))+1)*(1-IF($M54="نعم",0,N($J54))))</f>
        <v>0</v>
      </c>
      <c r="AC54" s="65" t="n">
        <f aca="false">IF(OR($B54="",$E54="",$F54=""),0,MAX(0,MIN($F54,EOMONTH(DATE(cfg_FY,8,1),0))-MAX($E54,DATE(cfg_FY,8,1))+1)*(1-IF($M54="نعم",0,N($J54))))</f>
        <v>0</v>
      </c>
      <c r="AD54" s="65" t="n">
        <f aca="false">IF(OR($B54="",$E54="",$F54=""),0,MAX(0,MIN($F54,EOMONTH(DATE(cfg_FY,9,1),0))-MAX($E54,DATE(cfg_FY,9,1))+1)*(1-IF($M54="نعم",0,N($J54))))</f>
        <v>0</v>
      </c>
      <c r="AE54" s="65" t="n">
        <f aca="false">IF(OR($B54="",$E54="",$F54=""),0,MAX(0,MIN($F54,EOMONTH(DATE(cfg_FY,10,1),0))-MAX($E54,DATE(cfg_FY,10,1))+1)*(1-IF($M54="نعم",0,N($J54))))</f>
        <v>0</v>
      </c>
      <c r="AF54" s="65" t="n">
        <f aca="false">IF(OR($B54="",$E54="",$F54=""),0,MAX(0,MIN($F54,EOMONTH(DATE(cfg_FY,11,1),0))-MAX($E54,DATE(cfg_FY,11,1))+1)*(1-IF($M54="نعم",0,N($J54))))</f>
        <v>0</v>
      </c>
      <c r="AG54" s="65" t="n">
        <f aca="false">IF(OR($B54="",$E54="",$F54=""),0,MAX(0,MIN($F54,EOMONTH(DATE(cfg_FY,12,1),0))-MAX($E54,DATE(cfg_FY,12,1))+1)*(1-IF($M54="نعم",0,N($J54))))</f>
        <v>0</v>
      </c>
      <c r="AH54" s="65" t="n">
        <f aca="false">IF(OR(OR($B54="",$E54="",$F54=""),$L54&lt;&gt;"لا"),0,MAX(0,MIN($F54,EOMONTH(DATE(cfg_FY,1,1),0))-$E54+1))</f>
        <v>0</v>
      </c>
      <c r="AI54" s="65" t="n">
        <f aca="false">IF(OR(OR($B54="",$E54="",$F54=""),$L54&lt;&gt;"لا"),0,MAX(0,MIN($F54,EOMONTH(DATE(cfg_FY,2,1),0))-$E54+1))</f>
        <v>0</v>
      </c>
      <c r="AJ54" s="65" t="n">
        <f aca="false">IF(OR(OR($B54="",$E54="",$F54=""),$L54&lt;&gt;"لا"),0,MAX(0,MIN($F54,EOMONTH(DATE(cfg_FY,3,1),0))-$E54+1))</f>
        <v>0</v>
      </c>
      <c r="AK54" s="65" t="n">
        <f aca="false">IF(OR(OR($B54="",$E54="",$F54=""),$L54&lt;&gt;"لا"),0,MAX(0,MIN($F54,EOMONTH(DATE(cfg_FY,4,1),0))-$E54+1))</f>
        <v>0</v>
      </c>
      <c r="AL54" s="65" t="n">
        <f aca="false">IF(OR(OR($B54="",$E54="",$F54=""),$L54&lt;&gt;"لا"),0,MAX(0,MIN($F54,EOMONTH(DATE(cfg_FY,5,1),0))-$E54+1))</f>
        <v>0</v>
      </c>
      <c r="AM54" s="65" t="n">
        <f aca="false">IF(OR(OR($B54="",$E54="",$F54=""),$L54&lt;&gt;"لا"),0,MAX(0,MIN($F54,EOMONTH(DATE(cfg_FY,6,1),0))-$E54+1))</f>
        <v>0</v>
      </c>
      <c r="AN54" s="65" t="n">
        <f aca="false">IF(OR(OR($B54="",$E54="",$F54=""),$L54&lt;&gt;"لا"),0,MAX(0,MIN($F54,EOMONTH(DATE(cfg_FY,7,1),0))-$E54+1))</f>
        <v>0</v>
      </c>
      <c r="AO54" s="65" t="n">
        <f aca="false">IF(OR(OR($B54="",$E54="",$F54=""),$L54&lt;&gt;"لا"),0,MAX(0,MIN($F54,EOMONTH(DATE(cfg_FY,8,1),0))-$E54+1))</f>
        <v>0</v>
      </c>
      <c r="AP54" s="65" t="n">
        <f aca="false">IF(OR(OR($B54="",$E54="",$F54=""),$L54&lt;&gt;"لا"),0,MAX(0,MIN($F54,EOMONTH(DATE(cfg_FY,9,1),0))-$E54+1))</f>
        <v>0</v>
      </c>
      <c r="AQ54" s="65" t="n">
        <f aca="false">IF(OR(OR($B54="",$E54="",$F54=""),$L54&lt;&gt;"لا"),0,MAX(0,MIN($F54,EOMONTH(DATE(cfg_FY,10,1),0))-$E54+1))</f>
        <v>0</v>
      </c>
      <c r="AR54" s="65" t="n">
        <f aca="false">IF(OR(OR($B54="",$E54="",$F54=""),$L54&lt;&gt;"لا"),0,MAX(0,MIN($F54,EOMONTH(DATE(cfg_FY,11,1),0))-$E54+1))</f>
        <v>0</v>
      </c>
      <c r="AS54" s="65" t="n">
        <f aca="false">IF(OR(OR($B54="",$E54="",$F54=""),$L54&lt;&gt;"لا"),0,MAX(0,MIN($F54,EOMONTH(DATE(cfg_FY,12,1),0))-$E54+1))</f>
        <v>0</v>
      </c>
      <c r="AT54" s="65" t="n">
        <f aca="false">IF(OR(OR($B54="",$E54="",$F54=""),$K54&lt;&gt;"نعم",$M54="نعم"),0,MAX(0,MIN($F54,EOMONTH(DATE(cfg_FY,1,1),0))-MAX($E54,DATE(cfg_FY,1,1))+1))</f>
        <v>0</v>
      </c>
      <c r="AU54" s="65" t="n">
        <f aca="false">IF(OR(OR($B54="",$E54="",$F54=""),$K54&lt;&gt;"نعم",$M54="نعم"),0,MAX(0,MIN($F54,EOMONTH(DATE(cfg_FY,2,1),0))-MAX($E54,DATE(cfg_FY,2,1))+1))</f>
        <v>0</v>
      </c>
      <c r="AV54" s="65" t="n">
        <f aca="false">IF(OR(OR($B54="",$E54="",$F54=""),$K54&lt;&gt;"نعم",$M54="نعم"),0,MAX(0,MIN($F54,EOMONTH(DATE(cfg_FY,3,1),0))-MAX($E54,DATE(cfg_FY,3,1))+1))</f>
        <v>0</v>
      </c>
      <c r="AW54" s="65" t="n">
        <f aca="false">IF(OR(OR($B54="",$E54="",$F54=""),$K54&lt;&gt;"نعم",$M54="نعم"),0,MAX(0,MIN($F54,EOMONTH(DATE(cfg_FY,4,1),0))-MAX($E54,DATE(cfg_FY,4,1))+1))</f>
        <v>0</v>
      </c>
      <c r="AX54" s="65" t="n">
        <f aca="false">IF(OR(OR($B54="",$E54="",$F54=""),$K54&lt;&gt;"نعم",$M54="نعم"),0,MAX(0,MIN($F54,EOMONTH(DATE(cfg_FY,5,1),0))-MAX($E54,DATE(cfg_FY,5,1))+1))</f>
        <v>0</v>
      </c>
      <c r="AY54" s="65" t="n">
        <f aca="false">IF(OR(OR($B54="",$E54="",$F54=""),$K54&lt;&gt;"نعم",$M54="نعم"),0,MAX(0,MIN($F54,EOMONTH(DATE(cfg_FY,6,1),0))-MAX($E54,DATE(cfg_FY,6,1))+1))</f>
        <v>0</v>
      </c>
      <c r="AZ54" s="65" t="n">
        <f aca="false">IF(OR(OR($B54="",$E54="",$F54=""),$K54&lt;&gt;"نعم",$M54="نعم"),0,MAX(0,MIN($F54,EOMONTH(DATE(cfg_FY,7,1),0))-MAX($E54,DATE(cfg_FY,7,1))+1))</f>
        <v>0</v>
      </c>
      <c r="BA54" s="65" t="n">
        <f aca="false">IF(OR(OR($B54="",$E54="",$F54=""),$K54&lt;&gt;"نعم",$M54="نعم"),0,MAX(0,MIN($F54,EOMONTH(DATE(cfg_FY,8,1),0))-MAX($E54,DATE(cfg_FY,8,1))+1))</f>
        <v>0</v>
      </c>
      <c r="BB54" s="65" t="n">
        <f aca="false">IF(OR(OR($B54="",$E54="",$F54=""),$K54&lt;&gt;"نعم",$M54="نعم"),0,MAX(0,MIN($F54,EOMONTH(DATE(cfg_FY,9,1),0))-MAX($E54,DATE(cfg_FY,9,1))+1))</f>
        <v>0</v>
      </c>
      <c r="BC54" s="65" t="n">
        <f aca="false">IF(OR(OR($B54="",$E54="",$F54=""),$K54&lt;&gt;"نعم",$M54="نعم"),0,MAX(0,MIN($F54,EOMONTH(DATE(cfg_FY,10,1),0))-MAX($E54,DATE(cfg_FY,10,1))+1))</f>
        <v>0</v>
      </c>
      <c r="BD54" s="65" t="n">
        <f aca="false">IF(OR(OR($B54="",$E54="",$F54=""),$K54&lt;&gt;"نعم",$M54="نعم"),0,MAX(0,MIN($F54,EOMONTH(DATE(cfg_FY,11,1),0))-MAX($E54,DATE(cfg_FY,11,1))+1))</f>
        <v>0</v>
      </c>
      <c r="BE54" s="65" t="n">
        <f aca="false">IF(OR(OR($B54="",$E54="",$F54=""),$K54&lt;&gt;"نعم",$M54="نعم"),0,MAX(0,MIN($F54,EOMONTH(DATE(cfg_FY,12,1),0))-MAX($E54,DATE(cfg_FY,12,1))+1))</f>
        <v>0</v>
      </c>
    </row>
    <row r="55" customFormat="false" ht="15" hidden="false" customHeight="false" outlineLevel="0" collapsed="false">
      <c r="A55" s="115" t="str">
        <f aca="false">IF(B55="","",ROW()-5)</f>
        <v/>
      </c>
      <c r="B55" s="118"/>
      <c r="C55" s="117" t="str">
        <f aca="false">IF(B55="","",IFERROR(INDEX(الموظفون!$C$6:$C$105,MATCH(B55,الموظفون!$B$6:$B$105,0)),"✖ رقم غير موجود"))</f>
        <v/>
      </c>
      <c r="D55" s="118"/>
      <c r="E55" s="119"/>
      <c r="F55" s="119"/>
      <c r="G55" s="133" t="str">
        <f aca="false">IF(OR($B55="",$E55="",$F55=""),"",MAX(0,F55-E55+1))</f>
        <v/>
      </c>
      <c r="H55" s="134" t="str">
        <f aca="false">IF(D55="","",IFERROR(VLOOKUP(D55,cfg_LT,2,FALSE()),1))</f>
        <v/>
      </c>
      <c r="I55" s="135"/>
      <c r="J55" s="134" t="str">
        <f aca="false">IF(D55="","",IF(I55&lt;&gt;"",I55,H55))</f>
        <v/>
      </c>
      <c r="K55" s="117" t="str">
        <f aca="false">IF(D55="","",IFERROR(VLOOKUP($D55,cfg_LT,3,FALSE()),""))</f>
        <v/>
      </c>
      <c r="L55" s="117" t="str">
        <f aca="false">IF(D55="","",IFERROR(VLOOKUP($D55,cfg_LT,4,FALSE()),""))</f>
        <v/>
      </c>
      <c r="M55" s="117" t="str">
        <f aca="false">IF(D55="","",IFERROR(VLOOKUP($D55,cfg_LT,5,FALSE()),""))</f>
        <v/>
      </c>
      <c r="N55" s="116" t="n">
        <f aca="false">IF(OR(OR($B55="",$E55="",$F55=""),M55&lt;&gt;"نعم"),0,G55*J55*IFERROR(INDEX(الموظفون!$R$6:$R$105,MATCH(B55,الموظفون!$B$6:$B$105,0)),0)/cfg_DAYS_M)</f>
        <v>0</v>
      </c>
      <c r="O55" s="115" t="str">
        <f aca="false">IF(OR(OR($B55="",$E55="",$F55=""),M55&lt;&gt;"نعم"),"",IF(YEAR(E55)=cfg_FY,MONTH(E55),""))</f>
        <v/>
      </c>
      <c r="P55" s="117" t="str">
        <f aca="false">IF(B55="","",IF(OR(D55="",E55="",F55=""),"⚠ أكمل النوع والتواريخ",IF(F55&lt;E55,"✖ النهاية قبل البداية",IF(COUNTIFS($B$6:$B$505,B55,$E$6:$E$505,"&lt;="&amp;F55,$F$6:$F$505,"&gt;="&amp;E55)&gt;1,"⚠ تداخل مع سجل آخر",IF(E55&gt;cfg_VAL_DATE,"⏳ قادمة",IF(F55&lt;cfg_VAL_DATE,"✔ منتهية","✈ جارية في تاريخ التقرير"))))))</f>
        <v/>
      </c>
      <c r="Q55" s="118"/>
      <c r="R55" s="133" t="n">
        <f aca="false">IF(OR(OR($B55="",$E55="",$F55=""),L55&lt;&gt;"لا"),0,MAX(0,MIN(F55,cfg_Y_START-1)-E55+1))</f>
        <v>0</v>
      </c>
      <c r="S55" s="133" t="n">
        <f aca="false">IF(OR(OR($B55="",$E55="",$F55=""),L55&lt;&gt;"لا"),0,MAX(0,MIN(F55,cfg_VAL_DATE)-E55+1))</f>
        <v>0</v>
      </c>
      <c r="T55" s="133" t="n">
        <f aca="false">IF(OR(OR($B55="",$E55="",$F55=""),K55&lt;&gt;"نعم"),0,IF(M55="نعم",IF(AND(ISNUMBER(O55),N(O55)&lt;=cfg_VAL_M),G55,0),MAX(0,MIN(F55,cfg_VAL_DATE)-MAX(E55,cfg_Y_START)+1)))</f>
        <v>0</v>
      </c>
      <c r="V55" s="133" t="n">
        <f aca="false">IF(OR($B55="",$E55="",$F55=""),0,MAX(0,MIN($F55,EOMONTH(DATE(cfg_FY,1,1),0))-MAX($E55,DATE(cfg_FY,1,1))+1)*(1-IF($M55="نعم",0,N($J55))))</f>
        <v>0</v>
      </c>
      <c r="W55" s="133" t="n">
        <f aca="false">IF(OR($B55="",$E55="",$F55=""),0,MAX(0,MIN($F55,EOMONTH(DATE(cfg_FY,2,1),0))-MAX($E55,DATE(cfg_FY,2,1))+1)*(1-IF($M55="نعم",0,N($J55))))</f>
        <v>0</v>
      </c>
      <c r="X55" s="133" t="n">
        <f aca="false">IF(OR($B55="",$E55="",$F55=""),0,MAX(0,MIN($F55,EOMONTH(DATE(cfg_FY,3,1),0))-MAX($E55,DATE(cfg_FY,3,1))+1)*(1-IF($M55="نعم",0,N($J55))))</f>
        <v>0</v>
      </c>
      <c r="Y55" s="133" t="n">
        <f aca="false">IF(OR($B55="",$E55="",$F55=""),0,MAX(0,MIN($F55,EOMONTH(DATE(cfg_FY,4,1),0))-MAX($E55,DATE(cfg_FY,4,1))+1)*(1-IF($M55="نعم",0,N($J55))))</f>
        <v>0</v>
      </c>
      <c r="Z55" s="133" t="n">
        <f aca="false">IF(OR($B55="",$E55="",$F55=""),0,MAX(0,MIN($F55,EOMONTH(DATE(cfg_FY,5,1),0))-MAX($E55,DATE(cfg_FY,5,1))+1)*(1-IF($M55="نعم",0,N($J55))))</f>
        <v>0</v>
      </c>
      <c r="AA55" s="133" t="n">
        <f aca="false">IF(OR($B55="",$E55="",$F55=""),0,MAX(0,MIN($F55,EOMONTH(DATE(cfg_FY,6,1),0))-MAX($E55,DATE(cfg_FY,6,1))+1)*(1-IF($M55="نعم",0,N($J55))))</f>
        <v>0</v>
      </c>
      <c r="AB55" s="133" t="n">
        <f aca="false">IF(OR($B55="",$E55="",$F55=""),0,MAX(0,MIN($F55,EOMONTH(DATE(cfg_FY,7,1),0))-MAX($E55,DATE(cfg_FY,7,1))+1)*(1-IF($M55="نعم",0,N($J55))))</f>
        <v>0</v>
      </c>
      <c r="AC55" s="133" t="n">
        <f aca="false">IF(OR($B55="",$E55="",$F55=""),0,MAX(0,MIN($F55,EOMONTH(DATE(cfg_FY,8,1),0))-MAX($E55,DATE(cfg_FY,8,1))+1)*(1-IF($M55="نعم",0,N($J55))))</f>
        <v>0</v>
      </c>
      <c r="AD55" s="133" t="n">
        <f aca="false">IF(OR($B55="",$E55="",$F55=""),0,MAX(0,MIN($F55,EOMONTH(DATE(cfg_FY,9,1),0))-MAX($E55,DATE(cfg_FY,9,1))+1)*(1-IF($M55="نعم",0,N($J55))))</f>
        <v>0</v>
      </c>
      <c r="AE55" s="133" t="n">
        <f aca="false">IF(OR($B55="",$E55="",$F55=""),0,MAX(0,MIN($F55,EOMONTH(DATE(cfg_FY,10,1),0))-MAX($E55,DATE(cfg_FY,10,1))+1)*(1-IF($M55="نعم",0,N($J55))))</f>
        <v>0</v>
      </c>
      <c r="AF55" s="133" t="n">
        <f aca="false">IF(OR($B55="",$E55="",$F55=""),0,MAX(0,MIN($F55,EOMONTH(DATE(cfg_FY,11,1),0))-MAX($E55,DATE(cfg_FY,11,1))+1)*(1-IF($M55="نعم",0,N($J55))))</f>
        <v>0</v>
      </c>
      <c r="AG55" s="133" t="n">
        <f aca="false">IF(OR($B55="",$E55="",$F55=""),0,MAX(0,MIN($F55,EOMONTH(DATE(cfg_FY,12,1),0))-MAX($E55,DATE(cfg_FY,12,1))+1)*(1-IF($M55="نعم",0,N($J55))))</f>
        <v>0</v>
      </c>
      <c r="AH55" s="133" t="n">
        <f aca="false">IF(OR(OR($B55="",$E55="",$F55=""),$L55&lt;&gt;"لا"),0,MAX(0,MIN($F55,EOMONTH(DATE(cfg_FY,1,1),0))-$E55+1))</f>
        <v>0</v>
      </c>
      <c r="AI55" s="133" t="n">
        <f aca="false">IF(OR(OR($B55="",$E55="",$F55=""),$L55&lt;&gt;"لا"),0,MAX(0,MIN($F55,EOMONTH(DATE(cfg_FY,2,1),0))-$E55+1))</f>
        <v>0</v>
      </c>
      <c r="AJ55" s="133" t="n">
        <f aca="false">IF(OR(OR($B55="",$E55="",$F55=""),$L55&lt;&gt;"لا"),0,MAX(0,MIN($F55,EOMONTH(DATE(cfg_FY,3,1),0))-$E55+1))</f>
        <v>0</v>
      </c>
      <c r="AK55" s="133" t="n">
        <f aca="false">IF(OR(OR($B55="",$E55="",$F55=""),$L55&lt;&gt;"لا"),0,MAX(0,MIN($F55,EOMONTH(DATE(cfg_FY,4,1),0))-$E55+1))</f>
        <v>0</v>
      </c>
      <c r="AL55" s="133" t="n">
        <f aca="false">IF(OR(OR($B55="",$E55="",$F55=""),$L55&lt;&gt;"لا"),0,MAX(0,MIN($F55,EOMONTH(DATE(cfg_FY,5,1),0))-$E55+1))</f>
        <v>0</v>
      </c>
      <c r="AM55" s="133" t="n">
        <f aca="false">IF(OR(OR($B55="",$E55="",$F55=""),$L55&lt;&gt;"لا"),0,MAX(0,MIN($F55,EOMONTH(DATE(cfg_FY,6,1),0))-$E55+1))</f>
        <v>0</v>
      </c>
      <c r="AN55" s="133" t="n">
        <f aca="false">IF(OR(OR($B55="",$E55="",$F55=""),$L55&lt;&gt;"لا"),0,MAX(0,MIN($F55,EOMONTH(DATE(cfg_FY,7,1),0))-$E55+1))</f>
        <v>0</v>
      </c>
      <c r="AO55" s="133" t="n">
        <f aca="false">IF(OR(OR($B55="",$E55="",$F55=""),$L55&lt;&gt;"لا"),0,MAX(0,MIN($F55,EOMONTH(DATE(cfg_FY,8,1),0))-$E55+1))</f>
        <v>0</v>
      </c>
      <c r="AP55" s="133" t="n">
        <f aca="false">IF(OR(OR($B55="",$E55="",$F55=""),$L55&lt;&gt;"لا"),0,MAX(0,MIN($F55,EOMONTH(DATE(cfg_FY,9,1),0))-$E55+1))</f>
        <v>0</v>
      </c>
      <c r="AQ55" s="133" t="n">
        <f aca="false">IF(OR(OR($B55="",$E55="",$F55=""),$L55&lt;&gt;"لا"),0,MAX(0,MIN($F55,EOMONTH(DATE(cfg_FY,10,1),0))-$E55+1))</f>
        <v>0</v>
      </c>
      <c r="AR55" s="133" t="n">
        <f aca="false">IF(OR(OR($B55="",$E55="",$F55=""),$L55&lt;&gt;"لا"),0,MAX(0,MIN($F55,EOMONTH(DATE(cfg_FY,11,1),0))-$E55+1))</f>
        <v>0</v>
      </c>
      <c r="AS55" s="133" t="n">
        <f aca="false">IF(OR(OR($B55="",$E55="",$F55=""),$L55&lt;&gt;"لا"),0,MAX(0,MIN($F55,EOMONTH(DATE(cfg_FY,12,1),0))-$E55+1))</f>
        <v>0</v>
      </c>
      <c r="AT55" s="133" t="n">
        <f aca="false">IF(OR(OR($B55="",$E55="",$F55=""),$K55&lt;&gt;"نعم",$M55="نعم"),0,MAX(0,MIN($F55,EOMONTH(DATE(cfg_FY,1,1),0))-MAX($E55,DATE(cfg_FY,1,1))+1))</f>
        <v>0</v>
      </c>
      <c r="AU55" s="133" t="n">
        <f aca="false">IF(OR(OR($B55="",$E55="",$F55=""),$K55&lt;&gt;"نعم",$M55="نعم"),0,MAX(0,MIN($F55,EOMONTH(DATE(cfg_FY,2,1),0))-MAX($E55,DATE(cfg_FY,2,1))+1))</f>
        <v>0</v>
      </c>
      <c r="AV55" s="133" t="n">
        <f aca="false">IF(OR(OR($B55="",$E55="",$F55=""),$K55&lt;&gt;"نعم",$M55="نعم"),0,MAX(0,MIN($F55,EOMONTH(DATE(cfg_FY,3,1),0))-MAX($E55,DATE(cfg_FY,3,1))+1))</f>
        <v>0</v>
      </c>
      <c r="AW55" s="133" t="n">
        <f aca="false">IF(OR(OR($B55="",$E55="",$F55=""),$K55&lt;&gt;"نعم",$M55="نعم"),0,MAX(0,MIN($F55,EOMONTH(DATE(cfg_FY,4,1),0))-MAX($E55,DATE(cfg_FY,4,1))+1))</f>
        <v>0</v>
      </c>
      <c r="AX55" s="133" t="n">
        <f aca="false">IF(OR(OR($B55="",$E55="",$F55=""),$K55&lt;&gt;"نعم",$M55="نعم"),0,MAX(0,MIN($F55,EOMONTH(DATE(cfg_FY,5,1),0))-MAX($E55,DATE(cfg_FY,5,1))+1))</f>
        <v>0</v>
      </c>
      <c r="AY55" s="133" t="n">
        <f aca="false">IF(OR(OR($B55="",$E55="",$F55=""),$K55&lt;&gt;"نعم",$M55="نعم"),0,MAX(0,MIN($F55,EOMONTH(DATE(cfg_FY,6,1),0))-MAX($E55,DATE(cfg_FY,6,1))+1))</f>
        <v>0</v>
      </c>
      <c r="AZ55" s="133" t="n">
        <f aca="false">IF(OR(OR($B55="",$E55="",$F55=""),$K55&lt;&gt;"نعم",$M55="نعم"),0,MAX(0,MIN($F55,EOMONTH(DATE(cfg_FY,7,1),0))-MAX($E55,DATE(cfg_FY,7,1))+1))</f>
        <v>0</v>
      </c>
      <c r="BA55" s="133" t="n">
        <f aca="false">IF(OR(OR($B55="",$E55="",$F55=""),$K55&lt;&gt;"نعم",$M55="نعم"),0,MAX(0,MIN($F55,EOMONTH(DATE(cfg_FY,8,1),0))-MAX($E55,DATE(cfg_FY,8,1))+1))</f>
        <v>0</v>
      </c>
      <c r="BB55" s="133" t="n">
        <f aca="false">IF(OR(OR($B55="",$E55="",$F55=""),$K55&lt;&gt;"نعم",$M55="نعم"),0,MAX(0,MIN($F55,EOMONTH(DATE(cfg_FY,9,1),0))-MAX($E55,DATE(cfg_FY,9,1))+1))</f>
        <v>0</v>
      </c>
      <c r="BC55" s="133" t="n">
        <f aca="false">IF(OR(OR($B55="",$E55="",$F55=""),$K55&lt;&gt;"نعم",$M55="نعم"),0,MAX(0,MIN($F55,EOMONTH(DATE(cfg_FY,10,1),0))-MAX($E55,DATE(cfg_FY,10,1))+1))</f>
        <v>0</v>
      </c>
      <c r="BD55" s="133" t="n">
        <f aca="false">IF(OR(OR($B55="",$E55="",$F55=""),$K55&lt;&gt;"نعم",$M55="نعم"),0,MAX(0,MIN($F55,EOMONTH(DATE(cfg_FY,11,1),0))-MAX($E55,DATE(cfg_FY,11,1))+1))</f>
        <v>0</v>
      </c>
      <c r="BE55" s="133" t="n">
        <f aca="false">IF(OR(OR($B55="",$E55="",$F55=""),$K55&lt;&gt;"نعم",$M55="نعم"),0,MAX(0,MIN($F55,EOMONTH(DATE(cfg_FY,12,1),0))-MAX($E55,DATE(cfg_FY,12,1))+1))</f>
        <v>0</v>
      </c>
    </row>
    <row r="56" customFormat="false" ht="15" hidden="false" customHeight="false" outlineLevel="0" collapsed="false">
      <c r="A56" s="106" t="str">
        <f aca="false">IF(B56="","",ROW()-5)</f>
        <v/>
      </c>
      <c r="B56" s="118"/>
      <c r="C56" s="114" t="str">
        <f aca="false">IF(B56="","",IFERROR(INDEX(الموظفون!$C$6:$C$105,MATCH(B56,الموظفون!$B$6:$B$105,0)),"✖ رقم غير موجود"))</f>
        <v/>
      </c>
      <c r="D56" s="118"/>
      <c r="E56" s="119"/>
      <c r="F56" s="119"/>
      <c r="G56" s="65" t="str">
        <f aca="false">IF(OR($B56="",$E56="",$F56=""),"",MAX(0,F56-E56+1))</f>
        <v/>
      </c>
      <c r="H56" s="66" t="str">
        <f aca="false">IF(D56="","",IFERROR(VLOOKUP(D56,cfg_LT,2,FALSE()),1))</f>
        <v/>
      </c>
      <c r="I56" s="135"/>
      <c r="J56" s="66" t="str">
        <f aca="false">IF(D56="","",IF(I56&lt;&gt;"",I56,H56))</f>
        <v/>
      </c>
      <c r="K56" s="114" t="str">
        <f aca="false">IF(D56="","",IFERROR(VLOOKUP($D56,cfg_LT,3,FALSE()),""))</f>
        <v/>
      </c>
      <c r="L56" s="114" t="str">
        <f aca="false">IF(D56="","",IFERROR(VLOOKUP($D56,cfg_LT,4,FALSE()),""))</f>
        <v/>
      </c>
      <c r="M56" s="114" t="str">
        <f aca="false">IF(D56="","",IFERROR(VLOOKUP($D56,cfg_LT,5,FALSE()),""))</f>
        <v/>
      </c>
      <c r="N56" s="111" t="n">
        <f aca="false">IF(OR(OR($B56="",$E56="",$F56=""),M56&lt;&gt;"نعم"),0,G56*J56*IFERROR(INDEX(الموظفون!$R$6:$R$105,MATCH(B56,الموظفون!$B$6:$B$105,0)),0)/cfg_DAYS_M)</f>
        <v>0</v>
      </c>
      <c r="O56" s="106" t="str">
        <f aca="false">IF(OR(OR($B56="",$E56="",$F56=""),M56&lt;&gt;"نعم"),"",IF(YEAR(E56)=cfg_FY,MONTH(E56),""))</f>
        <v/>
      </c>
      <c r="P56" s="114" t="str">
        <f aca="false">IF(B56="","",IF(OR(D56="",E56="",F56=""),"⚠ أكمل النوع والتواريخ",IF(F56&lt;E56,"✖ النهاية قبل البداية",IF(COUNTIFS($B$6:$B$505,B56,$E$6:$E$505,"&lt;="&amp;F56,$F$6:$F$505,"&gt;="&amp;E56)&gt;1,"⚠ تداخل مع سجل آخر",IF(E56&gt;cfg_VAL_DATE,"⏳ قادمة",IF(F56&lt;cfg_VAL_DATE,"✔ منتهية","✈ جارية في تاريخ التقرير"))))))</f>
        <v/>
      </c>
      <c r="Q56" s="118"/>
      <c r="R56" s="65" t="n">
        <f aca="false">IF(OR(OR($B56="",$E56="",$F56=""),L56&lt;&gt;"لا"),0,MAX(0,MIN(F56,cfg_Y_START-1)-E56+1))</f>
        <v>0</v>
      </c>
      <c r="S56" s="65" t="n">
        <f aca="false">IF(OR(OR($B56="",$E56="",$F56=""),L56&lt;&gt;"لا"),0,MAX(0,MIN(F56,cfg_VAL_DATE)-E56+1))</f>
        <v>0</v>
      </c>
      <c r="T56" s="65" t="n">
        <f aca="false">IF(OR(OR($B56="",$E56="",$F56=""),K56&lt;&gt;"نعم"),0,IF(M56="نعم",IF(AND(ISNUMBER(O56),N(O56)&lt;=cfg_VAL_M),G56,0),MAX(0,MIN(F56,cfg_VAL_DATE)-MAX(E56,cfg_Y_START)+1)))</f>
        <v>0</v>
      </c>
      <c r="V56" s="65" t="n">
        <f aca="false">IF(OR($B56="",$E56="",$F56=""),0,MAX(0,MIN($F56,EOMONTH(DATE(cfg_FY,1,1),0))-MAX($E56,DATE(cfg_FY,1,1))+1)*(1-IF($M56="نعم",0,N($J56))))</f>
        <v>0</v>
      </c>
      <c r="W56" s="65" t="n">
        <f aca="false">IF(OR($B56="",$E56="",$F56=""),0,MAX(0,MIN($F56,EOMONTH(DATE(cfg_FY,2,1),0))-MAX($E56,DATE(cfg_FY,2,1))+1)*(1-IF($M56="نعم",0,N($J56))))</f>
        <v>0</v>
      </c>
      <c r="X56" s="65" t="n">
        <f aca="false">IF(OR($B56="",$E56="",$F56=""),0,MAX(0,MIN($F56,EOMONTH(DATE(cfg_FY,3,1),0))-MAX($E56,DATE(cfg_FY,3,1))+1)*(1-IF($M56="نعم",0,N($J56))))</f>
        <v>0</v>
      </c>
      <c r="Y56" s="65" t="n">
        <f aca="false">IF(OR($B56="",$E56="",$F56=""),0,MAX(0,MIN($F56,EOMONTH(DATE(cfg_FY,4,1),0))-MAX($E56,DATE(cfg_FY,4,1))+1)*(1-IF($M56="نعم",0,N($J56))))</f>
        <v>0</v>
      </c>
      <c r="Z56" s="65" t="n">
        <f aca="false">IF(OR($B56="",$E56="",$F56=""),0,MAX(0,MIN($F56,EOMONTH(DATE(cfg_FY,5,1),0))-MAX($E56,DATE(cfg_FY,5,1))+1)*(1-IF($M56="نعم",0,N($J56))))</f>
        <v>0</v>
      </c>
      <c r="AA56" s="65" t="n">
        <f aca="false">IF(OR($B56="",$E56="",$F56=""),0,MAX(0,MIN($F56,EOMONTH(DATE(cfg_FY,6,1),0))-MAX($E56,DATE(cfg_FY,6,1))+1)*(1-IF($M56="نعم",0,N($J56))))</f>
        <v>0</v>
      </c>
      <c r="AB56" s="65" t="n">
        <f aca="false">IF(OR($B56="",$E56="",$F56=""),0,MAX(0,MIN($F56,EOMONTH(DATE(cfg_FY,7,1),0))-MAX($E56,DATE(cfg_FY,7,1))+1)*(1-IF($M56="نعم",0,N($J56))))</f>
        <v>0</v>
      </c>
      <c r="AC56" s="65" t="n">
        <f aca="false">IF(OR($B56="",$E56="",$F56=""),0,MAX(0,MIN($F56,EOMONTH(DATE(cfg_FY,8,1),0))-MAX($E56,DATE(cfg_FY,8,1))+1)*(1-IF($M56="نعم",0,N($J56))))</f>
        <v>0</v>
      </c>
      <c r="AD56" s="65" t="n">
        <f aca="false">IF(OR($B56="",$E56="",$F56=""),0,MAX(0,MIN($F56,EOMONTH(DATE(cfg_FY,9,1),0))-MAX($E56,DATE(cfg_FY,9,1))+1)*(1-IF($M56="نعم",0,N($J56))))</f>
        <v>0</v>
      </c>
      <c r="AE56" s="65" t="n">
        <f aca="false">IF(OR($B56="",$E56="",$F56=""),0,MAX(0,MIN($F56,EOMONTH(DATE(cfg_FY,10,1),0))-MAX($E56,DATE(cfg_FY,10,1))+1)*(1-IF($M56="نعم",0,N($J56))))</f>
        <v>0</v>
      </c>
      <c r="AF56" s="65" t="n">
        <f aca="false">IF(OR($B56="",$E56="",$F56=""),0,MAX(0,MIN($F56,EOMONTH(DATE(cfg_FY,11,1),0))-MAX($E56,DATE(cfg_FY,11,1))+1)*(1-IF($M56="نعم",0,N($J56))))</f>
        <v>0</v>
      </c>
      <c r="AG56" s="65" t="n">
        <f aca="false">IF(OR($B56="",$E56="",$F56=""),0,MAX(0,MIN($F56,EOMONTH(DATE(cfg_FY,12,1),0))-MAX($E56,DATE(cfg_FY,12,1))+1)*(1-IF($M56="نعم",0,N($J56))))</f>
        <v>0</v>
      </c>
      <c r="AH56" s="65" t="n">
        <f aca="false">IF(OR(OR($B56="",$E56="",$F56=""),$L56&lt;&gt;"لا"),0,MAX(0,MIN($F56,EOMONTH(DATE(cfg_FY,1,1),0))-$E56+1))</f>
        <v>0</v>
      </c>
      <c r="AI56" s="65" t="n">
        <f aca="false">IF(OR(OR($B56="",$E56="",$F56=""),$L56&lt;&gt;"لا"),0,MAX(0,MIN($F56,EOMONTH(DATE(cfg_FY,2,1),0))-$E56+1))</f>
        <v>0</v>
      </c>
      <c r="AJ56" s="65" t="n">
        <f aca="false">IF(OR(OR($B56="",$E56="",$F56=""),$L56&lt;&gt;"لا"),0,MAX(0,MIN($F56,EOMONTH(DATE(cfg_FY,3,1),0))-$E56+1))</f>
        <v>0</v>
      </c>
      <c r="AK56" s="65" t="n">
        <f aca="false">IF(OR(OR($B56="",$E56="",$F56=""),$L56&lt;&gt;"لا"),0,MAX(0,MIN($F56,EOMONTH(DATE(cfg_FY,4,1),0))-$E56+1))</f>
        <v>0</v>
      </c>
      <c r="AL56" s="65" t="n">
        <f aca="false">IF(OR(OR($B56="",$E56="",$F56=""),$L56&lt;&gt;"لا"),0,MAX(0,MIN($F56,EOMONTH(DATE(cfg_FY,5,1),0))-$E56+1))</f>
        <v>0</v>
      </c>
      <c r="AM56" s="65" t="n">
        <f aca="false">IF(OR(OR($B56="",$E56="",$F56=""),$L56&lt;&gt;"لا"),0,MAX(0,MIN($F56,EOMONTH(DATE(cfg_FY,6,1),0))-$E56+1))</f>
        <v>0</v>
      </c>
      <c r="AN56" s="65" t="n">
        <f aca="false">IF(OR(OR($B56="",$E56="",$F56=""),$L56&lt;&gt;"لا"),0,MAX(0,MIN($F56,EOMONTH(DATE(cfg_FY,7,1),0))-$E56+1))</f>
        <v>0</v>
      </c>
      <c r="AO56" s="65" t="n">
        <f aca="false">IF(OR(OR($B56="",$E56="",$F56=""),$L56&lt;&gt;"لا"),0,MAX(0,MIN($F56,EOMONTH(DATE(cfg_FY,8,1),0))-$E56+1))</f>
        <v>0</v>
      </c>
      <c r="AP56" s="65" t="n">
        <f aca="false">IF(OR(OR($B56="",$E56="",$F56=""),$L56&lt;&gt;"لا"),0,MAX(0,MIN($F56,EOMONTH(DATE(cfg_FY,9,1),0))-$E56+1))</f>
        <v>0</v>
      </c>
      <c r="AQ56" s="65" t="n">
        <f aca="false">IF(OR(OR($B56="",$E56="",$F56=""),$L56&lt;&gt;"لا"),0,MAX(0,MIN($F56,EOMONTH(DATE(cfg_FY,10,1),0))-$E56+1))</f>
        <v>0</v>
      </c>
      <c r="AR56" s="65" t="n">
        <f aca="false">IF(OR(OR($B56="",$E56="",$F56=""),$L56&lt;&gt;"لا"),0,MAX(0,MIN($F56,EOMONTH(DATE(cfg_FY,11,1),0))-$E56+1))</f>
        <v>0</v>
      </c>
      <c r="AS56" s="65" t="n">
        <f aca="false">IF(OR(OR($B56="",$E56="",$F56=""),$L56&lt;&gt;"لا"),0,MAX(0,MIN($F56,EOMONTH(DATE(cfg_FY,12,1),0))-$E56+1))</f>
        <v>0</v>
      </c>
      <c r="AT56" s="65" t="n">
        <f aca="false">IF(OR(OR($B56="",$E56="",$F56=""),$K56&lt;&gt;"نعم",$M56="نعم"),0,MAX(0,MIN($F56,EOMONTH(DATE(cfg_FY,1,1),0))-MAX($E56,DATE(cfg_FY,1,1))+1))</f>
        <v>0</v>
      </c>
      <c r="AU56" s="65" t="n">
        <f aca="false">IF(OR(OR($B56="",$E56="",$F56=""),$K56&lt;&gt;"نعم",$M56="نعم"),0,MAX(0,MIN($F56,EOMONTH(DATE(cfg_FY,2,1),0))-MAX($E56,DATE(cfg_FY,2,1))+1))</f>
        <v>0</v>
      </c>
      <c r="AV56" s="65" t="n">
        <f aca="false">IF(OR(OR($B56="",$E56="",$F56=""),$K56&lt;&gt;"نعم",$M56="نعم"),0,MAX(0,MIN($F56,EOMONTH(DATE(cfg_FY,3,1),0))-MAX($E56,DATE(cfg_FY,3,1))+1))</f>
        <v>0</v>
      </c>
      <c r="AW56" s="65" t="n">
        <f aca="false">IF(OR(OR($B56="",$E56="",$F56=""),$K56&lt;&gt;"نعم",$M56="نعم"),0,MAX(0,MIN($F56,EOMONTH(DATE(cfg_FY,4,1),0))-MAX($E56,DATE(cfg_FY,4,1))+1))</f>
        <v>0</v>
      </c>
      <c r="AX56" s="65" t="n">
        <f aca="false">IF(OR(OR($B56="",$E56="",$F56=""),$K56&lt;&gt;"نعم",$M56="نعم"),0,MAX(0,MIN($F56,EOMONTH(DATE(cfg_FY,5,1),0))-MAX($E56,DATE(cfg_FY,5,1))+1))</f>
        <v>0</v>
      </c>
      <c r="AY56" s="65" t="n">
        <f aca="false">IF(OR(OR($B56="",$E56="",$F56=""),$K56&lt;&gt;"نعم",$M56="نعم"),0,MAX(0,MIN($F56,EOMONTH(DATE(cfg_FY,6,1),0))-MAX($E56,DATE(cfg_FY,6,1))+1))</f>
        <v>0</v>
      </c>
      <c r="AZ56" s="65" t="n">
        <f aca="false">IF(OR(OR($B56="",$E56="",$F56=""),$K56&lt;&gt;"نعم",$M56="نعم"),0,MAX(0,MIN($F56,EOMONTH(DATE(cfg_FY,7,1),0))-MAX($E56,DATE(cfg_FY,7,1))+1))</f>
        <v>0</v>
      </c>
      <c r="BA56" s="65" t="n">
        <f aca="false">IF(OR(OR($B56="",$E56="",$F56=""),$K56&lt;&gt;"نعم",$M56="نعم"),0,MAX(0,MIN($F56,EOMONTH(DATE(cfg_FY,8,1),0))-MAX($E56,DATE(cfg_FY,8,1))+1))</f>
        <v>0</v>
      </c>
      <c r="BB56" s="65" t="n">
        <f aca="false">IF(OR(OR($B56="",$E56="",$F56=""),$K56&lt;&gt;"نعم",$M56="نعم"),0,MAX(0,MIN($F56,EOMONTH(DATE(cfg_FY,9,1),0))-MAX($E56,DATE(cfg_FY,9,1))+1))</f>
        <v>0</v>
      </c>
      <c r="BC56" s="65" t="n">
        <f aca="false">IF(OR(OR($B56="",$E56="",$F56=""),$K56&lt;&gt;"نعم",$M56="نعم"),0,MAX(0,MIN($F56,EOMONTH(DATE(cfg_FY,10,1),0))-MAX($E56,DATE(cfg_FY,10,1))+1))</f>
        <v>0</v>
      </c>
      <c r="BD56" s="65" t="n">
        <f aca="false">IF(OR(OR($B56="",$E56="",$F56=""),$K56&lt;&gt;"نعم",$M56="نعم"),0,MAX(0,MIN($F56,EOMONTH(DATE(cfg_FY,11,1),0))-MAX($E56,DATE(cfg_FY,11,1))+1))</f>
        <v>0</v>
      </c>
      <c r="BE56" s="65" t="n">
        <f aca="false">IF(OR(OR($B56="",$E56="",$F56=""),$K56&lt;&gt;"نعم",$M56="نعم"),0,MAX(0,MIN($F56,EOMONTH(DATE(cfg_FY,12,1),0))-MAX($E56,DATE(cfg_FY,12,1))+1))</f>
        <v>0</v>
      </c>
    </row>
    <row r="57" customFormat="false" ht="15" hidden="false" customHeight="false" outlineLevel="0" collapsed="false">
      <c r="A57" s="115" t="str">
        <f aca="false">IF(B57="","",ROW()-5)</f>
        <v/>
      </c>
      <c r="B57" s="118"/>
      <c r="C57" s="117" t="str">
        <f aca="false">IF(B57="","",IFERROR(INDEX(الموظفون!$C$6:$C$105,MATCH(B57,الموظفون!$B$6:$B$105,0)),"✖ رقم غير موجود"))</f>
        <v/>
      </c>
      <c r="D57" s="118"/>
      <c r="E57" s="119"/>
      <c r="F57" s="119"/>
      <c r="G57" s="133" t="str">
        <f aca="false">IF(OR($B57="",$E57="",$F57=""),"",MAX(0,F57-E57+1))</f>
        <v/>
      </c>
      <c r="H57" s="134" t="str">
        <f aca="false">IF(D57="","",IFERROR(VLOOKUP(D57,cfg_LT,2,FALSE()),1))</f>
        <v/>
      </c>
      <c r="I57" s="135"/>
      <c r="J57" s="134" t="str">
        <f aca="false">IF(D57="","",IF(I57&lt;&gt;"",I57,H57))</f>
        <v/>
      </c>
      <c r="K57" s="117" t="str">
        <f aca="false">IF(D57="","",IFERROR(VLOOKUP($D57,cfg_LT,3,FALSE()),""))</f>
        <v/>
      </c>
      <c r="L57" s="117" t="str">
        <f aca="false">IF(D57="","",IFERROR(VLOOKUP($D57,cfg_LT,4,FALSE()),""))</f>
        <v/>
      </c>
      <c r="M57" s="117" t="str">
        <f aca="false">IF(D57="","",IFERROR(VLOOKUP($D57,cfg_LT,5,FALSE()),""))</f>
        <v/>
      </c>
      <c r="N57" s="116" t="n">
        <f aca="false">IF(OR(OR($B57="",$E57="",$F57=""),M57&lt;&gt;"نعم"),0,G57*J57*IFERROR(INDEX(الموظفون!$R$6:$R$105,MATCH(B57,الموظفون!$B$6:$B$105,0)),0)/cfg_DAYS_M)</f>
        <v>0</v>
      </c>
      <c r="O57" s="115" t="str">
        <f aca="false">IF(OR(OR($B57="",$E57="",$F57=""),M57&lt;&gt;"نعم"),"",IF(YEAR(E57)=cfg_FY,MONTH(E57),""))</f>
        <v/>
      </c>
      <c r="P57" s="117" t="str">
        <f aca="false">IF(B57="","",IF(OR(D57="",E57="",F57=""),"⚠ أكمل النوع والتواريخ",IF(F57&lt;E57,"✖ النهاية قبل البداية",IF(COUNTIFS($B$6:$B$505,B57,$E$6:$E$505,"&lt;="&amp;F57,$F$6:$F$505,"&gt;="&amp;E57)&gt;1,"⚠ تداخل مع سجل آخر",IF(E57&gt;cfg_VAL_DATE,"⏳ قادمة",IF(F57&lt;cfg_VAL_DATE,"✔ منتهية","✈ جارية في تاريخ التقرير"))))))</f>
        <v/>
      </c>
      <c r="Q57" s="118"/>
      <c r="R57" s="133" t="n">
        <f aca="false">IF(OR(OR($B57="",$E57="",$F57=""),L57&lt;&gt;"لا"),0,MAX(0,MIN(F57,cfg_Y_START-1)-E57+1))</f>
        <v>0</v>
      </c>
      <c r="S57" s="133" t="n">
        <f aca="false">IF(OR(OR($B57="",$E57="",$F57=""),L57&lt;&gt;"لا"),0,MAX(0,MIN(F57,cfg_VAL_DATE)-E57+1))</f>
        <v>0</v>
      </c>
      <c r="T57" s="133" t="n">
        <f aca="false">IF(OR(OR($B57="",$E57="",$F57=""),K57&lt;&gt;"نعم"),0,IF(M57="نعم",IF(AND(ISNUMBER(O57),N(O57)&lt;=cfg_VAL_M),G57,0),MAX(0,MIN(F57,cfg_VAL_DATE)-MAX(E57,cfg_Y_START)+1)))</f>
        <v>0</v>
      </c>
      <c r="V57" s="133" t="n">
        <f aca="false">IF(OR($B57="",$E57="",$F57=""),0,MAX(0,MIN($F57,EOMONTH(DATE(cfg_FY,1,1),0))-MAX($E57,DATE(cfg_FY,1,1))+1)*(1-IF($M57="نعم",0,N($J57))))</f>
        <v>0</v>
      </c>
      <c r="W57" s="133" t="n">
        <f aca="false">IF(OR($B57="",$E57="",$F57=""),0,MAX(0,MIN($F57,EOMONTH(DATE(cfg_FY,2,1),0))-MAX($E57,DATE(cfg_FY,2,1))+1)*(1-IF($M57="نعم",0,N($J57))))</f>
        <v>0</v>
      </c>
      <c r="X57" s="133" t="n">
        <f aca="false">IF(OR($B57="",$E57="",$F57=""),0,MAX(0,MIN($F57,EOMONTH(DATE(cfg_FY,3,1),0))-MAX($E57,DATE(cfg_FY,3,1))+1)*(1-IF($M57="نعم",0,N($J57))))</f>
        <v>0</v>
      </c>
      <c r="Y57" s="133" t="n">
        <f aca="false">IF(OR($B57="",$E57="",$F57=""),0,MAX(0,MIN($F57,EOMONTH(DATE(cfg_FY,4,1),0))-MAX($E57,DATE(cfg_FY,4,1))+1)*(1-IF($M57="نعم",0,N($J57))))</f>
        <v>0</v>
      </c>
      <c r="Z57" s="133" t="n">
        <f aca="false">IF(OR($B57="",$E57="",$F57=""),0,MAX(0,MIN($F57,EOMONTH(DATE(cfg_FY,5,1),0))-MAX($E57,DATE(cfg_FY,5,1))+1)*(1-IF($M57="نعم",0,N($J57))))</f>
        <v>0</v>
      </c>
      <c r="AA57" s="133" t="n">
        <f aca="false">IF(OR($B57="",$E57="",$F57=""),0,MAX(0,MIN($F57,EOMONTH(DATE(cfg_FY,6,1),0))-MAX($E57,DATE(cfg_FY,6,1))+1)*(1-IF($M57="نعم",0,N($J57))))</f>
        <v>0</v>
      </c>
      <c r="AB57" s="133" t="n">
        <f aca="false">IF(OR($B57="",$E57="",$F57=""),0,MAX(0,MIN($F57,EOMONTH(DATE(cfg_FY,7,1),0))-MAX($E57,DATE(cfg_FY,7,1))+1)*(1-IF($M57="نعم",0,N($J57))))</f>
        <v>0</v>
      </c>
      <c r="AC57" s="133" t="n">
        <f aca="false">IF(OR($B57="",$E57="",$F57=""),0,MAX(0,MIN($F57,EOMONTH(DATE(cfg_FY,8,1),0))-MAX($E57,DATE(cfg_FY,8,1))+1)*(1-IF($M57="نعم",0,N($J57))))</f>
        <v>0</v>
      </c>
      <c r="AD57" s="133" t="n">
        <f aca="false">IF(OR($B57="",$E57="",$F57=""),0,MAX(0,MIN($F57,EOMONTH(DATE(cfg_FY,9,1),0))-MAX($E57,DATE(cfg_FY,9,1))+1)*(1-IF($M57="نعم",0,N($J57))))</f>
        <v>0</v>
      </c>
      <c r="AE57" s="133" t="n">
        <f aca="false">IF(OR($B57="",$E57="",$F57=""),0,MAX(0,MIN($F57,EOMONTH(DATE(cfg_FY,10,1),0))-MAX($E57,DATE(cfg_FY,10,1))+1)*(1-IF($M57="نعم",0,N($J57))))</f>
        <v>0</v>
      </c>
      <c r="AF57" s="133" t="n">
        <f aca="false">IF(OR($B57="",$E57="",$F57=""),0,MAX(0,MIN($F57,EOMONTH(DATE(cfg_FY,11,1),0))-MAX($E57,DATE(cfg_FY,11,1))+1)*(1-IF($M57="نعم",0,N($J57))))</f>
        <v>0</v>
      </c>
      <c r="AG57" s="133" t="n">
        <f aca="false">IF(OR($B57="",$E57="",$F57=""),0,MAX(0,MIN($F57,EOMONTH(DATE(cfg_FY,12,1),0))-MAX($E57,DATE(cfg_FY,12,1))+1)*(1-IF($M57="نعم",0,N($J57))))</f>
        <v>0</v>
      </c>
      <c r="AH57" s="133" t="n">
        <f aca="false">IF(OR(OR($B57="",$E57="",$F57=""),$L57&lt;&gt;"لا"),0,MAX(0,MIN($F57,EOMONTH(DATE(cfg_FY,1,1),0))-$E57+1))</f>
        <v>0</v>
      </c>
      <c r="AI57" s="133" t="n">
        <f aca="false">IF(OR(OR($B57="",$E57="",$F57=""),$L57&lt;&gt;"لا"),0,MAX(0,MIN($F57,EOMONTH(DATE(cfg_FY,2,1),0))-$E57+1))</f>
        <v>0</v>
      </c>
      <c r="AJ57" s="133" t="n">
        <f aca="false">IF(OR(OR($B57="",$E57="",$F57=""),$L57&lt;&gt;"لا"),0,MAX(0,MIN($F57,EOMONTH(DATE(cfg_FY,3,1),0))-$E57+1))</f>
        <v>0</v>
      </c>
      <c r="AK57" s="133" t="n">
        <f aca="false">IF(OR(OR($B57="",$E57="",$F57=""),$L57&lt;&gt;"لا"),0,MAX(0,MIN($F57,EOMONTH(DATE(cfg_FY,4,1),0))-$E57+1))</f>
        <v>0</v>
      </c>
      <c r="AL57" s="133" t="n">
        <f aca="false">IF(OR(OR($B57="",$E57="",$F57=""),$L57&lt;&gt;"لا"),0,MAX(0,MIN($F57,EOMONTH(DATE(cfg_FY,5,1),0))-$E57+1))</f>
        <v>0</v>
      </c>
      <c r="AM57" s="133" t="n">
        <f aca="false">IF(OR(OR($B57="",$E57="",$F57=""),$L57&lt;&gt;"لا"),0,MAX(0,MIN($F57,EOMONTH(DATE(cfg_FY,6,1),0))-$E57+1))</f>
        <v>0</v>
      </c>
      <c r="AN57" s="133" t="n">
        <f aca="false">IF(OR(OR($B57="",$E57="",$F57=""),$L57&lt;&gt;"لا"),0,MAX(0,MIN($F57,EOMONTH(DATE(cfg_FY,7,1),0))-$E57+1))</f>
        <v>0</v>
      </c>
      <c r="AO57" s="133" t="n">
        <f aca="false">IF(OR(OR($B57="",$E57="",$F57=""),$L57&lt;&gt;"لا"),0,MAX(0,MIN($F57,EOMONTH(DATE(cfg_FY,8,1),0))-$E57+1))</f>
        <v>0</v>
      </c>
      <c r="AP57" s="133" t="n">
        <f aca="false">IF(OR(OR($B57="",$E57="",$F57=""),$L57&lt;&gt;"لا"),0,MAX(0,MIN($F57,EOMONTH(DATE(cfg_FY,9,1),0))-$E57+1))</f>
        <v>0</v>
      </c>
      <c r="AQ57" s="133" t="n">
        <f aca="false">IF(OR(OR($B57="",$E57="",$F57=""),$L57&lt;&gt;"لا"),0,MAX(0,MIN($F57,EOMONTH(DATE(cfg_FY,10,1),0))-$E57+1))</f>
        <v>0</v>
      </c>
      <c r="AR57" s="133" t="n">
        <f aca="false">IF(OR(OR($B57="",$E57="",$F57=""),$L57&lt;&gt;"لا"),0,MAX(0,MIN($F57,EOMONTH(DATE(cfg_FY,11,1),0))-$E57+1))</f>
        <v>0</v>
      </c>
      <c r="AS57" s="133" t="n">
        <f aca="false">IF(OR(OR($B57="",$E57="",$F57=""),$L57&lt;&gt;"لا"),0,MAX(0,MIN($F57,EOMONTH(DATE(cfg_FY,12,1),0))-$E57+1))</f>
        <v>0</v>
      </c>
      <c r="AT57" s="133" t="n">
        <f aca="false">IF(OR(OR($B57="",$E57="",$F57=""),$K57&lt;&gt;"نعم",$M57="نعم"),0,MAX(0,MIN($F57,EOMONTH(DATE(cfg_FY,1,1),0))-MAX($E57,DATE(cfg_FY,1,1))+1))</f>
        <v>0</v>
      </c>
      <c r="AU57" s="133" t="n">
        <f aca="false">IF(OR(OR($B57="",$E57="",$F57=""),$K57&lt;&gt;"نعم",$M57="نعم"),0,MAX(0,MIN($F57,EOMONTH(DATE(cfg_FY,2,1),0))-MAX($E57,DATE(cfg_FY,2,1))+1))</f>
        <v>0</v>
      </c>
      <c r="AV57" s="133" t="n">
        <f aca="false">IF(OR(OR($B57="",$E57="",$F57=""),$K57&lt;&gt;"نعم",$M57="نعم"),0,MAX(0,MIN($F57,EOMONTH(DATE(cfg_FY,3,1),0))-MAX($E57,DATE(cfg_FY,3,1))+1))</f>
        <v>0</v>
      </c>
      <c r="AW57" s="133" t="n">
        <f aca="false">IF(OR(OR($B57="",$E57="",$F57=""),$K57&lt;&gt;"نعم",$M57="نعم"),0,MAX(0,MIN($F57,EOMONTH(DATE(cfg_FY,4,1),0))-MAX($E57,DATE(cfg_FY,4,1))+1))</f>
        <v>0</v>
      </c>
      <c r="AX57" s="133" t="n">
        <f aca="false">IF(OR(OR($B57="",$E57="",$F57=""),$K57&lt;&gt;"نعم",$M57="نعم"),0,MAX(0,MIN($F57,EOMONTH(DATE(cfg_FY,5,1),0))-MAX($E57,DATE(cfg_FY,5,1))+1))</f>
        <v>0</v>
      </c>
      <c r="AY57" s="133" t="n">
        <f aca="false">IF(OR(OR($B57="",$E57="",$F57=""),$K57&lt;&gt;"نعم",$M57="نعم"),0,MAX(0,MIN($F57,EOMONTH(DATE(cfg_FY,6,1),0))-MAX($E57,DATE(cfg_FY,6,1))+1))</f>
        <v>0</v>
      </c>
      <c r="AZ57" s="133" t="n">
        <f aca="false">IF(OR(OR($B57="",$E57="",$F57=""),$K57&lt;&gt;"نعم",$M57="نعم"),0,MAX(0,MIN($F57,EOMONTH(DATE(cfg_FY,7,1),0))-MAX($E57,DATE(cfg_FY,7,1))+1))</f>
        <v>0</v>
      </c>
      <c r="BA57" s="133" t="n">
        <f aca="false">IF(OR(OR($B57="",$E57="",$F57=""),$K57&lt;&gt;"نعم",$M57="نعم"),0,MAX(0,MIN($F57,EOMONTH(DATE(cfg_FY,8,1),0))-MAX($E57,DATE(cfg_FY,8,1))+1))</f>
        <v>0</v>
      </c>
      <c r="BB57" s="133" t="n">
        <f aca="false">IF(OR(OR($B57="",$E57="",$F57=""),$K57&lt;&gt;"نعم",$M57="نعم"),0,MAX(0,MIN($F57,EOMONTH(DATE(cfg_FY,9,1),0))-MAX($E57,DATE(cfg_FY,9,1))+1))</f>
        <v>0</v>
      </c>
      <c r="BC57" s="133" t="n">
        <f aca="false">IF(OR(OR($B57="",$E57="",$F57=""),$K57&lt;&gt;"نعم",$M57="نعم"),0,MAX(0,MIN($F57,EOMONTH(DATE(cfg_FY,10,1),0))-MAX($E57,DATE(cfg_FY,10,1))+1))</f>
        <v>0</v>
      </c>
      <c r="BD57" s="133" t="n">
        <f aca="false">IF(OR(OR($B57="",$E57="",$F57=""),$K57&lt;&gt;"نعم",$M57="نعم"),0,MAX(0,MIN($F57,EOMONTH(DATE(cfg_FY,11,1),0))-MAX($E57,DATE(cfg_FY,11,1))+1))</f>
        <v>0</v>
      </c>
      <c r="BE57" s="133" t="n">
        <f aca="false">IF(OR(OR($B57="",$E57="",$F57=""),$K57&lt;&gt;"نعم",$M57="نعم"),0,MAX(0,MIN($F57,EOMONTH(DATE(cfg_FY,12,1),0))-MAX($E57,DATE(cfg_FY,12,1))+1))</f>
        <v>0</v>
      </c>
    </row>
    <row r="58" customFormat="false" ht="15" hidden="false" customHeight="false" outlineLevel="0" collapsed="false">
      <c r="A58" s="106" t="str">
        <f aca="false">IF(B58="","",ROW()-5)</f>
        <v/>
      </c>
      <c r="B58" s="118"/>
      <c r="C58" s="114" t="str">
        <f aca="false">IF(B58="","",IFERROR(INDEX(الموظفون!$C$6:$C$105,MATCH(B58,الموظفون!$B$6:$B$105,0)),"✖ رقم غير موجود"))</f>
        <v/>
      </c>
      <c r="D58" s="118"/>
      <c r="E58" s="119"/>
      <c r="F58" s="119"/>
      <c r="G58" s="65" t="str">
        <f aca="false">IF(OR($B58="",$E58="",$F58=""),"",MAX(0,F58-E58+1))</f>
        <v/>
      </c>
      <c r="H58" s="66" t="str">
        <f aca="false">IF(D58="","",IFERROR(VLOOKUP(D58,cfg_LT,2,FALSE()),1))</f>
        <v/>
      </c>
      <c r="I58" s="135"/>
      <c r="J58" s="66" t="str">
        <f aca="false">IF(D58="","",IF(I58&lt;&gt;"",I58,H58))</f>
        <v/>
      </c>
      <c r="K58" s="114" t="str">
        <f aca="false">IF(D58="","",IFERROR(VLOOKUP($D58,cfg_LT,3,FALSE()),""))</f>
        <v/>
      </c>
      <c r="L58" s="114" t="str">
        <f aca="false">IF(D58="","",IFERROR(VLOOKUP($D58,cfg_LT,4,FALSE()),""))</f>
        <v/>
      </c>
      <c r="M58" s="114" t="str">
        <f aca="false">IF(D58="","",IFERROR(VLOOKUP($D58,cfg_LT,5,FALSE()),""))</f>
        <v/>
      </c>
      <c r="N58" s="111" t="n">
        <f aca="false">IF(OR(OR($B58="",$E58="",$F58=""),M58&lt;&gt;"نعم"),0,G58*J58*IFERROR(INDEX(الموظفون!$R$6:$R$105,MATCH(B58,الموظفون!$B$6:$B$105,0)),0)/cfg_DAYS_M)</f>
        <v>0</v>
      </c>
      <c r="O58" s="106" t="str">
        <f aca="false">IF(OR(OR($B58="",$E58="",$F58=""),M58&lt;&gt;"نعم"),"",IF(YEAR(E58)=cfg_FY,MONTH(E58),""))</f>
        <v/>
      </c>
      <c r="P58" s="114" t="str">
        <f aca="false">IF(B58="","",IF(OR(D58="",E58="",F58=""),"⚠ أكمل النوع والتواريخ",IF(F58&lt;E58,"✖ النهاية قبل البداية",IF(COUNTIFS($B$6:$B$505,B58,$E$6:$E$505,"&lt;="&amp;F58,$F$6:$F$505,"&gt;="&amp;E58)&gt;1,"⚠ تداخل مع سجل آخر",IF(E58&gt;cfg_VAL_DATE,"⏳ قادمة",IF(F58&lt;cfg_VAL_DATE,"✔ منتهية","✈ جارية في تاريخ التقرير"))))))</f>
        <v/>
      </c>
      <c r="Q58" s="118"/>
      <c r="R58" s="65" t="n">
        <f aca="false">IF(OR(OR($B58="",$E58="",$F58=""),L58&lt;&gt;"لا"),0,MAX(0,MIN(F58,cfg_Y_START-1)-E58+1))</f>
        <v>0</v>
      </c>
      <c r="S58" s="65" t="n">
        <f aca="false">IF(OR(OR($B58="",$E58="",$F58=""),L58&lt;&gt;"لا"),0,MAX(0,MIN(F58,cfg_VAL_DATE)-E58+1))</f>
        <v>0</v>
      </c>
      <c r="T58" s="65" t="n">
        <f aca="false">IF(OR(OR($B58="",$E58="",$F58=""),K58&lt;&gt;"نعم"),0,IF(M58="نعم",IF(AND(ISNUMBER(O58),N(O58)&lt;=cfg_VAL_M),G58,0),MAX(0,MIN(F58,cfg_VAL_DATE)-MAX(E58,cfg_Y_START)+1)))</f>
        <v>0</v>
      </c>
      <c r="V58" s="65" t="n">
        <f aca="false">IF(OR($B58="",$E58="",$F58=""),0,MAX(0,MIN($F58,EOMONTH(DATE(cfg_FY,1,1),0))-MAX($E58,DATE(cfg_FY,1,1))+1)*(1-IF($M58="نعم",0,N($J58))))</f>
        <v>0</v>
      </c>
      <c r="W58" s="65" t="n">
        <f aca="false">IF(OR($B58="",$E58="",$F58=""),0,MAX(0,MIN($F58,EOMONTH(DATE(cfg_FY,2,1),0))-MAX($E58,DATE(cfg_FY,2,1))+1)*(1-IF($M58="نعم",0,N($J58))))</f>
        <v>0</v>
      </c>
      <c r="X58" s="65" t="n">
        <f aca="false">IF(OR($B58="",$E58="",$F58=""),0,MAX(0,MIN($F58,EOMONTH(DATE(cfg_FY,3,1),0))-MAX($E58,DATE(cfg_FY,3,1))+1)*(1-IF($M58="نعم",0,N($J58))))</f>
        <v>0</v>
      </c>
      <c r="Y58" s="65" t="n">
        <f aca="false">IF(OR($B58="",$E58="",$F58=""),0,MAX(0,MIN($F58,EOMONTH(DATE(cfg_FY,4,1),0))-MAX($E58,DATE(cfg_FY,4,1))+1)*(1-IF($M58="نعم",0,N($J58))))</f>
        <v>0</v>
      </c>
      <c r="Z58" s="65" t="n">
        <f aca="false">IF(OR($B58="",$E58="",$F58=""),0,MAX(0,MIN($F58,EOMONTH(DATE(cfg_FY,5,1),0))-MAX($E58,DATE(cfg_FY,5,1))+1)*(1-IF($M58="نعم",0,N($J58))))</f>
        <v>0</v>
      </c>
      <c r="AA58" s="65" t="n">
        <f aca="false">IF(OR($B58="",$E58="",$F58=""),0,MAX(0,MIN($F58,EOMONTH(DATE(cfg_FY,6,1),0))-MAX($E58,DATE(cfg_FY,6,1))+1)*(1-IF($M58="نعم",0,N($J58))))</f>
        <v>0</v>
      </c>
      <c r="AB58" s="65" t="n">
        <f aca="false">IF(OR($B58="",$E58="",$F58=""),0,MAX(0,MIN($F58,EOMONTH(DATE(cfg_FY,7,1),0))-MAX($E58,DATE(cfg_FY,7,1))+1)*(1-IF($M58="نعم",0,N($J58))))</f>
        <v>0</v>
      </c>
      <c r="AC58" s="65" t="n">
        <f aca="false">IF(OR($B58="",$E58="",$F58=""),0,MAX(0,MIN($F58,EOMONTH(DATE(cfg_FY,8,1),0))-MAX($E58,DATE(cfg_FY,8,1))+1)*(1-IF($M58="نعم",0,N($J58))))</f>
        <v>0</v>
      </c>
      <c r="AD58" s="65" t="n">
        <f aca="false">IF(OR($B58="",$E58="",$F58=""),0,MAX(0,MIN($F58,EOMONTH(DATE(cfg_FY,9,1),0))-MAX($E58,DATE(cfg_FY,9,1))+1)*(1-IF($M58="نعم",0,N($J58))))</f>
        <v>0</v>
      </c>
      <c r="AE58" s="65" t="n">
        <f aca="false">IF(OR($B58="",$E58="",$F58=""),0,MAX(0,MIN($F58,EOMONTH(DATE(cfg_FY,10,1),0))-MAX($E58,DATE(cfg_FY,10,1))+1)*(1-IF($M58="نعم",0,N($J58))))</f>
        <v>0</v>
      </c>
      <c r="AF58" s="65" t="n">
        <f aca="false">IF(OR($B58="",$E58="",$F58=""),0,MAX(0,MIN($F58,EOMONTH(DATE(cfg_FY,11,1),0))-MAX($E58,DATE(cfg_FY,11,1))+1)*(1-IF($M58="نعم",0,N($J58))))</f>
        <v>0</v>
      </c>
      <c r="AG58" s="65" t="n">
        <f aca="false">IF(OR($B58="",$E58="",$F58=""),0,MAX(0,MIN($F58,EOMONTH(DATE(cfg_FY,12,1),0))-MAX($E58,DATE(cfg_FY,12,1))+1)*(1-IF($M58="نعم",0,N($J58))))</f>
        <v>0</v>
      </c>
      <c r="AH58" s="65" t="n">
        <f aca="false">IF(OR(OR($B58="",$E58="",$F58=""),$L58&lt;&gt;"لا"),0,MAX(0,MIN($F58,EOMONTH(DATE(cfg_FY,1,1),0))-$E58+1))</f>
        <v>0</v>
      </c>
      <c r="AI58" s="65" t="n">
        <f aca="false">IF(OR(OR($B58="",$E58="",$F58=""),$L58&lt;&gt;"لا"),0,MAX(0,MIN($F58,EOMONTH(DATE(cfg_FY,2,1),0))-$E58+1))</f>
        <v>0</v>
      </c>
      <c r="AJ58" s="65" t="n">
        <f aca="false">IF(OR(OR($B58="",$E58="",$F58=""),$L58&lt;&gt;"لا"),0,MAX(0,MIN($F58,EOMONTH(DATE(cfg_FY,3,1),0))-$E58+1))</f>
        <v>0</v>
      </c>
      <c r="AK58" s="65" t="n">
        <f aca="false">IF(OR(OR($B58="",$E58="",$F58=""),$L58&lt;&gt;"لا"),0,MAX(0,MIN($F58,EOMONTH(DATE(cfg_FY,4,1),0))-$E58+1))</f>
        <v>0</v>
      </c>
      <c r="AL58" s="65" t="n">
        <f aca="false">IF(OR(OR($B58="",$E58="",$F58=""),$L58&lt;&gt;"لا"),0,MAX(0,MIN($F58,EOMONTH(DATE(cfg_FY,5,1),0))-$E58+1))</f>
        <v>0</v>
      </c>
      <c r="AM58" s="65" t="n">
        <f aca="false">IF(OR(OR($B58="",$E58="",$F58=""),$L58&lt;&gt;"لا"),0,MAX(0,MIN($F58,EOMONTH(DATE(cfg_FY,6,1),0))-$E58+1))</f>
        <v>0</v>
      </c>
      <c r="AN58" s="65" t="n">
        <f aca="false">IF(OR(OR($B58="",$E58="",$F58=""),$L58&lt;&gt;"لا"),0,MAX(0,MIN($F58,EOMONTH(DATE(cfg_FY,7,1),0))-$E58+1))</f>
        <v>0</v>
      </c>
      <c r="AO58" s="65" t="n">
        <f aca="false">IF(OR(OR($B58="",$E58="",$F58=""),$L58&lt;&gt;"لا"),0,MAX(0,MIN($F58,EOMONTH(DATE(cfg_FY,8,1),0))-$E58+1))</f>
        <v>0</v>
      </c>
      <c r="AP58" s="65" t="n">
        <f aca="false">IF(OR(OR($B58="",$E58="",$F58=""),$L58&lt;&gt;"لا"),0,MAX(0,MIN($F58,EOMONTH(DATE(cfg_FY,9,1),0))-$E58+1))</f>
        <v>0</v>
      </c>
      <c r="AQ58" s="65" t="n">
        <f aca="false">IF(OR(OR($B58="",$E58="",$F58=""),$L58&lt;&gt;"لا"),0,MAX(0,MIN($F58,EOMONTH(DATE(cfg_FY,10,1),0))-$E58+1))</f>
        <v>0</v>
      </c>
      <c r="AR58" s="65" t="n">
        <f aca="false">IF(OR(OR($B58="",$E58="",$F58=""),$L58&lt;&gt;"لا"),0,MAX(0,MIN($F58,EOMONTH(DATE(cfg_FY,11,1),0))-$E58+1))</f>
        <v>0</v>
      </c>
      <c r="AS58" s="65" t="n">
        <f aca="false">IF(OR(OR($B58="",$E58="",$F58=""),$L58&lt;&gt;"لا"),0,MAX(0,MIN($F58,EOMONTH(DATE(cfg_FY,12,1),0))-$E58+1))</f>
        <v>0</v>
      </c>
      <c r="AT58" s="65" t="n">
        <f aca="false">IF(OR(OR($B58="",$E58="",$F58=""),$K58&lt;&gt;"نعم",$M58="نعم"),0,MAX(0,MIN($F58,EOMONTH(DATE(cfg_FY,1,1),0))-MAX($E58,DATE(cfg_FY,1,1))+1))</f>
        <v>0</v>
      </c>
      <c r="AU58" s="65" t="n">
        <f aca="false">IF(OR(OR($B58="",$E58="",$F58=""),$K58&lt;&gt;"نعم",$M58="نعم"),0,MAX(0,MIN($F58,EOMONTH(DATE(cfg_FY,2,1),0))-MAX($E58,DATE(cfg_FY,2,1))+1))</f>
        <v>0</v>
      </c>
      <c r="AV58" s="65" t="n">
        <f aca="false">IF(OR(OR($B58="",$E58="",$F58=""),$K58&lt;&gt;"نعم",$M58="نعم"),0,MAX(0,MIN($F58,EOMONTH(DATE(cfg_FY,3,1),0))-MAX($E58,DATE(cfg_FY,3,1))+1))</f>
        <v>0</v>
      </c>
      <c r="AW58" s="65" t="n">
        <f aca="false">IF(OR(OR($B58="",$E58="",$F58=""),$K58&lt;&gt;"نعم",$M58="نعم"),0,MAX(0,MIN($F58,EOMONTH(DATE(cfg_FY,4,1),0))-MAX($E58,DATE(cfg_FY,4,1))+1))</f>
        <v>0</v>
      </c>
      <c r="AX58" s="65" t="n">
        <f aca="false">IF(OR(OR($B58="",$E58="",$F58=""),$K58&lt;&gt;"نعم",$M58="نعم"),0,MAX(0,MIN($F58,EOMONTH(DATE(cfg_FY,5,1),0))-MAX($E58,DATE(cfg_FY,5,1))+1))</f>
        <v>0</v>
      </c>
      <c r="AY58" s="65" t="n">
        <f aca="false">IF(OR(OR($B58="",$E58="",$F58=""),$K58&lt;&gt;"نعم",$M58="نعم"),0,MAX(0,MIN($F58,EOMONTH(DATE(cfg_FY,6,1),0))-MAX($E58,DATE(cfg_FY,6,1))+1))</f>
        <v>0</v>
      </c>
      <c r="AZ58" s="65" t="n">
        <f aca="false">IF(OR(OR($B58="",$E58="",$F58=""),$K58&lt;&gt;"نعم",$M58="نعم"),0,MAX(0,MIN($F58,EOMONTH(DATE(cfg_FY,7,1),0))-MAX($E58,DATE(cfg_FY,7,1))+1))</f>
        <v>0</v>
      </c>
      <c r="BA58" s="65" t="n">
        <f aca="false">IF(OR(OR($B58="",$E58="",$F58=""),$K58&lt;&gt;"نعم",$M58="نعم"),0,MAX(0,MIN($F58,EOMONTH(DATE(cfg_FY,8,1),0))-MAX($E58,DATE(cfg_FY,8,1))+1))</f>
        <v>0</v>
      </c>
      <c r="BB58" s="65" t="n">
        <f aca="false">IF(OR(OR($B58="",$E58="",$F58=""),$K58&lt;&gt;"نعم",$M58="نعم"),0,MAX(0,MIN($F58,EOMONTH(DATE(cfg_FY,9,1),0))-MAX($E58,DATE(cfg_FY,9,1))+1))</f>
        <v>0</v>
      </c>
      <c r="BC58" s="65" t="n">
        <f aca="false">IF(OR(OR($B58="",$E58="",$F58=""),$K58&lt;&gt;"نعم",$M58="نعم"),0,MAX(0,MIN($F58,EOMONTH(DATE(cfg_FY,10,1),0))-MAX($E58,DATE(cfg_FY,10,1))+1))</f>
        <v>0</v>
      </c>
      <c r="BD58" s="65" t="n">
        <f aca="false">IF(OR(OR($B58="",$E58="",$F58=""),$K58&lt;&gt;"نعم",$M58="نعم"),0,MAX(0,MIN($F58,EOMONTH(DATE(cfg_FY,11,1),0))-MAX($E58,DATE(cfg_FY,11,1))+1))</f>
        <v>0</v>
      </c>
      <c r="BE58" s="65" t="n">
        <f aca="false">IF(OR(OR($B58="",$E58="",$F58=""),$K58&lt;&gt;"نعم",$M58="نعم"),0,MAX(0,MIN($F58,EOMONTH(DATE(cfg_FY,12,1),0))-MAX($E58,DATE(cfg_FY,12,1))+1))</f>
        <v>0</v>
      </c>
    </row>
    <row r="59" customFormat="false" ht="15" hidden="false" customHeight="false" outlineLevel="0" collapsed="false">
      <c r="A59" s="115" t="str">
        <f aca="false">IF(B59="","",ROW()-5)</f>
        <v/>
      </c>
      <c r="B59" s="118"/>
      <c r="C59" s="117" t="str">
        <f aca="false">IF(B59="","",IFERROR(INDEX(الموظفون!$C$6:$C$105,MATCH(B59,الموظفون!$B$6:$B$105,0)),"✖ رقم غير موجود"))</f>
        <v/>
      </c>
      <c r="D59" s="118"/>
      <c r="E59" s="119"/>
      <c r="F59" s="119"/>
      <c r="G59" s="133" t="str">
        <f aca="false">IF(OR($B59="",$E59="",$F59=""),"",MAX(0,F59-E59+1))</f>
        <v/>
      </c>
      <c r="H59" s="134" t="str">
        <f aca="false">IF(D59="","",IFERROR(VLOOKUP(D59,cfg_LT,2,FALSE()),1))</f>
        <v/>
      </c>
      <c r="I59" s="135"/>
      <c r="J59" s="134" t="str">
        <f aca="false">IF(D59="","",IF(I59&lt;&gt;"",I59,H59))</f>
        <v/>
      </c>
      <c r="K59" s="117" t="str">
        <f aca="false">IF(D59="","",IFERROR(VLOOKUP($D59,cfg_LT,3,FALSE()),""))</f>
        <v/>
      </c>
      <c r="L59" s="117" t="str">
        <f aca="false">IF(D59="","",IFERROR(VLOOKUP($D59,cfg_LT,4,FALSE()),""))</f>
        <v/>
      </c>
      <c r="M59" s="117" t="str">
        <f aca="false">IF(D59="","",IFERROR(VLOOKUP($D59,cfg_LT,5,FALSE()),""))</f>
        <v/>
      </c>
      <c r="N59" s="116" t="n">
        <f aca="false">IF(OR(OR($B59="",$E59="",$F59=""),M59&lt;&gt;"نعم"),0,G59*J59*IFERROR(INDEX(الموظفون!$R$6:$R$105,MATCH(B59,الموظفون!$B$6:$B$105,0)),0)/cfg_DAYS_M)</f>
        <v>0</v>
      </c>
      <c r="O59" s="115" t="str">
        <f aca="false">IF(OR(OR($B59="",$E59="",$F59=""),M59&lt;&gt;"نعم"),"",IF(YEAR(E59)=cfg_FY,MONTH(E59),""))</f>
        <v/>
      </c>
      <c r="P59" s="117" t="str">
        <f aca="false">IF(B59="","",IF(OR(D59="",E59="",F59=""),"⚠ أكمل النوع والتواريخ",IF(F59&lt;E59,"✖ النهاية قبل البداية",IF(COUNTIFS($B$6:$B$505,B59,$E$6:$E$505,"&lt;="&amp;F59,$F$6:$F$505,"&gt;="&amp;E59)&gt;1,"⚠ تداخل مع سجل آخر",IF(E59&gt;cfg_VAL_DATE,"⏳ قادمة",IF(F59&lt;cfg_VAL_DATE,"✔ منتهية","✈ جارية في تاريخ التقرير"))))))</f>
        <v/>
      </c>
      <c r="Q59" s="118"/>
      <c r="R59" s="133" t="n">
        <f aca="false">IF(OR(OR($B59="",$E59="",$F59=""),L59&lt;&gt;"لا"),0,MAX(0,MIN(F59,cfg_Y_START-1)-E59+1))</f>
        <v>0</v>
      </c>
      <c r="S59" s="133" t="n">
        <f aca="false">IF(OR(OR($B59="",$E59="",$F59=""),L59&lt;&gt;"لا"),0,MAX(0,MIN(F59,cfg_VAL_DATE)-E59+1))</f>
        <v>0</v>
      </c>
      <c r="T59" s="133" t="n">
        <f aca="false">IF(OR(OR($B59="",$E59="",$F59=""),K59&lt;&gt;"نعم"),0,IF(M59="نعم",IF(AND(ISNUMBER(O59),N(O59)&lt;=cfg_VAL_M),G59,0),MAX(0,MIN(F59,cfg_VAL_DATE)-MAX(E59,cfg_Y_START)+1)))</f>
        <v>0</v>
      </c>
      <c r="V59" s="133" t="n">
        <f aca="false">IF(OR($B59="",$E59="",$F59=""),0,MAX(0,MIN($F59,EOMONTH(DATE(cfg_FY,1,1),0))-MAX($E59,DATE(cfg_FY,1,1))+1)*(1-IF($M59="نعم",0,N($J59))))</f>
        <v>0</v>
      </c>
      <c r="W59" s="133" t="n">
        <f aca="false">IF(OR($B59="",$E59="",$F59=""),0,MAX(0,MIN($F59,EOMONTH(DATE(cfg_FY,2,1),0))-MAX($E59,DATE(cfg_FY,2,1))+1)*(1-IF($M59="نعم",0,N($J59))))</f>
        <v>0</v>
      </c>
      <c r="X59" s="133" t="n">
        <f aca="false">IF(OR($B59="",$E59="",$F59=""),0,MAX(0,MIN($F59,EOMONTH(DATE(cfg_FY,3,1),0))-MAX($E59,DATE(cfg_FY,3,1))+1)*(1-IF($M59="نعم",0,N($J59))))</f>
        <v>0</v>
      </c>
      <c r="Y59" s="133" t="n">
        <f aca="false">IF(OR($B59="",$E59="",$F59=""),0,MAX(0,MIN($F59,EOMONTH(DATE(cfg_FY,4,1),0))-MAX($E59,DATE(cfg_FY,4,1))+1)*(1-IF($M59="نعم",0,N($J59))))</f>
        <v>0</v>
      </c>
      <c r="Z59" s="133" t="n">
        <f aca="false">IF(OR($B59="",$E59="",$F59=""),0,MAX(0,MIN($F59,EOMONTH(DATE(cfg_FY,5,1),0))-MAX($E59,DATE(cfg_FY,5,1))+1)*(1-IF($M59="نعم",0,N($J59))))</f>
        <v>0</v>
      </c>
      <c r="AA59" s="133" t="n">
        <f aca="false">IF(OR($B59="",$E59="",$F59=""),0,MAX(0,MIN($F59,EOMONTH(DATE(cfg_FY,6,1),0))-MAX($E59,DATE(cfg_FY,6,1))+1)*(1-IF($M59="نعم",0,N($J59))))</f>
        <v>0</v>
      </c>
      <c r="AB59" s="133" t="n">
        <f aca="false">IF(OR($B59="",$E59="",$F59=""),0,MAX(0,MIN($F59,EOMONTH(DATE(cfg_FY,7,1),0))-MAX($E59,DATE(cfg_FY,7,1))+1)*(1-IF($M59="نعم",0,N($J59))))</f>
        <v>0</v>
      </c>
      <c r="AC59" s="133" t="n">
        <f aca="false">IF(OR($B59="",$E59="",$F59=""),0,MAX(0,MIN($F59,EOMONTH(DATE(cfg_FY,8,1),0))-MAX($E59,DATE(cfg_FY,8,1))+1)*(1-IF($M59="نعم",0,N($J59))))</f>
        <v>0</v>
      </c>
      <c r="AD59" s="133" t="n">
        <f aca="false">IF(OR($B59="",$E59="",$F59=""),0,MAX(0,MIN($F59,EOMONTH(DATE(cfg_FY,9,1),0))-MAX($E59,DATE(cfg_FY,9,1))+1)*(1-IF($M59="نعم",0,N($J59))))</f>
        <v>0</v>
      </c>
      <c r="AE59" s="133" t="n">
        <f aca="false">IF(OR($B59="",$E59="",$F59=""),0,MAX(0,MIN($F59,EOMONTH(DATE(cfg_FY,10,1),0))-MAX($E59,DATE(cfg_FY,10,1))+1)*(1-IF($M59="نعم",0,N($J59))))</f>
        <v>0</v>
      </c>
      <c r="AF59" s="133" t="n">
        <f aca="false">IF(OR($B59="",$E59="",$F59=""),0,MAX(0,MIN($F59,EOMONTH(DATE(cfg_FY,11,1),0))-MAX($E59,DATE(cfg_FY,11,1))+1)*(1-IF($M59="نعم",0,N($J59))))</f>
        <v>0</v>
      </c>
      <c r="AG59" s="133" t="n">
        <f aca="false">IF(OR($B59="",$E59="",$F59=""),0,MAX(0,MIN($F59,EOMONTH(DATE(cfg_FY,12,1),0))-MAX($E59,DATE(cfg_FY,12,1))+1)*(1-IF($M59="نعم",0,N($J59))))</f>
        <v>0</v>
      </c>
      <c r="AH59" s="133" t="n">
        <f aca="false">IF(OR(OR($B59="",$E59="",$F59=""),$L59&lt;&gt;"لا"),0,MAX(0,MIN($F59,EOMONTH(DATE(cfg_FY,1,1),0))-$E59+1))</f>
        <v>0</v>
      </c>
      <c r="AI59" s="133" t="n">
        <f aca="false">IF(OR(OR($B59="",$E59="",$F59=""),$L59&lt;&gt;"لا"),0,MAX(0,MIN($F59,EOMONTH(DATE(cfg_FY,2,1),0))-$E59+1))</f>
        <v>0</v>
      </c>
      <c r="AJ59" s="133" t="n">
        <f aca="false">IF(OR(OR($B59="",$E59="",$F59=""),$L59&lt;&gt;"لا"),0,MAX(0,MIN($F59,EOMONTH(DATE(cfg_FY,3,1),0))-$E59+1))</f>
        <v>0</v>
      </c>
      <c r="AK59" s="133" t="n">
        <f aca="false">IF(OR(OR($B59="",$E59="",$F59=""),$L59&lt;&gt;"لا"),0,MAX(0,MIN($F59,EOMONTH(DATE(cfg_FY,4,1),0))-$E59+1))</f>
        <v>0</v>
      </c>
      <c r="AL59" s="133" t="n">
        <f aca="false">IF(OR(OR($B59="",$E59="",$F59=""),$L59&lt;&gt;"لا"),0,MAX(0,MIN($F59,EOMONTH(DATE(cfg_FY,5,1),0))-$E59+1))</f>
        <v>0</v>
      </c>
      <c r="AM59" s="133" t="n">
        <f aca="false">IF(OR(OR($B59="",$E59="",$F59=""),$L59&lt;&gt;"لا"),0,MAX(0,MIN($F59,EOMONTH(DATE(cfg_FY,6,1),0))-$E59+1))</f>
        <v>0</v>
      </c>
      <c r="AN59" s="133" t="n">
        <f aca="false">IF(OR(OR($B59="",$E59="",$F59=""),$L59&lt;&gt;"لا"),0,MAX(0,MIN($F59,EOMONTH(DATE(cfg_FY,7,1),0))-$E59+1))</f>
        <v>0</v>
      </c>
      <c r="AO59" s="133" t="n">
        <f aca="false">IF(OR(OR($B59="",$E59="",$F59=""),$L59&lt;&gt;"لا"),0,MAX(0,MIN($F59,EOMONTH(DATE(cfg_FY,8,1),0))-$E59+1))</f>
        <v>0</v>
      </c>
      <c r="AP59" s="133" t="n">
        <f aca="false">IF(OR(OR($B59="",$E59="",$F59=""),$L59&lt;&gt;"لا"),0,MAX(0,MIN($F59,EOMONTH(DATE(cfg_FY,9,1),0))-$E59+1))</f>
        <v>0</v>
      </c>
      <c r="AQ59" s="133" t="n">
        <f aca="false">IF(OR(OR($B59="",$E59="",$F59=""),$L59&lt;&gt;"لا"),0,MAX(0,MIN($F59,EOMONTH(DATE(cfg_FY,10,1),0))-$E59+1))</f>
        <v>0</v>
      </c>
      <c r="AR59" s="133" t="n">
        <f aca="false">IF(OR(OR($B59="",$E59="",$F59=""),$L59&lt;&gt;"لا"),0,MAX(0,MIN($F59,EOMONTH(DATE(cfg_FY,11,1),0))-$E59+1))</f>
        <v>0</v>
      </c>
      <c r="AS59" s="133" t="n">
        <f aca="false">IF(OR(OR($B59="",$E59="",$F59=""),$L59&lt;&gt;"لا"),0,MAX(0,MIN($F59,EOMONTH(DATE(cfg_FY,12,1),0))-$E59+1))</f>
        <v>0</v>
      </c>
      <c r="AT59" s="133" t="n">
        <f aca="false">IF(OR(OR($B59="",$E59="",$F59=""),$K59&lt;&gt;"نعم",$M59="نعم"),0,MAX(0,MIN($F59,EOMONTH(DATE(cfg_FY,1,1),0))-MAX($E59,DATE(cfg_FY,1,1))+1))</f>
        <v>0</v>
      </c>
      <c r="AU59" s="133" t="n">
        <f aca="false">IF(OR(OR($B59="",$E59="",$F59=""),$K59&lt;&gt;"نعم",$M59="نعم"),0,MAX(0,MIN($F59,EOMONTH(DATE(cfg_FY,2,1),0))-MAX($E59,DATE(cfg_FY,2,1))+1))</f>
        <v>0</v>
      </c>
      <c r="AV59" s="133" t="n">
        <f aca="false">IF(OR(OR($B59="",$E59="",$F59=""),$K59&lt;&gt;"نعم",$M59="نعم"),0,MAX(0,MIN($F59,EOMONTH(DATE(cfg_FY,3,1),0))-MAX($E59,DATE(cfg_FY,3,1))+1))</f>
        <v>0</v>
      </c>
      <c r="AW59" s="133" t="n">
        <f aca="false">IF(OR(OR($B59="",$E59="",$F59=""),$K59&lt;&gt;"نعم",$M59="نعم"),0,MAX(0,MIN($F59,EOMONTH(DATE(cfg_FY,4,1),0))-MAX($E59,DATE(cfg_FY,4,1))+1))</f>
        <v>0</v>
      </c>
      <c r="AX59" s="133" t="n">
        <f aca="false">IF(OR(OR($B59="",$E59="",$F59=""),$K59&lt;&gt;"نعم",$M59="نعم"),0,MAX(0,MIN($F59,EOMONTH(DATE(cfg_FY,5,1),0))-MAX($E59,DATE(cfg_FY,5,1))+1))</f>
        <v>0</v>
      </c>
      <c r="AY59" s="133" t="n">
        <f aca="false">IF(OR(OR($B59="",$E59="",$F59=""),$K59&lt;&gt;"نعم",$M59="نعم"),0,MAX(0,MIN($F59,EOMONTH(DATE(cfg_FY,6,1),0))-MAX($E59,DATE(cfg_FY,6,1))+1))</f>
        <v>0</v>
      </c>
      <c r="AZ59" s="133" t="n">
        <f aca="false">IF(OR(OR($B59="",$E59="",$F59=""),$K59&lt;&gt;"نعم",$M59="نعم"),0,MAX(0,MIN($F59,EOMONTH(DATE(cfg_FY,7,1),0))-MAX($E59,DATE(cfg_FY,7,1))+1))</f>
        <v>0</v>
      </c>
      <c r="BA59" s="133" t="n">
        <f aca="false">IF(OR(OR($B59="",$E59="",$F59=""),$K59&lt;&gt;"نعم",$M59="نعم"),0,MAX(0,MIN($F59,EOMONTH(DATE(cfg_FY,8,1),0))-MAX($E59,DATE(cfg_FY,8,1))+1))</f>
        <v>0</v>
      </c>
      <c r="BB59" s="133" t="n">
        <f aca="false">IF(OR(OR($B59="",$E59="",$F59=""),$K59&lt;&gt;"نعم",$M59="نعم"),0,MAX(0,MIN($F59,EOMONTH(DATE(cfg_FY,9,1),0))-MAX($E59,DATE(cfg_FY,9,1))+1))</f>
        <v>0</v>
      </c>
      <c r="BC59" s="133" t="n">
        <f aca="false">IF(OR(OR($B59="",$E59="",$F59=""),$K59&lt;&gt;"نعم",$M59="نعم"),0,MAX(0,MIN($F59,EOMONTH(DATE(cfg_FY,10,1),0))-MAX($E59,DATE(cfg_FY,10,1))+1))</f>
        <v>0</v>
      </c>
      <c r="BD59" s="133" t="n">
        <f aca="false">IF(OR(OR($B59="",$E59="",$F59=""),$K59&lt;&gt;"نعم",$M59="نعم"),0,MAX(0,MIN($F59,EOMONTH(DATE(cfg_FY,11,1),0))-MAX($E59,DATE(cfg_FY,11,1))+1))</f>
        <v>0</v>
      </c>
      <c r="BE59" s="133" t="n">
        <f aca="false">IF(OR(OR($B59="",$E59="",$F59=""),$K59&lt;&gt;"نعم",$M59="نعم"),0,MAX(0,MIN($F59,EOMONTH(DATE(cfg_FY,12,1),0))-MAX($E59,DATE(cfg_FY,12,1))+1))</f>
        <v>0</v>
      </c>
    </row>
    <row r="60" customFormat="false" ht="15" hidden="false" customHeight="false" outlineLevel="0" collapsed="false">
      <c r="A60" s="106" t="str">
        <f aca="false">IF(B60="","",ROW()-5)</f>
        <v/>
      </c>
      <c r="B60" s="118"/>
      <c r="C60" s="114" t="str">
        <f aca="false">IF(B60="","",IFERROR(INDEX(الموظفون!$C$6:$C$105,MATCH(B60,الموظفون!$B$6:$B$105,0)),"✖ رقم غير موجود"))</f>
        <v/>
      </c>
      <c r="D60" s="118"/>
      <c r="E60" s="119"/>
      <c r="F60" s="119"/>
      <c r="G60" s="65" t="str">
        <f aca="false">IF(OR($B60="",$E60="",$F60=""),"",MAX(0,F60-E60+1))</f>
        <v/>
      </c>
      <c r="H60" s="66" t="str">
        <f aca="false">IF(D60="","",IFERROR(VLOOKUP(D60,cfg_LT,2,FALSE()),1))</f>
        <v/>
      </c>
      <c r="I60" s="135"/>
      <c r="J60" s="66" t="str">
        <f aca="false">IF(D60="","",IF(I60&lt;&gt;"",I60,H60))</f>
        <v/>
      </c>
      <c r="K60" s="114" t="str">
        <f aca="false">IF(D60="","",IFERROR(VLOOKUP($D60,cfg_LT,3,FALSE()),""))</f>
        <v/>
      </c>
      <c r="L60" s="114" t="str">
        <f aca="false">IF(D60="","",IFERROR(VLOOKUP($D60,cfg_LT,4,FALSE()),""))</f>
        <v/>
      </c>
      <c r="M60" s="114" t="str">
        <f aca="false">IF(D60="","",IFERROR(VLOOKUP($D60,cfg_LT,5,FALSE()),""))</f>
        <v/>
      </c>
      <c r="N60" s="111" t="n">
        <f aca="false">IF(OR(OR($B60="",$E60="",$F60=""),M60&lt;&gt;"نعم"),0,G60*J60*IFERROR(INDEX(الموظفون!$R$6:$R$105,MATCH(B60,الموظفون!$B$6:$B$105,0)),0)/cfg_DAYS_M)</f>
        <v>0</v>
      </c>
      <c r="O60" s="106" t="str">
        <f aca="false">IF(OR(OR($B60="",$E60="",$F60=""),M60&lt;&gt;"نعم"),"",IF(YEAR(E60)=cfg_FY,MONTH(E60),""))</f>
        <v/>
      </c>
      <c r="P60" s="114" t="str">
        <f aca="false">IF(B60="","",IF(OR(D60="",E60="",F60=""),"⚠ أكمل النوع والتواريخ",IF(F60&lt;E60,"✖ النهاية قبل البداية",IF(COUNTIFS($B$6:$B$505,B60,$E$6:$E$505,"&lt;="&amp;F60,$F$6:$F$505,"&gt;="&amp;E60)&gt;1,"⚠ تداخل مع سجل آخر",IF(E60&gt;cfg_VAL_DATE,"⏳ قادمة",IF(F60&lt;cfg_VAL_DATE,"✔ منتهية","✈ جارية في تاريخ التقرير"))))))</f>
        <v/>
      </c>
      <c r="Q60" s="118"/>
      <c r="R60" s="65" t="n">
        <f aca="false">IF(OR(OR($B60="",$E60="",$F60=""),L60&lt;&gt;"لا"),0,MAX(0,MIN(F60,cfg_Y_START-1)-E60+1))</f>
        <v>0</v>
      </c>
      <c r="S60" s="65" t="n">
        <f aca="false">IF(OR(OR($B60="",$E60="",$F60=""),L60&lt;&gt;"لا"),0,MAX(0,MIN(F60,cfg_VAL_DATE)-E60+1))</f>
        <v>0</v>
      </c>
      <c r="T60" s="65" t="n">
        <f aca="false">IF(OR(OR($B60="",$E60="",$F60=""),K60&lt;&gt;"نعم"),0,IF(M60="نعم",IF(AND(ISNUMBER(O60),N(O60)&lt;=cfg_VAL_M),G60,0),MAX(0,MIN(F60,cfg_VAL_DATE)-MAX(E60,cfg_Y_START)+1)))</f>
        <v>0</v>
      </c>
      <c r="V60" s="65" t="n">
        <f aca="false">IF(OR($B60="",$E60="",$F60=""),0,MAX(0,MIN($F60,EOMONTH(DATE(cfg_FY,1,1),0))-MAX($E60,DATE(cfg_FY,1,1))+1)*(1-IF($M60="نعم",0,N($J60))))</f>
        <v>0</v>
      </c>
      <c r="W60" s="65" t="n">
        <f aca="false">IF(OR($B60="",$E60="",$F60=""),0,MAX(0,MIN($F60,EOMONTH(DATE(cfg_FY,2,1),0))-MAX($E60,DATE(cfg_FY,2,1))+1)*(1-IF($M60="نعم",0,N($J60))))</f>
        <v>0</v>
      </c>
      <c r="X60" s="65" t="n">
        <f aca="false">IF(OR($B60="",$E60="",$F60=""),0,MAX(0,MIN($F60,EOMONTH(DATE(cfg_FY,3,1),0))-MAX($E60,DATE(cfg_FY,3,1))+1)*(1-IF($M60="نعم",0,N($J60))))</f>
        <v>0</v>
      </c>
      <c r="Y60" s="65" t="n">
        <f aca="false">IF(OR($B60="",$E60="",$F60=""),0,MAX(0,MIN($F60,EOMONTH(DATE(cfg_FY,4,1),0))-MAX($E60,DATE(cfg_FY,4,1))+1)*(1-IF($M60="نعم",0,N($J60))))</f>
        <v>0</v>
      </c>
      <c r="Z60" s="65" t="n">
        <f aca="false">IF(OR($B60="",$E60="",$F60=""),0,MAX(0,MIN($F60,EOMONTH(DATE(cfg_FY,5,1),0))-MAX($E60,DATE(cfg_FY,5,1))+1)*(1-IF($M60="نعم",0,N($J60))))</f>
        <v>0</v>
      </c>
      <c r="AA60" s="65" t="n">
        <f aca="false">IF(OR($B60="",$E60="",$F60=""),0,MAX(0,MIN($F60,EOMONTH(DATE(cfg_FY,6,1),0))-MAX($E60,DATE(cfg_FY,6,1))+1)*(1-IF($M60="نعم",0,N($J60))))</f>
        <v>0</v>
      </c>
      <c r="AB60" s="65" t="n">
        <f aca="false">IF(OR($B60="",$E60="",$F60=""),0,MAX(0,MIN($F60,EOMONTH(DATE(cfg_FY,7,1),0))-MAX($E60,DATE(cfg_FY,7,1))+1)*(1-IF($M60="نعم",0,N($J60))))</f>
        <v>0</v>
      </c>
      <c r="AC60" s="65" t="n">
        <f aca="false">IF(OR($B60="",$E60="",$F60=""),0,MAX(0,MIN($F60,EOMONTH(DATE(cfg_FY,8,1),0))-MAX($E60,DATE(cfg_FY,8,1))+1)*(1-IF($M60="نعم",0,N($J60))))</f>
        <v>0</v>
      </c>
      <c r="AD60" s="65" t="n">
        <f aca="false">IF(OR($B60="",$E60="",$F60=""),0,MAX(0,MIN($F60,EOMONTH(DATE(cfg_FY,9,1),0))-MAX($E60,DATE(cfg_FY,9,1))+1)*(1-IF($M60="نعم",0,N($J60))))</f>
        <v>0</v>
      </c>
      <c r="AE60" s="65" t="n">
        <f aca="false">IF(OR($B60="",$E60="",$F60=""),0,MAX(0,MIN($F60,EOMONTH(DATE(cfg_FY,10,1),0))-MAX($E60,DATE(cfg_FY,10,1))+1)*(1-IF($M60="نعم",0,N($J60))))</f>
        <v>0</v>
      </c>
      <c r="AF60" s="65" t="n">
        <f aca="false">IF(OR($B60="",$E60="",$F60=""),0,MAX(0,MIN($F60,EOMONTH(DATE(cfg_FY,11,1),0))-MAX($E60,DATE(cfg_FY,11,1))+1)*(1-IF($M60="نعم",0,N($J60))))</f>
        <v>0</v>
      </c>
      <c r="AG60" s="65" t="n">
        <f aca="false">IF(OR($B60="",$E60="",$F60=""),0,MAX(0,MIN($F60,EOMONTH(DATE(cfg_FY,12,1),0))-MAX($E60,DATE(cfg_FY,12,1))+1)*(1-IF($M60="نعم",0,N($J60))))</f>
        <v>0</v>
      </c>
      <c r="AH60" s="65" t="n">
        <f aca="false">IF(OR(OR($B60="",$E60="",$F60=""),$L60&lt;&gt;"لا"),0,MAX(0,MIN($F60,EOMONTH(DATE(cfg_FY,1,1),0))-$E60+1))</f>
        <v>0</v>
      </c>
      <c r="AI60" s="65" t="n">
        <f aca="false">IF(OR(OR($B60="",$E60="",$F60=""),$L60&lt;&gt;"لا"),0,MAX(0,MIN($F60,EOMONTH(DATE(cfg_FY,2,1),0))-$E60+1))</f>
        <v>0</v>
      </c>
      <c r="AJ60" s="65" t="n">
        <f aca="false">IF(OR(OR($B60="",$E60="",$F60=""),$L60&lt;&gt;"لا"),0,MAX(0,MIN($F60,EOMONTH(DATE(cfg_FY,3,1),0))-$E60+1))</f>
        <v>0</v>
      </c>
      <c r="AK60" s="65" t="n">
        <f aca="false">IF(OR(OR($B60="",$E60="",$F60=""),$L60&lt;&gt;"لا"),0,MAX(0,MIN($F60,EOMONTH(DATE(cfg_FY,4,1),0))-$E60+1))</f>
        <v>0</v>
      </c>
      <c r="AL60" s="65" t="n">
        <f aca="false">IF(OR(OR($B60="",$E60="",$F60=""),$L60&lt;&gt;"لا"),0,MAX(0,MIN($F60,EOMONTH(DATE(cfg_FY,5,1),0))-$E60+1))</f>
        <v>0</v>
      </c>
      <c r="AM60" s="65" t="n">
        <f aca="false">IF(OR(OR($B60="",$E60="",$F60=""),$L60&lt;&gt;"لا"),0,MAX(0,MIN($F60,EOMONTH(DATE(cfg_FY,6,1),0))-$E60+1))</f>
        <v>0</v>
      </c>
      <c r="AN60" s="65" t="n">
        <f aca="false">IF(OR(OR($B60="",$E60="",$F60=""),$L60&lt;&gt;"لا"),0,MAX(0,MIN($F60,EOMONTH(DATE(cfg_FY,7,1),0))-$E60+1))</f>
        <v>0</v>
      </c>
      <c r="AO60" s="65" t="n">
        <f aca="false">IF(OR(OR($B60="",$E60="",$F60=""),$L60&lt;&gt;"لا"),0,MAX(0,MIN($F60,EOMONTH(DATE(cfg_FY,8,1),0))-$E60+1))</f>
        <v>0</v>
      </c>
      <c r="AP60" s="65" t="n">
        <f aca="false">IF(OR(OR($B60="",$E60="",$F60=""),$L60&lt;&gt;"لا"),0,MAX(0,MIN($F60,EOMONTH(DATE(cfg_FY,9,1),0))-$E60+1))</f>
        <v>0</v>
      </c>
      <c r="AQ60" s="65" t="n">
        <f aca="false">IF(OR(OR($B60="",$E60="",$F60=""),$L60&lt;&gt;"لا"),0,MAX(0,MIN($F60,EOMONTH(DATE(cfg_FY,10,1),0))-$E60+1))</f>
        <v>0</v>
      </c>
      <c r="AR60" s="65" t="n">
        <f aca="false">IF(OR(OR($B60="",$E60="",$F60=""),$L60&lt;&gt;"لا"),0,MAX(0,MIN($F60,EOMONTH(DATE(cfg_FY,11,1),0))-$E60+1))</f>
        <v>0</v>
      </c>
      <c r="AS60" s="65" t="n">
        <f aca="false">IF(OR(OR($B60="",$E60="",$F60=""),$L60&lt;&gt;"لا"),0,MAX(0,MIN($F60,EOMONTH(DATE(cfg_FY,12,1),0))-$E60+1))</f>
        <v>0</v>
      </c>
      <c r="AT60" s="65" t="n">
        <f aca="false">IF(OR(OR($B60="",$E60="",$F60=""),$K60&lt;&gt;"نعم",$M60="نعم"),0,MAX(0,MIN($F60,EOMONTH(DATE(cfg_FY,1,1),0))-MAX($E60,DATE(cfg_FY,1,1))+1))</f>
        <v>0</v>
      </c>
      <c r="AU60" s="65" t="n">
        <f aca="false">IF(OR(OR($B60="",$E60="",$F60=""),$K60&lt;&gt;"نعم",$M60="نعم"),0,MAX(0,MIN($F60,EOMONTH(DATE(cfg_FY,2,1),0))-MAX($E60,DATE(cfg_FY,2,1))+1))</f>
        <v>0</v>
      </c>
      <c r="AV60" s="65" t="n">
        <f aca="false">IF(OR(OR($B60="",$E60="",$F60=""),$K60&lt;&gt;"نعم",$M60="نعم"),0,MAX(0,MIN($F60,EOMONTH(DATE(cfg_FY,3,1),0))-MAX($E60,DATE(cfg_FY,3,1))+1))</f>
        <v>0</v>
      </c>
      <c r="AW60" s="65" t="n">
        <f aca="false">IF(OR(OR($B60="",$E60="",$F60=""),$K60&lt;&gt;"نعم",$M60="نعم"),0,MAX(0,MIN($F60,EOMONTH(DATE(cfg_FY,4,1),0))-MAX($E60,DATE(cfg_FY,4,1))+1))</f>
        <v>0</v>
      </c>
      <c r="AX60" s="65" t="n">
        <f aca="false">IF(OR(OR($B60="",$E60="",$F60=""),$K60&lt;&gt;"نعم",$M60="نعم"),0,MAX(0,MIN($F60,EOMONTH(DATE(cfg_FY,5,1),0))-MAX($E60,DATE(cfg_FY,5,1))+1))</f>
        <v>0</v>
      </c>
      <c r="AY60" s="65" t="n">
        <f aca="false">IF(OR(OR($B60="",$E60="",$F60=""),$K60&lt;&gt;"نعم",$M60="نعم"),0,MAX(0,MIN($F60,EOMONTH(DATE(cfg_FY,6,1),0))-MAX($E60,DATE(cfg_FY,6,1))+1))</f>
        <v>0</v>
      </c>
      <c r="AZ60" s="65" t="n">
        <f aca="false">IF(OR(OR($B60="",$E60="",$F60=""),$K60&lt;&gt;"نعم",$M60="نعم"),0,MAX(0,MIN($F60,EOMONTH(DATE(cfg_FY,7,1),0))-MAX($E60,DATE(cfg_FY,7,1))+1))</f>
        <v>0</v>
      </c>
      <c r="BA60" s="65" t="n">
        <f aca="false">IF(OR(OR($B60="",$E60="",$F60=""),$K60&lt;&gt;"نعم",$M60="نعم"),0,MAX(0,MIN($F60,EOMONTH(DATE(cfg_FY,8,1),0))-MAX($E60,DATE(cfg_FY,8,1))+1))</f>
        <v>0</v>
      </c>
      <c r="BB60" s="65" t="n">
        <f aca="false">IF(OR(OR($B60="",$E60="",$F60=""),$K60&lt;&gt;"نعم",$M60="نعم"),0,MAX(0,MIN($F60,EOMONTH(DATE(cfg_FY,9,1),0))-MAX($E60,DATE(cfg_FY,9,1))+1))</f>
        <v>0</v>
      </c>
      <c r="BC60" s="65" t="n">
        <f aca="false">IF(OR(OR($B60="",$E60="",$F60=""),$K60&lt;&gt;"نعم",$M60="نعم"),0,MAX(0,MIN($F60,EOMONTH(DATE(cfg_FY,10,1),0))-MAX($E60,DATE(cfg_FY,10,1))+1))</f>
        <v>0</v>
      </c>
      <c r="BD60" s="65" t="n">
        <f aca="false">IF(OR(OR($B60="",$E60="",$F60=""),$K60&lt;&gt;"نعم",$M60="نعم"),0,MAX(0,MIN($F60,EOMONTH(DATE(cfg_FY,11,1),0))-MAX($E60,DATE(cfg_FY,11,1))+1))</f>
        <v>0</v>
      </c>
      <c r="BE60" s="65" t="n">
        <f aca="false">IF(OR(OR($B60="",$E60="",$F60=""),$K60&lt;&gt;"نعم",$M60="نعم"),0,MAX(0,MIN($F60,EOMONTH(DATE(cfg_FY,12,1),0))-MAX($E60,DATE(cfg_FY,12,1))+1))</f>
        <v>0</v>
      </c>
    </row>
    <row r="61" customFormat="false" ht="15" hidden="false" customHeight="false" outlineLevel="0" collapsed="false">
      <c r="A61" s="115" t="str">
        <f aca="false">IF(B61="","",ROW()-5)</f>
        <v/>
      </c>
      <c r="B61" s="118"/>
      <c r="C61" s="117" t="str">
        <f aca="false">IF(B61="","",IFERROR(INDEX(الموظفون!$C$6:$C$105,MATCH(B61,الموظفون!$B$6:$B$105,0)),"✖ رقم غير موجود"))</f>
        <v/>
      </c>
      <c r="D61" s="118"/>
      <c r="E61" s="119"/>
      <c r="F61" s="119"/>
      <c r="G61" s="133" t="str">
        <f aca="false">IF(OR($B61="",$E61="",$F61=""),"",MAX(0,F61-E61+1))</f>
        <v/>
      </c>
      <c r="H61" s="134" t="str">
        <f aca="false">IF(D61="","",IFERROR(VLOOKUP(D61,cfg_LT,2,FALSE()),1))</f>
        <v/>
      </c>
      <c r="I61" s="135"/>
      <c r="J61" s="134" t="str">
        <f aca="false">IF(D61="","",IF(I61&lt;&gt;"",I61,H61))</f>
        <v/>
      </c>
      <c r="K61" s="117" t="str">
        <f aca="false">IF(D61="","",IFERROR(VLOOKUP($D61,cfg_LT,3,FALSE()),""))</f>
        <v/>
      </c>
      <c r="L61" s="117" t="str">
        <f aca="false">IF(D61="","",IFERROR(VLOOKUP($D61,cfg_LT,4,FALSE()),""))</f>
        <v/>
      </c>
      <c r="M61" s="117" t="str">
        <f aca="false">IF(D61="","",IFERROR(VLOOKUP($D61,cfg_LT,5,FALSE()),""))</f>
        <v/>
      </c>
      <c r="N61" s="116" t="n">
        <f aca="false">IF(OR(OR($B61="",$E61="",$F61=""),M61&lt;&gt;"نعم"),0,G61*J61*IFERROR(INDEX(الموظفون!$R$6:$R$105,MATCH(B61,الموظفون!$B$6:$B$105,0)),0)/cfg_DAYS_M)</f>
        <v>0</v>
      </c>
      <c r="O61" s="115" t="str">
        <f aca="false">IF(OR(OR($B61="",$E61="",$F61=""),M61&lt;&gt;"نعم"),"",IF(YEAR(E61)=cfg_FY,MONTH(E61),""))</f>
        <v/>
      </c>
      <c r="P61" s="117" t="str">
        <f aca="false">IF(B61="","",IF(OR(D61="",E61="",F61=""),"⚠ أكمل النوع والتواريخ",IF(F61&lt;E61,"✖ النهاية قبل البداية",IF(COUNTIFS($B$6:$B$505,B61,$E$6:$E$505,"&lt;="&amp;F61,$F$6:$F$505,"&gt;="&amp;E61)&gt;1,"⚠ تداخل مع سجل آخر",IF(E61&gt;cfg_VAL_DATE,"⏳ قادمة",IF(F61&lt;cfg_VAL_DATE,"✔ منتهية","✈ جارية في تاريخ التقرير"))))))</f>
        <v/>
      </c>
      <c r="Q61" s="118"/>
      <c r="R61" s="133" t="n">
        <f aca="false">IF(OR(OR($B61="",$E61="",$F61=""),L61&lt;&gt;"لا"),0,MAX(0,MIN(F61,cfg_Y_START-1)-E61+1))</f>
        <v>0</v>
      </c>
      <c r="S61" s="133" t="n">
        <f aca="false">IF(OR(OR($B61="",$E61="",$F61=""),L61&lt;&gt;"لا"),0,MAX(0,MIN(F61,cfg_VAL_DATE)-E61+1))</f>
        <v>0</v>
      </c>
      <c r="T61" s="133" t="n">
        <f aca="false">IF(OR(OR($B61="",$E61="",$F61=""),K61&lt;&gt;"نعم"),0,IF(M61="نعم",IF(AND(ISNUMBER(O61),N(O61)&lt;=cfg_VAL_M),G61,0),MAX(0,MIN(F61,cfg_VAL_DATE)-MAX(E61,cfg_Y_START)+1)))</f>
        <v>0</v>
      </c>
      <c r="V61" s="133" t="n">
        <f aca="false">IF(OR($B61="",$E61="",$F61=""),0,MAX(0,MIN($F61,EOMONTH(DATE(cfg_FY,1,1),0))-MAX($E61,DATE(cfg_FY,1,1))+1)*(1-IF($M61="نعم",0,N($J61))))</f>
        <v>0</v>
      </c>
      <c r="W61" s="133" t="n">
        <f aca="false">IF(OR($B61="",$E61="",$F61=""),0,MAX(0,MIN($F61,EOMONTH(DATE(cfg_FY,2,1),0))-MAX($E61,DATE(cfg_FY,2,1))+1)*(1-IF($M61="نعم",0,N($J61))))</f>
        <v>0</v>
      </c>
      <c r="X61" s="133" t="n">
        <f aca="false">IF(OR($B61="",$E61="",$F61=""),0,MAX(0,MIN($F61,EOMONTH(DATE(cfg_FY,3,1),0))-MAX($E61,DATE(cfg_FY,3,1))+1)*(1-IF($M61="نعم",0,N($J61))))</f>
        <v>0</v>
      </c>
      <c r="Y61" s="133" t="n">
        <f aca="false">IF(OR($B61="",$E61="",$F61=""),0,MAX(0,MIN($F61,EOMONTH(DATE(cfg_FY,4,1),0))-MAX($E61,DATE(cfg_FY,4,1))+1)*(1-IF($M61="نعم",0,N($J61))))</f>
        <v>0</v>
      </c>
      <c r="Z61" s="133" t="n">
        <f aca="false">IF(OR($B61="",$E61="",$F61=""),0,MAX(0,MIN($F61,EOMONTH(DATE(cfg_FY,5,1),0))-MAX($E61,DATE(cfg_FY,5,1))+1)*(1-IF($M61="نعم",0,N($J61))))</f>
        <v>0</v>
      </c>
      <c r="AA61" s="133" t="n">
        <f aca="false">IF(OR($B61="",$E61="",$F61=""),0,MAX(0,MIN($F61,EOMONTH(DATE(cfg_FY,6,1),0))-MAX($E61,DATE(cfg_FY,6,1))+1)*(1-IF($M61="نعم",0,N($J61))))</f>
        <v>0</v>
      </c>
      <c r="AB61" s="133" t="n">
        <f aca="false">IF(OR($B61="",$E61="",$F61=""),0,MAX(0,MIN($F61,EOMONTH(DATE(cfg_FY,7,1),0))-MAX($E61,DATE(cfg_FY,7,1))+1)*(1-IF($M61="نعم",0,N($J61))))</f>
        <v>0</v>
      </c>
      <c r="AC61" s="133" t="n">
        <f aca="false">IF(OR($B61="",$E61="",$F61=""),0,MAX(0,MIN($F61,EOMONTH(DATE(cfg_FY,8,1),0))-MAX($E61,DATE(cfg_FY,8,1))+1)*(1-IF($M61="نعم",0,N($J61))))</f>
        <v>0</v>
      </c>
      <c r="AD61" s="133" t="n">
        <f aca="false">IF(OR($B61="",$E61="",$F61=""),0,MAX(0,MIN($F61,EOMONTH(DATE(cfg_FY,9,1),0))-MAX($E61,DATE(cfg_FY,9,1))+1)*(1-IF($M61="نعم",0,N($J61))))</f>
        <v>0</v>
      </c>
      <c r="AE61" s="133" t="n">
        <f aca="false">IF(OR($B61="",$E61="",$F61=""),0,MAX(0,MIN($F61,EOMONTH(DATE(cfg_FY,10,1),0))-MAX($E61,DATE(cfg_FY,10,1))+1)*(1-IF($M61="نعم",0,N($J61))))</f>
        <v>0</v>
      </c>
      <c r="AF61" s="133" t="n">
        <f aca="false">IF(OR($B61="",$E61="",$F61=""),0,MAX(0,MIN($F61,EOMONTH(DATE(cfg_FY,11,1),0))-MAX($E61,DATE(cfg_FY,11,1))+1)*(1-IF($M61="نعم",0,N($J61))))</f>
        <v>0</v>
      </c>
      <c r="AG61" s="133" t="n">
        <f aca="false">IF(OR($B61="",$E61="",$F61=""),0,MAX(0,MIN($F61,EOMONTH(DATE(cfg_FY,12,1),0))-MAX($E61,DATE(cfg_FY,12,1))+1)*(1-IF($M61="نعم",0,N($J61))))</f>
        <v>0</v>
      </c>
      <c r="AH61" s="133" t="n">
        <f aca="false">IF(OR(OR($B61="",$E61="",$F61=""),$L61&lt;&gt;"لا"),0,MAX(0,MIN($F61,EOMONTH(DATE(cfg_FY,1,1),0))-$E61+1))</f>
        <v>0</v>
      </c>
      <c r="AI61" s="133" t="n">
        <f aca="false">IF(OR(OR($B61="",$E61="",$F61=""),$L61&lt;&gt;"لا"),0,MAX(0,MIN($F61,EOMONTH(DATE(cfg_FY,2,1),0))-$E61+1))</f>
        <v>0</v>
      </c>
      <c r="AJ61" s="133" t="n">
        <f aca="false">IF(OR(OR($B61="",$E61="",$F61=""),$L61&lt;&gt;"لا"),0,MAX(0,MIN($F61,EOMONTH(DATE(cfg_FY,3,1),0))-$E61+1))</f>
        <v>0</v>
      </c>
      <c r="AK61" s="133" t="n">
        <f aca="false">IF(OR(OR($B61="",$E61="",$F61=""),$L61&lt;&gt;"لا"),0,MAX(0,MIN($F61,EOMONTH(DATE(cfg_FY,4,1),0))-$E61+1))</f>
        <v>0</v>
      </c>
      <c r="AL61" s="133" t="n">
        <f aca="false">IF(OR(OR($B61="",$E61="",$F61=""),$L61&lt;&gt;"لا"),0,MAX(0,MIN($F61,EOMONTH(DATE(cfg_FY,5,1),0))-$E61+1))</f>
        <v>0</v>
      </c>
      <c r="AM61" s="133" t="n">
        <f aca="false">IF(OR(OR($B61="",$E61="",$F61=""),$L61&lt;&gt;"لا"),0,MAX(0,MIN($F61,EOMONTH(DATE(cfg_FY,6,1),0))-$E61+1))</f>
        <v>0</v>
      </c>
      <c r="AN61" s="133" t="n">
        <f aca="false">IF(OR(OR($B61="",$E61="",$F61=""),$L61&lt;&gt;"لا"),0,MAX(0,MIN($F61,EOMONTH(DATE(cfg_FY,7,1),0))-$E61+1))</f>
        <v>0</v>
      </c>
      <c r="AO61" s="133" t="n">
        <f aca="false">IF(OR(OR($B61="",$E61="",$F61=""),$L61&lt;&gt;"لا"),0,MAX(0,MIN($F61,EOMONTH(DATE(cfg_FY,8,1),0))-$E61+1))</f>
        <v>0</v>
      </c>
      <c r="AP61" s="133" t="n">
        <f aca="false">IF(OR(OR($B61="",$E61="",$F61=""),$L61&lt;&gt;"لا"),0,MAX(0,MIN($F61,EOMONTH(DATE(cfg_FY,9,1),0))-$E61+1))</f>
        <v>0</v>
      </c>
      <c r="AQ61" s="133" t="n">
        <f aca="false">IF(OR(OR($B61="",$E61="",$F61=""),$L61&lt;&gt;"لا"),0,MAX(0,MIN($F61,EOMONTH(DATE(cfg_FY,10,1),0))-$E61+1))</f>
        <v>0</v>
      </c>
      <c r="AR61" s="133" t="n">
        <f aca="false">IF(OR(OR($B61="",$E61="",$F61=""),$L61&lt;&gt;"لا"),0,MAX(0,MIN($F61,EOMONTH(DATE(cfg_FY,11,1),0))-$E61+1))</f>
        <v>0</v>
      </c>
      <c r="AS61" s="133" t="n">
        <f aca="false">IF(OR(OR($B61="",$E61="",$F61=""),$L61&lt;&gt;"لا"),0,MAX(0,MIN($F61,EOMONTH(DATE(cfg_FY,12,1),0))-$E61+1))</f>
        <v>0</v>
      </c>
      <c r="AT61" s="133" t="n">
        <f aca="false">IF(OR(OR($B61="",$E61="",$F61=""),$K61&lt;&gt;"نعم",$M61="نعم"),0,MAX(0,MIN($F61,EOMONTH(DATE(cfg_FY,1,1),0))-MAX($E61,DATE(cfg_FY,1,1))+1))</f>
        <v>0</v>
      </c>
      <c r="AU61" s="133" t="n">
        <f aca="false">IF(OR(OR($B61="",$E61="",$F61=""),$K61&lt;&gt;"نعم",$M61="نعم"),0,MAX(0,MIN($F61,EOMONTH(DATE(cfg_FY,2,1),0))-MAX($E61,DATE(cfg_FY,2,1))+1))</f>
        <v>0</v>
      </c>
      <c r="AV61" s="133" t="n">
        <f aca="false">IF(OR(OR($B61="",$E61="",$F61=""),$K61&lt;&gt;"نعم",$M61="نعم"),0,MAX(0,MIN($F61,EOMONTH(DATE(cfg_FY,3,1),0))-MAX($E61,DATE(cfg_FY,3,1))+1))</f>
        <v>0</v>
      </c>
      <c r="AW61" s="133" t="n">
        <f aca="false">IF(OR(OR($B61="",$E61="",$F61=""),$K61&lt;&gt;"نعم",$M61="نعم"),0,MAX(0,MIN($F61,EOMONTH(DATE(cfg_FY,4,1),0))-MAX($E61,DATE(cfg_FY,4,1))+1))</f>
        <v>0</v>
      </c>
      <c r="AX61" s="133" t="n">
        <f aca="false">IF(OR(OR($B61="",$E61="",$F61=""),$K61&lt;&gt;"نعم",$M61="نعم"),0,MAX(0,MIN($F61,EOMONTH(DATE(cfg_FY,5,1),0))-MAX($E61,DATE(cfg_FY,5,1))+1))</f>
        <v>0</v>
      </c>
      <c r="AY61" s="133" t="n">
        <f aca="false">IF(OR(OR($B61="",$E61="",$F61=""),$K61&lt;&gt;"نعم",$M61="نعم"),0,MAX(0,MIN($F61,EOMONTH(DATE(cfg_FY,6,1),0))-MAX($E61,DATE(cfg_FY,6,1))+1))</f>
        <v>0</v>
      </c>
      <c r="AZ61" s="133" t="n">
        <f aca="false">IF(OR(OR($B61="",$E61="",$F61=""),$K61&lt;&gt;"نعم",$M61="نعم"),0,MAX(0,MIN($F61,EOMONTH(DATE(cfg_FY,7,1),0))-MAX($E61,DATE(cfg_FY,7,1))+1))</f>
        <v>0</v>
      </c>
      <c r="BA61" s="133" t="n">
        <f aca="false">IF(OR(OR($B61="",$E61="",$F61=""),$K61&lt;&gt;"نعم",$M61="نعم"),0,MAX(0,MIN($F61,EOMONTH(DATE(cfg_FY,8,1),0))-MAX($E61,DATE(cfg_FY,8,1))+1))</f>
        <v>0</v>
      </c>
      <c r="BB61" s="133" t="n">
        <f aca="false">IF(OR(OR($B61="",$E61="",$F61=""),$K61&lt;&gt;"نعم",$M61="نعم"),0,MAX(0,MIN($F61,EOMONTH(DATE(cfg_FY,9,1),0))-MAX($E61,DATE(cfg_FY,9,1))+1))</f>
        <v>0</v>
      </c>
      <c r="BC61" s="133" t="n">
        <f aca="false">IF(OR(OR($B61="",$E61="",$F61=""),$K61&lt;&gt;"نعم",$M61="نعم"),0,MAX(0,MIN($F61,EOMONTH(DATE(cfg_FY,10,1),0))-MAX($E61,DATE(cfg_FY,10,1))+1))</f>
        <v>0</v>
      </c>
      <c r="BD61" s="133" t="n">
        <f aca="false">IF(OR(OR($B61="",$E61="",$F61=""),$K61&lt;&gt;"نعم",$M61="نعم"),0,MAX(0,MIN($F61,EOMONTH(DATE(cfg_FY,11,1),0))-MAX($E61,DATE(cfg_FY,11,1))+1))</f>
        <v>0</v>
      </c>
      <c r="BE61" s="133" t="n">
        <f aca="false">IF(OR(OR($B61="",$E61="",$F61=""),$K61&lt;&gt;"نعم",$M61="نعم"),0,MAX(0,MIN($F61,EOMONTH(DATE(cfg_FY,12,1),0))-MAX($E61,DATE(cfg_FY,12,1))+1))</f>
        <v>0</v>
      </c>
    </row>
    <row r="62" customFormat="false" ht="15" hidden="false" customHeight="false" outlineLevel="0" collapsed="false">
      <c r="A62" s="106" t="str">
        <f aca="false">IF(B62="","",ROW()-5)</f>
        <v/>
      </c>
      <c r="B62" s="118"/>
      <c r="C62" s="114" t="str">
        <f aca="false">IF(B62="","",IFERROR(INDEX(الموظفون!$C$6:$C$105,MATCH(B62,الموظفون!$B$6:$B$105,0)),"✖ رقم غير موجود"))</f>
        <v/>
      </c>
      <c r="D62" s="118"/>
      <c r="E62" s="119"/>
      <c r="F62" s="119"/>
      <c r="G62" s="65" t="str">
        <f aca="false">IF(OR($B62="",$E62="",$F62=""),"",MAX(0,F62-E62+1))</f>
        <v/>
      </c>
      <c r="H62" s="66" t="str">
        <f aca="false">IF(D62="","",IFERROR(VLOOKUP(D62,cfg_LT,2,FALSE()),1))</f>
        <v/>
      </c>
      <c r="I62" s="135"/>
      <c r="J62" s="66" t="str">
        <f aca="false">IF(D62="","",IF(I62&lt;&gt;"",I62,H62))</f>
        <v/>
      </c>
      <c r="K62" s="114" t="str">
        <f aca="false">IF(D62="","",IFERROR(VLOOKUP($D62,cfg_LT,3,FALSE()),""))</f>
        <v/>
      </c>
      <c r="L62" s="114" t="str">
        <f aca="false">IF(D62="","",IFERROR(VLOOKUP($D62,cfg_LT,4,FALSE()),""))</f>
        <v/>
      </c>
      <c r="M62" s="114" t="str">
        <f aca="false">IF(D62="","",IFERROR(VLOOKUP($D62,cfg_LT,5,FALSE()),""))</f>
        <v/>
      </c>
      <c r="N62" s="111" t="n">
        <f aca="false">IF(OR(OR($B62="",$E62="",$F62=""),M62&lt;&gt;"نعم"),0,G62*J62*IFERROR(INDEX(الموظفون!$R$6:$R$105,MATCH(B62,الموظفون!$B$6:$B$105,0)),0)/cfg_DAYS_M)</f>
        <v>0</v>
      </c>
      <c r="O62" s="106" t="str">
        <f aca="false">IF(OR(OR($B62="",$E62="",$F62=""),M62&lt;&gt;"نعم"),"",IF(YEAR(E62)=cfg_FY,MONTH(E62),""))</f>
        <v/>
      </c>
      <c r="P62" s="114" t="str">
        <f aca="false">IF(B62="","",IF(OR(D62="",E62="",F62=""),"⚠ أكمل النوع والتواريخ",IF(F62&lt;E62,"✖ النهاية قبل البداية",IF(COUNTIFS($B$6:$B$505,B62,$E$6:$E$505,"&lt;="&amp;F62,$F$6:$F$505,"&gt;="&amp;E62)&gt;1,"⚠ تداخل مع سجل آخر",IF(E62&gt;cfg_VAL_DATE,"⏳ قادمة",IF(F62&lt;cfg_VAL_DATE,"✔ منتهية","✈ جارية في تاريخ التقرير"))))))</f>
        <v/>
      </c>
      <c r="Q62" s="118"/>
      <c r="R62" s="65" t="n">
        <f aca="false">IF(OR(OR($B62="",$E62="",$F62=""),L62&lt;&gt;"لا"),0,MAX(0,MIN(F62,cfg_Y_START-1)-E62+1))</f>
        <v>0</v>
      </c>
      <c r="S62" s="65" t="n">
        <f aca="false">IF(OR(OR($B62="",$E62="",$F62=""),L62&lt;&gt;"لا"),0,MAX(0,MIN(F62,cfg_VAL_DATE)-E62+1))</f>
        <v>0</v>
      </c>
      <c r="T62" s="65" t="n">
        <f aca="false">IF(OR(OR($B62="",$E62="",$F62=""),K62&lt;&gt;"نعم"),0,IF(M62="نعم",IF(AND(ISNUMBER(O62),N(O62)&lt;=cfg_VAL_M),G62,0),MAX(0,MIN(F62,cfg_VAL_DATE)-MAX(E62,cfg_Y_START)+1)))</f>
        <v>0</v>
      </c>
      <c r="V62" s="65" t="n">
        <f aca="false">IF(OR($B62="",$E62="",$F62=""),0,MAX(0,MIN($F62,EOMONTH(DATE(cfg_FY,1,1),0))-MAX($E62,DATE(cfg_FY,1,1))+1)*(1-IF($M62="نعم",0,N($J62))))</f>
        <v>0</v>
      </c>
      <c r="W62" s="65" t="n">
        <f aca="false">IF(OR($B62="",$E62="",$F62=""),0,MAX(0,MIN($F62,EOMONTH(DATE(cfg_FY,2,1),0))-MAX($E62,DATE(cfg_FY,2,1))+1)*(1-IF($M62="نعم",0,N($J62))))</f>
        <v>0</v>
      </c>
      <c r="X62" s="65" t="n">
        <f aca="false">IF(OR($B62="",$E62="",$F62=""),0,MAX(0,MIN($F62,EOMONTH(DATE(cfg_FY,3,1),0))-MAX($E62,DATE(cfg_FY,3,1))+1)*(1-IF($M62="نعم",0,N($J62))))</f>
        <v>0</v>
      </c>
      <c r="Y62" s="65" t="n">
        <f aca="false">IF(OR($B62="",$E62="",$F62=""),0,MAX(0,MIN($F62,EOMONTH(DATE(cfg_FY,4,1),0))-MAX($E62,DATE(cfg_FY,4,1))+1)*(1-IF($M62="نعم",0,N($J62))))</f>
        <v>0</v>
      </c>
      <c r="Z62" s="65" t="n">
        <f aca="false">IF(OR($B62="",$E62="",$F62=""),0,MAX(0,MIN($F62,EOMONTH(DATE(cfg_FY,5,1),0))-MAX($E62,DATE(cfg_FY,5,1))+1)*(1-IF($M62="نعم",0,N($J62))))</f>
        <v>0</v>
      </c>
      <c r="AA62" s="65" t="n">
        <f aca="false">IF(OR($B62="",$E62="",$F62=""),0,MAX(0,MIN($F62,EOMONTH(DATE(cfg_FY,6,1),0))-MAX($E62,DATE(cfg_FY,6,1))+1)*(1-IF($M62="نعم",0,N($J62))))</f>
        <v>0</v>
      </c>
      <c r="AB62" s="65" t="n">
        <f aca="false">IF(OR($B62="",$E62="",$F62=""),0,MAX(0,MIN($F62,EOMONTH(DATE(cfg_FY,7,1),0))-MAX($E62,DATE(cfg_FY,7,1))+1)*(1-IF($M62="نعم",0,N($J62))))</f>
        <v>0</v>
      </c>
      <c r="AC62" s="65" t="n">
        <f aca="false">IF(OR($B62="",$E62="",$F62=""),0,MAX(0,MIN($F62,EOMONTH(DATE(cfg_FY,8,1),0))-MAX($E62,DATE(cfg_FY,8,1))+1)*(1-IF($M62="نعم",0,N($J62))))</f>
        <v>0</v>
      </c>
      <c r="AD62" s="65" t="n">
        <f aca="false">IF(OR($B62="",$E62="",$F62=""),0,MAX(0,MIN($F62,EOMONTH(DATE(cfg_FY,9,1),0))-MAX($E62,DATE(cfg_FY,9,1))+1)*(1-IF($M62="نعم",0,N($J62))))</f>
        <v>0</v>
      </c>
      <c r="AE62" s="65" t="n">
        <f aca="false">IF(OR($B62="",$E62="",$F62=""),0,MAX(0,MIN($F62,EOMONTH(DATE(cfg_FY,10,1),0))-MAX($E62,DATE(cfg_FY,10,1))+1)*(1-IF($M62="نعم",0,N($J62))))</f>
        <v>0</v>
      </c>
      <c r="AF62" s="65" t="n">
        <f aca="false">IF(OR($B62="",$E62="",$F62=""),0,MAX(0,MIN($F62,EOMONTH(DATE(cfg_FY,11,1),0))-MAX($E62,DATE(cfg_FY,11,1))+1)*(1-IF($M62="نعم",0,N($J62))))</f>
        <v>0</v>
      </c>
      <c r="AG62" s="65" t="n">
        <f aca="false">IF(OR($B62="",$E62="",$F62=""),0,MAX(0,MIN($F62,EOMONTH(DATE(cfg_FY,12,1),0))-MAX($E62,DATE(cfg_FY,12,1))+1)*(1-IF($M62="نعم",0,N($J62))))</f>
        <v>0</v>
      </c>
      <c r="AH62" s="65" t="n">
        <f aca="false">IF(OR(OR($B62="",$E62="",$F62=""),$L62&lt;&gt;"لا"),0,MAX(0,MIN($F62,EOMONTH(DATE(cfg_FY,1,1),0))-$E62+1))</f>
        <v>0</v>
      </c>
      <c r="AI62" s="65" t="n">
        <f aca="false">IF(OR(OR($B62="",$E62="",$F62=""),$L62&lt;&gt;"لا"),0,MAX(0,MIN($F62,EOMONTH(DATE(cfg_FY,2,1),0))-$E62+1))</f>
        <v>0</v>
      </c>
      <c r="AJ62" s="65" t="n">
        <f aca="false">IF(OR(OR($B62="",$E62="",$F62=""),$L62&lt;&gt;"لا"),0,MAX(0,MIN($F62,EOMONTH(DATE(cfg_FY,3,1),0))-$E62+1))</f>
        <v>0</v>
      </c>
      <c r="AK62" s="65" t="n">
        <f aca="false">IF(OR(OR($B62="",$E62="",$F62=""),$L62&lt;&gt;"لا"),0,MAX(0,MIN($F62,EOMONTH(DATE(cfg_FY,4,1),0))-$E62+1))</f>
        <v>0</v>
      </c>
      <c r="AL62" s="65" t="n">
        <f aca="false">IF(OR(OR($B62="",$E62="",$F62=""),$L62&lt;&gt;"لا"),0,MAX(0,MIN($F62,EOMONTH(DATE(cfg_FY,5,1),0))-$E62+1))</f>
        <v>0</v>
      </c>
      <c r="AM62" s="65" t="n">
        <f aca="false">IF(OR(OR($B62="",$E62="",$F62=""),$L62&lt;&gt;"لا"),0,MAX(0,MIN($F62,EOMONTH(DATE(cfg_FY,6,1),0))-$E62+1))</f>
        <v>0</v>
      </c>
      <c r="AN62" s="65" t="n">
        <f aca="false">IF(OR(OR($B62="",$E62="",$F62=""),$L62&lt;&gt;"لا"),0,MAX(0,MIN($F62,EOMONTH(DATE(cfg_FY,7,1),0))-$E62+1))</f>
        <v>0</v>
      </c>
      <c r="AO62" s="65" t="n">
        <f aca="false">IF(OR(OR($B62="",$E62="",$F62=""),$L62&lt;&gt;"لا"),0,MAX(0,MIN($F62,EOMONTH(DATE(cfg_FY,8,1),0))-$E62+1))</f>
        <v>0</v>
      </c>
      <c r="AP62" s="65" t="n">
        <f aca="false">IF(OR(OR($B62="",$E62="",$F62=""),$L62&lt;&gt;"لا"),0,MAX(0,MIN($F62,EOMONTH(DATE(cfg_FY,9,1),0))-$E62+1))</f>
        <v>0</v>
      </c>
      <c r="AQ62" s="65" t="n">
        <f aca="false">IF(OR(OR($B62="",$E62="",$F62=""),$L62&lt;&gt;"لا"),0,MAX(0,MIN($F62,EOMONTH(DATE(cfg_FY,10,1),0))-$E62+1))</f>
        <v>0</v>
      </c>
      <c r="AR62" s="65" t="n">
        <f aca="false">IF(OR(OR($B62="",$E62="",$F62=""),$L62&lt;&gt;"لا"),0,MAX(0,MIN($F62,EOMONTH(DATE(cfg_FY,11,1),0))-$E62+1))</f>
        <v>0</v>
      </c>
      <c r="AS62" s="65" t="n">
        <f aca="false">IF(OR(OR($B62="",$E62="",$F62=""),$L62&lt;&gt;"لا"),0,MAX(0,MIN($F62,EOMONTH(DATE(cfg_FY,12,1),0))-$E62+1))</f>
        <v>0</v>
      </c>
      <c r="AT62" s="65" t="n">
        <f aca="false">IF(OR(OR($B62="",$E62="",$F62=""),$K62&lt;&gt;"نعم",$M62="نعم"),0,MAX(0,MIN($F62,EOMONTH(DATE(cfg_FY,1,1),0))-MAX($E62,DATE(cfg_FY,1,1))+1))</f>
        <v>0</v>
      </c>
      <c r="AU62" s="65" t="n">
        <f aca="false">IF(OR(OR($B62="",$E62="",$F62=""),$K62&lt;&gt;"نعم",$M62="نعم"),0,MAX(0,MIN($F62,EOMONTH(DATE(cfg_FY,2,1),0))-MAX($E62,DATE(cfg_FY,2,1))+1))</f>
        <v>0</v>
      </c>
      <c r="AV62" s="65" t="n">
        <f aca="false">IF(OR(OR($B62="",$E62="",$F62=""),$K62&lt;&gt;"نعم",$M62="نعم"),0,MAX(0,MIN($F62,EOMONTH(DATE(cfg_FY,3,1),0))-MAX($E62,DATE(cfg_FY,3,1))+1))</f>
        <v>0</v>
      </c>
      <c r="AW62" s="65" t="n">
        <f aca="false">IF(OR(OR($B62="",$E62="",$F62=""),$K62&lt;&gt;"نعم",$M62="نعم"),0,MAX(0,MIN($F62,EOMONTH(DATE(cfg_FY,4,1),0))-MAX($E62,DATE(cfg_FY,4,1))+1))</f>
        <v>0</v>
      </c>
      <c r="AX62" s="65" t="n">
        <f aca="false">IF(OR(OR($B62="",$E62="",$F62=""),$K62&lt;&gt;"نعم",$M62="نعم"),0,MAX(0,MIN($F62,EOMONTH(DATE(cfg_FY,5,1),0))-MAX($E62,DATE(cfg_FY,5,1))+1))</f>
        <v>0</v>
      </c>
      <c r="AY62" s="65" t="n">
        <f aca="false">IF(OR(OR($B62="",$E62="",$F62=""),$K62&lt;&gt;"نعم",$M62="نعم"),0,MAX(0,MIN($F62,EOMONTH(DATE(cfg_FY,6,1),0))-MAX($E62,DATE(cfg_FY,6,1))+1))</f>
        <v>0</v>
      </c>
      <c r="AZ62" s="65" t="n">
        <f aca="false">IF(OR(OR($B62="",$E62="",$F62=""),$K62&lt;&gt;"نعم",$M62="نعم"),0,MAX(0,MIN($F62,EOMONTH(DATE(cfg_FY,7,1),0))-MAX($E62,DATE(cfg_FY,7,1))+1))</f>
        <v>0</v>
      </c>
      <c r="BA62" s="65" t="n">
        <f aca="false">IF(OR(OR($B62="",$E62="",$F62=""),$K62&lt;&gt;"نعم",$M62="نعم"),0,MAX(0,MIN($F62,EOMONTH(DATE(cfg_FY,8,1),0))-MAX($E62,DATE(cfg_FY,8,1))+1))</f>
        <v>0</v>
      </c>
      <c r="BB62" s="65" t="n">
        <f aca="false">IF(OR(OR($B62="",$E62="",$F62=""),$K62&lt;&gt;"نعم",$M62="نعم"),0,MAX(0,MIN($F62,EOMONTH(DATE(cfg_FY,9,1),0))-MAX($E62,DATE(cfg_FY,9,1))+1))</f>
        <v>0</v>
      </c>
      <c r="BC62" s="65" t="n">
        <f aca="false">IF(OR(OR($B62="",$E62="",$F62=""),$K62&lt;&gt;"نعم",$M62="نعم"),0,MAX(0,MIN($F62,EOMONTH(DATE(cfg_FY,10,1),0))-MAX($E62,DATE(cfg_FY,10,1))+1))</f>
        <v>0</v>
      </c>
      <c r="BD62" s="65" t="n">
        <f aca="false">IF(OR(OR($B62="",$E62="",$F62=""),$K62&lt;&gt;"نعم",$M62="نعم"),0,MAX(0,MIN($F62,EOMONTH(DATE(cfg_FY,11,1),0))-MAX($E62,DATE(cfg_FY,11,1))+1))</f>
        <v>0</v>
      </c>
      <c r="BE62" s="65" t="n">
        <f aca="false">IF(OR(OR($B62="",$E62="",$F62=""),$K62&lt;&gt;"نعم",$M62="نعم"),0,MAX(0,MIN($F62,EOMONTH(DATE(cfg_FY,12,1),0))-MAX($E62,DATE(cfg_FY,12,1))+1))</f>
        <v>0</v>
      </c>
    </row>
    <row r="63" customFormat="false" ht="15" hidden="false" customHeight="false" outlineLevel="0" collapsed="false">
      <c r="A63" s="115" t="str">
        <f aca="false">IF(B63="","",ROW()-5)</f>
        <v/>
      </c>
      <c r="B63" s="118"/>
      <c r="C63" s="117" t="str">
        <f aca="false">IF(B63="","",IFERROR(INDEX(الموظفون!$C$6:$C$105,MATCH(B63,الموظفون!$B$6:$B$105,0)),"✖ رقم غير موجود"))</f>
        <v/>
      </c>
      <c r="D63" s="118"/>
      <c r="E63" s="119"/>
      <c r="F63" s="119"/>
      <c r="G63" s="133" t="str">
        <f aca="false">IF(OR($B63="",$E63="",$F63=""),"",MAX(0,F63-E63+1))</f>
        <v/>
      </c>
      <c r="H63" s="134" t="str">
        <f aca="false">IF(D63="","",IFERROR(VLOOKUP(D63,cfg_LT,2,FALSE()),1))</f>
        <v/>
      </c>
      <c r="I63" s="135"/>
      <c r="J63" s="134" t="str">
        <f aca="false">IF(D63="","",IF(I63&lt;&gt;"",I63,H63))</f>
        <v/>
      </c>
      <c r="K63" s="117" t="str">
        <f aca="false">IF(D63="","",IFERROR(VLOOKUP($D63,cfg_LT,3,FALSE()),""))</f>
        <v/>
      </c>
      <c r="L63" s="117" t="str">
        <f aca="false">IF(D63="","",IFERROR(VLOOKUP($D63,cfg_LT,4,FALSE()),""))</f>
        <v/>
      </c>
      <c r="M63" s="117" t="str">
        <f aca="false">IF(D63="","",IFERROR(VLOOKUP($D63,cfg_LT,5,FALSE()),""))</f>
        <v/>
      </c>
      <c r="N63" s="116" t="n">
        <f aca="false">IF(OR(OR($B63="",$E63="",$F63=""),M63&lt;&gt;"نعم"),0,G63*J63*IFERROR(INDEX(الموظفون!$R$6:$R$105,MATCH(B63,الموظفون!$B$6:$B$105,0)),0)/cfg_DAYS_M)</f>
        <v>0</v>
      </c>
      <c r="O63" s="115" t="str">
        <f aca="false">IF(OR(OR($B63="",$E63="",$F63=""),M63&lt;&gt;"نعم"),"",IF(YEAR(E63)=cfg_FY,MONTH(E63),""))</f>
        <v/>
      </c>
      <c r="P63" s="117" t="str">
        <f aca="false">IF(B63="","",IF(OR(D63="",E63="",F63=""),"⚠ أكمل النوع والتواريخ",IF(F63&lt;E63,"✖ النهاية قبل البداية",IF(COUNTIFS($B$6:$B$505,B63,$E$6:$E$505,"&lt;="&amp;F63,$F$6:$F$505,"&gt;="&amp;E63)&gt;1,"⚠ تداخل مع سجل آخر",IF(E63&gt;cfg_VAL_DATE,"⏳ قادمة",IF(F63&lt;cfg_VAL_DATE,"✔ منتهية","✈ جارية في تاريخ التقرير"))))))</f>
        <v/>
      </c>
      <c r="Q63" s="118"/>
      <c r="R63" s="133" t="n">
        <f aca="false">IF(OR(OR($B63="",$E63="",$F63=""),L63&lt;&gt;"لا"),0,MAX(0,MIN(F63,cfg_Y_START-1)-E63+1))</f>
        <v>0</v>
      </c>
      <c r="S63" s="133" t="n">
        <f aca="false">IF(OR(OR($B63="",$E63="",$F63=""),L63&lt;&gt;"لا"),0,MAX(0,MIN(F63,cfg_VAL_DATE)-E63+1))</f>
        <v>0</v>
      </c>
      <c r="T63" s="133" t="n">
        <f aca="false">IF(OR(OR($B63="",$E63="",$F63=""),K63&lt;&gt;"نعم"),0,IF(M63="نعم",IF(AND(ISNUMBER(O63),N(O63)&lt;=cfg_VAL_M),G63,0),MAX(0,MIN(F63,cfg_VAL_DATE)-MAX(E63,cfg_Y_START)+1)))</f>
        <v>0</v>
      </c>
      <c r="V63" s="133" t="n">
        <f aca="false">IF(OR($B63="",$E63="",$F63=""),0,MAX(0,MIN($F63,EOMONTH(DATE(cfg_FY,1,1),0))-MAX($E63,DATE(cfg_FY,1,1))+1)*(1-IF($M63="نعم",0,N($J63))))</f>
        <v>0</v>
      </c>
      <c r="W63" s="133" t="n">
        <f aca="false">IF(OR($B63="",$E63="",$F63=""),0,MAX(0,MIN($F63,EOMONTH(DATE(cfg_FY,2,1),0))-MAX($E63,DATE(cfg_FY,2,1))+1)*(1-IF($M63="نعم",0,N($J63))))</f>
        <v>0</v>
      </c>
      <c r="X63" s="133" t="n">
        <f aca="false">IF(OR($B63="",$E63="",$F63=""),0,MAX(0,MIN($F63,EOMONTH(DATE(cfg_FY,3,1),0))-MAX($E63,DATE(cfg_FY,3,1))+1)*(1-IF($M63="نعم",0,N($J63))))</f>
        <v>0</v>
      </c>
      <c r="Y63" s="133" t="n">
        <f aca="false">IF(OR($B63="",$E63="",$F63=""),0,MAX(0,MIN($F63,EOMONTH(DATE(cfg_FY,4,1),0))-MAX($E63,DATE(cfg_FY,4,1))+1)*(1-IF($M63="نعم",0,N($J63))))</f>
        <v>0</v>
      </c>
      <c r="Z63" s="133" t="n">
        <f aca="false">IF(OR($B63="",$E63="",$F63=""),0,MAX(0,MIN($F63,EOMONTH(DATE(cfg_FY,5,1),0))-MAX($E63,DATE(cfg_FY,5,1))+1)*(1-IF($M63="نعم",0,N($J63))))</f>
        <v>0</v>
      </c>
      <c r="AA63" s="133" t="n">
        <f aca="false">IF(OR($B63="",$E63="",$F63=""),0,MAX(0,MIN($F63,EOMONTH(DATE(cfg_FY,6,1),0))-MAX($E63,DATE(cfg_FY,6,1))+1)*(1-IF($M63="نعم",0,N($J63))))</f>
        <v>0</v>
      </c>
      <c r="AB63" s="133" t="n">
        <f aca="false">IF(OR($B63="",$E63="",$F63=""),0,MAX(0,MIN($F63,EOMONTH(DATE(cfg_FY,7,1),0))-MAX($E63,DATE(cfg_FY,7,1))+1)*(1-IF($M63="نعم",0,N($J63))))</f>
        <v>0</v>
      </c>
      <c r="AC63" s="133" t="n">
        <f aca="false">IF(OR($B63="",$E63="",$F63=""),0,MAX(0,MIN($F63,EOMONTH(DATE(cfg_FY,8,1),0))-MAX($E63,DATE(cfg_FY,8,1))+1)*(1-IF($M63="نعم",0,N($J63))))</f>
        <v>0</v>
      </c>
      <c r="AD63" s="133" t="n">
        <f aca="false">IF(OR($B63="",$E63="",$F63=""),0,MAX(0,MIN($F63,EOMONTH(DATE(cfg_FY,9,1),0))-MAX($E63,DATE(cfg_FY,9,1))+1)*(1-IF($M63="نعم",0,N($J63))))</f>
        <v>0</v>
      </c>
      <c r="AE63" s="133" t="n">
        <f aca="false">IF(OR($B63="",$E63="",$F63=""),0,MAX(0,MIN($F63,EOMONTH(DATE(cfg_FY,10,1),0))-MAX($E63,DATE(cfg_FY,10,1))+1)*(1-IF($M63="نعم",0,N($J63))))</f>
        <v>0</v>
      </c>
      <c r="AF63" s="133" t="n">
        <f aca="false">IF(OR($B63="",$E63="",$F63=""),0,MAX(0,MIN($F63,EOMONTH(DATE(cfg_FY,11,1),0))-MAX($E63,DATE(cfg_FY,11,1))+1)*(1-IF($M63="نعم",0,N($J63))))</f>
        <v>0</v>
      </c>
      <c r="AG63" s="133" t="n">
        <f aca="false">IF(OR($B63="",$E63="",$F63=""),0,MAX(0,MIN($F63,EOMONTH(DATE(cfg_FY,12,1),0))-MAX($E63,DATE(cfg_FY,12,1))+1)*(1-IF($M63="نعم",0,N($J63))))</f>
        <v>0</v>
      </c>
      <c r="AH63" s="133" t="n">
        <f aca="false">IF(OR(OR($B63="",$E63="",$F63=""),$L63&lt;&gt;"لا"),0,MAX(0,MIN($F63,EOMONTH(DATE(cfg_FY,1,1),0))-$E63+1))</f>
        <v>0</v>
      </c>
      <c r="AI63" s="133" t="n">
        <f aca="false">IF(OR(OR($B63="",$E63="",$F63=""),$L63&lt;&gt;"لا"),0,MAX(0,MIN($F63,EOMONTH(DATE(cfg_FY,2,1),0))-$E63+1))</f>
        <v>0</v>
      </c>
      <c r="AJ63" s="133" t="n">
        <f aca="false">IF(OR(OR($B63="",$E63="",$F63=""),$L63&lt;&gt;"لا"),0,MAX(0,MIN($F63,EOMONTH(DATE(cfg_FY,3,1),0))-$E63+1))</f>
        <v>0</v>
      </c>
      <c r="AK63" s="133" t="n">
        <f aca="false">IF(OR(OR($B63="",$E63="",$F63=""),$L63&lt;&gt;"لا"),0,MAX(0,MIN($F63,EOMONTH(DATE(cfg_FY,4,1),0))-$E63+1))</f>
        <v>0</v>
      </c>
      <c r="AL63" s="133" t="n">
        <f aca="false">IF(OR(OR($B63="",$E63="",$F63=""),$L63&lt;&gt;"لا"),0,MAX(0,MIN($F63,EOMONTH(DATE(cfg_FY,5,1),0))-$E63+1))</f>
        <v>0</v>
      </c>
      <c r="AM63" s="133" t="n">
        <f aca="false">IF(OR(OR($B63="",$E63="",$F63=""),$L63&lt;&gt;"لا"),0,MAX(0,MIN($F63,EOMONTH(DATE(cfg_FY,6,1),0))-$E63+1))</f>
        <v>0</v>
      </c>
      <c r="AN63" s="133" t="n">
        <f aca="false">IF(OR(OR($B63="",$E63="",$F63=""),$L63&lt;&gt;"لا"),0,MAX(0,MIN($F63,EOMONTH(DATE(cfg_FY,7,1),0))-$E63+1))</f>
        <v>0</v>
      </c>
      <c r="AO63" s="133" t="n">
        <f aca="false">IF(OR(OR($B63="",$E63="",$F63=""),$L63&lt;&gt;"لا"),0,MAX(0,MIN($F63,EOMONTH(DATE(cfg_FY,8,1),0))-$E63+1))</f>
        <v>0</v>
      </c>
      <c r="AP63" s="133" t="n">
        <f aca="false">IF(OR(OR($B63="",$E63="",$F63=""),$L63&lt;&gt;"لا"),0,MAX(0,MIN($F63,EOMONTH(DATE(cfg_FY,9,1),0))-$E63+1))</f>
        <v>0</v>
      </c>
      <c r="AQ63" s="133" t="n">
        <f aca="false">IF(OR(OR($B63="",$E63="",$F63=""),$L63&lt;&gt;"لا"),0,MAX(0,MIN($F63,EOMONTH(DATE(cfg_FY,10,1),0))-$E63+1))</f>
        <v>0</v>
      </c>
      <c r="AR63" s="133" t="n">
        <f aca="false">IF(OR(OR($B63="",$E63="",$F63=""),$L63&lt;&gt;"لا"),0,MAX(0,MIN($F63,EOMONTH(DATE(cfg_FY,11,1),0))-$E63+1))</f>
        <v>0</v>
      </c>
      <c r="AS63" s="133" t="n">
        <f aca="false">IF(OR(OR($B63="",$E63="",$F63=""),$L63&lt;&gt;"لا"),0,MAX(0,MIN($F63,EOMONTH(DATE(cfg_FY,12,1),0))-$E63+1))</f>
        <v>0</v>
      </c>
      <c r="AT63" s="133" t="n">
        <f aca="false">IF(OR(OR($B63="",$E63="",$F63=""),$K63&lt;&gt;"نعم",$M63="نعم"),0,MAX(0,MIN($F63,EOMONTH(DATE(cfg_FY,1,1),0))-MAX($E63,DATE(cfg_FY,1,1))+1))</f>
        <v>0</v>
      </c>
      <c r="AU63" s="133" t="n">
        <f aca="false">IF(OR(OR($B63="",$E63="",$F63=""),$K63&lt;&gt;"نعم",$M63="نعم"),0,MAX(0,MIN($F63,EOMONTH(DATE(cfg_FY,2,1),0))-MAX($E63,DATE(cfg_FY,2,1))+1))</f>
        <v>0</v>
      </c>
      <c r="AV63" s="133" t="n">
        <f aca="false">IF(OR(OR($B63="",$E63="",$F63=""),$K63&lt;&gt;"نعم",$M63="نعم"),0,MAX(0,MIN($F63,EOMONTH(DATE(cfg_FY,3,1),0))-MAX($E63,DATE(cfg_FY,3,1))+1))</f>
        <v>0</v>
      </c>
      <c r="AW63" s="133" t="n">
        <f aca="false">IF(OR(OR($B63="",$E63="",$F63=""),$K63&lt;&gt;"نعم",$M63="نعم"),0,MAX(0,MIN($F63,EOMONTH(DATE(cfg_FY,4,1),0))-MAX($E63,DATE(cfg_FY,4,1))+1))</f>
        <v>0</v>
      </c>
      <c r="AX63" s="133" t="n">
        <f aca="false">IF(OR(OR($B63="",$E63="",$F63=""),$K63&lt;&gt;"نعم",$M63="نعم"),0,MAX(0,MIN($F63,EOMONTH(DATE(cfg_FY,5,1),0))-MAX($E63,DATE(cfg_FY,5,1))+1))</f>
        <v>0</v>
      </c>
      <c r="AY63" s="133" t="n">
        <f aca="false">IF(OR(OR($B63="",$E63="",$F63=""),$K63&lt;&gt;"نعم",$M63="نعم"),0,MAX(0,MIN($F63,EOMONTH(DATE(cfg_FY,6,1),0))-MAX($E63,DATE(cfg_FY,6,1))+1))</f>
        <v>0</v>
      </c>
      <c r="AZ63" s="133" t="n">
        <f aca="false">IF(OR(OR($B63="",$E63="",$F63=""),$K63&lt;&gt;"نعم",$M63="نعم"),0,MAX(0,MIN($F63,EOMONTH(DATE(cfg_FY,7,1),0))-MAX($E63,DATE(cfg_FY,7,1))+1))</f>
        <v>0</v>
      </c>
      <c r="BA63" s="133" t="n">
        <f aca="false">IF(OR(OR($B63="",$E63="",$F63=""),$K63&lt;&gt;"نعم",$M63="نعم"),0,MAX(0,MIN($F63,EOMONTH(DATE(cfg_FY,8,1),0))-MAX($E63,DATE(cfg_FY,8,1))+1))</f>
        <v>0</v>
      </c>
      <c r="BB63" s="133" t="n">
        <f aca="false">IF(OR(OR($B63="",$E63="",$F63=""),$K63&lt;&gt;"نعم",$M63="نعم"),0,MAX(0,MIN($F63,EOMONTH(DATE(cfg_FY,9,1),0))-MAX($E63,DATE(cfg_FY,9,1))+1))</f>
        <v>0</v>
      </c>
      <c r="BC63" s="133" t="n">
        <f aca="false">IF(OR(OR($B63="",$E63="",$F63=""),$K63&lt;&gt;"نعم",$M63="نعم"),0,MAX(0,MIN($F63,EOMONTH(DATE(cfg_FY,10,1),0))-MAX($E63,DATE(cfg_FY,10,1))+1))</f>
        <v>0</v>
      </c>
      <c r="BD63" s="133" t="n">
        <f aca="false">IF(OR(OR($B63="",$E63="",$F63=""),$K63&lt;&gt;"نعم",$M63="نعم"),0,MAX(0,MIN($F63,EOMONTH(DATE(cfg_FY,11,1),0))-MAX($E63,DATE(cfg_FY,11,1))+1))</f>
        <v>0</v>
      </c>
      <c r="BE63" s="133" t="n">
        <f aca="false">IF(OR(OR($B63="",$E63="",$F63=""),$K63&lt;&gt;"نعم",$M63="نعم"),0,MAX(0,MIN($F63,EOMONTH(DATE(cfg_FY,12,1),0))-MAX($E63,DATE(cfg_FY,12,1))+1))</f>
        <v>0</v>
      </c>
    </row>
    <row r="64" customFormat="false" ht="15" hidden="false" customHeight="false" outlineLevel="0" collapsed="false">
      <c r="A64" s="106" t="str">
        <f aca="false">IF(B64="","",ROW()-5)</f>
        <v/>
      </c>
      <c r="B64" s="118"/>
      <c r="C64" s="114" t="str">
        <f aca="false">IF(B64="","",IFERROR(INDEX(الموظفون!$C$6:$C$105,MATCH(B64,الموظفون!$B$6:$B$105,0)),"✖ رقم غير موجود"))</f>
        <v/>
      </c>
      <c r="D64" s="118"/>
      <c r="E64" s="119"/>
      <c r="F64" s="119"/>
      <c r="G64" s="65" t="str">
        <f aca="false">IF(OR($B64="",$E64="",$F64=""),"",MAX(0,F64-E64+1))</f>
        <v/>
      </c>
      <c r="H64" s="66" t="str">
        <f aca="false">IF(D64="","",IFERROR(VLOOKUP(D64,cfg_LT,2,FALSE()),1))</f>
        <v/>
      </c>
      <c r="I64" s="135"/>
      <c r="J64" s="66" t="str">
        <f aca="false">IF(D64="","",IF(I64&lt;&gt;"",I64,H64))</f>
        <v/>
      </c>
      <c r="K64" s="114" t="str">
        <f aca="false">IF(D64="","",IFERROR(VLOOKUP($D64,cfg_LT,3,FALSE()),""))</f>
        <v/>
      </c>
      <c r="L64" s="114" t="str">
        <f aca="false">IF(D64="","",IFERROR(VLOOKUP($D64,cfg_LT,4,FALSE()),""))</f>
        <v/>
      </c>
      <c r="M64" s="114" t="str">
        <f aca="false">IF(D64="","",IFERROR(VLOOKUP($D64,cfg_LT,5,FALSE()),""))</f>
        <v/>
      </c>
      <c r="N64" s="111" t="n">
        <f aca="false">IF(OR(OR($B64="",$E64="",$F64=""),M64&lt;&gt;"نعم"),0,G64*J64*IFERROR(INDEX(الموظفون!$R$6:$R$105,MATCH(B64,الموظفون!$B$6:$B$105,0)),0)/cfg_DAYS_M)</f>
        <v>0</v>
      </c>
      <c r="O64" s="106" t="str">
        <f aca="false">IF(OR(OR($B64="",$E64="",$F64=""),M64&lt;&gt;"نعم"),"",IF(YEAR(E64)=cfg_FY,MONTH(E64),""))</f>
        <v/>
      </c>
      <c r="P64" s="114" t="str">
        <f aca="false">IF(B64="","",IF(OR(D64="",E64="",F64=""),"⚠ أكمل النوع والتواريخ",IF(F64&lt;E64,"✖ النهاية قبل البداية",IF(COUNTIFS($B$6:$B$505,B64,$E$6:$E$505,"&lt;="&amp;F64,$F$6:$F$505,"&gt;="&amp;E64)&gt;1,"⚠ تداخل مع سجل آخر",IF(E64&gt;cfg_VAL_DATE,"⏳ قادمة",IF(F64&lt;cfg_VAL_DATE,"✔ منتهية","✈ جارية في تاريخ التقرير"))))))</f>
        <v/>
      </c>
      <c r="Q64" s="118"/>
      <c r="R64" s="65" t="n">
        <f aca="false">IF(OR(OR($B64="",$E64="",$F64=""),L64&lt;&gt;"لا"),0,MAX(0,MIN(F64,cfg_Y_START-1)-E64+1))</f>
        <v>0</v>
      </c>
      <c r="S64" s="65" t="n">
        <f aca="false">IF(OR(OR($B64="",$E64="",$F64=""),L64&lt;&gt;"لا"),0,MAX(0,MIN(F64,cfg_VAL_DATE)-E64+1))</f>
        <v>0</v>
      </c>
      <c r="T64" s="65" t="n">
        <f aca="false">IF(OR(OR($B64="",$E64="",$F64=""),K64&lt;&gt;"نعم"),0,IF(M64="نعم",IF(AND(ISNUMBER(O64),N(O64)&lt;=cfg_VAL_M),G64,0),MAX(0,MIN(F64,cfg_VAL_DATE)-MAX(E64,cfg_Y_START)+1)))</f>
        <v>0</v>
      </c>
      <c r="V64" s="65" t="n">
        <f aca="false">IF(OR($B64="",$E64="",$F64=""),0,MAX(0,MIN($F64,EOMONTH(DATE(cfg_FY,1,1),0))-MAX($E64,DATE(cfg_FY,1,1))+1)*(1-IF($M64="نعم",0,N($J64))))</f>
        <v>0</v>
      </c>
      <c r="W64" s="65" t="n">
        <f aca="false">IF(OR($B64="",$E64="",$F64=""),0,MAX(0,MIN($F64,EOMONTH(DATE(cfg_FY,2,1),0))-MAX($E64,DATE(cfg_FY,2,1))+1)*(1-IF($M64="نعم",0,N($J64))))</f>
        <v>0</v>
      </c>
      <c r="X64" s="65" t="n">
        <f aca="false">IF(OR($B64="",$E64="",$F64=""),0,MAX(0,MIN($F64,EOMONTH(DATE(cfg_FY,3,1),0))-MAX($E64,DATE(cfg_FY,3,1))+1)*(1-IF($M64="نعم",0,N($J64))))</f>
        <v>0</v>
      </c>
      <c r="Y64" s="65" t="n">
        <f aca="false">IF(OR($B64="",$E64="",$F64=""),0,MAX(0,MIN($F64,EOMONTH(DATE(cfg_FY,4,1),0))-MAX($E64,DATE(cfg_FY,4,1))+1)*(1-IF($M64="نعم",0,N($J64))))</f>
        <v>0</v>
      </c>
      <c r="Z64" s="65" t="n">
        <f aca="false">IF(OR($B64="",$E64="",$F64=""),0,MAX(0,MIN($F64,EOMONTH(DATE(cfg_FY,5,1),0))-MAX($E64,DATE(cfg_FY,5,1))+1)*(1-IF($M64="نعم",0,N($J64))))</f>
        <v>0</v>
      </c>
      <c r="AA64" s="65" t="n">
        <f aca="false">IF(OR($B64="",$E64="",$F64=""),0,MAX(0,MIN($F64,EOMONTH(DATE(cfg_FY,6,1),0))-MAX($E64,DATE(cfg_FY,6,1))+1)*(1-IF($M64="نعم",0,N($J64))))</f>
        <v>0</v>
      </c>
      <c r="AB64" s="65" t="n">
        <f aca="false">IF(OR($B64="",$E64="",$F64=""),0,MAX(0,MIN($F64,EOMONTH(DATE(cfg_FY,7,1),0))-MAX($E64,DATE(cfg_FY,7,1))+1)*(1-IF($M64="نعم",0,N($J64))))</f>
        <v>0</v>
      </c>
      <c r="AC64" s="65" t="n">
        <f aca="false">IF(OR($B64="",$E64="",$F64=""),0,MAX(0,MIN($F64,EOMONTH(DATE(cfg_FY,8,1),0))-MAX($E64,DATE(cfg_FY,8,1))+1)*(1-IF($M64="نعم",0,N($J64))))</f>
        <v>0</v>
      </c>
      <c r="AD64" s="65" t="n">
        <f aca="false">IF(OR($B64="",$E64="",$F64=""),0,MAX(0,MIN($F64,EOMONTH(DATE(cfg_FY,9,1),0))-MAX($E64,DATE(cfg_FY,9,1))+1)*(1-IF($M64="نعم",0,N($J64))))</f>
        <v>0</v>
      </c>
      <c r="AE64" s="65" t="n">
        <f aca="false">IF(OR($B64="",$E64="",$F64=""),0,MAX(0,MIN($F64,EOMONTH(DATE(cfg_FY,10,1),0))-MAX($E64,DATE(cfg_FY,10,1))+1)*(1-IF($M64="نعم",0,N($J64))))</f>
        <v>0</v>
      </c>
      <c r="AF64" s="65" t="n">
        <f aca="false">IF(OR($B64="",$E64="",$F64=""),0,MAX(0,MIN($F64,EOMONTH(DATE(cfg_FY,11,1),0))-MAX($E64,DATE(cfg_FY,11,1))+1)*(1-IF($M64="نعم",0,N($J64))))</f>
        <v>0</v>
      </c>
      <c r="AG64" s="65" t="n">
        <f aca="false">IF(OR($B64="",$E64="",$F64=""),0,MAX(0,MIN($F64,EOMONTH(DATE(cfg_FY,12,1),0))-MAX($E64,DATE(cfg_FY,12,1))+1)*(1-IF($M64="نعم",0,N($J64))))</f>
        <v>0</v>
      </c>
      <c r="AH64" s="65" t="n">
        <f aca="false">IF(OR(OR($B64="",$E64="",$F64=""),$L64&lt;&gt;"لا"),0,MAX(0,MIN($F64,EOMONTH(DATE(cfg_FY,1,1),0))-$E64+1))</f>
        <v>0</v>
      </c>
      <c r="AI64" s="65" t="n">
        <f aca="false">IF(OR(OR($B64="",$E64="",$F64=""),$L64&lt;&gt;"لا"),0,MAX(0,MIN($F64,EOMONTH(DATE(cfg_FY,2,1),0))-$E64+1))</f>
        <v>0</v>
      </c>
      <c r="AJ64" s="65" t="n">
        <f aca="false">IF(OR(OR($B64="",$E64="",$F64=""),$L64&lt;&gt;"لا"),0,MAX(0,MIN($F64,EOMONTH(DATE(cfg_FY,3,1),0))-$E64+1))</f>
        <v>0</v>
      </c>
      <c r="AK64" s="65" t="n">
        <f aca="false">IF(OR(OR($B64="",$E64="",$F64=""),$L64&lt;&gt;"لا"),0,MAX(0,MIN($F64,EOMONTH(DATE(cfg_FY,4,1),0))-$E64+1))</f>
        <v>0</v>
      </c>
      <c r="AL64" s="65" t="n">
        <f aca="false">IF(OR(OR($B64="",$E64="",$F64=""),$L64&lt;&gt;"لا"),0,MAX(0,MIN($F64,EOMONTH(DATE(cfg_FY,5,1),0))-$E64+1))</f>
        <v>0</v>
      </c>
      <c r="AM64" s="65" t="n">
        <f aca="false">IF(OR(OR($B64="",$E64="",$F64=""),$L64&lt;&gt;"لا"),0,MAX(0,MIN($F64,EOMONTH(DATE(cfg_FY,6,1),0))-$E64+1))</f>
        <v>0</v>
      </c>
      <c r="AN64" s="65" t="n">
        <f aca="false">IF(OR(OR($B64="",$E64="",$F64=""),$L64&lt;&gt;"لا"),0,MAX(0,MIN($F64,EOMONTH(DATE(cfg_FY,7,1),0))-$E64+1))</f>
        <v>0</v>
      </c>
      <c r="AO64" s="65" t="n">
        <f aca="false">IF(OR(OR($B64="",$E64="",$F64=""),$L64&lt;&gt;"لا"),0,MAX(0,MIN($F64,EOMONTH(DATE(cfg_FY,8,1),0))-$E64+1))</f>
        <v>0</v>
      </c>
      <c r="AP64" s="65" t="n">
        <f aca="false">IF(OR(OR($B64="",$E64="",$F64=""),$L64&lt;&gt;"لا"),0,MAX(0,MIN($F64,EOMONTH(DATE(cfg_FY,9,1),0))-$E64+1))</f>
        <v>0</v>
      </c>
      <c r="AQ64" s="65" t="n">
        <f aca="false">IF(OR(OR($B64="",$E64="",$F64=""),$L64&lt;&gt;"لا"),0,MAX(0,MIN($F64,EOMONTH(DATE(cfg_FY,10,1),0))-$E64+1))</f>
        <v>0</v>
      </c>
      <c r="AR64" s="65" t="n">
        <f aca="false">IF(OR(OR($B64="",$E64="",$F64=""),$L64&lt;&gt;"لا"),0,MAX(0,MIN($F64,EOMONTH(DATE(cfg_FY,11,1),0))-$E64+1))</f>
        <v>0</v>
      </c>
      <c r="AS64" s="65" t="n">
        <f aca="false">IF(OR(OR($B64="",$E64="",$F64=""),$L64&lt;&gt;"لا"),0,MAX(0,MIN($F64,EOMONTH(DATE(cfg_FY,12,1),0))-$E64+1))</f>
        <v>0</v>
      </c>
      <c r="AT64" s="65" t="n">
        <f aca="false">IF(OR(OR($B64="",$E64="",$F64=""),$K64&lt;&gt;"نعم",$M64="نعم"),0,MAX(0,MIN($F64,EOMONTH(DATE(cfg_FY,1,1),0))-MAX($E64,DATE(cfg_FY,1,1))+1))</f>
        <v>0</v>
      </c>
      <c r="AU64" s="65" t="n">
        <f aca="false">IF(OR(OR($B64="",$E64="",$F64=""),$K64&lt;&gt;"نعم",$M64="نعم"),0,MAX(0,MIN($F64,EOMONTH(DATE(cfg_FY,2,1),0))-MAX($E64,DATE(cfg_FY,2,1))+1))</f>
        <v>0</v>
      </c>
      <c r="AV64" s="65" t="n">
        <f aca="false">IF(OR(OR($B64="",$E64="",$F64=""),$K64&lt;&gt;"نعم",$M64="نعم"),0,MAX(0,MIN($F64,EOMONTH(DATE(cfg_FY,3,1),0))-MAX($E64,DATE(cfg_FY,3,1))+1))</f>
        <v>0</v>
      </c>
      <c r="AW64" s="65" t="n">
        <f aca="false">IF(OR(OR($B64="",$E64="",$F64=""),$K64&lt;&gt;"نعم",$M64="نعم"),0,MAX(0,MIN($F64,EOMONTH(DATE(cfg_FY,4,1),0))-MAX($E64,DATE(cfg_FY,4,1))+1))</f>
        <v>0</v>
      </c>
      <c r="AX64" s="65" t="n">
        <f aca="false">IF(OR(OR($B64="",$E64="",$F64=""),$K64&lt;&gt;"نعم",$M64="نعم"),0,MAX(0,MIN($F64,EOMONTH(DATE(cfg_FY,5,1),0))-MAX($E64,DATE(cfg_FY,5,1))+1))</f>
        <v>0</v>
      </c>
      <c r="AY64" s="65" t="n">
        <f aca="false">IF(OR(OR($B64="",$E64="",$F64=""),$K64&lt;&gt;"نعم",$M64="نعم"),0,MAX(0,MIN($F64,EOMONTH(DATE(cfg_FY,6,1),0))-MAX($E64,DATE(cfg_FY,6,1))+1))</f>
        <v>0</v>
      </c>
      <c r="AZ64" s="65" t="n">
        <f aca="false">IF(OR(OR($B64="",$E64="",$F64=""),$K64&lt;&gt;"نعم",$M64="نعم"),0,MAX(0,MIN($F64,EOMONTH(DATE(cfg_FY,7,1),0))-MAX($E64,DATE(cfg_FY,7,1))+1))</f>
        <v>0</v>
      </c>
      <c r="BA64" s="65" t="n">
        <f aca="false">IF(OR(OR($B64="",$E64="",$F64=""),$K64&lt;&gt;"نعم",$M64="نعم"),0,MAX(0,MIN($F64,EOMONTH(DATE(cfg_FY,8,1),0))-MAX($E64,DATE(cfg_FY,8,1))+1))</f>
        <v>0</v>
      </c>
      <c r="BB64" s="65" t="n">
        <f aca="false">IF(OR(OR($B64="",$E64="",$F64=""),$K64&lt;&gt;"نعم",$M64="نعم"),0,MAX(0,MIN($F64,EOMONTH(DATE(cfg_FY,9,1),0))-MAX($E64,DATE(cfg_FY,9,1))+1))</f>
        <v>0</v>
      </c>
      <c r="BC64" s="65" t="n">
        <f aca="false">IF(OR(OR($B64="",$E64="",$F64=""),$K64&lt;&gt;"نعم",$M64="نعم"),0,MAX(0,MIN($F64,EOMONTH(DATE(cfg_FY,10,1),0))-MAX($E64,DATE(cfg_FY,10,1))+1))</f>
        <v>0</v>
      </c>
      <c r="BD64" s="65" t="n">
        <f aca="false">IF(OR(OR($B64="",$E64="",$F64=""),$K64&lt;&gt;"نعم",$M64="نعم"),0,MAX(0,MIN($F64,EOMONTH(DATE(cfg_FY,11,1),0))-MAX($E64,DATE(cfg_FY,11,1))+1))</f>
        <v>0</v>
      </c>
      <c r="BE64" s="65" t="n">
        <f aca="false">IF(OR(OR($B64="",$E64="",$F64=""),$K64&lt;&gt;"نعم",$M64="نعم"),0,MAX(0,MIN($F64,EOMONTH(DATE(cfg_FY,12,1),0))-MAX($E64,DATE(cfg_FY,12,1))+1))</f>
        <v>0</v>
      </c>
    </row>
    <row r="65" customFormat="false" ht="15" hidden="false" customHeight="false" outlineLevel="0" collapsed="false">
      <c r="A65" s="115" t="str">
        <f aca="false">IF(B65="","",ROW()-5)</f>
        <v/>
      </c>
      <c r="B65" s="118"/>
      <c r="C65" s="117" t="str">
        <f aca="false">IF(B65="","",IFERROR(INDEX(الموظفون!$C$6:$C$105,MATCH(B65,الموظفون!$B$6:$B$105,0)),"✖ رقم غير موجود"))</f>
        <v/>
      </c>
      <c r="D65" s="118"/>
      <c r="E65" s="119"/>
      <c r="F65" s="119"/>
      <c r="G65" s="133" t="str">
        <f aca="false">IF(OR($B65="",$E65="",$F65=""),"",MAX(0,F65-E65+1))</f>
        <v/>
      </c>
      <c r="H65" s="134" t="str">
        <f aca="false">IF(D65="","",IFERROR(VLOOKUP(D65,cfg_LT,2,FALSE()),1))</f>
        <v/>
      </c>
      <c r="I65" s="135"/>
      <c r="J65" s="134" t="str">
        <f aca="false">IF(D65="","",IF(I65&lt;&gt;"",I65,H65))</f>
        <v/>
      </c>
      <c r="K65" s="117" t="str">
        <f aca="false">IF(D65="","",IFERROR(VLOOKUP($D65,cfg_LT,3,FALSE()),""))</f>
        <v/>
      </c>
      <c r="L65" s="117" t="str">
        <f aca="false">IF(D65="","",IFERROR(VLOOKUP($D65,cfg_LT,4,FALSE()),""))</f>
        <v/>
      </c>
      <c r="M65" s="117" t="str">
        <f aca="false">IF(D65="","",IFERROR(VLOOKUP($D65,cfg_LT,5,FALSE()),""))</f>
        <v/>
      </c>
      <c r="N65" s="116" t="n">
        <f aca="false">IF(OR(OR($B65="",$E65="",$F65=""),M65&lt;&gt;"نعم"),0,G65*J65*IFERROR(INDEX(الموظفون!$R$6:$R$105,MATCH(B65,الموظفون!$B$6:$B$105,0)),0)/cfg_DAYS_M)</f>
        <v>0</v>
      </c>
      <c r="O65" s="115" t="str">
        <f aca="false">IF(OR(OR($B65="",$E65="",$F65=""),M65&lt;&gt;"نعم"),"",IF(YEAR(E65)=cfg_FY,MONTH(E65),""))</f>
        <v/>
      </c>
      <c r="P65" s="117" t="str">
        <f aca="false">IF(B65="","",IF(OR(D65="",E65="",F65=""),"⚠ أكمل النوع والتواريخ",IF(F65&lt;E65,"✖ النهاية قبل البداية",IF(COUNTIFS($B$6:$B$505,B65,$E$6:$E$505,"&lt;="&amp;F65,$F$6:$F$505,"&gt;="&amp;E65)&gt;1,"⚠ تداخل مع سجل آخر",IF(E65&gt;cfg_VAL_DATE,"⏳ قادمة",IF(F65&lt;cfg_VAL_DATE,"✔ منتهية","✈ جارية في تاريخ التقرير"))))))</f>
        <v/>
      </c>
      <c r="Q65" s="118"/>
      <c r="R65" s="133" t="n">
        <f aca="false">IF(OR(OR($B65="",$E65="",$F65=""),L65&lt;&gt;"لا"),0,MAX(0,MIN(F65,cfg_Y_START-1)-E65+1))</f>
        <v>0</v>
      </c>
      <c r="S65" s="133" t="n">
        <f aca="false">IF(OR(OR($B65="",$E65="",$F65=""),L65&lt;&gt;"لا"),0,MAX(0,MIN(F65,cfg_VAL_DATE)-E65+1))</f>
        <v>0</v>
      </c>
      <c r="T65" s="133" t="n">
        <f aca="false">IF(OR(OR($B65="",$E65="",$F65=""),K65&lt;&gt;"نعم"),0,IF(M65="نعم",IF(AND(ISNUMBER(O65),N(O65)&lt;=cfg_VAL_M),G65,0),MAX(0,MIN(F65,cfg_VAL_DATE)-MAX(E65,cfg_Y_START)+1)))</f>
        <v>0</v>
      </c>
      <c r="V65" s="133" t="n">
        <f aca="false">IF(OR($B65="",$E65="",$F65=""),0,MAX(0,MIN($F65,EOMONTH(DATE(cfg_FY,1,1),0))-MAX($E65,DATE(cfg_FY,1,1))+1)*(1-IF($M65="نعم",0,N($J65))))</f>
        <v>0</v>
      </c>
      <c r="W65" s="133" t="n">
        <f aca="false">IF(OR($B65="",$E65="",$F65=""),0,MAX(0,MIN($F65,EOMONTH(DATE(cfg_FY,2,1),0))-MAX($E65,DATE(cfg_FY,2,1))+1)*(1-IF($M65="نعم",0,N($J65))))</f>
        <v>0</v>
      </c>
      <c r="X65" s="133" t="n">
        <f aca="false">IF(OR($B65="",$E65="",$F65=""),0,MAX(0,MIN($F65,EOMONTH(DATE(cfg_FY,3,1),0))-MAX($E65,DATE(cfg_FY,3,1))+1)*(1-IF($M65="نعم",0,N($J65))))</f>
        <v>0</v>
      </c>
      <c r="Y65" s="133" t="n">
        <f aca="false">IF(OR($B65="",$E65="",$F65=""),0,MAX(0,MIN($F65,EOMONTH(DATE(cfg_FY,4,1),0))-MAX($E65,DATE(cfg_FY,4,1))+1)*(1-IF($M65="نعم",0,N($J65))))</f>
        <v>0</v>
      </c>
      <c r="Z65" s="133" t="n">
        <f aca="false">IF(OR($B65="",$E65="",$F65=""),0,MAX(0,MIN($F65,EOMONTH(DATE(cfg_FY,5,1),0))-MAX($E65,DATE(cfg_FY,5,1))+1)*(1-IF($M65="نعم",0,N($J65))))</f>
        <v>0</v>
      </c>
      <c r="AA65" s="133" t="n">
        <f aca="false">IF(OR($B65="",$E65="",$F65=""),0,MAX(0,MIN($F65,EOMONTH(DATE(cfg_FY,6,1),0))-MAX($E65,DATE(cfg_FY,6,1))+1)*(1-IF($M65="نعم",0,N($J65))))</f>
        <v>0</v>
      </c>
      <c r="AB65" s="133" t="n">
        <f aca="false">IF(OR($B65="",$E65="",$F65=""),0,MAX(0,MIN($F65,EOMONTH(DATE(cfg_FY,7,1),0))-MAX($E65,DATE(cfg_FY,7,1))+1)*(1-IF($M65="نعم",0,N($J65))))</f>
        <v>0</v>
      </c>
      <c r="AC65" s="133" t="n">
        <f aca="false">IF(OR($B65="",$E65="",$F65=""),0,MAX(0,MIN($F65,EOMONTH(DATE(cfg_FY,8,1),0))-MAX($E65,DATE(cfg_FY,8,1))+1)*(1-IF($M65="نعم",0,N($J65))))</f>
        <v>0</v>
      </c>
      <c r="AD65" s="133" t="n">
        <f aca="false">IF(OR($B65="",$E65="",$F65=""),0,MAX(0,MIN($F65,EOMONTH(DATE(cfg_FY,9,1),0))-MAX($E65,DATE(cfg_FY,9,1))+1)*(1-IF($M65="نعم",0,N($J65))))</f>
        <v>0</v>
      </c>
      <c r="AE65" s="133" t="n">
        <f aca="false">IF(OR($B65="",$E65="",$F65=""),0,MAX(0,MIN($F65,EOMONTH(DATE(cfg_FY,10,1),0))-MAX($E65,DATE(cfg_FY,10,1))+1)*(1-IF($M65="نعم",0,N($J65))))</f>
        <v>0</v>
      </c>
      <c r="AF65" s="133" t="n">
        <f aca="false">IF(OR($B65="",$E65="",$F65=""),0,MAX(0,MIN($F65,EOMONTH(DATE(cfg_FY,11,1),0))-MAX($E65,DATE(cfg_FY,11,1))+1)*(1-IF($M65="نعم",0,N($J65))))</f>
        <v>0</v>
      </c>
      <c r="AG65" s="133" t="n">
        <f aca="false">IF(OR($B65="",$E65="",$F65=""),0,MAX(0,MIN($F65,EOMONTH(DATE(cfg_FY,12,1),0))-MAX($E65,DATE(cfg_FY,12,1))+1)*(1-IF($M65="نعم",0,N($J65))))</f>
        <v>0</v>
      </c>
      <c r="AH65" s="133" t="n">
        <f aca="false">IF(OR(OR($B65="",$E65="",$F65=""),$L65&lt;&gt;"لا"),0,MAX(0,MIN($F65,EOMONTH(DATE(cfg_FY,1,1),0))-$E65+1))</f>
        <v>0</v>
      </c>
      <c r="AI65" s="133" t="n">
        <f aca="false">IF(OR(OR($B65="",$E65="",$F65=""),$L65&lt;&gt;"لا"),0,MAX(0,MIN($F65,EOMONTH(DATE(cfg_FY,2,1),0))-$E65+1))</f>
        <v>0</v>
      </c>
      <c r="AJ65" s="133" t="n">
        <f aca="false">IF(OR(OR($B65="",$E65="",$F65=""),$L65&lt;&gt;"لا"),0,MAX(0,MIN($F65,EOMONTH(DATE(cfg_FY,3,1),0))-$E65+1))</f>
        <v>0</v>
      </c>
      <c r="AK65" s="133" t="n">
        <f aca="false">IF(OR(OR($B65="",$E65="",$F65=""),$L65&lt;&gt;"لا"),0,MAX(0,MIN($F65,EOMONTH(DATE(cfg_FY,4,1),0))-$E65+1))</f>
        <v>0</v>
      </c>
      <c r="AL65" s="133" t="n">
        <f aca="false">IF(OR(OR($B65="",$E65="",$F65=""),$L65&lt;&gt;"لا"),0,MAX(0,MIN($F65,EOMONTH(DATE(cfg_FY,5,1),0))-$E65+1))</f>
        <v>0</v>
      </c>
      <c r="AM65" s="133" t="n">
        <f aca="false">IF(OR(OR($B65="",$E65="",$F65=""),$L65&lt;&gt;"لا"),0,MAX(0,MIN($F65,EOMONTH(DATE(cfg_FY,6,1),0))-$E65+1))</f>
        <v>0</v>
      </c>
      <c r="AN65" s="133" t="n">
        <f aca="false">IF(OR(OR($B65="",$E65="",$F65=""),$L65&lt;&gt;"لا"),0,MAX(0,MIN($F65,EOMONTH(DATE(cfg_FY,7,1),0))-$E65+1))</f>
        <v>0</v>
      </c>
      <c r="AO65" s="133" t="n">
        <f aca="false">IF(OR(OR($B65="",$E65="",$F65=""),$L65&lt;&gt;"لا"),0,MAX(0,MIN($F65,EOMONTH(DATE(cfg_FY,8,1),0))-$E65+1))</f>
        <v>0</v>
      </c>
      <c r="AP65" s="133" t="n">
        <f aca="false">IF(OR(OR($B65="",$E65="",$F65=""),$L65&lt;&gt;"لا"),0,MAX(0,MIN($F65,EOMONTH(DATE(cfg_FY,9,1),0))-$E65+1))</f>
        <v>0</v>
      </c>
      <c r="AQ65" s="133" t="n">
        <f aca="false">IF(OR(OR($B65="",$E65="",$F65=""),$L65&lt;&gt;"لا"),0,MAX(0,MIN($F65,EOMONTH(DATE(cfg_FY,10,1),0))-$E65+1))</f>
        <v>0</v>
      </c>
      <c r="AR65" s="133" t="n">
        <f aca="false">IF(OR(OR($B65="",$E65="",$F65=""),$L65&lt;&gt;"لا"),0,MAX(0,MIN($F65,EOMONTH(DATE(cfg_FY,11,1),0))-$E65+1))</f>
        <v>0</v>
      </c>
      <c r="AS65" s="133" t="n">
        <f aca="false">IF(OR(OR($B65="",$E65="",$F65=""),$L65&lt;&gt;"لا"),0,MAX(0,MIN($F65,EOMONTH(DATE(cfg_FY,12,1),0))-$E65+1))</f>
        <v>0</v>
      </c>
      <c r="AT65" s="133" t="n">
        <f aca="false">IF(OR(OR($B65="",$E65="",$F65=""),$K65&lt;&gt;"نعم",$M65="نعم"),0,MAX(0,MIN($F65,EOMONTH(DATE(cfg_FY,1,1),0))-MAX($E65,DATE(cfg_FY,1,1))+1))</f>
        <v>0</v>
      </c>
      <c r="AU65" s="133" t="n">
        <f aca="false">IF(OR(OR($B65="",$E65="",$F65=""),$K65&lt;&gt;"نعم",$M65="نعم"),0,MAX(0,MIN($F65,EOMONTH(DATE(cfg_FY,2,1),0))-MAX($E65,DATE(cfg_FY,2,1))+1))</f>
        <v>0</v>
      </c>
      <c r="AV65" s="133" t="n">
        <f aca="false">IF(OR(OR($B65="",$E65="",$F65=""),$K65&lt;&gt;"نعم",$M65="نعم"),0,MAX(0,MIN($F65,EOMONTH(DATE(cfg_FY,3,1),0))-MAX($E65,DATE(cfg_FY,3,1))+1))</f>
        <v>0</v>
      </c>
      <c r="AW65" s="133" t="n">
        <f aca="false">IF(OR(OR($B65="",$E65="",$F65=""),$K65&lt;&gt;"نعم",$M65="نعم"),0,MAX(0,MIN($F65,EOMONTH(DATE(cfg_FY,4,1),0))-MAX($E65,DATE(cfg_FY,4,1))+1))</f>
        <v>0</v>
      </c>
      <c r="AX65" s="133" t="n">
        <f aca="false">IF(OR(OR($B65="",$E65="",$F65=""),$K65&lt;&gt;"نعم",$M65="نعم"),0,MAX(0,MIN($F65,EOMONTH(DATE(cfg_FY,5,1),0))-MAX($E65,DATE(cfg_FY,5,1))+1))</f>
        <v>0</v>
      </c>
      <c r="AY65" s="133" t="n">
        <f aca="false">IF(OR(OR($B65="",$E65="",$F65=""),$K65&lt;&gt;"نعم",$M65="نعم"),0,MAX(0,MIN($F65,EOMONTH(DATE(cfg_FY,6,1),0))-MAX($E65,DATE(cfg_FY,6,1))+1))</f>
        <v>0</v>
      </c>
      <c r="AZ65" s="133" t="n">
        <f aca="false">IF(OR(OR($B65="",$E65="",$F65=""),$K65&lt;&gt;"نعم",$M65="نعم"),0,MAX(0,MIN($F65,EOMONTH(DATE(cfg_FY,7,1),0))-MAX($E65,DATE(cfg_FY,7,1))+1))</f>
        <v>0</v>
      </c>
      <c r="BA65" s="133" t="n">
        <f aca="false">IF(OR(OR($B65="",$E65="",$F65=""),$K65&lt;&gt;"نعم",$M65="نعم"),0,MAX(0,MIN($F65,EOMONTH(DATE(cfg_FY,8,1),0))-MAX($E65,DATE(cfg_FY,8,1))+1))</f>
        <v>0</v>
      </c>
      <c r="BB65" s="133" t="n">
        <f aca="false">IF(OR(OR($B65="",$E65="",$F65=""),$K65&lt;&gt;"نعم",$M65="نعم"),0,MAX(0,MIN($F65,EOMONTH(DATE(cfg_FY,9,1),0))-MAX($E65,DATE(cfg_FY,9,1))+1))</f>
        <v>0</v>
      </c>
      <c r="BC65" s="133" t="n">
        <f aca="false">IF(OR(OR($B65="",$E65="",$F65=""),$K65&lt;&gt;"نعم",$M65="نعم"),0,MAX(0,MIN($F65,EOMONTH(DATE(cfg_FY,10,1),0))-MAX($E65,DATE(cfg_FY,10,1))+1))</f>
        <v>0</v>
      </c>
      <c r="BD65" s="133" t="n">
        <f aca="false">IF(OR(OR($B65="",$E65="",$F65=""),$K65&lt;&gt;"نعم",$M65="نعم"),0,MAX(0,MIN($F65,EOMONTH(DATE(cfg_FY,11,1),0))-MAX($E65,DATE(cfg_FY,11,1))+1))</f>
        <v>0</v>
      </c>
      <c r="BE65" s="133" t="n">
        <f aca="false">IF(OR(OR($B65="",$E65="",$F65=""),$K65&lt;&gt;"نعم",$M65="نعم"),0,MAX(0,MIN($F65,EOMONTH(DATE(cfg_FY,12,1),0))-MAX($E65,DATE(cfg_FY,12,1))+1))</f>
        <v>0</v>
      </c>
    </row>
    <row r="66" customFormat="false" ht="15" hidden="false" customHeight="false" outlineLevel="0" collapsed="false">
      <c r="A66" s="106" t="str">
        <f aca="false">IF(B66="","",ROW()-5)</f>
        <v/>
      </c>
      <c r="B66" s="118"/>
      <c r="C66" s="114" t="str">
        <f aca="false">IF(B66="","",IFERROR(INDEX(الموظفون!$C$6:$C$105,MATCH(B66,الموظفون!$B$6:$B$105,0)),"✖ رقم غير موجود"))</f>
        <v/>
      </c>
      <c r="D66" s="118"/>
      <c r="E66" s="119"/>
      <c r="F66" s="119"/>
      <c r="G66" s="65" t="str">
        <f aca="false">IF(OR($B66="",$E66="",$F66=""),"",MAX(0,F66-E66+1))</f>
        <v/>
      </c>
      <c r="H66" s="66" t="str">
        <f aca="false">IF(D66="","",IFERROR(VLOOKUP(D66,cfg_LT,2,FALSE()),1))</f>
        <v/>
      </c>
      <c r="I66" s="135"/>
      <c r="J66" s="66" t="str">
        <f aca="false">IF(D66="","",IF(I66&lt;&gt;"",I66,H66))</f>
        <v/>
      </c>
      <c r="K66" s="114" t="str">
        <f aca="false">IF(D66="","",IFERROR(VLOOKUP($D66,cfg_LT,3,FALSE()),""))</f>
        <v/>
      </c>
      <c r="L66" s="114" t="str">
        <f aca="false">IF(D66="","",IFERROR(VLOOKUP($D66,cfg_LT,4,FALSE()),""))</f>
        <v/>
      </c>
      <c r="M66" s="114" t="str">
        <f aca="false">IF(D66="","",IFERROR(VLOOKUP($D66,cfg_LT,5,FALSE()),""))</f>
        <v/>
      </c>
      <c r="N66" s="111" t="n">
        <f aca="false">IF(OR(OR($B66="",$E66="",$F66=""),M66&lt;&gt;"نعم"),0,G66*J66*IFERROR(INDEX(الموظفون!$R$6:$R$105,MATCH(B66,الموظفون!$B$6:$B$105,0)),0)/cfg_DAYS_M)</f>
        <v>0</v>
      </c>
      <c r="O66" s="106" t="str">
        <f aca="false">IF(OR(OR($B66="",$E66="",$F66=""),M66&lt;&gt;"نعم"),"",IF(YEAR(E66)=cfg_FY,MONTH(E66),""))</f>
        <v/>
      </c>
      <c r="P66" s="114" t="str">
        <f aca="false">IF(B66="","",IF(OR(D66="",E66="",F66=""),"⚠ أكمل النوع والتواريخ",IF(F66&lt;E66,"✖ النهاية قبل البداية",IF(COUNTIFS($B$6:$B$505,B66,$E$6:$E$505,"&lt;="&amp;F66,$F$6:$F$505,"&gt;="&amp;E66)&gt;1,"⚠ تداخل مع سجل آخر",IF(E66&gt;cfg_VAL_DATE,"⏳ قادمة",IF(F66&lt;cfg_VAL_DATE,"✔ منتهية","✈ جارية في تاريخ التقرير"))))))</f>
        <v/>
      </c>
      <c r="Q66" s="118"/>
      <c r="R66" s="65" t="n">
        <f aca="false">IF(OR(OR($B66="",$E66="",$F66=""),L66&lt;&gt;"لا"),0,MAX(0,MIN(F66,cfg_Y_START-1)-E66+1))</f>
        <v>0</v>
      </c>
      <c r="S66" s="65" t="n">
        <f aca="false">IF(OR(OR($B66="",$E66="",$F66=""),L66&lt;&gt;"لا"),0,MAX(0,MIN(F66,cfg_VAL_DATE)-E66+1))</f>
        <v>0</v>
      </c>
      <c r="T66" s="65" t="n">
        <f aca="false">IF(OR(OR($B66="",$E66="",$F66=""),K66&lt;&gt;"نعم"),0,IF(M66="نعم",IF(AND(ISNUMBER(O66),N(O66)&lt;=cfg_VAL_M),G66,0),MAX(0,MIN(F66,cfg_VAL_DATE)-MAX(E66,cfg_Y_START)+1)))</f>
        <v>0</v>
      </c>
      <c r="V66" s="65" t="n">
        <f aca="false">IF(OR($B66="",$E66="",$F66=""),0,MAX(0,MIN($F66,EOMONTH(DATE(cfg_FY,1,1),0))-MAX($E66,DATE(cfg_FY,1,1))+1)*(1-IF($M66="نعم",0,N($J66))))</f>
        <v>0</v>
      </c>
      <c r="W66" s="65" t="n">
        <f aca="false">IF(OR($B66="",$E66="",$F66=""),0,MAX(0,MIN($F66,EOMONTH(DATE(cfg_FY,2,1),0))-MAX($E66,DATE(cfg_FY,2,1))+1)*(1-IF($M66="نعم",0,N($J66))))</f>
        <v>0</v>
      </c>
      <c r="X66" s="65" t="n">
        <f aca="false">IF(OR($B66="",$E66="",$F66=""),0,MAX(0,MIN($F66,EOMONTH(DATE(cfg_FY,3,1),0))-MAX($E66,DATE(cfg_FY,3,1))+1)*(1-IF($M66="نعم",0,N($J66))))</f>
        <v>0</v>
      </c>
      <c r="Y66" s="65" t="n">
        <f aca="false">IF(OR($B66="",$E66="",$F66=""),0,MAX(0,MIN($F66,EOMONTH(DATE(cfg_FY,4,1),0))-MAX($E66,DATE(cfg_FY,4,1))+1)*(1-IF($M66="نعم",0,N($J66))))</f>
        <v>0</v>
      </c>
      <c r="Z66" s="65" t="n">
        <f aca="false">IF(OR($B66="",$E66="",$F66=""),0,MAX(0,MIN($F66,EOMONTH(DATE(cfg_FY,5,1),0))-MAX($E66,DATE(cfg_FY,5,1))+1)*(1-IF($M66="نعم",0,N($J66))))</f>
        <v>0</v>
      </c>
      <c r="AA66" s="65" t="n">
        <f aca="false">IF(OR($B66="",$E66="",$F66=""),0,MAX(0,MIN($F66,EOMONTH(DATE(cfg_FY,6,1),0))-MAX($E66,DATE(cfg_FY,6,1))+1)*(1-IF($M66="نعم",0,N($J66))))</f>
        <v>0</v>
      </c>
      <c r="AB66" s="65" t="n">
        <f aca="false">IF(OR($B66="",$E66="",$F66=""),0,MAX(0,MIN($F66,EOMONTH(DATE(cfg_FY,7,1),0))-MAX($E66,DATE(cfg_FY,7,1))+1)*(1-IF($M66="نعم",0,N($J66))))</f>
        <v>0</v>
      </c>
      <c r="AC66" s="65" t="n">
        <f aca="false">IF(OR($B66="",$E66="",$F66=""),0,MAX(0,MIN($F66,EOMONTH(DATE(cfg_FY,8,1),0))-MAX($E66,DATE(cfg_FY,8,1))+1)*(1-IF($M66="نعم",0,N($J66))))</f>
        <v>0</v>
      </c>
      <c r="AD66" s="65" t="n">
        <f aca="false">IF(OR($B66="",$E66="",$F66=""),0,MAX(0,MIN($F66,EOMONTH(DATE(cfg_FY,9,1),0))-MAX($E66,DATE(cfg_FY,9,1))+1)*(1-IF($M66="نعم",0,N($J66))))</f>
        <v>0</v>
      </c>
      <c r="AE66" s="65" t="n">
        <f aca="false">IF(OR($B66="",$E66="",$F66=""),0,MAX(0,MIN($F66,EOMONTH(DATE(cfg_FY,10,1),0))-MAX($E66,DATE(cfg_FY,10,1))+1)*(1-IF($M66="نعم",0,N($J66))))</f>
        <v>0</v>
      </c>
      <c r="AF66" s="65" t="n">
        <f aca="false">IF(OR($B66="",$E66="",$F66=""),0,MAX(0,MIN($F66,EOMONTH(DATE(cfg_FY,11,1),0))-MAX($E66,DATE(cfg_FY,11,1))+1)*(1-IF($M66="نعم",0,N($J66))))</f>
        <v>0</v>
      </c>
      <c r="AG66" s="65" t="n">
        <f aca="false">IF(OR($B66="",$E66="",$F66=""),0,MAX(0,MIN($F66,EOMONTH(DATE(cfg_FY,12,1),0))-MAX($E66,DATE(cfg_FY,12,1))+1)*(1-IF($M66="نعم",0,N($J66))))</f>
        <v>0</v>
      </c>
      <c r="AH66" s="65" t="n">
        <f aca="false">IF(OR(OR($B66="",$E66="",$F66=""),$L66&lt;&gt;"لا"),0,MAX(0,MIN($F66,EOMONTH(DATE(cfg_FY,1,1),0))-$E66+1))</f>
        <v>0</v>
      </c>
      <c r="AI66" s="65" t="n">
        <f aca="false">IF(OR(OR($B66="",$E66="",$F66=""),$L66&lt;&gt;"لا"),0,MAX(0,MIN($F66,EOMONTH(DATE(cfg_FY,2,1),0))-$E66+1))</f>
        <v>0</v>
      </c>
      <c r="AJ66" s="65" t="n">
        <f aca="false">IF(OR(OR($B66="",$E66="",$F66=""),$L66&lt;&gt;"لا"),0,MAX(0,MIN($F66,EOMONTH(DATE(cfg_FY,3,1),0))-$E66+1))</f>
        <v>0</v>
      </c>
      <c r="AK66" s="65" t="n">
        <f aca="false">IF(OR(OR($B66="",$E66="",$F66=""),$L66&lt;&gt;"لا"),0,MAX(0,MIN($F66,EOMONTH(DATE(cfg_FY,4,1),0))-$E66+1))</f>
        <v>0</v>
      </c>
      <c r="AL66" s="65" t="n">
        <f aca="false">IF(OR(OR($B66="",$E66="",$F66=""),$L66&lt;&gt;"لا"),0,MAX(0,MIN($F66,EOMONTH(DATE(cfg_FY,5,1),0))-$E66+1))</f>
        <v>0</v>
      </c>
      <c r="AM66" s="65" t="n">
        <f aca="false">IF(OR(OR($B66="",$E66="",$F66=""),$L66&lt;&gt;"لا"),0,MAX(0,MIN($F66,EOMONTH(DATE(cfg_FY,6,1),0))-$E66+1))</f>
        <v>0</v>
      </c>
      <c r="AN66" s="65" t="n">
        <f aca="false">IF(OR(OR($B66="",$E66="",$F66=""),$L66&lt;&gt;"لا"),0,MAX(0,MIN($F66,EOMONTH(DATE(cfg_FY,7,1),0))-$E66+1))</f>
        <v>0</v>
      </c>
      <c r="AO66" s="65" t="n">
        <f aca="false">IF(OR(OR($B66="",$E66="",$F66=""),$L66&lt;&gt;"لا"),0,MAX(0,MIN($F66,EOMONTH(DATE(cfg_FY,8,1),0))-$E66+1))</f>
        <v>0</v>
      </c>
      <c r="AP66" s="65" t="n">
        <f aca="false">IF(OR(OR($B66="",$E66="",$F66=""),$L66&lt;&gt;"لا"),0,MAX(0,MIN($F66,EOMONTH(DATE(cfg_FY,9,1),0))-$E66+1))</f>
        <v>0</v>
      </c>
      <c r="AQ66" s="65" t="n">
        <f aca="false">IF(OR(OR($B66="",$E66="",$F66=""),$L66&lt;&gt;"لا"),0,MAX(0,MIN($F66,EOMONTH(DATE(cfg_FY,10,1),0))-$E66+1))</f>
        <v>0</v>
      </c>
      <c r="AR66" s="65" t="n">
        <f aca="false">IF(OR(OR($B66="",$E66="",$F66=""),$L66&lt;&gt;"لا"),0,MAX(0,MIN($F66,EOMONTH(DATE(cfg_FY,11,1),0))-$E66+1))</f>
        <v>0</v>
      </c>
      <c r="AS66" s="65" t="n">
        <f aca="false">IF(OR(OR($B66="",$E66="",$F66=""),$L66&lt;&gt;"لا"),0,MAX(0,MIN($F66,EOMONTH(DATE(cfg_FY,12,1),0))-$E66+1))</f>
        <v>0</v>
      </c>
      <c r="AT66" s="65" t="n">
        <f aca="false">IF(OR(OR($B66="",$E66="",$F66=""),$K66&lt;&gt;"نعم",$M66="نعم"),0,MAX(0,MIN($F66,EOMONTH(DATE(cfg_FY,1,1),0))-MAX($E66,DATE(cfg_FY,1,1))+1))</f>
        <v>0</v>
      </c>
      <c r="AU66" s="65" t="n">
        <f aca="false">IF(OR(OR($B66="",$E66="",$F66=""),$K66&lt;&gt;"نعم",$M66="نعم"),0,MAX(0,MIN($F66,EOMONTH(DATE(cfg_FY,2,1),0))-MAX($E66,DATE(cfg_FY,2,1))+1))</f>
        <v>0</v>
      </c>
      <c r="AV66" s="65" t="n">
        <f aca="false">IF(OR(OR($B66="",$E66="",$F66=""),$K66&lt;&gt;"نعم",$M66="نعم"),0,MAX(0,MIN($F66,EOMONTH(DATE(cfg_FY,3,1),0))-MAX($E66,DATE(cfg_FY,3,1))+1))</f>
        <v>0</v>
      </c>
      <c r="AW66" s="65" t="n">
        <f aca="false">IF(OR(OR($B66="",$E66="",$F66=""),$K66&lt;&gt;"نعم",$M66="نعم"),0,MAX(0,MIN($F66,EOMONTH(DATE(cfg_FY,4,1),0))-MAX($E66,DATE(cfg_FY,4,1))+1))</f>
        <v>0</v>
      </c>
      <c r="AX66" s="65" t="n">
        <f aca="false">IF(OR(OR($B66="",$E66="",$F66=""),$K66&lt;&gt;"نعم",$M66="نعم"),0,MAX(0,MIN($F66,EOMONTH(DATE(cfg_FY,5,1),0))-MAX($E66,DATE(cfg_FY,5,1))+1))</f>
        <v>0</v>
      </c>
      <c r="AY66" s="65" t="n">
        <f aca="false">IF(OR(OR($B66="",$E66="",$F66=""),$K66&lt;&gt;"نعم",$M66="نعم"),0,MAX(0,MIN($F66,EOMONTH(DATE(cfg_FY,6,1),0))-MAX($E66,DATE(cfg_FY,6,1))+1))</f>
        <v>0</v>
      </c>
      <c r="AZ66" s="65" t="n">
        <f aca="false">IF(OR(OR($B66="",$E66="",$F66=""),$K66&lt;&gt;"نعم",$M66="نعم"),0,MAX(0,MIN($F66,EOMONTH(DATE(cfg_FY,7,1),0))-MAX($E66,DATE(cfg_FY,7,1))+1))</f>
        <v>0</v>
      </c>
      <c r="BA66" s="65" t="n">
        <f aca="false">IF(OR(OR($B66="",$E66="",$F66=""),$K66&lt;&gt;"نعم",$M66="نعم"),0,MAX(0,MIN($F66,EOMONTH(DATE(cfg_FY,8,1),0))-MAX($E66,DATE(cfg_FY,8,1))+1))</f>
        <v>0</v>
      </c>
      <c r="BB66" s="65" t="n">
        <f aca="false">IF(OR(OR($B66="",$E66="",$F66=""),$K66&lt;&gt;"نعم",$M66="نعم"),0,MAX(0,MIN($F66,EOMONTH(DATE(cfg_FY,9,1),0))-MAX($E66,DATE(cfg_FY,9,1))+1))</f>
        <v>0</v>
      </c>
      <c r="BC66" s="65" t="n">
        <f aca="false">IF(OR(OR($B66="",$E66="",$F66=""),$K66&lt;&gt;"نعم",$M66="نعم"),0,MAX(0,MIN($F66,EOMONTH(DATE(cfg_FY,10,1),0))-MAX($E66,DATE(cfg_FY,10,1))+1))</f>
        <v>0</v>
      </c>
      <c r="BD66" s="65" t="n">
        <f aca="false">IF(OR(OR($B66="",$E66="",$F66=""),$K66&lt;&gt;"نعم",$M66="نعم"),0,MAX(0,MIN($F66,EOMONTH(DATE(cfg_FY,11,1),0))-MAX($E66,DATE(cfg_FY,11,1))+1))</f>
        <v>0</v>
      </c>
      <c r="BE66" s="65" t="n">
        <f aca="false">IF(OR(OR($B66="",$E66="",$F66=""),$K66&lt;&gt;"نعم",$M66="نعم"),0,MAX(0,MIN($F66,EOMONTH(DATE(cfg_FY,12,1),0))-MAX($E66,DATE(cfg_FY,12,1))+1))</f>
        <v>0</v>
      </c>
    </row>
    <row r="67" customFormat="false" ht="15" hidden="false" customHeight="false" outlineLevel="0" collapsed="false">
      <c r="A67" s="115" t="str">
        <f aca="false">IF(B67="","",ROW()-5)</f>
        <v/>
      </c>
      <c r="B67" s="118"/>
      <c r="C67" s="117" t="str">
        <f aca="false">IF(B67="","",IFERROR(INDEX(الموظفون!$C$6:$C$105,MATCH(B67,الموظفون!$B$6:$B$105,0)),"✖ رقم غير موجود"))</f>
        <v/>
      </c>
      <c r="D67" s="118"/>
      <c r="E67" s="119"/>
      <c r="F67" s="119"/>
      <c r="G67" s="133" t="str">
        <f aca="false">IF(OR($B67="",$E67="",$F67=""),"",MAX(0,F67-E67+1))</f>
        <v/>
      </c>
      <c r="H67" s="134" t="str">
        <f aca="false">IF(D67="","",IFERROR(VLOOKUP(D67,cfg_LT,2,FALSE()),1))</f>
        <v/>
      </c>
      <c r="I67" s="135"/>
      <c r="J67" s="134" t="str">
        <f aca="false">IF(D67="","",IF(I67&lt;&gt;"",I67,H67))</f>
        <v/>
      </c>
      <c r="K67" s="117" t="str">
        <f aca="false">IF(D67="","",IFERROR(VLOOKUP($D67,cfg_LT,3,FALSE()),""))</f>
        <v/>
      </c>
      <c r="L67" s="117" t="str">
        <f aca="false">IF(D67="","",IFERROR(VLOOKUP($D67,cfg_LT,4,FALSE()),""))</f>
        <v/>
      </c>
      <c r="M67" s="117" t="str">
        <f aca="false">IF(D67="","",IFERROR(VLOOKUP($D67,cfg_LT,5,FALSE()),""))</f>
        <v/>
      </c>
      <c r="N67" s="116" t="n">
        <f aca="false">IF(OR(OR($B67="",$E67="",$F67=""),M67&lt;&gt;"نعم"),0,G67*J67*IFERROR(INDEX(الموظفون!$R$6:$R$105,MATCH(B67,الموظفون!$B$6:$B$105,0)),0)/cfg_DAYS_M)</f>
        <v>0</v>
      </c>
      <c r="O67" s="115" t="str">
        <f aca="false">IF(OR(OR($B67="",$E67="",$F67=""),M67&lt;&gt;"نعم"),"",IF(YEAR(E67)=cfg_FY,MONTH(E67),""))</f>
        <v/>
      </c>
      <c r="P67" s="117" t="str">
        <f aca="false">IF(B67="","",IF(OR(D67="",E67="",F67=""),"⚠ أكمل النوع والتواريخ",IF(F67&lt;E67,"✖ النهاية قبل البداية",IF(COUNTIFS($B$6:$B$505,B67,$E$6:$E$505,"&lt;="&amp;F67,$F$6:$F$505,"&gt;="&amp;E67)&gt;1,"⚠ تداخل مع سجل آخر",IF(E67&gt;cfg_VAL_DATE,"⏳ قادمة",IF(F67&lt;cfg_VAL_DATE,"✔ منتهية","✈ جارية في تاريخ التقرير"))))))</f>
        <v/>
      </c>
      <c r="Q67" s="118"/>
      <c r="R67" s="133" t="n">
        <f aca="false">IF(OR(OR($B67="",$E67="",$F67=""),L67&lt;&gt;"لا"),0,MAX(0,MIN(F67,cfg_Y_START-1)-E67+1))</f>
        <v>0</v>
      </c>
      <c r="S67" s="133" t="n">
        <f aca="false">IF(OR(OR($B67="",$E67="",$F67=""),L67&lt;&gt;"لا"),0,MAX(0,MIN(F67,cfg_VAL_DATE)-E67+1))</f>
        <v>0</v>
      </c>
      <c r="T67" s="133" t="n">
        <f aca="false">IF(OR(OR($B67="",$E67="",$F67=""),K67&lt;&gt;"نعم"),0,IF(M67="نعم",IF(AND(ISNUMBER(O67),N(O67)&lt;=cfg_VAL_M),G67,0),MAX(0,MIN(F67,cfg_VAL_DATE)-MAX(E67,cfg_Y_START)+1)))</f>
        <v>0</v>
      </c>
      <c r="V67" s="133" t="n">
        <f aca="false">IF(OR($B67="",$E67="",$F67=""),0,MAX(0,MIN($F67,EOMONTH(DATE(cfg_FY,1,1),0))-MAX($E67,DATE(cfg_FY,1,1))+1)*(1-IF($M67="نعم",0,N($J67))))</f>
        <v>0</v>
      </c>
      <c r="W67" s="133" t="n">
        <f aca="false">IF(OR($B67="",$E67="",$F67=""),0,MAX(0,MIN($F67,EOMONTH(DATE(cfg_FY,2,1),0))-MAX($E67,DATE(cfg_FY,2,1))+1)*(1-IF($M67="نعم",0,N($J67))))</f>
        <v>0</v>
      </c>
      <c r="X67" s="133" t="n">
        <f aca="false">IF(OR($B67="",$E67="",$F67=""),0,MAX(0,MIN($F67,EOMONTH(DATE(cfg_FY,3,1),0))-MAX($E67,DATE(cfg_FY,3,1))+1)*(1-IF($M67="نعم",0,N($J67))))</f>
        <v>0</v>
      </c>
      <c r="Y67" s="133" t="n">
        <f aca="false">IF(OR($B67="",$E67="",$F67=""),0,MAX(0,MIN($F67,EOMONTH(DATE(cfg_FY,4,1),0))-MAX($E67,DATE(cfg_FY,4,1))+1)*(1-IF($M67="نعم",0,N($J67))))</f>
        <v>0</v>
      </c>
      <c r="Z67" s="133" t="n">
        <f aca="false">IF(OR($B67="",$E67="",$F67=""),0,MAX(0,MIN($F67,EOMONTH(DATE(cfg_FY,5,1),0))-MAX($E67,DATE(cfg_FY,5,1))+1)*(1-IF($M67="نعم",0,N($J67))))</f>
        <v>0</v>
      </c>
      <c r="AA67" s="133" t="n">
        <f aca="false">IF(OR($B67="",$E67="",$F67=""),0,MAX(0,MIN($F67,EOMONTH(DATE(cfg_FY,6,1),0))-MAX($E67,DATE(cfg_FY,6,1))+1)*(1-IF($M67="نعم",0,N($J67))))</f>
        <v>0</v>
      </c>
      <c r="AB67" s="133" t="n">
        <f aca="false">IF(OR($B67="",$E67="",$F67=""),0,MAX(0,MIN($F67,EOMONTH(DATE(cfg_FY,7,1),0))-MAX($E67,DATE(cfg_FY,7,1))+1)*(1-IF($M67="نعم",0,N($J67))))</f>
        <v>0</v>
      </c>
      <c r="AC67" s="133" t="n">
        <f aca="false">IF(OR($B67="",$E67="",$F67=""),0,MAX(0,MIN($F67,EOMONTH(DATE(cfg_FY,8,1),0))-MAX($E67,DATE(cfg_FY,8,1))+1)*(1-IF($M67="نعم",0,N($J67))))</f>
        <v>0</v>
      </c>
      <c r="AD67" s="133" t="n">
        <f aca="false">IF(OR($B67="",$E67="",$F67=""),0,MAX(0,MIN($F67,EOMONTH(DATE(cfg_FY,9,1),0))-MAX($E67,DATE(cfg_FY,9,1))+1)*(1-IF($M67="نعم",0,N($J67))))</f>
        <v>0</v>
      </c>
      <c r="AE67" s="133" t="n">
        <f aca="false">IF(OR($B67="",$E67="",$F67=""),0,MAX(0,MIN($F67,EOMONTH(DATE(cfg_FY,10,1),0))-MAX($E67,DATE(cfg_FY,10,1))+1)*(1-IF($M67="نعم",0,N($J67))))</f>
        <v>0</v>
      </c>
      <c r="AF67" s="133" t="n">
        <f aca="false">IF(OR($B67="",$E67="",$F67=""),0,MAX(0,MIN($F67,EOMONTH(DATE(cfg_FY,11,1),0))-MAX($E67,DATE(cfg_FY,11,1))+1)*(1-IF($M67="نعم",0,N($J67))))</f>
        <v>0</v>
      </c>
      <c r="AG67" s="133" t="n">
        <f aca="false">IF(OR($B67="",$E67="",$F67=""),0,MAX(0,MIN($F67,EOMONTH(DATE(cfg_FY,12,1),0))-MAX($E67,DATE(cfg_FY,12,1))+1)*(1-IF($M67="نعم",0,N($J67))))</f>
        <v>0</v>
      </c>
      <c r="AH67" s="133" t="n">
        <f aca="false">IF(OR(OR($B67="",$E67="",$F67=""),$L67&lt;&gt;"لا"),0,MAX(0,MIN($F67,EOMONTH(DATE(cfg_FY,1,1),0))-$E67+1))</f>
        <v>0</v>
      </c>
      <c r="AI67" s="133" t="n">
        <f aca="false">IF(OR(OR($B67="",$E67="",$F67=""),$L67&lt;&gt;"لا"),0,MAX(0,MIN($F67,EOMONTH(DATE(cfg_FY,2,1),0))-$E67+1))</f>
        <v>0</v>
      </c>
      <c r="AJ67" s="133" t="n">
        <f aca="false">IF(OR(OR($B67="",$E67="",$F67=""),$L67&lt;&gt;"لا"),0,MAX(0,MIN($F67,EOMONTH(DATE(cfg_FY,3,1),0))-$E67+1))</f>
        <v>0</v>
      </c>
      <c r="AK67" s="133" t="n">
        <f aca="false">IF(OR(OR($B67="",$E67="",$F67=""),$L67&lt;&gt;"لا"),0,MAX(0,MIN($F67,EOMONTH(DATE(cfg_FY,4,1),0))-$E67+1))</f>
        <v>0</v>
      </c>
      <c r="AL67" s="133" t="n">
        <f aca="false">IF(OR(OR($B67="",$E67="",$F67=""),$L67&lt;&gt;"لا"),0,MAX(0,MIN($F67,EOMONTH(DATE(cfg_FY,5,1),0))-$E67+1))</f>
        <v>0</v>
      </c>
      <c r="AM67" s="133" t="n">
        <f aca="false">IF(OR(OR($B67="",$E67="",$F67=""),$L67&lt;&gt;"لا"),0,MAX(0,MIN($F67,EOMONTH(DATE(cfg_FY,6,1),0))-$E67+1))</f>
        <v>0</v>
      </c>
      <c r="AN67" s="133" t="n">
        <f aca="false">IF(OR(OR($B67="",$E67="",$F67=""),$L67&lt;&gt;"لا"),0,MAX(0,MIN($F67,EOMONTH(DATE(cfg_FY,7,1),0))-$E67+1))</f>
        <v>0</v>
      </c>
      <c r="AO67" s="133" t="n">
        <f aca="false">IF(OR(OR($B67="",$E67="",$F67=""),$L67&lt;&gt;"لا"),0,MAX(0,MIN($F67,EOMONTH(DATE(cfg_FY,8,1),0))-$E67+1))</f>
        <v>0</v>
      </c>
      <c r="AP67" s="133" t="n">
        <f aca="false">IF(OR(OR($B67="",$E67="",$F67=""),$L67&lt;&gt;"لا"),0,MAX(0,MIN($F67,EOMONTH(DATE(cfg_FY,9,1),0))-$E67+1))</f>
        <v>0</v>
      </c>
      <c r="AQ67" s="133" t="n">
        <f aca="false">IF(OR(OR($B67="",$E67="",$F67=""),$L67&lt;&gt;"لا"),0,MAX(0,MIN($F67,EOMONTH(DATE(cfg_FY,10,1),0))-$E67+1))</f>
        <v>0</v>
      </c>
      <c r="AR67" s="133" t="n">
        <f aca="false">IF(OR(OR($B67="",$E67="",$F67=""),$L67&lt;&gt;"لا"),0,MAX(0,MIN($F67,EOMONTH(DATE(cfg_FY,11,1),0))-$E67+1))</f>
        <v>0</v>
      </c>
      <c r="AS67" s="133" t="n">
        <f aca="false">IF(OR(OR($B67="",$E67="",$F67=""),$L67&lt;&gt;"لا"),0,MAX(0,MIN($F67,EOMONTH(DATE(cfg_FY,12,1),0))-$E67+1))</f>
        <v>0</v>
      </c>
      <c r="AT67" s="133" t="n">
        <f aca="false">IF(OR(OR($B67="",$E67="",$F67=""),$K67&lt;&gt;"نعم",$M67="نعم"),0,MAX(0,MIN($F67,EOMONTH(DATE(cfg_FY,1,1),0))-MAX($E67,DATE(cfg_FY,1,1))+1))</f>
        <v>0</v>
      </c>
      <c r="AU67" s="133" t="n">
        <f aca="false">IF(OR(OR($B67="",$E67="",$F67=""),$K67&lt;&gt;"نعم",$M67="نعم"),0,MAX(0,MIN($F67,EOMONTH(DATE(cfg_FY,2,1),0))-MAX($E67,DATE(cfg_FY,2,1))+1))</f>
        <v>0</v>
      </c>
      <c r="AV67" s="133" t="n">
        <f aca="false">IF(OR(OR($B67="",$E67="",$F67=""),$K67&lt;&gt;"نعم",$M67="نعم"),0,MAX(0,MIN($F67,EOMONTH(DATE(cfg_FY,3,1),0))-MAX($E67,DATE(cfg_FY,3,1))+1))</f>
        <v>0</v>
      </c>
      <c r="AW67" s="133" t="n">
        <f aca="false">IF(OR(OR($B67="",$E67="",$F67=""),$K67&lt;&gt;"نعم",$M67="نعم"),0,MAX(0,MIN($F67,EOMONTH(DATE(cfg_FY,4,1),0))-MAX($E67,DATE(cfg_FY,4,1))+1))</f>
        <v>0</v>
      </c>
      <c r="AX67" s="133" t="n">
        <f aca="false">IF(OR(OR($B67="",$E67="",$F67=""),$K67&lt;&gt;"نعم",$M67="نعم"),0,MAX(0,MIN($F67,EOMONTH(DATE(cfg_FY,5,1),0))-MAX($E67,DATE(cfg_FY,5,1))+1))</f>
        <v>0</v>
      </c>
      <c r="AY67" s="133" t="n">
        <f aca="false">IF(OR(OR($B67="",$E67="",$F67=""),$K67&lt;&gt;"نعم",$M67="نعم"),0,MAX(0,MIN($F67,EOMONTH(DATE(cfg_FY,6,1),0))-MAX($E67,DATE(cfg_FY,6,1))+1))</f>
        <v>0</v>
      </c>
      <c r="AZ67" s="133" t="n">
        <f aca="false">IF(OR(OR($B67="",$E67="",$F67=""),$K67&lt;&gt;"نعم",$M67="نعم"),0,MAX(0,MIN($F67,EOMONTH(DATE(cfg_FY,7,1),0))-MAX($E67,DATE(cfg_FY,7,1))+1))</f>
        <v>0</v>
      </c>
      <c r="BA67" s="133" t="n">
        <f aca="false">IF(OR(OR($B67="",$E67="",$F67=""),$K67&lt;&gt;"نعم",$M67="نعم"),0,MAX(0,MIN($F67,EOMONTH(DATE(cfg_FY,8,1),0))-MAX($E67,DATE(cfg_FY,8,1))+1))</f>
        <v>0</v>
      </c>
      <c r="BB67" s="133" t="n">
        <f aca="false">IF(OR(OR($B67="",$E67="",$F67=""),$K67&lt;&gt;"نعم",$M67="نعم"),0,MAX(0,MIN($F67,EOMONTH(DATE(cfg_FY,9,1),0))-MAX($E67,DATE(cfg_FY,9,1))+1))</f>
        <v>0</v>
      </c>
      <c r="BC67" s="133" t="n">
        <f aca="false">IF(OR(OR($B67="",$E67="",$F67=""),$K67&lt;&gt;"نعم",$M67="نعم"),0,MAX(0,MIN($F67,EOMONTH(DATE(cfg_FY,10,1),0))-MAX($E67,DATE(cfg_FY,10,1))+1))</f>
        <v>0</v>
      </c>
      <c r="BD67" s="133" t="n">
        <f aca="false">IF(OR(OR($B67="",$E67="",$F67=""),$K67&lt;&gt;"نعم",$M67="نعم"),0,MAX(0,MIN($F67,EOMONTH(DATE(cfg_FY,11,1),0))-MAX($E67,DATE(cfg_FY,11,1))+1))</f>
        <v>0</v>
      </c>
      <c r="BE67" s="133" t="n">
        <f aca="false">IF(OR(OR($B67="",$E67="",$F67=""),$K67&lt;&gt;"نعم",$M67="نعم"),0,MAX(0,MIN($F67,EOMONTH(DATE(cfg_FY,12,1),0))-MAX($E67,DATE(cfg_FY,12,1))+1))</f>
        <v>0</v>
      </c>
    </row>
    <row r="68" customFormat="false" ht="15" hidden="false" customHeight="false" outlineLevel="0" collapsed="false">
      <c r="A68" s="106" t="str">
        <f aca="false">IF(B68="","",ROW()-5)</f>
        <v/>
      </c>
      <c r="B68" s="118"/>
      <c r="C68" s="114" t="str">
        <f aca="false">IF(B68="","",IFERROR(INDEX(الموظفون!$C$6:$C$105,MATCH(B68,الموظفون!$B$6:$B$105,0)),"✖ رقم غير موجود"))</f>
        <v/>
      </c>
      <c r="D68" s="118"/>
      <c r="E68" s="119"/>
      <c r="F68" s="119"/>
      <c r="G68" s="65" t="str">
        <f aca="false">IF(OR($B68="",$E68="",$F68=""),"",MAX(0,F68-E68+1))</f>
        <v/>
      </c>
      <c r="H68" s="66" t="str">
        <f aca="false">IF(D68="","",IFERROR(VLOOKUP(D68,cfg_LT,2,FALSE()),1))</f>
        <v/>
      </c>
      <c r="I68" s="135"/>
      <c r="J68" s="66" t="str">
        <f aca="false">IF(D68="","",IF(I68&lt;&gt;"",I68,H68))</f>
        <v/>
      </c>
      <c r="K68" s="114" t="str">
        <f aca="false">IF(D68="","",IFERROR(VLOOKUP($D68,cfg_LT,3,FALSE()),""))</f>
        <v/>
      </c>
      <c r="L68" s="114" t="str">
        <f aca="false">IF(D68="","",IFERROR(VLOOKUP($D68,cfg_LT,4,FALSE()),""))</f>
        <v/>
      </c>
      <c r="M68" s="114" t="str">
        <f aca="false">IF(D68="","",IFERROR(VLOOKUP($D68,cfg_LT,5,FALSE()),""))</f>
        <v/>
      </c>
      <c r="N68" s="111" t="n">
        <f aca="false">IF(OR(OR($B68="",$E68="",$F68=""),M68&lt;&gt;"نعم"),0,G68*J68*IFERROR(INDEX(الموظفون!$R$6:$R$105,MATCH(B68,الموظفون!$B$6:$B$105,0)),0)/cfg_DAYS_M)</f>
        <v>0</v>
      </c>
      <c r="O68" s="106" t="str">
        <f aca="false">IF(OR(OR($B68="",$E68="",$F68=""),M68&lt;&gt;"نعم"),"",IF(YEAR(E68)=cfg_FY,MONTH(E68),""))</f>
        <v/>
      </c>
      <c r="P68" s="114" t="str">
        <f aca="false">IF(B68="","",IF(OR(D68="",E68="",F68=""),"⚠ أكمل النوع والتواريخ",IF(F68&lt;E68,"✖ النهاية قبل البداية",IF(COUNTIFS($B$6:$B$505,B68,$E$6:$E$505,"&lt;="&amp;F68,$F$6:$F$505,"&gt;="&amp;E68)&gt;1,"⚠ تداخل مع سجل آخر",IF(E68&gt;cfg_VAL_DATE,"⏳ قادمة",IF(F68&lt;cfg_VAL_DATE,"✔ منتهية","✈ جارية في تاريخ التقرير"))))))</f>
        <v/>
      </c>
      <c r="Q68" s="118"/>
      <c r="R68" s="65" t="n">
        <f aca="false">IF(OR(OR($B68="",$E68="",$F68=""),L68&lt;&gt;"لا"),0,MAX(0,MIN(F68,cfg_Y_START-1)-E68+1))</f>
        <v>0</v>
      </c>
      <c r="S68" s="65" t="n">
        <f aca="false">IF(OR(OR($B68="",$E68="",$F68=""),L68&lt;&gt;"لا"),0,MAX(0,MIN(F68,cfg_VAL_DATE)-E68+1))</f>
        <v>0</v>
      </c>
      <c r="T68" s="65" t="n">
        <f aca="false">IF(OR(OR($B68="",$E68="",$F68=""),K68&lt;&gt;"نعم"),0,IF(M68="نعم",IF(AND(ISNUMBER(O68),N(O68)&lt;=cfg_VAL_M),G68,0),MAX(0,MIN(F68,cfg_VAL_DATE)-MAX(E68,cfg_Y_START)+1)))</f>
        <v>0</v>
      </c>
      <c r="V68" s="65" t="n">
        <f aca="false">IF(OR($B68="",$E68="",$F68=""),0,MAX(0,MIN($F68,EOMONTH(DATE(cfg_FY,1,1),0))-MAX($E68,DATE(cfg_FY,1,1))+1)*(1-IF($M68="نعم",0,N($J68))))</f>
        <v>0</v>
      </c>
      <c r="W68" s="65" t="n">
        <f aca="false">IF(OR($B68="",$E68="",$F68=""),0,MAX(0,MIN($F68,EOMONTH(DATE(cfg_FY,2,1),0))-MAX($E68,DATE(cfg_FY,2,1))+1)*(1-IF($M68="نعم",0,N($J68))))</f>
        <v>0</v>
      </c>
      <c r="X68" s="65" t="n">
        <f aca="false">IF(OR($B68="",$E68="",$F68=""),0,MAX(0,MIN($F68,EOMONTH(DATE(cfg_FY,3,1),0))-MAX($E68,DATE(cfg_FY,3,1))+1)*(1-IF($M68="نعم",0,N($J68))))</f>
        <v>0</v>
      </c>
      <c r="Y68" s="65" t="n">
        <f aca="false">IF(OR($B68="",$E68="",$F68=""),0,MAX(0,MIN($F68,EOMONTH(DATE(cfg_FY,4,1),0))-MAX($E68,DATE(cfg_FY,4,1))+1)*(1-IF($M68="نعم",0,N($J68))))</f>
        <v>0</v>
      </c>
      <c r="Z68" s="65" t="n">
        <f aca="false">IF(OR($B68="",$E68="",$F68=""),0,MAX(0,MIN($F68,EOMONTH(DATE(cfg_FY,5,1),0))-MAX($E68,DATE(cfg_FY,5,1))+1)*(1-IF($M68="نعم",0,N($J68))))</f>
        <v>0</v>
      </c>
      <c r="AA68" s="65" t="n">
        <f aca="false">IF(OR($B68="",$E68="",$F68=""),0,MAX(0,MIN($F68,EOMONTH(DATE(cfg_FY,6,1),0))-MAX($E68,DATE(cfg_FY,6,1))+1)*(1-IF($M68="نعم",0,N($J68))))</f>
        <v>0</v>
      </c>
      <c r="AB68" s="65" t="n">
        <f aca="false">IF(OR($B68="",$E68="",$F68=""),0,MAX(0,MIN($F68,EOMONTH(DATE(cfg_FY,7,1),0))-MAX($E68,DATE(cfg_FY,7,1))+1)*(1-IF($M68="نعم",0,N($J68))))</f>
        <v>0</v>
      </c>
      <c r="AC68" s="65" t="n">
        <f aca="false">IF(OR($B68="",$E68="",$F68=""),0,MAX(0,MIN($F68,EOMONTH(DATE(cfg_FY,8,1),0))-MAX($E68,DATE(cfg_FY,8,1))+1)*(1-IF($M68="نعم",0,N($J68))))</f>
        <v>0</v>
      </c>
      <c r="AD68" s="65" t="n">
        <f aca="false">IF(OR($B68="",$E68="",$F68=""),0,MAX(0,MIN($F68,EOMONTH(DATE(cfg_FY,9,1),0))-MAX($E68,DATE(cfg_FY,9,1))+1)*(1-IF($M68="نعم",0,N($J68))))</f>
        <v>0</v>
      </c>
      <c r="AE68" s="65" t="n">
        <f aca="false">IF(OR($B68="",$E68="",$F68=""),0,MAX(0,MIN($F68,EOMONTH(DATE(cfg_FY,10,1),0))-MAX($E68,DATE(cfg_FY,10,1))+1)*(1-IF($M68="نعم",0,N($J68))))</f>
        <v>0</v>
      </c>
      <c r="AF68" s="65" t="n">
        <f aca="false">IF(OR($B68="",$E68="",$F68=""),0,MAX(0,MIN($F68,EOMONTH(DATE(cfg_FY,11,1),0))-MAX($E68,DATE(cfg_FY,11,1))+1)*(1-IF($M68="نعم",0,N($J68))))</f>
        <v>0</v>
      </c>
      <c r="AG68" s="65" t="n">
        <f aca="false">IF(OR($B68="",$E68="",$F68=""),0,MAX(0,MIN($F68,EOMONTH(DATE(cfg_FY,12,1),0))-MAX($E68,DATE(cfg_FY,12,1))+1)*(1-IF($M68="نعم",0,N($J68))))</f>
        <v>0</v>
      </c>
      <c r="AH68" s="65" t="n">
        <f aca="false">IF(OR(OR($B68="",$E68="",$F68=""),$L68&lt;&gt;"لا"),0,MAX(0,MIN($F68,EOMONTH(DATE(cfg_FY,1,1),0))-$E68+1))</f>
        <v>0</v>
      </c>
      <c r="AI68" s="65" t="n">
        <f aca="false">IF(OR(OR($B68="",$E68="",$F68=""),$L68&lt;&gt;"لا"),0,MAX(0,MIN($F68,EOMONTH(DATE(cfg_FY,2,1),0))-$E68+1))</f>
        <v>0</v>
      </c>
      <c r="AJ68" s="65" t="n">
        <f aca="false">IF(OR(OR($B68="",$E68="",$F68=""),$L68&lt;&gt;"لا"),0,MAX(0,MIN($F68,EOMONTH(DATE(cfg_FY,3,1),0))-$E68+1))</f>
        <v>0</v>
      </c>
      <c r="AK68" s="65" t="n">
        <f aca="false">IF(OR(OR($B68="",$E68="",$F68=""),$L68&lt;&gt;"لا"),0,MAX(0,MIN($F68,EOMONTH(DATE(cfg_FY,4,1),0))-$E68+1))</f>
        <v>0</v>
      </c>
      <c r="AL68" s="65" t="n">
        <f aca="false">IF(OR(OR($B68="",$E68="",$F68=""),$L68&lt;&gt;"لا"),0,MAX(0,MIN($F68,EOMONTH(DATE(cfg_FY,5,1),0))-$E68+1))</f>
        <v>0</v>
      </c>
      <c r="AM68" s="65" t="n">
        <f aca="false">IF(OR(OR($B68="",$E68="",$F68=""),$L68&lt;&gt;"لا"),0,MAX(0,MIN($F68,EOMONTH(DATE(cfg_FY,6,1),0))-$E68+1))</f>
        <v>0</v>
      </c>
      <c r="AN68" s="65" t="n">
        <f aca="false">IF(OR(OR($B68="",$E68="",$F68=""),$L68&lt;&gt;"لا"),0,MAX(0,MIN($F68,EOMONTH(DATE(cfg_FY,7,1),0))-$E68+1))</f>
        <v>0</v>
      </c>
      <c r="AO68" s="65" t="n">
        <f aca="false">IF(OR(OR($B68="",$E68="",$F68=""),$L68&lt;&gt;"لا"),0,MAX(0,MIN($F68,EOMONTH(DATE(cfg_FY,8,1),0))-$E68+1))</f>
        <v>0</v>
      </c>
      <c r="AP68" s="65" t="n">
        <f aca="false">IF(OR(OR($B68="",$E68="",$F68=""),$L68&lt;&gt;"لا"),0,MAX(0,MIN($F68,EOMONTH(DATE(cfg_FY,9,1),0))-$E68+1))</f>
        <v>0</v>
      </c>
      <c r="AQ68" s="65" t="n">
        <f aca="false">IF(OR(OR($B68="",$E68="",$F68=""),$L68&lt;&gt;"لا"),0,MAX(0,MIN($F68,EOMONTH(DATE(cfg_FY,10,1),0))-$E68+1))</f>
        <v>0</v>
      </c>
      <c r="AR68" s="65" t="n">
        <f aca="false">IF(OR(OR($B68="",$E68="",$F68=""),$L68&lt;&gt;"لا"),0,MAX(0,MIN($F68,EOMONTH(DATE(cfg_FY,11,1),0))-$E68+1))</f>
        <v>0</v>
      </c>
      <c r="AS68" s="65" t="n">
        <f aca="false">IF(OR(OR($B68="",$E68="",$F68=""),$L68&lt;&gt;"لا"),0,MAX(0,MIN($F68,EOMONTH(DATE(cfg_FY,12,1),0))-$E68+1))</f>
        <v>0</v>
      </c>
      <c r="AT68" s="65" t="n">
        <f aca="false">IF(OR(OR($B68="",$E68="",$F68=""),$K68&lt;&gt;"نعم",$M68="نعم"),0,MAX(0,MIN($F68,EOMONTH(DATE(cfg_FY,1,1),0))-MAX($E68,DATE(cfg_FY,1,1))+1))</f>
        <v>0</v>
      </c>
      <c r="AU68" s="65" t="n">
        <f aca="false">IF(OR(OR($B68="",$E68="",$F68=""),$K68&lt;&gt;"نعم",$M68="نعم"),0,MAX(0,MIN($F68,EOMONTH(DATE(cfg_FY,2,1),0))-MAX($E68,DATE(cfg_FY,2,1))+1))</f>
        <v>0</v>
      </c>
      <c r="AV68" s="65" t="n">
        <f aca="false">IF(OR(OR($B68="",$E68="",$F68=""),$K68&lt;&gt;"نعم",$M68="نعم"),0,MAX(0,MIN($F68,EOMONTH(DATE(cfg_FY,3,1),0))-MAX($E68,DATE(cfg_FY,3,1))+1))</f>
        <v>0</v>
      </c>
      <c r="AW68" s="65" t="n">
        <f aca="false">IF(OR(OR($B68="",$E68="",$F68=""),$K68&lt;&gt;"نعم",$M68="نعم"),0,MAX(0,MIN($F68,EOMONTH(DATE(cfg_FY,4,1),0))-MAX($E68,DATE(cfg_FY,4,1))+1))</f>
        <v>0</v>
      </c>
      <c r="AX68" s="65" t="n">
        <f aca="false">IF(OR(OR($B68="",$E68="",$F68=""),$K68&lt;&gt;"نعم",$M68="نعم"),0,MAX(0,MIN($F68,EOMONTH(DATE(cfg_FY,5,1),0))-MAX($E68,DATE(cfg_FY,5,1))+1))</f>
        <v>0</v>
      </c>
      <c r="AY68" s="65" t="n">
        <f aca="false">IF(OR(OR($B68="",$E68="",$F68=""),$K68&lt;&gt;"نعم",$M68="نعم"),0,MAX(0,MIN($F68,EOMONTH(DATE(cfg_FY,6,1),0))-MAX($E68,DATE(cfg_FY,6,1))+1))</f>
        <v>0</v>
      </c>
      <c r="AZ68" s="65" t="n">
        <f aca="false">IF(OR(OR($B68="",$E68="",$F68=""),$K68&lt;&gt;"نعم",$M68="نعم"),0,MAX(0,MIN($F68,EOMONTH(DATE(cfg_FY,7,1),0))-MAX($E68,DATE(cfg_FY,7,1))+1))</f>
        <v>0</v>
      </c>
      <c r="BA68" s="65" t="n">
        <f aca="false">IF(OR(OR($B68="",$E68="",$F68=""),$K68&lt;&gt;"نعم",$M68="نعم"),0,MAX(0,MIN($F68,EOMONTH(DATE(cfg_FY,8,1),0))-MAX($E68,DATE(cfg_FY,8,1))+1))</f>
        <v>0</v>
      </c>
      <c r="BB68" s="65" t="n">
        <f aca="false">IF(OR(OR($B68="",$E68="",$F68=""),$K68&lt;&gt;"نعم",$M68="نعم"),0,MAX(0,MIN($F68,EOMONTH(DATE(cfg_FY,9,1),0))-MAX($E68,DATE(cfg_FY,9,1))+1))</f>
        <v>0</v>
      </c>
      <c r="BC68" s="65" t="n">
        <f aca="false">IF(OR(OR($B68="",$E68="",$F68=""),$K68&lt;&gt;"نعم",$M68="نعم"),0,MAX(0,MIN($F68,EOMONTH(DATE(cfg_FY,10,1),0))-MAX($E68,DATE(cfg_FY,10,1))+1))</f>
        <v>0</v>
      </c>
      <c r="BD68" s="65" t="n">
        <f aca="false">IF(OR(OR($B68="",$E68="",$F68=""),$K68&lt;&gt;"نعم",$M68="نعم"),0,MAX(0,MIN($F68,EOMONTH(DATE(cfg_FY,11,1),0))-MAX($E68,DATE(cfg_FY,11,1))+1))</f>
        <v>0</v>
      </c>
      <c r="BE68" s="65" t="n">
        <f aca="false">IF(OR(OR($B68="",$E68="",$F68=""),$K68&lt;&gt;"نعم",$M68="نعم"),0,MAX(0,MIN($F68,EOMONTH(DATE(cfg_FY,12,1),0))-MAX($E68,DATE(cfg_FY,12,1))+1))</f>
        <v>0</v>
      </c>
    </row>
    <row r="69" customFormat="false" ht="15" hidden="false" customHeight="false" outlineLevel="0" collapsed="false">
      <c r="A69" s="115" t="str">
        <f aca="false">IF(B69="","",ROW()-5)</f>
        <v/>
      </c>
      <c r="B69" s="118"/>
      <c r="C69" s="117" t="str">
        <f aca="false">IF(B69="","",IFERROR(INDEX(الموظفون!$C$6:$C$105,MATCH(B69,الموظفون!$B$6:$B$105,0)),"✖ رقم غير موجود"))</f>
        <v/>
      </c>
      <c r="D69" s="118"/>
      <c r="E69" s="119"/>
      <c r="F69" s="119"/>
      <c r="G69" s="133" t="str">
        <f aca="false">IF(OR($B69="",$E69="",$F69=""),"",MAX(0,F69-E69+1))</f>
        <v/>
      </c>
      <c r="H69" s="134" t="str">
        <f aca="false">IF(D69="","",IFERROR(VLOOKUP(D69,cfg_LT,2,FALSE()),1))</f>
        <v/>
      </c>
      <c r="I69" s="135"/>
      <c r="J69" s="134" t="str">
        <f aca="false">IF(D69="","",IF(I69&lt;&gt;"",I69,H69))</f>
        <v/>
      </c>
      <c r="K69" s="117" t="str">
        <f aca="false">IF(D69="","",IFERROR(VLOOKUP($D69,cfg_LT,3,FALSE()),""))</f>
        <v/>
      </c>
      <c r="L69" s="117" t="str">
        <f aca="false">IF(D69="","",IFERROR(VLOOKUP($D69,cfg_LT,4,FALSE()),""))</f>
        <v/>
      </c>
      <c r="M69" s="117" t="str">
        <f aca="false">IF(D69="","",IFERROR(VLOOKUP($D69,cfg_LT,5,FALSE()),""))</f>
        <v/>
      </c>
      <c r="N69" s="116" t="n">
        <f aca="false">IF(OR(OR($B69="",$E69="",$F69=""),M69&lt;&gt;"نعم"),0,G69*J69*IFERROR(INDEX(الموظفون!$R$6:$R$105,MATCH(B69,الموظفون!$B$6:$B$105,0)),0)/cfg_DAYS_M)</f>
        <v>0</v>
      </c>
      <c r="O69" s="115" t="str">
        <f aca="false">IF(OR(OR($B69="",$E69="",$F69=""),M69&lt;&gt;"نعم"),"",IF(YEAR(E69)=cfg_FY,MONTH(E69),""))</f>
        <v/>
      </c>
      <c r="P69" s="117" t="str">
        <f aca="false">IF(B69="","",IF(OR(D69="",E69="",F69=""),"⚠ أكمل النوع والتواريخ",IF(F69&lt;E69,"✖ النهاية قبل البداية",IF(COUNTIFS($B$6:$B$505,B69,$E$6:$E$505,"&lt;="&amp;F69,$F$6:$F$505,"&gt;="&amp;E69)&gt;1,"⚠ تداخل مع سجل آخر",IF(E69&gt;cfg_VAL_DATE,"⏳ قادمة",IF(F69&lt;cfg_VAL_DATE,"✔ منتهية","✈ جارية في تاريخ التقرير"))))))</f>
        <v/>
      </c>
      <c r="Q69" s="118"/>
      <c r="R69" s="133" t="n">
        <f aca="false">IF(OR(OR($B69="",$E69="",$F69=""),L69&lt;&gt;"لا"),0,MAX(0,MIN(F69,cfg_Y_START-1)-E69+1))</f>
        <v>0</v>
      </c>
      <c r="S69" s="133" t="n">
        <f aca="false">IF(OR(OR($B69="",$E69="",$F69=""),L69&lt;&gt;"لا"),0,MAX(0,MIN(F69,cfg_VAL_DATE)-E69+1))</f>
        <v>0</v>
      </c>
      <c r="T69" s="133" t="n">
        <f aca="false">IF(OR(OR($B69="",$E69="",$F69=""),K69&lt;&gt;"نعم"),0,IF(M69="نعم",IF(AND(ISNUMBER(O69),N(O69)&lt;=cfg_VAL_M),G69,0),MAX(0,MIN(F69,cfg_VAL_DATE)-MAX(E69,cfg_Y_START)+1)))</f>
        <v>0</v>
      </c>
      <c r="V69" s="133" t="n">
        <f aca="false">IF(OR($B69="",$E69="",$F69=""),0,MAX(0,MIN($F69,EOMONTH(DATE(cfg_FY,1,1),0))-MAX($E69,DATE(cfg_FY,1,1))+1)*(1-IF($M69="نعم",0,N($J69))))</f>
        <v>0</v>
      </c>
      <c r="W69" s="133" t="n">
        <f aca="false">IF(OR($B69="",$E69="",$F69=""),0,MAX(0,MIN($F69,EOMONTH(DATE(cfg_FY,2,1),0))-MAX($E69,DATE(cfg_FY,2,1))+1)*(1-IF($M69="نعم",0,N($J69))))</f>
        <v>0</v>
      </c>
      <c r="X69" s="133" t="n">
        <f aca="false">IF(OR($B69="",$E69="",$F69=""),0,MAX(0,MIN($F69,EOMONTH(DATE(cfg_FY,3,1),0))-MAX($E69,DATE(cfg_FY,3,1))+1)*(1-IF($M69="نعم",0,N($J69))))</f>
        <v>0</v>
      </c>
      <c r="Y69" s="133" t="n">
        <f aca="false">IF(OR($B69="",$E69="",$F69=""),0,MAX(0,MIN($F69,EOMONTH(DATE(cfg_FY,4,1),0))-MAX($E69,DATE(cfg_FY,4,1))+1)*(1-IF($M69="نعم",0,N($J69))))</f>
        <v>0</v>
      </c>
      <c r="Z69" s="133" t="n">
        <f aca="false">IF(OR($B69="",$E69="",$F69=""),0,MAX(0,MIN($F69,EOMONTH(DATE(cfg_FY,5,1),0))-MAX($E69,DATE(cfg_FY,5,1))+1)*(1-IF($M69="نعم",0,N($J69))))</f>
        <v>0</v>
      </c>
      <c r="AA69" s="133" t="n">
        <f aca="false">IF(OR($B69="",$E69="",$F69=""),0,MAX(0,MIN($F69,EOMONTH(DATE(cfg_FY,6,1),0))-MAX($E69,DATE(cfg_FY,6,1))+1)*(1-IF($M69="نعم",0,N($J69))))</f>
        <v>0</v>
      </c>
      <c r="AB69" s="133" t="n">
        <f aca="false">IF(OR($B69="",$E69="",$F69=""),0,MAX(0,MIN($F69,EOMONTH(DATE(cfg_FY,7,1),0))-MAX($E69,DATE(cfg_FY,7,1))+1)*(1-IF($M69="نعم",0,N($J69))))</f>
        <v>0</v>
      </c>
      <c r="AC69" s="133" t="n">
        <f aca="false">IF(OR($B69="",$E69="",$F69=""),0,MAX(0,MIN($F69,EOMONTH(DATE(cfg_FY,8,1),0))-MAX($E69,DATE(cfg_FY,8,1))+1)*(1-IF($M69="نعم",0,N($J69))))</f>
        <v>0</v>
      </c>
      <c r="AD69" s="133" t="n">
        <f aca="false">IF(OR($B69="",$E69="",$F69=""),0,MAX(0,MIN($F69,EOMONTH(DATE(cfg_FY,9,1),0))-MAX($E69,DATE(cfg_FY,9,1))+1)*(1-IF($M69="نعم",0,N($J69))))</f>
        <v>0</v>
      </c>
      <c r="AE69" s="133" t="n">
        <f aca="false">IF(OR($B69="",$E69="",$F69=""),0,MAX(0,MIN($F69,EOMONTH(DATE(cfg_FY,10,1),0))-MAX($E69,DATE(cfg_FY,10,1))+1)*(1-IF($M69="نعم",0,N($J69))))</f>
        <v>0</v>
      </c>
      <c r="AF69" s="133" t="n">
        <f aca="false">IF(OR($B69="",$E69="",$F69=""),0,MAX(0,MIN($F69,EOMONTH(DATE(cfg_FY,11,1),0))-MAX($E69,DATE(cfg_FY,11,1))+1)*(1-IF($M69="نعم",0,N($J69))))</f>
        <v>0</v>
      </c>
      <c r="AG69" s="133" t="n">
        <f aca="false">IF(OR($B69="",$E69="",$F69=""),0,MAX(0,MIN($F69,EOMONTH(DATE(cfg_FY,12,1),0))-MAX($E69,DATE(cfg_FY,12,1))+1)*(1-IF($M69="نعم",0,N($J69))))</f>
        <v>0</v>
      </c>
      <c r="AH69" s="133" t="n">
        <f aca="false">IF(OR(OR($B69="",$E69="",$F69=""),$L69&lt;&gt;"لا"),0,MAX(0,MIN($F69,EOMONTH(DATE(cfg_FY,1,1),0))-$E69+1))</f>
        <v>0</v>
      </c>
      <c r="AI69" s="133" t="n">
        <f aca="false">IF(OR(OR($B69="",$E69="",$F69=""),$L69&lt;&gt;"لا"),0,MAX(0,MIN($F69,EOMONTH(DATE(cfg_FY,2,1),0))-$E69+1))</f>
        <v>0</v>
      </c>
      <c r="AJ69" s="133" t="n">
        <f aca="false">IF(OR(OR($B69="",$E69="",$F69=""),$L69&lt;&gt;"لا"),0,MAX(0,MIN($F69,EOMONTH(DATE(cfg_FY,3,1),0))-$E69+1))</f>
        <v>0</v>
      </c>
      <c r="AK69" s="133" t="n">
        <f aca="false">IF(OR(OR($B69="",$E69="",$F69=""),$L69&lt;&gt;"لا"),0,MAX(0,MIN($F69,EOMONTH(DATE(cfg_FY,4,1),0))-$E69+1))</f>
        <v>0</v>
      </c>
      <c r="AL69" s="133" t="n">
        <f aca="false">IF(OR(OR($B69="",$E69="",$F69=""),$L69&lt;&gt;"لا"),0,MAX(0,MIN($F69,EOMONTH(DATE(cfg_FY,5,1),0))-$E69+1))</f>
        <v>0</v>
      </c>
      <c r="AM69" s="133" t="n">
        <f aca="false">IF(OR(OR($B69="",$E69="",$F69=""),$L69&lt;&gt;"لا"),0,MAX(0,MIN($F69,EOMONTH(DATE(cfg_FY,6,1),0))-$E69+1))</f>
        <v>0</v>
      </c>
      <c r="AN69" s="133" t="n">
        <f aca="false">IF(OR(OR($B69="",$E69="",$F69=""),$L69&lt;&gt;"لا"),0,MAX(0,MIN($F69,EOMONTH(DATE(cfg_FY,7,1),0))-$E69+1))</f>
        <v>0</v>
      </c>
      <c r="AO69" s="133" t="n">
        <f aca="false">IF(OR(OR($B69="",$E69="",$F69=""),$L69&lt;&gt;"لا"),0,MAX(0,MIN($F69,EOMONTH(DATE(cfg_FY,8,1),0))-$E69+1))</f>
        <v>0</v>
      </c>
      <c r="AP69" s="133" t="n">
        <f aca="false">IF(OR(OR($B69="",$E69="",$F69=""),$L69&lt;&gt;"لا"),0,MAX(0,MIN($F69,EOMONTH(DATE(cfg_FY,9,1),0))-$E69+1))</f>
        <v>0</v>
      </c>
      <c r="AQ69" s="133" t="n">
        <f aca="false">IF(OR(OR($B69="",$E69="",$F69=""),$L69&lt;&gt;"لا"),0,MAX(0,MIN($F69,EOMONTH(DATE(cfg_FY,10,1),0))-$E69+1))</f>
        <v>0</v>
      </c>
      <c r="AR69" s="133" t="n">
        <f aca="false">IF(OR(OR($B69="",$E69="",$F69=""),$L69&lt;&gt;"لا"),0,MAX(0,MIN($F69,EOMONTH(DATE(cfg_FY,11,1),0))-$E69+1))</f>
        <v>0</v>
      </c>
      <c r="AS69" s="133" t="n">
        <f aca="false">IF(OR(OR($B69="",$E69="",$F69=""),$L69&lt;&gt;"لا"),0,MAX(0,MIN($F69,EOMONTH(DATE(cfg_FY,12,1),0))-$E69+1))</f>
        <v>0</v>
      </c>
      <c r="AT69" s="133" t="n">
        <f aca="false">IF(OR(OR($B69="",$E69="",$F69=""),$K69&lt;&gt;"نعم",$M69="نعم"),0,MAX(0,MIN($F69,EOMONTH(DATE(cfg_FY,1,1),0))-MAX($E69,DATE(cfg_FY,1,1))+1))</f>
        <v>0</v>
      </c>
      <c r="AU69" s="133" t="n">
        <f aca="false">IF(OR(OR($B69="",$E69="",$F69=""),$K69&lt;&gt;"نعم",$M69="نعم"),0,MAX(0,MIN($F69,EOMONTH(DATE(cfg_FY,2,1),0))-MAX($E69,DATE(cfg_FY,2,1))+1))</f>
        <v>0</v>
      </c>
      <c r="AV69" s="133" t="n">
        <f aca="false">IF(OR(OR($B69="",$E69="",$F69=""),$K69&lt;&gt;"نعم",$M69="نعم"),0,MAX(0,MIN($F69,EOMONTH(DATE(cfg_FY,3,1),0))-MAX($E69,DATE(cfg_FY,3,1))+1))</f>
        <v>0</v>
      </c>
      <c r="AW69" s="133" t="n">
        <f aca="false">IF(OR(OR($B69="",$E69="",$F69=""),$K69&lt;&gt;"نعم",$M69="نعم"),0,MAX(0,MIN($F69,EOMONTH(DATE(cfg_FY,4,1),0))-MAX($E69,DATE(cfg_FY,4,1))+1))</f>
        <v>0</v>
      </c>
      <c r="AX69" s="133" t="n">
        <f aca="false">IF(OR(OR($B69="",$E69="",$F69=""),$K69&lt;&gt;"نعم",$M69="نعم"),0,MAX(0,MIN($F69,EOMONTH(DATE(cfg_FY,5,1),0))-MAX($E69,DATE(cfg_FY,5,1))+1))</f>
        <v>0</v>
      </c>
      <c r="AY69" s="133" t="n">
        <f aca="false">IF(OR(OR($B69="",$E69="",$F69=""),$K69&lt;&gt;"نعم",$M69="نعم"),0,MAX(0,MIN($F69,EOMONTH(DATE(cfg_FY,6,1),0))-MAX($E69,DATE(cfg_FY,6,1))+1))</f>
        <v>0</v>
      </c>
      <c r="AZ69" s="133" t="n">
        <f aca="false">IF(OR(OR($B69="",$E69="",$F69=""),$K69&lt;&gt;"نعم",$M69="نعم"),0,MAX(0,MIN($F69,EOMONTH(DATE(cfg_FY,7,1),0))-MAX($E69,DATE(cfg_FY,7,1))+1))</f>
        <v>0</v>
      </c>
      <c r="BA69" s="133" t="n">
        <f aca="false">IF(OR(OR($B69="",$E69="",$F69=""),$K69&lt;&gt;"نعم",$M69="نعم"),0,MAX(0,MIN($F69,EOMONTH(DATE(cfg_FY,8,1),0))-MAX($E69,DATE(cfg_FY,8,1))+1))</f>
        <v>0</v>
      </c>
      <c r="BB69" s="133" t="n">
        <f aca="false">IF(OR(OR($B69="",$E69="",$F69=""),$K69&lt;&gt;"نعم",$M69="نعم"),0,MAX(0,MIN($F69,EOMONTH(DATE(cfg_FY,9,1),0))-MAX($E69,DATE(cfg_FY,9,1))+1))</f>
        <v>0</v>
      </c>
      <c r="BC69" s="133" t="n">
        <f aca="false">IF(OR(OR($B69="",$E69="",$F69=""),$K69&lt;&gt;"نعم",$M69="نعم"),0,MAX(0,MIN($F69,EOMONTH(DATE(cfg_FY,10,1),0))-MAX($E69,DATE(cfg_FY,10,1))+1))</f>
        <v>0</v>
      </c>
      <c r="BD69" s="133" t="n">
        <f aca="false">IF(OR(OR($B69="",$E69="",$F69=""),$K69&lt;&gt;"نعم",$M69="نعم"),0,MAX(0,MIN($F69,EOMONTH(DATE(cfg_FY,11,1),0))-MAX($E69,DATE(cfg_FY,11,1))+1))</f>
        <v>0</v>
      </c>
      <c r="BE69" s="133" t="n">
        <f aca="false">IF(OR(OR($B69="",$E69="",$F69=""),$K69&lt;&gt;"نعم",$M69="نعم"),0,MAX(0,MIN($F69,EOMONTH(DATE(cfg_FY,12,1),0))-MAX($E69,DATE(cfg_FY,12,1))+1))</f>
        <v>0</v>
      </c>
    </row>
    <row r="70" customFormat="false" ht="15" hidden="false" customHeight="false" outlineLevel="0" collapsed="false">
      <c r="A70" s="106" t="str">
        <f aca="false">IF(B70="","",ROW()-5)</f>
        <v/>
      </c>
      <c r="B70" s="118"/>
      <c r="C70" s="114" t="str">
        <f aca="false">IF(B70="","",IFERROR(INDEX(الموظفون!$C$6:$C$105,MATCH(B70,الموظفون!$B$6:$B$105,0)),"✖ رقم غير موجود"))</f>
        <v/>
      </c>
      <c r="D70" s="118"/>
      <c r="E70" s="119"/>
      <c r="F70" s="119"/>
      <c r="G70" s="65" t="str">
        <f aca="false">IF(OR($B70="",$E70="",$F70=""),"",MAX(0,F70-E70+1))</f>
        <v/>
      </c>
      <c r="H70" s="66" t="str">
        <f aca="false">IF(D70="","",IFERROR(VLOOKUP(D70,cfg_LT,2,FALSE()),1))</f>
        <v/>
      </c>
      <c r="I70" s="135"/>
      <c r="J70" s="66" t="str">
        <f aca="false">IF(D70="","",IF(I70&lt;&gt;"",I70,H70))</f>
        <v/>
      </c>
      <c r="K70" s="114" t="str">
        <f aca="false">IF(D70="","",IFERROR(VLOOKUP($D70,cfg_LT,3,FALSE()),""))</f>
        <v/>
      </c>
      <c r="L70" s="114" t="str">
        <f aca="false">IF(D70="","",IFERROR(VLOOKUP($D70,cfg_LT,4,FALSE()),""))</f>
        <v/>
      </c>
      <c r="M70" s="114" t="str">
        <f aca="false">IF(D70="","",IFERROR(VLOOKUP($D70,cfg_LT,5,FALSE()),""))</f>
        <v/>
      </c>
      <c r="N70" s="111" t="n">
        <f aca="false">IF(OR(OR($B70="",$E70="",$F70=""),M70&lt;&gt;"نعم"),0,G70*J70*IFERROR(INDEX(الموظفون!$R$6:$R$105,MATCH(B70,الموظفون!$B$6:$B$105,0)),0)/cfg_DAYS_M)</f>
        <v>0</v>
      </c>
      <c r="O70" s="106" t="str">
        <f aca="false">IF(OR(OR($B70="",$E70="",$F70=""),M70&lt;&gt;"نعم"),"",IF(YEAR(E70)=cfg_FY,MONTH(E70),""))</f>
        <v/>
      </c>
      <c r="P70" s="114" t="str">
        <f aca="false">IF(B70="","",IF(OR(D70="",E70="",F70=""),"⚠ أكمل النوع والتواريخ",IF(F70&lt;E70,"✖ النهاية قبل البداية",IF(COUNTIFS($B$6:$B$505,B70,$E$6:$E$505,"&lt;="&amp;F70,$F$6:$F$505,"&gt;="&amp;E70)&gt;1,"⚠ تداخل مع سجل آخر",IF(E70&gt;cfg_VAL_DATE,"⏳ قادمة",IF(F70&lt;cfg_VAL_DATE,"✔ منتهية","✈ جارية في تاريخ التقرير"))))))</f>
        <v/>
      </c>
      <c r="Q70" s="118"/>
      <c r="R70" s="65" t="n">
        <f aca="false">IF(OR(OR($B70="",$E70="",$F70=""),L70&lt;&gt;"لا"),0,MAX(0,MIN(F70,cfg_Y_START-1)-E70+1))</f>
        <v>0</v>
      </c>
      <c r="S70" s="65" t="n">
        <f aca="false">IF(OR(OR($B70="",$E70="",$F70=""),L70&lt;&gt;"لا"),0,MAX(0,MIN(F70,cfg_VAL_DATE)-E70+1))</f>
        <v>0</v>
      </c>
      <c r="T70" s="65" t="n">
        <f aca="false">IF(OR(OR($B70="",$E70="",$F70=""),K70&lt;&gt;"نعم"),0,IF(M70="نعم",IF(AND(ISNUMBER(O70),N(O70)&lt;=cfg_VAL_M),G70,0),MAX(0,MIN(F70,cfg_VAL_DATE)-MAX(E70,cfg_Y_START)+1)))</f>
        <v>0</v>
      </c>
      <c r="V70" s="65" t="n">
        <f aca="false">IF(OR($B70="",$E70="",$F70=""),0,MAX(0,MIN($F70,EOMONTH(DATE(cfg_FY,1,1),0))-MAX($E70,DATE(cfg_FY,1,1))+1)*(1-IF($M70="نعم",0,N($J70))))</f>
        <v>0</v>
      </c>
      <c r="W70" s="65" t="n">
        <f aca="false">IF(OR($B70="",$E70="",$F70=""),0,MAX(0,MIN($F70,EOMONTH(DATE(cfg_FY,2,1),0))-MAX($E70,DATE(cfg_FY,2,1))+1)*(1-IF($M70="نعم",0,N($J70))))</f>
        <v>0</v>
      </c>
      <c r="X70" s="65" t="n">
        <f aca="false">IF(OR($B70="",$E70="",$F70=""),0,MAX(0,MIN($F70,EOMONTH(DATE(cfg_FY,3,1),0))-MAX($E70,DATE(cfg_FY,3,1))+1)*(1-IF($M70="نعم",0,N($J70))))</f>
        <v>0</v>
      </c>
      <c r="Y70" s="65" t="n">
        <f aca="false">IF(OR($B70="",$E70="",$F70=""),0,MAX(0,MIN($F70,EOMONTH(DATE(cfg_FY,4,1),0))-MAX($E70,DATE(cfg_FY,4,1))+1)*(1-IF($M70="نعم",0,N($J70))))</f>
        <v>0</v>
      </c>
      <c r="Z70" s="65" t="n">
        <f aca="false">IF(OR($B70="",$E70="",$F70=""),0,MAX(0,MIN($F70,EOMONTH(DATE(cfg_FY,5,1),0))-MAX($E70,DATE(cfg_FY,5,1))+1)*(1-IF($M70="نعم",0,N($J70))))</f>
        <v>0</v>
      </c>
      <c r="AA70" s="65" t="n">
        <f aca="false">IF(OR($B70="",$E70="",$F70=""),0,MAX(0,MIN($F70,EOMONTH(DATE(cfg_FY,6,1),0))-MAX($E70,DATE(cfg_FY,6,1))+1)*(1-IF($M70="نعم",0,N($J70))))</f>
        <v>0</v>
      </c>
      <c r="AB70" s="65" t="n">
        <f aca="false">IF(OR($B70="",$E70="",$F70=""),0,MAX(0,MIN($F70,EOMONTH(DATE(cfg_FY,7,1),0))-MAX($E70,DATE(cfg_FY,7,1))+1)*(1-IF($M70="نعم",0,N($J70))))</f>
        <v>0</v>
      </c>
      <c r="AC70" s="65" t="n">
        <f aca="false">IF(OR($B70="",$E70="",$F70=""),0,MAX(0,MIN($F70,EOMONTH(DATE(cfg_FY,8,1),0))-MAX($E70,DATE(cfg_FY,8,1))+1)*(1-IF($M70="نعم",0,N($J70))))</f>
        <v>0</v>
      </c>
      <c r="AD70" s="65" t="n">
        <f aca="false">IF(OR($B70="",$E70="",$F70=""),0,MAX(0,MIN($F70,EOMONTH(DATE(cfg_FY,9,1),0))-MAX($E70,DATE(cfg_FY,9,1))+1)*(1-IF($M70="نعم",0,N($J70))))</f>
        <v>0</v>
      </c>
      <c r="AE70" s="65" t="n">
        <f aca="false">IF(OR($B70="",$E70="",$F70=""),0,MAX(0,MIN($F70,EOMONTH(DATE(cfg_FY,10,1),0))-MAX($E70,DATE(cfg_FY,10,1))+1)*(1-IF($M70="نعم",0,N($J70))))</f>
        <v>0</v>
      </c>
      <c r="AF70" s="65" t="n">
        <f aca="false">IF(OR($B70="",$E70="",$F70=""),0,MAX(0,MIN($F70,EOMONTH(DATE(cfg_FY,11,1),0))-MAX($E70,DATE(cfg_FY,11,1))+1)*(1-IF($M70="نعم",0,N($J70))))</f>
        <v>0</v>
      </c>
      <c r="AG70" s="65" t="n">
        <f aca="false">IF(OR($B70="",$E70="",$F70=""),0,MAX(0,MIN($F70,EOMONTH(DATE(cfg_FY,12,1),0))-MAX($E70,DATE(cfg_FY,12,1))+1)*(1-IF($M70="نعم",0,N($J70))))</f>
        <v>0</v>
      </c>
      <c r="AH70" s="65" t="n">
        <f aca="false">IF(OR(OR($B70="",$E70="",$F70=""),$L70&lt;&gt;"لا"),0,MAX(0,MIN($F70,EOMONTH(DATE(cfg_FY,1,1),0))-$E70+1))</f>
        <v>0</v>
      </c>
      <c r="AI70" s="65" t="n">
        <f aca="false">IF(OR(OR($B70="",$E70="",$F70=""),$L70&lt;&gt;"لا"),0,MAX(0,MIN($F70,EOMONTH(DATE(cfg_FY,2,1),0))-$E70+1))</f>
        <v>0</v>
      </c>
      <c r="AJ70" s="65" t="n">
        <f aca="false">IF(OR(OR($B70="",$E70="",$F70=""),$L70&lt;&gt;"لا"),0,MAX(0,MIN($F70,EOMONTH(DATE(cfg_FY,3,1),0))-$E70+1))</f>
        <v>0</v>
      </c>
      <c r="AK70" s="65" t="n">
        <f aca="false">IF(OR(OR($B70="",$E70="",$F70=""),$L70&lt;&gt;"لا"),0,MAX(0,MIN($F70,EOMONTH(DATE(cfg_FY,4,1),0))-$E70+1))</f>
        <v>0</v>
      </c>
      <c r="AL70" s="65" t="n">
        <f aca="false">IF(OR(OR($B70="",$E70="",$F70=""),$L70&lt;&gt;"لا"),0,MAX(0,MIN($F70,EOMONTH(DATE(cfg_FY,5,1),0))-$E70+1))</f>
        <v>0</v>
      </c>
      <c r="AM70" s="65" t="n">
        <f aca="false">IF(OR(OR($B70="",$E70="",$F70=""),$L70&lt;&gt;"لا"),0,MAX(0,MIN($F70,EOMONTH(DATE(cfg_FY,6,1),0))-$E70+1))</f>
        <v>0</v>
      </c>
      <c r="AN70" s="65" t="n">
        <f aca="false">IF(OR(OR($B70="",$E70="",$F70=""),$L70&lt;&gt;"لا"),0,MAX(0,MIN($F70,EOMONTH(DATE(cfg_FY,7,1),0))-$E70+1))</f>
        <v>0</v>
      </c>
      <c r="AO70" s="65" t="n">
        <f aca="false">IF(OR(OR($B70="",$E70="",$F70=""),$L70&lt;&gt;"لا"),0,MAX(0,MIN($F70,EOMONTH(DATE(cfg_FY,8,1),0))-$E70+1))</f>
        <v>0</v>
      </c>
      <c r="AP70" s="65" t="n">
        <f aca="false">IF(OR(OR($B70="",$E70="",$F70=""),$L70&lt;&gt;"لا"),0,MAX(0,MIN($F70,EOMONTH(DATE(cfg_FY,9,1),0))-$E70+1))</f>
        <v>0</v>
      </c>
      <c r="AQ70" s="65" t="n">
        <f aca="false">IF(OR(OR($B70="",$E70="",$F70=""),$L70&lt;&gt;"لا"),0,MAX(0,MIN($F70,EOMONTH(DATE(cfg_FY,10,1),0))-$E70+1))</f>
        <v>0</v>
      </c>
      <c r="AR70" s="65" t="n">
        <f aca="false">IF(OR(OR($B70="",$E70="",$F70=""),$L70&lt;&gt;"لا"),0,MAX(0,MIN($F70,EOMONTH(DATE(cfg_FY,11,1),0))-$E70+1))</f>
        <v>0</v>
      </c>
      <c r="AS70" s="65" t="n">
        <f aca="false">IF(OR(OR($B70="",$E70="",$F70=""),$L70&lt;&gt;"لا"),0,MAX(0,MIN($F70,EOMONTH(DATE(cfg_FY,12,1),0))-$E70+1))</f>
        <v>0</v>
      </c>
      <c r="AT70" s="65" t="n">
        <f aca="false">IF(OR(OR($B70="",$E70="",$F70=""),$K70&lt;&gt;"نعم",$M70="نعم"),0,MAX(0,MIN($F70,EOMONTH(DATE(cfg_FY,1,1),0))-MAX($E70,DATE(cfg_FY,1,1))+1))</f>
        <v>0</v>
      </c>
      <c r="AU70" s="65" t="n">
        <f aca="false">IF(OR(OR($B70="",$E70="",$F70=""),$K70&lt;&gt;"نعم",$M70="نعم"),0,MAX(0,MIN($F70,EOMONTH(DATE(cfg_FY,2,1),0))-MAX($E70,DATE(cfg_FY,2,1))+1))</f>
        <v>0</v>
      </c>
      <c r="AV70" s="65" t="n">
        <f aca="false">IF(OR(OR($B70="",$E70="",$F70=""),$K70&lt;&gt;"نعم",$M70="نعم"),0,MAX(0,MIN($F70,EOMONTH(DATE(cfg_FY,3,1),0))-MAX($E70,DATE(cfg_FY,3,1))+1))</f>
        <v>0</v>
      </c>
      <c r="AW70" s="65" t="n">
        <f aca="false">IF(OR(OR($B70="",$E70="",$F70=""),$K70&lt;&gt;"نعم",$M70="نعم"),0,MAX(0,MIN($F70,EOMONTH(DATE(cfg_FY,4,1),0))-MAX($E70,DATE(cfg_FY,4,1))+1))</f>
        <v>0</v>
      </c>
      <c r="AX70" s="65" t="n">
        <f aca="false">IF(OR(OR($B70="",$E70="",$F70=""),$K70&lt;&gt;"نعم",$M70="نعم"),0,MAX(0,MIN($F70,EOMONTH(DATE(cfg_FY,5,1),0))-MAX($E70,DATE(cfg_FY,5,1))+1))</f>
        <v>0</v>
      </c>
      <c r="AY70" s="65" t="n">
        <f aca="false">IF(OR(OR($B70="",$E70="",$F70=""),$K70&lt;&gt;"نعم",$M70="نعم"),0,MAX(0,MIN($F70,EOMONTH(DATE(cfg_FY,6,1),0))-MAX($E70,DATE(cfg_FY,6,1))+1))</f>
        <v>0</v>
      </c>
      <c r="AZ70" s="65" t="n">
        <f aca="false">IF(OR(OR($B70="",$E70="",$F70=""),$K70&lt;&gt;"نعم",$M70="نعم"),0,MAX(0,MIN($F70,EOMONTH(DATE(cfg_FY,7,1),0))-MAX($E70,DATE(cfg_FY,7,1))+1))</f>
        <v>0</v>
      </c>
      <c r="BA70" s="65" t="n">
        <f aca="false">IF(OR(OR($B70="",$E70="",$F70=""),$K70&lt;&gt;"نعم",$M70="نعم"),0,MAX(0,MIN($F70,EOMONTH(DATE(cfg_FY,8,1),0))-MAX($E70,DATE(cfg_FY,8,1))+1))</f>
        <v>0</v>
      </c>
      <c r="BB70" s="65" t="n">
        <f aca="false">IF(OR(OR($B70="",$E70="",$F70=""),$K70&lt;&gt;"نعم",$M70="نعم"),0,MAX(0,MIN($F70,EOMONTH(DATE(cfg_FY,9,1),0))-MAX($E70,DATE(cfg_FY,9,1))+1))</f>
        <v>0</v>
      </c>
      <c r="BC70" s="65" t="n">
        <f aca="false">IF(OR(OR($B70="",$E70="",$F70=""),$K70&lt;&gt;"نعم",$M70="نعم"),0,MAX(0,MIN($F70,EOMONTH(DATE(cfg_FY,10,1),0))-MAX($E70,DATE(cfg_FY,10,1))+1))</f>
        <v>0</v>
      </c>
      <c r="BD70" s="65" t="n">
        <f aca="false">IF(OR(OR($B70="",$E70="",$F70=""),$K70&lt;&gt;"نعم",$M70="نعم"),0,MAX(0,MIN($F70,EOMONTH(DATE(cfg_FY,11,1),0))-MAX($E70,DATE(cfg_FY,11,1))+1))</f>
        <v>0</v>
      </c>
      <c r="BE70" s="65" t="n">
        <f aca="false">IF(OR(OR($B70="",$E70="",$F70=""),$K70&lt;&gt;"نعم",$M70="نعم"),0,MAX(0,MIN($F70,EOMONTH(DATE(cfg_FY,12,1),0))-MAX($E70,DATE(cfg_FY,12,1))+1))</f>
        <v>0</v>
      </c>
    </row>
    <row r="71" customFormat="false" ht="15" hidden="false" customHeight="false" outlineLevel="0" collapsed="false">
      <c r="A71" s="115" t="str">
        <f aca="false">IF(B71="","",ROW()-5)</f>
        <v/>
      </c>
      <c r="B71" s="118"/>
      <c r="C71" s="117" t="str">
        <f aca="false">IF(B71="","",IFERROR(INDEX(الموظفون!$C$6:$C$105,MATCH(B71,الموظفون!$B$6:$B$105,0)),"✖ رقم غير موجود"))</f>
        <v/>
      </c>
      <c r="D71" s="118"/>
      <c r="E71" s="119"/>
      <c r="F71" s="119"/>
      <c r="G71" s="133" t="str">
        <f aca="false">IF(OR($B71="",$E71="",$F71=""),"",MAX(0,F71-E71+1))</f>
        <v/>
      </c>
      <c r="H71" s="134" t="str">
        <f aca="false">IF(D71="","",IFERROR(VLOOKUP(D71,cfg_LT,2,FALSE()),1))</f>
        <v/>
      </c>
      <c r="I71" s="135"/>
      <c r="J71" s="134" t="str">
        <f aca="false">IF(D71="","",IF(I71&lt;&gt;"",I71,H71))</f>
        <v/>
      </c>
      <c r="K71" s="117" t="str">
        <f aca="false">IF(D71="","",IFERROR(VLOOKUP($D71,cfg_LT,3,FALSE()),""))</f>
        <v/>
      </c>
      <c r="L71" s="117" t="str">
        <f aca="false">IF(D71="","",IFERROR(VLOOKUP($D71,cfg_LT,4,FALSE()),""))</f>
        <v/>
      </c>
      <c r="M71" s="117" t="str">
        <f aca="false">IF(D71="","",IFERROR(VLOOKUP($D71,cfg_LT,5,FALSE()),""))</f>
        <v/>
      </c>
      <c r="N71" s="116" t="n">
        <f aca="false">IF(OR(OR($B71="",$E71="",$F71=""),M71&lt;&gt;"نعم"),0,G71*J71*IFERROR(INDEX(الموظفون!$R$6:$R$105,MATCH(B71,الموظفون!$B$6:$B$105,0)),0)/cfg_DAYS_M)</f>
        <v>0</v>
      </c>
      <c r="O71" s="115" t="str">
        <f aca="false">IF(OR(OR($B71="",$E71="",$F71=""),M71&lt;&gt;"نعم"),"",IF(YEAR(E71)=cfg_FY,MONTH(E71),""))</f>
        <v/>
      </c>
      <c r="P71" s="117" t="str">
        <f aca="false">IF(B71="","",IF(OR(D71="",E71="",F71=""),"⚠ أكمل النوع والتواريخ",IF(F71&lt;E71,"✖ النهاية قبل البداية",IF(COUNTIFS($B$6:$B$505,B71,$E$6:$E$505,"&lt;="&amp;F71,$F$6:$F$505,"&gt;="&amp;E71)&gt;1,"⚠ تداخل مع سجل آخر",IF(E71&gt;cfg_VAL_DATE,"⏳ قادمة",IF(F71&lt;cfg_VAL_DATE,"✔ منتهية","✈ جارية في تاريخ التقرير"))))))</f>
        <v/>
      </c>
      <c r="Q71" s="118"/>
      <c r="R71" s="133" t="n">
        <f aca="false">IF(OR(OR($B71="",$E71="",$F71=""),L71&lt;&gt;"لا"),0,MAX(0,MIN(F71,cfg_Y_START-1)-E71+1))</f>
        <v>0</v>
      </c>
      <c r="S71" s="133" t="n">
        <f aca="false">IF(OR(OR($B71="",$E71="",$F71=""),L71&lt;&gt;"لا"),0,MAX(0,MIN(F71,cfg_VAL_DATE)-E71+1))</f>
        <v>0</v>
      </c>
      <c r="T71" s="133" t="n">
        <f aca="false">IF(OR(OR($B71="",$E71="",$F71=""),K71&lt;&gt;"نعم"),0,IF(M71="نعم",IF(AND(ISNUMBER(O71),N(O71)&lt;=cfg_VAL_M),G71,0),MAX(0,MIN(F71,cfg_VAL_DATE)-MAX(E71,cfg_Y_START)+1)))</f>
        <v>0</v>
      </c>
      <c r="V71" s="133" t="n">
        <f aca="false">IF(OR($B71="",$E71="",$F71=""),0,MAX(0,MIN($F71,EOMONTH(DATE(cfg_FY,1,1),0))-MAX($E71,DATE(cfg_FY,1,1))+1)*(1-IF($M71="نعم",0,N($J71))))</f>
        <v>0</v>
      </c>
      <c r="W71" s="133" t="n">
        <f aca="false">IF(OR($B71="",$E71="",$F71=""),0,MAX(0,MIN($F71,EOMONTH(DATE(cfg_FY,2,1),0))-MAX($E71,DATE(cfg_FY,2,1))+1)*(1-IF($M71="نعم",0,N($J71))))</f>
        <v>0</v>
      </c>
      <c r="X71" s="133" t="n">
        <f aca="false">IF(OR($B71="",$E71="",$F71=""),0,MAX(0,MIN($F71,EOMONTH(DATE(cfg_FY,3,1),0))-MAX($E71,DATE(cfg_FY,3,1))+1)*(1-IF($M71="نعم",0,N($J71))))</f>
        <v>0</v>
      </c>
      <c r="Y71" s="133" t="n">
        <f aca="false">IF(OR($B71="",$E71="",$F71=""),0,MAX(0,MIN($F71,EOMONTH(DATE(cfg_FY,4,1),0))-MAX($E71,DATE(cfg_FY,4,1))+1)*(1-IF($M71="نعم",0,N($J71))))</f>
        <v>0</v>
      </c>
      <c r="Z71" s="133" t="n">
        <f aca="false">IF(OR($B71="",$E71="",$F71=""),0,MAX(0,MIN($F71,EOMONTH(DATE(cfg_FY,5,1),0))-MAX($E71,DATE(cfg_FY,5,1))+1)*(1-IF($M71="نعم",0,N($J71))))</f>
        <v>0</v>
      </c>
      <c r="AA71" s="133" t="n">
        <f aca="false">IF(OR($B71="",$E71="",$F71=""),0,MAX(0,MIN($F71,EOMONTH(DATE(cfg_FY,6,1),0))-MAX($E71,DATE(cfg_FY,6,1))+1)*(1-IF($M71="نعم",0,N($J71))))</f>
        <v>0</v>
      </c>
      <c r="AB71" s="133" t="n">
        <f aca="false">IF(OR($B71="",$E71="",$F71=""),0,MAX(0,MIN($F71,EOMONTH(DATE(cfg_FY,7,1),0))-MAX($E71,DATE(cfg_FY,7,1))+1)*(1-IF($M71="نعم",0,N($J71))))</f>
        <v>0</v>
      </c>
      <c r="AC71" s="133" t="n">
        <f aca="false">IF(OR($B71="",$E71="",$F71=""),0,MAX(0,MIN($F71,EOMONTH(DATE(cfg_FY,8,1),0))-MAX($E71,DATE(cfg_FY,8,1))+1)*(1-IF($M71="نعم",0,N($J71))))</f>
        <v>0</v>
      </c>
      <c r="AD71" s="133" t="n">
        <f aca="false">IF(OR($B71="",$E71="",$F71=""),0,MAX(0,MIN($F71,EOMONTH(DATE(cfg_FY,9,1),0))-MAX($E71,DATE(cfg_FY,9,1))+1)*(1-IF($M71="نعم",0,N($J71))))</f>
        <v>0</v>
      </c>
      <c r="AE71" s="133" t="n">
        <f aca="false">IF(OR($B71="",$E71="",$F71=""),0,MAX(0,MIN($F71,EOMONTH(DATE(cfg_FY,10,1),0))-MAX($E71,DATE(cfg_FY,10,1))+1)*(1-IF($M71="نعم",0,N($J71))))</f>
        <v>0</v>
      </c>
      <c r="AF71" s="133" t="n">
        <f aca="false">IF(OR($B71="",$E71="",$F71=""),0,MAX(0,MIN($F71,EOMONTH(DATE(cfg_FY,11,1),0))-MAX($E71,DATE(cfg_FY,11,1))+1)*(1-IF($M71="نعم",0,N($J71))))</f>
        <v>0</v>
      </c>
      <c r="AG71" s="133" t="n">
        <f aca="false">IF(OR($B71="",$E71="",$F71=""),0,MAX(0,MIN($F71,EOMONTH(DATE(cfg_FY,12,1),0))-MAX($E71,DATE(cfg_FY,12,1))+1)*(1-IF($M71="نعم",0,N($J71))))</f>
        <v>0</v>
      </c>
      <c r="AH71" s="133" t="n">
        <f aca="false">IF(OR(OR($B71="",$E71="",$F71=""),$L71&lt;&gt;"لا"),0,MAX(0,MIN($F71,EOMONTH(DATE(cfg_FY,1,1),0))-$E71+1))</f>
        <v>0</v>
      </c>
      <c r="AI71" s="133" t="n">
        <f aca="false">IF(OR(OR($B71="",$E71="",$F71=""),$L71&lt;&gt;"لا"),0,MAX(0,MIN($F71,EOMONTH(DATE(cfg_FY,2,1),0))-$E71+1))</f>
        <v>0</v>
      </c>
      <c r="AJ71" s="133" t="n">
        <f aca="false">IF(OR(OR($B71="",$E71="",$F71=""),$L71&lt;&gt;"لا"),0,MAX(0,MIN($F71,EOMONTH(DATE(cfg_FY,3,1),0))-$E71+1))</f>
        <v>0</v>
      </c>
      <c r="AK71" s="133" t="n">
        <f aca="false">IF(OR(OR($B71="",$E71="",$F71=""),$L71&lt;&gt;"لا"),0,MAX(0,MIN($F71,EOMONTH(DATE(cfg_FY,4,1),0))-$E71+1))</f>
        <v>0</v>
      </c>
      <c r="AL71" s="133" t="n">
        <f aca="false">IF(OR(OR($B71="",$E71="",$F71=""),$L71&lt;&gt;"لا"),0,MAX(0,MIN($F71,EOMONTH(DATE(cfg_FY,5,1),0))-$E71+1))</f>
        <v>0</v>
      </c>
      <c r="AM71" s="133" t="n">
        <f aca="false">IF(OR(OR($B71="",$E71="",$F71=""),$L71&lt;&gt;"لا"),0,MAX(0,MIN($F71,EOMONTH(DATE(cfg_FY,6,1),0))-$E71+1))</f>
        <v>0</v>
      </c>
      <c r="AN71" s="133" t="n">
        <f aca="false">IF(OR(OR($B71="",$E71="",$F71=""),$L71&lt;&gt;"لا"),0,MAX(0,MIN($F71,EOMONTH(DATE(cfg_FY,7,1),0))-$E71+1))</f>
        <v>0</v>
      </c>
      <c r="AO71" s="133" t="n">
        <f aca="false">IF(OR(OR($B71="",$E71="",$F71=""),$L71&lt;&gt;"لا"),0,MAX(0,MIN($F71,EOMONTH(DATE(cfg_FY,8,1),0))-$E71+1))</f>
        <v>0</v>
      </c>
      <c r="AP71" s="133" t="n">
        <f aca="false">IF(OR(OR($B71="",$E71="",$F71=""),$L71&lt;&gt;"لا"),0,MAX(0,MIN($F71,EOMONTH(DATE(cfg_FY,9,1),0))-$E71+1))</f>
        <v>0</v>
      </c>
      <c r="AQ71" s="133" t="n">
        <f aca="false">IF(OR(OR($B71="",$E71="",$F71=""),$L71&lt;&gt;"لا"),0,MAX(0,MIN($F71,EOMONTH(DATE(cfg_FY,10,1),0))-$E71+1))</f>
        <v>0</v>
      </c>
      <c r="AR71" s="133" t="n">
        <f aca="false">IF(OR(OR($B71="",$E71="",$F71=""),$L71&lt;&gt;"لا"),0,MAX(0,MIN($F71,EOMONTH(DATE(cfg_FY,11,1),0))-$E71+1))</f>
        <v>0</v>
      </c>
      <c r="AS71" s="133" t="n">
        <f aca="false">IF(OR(OR($B71="",$E71="",$F71=""),$L71&lt;&gt;"لا"),0,MAX(0,MIN($F71,EOMONTH(DATE(cfg_FY,12,1),0))-$E71+1))</f>
        <v>0</v>
      </c>
      <c r="AT71" s="133" t="n">
        <f aca="false">IF(OR(OR($B71="",$E71="",$F71=""),$K71&lt;&gt;"نعم",$M71="نعم"),0,MAX(0,MIN($F71,EOMONTH(DATE(cfg_FY,1,1),0))-MAX($E71,DATE(cfg_FY,1,1))+1))</f>
        <v>0</v>
      </c>
      <c r="AU71" s="133" t="n">
        <f aca="false">IF(OR(OR($B71="",$E71="",$F71=""),$K71&lt;&gt;"نعم",$M71="نعم"),0,MAX(0,MIN($F71,EOMONTH(DATE(cfg_FY,2,1),0))-MAX($E71,DATE(cfg_FY,2,1))+1))</f>
        <v>0</v>
      </c>
      <c r="AV71" s="133" t="n">
        <f aca="false">IF(OR(OR($B71="",$E71="",$F71=""),$K71&lt;&gt;"نعم",$M71="نعم"),0,MAX(0,MIN($F71,EOMONTH(DATE(cfg_FY,3,1),0))-MAX($E71,DATE(cfg_FY,3,1))+1))</f>
        <v>0</v>
      </c>
      <c r="AW71" s="133" t="n">
        <f aca="false">IF(OR(OR($B71="",$E71="",$F71=""),$K71&lt;&gt;"نعم",$M71="نعم"),0,MAX(0,MIN($F71,EOMONTH(DATE(cfg_FY,4,1),0))-MAX($E71,DATE(cfg_FY,4,1))+1))</f>
        <v>0</v>
      </c>
      <c r="AX71" s="133" t="n">
        <f aca="false">IF(OR(OR($B71="",$E71="",$F71=""),$K71&lt;&gt;"نعم",$M71="نعم"),0,MAX(0,MIN($F71,EOMONTH(DATE(cfg_FY,5,1),0))-MAX($E71,DATE(cfg_FY,5,1))+1))</f>
        <v>0</v>
      </c>
      <c r="AY71" s="133" t="n">
        <f aca="false">IF(OR(OR($B71="",$E71="",$F71=""),$K71&lt;&gt;"نعم",$M71="نعم"),0,MAX(0,MIN($F71,EOMONTH(DATE(cfg_FY,6,1),0))-MAX($E71,DATE(cfg_FY,6,1))+1))</f>
        <v>0</v>
      </c>
      <c r="AZ71" s="133" t="n">
        <f aca="false">IF(OR(OR($B71="",$E71="",$F71=""),$K71&lt;&gt;"نعم",$M71="نعم"),0,MAX(0,MIN($F71,EOMONTH(DATE(cfg_FY,7,1),0))-MAX($E71,DATE(cfg_FY,7,1))+1))</f>
        <v>0</v>
      </c>
      <c r="BA71" s="133" t="n">
        <f aca="false">IF(OR(OR($B71="",$E71="",$F71=""),$K71&lt;&gt;"نعم",$M71="نعم"),0,MAX(0,MIN($F71,EOMONTH(DATE(cfg_FY,8,1),0))-MAX($E71,DATE(cfg_FY,8,1))+1))</f>
        <v>0</v>
      </c>
      <c r="BB71" s="133" t="n">
        <f aca="false">IF(OR(OR($B71="",$E71="",$F71=""),$K71&lt;&gt;"نعم",$M71="نعم"),0,MAX(0,MIN($F71,EOMONTH(DATE(cfg_FY,9,1),0))-MAX($E71,DATE(cfg_FY,9,1))+1))</f>
        <v>0</v>
      </c>
      <c r="BC71" s="133" t="n">
        <f aca="false">IF(OR(OR($B71="",$E71="",$F71=""),$K71&lt;&gt;"نعم",$M71="نعم"),0,MAX(0,MIN($F71,EOMONTH(DATE(cfg_FY,10,1),0))-MAX($E71,DATE(cfg_FY,10,1))+1))</f>
        <v>0</v>
      </c>
      <c r="BD71" s="133" t="n">
        <f aca="false">IF(OR(OR($B71="",$E71="",$F71=""),$K71&lt;&gt;"نعم",$M71="نعم"),0,MAX(0,MIN($F71,EOMONTH(DATE(cfg_FY,11,1),0))-MAX($E71,DATE(cfg_FY,11,1))+1))</f>
        <v>0</v>
      </c>
      <c r="BE71" s="133" t="n">
        <f aca="false">IF(OR(OR($B71="",$E71="",$F71=""),$K71&lt;&gt;"نعم",$M71="نعم"),0,MAX(0,MIN($F71,EOMONTH(DATE(cfg_FY,12,1),0))-MAX($E71,DATE(cfg_FY,12,1))+1))</f>
        <v>0</v>
      </c>
    </row>
    <row r="72" customFormat="false" ht="15" hidden="false" customHeight="false" outlineLevel="0" collapsed="false">
      <c r="A72" s="106" t="str">
        <f aca="false">IF(B72="","",ROW()-5)</f>
        <v/>
      </c>
      <c r="B72" s="118"/>
      <c r="C72" s="114" t="str">
        <f aca="false">IF(B72="","",IFERROR(INDEX(الموظفون!$C$6:$C$105,MATCH(B72,الموظفون!$B$6:$B$105,0)),"✖ رقم غير موجود"))</f>
        <v/>
      </c>
      <c r="D72" s="118"/>
      <c r="E72" s="119"/>
      <c r="F72" s="119"/>
      <c r="G72" s="65" t="str">
        <f aca="false">IF(OR($B72="",$E72="",$F72=""),"",MAX(0,F72-E72+1))</f>
        <v/>
      </c>
      <c r="H72" s="66" t="str">
        <f aca="false">IF(D72="","",IFERROR(VLOOKUP(D72,cfg_LT,2,FALSE()),1))</f>
        <v/>
      </c>
      <c r="I72" s="135"/>
      <c r="J72" s="66" t="str">
        <f aca="false">IF(D72="","",IF(I72&lt;&gt;"",I72,H72))</f>
        <v/>
      </c>
      <c r="K72" s="114" t="str">
        <f aca="false">IF(D72="","",IFERROR(VLOOKUP($D72,cfg_LT,3,FALSE()),""))</f>
        <v/>
      </c>
      <c r="L72" s="114" t="str">
        <f aca="false">IF(D72="","",IFERROR(VLOOKUP($D72,cfg_LT,4,FALSE()),""))</f>
        <v/>
      </c>
      <c r="M72" s="114" t="str">
        <f aca="false">IF(D72="","",IFERROR(VLOOKUP($D72,cfg_LT,5,FALSE()),""))</f>
        <v/>
      </c>
      <c r="N72" s="111" t="n">
        <f aca="false">IF(OR(OR($B72="",$E72="",$F72=""),M72&lt;&gt;"نعم"),0,G72*J72*IFERROR(INDEX(الموظفون!$R$6:$R$105,MATCH(B72,الموظفون!$B$6:$B$105,0)),0)/cfg_DAYS_M)</f>
        <v>0</v>
      </c>
      <c r="O72" s="106" t="str">
        <f aca="false">IF(OR(OR($B72="",$E72="",$F72=""),M72&lt;&gt;"نعم"),"",IF(YEAR(E72)=cfg_FY,MONTH(E72),""))</f>
        <v/>
      </c>
      <c r="P72" s="114" t="str">
        <f aca="false">IF(B72="","",IF(OR(D72="",E72="",F72=""),"⚠ أكمل النوع والتواريخ",IF(F72&lt;E72,"✖ النهاية قبل البداية",IF(COUNTIFS($B$6:$B$505,B72,$E$6:$E$505,"&lt;="&amp;F72,$F$6:$F$505,"&gt;="&amp;E72)&gt;1,"⚠ تداخل مع سجل آخر",IF(E72&gt;cfg_VAL_DATE,"⏳ قادمة",IF(F72&lt;cfg_VAL_DATE,"✔ منتهية","✈ جارية في تاريخ التقرير"))))))</f>
        <v/>
      </c>
      <c r="Q72" s="118"/>
      <c r="R72" s="65" t="n">
        <f aca="false">IF(OR(OR($B72="",$E72="",$F72=""),L72&lt;&gt;"لا"),0,MAX(0,MIN(F72,cfg_Y_START-1)-E72+1))</f>
        <v>0</v>
      </c>
      <c r="S72" s="65" t="n">
        <f aca="false">IF(OR(OR($B72="",$E72="",$F72=""),L72&lt;&gt;"لا"),0,MAX(0,MIN(F72,cfg_VAL_DATE)-E72+1))</f>
        <v>0</v>
      </c>
      <c r="T72" s="65" t="n">
        <f aca="false">IF(OR(OR($B72="",$E72="",$F72=""),K72&lt;&gt;"نعم"),0,IF(M72="نعم",IF(AND(ISNUMBER(O72),N(O72)&lt;=cfg_VAL_M),G72,0),MAX(0,MIN(F72,cfg_VAL_DATE)-MAX(E72,cfg_Y_START)+1)))</f>
        <v>0</v>
      </c>
      <c r="V72" s="65" t="n">
        <f aca="false">IF(OR($B72="",$E72="",$F72=""),0,MAX(0,MIN($F72,EOMONTH(DATE(cfg_FY,1,1),0))-MAX($E72,DATE(cfg_FY,1,1))+1)*(1-IF($M72="نعم",0,N($J72))))</f>
        <v>0</v>
      </c>
      <c r="W72" s="65" t="n">
        <f aca="false">IF(OR($B72="",$E72="",$F72=""),0,MAX(0,MIN($F72,EOMONTH(DATE(cfg_FY,2,1),0))-MAX($E72,DATE(cfg_FY,2,1))+1)*(1-IF($M72="نعم",0,N($J72))))</f>
        <v>0</v>
      </c>
      <c r="X72" s="65" t="n">
        <f aca="false">IF(OR($B72="",$E72="",$F72=""),0,MAX(0,MIN($F72,EOMONTH(DATE(cfg_FY,3,1),0))-MAX($E72,DATE(cfg_FY,3,1))+1)*(1-IF($M72="نعم",0,N($J72))))</f>
        <v>0</v>
      </c>
      <c r="Y72" s="65" t="n">
        <f aca="false">IF(OR($B72="",$E72="",$F72=""),0,MAX(0,MIN($F72,EOMONTH(DATE(cfg_FY,4,1),0))-MAX($E72,DATE(cfg_FY,4,1))+1)*(1-IF($M72="نعم",0,N($J72))))</f>
        <v>0</v>
      </c>
      <c r="Z72" s="65" t="n">
        <f aca="false">IF(OR($B72="",$E72="",$F72=""),0,MAX(0,MIN($F72,EOMONTH(DATE(cfg_FY,5,1),0))-MAX($E72,DATE(cfg_FY,5,1))+1)*(1-IF($M72="نعم",0,N($J72))))</f>
        <v>0</v>
      </c>
      <c r="AA72" s="65" t="n">
        <f aca="false">IF(OR($B72="",$E72="",$F72=""),0,MAX(0,MIN($F72,EOMONTH(DATE(cfg_FY,6,1),0))-MAX($E72,DATE(cfg_FY,6,1))+1)*(1-IF($M72="نعم",0,N($J72))))</f>
        <v>0</v>
      </c>
      <c r="AB72" s="65" t="n">
        <f aca="false">IF(OR($B72="",$E72="",$F72=""),0,MAX(0,MIN($F72,EOMONTH(DATE(cfg_FY,7,1),0))-MAX($E72,DATE(cfg_FY,7,1))+1)*(1-IF($M72="نعم",0,N($J72))))</f>
        <v>0</v>
      </c>
      <c r="AC72" s="65" t="n">
        <f aca="false">IF(OR($B72="",$E72="",$F72=""),0,MAX(0,MIN($F72,EOMONTH(DATE(cfg_FY,8,1),0))-MAX($E72,DATE(cfg_FY,8,1))+1)*(1-IF($M72="نعم",0,N($J72))))</f>
        <v>0</v>
      </c>
      <c r="AD72" s="65" t="n">
        <f aca="false">IF(OR($B72="",$E72="",$F72=""),0,MAX(0,MIN($F72,EOMONTH(DATE(cfg_FY,9,1),0))-MAX($E72,DATE(cfg_FY,9,1))+1)*(1-IF($M72="نعم",0,N($J72))))</f>
        <v>0</v>
      </c>
      <c r="AE72" s="65" t="n">
        <f aca="false">IF(OR($B72="",$E72="",$F72=""),0,MAX(0,MIN($F72,EOMONTH(DATE(cfg_FY,10,1),0))-MAX($E72,DATE(cfg_FY,10,1))+1)*(1-IF($M72="نعم",0,N($J72))))</f>
        <v>0</v>
      </c>
      <c r="AF72" s="65" t="n">
        <f aca="false">IF(OR($B72="",$E72="",$F72=""),0,MAX(0,MIN($F72,EOMONTH(DATE(cfg_FY,11,1),0))-MAX($E72,DATE(cfg_FY,11,1))+1)*(1-IF($M72="نعم",0,N($J72))))</f>
        <v>0</v>
      </c>
      <c r="AG72" s="65" t="n">
        <f aca="false">IF(OR($B72="",$E72="",$F72=""),0,MAX(0,MIN($F72,EOMONTH(DATE(cfg_FY,12,1),0))-MAX($E72,DATE(cfg_FY,12,1))+1)*(1-IF($M72="نعم",0,N($J72))))</f>
        <v>0</v>
      </c>
      <c r="AH72" s="65" t="n">
        <f aca="false">IF(OR(OR($B72="",$E72="",$F72=""),$L72&lt;&gt;"لا"),0,MAX(0,MIN($F72,EOMONTH(DATE(cfg_FY,1,1),0))-$E72+1))</f>
        <v>0</v>
      </c>
      <c r="AI72" s="65" t="n">
        <f aca="false">IF(OR(OR($B72="",$E72="",$F72=""),$L72&lt;&gt;"لا"),0,MAX(0,MIN($F72,EOMONTH(DATE(cfg_FY,2,1),0))-$E72+1))</f>
        <v>0</v>
      </c>
      <c r="AJ72" s="65" t="n">
        <f aca="false">IF(OR(OR($B72="",$E72="",$F72=""),$L72&lt;&gt;"لا"),0,MAX(0,MIN($F72,EOMONTH(DATE(cfg_FY,3,1),0))-$E72+1))</f>
        <v>0</v>
      </c>
      <c r="AK72" s="65" t="n">
        <f aca="false">IF(OR(OR($B72="",$E72="",$F72=""),$L72&lt;&gt;"لا"),0,MAX(0,MIN($F72,EOMONTH(DATE(cfg_FY,4,1),0))-$E72+1))</f>
        <v>0</v>
      </c>
      <c r="AL72" s="65" t="n">
        <f aca="false">IF(OR(OR($B72="",$E72="",$F72=""),$L72&lt;&gt;"لا"),0,MAX(0,MIN($F72,EOMONTH(DATE(cfg_FY,5,1),0))-$E72+1))</f>
        <v>0</v>
      </c>
      <c r="AM72" s="65" t="n">
        <f aca="false">IF(OR(OR($B72="",$E72="",$F72=""),$L72&lt;&gt;"لا"),0,MAX(0,MIN($F72,EOMONTH(DATE(cfg_FY,6,1),0))-$E72+1))</f>
        <v>0</v>
      </c>
      <c r="AN72" s="65" t="n">
        <f aca="false">IF(OR(OR($B72="",$E72="",$F72=""),$L72&lt;&gt;"لا"),0,MAX(0,MIN($F72,EOMONTH(DATE(cfg_FY,7,1),0))-$E72+1))</f>
        <v>0</v>
      </c>
      <c r="AO72" s="65" t="n">
        <f aca="false">IF(OR(OR($B72="",$E72="",$F72=""),$L72&lt;&gt;"لا"),0,MAX(0,MIN($F72,EOMONTH(DATE(cfg_FY,8,1),0))-$E72+1))</f>
        <v>0</v>
      </c>
      <c r="AP72" s="65" t="n">
        <f aca="false">IF(OR(OR($B72="",$E72="",$F72=""),$L72&lt;&gt;"لا"),0,MAX(0,MIN($F72,EOMONTH(DATE(cfg_FY,9,1),0))-$E72+1))</f>
        <v>0</v>
      </c>
      <c r="AQ72" s="65" t="n">
        <f aca="false">IF(OR(OR($B72="",$E72="",$F72=""),$L72&lt;&gt;"لا"),0,MAX(0,MIN($F72,EOMONTH(DATE(cfg_FY,10,1),0))-$E72+1))</f>
        <v>0</v>
      </c>
      <c r="AR72" s="65" t="n">
        <f aca="false">IF(OR(OR($B72="",$E72="",$F72=""),$L72&lt;&gt;"لا"),0,MAX(0,MIN($F72,EOMONTH(DATE(cfg_FY,11,1),0))-$E72+1))</f>
        <v>0</v>
      </c>
      <c r="AS72" s="65" t="n">
        <f aca="false">IF(OR(OR($B72="",$E72="",$F72=""),$L72&lt;&gt;"لا"),0,MAX(0,MIN($F72,EOMONTH(DATE(cfg_FY,12,1),0))-$E72+1))</f>
        <v>0</v>
      </c>
      <c r="AT72" s="65" t="n">
        <f aca="false">IF(OR(OR($B72="",$E72="",$F72=""),$K72&lt;&gt;"نعم",$M72="نعم"),0,MAX(0,MIN($F72,EOMONTH(DATE(cfg_FY,1,1),0))-MAX($E72,DATE(cfg_FY,1,1))+1))</f>
        <v>0</v>
      </c>
      <c r="AU72" s="65" t="n">
        <f aca="false">IF(OR(OR($B72="",$E72="",$F72=""),$K72&lt;&gt;"نعم",$M72="نعم"),0,MAX(0,MIN($F72,EOMONTH(DATE(cfg_FY,2,1),0))-MAX($E72,DATE(cfg_FY,2,1))+1))</f>
        <v>0</v>
      </c>
      <c r="AV72" s="65" t="n">
        <f aca="false">IF(OR(OR($B72="",$E72="",$F72=""),$K72&lt;&gt;"نعم",$M72="نعم"),0,MAX(0,MIN($F72,EOMONTH(DATE(cfg_FY,3,1),0))-MAX($E72,DATE(cfg_FY,3,1))+1))</f>
        <v>0</v>
      </c>
      <c r="AW72" s="65" t="n">
        <f aca="false">IF(OR(OR($B72="",$E72="",$F72=""),$K72&lt;&gt;"نعم",$M72="نعم"),0,MAX(0,MIN($F72,EOMONTH(DATE(cfg_FY,4,1),0))-MAX($E72,DATE(cfg_FY,4,1))+1))</f>
        <v>0</v>
      </c>
      <c r="AX72" s="65" t="n">
        <f aca="false">IF(OR(OR($B72="",$E72="",$F72=""),$K72&lt;&gt;"نعم",$M72="نعم"),0,MAX(0,MIN($F72,EOMONTH(DATE(cfg_FY,5,1),0))-MAX($E72,DATE(cfg_FY,5,1))+1))</f>
        <v>0</v>
      </c>
      <c r="AY72" s="65" t="n">
        <f aca="false">IF(OR(OR($B72="",$E72="",$F72=""),$K72&lt;&gt;"نعم",$M72="نعم"),0,MAX(0,MIN($F72,EOMONTH(DATE(cfg_FY,6,1),0))-MAX($E72,DATE(cfg_FY,6,1))+1))</f>
        <v>0</v>
      </c>
      <c r="AZ72" s="65" t="n">
        <f aca="false">IF(OR(OR($B72="",$E72="",$F72=""),$K72&lt;&gt;"نعم",$M72="نعم"),0,MAX(0,MIN($F72,EOMONTH(DATE(cfg_FY,7,1),0))-MAX($E72,DATE(cfg_FY,7,1))+1))</f>
        <v>0</v>
      </c>
      <c r="BA72" s="65" t="n">
        <f aca="false">IF(OR(OR($B72="",$E72="",$F72=""),$K72&lt;&gt;"نعم",$M72="نعم"),0,MAX(0,MIN($F72,EOMONTH(DATE(cfg_FY,8,1),0))-MAX($E72,DATE(cfg_FY,8,1))+1))</f>
        <v>0</v>
      </c>
      <c r="BB72" s="65" t="n">
        <f aca="false">IF(OR(OR($B72="",$E72="",$F72=""),$K72&lt;&gt;"نعم",$M72="نعم"),0,MAX(0,MIN($F72,EOMONTH(DATE(cfg_FY,9,1),0))-MAX($E72,DATE(cfg_FY,9,1))+1))</f>
        <v>0</v>
      </c>
      <c r="BC72" s="65" t="n">
        <f aca="false">IF(OR(OR($B72="",$E72="",$F72=""),$K72&lt;&gt;"نعم",$M72="نعم"),0,MAX(0,MIN($F72,EOMONTH(DATE(cfg_FY,10,1),0))-MAX($E72,DATE(cfg_FY,10,1))+1))</f>
        <v>0</v>
      </c>
      <c r="BD72" s="65" t="n">
        <f aca="false">IF(OR(OR($B72="",$E72="",$F72=""),$K72&lt;&gt;"نعم",$M72="نعم"),0,MAX(0,MIN($F72,EOMONTH(DATE(cfg_FY,11,1),0))-MAX($E72,DATE(cfg_FY,11,1))+1))</f>
        <v>0</v>
      </c>
      <c r="BE72" s="65" t="n">
        <f aca="false">IF(OR(OR($B72="",$E72="",$F72=""),$K72&lt;&gt;"نعم",$M72="نعم"),0,MAX(0,MIN($F72,EOMONTH(DATE(cfg_FY,12,1),0))-MAX($E72,DATE(cfg_FY,12,1))+1))</f>
        <v>0</v>
      </c>
    </row>
    <row r="73" customFormat="false" ht="15" hidden="false" customHeight="false" outlineLevel="0" collapsed="false">
      <c r="A73" s="115" t="str">
        <f aca="false">IF(B73="","",ROW()-5)</f>
        <v/>
      </c>
      <c r="B73" s="118"/>
      <c r="C73" s="117" t="str">
        <f aca="false">IF(B73="","",IFERROR(INDEX(الموظفون!$C$6:$C$105,MATCH(B73,الموظفون!$B$6:$B$105,0)),"✖ رقم غير موجود"))</f>
        <v/>
      </c>
      <c r="D73" s="118"/>
      <c r="E73" s="119"/>
      <c r="F73" s="119"/>
      <c r="G73" s="133" t="str">
        <f aca="false">IF(OR($B73="",$E73="",$F73=""),"",MAX(0,F73-E73+1))</f>
        <v/>
      </c>
      <c r="H73" s="134" t="str">
        <f aca="false">IF(D73="","",IFERROR(VLOOKUP(D73,cfg_LT,2,FALSE()),1))</f>
        <v/>
      </c>
      <c r="I73" s="135"/>
      <c r="J73" s="134" t="str">
        <f aca="false">IF(D73="","",IF(I73&lt;&gt;"",I73,H73))</f>
        <v/>
      </c>
      <c r="K73" s="117" t="str">
        <f aca="false">IF(D73="","",IFERROR(VLOOKUP($D73,cfg_LT,3,FALSE()),""))</f>
        <v/>
      </c>
      <c r="L73" s="117" t="str">
        <f aca="false">IF(D73="","",IFERROR(VLOOKUP($D73,cfg_LT,4,FALSE()),""))</f>
        <v/>
      </c>
      <c r="M73" s="117" t="str">
        <f aca="false">IF(D73="","",IFERROR(VLOOKUP($D73,cfg_LT,5,FALSE()),""))</f>
        <v/>
      </c>
      <c r="N73" s="116" t="n">
        <f aca="false">IF(OR(OR($B73="",$E73="",$F73=""),M73&lt;&gt;"نعم"),0,G73*J73*IFERROR(INDEX(الموظفون!$R$6:$R$105,MATCH(B73,الموظفون!$B$6:$B$105,0)),0)/cfg_DAYS_M)</f>
        <v>0</v>
      </c>
      <c r="O73" s="115" t="str">
        <f aca="false">IF(OR(OR($B73="",$E73="",$F73=""),M73&lt;&gt;"نعم"),"",IF(YEAR(E73)=cfg_FY,MONTH(E73),""))</f>
        <v/>
      </c>
      <c r="P73" s="117" t="str">
        <f aca="false">IF(B73="","",IF(OR(D73="",E73="",F73=""),"⚠ أكمل النوع والتواريخ",IF(F73&lt;E73,"✖ النهاية قبل البداية",IF(COUNTIFS($B$6:$B$505,B73,$E$6:$E$505,"&lt;="&amp;F73,$F$6:$F$505,"&gt;="&amp;E73)&gt;1,"⚠ تداخل مع سجل آخر",IF(E73&gt;cfg_VAL_DATE,"⏳ قادمة",IF(F73&lt;cfg_VAL_DATE,"✔ منتهية","✈ جارية في تاريخ التقرير"))))))</f>
        <v/>
      </c>
      <c r="Q73" s="118"/>
      <c r="R73" s="133" t="n">
        <f aca="false">IF(OR(OR($B73="",$E73="",$F73=""),L73&lt;&gt;"لا"),0,MAX(0,MIN(F73,cfg_Y_START-1)-E73+1))</f>
        <v>0</v>
      </c>
      <c r="S73" s="133" t="n">
        <f aca="false">IF(OR(OR($B73="",$E73="",$F73=""),L73&lt;&gt;"لا"),0,MAX(0,MIN(F73,cfg_VAL_DATE)-E73+1))</f>
        <v>0</v>
      </c>
      <c r="T73" s="133" t="n">
        <f aca="false">IF(OR(OR($B73="",$E73="",$F73=""),K73&lt;&gt;"نعم"),0,IF(M73="نعم",IF(AND(ISNUMBER(O73),N(O73)&lt;=cfg_VAL_M),G73,0),MAX(0,MIN(F73,cfg_VAL_DATE)-MAX(E73,cfg_Y_START)+1)))</f>
        <v>0</v>
      </c>
      <c r="V73" s="133" t="n">
        <f aca="false">IF(OR($B73="",$E73="",$F73=""),0,MAX(0,MIN($F73,EOMONTH(DATE(cfg_FY,1,1),0))-MAX($E73,DATE(cfg_FY,1,1))+1)*(1-IF($M73="نعم",0,N($J73))))</f>
        <v>0</v>
      </c>
      <c r="W73" s="133" t="n">
        <f aca="false">IF(OR($B73="",$E73="",$F73=""),0,MAX(0,MIN($F73,EOMONTH(DATE(cfg_FY,2,1),0))-MAX($E73,DATE(cfg_FY,2,1))+1)*(1-IF($M73="نعم",0,N($J73))))</f>
        <v>0</v>
      </c>
      <c r="X73" s="133" t="n">
        <f aca="false">IF(OR($B73="",$E73="",$F73=""),0,MAX(0,MIN($F73,EOMONTH(DATE(cfg_FY,3,1),0))-MAX($E73,DATE(cfg_FY,3,1))+1)*(1-IF($M73="نعم",0,N($J73))))</f>
        <v>0</v>
      </c>
      <c r="Y73" s="133" t="n">
        <f aca="false">IF(OR($B73="",$E73="",$F73=""),0,MAX(0,MIN($F73,EOMONTH(DATE(cfg_FY,4,1),0))-MAX($E73,DATE(cfg_FY,4,1))+1)*(1-IF($M73="نعم",0,N($J73))))</f>
        <v>0</v>
      </c>
      <c r="Z73" s="133" t="n">
        <f aca="false">IF(OR($B73="",$E73="",$F73=""),0,MAX(0,MIN($F73,EOMONTH(DATE(cfg_FY,5,1),0))-MAX($E73,DATE(cfg_FY,5,1))+1)*(1-IF($M73="نعم",0,N($J73))))</f>
        <v>0</v>
      </c>
      <c r="AA73" s="133" t="n">
        <f aca="false">IF(OR($B73="",$E73="",$F73=""),0,MAX(0,MIN($F73,EOMONTH(DATE(cfg_FY,6,1),0))-MAX($E73,DATE(cfg_FY,6,1))+1)*(1-IF($M73="نعم",0,N($J73))))</f>
        <v>0</v>
      </c>
      <c r="AB73" s="133" t="n">
        <f aca="false">IF(OR($B73="",$E73="",$F73=""),0,MAX(0,MIN($F73,EOMONTH(DATE(cfg_FY,7,1),0))-MAX($E73,DATE(cfg_FY,7,1))+1)*(1-IF($M73="نعم",0,N($J73))))</f>
        <v>0</v>
      </c>
      <c r="AC73" s="133" t="n">
        <f aca="false">IF(OR($B73="",$E73="",$F73=""),0,MAX(0,MIN($F73,EOMONTH(DATE(cfg_FY,8,1),0))-MAX($E73,DATE(cfg_FY,8,1))+1)*(1-IF($M73="نعم",0,N($J73))))</f>
        <v>0</v>
      </c>
      <c r="AD73" s="133" t="n">
        <f aca="false">IF(OR($B73="",$E73="",$F73=""),0,MAX(0,MIN($F73,EOMONTH(DATE(cfg_FY,9,1),0))-MAX($E73,DATE(cfg_FY,9,1))+1)*(1-IF($M73="نعم",0,N($J73))))</f>
        <v>0</v>
      </c>
      <c r="AE73" s="133" t="n">
        <f aca="false">IF(OR($B73="",$E73="",$F73=""),0,MAX(0,MIN($F73,EOMONTH(DATE(cfg_FY,10,1),0))-MAX($E73,DATE(cfg_FY,10,1))+1)*(1-IF($M73="نعم",0,N($J73))))</f>
        <v>0</v>
      </c>
      <c r="AF73" s="133" t="n">
        <f aca="false">IF(OR($B73="",$E73="",$F73=""),0,MAX(0,MIN($F73,EOMONTH(DATE(cfg_FY,11,1),0))-MAX($E73,DATE(cfg_FY,11,1))+1)*(1-IF($M73="نعم",0,N($J73))))</f>
        <v>0</v>
      </c>
      <c r="AG73" s="133" t="n">
        <f aca="false">IF(OR($B73="",$E73="",$F73=""),0,MAX(0,MIN($F73,EOMONTH(DATE(cfg_FY,12,1),0))-MAX($E73,DATE(cfg_FY,12,1))+1)*(1-IF($M73="نعم",0,N($J73))))</f>
        <v>0</v>
      </c>
      <c r="AH73" s="133" t="n">
        <f aca="false">IF(OR(OR($B73="",$E73="",$F73=""),$L73&lt;&gt;"لا"),0,MAX(0,MIN($F73,EOMONTH(DATE(cfg_FY,1,1),0))-$E73+1))</f>
        <v>0</v>
      </c>
      <c r="AI73" s="133" t="n">
        <f aca="false">IF(OR(OR($B73="",$E73="",$F73=""),$L73&lt;&gt;"لا"),0,MAX(0,MIN($F73,EOMONTH(DATE(cfg_FY,2,1),0))-$E73+1))</f>
        <v>0</v>
      </c>
      <c r="AJ73" s="133" t="n">
        <f aca="false">IF(OR(OR($B73="",$E73="",$F73=""),$L73&lt;&gt;"لا"),0,MAX(0,MIN($F73,EOMONTH(DATE(cfg_FY,3,1),0))-$E73+1))</f>
        <v>0</v>
      </c>
      <c r="AK73" s="133" t="n">
        <f aca="false">IF(OR(OR($B73="",$E73="",$F73=""),$L73&lt;&gt;"لا"),0,MAX(0,MIN($F73,EOMONTH(DATE(cfg_FY,4,1),0))-$E73+1))</f>
        <v>0</v>
      </c>
      <c r="AL73" s="133" t="n">
        <f aca="false">IF(OR(OR($B73="",$E73="",$F73=""),$L73&lt;&gt;"لا"),0,MAX(0,MIN($F73,EOMONTH(DATE(cfg_FY,5,1),0))-$E73+1))</f>
        <v>0</v>
      </c>
      <c r="AM73" s="133" t="n">
        <f aca="false">IF(OR(OR($B73="",$E73="",$F73=""),$L73&lt;&gt;"لا"),0,MAX(0,MIN($F73,EOMONTH(DATE(cfg_FY,6,1),0))-$E73+1))</f>
        <v>0</v>
      </c>
      <c r="AN73" s="133" t="n">
        <f aca="false">IF(OR(OR($B73="",$E73="",$F73=""),$L73&lt;&gt;"لا"),0,MAX(0,MIN($F73,EOMONTH(DATE(cfg_FY,7,1),0))-$E73+1))</f>
        <v>0</v>
      </c>
      <c r="AO73" s="133" t="n">
        <f aca="false">IF(OR(OR($B73="",$E73="",$F73=""),$L73&lt;&gt;"لا"),0,MAX(0,MIN($F73,EOMONTH(DATE(cfg_FY,8,1),0))-$E73+1))</f>
        <v>0</v>
      </c>
      <c r="AP73" s="133" t="n">
        <f aca="false">IF(OR(OR($B73="",$E73="",$F73=""),$L73&lt;&gt;"لا"),0,MAX(0,MIN($F73,EOMONTH(DATE(cfg_FY,9,1),0))-$E73+1))</f>
        <v>0</v>
      </c>
      <c r="AQ73" s="133" t="n">
        <f aca="false">IF(OR(OR($B73="",$E73="",$F73=""),$L73&lt;&gt;"لا"),0,MAX(0,MIN($F73,EOMONTH(DATE(cfg_FY,10,1),0))-$E73+1))</f>
        <v>0</v>
      </c>
      <c r="AR73" s="133" t="n">
        <f aca="false">IF(OR(OR($B73="",$E73="",$F73=""),$L73&lt;&gt;"لا"),0,MAX(0,MIN($F73,EOMONTH(DATE(cfg_FY,11,1),0))-$E73+1))</f>
        <v>0</v>
      </c>
      <c r="AS73" s="133" t="n">
        <f aca="false">IF(OR(OR($B73="",$E73="",$F73=""),$L73&lt;&gt;"لا"),0,MAX(0,MIN($F73,EOMONTH(DATE(cfg_FY,12,1),0))-$E73+1))</f>
        <v>0</v>
      </c>
      <c r="AT73" s="133" t="n">
        <f aca="false">IF(OR(OR($B73="",$E73="",$F73=""),$K73&lt;&gt;"نعم",$M73="نعم"),0,MAX(0,MIN($F73,EOMONTH(DATE(cfg_FY,1,1),0))-MAX($E73,DATE(cfg_FY,1,1))+1))</f>
        <v>0</v>
      </c>
      <c r="AU73" s="133" t="n">
        <f aca="false">IF(OR(OR($B73="",$E73="",$F73=""),$K73&lt;&gt;"نعم",$M73="نعم"),0,MAX(0,MIN($F73,EOMONTH(DATE(cfg_FY,2,1),0))-MAX($E73,DATE(cfg_FY,2,1))+1))</f>
        <v>0</v>
      </c>
      <c r="AV73" s="133" t="n">
        <f aca="false">IF(OR(OR($B73="",$E73="",$F73=""),$K73&lt;&gt;"نعم",$M73="نعم"),0,MAX(0,MIN($F73,EOMONTH(DATE(cfg_FY,3,1),0))-MAX($E73,DATE(cfg_FY,3,1))+1))</f>
        <v>0</v>
      </c>
      <c r="AW73" s="133" t="n">
        <f aca="false">IF(OR(OR($B73="",$E73="",$F73=""),$K73&lt;&gt;"نعم",$M73="نعم"),0,MAX(0,MIN($F73,EOMONTH(DATE(cfg_FY,4,1),0))-MAX($E73,DATE(cfg_FY,4,1))+1))</f>
        <v>0</v>
      </c>
      <c r="AX73" s="133" t="n">
        <f aca="false">IF(OR(OR($B73="",$E73="",$F73=""),$K73&lt;&gt;"نعم",$M73="نعم"),0,MAX(0,MIN($F73,EOMONTH(DATE(cfg_FY,5,1),0))-MAX($E73,DATE(cfg_FY,5,1))+1))</f>
        <v>0</v>
      </c>
      <c r="AY73" s="133" t="n">
        <f aca="false">IF(OR(OR($B73="",$E73="",$F73=""),$K73&lt;&gt;"نعم",$M73="نعم"),0,MAX(0,MIN($F73,EOMONTH(DATE(cfg_FY,6,1),0))-MAX($E73,DATE(cfg_FY,6,1))+1))</f>
        <v>0</v>
      </c>
      <c r="AZ73" s="133" t="n">
        <f aca="false">IF(OR(OR($B73="",$E73="",$F73=""),$K73&lt;&gt;"نعم",$M73="نعم"),0,MAX(0,MIN($F73,EOMONTH(DATE(cfg_FY,7,1),0))-MAX($E73,DATE(cfg_FY,7,1))+1))</f>
        <v>0</v>
      </c>
      <c r="BA73" s="133" t="n">
        <f aca="false">IF(OR(OR($B73="",$E73="",$F73=""),$K73&lt;&gt;"نعم",$M73="نعم"),0,MAX(0,MIN($F73,EOMONTH(DATE(cfg_FY,8,1),0))-MAX($E73,DATE(cfg_FY,8,1))+1))</f>
        <v>0</v>
      </c>
      <c r="BB73" s="133" t="n">
        <f aca="false">IF(OR(OR($B73="",$E73="",$F73=""),$K73&lt;&gt;"نعم",$M73="نعم"),0,MAX(0,MIN($F73,EOMONTH(DATE(cfg_FY,9,1),0))-MAX($E73,DATE(cfg_FY,9,1))+1))</f>
        <v>0</v>
      </c>
      <c r="BC73" s="133" t="n">
        <f aca="false">IF(OR(OR($B73="",$E73="",$F73=""),$K73&lt;&gt;"نعم",$M73="نعم"),0,MAX(0,MIN($F73,EOMONTH(DATE(cfg_FY,10,1),0))-MAX($E73,DATE(cfg_FY,10,1))+1))</f>
        <v>0</v>
      </c>
      <c r="BD73" s="133" t="n">
        <f aca="false">IF(OR(OR($B73="",$E73="",$F73=""),$K73&lt;&gt;"نعم",$M73="نعم"),0,MAX(0,MIN($F73,EOMONTH(DATE(cfg_FY,11,1),0))-MAX($E73,DATE(cfg_FY,11,1))+1))</f>
        <v>0</v>
      </c>
      <c r="BE73" s="133" t="n">
        <f aca="false">IF(OR(OR($B73="",$E73="",$F73=""),$K73&lt;&gt;"نعم",$M73="نعم"),0,MAX(0,MIN($F73,EOMONTH(DATE(cfg_FY,12,1),0))-MAX($E73,DATE(cfg_FY,12,1))+1))</f>
        <v>0</v>
      </c>
    </row>
    <row r="74" customFormat="false" ht="15" hidden="false" customHeight="false" outlineLevel="0" collapsed="false">
      <c r="A74" s="106" t="str">
        <f aca="false">IF(B74="","",ROW()-5)</f>
        <v/>
      </c>
      <c r="B74" s="118"/>
      <c r="C74" s="114" t="str">
        <f aca="false">IF(B74="","",IFERROR(INDEX(الموظفون!$C$6:$C$105,MATCH(B74,الموظفون!$B$6:$B$105,0)),"✖ رقم غير موجود"))</f>
        <v/>
      </c>
      <c r="D74" s="118"/>
      <c r="E74" s="119"/>
      <c r="F74" s="119"/>
      <c r="G74" s="65" t="str">
        <f aca="false">IF(OR($B74="",$E74="",$F74=""),"",MAX(0,F74-E74+1))</f>
        <v/>
      </c>
      <c r="H74" s="66" t="str">
        <f aca="false">IF(D74="","",IFERROR(VLOOKUP(D74,cfg_LT,2,FALSE()),1))</f>
        <v/>
      </c>
      <c r="I74" s="135"/>
      <c r="J74" s="66" t="str">
        <f aca="false">IF(D74="","",IF(I74&lt;&gt;"",I74,H74))</f>
        <v/>
      </c>
      <c r="K74" s="114" t="str">
        <f aca="false">IF(D74="","",IFERROR(VLOOKUP($D74,cfg_LT,3,FALSE()),""))</f>
        <v/>
      </c>
      <c r="L74" s="114" t="str">
        <f aca="false">IF(D74="","",IFERROR(VLOOKUP($D74,cfg_LT,4,FALSE()),""))</f>
        <v/>
      </c>
      <c r="M74" s="114" t="str">
        <f aca="false">IF(D74="","",IFERROR(VLOOKUP($D74,cfg_LT,5,FALSE()),""))</f>
        <v/>
      </c>
      <c r="N74" s="111" t="n">
        <f aca="false">IF(OR(OR($B74="",$E74="",$F74=""),M74&lt;&gt;"نعم"),0,G74*J74*IFERROR(INDEX(الموظفون!$R$6:$R$105,MATCH(B74,الموظفون!$B$6:$B$105,0)),0)/cfg_DAYS_M)</f>
        <v>0</v>
      </c>
      <c r="O74" s="106" t="str">
        <f aca="false">IF(OR(OR($B74="",$E74="",$F74=""),M74&lt;&gt;"نعم"),"",IF(YEAR(E74)=cfg_FY,MONTH(E74),""))</f>
        <v/>
      </c>
      <c r="P74" s="114" t="str">
        <f aca="false">IF(B74="","",IF(OR(D74="",E74="",F74=""),"⚠ أكمل النوع والتواريخ",IF(F74&lt;E74,"✖ النهاية قبل البداية",IF(COUNTIFS($B$6:$B$505,B74,$E$6:$E$505,"&lt;="&amp;F74,$F$6:$F$505,"&gt;="&amp;E74)&gt;1,"⚠ تداخل مع سجل آخر",IF(E74&gt;cfg_VAL_DATE,"⏳ قادمة",IF(F74&lt;cfg_VAL_DATE,"✔ منتهية","✈ جارية في تاريخ التقرير"))))))</f>
        <v/>
      </c>
      <c r="Q74" s="118"/>
      <c r="R74" s="65" t="n">
        <f aca="false">IF(OR(OR($B74="",$E74="",$F74=""),L74&lt;&gt;"لا"),0,MAX(0,MIN(F74,cfg_Y_START-1)-E74+1))</f>
        <v>0</v>
      </c>
      <c r="S74" s="65" t="n">
        <f aca="false">IF(OR(OR($B74="",$E74="",$F74=""),L74&lt;&gt;"لا"),0,MAX(0,MIN(F74,cfg_VAL_DATE)-E74+1))</f>
        <v>0</v>
      </c>
      <c r="T74" s="65" t="n">
        <f aca="false">IF(OR(OR($B74="",$E74="",$F74=""),K74&lt;&gt;"نعم"),0,IF(M74="نعم",IF(AND(ISNUMBER(O74),N(O74)&lt;=cfg_VAL_M),G74,0),MAX(0,MIN(F74,cfg_VAL_DATE)-MAX(E74,cfg_Y_START)+1)))</f>
        <v>0</v>
      </c>
      <c r="V74" s="65" t="n">
        <f aca="false">IF(OR($B74="",$E74="",$F74=""),0,MAX(0,MIN($F74,EOMONTH(DATE(cfg_FY,1,1),0))-MAX($E74,DATE(cfg_FY,1,1))+1)*(1-IF($M74="نعم",0,N($J74))))</f>
        <v>0</v>
      </c>
      <c r="W74" s="65" t="n">
        <f aca="false">IF(OR($B74="",$E74="",$F74=""),0,MAX(0,MIN($F74,EOMONTH(DATE(cfg_FY,2,1),0))-MAX($E74,DATE(cfg_FY,2,1))+1)*(1-IF($M74="نعم",0,N($J74))))</f>
        <v>0</v>
      </c>
      <c r="X74" s="65" t="n">
        <f aca="false">IF(OR($B74="",$E74="",$F74=""),0,MAX(0,MIN($F74,EOMONTH(DATE(cfg_FY,3,1),0))-MAX($E74,DATE(cfg_FY,3,1))+1)*(1-IF($M74="نعم",0,N($J74))))</f>
        <v>0</v>
      </c>
      <c r="Y74" s="65" t="n">
        <f aca="false">IF(OR($B74="",$E74="",$F74=""),0,MAX(0,MIN($F74,EOMONTH(DATE(cfg_FY,4,1),0))-MAX($E74,DATE(cfg_FY,4,1))+1)*(1-IF($M74="نعم",0,N($J74))))</f>
        <v>0</v>
      </c>
      <c r="Z74" s="65" t="n">
        <f aca="false">IF(OR($B74="",$E74="",$F74=""),0,MAX(0,MIN($F74,EOMONTH(DATE(cfg_FY,5,1),0))-MAX($E74,DATE(cfg_FY,5,1))+1)*(1-IF($M74="نعم",0,N($J74))))</f>
        <v>0</v>
      </c>
      <c r="AA74" s="65" t="n">
        <f aca="false">IF(OR($B74="",$E74="",$F74=""),0,MAX(0,MIN($F74,EOMONTH(DATE(cfg_FY,6,1),0))-MAX($E74,DATE(cfg_FY,6,1))+1)*(1-IF($M74="نعم",0,N($J74))))</f>
        <v>0</v>
      </c>
      <c r="AB74" s="65" t="n">
        <f aca="false">IF(OR($B74="",$E74="",$F74=""),0,MAX(0,MIN($F74,EOMONTH(DATE(cfg_FY,7,1),0))-MAX($E74,DATE(cfg_FY,7,1))+1)*(1-IF($M74="نعم",0,N($J74))))</f>
        <v>0</v>
      </c>
      <c r="AC74" s="65" t="n">
        <f aca="false">IF(OR($B74="",$E74="",$F74=""),0,MAX(0,MIN($F74,EOMONTH(DATE(cfg_FY,8,1),0))-MAX($E74,DATE(cfg_FY,8,1))+1)*(1-IF($M74="نعم",0,N($J74))))</f>
        <v>0</v>
      </c>
      <c r="AD74" s="65" t="n">
        <f aca="false">IF(OR($B74="",$E74="",$F74=""),0,MAX(0,MIN($F74,EOMONTH(DATE(cfg_FY,9,1),0))-MAX($E74,DATE(cfg_FY,9,1))+1)*(1-IF($M74="نعم",0,N($J74))))</f>
        <v>0</v>
      </c>
      <c r="AE74" s="65" t="n">
        <f aca="false">IF(OR($B74="",$E74="",$F74=""),0,MAX(0,MIN($F74,EOMONTH(DATE(cfg_FY,10,1),0))-MAX($E74,DATE(cfg_FY,10,1))+1)*(1-IF($M74="نعم",0,N($J74))))</f>
        <v>0</v>
      </c>
      <c r="AF74" s="65" t="n">
        <f aca="false">IF(OR($B74="",$E74="",$F74=""),0,MAX(0,MIN($F74,EOMONTH(DATE(cfg_FY,11,1),0))-MAX($E74,DATE(cfg_FY,11,1))+1)*(1-IF($M74="نعم",0,N($J74))))</f>
        <v>0</v>
      </c>
      <c r="AG74" s="65" t="n">
        <f aca="false">IF(OR($B74="",$E74="",$F74=""),0,MAX(0,MIN($F74,EOMONTH(DATE(cfg_FY,12,1),0))-MAX($E74,DATE(cfg_FY,12,1))+1)*(1-IF($M74="نعم",0,N($J74))))</f>
        <v>0</v>
      </c>
      <c r="AH74" s="65" t="n">
        <f aca="false">IF(OR(OR($B74="",$E74="",$F74=""),$L74&lt;&gt;"لا"),0,MAX(0,MIN($F74,EOMONTH(DATE(cfg_FY,1,1),0))-$E74+1))</f>
        <v>0</v>
      </c>
      <c r="AI74" s="65" t="n">
        <f aca="false">IF(OR(OR($B74="",$E74="",$F74=""),$L74&lt;&gt;"لا"),0,MAX(0,MIN($F74,EOMONTH(DATE(cfg_FY,2,1),0))-$E74+1))</f>
        <v>0</v>
      </c>
      <c r="AJ74" s="65" t="n">
        <f aca="false">IF(OR(OR($B74="",$E74="",$F74=""),$L74&lt;&gt;"لا"),0,MAX(0,MIN($F74,EOMONTH(DATE(cfg_FY,3,1),0))-$E74+1))</f>
        <v>0</v>
      </c>
      <c r="AK74" s="65" t="n">
        <f aca="false">IF(OR(OR($B74="",$E74="",$F74=""),$L74&lt;&gt;"لا"),0,MAX(0,MIN($F74,EOMONTH(DATE(cfg_FY,4,1),0))-$E74+1))</f>
        <v>0</v>
      </c>
      <c r="AL74" s="65" t="n">
        <f aca="false">IF(OR(OR($B74="",$E74="",$F74=""),$L74&lt;&gt;"لا"),0,MAX(0,MIN($F74,EOMONTH(DATE(cfg_FY,5,1),0))-$E74+1))</f>
        <v>0</v>
      </c>
      <c r="AM74" s="65" t="n">
        <f aca="false">IF(OR(OR($B74="",$E74="",$F74=""),$L74&lt;&gt;"لا"),0,MAX(0,MIN($F74,EOMONTH(DATE(cfg_FY,6,1),0))-$E74+1))</f>
        <v>0</v>
      </c>
      <c r="AN74" s="65" t="n">
        <f aca="false">IF(OR(OR($B74="",$E74="",$F74=""),$L74&lt;&gt;"لا"),0,MAX(0,MIN($F74,EOMONTH(DATE(cfg_FY,7,1),0))-$E74+1))</f>
        <v>0</v>
      </c>
      <c r="AO74" s="65" t="n">
        <f aca="false">IF(OR(OR($B74="",$E74="",$F74=""),$L74&lt;&gt;"لا"),0,MAX(0,MIN($F74,EOMONTH(DATE(cfg_FY,8,1),0))-$E74+1))</f>
        <v>0</v>
      </c>
      <c r="AP74" s="65" t="n">
        <f aca="false">IF(OR(OR($B74="",$E74="",$F74=""),$L74&lt;&gt;"لا"),0,MAX(0,MIN($F74,EOMONTH(DATE(cfg_FY,9,1),0))-$E74+1))</f>
        <v>0</v>
      </c>
      <c r="AQ74" s="65" t="n">
        <f aca="false">IF(OR(OR($B74="",$E74="",$F74=""),$L74&lt;&gt;"لا"),0,MAX(0,MIN($F74,EOMONTH(DATE(cfg_FY,10,1),0))-$E74+1))</f>
        <v>0</v>
      </c>
      <c r="AR74" s="65" t="n">
        <f aca="false">IF(OR(OR($B74="",$E74="",$F74=""),$L74&lt;&gt;"لا"),0,MAX(0,MIN($F74,EOMONTH(DATE(cfg_FY,11,1),0))-$E74+1))</f>
        <v>0</v>
      </c>
      <c r="AS74" s="65" t="n">
        <f aca="false">IF(OR(OR($B74="",$E74="",$F74=""),$L74&lt;&gt;"لا"),0,MAX(0,MIN($F74,EOMONTH(DATE(cfg_FY,12,1),0))-$E74+1))</f>
        <v>0</v>
      </c>
      <c r="AT74" s="65" t="n">
        <f aca="false">IF(OR(OR($B74="",$E74="",$F74=""),$K74&lt;&gt;"نعم",$M74="نعم"),0,MAX(0,MIN($F74,EOMONTH(DATE(cfg_FY,1,1),0))-MAX($E74,DATE(cfg_FY,1,1))+1))</f>
        <v>0</v>
      </c>
      <c r="AU74" s="65" t="n">
        <f aca="false">IF(OR(OR($B74="",$E74="",$F74=""),$K74&lt;&gt;"نعم",$M74="نعم"),0,MAX(0,MIN($F74,EOMONTH(DATE(cfg_FY,2,1),0))-MAX($E74,DATE(cfg_FY,2,1))+1))</f>
        <v>0</v>
      </c>
      <c r="AV74" s="65" t="n">
        <f aca="false">IF(OR(OR($B74="",$E74="",$F74=""),$K74&lt;&gt;"نعم",$M74="نعم"),0,MAX(0,MIN($F74,EOMONTH(DATE(cfg_FY,3,1),0))-MAX($E74,DATE(cfg_FY,3,1))+1))</f>
        <v>0</v>
      </c>
      <c r="AW74" s="65" t="n">
        <f aca="false">IF(OR(OR($B74="",$E74="",$F74=""),$K74&lt;&gt;"نعم",$M74="نعم"),0,MAX(0,MIN($F74,EOMONTH(DATE(cfg_FY,4,1),0))-MAX($E74,DATE(cfg_FY,4,1))+1))</f>
        <v>0</v>
      </c>
      <c r="AX74" s="65" t="n">
        <f aca="false">IF(OR(OR($B74="",$E74="",$F74=""),$K74&lt;&gt;"نعم",$M74="نعم"),0,MAX(0,MIN($F74,EOMONTH(DATE(cfg_FY,5,1),0))-MAX($E74,DATE(cfg_FY,5,1))+1))</f>
        <v>0</v>
      </c>
      <c r="AY74" s="65" t="n">
        <f aca="false">IF(OR(OR($B74="",$E74="",$F74=""),$K74&lt;&gt;"نعم",$M74="نعم"),0,MAX(0,MIN($F74,EOMONTH(DATE(cfg_FY,6,1),0))-MAX($E74,DATE(cfg_FY,6,1))+1))</f>
        <v>0</v>
      </c>
      <c r="AZ74" s="65" t="n">
        <f aca="false">IF(OR(OR($B74="",$E74="",$F74=""),$K74&lt;&gt;"نعم",$M74="نعم"),0,MAX(0,MIN($F74,EOMONTH(DATE(cfg_FY,7,1),0))-MAX($E74,DATE(cfg_FY,7,1))+1))</f>
        <v>0</v>
      </c>
      <c r="BA74" s="65" t="n">
        <f aca="false">IF(OR(OR($B74="",$E74="",$F74=""),$K74&lt;&gt;"نعم",$M74="نعم"),0,MAX(0,MIN($F74,EOMONTH(DATE(cfg_FY,8,1),0))-MAX($E74,DATE(cfg_FY,8,1))+1))</f>
        <v>0</v>
      </c>
      <c r="BB74" s="65" t="n">
        <f aca="false">IF(OR(OR($B74="",$E74="",$F74=""),$K74&lt;&gt;"نعم",$M74="نعم"),0,MAX(0,MIN($F74,EOMONTH(DATE(cfg_FY,9,1),0))-MAX($E74,DATE(cfg_FY,9,1))+1))</f>
        <v>0</v>
      </c>
      <c r="BC74" s="65" t="n">
        <f aca="false">IF(OR(OR($B74="",$E74="",$F74=""),$K74&lt;&gt;"نعم",$M74="نعم"),0,MAX(0,MIN($F74,EOMONTH(DATE(cfg_FY,10,1),0))-MAX($E74,DATE(cfg_FY,10,1))+1))</f>
        <v>0</v>
      </c>
      <c r="BD74" s="65" t="n">
        <f aca="false">IF(OR(OR($B74="",$E74="",$F74=""),$K74&lt;&gt;"نعم",$M74="نعم"),0,MAX(0,MIN($F74,EOMONTH(DATE(cfg_FY,11,1),0))-MAX($E74,DATE(cfg_FY,11,1))+1))</f>
        <v>0</v>
      </c>
      <c r="BE74" s="65" t="n">
        <f aca="false">IF(OR(OR($B74="",$E74="",$F74=""),$K74&lt;&gt;"نعم",$M74="نعم"),0,MAX(0,MIN($F74,EOMONTH(DATE(cfg_FY,12,1),0))-MAX($E74,DATE(cfg_FY,12,1))+1))</f>
        <v>0</v>
      </c>
    </row>
    <row r="75" customFormat="false" ht="15" hidden="false" customHeight="false" outlineLevel="0" collapsed="false">
      <c r="A75" s="115" t="str">
        <f aca="false">IF(B75="","",ROW()-5)</f>
        <v/>
      </c>
      <c r="B75" s="118"/>
      <c r="C75" s="117" t="str">
        <f aca="false">IF(B75="","",IFERROR(INDEX(الموظفون!$C$6:$C$105,MATCH(B75,الموظفون!$B$6:$B$105,0)),"✖ رقم غير موجود"))</f>
        <v/>
      </c>
      <c r="D75" s="118"/>
      <c r="E75" s="119"/>
      <c r="F75" s="119"/>
      <c r="G75" s="133" t="str">
        <f aca="false">IF(OR($B75="",$E75="",$F75=""),"",MAX(0,F75-E75+1))</f>
        <v/>
      </c>
      <c r="H75" s="134" t="str">
        <f aca="false">IF(D75="","",IFERROR(VLOOKUP(D75,cfg_LT,2,FALSE()),1))</f>
        <v/>
      </c>
      <c r="I75" s="135"/>
      <c r="J75" s="134" t="str">
        <f aca="false">IF(D75="","",IF(I75&lt;&gt;"",I75,H75))</f>
        <v/>
      </c>
      <c r="K75" s="117" t="str">
        <f aca="false">IF(D75="","",IFERROR(VLOOKUP($D75,cfg_LT,3,FALSE()),""))</f>
        <v/>
      </c>
      <c r="L75" s="117" t="str">
        <f aca="false">IF(D75="","",IFERROR(VLOOKUP($D75,cfg_LT,4,FALSE()),""))</f>
        <v/>
      </c>
      <c r="M75" s="117" t="str">
        <f aca="false">IF(D75="","",IFERROR(VLOOKUP($D75,cfg_LT,5,FALSE()),""))</f>
        <v/>
      </c>
      <c r="N75" s="116" t="n">
        <f aca="false">IF(OR(OR($B75="",$E75="",$F75=""),M75&lt;&gt;"نعم"),0,G75*J75*IFERROR(INDEX(الموظفون!$R$6:$R$105,MATCH(B75,الموظفون!$B$6:$B$105,0)),0)/cfg_DAYS_M)</f>
        <v>0</v>
      </c>
      <c r="O75" s="115" t="str">
        <f aca="false">IF(OR(OR($B75="",$E75="",$F75=""),M75&lt;&gt;"نعم"),"",IF(YEAR(E75)=cfg_FY,MONTH(E75),""))</f>
        <v/>
      </c>
      <c r="P75" s="117" t="str">
        <f aca="false">IF(B75="","",IF(OR(D75="",E75="",F75=""),"⚠ أكمل النوع والتواريخ",IF(F75&lt;E75,"✖ النهاية قبل البداية",IF(COUNTIFS($B$6:$B$505,B75,$E$6:$E$505,"&lt;="&amp;F75,$F$6:$F$505,"&gt;="&amp;E75)&gt;1,"⚠ تداخل مع سجل آخر",IF(E75&gt;cfg_VAL_DATE,"⏳ قادمة",IF(F75&lt;cfg_VAL_DATE,"✔ منتهية","✈ جارية في تاريخ التقرير"))))))</f>
        <v/>
      </c>
      <c r="Q75" s="118"/>
      <c r="R75" s="133" t="n">
        <f aca="false">IF(OR(OR($B75="",$E75="",$F75=""),L75&lt;&gt;"لا"),0,MAX(0,MIN(F75,cfg_Y_START-1)-E75+1))</f>
        <v>0</v>
      </c>
      <c r="S75" s="133" t="n">
        <f aca="false">IF(OR(OR($B75="",$E75="",$F75=""),L75&lt;&gt;"لا"),0,MAX(0,MIN(F75,cfg_VAL_DATE)-E75+1))</f>
        <v>0</v>
      </c>
      <c r="T75" s="133" t="n">
        <f aca="false">IF(OR(OR($B75="",$E75="",$F75=""),K75&lt;&gt;"نعم"),0,IF(M75="نعم",IF(AND(ISNUMBER(O75),N(O75)&lt;=cfg_VAL_M),G75,0),MAX(0,MIN(F75,cfg_VAL_DATE)-MAX(E75,cfg_Y_START)+1)))</f>
        <v>0</v>
      </c>
      <c r="V75" s="133" t="n">
        <f aca="false">IF(OR($B75="",$E75="",$F75=""),0,MAX(0,MIN($F75,EOMONTH(DATE(cfg_FY,1,1),0))-MAX($E75,DATE(cfg_FY,1,1))+1)*(1-IF($M75="نعم",0,N($J75))))</f>
        <v>0</v>
      </c>
      <c r="W75" s="133" t="n">
        <f aca="false">IF(OR($B75="",$E75="",$F75=""),0,MAX(0,MIN($F75,EOMONTH(DATE(cfg_FY,2,1),0))-MAX($E75,DATE(cfg_FY,2,1))+1)*(1-IF($M75="نعم",0,N($J75))))</f>
        <v>0</v>
      </c>
      <c r="X75" s="133" t="n">
        <f aca="false">IF(OR($B75="",$E75="",$F75=""),0,MAX(0,MIN($F75,EOMONTH(DATE(cfg_FY,3,1),0))-MAX($E75,DATE(cfg_FY,3,1))+1)*(1-IF($M75="نعم",0,N($J75))))</f>
        <v>0</v>
      </c>
      <c r="Y75" s="133" t="n">
        <f aca="false">IF(OR($B75="",$E75="",$F75=""),0,MAX(0,MIN($F75,EOMONTH(DATE(cfg_FY,4,1),0))-MAX($E75,DATE(cfg_FY,4,1))+1)*(1-IF($M75="نعم",0,N($J75))))</f>
        <v>0</v>
      </c>
      <c r="Z75" s="133" t="n">
        <f aca="false">IF(OR($B75="",$E75="",$F75=""),0,MAX(0,MIN($F75,EOMONTH(DATE(cfg_FY,5,1),0))-MAX($E75,DATE(cfg_FY,5,1))+1)*(1-IF($M75="نعم",0,N($J75))))</f>
        <v>0</v>
      </c>
      <c r="AA75" s="133" t="n">
        <f aca="false">IF(OR($B75="",$E75="",$F75=""),0,MAX(0,MIN($F75,EOMONTH(DATE(cfg_FY,6,1),0))-MAX($E75,DATE(cfg_FY,6,1))+1)*(1-IF($M75="نعم",0,N($J75))))</f>
        <v>0</v>
      </c>
      <c r="AB75" s="133" t="n">
        <f aca="false">IF(OR($B75="",$E75="",$F75=""),0,MAX(0,MIN($F75,EOMONTH(DATE(cfg_FY,7,1),0))-MAX($E75,DATE(cfg_FY,7,1))+1)*(1-IF($M75="نعم",0,N($J75))))</f>
        <v>0</v>
      </c>
      <c r="AC75" s="133" t="n">
        <f aca="false">IF(OR($B75="",$E75="",$F75=""),0,MAX(0,MIN($F75,EOMONTH(DATE(cfg_FY,8,1),0))-MAX($E75,DATE(cfg_FY,8,1))+1)*(1-IF($M75="نعم",0,N($J75))))</f>
        <v>0</v>
      </c>
      <c r="AD75" s="133" t="n">
        <f aca="false">IF(OR($B75="",$E75="",$F75=""),0,MAX(0,MIN($F75,EOMONTH(DATE(cfg_FY,9,1),0))-MAX($E75,DATE(cfg_FY,9,1))+1)*(1-IF($M75="نعم",0,N($J75))))</f>
        <v>0</v>
      </c>
      <c r="AE75" s="133" t="n">
        <f aca="false">IF(OR($B75="",$E75="",$F75=""),0,MAX(0,MIN($F75,EOMONTH(DATE(cfg_FY,10,1),0))-MAX($E75,DATE(cfg_FY,10,1))+1)*(1-IF($M75="نعم",0,N($J75))))</f>
        <v>0</v>
      </c>
      <c r="AF75" s="133" t="n">
        <f aca="false">IF(OR($B75="",$E75="",$F75=""),0,MAX(0,MIN($F75,EOMONTH(DATE(cfg_FY,11,1),0))-MAX($E75,DATE(cfg_FY,11,1))+1)*(1-IF($M75="نعم",0,N($J75))))</f>
        <v>0</v>
      </c>
      <c r="AG75" s="133" t="n">
        <f aca="false">IF(OR($B75="",$E75="",$F75=""),0,MAX(0,MIN($F75,EOMONTH(DATE(cfg_FY,12,1),0))-MAX($E75,DATE(cfg_FY,12,1))+1)*(1-IF($M75="نعم",0,N($J75))))</f>
        <v>0</v>
      </c>
      <c r="AH75" s="133" t="n">
        <f aca="false">IF(OR(OR($B75="",$E75="",$F75=""),$L75&lt;&gt;"لا"),0,MAX(0,MIN($F75,EOMONTH(DATE(cfg_FY,1,1),0))-$E75+1))</f>
        <v>0</v>
      </c>
      <c r="AI75" s="133" t="n">
        <f aca="false">IF(OR(OR($B75="",$E75="",$F75=""),$L75&lt;&gt;"لا"),0,MAX(0,MIN($F75,EOMONTH(DATE(cfg_FY,2,1),0))-$E75+1))</f>
        <v>0</v>
      </c>
      <c r="AJ75" s="133" t="n">
        <f aca="false">IF(OR(OR($B75="",$E75="",$F75=""),$L75&lt;&gt;"لا"),0,MAX(0,MIN($F75,EOMONTH(DATE(cfg_FY,3,1),0))-$E75+1))</f>
        <v>0</v>
      </c>
      <c r="AK75" s="133" t="n">
        <f aca="false">IF(OR(OR($B75="",$E75="",$F75=""),$L75&lt;&gt;"لا"),0,MAX(0,MIN($F75,EOMONTH(DATE(cfg_FY,4,1),0))-$E75+1))</f>
        <v>0</v>
      </c>
      <c r="AL75" s="133" t="n">
        <f aca="false">IF(OR(OR($B75="",$E75="",$F75=""),$L75&lt;&gt;"لا"),0,MAX(0,MIN($F75,EOMONTH(DATE(cfg_FY,5,1),0))-$E75+1))</f>
        <v>0</v>
      </c>
      <c r="AM75" s="133" t="n">
        <f aca="false">IF(OR(OR($B75="",$E75="",$F75=""),$L75&lt;&gt;"لا"),0,MAX(0,MIN($F75,EOMONTH(DATE(cfg_FY,6,1),0))-$E75+1))</f>
        <v>0</v>
      </c>
      <c r="AN75" s="133" t="n">
        <f aca="false">IF(OR(OR($B75="",$E75="",$F75=""),$L75&lt;&gt;"لا"),0,MAX(0,MIN($F75,EOMONTH(DATE(cfg_FY,7,1),0))-$E75+1))</f>
        <v>0</v>
      </c>
      <c r="AO75" s="133" t="n">
        <f aca="false">IF(OR(OR($B75="",$E75="",$F75=""),$L75&lt;&gt;"لا"),0,MAX(0,MIN($F75,EOMONTH(DATE(cfg_FY,8,1),0))-$E75+1))</f>
        <v>0</v>
      </c>
      <c r="AP75" s="133" t="n">
        <f aca="false">IF(OR(OR($B75="",$E75="",$F75=""),$L75&lt;&gt;"لا"),0,MAX(0,MIN($F75,EOMONTH(DATE(cfg_FY,9,1),0))-$E75+1))</f>
        <v>0</v>
      </c>
      <c r="AQ75" s="133" t="n">
        <f aca="false">IF(OR(OR($B75="",$E75="",$F75=""),$L75&lt;&gt;"لا"),0,MAX(0,MIN($F75,EOMONTH(DATE(cfg_FY,10,1),0))-$E75+1))</f>
        <v>0</v>
      </c>
      <c r="AR75" s="133" t="n">
        <f aca="false">IF(OR(OR($B75="",$E75="",$F75=""),$L75&lt;&gt;"لا"),0,MAX(0,MIN($F75,EOMONTH(DATE(cfg_FY,11,1),0))-$E75+1))</f>
        <v>0</v>
      </c>
      <c r="AS75" s="133" t="n">
        <f aca="false">IF(OR(OR($B75="",$E75="",$F75=""),$L75&lt;&gt;"لا"),0,MAX(0,MIN($F75,EOMONTH(DATE(cfg_FY,12,1),0))-$E75+1))</f>
        <v>0</v>
      </c>
      <c r="AT75" s="133" t="n">
        <f aca="false">IF(OR(OR($B75="",$E75="",$F75=""),$K75&lt;&gt;"نعم",$M75="نعم"),0,MAX(0,MIN($F75,EOMONTH(DATE(cfg_FY,1,1),0))-MAX($E75,DATE(cfg_FY,1,1))+1))</f>
        <v>0</v>
      </c>
      <c r="AU75" s="133" t="n">
        <f aca="false">IF(OR(OR($B75="",$E75="",$F75=""),$K75&lt;&gt;"نعم",$M75="نعم"),0,MAX(0,MIN($F75,EOMONTH(DATE(cfg_FY,2,1),0))-MAX($E75,DATE(cfg_FY,2,1))+1))</f>
        <v>0</v>
      </c>
      <c r="AV75" s="133" t="n">
        <f aca="false">IF(OR(OR($B75="",$E75="",$F75=""),$K75&lt;&gt;"نعم",$M75="نعم"),0,MAX(0,MIN($F75,EOMONTH(DATE(cfg_FY,3,1),0))-MAX($E75,DATE(cfg_FY,3,1))+1))</f>
        <v>0</v>
      </c>
      <c r="AW75" s="133" t="n">
        <f aca="false">IF(OR(OR($B75="",$E75="",$F75=""),$K75&lt;&gt;"نعم",$M75="نعم"),0,MAX(0,MIN($F75,EOMONTH(DATE(cfg_FY,4,1),0))-MAX($E75,DATE(cfg_FY,4,1))+1))</f>
        <v>0</v>
      </c>
      <c r="AX75" s="133" t="n">
        <f aca="false">IF(OR(OR($B75="",$E75="",$F75=""),$K75&lt;&gt;"نعم",$M75="نعم"),0,MAX(0,MIN($F75,EOMONTH(DATE(cfg_FY,5,1),0))-MAX($E75,DATE(cfg_FY,5,1))+1))</f>
        <v>0</v>
      </c>
      <c r="AY75" s="133" t="n">
        <f aca="false">IF(OR(OR($B75="",$E75="",$F75=""),$K75&lt;&gt;"نعم",$M75="نعم"),0,MAX(0,MIN($F75,EOMONTH(DATE(cfg_FY,6,1),0))-MAX($E75,DATE(cfg_FY,6,1))+1))</f>
        <v>0</v>
      </c>
      <c r="AZ75" s="133" t="n">
        <f aca="false">IF(OR(OR($B75="",$E75="",$F75=""),$K75&lt;&gt;"نعم",$M75="نعم"),0,MAX(0,MIN($F75,EOMONTH(DATE(cfg_FY,7,1),0))-MAX($E75,DATE(cfg_FY,7,1))+1))</f>
        <v>0</v>
      </c>
      <c r="BA75" s="133" t="n">
        <f aca="false">IF(OR(OR($B75="",$E75="",$F75=""),$K75&lt;&gt;"نعم",$M75="نعم"),0,MAX(0,MIN($F75,EOMONTH(DATE(cfg_FY,8,1),0))-MAX($E75,DATE(cfg_FY,8,1))+1))</f>
        <v>0</v>
      </c>
      <c r="BB75" s="133" t="n">
        <f aca="false">IF(OR(OR($B75="",$E75="",$F75=""),$K75&lt;&gt;"نعم",$M75="نعم"),0,MAX(0,MIN($F75,EOMONTH(DATE(cfg_FY,9,1),0))-MAX($E75,DATE(cfg_FY,9,1))+1))</f>
        <v>0</v>
      </c>
      <c r="BC75" s="133" t="n">
        <f aca="false">IF(OR(OR($B75="",$E75="",$F75=""),$K75&lt;&gt;"نعم",$M75="نعم"),0,MAX(0,MIN($F75,EOMONTH(DATE(cfg_FY,10,1),0))-MAX($E75,DATE(cfg_FY,10,1))+1))</f>
        <v>0</v>
      </c>
      <c r="BD75" s="133" t="n">
        <f aca="false">IF(OR(OR($B75="",$E75="",$F75=""),$K75&lt;&gt;"نعم",$M75="نعم"),0,MAX(0,MIN($F75,EOMONTH(DATE(cfg_FY,11,1),0))-MAX($E75,DATE(cfg_FY,11,1))+1))</f>
        <v>0</v>
      </c>
      <c r="BE75" s="133" t="n">
        <f aca="false">IF(OR(OR($B75="",$E75="",$F75=""),$K75&lt;&gt;"نعم",$M75="نعم"),0,MAX(0,MIN($F75,EOMONTH(DATE(cfg_FY,12,1),0))-MAX($E75,DATE(cfg_FY,12,1))+1))</f>
        <v>0</v>
      </c>
    </row>
    <row r="76" customFormat="false" ht="15" hidden="false" customHeight="false" outlineLevel="0" collapsed="false">
      <c r="A76" s="106" t="str">
        <f aca="false">IF(B76="","",ROW()-5)</f>
        <v/>
      </c>
      <c r="B76" s="118"/>
      <c r="C76" s="114" t="str">
        <f aca="false">IF(B76="","",IFERROR(INDEX(الموظفون!$C$6:$C$105,MATCH(B76,الموظفون!$B$6:$B$105,0)),"✖ رقم غير موجود"))</f>
        <v/>
      </c>
      <c r="D76" s="118"/>
      <c r="E76" s="119"/>
      <c r="F76" s="119"/>
      <c r="G76" s="65" t="str">
        <f aca="false">IF(OR($B76="",$E76="",$F76=""),"",MAX(0,F76-E76+1))</f>
        <v/>
      </c>
      <c r="H76" s="66" t="str">
        <f aca="false">IF(D76="","",IFERROR(VLOOKUP(D76,cfg_LT,2,FALSE()),1))</f>
        <v/>
      </c>
      <c r="I76" s="135"/>
      <c r="J76" s="66" t="str">
        <f aca="false">IF(D76="","",IF(I76&lt;&gt;"",I76,H76))</f>
        <v/>
      </c>
      <c r="K76" s="114" t="str">
        <f aca="false">IF(D76="","",IFERROR(VLOOKUP($D76,cfg_LT,3,FALSE()),""))</f>
        <v/>
      </c>
      <c r="L76" s="114" t="str">
        <f aca="false">IF(D76="","",IFERROR(VLOOKUP($D76,cfg_LT,4,FALSE()),""))</f>
        <v/>
      </c>
      <c r="M76" s="114" t="str">
        <f aca="false">IF(D76="","",IFERROR(VLOOKUP($D76,cfg_LT,5,FALSE()),""))</f>
        <v/>
      </c>
      <c r="N76" s="111" t="n">
        <f aca="false">IF(OR(OR($B76="",$E76="",$F76=""),M76&lt;&gt;"نعم"),0,G76*J76*IFERROR(INDEX(الموظفون!$R$6:$R$105,MATCH(B76,الموظفون!$B$6:$B$105,0)),0)/cfg_DAYS_M)</f>
        <v>0</v>
      </c>
      <c r="O76" s="106" t="str">
        <f aca="false">IF(OR(OR($B76="",$E76="",$F76=""),M76&lt;&gt;"نعم"),"",IF(YEAR(E76)=cfg_FY,MONTH(E76),""))</f>
        <v/>
      </c>
      <c r="P76" s="114" t="str">
        <f aca="false">IF(B76="","",IF(OR(D76="",E76="",F76=""),"⚠ أكمل النوع والتواريخ",IF(F76&lt;E76,"✖ النهاية قبل البداية",IF(COUNTIFS($B$6:$B$505,B76,$E$6:$E$505,"&lt;="&amp;F76,$F$6:$F$505,"&gt;="&amp;E76)&gt;1,"⚠ تداخل مع سجل آخر",IF(E76&gt;cfg_VAL_DATE,"⏳ قادمة",IF(F76&lt;cfg_VAL_DATE,"✔ منتهية","✈ جارية في تاريخ التقرير"))))))</f>
        <v/>
      </c>
      <c r="Q76" s="118"/>
      <c r="R76" s="65" t="n">
        <f aca="false">IF(OR(OR($B76="",$E76="",$F76=""),L76&lt;&gt;"لا"),0,MAX(0,MIN(F76,cfg_Y_START-1)-E76+1))</f>
        <v>0</v>
      </c>
      <c r="S76" s="65" t="n">
        <f aca="false">IF(OR(OR($B76="",$E76="",$F76=""),L76&lt;&gt;"لا"),0,MAX(0,MIN(F76,cfg_VAL_DATE)-E76+1))</f>
        <v>0</v>
      </c>
      <c r="T76" s="65" t="n">
        <f aca="false">IF(OR(OR($B76="",$E76="",$F76=""),K76&lt;&gt;"نعم"),0,IF(M76="نعم",IF(AND(ISNUMBER(O76),N(O76)&lt;=cfg_VAL_M),G76,0),MAX(0,MIN(F76,cfg_VAL_DATE)-MAX(E76,cfg_Y_START)+1)))</f>
        <v>0</v>
      </c>
      <c r="V76" s="65" t="n">
        <f aca="false">IF(OR($B76="",$E76="",$F76=""),0,MAX(0,MIN($F76,EOMONTH(DATE(cfg_FY,1,1),0))-MAX($E76,DATE(cfg_FY,1,1))+1)*(1-IF($M76="نعم",0,N($J76))))</f>
        <v>0</v>
      </c>
      <c r="W76" s="65" t="n">
        <f aca="false">IF(OR($B76="",$E76="",$F76=""),0,MAX(0,MIN($F76,EOMONTH(DATE(cfg_FY,2,1),0))-MAX($E76,DATE(cfg_FY,2,1))+1)*(1-IF($M76="نعم",0,N($J76))))</f>
        <v>0</v>
      </c>
      <c r="X76" s="65" t="n">
        <f aca="false">IF(OR($B76="",$E76="",$F76=""),0,MAX(0,MIN($F76,EOMONTH(DATE(cfg_FY,3,1),0))-MAX($E76,DATE(cfg_FY,3,1))+1)*(1-IF($M76="نعم",0,N($J76))))</f>
        <v>0</v>
      </c>
      <c r="Y76" s="65" t="n">
        <f aca="false">IF(OR($B76="",$E76="",$F76=""),0,MAX(0,MIN($F76,EOMONTH(DATE(cfg_FY,4,1),0))-MAX($E76,DATE(cfg_FY,4,1))+1)*(1-IF($M76="نعم",0,N($J76))))</f>
        <v>0</v>
      </c>
      <c r="Z76" s="65" t="n">
        <f aca="false">IF(OR($B76="",$E76="",$F76=""),0,MAX(0,MIN($F76,EOMONTH(DATE(cfg_FY,5,1),0))-MAX($E76,DATE(cfg_FY,5,1))+1)*(1-IF($M76="نعم",0,N($J76))))</f>
        <v>0</v>
      </c>
      <c r="AA76" s="65" t="n">
        <f aca="false">IF(OR($B76="",$E76="",$F76=""),0,MAX(0,MIN($F76,EOMONTH(DATE(cfg_FY,6,1),0))-MAX($E76,DATE(cfg_FY,6,1))+1)*(1-IF($M76="نعم",0,N($J76))))</f>
        <v>0</v>
      </c>
      <c r="AB76" s="65" t="n">
        <f aca="false">IF(OR($B76="",$E76="",$F76=""),0,MAX(0,MIN($F76,EOMONTH(DATE(cfg_FY,7,1),0))-MAX($E76,DATE(cfg_FY,7,1))+1)*(1-IF($M76="نعم",0,N($J76))))</f>
        <v>0</v>
      </c>
      <c r="AC76" s="65" t="n">
        <f aca="false">IF(OR($B76="",$E76="",$F76=""),0,MAX(0,MIN($F76,EOMONTH(DATE(cfg_FY,8,1),0))-MAX($E76,DATE(cfg_FY,8,1))+1)*(1-IF($M76="نعم",0,N($J76))))</f>
        <v>0</v>
      </c>
      <c r="AD76" s="65" t="n">
        <f aca="false">IF(OR($B76="",$E76="",$F76=""),0,MAX(0,MIN($F76,EOMONTH(DATE(cfg_FY,9,1),0))-MAX($E76,DATE(cfg_FY,9,1))+1)*(1-IF($M76="نعم",0,N($J76))))</f>
        <v>0</v>
      </c>
      <c r="AE76" s="65" t="n">
        <f aca="false">IF(OR($B76="",$E76="",$F76=""),0,MAX(0,MIN($F76,EOMONTH(DATE(cfg_FY,10,1),0))-MAX($E76,DATE(cfg_FY,10,1))+1)*(1-IF($M76="نعم",0,N($J76))))</f>
        <v>0</v>
      </c>
      <c r="AF76" s="65" t="n">
        <f aca="false">IF(OR($B76="",$E76="",$F76=""),0,MAX(0,MIN($F76,EOMONTH(DATE(cfg_FY,11,1),0))-MAX($E76,DATE(cfg_FY,11,1))+1)*(1-IF($M76="نعم",0,N($J76))))</f>
        <v>0</v>
      </c>
      <c r="AG76" s="65" t="n">
        <f aca="false">IF(OR($B76="",$E76="",$F76=""),0,MAX(0,MIN($F76,EOMONTH(DATE(cfg_FY,12,1),0))-MAX($E76,DATE(cfg_FY,12,1))+1)*(1-IF($M76="نعم",0,N($J76))))</f>
        <v>0</v>
      </c>
      <c r="AH76" s="65" t="n">
        <f aca="false">IF(OR(OR($B76="",$E76="",$F76=""),$L76&lt;&gt;"لا"),0,MAX(0,MIN($F76,EOMONTH(DATE(cfg_FY,1,1),0))-$E76+1))</f>
        <v>0</v>
      </c>
      <c r="AI76" s="65" t="n">
        <f aca="false">IF(OR(OR($B76="",$E76="",$F76=""),$L76&lt;&gt;"لا"),0,MAX(0,MIN($F76,EOMONTH(DATE(cfg_FY,2,1),0))-$E76+1))</f>
        <v>0</v>
      </c>
      <c r="AJ76" s="65" t="n">
        <f aca="false">IF(OR(OR($B76="",$E76="",$F76=""),$L76&lt;&gt;"لا"),0,MAX(0,MIN($F76,EOMONTH(DATE(cfg_FY,3,1),0))-$E76+1))</f>
        <v>0</v>
      </c>
      <c r="AK76" s="65" t="n">
        <f aca="false">IF(OR(OR($B76="",$E76="",$F76=""),$L76&lt;&gt;"لا"),0,MAX(0,MIN($F76,EOMONTH(DATE(cfg_FY,4,1),0))-$E76+1))</f>
        <v>0</v>
      </c>
      <c r="AL76" s="65" t="n">
        <f aca="false">IF(OR(OR($B76="",$E76="",$F76=""),$L76&lt;&gt;"لا"),0,MAX(0,MIN($F76,EOMONTH(DATE(cfg_FY,5,1),0))-$E76+1))</f>
        <v>0</v>
      </c>
      <c r="AM76" s="65" t="n">
        <f aca="false">IF(OR(OR($B76="",$E76="",$F76=""),$L76&lt;&gt;"لا"),0,MAX(0,MIN($F76,EOMONTH(DATE(cfg_FY,6,1),0))-$E76+1))</f>
        <v>0</v>
      </c>
      <c r="AN76" s="65" t="n">
        <f aca="false">IF(OR(OR($B76="",$E76="",$F76=""),$L76&lt;&gt;"لا"),0,MAX(0,MIN($F76,EOMONTH(DATE(cfg_FY,7,1),0))-$E76+1))</f>
        <v>0</v>
      </c>
      <c r="AO76" s="65" t="n">
        <f aca="false">IF(OR(OR($B76="",$E76="",$F76=""),$L76&lt;&gt;"لا"),0,MAX(0,MIN($F76,EOMONTH(DATE(cfg_FY,8,1),0))-$E76+1))</f>
        <v>0</v>
      </c>
      <c r="AP76" s="65" t="n">
        <f aca="false">IF(OR(OR($B76="",$E76="",$F76=""),$L76&lt;&gt;"لا"),0,MAX(0,MIN($F76,EOMONTH(DATE(cfg_FY,9,1),0))-$E76+1))</f>
        <v>0</v>
      </c>
      <c r="AQ76" s="65" t="n">
        <f aca="false">IF(OR(OR($B76="",$E76="",$F76=""),$L76&lt;&gt;"لا"),0,MAX(0,MIN($F76,EOMONTH(DATE(cfg_FY,10,1),0))-$E76+1))</f>
        <v>0</v>
      </c>
      <c r="AR76" s="65" t="n">
        <f aca="false">IF(OR(OR($B76="",$E76="",$F76=""),$L76&lt;&gt;"لا"),0,MAX(0,MIN($F76,EOMONTH(DATE(cfg_FY,11,1),0))-$E76+1))</f>
        <v>0</v>
      </c>
      <c r="AS76" s="65" t="n">
        <f aca="false">IF(OR(OR($B76="",$E76="",$F76=""),$L76&lt;&gt;"لا"),0,MAX(0,MIN($F76,EOMONTH(DATE(cfg_FY,12,1),0))-$E76+1))</f>
        <v>0</v>
      </c>
      <c r="AT76" s="65" t="n">
        <f aca="false">IF(OR(OR($B76="",$E76="",$F76=""),$K76&lt;&gt;"نعم",$M76="نعم"),0,MAX(0,MIN($F76,EOMONTH(DATE(cfg_FY,1,1),0))-MAX($E76,DATE(cfg_FY,1,1))+1))</f>
        <v>0</v>
      </c>
      <c r="AU76" s="65" t="n">
        <f aca="false">IF(OR(OR($B76="",$E76="",$F76=""),$K76&lt;&gt;"نعم",$M76="نعم"),0,MAX(0,MIN($F76,EOMONTH(DATE(cfg_FY,2,1),0))-MAX($E76,DATE(cfg_FY,2,1))+1))</f>
        <v>0</v>
      </c>
      <c r="AV76" s="65" t="n">
        <f aca="false">IF(OR(OR($B76="",$E76="",$F76=""),$K76&lt;&gt;"نعم",$M76="نعم"),0,MAX(0,MIN($F76,EOMONTH(DATE(cfg_FY,3,1),0))-MAX($E76,DATE(cfg_FY,3,1))+1))</f>
        <v>0</v>
      </c>
      <c r="AW76" s="65" t="n">
        <f aca="false">IF(OR(OR($B76="",$E76="",$F76=""),$K76&lt;&gt;"نعم",$M76="نعم"),0,MAX(0,MIN($F76,EOMONTH(DATE(cfg_FY,4,1),0))-MAX($E76,DATE(cfg_FY,4,1))+1))</f>
        <v>0</v>
      </c>
      <c r="AX76" s="65" t="n">
        <f aca="false">IF(OR(OR($B76="",$E76="",$F76=""),$K76&lt;&gt;"نعم",$M76="نعم"),0,MAX(0,MIN($F76,EOMONTH(DATE(cfg_FY,5,1),0))-MAX($E76,DATE(cfg_FY,5,1))+1))</f>
        <v>0</v>
      </c>
      <c r="AY76" s="65" t="n">
        <f aca="false">IF(OR(OR($B76="",$E76="",$F76=""),$K76&lt;&gt;"نعم",$M76="نعم"),0,MAX(0,MIN($F76,EOMONTH(DATE(cfg_FY,6,1),0))-MAX($E76,DATE(cfg_FY,6,1))+1))</f>
        <v>0</v>
      </c>
      <c r="AZ76" s="65" t="n">
        <f aca="false">IF(OR(OR($B76="",$E76="",$F76=""),$K76&lt;&gt;"نعم",$M76="نعم"),0,MAX(0,MIN($F76,EOMONTH(DATE(cfg_FY,7,1),0))-MAX($E76,DATE(cfg_FY,7,1))+1))</f>
        <v>0</v>
      </c>
      <c r="BA76" s="65" t="n">
        <f aca="false">IF(OR(OR($B76="",$E76="",$F76=""),$K76&lt;&gt;"نعم",$M76="نعم"),0,MAX(0,MIN($F76,EOMONTH(DATE(cfg_FY,8,1),0))-MAX($E76,DATE(cfg_FY,8,1))+1))</f>
        <v>0</v>
      </c>
      <c r="BB76" s="65" t="n">
        <f aca="false">IF(OR(OR($B76="",$E76="",$F76=""),$K76&lt;&gt;"نعم",$M76="نعم"),0,MAX(0,MIN($F76,EOMONTH(DATE(cfg_FY,9,1),0))-MAX($E76,DATE(cfg_FY,9,1))+1))</f>
        <v>0</v>
      </c>
      <c r="BC76" s="65" t="n">
        <f aca="false">IF(OR(OR($B76="",$E76="",$F76=""),$K76&lt;&gt;"نعم",$M76="نعم"),0,MAX(0,MIN($F76,EOMONTH(DATE(cfg_FY,10,1),0))-MAX($E76,DATE(cfg_FY,10,1))+1))</f>
        <v>0</v>
      </c>
      <c r="BD76" s="65" t="n">
        <f aca="false">IF(OR(OR($B76="",$E76="",$F76=""),$K76&lt;&gt;"نعم",$M76="نعم"),0,MAX(0,MIN($F76,EOMONTH(DATE(cfg_FY,11,1),0))-MAX($E76,DATE(cfg_FY,11,1))+1))</f>
        <v>0</v>
      </c>
      <c r="BE76" s="65" t="n">
        <f aca="false">IF(OR(OR($B76="",$E76="",$F76=""),$K76&lt;&gt;"نعم",$M76="نعم"),0,MAX(0,MIN($F76,EOMONTH(DATE(cfg_FY,12,1),0))-MAX($E76,DATE(cfg_FY,12,1))+1))</f>
        <v>0</v>
      </c>
    </row>
    <row r="77" customFormat="false" ht="15" hidden="false" customHeight="false" outlineLevel="0" collapsed="false">
      <c r="A77" s="115" t="str">
        <f aca="false">IF(B77="","",ROW()-5)</f>
        <v/>
      </c>
      <c r="B77" s="118"/>
      <c r="C77" s="117" t="str">
        <f aca="false">IF(B77="","",IFERROR(INDEX(الموظفون!$C$6:$C$105,MATCH(B77,الموظفون!$B$6:$B$105,0)),"✖ رقم غير موجود"))</f>
        <v/>
      </c>
      <c r="D77" s="118"/>
      <c r="E77" s="119"/>
      <c r="F77" s="119"/>
      <c r="G77" s="133" t="str">
        <f aca="false">IF(OR($B77="",$E77="",$F77=""),"",MAX(0,F77-E77+1))</f>
        <v/>
      </c>
      <c r="H77" s="134" t="str">
        <f aca="false">IF(D77="","",IFERROR(VLOOKUP(D77,cfg_LT,2,FALSE()),1))</f>
        <v/>
      </c>
      <c r="I77" s="135"/>
      <c r="J77" s="134" t="str">
        <f aca="false">IF(D77="","",IF(I77&lt;&gt;"",I77,H77))</f>
        <v/>
      </c>
      <c r="K77" s="117" t="str">
        <f aca="false">IF(D77="","",IFERROR(VLOOKUP($D77,cfg_LT,3,FALSE()),""))</f>
        <v/>
      </c>
      <c r="L77" s="117" t="str">
        <f aca="false">IF(D77="","",IFERROR(VLOOKUP($D77,cfg_LT,4,FALSE()),""))</f>
        <v/>
      </c>
      <c r="M77" s="117" t="str">
        <f aca="false">IF(D77="","",IFERROR(VLOOKUP($D77,cfg_LT,5,FALSE()),""))</f>
        <v/>
      </c>
      <c r="N77" s="116" t="n">
        <f aca="false">IF(OR(OR($B77="",$E77="",$F77=""),M77&lt;&gt;"نعم"),0,G77*J77*IFERROR(INDEX(الموظفون!$R$6:$R$105,MATCH(B77,الموظفون!$B$6:$B$105,0)),0)/cfg_DAYS_M)</f>
        <v>0</v>
      </c>
      <c r="O77" s="115" t="str">
        <f aca="false">IF(OR(OR($B77="",$E77="",$F77=""),M77&lt;&gt;"نعم"),"",IF(YEAR(E77)=cfg_FY,MONTH(E77),""))</f>
        <v/>
      </c>
      <c r="P77" s="117" t="str">
        <f aca="false">IF(B77="","",IF(OR(D77="",E77="",F77=""),"⚠ أكمل النوع والتواريخ",IF(F77&lt;E77,"✖ النهاية قبل البداية",IF(COUNTIFS($B$6:$B$505,B77,$E$6:$E$505,"&lt;="&amp;F77,$F$6:$F$505,"&gt;="&amp;E77)&gt;1,"⚠ تداخل مع سجل آخر",IF(E77&gt;cfg_VAL_DATE,"⏳ قادمة",IF(F77&lt;cfg_VAL_DATE,"✔ منتهية","✈ جارية في تاريخ التقرير"))))))</f>
        <v/>
      </c>
      <c r="Q77" s="118"/>
      <c r="R77" s="133" t="n">
        <f aca="false">IF(OR(OR($B77="",$E77="",$F77=""),L77&lt;&gt;"لا"),0,MAX(0,MIN(F77,cfg_Y_START-1)-E77+1))</f>
        <v>0</v>
      </c>
      <c r="S77" s="133" t="n">
        <f aca="false">IF(OR(OR($B77="",$E77="",$F77=""),L77&lt;&gt;"لا"),0,MAX(0,MIN(F77,cfg_VAL_DATE)-E77+1))</f>
        <v>0</v>
      </c>
      <c r="T77" s="133" t="n">
        <f aca="false">IF(OR(OR($B77="",$E77="",$F77=""),K77&lt;&gt;"نعم"),0,IF(M77="نعم",IF(AND(ISNUMBER(O77),N(O77)&lt;=cfg_VAL_M),G77,0),MAX(0,MIN(F77,cfg_VAL_DATE)-MAX(E77,cfg_Y_START)+1)))</f>
        <v>0</v>
      </c>
      <c r="V77" s="133" t="n">
        <f aca="false">IF(OR($B77="",$E77="",$F77=""),0,MAX(0,MIN($F77,EOMONTH(DATE(cfg_FY,1,1),0))-MAX($E77,DATE(cfg_FY,1,1))+1)*(1-IF($M77="نعم",0,N($J77))))</f>
        <v>0</v>
      </c>
      <c r="W77" s="133" t="n">
        <f aca="false">IF(OR($B77="",$E77="",$F77=""),0,MAX(0,MIN($F77,EOMONTH(DATE(cfg_FY,2,1),0))-MAX($E77,DATE(cfg_FY,2,1))+1)*(1-IF($M77="نعم",0,N($J77))))</f>
        <v>0</v>
      </c>
      <c r="X77" s="133" t="n">
        <f aca="false">IF(OR($B77="",$E77="",$F77=""),0,MAX(0,MIN($F77,EOMONTH(DATE(cfg_FY,3,1),0))-MAX($E77,DATE(cfg_FY,3,1))+1)*(1-IF($M77="نعم",0,N($J77))))</f>
        <v>0</v>
      </c>
      <c r="Y77" s="133" t="n">
        <f aca="false">IF(OR($B77="",$E77="",$F77=""),0,MAX(0,MIN($F77,EOMONTH(DATE(cfg_FY,4,1),0))-MAX($E77,DATE(cfg_FY,4,1))+1)*(1-IF($M77="نعم",0,N($J77))))</f>
        <v>0</v>
      </c>
      <c r="Z77" s="133" t="n">
        <f aca="false">IF(OR($B77="",$E77="",$F77=""),0,MAX(0,MIN($F77,EOMONTH(DATE(cfg_FY,5,1),0))-MAX($E77,DATE(cfg_FY,5,1))+1)*(1-IF($M77="نعم",0,N($J77))))</f>
        <v>0</v>
      </c>
      <c r="AA77" s="133" t="n">
        <f aca="false">IF(OR($B77="",$E77="",$F77=""),0,MAX(0,MIN($F77,EOMONTH(DATE(cfg_FY,6,1),0))-MAX($E77,DATE(cfg_FY,6,1))+1)*(1-IF($M77="نعم",0,N($J77))))</f>
        <v>0</v>
      </c>
      <c r="AB77" s="133" t="n">
        <f aca="false">IF(OR($B77="",$E77="",$F77=""),0,MAX(0,MIN($F77,EOMONTH(DATE(cfg_FY,7,1),0))-MAX($E77,DATE(cfg_FY,7,1))+1)*(1-IF($M77="نعم",0,N($J77))))</f>
        <v>0</v>
      </c>
      <c r="AC77" s="133" t="n">
        <f aca="false">IF(OR($B77="",$E77="",$F77=""),0,MAX(0,MIN($F77,EOMONTH(DATE(cfg_FY,8,1),0))-MAX($E77,DATE(cfg_FY,8,1))+1)*(1-IF($M77="نعم",0,N($J77))))</f>
        <v>0</v>
      </c>
      <c r="AD77" s="133" t="n">
        <f aca="false">IF(OR($B77="",$E77="",$F77=""),0,MAX(0,MIN($F77,EOMONTH(DATE(cfg_FY,9,1),0))-MAX($E77,DATE(cfg_FY,9,1))+1)*(1-IF($M77="نعم",0,N($J77))))</f>
        <v>0</v>
      </c>
      <c r="AE77" s="133" t="n">
        <f aca="false">IF(OR($B77="",$E77="",$F77=""),0,MAX(0,MIN($F77,EOMONTH(DATE(cfg_FY,10,1),0))-MAX($E77,DATE(cfg_FY,10,1))+1)*(1-IF($M77="نعم",0,N($J77))))</f>
        <v>0</v>
      </c>
      <c r="AF77" s="133" t="n">
        <f aca="false">IF(OR($B77="",$E77="",$F77=""),0,MAX(0,MIN($F77,EOMONTH(DATE(cfg_FY,11,1),0))-MAX($E77,DATE(cfg_FY,11,1))+1)*(1-IF($M77="نعم",0,N($J77))))</f>
        <v>0</v>
      </c>
      <c r="AG77" s="133" t="n">
        <f aca="false">IF(OR($B77="",$E77="",$F77=""),0,MAX(0,MIN($F77,EOMONTH(DATE(cfg_FY,12,1),0))-MAX($E77,DATE(cfg_FY,12,1))+1)*(1-IF($M77="نعم",0,N($J77))))</f>
        <v>0</v>
      </c>
      <c r="AH77" s="133" t="n">
        <f aca="false">IF(OR(OR($B77="",$E77="",$F77=""),$L77&lt;&gt;"لا"),0,MAX(0,MIN($F77,EOMONTH(DATE(cfg_FY,1,1),0))-$E77+1))</f>
        <v>0</v>
      </c>
      <c r="AI77" s="133" t="n">
        <f aca="false">IF(OR(OR($B77="",$E77="",$F77=""),$L77&lt;&gt;"لا"),0,MAX(0,MIN($F77,EOMONTH(DATE(cfg_FY,2,1),0))-$E77+1))</f>
        <v>0</v>
      </c>
      <c r="AJ77" s="133" t="n">
        <f aca="false">IF(OR(OR($B77="",$E77="",$F77=""),$L77&lt;&gt;"لا"),0,MAX(0,MIN($F77,EOMONTH(DATE(cfg_FY,3,1),0))-$E77+1))</f>
        <v>0</v>
      </c>
      <c r="AK77" s="133" t="n">
        <f aca="false">IF(OR(OR($B77="",$E77="",$F77=""),$L77&lt;&gt;"لا"),0,MAX(0,MIN($F77,EOMONTH(DATE(cfg_FY,4,1),0))-$E77+1))</f>
        <v>0</v>
      </c>
      <c r="AL77" s="133" t="n">
        <f aca="false">IF(OR(OR($B77="",$E77="",$F77=""),$L77&lt;&gt;"لا"),0,MAX(0,MIN($F77,EOMONTH(DATE(cfg_FY,5,1),0))-$E77+1))</f>
        <v>0</v>
      </c>
      <c r="AM77" s="133" t="n">
        <f aca="false">IF(OR(OR($B77="",$E77="",$F77=""),$L77&lt;&gt;"لا"),0,MAX(0,MIN($F77,EOMONTH(DATE(cfg_FY,6,1),0))-$E77+1))</f>
        <v>0</v>
      </c>
      <c r="AN77" s="133" t="n">
        <f aca="false">IF(OR(OR($B77="",$E77="",$F77=""),$L77&lt;&gt;"لا"),0,MAX(0,MIN($F77,EOMONTH(DATE(cfg_FY,7,1),0))-$E77+1))</f>
        <v>0</v>
      </c>
      <c r="AO77" s="133" t="n">
        <f aca="false">IF(OR(OR($B77="",$E77="",$F77=""),$L77&lt;&gt;"لا"),0,MAX(0,MIN($F77,EOMONTH(DATE(cfg_FY,8,1),0))-$E77+1))</f>
        <v>0</v>
      </c>
      <c r="AP77" s="133" t="n">
        <f aca="false">IF(OR(OR($B77="",$E77="",$F77=""),$L77&lt;&gt;"لا"),0,MAX(0,MIN($F77,EOMONTH(DATE(cfg_FY,9,1),0))-$E77+1))</f>
        <v>0</v>
      </c>
      <c r="AQ77" s="133" t="n">
        <f aca="false">IF(OR(OR($B77="",$E77="",$F77=""),$L77&lt;&gt;"لا"),0,MAX(0,MIN($F77,EOMONTH(DATE(cfg_FY,10,1),0))-$E77+1))</f>
        <v>0</v>
      </c>
      <c r="AR77" s="133" t="n">
        <f aca="false">IF(OR(OR($B77="",$E77="",$F77=""),$L77&lt;&gt;"لا"),0,MAX(0,MIN($F77,EOMONTH(DATE(cfg_FY,11,1),0))-$E77+1))</f>
        <v>0</v>
      </c>
      <c r="AS77" s="133" t="n">
        <f aca="false">IF(OR(OR($B77="",$E77="",$F77=""),$L77&lt;&gt;"لا"),0,MAX(0,MIN($F77,EOMONTH(DATE(cfg_FY,12,1),0))-$E77+1))</f>
        <v>0</v>
      </c>
      <c r="AT77" s="133" t="n">
        <f aca="false">IF(OR(OR($B77="",$E77="",$F77=""),$K77&lt;&gt;"نعم",$M77="نعم"),0,MAX(0,MIN($F77,EOMONTH(DATE(cfg_FY,1,1),0))-MAX($E77,DATE(cfg_FY,1,1))+1))</f>
        <v>0</v>
      </c>
      <c r="AU77" s="133" t="n">
        <f aca="false">IF(OR(OR($B77="",$E77="",$F77=""),$K77&lt;&gt;"نعم",$M77="نعم"),0,MAX(0,MIN($F77,EOMONTH(DATE(cfg_FY,2,1),0))-MAX($E77,DATE(cfg_FY,2,1))+1))</f>
        <v>0</v>
      </c>
      <c r="AV77" s="133" t="n">
        <f aca="false">IF(OR(OR($B77="",$E77="",$F77=""),$K77&lt;&gt;"نعم",$M77="نعم"),0,MAX(0,MIN($F77,EOMONTH(DATE(cfg_FY,3,1),0))-MAX($E77,DATE(cfg_FY,3,1))+1))</f>
        <v>0</v>
      </c>
      <c r="AW77" s="133" t="n">
        <f aca="false">IF(OR(OR($B77="",$E77="",$F77=""),$K77&lt;&gt;"نعم",$M77="نعم"),0,MAX(0,MIN($F77,EOMONTH(DATE(cfg_FY,4,1),0))-MAX($E77,DATE(cfg_FY,4,1))+1))</f>
        <v>0</v>
      </c>
      <c r="AX77" s="133" t="n">
        <f aca="false">IF(OR(OR($B77="",$E77="",$F77=""),$K77&lt;&gt;"نعم",$M77="نعم"),0,MAX(0,MIN($F77,EOMONTH(DATE(cfg_FY,5,1),0))-MAX($E77,DATE(cfg_FY,5,1))+1))</f>
        <v>0</v>
      </c>
      <c r="AY77" s="133" t="n">
        <f aca="false">IF(OR(OR($B77="",$E77="",$F77=""),$K77&lt;&gt;"نعم",$M77="نعم"),0,MAX(0,MIN($F77,EOMONTH(DATE(cfg_FY,6,1),0))-MAX($E77,DATE(cfg_FY,6,1))+1))</f>
        <v>0</v>
      </c>
      <c r="AZ77" s="133" t="n">
        <f aca="false">IF(OR(OR($B77="",$E77="",$F77=""),$K77&lt;&gt;"نعم",$M77="نعم"),0,MAX(0,MIN($F77,EOMONTH(DATE(cfg_FY,7,1),0))-MAX($E77,DATE(cfg_FY,7,1))+1))</f>
        <v>0</v>
      </c>
      <c r="BA77" s="133" t="n">
        <f aca="false">IF(OR(OR($B77="",$E77="",$F77=""),$K77&lt;&gt;"نعم",$M77="نعم"),0,MAX(0,MIN($F77,EOMONTH(DATE(cfg_FY,8,1),0))-MAX($E77,DATE(cfg_FY,8,1))+1))</f>
        <v>0</v>
      </c>
      <c r="BB77" s="133" t="n">
        <f aca="false">IF(OR(OR($B77="",$E77="",$F77=""),$K77&lt;&gt;"نعم",$M77="نعم"),0,MAX(0,MIN($F77,EOMONTH(DATE(cfg_FY,9,1),0))-MAX($E77,DATE(cfg_FY,9,1))+1))</f>
        <v>0</v>
      </c>
      <c r="BC77" s="133" t="n">
        <f aca="false">IF(OR(OR($B77="",$E77="",$F77=""),$K77&lt;&gt;"نعم",$M77="نعم"),0,MAX(0,MIN($F77,EOMONTH(DATE(cfg_FY,10,1),0))-MAX($E77,DATE(cfg_FY,10,1))+1))</f>
        <v>0</v>
      </c>
      <c r="BD77" s="133" t="n">
        <f aca="false">IF(OR(OR($B77="",$E77="",$F77=""),$K77&lt;&gt;"نعم",$M77="نعم"),0,MAX(0,MIN($F77,EOMONTH(DATE(cfg_FY,11,1),0))-MAX($E77,DATE(cfg_FY,11,1))+1))</f>
        <v>0</v>
      </c>
      <c r="BE77" s="133" t="n">
        <f aca="false">IF(OR(OR($B77="",$E77="",$F77=""),$K77&lt;&gt;"نعم",$M77="نعم"),0,MAX(0,MIN($F77,EOMONTH(DATE(cfg_FY,12,1),0))-MAX($E77,DATE(cfg_FY,12,1))+1))</f>
        <v>0</v>
      </c>
    </row>
    <row r="78" customFormat="false" ht="15" hidden="false" customHeight="false" outlineLevel="0" collapsed="false">
      <c r="A78" s="106" t="str">
        <f aca="false">IF(B78="","",ROW()-5)</f>
        <v/>
      </c>
      <c r="B78" s="118"/>
      <c r="C78" s="114" t="str">
        <f aca="false">IF(B78="","",IFERROR(INDEX(الموظفون!$C$6:$C$105,MATCH(B78,الموظفون!$B$6:$B$105,0)),"✖ رقم غير موجود"))</f>
        <v/>
      </c>
      <c r="D78" s="118"/>
      <c r="E78" s="119"/>
      <c r="F78" s="119"/>
      <c r="G78" s="65" t="str">
        <f aca="false">IF(OR($B78="",$E78="",$F78=""),"",MAX(0,F78-E78+1))</f>
        <v/>
      </c>
      <c r="H78" s="66" t="str">
        <f aca="false">IF(D78="","",IFERROR(VLOOKUP(D78,cfg_LT,2,FALSE()),1))</f>
        <v/>
      </c>
      <c r="I78" s="135"/>
      <c r="J78" s="66" t="str">
        <f aca="false">IF(D78="","",IF(I78&lt;&gt;"",I78,H78))</f>
        <v/>
      </c>
      <c r="K78" s="114" t="str">
        <f aca="false">IF(D78="","",IFERROR(VLOOKUP($D78,cfg_LT,3,FALSE()),""))</f>
        <v/>
      </c>
      <c r="L78" s="114" t="str">
        <f aca="false">IF(D78="","",IFERROR(VLOOKUP($D78,cfg_LT,4,FALSE()),""))</f>
        <v/>
      </c>
      <c r="M78" s="114" t="str">
        <f aca="false">IF(D78="","",IFERROR(VLOOKUP($D78,cfg_LT,5,FALSE()),""))</f>
        <v/>
      </c>
      <c r="N78" s="111" t="n">
        <f aca="false">IF(OR(OR($B78="",$E78="",$F78=""),M78&lt;&gt;"نعم"),0,G78*J78*IFERROR(INDEX(الموظفون!$R$6:$R$105,MATCH(B78,الموظفون!$B$6:$B$105,0)),0)/cfg_DAYS_M)</f>
        <v>0</v>
      </c>
      <c r="O78" s="106" t="str">
        <f aca="false">IF(OR(OR($B78="",$E78="",$F78=""),M78&lt;&gt;"نعم"),"",IF(YEAR(E78)=cfg_FY,MONTH(E78),""))</f>
        <v/>
      </c>
      <c r="P78" s="114" t="str">
        <f aca="false">IF(B78="","",IF(OR(D78="",E78="",F78=""),"⚠ أكمل النوع والتواريخ",IF(F78&lt;E78,"✖ النهاية قبل البداية",IF(COUNTIFS($B$6:$B$505,B78,$E$6:$E$505,"&lt;="&amp;F78,$F$6:$F$505,"&gt;="&amp;E78)&gt;1,"⚠ تداخل مع سجل آخر",IF(E78&gt;cfg_VAL_DATE,"⏳ قادمة",IF(F78&lt;cfg_VAL_DATE,"✔ منتهية","✈ جارية في تاريخ التقرير"))))))</f>
        <v/>
      </c>
      <c r="Q78" s="118"/>
      <c r="R78" s="65" t="n">
        <f aca="false">IF(OR(OR($B78="",$E78="",$F78=""),L78&lt;&gt;"لا"),0,MAX(0,MIN(F78,cfg_Y_START-1)-E78+1))</f>
        <v>0</v>
      </c>
      <c r="S78" s="65" t="n">
        <f aca="false">IF(OR(OR($B78="",$E78="",$F78=""),L78&lt;&gt;"لا"),0,MAX(0,MIN(F78,cfg_VAL_DATE)-E78+1))</f>
        <v>0</v>
      </c>
      <c r="T78" s="65" t="n">
        <f aca="false">IF(OR(OR($B78="",$E78="",$F78=""),K78&lt;&gt;"نعم"),0,IF(M78="نعم",IF(AND(ISNUMBER(O78),N(O78)&lt;=cfg_VAL_M),G78,0),MAX(0,MIN(F78,cfg_VAL_DATE)-MAX(E78,cfg_Y_START)+1)))</f>
        <v>0</v>
      </c>
      <c r="V78" s="65" t="n">
        <f aca="false">IF(OR($B78="",$E78="",$F78=""),0,MAX(0,MIN($F78,EOMONTH(DATE(cfg_FY,1,1),0))-MAX($E78,DATE(cfg_FY,1,1))+1)*(1-IF($M78="نعم",0,N($J78))))</f>
        <v>0</v>
      </c>
      <c r="W78" s="65" t="n">
        <f aca="false">IF(OR($B78="",$E78="",$F78=""),0,MAX(0,MIN($F78,EOMONTH(DATE(cfg_FY,2,1),0))-MAX($E78,DATE(cfg_FY,2,1))+1)*(1-IF($M78="نعم",0,N($J78))))</f>
        <v>0</v>
      </c>
      <c r="X78" s="65" t="n">
        <f aca="false">IF(OR($B78="",$E78="",$F78=""),0,MAX(0,MIN($F78,EOMONTH(DATE(cfg_FY,3,1),0))-MAX($E78,DATE(cfg_FY,3,1))+1)*(1-IF($M78="نعم",0,N($J78))))</f>
        <v>0</v>
      </c>
      <c r="Y78" s="65" t="n">
        <f aca="false">IF(OR($B78="",$E78="",$F78=""),0,MAX(0,MIN($F78,EOMONTH(DATE(cfg_FY,4,1),0))-MAX($E78,DATE(cfg_FY,4,1))+1)*(1-IF($M78="نعم",0,N($J78))))</f>
        <v>0</v>
      </c>
      <c r="Z78" s="65" t="n">
        <f aca="false">IF(OR($B78="",$E78="",$F78=""),0,MAX(0,MIN($F78,EOMONTH(DATE(cfg_FY,5,1),0))-MAX($E78,DATE(cfg_FY,5,1))+1)*(1-IF($M78="نعم",0,N($J78))))</f>
        <v>0</v>
      </c>
      <c r="AA78" s="65" t="n">
        <f aca="false">IF(OR($B78="",$E78="",$F78=""),0,MAX(0,MIN($F78,EOMONTH(DATE(cfg_FY,6,1),0))-MAX($E78,DATE(cfg_FY,6,1))+1)*(1-IF($M78="نعم",0,N($J78))))</f>
        <v>0</v>
      </c>
      <c r="AB78" s="65" t="n">
        <f aca="false">IF(OR($B78="",$E78="",$F78=""),0,MAX(0,MIN($F78,EOMONTH(DATE(cfg_FY,7,1),0))-MAX($E78,DATE(cfg_FY,7,1))+1)*(1-IF($M78="نعم",0,N($J78))))</f>
        <v>0</v>
      </c>
      <c r="AC78" s="65" t="n">
        <f aca="false">IF(OR($B78="",$E78="",$F78=""),0,MAX(0,MIN($F78,EOMONTH(DATE(cfg_FY,8,1),0))-MAX($E78,DATE(cfg_FY,8,1))+1)*(1-IF($M78="نعم",0,N($J78))))</f>
        <v>0</v>
      </c>
      <c r="AD78" s="65" t="n">
        <f aca="false">IF(OR($B78="",$E78="",$F78=""),0,MAX(0,MIN($F78,EOMONTH(DATE(cfg_FY,9,1),0))-MAX($E78,DATE(cfg_FY,9,1))+1)*(1-IF($M78="نعم",0,N($J78))))</f>
        <v>0</v>
      </c>
      <c r="AE78" s="65" t="n">
        <f aca="false">IF(OR($B78="",$E78="",$F78=""),0,MAX(0,MIN($F78,EOMONTH(DATE(cfg_FY,10,1),0))-MAX($E78,DATE(cfg_FY,10,1))+1)*(1-IF($M78="نعم",0,N($J78))))</f>
        <v>0</v>
      </c>
      <c r="AF78" s="65" t="n">
        <f aca="false">IF(OR($B78="",$E78="",$F78=""),0,MAX(0,MIN($F78,EOMONTH(DATE(cfg_FY,11,1),0))-MAX($E78,DATE(cfg_FY,11,1))+1)*(1-IF($M78="نعم",0,N($J78))))</f>
        <v>0</v>
      </c>
      <c r="AG78" s="65" t="n">
        <f aca="false">IF(OR($B78="",$E78="",$F78=""),0,MAX(0,MIN($F78,EOMONTH(DATE(cfg_FY,12,1),0))-MAX($E78,DATE(cfg_FY,12,1))+1)*(1-IF($M78="نعم",0,N($J78))))</f>
        <v>0</v>
      </c>
      <c r="AH78" s="65" t="n">
        <f aca="false">IF(OR(OR($B78="",$E78="",$F78=""),$L78&lt;&gt;"لا"),0,MAX(0,MIN($F78,EOMONTH(DATE(cfg_FY,1,1),0))-$E78+1))</f>
        <v>0</v>
      </c>
      <c r="AI78" s="65" t="n">
        <f aca="false">IF(OR(OR($B78="",$E78="",$F78=""),$L78&lt;&gt;"لا"),0,MAX(0,MIN($F78,EOMONTH(DATE(cfg_FY,2,1),0))-$E78+1))</f>
        <v>0</v>
      </c>
      <c r="AJ78" s="65" t="n">
        <f aca="false">IF(OR(OR($B78="",$E78="",$F78=""),$L78&lt;&gt;"لا"),0,MAX(0,MIN($F78,EOMONTH(DATE(cfg_FY,3,1),0))-$E78+1))</f>
        <v>0</v>
      </c>
      <c r="AK78" s="65" t="n">
        <f aca="false">IF(OR(OR($B78="",$E78="",$F78=""),$L78&lt;&gt;"لا"),0,MAX(0,MIN($F78,EOMONTH(DATE(cfg_FY,4,1),0))-$E78+1))</f>
        <v>0</v>
      </c>
      <c r="AL78" s="65" t="n">
        <f aca="false">IF(OR(OR($B78="",$E78="",$F78=""),$L78&lt;&gt;"لا"),0,MAX(0,MIN($F78,EOMONTH(DATE(cfg_FY,5,1),0))-$E78+1))</f>
        <v>0</v>
      </c>
      <c r="AM78" s="65" t="n">
        <f aca="false">IF(OR(OR($B78="",$E78="",$F78=""),$L78&lt;&gt;"لا"),0,MAX(0,MIN($F78,EOMONTH(DATE(cfg_FY,6,1),0))-$E78+1))</f>
        <v>0</v>
      </c>
      <c r="AN78" s="65" t="n">
        <f aca="false">IF(OR(OR($B78="",$E78="",$F78=""),$L78&lt;&gt;"لا"),0,MAX(0,MIN($F78,EOMONTH(DATE(cfg_FY,7,1),0))-$E78+1))</f>
        <v>0</v>
      </c>
      <c r="AO78" s="65" t="n">
        <f aca="false">IF(OR(OR($B78="",$E78="",$F78=""),$L78&lt;&gt;"لا"),0,MAX(0,MIN($F78,EOMONTH(DATE(cfg_FY,8,1),0))-$E78+1))</f>
        <v>0</v>
      </c>
      <c r="AP78" s="65" t="n">
        <f aca="false">IF(OR(OR($B78="",$E78="",$F78=""),$L78&lt;&gt;"لا"),0,MAX(0,MIN($F78,EOMONTH(DATE(cfg_FY,9,1),0))-$E78+1))</f>
        <v>0</v>
      </c>
      <c r="AQ78" s="65" t="n">
        <f aca="false">IF(OR(OR($B78="",$E78="",$F78=""),$L78&lt;&gt;"لا"),0,MAX(0,MIN($F78,EOMONTH(DATE(cfg_FY,10,1),0))-$E78+1))</f>
        <v>0</v>
      </c>
      <c r="AR78" s="65" t="n">
        <f aca="false">IF(OR(OR($B78="",$E78="",$F78=""),$L78&lt;&gt;"لا"),0,MAX(0,MIN($F78,EOMONTH(DATE(cfg_FY,11,1),0))-$E78+1))</f>
        <v>0</v>
      </c>
      <c r="AS78" s="65" t="n">
        <f aca="false">IF(OR(OR($B78="",$E78="",$F78=""),$L78&lt;&gt;"لا"),0,MAX(0,MIN($F78,EOMONTH(DATE(cfg_FY,12,1),0))-$E78+1))</f>
        <v>0</v>
      </c>
      <c r="AT78" s="65" t="n">
        <f aca="false">IF(OR(OR($B78="",$E78="",$F78=""),$K78&lt;&gt;"نعم",$M78="نعم"),0,MAX(0,MIN($F78,EOMONTH(DATE(cfg_FY,1,1),0))-MAX($E78,DATE(cfg_FY,1,1))+1))</f>
        <v>0</v>
      </c>
      <c r="AU78" s="65" t="n">
        <f aca="false">IF(OR(OR($B78="",$E78="",$F78=""),$K78&lt;&gt;"نعم",$M78="نعم"),0,MAX(0,MIN($F78,EOMONTH(DATE(cfg_FY,2,1),0))-MAX($E78,DATE(cfg_FY,2,1))+1))</f>
        <v>0</v>
      </c>
      <c r="AV78" s="65" t="n">
        <f aca="false">IF(OR(OR($B78="",$E78="",$F78=""),$K78&lt;&gt;"نعم",$M78="نعم"),0,MAX(0,MIN($F78,EOMONTH(DATE(cfg_FY,3,1),0))-MAX($E78,DATE(cfg_FY,3,1))+1))</f>
        <v>0</v>
      </c>
      <c r="AW78" s="65" t="n">
        <f aca="false">IF(OR(OR($B78="",$E78="",$F78=""),$K78&lt;&gt;"نعم",$M78="نعم"),0,MAX(0,MIN($F78,EOMONTH(DATE(cfg_FY,4,1),0))-MAX($E78,DATE(cfg_FY,4,1))+1))</f>
        <v>0</v>
      </c>
      <c r="AX78" s="65" t="n">
        <f aca="false">IF(OR(OR($B78="",$E78="",$F78=""),$K78&lt;&gt;"نعم",$M78="نعم"),0,MAX(0,MIN($F78,EOMONTH(DATE(cfg_FY,5,1),0))-MAX($E78,DATE(cfg_FY,5,1))+1))</f>
        <v>0</v>
      </c>
      <c r="AY78" s="65" t="n">
        <f aca="false">IF(OR(OR($B78="",$E78="",$F78=""),$K78&lt;&gt;"نعم",$M78="نعم"),0,MAX(0,MIN($F78,EOMONTH(DATE(cfg_FY,6,1),0))-MAX($E78,DATE(cfg_FY,6,1))+1))</f>
        <v>0</v>
      </c>
      <c r="AZ78" s="65" t="n">
        <f aca="false">IF(OR(OR($B78="",$E78="",$F78=""),$K78&lt;&gt;"نعم",$M78="نعم"),0,MAX(0,MIN($F78,EOMONTH(DATE(cfg_FY,7,1),0))-MAX($E78,DATE(cfg_FY,7,1))+1))</f>
        <v>0</v>
      </c>
      <c r="BA78" s="65" t="n">
        <f aca="false">IF(OR(OR($B78="",$E78="",$F78=""),$K78&lt;&gt;"نعم",$M78="نعم"),0,MAX(0,MIN($F78,EOMONTH(DATE(cfg_FY,8,1),0))-MAX($E78,DATE(cfg_FY,8,1))+1))</f>
        <v>0</v>
      </c>
      <c r="BB78" s="65" t="n">
        <f aca="false">IF(OR(OR($B78="",$E78="",$F78=""),$K78&lt;&gt;"نعم",$M78="نعم"),0,MAX(0,MIN($F78,EOMONTH(DATE(cfg_FY,9,1),0))-MAX($E78,DATE(cfg_FY,9,1))+1))</f>
        <v>0</v>
      </c>
      <c r="BC78" s="65" t="n">
        <f aca="false">IF(OR(OR($B78="",$E78="",$F78=""),$K78&lt;&gt;"نعم",$M78="نعم"),0,MAX(0,MIN($F78,EOMONTH(DATE(cfg_FY,10,1),0))-MAX($E78,DATE(cfg_FY,10,1))+1))</f>
        <v>0</v>
      </c>
      <c r="BD78" s="65" t="n">
        <f aca="false">IF(OR(OR($B78="",$E78="",$F78=""),$K78&lt;&gt;"نعم",$M78="نعم"),0,MAX(0,MIN($F78,EOMONTH(DATE(cfg_FY,11,1),0))-MAX($E78,DATE(cfg_FY,11,1))+1))</f>
        <v>0</v>
      </c>
      <c r="BE78" s="65" t="n">
        <f aca="false">IF(OR(OR($B78="",$E78="",$F78=""),$K78&lt;&gt;"نعم",$M78="نعم"),0,MAX(0,MIN($F78,EOMONTH(DATE(cfg_FY,12,1),0))-MAX($E78,DATE(cfg_FY,12,1))+1))</f>
        <v>0</v>
      </c>
    </row>
    <row r="79" customFormat="false" ht="15" hidden="false" customHeight="false" outlineLevel="0" collapsed="false">
      <c r="A79" s="115" t="str">
        <f aca="false">IF(B79="","",ROW()-5)</f>
        <v/>
      </c>
      <c r="B79" s="118"/>
      <c r="C79" s="117" t="str">
        <f aca="false">IF(B79="","",IFERROR(INDEX(الموظفون!$C$6:$C$105,MATCH(B79,الموظفون!$B$6:$B$105,0)),"✖ رقم غير موجود"))</f>
        <v/>
      </c>
      <c r="D79" s="118"/>
      <c r="E79" s="119"/>
      <c r="F79" s="119"/>
      <c r="G79" s="133" t="str">
        <f aca="false">IF(OR($B79="",$E79="",$F79=""),"",MAX(0,F79-E79+1))</f>
        <v/>
      </c>
      <c r="H79" s="134" t="str">
        <f aca="false">IF(D79="","",IFERROR(VLOOKUP(D79,cfg_LT,2,FALSE()),1))</f>
        <v/>
      </c>
      <c r="I79" s="135"/>
      <c r="J79" s="134" t="str">
        <f aca="false">IF(D79="","",IF(I79&lt;&gt;"",I79,H79))</f>
        <v/>
      </c>
      <c r="K79" s="117" t="str">
        <f aca="false">IF(D79="","",IFERROR(VLOOKUP($D79,cfg_LT,3,FALSE()),""))</f>
        <v/>
      </c>
      <c r="L79" s="117" t="str">
        <f aca="false">IF(D79="","",IFERROR(VLOOKUP($D79,cfg_LT,4,FALSE()),""))</f>
        <v/>
      </c>
      <c r="M79" s="117" t="str">
        <f aca="false">IF(D79="","",IFERROR(VLOOKUP($D79,cfg_LT,5,FALSE()),""))</f>
        <v/>
      </c>
      <c r="N79" s="116" t="n">
        <f aca="false">IF(OR(OR($B79="",$E79="",$F79=""),M79&lt;&gt;"نعم"),0,G79*J79*IFERROR(INDEX(الموظفون!$R$6:$R$105,MATCH(B79,الموظفون!$B$6:$B$105,0)),0)/cfg_DAYS_M)</f>
        <v>0</v>
      </c>
      <c r="O79" s="115" t="str">
        <f aca="false">IF(OR(OR($B79="",$E79="",$F79=""),M79&lt;&gt;"نعم"),"",IF(YEAR(E79)=cfg_FY,MONTH(E79),""))</f>
        <v/>
      </c>
      <c r="P79" s="117" t="str">
        <f aca="false">IF(B79="","",IF(OR(D79="",E79="",F79=""),"⚠ أكمل النوع والتواريخ",IF(F79&lt;E79,"✖ النهاية قبل البداية",IF(COUNTIFS($B$6:$B$505,B79,$E$6:$E$505,"&lt;="&amp;F79,$F$6:$F$505,"&gt;="&amp;E79)&gt;1,"⚠ تداخل مع سجل آخر",IF(E79&gt;cfg_VAL_DATE,"⏳ قادمة",IF(F79&lt;cfg_VAL_DATE,"✔ منتهية","✈ جارية في تاريخ التقرير"))))))</f>
        <v/>
      </c>
      <c r="Q79" s="118"/>
      <c r="R79" s="133" t="n">
        <f aca="false">IF(OR(OR($B79="",$E79="",$F79=""),L79&lt;&gt;"لا"),0,MAX(0,MIN(F79,cfg_Y_START-1)-E79+1))</f>
        <v>0</v>
      </c>
      <c r="S79" s="133" t="n">
        <f aca="false">IF(OR(OR($B79="",$E79="",$F79=""),L79&lt;&gt;"لا"),0,MAX(0,MIN(F79,cfg_VAL_DATE)-E79+1))</f>
        <v>0</v>
      </c>
      <c r="T79" s="133" t="n">
        <f aca="false">IF(OR(OR($B79="",$E79="",$F79=""),K79&lt;&gt;"نعم"),0,IF(M79="نعم",IF(AND(ISNUMBER(O79),N(O79)&lt;=cfg_VAL_M),G79,0),MAX(0,MIN(F79,cfg_VAL_DATE)-MAX(E79,cfg_Y_START)+1)))</f>
        <v>0</v>
      </c>
      <c r="V79" s="133" t="n">
        <f aca="false">IF(OR($B79="",$E79="",$F79=""),0,MAX(0,MIN($F79,EOMONTH(DATE(cfg_FY,1,1),0))-MAX($E79,DATE(cfg_FY,1,1))+1)*(1-IF($M79="نعم",0,N($J79))))</f>
        <v>0</v>
      </c>
      <c r="W79" s="133" t="n">
        <f aca="false">IF(OR($B79="",$E79="",$F79=""),0,MAX(0,MIN($F79,EOMONTH(DATE(cfg_FY,2,1),0))-MAX($E79,DATE(cfg_FY,2,1))+1)*(1-IF($M79="نعم",0,N($J79))))</f>
        <v>0</v>
      </c>
      <c r="X79" s="133" t="n">
        <f aca="false">IF(OR($B79="",$E79="",$F79=""),0,MAX(0,MIN($F79,EOMONTH(DATE(cfg_FY,3,1),0))-MAX($E79,DATE(cfg_FY,3,1))+1)*(1-IF($M79="نعم",0,N($J79))))</f>
        <v>0</v>
      </c>
      <c r="Y79" s="133" t="n">
        <f aca="false">IF(OR($B79="",$E79="",$F79=""),0,MAX(0,MIN($F79,EOMONTH(DATE(cfg_FY,4,1),0))-MAX($E79,DATE(cfg_FY,4,1))+1)*(1-IF($M79="نعم",0,N($J79))))</f>
        <v>0</v>
      </c>
      <c r="Z79" s="133" t="n">
        <f aca="false">IF(OR($B79="",$E79="",$F79=""),0,MAX(0,MIN($F79,EOMONTH(DATE(cfg_FY,5,1),0))-MAX($E79,DATE(cfg_FY,5,1))+1)*(1-IF($M79="نعم",0,N($J79))))</f>
        <v>0</v>
      </c>
      <c r="AA79" s="133" t="n">
        <f aca="false">IF(OR($B79="",$E79="",$F79=""),0,MAX(0,MIN($F79,EOMONTH(DATE(cfg_FY,6,1),0))-MAX($E79,DATE(cfg_FY,6,1))+1)*(1-IF($M79="نعم",0,N($J79))))</f>
        <v>0</v>
      </c>
      <c r="AB79" s="133" t="n">
        <f aca="false">IF(OR($B79="",$E79="",$F79=""),0,MAX(0,MIN($F79,EOMONTH(DATE(cfg_FY,7,1),0))-MAX($E79,DATE(cfg_FY,7,1))+1)*(1-IF($M79="نعم",0,N($J79))))</f>
        <v>0</v>
      </c>
      <c r="AC79" s="133" t="n">
        <f aca="false">IF(OR($B79="",$E79="",$F79=""),0,MAX(0,MIN($F79,EOMONTH(DATE(cfg_FY,8,1),0))-MAX($E79,DATE(cfg_FY,8,1))+1)*(1-IF($M79="نعم",0,N($J79))))</f>
        <v>0</v>
      </c>
      <c r="AD79" s="133" t="n">
        <f aca="false">IF(OR($B79="",$E79="",$F79=""),0,MAX(0,MIN($F79,EOMONTH(DATE(cfg_FY,9,1),0))-MAX($E79,DATE(cfg_FY,9,1))+1)*(1-IF($M79="نعم",0,N($J79))))</f>
        <v>0</v>
      </c>
      <c r="AE79" s="133" t="n">
        <f aca="false">IF(OR($B79="",$E79="",$F79=""),0,MAX(0,MIN($F79,EOMONTH(DATE(cfg_FY,10,1),0))-MAX($E79,DATE(cfg_FY,10,1))+1)*(1-IF($M79="نعم",0,N($J79))))</f>
        <v>0</v>
      </c>
      <c r="AF79" s="133" t="n">
        <f aca="false">IF(OR($B79="",$E79="",$F79=""),0,MAX(0,MIN($F79,EOMONTH(DATE(cfg_FY,11,1),0))-MAX($E79,DATE(cfg_FY,11,1))+1)*(1-IF($M79="نعم",0,N($J79))))</f>
        <v>0</v>
      </c>
      <c r="AG79" s="133" t="n">
        <f aca="false">IF(OR($B79="",$E79="",$F79=""),0,MAX(0,MIN($F79,EOMONTH(DATE(cfg_FY,12,1),0))-MAX($E79,DATE(cfg_FY,12,1))+1)*(1-IF($M79="نعم",0,N($J79))))</f>
        <v>0</v>
      </c>
      <c r="AH79" s="133" t="n">
        <f aca="false">IF(OR(OR($B79="",$E79="",$F79=""),$L79&lt;&gt;"لا"),0,MAX(0,MIN($F79,EOMONTH(DATE(cfg_FY,1,1),0))-$E79+1))</f>
        <v>0</v>
      </c>
      <c r="AI79" s="133" t="n">
        <f aca="false">IF(OR(OR($B79="",$E79="",$F79=""),$L79&lt;&gt;"لا"),0,MAX(0,MIN($F79,EOMONTH(DATE(cfg_FY,2,1),0))-$E79+1))</f>
        <v>0</v>
      </c>
      <c r="AJ79" s="133" t="n">
        <f aca="false">IF(OR(OR($B79="",$E79="",$F79=""),$L79&lt;&gt;"لا"),0,MAX(0,MIN($F79,EOMONTH(DATE(cfg_FY,3,1),0))-$E79+1))</f>
        <v>0</v>
      </c>
      <c r="AK79" s="133" t="n">
        <f aca="false">IF(OR(OR($B79="",$E79="",$F79=""),$L79&lt;&gt;"لا"),0,MAX(0,MIN($F79,EOMONTH(DATE(cfg_FY,4,1),0))-$E79+1))</f>
        <v>0</v>
      </c>
      <c r="AL79" s="133" t="n">
        <f aca="false">IF(OR(OR($B79="",$E79="",$F79=""),$L79&lt;&gt;"لا"),0,MAX(0,MIN($F79,EOMONTH(DATE(cfg_FY,5,1),0))-$E79+1))</f>
        <v>0</v>
      </c>
      <c r="AM79" s="133" t="n">
        <f aca="false">IF(OR(OR($B79="",$E79="",$F79=""),$L79&lt;&gt;"لا"),0,MAX(0,MIN($F79,EOMONTH(DATE(cfg_FY,6,1),0))-$E79+1))</f>
        <v>0</v>
      </c>
      <c r="AN79" s="133" t="n">
        <f aca="false">IF(OR(OR($B79="",$E79="",$F79=""),$L79&lt;&gt;"لا"),0,MAX(0,MIN($F79,EOMONTH(DATE(cfg_FY,7,1),0))-$E79+1))</f>
        <v>0</v>
      </c>
      <c r="AO79" s="133" t="n">
        <f aca="false">IF(OR(OR($B79="",$E79="",$F79=""),$L79&lt;&gt;"لا"),0,MAX(0,MIN($F79,EOMONTH(DATE(cfg_FY,8,1),0))-$E79+1))</f>
        <v>0</v>
      </c>
      <c r="AP79" s="133" t="n">
        <f aca="false">IF(OR(OR($B79="",$E79="",$F79=""),$L79&lt;&gt;"لا"),0,MAX(0,MIN($F79,EOMONTH(DATE(cfg_FY,9,1),0))-$E79+1))</f>
        <v>0</v>
      </c>
      <c r="AQ79" s="133" t="n">
        <f aca="false">IF(OR(OR($B79="",$E79="",$F79=""),$L79&lt;&gt;"لا"),0,MAX(0,MIN($F79,EOMONTH(DATE(cfg_FY,10,1),0))-$E79+1))</f>
        <v>0</v>
      </c>
      <c r="AR79" s="133" t="n">
        <f aca="false">IF(OR(OR($B79="",$E79="",$F79=""),$L79&lt;&gt;"لا"),0,MAX(0,MIN($F79,EOMONTH(DATE(cfg_FY,11,1),0))-$E79+1))</f>
        <v>0</v>
      </c>
      <c r="AS79" s="133" t="n">
        <f aca="false">IF(OR(OR($B79="",$E79="",$F79=""),$L79&lt;&gt;"لا"),0,MAX(0,MIN($F79,EOMONTH(DATE(cfg_FY,12,1),0))-$E79+1))</f>
        <v>0</v>
      </c>
      <c r="AT79" s="133" t="n">
        <f aca="false">IF(OR(OR($B79="",$E79="",$F79=""),$K79&lt;&gt;"نعم",$M79="نعم"),0,MAX(0,MIN($F79,EOMONTH(DATE(cfg_FY,1,1),0))-MAX($E79,DATE(cfg_FY,1,1))+1))</f>
        <v>0</v>
      </c>
      <c r="AU79" s="133" t="n">
        <f aca="false">IF(OR(OR($B79="",$E79="",$F79=""),$K79&lt;&gt;"نعم",$M79="نعم"),0,MAX(0,MIN($F79,EOMONTH(DATE(cfg_FY,2,1),0))-MAX($E79,DATE(cfg_FY,2,1))+1))</f>
        <v>0</v>
      </c>
      <c r="AV79" s="133" t="n">
        <f aca="false">IF(OR(OR($B79="",$E79="",$F79=""),$K79&lt;&gt;"نعم",$M79="نعم"),0,MAX(0,MIN($F79,EOMONTH(DATE(cfg_FY,3,1),0))-MAX($E79,DATE(cfg_FY,3,1))+1))</f>
        <v>0</v>
      </c>
      <c r="AW79" s="133" t="n">
        <f aca="false">IF(OR(OR($B79="",$E79="",$F79=""),$K79&lt;&gt;"نعم",$M79="نعم"),0,MAX(0,MIN($F79,EOMONTH(DATE(cfg_FY,4,1),0))-MAX($E79,DATE(cfg_FY,4,1))+1))</f>
        <v>0</v>
      </c>
      <c r="AX79" s="133" t="n">
        <f aca="false">IF(OR(OR($B79="",$E79="",$F79=""),$K79&lt;&gt;"نعم",$M79="نعم"),0,MAX(0,MIN($F79,EOMONTH(DATE(cfg_FY,5,1),0))-MAX($E79,DATE(cfg_FY,5,1))+1))</f>
        <v>0</v>
      </c>
      <c r="AY79" s="133" t="n">
        <f aca="false">IF(OR(OR($B79="",$E79="",$F79=""),$K79&lt;&gt;"نعم",$M79="نعم"),0,MAX(0,MIN($F79,EOMONTH(DATE(cfg_FY,6,1),0))-MAX($E79,DATE(cfg_FY,6,1))+1))</f>
        <v>0</v>
      </c>
      <c r="AZ79" s="133" t="n">
        <f aca="false">IF(OR(OR($B79="",$E79="",$F79=""),$K79&lt;&gt;"نعم",$M79="نعم"),0,MAX(0,MIN($F79,EOMONTH(DATE(cfg_FY,7,1),0))-MAX($E79,DATE(cfg_FY,7,1))+1))</f>
        <v>0</v>
      </c>
      <c r="BA79" s="133" t="n">
        <f aca="false">IF(OR(OR($B79="",$E79="",$F79=""),$K79&lt;&gt;"نعم",$M79="نعم"),0,MAX(0,MIN($F79,EOMONTH(DATE(cfg_FY,8,1),0))-MAX($E79,DATE(cfg_FY,8,1))+1))</f>
        <v>0</v>
      </c>
      <c r="BB79" s="133" t="n">
        <f aca="false">IF(OR(OR($B79="",$E79="",$F79=""),$K79&lt;&gt;"نعم",$M79="نعم"),0,MAX(0,MIN($F79,EOMONTH(DATE(cfg_FY,9,1),0))-MAX($E79,DATE(cfg_FY,9,1))+1))</f>
        <v>0</v>
      </c>
      <c r="BC79" s="133" t="n">
        <f aca="false">IF(OR(OR($B79="",$E79="",$F79=""),$K79&lt;&gt;"نعم",$M79="نعم"),0,MAX(0,MIN($F79,EOMONTH(DATE(cfg_FY,10,1),0))-MAX($E79,DATE(cfg_FY,10,1))+1))</f>
        <v>0</v>
      </c>
      <c r="BD79" s="133" t="n">
        <f aca="false">IF(OR(OR($B79="",$E79="",$F79=""),$K79&lt;&gt;"نعم",$M79="نعم"),0,MAX(0,MIN($F79,EOMONTH(DATE(cfg_FY,11,1),0))-MAX($E79,DATE(cfg_FY,11,1))+1))</f>
        <v>0</v>
      </c>
      <c r="BE79" s="133" t="n">
        <f aca="false">IF(OR(OR($B79="",$E79="",$F79=""),$K79&lt;&gt;"نعم",$M79="نعم"),0,MAX(0,MIN($F79,EOMONTH(DATE(cfg_FY,12,1),0))-MAX($E79,DATE(cfg_FY,12,1))+1))</f>
        <v>0</v>
      </c>
    </row>
    <row r="80" customFormat="false" ht="15" hidden="false" customHeight="false" outlineLevel="0" collapsed="false">
      <c r="A80" s="106" t="str">
        <f aca="false">IF(B80="","",ROW()-5)</f>
        <v/>
      </c>
      <c r="B80" s="118"/>
      <c r="C80" s="114" t="str">
        <f aca="false">IF(B80="","",IFERROR(INDEX(الموظفون!$C$6:$C$105,MATCH(B80,الموظفون!$B$6:$B$105,0)),"✖ رقم غير موجود"))</f>
        <v/>
      </c>
      <c r="D80" s="118"/>
      <c r="E80" s="119"/>
      <c r="F80" s="119"/>
      <c r="G80" s="65" t="str">
        <f aca="false">IF(OR($B80="",$E80="",$F80=""),"",MAX(0,F80-E80+1))</f>
        <v/>
      </c>
      <c r="H80" s="66" t="str">
        <f aca="false">IF(D80="","",IFERROR(VLOOKUP(D80,cfg_LT,2,FALSE()),1))</f>
        <v/>
      </c>
      <c r="I80" s="135"/>
      <c r="J80" s="66" t="str">
        <f aca="false">IF(D80="","",IF(I80&lt;&gt;"",I80,H80))</f>
        <v/>
      </c>
      <c r="K80" s="114" t="str">
        <f aca="false">IF(D80="","",IFERROR(VLOOKUP($D80,cfg_LT,3,FALSE()),""))</f>
        <v/>
      </c>
      <c r="L80" s="114" t="str">
        <f aca="false">IF(D80="","",IFERROR(VLOOKUP($D80,cfg_LT,4,FALSE()),""))</f>
        <v/>
      </c>
      <c r="M80" s="114" t="str">
        <f aca="false">IF(D80="","",IFERROR(VLOOKUP($D80,cfg_LT,5,FALSE()),""))</f>
        <v/>
      </c>
      <c r="N80" s="111" t="n">
        <f aca="false">IF(OR(OR($B80="",$E80="",$F80=""),M80&lt;&gt;"نعم"),0,G80*J80*IFERROR(INDEX(الموظفون!$R$6:$R$105,MATCH(B80,الموظفون!$B$6:$B$105,0)),0)/cfg_DAYS_M)</f>
        <v>0</v>
      </c>
      <c r="O80" s="106" t="str">
        <f aca="false">IF(OR(OR($B80="",$E80="",$F80=""),M80&lt;&gt;"نعم"),"",IF(YEAR(E80)=cfg_FY,MONTH(E80),""))</f>
        <v/>
      </c>
      <c r="P80" s="114" t="str">
        <f aca="false">IF(B80="","",IF(OR(D80="",E80="",F80=""),"⚠ أكمل النوع والتواريخ",IF(F80&lt;E80,"✖ النهاية قبل البداية",IF(COUNTIFS($B$6:$B$505,B80,$E$6:$E$505,"&lt;="&amp;F80,$F$6:$F$505,"&gt;="&amp;E80)&gt;1,"⚠ تداخل مع سجل آخر",IF(E80&gt;cfg_VAL_DATE,"⏳ قادمة",IF(F80&lt;cfg_VAL_DATE,"✔ منتهية","✈ جارية في تاريخ التقرير"))))))</f>
        <v/>
      </c>
      <c r="Q80" s="118"/>
      <c r="R80" s="65" t="n">
        <f aca="false">IF(OR(OR($B80="",$E80="",$F80=""),L80&lt;&gt;"لا"),0,MAX(0,MIN(F80,cfg_Y_START-1)-E80+1))</f>
        <v>0</v>
      </c>
      <c r="S80" s="65" t="n">
        <f aca="false">IF(OR(OR($B80="",$E80="",$F80=""),L80&lt;&gt;"لا"),0,MAX(0,MIN(F80,cfg_VAL_DATE)-E80+1))</f>
        <v>0</v>
      </c>
      <c r="T80" s="65" t="n">
        <f aca="false">IF(OR(OR($B80="",$E80="",$F80=""),K80&lt;&gt;"نعم"),0,IF(M80="نعم",IF(AND(ISNUMBER(O80),N(O80)&lt;=cfg_VAL_M),G80,0),MAX(0,MIN(F80,cfg_VAL_DATE)-MAX(E80,cfg_Y_START)+1)))</f>
        <v>0</v>
      </c>
      <c r="V80" s="65" t="n">
        <f aca="false">IF(OR($B80="",$E80="",$F80=""),0,MAX(0,MIN($F80,EOMONTH(DATE(cfg_FY,1,1),0))-MAX($E80,DATE(cfg_FY,1,1))+1)*(1-IF($M80="نعم",0,N($J80))))</f>
        <v>0</v>
      </c>
      <c r="W80" s="65" t="n">
        <f aca="false">IF(OR($B80="",$E80="",$F80=""),0,MAX(0,MIN($F80,EOMONTH(DATE(cfg_FY,2,1),0))-MAX($E80,DATE(cfg_FY,2,1))+1)*(1-IF($M80="نعم",0,N($J80))))</f>
        <v>0</v>
      </c>
      <c r="X80" s="65" t="n">
        <f aca="false">IF(OR($B80="",$E80="",$F80=""),0,MAX(0,MIN($F80,EOMONTH(DATE(cfg_FY,3,1),0))-MAX($E80,DATE(cfg_FY,3,1))+1)*(1-IF($M80="نعم",0,N($J80))))</f>
        <v>0</v>
      </c>
      <c r="Y80" s="65" t="n">
        <f aca="false">IF(OR($B80="",$E80="",$F80=""),0,MAX(0,MIN($F80,EOMONTH(DATE(cfg_FY,4,1),0))-MAX($E80,DATE(cfg_FY,4,1))+1)*(1-IF($M80="نعم",0,N($J80))))</f>
        <v>0</v>
      </c>
      <c r="Z80" s="65" t="n">
        <f aca="false">IF(OR($B80="",$E80="",$F80=""),0,MAX(0,MIN($F80,EOMONTH(DATE(cfg_FY,5,1),0))-MAX($E80,DATE(cfg_FY,5,1))+1)*(1-IF($M80="نعم",0,N($J80))))</f>
        <v>0</v>
      </c>
      <c r="AA80" s="65" t="n">
        <f aca="false">IF(OR($B80="",$E80="",$F80=""),0,MAX(0,MIN($F80,EOMONTH(DATE(cfg_FY,6,1),0))-MAX($E80,DATE(cfg_FY,6,1))+1)*(1-IF($M80="نعم",0,N($J80))))</f>
        <v>0</v>
      </c>
      <c r="AB80" s="65" t="n">
        <f aca="false">IF(OR($B80="",$E80="",$F80=""),0,MAX(0,MIN($F80,EOMONTH(DATE(cfg_FY,7,1),0))-MAX($E80,DATE(cfg_FY,7,1))+1)*(1-IF($M80="نعم",0,N($J80))))</f>
        <v>0</v>
      </c>
      <c r="AC80" s="65" t="n">
        <f aca="false">IF(OR($B80="",$E80="",$F80=""),0,MAX(0,MIN($F80,EOMONTH(DATE(cfg_FY,8,1),0))-MAX($E80,DATE(cfg_FY,8,1))+1)*(1-IF($M80="نعم",0,N($J80))))</f>
        <v>0</v>
      </c>
      <c r="AD80" s="65" t="n">
        <f aca="false">IF(OR($B80="",$E80="",$F80=""),0,MAX(0,MIN($F80,EOMONTH(DATE(cfg_FY,9,1),0))-MAX($E80,DATE(cfg_FY,9,1))+1)*(1-IF($M80="نعم",0,N($J80))))</f>
        <v>0</v>
      </c>
      <c r="AE80" s="65" t="n">
        <f aca="false">IF(OR($B80="",$E80="",$F80=""),0,MAX(0,MIN($F80,EOMONTH(DATE(cfg_FY,10,1),0))-MAX($E80,DATE(cfg_FY,10,1))+1)*(1-IF($M80="نعم",0,N($J80))))</f>
        <v>0</v>
      </c>
      <c r="AF80" s="65" t="n">
        <f aca="false">IF(OR($B80="",$E80="",$F80=""),0,MAX(0,MIN($F80,EOMONTH(DATE(cfg_FY,11,1),0))-MAX($E80,DATE(cfg_FY,11,1))+1)*(1-IF($M80="نعم",0,N($J80))))</f>
        <v>0</v>
      </c>
      <c r="AG80" s="65" t="n">
        <f aca="false">IF(OR($B80="",$E80="",$F80=""),0,MAX(0,MIN($F80,EOMONTH(DATE(cfg_FY,12,1),0))-MAX($E80,DATE(cfg_FY,12,1))+1)*(1-IF($M80="نعم",0,N($J80))))</f>
        <v>0</v>
      </c>
      <c r="AH80" s="65" t="n">
        <f aca="false">IF(OR(OR($B80="",$E80="",$F80=""),$L80&lt;&gt;"لا"),0,MAX(0,MIN($F80,EOMONTH(DATE(cfg_FY,1,1),0))-$E80+1))</f>
        <v>0</v>
      </c>
      <c r="AI80" s="65" t="n">
        <f aca="false">IF(OR(OR($B80="",$E80="",$F80=""),$L80&lt;&gt;"لا"),0,MAX(0,MIN($F80,EOMONTH(DATE(cfg_FY,2,1),0))-$E80+1))</f>
        <v>0</v>
      </c>
      <c r="AJ80" s="65" t="n">
        <f aca="false">IF(OR(OR($B80="",$E80="",$F80=""),$L80&lt;&gt;"لا"),0,MAX(0,MIN($F80,EOMONTH(DATE(cfg_FY,3,1),0))-$E80+1))</f>
        <v>0</v>
      </c>
      <c r="AK80" s="65" t="n">
        <f aca="false">IF(OR(OR($B80="",$E80="",$F80=""),$L80&lt;&gt;"لا"),0,MAX(0,MIN($F80,EOMONTH(DATE(cfg_FY,4,1),0))-$E80+1))</f>
        <v>0</v>
      </c>
      <c r="AL80" s="65" t="n">
        <f aca="false">IF(OR(OR($B80="",$E80="",$F80=""),$L80&lt;&gt;"لا"),0,MAX(0,MIN($F80,EOMONTH(DATE(cfg_FY,5,1),0))-$E80+1))</f>
        <v>0</v>
      </c>
      <c r="AM80" s="65" t="n">
        <f aca="false">IF(OR(OR($B80="",$E80="",$F80=""),$L80&lt;&gt;"لا"),0,MAX(0,MIN($F80,EOMONTH(DATE(cfg_FY,6,1),0))-$E80+1))</f>
        <v>0</v>
      </c>
      <c r="AN80" s="65" t="n">
        <f aca="false">IF(OR(OR($B80="",$E80="",$F80=""),$L80&lt;&gt;"لا"),0,MAX(0,MIN($F80,EOMONTH(DATE(cfg_FY,7,1),0))-$E80+1))</f>
        <v>0</v>
      </c>
      <c r="AO80" s="65" t="n">
        <f aca="false">IF(OR(OR($B80="",$E80="",$F80=""),$L80&lt;&gt;"لا"),0,MAX(0,MIN($F80,EOMONTH(DATE(cfg_FY,8,1),0))-$E80+1))</f>
        <v>0</v>
      </c>
      <c r="AP80" s="65" t="n">
        <f aca="false">IF(OR(OR($B80="",$E80="",$F80=""),$L80&lt;&gt;"لا"),0,MAX(0,MIN($F80,EOMONTH(DATE(cfg_FY,9,1),0))-$E80+1))</f>
        <v>0</v>
      </c>
      <c r="AQ80" s="65" t="n">
        <f aca="false">IF(OR(OR($B80="",$E80="",$F80=""),$L80&lt;&gt;"لا"),0,MAX(0,MIN($F80,EOMONTH(DATE(cfg_FY,10,1),0))-$E80+1))</f>
        <v>0</v>
      </c>
      <c r="AR80" s="65" t="n">
        <f aca="false">IF(OR(OR($B80="",$E80="",$F80=""),$L80&lt;&gt;"لا"),0,MAX(0,MIN($F80,EOMONTH(DATE(cfg_FY,11,1),0))-$E80+1))</f>
        <v>0</v>
      </c>
      <c r="AS80" s="65" t="n">
        <f aca="false">IF(OR(OR($B80="",$E80="",$F80=""),$L80&lt;&gt;"لا"),0,MAX(0,MIN($F80,EOMONTH(DATE(cfg_FY,12,1),0))-$E80+1))</f>
        <v>0</v>
      </c>
      <c r="AT80" s="65" t="n">
        <f aca="false">IF(OR(OR($B80="",$E80="",$F80=""),$K80&lt;&gt;"نعم",$M80="نعم"),0,MAX(0,MIN($F80,EOMONTH(DATE(cfg_FY,1,1),0))-MAX($E80,DATE(cfg_FY,1,1))+1))</f>
        <v>0</v>
      </c>
      <c r="AU80" s="65" t="n">
        <f aca="false">IF(OR(OR($B80="",$E80="",$F80=""),$K80&lt;&gt;"نعم",$M80="نعم"),0,MAX(0,MIN($F80,EOMONTH(DATE(cfg_FY,2,1),0))-MAX($E80,DATE(cfg_FY,2,1))+1))</f>
        <v>0</v>
      </c>
      <c r="AV80" s="65" t="n">
        <f aca="false">IF(OR(OR($B80="",$E80="",$F80=""),$K80&lt;&gt;"نعم",$M80="نعم"),0,MAX(0,MIN($F80,EOMONTH(DATE(cfg_FY,3,1),0))-MAX($E80,DATE(cfg_FY,3,1))+1))</f>
        <v>0</v>
      </c>
      <c r="AW80" s="65" t="n">
        <f aca="false">IF(OR(OR($B80="",$E80="",$F80=""),$K80&lt;&gt;"نعم",$M80="نعم"),0,MAX(0,MIN($F80,EOMONTH(DATE(cfg_FY,4,1),0))-MAX($E80,DATE(cfg_FY,4,1))+1))</f>
        <v>0</v>
      </c>
      <c r="AX80" s="65" t="n">
        <f aca="false">IF(OR(OR($B80="",$E80="",$F80=""),$K80&lt;&gt;"نعم",$M80="نعم"),0,MAX(0,MIN($F80,EOMONTH(DATE(cfg_FY,5,1),0))-MAX($E80,DATE(cfg_FY,5,1))+1))</f>
        <v>0</v>
      </c>
      <c r="AY80" s="65" t="n">
        <f aca="false">IF(OR(OR($B80="",$E80="",$F80=""),$K80&lt;&gt;"نعم",$M80="نعم"),0,MAX(0,MIN($F80,EOMONTH(DATE(cfg_FY,6,1),0))-MAX($E80,DATE(cfg_FY,6,1))+1))</f>
        <v>0</v>
      </c>
      <c r="AZ80" s="65" t="n">
        <f aca="false">IF(OR(OR($B80="",$E80="",$F80=""),$K80&lt;&gt;"نعم",$M80="نعم"),0,MAX(0,MIN($F80,EOMONTH(DATE(cfg_FY,7,1),0))-MAX($E80,DATE(cfg_FY,7,1))+1))</f>
        <v>0</v>
      </c>
      <c r="BA80" s="65" t="n">
        <f aca="false">IF(OR(OR($B80="",$E80="",$F80=""),$K80&lt;&gt;"نعم",$M80="نعم"),0,MAX(0,MIN($F80,EOMONTH(DATE(cfg_FY,8,1),0))-MAX($E80,DATE(cfg_FY,8,1))+1))</f>
        <v>0</v>
      </c>
      <c r="BB80" s="65" t="n">
        <f aca="false">IF(OR(OR($B80="",$E80="",$F80=""),$K80&lt;&gt;"نعم",$M80="نعم"),0,MAX(0,MIN($F80,EOMONTH(DATE(cfg_FY,9,1),0))-MAX($E80,DATE(cfg_FY,9,1))+1))</f>
        <v>0</v>
      </c>
      <c r="BC80" s="65" t="n">
        <f aca="false">IF(OR(OR($B80="",$E80="",$F80=""),$K80&lt;&gt;"نعم",$M80="نعم"),0,MAX(0,MIN($F80,EOMONTH(DATE(cfg_FY,10,1),0))-MAX($E80,DATE(cfg_FY,10,1))+1))</f>
        <v>0</v>
      </c>
      <c r="BD80" s="65" t="n">
        <f aca="false">IF(OR(OR($B80="",$E80="",$F80=""),$K80&lt;&gt;"نعم",$M80="نعم"),0,MAX(0,MIN($F80,EOMONTH(DATE(cfg_FY,11,1),0))-MAX($E80,DATE(cfg_FY,11,1))+1))</f>
        <v>0</v>
      </c>
      <c r="BE80" s="65" t="n">
        <f aca="false">IF(OR(OR($B80="",$E80="",$F80=""),$K80&lt;&gt;"نعم",$M80="نعم"),0,MAX(0,MIN($F80,EOMONTH(DATE(cfg_FY,12,1),0))-MAX($E80,DATE(cfg_FY,12,1))+1))</f>
        <v>0</v>
      </c>
    </row>
    <row r="81" customFormat="false" ht="15" hidden="false" customHeight="false" outlineLevel="0" collapsed="false">
      <c r="A81" s="115" t="str">
        <f aca="false">IF(B81="","",ROW()-5)</f>
        <v/>
      </c>
      <c r="B81" s="118"/>
      <c r="C81" s="117" t="str">
        <f aca="false">IF(B81="","",IFERROR(INDEX(الموظفون!$C$6:$C$105,MATCH(B81,الموظفون!$B$6:$B$105,0)),"✖ رقم غير موجود"))</f>
        <v/>
      </c>
      <c r="D81" s="118"/>
      <c r="E81" s="119"/>
      <c r="F81" s="119"/>
      <c r="G81" s="133" t="str">
        <f aca="false">IF(OR($B81="",$E81="",$F81=""),"",MAX(0,F81-E81+1))</f>
        <v/>
      </c>
      <c r="H81" s="134" t="str">
        <f aca="false">IF(D81="","",IFERROR(VLOOKUP(D81,cfg_LT,2,FALSE()),1))</f>
        <v/>
      </c>
      <c r="I81" s="135"/>
      <c r="J81" s="134" t="str">
        <f aca="false">IF(D81="","",IF(I81&lt;&gt;"",I81,H81))</f>
        <v/>
      </c>
      <c r="K81" s="117" t="str">
        <f aca="false">IF(D81="","",IFERROR(VLOOKUP($D81,cfg_LT,3,FALSE()),""))</f>
        <v/>
      </c>
      <c r="L81" s="117" t="str">
        <f aca="false">IF(D81="","",IFERROR(VLOOKUP($D81,cfg_LT,4,FALSE()),""))</f>
        <v/>
      </c>
      <c r="M81" s="117" t="str">
        <f aca="false">IF(D81="","",IFERROR(VLOOKUP($D81,cfg_LT,5,FALSE()),""))</f>
        <v/>
      </c>
      <c r="N81" s="116" t="n">
        <f aca="false">IF(OR(OR($B81="",$E81="",$F81=""),M81&lt;&gt;"نعم"),0,G81*J81*IFERROR(INDEX(الموظفون!$R$6:$R$105,MATCH(B81,الموظفون!$B$6:$B$105,0)),0)/cfg_DAYS_M)</f>
        <v>0</v>
      </c>
      <c r="O81" s="115" t="str">
        <f aca="false">IF(OR(OR($B81="",$E81="",$F81=""),M81&lt;&gt;"نعم"),"",IF(YEAR(E81)=cfg_FY,MONTH(E81),""))</f>
        <v/>
      </c>
      <c r="P81" s="117" t="str">
        <f aca="false">IF(B81="","",IF(OR(D81="",E81="",F81=""),"⚠ أكمل النوع والتواريخ",IF(F81&lt;E81,"✖ النهاية قبل البداية",IF(COUNTIFS($B$6:$B$505,B81,$E$6:$E$505,"&lt;="&amp;F81,$F$6:$F$505,"&gt;="&amp;E81)&gt;1,"⚠ تداخل مع سجل آخر",IF(E81&gt;cfg_VAL_DATE,"⏳ قادمة",IF(F81&lt;cfg_VAL_DATE,"✔ منتهية","✈ جارية في تاريخ التقرير"))))))</f>
        <v/>
      </c>
      <c r="Q81" s="118"/>
      <c r="R81" s="133" t="n">
        <f aca="false">IF(OR(OR($B81="",$E81="",$F81=""),L81&lt;&gt;"لا"),0,MAX(0,MIN(F81,cfg_Y_START-1)-E81+1))</f>
        <v>0</v>
      </c>
      <c r="S81" s="133" t="n">
        <f aca="false">IF(OR(OR($B81="",$E81="",$F81=""),L81&lt;&gt;"لا"),0,MAX(0,MIN(F81,cfg_VAL_DATE)-E81+1))</f>
        <v>0</v>
      </c>
      <c r="T81" s="133" t="n">
        <f aca="false">IF(OR(OR($B81="",$E81="",$F81=""),K81&lt;&gt;"نعم"),0,IF(M81="نعم",IF(AND(ISNUMBER(O81),N(O81)&lt;=cfg_VAL_M),G81,0),MAX(0,MIN(F81,cfg_VAL_DATE)-MAX(E81,cfg_Y_START)+1)))</f>
        <v>0</v>
      </c>
      <c r="V81" s="133" t="n">
        <f aca="false">IF(OR($B81="",$E81="",$F81=""),0,MAX(0,MIN($F81,EOMONTH(DATE(cfg_FY,1,1),0))-MAX($E81,DATE(cfg_FY,1,1))+1)*(1-IF($M81="نعم",0,N($J81))))</f>
        <v>0</v>
      </c>
      <c r="W81" s="133" t="n">
        <f aca="false">IF(OR($B81="",$E81="",$F81=""),0,MAX(0,MIN($F81,EOMONTH(DATE(cfg_FY,2,1),0))-MAX($E81,DATE(cfg_FY,2,1))+1)*(1-IF($M81="نعم",0,N($J81))))</f>
        <v>0</v>
      </c>
      <c r="X81" s="133" t="n">
        <f aca="false">IF(OR($B81="",$E81="",$F81=""),0,MAX(0,MIN($F81,EOMONTH(DATE(cfg_FY,3,1),0))-MAX($E81,DATE(cfg_FY,3,1))+1)*(1-IF($M81="نعم",0,N($J81))))</f>
        <v>0</v>
      </c>
      <c r="Y81" s="133" t="n">
        <f aca="false">IF(OR($B81="",$E81="",$F81=""),0,MAX(0,MIN($F81,EOMONTH(DATE(cfg_FY,4,1),0))-MAX($E81,DATE(cfg_FY,4,1))+1)*(1-IF($M81="نعم",0,N($J81))))</f>
        <v>0</v>
      </c>
      <c r="Z81" s="133" t="n">
        <f aca="false">IF(OR($B81="",$E81="",$F81=""),0,MAX(0,MIN($F81,EOMONTH(DATE(cfg_FY,5,1),0))-MAX($E81,DATE(cfg_FY,5,1))+1)*(1-IF($M81="نعم",0,N($J81))))</f>
        <v>0</v>
      </c>
      <c r="AA81" s="133" t="n">
        <f aca="false">IF(OR($B81="",$E81="",$F81=""),0,MAX(0,MIN($F81,EOMONTH(DATE(cfg_FY,6,1),0))-MAX($E81,DATE(cfg_FY,6,1))+1)*(1-IF($M81="نعم",0,N($J81))))</f>
        <v>0</v>
      </c>
      <c r="AB81" s="133" t="n">
        <f aca="false">IF(OR($B81="",$E81="",$F81=""),0,MAX(0,MIN($F81,EOMONTH(DATE(cfg_FY,7,1),0))-MAX($E81,DATE(cfg_FY,7,1))+1)*(1-IF($M81="نعم",0,N($J81))))</f>
        <v>0</v>
      </c>
      <c r="AC81" s="133" t="n">
        <f aca="false">IF(OR($B81="",$E81="",$F81=""),0,MAX(0,MIN($F81,EOMONTH(DATE(cfg_FY,8,1),0))-MAX($E81,DATE(cfg_FY,8,1))+1)*(1-IF($M81="نعم",0,N($J81))))</f>
        <v>0</v>
      </c>
      <c r="AD81" s="133" t="n">
        <f aca="false">IF(OR($B81="",$E81="",$F81=""),0,MAX(0,MIN($F81,EOMONTH(DATE(cfg_FY,9,1),0))-MAX($E81,DATE(cfg_FY,9,1))+1)*(1-IF($M81="نعم",0,N($J81))))</f>
        <v>0</v>
      </c>
      <c r="AE81" s="133" t="n">
        <f aca="false">IF(OR($B81="",$E81="",$F81=""),0,MAX(0,MIN($F81,EOMONTH(DATE(cfg_FY,10,1),0))-MAX($E81,DATE(cfg_FY,10,1))+1)*(1-IF($M81="نعم",0,N($J81))))</f>
        <v>0</v>
      </c>
      <c r="AF81" s="133" t="n">
        <f aca="false">IF(OR($B81="",$E81="",$F81=""),0,MAX(0,MIN($F81,EOMONTH(DATE(cfg_FY,11,1),0))-MAX($E81,DATE(cfg_FY,11,1))+1)*(1-IF($M81="نعم",0,N($J81))))</f>
        <v>0</v>
      </c>
      <c r="AG81" s="133" t="n">
        <f aca="false">IF(OR($B81="",$E81="",$F81=""),0,MAX(0,MIN($F81,EOMONTH(DATE(cfg_FY,12,1),0))-MAX($E81,DATE(cfg_FY,12,1))+1)*(1-IF($M81="نعم",0,N($J81))))</f>
        <v>0</v>
      </c>
      <c r="AH81" s="133" t="n">
        <f aca="false">IF(OR(OR($B81="",$E81="",$F81=""),$L81&lt;&gt;"لا"),0,MAX(0,MIN($F81,EOMONTH(DATE(cfg_FY,1,1),0))-$E81+1))</f>
        <v>0</v>
      </c>
      <c r="AI81" s="133" t="n">
        <f aca="false">IF(OR(OR($B81="",$E81="",$F81=""),$L81&lt;&gt;"لا"),0,MAX(0,MIN($F81,EOMONTH(DATE(cfg_FY,2,1),0))-$E81+1))</f>
        <v>0</v>
      </c>
      <c r="AJ81" s="133" t="n">
        <f aca="false">IF(OR(OR($B81="",$E81="",$F81=""),$L81&lt;&gt;"لا"),0,MAX(0,MIN($F81,EOMONTH(DATE(cfg_FY,3,1),0))-$E81+1))</f>
        <v>0</v>
      </c>
      <c r="AK81" s="133" t="n">
        <f aca="false">IF(OR(OR($B81="",$E81="",$F81=""),$L81&lt;&gt;"لا"),0,MAX(0,MIN($F81,EOMONTH(DATE(cfg_FY,4,1),0))-$E81+1))</f>
        <v>0</v>
      </c>
      <c r="AL81" s="133" t="n">
        <f aca="false">IF(OR(OR($B81="",$E81="",$F81=""),$L81&lt;&gt;"لا"),0,MAX(0,MIN($F81,EOMONTH(DATE(cfg_FY,5,1),0))-$E81+1))</f>
        <v>0</v>
      </c>
      <c r="AM81" s="133" t="n">
        <f aca="false">IF(OR(OR($B81="",$E81="",$F81=""),$L81&lt;&gt;"لا"),0,MAX(0,MIN($F81,EOMONTH(DATE(cfg_FY,6,1),0))-$E81+1))</f>
        <v>0</v>
      </c>
      <c r="AN81" s="133" t="n">
        <f aca="false">IF(OR(OR($B81="",$E81="",$F81=""),$L81&lt;&gt;"لا"),0,MAX(0,MIN($F81,EOMONTH(DATE(cfg_FY,7,1),0))-$E81+1))</f>
        <v>0</v>
      </c>
      <c r="AO81" s="133" t="n">
        <f aca="false">IF(OR(OR($B81="",$E81="",$F81=""),$L81&lt;&gt;"لا"),0,MAX(0,MIN($F81,EOMONTH(DATE(cfg_FY,8,1),0))-$E81+1))</f>
        <v>0</v>
      </c>
      <c r="AP81" s="133" t="n">
        <f aca="false">IF(OR(OR($B81="",$E81="",$F81=""),$L81&lt;&gt;"لا"),0,MAX(0,MIN($F81,EOMONTH(DATE(cfg_FY,9,1),0))-$E81+1))</f>
        <v>0</v>
      </c>
      <c r="AQ81" s="133" t="n">
        <f aca="false">IF(OR(OR($B81="",$E81="",$F81=""),$L81&lt;&gt;"لا"),0,MAX(0,MIN($F81,EOMONTH(DATE(cfg_FY,10,1),0))-$E81+1))</f>
        <v>0</v>
      </c>
      <c r="AR81" s="133" t="n">
        <f aca="false">IF(OR(OR($B81="",$E81="",$F81=""),$L81&lt;&gt;"لا"),0,MAX(0,MIN($F81,EOMONTH(DATE(cfg_FY,11,1),0))-$E81+1))</f>
        <v>0</v>
      </c>
      <c r="AS81" s="133" t="n">
        <f aca="false">IF(OR(OR($B81="",$E81="",$F81=""),$L81&lt;&gt;"لا"),0,MAX(0,MIN($F81,EOMONTH(DATE(cfg_FY,12,1),0))-$E81+1))</f>
        <v>0</v>
      </c>
      <c r="AT81" s="133" t="n">
        <f aca="false">IF(OR(OR($B81="",$E81="",$F81=""),$K81&lt;&gt;"نعم",$M81="نعم"),0,MAX(0,MIN($F81,EOMONTH(DATE(cfg_FY,1,1),0))-MAX($E81,DATE(cfg_FY,1,1))+1))</f>
        <v>0</v>
      </c>
      <c r="AU81" s="133" t="n">
        <f aca="false">IF(OR(OR($B81="",$E81="",$F81=""),$K81&lt;&gt;"نعم",$M81="نعم"),0,MAX(0,MIN($F81,EOMONTH(DATE(cfg_FY,2,1),0))-MAX($E81,DATE(cfg_FY,2,1))+1))</f>
        <v>0</v>
      </c>
      <c r="AV81" s="133" t="n">
        <f aca="false">IF(OR(OR($B81="",$E81="",$F81=""),$K81&lt;&gt;"نعم",$M81="نعم"),0,MAX(0,MIN($F81,EOMONTH(DATE(cfg_FY,3,1),0))-MAX($E81,DATE(cfg_FY,3,1))+1))</f>
        <v>0</v>
      </c>
      <c r="AW81" s="133" t="n">
        <f aca="false">IF(OR(OR($B81="",$E81="",$F81=""),$K81&lt;&gt;"نعم",$M81="نعم"),0,MAX(0,MIN($F81,EOMONTH(DATE(cfg_FY,4,1),0))-MAX($E81,DATE(cfg_FY,4,1))+1))</f>
        <v>0</v>
      </c>
      <c r="AX81" s="133" t="n">
        <f aca="false">IF(OR(OR($B81="",$E81="",$F81=""),$K81&lt;&gt;"نعم",$M81="نعم"),0,MAX(0,MIN($F81,EOMONTH(DATE(cfg_FY,5,1),0))-MAX($E81,DATE(cfg_FY,5,1))+1))</f>
        <v>0</v>
      </c>
      <c r="AY81" s="133" t="n">
        <f aca="false">IF(OR(OR($B81="",$E81="",$F81=""),$K81&lt;&gt;"نعم",$M81="نعم"),0,MAX(0,MIN($F81,EOMONTH(DATE(cfg_FY,6,1),0))-MAX($E81,DATE(cfg_FY,6,1))+1))</f>
        <v>0</v>
      </c>
      <c r="AZ81" s="133" t="n">
        <f aca="false">IF(OR(OR($B81="",$E81="",$F81=""),$K81&lt;&gt;"نعم",$M81="نعم"),0,MAX(0,MIN($F81,EOMONTH(DATE(cfg_FY,7,1),0))-MAX($E81,DATE(cfg_FY,7,1))+1))</f>
        <v>0</v>
      </c>
      <c r="BA81" s="133" t="n">
        <f aca="false">IF(OR(OR($B81="",$E81="",$F81=""),$K81&lt;&gt;"نعم",$M81="نعم"),0,MAX(0,MIN($F81,EOMONTH(DATE(cfg_FY,8,1),0))-MAX($E81,DATE(cfg_FY,8,1))+1))</f>
        <v>0</v>
      </c>
      <c r="BB81" s="133" t="n">
        <f aca="false">IF(OR(OR($B81="",$E81="",$F81=""),$K81&lt;&gt;"نعم",$M81="نعم"),0,MAX(0,MIN($F81,EOMONTH(DATE(cfg_FY,9,1),0))-MAX($E81,DATE(cfg_FY,9,1))+1))</f>
        <v>0</v>
      </c>
      <c r="BC81" s="133" t="n">
        <f aca="false">IF(OR(OR($B81="",$E81="",$F81=""),$K81&lt;&gt;"نعم",$M81="نعم"),0,MAX(0,MIN($F81,EOMONTH(DATE(cfg_FY,10,1),0))-MAX($E81,DATE(cfg_FY,10,1))+1))</f>
        <v>0</v>
      </c>
      <c r="BD81" s="133" t="n">
        <f aca="false">IF(OR(OR($B81="",$E81="",$F81=""),$K81&lt;&gt;"نعم",$M81="نعم"),0,MAX(0,MIN($F81,EOMONTH(DATE(cfg_FY,11,1),0))-MAX($E81,DATE(cfg_FY,11,1))+1))</f>
        <v>0</v>
      </c>
      <c r="BE81" s="133" t="n">
        <f aca="false">IF(OR(OR($B81="",$E81="",$F81=""),$K81&lt;&gt;"نعم",$M81="نعم"),0,MAX(0,MIN($F81,EOMONTH(DATE(cfg_FY,12,1),0))-MAX($E81,DATE(cfg_FY,12,1))+1))</f>
        <v>0</v>
      </c>
    </row>
    <row r="82" customFormat="false" ht="15" hidden="false" customHeight="false" outlineLevel="0" collapsed="false">
      <c r="A82" s="106" t="str">
        <f aca="false">IF(B82="","",ROW()-5)</f>
        <v/>
      </c>
      <c r="B82" s="118"/>
      <c r="C82" s="114" t="str">
        <f aca="false">IF(B82="","",IFERROR(INDEX(الموظفون!$C$6:$C$105,MATCH(B82,الموظفون!$B$6:$B$105,0)),"✖ رقم غير موجود"))</f>
        <v/>
      </c>
      <c r="D82" s="118"/>
      <c r="E82" s="119"/>
      <c r="F82" s="119"/>
      <c r="G82" s="65" t="str">
        <f aca="false">IF(OR($B82="",$E82="",$F82=""),"",MAX(0,F82-E82+1))</f>
        <v/>
      </c>
      <c r="H82" s="66" t="str">
        <f aca="false">IF(D82="","",IFERROR(VLOOKUP(D82,cfg_LT,2,FALSE()),1))</f>
        <v/>
      </c>
      <c r="I82" s="135"/>
      <c r="J82" s="66" t="str">
        <f aca="false">IF(D82="","",IF(I82&lt;&gt;"",I82,H82))</f>
        <v/>
      </c>
      <c r="K82" s="114" t="str">
        <f aca="false">IF(D82="","",IFERROR(VLOOKUP($D82,cfg_LT,3,FALSE()),""))</f>
        <v/>
      </c>
      <c r="L82" s="114" t="str">
        <f aca="false">IF(D82="","",IFERROR(VLOOKUP($D82,cfg_LT,4,FALSE()),""))</f>
        <v/>
      </c>
      <c r="M82" s="114" t="str">
        <f aca="false">IF(D82="","",IFERROR(VLOOKUP($D82,cfg_LT,5,FALSE()),""))</f>
        <v/>
      </c>
      <c r="N82" s="111" t="n">
        <f aca="false">IF(OR(OR($B82="",$E82="",$F82=""),M82&lt;&gt;"نعم"),0,G82*J82*IFERROR(INDEX(الموظفون!$R$6:$R$105,MATCH(B82,الموظفون!$B$6:$B$105,0)),0)/cfg_DAYS_M)</f>
        <v>0</v>
      </c>
      <c r="O82" s="106" t="str">
        <f aca="false">IF(OR(OR($B82="",$E82="",$F82=""),M82&lt;&gt;"نعم"),"",IF(YEAR(E82)=cfg_FY,MONTH(E82),""))</f>
        <v/>
      </c>
      <c r="P82" s="114" t="str">
        <f aca="false">IF(B82="","",IF(OR(D82="",E82="",F82=""),"⚠ أكمل النوع والتواريخ",IF(F82&lt;E82,"✖ النهاية قبل البداية",IF(COUNTIFS($B$6:$B$505,B82,$E$6:$E$505,"&lt;="&amp;F82,$F$6:$F$505,"&gt;="&amp;E82)&gt;1,"⚠ تداخل مع سجل آخر",IF(E82&gt;cfg_VAL_DATE,"⏳ قادمة",IF(F82&lt;cfg_VAL_DATE,"✔ منتهية","✈ جارية في تاريخ التقرير"))))))</f>
        <v/>
      </c>
      <c r="Q82" s="118"/>
      <c r="R82" s="65" t="n">
        <f aca="false">IF(OR(OR($B82="",$E82="",$F82=""),L82&lt;&gt;"لا"),0,MAX(0,MIN(F82,cfg_Y_START-1)-E82+1))</f>
        <v>0</v>
      </c>
      <c r="S82" s="65" t="n">
        <f aca="false">IF(OR(OR($B82="",$E82="",$F82=""),L82&lt;&gt;"لا"),0,MAX(0,MIN(F82,cfg_VAL_DATE)-E82+1))</f>
        <v>0</v>
      </c>
      <c r="T82" s="65" t="n">
        <f aca="false">IF(OR(OR($B82="",$E82="",$F82=""),K82&lt;&gt;"نعم"),0,IF(M82="نعم",IF(AND(ISNUMBER(O82),N(O82)&lt;=cfg_VAL_M),G82,0),MAX(0,MIN(F82,cfg_VAL_DATE)-MAX(E82,cfg_Y_START)+1)))</f>
        <v>0</v>
      </c>
      <c r="V82" s="65" t="n">
        <f aca="false">IF(OR($B82="",$E82="",$F82=""),0,MAX(0,MIN($F82,EOMONTH(DATE(cfg_FY,1,1),0))-MAX($E82,DATE(cfg_FY,1,1))+1)*(1-IF($M82="نعم",0,N($J82))))</f>
        <v>0</v>
      </c>
      <c r="W82" s="65" t="n">
        <f aca="false">IF(OR($B82="",$E82="",$F82=""),0,MAX(0,MIN($F82,EOMONTH(DATE(cfg_FY,2,1),0))-MAX($E82,DATE(cfg_FY,2,1))+1)*(1-IF($M82="نعم",0,N($J82))))</f>
        <v>0</v>
      </c>
      <c r="X82" s="65" t="n">
        <f aca="false">IF(OR($B82="",$E82="",$F82=""),0,MAX(0,MIN($F82,EOMONTH(DATE(cfg_FY,3,1),0))-MAX($E82,DATE(cfg_FY,3,1))+1)*(1-IF($M82="نعم",0,N($J82))))</f>
        <v>0</v>
      </c>
      <c r="Y82" s="65" t="n">
        <f aca="false">IF(OR($B82="",$E82="",$F82=""),0,MAX(0,MIN($F82,EOMONTH(DATE(cfg_FY,4,1),0))-MAX($E82,DATE(cfg_FY,4,1))+1)*(1-IF($M82="نعم",0,N($J82))))</f>
        <v>0</v>
      </c>
      <c r="Z82" s="65" t="n">
        <f aca="false">IF(OR($B82="",$E82="",$F82=""),0,MAX(0,MIN($F82,EOMONTH(DATE(cfg_FY,5,1),0))-MAX($E82,DATE(cfg_FY,5,1))+1)*(1-IF($M82="نعم",0,N($J82))))</f>
        <v>0</v>
      </c>
      <c r="AA82" s="65" t="n">
        <f aca="false">IF(OR($B82="",$E82="",$F82=""),0,MAX(0,MIN($F82,EOMONTH(DATE(cfg_FY,6,1),0))-MAX($E82,DATE(cfg_FY,6,1))+1)*(1-IF($M82="نعم",0,N($J82))))</f>
        <v>0</v>
      </c>
      <c r="AB82" s="65" t="n">
        <f aca="false">IF(OR($B82="",$E82="",$F82=""),0,MAX(0,MIN($F82,EOMONTH(DATE(cfg_FY,7,1),0))-MAX($E82,DATE(cfg_FY,7,1))+1)*(1-IF($M82="نعم",0,N($J82))))</f>
        <v>0</v>
      </c>
      <c r="AC82" s="65" t="n">
        <f aca="false">IF(OR($B82="",$E82="",$F82=""),0,MAX(0,MIN($F82,EOMONTH(DATE(cfg_FY,8,1),0))-MAX($E82,DATE(cfg_FY,8,1))+1)*(1-IF($M82="نعم",0,N($J82))))</f>
        <v>0</v>
      </c>
      <c r="AD82" s="65" t="n">
        <f aca="false">IF(OR($B82="",$E82="",$F82=""),0,MAX(0,MIN($F82,EOMONTH(DATE(cfg_FY,9,1),0))-MAX($E82,DATE(cfg_FY,9,1))+1)*(1-IF($M82="نعم",0,N($J82))))</f>
        <v>0</v>
      </c>
      <c r="AE82" s="65" t="n">
        <f aca="false">IF(OR($B82="",$E82="",$F82=""),0,MAX(0,MIN($F82,EOMONTH(DATE(cfg_FY,10,1),0))-MAX($E82,DATE(cfg_FY,10,1))+1)*(1-IF($M82="نعم",0,N($J82))))</f>
        <v>0</v>
      </c>
      <c r="AF82" s="65" t="n">
        <f aca="false">IF(OR($B82="",$E82="",$F82=""),0,MAX(0,MIN($F82,EOMONTH(DATE(cfg_FY,11,1),0))-MAX($E82,DATE(cfg_FY,11,1))+1)*(1-IF($M82="نعم",0,N($J82))))</f>
        <v>0</v>
      </c>
      <c r="AG82" s="65" t="n">
        <f aca="false">IF(OR($B82="",$E82="",$F82=""),0,MAX(0,MIN($F82,EOMONTH(DATE(cfg_FY,12,1),0))-MAX($E82,DATE(cfg_FY,12,1))+1)*(1-IF($M82="نعم",0,N($J82))))</f>
        <v>0</v>
      </c>
      <c r="AH82" s="65" t="n">
        <f aca="false">IF(OR(OR($B82="",$E82="",$F82=""),$L82&lt;&gt;"لا"),0,MAX(0,MIN($F82,EOMONTH(DATE(cfg_FY,1,1),0))-$E82+1))</f>
        <v>0</v>
      </c>
      <c r="AI82" s="65" t="n">
        <f aca="false">IF(OR(OR($B82="",$E82="",$F82=""),$L82&lt;&gt;"لا"),0,MAX(0,MIN($F82,EOMONTH(DATE(cfg_FY,2,1),0))-$E82+1))</f>
        <v>0</v>
      </c>
      <c r="AJ82" s="65" t="n">
        <f aca="false">IF(OR(OR($B82="",$E82="",$F82=""),$L82&lt;&gt;"لا"),0,MAX(0,MIN($F82,EOMONTH(DATE(cfg_FY,3,1),0))-$E82+1))</f>
        <v>0</v>
      </c>
      <c r="AK82" s="65" t="n">
        <f aca="false">IF(OR(OR($B82="",$E82="",$F82=""),$L82&lt;&gt;"لا"),0,MAX(0,MIN($F82,EOMONTH(DATE(cfg_FY,4,1),0))-$E82+1))</f>
        <v>0</v>
      </c>
      <c r="AL82" s="65" t="n">
        <f aca="false">IF(OR(OR($B82="",$E82="",$F82=""),$L82&lt;&gt;"لا"),0,MAX(0,MIN($F82,EOMONTH(DATE(cfg_FY,5,1),0))-$E82+1))</f>
        <v>0</v>
      </c>
      <c r="AM82" s="65" t="n">
        <f aca="false">IF(OR(OR($B82="",$E82="",$F82=""),$L82&lt;&gt;"لا"),0,MAX(0,MIN($F82,EOMONTH(DATE(cfg_FY,6,1),0))-$E82+1))</f>
        <v>0</v>
      </c>
      <c r="AN82" s="65" t="n">
        <f aca="false">IF(OR(OR($B82="",$E82="",$F82=""),$L82&lt;&gt;"لا"),0,MAX(0,MIN($F82,EOMONTH(DATE(cfg_FY,7,1),0))-$E82+1))</f>
        <v>0</v>
      </c>
      <c r="AO82" s="65" t="n">
        <f aca="false">IF(OR(OR($B82="",$E82="",$F82=""),$L82&lt;&gt;"لا"),0,MAX(0,MIN($F82,EOMONTH(DATE(cfg_FY,8,1),0))-$E82+1))</f>
        <v>0</v>
      </c>
      <c r="AP82" s="65" t="n">
        <f aca="false">IF(OR(OR($B82="",$E82="",$F82=""),$L82&lt;&gt;"لا"),0,MAX(0,MIN($F82,EOMONTH(DATE(cfg_FY,9,1),0))-$E82+1))</f>
        <v>0</v>
      </c>
      <c r="AQ82" s="65" t="n">
        <f aca="false">IF(OR(OR($B82="",$E82="",$F82=""),$L82&lt;&gt;"لا"),0,MAX(0,MIN($F82,EOMONTH(DATE(cfg_FY,10,1),0))-$E82+1))</f>
        <v>0</v>
      </c>
      <c r="AR82" s="65" t="n">
        <f aca="false">IF(OR(OR($B82="",$E82="",$F82=""),$L82&lt;&gt;"لا"),0,MAX(0,MIN($F82,EOMONTH(DATE(cfg_FY,11,1),0))-$E82+1))</f>
        <v>0</v>
      </c>
      <c r="AS82" s="65" t="n">
        <f aca="false">IF(OR(OR($B82="",$E82="",$F82=""),$L82&lt;&gt;"لا"),0,MAX(0,MIN($F82,EOMONTH(DATE(cfg_FY,12,1),0))-$E82+1))</f>
        <v>0</v>
      </c>
      <c r="AT82" s="65" t="n">
        <f aca="false">IF(OR(OR($B82="",$E82="",$F82=""),$K82&lt;&gt;"نعم",$M82="نعم"),0,MAX(0,MIN($F82,EOMONTH(DATE(cfg_FY,1,1),0))-MAX($E82,DATE(cfg_FY,1,1))+1))</f>
        <v>0</v>
      </c>
      <c r="AU82" s="65" t="n">
        <f aca="false">IF(OR(OR($B82="",$E82="",$F82=""),$K82&lt;&gt;"نعم",$M82="نعم"),0,MAX(0,MIN($F82,EOMONTH(DATE(cfg_FY,2,1),0))-MAX($E82,DATE(cfg_FY,2,1))+1))</f>
        <v>0</v>
      </c>
      <c r="AV82" s="65" t="n">
        <f aca="false">IF(OR(OR($B82="",$E82="",$F82=""),$K82&lt;&gt;"نعم",$M82="نعم"),0,MAX(0,MIN($F82,EOMONTH(DATE(cfg_FY,3,1),0))-MAX($E82,DATE(cfg_FY,3,1))+1))</f>
        <v>0</v>
      </c>
      <c r="AW82" s="65" t="n">
        <f aca="false">IF(OR(OR($B82="",$E82="",$F82=""),$K82&lt;&gt;"نعم",$M82="نعم"),0,MAX(0,MIN($F82,EOMONTH(DATE(cfg_FY,4,1),0))-MAX($E82,DATE(cfg_FY,4,1))+1))</f>
        <v>0</v>
      </c>
      <c r="AX82" s="65" t="n">
        <f aca="false">IF(OR(OR($B82="",$E82="",$F82=""),$K82&lt;&gt;"نعم",$M82="نعم"),0,MAX(0,MIN($F82,EOMONTH(DATE(cfg_FY,5,1),0))-MAX($E82,DATE(cfg_FY,5,1))+1))</f>
        <v>0</v>
      </c>
      <c r="AY82" s="65" t="n">
        <f aca="false">IF(OR(OR($B82="",$E82="",$F82=""),$K82&lt;&gt;"نعم",$M82="نعم"),0,MAX(0,MIN($F82,EOMONTH(DATE(cfg_FY,6,1),0))-MAX($E82,DATE(cfg_FY,6,1))+1))</f>
        <v>0</v>
      </c>
      <c r="AZ82" s="65" t="n">
        <f aca="false">IF(OR(OR($B82="",$E82="",$F82=""),$K82&lt;&gt;"نعم",$M82="نعم"),0,MAX(0,MIN($F82,EOMONTH(DATE(cfg_FY,7,1),0))-MAX($E82,DATE(cfg_FY,7,1))+1))</f>
        <v>0</v>
      </c>
      <c r="BA82" s="65" t="n">
        <f aca="false">IF(OR(OR($B82="",$E82="",$F82=""),$K82&lt;&gt;"نعم",$M82="نعم"),0,MAX(0,MIN($F82,EOMONTH(DATE(cfg_FY,8,1),0))-MAX($E82,DATE(cfg_FY,8,1))+1))</f>
        <v>0</v>
      </c>
      <c r="BB82" s="65" t="n">
        <f aca="false">IF(OR(OR($B82="",$E82="",$F82=""),$K82&lt;&gt;"نعم",$M82="نعم"),0,MAX(0,MIN($F82,EOMONTH(DATE(cfg_FY,9,1),0))-MAX($E82,DATE(cfg_FY,9,1))+1))</f>
        <v>0</v>
      </c>
      <c r="BC82" s="65" t="n">
        <f aca="false">IF(OR(OR($B82="",$E82="",$F82=""),$K82&lt;&gt;"نعم",$M82="نعم"),0,MAX(0,MIN($F82,EOMONTH(DATE(cfg_FY,10,1),0))-MAX($E82,DATE(cfg_FY,10,1))+1))</f>
        <v>0</v>
      </c>
      <c r="BD82" s="65" t="n">
        <f aca="false">IF(OR(OR($B82="",$E82="",$F82=""),$K82&lt;&gt;"نعم",$M82="نعم"),0,MAX(0,MIN($F82,EOMONTH(DATE(cfg_FY,11,1),0))-MAX($E82,DATE(cfg_FY,11,1))+1))</f>
        <v>0</v>
      </c>
      <c r="BE82" s="65" t="n">
        <f aca="false">IF(OR(OR($B82="",$E82="",$F82=""),$K82&lt;&gt;"نعم",$M82="نعم"),0,MAX(0,MIN($F82,EOMONTH(DATE(cfg_FY,12,1),0))-MAX($E82,DATE(cfg_FY,12,1))+1))</f>
        <v>0</v>
      </c>
    </row>
    <row r="83" customFormat="false" ht="15" hidden="false" customHeight="false" outlineLevel="0" collapsed="false">
      <c r="A83" s="115" t="str">
        <f aca="false">IF(B83="","",ROW()-5)</f>
        <v/>
      </c>
      <c r="B83" s="118"/>
      <c r="C83" s="117" t="str">
        <f aca="false">IF(B83="","",IFERROR(INDEX(الموظفون!$C$6:$C$105,MATCH(B83,الموظفون!$B$6:$B$105,0)),"✖ رقم غير موجود"))</f>
        <v/>
      </c>
      <c r="D83" s="118"/>
      <c r="E83" s="119"/>
      <c r="F83" s="119"/>
      <c r="G83" s="133" t="str">
        <f aca="false">IF(OR($B83="",$E83="",$F83=""),"",MAX(0,F83-E83+1))</f>
        <v/>
      </c>
      <c r="H83" s="134" t="str">
        <f aca="false">IF(D83="","",IFERROR(VLOOKUP(D83,cfg_LT,2,FALSE()),1))</f>
        <v/>
      </c>
      <c r="I83" s="135"/>
      <c r="J83" s="134" t="str">
        <f aca="false">IF(D83="","",IF(I83&lt;&gt;"",I83,H83))</f>
        <v/>
      </c>
      <c r="K83" s="117" t="str">
        <f aca="false">IF(D83="","",IFERROR(VLOOKUP($D83,cfg_LT,3,FALSE()),""))</f>
        <v/>
      </c>
      <c r="L83" s="117" t="str">
        <f aca="false">IF(D83="","",IFERROR(VLOOKUP($D83,cfg_LT,4,FALSE()),""))</f>
        <v/>
      </c>
      <c r="M83" s="117" t="str">
        <f aca="false">IF(D83="","",IFERROR(VLOOKUP($D83,cfg_LT,5,FALSE()),""))</f>
        <v/>
      </c>
      <c r="N83" s="116" t="n">
        <f aca="false">IF(OR(OR($B83="",$E83="",$F83=""),M83&lt;&gt;"نعم"),0,G83*J83*IFERROR(INDEX(الموظفون!$R$6:$R$105,MATCH(B83,الموظفون!$B$6:$B$105,0)),0)/cfg_DAYS_M)</f>
        <v>0</v>
      </c>
      <c r="O83" s="115" t="str">
        <f aca="false">IF(OR(OR($B83="",$E83="",$F83=""),M83&lt;&gt;"نعم"),"",IF(YEAR(E83)=cfg_FY,MONTH(E83),""))</f>
        <v/>
      </c>
      <c r="P83" s="117" t="str">
        <f aca="false">IF(B83="","",IF(OR(D83="",E83="",F83=""),"⚠ أكمل النوع والتواريخ",IF(F83&lt;E83,"✖ النهاية قبل البداية",IF(COUNTIFS($B$6:$B$505,B83,$E$6:$E$505,"&lt;="&amp;F83,$F$6:$F$505,"&gt;="&amp;E83)&gt;1,"⚠ تداخل مع سجل آخر",IF(E83&gt;cfg_VAL_DATE,"⏳ قادمة",IF(F83&lt;cfg_VAL_DATE,"✔ منتهية","✈ جارية في تاريخ التقرير"))))))</f>
        <v/>
      </c>
      <c r="Q83" s="118"/>
      <c r="R83" s="133" t="n">
        <f aca="false">IF(OR(OR($B83="",$E83="",$F83=""),L83&lt;&gt;"لا"),0,MAX(0,MIN(F83,cfg_Y_START-1)-E83+1))</f>
        <v>0</v>
      </c>
      <c r="S83" s="133" t="n">
        <f aca="false">IF(OR(OR($B83="",$E83="",$F83=""),L83&lt;&gt;"لا"),0,MAX(0,MIN(F83,cfg_VAL_DATE)-E83+1))</f>
        <v>0</v>
      </c>
      <c r="T83" s="133" t="n">
        <f aca="false">IF(OR(OR($B83="",$E83="",$F83=""),K83&lt;&gt;"نعم"),0,IF(M83="نعم",IF(AND(ISNUMBER(O83),N(O83)&lt;=cfg_VAL_M),G83,0),MAX(0,MIN(F83,cfg_VAL_DATE)-MAX(E83,cfg_Y_START)+1)))</f>
        <v>0</v>
      </c>
      <c r="V83" s="133" t="n">
        <f aca="false">IF(OR($B83="",$E83="",$F83=""),0,MAX(0,MIN($F83,EOMONTH(DATE(cfg_FY,1,1),0))-MAX($E83,DATE(cfg_FY,1,1))+1)*(1-IF($M83="نعم",0,N($J83))))</f>
        <v>0</v>
      </c>
      <c r="W83" s="133" t="n">
        <f aca="false">IF(OR($B83="",$E83="",$F83=""),0,MAX(0,MIN($F83,EOMONTH(DATE(cfg_FY,2,1),0))-MAX($E83,DATE(cfg_FY,2,1))+1)*(1-IF($M83="نعم",0,N($J83))))</f>
        <v>0</v>
      </c>
      <c r="X83" s="133" t="n">
        <f aca="false">IF(OR($B83="",$E83="",$F83=""),0,MAX(0,MIN($F83,EOMONTH(DATE(cfg_FY,3,1),0))-MAX($E83,DATE(cfg_FY,3,1))+1)*(1-IF($M83="نعم",0,N($J83))))</f>
        <v>0</v>
      </c>
      <c r="Y83" s="133" t="n">
        <f aca="false">IF(OR($B83="",$E83="",$F83=""),0,MAX(0,MIN($F83,EOMONTH(DATE(cfg_FY,4,1),0))-MAX($E83,DATE(cfg_FY,4,1))+1)*(1-IF($M83="نعم",0,N($J83))))</f>
        <v>0</v>
      </c>
      <c r="Z83" s="133" t="n">
        <f aca="false">IF(OR($B83="",$E83="",$F83=""),0,MAX(0,MIN($F83,EOMONTH(DATE(cfg_FY,5,1),0))-MAX($E83,DATE(cfg_FY,5,1))+1)*(1-IF($M83="نعم",0,N($J83))))</f>
        <v>0</v>
      </c>
      <c r="AA83" s="133" t="n">
        <f aca="false">IF(OR($B83="",$E83="",$F83=""),0,MAX(0,MIN($F83,EOMONTH(DATE(cfg_FY,6,1),0))-MAX($E83,DATE(cfg_FY,6,1))+1)*(1-IF($M83="نعم",0,N($J83))))</f>
        <v>0</v>
      </c>
      <c r="AB83" s="133" t="n">
        <f aca="false">IF(OR($B83="",$E83="",$F83=""),0,MAX(0,MIN($F83,EOMONTH(DATE(cfg_FY,7,1),0))-MAX($E83,DATE(cfg_FY,7,1))+1)*(1-IF($M83="نعم",0,N($J83))))</f>
        <v>0</v>
      </c>
      <c r="AC83" s="133" t="n">
        <f aca="false">IF(OR($B83="",$E83="",$F83=""),0,MAX(0,MIN($F83,EOMONTH(DATE(cfg_FY,8,1),0))-MAX($E83,DATE(cfg_FY,8,1))+1)*(1-IF($M83="نعم",0,N($J83))))</f>
        <v>0</v>
      </c>
      <c r="AD83" s="133" t="n">
        <f aca="false">IF(OR($B83="",$E83="",$F83=""),0,MAX(0,MIN($F83,EOMONTH(DATE(cfg_FY,9,1),0))-MAX($E83,DATE(cfg_FY,9,1))+1)*(1-IF($M83="نعم",0,N($J83))))</f>
        <v>0</v>
      </c>
      <c r="AE83" s="133" t="n">
        <f aca="false">IF(OR($B83="",$E83="",$F83=""),0,MAX(0,MIN($F83,EOMONTH(DATE(cfg_FY,10,1),0))-MAX($E83,DATE(cfg_FY,10,1))+1)*(1-IF($M83="نعم",0,N($J83))))</f>
        <v>0</v>
      </c>
      <c r="AF83" s="133" t="n">
        <f aca="false">IF(OR($B83="",$E83="",$F83=""),0,MAX(0,MIN($F83,EOMONTH(DATE(cfg_FY,11,1),0))-MAX($E83,DATE(cfg_FY,11,1))+1)*(1-IF($M83="نعم",0,N($J83))))</f>
        <v>0</v>
      </c>
      <c r="AG83" s="133" t="n">
        <f aca="false">IF(OR($B83="",$E83="",$F83=""),0,MAX(0,MIN($F83,EOMONTH(DATE(cfg_FY,12,1),0))-MAX($E83,DATE(cfg_FY,12,1))+1)*(1-IF($M83="نعم",0,N($J83))))</f>
        <v>0</v>
      </c>
      <c r="AH83" s="133" t="n">
        <f aca="false">IF(OR(OR($B83="",$E83="",$F83=""),$L83&lt;&gt;"لا"),0,MAX(0,MIN($F83,EOMONTH(DATE(cfg_FY,1,1),0))-$E83+1))</f>
        <v>0</v>
      </c>
      <c r="AI83" s="133" t="n">
        <f aca="false">IF(OR(OR($B83="",$E83="",$F83=""),$L83&lt;&gt;"لا"),0,MAX(0,MIN($F83,EOMONTH(DATE(cfg_FY,2,1),0))-$E83+1))</f>
        <v>0</v>
      </c>
      <c r="AJ83" s="133" t="n">
        <f aca="false">IF(OR(OR($B83="",$E83="",$F83=""),$L83&lt;&gt;"لا"),0,MAX(0,MIN($F83,EOMONTH(DATE(cfg_FY,3,1),0))-$E83+1))</f>
        <v>0</v>
      </c>
      <c r="AK83" s="133" t="n">
        <f aca="false">IF(OR(OR($B83="",$E83="",$F83=""),$L83&lt;&gt;"لا"),0,MAX(0,MIN($F83,EOMONTH(DATE(cfg_FY,4,1),0))-$E83+1))</f>
        <v>0</v>
      </c>
      <c r="AL83" s="133" t="n">
        <f aca="false">IF(OR(OR($B83="",$E83="",$F83=""),$L83&lt;&gt;"لا"),0,MAX(0,MIN($F83,EOMONTH(DATE(cfg_FY,5,1),0))-$E83+1))</f>
        <v>0</v>
      </c>
      <c r="AM83" s="133" t="n">
        <f aca="false">IF(OR(OR($B83="",$E83="",$F83=""),$L83&lt;&gt;"لا"),0,MAX(0,MIN($F83,EOMONTH(DATE(cfg_FY,6,1),0))-$E83+1))</f>
        <v>0</v>
      </c>
      <c r="AN83" s="133" t="n">
        <f aca="false">IF(OR(OR($B83="",$E83="",$F83=""),$L83&lt;&gt;"لا"),0,MAX(0,MIN($F83,EOMONTH(DATE(cfg_FY,7,1),0))-$E83+1))</f>
        <v>0</v>
      </c>
      <c r="AO83" s="133" t="n">
        <f aca="false">IF(OR(OR($B83="",$E83="",$F83=""),$L83&lt;&gt;"لا"),0,MAX(0,MIN($F83,EOMONTH(DATE(cfg_FY,8,1),0))-$E83+1))</f>
        <v>0</v>
      </c>
      <c r="AP83" s="133" t="n">
        <f aca="false">IF(OR(OR($B83="",$E83="",$F83=""),$L83&lt;&gt;"لا"),0,MAX(0,MIN($F83,EOMONTH(DATE(cfg_FY,9,1),0))-$E83+1))</f>
        <v>0</v>
      </c>
      <c r="AQ83" s="133" t="n">
        <f aca="false">IF(OR(OR($B83="",$E83="",$F83=""),$L83&lt;&gt;"لا"),0,MAX(0,MIN($F83,EOMONTH(DATE(cfg_FY,10,1),0))-$E83+1))</f>
        <v>0</v>
      </c>
      <c r="AR83" s="133" t="n">
        <f aca="false">IF(OR(OR($B83="",$E83="",$F83=""),$L83&lt;&gt;"لا"),0,MAX(0,MIN($F83,EOMONTH(DATE(cfg_FY,11,1),0))-$E83+1))</f>
        <v>0</v>
      </c>
      <c r="AS83" s="133" t="n">
        <f aca="false">IF(OR(OR($B83="",$E83="",$F83=""),$L83&lt;&gt;"لا"),0,MAX(0,MIN($F83,EOMONTH(DATE(cfg_FY,12,1),0))-$E83+1))</f>
        <v>0</v>
      </c>
      <c r="AT83" s="133" t="n">
        <f aca="false">IF(OR(OR($B83="",$E83="",$F83=""),$K83&lt;&gt;"نعم",$M83="نعم"),0,MAX(0,MIN($F83,EOMONTH(DATE(cfg_FY,1,1),0))-MAX($E83,DATE(cfg_FY,1,1))+1))</f>
        <v>0</v>
      </c>
      <c r="AU83" s="133" t="n">
        <f aca="false">IF(OR(OR($B83="",$E83="",$F83=""),$K83&lt;&gt;"نعم",$M83="نعم"),0,MAX(0,MIN($F83,EOMONTH(DATE(cfg_FY,2,1),0))-MAX($E83,DATE(cfg_FY,2,1))+1))</f>
        <v>0</v>
      </c>
      <c r="AV83" s="133" t="n">
        <f aca="false">IF(OR(OR($B83="",$E83="",$F83=""),$K83&lt;&gt;"نعم",$M83="نعم"),0,MAX(0,MIN($F83,EOMONTH(DATE(cfg_FY,3,1),0))-MAX($E83,DATE(cfg_FY,3,1))+1))</f>
        <v>0</v>
      </c>
      <c r="AW83" s="133" t="n">
        <f aca="false">IF(OR(OR($B83="",$E83="",$F83=""),$K83&lt;&gt;"نعم",$M83="نعم"),0,MAX(0,MIN($F83,EOMONTH(DATE(cfg_FY,4,1),0))-MAX($E83,DATE(cfg_FY,4,1))+1))</f>
        <v>0</v>
      </c>
      <c r="AX83" s="133" t="n">
        <f aca="false">IF(OR(OR($B83="",$E83="",$F83=""),$K83&lt;&gt;"نعم",$M83="نعم"),0,MAX(0,MIN($F83,EOMONTH(DATE(cfg_FY,5,1),0))-MAX($E83,DATE(cfg_FY,5,1))+1))</f>
        <v>0</v>
      </c>
      <c r="AY83" s="133" t="n">
        <f aca="false">IF(OR(OR($B83="",$E83="",$F83=""),$K83&lt;&gt;"نعم",$M83="نعم"),0,MAX(0,MIN($F83,EOMONTH(DATE(cfg_FY,6,1),0))-MAX($E83,DATE(cfg_FY,6,1))+1))</f>
        <v>0</v>
      </c>
      <c r="AZ83" s="133" t="n">
        <f aca="false">IF(OR(OR($B83="",$E83="",$F83=""),$K83&lt;&gt;"نعم",$M83="نعم"),0,MAX(0,MIN($F83,EOMONTH(DATE(cfg_FY,7,1),0))-MAX($E83,DATE(cfg_FY,7,1))+1))</f>
        <v>0</v>
      </c>
      <c r="BA83" s="133" t="n">
        <f aca="false">IF(OR(OR($B83="",$E83="",$F83=""),$K83&lt;&gt;"نعم",$M83="نعم"),0,MAX(0,MIN($F83,EOMONTH(DATE(cfg_FY,8,1),0))-MAX($E83,DATE(cfg_FY,8,1))+1))</f>
        <v>0</v>
      </c>
      <c r="BB83" s="133" t="n">
        <f aca="false">IF(OR(OR($B83="",$E83="",$F83=""),$K83&lt;&gt;"نعم",$M83="نعم"),0,MAX(0,MIN($F83,EOMONTH(DATE(cfg_FY,9,1),0))-MAX($E83,DATE(cfg_FY,9,1))+1))</f>
        <v>0</v>
      </c>
      <c r="BC83" s="133" t="n">
        <f aca="false">IF(OR(OR($B83="",$E83="",$F83=""),$K83&lt;&gt;"نعم",$M83="نعم"),0,MAX(0,MIN($F83,EOMONTH(DATE(cfg_FY,10,1),0))-MAX($E83,DATE(cfg_FY,10,1))+1))</f>
        <v>0</v>
      </c>
      <c r="BD83" s="133" t="n">
        <f aca="false">IF(OR(OR($B83="",$E83="",$F83=""),$K83&lt;&gt;"نعم",$M83="نعم"),0,MAX(0,MIN($F83,EOMONTH(DATE(cfg_FY,11,1),0))-MAX($E83,DATE(cfg_FY,11,1))+1))</f>
        <v>0</v>
      </c>
      <c r="BE83" s="133" t="n">
        <f aca="false">IF(OR(OR($B83="",$E83="",$F83=""),$K83&lt;&gt;"نعم",$M83="نعم"),0,MAX(0,MIN($F83,EOMONTH(DATE(cfg_FY,12,1),0))-MAX($E83,DATE(cfg_FY,12,1))+1))</f>
        <v>0</v>
      </c>
    </row>
    <row r="84" customFormat="false" ht="15" hidden="false" customHeight="false" outlineLevel="0" collapsed="false">
      <c r="A84" s="106" t="str">
        <f aca="false">IF(B84="","",ROW()-5)</f>
        <v/>
      </c>
      <c r="B84" s="118"/>
      <c r="C84" s="114" t="str">
        <f aca="false">IF(B84="","",IFERROR(INDEX(الموظفون!$C$6:$C$105,MATCH(B84,الموظفون!$B$6:$B$105,0)),"✖ رقم غير موجود"))</f>
        <v/>
      </c>
      <c r="D84" s="118"/>
      <c r="E84" s="119"/>
      <c r="F84" s="119"/>
      <c r="G84" s="65" t="str">
        <f aca="false">IF(OR($B84="",$E84="",$F84=""),"",MAX(0,F84-E84+1))</f>
        <v/>
      </c>
      <c r="H84" s="66" t="str">
        <f aca="false">IF(D84="","",IFERROR(VLOOKUP(D84,cfg_LT,2,FALSE()),1))</f>
        <v/>
      </c>
      <c r="I84" s="135"/>
      <c r="J84" s="66" t="str">
        <f aca="false">IF(D84="","",IF(I84&lt;&gt;"",I84,H84))</f>
        <v/>
      </c>
      <c r="K84" s="114" t="str">
        <f aca="false">IF(D84="","",IFERROR(VLOOKUP($D84,cfg_LT,3,FALSE()),""))</f>
        <v/>
      </c>
      <c r="L84" s="114" t="str">
        <f aca="false">IF(D84="","",IFERROR(VLOOKUP($D84,cfg_LT,4,FALSE()),""))</f>
        <v/>
      </c>
      <c r="M84" s="114" t="str">
        <f aca="false">IF(D84="","",IFERROR(VLOOKUP($D84,cfg_LT,5,FALSE()),""))</f>
        <v/>
      </c>
      <c r="N84" s="111" t="n">
        <f aca="false">IF(OR(OR($B84="",$E84="",$F84=""),M84&lt;&gt;"نعم"),0,G84*J84*IFERROR(INDEX(الموظفون!$R$6:$R$105,MATCH(B84,الموظفون!$B$6:$B$105,0)),0)/cfg_DAYS_M)</f>
        <v>0</v>
      </c>
      <c r="O84" s="106" t="str">
        <f aca="false">IF(OR(OR($B84="",$E84="",$F84=""),M84&lt;&gt;"نعم"),"",IF(YEAR(E84)=cfg_FY,MONTH(E84),""))</f>
        <v/>
      </c>
      <c r="P84" s="114" t="str">
        <f aca="false">IF(B84="","",IF(OR(D84="",E84="",F84=""),"⚠ أكمل النوع والتواريخ",IF(F84&lt;E84,"✖ النهاية قبل البداية",IF(COUNTIFS($B$6:$B$505,B84,$E$6:$E$505,"&lt;="&amp;F84,$F$6:$F$505,"&gt;="&amp;E84)&gt;1,"⚠ تداخل مع سجل آخر",IF(E84&gt;cfg_VAL_DATE,"⏳ قادمة",IF(F84&lt;cfg_VAL_DATE,"✔ منتهية","✈ جارية في تاريخ التقرير"))))))</f>
        <v/>
      </c>
      <c r="Q84" s="118"/>
      <c r="R84" s="65" t="n">
        <f aca="false">IF(OR(OR($B84="",$E84="",$F84=""),L84&lt;&gt;"لا"),0,MAX(0,MIN(F84,cfg_Y_START-1)-E84+1))</f>
        <v>0</v>
      </c>
      <c r="S84" s="65" t="n">
        <f aca="false">IF(OR(OR($B84="",$E84="",$F84=""),L84&lt;&gt;"لا"),0,MAX(0,MIN(F84,cfg_VAL_DATE)-E84+1))</f>
        <v>0</v>
      </c>
      <c r="T84" s="65" t="n">
        <f aca="false">IF(OR(OR($B84="",$E84="",$F84=""),K84&lt;&gt;"نعم"),0,IF(M84="نعم",IF(AND(ISNUMBER(O84),N(O84)&lt;=cfg_VAL_M),G84,0),MAX(0,MIN(F84,cfg_VAL_DATE)-MAX(E84,cfg_Y_START)+1)))</f>
        <v>0</v>
      </c>
      <c r="V84" s="65" t="n">
        <f aca="false">IF(OR($B84="",$E84="",$F84=""),0,MAX(0,MIN($F84,EOMONTH(DATE(cfg_FY,1,1),0))-MAX($E84,DATE(cfg_FY,1,1))+1)*(1-IF($M84="نعم",0,N($J84))))</f>
        <v>0</v>
      </c>
      <c r="W84" s="65" t="n">
        <f aca="false">IF(OR($B84="",$E84="",$F84=""),0,MAX(0,MIN($F84,EOMONTH(DATE(cfg_FY,2,1),0))-MAX($E84,DATE(cfg_FY,2,1))+1)*(1-IF($M84="نعم",0,N($J84))))</f>
        <v>0</v>
      </c>
      <c r="X84" s="65" t="n">
        <f aca="false">IF(OR($B84="",$E84="",$F84=""),0,MAX(0,MIN($F84,EOMONTH(DATE(cfg_FY,3,1),0))-MAX($E84,DATE(cfg_FY,3,1))+1)*(1-IF($M84="نعم",0,N($J84))))</f>
        <v>0</v>
      </c>
      <c r="Y84" s="65" t="n">
        <f aca="false">IF(OR($B84="",$E84="",$F84=""),0,MAX(0,MIN($F84,EOMONTH(DATE(cfg_FY,4,1),0))-MAX($E84,DATE(cfg_FY,4,1))+1)*(1-IF($M84="نعم",0,N($J84))))</f>
        <v>0</v>
      </c>
      <c r="Z84" s="65" t="n">
        <f aca="false">IF(OR($B84="",$E84="",$F84=""),0,MAX(0,MIN($F84,EOMONTH(DATE(cfg_FY,5,1),0))-MAX($E84,DATE(cfg_FY,5,1))+1)*(1-IF($M84="نعم",0,N($J84))))</f>
        <v>0</v>
      </c>
      <c r="AA84" s="65" t="n">
        <f aca="false">IF(OR($B84="",$E84="",$F84=""),0,MAX(0,MIN($F84,EOMONTH(DATE(cfg_FY,6,1),0))-MAX($E84,DATE(cfg_FY,6,1))+1)*(1-IF($M84="نعم",0,N($J84))))</f>
        <v>0</v>
      </c>
      <c r="AB84" s="65" t="n">
        <f aca="false">IF(OR($B84="",$E84="",$F84=""),0,MAX(0,MIN($F84,EOMONTH(DATE(cfg_FY,7,1),0))-MAX($E84,DATE(cfg_FY,7,1))+1)*(1-IF($M84="نعم",0,N($J84))))</f>
        <v>0</v>
      </c>
      <c r="AC84" s="65" t="n">
        <f aca="false">IF(OR($B84="",$E84="",$F84=""),0,MAX(0,MIN($F84,EOMONTH(DATE(cfg_FY,8,1),0))-MAX($E84,DATE(cfg_FY,8,1))+1)*(1-IF($M84="نعم",0,N($J84))))</f>
        <v>0</v>
      </c>
      <c r="AD84" s="65" t="n">
        <f aca="false">IF(OR($B84="",$E84="",$F84=""),0,MAX(0,MIN($F84,EOMONTH(DATE(cfg_FY,9,1),0))-MAX($E84,DATE(cfg_FY,9,1))+1)*(1-IF($M84="نعم",0,N($J84))))</f>
        <v>0</v>
      </c>
      <c r="AE84" s="65" t="n">
        <f aca="false">IF(OR($B84="",$E84="",$F84=""),0,MAX(0,MIN($F84,EOMONTH(DATE(cfg_FY,10,1),0))-MAX($E84,DATE(cfg_FY,10,1))+1)*(1-IF($M84="نعم",0,N($J84))))</f>
        <v>0</v>
      </c>
      <c r="AF84" s="65" t="n">
        <f aca="false">IF(OR($B84="",$E84="",$F84=""),0,MAX(0,MIN($F84,EOMONTH(DATE(cfg_FY,11,1),0))-MAX($E84,DATE(cfg_FY,11,1))+1)*(1-IF($M84="نعم",0,N($J84))))</f>
        <v>0</v>
      </c>
      <c r="AG84" s="65" t="n">
        <f aca="false">IF(OR($B84="",$E84="",$F84=""),0,MAX(0,MIN($F84,EOMONTH(DATE(cfg_FY,12,1),0))-MAX($E84,DATE(cfg_FY,12,1))+1)*(1-IF($M84="نعم",0,N($J84))))</f>
        <v>0</v>
      </c>
      <c r="AH84" s="65" t="n">
        <f aca="false">IF(OR(OR($B84="",$E84="",$F84=""),$L84&lt;&gt;"لا"),0,MAX(0,MIN($F84,EOMONTH(DATE(cfg_FY,1,1),0))-$E84+1))</f>
        <v>0</v>
      </c>
      <c r="AI84" s="65" t="n">
        <f aca="false">IF(OR(OR($B84="",$E84="",$F84=""),$L84&lt;&gt;"لا"),0,MAX(0,MIN($F84,EOMONTH(DATE(cfg_FY,2,1),0))-$E84+1))</f>
        <v>0</v>
      </c>
      <c r="AJ84" s="65" t="n">
        <f aca="false">IF(OR(OR($B84="",$E84="",$F84=""),$L84&lt;&gt;"لا"),0,MAX(0,MIN($F84,EOMONTH(DATE(cfg_FY,3,1),0))-$E84+1))</f>
        <v>0</v>
      </c>
      <c r="AK84" s="65" t="n">
        <f aca="false">IF(OR(OR($B84="",$E84="",$F84=""),$L84&lt;&gt;"لا"),0,MAX(0,MIN($F84,EOMONTH(DATE(cfg_FY,4,1),0))-$E84+1))</f>
        <v>0</v>
      </c>
      <c r="AL84" s="65" t="n">
        <f aca="false">IF(OR(OR($B84="",$E84="",$F84=""),$L84&lt;&gt;"لا"),0,MAX(0,MIN($F84,EOMONTH(DATE(cfg_FY,5,1),0))-$E84+1))</f>
        <v>0</v>
      </c>
      <c r="AM84" s="65" t="n">
        <f aca="false">IF(OR(OR($B84="",$E84="",$F84=""),$L84&lt;&gt;"لا"),0,MAX(0,MIN($F84,EOMONTH(DATE(cfg_FY,6,1),0))-$E84+1))</f>
        <v>0</v>
      </c>
      <c r="AN84" s="65" t="n">
        <f aca="false">IF(OR(OR($B84="",$E84="",$F84=""),$L84&lt;&gt;"لا"),0,MAX(0,MIN($F84,EOMONTH(DATE(cfg_FY,7,1),0))-$E84+1))</f>
        <v>0</v>
      </c>
      <c r="AO84" s="65" t="n">
        <f aca="false">IF(OR(OR($B84="",$E84="",$F84=""),$L84&lt;&gt;"لا"),0,MAX(0,MIN($F84,EOMONTH(DATE(cfg_FY,8,1),0))-$E84+1))</f>
        <v>0</v>
      </c>
      <c r="AP84" s="65" t="n">
        <f aca="false">IF(OR(OR($B84="",$E84="",$F84=""),$L84&lt;&gt;"لا"),0,MAX(0,MIN($F84,EOMONTH(DATE(cfg_FY,9,1),0))-$E84+1))</f>
        <v>0</v>
      </c>
      <c r="AQ84" s="65" t="n">
        <f aca="false">IF(OR(OR($B84="",$E84="",$F84=""),$L84&lt;&gt;"لا"),0,MAX(0,MIN($F84,EOMONTH(DATE(cfg_FY,10,1),0))-$E84+1))</f>
        <v>0</v>
      </c>
      <c r="AR84" s="65" t="n">
        <f aca="false">IF(OR(OR($B84="",$E84="",$F84=""),$L84&lt;&gt;"لا"),0,MAX(0,MIN($F84,EOMONTH(DATE(cfg_FY,11,1),0))-$E84+1))</f>
        <v>0</v>
      </c>
      <c r="AS84" s="65" t="n">
        <f aca="false">IF(OR(OR($B84="",$E84="",$F84=""),$L84&lt;&gt;"لا"),0,MAX(0,MIN($F84,EOMONTH(DATE(cfg_FY,12,1),0))-$E84+1))</f>
        <v>0</v>
      </c>
      <c r="AT84" s="65" t="n">
        <f aca="false">IF(OR(OR($B84="",$E84="",$F84=""),$K84&lt;&gt;"نعم",$M84="نعم"),0,MAX(0,MIN($F84,EOMONTH(DATE(cfg_FY,1,1),0))-MAX($E84,DATE(cfg_FY,1,1))+1))</f>
        <v>0</v>
      </c>
      <c r="AU84" s="65" t="n">
        <f aca="false">IF(OR(OR($B84="",$E84="",$F84=""),$K84&lt;&gt;"نعم",$M84="نعم"),0,MAX(0,MIN($F84,EOMONTH(DATE(cfg_FY,2,1),0))-MAX($E84,DATE(cfg_FY,2,1))+1))</f>
        <v>0</v>
      </c>
      <c r="AV84" s="65" t="n">
        <f aca="false">IF(OR(OR($B84="",$E84="",$F84=""),$K84&lt;&gt;"نعم",$M84="نعم"),0,MAX(0,MIN($F84,EOMONTH(DATE(cfg_FY,3,1),0))-MAX($E84,DATE(cfg_FY,3,1))+1))</f>
        <v>0</v>
      </c>
      <c r="AW84" s="65" t="n">
        <f aca="false">IF(OR(OR($B84="",$E84="",$F84=""),$K84&lt;&gt;"نعم",$M84="نعم"),0,MAX(0,MIN($F84,EOMONTH(DATE(cfg_FY,4,1),0))-MAX($E84,DATE(cfg_FY,4,1))+1))</f>
        <v>0</v>
      </c>
      <c r="AX84" s="65" t="n">
        <f aca="false">IF(OR(OR($B84="",$E84="",$F84=""),$K84&lt;&gt;"نعم",$M84="نعم"),0,MAX(0,MIN($F84,EOMONTH(DATE(cfg_FY,5,1),0))-MAX($E84,DATE(cfg_FY,5,1))+1))</f>
        <v>0</v>
      </c>
      <c r="AY84" s="65" t="n">
        <f aca="false">IF(OR(OR($B84="",$E84="",$F84=""),$K84&lt;&gt;"نعم",$M84="نعم"),0,MAX(0,MIN($F84,EOMONTH(DATE(cfg_FY,6,1),0))-MAX($E84,DATE(cfg_FY,6,1))+1))</f>
        <v>0</v>
      </c>
      <c r="AZ84" s="65" t="n">
        <f aca="false">IF(OR(OR($B84="",$E84="",$F84=""),$K84&lt;&gt;"نعم",$M84="نعم"),0,MAX(0,MIN($F84,EOMONTH(DATE(cfg_FY,7,1),0))-MAX($E84,DATE(cfg_FY,7,1))+1))</f>
        <v>0</v>
      </c>
      <c r="BA84" s="65" t="n">
        <f aca="false">IF(OR(OR($B84="",$E84="",$F84=""),$K84&lt;&gt;"نعم",$M84="نعم"),0,MAX(0,MIN($F84,EOMONTH(DATE(cfg_FY,8,1),0))-MAX($E84,DATE(cfg_FY,8,1))+1))</f>
        <v>0</v>
      </c>
      <c r="BB84" s="65" t="n">
        <f aca="false">IF(OR(OR($B84="",$E84="",$F84=""),$K84&lt;&gt;"نعم",$M84="نعم"),0,MAX(0,MIN($F84,EOMONTH(DATE(cfg_FY,9,1),0))-MAX($E84,DATE(cfg_FY,9,1))+1))</f>
        <v>0</v>
      </c>
      <c r="BC84" s="65" t="n">
        <f aca="false">IF(OR(OR($B84="",$E84="",$F84=""),$K84&lt;&gt;"نعم",$M84="نعم"),0,MAX(0,MIN($F84,EOMONTH(DATE(cfg_FY,10,1),0))-MAX($E84,DATE(cfg_FY,10,1))+1))</f>
        <v>0</v>
      </c>
      <c r="BD84" s="65" t="n">
        <f aca="false">IF(OR(OR($B84="",$E84="",$F84=""),$K84&lt;&gt;"نعم",$M84="نعم"),0,MAX(0,MIN($F84,EOMONTH(DATE(cfg_FY,11,1),0))-MAX($E84,DATE(cfg_FY,11,1))+1))</f>
        <v>0</v>
      </c>
      <c r="BE84" s="65" t="n">
        <f aca="false">IF(OR(OR($B84="",$E84="",$F84=""),$K84&lt;&gt;"نعم",$M84="نعم"),0,MAX(0,MIN($F84,EOMONTH(DATE(cfg_FY,12,1),0))-MAX($E84,DATE(cfg_FY,12,1))+1))</f>
        <v>0</v>
      </c>
    </row>
    <row r="85" customFormat="false" ht="15" hidden="false" customHeight="false" outlineLevel="0" collapsed="false">
      <c r="A85" s="115" t="str">
        <f aca="false">IF(B85="","",ROW()-5)</f>
        <v/>
      </c>
      <c r="B85" s="118"/>
      <c r="C85" s="117" t="str">
        <f aca="false">IF(B85="","",IFERROR(INDEX(الموظفون!$C$6:$C$105,MATCH(B85,الموظفون!$B$6:$B$105,0)),"✖ رقم غير موجود"))</f>
        <v/>
      </c>
      <c r="D85" s="118"/>
      <c r="E85" s="119"/>
      <c r="F85" s="119"/>
      <c r="G85" s="133" t="str">
        <f aca="false">IF(OR($B85="",$E85="",$F85=""),"",MAX(0,F85-E85+1))</f>
        <v/>
      </c>
      <c r="H85" s="134" t="str">
        <f aca="false">IF(D85="","",IFERROR(VLOOKUP(D85,cfg_LT,2,FALSE()),1))</f>
        <v/>
      </c>
      <c r="I85" s="135"/>
      <c r="J85" s="134" t="str">
        <f aca="false">IF(D85="","",IF(I85&lt;&gt;"",I85,H85))</f>
        <v/>
      </c>
      <c r="K85" s="117" t="str">
        <f aca="false">IF(D85="","",IFERROR(VLOOKUP($D85,cfg_LT,3,FALSE()),""))</f>
        <v/>
      </c>
      <c r="L85" s="117" t="str">
        <f aca="false">IF(D85="","",IFERROR(VLOOKUP($D85,cfg_LT,4,FALSE()),""))</f>
        <v/>
      </c>
      <c r="M85" s="117" t="str">
        <f aca="false">IF(D85="","",IFERROR(VLOOKUP($D85,cfg_LT,5,FALSE()),""))</f>
        <v/>
      </c>
      <c r="N85" s="116" t="n">
        <f aca="false">IF(OR(OR($B85="",$E85="",$F85=""),M85&lt;&gt;"نعم"),0,G85*J85*IFERROR(INDEX(الموظفون!$R$6:$R$105,MATCH(B85,الموظفون!$B$6:$B$105,0)),0)/cfg_DAYS_M)</f>
        <v>0</v>
      </c>
      <c r="O85" s="115" t="str">
        <f aca="false">IF(OR(OR($B85="",$E85="",$F85=""),M85&lt;&gt;"نعم"),"",IF(YEAR(E85)=cfg_FY,MONTH(E85),""))</f>
        <v/>
      </c>
      <c r="P85" s="117" t="str">
        <f aca="false">IF(B85="","",IF(OR(D85="",E85="",F85=""),"⚠ أكمل النوع والتواريخ",IF(F85&lt;E85,"✖ النهاية قبل البداية",IF(COUNTIFS($B$6:$B$505,B85,$E$6:$E$505,"&lt;="&amp;F85,$F$6:$F$505,"&gt;="&amp;E85)&gt;1,"⚠ تداخل مع سجل آخر",IF(E85&gt;cfg_VAL_DATE,"⏳ قادمة",IF(F85&lt;cfg_VAL_DATE,"✔ منتهية","✈ جارية في تاريخ التقرير"))))))</f>
        <v/>
      </c>
      <c r="Q85" s="118"/>
      <c r="R85" s="133" t="n">
        <f aca="false">IF(OR(OR($B85="",$E85="",$F85=""),L85&lt;&gt;"لا"),0,MAX(0,MIN(F85,cfg_Y_START-1)-E85+1))</f>
        <v>0</v>
      </c>
      <c r="S85" s="133" t="n">
        <f aca="false">IF(OR(OR($B85="",$E85="",$F85=""),L85&lt;&gt;"لا"),0,MAX(0,MIN(F85,cfg_VAL_DATE)-E85+1))</f>
        <v>0</v>
      </c>
      <c r="T85" s="133" t="n">
        <f aca="false">IF(OR(OR($B85="",$E85="",$F85=""),K85&lt;&gt;"نعم"),0,IF(M85="نعم",IF(AND(ISNUMBER(O85),N(O85)&lt;=cfg_VAL_M),G85,0),MAX(0,MIN(F85,cfg_VAL_DATE)-MAX(E85,cfg_Y_START)+1)))</f>
        <v>0</v>
      </c>
      <c r="V85" s="133" t="n">
        <f aca="false">IF(OR($B85="",$E85="",$F85=""),0,MAX(0,MIN($F85,EOMONTH(DATE(cfg_FY,1,1),0))-MAX($E85,DATE(cfg_FY,1,1))+1)*(1-IF($M85="نعم",0,N($J85))))</f>
        <v>0</v>
      </c>
      <c r="W85" s="133" t="n">
        <f aca="false">IF(OR($B85="",$E85="",$F85=""),0,MAX(0,MIN($F85,EOMONTH(DATE(cfg_FY,2,1),0))-MAX($E85,DATE(cfg_FY,2,1))+1)*(1-IF($M85="نعم",0,N($J85))))</f>
        <v>0</v>
      </c>
      <c r="X85" s="133" t="n">
        <f aca="false">IF(OR($B85="",$E85="",$F85=""),0,MAX(0,MIN($F85,EOMONTH(DATE(cfg_FY,3,1),0))-MAX($E85,DATE(cfg_FY,3,1))+1)*(1-IF($M85="نعم",0,N($J85))))</f>
        <v>0</v>
      </c>
      <c r="Y85" s="133" t="n">
        <f aca="false">IF(OR($B85="",$E85="",$F85=""),0,MAX(0,MIN($F85,EOMONTH(DATE(cfg_FY,4,1),0))-MAX($E85,DATE(cfg_FY,4,1))+1)*(1-IF($M85="نعم",0,N($J85))))</f>
        <v>0</v>
      </c>
      <c r="Z85" s="133" t="n">
        <f aca="false">IF(OR($B85="",$E85="",$F85=""),0,MAX(0,MIN($F85,EOMONTH(DATE(cfg_FY,5,1),0))-MAX($E85,DATE(cfg_FY,5,1))+1)*(1-IF($M85="نعم",0,N($J85))))</f>
        <v>0</v>
      </c>
      <c r="AA85" s="133" t="n">
        <f aca="false">IF(OR($B85="",$E85="",$F85=""),0,MAX(0,MIN($F85,EOMONTH(DATE(cfg_FY,6,1),0))-MAX($E85,DATE(cfg_FY,6,1))+1)*(1-IF($M85="نعم",0,N($J85))))</f>
        <v>0</v>
      </c>
      <c r="AB85" s="133" t="n">
        <f aca="false">IF(OR($B85="",$E85="",$F85=""),0,MAX(0,MIN($F85,EOMONTH(DATE(cfg_FY,7,1),0))-MAX($E85,DATE(cfg_FY,7,1))+1)*(1-IF($M85="نعم",0,N($J85))))</f>
        <v>0</v>
      </c>
      <c r="AC85" s="133" t="n">
        <f aca="false">IF(OR($B85="",$E85="",$F85=""),0,MAX(0,MIN($F85,EOMONTH(DATE(cfg_FY,8,1),0))-MAX($E85,DATE(cfg_FY,8,1))+1)*(1-IF($M85="نعم",0,N($J85))))</f>
        <v>0</v>
      </c>
      <c r="AD85" s="133" t="n">
        <f aca="false">IF(OR($B85="",$E85="",$F85=""),0,MAX(0,MIN($F85,EOMONTH(DATE(cfg_FY,9,1),0))-MAX($E85,DATE(cfg_FY,9,1))+1)*(1-IF($M85="نعم",0,N($J85))))</f>
        <v>0</v>
      </c>
      <c r="AE85" s="133" t="n">
        <f aca="false">IF(OR($B85="",$E85="",$F85=""),0,MAX(0,MIN($F85,EOMONTH(DATE(cfg_FY,10,1),0))-MAX($E85,DATE(cfg_FY,10,1))+1)*(1-IF($M85="نعم",0,N($J85))))</f>
        <v>0</v>
      </c>
      <c r="AF85" s="133" t="n">
        <f aca="false">IF(OR($B85="",$E85="",$F85=""),0,MAX(0,MIN($F85,EOMONTH(DATE(cfg_FY,11,1),0))-MAX($E85,DATE(cfg_FY,11,1))+1)*(1-IF($M85="نعم",0,N($J85))))</f>
        <v>0</v>
      </c>
      <c r="AG85" s="133" t="n">
        <f aca="false">IF(OR($B85="",$E85="",$F85=""),0,MAX(0,MIN($F85,EOMONTH(DATE(cfg_FY,12,1),0))-MAX($E85,DATE(cfg_FY,12,1))+1)*(1-IF($M85="نعم",0,N($J85))))</f>
        <v>0</v>
      </c>
      <c r="AH85" s="133" t="n">
        <f aca="false">IF(OR(OR($B85="",$E85="",$F85=""),$L85&lt;&gt;"لا"),0,MAX(0,MIN($F85,EOMONTH(DATE(cfg_FY,1,1),0))-$E85+1))</f>
        <v>0</v>
      </c>
      <c r="AI85" s="133" t="n">
        <f aca="false">IF(OR(OR($B85="",$E85="",$F85=""),$L85&lt;&gt;"لا"),0,MAX(0,MIN($F85,EOMONTH(DATE(cfg_FY,2,1),0))-$E85+1))</f>
        <v>0</v>
      </c>
      <c r="AJ85" s="133" t="n">
        <f aca="false">IF(OR(OR($B85="",$E85="",$F85=""),$L85&lt;&gt;"لا"),0,MAX(0,MIN($F85,EOMONTH(DATE(cfg_FY,3,1),0))-$E85+1))</f>
        <v>0</v>
      </c>
      <c r="AK85" s="133" t="n">
        <f aca="false">IF(OR(OR($B85="",$E85="",$F85=""),$L85&lt;&gt;"لا"),0,MAX(0,MIN($F85,EOMONTH(DATE(cfg_FY,4,1),0))-$E85+1))</f>
        <v>0</v>
      </c>
      <c r="AL85" s="133" t="n">
        <f aca="false">IF(OR(OR($B85="",$E85="",$F85=""),$L85&lt;&gt;"لا"),0,MAX(0,MIN($F85,EOMONTH(DATE(cfg_FY,5,1),0))-$E85+1))</f>
        <v>0</v>
      </c>
      <c r="AM85" s="133" t="n">
        <f aca="false">IF(OR(OR($B85="",$E85="",$F85=""),$L85&lt;&gt;"لا"),0,MAX(0,MIN($F85,EOMONTH(DATE(cfg_FY,6,1),0))-$E85+1))</f>
        <v>0</v>
      </c>
      <c r="AN85" s="133" t="n">
        <f aca="false">IF(OR(OR($B85="",$E85="",$F85=""),$L85&lt;&gt;"لا"),0,MAX(0,MIN($F85,EOMONTH(DATE(cfg_FY,7,1),0))-$E85+1))</f>
        <v>0</v>
      </c>
      <c r="AO85" s="133" t="n">
        <f aca="false">IF(OR(OR($B85="",$E85="",$F85=""),$L85&lt;&gt;"لا"),0,MAX(0,MIN($F85,EOMONTH(DATE(cfg_FY,8,1),0))-$E85+1))</f>
        <v>0</v>
      </c>
      <c r="AP85" s="133" t="n">
        <f aca="false">IF(OR(OR($B85="",$E85="",$F85=""),$L85&lt;&gt;"لا"),0,MAX(0,MIN($F85,EOMONTH(DATE(cfg_FY,9,1),0))-$E85+1))</f>
        <v>0</v>
      </c>
      <c r="AQ85" s="133" t="n">
        <f aca="false">IF(OR(OR($B85="",$E85="",$F85=""),$L85&lt;&gt;"لا"),0,MAX(0,MIN($F85,EOMONTH(DATE(cfg_FY,10,1),0))-$E85+1))</f>
        <v>0</v>
      </c>
      <c r="AR85" s="133" t="n">
        <f aca="false">IF(OR(OR($B85="",$E85="",$F85=""),$L85&lt;&gt;"لا"),0,MAX(0,MIN($F85,EOMONTH(DATE(cfg_FY,11,1),0))-$E85+1))</f>
        <v>0</v>
      </c>
      <c r="AS85" s="133" t="n">
        <f aca="false">IF(OR(OR($B85="",$E85="",$F85=""),$L85&lt;&gt;"لا"),0,MAX(0,MIN($F85,EOMONTH(DATE(cfg_FY,12,1),0))-$E85+1))</f>
        <v>0</v>
      </c>
      <c r="AT85" s="133" t="n">
        <f aca="false">IF(OR(OR($B85="",$E85="",$F85=""),$K85&lt;&gt;"نعم",$M85="نعم"),0,MAX(0,MIN($F85,EOMONTH(DATE(cfg_FY,1,1),0))-MAX($E85,DATE(cfg_FY,1,1))+1))</f>
        <v>0</v>
      </c>
      <c r="AU85" s="133" t="n">
        <f aca="false">IF(OR(OR($B85="",$E85="",$F85=""),$K85&lt;&gt;"نعم",$M85="نعم"),0,MAX(0,MIN($F85,EOMONTH(DATE(cfg_FY,2,1),0))-MAX($E85,DATE(cfg_FY,2,1))+1))</f>
        <v>0</v>
      </c>
      <c r="AV85" s="133" t="n">
        <f aca="false">IF(OR(OR($B85="",$E85="",$F85=""),$K85&lt;&gt;"نعم",$M85="نعم"),0,MAX(0,MIN($F85,EOMONTH(DATE(cfg_FY,3,1),0))-MAX($E85,DATE(cfg_FY,3,1))+1))</f>
        <v>0</v>
      </c>
      <c r="AW85" s="133" t="n">
        <f aca="false">IF(OR(OR($B85="",$E85="",$F85=""),$K85&lt;&gt;"نعم",$M85="نعم"),0,MAX(0,MIN($F85,EOMONTH(DATE(cfg_FY,4,1),0))-MAX($E85,DATE(cfg_FY,4,1))+1))</f>
        <v>0</v>
      </c>
      <c r="AX85" s="133" t="n">
        <f aca="false">IF(OR(OR($B85="",$E85="",$F85=""),$K85&lt;&gt;"نعم",$M85="نعم"),0,MAX(0,MIN($F85,EOMONTH(DATE(cfg_FY,5,1),0))-MAX($E85,DATE(cfg_FY,5,1))+1))</f>
        <v>0</v>
      </c>
      <c r="AY85" s="133" t="n">
        <f aca="false">IF(OR(OR($B85="",$E85="",$F85=""),$K85&lt;&gt;"نعم",$M85="نعم"),0,MAX(0,MIN($F85,EOMONTH(DATE(cfg_FY,6,1),0))-MAX($E85,DATE(cfg_FY,6,1))+1))</f>
        <v>0</v>
      </c>
      <c r="AZ85" s="133" t="n">
        <f aca="false">IF(OR(OR($B85="",$E85="",$F85=""),$K85&lt;&gt;"نعم",$M85="نعم"),0,MAX(0,MIN($F85,EOMONTH(DATE(cfg_FY,7,1),0))-MAX($E85,DATE(cfg_FY,7,1))+1))</f>
        <v>0</v>
      </c>
      <c r="BA85" s="133" t="n">
        <f aca="false">IF(OR(OR($B85="",$E85="",$F85=""),$K85&lt;&gt;"نعم",$M85="نعم"),0,MAX(0,MIN($F85,EOMONTH(DATE(cfg_FY,8,1),0))-MAX($E85,DATE(cfg_FY,8,1))+1))</f>
        <v>0</v>
      </c>
      <c r="BB85" s="133" t="n">
        <f aca="false">IF(OR(OR($B85="",$E85="",$F85=""),$K85&lt;&gt;"نعم",$M85="نعم"),0,MAX(0,MIN($F85,EOMONTH(DATE(cfg_FY,9,1),0))-MAX($E85,DATE(cfg_FY,9,1))+1))</f>
        <v>0</v>
      </c>
      <c r="BC85" s="133" t="n">
        <f aca="false">IF(OR(OR($B85="",$E85="",$F85=""),$K85&lt;&gt;"نعم",$M85="نعم"),0,MAX(0,MIN($F85,EOMONTH(DATE(cfg_FY,10,1),0))-MAX($E85,DATE(cfg_FY,10,1))+1))</f>
        <v>0</v>
      </c>
      <c r="BD85" s="133" t="n">
        <f aca="false">IF(OR(OR($B85="",$E85="",$F85=""),$K85&lt;&gt;"نعم",$M85="نعم"),0,MAX(0,MIN($F85,EOMONTH(DATE(cfg_FY,11,1),0))-MAX($E85,DATE(cfg_FY,11,1))+1))</f>
        <v>0</v>
      </c>
      <c r="BE85" s="133" t="n">
        <f aca="false">IF(OR(OR($B85="",$E85="",$F85=""),$K85&lt;&gt;"نعم",$M85="نعم"),0,MAX(0,MIN($F85,EOMONTH(DATE(cfg_FY,12,1),0))-MAX($E85,DATE(cfg_FY,12,1))+1))</f>
        <v>0</v>
      </c>
    </row>
    <row r="86" customFormat="false" ht="15" hidden="false" customHeight="false" outlineLevel="0" collapsed="false">
      <c r="A86" s="106" t="str">
        <f aca="false">IF(B86="","",ROW()-5)</f>
        <v/>
      </c>
      <c r="B86" s="118"/>
      <c r="C86" s="114" t="str">
        <f aca="false">IF(B86="","",IFERROR(INDEX(الموظفون!$C$6:$C$105,MATCH(B86,الموظفون!$B$6:$B$105,0)),"✖ رقم غير موجود"))</f>
        <v/>
      </c>
      <c r="D86" s="118"/>
      <c r="E86" s="119"/>
      <c r="F86" s="119"/>
      <c r="G86" s="65" t="str">
        <f aca="false">IF(OR($B86="",$E86="",$F86=""),"",MAX(0,F86-E86+1))</f>
        <v/>
      </c>
      <c r="H86" s="66" t="str">
        <f aca="false">IF(D86="","",IFERROR(VLOOKUP(D86,cfg_LT,2,FALSE()),1))</f>
        <v/>
      </c>
      <c r="I86" s="135"/>
      <c r="J86" s="66" t="str">
        <f aca="false">IF(D86="","",IF(I86&lt;&gt;"",I86,H86))</f>
        <v/>
      </c>
      <c r="K86" s="114" t="str">
        <f aca="false">IF(D86="","",IFERROR(VLOOKUP($D86,cfg_LT,3,FALSE()),""))</f>
        <v/>
      </c>
      <c r="L86" s="114" t="str">
        <f aca="false">IF(D86="","",IFERROR(VLOOKUP($D86,cfg_LT,4,FALSE()),""))</f>
        <v/>
      </c>
      <c r="M86" s="114" t="str">
        <f aca="false">IF(D86="","",IFERROR(VLOOKUP($D86,cfg_LT,5,FALSE()),""))</f>
        <v/>
      </c>
      <c r="N86" s="111" t="n">
        <f aca="false">IF(OR(OR($B86="",$E86="",$F86=""),M86&lt;&gt;"نعم"),0,G86*J86*IFERROR(INDEX(الموظفون!$R$6:$R$105,MATCH(B86,الموظفون!$B$6:$B$105,0)),0)/cfg_DAYS_M)</f>
        <v>0</v>
      </c>
      <c r="O86" s="106" t="str">
        <f aca="false">IF(OR(OR($B86="",$E86="",$F86=""),M86&lt;&gt;"نعم"),"",IF(YEAR(E86)=cfg_FY,MONTH(E86),""))</f>
        <v/>
      </c>
      <c r="P86" s="114" t="str">
        <f aca="false">IF(B86="","",IF(OR(D86="",E86="",F86=""),"⚠ أكمل النوع والتواريخ",IF(F86&lt;E86,"✖ النهاية قبل البداية",IF(COUNTIFS($B$6:$B$505,B86,$E$6:$E$505,"&lt;="&amp;F86,$F$6:$F$505,"&gt;="&amp;E86)&gt;1,"⚠ تداخل مع سجل آخر",IF(E86&gt;cfg_VAL_DATE,"⏳ قادمة",IF(F86&lt;cfg_VAL_DATE,"✔ منتهية","✈ جارية في تاريخ التقرير"))))))</f>
        <v/>
      </c>
      <c r="Q86" s="118"/>
      <c r="R86" s="65" t="n">
        <f aca="false">IF(OR(OR($B86="",$E86="",$F86=""),L86&lt;&gt;"لا"),0,MAX(0,MIN(F86,cfg_Y_START-1)-E86+1))</f>
        <v>0</v>
      </c>
      <c r="S86" s="65" t="n">
        <f aca="false">IF(OR(OR($B86="",$E86="",$F86=""),L86&lt;&gt;"لا"),0,MAX(0,MIN(F86,cfg_VAL_DATE)-E86+1))</f>
        <v>0</v>
      </c>
      <c r="T86" s="65" t="n">
        <f aca="false">IF(OR(OR($B86="",$E86="",$F86=""),K86&lt;&gt;"نعم"),0,IF(M86="نعم",IF(AND(ISNUMBER(O86),N(O86)&lt;=cfg_VAL_M),G86,0),MAX(0,MIN(F86,cfg_VAL_DATE)-MAX(E86,cfg_Y_START)+1)))</f>
        <v>0</v>
      </c>
      <c r="V86" s="65" t="n">
        <f aca="false">IF(OR($B86="",$E86="",$F86=""),0,MAX(0,MIN($F86,EOMONTH(DATE(cfg_FY,1,1),0))-MAX($E86,DATE(cfg_FY,1,1))+1)*(1-IF($M86="نعم",0,N($J86))))</f>
        <v>0</v>
      </c>
      <c r="W86" s="65" t="n">
        <f aca="false">IF(OR($B86="",$E86="",$F86=""),0,MAX(0,MIN($F86,EOMONTH(DATE(cfg_FY,2,1),0))-MAX($E86,DATE(cfg_FY,2,1))+1)*(1-IF($M86="نعم",0,N($J86))))</f>
        <v>0</v>
      </c>
      <c r="X86" s="65" t="n">
        <f aca="false">IF(OR($B86="",$E86="",$F86=""),0,MAX(0,MIN($F86,EOMONTH(DATE(cfg_FY,3,1),0))-MAX($E86,DATE(cfg_FY,3,1))+1)*(1-IF($M86="نعم",0,N($J86))))</f>
        <v>0</v>
      </c>
      <c r="Y86" s="65" t="n">
        <f aca="false">IF(OR($B86="",$E86="",$F86=""),0,MAX(0,MIN($F86,EOMONTH(DATE(cfg_FY,4,1),0))-MAX($E86,DATE(cfg_FY,4,1))+1)*(1-IF($M86="نعم",0,N($J86))))</f>
        <v>0</v>
      </c>
      <c r="Z86" s="65" t="n">
        <f aca="false">IF(OR($B86="",$E86="",$F86=""),0,MAX(0,MIN($F86,EOMONTH(DATE(cfg_FY,5,1),0))-MAX($E86,DATE(cfg_FY,5,1))+1)*(1-IF($M86="نعم",0,N($J86))))</f>
        <v>0</v>
      </c>
      <c r="AA86" s="65" t="n">
        <f aca="false">IF(OR($B86="",$E86="",$F86=""),0,MAX(0,MIN($F86,EOMONTH(DATE(cfg_FY,6,1),0))-MAX($E86,DATE(cfg_FY,6,1))+1)*(1-IF($M86="نعم",0,N($J86))))</f>
        <v>0</v>
      </c>
      <c r="AB86" s="65" t="n">
        <f aca="false">IF(OR($B86="",$E86="",$F86=""),0,MAX(0,MIN($F86,EOMONTH(DATE(cfg_FY,7,1),0))-MAX($E86,DATE(cfg_FY,7,1))+1)*(1-IF($M86="نعم",0,N($J86))))</f>
        <v>0</v>
      </c>
      <c r="AC86" s="65" t="n">
        <f aca="false">IF(OR($B86="",$E86="",$F86=""),0,MAX(0,MIN($F86,EOMONTH(DATE(cfg_FY,8,1),0))-MAX($E86,DATE(cfg_FY,8,1))+1)*(1-IF($M86="نعم",0,N($J86))))</f>
        <v>0</v>
      </c>
      <c r="AD86" s="65" t="n">
        <f aca="false">IF(OR($B86="",$E86="",$F86=""),0,MAX(0,MIN($F86,EOMONTH(DATE(cfg_FY,9,1),0))-MAX($E86,DATE(cfg_FY,9,1))+1)*(1-IF($M86="نعم",0,N($J86))))</f>
        <v>0</v>
      </c>
      <c r="AE86" s="65" t="n">
        <f aca="false">IF(OR($B86="",$E86="",$F86=""),0,MAX(0,MIN($F86,EOMONTH(DATE(cfg_FY,10,1),0))-MAX($E86,DATE(cfg_FY,10,1))+1)*(1-IF($M86="نعم",0,N($J86))))</f>
        <v>0</v>
      </c>
      <c r="AF86" s="65" t="n">
        <f aca="false">IF(OR($B86="",$E86="",$F86=""),0,MAX(0,MIN($F86,EOMONTH(DATE(cfg_FY,11,1),0))-MAX($E86,DATE(cfg_FY,11,1))+1)*(1-IF($M86="نعم",0,N($J86))))</f>
        <v>0</v>
      </c>
      <c r="AG86" s="65" t="n">
        <f aca="false">IF(OR($B86="",$E86="",$F86=""),0,MAX(0,MIN($F86,EOMONTH(DATE(cfg_FY,12,1),0))-MAX($E86,DATE(cfg_FY,12,1))+1)*(1-IF($M86="نعم",0,N($J86))))</f>
        <v>0</v>
      </c>
      <c r="AH86" s="65" t="n">
        <f aca="false">IF(OR(OR($B86="",$E86="",$F86=""),$L86&lt;&gt;"لا"),0,MAX(0,MIN($F86,EOMONTH(DATE(cfg_FY,1,1),0))-$E86+1))</f>
        <v>0</v>
      </c>
      <c r="AI86" s="65" t="n">
        <f aca="false">IF(OR(OR($B86="",$E86="",$F86=""),$L86&lt;&gt;"لا"),0,MAX(0,MIN($F86,EOMONTH(DATE(cfg_FY,2,1),0))-$E86+1))</f>
        <v>0</v>
      </c>
      <c r="AJ86" s="65" t="n">
        <f aca="false">IF(OR(OR($B86="",$E86="",$F86=""),$L86&lt;&gt;"لا"),0,MAX(0,MIN($F86,EOMONTH(DATE(cfg_FY,3,1),0))-$E86+1))</f>
        <v>0</v>
      </c>
      <c r="AK86" s="65" t="n">
        <f aca="false">IF(OR(OR($B86="",$E86="",$F86=""),$L86&lt;&gt;"لا"),0,MAX(0,MIN($F86,EOMONTH(DATE(cfg_FY,4,1),0))-$E86+1))</f>
        <v>0</v>
      </c>
      <c r="AL86" s="65" t="n">
        <f aca="false">IF(OR(OR($B86="",$E86="",$F86=""),$L86&lt;&gt;"لا"),0,MAX(0,MIN($F86,EOMONTH(DATE(cfg_FY,5,1),0))-$E86+1))</f>
        <v>0</v>
      </c>
      <c r="AM86" s="65" t="n">
        <f aca="false">IF(OR(OR($B86="",$E86="",$F86=""),$L86&lt;&gt;"لا"),0,MAX(0,MIN($F86,EOMONTH(DATE(cfg_FY,6,1),0))-$E86+1))</f>
        <v>0</v>
      </c>
      <c r="AN86" s="65" t="n">
        <f aca="false">IF(OR(OR($B86="",$E86="",$F86=""),$L86&lt;&gt;"لا"),0,MAX(0,MIN($F86,EOMONTH(DATE(cfg_FY,7,1),0))-$E86+1))</f>
        <v>0</v>
      </c>
      <c r="AO86" s="65" t="n">
        <f aca="false">IF(OR(OR($B86="",$E86="",$F86=""),$L86&lt;&gt;"لا"),0,MAX(0,MIN($F86,EOMONTH(DATE(cfg_FY,8,1),0))-$E86+1))</f>
        <v>0</v>
      </c>
      <c r="AP86" s="65" t="n">
        <f aca="false">IF(OR(OR($B86="",$E86="",$F86=""),$L86&lt;&gt;"لا"),0,MAX(0,MIN($F86,EOMONTH(DATE(cfg_FY,9,1),0))-$E86+1))</f>
        <v>0</v>
      </c>
      <c r="AQ86" s="65" t="n">
        <f aca="false">IF(OR(OR($B86="",$E86="",$F86=""),$L86&lt;&gt;"لا"),0,MAX(0,MIN($F86,EOMONTH(DATE(cfg_FY,10,1),0))-$E86+1))</f>
        <v>0</v>
      </c>
      <c r="AR86" s="65" t="n">
        <f aca="false">IF(OR(OR($B86="",$E86="",$F86=""),$L86&lt;&gt;"لا"),0,MAX(0,MIN($F86,EOMONTH(DATE(cfg_FY,11,1),0))-$E86+1))</f>
        <v>0</v>
      </c>
      <c r="AS86" s="65" t="n">
        <f aca="false">IF(OR(OR($B86="",$E86="",$F86=""),$L86&lt;&gt;"لا"),0,MAX(0,MIN($F86,EOMONTH(DATE(cfg_FY,12,1),0))-$E86+1))</f>
        <v>0</v>
      </c>
      <c r="AT86" s="65" t="n">
        <f aca="false">IF(OR(OR($B86="",$E86="",$F86=""),$K86&lt;&gt;"نعم",$M86="نعم"),0,MAX(0,MIN($F86,EOMONTH(DATE(cfg_FY,1,1),0))-MAX($E86,DATE(cfg_FY,1,1))+1))</f>
        <v>0</v>
      </c>
      <c r="AU86" s="65" t="n">
        <f aca="false">IF(OR(OR($B86="",$E86="",$F86=""),$K86&lt;&gt;"نعم",$M86="نعم"),0,MAX(0,MIN($F86,EOMONTH(DATE(cfg_FY,2,1),0))-MAX($E86,DATE(cfg_FY,2,1))+1))</f>
        <v>0</v>
      </c>
      <c r="AV86" s="65" t="n">
        <f aca="false">IF(OR(OR($B86="",$E86="",$F86=""),$K86&lt;&gt;"نعم",$M86="نعم"),0,MAX(0,MIN($F86,EOMONTH(DATE(cfg_FY,3,1),0))-MAX($E86,DATE(cfg_FY,3,1))+1))</f>
        <v>0</v>
      </c>
      <c r="AW86" s="65" t="n">
        <f aca="false">IF(OR(OR($B86="",$E86="",$F86=""),$K86&lt;&gt;"نعم",$M86="نعم"),0,MAX(0,MIN($F86,EOMONTH(DATE(cfg_FY,4,1),0))-MAX($E86,DATE(cfg_FY,4,1))+1))</f>
        <v>0</v>
      </c>
      <c r="AX86" s="65" t="n">
        <f aca="false">IF(OR(OR($B86="",$E86="",$F86=""),$K86&lt;&gt;"نعم",$M86="نعم"),0,MAX(0,MIN($F86,EOMONTH(DATE(cfg_FY,5,1),0))-MAX($E86,DATE(cfg_FY,5,1))+1))</f>
        <v>0</v>
      </c>
      <c r="AY86" s="65" t="n">
        <f aca="false">IF(OR(OR($B86="",$E86="",$F86=""),$K86&lt;&gt;"نعم",$M86="نعم"),0,MAX(0,MIN($F86,EOMONTH(DATE(cfg_FY,6,1),0))-MAX($E86,DATE(cfg_FY,6,1))+1))</f>
        <v>0</v>
      </c>
      <c r="AZ86" s="65" t="n">
        <f aca="false">IF(OR(OR($B86="",$E86="",$F86=""),$K86&lt;&gt;"نعم",$M86="نعم"),0,MAX(0,MIN($F86,EOMONTH(DATE(cfg_FY,7,1),0))-MAX($E86,DATE(cfg_FY,7,1))+1))</f>
        <v>0</v>
      </c>
      <c r="BA86" s="65" t="n">
        <f aca="false">IF(OR(OR($B86="",$E86="",$F86=""),$K86&lt;&gt;"نعم",$M86="نعم"),0,MAX(0,MIN($F86,EOMONTH(DATE(cfg_FY,8,1),0))-MAX($E86,DATE(cfg_FY,8,1))+1))</f>
        <v>0</v>
      </c>
      <c r="BB86" s="65" t="n">
        <f aca="false">IF(OR(OR($B86="",$E86="",$F86=""),$K86&lt;&gt;"نعم",$M86="نعم"),0,MAX(0,MIN($F86,EOMONTH(DATE(cfg_FY,9,1),0))-MAX($E86,DATE(cfg_FY,9,1))+1))</f>
        <v>0</v>
      </c>
      <c r="BC86" s="65" t="n">
        <f aca="false">IF(OR(OR($B86="",$E86="",$F86=""),$K86&lt;&gt;"نعم",$M86="نعم"),0,MAX(0,MIN($F86,EOMONTH(DATE(cfg_FY,10,1),0))-MAX($E86,DATE(cfg_FY,10,1))+1))</f>
        <v>0</v>
      </c>
      <c r="BD86" s="65" t="n">
        <f aca="false">IF(OR(OR($B86="",$E86="",$F86=""),$K86&lt;&gt;"نعم",$M86="نعم"),0,MAX(0,MIN($F86,EOMONTH(DATE(cfg_FY,11,1),0))-MAX($E86,DATE(cfg_FY,11,1))+1))</f>
        <v>0</v>
      </c>
      <c r="BE86" s="65" t="n">
        <f aca="false">IF(OR(OR($B86="",$E86="",$F86=""),$K86&lt;&gt;"نعم",$M86="نعم"),0,MAX(0,MIN($F86,EOMONTH(DATE(cfg_FY,12,1),0))-MAX($E86,DATE(cfg_FY,12,1))+1))</f>
        <v>0</v>
      </c>
    </row>
    <row r="87" customFormat="false" ht="15" hidden="false" customHeight="false" outlineLevel="0" collapsed="false">
      <c r="A87" s="115" t="str">
        <f aca="false">IF(B87="","",ROW()-5)</f>
        <v/>
      </c>
      <c r="B87" s="118"/>
      <c r="C87" s="117" t="str">
        <f aca="false">IF(B87="","",IFERROR(INDEX(الموظفون!$C$6:$C$105,MATCH(B87,الموظفون!$B$6:$B$105,0)),"✖ رقم غير موجود"))</f>
        <v/>
      </c>
      <c r="D87" s="118"/>
      <c r="E87" s="119"/>
      <c r="F87" s="119"/>
      <c r="G87" s="133" t="str">
        <f aca="false">IF(OR($B87="",$E87="",$F87=""),"",MAX(0,F87-E87+1))</f>
        <v/>
      </c>
      <c r="H87" s="134" t="str">
        <f aca="false">IF(D87="","",IFERROR(VLOOKUP(D87,cfg_LT,2,FALSE()),1))</f>
        <v/>
      </c>
      <c r="I87" s="135"/>
      <c r="J87" s="134" t="str">
        <f aca="false">IF(D87="","",IF(I87&lt;&gt;"",I87,H87))</f>
        <v/>
      </c>
      <c r="K87" s="117" t="str">
        <f aca="false">IF(D87="","",IFERROR(VLOOKUP($D87,cfg_LT,3,FALSE()),""))</f>
        <v/>
      </c>
      <c r="L87" s="117" t="str">
        <f aca="false">IF(D87="","",IFERROR(VLOOKUP($D87,cfg_LT,4,FALSE()),""))</f>
        <v/>
      </c>
      <c r="M87" s="117" t="str">
        <f aca="false">IF(D87="","",IFERROR(VLOOKUP($D87,cfg_LT,5,FALSE()),""))</f>
        <v/>
      </c>
      <c r="N87" s="116" t="n">
        <f aca="false">IF(OR(OR($B87="",$E87="",$F87=""),M87&lt;&gt;"نعم"),0,G87*J87*IFERROR(INDEX(الموظفون!$R$6:$R$105,MATCH(B87,الموظفون!$B$6:$B$105,0)),0)/cfg_DAYS_M)</f>
        <v>0</v>
      </c>
      <c r="O87" s="115" t="str">
        <f aca="false">IF(OR(OR($B87="",$E87="",$F87=""),M87&lt;&gt;"نعم"),"",IF(YEAR(E87)=cfg_FY,MONTH(E87),""))</f>
        <v/>
      </c>
      <c r="P87" s="117" t="str">
        <f aca="false">IF(B87="","",IF(OR(D87="",E87="",F87=""),"⚠ أكمل النوع والتواريخ",IF(F87&lt;E87,"✖ النهاية قبل البداية",IF(COUNTIFS($B$6:$B$505,B87,$E$6:$E$505,"&lt;="&amp;F87,$F$6:$F$505,"&gt;="&amp;E87)&gt;1,"⚠ تداخل مع سجل آخر",IF(E87&gt;cfg_VAL_DATE,"⏳ قادمة",IF(F87&lt;cfg_VAL_DATE,"✔ منتهية","✈ جارية في تاريخ التقرير"))))))</f>
        <v/>
      </c>
      <c r="Q87" s="118"/>
      <c r="R87" s="133" t="n">
        <f aca="false">IF(OR(OR($B87="",$E87="",$F87=""),L87&lt;&gt;"لا"),0,MAX(0,MIN(F87,cfg_Y_START-1)-E87+1))</f>
        <v>0</v>
      </c>
      <c r="S87" s="133" t="n">
        <f aca="false">IF(OR(OR($B87="",$E87="",$F87=""),L87&lt;&gt;"لا"),0,MAX(0,MIN(F87,cfg_VAL_DATE)-E87+1))</f>
        <v>0</v>
      </c>
      <c r="T87" s="133" t="n">
        <f aca="false">IF(OR(OR($B87="",$E87="",$F87=""),K87&lt;&gt;"نعم"),0,IF(M87="نعم",IF(AND(ISNUMBER(O87),N(O87)&lt;=cfg_VAL_M),G87,0),MAX(0,MIN(F87,cfg_VAL_DATE)-MAX(E87,cfg_Y_START)+1)))</f>
        <v>0</v>
      </c>
      <c r="V87" s="133" t="n">
        <f aca="false">IF(OR($B87="",$E87="",$F87=""),0,MAX(0,MIN($F87,EOMONTH(DATE(cfg_FY,1,1),0))-MAX($E87,DATE(cfg_FY,1,1))+1)*(1-IF($M87="نعم",0,N($J87))))</f>
        <v>0</v>
      </c>
      <c r="W87" s="133" t="n">
        <f aca="false">IF(OR($B87="",$E87="",$F87=""),0,MAX(0,MIN($F87,EOMONTH(DATE(cfg_FY,2,1),0))-MAX($E87,DATE(cfg_FY,2,1))+1)*(1-IF($M87="نعم",0,N($J87))))</f>
        <v>0</v>
      </c>
      <c r="X87" s="133" t="n">
        <f aca="false">IF(OR($B87="",$E87="",$F87=""),0,MAX(0,MIN($F87,EOMONTH(DATE(cfg_FY,3,1),0))-MAX($E87,DATE(cfg_FY,3,1))+1)*(1-IF($M87="نعم",0,N($J87))))</f>
        <v>0</v>
      </c>
      <c r="Y87" s="133" t="n">
        <f aca="false">IF(OR($B87="",$E87="",$F87=""),0,MAX(0,MIN($F87,EOMONTH(DATE(cfg_FY,4,1),0))-MAX($E87,DATE(cfg_FY,4,1))+1)*(1-IF($M87="نعم",0,N($J87))))</f>
        <v>0</v>
      </c>
      <c r="Z87" s="133" t="n">
        <f aca="false">IF(OR($B87="",$E87="",$F87=""),0,MAX(0,MIN($F87,EOMONTH(DATE(cfg_FY,5,1),0))-MAX($E87,DATE(cfg_FY,5,1))+1)*(1-IF($M87="نعم",0,N($J87))))</f>
        <v>0</v>
      </c>
      <c r="AA87" s="133" t="n">
        <f aca="false">IF(OR($B87="",$E87="",$F87=""),0,MAX(0,MIN($F87,EOMONTH(DATE(cfg_FY,6,1),0))-MAX($E87,DATE(cfg_FY,6,1))+1)*(1-IF($M87="نعم",0,N($J87))))</f>
        <v>0</v>
      </c>
      <c r="AB87" s="133" t="n">
        <f aca="false">IF(OR($B87="",$E87="",$F87=""),0,MAX(0,MIN($F87,EOMONTH(DATE(cfg_FY,7,1),0))-MAX($E87,DATE(cfg_FY,7,1))+1)*(1-IF($M87="نعم",0,N($J87))))</f>
        <v>0</v>
      </c>
      <c r="AC87" s="133" t="n">
        <f aca="false">IF(OR($B87="",$E87="",$F87=""),0,MAX(0,MIN($F87,EOMONTH(DATE(cfg_FY,8,1),0))-MAX($E87,DATE(cfg_FY,8,1))+1)*(1-IF($M87="نعم",0,N($J87))))</f>
        <v>0</v>
      </c>
      <c r="AD87" s="133" t="n">
        <f aca="false">IF(OR($B87="",$E87="",$F87=""),0,MAX(0,MIN($F87,EOMONTH(DATE(cfg_FY,9,1),0))-MAX($E87,DATE(cfg_FY,9,1))+1)*(1-IF($M87="نعم",0,N($J87))))</f>
        <v>0</v>
      </c>
      <c r="AE87" s="133" t="n">
        <f aca="false">IF(OR($B87="",$E87="",$F87=""),0,MAX(0,MIN($F87,EOMONTH(DATE(cfg_FY,10,1),0))-MAX($E87,DATE(cfg_FY,10,1))+1)*(1-IF($M87="نعم",0,N($J87))))</f>
        <v>0</v>
      </c>
      <c r="AF87" s="133" t="n">
        <f aca="false">IF(OR($B87="",$E87="",$F87=""),0,MAX(0,MIN($F87,EOMONTH(DATE(cfg_FY,11,1),0))-MAX($E87,DATE(cfg_FY,11,1))+1)*(1-IF($M87="نعم",0,N($J87))))</f>
        <v>0</v>
      </c>
      <c r="AG87" s="133" t="n">
        <f aca="false">IF(OR($B87="",$E87="",$F87=""),0,MAX(0,MIN($F87,EOMONTH(DATE(cfg_FY,12,1),0))-MAX($E87,DATE(cfg_FY,12,1))+1)*(1-IF($M87="نعم",0,N($J87))))</f>
        <v>0</v>
      </c>
      <c r="AH87" s="133" t="n">
        <f aca="false">IF(OR(OR($B87="",$E87="",$F87=""),$L87&lt;&gt;"لا"),0,MAX(0,MIN($F87,EOMONTH(DATE(cfg_FY,1,1),0))-$E87+1))</f>
        <v>0</v>
      </c>
      <c r="AI87" s="133" t="n">
        <f aca="false">IF(OR(OR($B87="",$E87="",$F87=""),$L87&lt;&gt;"لا"),0,MAX(0,MIN($F87,EOMONTH(DATE(cfg_FY,2,1),0))-$E87+1))</f>
        <v>0</v>
      </c>
      <c r="AJ87" s="133" t="n">
        <f aca="false">IF(OR(OR($B87="",$E87="",$F87=""),$L87&lt;&gt;"لا"),0,MAX(0,MIN($F87,EOMONTH(DATE(cfg_FY,3,1),0))-$E87+1))</f>
        <v>0</v>
      </c>
      <c r="AK87" s="133" t="n">
        <f aca="false">IF(OR(OR($B87="",$E87="",$F87=""),$L87&lt;&gt;"لا"),0,MAX(0,MIN($F87,EOMONTH(DATE(cfg_FY,4,1),0))-$E87+1))</f>
        <v>0</v>
      </c>
      <c r="AL87" s="133" t="n">
        <f aca="false">IF(OR(OR($B87="",$E87="",$F87=""),$L87&lt;&gt;"لا"),0,MAX(0,MIN($F87,EOMONTH(DATE(cfg_FY,5,1),0))-$E87+1))</f>
        <v>0</v>
      </c>
      <c r="AM87" s="133" t="n">
        <f aca="false">IF(OR(OR($B87="",$E87="",$F87=""),$L87&lt;&gt;"لا"),0,MAX(0,MIN($F87,EOMONTH(DATE(cfg_FY,6,1),0))-$E87+1))</f>
        <v>0</v>
      </c>
      <c r="AN87" s="133" t="n">
        <f aca="false">IF(OR(OR($B87="",$E87="",$F87=""),$L87&lt;&gt;"لا"),0,MAX(0,MIN($F87,EOMONTH(DATE(cfg_FY,7,1),0))-$E87+1))</f>
        <v>0</v>
      </c>
      <c r="AO87" s="133" t="n">
        <f aca="false">IF(OR(OR($B87="",$E87="",$F87=""),$L87&lt;&gt;"لا"),0,MAX(0,MIN($F87,EOMONTH(DATE(cfg_FY,8,1),0))-$E87+1))</f>
        <v>0</v>
      </c>
      <c r="AP87" s="133" t="n">
        <f aca="false">IF(OR(OR($B87="",$E87="",$F87=""),$L87&lt;&gt;"لا"),0,MAX(0,MIN($F87,EOMONTH(DATE(cfg_FY,9,1),0))-$E87+1))</f>
        <v>0</v>
      </c>
      <c r="AQ87" s="133" t="n">
        <f aca="false">IF(OR(OR($B87="",$E87="",$F87=""),$L87&lt;&gt;"لا"),0,MAX(0,MIN($F87,EOMONTH(DATE(cfg_FY,10,1),0))-$E87+1))</f>
        <v>0</v>
      </c>
      <c r="AR87" s="133" t="n">
        <f aca="false">IF(OR(OR($B87="",$E87="",$F87=""),$L87&lt;&gt;"لا"),0,MAX(0,MIN($F87,EOMONTH(DATE(cfg_FY,11,1),0))-$E87+1))</f>
        <v>0</v>
      </c>
      <c r="AS87" s="133" t="n">
        <f aca="false">IF(OR(OR($B87="",$E87="",$F87=""),$L87&lt;&gt;"لا"),0,MAX(0,MIN($F87,EOMONTH(DATE(cfg_FY,12,1),0))-$E87+1))</f>
        <v>0</v>
      </c>
      <c r="AT87" s="133" t="n">
        <f aca="false">IF(OR(OR($B87="",$E87="",$F87=""),$K87&lt;&gt;"نعم",$M87="نعم"),0,MAX(0,MIN($F87,EOMONTH(DATE(cfg_FY,1,1),0))-MAX($E87,DATE(cfg_FY,1,1))+1))</f>
        <v>0</v>
      </c>
      <c r="AU87" s="133" t="n">
        <f aca="false">IF(OR(OR($B87="",$E87="",$F87=""),$K87&lt;&gt;"نعم",$M87="نعم"),0,MAX(0,MIN($F87,EOMONTH(DATE(cfg_FY,2,1),0))-MAX($E87,DATE(cfg_FY,2,1))+1))</f>
        <v>0</v>
      </c>
      <c r="AV87" s="133" t="n">
        <f aca="false">IF(OR(OR($B87="",$E87="",$F87=""),$K87&lt;&gt;"نعم",$M87="نعم"),0,MAX(0,MIN($F87,EOMONTH(DATE(cfg_FY,3,1),0))-MAX($E87,DATE(cfg_FY,3,1))+1))</f>
        <v>0</v>
      </c>
      <c r="AW87" s="133" t="n">
        <f aca="false">IF(OR(OR($B87="",$E87="",$F87=""),$K87&lt;&gt;"نعم",$M87="نعم"),0,MAX(0,MIN($F87,EOMONTH(DATE(cfg_FY,4,1),0))-MAX($E87,DATE(cfg_FY,4,1))+1))</f>
        <v>0</v>
      </c>
      <c r="AX87" s="133" t="n">
        <f aca="false">IF(OR(OR($B87="",$E87="",$F87=""),$K87&lt;&gt;"نعم",$M87="نعم"),0,MAX(0,MIN($F87,EOMONTH(DATE(cfg_FY,5,1),0))-MAX($E87,DATE(cfg_FY,5,1))+1))</f>
        <v>0</v>
      </c>
      <c r="AY87" s="133" t="n">
        <f aca="false">IF(OR(OR($B87="",$E87="",$F87=""),$K87&lt;&gt;"نعم",$M87="نعم"),0,MAX(0,MIN($F87,EOMONTH(DATE(cfg_FY,6,1),0))-MAX($E87,DATE(cfg_FY,6,1))+1))</f>
        <v>0</v>
      </c>
      <c r="AZ87" s="133" t="n">
        <f aca="false">IF(OR(OR($B87="",$E87="",$F87=""),$K87&lt;&gt;"نعم",$M87="نعم"),0,MAX(0,MIN($F87,EOMONTH(DATE(cfg_FY,7,1),0))-MAX($E87,DATE(cfg_FY,7,1))+1))</f>
        <v>0</v>
      </c>
      <c r="BA87" s="133" t="n">
        <f aca="false">IF(OR(OR($B87="",$E87="",$F87=""),$K87&lt;&gt;"نعم",$M87="نعم"),0,MAX(0,MIN($F87,EOMONTH(DATE(cfg_FY,8,1),0))-MAX($E87,DATE(cfg_FY,8,1))+1))</f>
        <v>0</v>
      </c>
      <c r="BB87" s="133" t="n">
        <f aca="false">IF(OR(OR($B87="",$E87="",$F87=""),$K87&lt;&gt;"نعم",$M87="نعم"),0,MAX(0,MIN($F87,EOMONTH(DATE(cfg_FY,9,1),0))-MAX($E87,DATE(cfg_FY,9,1))+1))</f>
        <v>0</v>
      </c>
      <c r="BC87" s="133" t="n">
        <f aca="false">IF(OR(OR($B87="",$E87="",$F87=""),$K87&lt;&gt;"نعم",$M87="نعم"),0,MAX(0,MIN($F87,EOMONTH(DATE(cfg_FY,10,1),0))-MAX($E87,DATE(cfg_FY,10,1))+1))</f>
        <v>0</v>
      </c>
      <c r="BD87" s="133" t="n">
        <f aca="false">IF(OR(OR($B87="",$E87="",$F87=""),$K87&lt;&gt;"نعم",$M87="نعم"),0,MAX(0,MIN($F87,EOMONTH(DATE(cfg_FY,11,1),0))-MAX($E87,DATE(cfg_FY,11,1))+1))</f>
        <v>0</v>
      </c>
      <c r="BE87" s="133" t="n">
        <f aca="false">IF(OR(OR($B87="",$E87="",$F87=""),$K87&lt;&gt;"نعم",$M87="نعم"),0,MAX(0,MIN($F87,EOMONTH(DATE(cfg_FY,12,1),0))-MAX($E87,DATE(cfg_FY,12,1))+1))</f>
        <v>0</v>
      </c>
    </row>
    <row r="88" customFormat="false" ht="15" hidden="false" customHeight="false" outlineLevel="0" collapsed="false">
      <c r="A88" s="106" t="str">
        <f aca="false">IF(B88="","",ROW()-5)</f>
        <v/>
      </c>
      <c r="B88" s="118"/>
      <c r="C88" s="114" t="str">
        <f aca="false">IF(B88="","",IFERROR(INDEX(الموظفون!$C$6:$C$105,MATCH(B88,الموظفون!$B$6:$B$105,0)),"✖ رقم غير موجود"))</f>
        <v/>
      </c>
      <c r="D88" s="118"/>
      <c r="E88" s="119"/>
      <c r="F88" s="119"/>
      <c r="G88" s="65" t="str">
        <f aca="false">IF(OR($B88="",$E88="",$F88=""),"",MAX(0,F88-E88+1))</f>
        <v/>
      </c>
      <c r="H88" s="66" t="str">
        <f aca="false">IF(D88="","",IFERROR(VLOOKUP(D88,cfg_LT,2,FALSE()),1))</f>
        <v/>
      </c>
      <c r="I88" s="135"/>
      <c r="J88" s="66" t="str">
        <f aca="false">IF(D88="","",IF(I88&lt;&gt;"",I88,H88))</f>
        <v/>
      </c>
      <c r="K88" s="114" t="str">
        <f aca="false">IF(D88="","",IFERROR(VLOOKUP($D88,cfg_LT,3,FALSE()),""))</f>
        <v/>
      </c>
      <c r="L88" s="114" t="str">
        <f aca="false">IF(D88="","",IFERROR(VLOOKUP($D88,cfg_LT,4,FALSE()),""))</f>
        <v/>
      </c>
      <c r="M88" s="114" t="str">
        <f aca="false">IF(D88="","",IFERROR(VLOOKUP($D88,cfg_LT,5,FALSE()),""))</f>
        <v/>
      </c>
      <c r="N88" s="111" t="n">
        <f aca="false">IF(OR(OR($B88="",$E88="",$F88=""),M88&lt;&gt;"نعم"),0,G88*J88*IFERROR(INDEX(الموظفون!$R$6:$R$105,MATCH(B88,الموظفون!$B$6:$B$105,0)),0)/cfg_DAYS_M)</f>
        <v>0</v>
      </c>
      <c r="O88" s="106" t="str">
        <f aca="false">IF(OR(OR($B88="",$E88="",$F88=""),M88&lt;&gt;"نعم"),"",IF(YEAR(E88)=cfg_FY,MONTH(E88),""))</f>
        <v/>
      </c>
      <c r="P88" s="114" t="str">
        <f aca="false">IF(B88="","",IF(OR(D88="",E88="",F88=""),"⚠ أكمل النوع والتواريخ",IF(F88&lt;E88,"✖ النهاية قبل البداية",IF(COUNTIFS($B$6:$B$505,B88,$E$6:$E$505,"&lt;="&amp;F88,$F$6:$F$505,"&gt;="&amp;E88)&gt;1,"⚠ تداخل مع سجل آخر",IF(E88&gt;cfg_VAL_DATE,"⏳ قادمة",IF(F88&lt;cfg_VAL_DATE,"✔ منتهية","✈ جارية في تاريخ التقرير"))))))</f>
        <v/>
      </c>
      <c r="Q88" s="118"/>
      <c r="R88" s="65" t="n">
        <f aca="false">IF(OR(OR($B88="",$E88="",$F88=""),L88&lt;&gt;"لا"),0,MAX(0,MIN(F88,cfg_Y_START-1)-E88+1))</f>
        <v>0</v>
      </c>
      <c r="S88" s="65" t="n">
        <f aca="false">IF(OR(OR($B88="",$E88="",$F88=""),L88&lt;&gt;"لا"),0,MAX(0,MIN(F88,cfg_VAL_DATE)-E88+1))</f>
        <v>0</v>
      </c>
      <c r="T88" s="65" t="n">
        <f aca="false">IF(OR(OR($B88="",$E88="",$F88=""),K88&lt;&gt;"نعم"),0,IF(M88="نعم",IF(AND(ISNUMBER(O88),N(O88)&lt;=cfg_VAL_M),G88,0),MAX(0,MIN(F88,cfg_VAL_DATE)-MAX(E88,cfg_Y_START)+1)))</f>
        <v>0</v>
      </c>
      <c r="V88" s="65" t="n">
        <f aca="false">IF(OR($B88="",$E88="",$F88=""),0,MAX(0,MIN($F88,EOMONTH(DATE(cfg_FY,1,1),0))-MAX($E88,DATE(cfg_FY,1,1))+1)*(1-IF($M88="نعم",0,N($J88))))</f>
        <v>0</v>
      </c>
      <c r="W88" s="65" t="n">
        <f aca="false">IF(OR($B88="",$E88="",$F88=""),0,MAX(0,MIN($F88,EOMONTH(DATE(cfg_FY,2,1),0))-MAX($E88,DATE(cfg_FY,2,1))+1)*(1-IF($M88="نعم",0,N($J88))))</f>
        <v>0</v>
      </c>
      <c r="X88" s="65" t="n">
        <f aca="false">IF(OR($B88="",$E88="",$F88=""),0,MAX(0,MIN($F88,EOMONTH(DATE(cfg_FY,3,1),0))-MAX($E88,DATE(cfg_FY,3,1))+1)*(1-IF($M88="نعم",0,N($J88))))</f>
        <v>0</v>
      </c>
      <c r="Y88" s="65" t="n">
        <f aca="false">IF(OR($B88="",$E88="",$F88=""),0,MAX(0,MIN($F88,EOMONTH(DATE(cfg_FY,4,1),0))-MAX($E88,DATE(cfg_FY,4,1))+1)*(1-IF($M88="نعم",0,N($J88))))</f>
        <v>0</v>
      </c>
      <c r="Z88" s="65" t="n">
        <f aca="false">IF(OR($B88="",$E88="",$F88=""),0,MAX(0,MIN($F88,EOMONTH(DATE(cfg_FY,5,1),0))-MAX($E88,DATE(cfg_FY,5,1))+1)*(1-IF($M88="نعم",0,N($J88))))</f>
        <v>0</v>
      </c>
      <c r="AA88" s="65" t="n">
        <f aca="false">IF(OR($B88="",$E88="",$F88=""),0,MAX(0,MIN($F88,EOMONTH(DATE(cfg_FY,6,1),0))-MAX($E88,DATE(cfg_FY,6,1))+1)*(1-IF($M88="نعم",0,N($J88))))</f>
        <v>0</v>
      </c>
      <c r="AB88" s="65" t="n">
        <f aca="false">IF(OR($B88="",$E88="",$F88=""),0,MAX(0,MIN($F88,EOMONTH(DATE(cfg_FY,7,1),0))-MAX($E88,DATE(cfg_FY,7,1))+1)*(1-IF($M88="نعم",0,N($J88))))</f>
        <v>0</v>
      </c>
      <c r="AC88" s="65" t="n">
        <f aca="false">IF(OR($B88="",$E88="",$F88=""),0,MAX(0,MIN($F88,EOMONTH(DATE(cfg_FY,8,1),0))-MAX($E88,DATE(cfg_FY,8,1))+1)*(1-IF($M88="نعم",0,N($J88))))</f>
        <v>0</v>
      </c>
      <c r="AD88" s="65" t="n">
        <f aca="false">IF(OR($B88="",$E88="",$F88=""),0,MAX(0,MIN($F88,EOMONTH(DATE(cfg_FY,9,1),0))-MAX($E88,DATE(cfg_FY,9,1))+1)*(1-IF($M88="نعم",0,N($J88))))</f>
        <v>0</v>
      </c>
      <c r="AE88" s="65" t="n">
        <f aca="false">IF(OR($B88="",$E88="",$F88=""),0,MAX(0,MIN($F88,EOMONTH(DATE(cfg_FY,10,1),0))-MAX($E88,DATE(cfg_FY,10,1))+1)*(1-IF($M88="نعم",0,N($J88))))</f>
        <v>0</v>
      </c>
      <c r="AF88" s="65" t="n">
        <f aca="false">IF(OR($B88="",$E88="",$F88=""),0,MAX(0,MIN($F88,EOMONTH(DATE(cfg_FY,11,1),0))-MAX($E88,DATE(cfg_FY,11,1))+1)*(1-IF($M88="نعم",0,N($J88))))</f>
        <v>0</v>
      </c>
      <c r="AG88" s="65" t="n">
        <f aca="false">IF(OR($B88="",$E88="",$F88=""),0,MAX(0,MIN($F88,EOMONTH(DATE(cfg_FY,12,1),0))-MAX($E88,DATE(cfg_FY,12,1))+1)*(1-IF($M88="نعم",0,N($J88))))</f>
        <v>0</v>
      </c>
      <c r="AH88" s="65" t="n">
        <f aca="false">IF(OR(OR($B88="",$E88="",$F88=""),$L88&lt;&gt;"لا"),0,MAX(0,MIN($F88,EOMONTH(DATE(cfg_FY,1,1),0))-$E88+1))</f>
        <v>0</v>
      </c>
      <c r="AI88" s="65" t="n">
        <f aca="false">IF(OR(OR($B88="",$E88="",$F88=""),$L88&lt;&gt;"لا"),0,MAX(0,MIN($F88,EOMONTH(DATE(cfg_FY,2,1),0))-$E88+1))</f>
        <v>0</v>
      </c>
      <c r="AJ88" s="65" t="n">
        <f aca="false">IF(OR(OR($B88="",$E88="",$F88=""),$L88&lt;&gt;"لا"),0,MAX(0,MIN($F88,EOMONTH(DATE(cfg_FY,3,1),0))-$E88+1))</f>
        <v>0</v>
      </c>
      <c r="AK88" s="65" t="n">
        <f aca="false">IF(OR(OR($B88="",$E88="",$F88=""),$L88&lt;&gt;"لا"),0,MAX(0,MIN($F88,EOMONTH(DATE(cfg_FY,4,1),0))-$E88+1))</f>
        <v>0</v>
      </c>
      <c r="AL88" s="65" t="n">
        <f aca="false">IF(OR(OR($B88="",$E88="",$F88=""),$L88&lt;&gt;"لا"),0,MAX(0,MIN($F88,EOMONTH(DATE(cfg_FY,5,1),0))-$E88+1))</f>
        <v>0</v>
      </c>
      <c r="AM88" s="65" t="n">
        <f aca="false">IF(OR(OR($B88="",$E88="",$F88=""),$L88&lt;&gt;"لا"),0,MAX(0,MIN($F88,EOMONTH(DATE(cfg_FY,6,1),0))-$E88+1))</f>
        <v>0</v>
      </c>
      <c r="AN88" s="65" t="n">
        <f aca="false">IF(OR(OR($B88="",$E88="",$F88=""),$L88&lt;&gt;"لا"),0,MAX(0,MIN($F88,EOMONTH(DATE(cfg_FY,7,1),0))-$E88+1))</f>
        <v>0</v>
      </c>
      <c r="AO88" s="65" t="n">
        <f aca="false">IF(OR(OR($B88="",$E88="",$F88=""),$L88&lt;&gt;"لا"),0,MAX(0,MIN($F88,EOMONTH(DATE(cfg_FY,8,1),0))-$E88+1))</f>
        <v>0</v>
      </c>
      <c r="AP88" s="65" t="n">
        <f aca="false">IF(OR(OR($B88="",$E88="",$F88=""),$L88&lt;&gt;"لا"),0,MAX(0,MIN($F88,EOMONTH(DATE(cfg_FY,9,1),0))-$E88+1))</f>
        <v>0</v>
      </c>
      <c r="AQ88" s="65" t="n">
        <f aca="false">IF(OR(OR($B88="",$E88="",$F88=""),$L88&lt;&gt;"لا"),0,MAX(0,MIN($F88,EOMONTH(DATE(cfg_FY,10,1),0))-$E88+1))</f>
        <v>0</v>
      </c>
      <c r="AR88" s="65" t="n">
        <f aca="false">IF(OR(OR($B88="",$E88="",$F88=""),$L88&lt;&gt;"لا"),0,MAX(0,MIN($F88,EOMONTH(DATE(cfg_FY,11,1),0))-$E88+1))</f>
        <v>0</v>
      </c>
      <c r="AS88" s="65" t="n">
        <f aca="false">IF(OR(OR($B88="",$E88="",$F88=""),$L88&lt;&gt;"لا"),0,MAX(0,MIN($F88,EOMONTH(DATE(cfg_FY,12,1),0))-$E88+1))</f>
        <v>0</v>
      </c>
      <c r="AT88" s="65" t="n">
        <f aca="false">IF(OR(OR($B88="",$E88="",$F88=""),$K88&lt;&gt;"نعم",$M88="نعم"),0,MAX(0,MIN($F88,EOMONTH(DATE(cfg_FY,1,1),0))-MAX($E88,DATE(cfg_FY,1,1))+1))</f>
        <v>0</v>
      </c>
      <c r="AU88" s="65" t="n">
        <f aca="false">IF(OR(OR($B88="",$E88="",$F88=""),$K88&lt;&gt;"نعم",$M88="نعم"),0,MAX(0,MIN($F88,EOMONTH(DATE(cfg_FY,2,1),0))-MAX($E88,DATE(cfg_FY,2,1))+1))</f>
        <v>0</v>
      </c>
      <c r="AV88" s="65" t="n">
        <f aca="false">IF(OR(OR($B88="",$E88="",$F88=""),$K88&lt;&gt;"نعم",$M88="نعم"),0,MAX(0,MIN($F88,EOMONTH(DATE(cfg_FY,3,1),0))-MAX($E88,DATE(cfg_FY,3,1))+1))</f>
        <v>0</v>
      </c>
      <c r="AW88" s="65" t="n">
        <f aca="false">IF(OR(OR($B88="",$E88="",$F88=""),$K88&lt;&gt;"نعم",$M88="نعم"),0,MAX(0,MIN($F88,EOMONTH(DATE(cfg_FY,4,1),0))-MAX($E88,DATE(cfg_FY,4,1))+1))</f>
        <v>0</v>
      </c>
      <c r="AX88" s="65" t="n">
        <f aca="false">IF(OR(OR($B88="",$E88="",$F88=""),$K88&lt;&gt;"نعم",$M88="نعم"),0,MAX(0,MIN($F88,EOMONTH(DATE(cfg_FY,5,1),0))-MAX($E88,DATE(cfg_FY,5,1))+1))</f>
        <v>0</v>
      </c>
      <c r="AY88" s="65" t="n">
        <f aca="false">IF(OR(OR($B88="",$E88="",$F88=""),$K88&lt;&gt;"نعم",$M88="نعم"),0,MAX(0,MIN($F88,EOMONTH(DATE(cfg_FY,6,1),0))-MAX($E88,DATE(cfg_FY,6,1))+1))</f>
        <v>0</v>
      </c>
      <c r="AZ88" s="65" t="n">
        <f aca="false">IF(OR(OR($B88="",$E88="",$F88=""),$K88&lt;&gt;"نعم",$M88="نعم"),0,MAX(0,MIN($F88,EOMONTH(DATE(cfg_FY,7,1),0))-MAX($E88,DATE(cfg_FY,7,1))+1))</f>
        <v>0</v>
      </c>
      <c r="BA88" s="65" t="n">
        <f aca="false">IF(OR(OR($B88="",$E88="",$F88=""),$K88&lt;&gt;"نعم",$M88="نعم"),0,MAX(0,MIN($F88,EOMONTH(DATE(cfg_FY,8,1),0))-MAX($E88,DATE(cfg_FY,8,1))+1))</f>
        <v>0</v>
      </c>
      <c r="BB88" s="65" t="n">
        <f aca="false">IF(OR(OR($B88="",$E88="",$F88=""),$K88&lt;&gt;"نعم",$M88="نعم"),0,MAX(0,MIN($F88,EOMONTH(DATE(cfg_FY,9,1),0))-MAX($E88,DATE(cfg_FY,9,1))+1))</f>
        <v>0</v>
      </c>
      <c r="BC88" s="65" t="n">
        <f aca="false">IF(OR(OR($B88="",$E88="",$F88=""),$K88&lt;&gt;"نعم",$M88="نعم"),0,MAX(0,MIN($F88,EOMONTH(DATE(cfg_FY,10,1),0))-MAX($E88,DATE(cfg_FY,10,1))+1))</f>
        <v>0</v>
      </c>
      <c r="BD88" s="65" t="n">
        <f aca="false">IF(OR(OR($B88="",$E88="",$F88=""),$K88&lt;&gt;"نعم",$M88="نعم"),0,MAX(0,MIN($F88,EOMONTH(DATE(cfg_FY,11,1),0))-MAX($E88,DATE(cfg_FY,11,1))+1))</f>
        <v>0</v>
      </c>
      <c r="BE88" s="65" t="n">
        <f aca="false">IF(OR(OR($B88="",$E88="",$F88=""),$K88&lt;&gt;"نعم",$M88="نعم"),0,MAX(0,MIN($F88,EOMONTH(DATE(cfg_FY,12,1),0))-MAX($E88,DATE(cfg_FY,12,1))+1))</f>
        <v>0</v>
      </c>
    </row>
    <row r="89" customFormat="false" ht="15" hidden="false" customHeight="false" outlineLevel="0" collapsed="false">
      <c r="A89" s="115" t="str">
        <f aca="false">IF(B89="","",ROW()-5)</f>
        <v/>
      </c>
      <c r="B89" s="118"/>
      <c r="C89" s="117" t="str">
        <f aca="false">IF(B89="","",IFERROR(INDEX(الموظفون!$C$6:$C$105,MATCH(B89,الموظفون!$B$6:$B$105,0)),"✖ رقم غير موجود"))</f>
        <v/>
      </c>
      <c r="D89" s="118"/>
      <c r="E89" s="119"/>
      <c r="F89" s="119"/>
      <c r="G89" s="133" t="str">
        <f aca="false">IF(OR($B89="",$E89="",$F89=""),"",MAX(0,F89-E89+1))</f>
        <v/>
      </c>
      <c r="H89" s="134" t="str">
        <f aca="false">IF(D89="","",IFERROR(VLOOKUP(D89,cfg_LT,2,FALSE()),1))</f>
        <v/>
      </c>
      <c r="I89" s="135"/>
      <c r="J89" s="134" t="str">
        <f aca="false">IF(D89="","",IF(I89&lt;&gt;"",I89,H89))</f>
        <v/>
      </c>
      <c r="K89" s="117" t="str">
        <f aca="false">IF(D89="","",IFERROR(VLOOKUP($D89,cfg_LT,3,FALSE()),""))</f>
        <v/>
      </c>
      <c r="L89" s="117" t="str">
        <f aca="false">IF(D89="","",IFERROR(VLOOKUP($D89,cfg_LT,4,FALSE()),""))</f>
        <v/>
      </c>
      <c r="M89" s="117" t="str">
        <f aca="false">IF(D89="","",IFERROR(VLOOKUP($D89,cfg_LT,5,FALSE()),""))</f>
        <v/>
      </c>
      <c r="N89" s="116" t="n">
        <f aca="false">IF(OR(OR($B89="",$E89="",$F89=""),M89&lt;&gt;"نعم"),0,G89*J89*IFERROR(INDEX(الموظفون!$R$6:$R$105,MATCH(B89,الموظفون!$B$6:$B$105,0)),0)/cfg_DAYS_M)</f>
        <v>0</v>
      </c>
      <c r="O89" s="115" t="str">
        <f aca="false">IF(OR(OR($B89="",$E89="",$F89=""),M89&lt;&gt;"نعم"),"",IF(YEAR(E89)=cfg_FY,MONTH(E89),""))</f>
        <v/>
      </c>
      <c r="P89" s="117" t="str">
        <f aca="false">IF(B89="","",IF(OR(D89="",E89="",F89=""),"⚠ أكمل النوع والتواريخ",IF(F89&lt;E89,"✖ النهاية قبل البداية",IF(COUNTIFS($B$6:$B$505,B89,$E$6:$E$505,"&lt;="&amp;F89,$F$6:$F$505,"&gt;="&amp;E89)&gt;1,"⚠ تداخل مع سجل آخر",IF(E89&gt;cfg_VAL_DATE,"⏳ قادمة",IF(F89&lt;cfg_VAL_DATE,"✔ منتهية","✈ جارية في تاريخ التقرير"))))))</f>
        <v/>
      </c>
      <c r="Q89" s="118"/>
      <c r="R89" s="133" t="n">
        <f aca="false">IF(OR(OR($B89="",$E89="",$F89=""),L89&lt;&gt;"لا"),0,MAX(0,MIN(F89,cfg_Y_START-1)-E89+1))</f>
        <v>0</v>
      </c>
      <c r="S89" s="133" t="n">
        <f aca="false">IF(OR(OR($B89="",$E89="",$F89=""),L89&lt;&gt;"لا"),0,MAX(0,MIN(F89,cfg_VAL_DATE)-E89+1))</f>
        <v>0</v>
      </c>
      <c r="T89" s="133" t="n">
        <f aca="false">IF(OR(OR($B89="",$E89="",$F89=""),K89&lt;&gt;"نعم"),0,IF(M89="نعم",IF(AND(ISNUMBER(O89),N(O89)&lt;=cfg_VAL_M),G89,0),MAX(0,MIN(F89,cfg_VAL_DATE)-MAX(E89,cfg_Y_START)+1)))</f>
        <v>0</v>
      </c>
      <c r="V89" s="133" t="n">
        <f aca="false">IF(OR($B89="",$E89="",$F89=""),0,MAX(0,MIN($F89,EOMONTH(DATE(cfg_FY,1,1),0))-MAX($E89,DATE(cfg_FY,1,1))+1)*(1-IF($M89="نعم",0,N($J89))))</f>
        <v>0</v>
      </c>
      <c r="W89" s="133" t="n">
        <f aca="false">IF(OR($B89="",$E89="",$F89=""),0,MAX(0,MIN($F89,EOMONTH(DATE(cfg_FY,2,1),0))-MAX($E89,DATE(cfg_FY,2,1))+1)*(1-IF($M89="نعم",0,N($J89))))</f>
        <v>0</v>
      </c>
      <c r="X89" s="133" t="n">
        <f aca="false">IF(OR($B89="",$E89="",$F89=""),0,MAX(0,MIN($F89,EOMONTH(DATE(cfg_FY,3,1),0))-MAX($E89,DATE(cfg_FY,3,1))+1)*(1-IF($M89="نعم",0,N($J89))))</f>
        <v>0</v>
      </c>
      <c r="Y89" s="133" t="n">
        <f aca="false">IF(OR($B89="",$E89="",$F89=""),0,MAX(0,MIN($F89,EOMONTH(DATE(cfg_FY,4,1),0))-MAX($E89,DATE(cfg_FY,4,1))+1)*(1-IF($M89="نعم",0,N($J89))))</f>
        <v>0</v>
      </c>
      <c r="Z89" s="133" t="n">
        <f aca="false">IF(OR($B89="",$E89="",$F89=""),0,MAX(0,MIN($F89,EOMONTH(DATE(cfg_FY,5,1),0))-MAX($E89,DATE(cfg_FY,5,1))+1)*(1-IF($M89="نعم",0,N($J89))))</f>
        <v>0</v>
      </c>
      <c r="AA89" s="133" t="n">
        <f aca="false">IF(OR($B89="",$E89="",$F89=""),0,MAX(0,MIN($F89,EOMONTH(DATE(cfg_FY,6,1),0))-MAX($E89,DATE(cfg_FY,6,1))+1)*(1-IF($M89="نعم",0,N($J89))))</f>
        <v>0</v>
      </c>
      <c r="AB89" s="133" t="n">
        <f aca="false">IF(OR($B89="",$E89="",$F89=""),0,MAX(0,MIN($F89,EOMONTH(DATE(cfg_FY,7,1),0))-MAX($E89,DATE(cfg_FY,7,1))+1)*(1-IF($M89="نعم",0,N($J89))))</f>
        <v>0</v>
      </c>
      <c r="AC89" s="133" t="n">
        <f aca="false">IF(OR($B89="",$E89="",$F89=""),0,MAX(0,MIN($F89,EOMONTH(DATE(cfg_FY,8,1),0))-MAX($E89,DATE(cfg_FY,8,1))+1)*(1-IF($M89="نعم",0,N($J89))))</f>
        <v>0</v>
      </c>
      <c r="AD89" s="133" t="n">
        <f aca="false">IF(OR($B89="",$E89="",$F89=""),0,MAX(0,MIN($F89,EOMONTH(DATE(cfg_FY,9,1),0))-MAX($E89,DATE(cfg_FY,9,1))+1)*(1-IF($M89="نعم",0,N($J89))))</f>
        <v>0</v>
      </c>
      <c r="AE89" s="133" t="n">
        <f aca="false">IF(OR($B89="",$E89="",$F89=""),0,MAX(0,MIN($F89,EOMONTH(DATE(cfg_FY,10,1),0))-MAX($E89,DATE(cfg_FY,10,1))+1)*(1-IF($M89="نعم",0,N($J89))))</f>
        <v>0</v>
      </c>
      <c r="AF89" s="133" t="n">
        <f aca="false">IF(OR($B89="",$E89="",$F89=""),0,MAX(0,MIN($F89,EOMONTH(DATE(cfg_FY,11,1),0))-MAX($E89,DATE(cfg_FY,11,1))+1)*(1-IF($M89="نعم",0,N($J89))))</f>
        <v>0</v>
      </c>
      <c r="AG89" s="133" t="n">
        <f aca="false">IF(OR($B89="",$E89="",$F89=""),0,MAX(0,MIN($F89,EOMONTH(DATE(cfg_FY,12,1),0))-MAX($E89,DATE(cfg_FY,12,1))+1)*(1-IF($M89="نعم",0,N($J89))))</f>
        <v>0</v>
      </c>
      <c r="AH89" s="133" t="n">
        <f aca="false">IF(OR(OR($B89="",$E89="",$F89=""),$L89&lt;&gt;"لا"),0,MAX(0,MIN($F89,EOMONTH(DATE(cfg_FY,1,1),0))-$E89+1))</f>
        <v>0</v>
      </c>
      <c r="AI89" s="133" t="n">
        <f aca="false">IF(OR(OR($B89="",$E89="",$F89=""),$L89&lt;&gt;"لا"),0,MAX(0,MIN($F89,EOMONTH(DATE(cfg_FY,2,1),0))-$E89+1))</f>
        <v>0</v>
      </c>
      <c r="AJ89" s="133" t="n">
        <f aca="false">IF(OR(OR($B89="",$E89="",$F89=""),$L89&lt;&gt;"لا"),0,MAX(0,MIN($F89,EOMONTH(DATE(cfg_FY,3,1),0))-$E89+1))</f>
        <v>0</v>
      </c>
      <c r="AK89" s="133" t="n">
        <f aca="false">IF(OR(OR($B89="",$E89="",$F89=""),$L89&lt;&gt;"لا"),0,MAX(0,MIN($F89,EOMONTH(DATE(cfg_FY,4,1),0))-$E89+1))</f>
        <v>0</v>
      </c>
      <c r="AL89" s="133" t="n">
        <f aca="false">IF(OR(OR($B89="",$E89="",$F89=""),$L89&lt;&gt;"لا"),0,MAX(0,MIN($F89,EOMONTH(DATE(cfg_FY,5,1),0))-$E89+1))</f>
        <v>0</v>
      </c>
      <c r="AM89" s="133" t="n">
        <f aca="false">IF(OR(OR($B89="",$E89="",$F89=""),$L89&lt;&gt;"لا"),0,MAX(0,MIN($F89,EOMONTH(DATE(cfg_FY,6,1),0))-$E89+1))</f>
        <v>0</v>
      </c>
      <c r="AN89" s="133" t="n">
        <f aca="false">IF(OR(OR($B89="",$E89="",$F89=""),$L89&lt;&gt;"لا"),0,MAX(0,MIN($F89,EOMONTH(DATE(cfg_FY,7,1),0))-$E89+1))</f>
        <v>0</v>
      </c>
      <c r="AO89" s="133" t="n">
        <f aca="false">IF(OR(OR($B89="",$E89="",$F89=""),$L89&lt;&gt;"لا"),0,MAX(0,MIN($F89,EOMONTH(DATE(cfg_FY,8,1),0))-$E89+1))</f>
        <v>0</v>
      </c>
      <c r="AP89" s="133" t="n">
        <f aca="false">IF(OR(OR($B89="",$E89="",$F89=""),$L89&lt;&gt;"لا"),0,MAX(0,MIN($F89,EOMONTH(DATE(cfg_FY,9,1),0))-$E89+1))</f>
        <v>0</v>
      </c>
      <c r="AQ89" s="133" t="n">
        <f aca="false">IF(OR(OR($B89="",$E89="",$F89=""),$L89&lt;&gt;"لا"),0,MAX(0,MIN($F89,EOMONTH(DATE(cfg_FY,10,1),0))-$E89+1))</f>
        <v>0</v>
      </c>
      <c r="AR89" s="133" t="n">
        <f aca="false">IF(OR(OR($B89="",$E89="",$F89=""),$L89&lt;&gt;"لا"),0,MAX(0,MIN($F89,EOMONTH(DATE(cfg_FY,11,1),0))-$E89+1))</f>
        <v>0</v>
      </c>
      <c r="AS89" s="133" t="n">
        <f aca="false">IF(OR(OR($B89="",$E89="",$F89=""),$L89&lt;&gt;"لا"),0,MAX(0,MIN($F89,EOMONTH(DATE(cfg_FY,12,1),0))-$E89+1))</f>
        <v>0</v>
      </c>
      <c r="AT89" s="133" t="n">
        <f aca="false">IF(OR(OR($B89="",$E89="",$F89=""),$K89&lt;&gt;"نعم",$M89="نعم"),0,MAX(0,MIN($F89,EOMONTH(DATE(cfg_FY,1,1),0))-MAX($E89,DATE(cfg_FY,1,1))+1))</f>
        <v>0</v>
      </c>
      <c r="AU89" s="133" t="n">
        <f aca="false">IF(OR(OR($B89="",$E89="",$F89=""),$K89&lt;&gt;"نعم",$M89="نعم"),0,MAX(0,MIN($F89,EOMONTH(DATE(cfg_FY,2,1),0))-MAX($E89,DATE(cfg_FY,2,1))+1))</f>
        <v>0</v>
      </c>
      <c r="AV89" s="133" t="n">
        <f aca="false">IF(OR(OR($B89="",$E89="",$F89=""),$K89&lt;&gt;"نعم",$M89="نعم"),0,MAX(0,MIN($F89,EOMONTH(DATE(cfg_FY,3,1),0))-MAX($E89,DATE(cfg_FY,3,1))+1))</f>
        <v>0</v>
      </c>
      <c r="AW89" s="133" t="n">
        <f aca="false">IF(OR(OR($B89="",$E89="",$F89=""),$K89&lt;&gt;"نعم",$M89="نعم"),0,MAX(0,MIN($F89,EOMONTH(DATE(cfg_FY,4,1),0))-MAX($E89,DATE(cfg_FY,4,1))+1))</f>
        <v>0</v>
      </c>
      <c r="AX89" s="133" t="n">
        <f aca="false">IF(OR(OR($B89="",$E89="",$F89=""),$K89&lt;&gt;"نعم",$M89="نعم"),0,MAX(0,MIN($F89,EOMONTH(DATE(cfg_FY,5,1),0))-MAX($E89,DATE(cfg_FY,5,1))+1))</f>
        <v>0</v>
      </c>
      <c r="AY89" s="133" t="n">
        <f aca="false">IF(OR(OR($B89="",$E89="",$F89=""),$K89&lt;&gt;"نعم",$M89="نعم"),0,MAX(0,MIN($F89,EOMONTH(DATE(cfg_FY,6,1),0))-MAX($E89,DATE(cfg_FY,6,1))+1))</f>
        <v>0</v>
      </c>
      <c r="AZ89" s="133" t="n">
        <f aca="false">IF(OR(OR($B89="",$E89="",$F89=""),$K89&lt;&gt;"نعم",$M89="نعم"),0,MAX(0,MIN($F89,EOMONTH(DATE(cfg_FY,7,1),0))-MAX($E89,DATE(cfg_FY,7,1))+1))</f>
        <v>0</v>
      </c>
      <c r="BA89" s="133" t="n">
        <f aca="false">IF(OR(OR($B89="",$E89="",$F89=""),$K89&lt;&gt;"نعم",$M89="نعم"),0,MAX(0,MIN($F89,EOMONTH(DATE(cfg_FY,8,1),0))-MAX($E89,DATE(cfg_FY,8,1))+1))</f>
        <v>0</v>
      </c>
      <c r="BB89" s="133" t="n">
        <f aca="false">IF(OR(OR($B89="",$E89="",$F89=""),$K89&lt;&gt;"نعم",$M89="نعم"),0,MAX(0,MIN($F89,EOMONTH(DATE(cfg_FY,9,1),0))-MAX($E89,DATE(cfg_FY,9,1))+1))</f>
        <v>0</v>
      </c>
      <c r="BC89" s="133" t="n">
        <f aca="false">IF(OR(OR($B89="",$E89="",$F89=""),$K89&lt;&gt;"نعم",$M89="نعم"),0,MAX(0,MIN($F89,EOMONTH(DATE(cfg_FY,10,1),0))-MAX($E89,DATE(cfg_FY,10,1))+1))</f>
        <v>0</v>
      </c>
      <c r="BD89" s="133" t="n">
        <f aca="false">IF(OR(OR($B89="",$E89="",$F89=""),$K89&lt;&gt;"نعم",$M89="نعم"),0,MAX(0,MIN($F89,EOMONTH(DATE(cfg_FY,11,1),0))-MAX($E89,DATE(cfg_FY,11,1))+1))</f>
        <v>0</v>
      </c>
      <c r="BE89" s="133" t="n">
        <f aca="false">IF(OR(OR($B89="",$E89="",$F89=""),$K89&lt;&gt;"نعم",$M89="نعم"),0,MAX(0,MIN($F89,EOMONTH(DATE(cfg_FY,12,1),0))-MAX($E89,DATE(cfg_FY,12,1))+1))</f>
        <v>0</v>
      </c>
    </row>
    <row r="90" customFormat="false" ht="15" hidden="false" customHeight="false" outlineLevel="0" collapsed="false">
      <c r="A90" s="106" t="str">
        <f aca="false">IF(B90="","",ROW()-5)</f>
        <v/>
      </c>
      <c r="B90" s="118"/>
      <c r="C90" s="114" t="str">
        <f aca="false">IF(B90="","",IFERROR(INDEX(الموظفون!$C$6:$C$105,MATCH(B90,الموظفون!$B$6:$B$105,0)),"✖ رقم غير موجود"))</f>
        <v/>
      </c>
      <c r="D90" s="118"/>
      <c r="E90" s="119"/>
      <c r="F90" s="119"/>
      <c r="G90" s="65" t="str">
        <f aca="false">IF(OR($B90="",$E90="",$F90=""),"",MAX(0,F90-E90+1))</f>
        <v/>
      </c>
      <c r="H90" s="66" t="str">
        <f aca="false">IF(D90="","",IFERROR(VLOOKUP(D90,cfg_LT,2,FALSE()),1))</f>
        <v/>
      </c>
      <c r="I90" s="135"/>
      <c r="J90" s="66" t="str">
        <f aca="false">IF(D90="","",IF(I90&lt;&gt;"",I90,H90))</f>
        <v/>
      </c>
      <c r="K90" s="114" t="str">
        <f aca="false">IF(D90="","",IFERROR(VLOOKUP($D90,cfg_LT,3,FALSE()),""))</f>
        <v/>
      </c>
      <c r="L90" s="114" t="str">
        <f aca="false">IF(D90="","",IFERROR(VLOOKUP($D90,cfg_LT,4,FALSE()),""))</f>
        <v/>
      </c>
      <c r="M90" s="114" t="str">
        <f aca="false">IF(D90="","",IFERROR(VLOOKUP($D90,cfg_LT,5,FALSE()),""))</f>
        <v/>
      </c>
      <c r="N90" s="111" t="n">
        <f aca="false">IF(OR(OR($B90="",$E90="",$F90=""),M90&lt;&gt;"نعم"),0,G90*J90*IFERROR(INDEX(الموظفون!$R$6:$R$105,MATCH(B90,الموظفون!$B$6:$B$105,0)),0)/cfg_DAYS_M)</f>
        <v>0</v>
      </c>
      <c r="O90" s="106" t="str">
        <f aca="false">IF(OR(OR($B90="",$E90="",$F90=""),M90&lt;&gt;"نعم"),"",IF(YEAR(E90)=cfg_FY,MONTH(E90),""))</f>
        <v/>
      </c>
      <c r="P90" s="114" t="str">
        <f aca="false">IF(B90="","",IF(OR(D90="",E90="",F90=""),"⚠ أكمل النوع والتواريخ",IF(F90&lt;E90,"✖ النهاية قبل البداية",IF(COUNTIFS($B$6:$B$505,B90,$E$6:$E$505,"&lt;="&amp;F90,$F$6:$F$505,"&gt;="&amp;E90)&gt;1,"⚠ تداخل مع سجل آخر",IF(E90&gt;cfg_VAL_DATE,"⏳ قادمة",IF(F90&lt;cfg_VAL_DATE,"✔ منتهية","✈ جارية في تاريخ التقرير"))))))</f>
        <v/>
      </c>
      <c r="Q90" s="118"/>
      <c r="R90" s="65" t="n">
        <f aca="false">IF(OR(OR($B90="",$E90="",$F90=""),L90&lt;&gt;"لا"),0,MAX(0,MIN(F90,cfg_Y_START-1)-E90+1))</f>
        <v>0</v>
      </c>
      <c r="S90" s="65" t="n">
        <f aca="false">IF(OR(OR($B90="",$E90="",$F90=""),L90&lt;&gt;"لا"),0,MAX(0,MIN(F90,cfg_VAL_DATE)-E90+1))</f>
        <v>0</v>
      </c>
      <c r="T90" s="65" t="n">
        <f aca="false">IF(OR(OR($B90="",$E90="",$F90=""),K90&lt;&gt;"نعم"),0,IF(M90="نعم",IF(AND(ISNUMBER(O90),N(O90)&lt;=cfg_VAL_M),G90,0),MAX(0,MIN(F90,cfg_VAL_DATE)-MAX(E90,cfg_Y_START)+1)))</f>
        <v>0</v>
      </c>
      <c r="V90" s="65" t="n">
        <f aca="false">IF(OR($B90="",$E90="",$F90=""),0,MAX(0,MIN($F90,EOMONTH(DATE(cfg_FY,1,1),0))-MAX($E90,DATE(cfg_FY,1,1))+1)*(1-IF($M90="نعم",0,N($J90))))</f>
        <v>0</v>
      </c>
      <c r="W90" s="65" t="n">
        <f aca="false">IF(OR($B90="",$E90="",$F90=""),0,MAX(0,MIN($F90,EOMONTH(DATE(cfg_FY,2,1),0))-MAX($E90,DATE(cfg_FY,2,1))+1)*(1-IF($M90="نعم",0,N($J90))))</f>
        <v>0</v>
      </c>
      <c r="X90" s="65" t="n">
        <f aca="false">IF(OR($B90="",$E90="",$F90=""),0,MAX(0,MIN($F90,EOMONTH(DATE(cfg_FY,3,1),0))-MAX($E90,DATE(cfg_FY,3,1))+1)*(1-IF($M90="نعم",0,N($J90))))</f>
        <v>0</v>
      </c>
      <c r="Y90" s="65" t="n">
        <f aca="false">IF(OR($B90="",$E90="",$F90=""),0,MAX(0,MIN($F90,EOMONTH(DATE(cfg_FY,4,1),0))-MAX($E90,DATE(cfg_FY,4,1))+1)*(1-IF($M90="نعم",0,N($J90))))</f>
        <v>0</v>
      </c>
      <c r="Z90" s="65" t="n">
        <f aca="false">IF(OR($B90="",$E90="",$F90=""),0,MAX(0,MIN($F90,EOMONTH(DATE(cfg_FY,5,1),0))-MAX($E90,DATE(cfg_FY,5,1))+1)*(1-IF($M90="نعم",0,N($J90))))</f>
        <v>0</v>
      </c>
      <c r="AA90" s="65" t="n">
        <f aca="false">IF(OR($B90="",$E90="",$F90=""),0,MAX(0,MIN($F90,EOMONTH(DATE(cfg_FY,6,1),0))-MAX($E90,DATE(cfg_FY,6,1))+1)*(1-IF($M90="نعم",0,N($J90))))</f>
        <v>0</v>
      </c>
      <c r="AB90" s="65" t="n">
        <f aca="false">IF(OR($B90="",$E90="",$F90=""),0,MAX(0,MIN($F90,EOMONTH(DATE(cfg_FY,7,1),0))-MAX($E90,DATE(cfg_FY,7,1))+1)*(1-IF($M90="نعم",0,N($J90))))</f>
        <v>0</v>
      </c>
      <c r="AC90" s="65" t="n">
        <f aca="false">IF(OR($B90="",$E90="",$F90=""),0,MAX(0,MIN($F90,EOMONTH(DATE(cfg_FY,8,1),0))-MAX($E90,DATE(cfg_FY,8,1))+1)*(1-IF($M90="نعم",0,N($J90))))</f>
        <v>0</v>
      </c>
      <c r="AD90" s="65" t="n">
        <f aca="false">IF(OR($B90="",$E90="",$F90=""),0,MAX(0,MIN($F90,EOMONTH(DATE(cfg_FY,9,1),0))-MAX($E90,DATE(cfg_FY,9,1))+1)*(1-IF($M90="نعم",0,N($J90))))</f>
        <v>0</v>
      </c>
      <c r="AE90" s="65" t="n">
        <f aca="false">IF(OR($B90="",$E90="",$F90=""),0,MAX(0,MIN($F90,EOMONTH(DATE(cfg_FY,10,1),0))-MAX($E90,DATE(cfg_FY,10,1))+1)*(1-IF($M90="نعم",0,N($J90))))</f>
        <v>0</v>
      </c>
      <c r="AF90" s="65" t="n">
        <f aca="false">IF(OR($B90="",$E90="",$F90=""),0,MAX(0,MIN($F90,EOMONTH(DATE(cfg_FY,11,1),0))-MAX($E90,DATE(cfg_FY,11,1))+1)*(1-IF($M90="نعم",0,N($J90))))</f>
        <v>0</v>
      </c>
      <c r="AG90" s="65" t="n">
        <f aca="false">IF(OR($B90="",$E90="",$F90=""),0,MAX(0,MIN($F90,EOMONTH(DATE(cfg_FY,12,1),0))-MAX($E90,DATE(cfg_FY,12,1))+1)*(1-IF($M90="نعم",0,N($J90))))</f>
        <v>0</v>
      </c>
      <c r="AH90" s="65" t="n">
        <f aca="false">IF(OR(OR($B90="",$E90="",$F90=""),$L90&lt;&gt;"لا"),0,MAX(0,MIN($F90,EOMONTH(DATE(cfg_FY,1,1),0))-$E90+1))</f>
        <v>0</v>
      </c>
      <c r="AI90" s="65" t="n">
        <f aca="false">IF(OR(OR($B90="",$E90="",$F90=""),$L90&lt;&gt;"لا"),0,MAX(0,MIN($F90,EOMONTH(DATE(cfg_FY,2,1),0))-$E90+1))</f>
        <v>0</v>
      </c>
      <c r="AJ90" s="65" t="n">
        <f aca="false">IF(OR(OR($B90="",$E90="",$F90=""),$L90&lt;&gt;"لا"),0,MAX(0,MIN($F90,EOMONTH(DATE(cfg_FY,3,1),0))-$E90+1))</f>
        <v>0</v>
      </c>
      <c r="AK90" s="65" t="n">
        <f aca="false">IF(OR(OR($B90="",$E90="",$F90=""),$L90&lt;&gt;"لا"),0,MAX(0,MIN($F90,EOMONTH(DATE(cfg_FY,4,1),0))-$E90+1))</f>
        <v>0</v>
      </c>
      <c r="AL90" s="65" t="n">
        <f aca="false">IF(OR(OR($B90="",$E90="",$F90=""),$L90&lt;&gt;"لا"),0,MAX(0,MIN($F90,EOMONTH(DATE(cfg_FY,5,1),0))-$E90+1))</f>
        <v>0</v>
      </c>
      <c r="AM90" s="65" t="n">
        <f aca="false">IF(OR(OR($B90="",$E90="",$F90=""),$L90&lt;&gt;"لا"),0,MAX(0,MIN($F90,EOMONTH(DATE(cfg_FY,6,1),0))-$E90+1))</f>
        <v>0</v>
      </c>
      <c r="AN90" s="65" t="n">
        <f aca="false">IF(OR(OR($B90="",$E90="",$F90=""),$L90&lt;&gt;"لا"),0,MAX(0,MIN($F90,EOMONTH(DATE(cfg_FY,7,1),0))-$E90+1))</f>
        <v>0</v>
      </c>
      <c r="AO90" s="65" t="n">
        <f aca="false">IF(OR(OR($B90="",$E90="",$F90=""),$L90&lt;&gt;"لا"),0,MAX(0,MIN($F90,EOMONTH(DATE(cfg_FY,8,1),0))-$E90+1))</f>
        <v>0</v>
      </c>
      <c r="AP90" s="65" t="n">
        <f aca="false">IF(OR(OR($B90="",$E90="",$F90=""),$L90&lt;&gt;"لا"),0,MAX(0,MIN($F90,EOMONTH(DATE(cfg_FY,9,1),0))-$E90+1))</f>
        <v>0</v>
      </c>
      <c r="AQ90" s="65" t="n">
        <f aca="false">IF(OR(OR($B90="",$E90="",$F90=""),$L90&lt;&gt;"لا"),0,MAX(0,MIN($F90,EOMONTH(DATE(cfg_FY,10,1),0))-$E90+1))</f>
        <v>0</v>
      </c>
      <c r="AR90" s="65" t="n">
        <f aca="false">IF(OR(OR($B90="",$E90="",$F90=""),$L90&lt;&gt;"لا"),0,MAX(0,MIN($F90,EOMONTH(DATE(cfg_FY,11,1),0))-$E90+1))</f>
        <v>0</v>
      </c>
      <c r="AS90" s="65" t="n">
        <f aca="false">IF(OR(OR($B90="",$E90="",$F90=""),$L90&lt;&gt;"لا"),0,MAX(0,MIN($F90,EOMONTH(DATE(cfg_FY,12,1),0))-$E90+1))</f>
        <v>0</v>
      </c>
      <c r="AT90" s="65" t="n">
        <f aca="false">IF(OR(OR($B90="",$E90="",$F90=""),$K90&lt;&gt;"نعم",$M90="نعم"),0,MAX(0,MIN($F90,EOMONTH(DATE(cfg_FY,1,1),0))-MAX($E90,DATE(cfg_FY,1,1))+1))</f>
        <v>0</v>
      </c>
      <c r="AU90" s="65" t="n">
        <f aca="false">IF(OR(OR($B90="",$E90="",$F90=""),$K90&lt;&gt;"نعم",$M90="نعم"),0,MAX(0,MIN($F90,EOMONTH(DATE(cfg_FY,2,1),0))-MAX($E90,DATE(cfg_FY,2,1))+1))</f>
        <v>0</v>
      </c>
      <c r="AV90" s="65" t="n">
        <f aca="false">IF(OR(OR($B90="",$E90="",$F90=""),$K90&lt;&gt;"نعم",$M90="نعم"),0,MAX(0,MIN($F90,EOMONTH(DATE(cfg_FY,3,1),0))-MAX($E90,DATE(cfg_FY,3,1))+1))</f>
        <v>0</v>
      </c>
      <c r="AW90" s="65" t="n">
        <f aca="false">IF(OR(OR($B90="",$E90="",$F90=""),$K90&lt;&gt;"نعم",$M90="نعم"),0,MAX(0,MIN($F90,EOMONTH(DATE(cfg_FY,4,1),0))-MAX($E90,DATE(cfg_FY,4,1))+1))</f>
        <v>0</v>
      </c>
      <c r="AX90" s="65" t="n">
        <f aca="false">IF(OR(OR($B90="",$E90="",$F90=""),$K90&lt;&gt;"نعم",$M90="نعم"),0,MAX(0,MIN($F90,EOMONTH(DATE(cfg_FY,5,1),0))-MAX($E90,DATE(cfg_FY,5,1))+1))</f>
        <v>0</v>
      </c>
      <c r="AY90" s="65" t="n">
        <f aca="false">IF(OR(OR($B90="",$E90="",$F90=""),$K90&lt;&gt;"نعم",$M90="نعم"),0,MAX(0,MIN($F90,EOMONTH(DATE(cfg_FY,6,1),0))-MAX($E90,DATE(cfg_FY,6,1))+1))</f>
        <v>0</v>
      </c>
      <c r="AZ90" s="65" t="n">
        <f aca="false">IF(OR(OR($B90="",$E90="",$F90=""),$K90&lt;&gt;"نعم",$M90="نعم"),0,MAX(0,MIN($F90,EOMONTH(DATE(cfg_FY,7,1),0))-MAX($E90,DATE(cfg_FY,7,1))+1))</f>
        <v>0</v>
      </c>
      <c r="BA90" s="65" t="n">
        <f aca="false">IF(OR(OR($B90="",$E90="",$F90=""),$K90&lt;&gt;"نعم",$M90="نعم"),0,MAX(0,MIN($F90,EOMONTH(DATE(cfg_FY,8,1),0))-MAX($E90,DATE(cfg_FY,8,1))+1))</f>
        <v>0</v>
      </c>
      <c r="BB90" s="65" t="n">
        <f aca="false">IF(OR(OR($B90="",$E90="",$F90=""),$K90&lt;&gt;"نعم",$M90="نعم"),0,MAX(0,MIN($F90,EOMONTH(DATE(cfg_FY,9,1),0))-MAX($E90,DATE(cfg_FY,9,1))+1))</f>
        <v>0</v>
      </c>
      <c r="BC90" s="65" t="n">
        <f aca="false">IF(OR(OR($B90="",$E90="",$F90=""),$K90&lt;&gt;"نعم",$M90="نعم"),0,MAX(0,MIN($F90,EOMONTH(DATE(cfg_FY,10,1),0))-MAX($E90,DATE(cfg_FY,10,1))+1))</f>
        <v>0</v>
      </c>
      <c r="BD90" s="65" t="n">
        <f aca="false">IF(OR(OR($B90="",$E90="",$F90=""),$K90&lt;&gt;"نعم",$M90="نعم"),0,MAX(0,MIN($F90,EOMONTH(DATE(cfg_FY,11,1),0))-MAX($E90,DATE(cfg_FY,11,1))+1))</f>
        <v>0</v>
      </c>
      <c r="BE90" s="65" t="n">
        <f aca="false">IF(OR(OR($B90="",$E90="",$F90=""),$K90&lt;&gt;"نعم",$M90="نعم"),0,MAX(0,MIN($F90,EOMONTH(DATE(cfg_FY,12,1),0))-MAX($E90,DATE(cfg_FY,12,1))+1))</f>
        <v>0</v>
      </c>
    </row>
    <row r="91" customFormat="false" ht="15" hidden="false" customHeight="false" outlineLevel="0" collapsed="false">
      <c r="A91" s="115" t="str">
        <f aca="false">IF(B91="","",ROW()-5)</f>
        <v/>
      </c>
      <c r="B91" s="118"/>
      <c r="C91" s="117" t="str">
        <f aca="false">IF(B91="","",IFERROR(INDEX(الموظفون!$C$6:$C$105,MATCH(B91,الموظفون!$B$6:$B$105,0)),"✖ رقم غير موجود"))</f>
        <v/>
      </c>
      <c r="D91" s="118"/>
      <c r="E91" s="119"/>
      <c r="F91" s="119"/>
      <c r="G91" s="133" t="str">
        <f aca="false">IF(OR($B91="",$E91="",$F91=""),"",MAX(0,F91-E91+1))</f>
        <v/>
      </c>
      <c r="H91" s="134" t="str">
        <f aca="false">IF(D91="","",IFERROR(VLOOKUP(D91,cfg_LT,2,FALSE()),1))</f>
        <v/>
      </c>
      <c r="I91" s="135"/>
      <c r="J91" s="134" t="str">
        <f aca="false">IF(D91="","",IF(I91&lt;&gt;"",I91,H91))</f>
        <v/>
      </c>
      <c r="K91" s="117" t="str">
        <f aca="false">IF(D91="","",IFERROR(VLOOKUP($D91,cfg_LT,3,FALSE()),""))</f>
        <v/>
      </c>
      <c r="L91" s="117" t="str">
        <f aca="false">IF(D91="","",IFERROR(VLOOKUP($D91,cfg_LT,4,FALSE()),""))</f>
        <v/>
      </c>
      <c r="M91" s="117" t="str">
        <f aca="false">IF(D91="","",IFERROR(VLOOKUP($D91,cfg_LT,5,FALSE()),""))</f>
        <v/>
      </c>
      <c r="N91" s="116" t="n">
        <f aca="false">IF(OR(OR($B91="",$E91="",$F91=""),M91&lt;&gt;"نعم"),0,G91*J91*IFERROR(INDEX(الموظفون!$R$6:$R$105,MATCH(B91,الموظفون!$B$6:$B$105,0)),0)/cfg_DAYS_M)</f>
        <v>0</v>
      </c>
      <c r="O91" s="115" t="str">
        <f aca="false">IF(OR(OR($B91="",$E91="",$F91=""),M91&lt;&gt;"نعم"),"",IF(YEAR(E91)=cfg_FY,MONTH(E91),""))</f>
        <v/>
      </c>
      <c r="P91" s="117" t="str">
        <f aca="false">IF(B91="","",IF(OR(D91="",E91="",F91=""),"⚠ أكمل النوع والتواريخ",IF(F91&lt;E91,"✖ النهاية قبل البداية",IF(COUNTIFS($B$6:$B$505,B91,$E$6:$E$505,"&lt;="&amp;F91,$F$6:$F$505,"&gt;="&amp;E91)&gt;1,"⚠ تداخل مع سجل آخر",IF(E91&gt;cfg_VAL_DATE,"⏳ قادمة",IF(F91&lt;cfg_VAL_DATE,"✔ منتهية","✈ جارية في تاريخ التقرير"))))))</f>
        <v/>
      </c>
      <c r="Q91" s="118"/>
      <c r="R91" s="133" t="n">
        <f aca="false">IF(OR(OR($B91="",$E91="",$F91=""),L91&lt;&gt;"لا"),0,MAX(0,MIN(F91,cfg_Y_START-1)-E91+1))</f>
        <v>0</v>
      </c>
      <c r="S91" s="133" t="n">
        <f aca="false">IF(OR(OR($B91="",$E91="",$F91=""),L91&lt;&gt;"لا"),0,MAX(0,MIN(F91,cfg_VAL_DATE)-E91+1))</f>
        <v>0</v>
      </c>
      <c r="T91" s="133" t="n">
        <f aca="false">IF(OR(OR($B91="",$E91="",$F91=""),K91&lt;&gt;"نعم"),0,IF(M91="نعم",IF(AND(ISNUMBER(O91),N(O91)&lt;=cfg_VAL_M),G91,0),MAX(0,MIN(F91,cfg_VAL_DATE)-MAX(E91,cfg_Y_START)+1)))</f>
        <v>0</v>
      </c>
      <c r="V91" s="133" t="n">
        <f aca="false">IF(OR($B91="",$E91="",$F91=""),0,MAX(0,MIN($F91,EOMONTH(DATE(cfg_FY,1,1),0))-MAX($E91,DATE(cfg_FY,1,1))+1)*(1-IF($M91="نعم",0,N($J91))))</f>
        <v>0</v>
      </c>
      <c r="W91" s="133" t="n">
        <f aca="false">IF(OR($B91="",$E91="",$F91=""),0,MAX(0,MIN($F91,EOMONTH(DATE(cfg_FY,2,1),0))-MAX($E91,DATE(cfg_FY,2,1))+1)*(1-IF($M91="نعم",0,N($J91))))</f>
        <v>0</v>
      </c>
      <c r="X91" s="133" t="n">
        <f aca="false">IF(OR($B91="",$E91="",$F91=""),0,MAX(0,MIN($F91,EOMONTH(DATE(cfg_FY,3,1),0))-MAX($E91,DATE(cfg_FY,3,1))+1)*(1-IF($M91="نعم",0,N($J91))))</f>
        <v>0</v>
      </c>
      <c r="Y91" s="133" t="n">
        <f aca="false">IF(OR($B91="",$E91="",$F91=""),0,MAX(0,MIN($F91,EOMONTH(DATE(cfg_FY,4,1),0))-MAX($E91,DATE(cfg_FY,4,1))+1)*(1-IF($M91="نعم",0,N($J91))))</f>
        <v>0</v>
      </c>
      <c r="Z91" s="133" t="n">
        <f aca="false">IF(OR($B91="",$E91="",$F91=""),0,MAX(0,MIN($F91,EOMONTH(DATE(cfg_FY,5,1),0))-MAX($E91,DATE(cfg_FY,5,1))+1)*(1-IF($M91="نعم",0,N($J91))))</f>
        <v>0</v>
      </c>
      <c r="AA91" s="133" t="n">
        <f aca="false">IF(OR($B91="",$E91="",$F91=""),0,MAX(0,MIN($F91,EOMONTH(DATE(cfg_FY,6,1),0))-MAX($E91,DATE(cfg_FY,6,1))+1)*(1-IF($M91="نعم",0,N($J91))))</f>
        <v>0</v>
      </c>
      <c r="AB91" s="133" t="n">
        <f aca="false">IF(OR($B91="",$E91="",$F91=""),0,MAX(0,MIN($F91,EOMONTH(DATE(cfg_FY,7,1),0))-MAX($E91,DATE(cfg_FY,7,1))+1)*(1-IF($M91="نعم",0,N($J91))))</f>
        <v>0</v>
      </c>
      <c r="AC91" s="133" t="n">
        <f aca="false">IF(OR($B91="",$E91="",$F91=""),0,MAX(0,MIN($F91,EOMONTH(DATE(cfg_FY,8,1),0))-MAX($E91,DATE(cfg_FY,8,1))+1)*(1-IF($M91="نعم",0,N($J91))))</f>
        <v>0</v>
      </c>
      <c r="AD91" s="133" t="n">
        <f aca="false">IF(OR($B91="",$E91="",$F91=""),0,MAX(0,MIN($F91,EOMONTH(DATE(cfg_FY,9,1),0))-MAX($E91,DATE(cfg_FY,9,1))+1)*(1-IF($M91="نعم",0,N($J91))))</f>
        <v>0</v>
      </c>
      <c r="AE91" s="133" t="n">
        <f aca="false">IF(OR($B91="",$E91="",$F91=""),0,MAX(0,MIN($F91,EOMONTH(DATE(cfg_FY,10,1),0))-MAX($E91,DATE(cfg_FY,10,1))+1)*(1-IF($M91="نعم",0,N($J91))))</f>
        <v>0</v>
      </c>
      <c r="AF91" s="133" t="n">
        <f aca="false">IF(OR($B91="",$E91="",$F91=""),0,MAX(0,MIN($F91,EOMONTH(DATE(cfg_FY,11,1),0))-MAX($E91,DATE(cfg_FY,11,1))+1)*(1-IF($M91="نعم",0,N($J91))))</f>
        <v>0</v>
      </c>
      <c r="AG91" s="133" t="n">
        <f aca="false">IF(OR($B91="",$E91="",$F91=""),0,MAX(0,MIN($F91,EOMONTH(DATE(cfg_FY,12,1),0))-MAX($E91,DATE(cfg_FY,12,1))+1)*(1-IF($M91="نعم",0,N($J91))))</f>
        <v>0</v>
      </c>
      <c r="AH91" s="133" t="n">
        <f aca="false">IF(OR(OR($B91="",$E91="",$F91=""),$L91&lt;&gt;"لا"),0,MAX(0,MIN($F91,EOMONTH(DATE(cfg_FY,1,1),0))-$E91+1))</f>
        <v>0</v>
      </c>
      <c r="AI91" s="133" t="n">
        <f aca="false">IF(OR(OR($B91="",$E91="",$F91=""),$L91&lt;&gt;"لا"),0,MAX(0,MIN($F91,EOMONTH(DATE(cfg_FY,2,1),0))-$E91+1))</f>
        <v>0</v>
      </c>
      <c r="AJ91" s="133" t="n">
        <f aca="false">IF(OR(OR($B91="",$E91="",$F91=""),$L91&lt;&gt;"لا"),0,MAX(0,MIN($F91,EOMONTH(DATE(cfg_FY,3,1),0))-$E91+1))</f>
        <v>0</v>
      </c>
      <c r="AK91" s="133" t="n">
        <f aca="false">IF(OR(OR($B91="",$E91="",$F91=""),$L91&lt;&gt;"لا"),0,MAX(0,MIN($F91,EOMONTH(DATE(cfg_FY,4,1),0))-$E91+1))</f>
        <v>0</v>
      </c>
      <c r="AL91" s="133" t="n">
        <f aca="false">IF(OR(OR($B91="",$E91="",$F91=""),$L91&lt;&gt;"لا"),0,MAX(0,MIN($F91,EOMONTH(DATE(cfg_FY,5,1),0))-$E91+1))</f>
        <v>0</v>
      </c>
      <c r="AM91" s="133" t="n">
        <f aca="false">IF(OR(OR($B91="",$E91="",$F91=""),$L91&lt;&gt;"لا"),0,MAX(0,MIN($F91,EOMONTH(DATE(cfg_FY,6,1),0))-$E91+1))</f>
        <v>0</v>
      </c>
      <c r="AN91" s="133" t="n">
        <f aca="false">IF(OR(OR($B91="",$E91="",$F91=""),$L91&lt;&gt;"لا"),0,MAX(0,MIN($F91,EOMONTH(DATE(cfg_FY,7,1),0))-$E91+1))</f>
        <v>0</v>
      </c>
      <c r="AO91" s="133" t="n">
        <f aca="false">IF(OR(OR($B91="",$E91="",$F91=""),$L91&lt;&gt;"لا"),0,MAX(0,MIN($F91,EOMONTH(DATE(cfg_FY,8,1),0))-$E91+1))</f>
        <v>0</v>
      </c>
      <c r="AP91" s="133" t="n">
        <f aca="false">IF(OR(OR($B91="",$E91="",$F91=""),$L91&lt;&gt;"لا"),0,MAX(0,MIN($F91,EOMONTH(DATE(cfg_FY,9,1),0))-$E91+1))</f>
        <v>0</v>
      </c>
      <c r="AQ91" s="133" t="n">
        <f aca="false">IF(OR(OR($B91="",$E91="",$F91=""),$L91&lt;&gt;"لا"),0,MAX(0,MIN($F91,EOMONTH(DATE(cfg_FY,10,1),0))-$E91+1))</f>
        <v>0</v>
      </c>
      <c r="AR91" s="133" t="n">
        <f aca="false">IF(OR(OR($B91="",$E91="",$F91=""),$L91&lt;&gt;"لا"),0,MAX(0,MIN($F91,EOMONTH(DATE(cfg_FY,11,1),0))-$E91+1))</f>
        <v>0</v>
      </c>
      <c r="AS91" s="133" t="n">
        <f aca="false">IF(OR(OR($B91="",$E91="",$F91=""),$L91&lt;&gt;"لا"),0,MAX(0,MIN($F91,EOMONTH(DATE(cfg_FY,12,1),0))-$E91+1))</f>
        <v>0</v>
      </c>
      <c r="AT91" s="133" t="n">
        <f aca="false">IF(OR(OR($B91="",$E91="",$F91=""),$K91&lt;&gt;"نعم",$M91="نعم"),0,MAX(0,MIN($F91,EOMONTH(DATE(cfg_FY,1,1),0))-MAX($E91,DATE(cfg_FY,1,1))+1))</f>
        <v>0</v>
      </c>
      <c r="AU91" s="133" t="n">
        <f aca="false">IF(OR(OR($B91="",$E91="",$F91=""),$K91&lt;&gt;"نعم",$M91="نعم"),0,MAX(0,MIN($F91,EOMONTH(DATE(cfg_FY,2,1),0))-MAX($E91,DATE(cfg_FY,2,1))+1))</f>
        <v>0</v>
      </c>
      <c r="AV91" s="133" t="n">
        <f aca="false">IF(OR(OR($B91="",$E91="",$F91=""),$K91&lt;&gt;"نعم",$M91="نعم"),0,MAX(0,MIN($F91,EOMONTH(DATE(cfg_FY,3,1),0))-MAX($E91,DATE(cfg_FY,3,1))+1))</f>
        <v>0</v>
      </c>
      <c r="AW91" s="133" t="n">
        <f aca="false">IF(OR(OR($B91="",$E91="",$F91=""),$K91&lt;&gt;"نعم",$M91="نعم"),0,MAX(0,MIN($F91,EOMONTH(DATE(cfg_FY,4,1),0))-MAX($E91,DATE(cfg_FY,4,1))+1))</f>
        <v>0</v>
      </c>
      <c r="AX91" s="133" t="n">
        <f aca="false">IF(OR(OR($B91="",$E91="",$F91=""),$K91&lt;&gt;"نعم",$M91="نعم"),0,MAX(0,MIN($F91,EOMONTH(DATE(cfg_FY,5,1),0))-MAX($E91,DATE(cfg_FY,5,1))+1))</f>
        <v>0</v>
      </c>
      <c r="AY91" s="133" t="n">
        <f aca="false">IF(OR(OR($B91="",$E91="",$F91=""),$K91&lt;&gt;"نعم",$M91="نعم"),0,MAX(0,MIN($F91,EOMONTH(DATE(cfg_FY,6,1),0))-MAX($E91,DATE(cfg_FY,6,1))+1))</f>
        <v>0</v>
      </c>
      <c r="AZ91" s="133" t="n">
        <f aca="false">IF(OR(OR($B91="",$E91="",$F91=""),$K91&lt;&gt;"نعم",$M91="نعم"),0,MAX(0,MIN($F91,EOMONTH(DATE(cfg_FY,7,1),0))-MAX($E91,DATE(cfg_FY,7,1))+1))</f>
        <v>0</v>
      </c>
      <c r="BA91" s="133" t="n">
        <f aca="false">IF(OR(OR($B91="",$E91="",$F91=""),$K91&lt;&gt;"نعم",$M91="نعم"),0,MAX(0,MIN($F91,EOMONTH(DATE(cfg_FY,8,1),0))-MAX($E91,DATE(cfg_FY,8,1))+1))</f>
        <v>0</v>
      </c>
      <c r="BB91" s="133" t="n">
        <f aca="false">IF(OR(OR($B91="",$E91="",$F91=""),$K91&lt;&gt;"نعم",$M91="نعم"),0,MAX(0,MIN($F91,EOMONTH(DATE(cfg_FY,9,1),0))-MAX($E91,DATE(cfg_FY,9,1))+1))</f>
        <v>0</v>
      </c>
      <c r="BC91" s="133" t="n">
        <f aca="false">IF(OR(OR($B91="",$E91="",$F91=""),$K91&lt;&gt;"نعم",$M91="نعم"),0,MAX(0,MIN($F91,EOMONTH(DATE(cfg_FY,10,1),0))-MAX($E91,DATE(cfg_FY,10,1))+1))</f>
        <v>0</v>
      </c>
      <c r="BD91" s="133" t="n">
        <f aca="false">IF(OR(OR($B91="",$E91="",$F91=""),$K91&lt;&gt;"نعم",$M91="نعم"),0,MAX(0,MIN($F91,EOMONTH(DATE(cfg_FY,11,1),0))-MAX($E91,DATE(cfg_FY,11,1))+1))</f>
        <v>0</v>
      </c>
      <c r="BE91" s="133" t="n">
        <f aca="false">IF(OR(OR($B91="",$E91="",$F91=""),$K91&lt;&gt;"نعم",$M91="نعم"),0,MAX(0,MIN($F91,EOMONTH(DATE(cfg_FY,12,1),0))-MAX($E91,DATE(cfg_FY,12,1))+1))</f>
        <v>0</v>
      </c>
    </row>
    <row r="92" customFormat="false" ht="15" hidden="false" customHeight="false" outlineLevel="0" collapsed="false">
      <c r="A92" s="106" t="str">
        <f aca="false">IF(B92="","",ROW()-5)</f>
        <v/>
      </c>
      <c r="B92" s="118"/>
      <c r="C92" s="114" t="str">
        <f aca="false">IF(B92="","",IFERROR(INDEX(الموظفون!$C$6:$C$105,MATCH(B92,الموظفون!$B$6:$B$105,0)),"✖ رقم غير موجود"))</f>
        <v/>
      </c>
      <c r="D92" s="118"/>
      <c r="E92" s="119"/>
      <c r="F92" s="119"/>
      <c r="G92" s="65" t="str">
        <f aca="false">IF(OR($B92="",$E92="",$F92=""),"",MAX(0,F92-E92+1))</f>
        <v/>
      </c>
      <c r="H92" s="66" t="str">
        <f aca="false">IF(D92="","",IFERROR(VLOOKUP(D92,cfg_LT,2,FALSE()),1))</f>
        <v/>
      </c>
      <c r="I92" s="135"/>
      <c r="J92" s="66" t="str">
        <f aca="false">IF(D92="","",IF(I92&lt;&gt;"",I92,H92))</f>
        <v/>
      </c>
      <c r="K92" s="114" t="str">
        <f aca="false">IF(D92="","",IFERROR(VLOOKUP($D92,cfg_LT,3,FALSE()),""))</f>
        <v/>
      </c>
      <c r="L92" s="114" t="str">
        <f aca="false">IF(D92="","",IFERROR(VLOOKUP($D92,cfg_LT,4,FALSE()),""))</f>
        <v/>
      </c>
      <c r="M92" s="114" t="str">
        <f aca="false">IF(D92="","",IFERROR(VLOOKUP($D92,cfg_LT,5,FALSE()),""))</f>
        <v/>
      </c>
      <c r="N92" s="111" t="n">
        <f aca="false">IF(OR(OR($B92="",$E92="",$F92=""),M92&lt;&gt;"نعم"),0,G92*J92*IFERROR(INDEX(الموظفون!$R$6:$R$105,MATCH(B92,الموظفون!$B$6:$B$105,0)),0)/cfg_DAYS_M)</f>
        <v>0</v>
      </c>
      <c r="O92" s="106" t="str">
        <f aca="false">IF(OR(OR($B92="",$E92="",$F92=""),M92&lt;&gt;"نعم"),"",IF(YEAR(E92)=cfg_FY,MONTH(E92),""))</f>
        <v/>
      </c>
      <c r="P92" s="114" t="str">
        <f aca="false">IF(B92="","",IF(OR(D92="",E92="",F92=""),"⚠ أكمل النوع والتواريخ",IF(F92&lt;E92,"✖ النهاية قبل البداية",IF(COUNTIFS($B$6:$B$505,B92,$E$6:$E$505,"&lt;="&amp;F92,$F$6:$F$505,"&gt;="&amp;E92)&gt;1,"⚠ تداخل مع سجل آخر",IF(E92&gt;cfg_VAL_DATE,"⏳ قادمة",IF(F92&lt;cfg_VAL_DATE,"✔ منتهية","✈ جارية في تاريخ التقرير"))))))</f>
        <v/>
      </c>
      <c r="Q92" s="118"/>
      <c r="R92" s="65" t="n">
        <f aca="false">IF(OR(OR($B92="",$E92="",$F92=""),L92&lt;&gt;"لا"),0,MAX(0,MIN(F92,cfg_Y_START-1)-E92+1))</f>
        <v>0</v>
      </c>
      <c r="S92" s="65" t="n">
        <f aca="false">IF(OR(OR($B92="",$E92="",$F92=""),L92&lt;&gt;"لا"),0,MAX(0,MIN(F92,cfg_VAL_DATE)-E92+1))</f>
        <v>0</v>
      </c>
      <c r="T92" s="65" t="n">
        <f aca="false">IF(OR(OR($B92="",$E92="",$F92=""),K92&lt;&gt;"نعم"),0,IF(M92="نعم",IF(AND(ISNUMBER(O92),N(O92)&lt;=cfg_VAL_M),G92,0),MAX(0,MIN(F92,cfg_VAL_DATE)-MAX(E92,cfg_Y_START)+1)))</f>
        <v>0</v>
      </c>
      <c r="V92" s="65" t="n">
        <f aca="false">IF(OR($B92="",$E92="",$F92=""),0,MAX(0,MIN($F92,EOMONTH(DATE(cfg_FY,1,1),0))-MAX($E92,DATE(cfg_FY,1,1))+1)*(1-IF($M92="نعم",0,N($J92))))</f>
        <v>0</v>
      </c>
      <c r="W92" s="65" t="n">
        <f aca="false">IF(OR($B92="",$E92="",$F92=""),0,MAX(0,MIN($F92,EOMONTH(DATE(cfg_FY,2,1),0))-MAX($E92,DATE(cfg_FY,2,1))+1)*(1-IF($M92="نعم",0,N($J92))))</f>
        <v>0</v>
      </c>
      <c r="X92" s="65" t="n">
        <f aca="false">IF(OR($B92="",$E92="",$F92=""),0,MAX(0,MIN($F92,EOMONTH(DATE(cfg_FY,3,1),0))-MAX($E92,DATE(cfg_FY,3,1))+1)*(1-IF($M92="نعم",0,N($J92))))</f>
        <v>0</v>
      </c>
      <c r="Y92" s="65" t="n">
        <f aca="false">IF(OR($B92="",$E92="",$F92=""),0,MAX(0,MIN($F92,EOMONTH(DATE(cfg_FY,4,1),0))-MAX($E92,DATE(cfg_FY,4,1))+1)*(1-IF($M92="نعم",0,N($J92))))</f>
        <v>0</v>
      </c>
      <c r="Z92" s="65" t="n">
        <f aca="false">IF(OR($B92="",$E92="",$F92=""),0,MAX(0,MIN($F92,EOMONTH(DATE(cfg_FY,5,1),0))-MAX($E92,DATE(cfg_FY,5,1))+1)*(1-IF($M92="نعم",0,N($J92))))</f>
        <v>0</v>
      </c>
      <c r="AA92" s="65" t="n">
        <f aca="false">IF(OR($B92="",$E92="",$F92=""),0,MAX(0,MIN($F92,EOMONTH(DATE(cfg_FY,6,1),0))-MAX($E92,DATE(cfg_FY,6,1))+1)*(1-IF($M92="نعم",0,N($J92))))</f>
        <v>0</v>
      </c>
      <c r="AB92" s="65" t="n">
        <f aca="false">IF(OR($B92="",$E92="",$F92=""),0,MAX(0,MIN($F92,EOMONTH(DATE(cfg_FY,7,1),0))-MAX($E92,DATE(cfg_FY,7,1))+1)*(1-IF($M92="نعم",0,N($J92))))</f>
        <v>0</v>
      </c>
      <c r="AC92" s="65" t="n">
        <f aca="false">IF(OR($B92="",$E92="",$F92=""),0,MAX(0,MIN($F92,EOMONTH(DATE(cfg_FY,8,1),0))-MAX($E92,DATE(cfg_FY,8,1))+1)*(1-IF($M92="نعم",0,N($J92))))</f>
        <v>0</v>
      </c>
      <c r="AD92" s="65" t="n">
        <f aca="false">IF(OR($B92="",$E92="",$F92=""),0,MAX(0,MIN($F92,EOMONTH(DATE(cfg_FY,9,1),0))-MAX($E92,DATE(cfg_FY,9,1))+1)*(1-IF($M92="نعم",0,N($J92))))</f>
        <v>0</v>
      </c>
      <c r="AE92" s="65" t="n">
        <f aca="false">IF(OR($B92="",$E92="",$F92=""),0,MAX(0,MIN($F92,EOMONTH(DATE(cfg_FY,10,1),0))-MAX($E92,DATE(cfg_FY,10,1))+1)*(1-IF($M92="نعم",0,N($J92))))</f>
        <v>0</v>
      </c>
      <c r="AF92" s="65" t="n">
        <f aca="false">IF(OR($B92="",$E92="",$F92=""),0,MAX(0,MIN($F92,EOMONTH(DATE(cfg_FY,11,1),0))-MAX($E92,DATE(cfg_FY,11,1))+1)*(1-IF($M92="نعم",0,N($J92))))</f>
        <v>0</v>
      </c>
      <c r="AG92" s="65" t="n">
        <f aca="false">IF(OR($B92="",$E92="",$F92=""),0,MAX(0,MIN($F92,EOMONTH(DATE(cfg_FY,12,1),0))-MAX($E92,DATE(cfg_FY,12,1))+1)*(1-IF($M92="نعم",0,N($J92))))</f>
        <v>0</v>
      </c>
      <c r="AH92" s="65" t="n">
        <f aca="false">IF(OR(OR($B92="",$E92="",$F92=""),$L92&lt;&gt;"لا"),0,MAX(0,MIN($F92,EOMONTH(DATE(cfg_FY,1,1),0))-$E92+1))</f>
        <v>0</v>
      </c>
      <c r="AI92" s="65" t="n">
        <f aca="false">IF(OR(OR($B92="",$E92="",$F92=""),$L92&lt;&gt;"لا"),0,MAX(0,MIN($F92,EOMONTH(DATE(cfg_FY,2,1),0))-$E92+1))</f>
        <v>0</v>
      </c>
      <c r="AJ92" s="65" t="n">
        <f aca="false">IF(OR(OR($B92="",$E92="",$F92=""),$L92&lt;&gt;"لا"),0,MAX(0,MIN($F92,EOMONTH(DATE(cfg_FY,3,1),0))-$E92+1))</f>
        <v>0</v>
      </c>
      <c r="AK92" s="65" t="n">
        <f aca="false">IF(OR(OR($B92="",$E92="",$F92=""),$L92&lt;&gt;"لا"),0,MAX(0,MIN($F92,EOMONTH(DATE(cfg_FY,4,1),0))-$E92+1))</f>
        <v>0</v>
      </c>
      <c r="AL92" s="65" t="n">
        <f aca="false">IF(OR(OR($B92="",$E92="",$F92=""),$L92&lt;&gt;"لا"),0,MAX(0,MIN($F92,EOMONTH(DATE(cfg_FY,5,1),0))-$E92+1))</f>
        <v>0</v>
      </c>
      <c r="AM92" s="65" t="n">
        <f aca="false">IF(OR(OR($B92="",$E92="",$F92=""),$L92&lt;&gt;"لا"),0,MAX(0,MIN($F92,EOMONTH(DATE(cfg_FY,6,1),0))-$E92+1))</f>
        <v>0</v>
      </c>
      <c r="AN92" s="65" t="n">
        <f aca="false">IF(OR(OR($B92="",$E92="",$F92=""),$L92&lt;&gt;"لا"),0,MAX(0,MIN($F92,EOMONTH(DATE(cfg_FY,7,1),0))-$E92+1))</f>
        <v>0</v>
      </c>
      <c r="AO92" s="65" t="n">
        <f aca="false">IF(OR(OR($B92="",$E92="",$F92=""),$L92&lt;&gt;"لا"),0,MAX(0,MIN($F92,EOMONTH(DATE(cfg_FY,8,1),0))-$E92+1))</f>
        <v>0</v>
      </c>
      <c r="AP92" s="65" t="n">
        <f aca="false">IF(OR(OR($B92="",$E92="",$F92=""),$L92&lt;&gt;"لا"),0,MAX(0,MIN($F92,EOMONTH(DATE(cfg_FY,9,1),0))-$E92+1))</f>
        <v>0</v>
      </c>
      <c r="AQ92" s="65" t="n">
        <f aca="false">IF(OR(OR($B92="",$E92="",$F92=""),$L92&lt;&gt;"لا"),0,MAX(0,MIN($F92,EOMONTH(DATE(cfg_FY,10,1),0))-$E92+1))</f>
        <v>0</v>
      </c>
      <c r="AR92" s="65" t="n">
        <f aca="false">IF(OR(OR($B92="",$E92="",$F92=""),$L92&lt;&gt;"لا"),0,MAX(0,MIN($F92,EOMONTH(DATE(cfg_FY,11,1),0))-$E92+1))</f>
        <v>0</v>
      </c>
      <c r="AS92" s="65" t="n">
        <f aca="false">IF(OR(OR($B92="",$E92="",$F92=""),$L92&lt;&gt;"لا"),0,MAX(0,MIN($F92,EOMONTH(DATE(cfg_FY,12,1),0))-$E92+1))</f>
        <v>0</v>
      </c>
      <c r="AT92" s="65" t="n">
        <f aca="false">IF(OR(OR($B92="",$E92="",$F92=""),$K92&lt;&gt;"نعم",$M92="نعم"),0,MAX(0,MIN($F92,EOMONTH(DATE(cfg_FY,1,1),0))-MAX($E92,DATE(cfg_FY,1,1))+1))</f>
        <v>0</v>
      </c>
      <c r="AU92" s="65" t="n">
        <f aca="false">IF(OR(OR($B92="",$E92="",$F92=""),$K92&lt;&gt;"نعم",$M92="نعم"),0,MAX(0,MIN($F92,EOMONTH(DATE(cfg_FY,2,1),0))-MAX($E92,DATE(cfg_FY,2,1))+1))</f>
        <v>0</v>
      </c>
      <c r="AV92" s="65" t="n">
        <f aca="false">IF(OR(OR($B92="",$E92="",$F92=""),$K92&lt;&gt;"نعم",$M92="نعم"),0,MAX(0,MIN($F92,EOMONTH(DATE(cfg_FY,3,1),0))-MAX($E92,DATE(cfg_FY,3,1))+1))</f>
        <v>0</v>
      </c>
      <c r="AW92" s="65" t="n">
        <f aca="false">IF(OR(OR($B92="",$E92="",$F92=""),$K92&lt;&gt;"نعم",$M92="نعم"),0,MAX(0,MIN($F92,EOMONTH(DATE(cfg_FY,4,1),0))-MAX($E92,DATE(cfg_FY,4,1))+1))</f>
        <v>0</v>
      </c>
      <c r="AX92" s="65" t="n">
        <f aca="false">IF(OR(OR($B92="",$E92="",$F92=""),$K92&lt;&gt;"نعم",$M92="نعم"),0,MAX(0,MIN($F92,EOMONTH(DATE(cfg_FY,5,1),0))-MAX($E92,DATE(cfg_FY,5,1))+1))</f>
        <v>0</v>
      </c>
      <c r="AY92" s="65" t="n">
        <f aca="false">IF(OR(OR($B92="",$E92="",$F92=""),$K92&lt;&gt;"نعم",$M92="نعم"),0,MAX(0,MIN($F92,EOMONTH(DATE(cfg_FY,6,1),0))-MAX($E92,DATE(cfg_FY,6,1))+1))</f>
        <v>0</v>
      </c>
      <c r="AZ92" s="65" t="n">
        <f aca="false">IF(OR(OR($B92="",$E92="",$F92=""),$K92&lt;&gt;"نعم",$M92="نعم"),0,MAX(0,MIN($F92,EOMONTH(DATE(cfg_FY,7,1),0))-MAX($E92,DATE(cfg_FY,7,1))+1))</f>
        <v>0</v>
      </c>
      <c r="BA92" s="65" t="n">
        <f aca="false">IF(OR(OR($B92="",$E92="",$F92=""),$K92&lt;&gt;"نعم",$M92="نعم"),0,MAX(0,MIN($F92,EOMONTH(DATE(cfg_FY,8,1),0))-MAX($E92,DATE(cfg_FY,8,1))+1))</f>
        <v>0</v>
      </c>
      <c r="BB92" s="65" t="n">
        <f aca="false">IF(OR(OR($B92="",$E92="",$F92=""),$K92&lt;&gt;"نعم",$M92="نعم"),0,MAX(0,MIN($F92,EOMONTH(DATE(cfg_FY,9,1),0))-MAX($E92,DATE(cfg_FY,9,1))+1))</f>
        <v>0</v>
      </c>
      <c r="BC92" s="65" t="n">
        <f aca="false">IF(OR(OR($B92="",$E92="",$F92=""),$K92&lt;&gt;"نعم",$M92="نعم"),0,MAX(0,MIN($F92,EOMONTH(DATE(cfg_FY,10,1),0))-MAX($E92,DATE(cfg_FY,10,1))+1))</f>
        <v>0</v>
      </c>
      <c r="BD92" s="65" t="n">
        <f aca="false">IF(OR(OR($B92="",$E92="",$F92=""),$K92&lt;&gt;"نعم",$M92="نعم"),0,MAX(0,MIN($F92,EOMONTH(DATE(cfg_FY,11,1),0))-MAX($E92,DATE(cfg_FY,11,1))+1))</f>
        <v>0</v>
      </c>
      <c r="BE92" s="65" t="n">
        <f aca="false">IF(OR(OR($B92="",$E92="",$F92=""),$K92&lt;&gt;"نعم",$M92="نعم"),0,MAX(0,MIN($F92,EOMONTH(DATE(cfg_FY,12,1),0))-MAX($E92,DATE(cfg_FY,12,1))+1))</f>
        <v>0</v>
      </c>
    </row>
    <row r="93" customFormat="false" ht="15" hidden="false" customHeight="false" outlineLevel="0" collapsed="false">
      <c r="A93" s="115" t="str">
        <f aca="false">IF(B93="","",ROW()-5)</f>
        <v/>
      </c>
      <c r="B93" s="118"/>
      <c r="C93" s="117" t="str">
        <f aca="false">IF(B93="","",IFERROR(INDEX(الموظفون!$C$6:$C$105,MATCH(B93,الموظفون!$B$6:$B$105,0)),"✖ رقم غير موجود"))</f>
        <v/>
      </c>
      <c r="D93" s="118"/>
      <c r="E93" s="119"/>
      <c r="F93" s="119"/>
      <c r="G93" s="133" t="str">
        <f aca="false">IF(OR($B93="",$E93="",$F93=""),"",MAX(0,F93-E93+1))</f>
        <v/>
      </c>
      <c r="H93" s="134" t="str">
        <f aca="false">IF(D93="","",IFERROR(VLOOKUP(D93,cfg_LT,2,FALSE()),1))</f>
        <v/>
      </c>
      <c r="I93" s="135"/>
      <c r="J93" s="134" t="str">
        <f aca="false">IF(D93="","",IF(I93&lt;&gt;"",I93,H93))</f>
        <v/>
      </c>
      <c r="K93" s="117" t="str">
        <f aca="false">IF(D93="","",IFERROR(VLOOKUP($D93,cfg_LT,3,FALSE()),""))</f>
        <v/>
      </c>
      <c r="L93" s="117" t="str">
        <f aca="false">IF(D93="","",IFERROR(VLOOKUP($D93,cfg_LT,4,FALSE()),""))</f>
        <v/>
      </c>
      <c r="M93" s="117" t="str">
        <f aca="false">IF(D93="","",IFERROR(VLOOKUP($D93,cfg_LT,5,FALSE()),""))</f>
        <v/>
      </c>
      <c r="N93" s="116" t="n">
        <f aca="false">IF(OR(OR($B93="",$E93="",$F93=""),M93&lt;&gt;"نعم"),0,G93*J93*IFERROR(INDEX(الموظفون!$R$6:$R$105,MATCH(B93,الموظفون!$B$6:$B$105,0)),0)/cfg_DAYS_M)</f>
        <v>0</v>
      </c>
      <c r="O93" s="115" t="str">
        <f aca="false">IF(OR(OR($B93="",$E93="",$F93=""),M93&lt;&gt;"نعم"),"",IF(YEAR(E93)=cfg_FY,MONTH(E93),""))</f>
        <v/>
      </c>
      <c r="P93" s="117" t="str">
        <f aca="false">IF(B93="","",IF(OR(D93="",E93="",F93=""),"⚠ أكمل النوع والتواريخ",IF(F93&lt;E93,"✖ النهاية قبل البداية",IF(COUNTIFS($B$6:$B$505,B93,$E$6:$E$505,"&lt;="&amp;F93,$F$6:$F$505,"&gt;="&amp;E93)&gt;1,"⚠ تداخل مع سجل آخر",IF(E93&gt;cfg_VAL_DATE,"⏳ قادمة",IF(F93&lt;cfg_VAL_DATE,"✔ منتهية","✈ جارية في تاريخ التقرير"))))))</f>
        <v/>
      </c>
      <c r="Q93" s="118"/>
      <c r="R93" s="133" t="n">
        <f aca="false">IF(OR(OR($B93="",$E93="",$F93=""),L93&lt;&gt;"لا"),0,MAX(0,MIN(F93,cfg_Y_START-1)-E93+1))</f>
        <v>0</v>
      </c>
      <c r="S93" s="133" t="n">
        <f aca="false">IF(OR(OR($B93="",$E93="",$F93=""),L93&lt;&gt;"لا"),0,MAX(0,MIN(F93,cfg_VAL_DATE)-E93+1))</f>
        <v>0</v>
      </c>
      <c r="T93" s="133" t="n">
        <f aca="false">IF(OR(OR($B93="",$E93="",$F93=""),K93&lt;&gt;"نعم"),0,IF(M93="نعم",IF(AND(ISNUMBER(O93),N(O93)&lt;=cfg_VAL_M),G93,0),MAX(0,MIN(F93,cfg_VAL_DATE)-MAX(E93,cfg_Y_START)+1)))</f>
        <v>0</v>
      </c>
      <c r="V93" s="133" t="n">
        <f aca="false">IF(OR($B93="",$E93="",$F93=""),0,MAX(0,MIN($F93,EOMONTH(DATE(cfg_FY,1,1),0))-MAX($E93,DATE(cfg_FY,1,1))+1)*(1-IF($M93="نعم",0,N($J93))))</f>
        <v>0</v>
      </c>
      <c r="W93" s="133" t="n">
        <f aca="false">IF(OR($B93="",$E93="",$F93=""),0,MAX(0,MIN($F93,EOMONTH(DATE(cfg_FY,2,1),0))-MAX($E93,DATE(cfg_FY,2,1))+1)*(1-IF($M93="نعم",0,N($J93))))</f>
        <v>0</v>
      </c>
      <c r="X93" s="133" t="n">
        <f aca="false">IF(OR($B93="",$E93="",$F93=""),0,MAX(0,MIN($F93,EOMONTH(DATE(cfg_FY,3,1),0))-MAX($E93,DATE(cfg_FY,3,1))+1)*(1-IF($M93="نعم",0,N($J93))))</f>
        <v>0</v>
      </c>
      <c r="Y93" s="133" t="n">
        <f aca="false">IF(OR($B93="",$E93="",$F93=""),0,MAX(0,MIN($F93,EOMONTH(DATE(cfg_FY,4,1),0))-MAX($E93,DATE(cfg_FY,4,1))+1)*(1-IF($M93="نعم",0,N($J93))))</f>
        <v>0</v>
      </c>
      <c r="Z93" s="133" t="n">
        <f aca="false">IF(OR($B93="",$E93="",$F93=""),0,MAX(0,MIN($F93,EOMONTH(DATE(cfg_FY,5,1),0))-MAX($E93,DATE(cfg_FY,5,1))+1)*(1-IF($M93="نعم",0,N($J93))))</f>
        <v>0</v>
      </c>
      <c r="AA93" s="133" t="n">
        <f aca="false">IF(OR($B93="",$E93="",$F93=""),0,MAX(0,MIN($F93,EOMONTH(DATE(cfg_FY,6,1),0))-MAX($E93,DATE(cfg_FY,6,1))+1)*(1-IF($M93="نعم",0,N($J93))))</f>
        <v>0</v>
      </c>
      <c r="AB93" s="133" t="n">
        <f aca="false">IF(OR($B93="",$E93="",$F93=""),0,MAX(0,MIN($F93,EOMONTH(DATE(cfg_FY,7,1),0))-MAX($E93,DATE(cfg_FY,7,1))+1)*(1-IF($M93="نعم",0,N($J93))))</f>
        <v>0</v>
      </c>
      <c r="AC93" s="133" t="n">
        <f aca="false">IF(OR($B93="",$E93="",$F93=""),0,MAX(0,MIN($F93,EOMONTH(DATE(cfg_FY,8,1),0))-MAX($E93,DATE(cfg_FY,8,1))+1)*(1-IF($M93="نعم",0,N($J93))))</f>
        <v>0</v>
      </c>
      <c r="AD93" s="133" t="n">
        <f aca="false">IF(OR($B93="",$E93="",$F93=""),0,MAX(0,MIN($F93,EOMONTH(DATE(cfg_FY,9,1),0))-MAX($E93,DATE(cfg_FY,9,1))+1)*(1-IF($M93="نعم",0,N($J93))))</f>
        <v>0</v>
      </c>
      <c r="AE93" s="133" t="n">
        <f aca="false">IF(OR($B93="",$E93="",$F93=""),0,MAX(0,MIN($F93,EOMONTH(DATE(cfg_FY,10,1),0))-MAX($E93,DATE(cfg_FY,10,1))+1)*(1-IF($M93="نعم",0,N($J93))))</f>
        <v>0</v>
      </c>
      <c r="AF93" s="133" t="n">
        <f aca="false">IF(OR($B93="",$E93="",$F93=""),0,MAX(0,MIN($F93,EOMONTH(DATE(cfg_FY,11,1),0))-MAX($E93,DATE(cfg_FY,11,1))+1)*(1-IF($M93="نعم",0,N($J93))))</f>
        <v>0</v>
      </c>
      <c r="AG93" s="133" t="n">
        <f aca="false">IF(OR($B93="",$E93="",$F93=""),0,MAX(0,MIN($F93,EOMONTH(DATE(cfg_FY,12,1),0))-MAX($E93,DATE(cfg_FY,12,1))+1)*(1-IF($M93="نعم",0,N($J93))))</f>
        <v>0</v>
      </c>
      <c r="AH93" s="133" t="n">
        <f aca="false">IF(OR(OR($B93="",$E93="",$F93=""),$L93&lt;&gt;"لا"),0,MAX(0,MIN($F93,EOMONTH(DATE(cfg_FY,1,1),0))-$E93+1))</f>
        <v>0</v>
      </c>
      <c r="AI93" s="133" t="n">
        <f aca="false">IF(OR(OR($B93="",$E93="",$F93=""),$L93&lt;&gt;"لا"),0,MAX(0,MIN($F93,EOMONTH(DATE(cfg_FY,2,1),0))-$E93+1))</f>
        <v>0</v>
      </c>
      <c r="AJ93" s="133" t="n">
        <f aca="false">IF(OR(OR($B93="",$E93="",$F93=""),$L93&lt;&gt;"لا"),0,MAX(0,MIN($F93,EOMONTH(DATE(cfg_FY,3,1),0))-$E93+1))</f>
        <v>0</v>
      </c>
      <c r="AK93" s="133" t="n">
        <f aca="false">IF(OR(OR($B93="",$E93="",$F93=""),$L93&lt;&gt;"لا"),0,MAX(0,MIN($F93,EOMONTH(DATE(cfg_FY,4,1),0))-$E93+1))</f>
        <v>0</v>
      </c>
      <c r="AL93" s="133" t="n">
        <f aca="false">IF(OR(OR($B93="",$E93="",$F93=""),$L93&lt;&gt;"لا"),0,MAX(0,MIN($F93,EOMONTH(DATE(cfg_FY,5,1),0))-$E93+1))</f>
        <v>0</v>
      </c>
      <c r="AM93" s="133" t="n">
        <f aca="false">IF(OR(OR($B93="",$E93="",$F93=""),$L93&lt;&gt;"لا"),0,MAX(0,MIN($F93,EOMONTH(DATE(cfg_FY,6,1),0))-$E93+1))</f>
        <v>0</v>
      </c>
      <c r="AN93" s="133" t="n">
        <f aca="false">IF(OR(OR($B93="",$E93="",$F93=""),$L93&lt;&gt;"لا"),0,MAX(0,MIN($F93,EOMONTH(DATE(cfg_FY,7,1),0))-$E93+1))</f>
        <v>0</v>
      </c>
      <c r="AO93" s="133" t="n">
        <f aca="false">IF(OR(OR($B93="",$E93="",$F93=""),$L93&lt;&gt;"لا"),0,MAX(0,MIN($F93,EOMONTH(DATE(cfg_FY,8,1),0))-$E93+1))</f>
        <v>0</v>
      </c>
      <c r="AP93" s="133" t="n">
        <f aca="false">IF(OR(OR($B93="",$E93="",$F93=""),$L93&lt;&gt;"لا"),0,MAX(0,MIN($F93,EOMONTH(DATE(cfg_FY,9,1),0))-$E93+1))</f>
        <v>0</v>
      </c>
      <c r="AQ93" s="133" t="n">
        <f aca="false">IF(OR(OR($B93="",$E93="",$F93=""),$L93&lt;&gt;"لا"),0,MAX(0,MIN($F93,EOMONTH(DATE(cfg_FY,10,1),0))-$E93+1))</f>
        <v>0</v>
      </c>
      <c r="AR93" s="133" t="n">
        <f aca="false">IF(OR(OR($B93="",$E93="",$F93=""),$L93&lt;&gt;"لا"),0,MAX(0,MIN($F93,EOMONTH(DATE(cfg_FY,11,1),0))-$E93+1))</f>
        <v>0</v>
      </c>
      <c r="AS93" s="133" t="n">
        <f aca="false">IF(OR(OR($B93="",$E93="",$F93=""),$L93&lt;&gt;"لا"),0,MAX(0,MIN($F93,EOMONTH(DATE(cfg_FY,12,1),0))-$E93+1))</f>
        <v>0</v>
      </c>
      <c r="AT93" s="133" t="n">
        <f aca="false">IF(OR(OR($B93="",$E93="",$F93=""),$K93&lt;&gt;"نعم",$M93="نعم"),0,MAX(0,MIN($F93,EOMONTH(DATE(cfg_FY,1,1),0))-MAX($E93,DATE(cfg_FY,1,1))+1))</f>
        <v>0</v>
      </c>
      <c r="AU93" s="133" t="n">
        <f aca="false">IF(OR(OR($B93="",$E93="",$F93=""),$K93&lt;&gt;"نعم",$M93="نعم"),0,MAX(0,MIN($F93,EOMONTH(DATE(cfg_FY,2,1),0))-MAX($E93,DATE(cfg_FY,2,1))+1))</f>
        <v>0</v>
      </c>
      <c r="AV93" s="133" t="n">
        <f aca="false">IF(OR(OR($B93="",$E93="",$F93=""),$K93&lt;&gt;"نعم",$M93="نعم"),0,MAX(0,MIN($F93,EOMONTH(DATE(cfg_FY,3,1),0))-MAX($E93,DATE(cfg_FY,3,1))+1))</f>
        <v>0</v>
      </c>
      <c r="AW93" s="133" t="n">
        <f aca="false">IF(OR(OR($B93="",$E93="",$F93=""),$K93&lt;&gt;"نعم",$M93="نعم"),0,MAX(0,MIN($F93,EOMONTH(DATE(cfg_FY,4,1),0))-MAX($E93,DATE(cfg_FY,4,1))+1))</f>
        <v>0</v>
      </c>
      <c r="AX93" s="133" t="n">
        <f aca="false">IF(OR(OR($B93="",$E93="",$F93=""),$K93&lt;&gt;"نعم",$M93="نعم"),0,MAX(0,MIN($F93,EOMONTH(DATE(cfg_FY,5,1),0))-MAX($E93,DATE(cfg_FY,5,1))+1))</f>
        <v>0</v>
      </c>
      <c r="AY93" s="133" t="n">
        <f aca="false">IF(OR(OR($B93="",$E93="",$F93=""),$K93&lt;&gt;"نعم",$M93="نعم"),0,MAX(0,MIN($F93,EOMONTH(DATE(cfg_FY,6,1),0))-MAX($E93,DATE(cfg_FY,6,1))+1))</f>
        <v>0</v>
      </c>
      <c r="AZ93" s="133" t="n">
        <f aca="false">IF(OR(OR($B93="",$E93="",$F93=""),$K93&lt;&gt;"نعم",$M93="نعم"),0,MAX(0,MIN($F93,EOMONTH(DATE(cfg_FY,7,1),0))-MAX($E93,DATE(cfg_FY,7,1))+1))</f>
        <v>0</v>
      </c>
      <c r="BA93" s="133" t="n">
        <f aca="false">IF(OR(OR($B93="",$E93="",$F93=""),$K93&lt;&gt;"نعم",$M93="نعم"),0,MAX(0,MIN($F93,EOMONTH(DATE(cfg_FY,8,1),0))-MAX($E93,DATE(cfg_FY,8,1))+1))</f>
        <v>0</v>
      </c>
      <c r="BB93" s="133" t="n">
        <f aca="false">IF(OR(OR($B93="",$E93="",$F93=""),$K93&lt;&gt;"نعم",$M93="نعم"),0,MAX(0,MIN($F93,EOMONTH(DATE(cfg_FY,9,1),0))-MAX($E93,DATE(cfg_FY,9,1))+1))</f>
        <v>0</v>
      </c>
      <c r="BC93" s="133" t="n">
        <f aca="false">IF(OR(OR($B93="",$E93="",$F93=""),$K93&lt;&gt;"نعم",$M93="نعم"),0,MAX(0,MIN($F93,EOMONTH(DATE(cfg_FY,10,1),0))-MAX($E93,DATE(cfg_FY,10,1))+1))</f>
        <v>0</v>
      </c>
      <c r="BD93" s="133" t="n">
        <f aca="false">IF(OR(OR($B93="",$E93="",$F93=""),$K93&lt;&gt;"نعم",$M93="نعم"),0,MAX(0,MIN($F93,EOMONTH(DATE(cfg_FY,11,1),0))-MAX($E93,DATE(cfg_FY,11,1))+1))</f>
        <v>0</v>
      </c>
      <c r="BE93" s="133" t="n">
        <f aca="false">IF(OR(OR($B93="",$E93="",$F93=""),$K93&lt;&gt;"نعم",$M93="نعم"),0,MAX(0,MIN($F93,EOMONTH(DATE(cfg_FY,12,1),0))-MAX($E93,DATE(cfg_FY,12,1))+1))</f>
        <v>0</v>
      </c>
    </row>
    <row r="94" customFormat="false" ht="15" hidden="false" customHeight="false" outlineLevel="0" collapsed="false">
      <c r="A94" s="106" t="str">
        <f aca="false">IF(B94="","",ROW()-5)</f>
        <v/>
      </c>
      <c r="B94" s="118"/>
      <c r="C94" s="114" t="str">
        <f aca="false">IF(B94="","",IFERROR(INDEX(الموظفون!$C$6:$C$105,MATCH(B94,الموظفون!$B$6:$B$105,0)),"✖ رقم غير موجود"))</f>
        <v/>
      </c>
      <c r="D94" s="118"/>
      <c r="E94" s="119"/>
      <c r="F94" s="119"/>
      <c r="G94" s="65" t="str">
        <f aca="false">IF(OR($B94="",$E94="",$F94=""),"",MAX(0,F94-E94+1))</f>
        <v/>
      </c>
      <c r="H94" s="66" t="str">
        <f aca="false">IF(D94="","",IFERROR(VLOOKUP(D94,cfg_LT,2,FALSE()),1))</f>
        <v/>
      </c>
      <c r="I94" s="135"/>
      <c r="J94" s="66" t="str">
        <f aca="false">IF(D94="","",IF(I94&lt;&gt;"",I94,H94))</f>
        <v/>
      </c>
      <c r="K94" s="114" t="str">
        <f aca="false">IF(D94="","",IFERROR(VLOOKUP($D94,cfg_LT,3,FALSE()),""))</f>
        <v/>
      </c>
      <c r="L94" s="114" t="str">
        <f aca="false">IF(D94="","",IFERROR(VLOOKUP($D94,cfg_LT,4,FALSE()),""))</f>
        <v/>
      </c>
      <c r="M94" s="114" t="str">
        <f aca="false">IF(D94="","",IFERROR(VLOOKUP($D94,cfg_LT,5,FALSE()),""))</f>
        <v/>
      </c>
      <c r="N94" s="111" t="n">
        <f aca="false">IF(OR(OR($B94="",$E94="",$F94=""),M94&lt;&gt;"نعم"),0,G94*J94*IFERROR(INDEX(الموظفون!$R$6:$R$105,MATCH(B94,الموظفون!$B$6:$B$105,0)),0)/cfg_DAYS_M)</f>
        <v>0</v>
      </c>
      <c r="O94" s="106" t="str">
        <f aca="false">IF(OR(OR($B94="",$E94="",$F94=""),M94&lt;&gt;"نعم"),"",IF(YEAR(E94)=cfg_FY,MONTH(E94),""))</f>
        <v/>
      </c>
      <c r="P94" s="114" t="str">
        <f aca="false">IF(B94="","",IF(OR(D94="",E94="",F94=""),"⚠ أكمل النوع والتواريخ",IF(F94&lt;E94,"✖ النهاية قبل البداية",IF(COUNTIFS($B$6:$B$505,B94,$E$6:$E$505,"&lt;="&amp;F94,$F$6:$F$505,"&gt;="&amp;E94)&gt;1,"⚠ تداخل مع سجل آخر",IF(E94&gt;cfg_VAL_DATE,"⏳ قادمة",IF(F94&lt;cfg_VAL_DATE,"✔ منتهية","✈ جارية في تاريخ التقرير"))))))</f>
        <v/>
      </c>
      <c r="Q94" s="118"/>
      <c r="R94" s="65" t="n">
        <f aca="false">IF(OR(OR($B94="",$E94="",$F94=""),L94&lt;&gt;"لا"),0,MAX(0,MIN(F94,cfg_Y_START-1)-E94+1))</f>
        <v>0</v>
      </c>
      <c r="S94" s="65" t="n">
        <f aca="false">IF(OR(OR($B94="",$E94="",$F94=""),L94&lt;&gt;"لا"),0,MAX(0,MIN(F94,cfg_VAL_DATE)-E94+1))</f>
        <v>0</v>
      </c>
      <c r="T94" s="65" t="n">
        <f aca="false">IF(OR(OR($B94="",$E94="",$F94=""),K94&lt;&gt;"نعم"),0,IF(M94="نعم",IF(AND(ISNUMBER(O94),N(O94)&lt;=cfg_VAL_M),G94,0),MAX(0,MIN(F94,cfg_VAL_DATE)-MAX(E94,cfg_Y_START)+1)))</f>
        <v>0</v>
      </c>
      <c r="V94" s="65" t="n">
        <f aca="false">IF(OR($B94="",$E94="",$F94=""),0,MAX(0,MIN($F94,EOMONTH(DATE(cfg_FY,1,1),0))-MAX($E94,DATE(cfg_FY,1,1))+1)*(1-IF($M94="نعم",0,N($J94))))</f>
        <v>0</v>
      </c>
      <c r="W94" s="65" t="n">
        <f aca="false">IF(OR($B94="",$E94="",$F94=""),0,MAX(0,MIN($F94,EOMONTH(DATE(cfg_FY,2,1),0))-MAX($E94,DATE(cfg_FY,2,1))+1)*(1-IF($M94="نعم",0,N($J94))))</f>
        <v>0</v>
      </c>
      <c r="X94" s="65" t="n">
        <f aca="false">IF(OR($B94="",$E94="",$F94=""),0,MAX(0,MIN($F94,EOMONTH(DATE(cfg_FY,3,1),0))-MAX($E94,DATE(cfg_FY,3,1))+1)*(1-IF($M94="نعم",0,N($J94))))</f>
        <v>0</v>
      </c>
      <c r="Y94" s="65" t="n">
        <f aca="false">IF(OR($B94="",$E94="",$F94=""),0,MAX(0,MIN($F94,EOMONTH(DATE(cfg_FY,4,1),0))-MAX($E94,DATE(cfg_FY,4,1))+1)*(1-IF($M94="نعم",0,N($J94))))</f>
        <v>0</v>
      </c>
      <c r="Z94" s="65" t="n">
        <f aca="false">IF(OR($B94="",$E94="",$F94=""),0,MAX(0,MIN($F94,EOMONTH(DATE(cfg_FY,5,1),0))-MAX($E94,DATE(cfg_FY,5,1))+1)*(1-IF($M94="نعم",0,N($J94))))</f>
        <v>0</v>
      </c>
      <c r="AA94" s="65" t="n">
        <f aca="false">IF(OR($B94="",$E94="",$F94=""),0,MAX(0,MIN($F94,EOMONTH(DATE(cfg_FY,6,1),0))-MAX($E94,DATE(cfg_FY,6,1))+1)*(1-IF($M94="نعم",0,N($J94))))</f>
        <v>0</v>
      </c>
      <c r="AB94" s="65" t="n">
        <f aca="false">IF(OR($B94="",$E94="",$F94=""),0,MAX(0,MIN($F94,EOMONTH(DATE(cfg_FY,7,1),0))-MAX($E94,DATE(cfg_FY,7,1))+1)*(1-IF($M94="نعم",0,N($J94))))</f>
        <v>0</v>
      </c>
      <c r="AC94" s="65" t="n">
        <f aca="false">IF(OR($B94="",$E94="",$F94=""),0,MAX(0,MIN($F94,EOMONTH(DATE(cfg_FY,8,1),0))-MAX($E94,DATE(cfg_FY,8,1))+1)*(1-IF($M94="نعم",0,N($J94))))</f>
        <v>0</v>
      </c>
      <c r="AD94" s="65" t="n">
        <f aca="false">IF(OR($B94="",$E94="",$F94=""),0,MAX(0,MIN($F94,EOMONTH(DATE(cfg_FY,9,1),0))-MAX($E94,DATE(cfg_FY,9,1))+1)*(1-IF($M94="نعم",0,N($J94))))</f>
        <v>0</v>
      </c>
      <c r="AE94" s="65" t="n">
        <f aca="false">IF(OR($B94="",$E94="",$F94=""),0,MAX(0,MIN($F94,EOMONTH(DATE(cfg_FY,10,1),0))-MAX($E94,DATE(cfg_FY,10,1))+1)*(1-IF($M94="نعم",0,N($J94))))</f>
        <v>0</v>
      </c>
      <c r="AF94" s="65" t="n">
        <f aca="false">IF(OR($B94="",$E94="",$F94=""),0,MAX(0,MIN($F94,EOMONTH(DATE(cfg_FY,11,1),0))-MAX($E94,DATE(cfg_FY,11,1))+1)*(1-IF($M94="نعم",0,N($J94))))</f>
        <v>0</v>
      </c>
      <c r="AG94" s="65" t="n">
        <f aca="false">IF(OR($B94="",$E94="",$F94=""),0,MAX(0,MIN($F94,EOMONTH(DATE(cfg_FY,12,1),0))-MAX($E94,DATE(cfg_FY,12,1))+1)*(1-IF($M94="نعم",0,N($J94))))</f>
        <v>0</v>
      </c>
      <c r="AH94" s="65" t="n">
        <f aca="false">IF(OR(OR($B94="",$E94="",$F94=""),$L94&lt;&gt;"لا"),0,MAX(0,MIN($F94,EOMONTH(DATE(cfg_FY,1,1),0))-$E94+1))</f>
        <v>0</v>
      </c>
      <c r="AI94" s="65" t="n">
        <f aca="false">IF(OR(OR($B94="",$E94="",$F94=""),$L94&lt;&gt;"لا"),0,MAX(0,MIN($F94,EOMONTH(DATE(cfg_FY,2,1),0))-$E94+1))</f>
        <v>0</v>
      </c>
      <c r="AJ94" s="65" t="n">
        <f aca="false">IF(OR(OR($B94="",$E94="",$F94=""),$L94&lt;&gt;"لا"),0,MAX(0,MIN($F94,EOMONTH(DATE(cfg_FY,3,1),0))-$E94+1))</f>
        <v>0</v>
      </c>
      <c r="AK94" s="65" t="n">
        <f aca="false">IF(OR(OR($B94="",$E94="",$F94=""),$L94&lt;&gt;"لا"),0,MAX(0,MIN($F94,EOMONTH(DATE(cfg_FY,4,1),0))-$E94+1))</f>
        <v>0</v>
      </c>
      <c r="AL94" s="65" t="n">
        <f aca="false">IF(OR(OR($B94="",$E94="",$F94=""),$L94&lt;&gt;"لا"),0,MAX(0,MIN($F94,EOMONTH(DATE(cfg_FY,5,1),0))-$E94+1))</f>
        <v>0</v>
      </c>
      <c r="AM94" s="65" t="n">
        <f aca="false">IF(OR(OR($B94="",$E94="",$F94=""),$L94&lt;&gt;"لا"),0,MAX(0,MIN($F94,EOMONTH(DATE(cfg_FY,6,1),0))-$E94+1))</f>
        <v>0</v>
      </c>
      <c r="AN94" s="65" t="n">
        <f aca="false">IF(OR(OR($B94="",$E94="",$F94=""),$L94&lt;&gt;"لا"),0,MAX(0,MIN($F94,EOMONTH(DATE(cfg_FY,7,1),0))-$E94+1))</f>
        <v>0</v>
      </c>
      <c r="AO94" s="65" t="n">
        <f aca="false">IF(OR(OR($B94="",$E94="",$F94=""),$L94&lt;&gt;"لا"),0,MAX(0,MIN($F94,EOMONTH(DATE(cfg_FY,8,1),0))-$E94+1))</f>
        <v>0</v>
      </c>
      <c r="AP94" s="65" t="n">
        <f aca="false">IF(OR(OR($B94="",$E94="",$F94=""),$L94&lt;&gt;"لا"),0,MAX(0,MIN($F94,EOMONTH(DATE(cfg_FY,9,1),0))-$E94+1))</f>
        <v>0</v>
      </c>
      <c r="AQ94" s="65" t="n">
        <f aca="false">IF(OR(OR($B94="",$E94="",$F94=""),$L94&lt;&gt;"لا"),0,MAX(0,MIN($F94,EOMONTH(DATE(cfg_FY,10,1),0))-$E94+1))</f>
        <v>0</v>
      </c>
      <c r="AR94" s="65" t="n">
        <f aca="false">IF(OR(OR($B94="",$E94="",$F94=""),$L94&lt;&gt;"لا"),0,MAX(0,MIN($F94,EOMONTH(DATE(cfg_FY,11,1),0))-$E94+1))</f>
        <v>0</v>
      </c>
      <c r="AS94" s="65" t="n">
        <f aca="false">IF(OR(OR($B94="",$E94="",$F94=""),$L94&lt;&gt;"لا"),0,MAX(0,MIN($F94,EOMONTH(DATE(cfg_FY,12,1),0))-$E94+1))</f>
        <v>0</v>
      </c>
      <c r="AT94" s="65" t="n">
        <f aca="false">IF(OR(OR($B94="",$E94="",$F94=""),$K94&lt;&gt;"نعم",$M94="نعم"),0,MAX(0,MIN($F94,EOMONTH(DATE(cfg_FY,1,1),0))-MAX($E94,DATE(cfg_FY,1,1))+1))</f>
        <v>0</v>
      </c>
      <c r="AU94" s="65" t="n">
        <f aca="false">IF(OR(OR($B94="",$E94="",$F94=""),$K94&lt;&gt;"نعم",$M94="نعم"),0,MAX(0,MIN($F94,EOMONTH(DATE(cfg_FY,2,1),0))-MAX($E94,DATE(cfg_FY,2,1))+1))</f>
        <v>0</v>
      </c>
      <c r="AV94" s="65" t="n">
        <f aca="false">IF(OR(OR($B94="",$E94="",$F94=""),$K94&lt;&gt;"نعم",$M94="نعم"),0,MAX(0,MIN($F94,EOMONTH(DATE(cfg_FY,3,1),0))-MAX($E94,DATE(cfg_FY,3,1))+1))</f>
        <v>0</v>
      </c>
      <c r="AW94" s="65" t="n">
        <f aca="false">IF(OR(OR($B94="",$E94="",$F94=""),$K94&lt;&gt;"نعم",$M94="نعم"),0,MAX(0,MIN($F94,EOMONTH(DATE(cfg_FY,4,1),0))-MAX($E94,DATE(cfg_FY,4,1))+1))</f>
        <v>0</v>
      </c>
      <c r="AX94" s="65" t="n">
        <f aca="false">IF(OR(OR($B94="",$E94="",$F94=""),$K94&lt;&gt;"نعم",$M94="نعم"),0,MAX(0,MIN($F94,EOMONTH(DATE(cfg_FY,5,1),0))-MAX($E94,DATE(cfg_FY,5,1))+1))</f>
        <v>0</v>
      </c>
      <c r="AY94" s="65" t="n">
        <f aca="false">IF(OR(OR($B94="",$E94="",$F94=""),$K94&lt;&gt;"نعم",$M94="نعم"),0,MAX(0,MIN($F94,EOMONTH(DATE(cfg_FY,6,1),0))-MAX($E94,DATE(cfg_FY,6,1))+1))</f>
        <v>0</v>
      </c>
      <c r="AZ94" s="65" t="n">
        <f aca="false">IF(OR(OR($B94="",$E94="",$F94=""),$K94&lt;&gt;"نعم",$M94="نعم"),0,MAX(0,MIN($F94,EOMONTH(DATE(cfg_FY,7,1),0))-MAX($E94,DATE(cfg_FY,7,1))+1))</f>
        <v>0</v>
      </c>
      <c r="BA94" s="65" t="n">
        <f aca="false">IF(OR(OR($B94="",$E94="",$F94=""),$K94&lt;&gt;"نعم",$M94="نعم"),0,MAX(0,MIN($F94,EOMONTH(DATE(cfg_FY,8,1),0))-MAX($E94,DATE(cfg_FY,8,1))+1))</f>
        <v>0</v>
      </c>
      <c r="BB94" s="65" t="n">
        <f aca="false">IF(OR(OR($B94="",$E94="",$F94=""),$K94&lt;&gt;"نعم",$M94="نعم"),0,MAX(0,MIN($F94,EOMONTH(DATE(cfg_FY,9,1),0))-MAX($E94,DATE(cfg_FY,9,1))+1))</f>
        <v>0</v>
      </c>
      <c r="BC94" s="65" t="n">
        <f aca="false">IF(OR(OR($B94="",$E94="",$F94=""),$K94&lt;&gt;"نعم",$M94="نعم"),0,MAX(0,MIN($F94,EOMONTH(DATE(cfg_FY,10,1),0))-MAX($E94,DATE(cfg_FY,10,1))+1))</f>
        <v>0</v>
      </c>
      <c r="BD94" s="65" t="n">
        <f aca="false">IF(OR(OR($B94="",$E94="",$F94=""),$K94&lt;&gt;"نعم",$M94="نعم"),0,MAX(0,MIN($F94,EOMONTH(DATE(cfg_FY,11,1),0))-MAX($E94,DATE(cfg_FY,11,1))+1))</f>
        <v>0</v>
      </c>
      <c r="BE94" s="65" t="n">
        <f aca="false">IF(OR(OR($B94="",$E94="",$F94=""),$K94&lt;&gt;"نعم",$M94="نعم"),0,MAX(0,MIN($F94,EOMONTH(DATE(cfg_FY,12,1),0))-MAX($E94,DATE(cfg_FY,12,1))+1))</f>
        <v>0</v>
      </c>
    </row>
    <row r="95" customFormat="false" ht="15" hidden="false" customHeight="false" outlineLevel="0" collapsed="false">
      <c r="A95" s="115" t="str">
        <f aca="false">IF(B95="","",ROW()-5)</f>
        <v/>
      </c>
      <c r="B95" s="118"/>
      <c r="C95" s="117" t="str">
        <f aca="false">IF(B95="","",IFERROR(INDEX(الموظفون!$C$6:$C$105,MATCH(B95,الموظفون!$B$6:$B$105,0)),"✖ رقم غير موجود"))</f>
        <v/>
      </c>
      <c r="D95" s="118"/>
      <c r="E95" s="119"/>
      <c r="F95" s="119"/>
      <c r="G95" s="133" t="str">
        <f aca="false">IF(OR($B95="",$E95="",$F95=""),"",MAX(0,F95-E95+1))</f>
        <v/>
      </c>
      <c r="H95" s="134" t="str">
        <f aca="false">IF(D95="","",IFERROR(VLOOKUP(D95,cfg_LT,2,FALSE()),1))</f>
        <v/>
      </c>
      <c r="I95" s="135"/>
      <c r="J95" s="134" t="str">
        <f aca="false">IF(D95="","",IF(I95&lt;&gt;"",I95,H95))</f>
        <v/>
      </c>
      <c r="K95" s="117" t="str">
        <f aca="false">IF(D95="","",IFERROR(VLOOKUP($D95,cfg_LT,3,FALSE()),""))</f>
        <v/>
      </c>
      <c r="L95" s="117" t="str">
        <f aca="false">IF(D95="","",IFERROR(VLOOKUP($D95,cfg_LT,4,FALSE()),""))</f>
        <v/>
      </c>
      <c r="M95" s="117" t="str">
        <f aca="false">IF(D95="","",IFERROR(VLOOKUP($D95,cfg_LT,5,FALSE()),""))</f>
        <v/>
      </c>
      <c r="N95" s="116" t="n">
        <f aca="false">IF(OR(OR($B95="",$E95="",$F95=""),M95&lt;&gt;"نعم"),0,G95*J95*IFERROR(INDEX(الموظفون!$R$6:$R$105,MATCH(B95,الموظفون!$B$6:$B$105,0)),0)/cfg_DAYS_M)</f>
        <v>0</v>
      </c>
      <c r="O95" s="115" t="str">
        <f aca="false">IF(OR(OR($B95="",$E95="",$F95=""),M95&lt;&gt;"نعم"),"",IF(YEAR(E95)=cfg_FY,MONTH(E95),""))</f>
        <v/>
      </c>
      <c r="P95" s="117" t="str">
        <f aca="false">IF(B95="","",IF(OR(D95="",E95="",F95=""),"⚠ أكمل النوع والتواريخ",IF(F95&lt;E95,"✖ النهاية قبل البداية",IF(COUNTIFS($B$6:$B$505,B95,$E$6:$E$505,"&lt;="&amp;F95,$F$6:$F$505,"&gt;="&amp;E95)&gt;1,"⚠ تداخل مع سجل آخر",IF(E95&gt;cfg_VAL_DATE,"⏳ قادمة",IF(F95&lt;cfg_VAL_DATE,"✔ منتهية","✈ جارية في تاريخ التقرير"))))))</f>
        <v/>
      </c>
      <c r="Q95" s="118"/>
      <c r="R95" s="133" t="n">
        <f aca="false">IF(OR(OR($B95="",$E95="",$F95=""),L95&lt;&gt;"لا"),0,MAX(0,MIN(F95,cfg_Y_START-1)-E95+1))</f>
        <v>0</v>
      </c>
      <c r="S95" s="133" t="n">
        <f aca="false">IF(OR(OR($B95="",$E95="",$F95=""),L95&lt;&gt;"لا"),0,MAX(0,MIN(F95,cfg_VAL_DATE)-E95+1))</f>
        <v>0</v>
      </c>
      <c r="T95" s="133" t="n">
        <f aca="false">IF(OR(OR($B95="",$E95="",$F95=""),K95&lt;&gt;"نعم"),0,IF(M95="نعم",IF(AND(ISNUMBER(O95),N(O95)&lt;=cfg_VAL_M),G95,0),MAX(0,MIN(F95,cfg_VAL_DATE)-MAX(E95,cfg_Y_START)+1)))</f>
        <v>0</v>
      </c>
      <c r="V95" s="133" t="n">
        <f aca="false">IF(OR($B95="",$E95="",$F95=""),0,MAX(0,MIN($F95,EOMONTH(DATE(cfg_FY,1,1),0))-MAX($E95,DATE(cfg_FY,1,1))+1)*(1-IF($M95="نعم",0,N($J95))))</f>
        <v>0</v>
      </c>
      <c r="W95" s="133" t="n">
        <f aca="false">IF(OR($B95="",$E95="",$F95=""),0,MAX(0,MIN($F95,EOMONTH(DATE(cfg_FY,2,1),0))-MAX($E95,DATE(cfg_FY,2,1))+1)*(1-IF($M95="نعم",0,N($J95))))</f>
        <v>0</v>
      </c>
      <c r="X95" s="133" t="n">
        <f aca="false">IF(OR($B95="",$E95="",$F95=""),0,MAX(0,MIN($F95,EOMONTH(DATE(cfg_FY,3,1),0))-MAX($E95,DATE(cfg_FY,3,1))+1)*(1-IF($M95="نعم",0,N($J95))))</f>
        <v>0</v>
      </c>
      <c r="Y95" s="133" t="n">
        <f aca="false">IF(OR($B95="",$E95="",$F95=""),0,MAX(0,MIN($F95,EOMONTH(DATE(cfg_FY,4,1),0))-MAX($E95,DATE(cfg_FY,4,1))+1)*(1-IF($M95="نعم",0,N($J95))))</f>
        <v>0</v>
      </c>
      <c r="Z95" s="133" t="n">
        <f aca="false">IF(OR($B95="",$E95="",$F95=""),0,MAX(0,MIN($F95,EOMONTH(DATE(cfg_FY,5,1),0))-MAX($E95,DATE(cfg_FY,5,1))+1)*(1-IF($M95="نعم",0,N($J95))))</f>
        <v>0</v>
      </c>
      <c r="AA95" s="133" t="n">
        <f aca="false">IF(OR($B95="",$E95="",$F95=""),0,MAX(0,MIN($F95,EOMONTH(DATE(cfg_FY,6,1),0))-MAX($E95,DATE(cfg_FY,6,1))+1)*(1-IF($M95="نعم",0,N($J95))))</f>
        <v>0</v>
      </c>
      <c r="AB95" s="133" t="n">
        <f aca="false">IF(OR($B95="",$E95="",$F95=""),0,MAX(0,MIN($F95,EOMONTH(DATE(cfg_FY,7,1),0))-MAX($E95,DATE(cfg_FY,7,1))+1)*(1-IF($M95="نعم",0,N($J95))))</f>
        <v>0</v>
      </c>
      <c r="AC95" s="133" t="n">
        <f aca="false">IF(OR($B95="",$E95="",$F95=""),0,MAX(0,MIN($F95,EOMONTH(DATE(cfg_FY,8,1),0))-MAX($E95,DATE(cfg_FY,8,1))+1)*(1-IF($M95="نعم",0,N($J95))))</f>
        <v>0</v>
      </c>
      <c r="AD95" s="133" t="n">
        <f aca="false">IF(OR($B95="",$E95="",$F95=""),0,MAX(0,MIN($F95,EOMONTH(DATE(cfg_FY,9,1),0))-MAX($E95,DATE(cfg_FY,9,1))+1)*(1-IF($M95="نعم",0,N($J95))))</f>
        <v>0</v>
      </c>
      <c r="AE95" s="133" t="n">
        <f aca="false">IF(OR($B95="",$E95="",$F95=""),0,MAX(0,MIN($F95,EOMONTH(DATE(cfg_FY,10,1),0))-MAX($E95,DATE(cfg_FY,10,1))+1)*(1-IF($M95="نعم",0,N($J95))))</f>
        <v>0</v>
      </c>
      <c r="AF95" s="133" t="n">
        <f aca="false">IF(OR($B95="",$E95="",$F95=""),0,MAX(0,MIN($F95,EOMONTH(DATE(cfg_FY,11,1),0))-MAX($E95,DATE(cfg_FY,11,1))+1)*(1-IF($M95="نعم",0,N($J95))))</f>
        <v>0</v>
      </c>
      <c r="AG95" s="133" t="n">
        <f aca="false">IF(OR($B95="",$E95="",$F95=""),0,MAX(0,MIN($F95,EOMONTH(DATE(cfg_FY,12,1),0))-MAX($E95,DATE(cfg_FY,12,1))+1)*(1-IF($M95="نعم",0,N($J95))))</f>
        <v>0</v>
      </c>
      <c r="AH95" s="133" t="n">
        <f aca="false">IF(OR(OR($B95="",$E95="",$F95=""),$L95&lt;&gt;"لا"),0,MAX(0,MIN($F95,EOMONTH(DATE(cfg_FY,1,1),0))-$E95+1))</f>
        <v>0</v>
      </c>
      <c r="AI95" s="133" t="n">
        <f aca="false">IF(OR(OR($B95="",$E95="",$F95=""),$L95&lt;&gt;"لا"),0,MAX(0,MIN($F95,EOMONTH(DATE(cfg_FY,2,1),0))-$E95+1))</f>
        <v>0</v>
      </c>
      <c r="AJ95" s="133" t="n">
        <f aca="false">IF(OR(OR($B95="",$E95="",$F95=""),$L95&lt;&gt;"لا"),0,MAX(0,MIN($F95,EOMONTH(DATE(cfg_FY,3,1),0))-$E95+1))</f>
        <v>0</v>
      </c>
      <c r="AK95" s="133" t="n">
        <f aca="false">IF(OR(OR($B95="",$E95="",$F95=""),$L95&lt;&gt;"لا"),0,MAX(0,MIN($F95,EOMONTH(DATE(cfg_FY,4,1),0))-$E95+1))</f>
        <v>0</v>
      </c>
      <c r="AL95" s="133" t="n">
        <f aca="false">IF(OR(OR($B95="",$E95="",$F95=""),$L95&lt;&gt;"لا"),0,MAX(0,MIN($F95,EOMONTH(DATE(cfg_FY,5,1),0))-$E95+1))</f>
        <v>0</v>
      </c>
      <c r="AM95" s="133" t="n">
        <f aca="false">IF(OR(OR($B95="",$E95="",$F95=""),$L95&lt;&gt;"لا"),0,MAX(0,MIN($F95,EOMONTH(DATE(cfg_FY,6,1),0))-$E95+1))</f>
        <v>0</v>
      </c>
      <c r="AN95" s="133" t="n">
        <f aca="false">IF(OR(OR($B95="",$E95="",$F95=""),$L95&lt;&gt;"لا"),0,MAX(0,MIN($F95,EOMONTH(DATE(cfg_FY,7,1),0))-$E95+1))</f>
        <v>0</v>
      </c>
      <c r="AO95" s="133" t="n">
        <f aca="false">IF(OR(OR($B95="",$E95="",$F95=""),$L95&lt;&gt;"لا"),0,MAX(0,MIN($F95,EOMONTH(DATE(cfg_FY,8,1),0))-$E95+1))</f>
        <v>0</v>
      </c>
      <c r="AP95" s="133" t="n">
        <f aca="false">IF(OR(OR($B95="",$E95="",$F95=""),$L95&lt;&gt;"لا"),0,MAX(0,MIN($F95,EOMONTH(DATE(cfg_FY,9,1),0))-$E95+1))</f>
        <v>0</v>
      </c>
      <c r="AQ95" s="133" t="n">
        <f aca="false">IF(OR(OR($B95="",$E95="",$F95=""),$L95&lt;&gt;"لا"),0,MAX(0,MIN($F95,EOMONTH(DATE(cfg_FY,10,1),0))-$E95+1))</f>
        <v>0</v>
      </c>
      <c r="AR95" s="133" t="n">
        <f aca="false">IF(OR(OR($B95="",$E95="",$F95=""),$L95&lt;&gt;"لا"),0,MAX(0,MIN($F95,EOMONTH(DATE(cfg_FY,11,1),0))-$E95+1))</f>
        <v>0</v>
      </c>
      <c r="AS95" s="133" t="n">
        <f aca="false">IF(OR(OR($B95="",$E95="",$F95=""),$L95&lt;&gt;"لا"),0,MAX(0,MIN($F95,EOMONTH(DATE(cfg_FY,12,1),0))-$E95+1))</f>
        <v>0</v>
      </c>
      <c r="AT95" s="133" t="n">
        <f aca="false">IF(OR(OR($B95="",$E95="",$F95=""),$K95&lt;&gt;"نعم",$M95="نعم"),0,MAX(0,MIN($F95,EOMONTH(DATE(cfg_FY,1,1),0))-MAX($E95,DATE(cfg_FY,1,1))+1))</f>
        <v>0</v>
      </c>
      <c r="AU95" s="133" t="n">
        <f aca="false">IF(OR(OR($B95="",$E95="",$F95=""),$K95&lt;&gt;"نعم",$M95="نعم"),0,MAX(0,MIN($F95,EOMONTH(DATE(cfg_FY,2,1),0))-MAX($E95,DATE(cfg_FY,2,1))+1))</f>
        <v>0</v>
      </c>
      <c r="AV95" s="133" t="n">
        <f aca="false">IF(OR(OR($B95="",$E95="",$F95=""),$K95&lt;&gt;"نعم",$M95="نعم"),0,MAX(0,MIN($F95,EOMONTH(DATE(cfg_FY,3,1),0))-MAX($E95,DATE(cfg_FY,3,1))+1))</f>
        <v>0</v>
      </c>
      <c r="AW95" s="133" t="n">
        <f aca="false">IF(OR(OR($B95="",$E95="",$F95=""),$K95&lt;&gt;"نعم",$M95="نعم"),0,MAX(0,MIN($F95,EOMONTH(DATE(cfg_FY,4,1),0))-MAX($E95,DATE(cfg_FY,4,1))+1))</f>
        <v>0</v>
      </c>
      <c r="AX95" s="133" t="n">
        <f aca="false">IF(OR(OR($B95="",$E95="",$F95=""),$K95&lt;&gt;"نعم",$M95="نعم"),0,MAX(0,MIN($F95,EOMONTH(DATE(cfg_FY,5,1),0))-MAX($E95,DATE(cfg_FY,5,1))+1))</f>
        <v>0</v>
      </c>
      <c r="AY95" s="133" t="n">
        <f aca="false">IF(OR(OR($B95="",$E95="",$F95=""),$K95&lt;&gt;"نعم",$M95="نعم"),0,MAX(0,MIN($F95,EOMONTH(DATE(cfg_FY,6,1),0))-MAX($E95,DATE(cfg_FY,6,1))+1))</f>
        <v>0</v>
      </c>
      <c r="AZ95" s="133" t="n">
        <f aca="false">IF(OR(OR($B95="",$E95="",$F95=""),$K95&lt;&gt;"نعم",$M95="نعم"),0,MAX(0,MIN($F95,EOMONTH(DATE(cfg_FY,7,1),0))-MAX($E95,DATE(cfg_FY,7,1))+1))</f>
        <v>0</v>
      </c>
      <c r="BA95" s="133" t="n">
        <f aca="false">IF(OR(OR($B95="",$E95="",$F95=""),$K95&lt;&gt;"نعم",$M95="نعم"),0,MAX(0,MIN($F95,EOMONTH(DATE(cfg_FY,8,1),0))-MAX($E95,DATE(cfg_FY,8,1))+1))</f>
        <v>0</v>
      </c>
      <c r="BB95" s="133" t="n">
        <f aca="false">IF(OR(OR($B95="",$E95="",$F95=""),$K95&lt;&gt;"نعم",$M95="نعم"),0,MAX(0,MIN($F95,EOMONTH(DATE(cfg_FY,9,1),0))-MAX($E95,DATE(cfg_FY,9,1))+1))</f>
        <v>0</v>
      </c>
      <c r="BC95" s="133" t="n">
        <f aca="false">IF(OR(OR($B95="",$E95="",$F95=""),$K95&lt;&gt;"نعم",$M95="نعم"),0,MAX(0,MIN($F95,EOMONTH(DATE(cfg_FY,10,1),0))-MAX($E95,DATE(cfg_FY,10,1))+1))</f>
        <v>0</v>
      </c>
      <c r="BD95" s="133" t="n">
        <f aca="false">IF(OR(OR($B95="",$E95="",$F95=""),$K95&lt;&gt;"نعم",$M95="نعم"),0,MAX(0,MIN($F95,EOMONTH(DATE(cfg_FY,11,1),0))-MAX($E95,DATE(cfg_FY,11,1))+1))</f>
        <v>0</v>
      </c>
      <c r="BE95" s="133" t="n">
        <f aca="false">IF(OR(OR($B95="",$E95="",$F95=""),$K95&lt;&gt;"نعم",$M95="نعم"),0,MAX(0,MIN($F95,EOMONTH(DATE(cfg_FY,12,1),0))-MAX($E95,DATE(cfg_FY,12,1))+1))</f>
        <v>0</v>
      </c>
    </row>
    <row r="96" customFormat="false" ht="15" hidden="false" customHeight="false" outlineLevel="0" collapsed="false">
      <c r="A96" s="106" t="str">
        <f aca="false">IF(B96="","",ROW()-5)</f>
        <v/>
      </c>
      <c r="B96" s="118"/>
      <c r="C96" s="114" t="str">
        <f aca="false">IF(B96="","",IFERROR(INDEX(الموظفون!$C$6:$C$105,MATCH(B96,الموظفون!$B$6:$B$105,0)),"✖ رقم غير موجود"))</f>
        <v/>
      </c>
      <c r="D96" s="118"/>
      <c r="E96" s="119"/>
      <c r="F96" s="119"/>
      <c r="G96" s="65" t="str">
        <f aca="false">IF(OR($B96="",$E96="",$F96=""),"",MAX(0,F96-E96+1))</f>
        <v/>
      </c>
      <c r="H96" s="66" t="str">
        <f aca="false">IF(D96="","",IFERROR(VLOOKUP(D96,cfg_LT,2,FALSE()),1))</f>
        <v/>
      </c>
      <c r="I96" s="135"/>
      <c r="J96" s="66" t="str">
        <f aca="false">IF(D96="","",IF(I96&lt;&gt;"",I96,H96))</f>
        <v/>
      </c>
      <c r="K96" s="114" t="str">
        <f aca="false">IF(D96="","",IFERROR(VLOOKUP($D96,cfg_LT,3,FALSE()),""))</f>
        <v/>
      </c>
      <c r="L96" s="114" t="str">
        <f aca="false">IF(D96="","",IFERROR(VLOOKUP($D96,cfg_LT,4,FALSE()),""))</f>
        <v/>
      </c>
      <c r="M96" s="114" t="str">
        <f aca="false">IF(D96="","",IFERROR(VLOOKUP($D96,cfg_LT,5,FALSE()),""))</f>
        <v/>
      </c>
      <c r="N96" s="111" t="n">
        <f aca="false">IF(OR(OR($B96="",$E96="",$F96=""),M96&lt;&gt;"نعم"),0,G96*J96*IFERROR(INDEX(الموظفون!$R$6:$R$105,MATCH(B96,الموظفون!$B$6:$B$105,0)),0)/cfg_DAYS_M)</f>
        <v>0</v>
      </c>
      <c r="O96" s="106" t="str">
        <f aca="false">IF(OR(OR($B96="",$E96="",$F96=""),M96&lt;&gt;"نعم"),"",IF(YEAR(E96)=cfg_FY,MONTH(E96),""))</f>
        <v/>
      </c>
      <c r="P96" s="114" t="str">
        <f aca="false">IF(B96="","",IF(OR(D96="",E96="",F96=""),"⚠ أكمل النوع والتواريخ",IF(F96&lt;E96,"✖ النهاية قبل البداية",IF(COUNTIFS($B$6:$B$505,B96,$E$6:$E$505,"&lt;="&amp;F96,$F$6:$F$505,"&gt;="&amp;E96)&gt;1,"⚠ تداخل مع سجل آخر",IF(E96&gt;cfg_VAL_DATE,"⏳ قادمة",IF(F96&lt;cfg_VAL_DATE,"✔ منتهية","✈ جارية في تاريخ التقرير"))))))</f>
        <v/>
      </c>
      <c r="Q96" s="118"/>
      <c r="R96" s="65" t="n">
        <f aca="false">IF(OR(OR($B96="",$E96="",$F96=""),L96&lt;&gt;"لا"),0,MAX(0,MIN(F96,cfg_Y_START-1)-E96+1))</f>
        <v>0</v>
      </c>
      <c r="S96" s="65" t="n">
        <f aca="false">IF(OR(OR($B96="",$E96="",$F96=""),L96&lt;&gt;"لا"),0,MAX(0,MIN(F96,cfg_VAL_DATE)-E96+1))</f>
        <v>0</v>
      </c>
      <c r="T96" s="65" t="n">
        <f aca="false">IF(OR(OR($B96="",$E96="",$F96=""),K96&lt;&gt;"نعم"),0,IF(M96="نعم",IF(AND(ISNUMBER(O96),N(O96)&lt;=cfg_VAL_M),G96,0),MAX(0,MIN(F96,cfg_VAL_DATE)-MAX(E96,cfg_Y_START)+1)))</f>
        <v>0</v>
      </c>
      <c r="V96" s="65" t="n">
        <f aca="false">IF(OR($B96="",$E96="",$F96=""),0,MAX(0,MIN($F96,EOMONTH(DATE(cfg_FY,1,1),0))-MAX($E96,DATE(cfg_FY,1,1))+1)*(1-IF($M96="نعم",0,N($J96))))</f>
        <v>0</v>
      </c>
      <c r="W96" s="65" t="n">
        <f aca="false">IF(OR($B96="",$E96="",$F96=""),0,MAX(0,MIN($F96,EOMONTH(DATE(cfg_FY,2,1),0))-MAX($E96,DATE(cfg_FY,2,1))+1)*(1-IF($M96="نعم",0,N($J96))))</f>
        <v>0</v>
      </c>
      <c r="X96" s="65" t="n">
        <f aca="false">IF(OR($B96="",$E96="",$F96=""),0,MAX(0,MIN($F96,EOMONTH(DATE(cfg_FY,3,1),0))-MAX($E96,DATE(cfg_FY,3,1))+1)*(1-IF($M96="نعم",0,N($J96))))</f>
        <v>0</v>
      </c>
      <c r="Y96" s="65" t="n">
        <f aca="false">IF(OR($B96="",$E96="",$F96=""),0,MAX(0,MIN($F96,EOMONTH(DATE(cfg_FY,4,1),0))-MAX($E96,DATE(cfg_FY,4,1))+1)*(1-IF($M96="نعم",0,N($J96))))</f>
        <v>0</v>
      </c>
      <c r="Z96" s="65" t="n">
        <f aca="false">IF(OR($B96="",$E96="",$F96=""),0,MAX(0,MIN($F96,EOMONTH(DATE(cfg_FY,5,1),0))-MAX($E96,DATE(cfg_FY,5,1))+1)*(1-IF($M96="نعم",0,N($J96))))</f>
        <v>0</v>
      </c>
      <c r="AA96" s="65" t="n">
        <f aca="false">IF(OR($B96="",$E96="",$F96=""),0,MAX(0,MIN($F96,EOMONTH(DATE(cfg_FY,6,1),0))-MAX($E96,DATE(cfg_FY,6,1))+1)*(1-IF($M96="نعم",0,N($J96))))</f>
        <v>0</v>
      </c>
      <c r="AB96" s="65" t="n">
        <f aca="false">IF(OR($B96="",$E96="",$F96=""),0,MAX(0,MIN($F96,EOMONTH(DATE(cfg_FY,7,1),0))-MAX($E96,DATE(cfg_FY,7,1))+1)*(1-IF($M96="نعم",0,N($J96))))</f>
        <v>0</v>
      </c>
      <c r="AC96" s="65" t="n">
        <f aca="false">IF(OR($B96="",$E96="",$F96=""),0,MAX(0,MIN($F96,EOMONTH(DATE(cfg_FY,8,1),0))-MAX($E96,DATE(cfg_FY,8,1))+1)*(1-IF($M96="نعم",0,N($J96))))</f>
        <v>0</v>
      </c>
      <c r="AD96" s="65" t="n">
        <f aca="false">IF(OR($B96="",$E96="",$F96=""),0,MAX(0,MIN($F96,EOMONTH(DATE(cfg_FY,9,1),0))-MAX($E96,DATE(cfg_FY,9,1))+1)*(1-IF($M96="نعم",0,N($J96))))</f>
        <v>0</v>
      </c>
      <c r="AE96" s="65" t="n">
        <f aca="false">IF(OR($B96="",$E96="",$F96=""),0,MAX(0,MIN($F96,EOMONTH(DATE(cfg_FY,10,1),0))-MAX($E96,DATE(cfg_FY,10,1))+1)*(1-IF($M96="نعم",0,N($J96))))</f>
        <v>0</v>
      </c>
      <c r="AF96" s="65" t="n">
        <f aca="false">IF(OR($B96="",$E96="",$F96=""),0,MAX(0,MIN($F96,EOMONTH(DATE(cfg_FY,11,1),0))-MAX($E96,DATE(cfg_FY,11,1))+1)*(1-IF($M96="نعم",0,N($J96))))</f>
        <v>0</v>
      </c>
      <c r="AG96" s="65" t="n">
        <f aca="false">IF(OR($B96="",$E96="",$F96=""),0,MAX(0,MIN($F96,EOMONTH(DATE(cfg_FY,12,1),0))-MAX($E96,DATE(cfg_FY,12,1))+1)*(1-IF($M96="نعم",0,N($J96))))</f>
        <v>0</v>
      </c>
      <c r="AH96" s="65" t="n">
        <f aca="false">IF(OR(OR($B96="",$E96="",$F96=""),$L96&lt;&gt;"لا"),0,MAX(0,MIN($F96,EOMONTH(DATE(cfg_FY,1,1),0))-$E96+1))</f>
        <v>0</v>
      </c>
      <c r="AI96" s="65" t="n">
        <f aca="false">IF(OR(OR($B96="",$E96="",$F96=""),$L96&lt;&gt;"لا"),0,MAX(0,MIN($F96,EOMONTH(DATE(cfg_FY,2,1),0))-$E96+1))</f>
        <v>0</v>
      </c>
      <c r="AJ96" s="65" t="n">
        <f aca="false">IF(OR(OR($B96="",$E96="",$F96=""),$L96&lt;&gt;"لا"),0,MAX(0,MIN($F96,EOMONTH(DATE(cfg_FY,3,1),0))-$E96+1))</f>
        <v>0</v>
      </c>
      <c r="AK96" s="65" t="n">
        <f aca="false">IF(OR(OR($B96="",$E96="",$F96=""),$L96&lt;&gt;"لا"),0,MAX(0,MIN($F96,EOMONTH(DATE(cfg_FY,4,1),0))-$E96+1))</f>
        <v>0</v>
      </c>
      <c r="AL96" s="65" t="n">
        <f aca="false">IF(OR(OR($B96="",$E96="",$F96=""),$L96&lt;&gt;"لا"),0,MAX(0,MIN($F96,EOMONTH(DATE(cfg_FY,5,1),0))-$E96+1))</f>
        <v>0</v>
      </c>
      <c r="AM96" s="65" t="n">
        <f aca="false">IF(OR(OR($B96="",$E96="",$F96=""),$L96&lt;&gt;"لا"),0,MAX(0,MIN($F96,EOMONTH(DATE(cfg_FY,6,1),0))-$E96+1))</f>
        <v>0</v>
      </c>
      <c r="AN96" s="65" t="n">
        <f aca="false">IF(OR(OR($B96="",$E96="",$F96=""),$L96&lt;&gt;"لا"),0,MAX(0,MIN($F96,EOMONTH(DATE(cfg_FY,7,1),0))-$E96+1))</f>
        <v>0</v>
      </c>
      <c r="AO96" s="65" t="n">
        <f aca="false">IF(OR(OR($B96="",$E96="",$F96=""),$L96&lt;&gt;"لا"),0,MAX(0,MIN($F96,EOMONTH(DATE(cfg_FY,8,1),0))-$E96+1))</f>
        <v>0</v>
      </c>
      <c r="AP96" s="65" t="n">
        <f aca="false">IF(OR(OR($B96="",$E96="",$F96=""),$L96&lt;&gt;"لا"),0,MAX(0,MIN($F96,EOMONTH(DATE(cfg_FY,9,1),0))-$E96+1))</f>
        <v>0</v>
      </c>
      <c r="AQ96" s="65" t="n">
        <f aca="false">IF(OR(OR($B96="",$E96="",$F96=""),$L96&lt;&gt;"لا"),0,MAX(0,MIN($F96,EOMONTH(DATE(cfg_FY,10,1),0))-$E96+1))</f>
        <v>0</v>
      </c>
      <c r="AR96" s="65" t="n">
        <f aca="false">IF(OR(OR($B96="",$E96="",$F96=""),$L96&lt;&gt;"لا"),0,MAX(0,MIN($F96,EOMONTH(DATE(cfg_FY,11,1),0))-$E96+1))</f>
        <v>0</v>
      </c>
      <c r="AS96" s="65" t="n">
        <f aca="false">IF(OR(OR($B96="",$E96="",$F96=""),$L96&lt;&gt;"لا"),0,MAX(0,MIN($F96,EOMONTH(DATE(cfg_FY,12,1),0))-$E96+1))</f>
        <v>0</v>
      </c>
      <c r="AT96" s="65" t="n">
        <f aca="false">IF(OR(OR($B96="",$E96="",$F96=""),$K96&lt;&gt;"نعم",$M96="نعم"),0,MAX(0,MIN($F96,EOMONTH(DATE(cfg_FY,1,1),0))-MAX($E96,DATE(cfg_FY,1,1))+1))</f>
        <v>0</v>
      </c>
      <c r="AU96" s="65" t="n">
        <f aca="false">IF(OR(OR($B96="",$E96="",$F96=""),$K96&lt;&gt;"نعم",$M96="نعم"),0,MAX(0,MIN($F96,EOMONTH(DATE(cfg_FY,2,1),0))-MAX($E96,DATE(cfg_FY,2,1))+1))</f>
        <v>0</v>
      </c>
      <c r="AV96" s="65" t="n">
        <f aca="false">IF(OR(OR($B96="",$E96="",$F96=""),$K96&lt;&gt;"نعم",$M96="نعم"),0,MAX(0,MIN($F96,EOMONTH(DATE(cfg_FY,3,1),0))-MAX($E96,DATE(cfg_FY,3,1))+1))</f>
        <v>0</v>
      </c>
      <c r="AW96" s="65" t="n">
        <f aca="false">IF(OR(OR($B96="",$E96="",$F96=""),$K96&lt;&gt;"نعم",$M96="نعم"),0,MAX(0,MIN($F96,EOMONTH(DATE(cfg_FY,4,1),0))-MAX($E96,DATE(cfg_FY,4,1))+1))</f>
        <v>0</v>
      </c>
      <c r="AX96" s="65" t="n">
        <f aca="false">IF(OR(OR($B96="",$E96="",$F96=""),$K96&lt;&gt;"نعم",$M96="نعم"),0,MAX(0,MIN($F96,EOMONTH(DATE(cfg_FY,5,1),0))-MAX($E96,DATE(cfg_FY,5,1))+1))</f>
        <v>0</v>
      </c>
      <c r="AY96" s="65" t="n">
        <f aca="false">IF(OR(OR($B96="",$E96="",$F96=""),$K96&lt;&gt;"نعم",$M96="نعم"),0,MAX(0,MIN($F96,EOMONTH(DATE(cfg_FY,6,1),0))-MAX($E96,DATE(cfg_FY,6,1))+1))</f>
        <v>0</v>
      </c>
      <c r="AZ96" s="65" t="n">
        <f aca="false">IF(OR(OR($B96="",$E96="",$F96=""),$K96&lt;&gt;"نعم",$M96="نعم"),0,MAX(0,MIN($F96,EOMONTH(DATE(cfg_FY,7,1),0))-MAX($E96,DATE(cfg_FY,7,1))+1))</f>
        <v>0</v>
      </c>
      <c r="BA96" s="65" t="n">
        <f aca="false">IF(OR(OR($B96="",$E96="",$F96=""),$K96&lt;&gt;"نعم",$M96="نعم"),0,MAX(0,MIN($F96,EOMONTH(DATE(cfg_FY,8,1),0))-MAX($E96,DATE(cfg_FY,8,1))+1))</f>
        <v>0</v>
      </c>
      <c r="BB96" s="65" t="n">
        <f aca="false">IF(OR(OR($B96="",$E96="",$F96=""),$K96&lt;&gt;"نعم",$M96="نعم"),0,MAX(0,MIN($F96,EOMONTH(DATE(cfg_FY,9,1),0))-MAX($E96,DATE(cfg_FY,9,1))+1))</f>
        <v>0</v>
      </c>
      <c r="BC96" s="65" t="n">
        <f aca="false">IF(OR(OR($B96="",$E96="",$F96=""),$K96&lt;&gt;"نعم",$M96="نعم"),0,MAX(0,MIN($F96,EOMONTH(DATE(cfg_FY,10,1),0))-MAX($E96,DATE(cfg_FY,10,1))+1))</f>
        <v>0</v>
      </c>
      <c r="BD96" s="65" t="n">
        <f aca="false">IF(OR(OR($B96="",$E96="",$F96=""),$K96&lt;&gt;"نعم",$M96="نعم"),0,MAX(0,MIN($F96,EOMONTH(DATE(cfg_FY,11,1),0))-MAX($E96,DATE(cfg_FY,11,1))+1))</f>
        <v>0</v>
      </c>
      <c r="BE96" s="65" t="n">
        <f aca="false">IF(OR(OR($B96="",$E96="",$F96=""),$K96&lt;&gt;"نعم",$M96="نعم"),0,MAX(0,MIN($F96,EOMONTH(DATE(cfg_FY,12,1),0))-MAX($E96,DATE(cfg_FY,12,1))+1))</f>
        <v>0</v>
      </c>
    </row>
    <row r="97" customFormat="false" ht="15" hidden="false" customHeight="false" outlineLevel="0" collapsed="false">
      <c r="A97" s="115" t="str">
        <f aca="false">IF(B97="","",ROW()-5)</f>
        <v/>
      </c>
      <c r="B97" s="118"/>
      <c r="C97" s="117" t="str">
        <f aca="false">IF(B97="","",IFERROR(INDEX(الموظفون!$C$6:$C$105,MATCH(B97,الموظفون!$B$6:$B$105,0)),"✖ رقم غير موجود"))</f>
        <v/>
      </c>
      <c r="D97" s="118"/>
      <c r="E97" s="119"/>
      <c r="F97" s="119"/>
      <c r="G97" s="133" t="str">
        <f aca="false">IF(OR($B97="",$E97="",$F97=""),"",MAX(0,F97-E97+1))</f>
        <v/>
      </c>
      <c r="H97" s="134" t="str">
        <f aca="false">IF(D97="","",IFERROR(VLOOKUP(D97,cfg_LT,2,FALSE()),1))</f>
        <v/>
      </c>
      <c r="I97" s="135"/>
      <c r="J97" s="134" t="str">
        <f aca="false">IF(D97="","",IF(I97&lt;&gt;"",I97,H97))</f>
        <v/>
      </c>
      <c r="K97" s="117" t="str">
        <f aca="false">IF(D97="","",IFERROR(VLOOKUP($D97,cfg_LT,3,FALSE()),""))</f>
        <v/>
      </c>
      <c r="L97" s="117" t="str">
        <f aca="false">IF(D97="","",IFERROR(VLOOKUP($D97,cfg_LT,4,FALSE()),""))</f>
        <v/>
      </c>
      <c r="M97" s="117" t="str">
        <f aca="false">IF(D97="","",IFERROR(VLOOKUP($D97,cfg_LT,5,FALSE()),""))</f>
        <v/>
      </c>
      <c r="N97" s="116" t="n">
        <f aca="false">IF(OR(OR($B97="",$E97="",$F97=""),M97&lt;&gt;"نعم"),0,G97*J97*IFERROR(INDEX(الموظفون!$R$6:$R$105,MATCH(B97,الموظفون!$B$6:$B$105,0)),0)/cfg_DAYS_M)</f>
        <v>0</v>
      </c>
      <c r="O97" s="115" t="str">
        <f aca="false">IF(OR(OR($B97="",$E97="",$F97=""),M97&lt;&gt;"نعم"),"",IF(YEAR(E97)=cfg_FY,MONTH(E97),""))</f>
        <v/>
      </c>
      <c r="P97" s="117" t="str">
        <f aca="false">IF(B97="","",IF(OR(D97="",E97="",F97=""),"⚠ أكمل النوع والتواريخ",IF(F97&lt;E97,"✖ النهاية قبل البداية",IF(COUNTIFS($B$6:$B$505,B97,$E$6:$E$505,"&lt;="&amp;F97,$F$6:$F$505,"&gt;="&amp;E97)&gt;1,"⚠ تداخل مع سجل آخر",IF(E97&gt;cfg_VAL_DATE,"⏳ قادمة",IF(F97&lt;cfg_VAL_DATE,"✔ منتهية","✈ جارية في تاريخ التقرير"))))))</f>
        <v/>
      </c>
      <c r="Q97" s="118"/>
      <c r="R97" s="133" t="n">
        <f aca="false">IF(OR(OR($B97="",$E97="",$F97=""),L97&lt;&gt;"لا"),0,MAX(0,MIN(F97,cfg_Y_START-1)-E97+1))</f>
        <v>0</v>
      </c>
      <c r="S97" s="133" t="n">
        <f aca="false">IF(OR(OR($B97="",$E97="",$F97=""),L97&lt;&gt;"لا"),0,MAX(0,MIN(F97,cfg_VAL_DATE)-E97+1))</f>
        <v>0</v>
      </c>
      <c r="T97" s="133" t="n">
        <f aca="false">IF(OR(OR($B97="",$E97="",$F97=""),K97&lt;&gt;"نعم"),0,IF(M97="نعم",IF(AND(ISNUMBER(O97),N(O97)&lt;=cfg_VAL_M),G97,0),MAX(0,MIN(F97,cfg_VAL_DATE)-MAX(E97,cfg_Y_START)+1)))</f>
        <v>0</v>
      </c>
      <c r="V97" s="133" t="n">
        <f aca="false">IF(OR($B97="",$E97="",$F97=""),0,MAX(0,MIN($F97,EOMONTH(DATE(cfg_FY,1,1),0))-MAX($E97,DATE(cfg_FY,1,1))+1)*(1-IF($M97="نعم",0,N($J97))))</f>
        <v>0</v>
      </c>
      <c r="W97" s="133" t="n">
        <f aca="false">IF(OR($B97="",$E97="",$F97=""),0,MAX(0,MIN($F97,EOMONTH(DATE(cfg_FY,2,1),0))-MAX($E97,DATE(cfg_FY,2,1))+1)*(1-IF($M97="نعم",0,N($J97))))</f>
        <v>0</v>
      </c>
      <c r="X97" s="133" t="n">
        <f aca="false">IF(OR($B97="",$E97="",$F97=""),0,MAX(0,MIN($F97,EOMONTH(DATE(cfg_FY,3,1),0))-MAX($E97,DATE(cfg_FY,3,1))+1)*(1-IF($M97="نعم",0,N($J97))))</f>
        <v>0</v>
      </c>
      <c r="Y97" s="133" t="n">
        <f aca="false">IF(OR($B97="",$E97="",$F97=""),0,MAX(0,MIN($F97,EOMONTH(DATE(cfg_FY,4,1),0))-MAX($E97,DATE(cfg_FY,4,1))+1)*(1-IF($M97="نعم",0,N($J97))))</f>
        <v>0</v>
      </c>
      <c r="Z97" s="133" t="n">
        <f aca="false">IF(OR($B97="",$E97="",$F97=""),0,MAX(0,MIN($F97,EOMONTH(DATE(cfg_FY,5,1),0))-MAX($E97,DATE(cfg_FY,5,1))+1)*(1-IF($M97="نعم",0,N($J97))))</f>
        <v>0</v>
      </c>
      <c r="AA97" s="133" t="n">
        <f aca="false">IF(OR($B97="",$E97="",$F97=""),0,MAX(0,MIN($F97,EOMONTH(DATE(cfg_FY,6,1),0))-MAX($E97,DATE(cfg_FY,6,1))+1)*(1-IF($M97="نعم",0,N($J97))))</f>
        <v>0</v>
      </c>
      <c r="AB97" s="133" t="n">
        <f aca="false">IF(OR($B97="",$E97="",$F97=""),0,MAX(0,MIN($F97,EOMONTH(DATE(cfg_FY,7,1),0))-MAX($E97,DATE(cfg_FY,7,1))+1)*(1-IF($M97="نعم",0,N($J97))))</f>
        <v>0</v>
      </c>
      <c r="AC97" s="133" t="n">
        <f aca="false">IF(OR($B97="",$E97="",$F97=""),0,MAX(0,MIN($F97,EOMONTH(DATE(cfg_FY,8,1),0))-MAX($E97,DATE(cfg_FY,8,1))+1)*(1-IF($M97="نعم",0,N($J97))))</f>
        <v>0</v>
      </c>
      <c r="AD97" s="133" t="n">
        <f aca="false">IF(OR($B97="",$E97="",$F97=""),0,MAX(0,MIN($F97,EOMONTH(DATE(cfg_FY,9,1),0))-MAX($E97,DATE(cfg_FY,9,1))+1)*(1-IF($M97="نعم",0,N($J97))))</f>
        <v>0</v>
      </c>
      <c r="AE97" s="133" t="n">
        <f aca="false">IF(OR($B97="",$E97="",$F97=""),0,MAX(0,MIN($F97,EOMONTH(DATE(cfg_FY,10,1),0))-MAX($E97,DATE(cfg_FY,10,1))+1)*(1-IF($M97="نعم",0,N($J97))))</f>
        <v>0</v>
      </c>
      <c r="AF97" s="133" t="n">
        <f aca="false">IF(OR($B97="",$E97="",$F97=""),0,MAX(0,MIN($F97,EOMONTH(DATE(cfg_FY,11,1),0))-MAX($E97,DATE(cfg_FY,11,1))+1)*(1-IF($M97="نعم",0,N($J97))))</f>
        <v>0</v>
      </c>
      <c r="AG97" s="133" t="n">
        <f aca="false">IF(OR($B97="",$E97="",$F97=""),0,MAX(0,MIN($F97,EOMONTH(DATE(cfg_FY,12,1),0))-MAX($E97,DATE(cfg_FY,12,1))+1)*(1-IF($M97="نعم",0,N($J97))))</f>
        <v>0</v>
      </c>
      <c r="AH97" s="133" t="n">
        <f aca="false">IF(OR(OR($B97="",$E97="",$F97=""),$L97&lt;&gt;"لا"),0,MAX(0,MIN($F97,EOMONTH(DATE(cfg_FY,1,1),0))-$E97+1))</f>
        <v>0</v>
      </c>
      <c r="AI97" s="133" t="n">
        <f aca="false">IF(OR(OR($B97="",$E97="",$F97=""),$L97&lt;&gt;"لا"),0,MAX(0,MIN($F97,EOMONTH(DATE(cfg_FY,2,1),0))-$E97+1))</f>
        <v>0</v>
      </c>
      <c r="AJ97" s="133" t="n">
        <f aca="false">IF(OR(OR($B97="",$E97="",$F97=""),$L97&lt;&gt;"لا"),0,MAX(0,MIN($F97,EOMONTH(DATE(cfg_FY,3,1),0))-$E97+1))</f>
        <v>0</v>
      </c>
      <c r="AK97" s="133" t="n">
        <f aca="false">IF(OR(OR($B97="",$E97="",$F97=""),$L97&lt;&gt;"لا"),0,MAX(0,MIN($F97,EOMONTH(DATE(cfg_FY,4,1),0))-$E97+1))</f>
        <v>0</v>
      </c>
      <c r="AL97" s="133" t="n">
        <f aca="false">IF(OR(OR($B97="",$E97="",$F97=""),$L97&lt;&gt;"لا"),0,MAX(0,MIN($F97,EOMONTH(DATE(cfg_FY,5,1),0))-$E97+1))</f>
        <v>0</v>
      </c>
      <c r="AM97" s="133" t="n">
        <f aca="false">IF(OR(OR($B97="",$E97="",$F97=""),$L97&lt;&gt;"لا"),0,MAX(0,MIN($F97,EOMONTH(DATE(cfg_FY,6,1),0))-$E97+1))</f>
        <v>0</v>
      </c>
      <c r="AN97" s="133" t="n">
        <f aca="false">IF(OR(OR($B97="",$E97="",$F97=""),$L97&lt;&gt;"لا"),0,MAX(0,MIN($F97,EOMONTH(DATE(cfg_FY,7,1),0))-$E97+1))</f>
        <v>0</v>
      </c>
      <c r="AO97" s="133" t="n">
        <f aca="false">IF(OR(OR($B97="",$E97="",$F97=""),$L97&lt;&gt;"لا"),0,MAX(0,MIN($F97,EOMONTH(DATE(cfg_FY,8,1),0))-$E97+1))</f>
        <v>0</v>
      </c>
      <c r="AP97" s="133" t="n">
        <f aca="false">IF(OR(OR($B97="",$E97="",$F97=""),$L97&lt;&gt;"لا"),0,MAX(0,MIN($F97,EOMONTH(DATE(cfg_FY,9,1),0))-$E97+1))</f>
        <v>0</v>
      </c>
      <c r="AQ97" s="133" t="n">
        <f aca="false">IF(OR(OR($B97="",$E97="",$F97=""),$L97&lt;&gt;"لا"),0,MAX(0,MIN($F97,EOMONTH(DATE(cfg_FY,10,1),0))-$E97+1))</f>
        <v>0</v>
      </c>
      <c r="AR97" s="133" t="n">
        <f aca="false">IF(OR(OR($B97="",$E97="",$F97=""),$L97&lt;&gt;"لا"),0,MAX(0,MIN($F97,EOMONTH(DATE(cfg_FY,11,1),0))-$E97+1))</f>
        <v>0</v>
      </c>
      <c r="AS97" s="133" t="n">
        <f aca="false">IF(OR(OR($B97="",$E97="",$F97=""),$L97&lt;&gt;"لا"),0,MAX(0,MIN($F97,EOMONTH(DATE(cfg_FY,12,1),0))-$E97+1))</f>
        <v>0</v>
      </c>
      <c r="AT97" s="133" t="n">
        <f aca="false">IF(OR(OR($B97="",$E97="",$F97=""),$K97&lt;&gt;"نعم",$M97="نعم"),0,MAX(0,MIN($F97,EOMONTH(DATE(cfg_FY,1,1),0))-MAX($E97,DATE(cfg_FY,1,1))+1))</f>
        <v>0</v>
      </c>
      <c r="AU97" s="133" t="n">
        <f aca="false">IF(OR(OR($B97="",$E97="",$F97=""),$K97&lt;&gt;"نعم",$M97="نعم"),0,MAX(0,MIN($F97,EOMONTH(DATE(cfg_FY,2,1),0))-MAX($E97,DATE(cfg_FY,2,1))+1))</f>
        <v>0</v>
      </c>
      <c r="AV97" s="133" t="n">
        <f aca="false">IF(OR(OR($B97="",$E97="",$F97=""),$K97&lt;&gt;"نعم",$M97="نعم"),0,MAX(0,MIN($F97,EOMONTH(DATE(cfg_FY,3,1),0))-MAX($E97,DATE(cfg_FY,3,1))+1))</f>
        <v>0</v>
      </c>
      <c r="AW97" s="133" t="n">
        <f aca="false">IF(OR(OR($B97="",$E97="",$F97=""),$K97&lt;&gt;"نعم",$M97="نعم"),0,MAX(0,MIN($F97,EOMONTH(DATE(cfg_FY,4,1),0))-MAX($E97,DATE(cfg_FY,4,1))+1))</f>
        <v>0</v>
      </c>
      <c r="AX97" s="133" t="n">
        <f aca="false">IF(OR(OR($B97="",$E97="",$F97=""),$K97&lt;&gt;"نعم",$M97="نعم"),0,MAX(0,MIN($F97,EOMONTH(DATE(cfg_FY,5,1),0))-MAX($E97,DATE(cfg_FY,5,1))+1))</f>
        <v>0</v>
      </c>
      <c r="AY97" s="133" t="n">
        <f aca="false">IF(OR(OR($B97="",$E97="",$F97=""),$K97&lt;&gt;"نعم",$M97="نعم"),0,MAX(0,MIN($F97,EOMONTH(DATE(cfg_FY,6,1),0))-MAX($E97,DATE(cfg_FY,6,1))+1))</f>
        <v>0</v>
      </c>
      <c r="AZ97" s="133" t="n">
        <f aca="false">IF(OR(OR($B97="",$E97="",$F97=""),$K97&lt;&gt;"نعم",$M97="نعم"),0,MAX(0,MIN($F97,EOMONTH(DATE(cfg_FY,7,1),0))-MAX($E97,DATE(cfg_FY,7,1))+1))</f>
        <v>0</v>
      </c>
      <c r="BA97" s="133" t="n">
        <f aca="false">IF(OR(OR($B97="",$E97="",$F97=""),$K97&lt;&gt;"نعم",$M97="نعم"),0,MAX(0,MIN($F97,EOMONTH(DATE(cfg_FY,8,1),0))-MAX($E97,DATE(cfg_FY,8,1))+1))</f>
        <v>0</v>
      </c>
      <c r="BB97" s="133" t="n">
        <f aca="false">IF(OR(OR($B97="",$E97="",$F97=""),$K97&lt;&gt;"نعم",$M97="نعم"),0,MAX(0,MIN($F97,EOMONTH(DATE(cfg_FY,9,1),0))-MAX($E97,DATE(cfg_FY,9,1))+1))</f>
        <v>0</v>
      </c>
      <c r="BC97" s="133" t="n">
        <f aca="false">IF(OR(OR($B97="",$E97="",$F97=""),$K97&lt;&gt;"نعم",$M97="نعم"),0,MAX(0,MIN($F97,EOMONTH(DATE(cfg_FY,10,1),0))-MAX($E97,DATE(cfg_FY,10,1))+1))</f>
        <v>0</v>
      </c>
      <c r="BD97" s="133" t="n">
        <f aca="false">IF(OR(OR($B97="",$E97="",$F97=""),$K97&lt;&gt;"نعم",$M97="نعم"),0,MAX(0,MIN($F97,EOMONTH(DATE(cfg_FY,11,1),0))-MAX($E97,DATE(cfg_FY,11,1))+1))</f>
        <v>0</v>
      </c>
      <c r="BE97" s="133" t="n">
        <f aca="false">IF(OR(OR($B97="",$E97="",$F97=""),$K97&lt;&gt;"نعم",$M97="نعم"),0,MAX(0,MIN($F97,EOMONTH(DATE(cfg_FY,12,1),0))-MAX($E97,DATE(cfg_FY,12,1))+1))</f>
        <v>0</v>
      </c>
    </row>
    <row r="98" customFormat="false" ht="15" hidden="false" customHeight="false" outlineLevel="0" collapsed="false">
      <c r="A98" s="106" t="str">
        <f aca="false">IF(B98="","",ROW()-5)</f>
        <v/>
      </c>
      <c r="B98" s="118"/>
      <c r="C98" s="114" t="str">
        <f aca="false">IF(B98="","",IFERROR(INDEX(الموظفون!$C$6:$C$105,MATCH(B98,الموظفون!$B$6:$B$105,0)),"✖ رقم غير موجود"))</f>
        <v/>
      </c>
      <c r="D98" s="118"/>
      <c r="E98" s="119"/>
      <c r="F98" s="119"/>
      <c r="G98" s="65" t="str">
        <f aca="false">IF(OR($B98="",$E98="",$F98=""),"",MAX(0,F98-E98+1))</f>
        <v/>
      </c>
      <c r="H98" s="66" t="str">
        <f aca="false">IF(D98="","",IFERROR(VLOOKUP(D98,cfg_LT,2,FALSE()),1))</f>
        <v/>
      </c>
      <c r="I98" s="135"/>
      <c r="J98" s="66" t="str">
        <f aca="false">IF(D98="","",IF(I98&lt;&gt;"",I98,H98))</f>
        <v/>
      </c>
      <c r="K98" s="114" t="str">
        <f aca="false">IF(D98="","",IFERROR(VLOOKUP($D98,cfg_LT,3,FALSE()),""))</f>
        <v/>
      </c>
      <c r="L98" s="114" t="str">
        <f aca="false">IF(D98="","",IFERROR(VLOOKUP($D98,cfg_LT,4,FALSE()),""))</f>
        <v/>
      </c>
      <c r="M98" s="114" t="str">
        <f aca="false">IF(D98="","",IFERROR(VLOOKUP($D98,cfg_LT,5,FALSE()),""))</f>
        <v/>
      </c>
      <c r="N98" s="111" t="n">
        <f aca="false">IF(OR(OR($B98="",$E98="",$F98=""),M98&lt;&gt;"نعم"),0,G98*J98*IFERROR(INDEX(الموظفون!$R$6:$R$105,MATCH(B98,الموظفون!$B$6:$B$105,0)),0)/cfg_DAYS_M)</f>
        <v>0</v>
      </c>
      <c r="O98" s="106" t="str">
        <f aca="false">IF(OR(OR($B98="",$E98="",$F98=""),M98&lt;&gt;"نعم"),"",IF(YEAR(E98)=cfg_FY,MONTH(E98),""))</f>
        <v/>
      </c>
      <c r="P98" s="114" t="str">
        <f aca="false">IF(B98="","",IF(OR(D98="",E98="",F98=""),"⚠ أكمل النوع والتواريخ",IF(F98&lt;E98,"✖ النهاية قبل البداية",IF(COUNTIFS($B$6:$B$505,B98,$E$6:$E$505,"&lt;="&amp;F98,$F$6:$F$505,"&gt;="&amp;E98)&gt;1,"⚠ تداخل مع سجل آخر",IF(E98&gt;cfg_VAL_DATE,"⏳ قادمة",IF(F98&lt;cfg_VAL_DATE,"✔ منتهية","✈ جارية في تاريخ التقرير"))))))</f>
        <v/>
      </c>
      <c r="Q98" s="118"/>
      <c r="R98" s="65" t="n">
        <f aca="false">IF(OR(OR($B98="",$E98="",$F98=""),L98&lt;&gt;"لا"),0,MAX(0,MIN(F98,cfg_Y_START-1)-E98+1))</f>
        <v>0</v>
      </c>
      <c r="S98" s="65" t="n">
        <f aca="false">IF(OR(OR($B98="",$E98="",$F98=""),L98&lt;&gt;"لا"),0,MAX(0,MIN(F98,cfg_VAL_DATE)-E98+1))</f>
        <v>0</v>
      </c>
      <c r="T98" s="65" t="n">
        <f aca="false">IF(OR(OR($B98="",$E98="",$F98=""),K98&lt;&gt;"نعم"),0,IF(M98="نعم",IF(AND(ISNUMBER(O98),N(O98)&lt;=cfg_VAL_M),G98,0),MAX(0,MIN(F98,cfg_VAL_DATE)-MAX(E98,cfg_Y_START)+1)))</f>
        <v>0</v>
      </c>
      <c r="V98" s="65" t="n">
        <f aca="false">IF(OR($B98="",$E98="",$F98=""),0,MAX(0,MIN($F98,EOMONTH(DATE(cfg_FY,1,1),0))-MAX($E98,DATE(cfg_FY,1,1))+1)*(1-IF($M98="نعم",0,N($J98))))</f>
        <v>0</v>
      </c>
      <c r="W98" s="65" t="n">
        <f aca="false">IF(OR($B98="",$E98="",$F98=""),0,MAX(0,MIN($F98,EOMONTH(DATE(cfg_FY,2,1),0))-MAX($E98,DATE(cfg_FY,2,1))+1)*(1-IF($M98="نعم",0,N($J98))))</f>
        <v>0</v>
      </c>
      <c r="X98" s="65" t="n">
        <f aca="false">IF(OR($B98="",$E98="",$F98=""),0,MAX(0,MIN($F98,EOMONTH(DATE(cfg_FY,3,1),0))-MAX($E98,DATE(cfg_FY,3,1))+1)*(1-IF($M98="نعم",0,N($J98))))</f>
        <v>0</v>
      </c>
      <c r="Y98" s="65" t="n">
        <f aca="false">IF(OR($B98="",$E98="",$F98=""),0,MAX(0,MIN($F98,EOMONTH(DATE(cfg_FY,4,1),0))-MAX($E98,DATE(cfg_FY,4,1))+1)*(1-IF($M98="نعم",0,N($J98))))</f>
        <v>0</v>
      </c>
      <c r="Z98" s="65" t="n">
        <f aca="false">IF(OR($B98="",$E98="",$F98=""),0,MAX(0,MIN($F98,EOMONTH(DATE(cfg_FY,5,1),0))-MAX($E98,DATE(cfg_FY,5,1))+1)*(1-IF($M98="نعم",0,N($J98))))</f>
        <v>0</v>
      </c>
      <c r="AA98" s="65" t="n">
        <f aca="false">IF(OR($B98="",$E98="",$F98=""),0,MAX(0,MIN($F98,EOMONTH(DATE(cfg_FY,6,1),0))-MAX($E98,DATE(cfg_FY,6,1))+1)*(1-IF($M98="نعم",0,N($J98))))</f>
        <v>0</v>
      </c>
      <c r="AB98" s="65" t="n">
        <f aca="false">IF(OR($B98="",$E98="",$F98=""),0,MAX(0,MIN($F98,EOMONTH(DATE(cfg_FY,7,1),0))-MAX($E98,DATE(cfg_FY,7,1))+1)*(1-IF($M98="نعم",0,N($J98))))</f>
        <v>0</v>
      </c>
      <c r="AC98" s="65" t="n">
        <f aca="false">IF(OR($B98="",$E98="",$F98=""),0,MAX(0,MIN($F98,EOMONTH(DATE(cfg_FY,8,1),0))-MAX($E98,DATE(cfg_FY,8,1))+1)*(1-IF($M98="نعم",0,N($J98))))</f>
        <v>0</v>
      </c>
      <c r="AD98" s="65" t="n">
        <f aca="false">IF(OR($B98="",$E98="",$F98=""),0,MAX(0,MIN($F98,EOMONTH(DATE(cfg_FY,9,1),0))-MAX($E98,DATE(cfg_FY,9,1))+1)*(1-IF($M98="نعم",0,N($J98))))</f>
        <v>0</v>
      </c>
      <c r="AE98" s="65" t="n">
        <f aca="false">IF(OR($B98="",$E98="",$F98=""),0,MAX(0,MIN($F98,EOMONTH(DATE(cfg_FY,10,1),0))-MAX($E98,DATE(cfg_FY,10,1))+1)*(1-IF($M98="نعم",0,N($J98))))</f>
        <v>0</v>
      </c>
      <c r="AF98" s="65" t="n">
        <f aca="false">IF(OR($B98="",$E98="",$F98=""),0,MAX(0,MIN($F98,EOMONTH(DATE(cfg_FY,11,1),0))-MAX($E98,DATE(cfg_FY,11,1))+1)*(1-IF($M98="نعم",0,N($J98))))</f>
        <v>0</v>
      </c>
      <c r="AG98" s="65" t="n">
        <f aca="false">IF(OR($B98="",$E98="",$F98=""),0,MAX(0,MIN($F98,EOMONTH(DATE(cfg_FY,12,1),0))-MAX($E98,DATE(cfg_FY,12,1))+1)*(1-IF($M98="نعم",0,N($J98))))</f>
        <v>0</v>
      </c>
      <c r="AH98" s="65" t="n">
        <f aca="false">IF(OR(OR($B98="",$E98="",$F98=""),$L98&lt;&gt;"لا"),0,MAX(0,MIN($F98,EOMONTH(DATE(cfg_FY,1,1),0))-$E98+1))</f>
        <v>0</v>
      </c>
      <c r="AI98" s="65" t="n">
        <f aca="false">IF(OR(OR($B98="",$E98="",$F98=""),$L98&lt;&gt;"لا"),0,MAX(0,MIN($F98,EOMONTH(DATE(cfg_FY,2,1),0))-$E98+1))</f>
        <v>0</v>
      </c>
      <c r="AJ98" s="65" t="n">
        <f aca="false">IF(OR(OR($B98="",$E98="",$F98=""),$L98&lt;&gt;"لا"),0,MAX(0,MIN($F98,EOMONTH(DATE(cfg_FY,3,1),0))-$E98+1))</f>
        <v>0</v>
      </c>
      <c r="AK98" s="65" t="n">
        <f aca="false">IF(OR(OR($B98="",$E98="",$F98=""),$L98&lt;&gt;"لا"),0,MAX(0,MIN($F98,EOMONTH(DATE(cfg_FY,4,1),0))-$E98+1))</f>
        <v>0</v>
      </c>
      <c r="AL98" s="65" t="n">
        <f aca="false">IF(OR(OR($B98="",$E98="",$F98=""),$L98&lt;&gt;"لا"),0,MAX(0,MIN($F98,EOMONTH(DATE(cfg_FY,5,1),0))-$E98+1))</f>
        <v>0</v>
      </c>
      <c r="AM98" s="65" t="n">
        <f aca="false">IF(OR(OR($B98="",$E98="",$F98=""),$L98&lt;&gt;"لا"),0,MAX(0,MIN($F98,EOMONTH(DATE(cfg_FY,6,1),0))-$E98+1))</f>
        <v>0</v>
      </c>
      <c r="AN98" s="65" t="n">
        <f aca="false">IF(OR(OR($B98="",$E98="",$F98=""),$L98&lt;&gt;"لا"),0,MAX(0,MIN($F98,EOMONTH(DATE(cfg_FY,7,1),0))-$E98+1))</f>
        <v>0</v>
      </c>
      <c r="AO98" s="65" t="n">
        <f aca="false">IF(OR(OR($B98="",$E98="",$F98=""),$L98&lt;&gt;"لا"),0,MAX(0,MIN($F98,EOMONTH(DATE(cfg_FY,8,1),0))-$E98+1))</f>
        <v>0</v>
      </c>
      <c r="AP98" s="65" t="n">
        <f aca="false">IF(OR(OR($B98="",$E98="",$F98=""),$L98&lt;&gt;"لا"),0,MAX(0,MIN($F98,EOMONTH(DATE(cfg_FY,9,1),0))-$E98+1))</f>
        <v>0</v>
      </c>
      <c r="AQ98" s="65" t="n">
        <f aca="false">IF(OR(OR($B98="",$E98="",$F98=""),$L98&lt;&gt;"لا"),0,MAX(0,MIN($F98,EOMONTH(DATE(cfg_FY,10,1),0))-$E98+1))</f>
        <v>0</v>
      </c>
      <c r="AR98" s="65" t="n">
        <f aca="false">IF(OR(OR($B98="",$E98="",$F98=""),$L98&lt;&gt;"لا"),0,MAX(0,MIN($F98,EOMONTH(DATE(cfg_FY,11,1),0))-$E98+1))</f>
        <v>0</v>
      </c>
      <c r="AS98" s="65" t="n">
        <f aca="false">IF(OR(OR($B98="",$E98="",$F98=""),$L98&lt;&gt;"لا"),0,MAX(0,MIN($F98,EOMONTH(DATE(cfg_FY,12,1),0))-$E98+1))</f>
        <v>0</v>
      </c>
      <c r="AT98" s="65" t="n">
        <f aca="false">IF(OR(OR($B98="",$E98="",$F98=""),$K98&lt;&gt;"نعم",$M98="نعم"),0,MAX(0,MIN($F98,EOMONTH(DATE(cfg_FY,1,1),0))-MAX($E98,DATE(cfg_FY,1,1))+1))</f>
        <v>0</v>
      </c>
      <c r="AU98" s="65" t="n">
        <f aca="false">IF(OR(OR($B98="",$E98="",$F98=""),$K98&lt;&gt;"نعم",$M98="نعم"),0,MAX(0,MIN($F98,EOMONTH(DATE(cfg_FY,2,1),0))-MAX($E98,DATE(cfg_FY,2,1))+1))</f>
        <v>0</v>
      </c>
      <c r="AV98" s="65" t="n">
        <f aca="false">IF(OR(OR($B98="",$E98="",$F98=""),$K98&lt;&gt;"نعم",$M98="نعم"),0,MAX(0,MIN($F98,EOMONTH(DATE(cfg_FY,3,1),0))-MAX($E98,DATE(cfg_FY,3,1))+1))</f>
        <v>0</v>
      </c>
      <c r="AW98" s="65" t="n">
        <f aca="false">IF(OR(OR($B98="",$E98="",$F98=""),$K98&lt;&gt;"نعم",$M98="نعم"),0,MAX(0,MIN($F98,EOMONTH(DATE(cfg_FY,4,1),0))-MAX($E98,DATE(cfg_FY,4,1))+1))</f>
        <v>0</v>
      </c>
      <c r="AX98" s="65" t="n">
        <f aca="false">IF(OR(OR($B98="",$E98="",$F98=""),$K98&lt;&gt;"نعم",$M98="نعم"),0,MAX(0,MIN($F98,EOMONTH(DATE(cfg_FY,5,1),0))-MAX($E98,DATE(cfg_FY,5,1))+1))</f>
        <v>0</v>
      </c>
      <c r="AY98" s="65" t="n">
        <f aca="false">IF(OR(OR($B98="",$E98="",$F98=""),$K98&lt;&gt;"نعم",$M98="نعم"),0,MAX(0,MIN($F98,EOMONTH(DATE(cfg_FY,6,1),0))-MAX($E98,DATE(cfg_FY,6,1))+1))</f>
        <v>0</v>
      </c>
      <c r="AZ98" s="65" t="n">
        <f aca="false">IF(OR(OR($B98="",$E98="",$F98=""),$K98&lt;&gt;"نعم",$M98="نعم"),0,MAX(0,MIN($F98,EOMONTH(DATE(cfg_FY,7,1),0))-MAX($E98,DATE(cfg_FY,7,1))+1))</f>
        <v>0</v>
      </c>
      <c r="BA98" s="65" t="n">
        <f aca="false">IF(OR(OR($B98="",$E98="",$F98=""),$K98&lt;&gt;"نعم",$M98="نعم"),0,MAX(0,MIN($F98,EOMONTH(DATE(cfg_FY,8,1),0))-MAX($E98,DATE(cfg_FY,8,1))+1))</f>
        <v>0</v>
      </c>
      <c r="BB98" s="65" t="n">
        <f aca="false">IF(OR(OR($B98="",$E98="",$F98=""),$K98&lt;&gt;"نعم",$M98="نعم"),0,MAX(0,MIN($F98,EOMONTH(DATE(cfg_FY,9,1),0))-MAX($E98,DATE(cfg_FY,9,1))+1))</f>
        <v>0</v>
      </c>
      <c r="BC98" s="65" t="n">
        <f aca="false">IF(OR(OR($B98="",$E98="",$F98=""),$K98&lt;&gt;"نعم",$M98="نعم"),0,MAX(0,MIN($F98,EOMONTH(DATE(cfg_FY,10,1),0))-MAX($E98,DATE(cfg_FY,10,1))+1))</f>
        <v>0</v>
      </c>
      <c r="BD98" s="65" t="n">
        <f aca="false">IF(OR(OR($B98="",$E98="",$F98=""),$K98&lt;&gt;"نعم",$M98="نعم"),0,MAX(0,MIN($F98,EOMONTH(DATE(cfg_FY,11,1),0))-MAX($E98,DATE(cfg_FY,11,1))+1))</f>
        <v>0</v>
      </c>
      <c r="BE98" s="65" t="n">
        <f aca="false">IF(OR(OR($B98="",$E98="",$F98=""),$K98&lt;&gt;"نعم",$M98="نعم"),0,MAX(0,MIN($F98,EOMONTH(DATE(cfg_FY,12,1),0))-MAX($E98,DATE(cfg_FY,12,1))+1))</f>
        <v>0</v>
      </c>
    </row>
    <row r="99" customFormat="false" ht="15" hidden="false" customHeight="false" outlineLevel="0" collapsed="false">
      <c r="A99" s="115" t="str">
        <f aca="false">IF(B99="","",ROW()-5)</f>
        <v/>
      </c>
      <c r="B99" s="118"/>
      <c r="C99" s="117" t="str">
        <f aca="false">IF(B99="","",IFERROR(INDEX(الموظفون!$C$6:$C$105,MATCH(B99,الموظفون!$B$6:$B$105,0)),"✖ رقم غير موجود"))</f>
        <v/>
      </c>
      <c r="D99" s="118"/>
      <c r="E99" s="119"/>
      <c r="F99" s="119"/>
      <c r="G99" s="133" t="str">
        <f aca="false">IF(OR($B99="",$E99="",$F99=""),"",MAX(0,F99-E99+1))</f>
        <v/>
      </c>
      <c r="H99" s="134" t="str">
        <f aca="false">IF(D99="","",IFERROR(VLOOKUP(D99,cfg_LT,2,FALSE()),1))</f>
        <v/>
      </c>
      <c r="I99" s="135"/>
      <c r="J99" s="134" t="str">
        <f aca="false">IF(D99="","",IF(I99&lt;&gt;"",I99,H99))</f>
        <v/>
      </c>
      <c r="K99" s="117" t="str">
        <f aca="false">IF(D99="","",IFERROR(VLOOKUP($D99,cfg_LT,3,FALSE()),""))</f>
        <v/>
      </c>
      <c r="L99" s="117" t="str">
        <f aca="false">IF(D99="","",IFERROR(VLOOKUP($D99,cfg_LT,4,FALSE()),""))</f>
        <v/>
      </c>
      <c r="M99" s="117" t="str">
        <f aca="false">IF(D99="","",IFERROR(VLOOKUP($D99,cfg_LT,5,FALSE()),""))</f>
        <v/>
      </c>
      <c r="N99" s="116" t="n">
        <f aca="false">IF(OR(OR($B99="",$E99="",$F99=""),M99&lt;&gt;"نعم"),0,G99*J99*IFERROR(INDEX(الموظفون!$R$6:$R$105,MATCH(B99,الموظفون!$B$6:$B$105,0)),0)/cfg_DAYS_M)</f>
        <v>0</v>
      </c>
      <c r="O99" s="115" t="str">
        <f aca="false">IF(OR(OR($B99="",$E99="",$F99=""),M99&lt;&gt;"نعم"),"",IF(YEAR(E99)=cfg_FY,MONTH(E99),""))</f>
        <v/>
      </c>
      <c r="P99" s="117" t="str">
        <f aca="false">IF(B99="","",IF(OR(D99="",E99="",F99=""),"⚠ أكمل النوع والتواريخ",IF(F99&lt;E99,"✖ النهاية قبل البداية",IF(COUNTIFS($B$6:$B$505,B99,$E$6:$E$505,"&lt;="&amp;F99,$F$6:$F$505,"&gt;="&amp;E99)&gt;1,"⚠ تداخل مع سجل آخر",IF(E99&gt;cfg_VAL_DATE,"⏳ قادمة",IF(F99&lt;cfg_VAL_DATE,"✔ منتهية","✈ جارية في تاريخ التقرير"))))))</f>
        <v/>
      </c>
      <c r="Q99" s="118"/>
      <c r="R99" s="133" t="n">
        <f aca="false">IF(OR(OR($B99="",$E99="",$F99=""),L99&lt;&gt;"لا"),0,MAX(0,MIN(F99,cfg_Y_START-1)-E99+1))</f>
        <v>0</v>
      </c>
      <c r="S99" s="133" t="n">
        <f aca="false">IF(OR(OR($B99="",$E99="",$F99=""),L99&lt;&gt;"لا"),0,MAX(0,MIN(F99,cfg_VAL_DATE)-E99+1))</f>
        <v>0</v>
      </c>
      <c r="T99" s="133" t="n">
        <f aca="false">IF(OR(OR($B99="",$E99="",$F99=""),K99&lt;&gt;"نعم"),0,IF(M99="نعم",IF(AND(ISNUMBER(O99),N(O99)&lt;=cfg_VAL_M),G99,0),MAX(0,MIN(F99,cfg_VAL_DATE)-MAX(E99,cfg_Y_START)+1)))</f>
        <v>0</v>
      </c>
      <c r="V99" s="133" t="n">
        <f aca="false">IF(OR($B99="",$E99="",$F99=""),0,MAX(0,MIN($F99,EOMONTH(DATE(cfg_FY,1,1),0))-MAX($E99,DATE(cfg_FY,1,1))+1)*(1-IF($M99="نعم",0,N($J99))))</f>
        <v>0</v>
      </c>
      <c r="W99" s="133" t="n">
        <f aca="false">IF(OR($B99="",$E99="",$F99=""),0,MAX(0,MIN($F99,EOMONTH(DATE(cfg_FY,2,1),0))-MAX($E99,DATE(cfg_FY,2,1))+1)*(1-IF($M99="نعم",0,N($J99))))</f>
        <v>0</v>
      </c>
      <c r="X99" s="133" t="n">
        <f aca="false">IF(OR($B99="",$E99="",$F99=""),0,MAX(0,MIN($F99,EOMONTH(DATE(cfg_FY,3,1),0))-MAX($E99,DATE(cfg_FY,3,1))+1)*(1-IF($M99="نعم",0,N($J99))))</f>
        <v>0</v>
      </c>
      <c r="Y99" s="133" t="n">
        <f aca="false">IF(OR($B99="",$E99="",$F99=""),0,MAX(0,MIN($F99,EOMONTH(DATE(cfg_FY,4,1),0))-MAX($E99,DATE(cfg_FY,4,1))+1)*(1-IF($M99="نعم",0,N($J99))))</f>
        <v>0</v>
      </c>
      <c r="Z99" s="133" t="n">
        <f aca="false">IF(OR($B99="",$E99="",$F99=""),0,MAX(0,MIN($F99,EOMONTH(DATE(cfg_FY,5,1),0))-MAX($E99,DATE(cfg_FY,5,1))+1)*(1-IF($M99="نعم",0,N($J99))))</f>
        <v>0</v>
      </c>
      <c r="AA99" s="133" t="n">
        <f aca="false">IF(OR($B99="",$E99="",$F99=""),0,MAX(0,MIN($F99,EOMONTH(DATE(cfg_FY,6,1),0))-MAX($E99,DATE(cfg_FY,6,1))+1)*(1-IF($M99="نعم",0,N($J99))))</f>
        <v>0</v>
      </c>
      <c r="AB99" s="133" t="n">
        <f aca="false">IF(OR($B99="",$E99="",$F99=""),0,MAX(0,MIN($F99,EOMONTH(DATE(cfg_FY,7,1),0))-MAX($E99,DATE(cfg_FY,7,1))+1)*(1-IF($M99="نعم",0,N($J99))))</f>
        <v>0</v>
      </c>
      <c r="AC99" s="133" t="n">
        <f aca="false">IF(OR($B99="",$E99="",$F99=""),0,MAX(0,MIN($F99,EOMONTH(DATE(cfg_FY,8,1),0))-MAX($E99,DATE(cfg_FY,8,1))+1)*(1-IF($M99="نعم",0,N($J99))))</f>
        <v>0</v>
      </c>
      <c r="AD99" s="133" t="n">
        <f aca="false">IF(OR($B99="",$E99="",$F99=""),0,MAX(0,MIN($F99,EOMONTH(DATE(cfg_FY,9,1),0))-MAX($E99,DATE(cfg_FY,9,1))+1)*(1-IF($M99="نعم",0,N($J99))))</f>
        <v>0</v>
      </c>
      <c r="AE99" s="133" t="n">
        <f aca="false">IF(OR($B99="",$E99="",$F99=""),0,MAX(0,MIN($F99,EOMONTH(DATE(cfg_FY,10,1),0))-MAX($E99,DATE(cfg_FY,10,1))+1)*(1-IF($M99="نعم",0,N($J99))))</f>
        <v>0</v>
      </c>
      <c r="AF99" s="133" t="n">
        <f aca="false">IF(OR($B99="",$E99="",$F99=""),0,MAX(0,MIN($F99,EOMONTH(DATE(cfg_FY,11,1),0))-MAX($E99,DATE(cfg_FY,11,1))+1)*(1-IF($M99="نعم",0,N($J99))))</f>
        <v>0</v>
      </c>
      <c r="AG99" s="133" t="n">
        <f aca="false">IF(OR($B99="",$E99="",$F99=""),0,MAX(0,MIN($F99,EOMONTH(DATE(cfg_FY,12,1),0))-MAX($E99,DATE(cfg_FY,12,1))+1)*(1-IF($M99="نعم",0,N($J99))))</f>
        <v>0</v>
      </c>
      <c r="AH99" s="133" t="n">
        <f aca="false">IF(OR(OR($B99="",$E99="",$F99=""),$L99&lt;&gt;"لا"),0,MAX(0,MIN($F99,EOMONTH(DATE(cfg_FY,1,1),0))-$E99+1))</f>
        <v>0</v>
      </c>
      <c r="AI99" s="133" t="n">
        <f aca="false">IF(OR(OR($B99="",$E99="",$F99=""),$L99&lt;&gt;"لا"),0,MAX(0,MIN($F99,EOMONTH(DATE(cfg_FY,2,1),0))-$E99+1))</f>
        <v>0</v>
      </c>
      <c r="AJ99" s="133" t="n">
        <f aca="false">IF(OR(OR($B99="",$E99="",$F99=""),$L99&lt;&gt;"لا"),0,MAX(0,MIN($F99,EOMONTH(DATE(cfg_FY,3,1),0))-$E99+1))</f>
        <v>0</v>
      </c>
      <c r="AK99" s="133" t="n">
        <f aca="false">IF(OR(OR($B99="",$E99="",$F99=""),$L99&lt;&gt;"لا"),0,MAX(0,MIN($F99,EOMONTH(DATE(cfg_FY,4,1),0))-$E99+1))</f>
        <v>0</v>
      </c>
      <c r="AL99" s="133" t="n">
        <f aca="false">IF(OR(OR($B99="",$E99="",$F99=""),$L99&lt;&gt;"لا"),0,MAX(0,MIN($F99,EOMONTH(DATE(cfg_FY,5,1),0))-$E99+1))</f>
        <v>0</v>
      </c>
      <c r="AM99" s="133" t="n">
        <f aca="false">IF(OR(OR($B99="",$E99="",$F99=""),$L99&lt;&gt;"لا"),0,MAX(0,MIN($F99,EOMONTH(DATE(cfg_FY,6,1),0))-$E99+1))</f>
        <v>0</v>
      </c>
      <c r="AN99" s="133" t="n">
        <f aca="false">IF(OR(OR($B99="",$E99="",$F99=""),$L99&lt;&gt;"لا"),0,MAX(0,MIN($F99,EOMONTH(DATE(cfg_FY,7,1),0))-$E99+1))</f>
        <v>0</v>
      </c>
      <c r="AO99" s="133" t="n">
        <f aca="false">IF(OR(OR($B99="",$E99="",$F99=""),$L99&lt;&gt;"لا"),0,MAX(0,MIN($F99,EOMONTH(DATE(cfg_FY,8,1),0))-$E99+1))</f>
        <v>0</v>
      </c>
      <c r="AP99" s="133" t="n">
        <f aca="false">IF(OR(OR($B99="",$E99="",$F99=""),$L99&lt;&gt;"لا"),0,MAX(0,MIN($F99,EOMONTH(DATE(cfg_FY,9,1),0))-$E99+1))</f>
        <v>0</v>
      </c>
      <c r="AQ99" s="133" t="n">
        <f aca="false">IF(OR(OR($B99="",$E99="",$F99=""),$L99&lt;&gt;"لا"),0,MAX(0,MIN($F99,EOMONTH(DATE(cfg_FY,10,1),0))-$E99+1))</f>
        <v>0</v>
      </c>
      <c r="AR99" s="133" t="n">
        <f aca="false">IF(OR(OR($B99="",$E99="",$F99=""),$L99&lt;&gt;"لا"),0,MAX(0,MIN($F99,EOMONTH(DATE(cfg_FY,11,1),0))-$E99+1))</f>
        <v>0</v>
      </c>
      <c r="AS99" s="133" t="n">
        <f aca="false">IF(OR(OR($B99="",$E99="",$F99=""),$L99&lt;&gt;"لا"),0,MAX(0,MIN($F99,EOMONTH(DATE(cfg_FY,12,1),0))-$E99+1))</f>
        <v>0</v>
      </c>
      <c r="AT99" s="133" t="n">
        <f aca="false">IF(OR(OR($B99="",$E99="",$F99=""),$K99&lt;&gt;"نعم",$M99="نعم"),0,MAX(0,MIN($F99,EOMONTH(DATE(cfg_FY,1,1),0))-MAX($E99,DATE(cfg_FY,1,1))+1))</f>
        <v>0</v>
      </c>
      <c r="AU99" s="133" t="n">
        <f aca="false">IF(OR(OR($B99="",$E99="",$F99=""),$K99&lt;&gt;"نعم",$M99="نعم"),0,MAX(0,MIN($F99,EOMONTH(DATE(cfg_FY,2,1),0))-MAX($E99,DATE(cfg_FY,2,1))+1))</f>
        <v>0</v>
      </c>
      <c r="AV99" s="133" t="n">
        <f aca="false">IF(OR(OR($B99="",$E99="",$F99=""),$K99&lt;&gt;"نعم",$M99="نعم"),0,MAX(0,MIN($F99,EOMONTH(DATE(cfg_FY,3,1),0))-MAX($E99,DATE(cfg_FY,3,1))+1))</f>
        <v>0</v>
      </c>
      <c r="AW99" s="133" t="n">
        <f aca="false">IF(OR(OR($B99="",$E99="",$F99=""),$K99&lt;&gt;"نعم",$M99="نعم"),0,MAX(0,MIN($F99,EOMONTH(DATE(cfg_FY,4,1),0))-MAX($E99,DATE(cfg_FY,4,1))+1))</f>
        <v>0</v>
      </c>
      <c r="AX99" s="133" t="n">
        <f aca="false">IF(OR(OR($B99="",$E99="",$F99=""),$K99&lt;&gt;"نعم",$M99="نعم"),0,MAX(0,MIN($F99,EOMONTH(DATE(cfg_FY,5,1),0))-MAX($E99,DATE(cfg_FY,5,1))+1))</f>
        <v>0</v>
      </c>
      <c r="AY99" s="133" t="n">
        <f aca="false">IF(OR(OR($B99="",$E99="",$F99=""),$K99&lt;&gt;"نعم",$M99="نعم"),0,MAX(0,MIN($F99,EOMONTH(DATE(cfg_FY,6,1),0))-MAX($E99,DATE(cfg_FY,6,1))+1))</f>
        <v>0</v>
      </c>
      <c r="AZ99" s="133" t="n">
        <f aca="false">IF(OR(OR($B99="",$E99="",$F99=""),$K99&lt;&gt;"نعم",$M99="نعم"),0,MAX(0,MIN($F99,EOMONTH(DATE(cfg_FY,7,1),0))-MAX($E99,DATE(cfg_FY,7,1))+1))</f>
        <v>0</v>
      </c>
      <c r="BA99" s="133" t="n">
        <f aca="false">IF(OR(OR($B99="",$E99="",$F99=""),$K99&lt;&gt;"نعم",$M99="نعم"),0,MAX(0,MIN($F99,EOMONTH(DATE(cfg_FY,8,1),0))-MAX($E99,DATE(cfg_FY,8,1))+1))</f>
        <v>0</v>
      </c>
      <c r="BB99" s="133" t="n">
        <f aca="false">IF(OR(OR($B99="",$E99="",$F99=""),$K99&lt;&gt;"نعم",$M99="نعم"),0,MAX(0,MIN($F99,EOMONTH(DATE(cfg_FY,9,1),0))-MAX($E99,DATE(cfg_FY,9,1))+1))</f>
        <v>0</v>
      </c>
      <c r="BC99" s="133" t="n">
        <f aca="false">IF(OR(OR($B99="",$E99="",$F99=""),$K99&lt;&gt;"نعم",$M99="نعم"),0,MAX(0,MIN($F99,EOMONTH(DATE(cfg_FY,10,1),0))-MAX($E99,DATE(cfg_FY,10,1))+1))</f>
        <v>0</v>
      </c>
      <c r="BD99" s="133" t="n">
        <f aca="false">IF(OR(OR($B99="",$E99="",$F99=""),$K99&lt;&gt;"نعم",$M99="نعم"),0,MAX(0,MIN($F99,EOMONTH(DATE(cfg_FY,11,1),0))-MAX($E99,DATE(cfg_FY,11,1))+1))</f>
        <v>0</v>
      </c>
      <c r="BE99" s="133" t="n">
        <f aca="false">IF(OR(OR($B99="",$E99="",$F99=""),$K99&lt;&gt;"نعم",$M99="نعم"),0,MAX(0,MIN($F99,EOMONTH(DATE(cfg_FY,12,1),0))-MAX($E99,DATE(cfg_FY,12,1))+1))</f>
        <v>0</v>
      </c>
    </row>
    <row r="100" customFormat="false" ht="15" hidden="false" customHeight="false" outlineLevel="0" collapsed="false">
      <c r="A100" s="106" t="str">
        <f aca="false">IF(B100="","",ROW()-5)</f>
        <v/>
      </c>
      <c r="B100" s="118"/>
      <c r="C100" s="114" t="str">
        <f aca="false">IF(B100="","",IFERROR(INDEX(الموظفون!$C$6:$C$105,MATCH(B100,الموظفون!$B$6:$B$105,0)),"✖ رقم غير موجود"))</f>
        <v/>
      </c>
      <c r="D100" s="118"/>
      <c r="E100" s="119"/>
      <c r="F100" s="119"/>
      <c r="G100" s="65" t="str">
        <f aca="false">IF(OR($B100="",$E100="",$F100=""),"",MAX(0,F100-E100+1))</f>
        <v/>
      </c>
      <c r="H100" s="66" t="str">
        <f aca="false">IF(D100="","",IFERROR(VLOOKUP(D100,cfg_LT,2,FALSE()),1))</f>
        <v/>
      </c>
      <c r="I100" s="135"/>
      <c r="J100" s="66" t="str">
        <f aca="false">IF(D100="","",IF(I100&lt;&gt;"",I100,H100))</f>
        <v/>
      </c>
      <c r="K100" s="114" t="str">
        <f aca="false">IF(D100="","",IFERROR(VLOOKUP($D100,cfg_LT,3,FALSE()),""))</f>
        <v/>
      </c>
      <c r="L100" s="114" t="str">
        <f aca="false">IF(D100="","",IFERROR(VLOOKUP($D100,cfg_LT,4,FALSE()),""))</f>
        <v/>
      </c>
      <c r="M100" s="114" t="str">
        <f aca="false">IF(D100="","",IFERROR(VLOOKUP($D100,cfg_LT,5,FALSE()),""))</f>
        <v/>
      </c>
      <c r="N100" s="111" t="n">
        <f aca="false">IF(OR(OR($B100="",$E100="",$F100=""),M100&lt;&gt;"نعم"),0,G100*J100*IFERROR(INDEX(الموظفون!$R$6:$R$105,MATCH(B100,الموظفون!$B$6:$B$105,0)),0)/cfg_DAYS_M)</f>
        <v>0</v>
      </c>
      <c r="O100" s="106" t="str">
        <f aca="false">IF(OR(OR($B100="",$E100="",$F100=""),M100&lt;&gt;"نعم"),"",IF(YEAR(E100)=cfg_FY,MONTH(E100),""))</f>
        <v/>
      </c>
      <c r="P100" s="114" t="str">
        <f aca="false">IF(B100="","",IF(OR(D100="",E100="",F100=""),"⚠ أكمل النوع والتواريخ",IF(F100&lt;E100,"✖ النهاية قبل البداية",IF(COUNTIFS($B$6:$B$505,B100,$E$6:$E$505,"&lt;="&amp;F100,$F$6:$F$505,"&gt;="&amp;E100)&gt;1,"⚠ تداخل مع سجل آخر",IF(E100&gt;cfg_VAL_DATE,"⏳ قادمة",IF(F100&lt;cfg_VAL_DATE,"✔ منتهية","✈ جارية في تاريخ التقرير"))))))</f>
        <v/>
      </c>
      <c r="Q100" s="118"/>
      <c r="R100" s="65" t="n">
        <f aca="false">IF(OR(OR($B100="",$E100="",$F100=""),L100&lt;&gt;"لا"),0,MAX(0,MIN(F100,cfg_Y_START-1)-E100+1))</f>
        <v>0</v>
      </c>
      <c r="S100" s="65" t="n">
        <f aca="false">IF(OR(OR($B100="",$E100="",$F100=""),L100&lt;&gt;"لا"),0,MAX(0,MIN(F100,cfg_VAL_DATE)-E100+1))</f>
        <v>0</v>
      </c>
      <c r="T100" s="65" t="n">
        <f aca="false">IF(OR(OR($B100="",$E100="",$F100=""),K100&lt;&gt;"نعم"),0,IF(M100="نعم",IF(AND(ISNUMBER(O100),N(O100)&lt;=cfg_VAL_M),G100,0),MAX(0,MIN(F100,cfg_VAL_DATE)-MAX(E100,cfg_Y_START)+1)))</f>
        <v>0</v>
      </c>
      <c r="V100" s="65" t="n">
        <f aca="false">IF(OR($B100="",$E100="",$F100=""),0,MAX(0,MIN($F100,EOMONTH(DATE(cfg_FY,1,1),0))-MAX($E100,DATE(cfg_FY,1,1))+1)*(1-IF($M100="نعم",0,N($J100))))</f>
        <v>0</v>
      </c>
      <c r="W100" s="65" t="n">
        <f aca="false">IF(OR($B100="",$E100="",$F100=""),0,MAX(0,MIN($F100,EOMONTH(DATE(cfg_FY,2,1),0))-MAX($E100,DATE(cfg_FY,2,1))+1)*(1-IF($M100="نعم",0,N($J100))))</f>
        <v>0</v>
      </c>
      <c r="X100" s="65" t="n">
        <f aca="false">IF(OR($B100="",$E100="",$F100=""),0,MAX(0,MIN($F100,EOMONTH(DATE(cfg_FY,3,1),0))-MAX($E100,DATE(cfg_FY,3,1))+1)*(1-IF($M100="نعم",0,N($J100))))</f>
        <v>0</v>
      </c>
      <c r="Y100" s="65" t="n">
        <f aca="false">IF(OR($B100="",$E100="",$F100=""),0,MAX(0,MIN($F100,EOMONTH(DATE(cfg_FY,4,1),0))-MAX($E100,DATE(cfg_FY,4,1))+1)*(1-IF($M100="نعم",0,N($J100))))</f>
        <v>0</v>
      </c>
      <c r="Z100" s="65" t="n">
        <f aca="false">IF(OR($B100="",$E100="",$F100=""),0,MAX(0,MIN($F100,EOMONTH(DATE(cfg_FY,5,1),0))-MAX($E100,DATE(cfg_FY,5,1))+1)*(1-IF($M100="نعم",0,N($J100))))</f>
        <v>0</v>
      </c>
      <c r="AA100" s="65" t="n">
        <f aca="false">IF(OR($B100="",$E100="",$F100=""),0,MAX(0,MIN($F100,EOMONTH(DATE(cfg_FY,6,1),0))-MAX($E100,DATE(cfg_FY,6,1))+1)*(1-IF($M100="نعم",0,N($J100))))</f>
        <v>0</v>
      </c>
      <c r="AB100" s="65" t="n">
        <f aca="false">IF(OR($B100="",$E100="",$F100=""),0,MAX(0,MIN($F100,EOMONTH(DATE(cfg_FY,7,1),0))-MAX($E100,DATE(cfg_FY,7,1))+1)*(1-IF($M100="نعم",0,N($J100))))</f>
        <v>0</v>
      </c>
      <c r="AC100" s="65" t="n">
        <f aca="false">IF(OR($B100="",$E100="",$F100=""),0,MAX(0,MIN($F100,EOMONTH(DATE(cfg_FY,8,1),0))-MAX($E100,DATE(cfg_FY,8,1))+1)*(1-IF($M100="نعم",0,N($J100))))</f>
        <v>0</v>
      </c>
      <c r="AD100" s="65" t="n">
        <f aca="false">IF(OR($B100="",$E100="",$F100=""),0,MAX(0,MIN($F100,EOMONTH(DATE(cfg_FY,9,1),0))-MAX($E100,DATE(cfg_FY,9,1))+1)*(1-IF($M100="نعم",0,N($J100))))</f>
        <v>0</v>
      </c>
      <c r="AE100" s="65" t="n">
        <f aca="false">IF(OR($B100="",$E100="",$F100=""),0,MAX(0,MIN($F100,EOMONTH(DATE(cfg_FY,10,1),0))-MAX($E100,DATE(cfg_FY,10,1))+1)*(1-IF($M100="نعم",0,N($J100))))</f>
        <v>0</v>
      </c>
      <c r="AF100" s="65" t="n">
        <f aca="false">IF(OR($B100="",$E100="",$F100=""),0,MAX(0,MIN($F100,EOMONTH(DATE(cfg_FY,11,1),0))-MAX($E100,DATE(cfg_FY,11,1))+1)*(1-IF($M100="نعم",0,N($J100))))</f>
        <v>0</v>
      </c>
      <c r="AG100" s="65" t="n">
        <f aca="false">IF(OR($B100="",$E100="",$F100=""),0,MAX(0,MIN($F100,EOMONTH(DATE(cfg_FY,12,1),0))-MAX($E100,DATE(cfg_FY,12,1))+1)*(1-IF($M100="نعم",0,N($J100))))</f>
        <v>0</v>
      </c>
      <c r="AH100" s="65" t="n">
        <f aca="false">IF(OR(OR($B100="",$E100="",$F100=""),$L100&lt;&gt;"لا"),0,MAX(0,MIN($F100,EOMONTH(DATE(cfg_FY,1,1),0))-$E100+1))</f>
        <v>0</v>
      </c>
      <c r="AI100" s="65" t="n">
        <f aca="false">IF(OR(OR($B100="",$E100="",$F100=""),$L100&lt;&gt;"لا"),0,MAX(0,MIN($F100,EOMONTH(DATE(cfg_FY,2,1),0))-$E100+1))</f>
        <v>0</v>
      </c>
      <c r="AJ100" s="65" t="n">
        <f aca="false">IF(OR(OR($B100="",$E100="",$F100=""),$L100&lt;&gt;"لا"),0,MAX(0,MIN($F100,EOMONTH(DATE(cfg_FY,3,1),0))-$E100+1))</f>
        <v>0</v>
      </c>
      <c r="AK100" s="65" t="n">
        <f aca="false">IF(OR(OR($B100="",$E100="",$F100=""),$L100&lt;&gt;"لا"),0,MAX(0,MIN($F100,EOMONTH(DATE(cfg_FY,4,1),0))-$E100+1))</f>
        <v>0</v>
      </c>
      <c r="AL100" s="65" t="n">
        <f aca="false">IF(OR(OR($B100="",$E100="",$F100=""),$L100&lt;&gt;"لا"),0,MAX(0,MIN($F100,EOMONTH(DATE(cfg_FY,5,1),0))-$E100+1))</f>
        <v>0</v>
      </c>
      <c r="AM100" s="65" t="n">
        <f aca="false">IF(OR(OR($B100="",$E100="",$F100=""),$L100&lt;&gt;"لا"),0,MAX(0,MIN($F100,EOMONTH(DATE(cfg_FY,6,1),0))-$E100+1))</f>
        <v>0</v>
      </c>
      <c r="AN100" s="65" t="n">
        <f aca="false">IF(OR(OR($B100="",$E100="",$F100=""),$L100&lt;&gt;"لا"),0,MAX(0,MIN($F100,EOMONTH(DATE(cfg_FY,7,1),0))-$E100+1))</f>
        <v>0</v>
      </c>
      <c r="AO100" s="65" t="n">
        <f aca="false">IF(OR(OR($B100="",$E100="",$F100=""),$L100&lt;&gt;"لا"),0,MAX(0,MIN($F100,EOMONTH(DATE(cfg_FY,8,1),0))-$E100+1))</f>
        <v>0</v>
      </c>
      <c r="AP100" s="65" t="n">
        <f aca="false">IF(OR(OR($B100="",$E100="",$F100=""),$L100&lt;&gt;"لا"),0,MAX(0,MIN($F100,EOMONTH(DATE(cfg_FY,9,1),0))-$E100+1))</f>
        <v>0</v>
      </c>
      <c r="AQ100" s="65" t="n">
        <f aca="false">IF(OR(OR($B100="",$E100="",$F100=""),$L100&lt;&gt;"لا"),0,MAX(0,MIN($F100,EOMONTH(DATE(cfg_FY,10,1),0))-$E100+1))</f>
        <v>0</v>
      </c>
      <c r="AR100" s="65" t="n">
        <f aca="false">IF(OR(OR($B100="",$E100="",$F100=""),$L100&lt;&gt;"لا"),0,MAX(0,MIN($F100,EOMONTH(DATE(cfg_FY,11,1),0))-$E100+1))</f>
        <v>0</v>
      </c>
      <c r="AS100" s="65" t="n">
        <f aca="false">IF(OR(OR($B100="",$E100="",$F100=""),$L100&lt;&gt;"لا"),0,MAX(0,MIN($F100,EOMONTH(DATE(cfg_FY,12,1),0))-$E100+1))</f>
        <v>0</v>
      </c>
      <c r="AT100" s="65" t="n">
        <f aca="false">IF(OR(OR($B100="",$E100="",$F100=""),$K100&lt;&gt;"نعم",$M100="نعم"),0,MAX(0,MIN($F100,EOMONTH(DATE(cfg_FY,1,1),0))-MAX($E100,DATE(cfg_FY,1,1))+1))</f>
        <v>0</v>
      </c>
      <c r="AU100" s="65" t="n">
        <f aca="false">IF(OR(OR($B100="",$E100="",$F100=""),$K100&lt;&gt;"نعم",$M100="نعم"),0,MAX(0,MIN($F100,EOMONTH(DATE(cfg_FY,2,1),0))-MAX($E100,DATE(cfg_FY,2,1))+1))</f>
        <v>0</v>
      </c>
      <c r="AV100" s="65" t="n">
        <f aca="false">IF(OR(OR($B100="",$E100="",$F100=""),$K100&lt;&gt;"نعم",$M100="نعم"),0,MAX(0,MIN($F100,EOMONTH(DATE(cfg_FY,3,1),0))-MAX($E100,DATE(cfg_FY,3,1))+1))</f>
        <v>0</v>
      </c>
      <c r="AW100" s="65" t="n">
        <f aca="false">IF(OR(OR($B100="",$E100="",$F100=""),$K100&lt;&gt;"نعم",$M100="نعم"),0,MAX(0,MIN($F100,EOMONTH(DATE(cfg_FY,4,1),0))-MAX($E100,DATE(cfg_FY,4,1))+1))</f>
        <v>0</v>
      </c>
      <c r="AX100" s="65" t="n">
        <f aca="false">IF(OR(OR($B100="",$E100="",$F100=""),$K100&lt;&gt;"نعم",$M100="نعم"),0,MAX(0,MIN($F100,EOMONTH(DATE(cfg_FY,5,1),0))-MAX($E100,DATE(cfg_FY,5,1))+1))</f>
        <v>0</v>
      </c>
      <c r="AY100" s="65" t="n">
        <f aca="false">IF(OR(OR($B100="",$E100="",$F100=""),$K100&lt;&gt;"نعم",$M100="نعم"),0,MAX(0,MIN($F100,EOMONTH(DATE(cfg_FY,6,1),0))-MAX($E100,DATE(cfg_FY,6,1))+1))</f>
        <v>0</v>
      </c>
      <c r="AZ100" s="65" t="n">
        <f aca="false">IF(OR(OR($B100="",$E100="",$F100=""),$K100&lt;&gt;"نعم",$M100="نعم"),0,MAX(0,MIN($F100,EOMONTH(DATE(cfg_FY,7,1),0))-MAX($E100,DATE(cfg_FY,7,1))+1))</f>
        <v>0</v>
      </c>
      <c r="BA100" s="65" t="n">
        <f aca="false">IF(OR(OR($B100="",$E100="",$F100=""),$K100&lt;&gt;"نعم",$M100="نعم"),0,MAX(0,MIN($F100,EOMONTH(DATE(cfg_FY,8,1),0))-MAX($E100,DATE(cfg_FY,8,1))+1))</f>
        <v>0</v>
      </c>
      <c r="BB100" s="65" t="n">
        <f aca="false">IF(OR(OR($B100="",$E100="",$F100=""),$K100&lt;&gt;"نعم",$M100="نعم"),0,MAX(0,MIN($F100,EOMONTH(DATE(cfg_FY,9,1),0))-MAX($E100,DATE(cfg_FY,9,1))+1))</f>
        <v>0</v>
      </c>
      <c r="BC100" s="65" t="n">
        <f aca="false">IF(OR(OR($B100="",$E100="",$F100=""),$K100&lt;&gt;"نعم",$M100="نعم"),0,MAX(0,MIN($F100,EOMONTH(DATE(cfg_FY,10,1),0))-MAX($E100,DATE(cfg_FY,10,1))+1))</f>
        <v>0</v>
      </c>
      <c r="BD100" s="65" t="n">
        <f aca="false">IF(OR(OR($B100="",$E100="",$F100=""),$K100&lt;&gt;"نعم",$M100="نعم"),0,MAX(0,MIN($F100,EOMONTH(DATE(cfg_FY,11,1),0))-MAX($E100,DATE(cfg_FY,11,1))+1))</f>
        <v>0</v>
      </c>
      <c r="BE100" s="65" t="n">
        <f aca="false">IF(OR(OR($B100="",$E100="",$F100=""),$K100&lt;&gt;"نعم",$M100="نعم"),0,MAX(0,MIN($F100,EOMONTH(DATE(cfg_FY,12,1),0))-MAX($E100,DATE(cfg_FY,12,1))+1))</f>
        <v>0</v>
      </c>
    </row>
    <row r="101" customFormat="false" ht="15" hidden="false" customHeight="false" outlineLevel="0" collapsed="false">
      <c r="A101" s="115" t="str">
        <f aca="false">IF(B101="","",ROW()-5)</f>
        <v/>
      </c>
      <c r="B101" s="118"/>
      <c r="C101" s="117" t="str">
        <f aca="false">IF(B101="","",IFERROR(INDEX(الموظفون!$C$6:$C$105,MATCH(B101,الموظفون!$B$6:$B$105,0)),"✖ رقم غير موجود"))</f>
        <v/>
      </c>
      <c r="D101" s="118"/>
      <c r="E101" s="119"/>
      <c r="F101" s="119"/>
      <c r="G101" s="133" t="str">
        <f aca="false">IF(OR($B101="",$E101="",$F101=""),"",MAX(0,F101-E101+1))</f>
        <v/>
      </c>
      <c r="H101" s="134" t="str">
        <f aca="false">IF(D101="","",IFERROR(VLOOKUP(D101,cfg_LT,2,FALSE()),1))</f>
        <v/>
      </c>
      <c r="I101" s="135"/>
      <c r="J101" s="134" t="str">
        <f aca="false">IF(D101="","",IF(I101&lt;&gt;"",I101,H101))</f>
        <v/>
      </c>
      <c r="K101" s="117" t="str">
        <f aca="false">IF(D101="","",IFERROR(VLOOKUP($D101,cfg_LT,3,FALSE()),""))</f>
        <v/>
      </c>
      <c r="L101" s="117" t="str">
        <f aca="false">IF(D101="","",IFERROR(VLOOKUP($D101,cfg_LT,4,FALSE()),""))</f>
        <v/>
      </c>
      <c r="M101" s="117" t="str">
        <f aca="false">IF(D101="","",IFERROR(VLOOKUP($D101,cfg_LT,5,FALSE()),""))</f>
        <v/>
      </c>
      <c r="N101" s="116" t="n">
        <f aca="false">IF(OR(OR($B101="",$E101="",$F101=""),M101&lt;&gt;"نعم"),0,G101*J101*IFERROR(INDEX(الموظفون!$R$6:$R$105,MATCH(B101,الموظفون!$B$6:$B$105,0)),0)/cfg_DAYS_M)</f>
        <v>0</v>
      </c>
      <c r="O101" s="115" t="str">
        <f aca="false">IF(OR(OR($B101="",$E101="",$F101=""),M101&lt;&gt;"نعم"),"",IF(YEAR(E101)=cfg_FY,MONTH(E101),""))</f>
        <v/>
      </c>
      <c r="P101" s="117" t="str">
        <f aca="false">IF(B101="","",IF(OR(D101="",E101="",F101=""),"⚠ أكمل النوع والتواريخ",IF(F101&lt;E101,"✖ النهاية قبل البداية",IF(COUNTIFS($B$6:$B$505,B101,$E$6:$E$505,"&lt;="&amp;F101,$F$6:$F$505,"&gt;="&amp;E101)&gt;1,"⚠ تداخل مع سجل آخر",IF(E101&gt;cfg_VAL_DATE,"⏳ قادمة",IF(F101&lt;cfg_VAL_DATE,"✔ منتهية","✈ جارية في تاريخ التقرير"))))))</f>
        <v/>
      </c>
      <c r="Q101" s="118"/>
      <c r="R101" s="133" t="n">
        <f aca="false">IF(OR(OR($B101="",$E101="",$F101=""),L101&lt;&gt;"لا"),0,MAX(0,MIN(F101,cfg_Y_START-1)-E101+1))</f>
        <v>0</v>
      </c>
      <c r="S101" s="133" t="n">
        <f aca="false">IF(OR(OR($B101="",$E101="",$F101=""),L101&lt;&gt;"لا"),0,MAX(0,MIN(F101,cfg_VAL_DATE)-E101+1))</f>
        <v>0</v>
      </c>
      <c r="T101" s="133" t="n">
        <f aca="false">IF(OR(OR($B101="",$E101="",$F101=""),K101&lt;&gt;"نعم"),0,IF(M101="نعم",IF(AND(ISNUMBER(O101),N(O101)&lt;=cfg_VAL_M),G101,0),MAX(0,MIN(F101,cfg_VAL_DATE)-MAX(E101,cfg_Y_START)+1)))</f>
        <v>0</v>
      </c>
      <c r="V101" s="133" t="n">
        <f aca="false">IF(OR($B101="",$E101="",$F101=""),0,MAX(0,MIN($F101,EOMONTH(DATE(cfg_FY,1,1),0))-MAX($E101,DATE(cfg_FY,1,1))+1)*(1-IF($M101="نعم",0,N($J101))))</f>
        <v>0</v>
      </c>
      <c r="W101" s="133" t="n">
        <f aca="false">IF(OR($B101="",$E101="",$F101=""),0,MAX(0,MIN($F101,EOMONTH(DATE(cfg_FY,2,1),0))-MAX($E101,DATE(cfg_FY,2,1))+1)*(1-IF($M101="نعم",0,N($J101))))</f>
        <v>0</v>
      </c>
      <c r="X101" s="133" t="n">
        <f aca="false">IF(OR($B101="",$E101="",$F101=""),0,MAX(0,MIN($F101,EOMONTH(DATE(cfg_FY,3,1),0))-MAX($E101,DATE(cfg_FY,3,1))+1)*(1-IF($M101="نعم",0,N($J101))))</f>
        <v>0</v>
      </c>
      <c r="Y101" s="133" t="n">
        <f aca="false">IF(OR($B101="",$E101="",$F101=""),0,MAX(0,MIN($F101,EOMONTH(DATE(cfg_FY,4,1),0))-MAX($E101,DATE(cfg_FY,4,1))+1)*(1-IF($M101="نعم",0,N($J101))))</f>
        <v>0</v>
      </c>
      <c r="Z101" s="133" t="n">
        <f aca="false">IF(OR($B101="",$E101="",$F101=""),0,MAX(0,MIN($F101,EOMONTH(DATE(cfg_FY,5,1),0))-MAX($E101,DATE(cfg_FY,5,1))+1)*(1-IF($M101="نعم",0,N($J101))))</f>
        <v>0</v>
      </c>
      <c r="AA101" s="133" t="n">
        <f aca="false">IF(OR($B101="",$E101="",$F101=""),0,MAX(0,MIN($F101,EOMONTH(DATE(cfg_FY,6,1),0))-MAX($E101,DATE(cfg_FY,6,1))+1)*(1-IF($M101="نعم",0,N($J101))))</f>
        <v>0</v>
      </c>
      <c r="AB101" s="133" t="n">
        <f aca="false">IF(OR($B101="",$E101="",$F101=""),0,MAX(0,MIN($F101,EOMONTH(DATE(cfg_FY,7,1),0))-MAX($E101,DATE(cfg_FY,7,1))+1)*(1-IF($M101="نعم",0,N($J101))))</f>
        <v>0</v>
      </c>
      <c r="AC101" s="133" t="n">
        <f aca="false">IF(OR($B101="",$E101="",$F101=""),0,MAX(0,MIN($F101,EOMONTH(DATE(cfg_FY,8,1),0))-MAX($E101,DATE(cfg_FY,8,1))+1)*(1-IF($M101="نعم",0,N($J101))))</f>
        <v>0</v>
      </c>
      <c r="AD101" s="133" t="n">
        <f aca="false">IF(OR($B101="",$E101="",$F101=""),0,MAX(0,MIN($F101,EOMONTH(DATE(cfg_FY,9,1),0))-MAX($E101,DATE(cfg_FY,9,1))+1)*(1-IF($M101="نعم",0,N($J101))))</f>
        <v>0</v>
      </c>
      <c r="AE101" s="133" t="n">
        <f aca="false">IF(OR($B101="",$E101="",$F101=""),0,MAX(0,MIN($F101,EOMONTH(DATE(cfg_FY,10,1),0))-MAX($E101,DATE(cfg_FY,10,1))+1)*(1-IF($M101="نعم",0,N($J101))))</f>
        <v>0</v>
      </c>
      <c r="AF101" s="133" t="n">
        <f aca="false">IF(OR($B101="",$E101="",$F101=""),0,MAX(0,MIN($F101,EOMONTH(DATE(cfg_FY,11,1),0))-MAX($E101,DATE(cfg_FY,11,1))+1)*(1-IF($M101="نعم",0,N($J101))))</f>
        <v>0</v>
      </c>
      <c r="AG101" s="133" t="n">
        <f aca="false">IF(OR($B101="",$E101="",$F101=""),0,MAX(0,MIN($F101,EOMONTH(DATE(cfg_FY,12,1),0))-MAX($E101,DATE(cfg_FY,12,1))+1)*(1-IF($M101="نعم",0,N($J101))))</f>
        <v>0</v>
      </c>
      <c r="AH101" s="133" t="n">
        <f aca="false">IF(OR(OR($B101="",$E101="",$F101=""),$L101&lt;&gt;"لا"),0,MAX(0,MIN($F101,EOMONTH(DATE(cfg_FY,1,1),0))-$E101+1))</f>
        <v>0</v>
      </c>
      <c r="AI101" s="133" t="n">
        <f aca="false">IF(OR(OR($B101="",$E101="",$F101=""),$L101&lt;&gt;"لا"),0,MAX(0,MIN($F101,EOMONTH(DATE(cfg_FY,2,1),0))-$E101+1))</f>
        <v>0</v>
      </c>
      <c r="AJ101" s="133" t="n">
        <f aca="false">IF(OR(OR($B101="",$E101="",$F101=""),$L101&lt;&gt;"لا"),0,MAX(0,MIN($F101,EOMONTH(DATE(cfg_FY,3,1),0))-$E101+1))</f>
        <v>0</v>
      </c>
      <c r="AK101" s="133" t="n">
        <f aca="false">IF(OR(OR($B101="",$E101="",$F101=""),$L101&lt;&gt;"لا"),0,MAX(0,MIN($F101,EOMONTH(DATE(cfg_FY,4,1),0))-$E101+1))</f>
        <v>0</v>
      </c>
      <c r="AL101" s="133" t="n">
        <f aca="false">IF(OR(OR($B101="",$E101="",$F101=""),$L101&lt;&gt;"لا"),0,MAX(0,MIN($F101,EOMONTH(DATE(cfg_FY,5,1),0))-$E101+1))</f>
        <v>0</v>
      </c>
      <c r="AM101" s="133" t="n">
        <f aca="false">IF(OR(OR($B101="",$E101="",$F101=""),$L101&lt;&gt;"لا"),0,MAX(0,MIN($F101,EOMONTH(DATE(cfg_FY,6,1),0))-$E101+1))</f>
        <v>0</v>
      </c>
      <c r="AN101" s="133" t="n">
        <f aca="false">IF(OR(OR($B101="",$E101="",$F101=""),$L101&lt;&gt;"لا"),0,MAX(0,MIN($F101,EOMONTH(DATE(cfg_FY,7,1),0))-$E101+1))</f>
        <v>0</v>
      </c>
      <c r="AO101" s="133" t="n">
        <f aca="false">IF(OR(OR($B101="",$E101="",$F101=""),$L101&lt;&gt;"لا"),0,MAX(0,MIN($F101,EOMONTH(DATE(cfg_FY,8,1),0))-$E101+1))</f>
        <v>0</v>
      </c>
      <c r="AP101" s="133" t="n">
        <f aca="false">IF(OR(OR($B101="",$E101="",$F101=""),$L101&lt;&gt;"لا"),0,MAX(0,MIN($F101,EOMONTH(DATE(cfg_FY,9,1),0))-$E101+1))</f>
        <v>0</v>
      </c>
      <c r="AQ101" s="133" t="n">
        <f aca="false">IF(OR(OR($B101="",$E101="",$F101=""),$L101&lt;&gt;"لا"),0,MAX(0,MIN($F101,EOMONTH(DATE(cfg_FY,10,1),0))-$E101+1))</f>
        <v>0</v>
      </c>
      <c r="AR101" s="133" t="n">
        <f aca="false">IF(OR(OR($B101="",$E101="",$F101=""),$L101&lt;&gt;"لا"),0,MAX(0,MIN($F101,EOMONTH(DATE(cfg_FY,11,1),0))-$E101+1))</f>
        <v>0</v>
      </c>
      <c r="AS101" s="133" t="n">
        <f aca="false">IF(OR(OR($B101="",$E101="",$F101=""),$L101&lt;&gt;"لا"),0,MAX(0,MIN($F101,EOMONTH(DATE(cfg_FY,12,1),0))-$E101+1))</f>
        <v>0</v>
      </c>
      <c r="AT101" s="133" t="n">
        <f aca="false">IF(OR(OR($B101="",$E101="",$F101=""),$K101&lt;&gt;"نعم",$M101="نعم"),0,MAX(0,MIN($F101,EOMONTH(DATE(cfg_FY,1,1),0))-MAX($E101,DATE(cfg_FY,1,1))+1))</f>
        <v>0</v>
      </c>
      <c r="AU101" s="133" t="n">
        <f aca="false">IF(OR(OR($B101="",$E101="",$F101=""),$K101&lt;&gt;"نعم",$M101="نعم"),0,MAX(0,MIN($F101,EOMONTH(DATE(cfg_FY,2,1),0))-MAX($E101,DATE(cfg_FY,2,1))+1))</f>
        <v>0</v>
      </c>
      <c r="AV101" s="133" t="n">
        <f aca="false">IF(OR(OR($B101="",$E101="",$F101=""),$K101&lt;&gt;"نعم",$M101="نعم"),0,MAX(0,MIN($F101,EOMONTH(DATE(cfg_FY,3,1),0))-MAX($E101,DATE(cfg_FY,3,1))+1))</f>
        <v>0</v>
      </c>
      <c r="AW101" s="133" t="n">
        <f aca="false">IF(OR(OR($B101="",$E101="",$F101=""),$K101&lt;&gt;"نعم",$M101="نعم"),0,MAX(0,MIN($F101,EOMONTH(DATE(cfg_FY,4,1),0))-MAX($E101,DATE(cfg_FY,4,1))+1))</f>
        <v>0</v>
      </c>
      <c r="AX101" s="133" t="n">
        <f aca="false">IF(OR(OR($B101="",$E101="",$F101=""),$K101&lt;&gt;"نعم",$M101="نعم"),0,MAX(0,MIN($F101,EOMONTH(DATE(cfg_FY,5,1),0))-MAX($E101,DATE(cfg_FY,5,1))+1))</f>
        <v>0</v>
      </c>
      <c r="AY101" s="133" t="n">
        <f aca="false">IF(OR(OR($B101="",$E101="",$F101=""),$K101&lt;&gt;"نعم",$M101="نعم"),0,MAX(0,MIN($F101,EOMONTH(DATE(cfg_FY,6,1),0))-MAX($E101,DATE(cfg_FY,6,1))+1))</f>
        <v>0</v>
      </c>
      <c r="AZ101" s="133" t="n">
        <f aca="false">IF(OR(OR($B101="",$E101="",$F101=""),$K101&lt;&gt;"نعم",$M101="نعم"),0,MAX(0,MIN($F101,EOMONTH(DATE(cfg_FY,7,1),0))-MAX($E101,DATE(cfg_FY,7,1))+1))</f>
        <v>0</v>
      </c>
      <c r="BA101" s="133" t="n">
        <f aca="false">IF(OR(OR($B101="",$E101="",$F101=""),$K101&lt;&gt;"نعم",$M101="نعم"),0,MAX(0,MIN($F101,EOMONTH(DATE(cfg_FY,8,1),0))-MAX($E101,DATE(cfg_FY,8,1))+1))</f>
        <v>0</v>
      </c>
      <c r="BB101" s="133" t="n">
        <f aca="false">IF(OR(OR($B101="",$E101="",$F101=""),$K101&lt;&gt;"نعم",$M101="نعم"),0,MAX(0,MIN($F101,EOMONTH(DATE(cfg_FY,9,1),0))-MAX($E101,DATE(cfg_FY,9,1))+1))</f>
        <v>0</v>
      </c>
      <c r="BC101" s="133" t="n">
        <f aca="false">IF(OR(OR($B101="",$E101="",$F101=""),$K101&lt;&gt;"نعم",$M101="نعم"),0,MAX(0,MIN($F101,EOMONTH(DATE(cfg_FY,10,1),0))-MAX($E101,DATE(cfg_FY,10,1))+1))</f>
        <v>0</v>
      </c>
      <c r="BD101" s="133" t="n">
        <f aca="false">IF(OR(OR($B101="",$E101="",$F101=""),$K101&lt;&gt;"نعم",$M101="نعم"),0,MAX(0,MIN($F101,EOMONTH(DATE(cfg_FY,11,1),0))-MAX($E101,DATE(cfg_FY,11,1))+1))</f>
        <v>0</v>
      </c>
      <c r="BE101" s="133" t="n">
        <f aca="false">IF(OR(OR($B101="",$E101="",$F101=""),$K101&lt;&gt;"نعم",$M101="نعم"),0,MAX(0,MIN($F101,EOMONTH(DATE(cfg_FY,12,1),0))-MAX($E101,DATE(cfg_FY,12,1))+1))</f>
        <v>0</v>
      </c>
    </row>
    <row r="102" customFormat="false" ht="15" hidden="false" customHeight="false" outlineLevel="0" collapsed="false">
      <c r="A102" s="106" t="str">
        <f aca="false">IF(B102="","",ROW()-5)</f>
        <v/>
      </c>
      <c r="B102" s="118"/>
      <c r="C102" s="114" t="str">
        <f aca="false">IF(B102="","",IFERROR(INDEX(الموظفون!$C$6:$C$105,MATCH(B102,الموظفون!$B$6:$B$105,0)),"✖ رقم غير موجود"))</f>
        <v/>
      </c>
      <c r="D102" s="118"/>
      <c r="E102" s="119"/>
      <c r="F102" s="119"/>
      <c r="G102" s="65" t="str">
        <f aca="false">IF(OR($B102="",$E102="",$F102=""),"",MAX(0,F102-E102+1))</f>
        <v/>
      </c>
      <c r="H102" s="66" t="str">
        <f aca="false">IF(D102="","",IFERROR(VLOOKUP(D102,cfg_LT,2,FALSE()),1))</f>
        <v/>
      </c>
      <c r="I102" s="135"/>
      <c r="J102" s="66" t="str">
        <f aca="false">IF(D102="","",IF(I102&lt;&gt;"",I102,H102))</f>
        <v/>
      </c>
      <c r="K102" s="114" t="str">
        <f aca="false">IF(D102="","",IFERROR(VLOOKUP($D102,cfg_LT,3,FALSE()),""))</f>
        <v/>
      </c>
      <c r="L102" s="114" t="str">
        <f aca="false">IF(D102="","",IFERROR(VLOOKUP($D102,cfg_LT,4,FALSE()),""))</f>
        <v/>
      </c>
      <c r="M102" s="114" t="str">
        <f aca="false">IF(D102="","",IFERROR(VLOOKUP($D102,cfg_LT,5,FALSE()),""))</f>
        <v/>
      </c>
      <c r="N102" s="111" t="n">
        <f aca="false">IF(OR(OR($B102="",$E102="",$F102=""),M102&lt;&gt;"نعم"),0,G102*J102*IFERROR(INDEX(الموظفون!$R$6:$R$105,MATCH(B102,الموظفون!$B$6:$B$105,0)),0)/cfg_DAYS_M)</f>
        <v>0</v>
      </c>
      <c r="O102" s="106" t="str">
        <f aca="false">IF(OR(OR($B102="",$E102="",$F102=""),M102&lt;&gt;"نعم"),"",IF(YEAR(E102)=cfg_FY,MONTH(E102),""))</f>
        <v/>
      </c>
      <c r="P102" s="114" t="str">
        <f aca="false">IF(B102="","",IF(OR(D102="",E102="",F102=""),"⚠ أكمل النوع والتواريخ",IF(F102&lt;E102,"✖ النهاية قبل البداية",IF(COUNTIFS($B$6:$B$505,B102,$E$6:$E$505,"&lt;="&amp;F102,$F$6:$F$505,"&gt;="&amp;E102)&gt;1,"⚠ تداخل مع سجل آخر",IF(E102&gt;cfg_VAL_DATE,"⏳ قادمة",IF(F102&lt;cfg_VAL_DATE,"✔ منتهية","✈ جارية في تاريخ التقرير"))))))</f>
        <v/>
      </c>
      <c r="Q102" s="118"/>
      <c r="R102" s="65" t="n">
        <f aca="false">IF(OR(OR($B102="",$E102="",$F102=""),L102&lt;&gt;"لا"),0,MAX(0,MIN(F102,cfg_Y_START-1)-E102+1))</f>
        <v>0</v>
      </c>
      <c r="S102" s="65" t="n">
        <f aca="false">IF(OR(OR($B102="",$E102="",$F102=""),L102&lt;&gt;"لا"),0,MAX(0,MIN(F102,cfg_VAL_DATE)-E102+1))</f>
        <v>0</v>
      </c>
      <c r="T102" s="65" t="n">
        <f aca="false">IF(OR(OR($B102="",$E102="",$F102=""),K102&lt;&gt;"نعم"),0,IF(M102="نعم",IF(AND(ISNUMBER(O102),N(O102)&lt;=cfg_VAL_M),G102,0),MAX(0,MIN(F102,cfg_VAL_DATE)-MAX(E102,cfg_Y_START)+1)))</f>
        <v>0</v>
      </c>
      <c r="V102" s="65" t="n">
        <f aca="false">IF(OR($B102="",$E102="",$F102=""),0,MAX(0,MIN($F102,EOMONTH(DATE(cfg_FY,1,1),0))-MAX($E102,DATE(cfg_FY,1,1))+1)*(1-IF($M102="نعم",0,N($J102))))</f>
        <v>0</v>
      </c>
      <c r="W102" s="65" t="n">
        <f aca="false">IF(OR($B102="",$E102="",$F102=""),0,MAX(0,MIN($F102,EOMONTH(DATE(cfg_FY,2,1),0))-MAX($E102,DATE(cfg_FY,2,1))+1)*(1-IF($M102="نعم",0,N($J102))))</f>
        <v>0</v>
      </c>
      <c r="X102" s="65" t="n">
        <f aca="false">IF(OR($B102="",$E102="",$F102=""),0,MAX(0,MIN($F102,EOMONTH(DATE(cfg_FY,3,1),0))-MAX($E102,DATE(cfg_FY,3,1))+1)*(1-IF($M102="نعم",0,N($J102))))</f>
        <v>0</v>
      </c>
      <c r="Y102" s="65" t="n">
        <f aca="false">IF(OR($B102="",$E102="",$F102=""),0,MAX(0,MIN($F102,EOMONTH(DATE(cfg_FY,4,1),0))-MAX($E102,DATE(cfg_FY,4,1))+1)*(1-IF($M102="نعم",0,N($J102))))</f>
        <v>0</v>
      </c>
      <c r="Z102" s="65" t="n">
        <f aca="false">IF(OR($B102="",$E102="",$F102=""),0,MAX(0,MIN($F102,EOMONTH(DATE(cfg_FY,5,1),0))-MAX($E102,DATE(cfg_FY,5,1))+1)*(1-IF($M102="نعم",0,N($J102))))</f>
        <v>0</v>
      </c>
      <c r="AA102" s="65" t="n">
        <f aca="false">IF(OR($B102="",$E102="",$F102=""),0,MAX(0,MIN($F102,EOMONTH(DATE(cfg_FY,6,1),0))-MAX($E102,DATE(cfg_FY,6,1))+1)*(1-IF($M102="نعم",0,N($J102))))</f>
        <v>0</v>
      </c>
      <c r="AB102" s="65" t="n">
        <f aca="false">IF(OR($B102="",$E102="",$F102=""),0,MAX(0,MIN($F102,EOMONTH(DATE(cfg_FY,7,1),0))-MAX($E102,DATE(cfg_FY,7,1))+1)*(1-IF($M102="نعم",0,N($J102))))</f>
        <v>0</v>
      </c>
      <c r="AC102" s="65" t="n">
        <f aca="false">IF(OR($B102="",$E102="",$F102=""),0,MAX(0,MIN($F102,EOMONTH(DATE(cfg_FY,8,1),0))-MAX($E102,DATE(cfg_FY,8,1))+1)*(1-IF($M102="نعم",0,N($J102))))</f>
        <v>0</v>
      </c>
      <c r="AD102" s="65" t="n">
        <f aca="false">IF(OR($B102="",$E102="",$F102=""),0,MAX(0,MIN($F102,EOMONTH(DATE(cfg_FY,9,1),0))-MAX($E102,DATE(cfg_FY,9,1))+1)*(1-IF($M102="نعم",0,N($J102))))</f>
        <v>0</v>
      </c>
      <c r="AE102" s="65" t="n">
        <f aca="false">IF(OR($B102="",$E102="",$F102=""),0,MAX(0,MIN($F102,EOMONTH(DATE(cfg_FY,10,1),0))-MAX($E102,DATE(cfg_FY,10,1))+1)*(1-IF($M102="نعم",0,N($J102))))</f>
        <v>0</v>
      </c>
      <c r="AF102" s="65" t="n">
        <f aca="false">IF(OR($B102="",$E102="",$F102=""),0,MAX(0,MIN($F102,EOMONTH(DATE(cfg_FY,11,1),0))-MAX($E102,DATE(cfg_FY,11,1))+1)*(1-IF($M102="نعم",0,N($J102))))</f>
        <v>0</v>
      </c>
      <c r="AG102" s="65" t="n">
        <f aca="false">IF(OR($B102="",$E102="",$F102=""),0,MAX(0,MIN($F102,EOMONTH(DATE(cfg_FY,12,1),0))-MAX($E102,DATE(cfg_FY,12,1))+1)*(1-IF($M102="نعم",0,N($J102))))</f>
        <v>0</v>
      </c>
      <c r="AH102" s="65" t="n">
        <f aca="false">IF(OR(OR($B102="",$E102="",$F102=""),$L102&lt;&gt;"لا"),0,MAX(0,MIN($F102,EOMONTH(DATE(cfg_FY,1,1),0))-$E102+1))</f>
        <v>0</v>
      </c>
      <c r="AI102" s="65" t="n">
        <f aca="false">IF(OR(OR($B102="",$E102="",$F102=""),$L102&lt;&gt;"لا"),0,MAX(0,MIN($F102,EOMONTH(DATE(cfg_FY,2,1),0))-$E102+1))</f>
        <v>0</v>
      </c>
      <c r="AJ102" s="65" t="n">
        <f aca="false">IF(OR(OR($B102="",$E102="",$F102=""),$L102&lt;&gt;"لا"),0,MAX(0,MIN($F102,EOMONTH(DATE(cfg_FY,3,1),0))-$E102+1))</f>
        <v>0</v>
      </c>
      <c r="AK102" s="65" t="n">
        <f aca="false">IF(OR(OR($B102="",$E102="",$F102=""),$L102&lt;&gt;"لا"),0,MAX(0,MIN($F102,EOMONTH(DATE(cfg_FY,4,1),0))-$E102+1))</f>
        <v>0</v>
      </c>
      <c r="AL102" s="65" t="n">
        <f aca="false">IF(OR(OR($B102="",$E102="",$F102=""),$L102&lt;&gt;"لا"),0,MAX(0,MIN($F102,EOMONTH(DATE(cfg_FY,5,1),0))-$E102+1))</f>
        <v>0</v>
      </c>
      <c r="AM102" s="65" t="n">
        <f aca="false">IF(OR(OR($B102="",$E102="",$F102=""),$L102&lt;&gt;"لا"),0,MAX(0,MIN($F102,EOMONTH(DATE(cfg_FY,6,1),0))-$E102+1))</f>
        <v>0</v>
      </c>
      <c r="AN102" s="65" t="n">
        <f aca="false">IF(OR(OR($B102="",$E102="",$F102=""),$L102&lt;&gt;"لا"),0,MAX(0,MIN($F102,EOMONTH(DATE(cfg_FY,7,1),0))-$E102+1))</f>
        <v>0</v>
      </c>
      <c r="AO102" s="65" t="n">
        <f aca="false">IF(OR(OR($B102="",$E102="",$F102=""),$L102&lt;&gt;"لا"),0,MAX(0,MIN($F102,EOMONTH(DATE(cfg_FY,8,1),0))-$E102+1))</f>
        <v>0</v>
      </c>
      <c r="AP102" s="65" t="n">
        <f aca="false">IF(OR(OR($B102="",$E102="",$F102=""),$L102&lt;&gt;"لا"),0,MAX(0,MIN($F102,EOMONTH(DATE(cfg_FY,9,1),0))-$E102+1))</f>
        <v>0</v>
      </c>
      <c r="AQ102" s="65" t="n">
        <f aca="false">IF(OR(OR($B102="",$E102="",$F102=""),$L102&lt;&gt;"لا"),0,MAX(0,MIN($F102,EOMONTH(DATE(cfg_FY,10,1),0))-$E102+1))</f>
        <v>0</v>
      </c>
      <c r="AR102" s="65" t="n">
        <f aca="false">IF(OR(OR($B102="",$E102="",$F102=""),$L102&lt;&gt;"لا"),0,MAX(0,MIN($F102,EOMONTH(DATE(cfg_FY,11,1),0))-$E102+1))</f>
        <v>0</v>
      </c>
      <c r="AS102" s="65" t="n">
        <f aca="false">IF(OR(OR($B102="",$E102="",$F102=""),$L102&lt;&gt;"لا"),0,MAX(0,MIN($F102,EOMONTH(DATE(cfg_FY,12,1),0))-$E102+1))</f>
        <v>0</v>
      </c>
      <c r="AT102" s="65" t="n">
        <f aca="false">IF(OR(OR($B102="",$E102="",$F102=""),$K102&lt;&gt;"نعم",$M102="نعم"),0,MAX(0,MIN($F102,EOMONTH(DATE(cfg_FY,1,1),0))-MAX($E102,DATE(cfg_FY,1,1))+1))</f>
        <v>0</v>
      </c>
      <c r="AU102" s="65" t="n">
        <f aca="false">IF(OR(OR($B102="",$E102="",$F102=""),$K102&lt;&gt;"نعم",$M102="نعم"),0,MAX(0,MIN($F102,EOMONTH(DATE(cfg_FY,2,1),0))-MAX($E102,DATE(cfg_FY,2,1))+1))</f>
        <v>0</v>
      </c>
      <c r="AV102" s="65" t="n">
        <f aca="false">IF(OR(OR($B102="",$E102="",$F102=""),$K102&lt;&gt;"نعم",$M102="نعم"),0,MAX(0,MIN($F102,EOMONTH(DATE(cfg_FY,3,1),0))-MAX($E102,DATE(cfg_FY,3,1))+1))</f>
        <v>0</v>
      </c>
      <c r="AW102" s="65" t="n">
        <f aca="false">IF(OR(OR($B102="",$E102="",$F102=""),$K102&lt;&gt;"نعم",$M102="نعم"),0,MAX(0,MIN($F102,EOMONTH(DATE(cfg_FY,4,1),0))-MAX($E102,DATE(cfg_FY,4,1))+1))</f>
        <v>0</v>
      </c>
      <c r="AX102" s="65" t="n">
        <f aca="false">IF(OR(OR($B102="",$E102="",$F102=""),$K102&lt;&gt;"نعم",$M102="نعم"),0,MAX(0,MIN($F102,EOMONTH(DATE(cfg_FY,5,1),0))-MAX($E102,DATE(cfg_FY,5,1))+1))</f>
        <v>0</v>
      </c>
      <c r="AY102" s="65" t="n">
        <f aca="false">IF(OR(OR($B102="",$E102="",$F102=""),$K102&lt;&gt;"نعم",$M102="نعم"),0,MAX(0,MIN($F102,EOMONTH(DATE(cfg_FY,6,1),0))-MAX($E102,DATE(cfg_FY,6,1))+1))</f>
        <v>0</v>
      </c>
      <c r="AZ102" s="65" t="n">
        <f aca="false">IF(OR(OR($B102="",$E102="",$F102=""),$K102&lt;&gt;"نعم",$M102="نعم"),0,MAX(0,MIN($F102,EOMONTH(DATE(cfg_FY,7,1),0))-MAX($E102,DATE(cfg_FY,7,1))+1))</f>
        <v>0</v>
      </c>
      <c r="BA102" s="65" t="n">
        <f aca="false">IF(OR(OR($B102="",$E102="",$F102=""),$K102&lt;&gt;"نعم",$M102="نعم"),0,MAX(0,MIN($F102,EOMONTH(DATE(cfg_FY,8,1),0))-MAX($E102,DATE(cfg_FY,8,1))+1))</f>
        <v>0</v>
      </c>
      <c r="BB102" s="65" t="n">
        <f aca="false">IF(OR(OR($B102="",$E102="",$F102=""),$K102&lt;&gt;"نعم",$M102="نعم"),0,MAX(0,MIN($F102,EOMONTH(DATE(cfg_FY,9,1),0))-MAX($E102,DATE(cfg_FY,9,1))+1))</f>
        <v>0</v>
      </c>
      <c r="BC102" s="65" t="n">
        <f aca="false">IF(OR(OR($B102="",$E102="",$F102=""),$K102&lt;&gt;"نعم",$M102="نعم"),0,MAX(0,MIN($F102,EOMONTH(DATE(cfg_FY,10,1),0))-MAX($E102,DATE(cfg_FY,10,1))+1))</f>
        <v>0</v>
      </c>
      <c r="BD102" s="65" t="n">
        <f aca="false">IF(OR(OR($B102="",$E102="",$F102=""),$K102&lt;&gt;"نعم",$M102="نعم"),0,MAX(0,MIN($F102,EOMONTH(DATE(cfg_FY,11,1),0))-MAX($E102,DATE(cfg_FY,11,1))+1))</f>
        <v>0</v>
      </c>
      <c r="BE102" s="65" t="n">
        <f aca="false">IF(OR(OR($B102="",$E102="",$F102=""),$K102&lt;&gt;"نعم",$M102="نعم"),0,MAX(0,MIN($F102,EOMONTH(DATE(cfg_FY,12,1),0))-MAX($E102,DATE(cfg_FY,12,1))+1))</f>
        <v>0</v>
      </c>
    </row>
    <row r="103" customFormat="false" ht="15" hidden="false" customHeight="false" outlineLevel="0" collapsed="false">
      <c r="A103" s="115" t="str">
        <f aca="false">IF(B103="","",ROW()-5)</f>
        <v/>
      </c>
      <c r="B103" s="118"/>
      <c r="C103" s="117" t="str">
        <f aca="false">IF(B103="","",IFERROR(INDEX(الموظفون!$C$6:$C$105,MATCH(B103,الموظفون!$B$6:$B$105,0)),"✖ رقم غير موجود"))</f>
        <v/>
      </c>
      <c r="D103" s="118"/>
      <c r="E103" s="119"/>
      <c r="F103" s="119"/>
      <c r="G103" s="133" t="str">
        <f aca="false">IF(OR($B103="",$E103="",$F103=""),"",MAX(0,F103-E103+1))</f>
        <v/>
      </c>
      <c r="H103" s="134" t="str">
        <f aca="false">IF(D103="","",IFERROR(VLOOKUP(D103,cfg_LT,2,FALSE()),1))</f>
        <v/>
      </c>
      <c r="I103" s="135"/>
      <c r="J103" s="134" t="str">
        <f aca="false">IF(D103="","",IF(I103&lt;&gt;"",I103,H103))</f>
        <v/>
      </c>
      <c r="K103" s="117" t="str">
        <f aca="false">IF(D103="","",IFERROR(VLOOKUP($D103,cfg_LT,3,FALSE()),""))</f>
        <v/>
      </c>
      <c r="L103" s="117" t="str">
        <f aca="false">IF(D103="","",IFERROR(VLOOKUP($D103,cfg_LT,4,FALSE()),""))</f>
        <v/>
      </c>
      <c r="M103" s="117" t="str">
        <f aca="false">IF(D103="","",IFERROR(VLOOKUP($D103,cfg_LT,5,FALSE()),""))</f>
        <v/>
      </c>
      <c r="N103" s="116" t="n">
        <f aca="false">IF(OR(OR($B103="",$E103="",$F103=""),M103&lt;&gt;"نعم"),0,G103*J103*IFERROR(INDEX(الموظفون!$R$6:$R$105,MATCH(B103,الموظفون!$B$6:$B$105,0)),0)/cfg_DAYS_M)</f>
        <v>0</v>
      </c>
      <c r="O103" s="115" t="str">
        <f aca="false">IF(OR(OR($B103="",$E103="",$F103=""),M103&lt;&gt;"نعم"),"",IF(YEAR(E103)=cfg_FY,MONTH(E103),""))</f>
        <v/>
      </c>
      <c r="P103" s="117" t="str">
        <f aca="false">IF(B103="","",IF(OR(D103="",E103="",F103=""),"⚠ أكمل النوع والتواريخ",IF(F103&lt;E103,"✖ النهاية قبل البداية",IF(COUNTIFS($B$6:$B$505,B103,$E$6:$E$505,"&lt;="&amp;F103,$F$6:$F$505,"&gt;="&amp;E103)&gt;1,"⚠ تداخل مع سجل آخر",IF(E103&gt;cfg_VAL_DATE,"⏳ قادمة",IF(F103&lt;cfg_VAL_DATE,"✔ منتهية","✈ جارية في تاريخ التقرير"))))))</f>
        <v/>
      </c>
      <c r="Q103" s="118"/>
      <c r="R103" s="133" t="n">
        <f aca="false">IF(OR(OR($B103="",$E103="",$F103=""),L103&lt;&gt;"لا"),0,MAX(0,MIN(F103,cfg_Y_START-1)-E103+1))</f>
        <v>0</v>
      </c>
      <c r="S103" s="133" t="n">
        <f aca="false">IF(OR(OR($B103="",$E103="",$F103=""),L103&lt;&gt;"لا"),0,MAX(0,MIN(F103,cfg_VAL_DATE)-E103+1))</f>
        <v>0</v>
      </c>
      <c r="T103" s="133" t="n">
        <f aca="false">IF(OR(OR($B103="",$E103="",$F103=""),K103&lt;&gt;"نعم"),0,IF(M103="نعم",IF(AND(ISNUMBER(O103),N(O103)&lt;=cfg_VAL_M),G103,0),MAX(0,MIN(F103,cfg_VAL_DATE)-MAX(E103,cfg_Y_START)+1)))</f>
        <v>0</v>
      </c>
      <c r="V103" s="133" t="n">
        <f aca="false">IF(OR($B103="",$E103="",$F103=""),0,MAX(0,MIN($F103,EOMONTH(DATE(cfg_FY,1,1),0))-MAX($E103,DATE(cfg_FY,1,1))+1)*(1-IF($M103="نعم",0,N($J103))))</f>
        <v>0</v>
      </c>
      <c r="W103" s="133" t="n">
        <f aca="false">IF(OR($B103="",$E103="",$F103=""),0,MAX(0,MIN($F103,EOMONTH(DATE(cfg_FY,2,1),0))-MAX($E103,DATE(cfg_FY,2,1))+1)*(1-IF($M103="نعم",0,N($J103))))</f>
        <v>0</v>
      </c>
      <c r="X103" s="133" t="n">
        <f aca="false">IF(OR($B103="",$E103="",$F103=""),0,MAX(0,MIN($F103,EOMONTH(DATE(cfg_FY,3,1),0))-MAX($E103,DATE(cfg_FY,3,1))+1)*(1-IF($M103="نعم",0,N($J103))))</f>
        <v>0</v>
      </c>
      <c r="Y103" s="133" t="n">
        <f aca="false">IF(OR($B103="",$E103="",$F103=""),0,MAX(0,MIN($F103,EOMONTH(DATE(cfg_FY,4,1),0))-MAX($E103,DATE(cfg_FY,4,1))+1)*(1-IF($M103="نعم",0,N($J103))))</f>
        <v>0</v>
      </c>
      <c r="Z103" s="133" t="n">
        <f aca="false">IF(OR($B103="",$E103="",$F103=""),0,MAX(0,MIN($F103,EOMONTH(DATE(cfg_FY,5,1),0))-MAX($E103,DATE(cfg_FY,5,1))+1)*(1-IF($M103="نعم",0,N($J103))))</f>
        <v>0</v>
      </c>
      <c r="AA103" s="133" t="n">
        <f aca="false">IF(OR($B103="",$E103="",$F103=""),0,MAX(0,MIN($F103,EOMONTH(DATE(cfg_FY,6,1),0))-MAX($E103,DATE(cfg_FY,6,1))+1)*(1-IF($M103="نعم",0,N($J103))))</f>
        <v>0</v>
      </c>
      <c r="AB103" s="133" t="n">
        <f aca="false">IF(OR($B103="",$E103="",$F103=""),0,MAX(0,MIN($F103,EOMONTH(DATE(cfg_FY,7,1),0))-MAX($E103,DATE(cfg_FY,7,1))+1)*(1-IF($M103="نعم",0,N($J103))))</f>
        <v>0</v>
      </c>
      <c r="AC103" s="133" t="n">
        <f aca="false">IF(OR($B103="",$E103="",$F103=""),0,MAX(0,MIN($F103,EOMONTH(DATE(cfg_FY,8,1),0))-MAX($E103,DATE(cfg_FY,8,1))+1)*(1-IF($M103="نعم",0,N($J103))))</f>
        <v>0</v>
      </c>
      <c r="AD103" s="133" t="n">
        <f aca="false">IF(OR($B103="",$E103="",$F103=""),0,MAX(0,MIN($F103,EOMONTH(DATE(cfg_FY,9,1),0))-MAX($E103,DATE(cfg_FY,9,1))+1)*(1-IF($M103="نعم",0,N($J103))))</f>
        <v>0</v>
      </c>
      <c r="AE103" s="133" t="n">
        <f aca="false">IF(OR($B103="",$E103="",$F103=""),0,MAX(0,MIN($F103,EOMONTH(DATE(cfg_FY,10,1),0))-MAX($E103,DATE(cfg_FY,10,1))+1)*(1-IF($M103="نعم",0,N($J103))))</f>
        <v>0</v>
      </c>
      <c r="AF103" s="133" t="n">
        <f aca="false">IF(OR($B103="",$E103="",$F103=""),0,MAX(0,MIN($F103,EOMONTH(DATE(cfg_FY,11,1),0))-MAX($E103,DATE(cfg_FY,11,1))+1)*(1-IF($M103="نعم",0,N($J103))))</f>
        <v>0</v>
      </c>
      <c r="AG103" s="133" t="n">
        <f aca="false">IF(OR($B103="",$E103="",$F103=""),0,MAX(0,MIN($F103,EOMONTH(DATE(cfg_FY,12,1),0))-MAX($E103,DATE(cfg_FY,12,1))+1)*(1-IF($M103="نعم",0,N($J103))))</f>
        <v>0</v>
      </c>
      <c r="AH103" s="133" t="n">
        <f aca="false">IF(OR(OR($B103="",$E103="",$F103=""),$L103&lt;&gt;"لا"),0,MAX(0,MIN($F103,EOMONTH(DATE(cfg_FY,1,1),0))-$E103+1))</f>
        <v>0</v>
      </c>
      <c r="AI103" s="133" t="n">
        <f aca="false">IF(OR(OR($B103="",$E103="",$F103=""),$L103&lt;&gt;"لا"),0,MAX(0,MIN($F103,EOMONTH(DATE(cfg_FY,2,1),0))-$E103+1))</f>
        <v>0</v>
      </c>
      <c r="AJ103" s="133" t="n">
        <f aca="false">IF(OR(OR($B103="",$E103="",$F103=""),$L103&lt;&gt;"لا"),0,MAX(0,MIN($F103,EOMONTH(DATE(cfg_FY,3,1),0))-$E103+1))</f>
        <v>0</v>
      </c>
      <c r="AK103" s="133" t="n">
        <f aca="false">IF(OR(OR($B103="",$E103="",$F103=""),$L103&lt;&gt;"لا"),0,MAX(0,MIN($F103,EOMONTH(DATE(cfg_FY,4,1),0))-$E103+1))</f>
        <v>0</v>
      </c>
      <c r="AL103" s="133" t="n">
        <f aca="false">IF(OR(OR($B103="",$E103="",$F103=""),$L103&lt;&gt;"لا"),0,MAX(0,MIN($F103,EOMONTH(DATE(cfg_FY,5,1),0))-$E103+1))</f>
        <v>0</v>
      </c>
      <c r="AM103" s="133" t="n">
        <f aca="false">IF(OR(OR($B103="",$E103="",$F103=""),$L103&lt;&gt;"لا"),0,MAX(0,MIN($F103,EOMONTH(DATE(cfg_FY,6,1),0))-$E103+1))</f>
        <v>0</v>
      </c>
      <c r="AN103" s="133" t="n">
        <f aca="false">IF(OR(OR($B103="",$E103="",$F103=""),$L103&lt;&gt;"لا"),0,MAX(0,MIN($F103,EOMONTH(DATE(cfg_FY,7,1),0))-$E103+1))</f>
        <v>0</v>
      </c>
      <c r="AO103" s="133" t="n">
        <f aca="false">IF(OR(OR($B103="",$E103="",$F103=""),$L103&lt;&gt;"لا"),0,MAX(0,MIN($F103,EOMONTH(DATE(cfg_FY,8,1),0))-$E103+1))</f>
        <v>0</v>
      </c>
      <c r="AP103" s="133" t="n">
        <f aca="false">IF(OR(OR($B103="",$E103="",$F103=""),$L103&lt;&gt;"لا"),0,MAX(0,MIN($F103,EOMONTH(DATE(cfg_FY,9,1),0))-$E103+1))</f>
        <v>0</v>
      </c>
      <c r="AQ103" s="133" t="n">
        <f aca="false">IF(OR(OR($B103="",$E103="",$F103=""),$L103&lt;&gt;"لا"),0,MAX(0,MIN($F103,EOMONTH(DATE(cfg_FY,10,1),0))-$E103+1))</f>
        <v>0</v>
      </c>
      <c r="AR103" s="133" t="n">
        <f aca="false">IF(OR(OR($B103="",$E103="",$F103=""),$L103&lt;&gt;"لا"),0,MAX(0,MIN($F103,EOMONTH(DATE(cfg_FY,11,1),0))-$E103+1))</f>
        <v>0</v>
      </c>
      <c r="AS103" s="133" t="n">
        <f aca="false">IF(OR(OR($B103="",$E103="",$F103=""),$L103&lt;&gt;"لا"),0,MAX(0,MIN($F103,EOMONTH(DATE(cfg_FY,12,1),0))-$E103+1))</f>
        <v>0</v>
      </c>
      <c r="AT103" s="133" t="n">
        <f aca="false">IF(OR(OR($B103="",$E103="",$F103=""),$K103&lt;&gt;"نعم",$M103="نعم"),0,MAX(0,MIN($F103,EOMONTH(DATE(cfg_FY,1,1),0))-MAX($E103,DATE(cfg_FY,1,1))+1))</f>
        <v>0</v>
      </c>
      <c r="AU103" s="133" t="n">
        <f aca="false">IF(OR(OR($B103="",$E103="",$F103=""),$K103&lt;&gt;"نعم",$M103="نعم"),0,MAX(0,MIN($F103,EOMONTH(DATE(cfg_FY,2,1),0))-MAX($E103,DATE(cfg_FY,2,1))+1))</f>
        <v>0</v>
      </c>
      <c r="AV103" s="133" t="n">
        <f aca="false">IF(OR(OR($B103="",$E103="",$F103=""),$K103&lt;&gt;"نعم",$M103="نعم"),0,MAX(0,MIN($F103,EOMONTH(DATE(cfg_FY,3,1),0))-MAX($E103,DATE(cfg_FY,3,1))+1))</f>
        <v>0</v>
      </c>
      <c r="AW103" s="133" t="n">
        <f aca="false">IF(OR(OR($B103="",$E103="",$F103=""),$K103&lt;&gt;"نعم",$M103="نعم"),0,MAX(0,MIN($F103,EOMONTH(DATE(cfg_FY,4,1),0))-MAX($E103,DATE(cfg_FY,4,1))+1))</f>
        <v>0</v>
      </c>
      <c r="AX103" s="133" t="n">
        <f aca="false">IF(OR(OR($B103="",$E103="",$F103=""),$K103&lt;&gt;"نعم",$M103="نعم"),0,MAX(0,MIN($F103,EOMONTH(DATE(cfg_FY,5,1),0))-MAX($E103,DATE(cfg_FY,5,1))+1))</f>
        <v>0</v>
      </c>
      <c r="AY103" s="133" t="n">
        <f aca="false">IF(OR(OR($B103="",$E103="",$F103=""),$K103&lt;&gt;"نعم",$M103="نعم"),0,MAX(0,MIN($F103,EOMONTH(DATE(cfg_FY,6,1),0))-MAX($E103,DATE(cfg_FY,6,1))+1))</f>
        <v>0</v>
      </c>
      <c r="AZ103" s="133" t="n">
        <f aca="false">IF(OR(OR($B103="",$E103="",$F103=""),$K103&lt;&gt;"نعم",$M103="نعم"),0,MAX(0,MIN($F103,EOMONTH(DATE(cfg_FY,7,1),0))-MAX($E103,DATE(cfg_FY,7,1))+1))</f>
        <v>0</v>
      </c>
      <c r="BA103" s="133" t="n">
        <f aca="false">IF(OR(OR($B103="",$E103="",$F103=""),$K103&lt;&gt;"نعم",$M103="نعم"),0,MAX(0,MIN($F103,EOMONTH(DATE(cfg_FY,8,1),0))-MAX($E103,DATE(cfg_FY,8,1))+1))</f>
        <v>0</v>
      </c>
      <c r="BB103" s="133" t="n">
        <f aca="false">IF(OR(OR($B103="",$E103="",$F103=""),$K103&lt;&gt;"نعم",$M103="نعم"),0,MAX(0,MIN($F103,EOMONTH(DATE(cfg_FY,9,1),0))-MAX($E103,DATE(cfg_FY,9,1))+1))</f>
        <v>0</v>
      </c>
      <c r="BC103" s="133" t="n">
        <f aca="false">IF(OR(OR($B103="",$E103="",$F103=""),$K103&lt;&gt;"نعم",$M103="نعم"),0,MAX(0,MIN($F103,EOMONTH(DATE(cfg_FY,10,1),0))-MAX($E103,DATE(cfg_FY,10,1))+1))</f>
        <v>0</v>
      </c>
      <c r="BD103" s="133" t="n">
        <f aca="false">IF(OR(OR($B103="",$E103="",$F103=""),$K103&lt;&gt;"نعم",$M103="نعم"),0,MAX(0,MIN($F103,EOMONTH(DATE(cfg_FY,11,1),0))-MAX($E103,DATE(cfg_FY,11,1))+1))</f>
        <v>0</v>
      </c>
      <c r="BE103" s="133" t="n">
        <f aca="false">IF(OR(OR($B103="",$E103="",$F103=""),$K103&lt;&gt;"نعم",$M103="نعم"),0,MAX(0,MIN($F103,EOMONTH(DATE(cfg_FY,12,1),0))-MAX($E103,DATE(cfg_FY,12,1))+1))</f>
        <v>0</v>
      </c>
    </row>
    <row r="104" customFormat="false" ht="15" hidden="false" customHeight="false" outlineLevel="0" collapsed="false">
      <c r="A104" s="106" t="str">
        <f aca="false">IF(B104="","",ROW()-5)</f>
        <v/>
      </c>
      <c r="B104" s="118"/>
      <c r="C104" s="114" t="str">
        <f aca="false">IF(B104="","",IFERROR(INDEX(الموظفون!$C$6:$C$105,MATCH(B104,الموظفون!$B$6:$B$105,0)),"✖ رقم غير موجود"))</f>
        <v/>
      </c>
      <c r="D104" s="118"/>
      <c r="E104" s="119"/>
      <c r="F104" s="119"/>
      <c r="G104" s="65" t="str">
        <f aca="false">IF(OR($B104="",$E104="",$F104=""),"",MAX(0,F104-E104+1))</f>
        <v/>
      </c>
      <c r="H104" s="66" t="str">
        <f aca="false">IF(D104="","",IFERROR(VLOOKUP(D104,cfg_LT,2,FALSE()),1))</f>
        <v/>
      </c>
      <c r="I104" s="135"/>
      <c r="J104" s="66" t="str">
        <f aca="false">IF(D104="","",IF(I104&lt;&gt;"",I104,H104))</f>
        <v/>
      </c>
      <c r="K104" s="114" t="str">
        <f aca="false">IF(D104="","",IFERROR(VLOOKUP($D104,cfg_LT,3,FALSE()),""))</f>
        <v/>
      </c>
      <c r="L104" s="114" t="str">
        <f aca="false">IF(D104="","",IFERROR(VLOOKUP($D104,cfg_LT,4,FALSE()),""))</f>
        <v/>
      </c>
      <c r="M104" s="114" t="str">
        <f aca="false">IF(D104="","",IFERROR(VLOOKUP($D104,cfg_LT,5,FALSE()),""))</f>
        <v/>
      </c>
      <c r="N104" s="111" t="n">
        <f aca="false">IF(OR(OR($B104="",$E104="",$F104=""),M104&lt;&gt;"نعم"),0,G104*J104*IFERROR(INDEX(الموظفون!$R$6:$R$105,MATCH(B104,الموظفون!$B$6:$B$105,0)),0)/cfg_DAYS_M)</f>
        <v>0</v>
      </c>
      <c r="O104" s="106" t="str">
        <f aca="false">IF(OR(OR($B104="",$E104="",$F104=""),M104&lt;&gt;"نعم"),"",IF(YEAR(E104)=cfg_FY,MONTH(E104),""))</f>
        <v/>
      </c>
      <c r="P104" s="114" t="str">
        <f aca="false">IF(B104="","",IF(OR(D104="",E104="",F104=""),"⚠ أكمل النوع والتواريخ",IF(F104&lt;E104,"✖ النهاية قبل البداية",IF(COUNTIFS($B$6:$B$505,B104,$E$6:$E$505,"&lt;="&amp;F104,$F$6:$F$505,"&gt;="&amp;E104)&gt;1,"⚠ تداخل مع سجل آخر",IF(E104&gt;cfg_VAL_DATE,"⏳ قادمة",IF(F104&lt;cfg_VAL_DATE,"✔ منتهية","✈ جارية في تاريخ التقرير"))))))</f>
        <v/>
      </c>
      <c r="Q104" s="118"/>
      <c r="R104" s="65" t="n">
        <f aca="false">IF(OR(OR($B104="",$E104="",$F104=""),L104&lt;&gt;"لا"),0,MAX(0,MIN(F104,cfg_Y_START-1)-E104+1))</f>
        <v>0</v>
      </c>
      <c r="S104" s="65" t="n">
        <f aca="false">IF(OR(OR($B104="",$E104="",$F104=""),L104&lt;&gt;"لا"),0,MAX(0,MIN(F104,cfg_VAL_DATE)-E104+1))</f>
        <v>0</v>
      </c>
      <c r="T104" s="65" t="n">
        <f aca="false">IF(OR(OR($B104="",$E104="",$F104=""),K104&lt;&gt;"نعم"),0,IF(M104="نعم",IF(AND(ISNUMBER(O104),N(O104)&lt;=cfg_VAL_M),G104,0),MAX(0,MIN(F104,cfg_VAL_DATE)-MAX(E104,cfg_Y_START)+1)))</f>
        <v>0</v>
      </c>
      <c r="V104" s="65" t="n">
        <f aca="false">IF(OR($B104="",$E104="",$F104=""),0,MAX(0,MIN($F104,EOMONTH(DATE(cfg_FY,1,1),0))-MAX($E104,DATE(cfg_FY,1,1))+1)*(1-IF($M104="نعم",0,N($J104))))</f>
        <v>0</v>
      </c>
      <c r="W104" s="65" t="n">
        <f aca="false">IF(OR($B104="",$E104="",$F104=""),0,MAX(0,MIN($F104,EOMONTH(DATE(cfg_FY,2,1),0))-MAX($E104,DATE(cfg_FY,2,1))+1)*(1-IF($M104="نعم",0,N($J104))))</f>
        <v>0</v>
      </c>
      <c r="X104" s="65" t="n">
        <f aca="false">IF(OR($B104="",$E104="",$F104=""),0,MAX(0,MIN($F104,EOMONTH(DATE(cfg_FY,3,1),0))-MAX($E104,DATE(cfg_FY,3,1))+1)*(1-IF($M104="نعم",0,N($J104))))</f>
        <v>0</v>
      </c>
      <c r="Y104" s="65" t="n">
        <f aca="false">IF(OR($B104="",$E104="",$F104=""),0,MAX(0,MIN($F104,EOMONTH(DATE(cfg_FY,4,1),0))-MAX($E104,DATE(cfg_FY,4,1))+1)*(1-IF($M104="نعم",0,N($J104))))</f>
        <v>0</v>
      </c>
      <c r="Z104" s="65" t="n">
        <f aca="false">IF(OR($B104="",$E104="",$F104=""),0,MAX(0,MIN($F104,EOMONTH(DATE(cfg_FY,5,1),0))-MAX($E104,DATE(cfg_FY,5,1))+1)*(1-IF($M104="نعم",0,N($J104))))</f>
        <v>0</v>
      </c>
      <c r="AA104" s="65" t="n">
        <f aca="false">IF(OR($B104="",$E104="",$F104=""),0,MAX(0,MIN($F104,EOMONTH(DATE(cfg_FY,6,1),0))-MAX($E104,DATE(cfg_FY,6,1))+1)*(1-IF($M104="نعم",0,N($J104))))</f>
        <v>0</v>
      </c>
      <c r="AB104" s="65" t="n">
        <f aca="false">IF(OR($B104="",$E104="",$F104=""),0,MAX(0,MIN($F104,EOMONTH(DATE(cfg_FY,7,1),0))-MAX($E104,DATE(cfg_FY,7,1))+1)*(1-IF($M104="نعم",0,N($J104))))</f>
        <v>0</v>
      </c>
      <c r="AC104" s="65" t="n">
        <f aca="false">IF(OR($B104="",$E104="",$F104=""),0,MAX(0,MIN($F104,EOMONTH(DATE(cfg_FY,8,1),0))-MAX($E104,DATE(cfg_FY,8,1))+1)*(1-IF($M104="نعم",0,N($J104))))</f>
        <v>0</v>
      </c>
      <c r="AD104" s="65" t="n">
        <f aca="false">IF(OR($B104="",$E104="",$F104=""),0,MAX(0,MIN($F104,EOMONTH(DATE(cfg_FY,9,1),0))-MAX($E104,DATE(cfg_FY,9,1))+1)*(1-IF($M104="نعم",0,N($J104))))</f>
        <v>0</v>
      </c>
      <c r="AE104" s="65" t="n">
        <f aca="false">IF(OR($B104="",$E104="",$F104=""),0,MAX(0,MIN($F104,EOMONTH(DATE(cfg_FY,10,1),0))-MAX($E104,DATE(cfg_FY,10,1))+1)*(1-IF($M104="نعم",0,N($J104))))</f>
        <v>0</v>
      </c>
      <c r="AF104" s="65" t="n">
        <f aca="false">IF(OR($B104="",$E104="",$F104=""),0,MAX(0,MIN($F104,EOMONTH(DATE(cfg_FY,11,1),0))-MAX($E104,DATE(cfg_FY,11,1))+1)*(1-IF($M104="نعم",0,N($J104))))</f>
        <v>0</v>
      </c>
      <c r="AG104" s="65" t="n">
        <f aca="false">IF(OR($B104="",$E104="",$F104=""),0,MAX(0,MIN($F104,EOMONTH(DATE(cfg_FY,12,1),0))-MAX($E104,DATE(cfg_FY,12,1))+1)*(1-IF($M104="نعم",0,N($J104))))</f>
        <v>0</v>
      </c>
      <c r="AH104" s="65" t="n">
        <f aca="false">IF(OR(OR($B104="",$E104="",$F104=""),$L104&lt;&gt;"لا"),0,MAX(0,MIN($F104,EOMONTH(DATE(cfg_FY,1,1),0))-$E104+1))</f>
        <v>0</v>
      </c>
      <c r="AI104" s="65" t="n">
        <f aca="false">IF(OR(OR($B104="",$E104="",$F104=""),$L104&lt;&gt;"لا"),0,MAX(0,MIN($F104,EOMONTH(DATE(cfg_FY,2,1),0))-$E104+1))</f>
        <v>0</v>
      </c>
      <c r="AJ104" s="65" t="n">
        <f aca="false">IF(OR(OR($B104="",$E104="",$F104=""),$L104&lt;&gt;"لا"),0,MAX(0,MIN($F104,EOMONTH(DATE(cfg_FY,3,1),0))-$E104+1))</f>
        <v>0</v>
      </c>
      <c r="AK104" s="65" t="n">
        <f aca="false">IF(OR(OR($B104="",$E104="",$F104=""),$L104&lt;&gt;"لا"),0,MAX(0,MIN($F104,EOMONTH(DATE(cfg_FY,4,1),0))-$E104+1))</f>
        <v>0</v>
      </c>
      <c r="AL104" s="65" t="n">
        <f aca="false">IF(OR(OR($B104="",$E104="",$F104=""),$L104&lt;&gt;"لا"),0,MAX(0,MIN($F104,EOMONTH(DATE(cfg_FY,5,1),0))-$E104+1))</f>
        <v>0</v>
      </c>
      <c r="AM104" s="65" t="n">
        <f aca="false">IF(OR(OR($B104="",$E104="",$F104=""),$L104&lt;&gt;"لا"),0,MAX(0,MIN($F104,EOMONTH(DATE(cfg_FY,6,1),0))-$E104+1))</f>
        <v>0</v>
      </c>
      <c r="AN104" s="65" t="n">
        <f aca="false">IF(OR(OR($B104="",$E104="",$F104=""),$L104&lt;&gt;"لا"),0,MAX(0,MIN($F104,EOMONTH(DATE(cfg_FY,7,1),0))-$E104+1))</f>
        <v>0</v>
      </c>
      <c r="AO104" s="65" t="n">
        <f aca="false">IF(OR(OR($B104="",$E104="",$F104=""),$L104&lt;&gt;"لا"),0,MAX(0,MIN($F104,EOMONTH(DATE(cfg_FY,8,1),0))-$E104+1))</f>
        <v>0</v>
      </c>
      <c r="AP104" s="65" t="n">
        <f aca="false">IF(OR(OR($B104="",$E104="",$F104=""),$L104&lt;&gt;"لا"),0,MAX(0,MIN($F104,EOMONTH(DATE(cfg_FY,9,1),0))-$E104+1))</f>
        <v>0</v>
      </c>
      <c r="AQ104" s="65" t="n">
        <f aca="false">IF(OR(OR($B104="",$E104="",$F104=""),$L104&lt;&gt;"لا"),0,MAX(0,MIN($F104,EOMONTH(DATE(cfg_FY,10,1),0))-$E104+1))</f>
        <v>0</v>
      </c>
      <c r="AR104" s="65" t="n">
        <f aca="false">IF(OR(OR($B104="",$E104="",$F104=""),$L104&lt;&gt;"لا"),0,MAX(0,MIN($F104,EOMONTH(DATE(cfg_FY,11,1),0))-$E104+1))</f>
        <v>0</v>
      </c>
      <c r="AS104" s="65" t="n">
        <f aca="false">IF(OR(OR($B104="",$E104="",$F104=""),$L104&lt;&gt;"لا"),0,MAX(0,MIN($F104,EOMONTH(DATE(cfg_FY,12,1),0))-$E104+1))</f>
        <v>0</v>
      </c>
      <c r="AT104" s="65" t="n">
        <f aca="false">IF(OR(OR($B104="",$E104="",$F104=""),$K104&lt;&gt;"نعم",$M104="نعم"),0,MAX(0,MIN($F104,EOMONTH(DATE(cfg_FY,1,1),0))-MAX($E104,DATE(cfg_FY,1,1))+1))</f>
        <v>0</v>
      </c>
      <c r="AU104" s="65" t="n">
        <f aca="false">IF(OR(OR($B104="",$E104="",$F104=""),$K104&lt;&gt;"نعم",$M104="نعم"),0,MAX(0,MIN($F104,EOMONTH(DATE(cfg_FY,2,1),0))-MAX($E104,DATE(cfg_FY,2,1))+1))</f>
        <v>0</v>
      </c>
      <c r="AV104" s="65" t="n">
        <f aca="false">IF(OR(OR($B104="",$E104="",$F104=""),$K104&lt;&gt;"نعم",$M104="نعم"),0,MAX(0,MIN($F104,EOMONTH(DATE(cfg_FY,3,1),0))-MAX($E104,DATE(cfg_FY,3,1))+1))</f>
        <v>0</v>
      </c>
      <c r="AW104" s="65" t="n">
        <f aca="false">IF(OR(OR($B104="",$E104="",$F104=""),$K104&lt;&gt;"نعم",$M104="نعم"),0,MAX(0,MIN($F104,EOMONTH(DATE(cfg_FY,4,1),0))-MAX($E104,DATE(cfg_FY,4,1))+1))</f>
        <v>0</v>
      </c>
      <c r="AX104" s="65" t="n">
        <f aca="false">IF(OR(OR($B104="",$E104="",$F104=""),$K104&lt;&gt;"نعم",$M104="نعم"),0,MAX(0,MIN($F104,EOMONTH(DATE(cfg_FY,5,1),0))-MAX($E104,DATE(cfg_FY,5,1))+1))</f>
        <v>0</v>
      </c>
      <c r="AY104" s="65" t="n">
        <f aca="false">IF(OR(OR($B104="",$E104="",$F104=""),$K104&lt;&gt;"نعم",$M104="نعم"),0,MAX(0,MIN($F104,EOMONTH(DATE(cfg_FY,6,1),0))-MAX($E104,DATE(cfg_FY,6,1))+1))</f>
        <v>0</v>
      </c>
      <c r="AZ104" s="65" t="n">
        <f aca="false">IF(OR(OR($B104="",$E104="",$F104=""),$K104&lt;&gt;"نعم",$M104="نعم"),0,MAX(0,MIN($F104,EOMONTH(DATE(cfg_FY,7,1),0))-MAX($E104,DATE(cfg_FY,7,1))+1))</f>
        <v>0</v>
      </c>
      <c r="BA104" s="65" t="n">
        <f aca="false">IF(OR(OR($B104="",$E104="",$F104=""),$K104&lt;&gt;"نعم",$M104="نعم"),0,MAX(0,MIN($F104,EOMONTH(DATE(cfg_FY,8,1),0))-MAX($E104,DATE(cfg_FY,8,1))+1))</f>
        <v>0</v>
      </c>
      <c r="BB104" s="65" t="n">
        <f aca="false">IF(OR(OR($B104="",$E104="",$F104=""),$K104&lt;&gt;"نعم",$M104="نعم"),0,MAX(0,MIN($F104,EOMONTH(DATE(cfg_FY,9,1),0))-MAX($E104,DATE(cfg_FY,9,1))+1))</f>
        <v>0</v>
      </c>
      <c r="BC104" s="65" t="n">
        <f aca="false">IF(OR(OR($B104="",$E104="",$F104=""),$K104&lt;&gt;"نعم",$M104="نعم"),0,MAX(0,MIN($F104,EOMONTH(DATE(cfg_FY,10,1),0))-MAX($E104,DATE(cfg_FY,10,1))+1))</f>
        <v>0</v>
      </c>
      <c r="BD104" s="65" t="n">
        <f aca="false">IF(OR(OR($B104="",$E104="",$F104=""),$K104&lt;&gt;"نعم",$M104="نعم"),0,MAX(0,MIN($F104,EOMONTH(DATE(cfg_FY,11,1),0))-MAX($E104,DATE(cfg_FY,11,1))+1))</f>
        <v>0</v>
      </c>
      <c r="BE104" s="65" t="n">
        <f aca="false">IF(OR(OR($B104="",$E104="",$F104=""),$K104&lt;&gt;"نعم",$M104="نعم"),0,MAX(0,MIN($F104,EOMONTH(DATE(cfg_FY,12,1),0))-MAX($E104,DATE(cfg_FY,12,1))+1))</f>
        <v>0</v>
      </c>
    </row>
    <row r="105" customFormat="false" ht="15" hidden="false" customHeight="false" outlineLevel="0" collapsed="false">
      <c r="A105" s="115" t="str">
        <f aca="false">IF(B105="","",ROW()-5)</f>
        <v/>
      </c>
      <c r="B105" s="118"/>
      <c r="C105" s="117" t="str">
        <f aca="false">IF(B105="","",IFERROR(INDEX(الموظفون!$C$6:$C$105,MATCH(B105,الموظفون!$B$6:$B$105,0)),"✖ رقم غير موجود"))</f>
        <v/>
      </c>
      <c r="D105" s="118"/>
      <c r="E105" s="119"/>
      <c r="F105" s="119"/>
      <c r="G105" s="133" t="str">
        <f aca="false">IF(OR($B105="",$E105="",$F105=""),"",MAX(0,F105-E105+1))</f>
        <v/>
      </c>
      <c r="H105" s="134" t="str">
        <f aca="false">IF(D105="","",IFERROR(VLOOKUP(D105,cfg_LT,2,FALSE()),1))</f>
        <v/>
      </c>
      <c r="I105" s="135"/>
      <c r="J105" s="134" t="str">
        <f aca="false">IF(D105="","",IF(I105&lt;&gt;"",I105,H105))</f>
        <v/>
      </c>
      <c r="K105" s="117" t="str">
        <f aca="false">IF(D105="","",IFERROR(VLOOKUP($D105,cfg_LT,3,FALSE()),""))</f>
        <v/>
      </c>
      <c r="L105" s="117" t="str">
        <f aca="false">IF(D105="","",IFERROR(VLOOKUP($D105,cfg_LT,4,FALSE()),""))</f>
        <v/>
      </c>
      <c r="M105" s="117" t="str">
        <f aca="false">IF(D105="","",IFERROR(VLOOKUP($D105,cfg_LT,5,FALSE()),""))</f>
        <v/>
      </c>
      <c r="N105" s="116" t="n">
        <f aca="false">IF(OR(OR($B105="",$E105="",$F105=""),M105&lt;&gt;"نعم"),0,G105*J105*IFERROR(INDEX(الموظفون!$R$6:$R$105,MATCH(B105,الموظفون!$B$6:$B$105,0)),0)/cfg_DAYS_M)</f>
        <v>0</v>
      </c>
      <c r="O105" s="115" t="str">
        <f aca="false">IF(OR(OR($B105="",$E105="",$F105=""),M105&lt;&gt;"نعم"),"",IF(YEAR(E105)=cfg_FY,MONTH(E105),""))</f>
        <v/>
      </c>
      <c r="P105" s="117" t="str">
        <f aca="false">IF(B105="","",IF(OR(D105="",E105="",F105=""),"⚠ أكمل النوع والتواريخ",IF(F105&lt;E105,"✖ النهاية قبل البداية",IF(COUNTIFS($B$6:$B$505,B105,$E$6:$E$505,"&lt;="&amp;F105,$F$6:$F$505,"&gt;="&amp;E105)&gt;1,"⚠ تداخل مع سجل آخر",IF(E105&gt;cfg_VAL_DATE,"⏳ قادمة",IF(F105&lt;cfg_VAL_DATE,"✔ منتهية","✈ جارية في تاريخ التقرير"))))))</f>
        <v/>
      </c>
      <c r="Q105" s="118"/>
      <c r="R105" s="133" t="n">
        <f aca="false">IF(OR(OR($B105="",$E105="",$F105=""),L105&lt;&gt;"لا"),0,MAX(0,MIN(F105,cfg_Y_START-1)-E105+1))</f>
        <v>0</v>
      </c>
      <c r="S105" s="133" t="n">
        <f aca="false">IF(OR(OR($B105="",$E105="",$F105=""),L105&lt;&gt;"لا"),0,MAX(0,MIN(F105,cfg_VAL_DATE)-E105+1))</f>
        <v>0</v>
      </c>
      <c r="T105" s="133" t="n">
        <f aca="false">IF(OR(OR($B105="",$E105="",$F105=""),K105&lt;&gt;"نعم"),0,IF(M105="نعم",IF(AND(ISNUMBER(O105),N(O105)&lt;=cfg_VAL_M),G105,0),MAX(0,MIN(F105,cfg_VAL_DATE)-MAX(E105,cfg_Y_START)+1)))</f>
        <v>0</v>
      </c>
      <c r="V105" s="133" t="n">
        <f aca="false">IF(OR($B105="",$E105="",$F105=""),0,MAX(0,MIN($F105,EOMONTH(DATE(cfg_FY,1,1),0))-MAX($E105,DATE(cfg_FY,1,1))+1)*(1-IF($M105="نعم",0,N($J105))))</f>
        <v>0</v>
      </c>
      <c r="W105" s="133" t="n">
        <f aca="false">IF(OR($B105="",$E105="",$F105=""),0,MAX(0,MIN($F105,EOMONTH(DATE(cfg_FY,2,1),0))-MAX($E105,DATE(cfg_FY,2,1))+1)*(1-IF($M105="نعم",0,N($J105))))</f>
        <v>0</v>
      </c>
      <c r="X105" s="133" t="n">
        <f aca="false">IF(OR($B105="",$E105="",$F105=""),0,MAX(0,MIN($F105,EOMONTH(DATE(cfg_FY,3,1),0))-MAX($E105,DATE(cfg_FY,3,1))+1)*(1-IF($M105="نعم",0,N($J105))))</f>
        <v>0</v>
      </c>
      <c r="Y105" s="133" t="n">
        <f aca="false">IF(OR($B105="",$E105="",$F105=""),0,MAX(0,MIN($F105,EOMONTH(DATE(cfg_FY,4,1),0))-MAX($E105,DATE(cfg_FY,4,1))+1)*(1-IF($M105="نعم",0,N($J105))))</f>
        <v>0</v>
      </c>
      <c r="Z105" s="133" t="n">
        <f aca="false">IF(OR($B105="",$E105="",$F105=""),0,MAX(0,MIN($F105,EOMONTH(DATE(cfg_FY,5,1),0))-MAX($E105,DATE(cfg_FY,5,1))+1)*(1-IF($M105="نعم",0,N($J105))))</f>
        <v>0</v>
      </c>
      <c r="AA105" s="133" t="n">
        <f aca="false">IF(OR($B105="",$E105="",$F105=""),0,MAX(0,MIN($F105,EOMONTH(DATE(cfg_FY,6,1),0))-MAX($E105,DATE(cfg_FY,6,1))+1)*(1-IF($M105="نعم",0,N($J105))))</f>
        <v>0</v>
      </c>
      <c r="AB105" s="133" t="n">
        <f aca="false">IF(OR($B105="",$E105="",$F105=""),0,MAX(0,MIN($F105,EOMONTH(DATE(cfg_FY,7,1),0))-MAX($E105,DATE(cfg_FY,7,1))+1)*(1-IF($M105="نعم",0,N($J105))))</f>
        <v>0</v>
      </c>
      <c r="AC105" s="133" t="n">
        <f aca="false">IF(OR($B105="",$E105="",$F105=""),0,MAX(0,MIN($F105,EOMONTH(DATE(cfg_FY,8,1),0))-MAX($E105,DATE(cfg_FY,8,1))+1)*(1-IF($M105="نعم",0,N($J105))))</f>
        <v>0</v>
      </c>
      <c r="AD105" s="133" t="n">
        <f aca="false">IF(OR($B105="",$E105="",$F105=""),0,MAX(0,MIN($F105,EOMONTH(DATE(cfg_FY,9,1),0))-MAX($E105,DATE(cfg_FY,9,1))+1)*(1-IF($M105="نعم",0,N($J105))))</f>
        <v>0</v>
      </c>
      <c r="AE105" s="133" t="n">
        <f aca="false">IF(OR($B105="",$E105="",$F105=""),0,MAX(0,MIN($F105,EOMONTH(DATE(cfg_FY,10,1),0))-MAX($E105,DATE(cfg_FY,10,1))+1)*(1-IF($M105="نعم",0,N($J105))))</f>
        <v>0</v>
      </c>
      <c r="AF105" s="133" t="n">
        <f aca="false">IF(OR($B105="",$E105="",$F105=""),0,MAX(0,MIN($F105,EOMONTH(DATE(cfg_FY,11,1),0))-MAX($E105,DATE(cfg_FY,11,1))+1)*(1-IF($M105="نعم",0,N($J105))))</f>
        <v>0</v>
      </c>
      <c r="AG105" s="133" t="n">
        <f aca="false">IF(OR($B105="",$E105="",$F105=""),0,MAX(0,MIN($F105,EOMONTH(DATE(cfg_FY,12,1),0))-MAX($E105,DATE(cfg_FY,12,1))+1)*(1-IF($M105="نعم",0,N($J105))))</f>
        <v>0</v>
      </c>
      <c r="AH105" s="133" t="n">
        <f aca="false">IF(OR(OR($B105="",$E105="",$F105=""),$L105&lt;&gt;"لا"),0,MAX(0,MIN($F105,EOMONTH(DATE(cfg_FY,1,1),0))-$E105+1))</f>
        <v>0</v>
      </c>
      <c r="AI105" s="133" t="n">
        <f aca="false">IF(OR(OR($B105="",$E105="",$F105=""),$L105&lt;&gt;"لا"),0,MAX(0,MIN($F105,EOMONTH(DATE(cfg_FY,2,1),0))-$E105+1))</f>
        <v>0</v>
      </c>
      <c r="AJ105" s="133" t="n">
        <f aca="false">IF(OR(OR($B105="",$E105="",$F105=""),$L105&lt;&gt;"لا"),0,MAX(0,MIN($F105,EOMONTH(DATE(cfg_FY,3,1),0))-$E105+1))</f>
        <v>0</v>
      </c>
      <c r="AK105" s="133" t="n">
        <f aca="false">IF(OR(OR($B105="",$E105="",$F105=""),$L105&lt;&gt;"لا"),0,MAX(0,MIN($F105,EOMONTH(DATE(cfg_FY,4,1),0))-$E105+1))</f>
        <v>0</v>
      </c>
      <c r="AL105" s="133" t="n">
        <f aca="false">IF(OR(OR($B105="",$E105="",$F105=""),$L105&lt;&gt;"لا"),0,MAX(0,MIN($F105,EOMONTH(DATE(cfg_FY,5,1),0))-$E105+1))</f>
        <v>0</v>
      </c>
      <c r="AM105" s="133" t="n">
        <f aca="false">IF(OR(OR($B105="",$E105="",$F105=""),$L105&lt;&gt;"لا"),0,MAX(0,MIN($F105,EOMONTH(DATE(cfg_FY,6,1),0))-$E105+1))</f>
        <v>0</v>
      </c>
      <c r="AN105" s="133" t="n">
        <f aca="false">IF(OR(OR($B105="",$E105="",$F105=""),$L105&lt;&gt;"لا"),0,MAX(0,MIN($F105,EOMONTH(DATE(cfg_FY,7,1),0))-$E105+1))</f>
        <v>0</v>
      </c>
      <c r="AO105" s="133" t="n">
        <f aca="false">IF(OR(OR($B105="",$E105="",$F105=""),$L105&lt;&gt;"لا"),0,MAX(0,MIN($F105,EOMONTH(DATE(cfg_FY,8,1),0))-$E105+1))</f>
        <v>0</v>
      </c>
      <c r="AP105" s="133" t="n">
        <f aca="false">IF(OR(OR($B105="",$E105="",$F105=""),$L105&lt;&gt;"لا"),0,MAX(0,MIN($F105,EOMONTH(DATE(cfg_FY,9,1),0))-$E105+1))</f>
        <v>0</v>
      </c>
      <c r="AQ105" s="133" t="n">
        <f aca="false">IF(OR(OR($B105="",$E105="",$F105=""),$L105&lt;&gt;"لا"),0,MAX(0,MIN($F105,EOMONTH(DATE(cfg_FY,10,1),0))-$E105+1))</f>
        <v>0</v>
      </c>
      <c r="AR105" s="133" t="n">
        <f aca="false">IF(OR(OR($B105="",$E105="",$F105=""),$L105&lt;&gt;"لا"),0,MAX(0,MIN($F105,EOMONTH(DATE(cfg_FY,11,1),0))-$E105+1))</f>
        <v>0</v>
      </c>
      <c r="AS105" s="133" t="n">
        <f aca="false">IF(OR(OR($B105="",$E105="",$F105=""),$L105&lt;&gt;"لا"),0,MAX(0,MIN($F105,EOMONTH(DATE(cfg_FY,12,1),0))-$E105+1))</f>
        <v>0</v>
      </c>
      <c r="AT105" s="133" t="n">
        <f aca="false">IF(OR(OR($B105="",$E105="",$F105=""),$K105&lt;&gt;"نعم",$M105="نعم"),0,MAX(0,MIN($F105,EOMONTH(DATE(cfg_FY,1,1),0))-MAX($E105,DATE(cfg_FY,1,1))+1))</f>
        <v>0</v>
      </c>
      <c r="AU105" s="133" t="n">
        <f aca="false">IF(OR(OR($B105="",$E105="",$F105=""),$K105&lt;&gt;"نعم",$M105="نعم"),0,MAX(0,MIN($F105,EOMONTH(DATE(cfg_FY,2,1),0))-MAX($E105,DATE(cfg_FY,2,1))+1))</f>
        <v>0</v>
      </c>
      <c r="AV105" s="133" t="n">
        <f aca="false">IF(OR(OR($B105="",$E105="",$F105=""),$K105&lt;&gt;"نعم",$M105="نعم"),0,MAX(0,MIN($F105,EOMONTH(DATE(cfg_FY,3,1),0))-MAX($E105,DATE(cfg_FY,3,1))+1))</f>
        <v>0</v>
      </c>
      <c r="AW105" s="133" t="n">
        <f aca="false">IF(OR(OR($B105="",$E105="",$F105=""),$K105&lt;&gt;"نعم",$M105="نعم"),0,MAX(0,MIN($F105,EOMONTH(DATE(cfg_FY,4,1),0))-MAX($E105,DATE(cfg_FY,4,1))+1))</f>
        <v>0</v>
      </c>
      <c r="AX105" s="133" t="n">
        <f aca="false">IF(OR(OR($B105="",$E105="",$F105=""),$K105&lt;&gt;"نعم",$M105="نعم"),0,MAX(0,MIN($F105,EOMONTH(DATE(cfg_FY,5,1),0))-MAX($E105,DATE(cfg_FY,5,1))+1))</f>
        <v>0</v>
      </c>
      <c r="AY105" s="133" t="n">
        <f aca="false">IF(OR(OR($B105="",$E105="",$F105=""),$K105&lt;&gt;"نعم",$M105="نعم"),0,MAX(0,MIN($F105,EOMONTH(DATE(cfg_FY,6,1),0))-MAX($E105,DATE(cfg_FY,6,1))+1))</f>
        <v>0</v>
      </c>
      <c r="AZ105" s="133" t="n">
        <f aca="false">IF(OR(OR($B105="",$E105="",$F105=""),$K105&lt;&gt;"نعم",$M105="نعم"),0,MAX(0,MIN($F105,EOMONTH(DATE(cfg_FY,7,1),0))-MAX($E105,DATE(cfg_FY,7,1))+1))</f>
        <v>0</v>
      </c>
      <c r="BA105" s="133" t="n">
        <f aca="false">IF(OR(OR($B105="",$E105="",$F105=""),$K105&lt;&gt;"نعم",$M105="نعم"),0,MAX(0,MIN($F105,EOMONTH(DATE(cfg_FY,8,1),0))-MAX($E105,DATE(cfg_FY,8,1))+1))</f>
        <v>0</v>
      </c>
      <c r="BB105" s="133" t="n">
        <f aca="false">IF(OR(OR($B105="",$E105="",$F105=""),$K105&lt;&gt;"نعم",$M105="نعم"),0,MAX(0,MIN($F105,EOMONTH(DATE(cfg_FY,9,1),0))-MAX($E105,DATE(cfg_FY,9,1))+1))</f>
        <v>0</v>
      </c>
      <c r="BC105" s="133" t="n">
        <f aca="false">IF(OR(OR($B105="",$E105="",$F105=""),$K105&lt;&gt;"نعم",$M105="نعم"),0,MAX(0,MIN($F105,EOMONTH(DATE(cfg_FY,10,1),0))-MAX($E105,DATE(cfg_FY,10,1))+1))</f>
        <v>0</v>
      </c>
      <c r="BD105" s="133" t="n">
        <f aca="false">IF(OR(OR($B105="",$E105="",$F105=""),$K105&lt;&gt;"نعم",$M105="نعم"),0,MAX(0,MIN($F105,EOMONTH(DATE(cfg_FY,11,1),0))-MAX($E105,DATE(cfg_FY,11,1))+1))</f>
        <v>0</v>
      </c>
      <c r="BE105" s="133" t="n">
        <f aca="false">IF(OR(OR($B105="",$E105="",$F105=""),$K105&lt;&gt;"نعم",$M105="نعم"),0,MAX(0,MIN($F105,EOMONTH(DATE(cfg_FY,12,1),0))-MAX($E105,DATE(cfg_FY,12,1))+1))</f>
        <v>0</v>
      </c>
    </row>
    <row r="106" customFormat="false" ht="15" hidden="false" customHeight="false" outlineLevel="0" collapsed="false">
      <c r="A106" s="106" t="str">
        <f aca="false">IF(B106="","",ROW()-5)</f>
        <v/>
      </c>
      <c r="B106" s="118"/>
      <c r="C106" s="114" t="str">
        <f aca="false">IF(B106="","",IFERROR(INDEX(الموظفون!$C$6:$C$105,MATCH(B106,الموظفون!$B$6:$B$105,0)),"✖ رقم غير موجود"))</f>
        <v/>
      </c>
      <c r="D106" s="118"/>
      <c r="E106" s="119"/>
      <c r="F106" s="119"/>
      <c r="G106" s="65" t="str">
        <f aca="false">IF(OR($B106="",$E106="",$F106=""),"",MAX(0,F106-E106+1))</f>
        <v/>
      </c>
      <c r="H106" s="66" t="str">
        <f aca="false">IF(D106="","",IFERROR(VLOOKUP(D106,cfg_LT,2,FALSE()),1))</f>
        <v/>
      </c>
      <c r="I106" s="135"/>
      <c r="J106" s="66" t="str">
        <f aca="false">IF(D106="","",IF(I106&lt;&gt;"",I106,H106))</f>
        <v/>
      </c>
      <c r="K106" s="114" t="str">
        <f aca="false">IF(D106="","",IFERROR(VLOOKUP($D106,cfg_LT,3,FALSE()),""))</f>
        <v/>
      </c>
      <c r="L106" s="114" t="str">
        <f aca="false">IF(D106="","",IFERROR(VLOOKUP($D106,cfg_LT,4,FALSE()),""))</f>
        <v/>
      </c>
      <c r="M106" s="114" t="str">
        <f aca="false">IF(D106="","",IFERROR(VLOOKUP($D106,cfg_LT,5,FALSE()),""))</f>
        <v/>
      </c>
      <c r="N106" s="111" t="n">
        <f aca="false">IF(OR(OR($B106="",$E106="",$F106=""),M106&lt;&gt;"نعم"),0,G106*J106*IFERROR(INDEX(الموظفون!$R$6:$R$105,MATCH(B106,الموظفون!$B$6:$B$105,0)),0)/cfg_DAYS_M)</f>
        <v>0</v>
      </c>
      <c r="O106" s="106" t="str">
        <f aca="false">IF(OR(OR($B106="",$E106="",$F106=""),M106&lt;&gt;"نعم"),"",IF(YEAR(E106)=cfg_FY,MONTH(E106),""))</f>
        <v/>
      </c>
      <c r="P106" s="114" t="str">
        <f aca="false">IF(B106="","",IF(OR(D106="",E106="",F106=""),"⚠ أكمل النوع والتواريخ",IF(F106&lt;E106,"✖ النهاية قبل البداية",IF(COUNTIFS($B$6:$B$505,B106,$E$6:$E$505,"&lt;="&amp;F106,$F$6:$F$505,"&gt;="&amp;E106)&gt;1,"⚠ تداخل مع سجل آخر",IF(E106&gt;cfg_VAL_DATE,"⏳ قادمة",IF(F106&lt;cfg_VAL_DATE,"✔ منتهية","✈ جارية في تاريخ التقرير"))))))</f>
        <v/>
      </c>
      <c r="Q106" s="118"/>
      <c r="R106" s="65" t="n">
        <f aca="false">IF(OR(OR($B106="",$E106="",$F106=""),L106&lt;&gt;"لا"),0,MAX(0,MIN(F106,cfg_Y_START-1)-E106+1))</f>
        <v>0</v>
      </c>
      <c r="S106" s="65" t="n">
        <f aca="false">IF(OR(OR($B106="",$E106="",$F106=""),L106&lt;&gt;"لا"),0,MAX(0,MIN(F106,cfg_VAL_DATE)-E106+1))</f>
        <v>0</v>
      </c>
      <c r="T106" s="65" t="n">
        <f aca="false">IF(OR(OR($B106="",$E106="",$F106=""),K106&lt;&gt;"نعم"),0,IF(M106="نعم",IF(AND(ISNUMBER(O106),N(O106)&lt;=cfg_VAL_M),G106,0),MAX(0,MIN(F106,cfg_VAL_DATE)-MAX(E106,cfg_Y_START)+1)))</f>
        <v>0</v>
      </c>
      <c r="V106" s="65" t="n">
        <f aca="false">IF(OR($B106="",$E106="",$F106=""),0,MAX(0,MIN($F106,EOMONTH(DATE(cfg_FY,1,1),0))-MAX($E106,DATE(cfg_FY,1,1))+1)*(1-IF($M106="نعم",0,N($J106))))</f>
        <v>0</v>
      </c>
      <c r="W106" s="65" t="n">
        <f aca="false">IF(OR($B106="",$E106="",$F106=""),0,MAX(0,MIN($F106,EOMONTH(DATE(cfg_FY,2,1),0))-MAX($E106,DATE(cfg_FY,2,1))+1)*(1-IF($M106="نعم",0,N($J106))))</f>
        <v>0</v>
      </c>
      <c r="X106" s="65" t="n">
        <f aca="false">IF(OR($B106="",$E106="",$F106=""),0,MAX(0,MIN($F106,EOMONTH(DATE(cfg_FY,3,1),0))-MAX($E106,DATE(cfg_FY,3,1))+1)*(1-IF($M106="نعم",0,N($J106))))</f>
        <v>0</v>
      </c>
      <c r="Y106" s="65" t="n">
        <f aca="false">IF(OR($B106="",$E106="",$F106=""),0,MAX(0,MIN($F106,EOMONTH(DATE(cfg_FY,4,1),0))-MAX($E106,DATE(cfg_FY,4,1))+1)*(1-IF($M106="نعم",0,N($J106))))</f>
        <v>0</v>
      </c>
      <c r="Z106" s="65" t="n">
        <f aca="false">IF(OR($B106="",$E106="",$F106=""),0,MAX(0,MIN($F106,EOMONTH(DATE(cfg_FY,5,1),0))-MAX($E106,DATE(cfg_FY,5,1))+1)*(1-IF($M106="نعم",0,N($J106))))</f>
        <v>0</v>
      </c>
      <c r="AA106" s="65" t="n">
        <f aca="false">IF(OR($B106="",$E106="",$F106=""),0,MAX(0,MIN($F106,EOMONTH(DATE(cfg_FY,6,1),0))-MAX($E106,DATE(cfg_FY,6,1))+1)*(1-IF($M106="نعم",0,N($J106))))</f>
        <v>0</v>
      </c>
      <c r="AB106" s="65" t="n">
        <f aca="false">IF(OR($B106="",$E106="",$F106=""),0,MAX(0,MIN($F106,EOMONTH(DATE(cfg_FY,7,1),0))-MAX($E106,DATE(cfg_FY,7,1))+1)*(1-IF($M106="نعم",0,N($J106))))</f>
        <v>0</v>
      </c>
      <c r="AC106" s="65" t="n">
        <f aca="false">IF(OR($B106="",$E106="",$F106=""),0,MAX(0,MIN($F106,EOMONTH(DATE(cfg_FY,8,1),0))-MAX($E106,DATE(cfg_FY,8,1))+1)*(1-IF($M106="نعم",0,N($J106))))</f>
        <v>0</v>
      </c>
      <c r="AD106" s="65" t="n">
        <f aca="false">IF(OR($B106="",$E106="",$F106=""),0,MAX(0,MIN($F106,EOMONTH(DATE(cfg_FY,9,1),0))-MAX($E106,DATE(cfg_FY,9,1))+1)*(1-IF($M106="نعم",0,N($J106))))</f>
        <v>0</v>
      </c>
      <c r="AE106" s="65" t="n">
        <f aca="false">IF(OR($B106="",$E106="",$F106=""),0,MAX(0,MIN($F106,EOMONTH(DATE(cfg_FY,10,1),0))-MAX($E106,DATE(cfg_FY,10,1))+1)*(1-IF($M106="نعم",0,N($J106))))</f>
        <v>0</v>
      </c>
      <c r="AF106" s="65" t="n">
        <f aca="false">IF(OR($B106="",$E106="",$F106=""),0,MAX(0,MIN($F106,EOMONTH(DATE(cfg_FY,11,1),0))-MAX($E106,DATE(cfg_FY,11,1))+1)*(1-IF($M106="نعم",0,N($J106))))</f>
        <v>0</v>
      </c>
      <c r="AG106" s="65" t="n">
        <f aca="false">IF(OR($B106="",$E106="",$F106=""),0,MAX(0,MIN($F106,EOMONTH(DATE(cfg_FY,12,1),0))-MAX($E106,DATE(cfg_FY,12,1))+1)*(1-IF($M106="نعم",0,N($J106))))</f>
        <v>0</v>
      </c>
      <c r="AH106" s="65" t="n">
        <f aca="false">IF(OR(OR($B106="",$E106="",$F106=""),$L106&lt;&gt;"لا"),0,MAX(0,MIN($F106,EOMONTH(DATE(cfg_FY,1,1),0))-$E106+1))</f>
        <v>0</v>
      </c>
      <c r="AI106" s="65" t="n">
        <f aca="false">IF(OR(OR($B106="",$E106="",$F106=""),$L106&lt;&gt;"لا"),0,MAX(0,MIN($F106,EOMONTH(DATE(cfg_FY,2,1),0))-$E106+1))</f>
        <v>0</v>
      </c>
      <c r="AJ106" s="65" t="n">
        <f aca="false">IF(OR(OR($B106="",$E106="",$F106=""),$L106&lt;&gt;"لا"),0,MAX(0,MIN($F106,EOMONTH(DATE(cfg_FY,3,1),0))-$E106+1))</f>
        <v>0</v>
      </c>
      <c r="AK106" s="65" t="n">
        <f aca="false">IF(OR(OR($B106="",$E106="",$F106=""),$L106&lt;&gt;"لا"),0,MAX(0,MIN($F106,EOMONTH(DATE(cfg_FY,4,1),0))-$E106+1))</f>
        <v>0</v>
      </c>
      <c r="AL106" s="65" t="n">
        <f aca="false">IF(OR(OR($B106="",$E106="",$F106=""),$L106&lt;&gt;"لا"),0,MAX(0,MIN($F106,EOMONTH(DATE(cfg_FY,5,1),0))-$E106+1))</f>
        <v>0</v>
      </c>
      <c r="AM106" s="65" t="n">
        <f aca="false">IF(OR(OR($B106="",$E106="",$F106=""),$L106&lt;&gt;"لا"),0,MAX(0,MIN($F106,EOMONTH(DATE(cfg_FY,6,1),0))-$E106+1))</f>
        <v>0</v>
      </c>
      <c r="AN106" s="65" t="n">
        <f aca="false">IF(OR(OR($B106="",$E106="",$F106=""),$L106&lt;&gt;"لا"),0,MAX(0,MIN($F106,EOMONTH(DATE(cfg_FY,7,1),0))-$E106+1))</f>
        <v>0</v>
      </c>
      <c r="AO106" s="65" t="n">
        <f aca="false">IF(OR(OR($B106="",$E106="",$F106=""),$L106&lt;&gt;"لا"),0,MAX(0,MIN($F106,EOMONTH(DATE(cfg_FY,8,1),0))-$E106+1))</f>
        <v>0</v>
      </c>
      <c r="AP106" s="65" t="n">
        <f aca="false">IF(OR(OR($B106="",$E106="",$F106=""),$L106&lt;&gt;"لا"),0,MAX(0,MIN($F106,EOMONTH(DATE(cfg_FY,9,1),0))-$E106+1))</f>
        <v>0</v>
      </c>
      <c r="AQ106" s="65" t="n">
        <f aca="false">IF(OR(OR($B106="",$E106="",$F106=""),$L106&lt;&gt;"لا"),0,MAX(0,MIN($F106,EOMONTH(DATE(cfg_FY,10,1),0))-$E106+1))</f>
        <v>0</v>
      </c>
      <c r="AR106" s="65" t="n">
        <f aca="false">IF(OR(OR($B106="",$E106="",$F106=""),$L106&lt;&gt;"لا"),0,MAX(0,MIN($F106,EOMONTH(DATE(cfg_FY,11,1),0))-$E106+1))</f>
        <v>0</v>
      </c>
      <c r="AS106" s="65" t="n">
        <f aca="false">IF(OR(OR($B106="",$E106="",$F106=""),$L106&lt;&gt;"لا"),0,MAX(0,MIN($F106,EOMONTH(DATE(cfg_FY,12,1),0))-$E106+1))</f>
        <v>0</v>
      </c>
      <c r="AT106" s="65" t="n">
        <f aca="false">IF(OR(OR($B106="",$E106="",$F106=""),$K106&lt;&gt;"نعم",$M106="نعم"),0,MAX(0,MIN($F106,EOMONTH(DATE(cfg_FY,1,1),0))-MAX($E106,DATE(cfg_FY,1,1))+1))</f>
        <v>0</v>
      </c>
      <c r="AU106" s="65" t="n">
        <f aca="false">IF(OR(OR($B106="",$E106="",$F106=""),$K106&lt;&gt;"نعم",$M106="نعم"),0,MAX(0,MIN($F106,EOMONTH(DATE(cfg_FY,2,1),0))-MAX($E106,DATE(cfg_FY,2,1))+1))</f>
        <v>0</v>
      </c>
      <c r="AV106" s="65" t="n">
        <f aca="false">IF(OR(OR($B106="",$E106="",$F106=""),$K106&lt;&gt;"نعم",$M106="نعم"),0,MAX(0,MIN($F106,EOMONTH(DATE(cfg_FY,3,1),0))-MAX($E106,DATE(cfg_FY,3,1))+1))</f>
        <v>0</v>
      </c>
      <c r="AW106" s="65" t="n">
        <f aca="false">IF(OR(OR($B106="",$E106="",$F106=""),$K106&lt;&gt;"نعم",$M106="نعم"),0,MAX(0,MIN($F106,EOMONTH(DATE(cfg_FY,4,1),0))-MAX($E106,DATE(cfg_FY,4,1))+1))</f>
        <v>0</v>
      </c>
      <c r="AX106" s="65" t="n">
        <f aca="false">IF(OR(OR($B106="",$E106="",$F106=""),$K106&lt;&gt;"نعم",$M106="نعم"),0,MAX(0,MIN($F106,EOMONTH(DATE(cfg_FY,5,1),0))-MAX($E106,DATE(cfg_FY,5,1))+1))</f>
        <v>0</v>
      </c>
      <c r="AY106" s="65" t="n">
        <f aca="false">IF(OR(OR($B106="",$E106="",$F106=""),$K106&lt;&gt;"نعم",$M106="نعم"),0,MAX(0,MIN($F106,EOMONTH(DATE(cfg_FY,6,1),0))-MAX($E106,DATE(cfg_FY,6,1))+1))</f>
        <v>0</v>
      </c>
      <c r="AZ106" s="65" t="n">
        <f aca="false">IF(OR(OR($B106="",$E106="",$F106=""),$K106&lt;&gt;"نعم",$M106="نعم"),0,MAX(0,MIN($F106,EOMONTH(DATE(cfg_FY,7,1),0))-MAX($E106,DATE(cfg_FY,7,1))+1))</f>
        <v>0</v>
      </c>
      <c r="BA106" s="65" t="n">
        <f aca="false">IF(OR(OR($B106="",$E106="",$F106=""),$K106&lt;&gt;"نعم",$M106="نعم"),0,MAX(0,MIN($F106,EOMONTH(DATE(cfg_FY,8,1),0))-MAX($E106,DATE(cfg_FY,8,1))+1))</f>
        <v>0</v>
      </c>
      <c r="BB106" s="65" t="n">
        <f aca="false">IF(OR(OR($B106="",$E106="",$F106=""),$K106&lt;&gt;"نعم",$M106="نعم"),0,MAX(0,MIN($F106,EOMONTH(DATE(cfg_FY,9,1),0))-MAX($E106,DATE(cfg_FY,9,1))+1))</f>
        <v>0</v>
      </c>
      <c r="BC106" s="65" t="n">
        <f aca="false">IF(OR(OR($B106="",$E106="",$F106=""),$K106&lt;&gt;"نعم",$M106="نعم"),0,MAX(0,MIN($F106,EOMONTH(DATE(cfg_FY,10,1),0))-MAX($E106,DATE(cfg_FY,10,1))+1))</f>
        <v>0</v>
      </c>
      <c r="BD106" s="65" t="n">
        <f aca="false">IF(OR(OR($B106="",$E106="",$F106=""),$K106&lt;&gt;"نعم",$M106="نعم"),0,MAX(0,MIN($F106,EOMONTH(DATE(cfg_FY,11,1),0))-MAX($E106,DATE(cfg_FY,11,1))+1))</f>
        <v>0</v>
      </c>
      <c r="BE106" s="65" t="n">
        <f aca="false">IF(OR(OR($B106="",$E106="",$F106=""),$K106&lt;&gt;"نعم",$M106="نعم"),0,MAX(0,MIN($F106,EOMONTH(DATE(cfg_FY,12,1),0))-MAX($E106,DATE(cfg_FY,12,1))+1))</f>
        <v>0</v>
      </c>
    </row>
    <row r="107" customFormat="false" ht="15" hidden="false" customHeight="false" outlineLevel="0" collapsed="false">
      <c r="A107" s="115" t="str">
        <f aca="false">IF(B107="","",ROW()-5)</f>
        <v/>
      </c>
      <c r="B107" s="118"/>
      <c r="C107" s="117" t="str">
        <f aca="false">IF(B107="","",IFERROR(INDEX(الموظفون!$C$6:$C$105,MATCH(B107,الموظفون!$B$6:$B$105,0)),"✖ رقم غير موجود"))</f>
        <v/>
      </c>
      <c r="D107" s="118"/>
      <c r="E107" s="119"/>
      <c r="F107" s="119"/>
      <c r="G107" s="133" t="str">
        <f aca="false">IF(OR($B107="",$E107="",$F107=""),"",MAX(0,F107-E107+1))</f>
        <v/>
      </c>
      <c r="H107" s="134" t="str">
        <f aca="false">IF(D107="","",IFERROR(VLOOKUP(D107,cfg_LT,2,FALSE()),1))</f>
        <v/>
      </c>
      <c r="I107" s="135"/>
      <c r="J107" s="134" t="str">
        <f aca="false">IF(D107="","",IF(I107&lt;&gt;"",I107,H107))</f>
        <v/>
      </c>
      <c r="K107" s="117" t="str">
        <f aca="false">IF(D107="","",IFERROR(VLOOKUP($D107,cfg_LT,3,FALSE()),""))</f>
        <v/>
      </c>
      <c r="L107" s="117" t="str">
        <f aca="false">IF(D107="","",IFERROR(VLOOKUP($D107,cfg_LT,4,FALSE()),""))</f>
        <v/>
      </c>
      <c r="M107" s="117" t="str">
        <f aca="false">IF(D107="","",IFERROR(VLOOKUP($D107,cfg_LT,5,FALSE()),""))</f>
        <v/>
      </c>
      <c r="N107" s="116" t="n">
        <f aca="false">IF(OR(OR($B107="",$E107="",$F107=""),M107&lt;&gt;"نعم"),0,G107*J107*IFERROR(INDEX(الموظفون!$R$6:$R$105,MATCH(B107,الموظفون!$B$6:$B$105,0)),0)/cfg_DAYS_M)</f>
        <v>0</v>
      </c>
      <c r="O107" s="115" t="str">
        <f aca="false">IF(OR(OR($B107="",$E107="",$F107=""),M107&lt;&gt;"نعم"),"",IF(YEAR(E107)=cfg_FY,MONTH(E107),""))</f>
        <v/>
      </c>
      <c r="P107" s="117" t="str">
        <f aca="false">IF(B107="","",IF(OR(D107="",E107="",F107=""),"⚠ أكمل النوع والتواريخ",IF(F107&lt;E107,"✖ النهاية قبل البداية",IF(COUNTIFS($B$6:$B$505,B107,$E$6:$E$505,"&lt;="&amp;F107,$F$6:$F$505,"&gt;="&amp;E107)&gt;1,"⚠ تداخل مع سجل آخر",IF(E107&gt;cfg_VAL_DATE,"⏳ قادمة",IF(F107&lt;cfg_VAL_DATE,"✔ منتهية","✈ جارية في تاريخ التقرير"))))))</f>
        <v/>
      </c>
      <c r="Q107" s="118"/>
      <c r="R107" s="133" t="n">
        <f aca="false">IF(OR(OR($B107="",$E107="",$F107=""),L107&lt;&gt;"لا"),0,MAX(0,MIN(F107,cfg_Y_START-1)-E107+1))</f>
        <v>0</v>
      </c>
      <c r="S107" s="133" t="n">
        <f aca="false">IF(OR(OR($B107="",$E107="",$F107=""),L107&lt;&gt;"لا"),0,MAX(0,MIN(F107,cfg_VAL_DATE)-E107+1))</f>
        <v>0</v>
      </c>
      <c r="T107" s="133" t="n">
        <f aca="false">IF(OR(OR($B107="",$E107="",$F107=""),K107&lt;&gt;"نعم"),0,IF(M107="نعم",IF(AND(ISNUMBER(O107),N(O107)&lt;=cfg_VAL_M),G107,0),MAX(0,MIN(F107,cfg_VAL_DATE)-MAX(E107,cfg_Y_START)+1)))</f>
        <v>0</v>
      </c>
      <c r="V107" s="133" t="n">
        <f aca="false">IF(OR($B107="",$E107="",$F107=""),0,MAX(0,MIN($F107,EOMONTH(DATE(cfg_FY,1,1),0))-MAX($E107,DATE(cfg_FY,1,1))+1)*(1-IF($M107="نعم",0,N($J107))))</f>
        <v>0</v>
      </c>
      <c r="W107" s="133" t="n">
        <f aca="false">IF(OR($B107="",$E107="",$F107=""),0,MAX(0,MIN($F107,EOMONTH(DATE(cfg_FY,2,1),0))-MAX($E107,DATE(cfg_FY,2,1))+1)*(1-IF($M107="نعم",0,N($J107))))</f>
        <v>0</v>
      </c>
      <c r="X107" s="133" t="n">
        <f aca="false">IF(OR($B107="",$E107="",$F107=""),0,MAX(0,MIN($F107,EOMONTH(DATE(cfg_FY,3,1),0))-MAX($E107,DATE(cfg_FY,3,1))+1)*(1-IF($M107="نعم",0,N($J107))))</f>
        <v>0</v>
      </c>
      <c r="Y107" s="133" t="n">
        <f aca="false">IF(OR($B107="",$E107="",$F107=""),0,MAX(0,MIN($F107,EOMONTH(DATE(cfg_FY,4,1),0))-MAX($E107,DATE(cfg_FY,4,1))+1)*(1-IF($M107="نعم",0,N($J107))))</f>
        <v>0</v>
      </c>
      <c r="Z107" s="133" t="n">
        <f aca="false">IF(OR($B107="",$E107="",$F107=""),0,MAX(0,MIN($F107,EOMONTH(DATE(cfg_FY,5,1),0))-MAX($E107,DATE(cfg_FY,5,1))+1)*(1-IF($M107="نعم",0,N($J107))))</f>
        <v>0</v>
      </c>
      <c r="AA107" s="133" t="n">
        <f aca="false">IF(OR($B107="",$E107="",$F107=""),0,MAX(0,MIN($F107,EOMONTH(DATE(cfg_FY,6,1),0))-MAX($E107,DATE(cfg_FY,6,1))+1)*(1-IF($M107="نعم",0,N($J107))))</f>
        <v>0</v>
      </c>
      <c r="AB107" s="133" t="n">
        <f aca="false">IF(OR($B107="",$E107="",$F107=""),0,MAX(0,MIN($F107,EOMONTH(DATE(cfg_FY,7,1),0))-MAX($E107,DATE(cfg_FY,7,1))+1)*(1-IF($M107="نعم",0,N($J107))))</f>
        <v>0</v>
      </c>
      <c r="AC107" s="133" t="n">
        <f aca="false">IF(OR($B107="",$E107="",$F107=""),0,MAX(0,MIN($F107,EOMONTH(DATE(cfg_FY,8,1),0))-MAX($E107,DATE(cfg_FY,8,1))+1)*(1-IF($M107="نعم",0,N($J107))))</f>
        <v>0</v>
      </c>
      <c r="AD107" s="133" t="n">
        <f aca="false">IF(OR($B107="",$E107="",$F107=""),0,MAX(0,MIN($F107,EOMONTH(DATE(cfg_FY,9,1),0))-MAX($E107,DATE(cfg_FY,9,1))+1)*(1-IF($M107="نعم",0,N($J107))))</f>
        <v>0</v>
      </c>
      <c r="AE107" s="133" t="n">
        <f aca="false">IF(OR($B107="",$E107="",$F107=""),0,MAX(0,MIN($F107,EOMONTH(DATE(cfg_FY,10,1),0))-MAX($E107,DATE(cfg_FY,10,1))+1)*(1-IF($M107="نعم",0,N($J107))))</f>
        <v>0</v>
      </c>
      <c r="AF107" s="133" t="n">
        <f aca="false">IF(OR($B107="",$E107="",$F107=""),0,MAX(0,MIN($F107,EOMONTH(DATE(cfg_FY,11,1),0))-MAX($E107,DATE(cfg_FY,11,1))+1)*(1-IF($M107="نعم",0,N($J107))))</f>
        <v>0</v>
      </c>
      <c r="AG107" s="133" t="n">
        <f aca="false">IF(OR($B107="",$E107="",$F107=""),0,MAX(0,MIN($F107,EOMONTH(DATE(cfg_FY,12,1),0))-MAX($E107,DATE(cfg_FY,12,1))+1)*(1-IF($M107="نعم",0,N($J107))))</f>
        <v>0</v>
      </c>
      <c r="AH107" s="133" t="n">
        <f aca="false">IF(OR(OR($B107="",$E107="",$F107=""),$L107&lt;&gt;"لا"),0,MAX(0,MIN($F107,EOMONTH(DATE(cfg_FY,1,1),0))-$E107+1))</f>
        <v>0</v>
      </c>
      <c r="AI107" s="133" t="n">
        <f aca="false">IF(OR(OR($B107="",$E107="",$F107=""),$L107&lt;&gt;"لا"),0,MAX(0,MIN($F107,EOMONTH(DATE(cfg_FY,2,1),0))-$E107+1))</f>
        <v>0</v>
      </c>
      <c r="AJ107" s="133" t="n">
        <f aca="false">IF(OR(OR($B107="",$E107="",$F107=""),$L107&lt;&gt;"لا"),0,MAX(0,MIN($F107,EOMONTH(DATE(cfg_FY,3,1),0))-$E107+1))</f>
        <v>0</v>
      </c>
      <c r="AK107" s="133" t="n">
        <f aca="false">IF(OR(OR($B107="",$E107="",$F107=""),$L107&lt;&gt;"لا"),0,MAX(0,MIN($F107,EOMONTH(DATE(cfg_FY,4,1),0))-$E107+1))</f>
        <v>0</v>
      </c>
      <c r="AL107" s="133" t="n">
        <f aca="false">IF(OR(OR($B107="",$E107="",$F107=""),$L107&lt;&gt;"لا"),0,MAX(0,MIN($F107,EOMONTH(DATE(cfg_FY,5,1),0))-$E107+1))</f>
        <v>0</v>
      </c>
      <c r="AM107" s="133" t="n">
        <f aca="false">IF(OR(OR($B107="",$E107="",$F107=""),$L107&lt;&gt;"لا"),0,MAX(0,MIN($F107,EOMONTH(DATE(cfg_FY,6,1),0))-$E107+1))</f>
        <v>0</v>
      </c>
      <c r="AN107" s="133" t="n">
        <f aca="false">IF(OR(OR($B107="",$E107="",$F107=""),$L107&lt;&gt;"لا"),0,MAX(0,MIN($F107,EOMONTH(DATE(cfg_FY,7,1),0))-$E107+1))</f>
        <v>0</v>
      </c>
      <c r="AO107" s="133" t="n">
        <f aca="false">IF(OR(OR($B107="",$E107="",$F107=""),$L107&lt;&gt;"لا"),0,MAX(0,MIN($F107,EOMONTH(DATE(cfg_FY,8,1),0))-$E107+1))</f>
        <v>0</v>
      </c>
      <c r="AP107" s="133" t="n">
        <f aca="false">IF(OR(OR($B107="",$E107="",$F107=""),$L107&lt;&gt;"لا"),0,MAX(0,MIN($F107,EOMONTH(DATE(cfg_FY,9,1),0))-$E107+1))</f>
        <v>0</v>
      </c>
      <c r="AQ107" s="133" t="n">
        <f aca="false">IF(OR(OR($B107="",$E107="",$F107=""),$L107&lt;&gt;"لا"),0,MAX(0,MIN($F107,EOMONTH(DATE(cfg_FY,10,1),0))-$E107+1))</f>
        <v>0</v>
      </c>
      <c r="AR107" s="133" t="n">
        <f aca="false">IF(OR(OR($B107="",$E107="",$F107=""),$L107&lt;&gt;"لا"),0,MAX(0,MIN($F107,EOMONTH(DATE(cfg_FY,11,1),0))-$E107+1))</f>
        <v>0</v>
      </c>
      <c r="AS107" s="133" t="n">
        <f aca="false">IF(OR(OR($B107="",$E107="",$F107=""),$L107&lt;&gt;"لا"),0,MAX(0,MIN($F107,EOMONTH(DATE(cfg_FY,12,1),0))-$E107+1))</f>
        <v>0</v>
      </c>
      <c r="AT107" s="133" t="n">
        <f aca="false">IF(OR(OR($B107="",$E107="",$F107=""),$K107&lt;&gt;"نعم",$M107="نعم"),0,MAX(0,MIN($F107,EOMONTH(DATE(cfg_FY,1,1),0))-MAX($E107,DATE(cfg_FY,1,1))+1))</f>
        <v>0</v>
      </c>
      <c r="AU107" s="133" t="n">
        <f aca="false">IF(OR(OR($B107="",$E107="",$F107=""),$K107&lt;&gt;"نعم",$M107="نعم"),0,MAX(0,MIN($F107,EOMONTH(DATE(cfg_FY,2,1),0))-MAX($E107,DATE(cfg_FY,2,1))+1))</f>
        <v>0</v>
      </c>
      <c r="AV107" s="133" t="n">
        <f aca="false">IF(OR(OR($B107="",$E107="",$F107=""),$K107&lt;&gt;"نعم",$M107="نعم"),0,MAX(0,MIN($F107,EOMONTH(DATE(cfg_FY,3,1),0))-MAX($E107,DATE(cfg_FY,3,1))+1))</f>
        <v>0</v>
      </c>
      <c r="AW107" s="133" t="n">
        <f aca="false">IF(OR(OR($B107="",$E107="",$F107=""),$K107&lt;&gt;"نعم",$M107="نعم"),0,MAX(0,MIN($F107,EOMONTH(DATE(cfg_FY,4,1),0))-MAX($E107,DATE(cfg_FY,4,1))+1))</f>
        <v>0</v>
      </c>
      <c r="AX107" s="133" t="n">
        <f aca="false">IF(OR(OR($B107="",$E107="",$F107=""),$K107&lt;&gt;"نعم",$M107="نعم"),0,MAX(0,MIN($F107,EOMONTH(DATE(cfg_FY,5,1),0))-MAX($E107,DATE(cfg_FY,5,1))+1))</f>
        <v>0</v>
      </c>
      <c r="AY107" s="133" t="n">
        <f aca="false">IF(OR(OR($B107="",$E107="",$F107=""),$K107&lt;&gt;"نعم",$M107="نعم"),0,MAX(0,MIN($F107,EOMONTH(DATE(cfg_FY,6,1),0))-MAX($E107,DATE(cfg_FY,6,1))+1))</f>
        <v>0</v>
      </c>
      <c r="AZ107" s="133" t="n">
        <f aca="false">IF(OR(OR($B107="",$E107="",$F107=""),$K107&lt;&gt;"نعم",$M107="نعم"),0,MAX(0,MIN($F107,EOMONTH(DATE(cfg_FY,7,1),0))-MAX($E107,DATE(cfg_FY,7,1))+1))</f>
        <v>0</v>
      </c>
      <c r="BA107" s="133" t="n">
        <f aca="false">IF(OR(OR($B107="",$E107="",$F107=""),$K107&lt;&gt;"نعم",$M107="نعم"),0,MAX(0,MIN($F107,EOMONTH(DATE(cfg_FY,8,1),0))-MAX($E107,DATE(cfg_FY,8,1))+1))</f>
        <v>0</v>
      </c>
      <c r="BB107" s="133" t="n">
        <f aca="false">IF(OR(OR($B107="",$E107="",$F107=""),$K107&lt;&gt;"نعم",$M107="نعم"),0,MAX(0,MIN($F107,EOMONTH(DATE(cfg_FY,9,1),0))-MAX($E107,DATE(cfg_FY,9,1))+1))</f>
        <v>0</v>
      </c>
      <c r="BC107" s="133" t="n">
        <f aca="false">IF(OR(OR($B107="",$E107="",$F107=""),$K107&lt;&gt;"نعم",$M107="نعم"),0,MAX(0,MIN($F107,EOMONTH(DATE(cfg_FY,10,1),0))-MAX($E107,DATE(cfg_FY,10,1))+1))</f>
        <v>0</v>
      </c>
      <c r="BD107" s="133" t="n">
        <f aca="false">IF(OR(OR($B107="",$E107="",$F107=""),$K107&lt;&gt;"نعم",$M107="نعم"),0,MAX(0,MIN($F107,EOMONTH(DATE(cfg_FY,11,1),0))-MAX($E107,DATE(cfg_FY,11,1))+1))</f>
        <v>0</v>
      </c>
      <c r="BE107" s="133" t="n">
        <f aca="false">IF(OR(OR($B107="",$E107="",$F107=""),$K107&lt;&gt;"نعم",$M107="نعم"),0,MAX(0,MIN($F107,EOMONTH(DATE(cfg_FY,12,1),0))-MAX($E107,DATE(cfg_FY,12,1))+1))</f>
        <v>0</v>
      </c>
    </row>
    <row r="108" customFormat="false" ht="15" hidden="false" customHeight="false" outlineLevel="0" collapsed="false">
      <c r="A108" s="106" t="str">
        <f aca="false">IF(B108="","",ROW()-5)</f>
        <v/>
      </c>
      <c r="B108" s="118"/>
      <c r="C108" s="114" t="str">
        <f aca="false">IF(B108="","",IFERROR(INDEX(الموظفون!$C$6:$C$105,MATCH(B108,الموظفون!$B$6:$B$105,0)),"✖ رقم غير موجود"))</f>
        <v/>
      </c>
      <c r="D108" s="118"/>
      <c r="E108" s="119"/>
      <c r="F108" s="119"/>
      <c r="G108" s="65" t="str">
        <f aca="false">IF(OR($B108="",$E108="",$F108=""),"",MAX(0,F108-E108+1))</f>
        <v/>
      </c>
      <c r="H108" s="66" t="str">
        <f aca="false">IF(D108="","",IFERROR(VLOOKUP(D108,cfg_LT,2,FALSE()),1))</f>
        <v/>
      </c>
      <c r="I108" s="135"/>
      <c r="J108" s="66" t="str">
        <f aca="false">IF(D108="","",IF(I108&lt;&gt;"",I108,H108))</f>
        <v/>
      </c>
      <c r="K108" s="114" t="str">
        <f aca="false">IF(D108="","",IFERROR(VLOOKUP($D108,cfg_LT,3,FALSE()),""))</f>
        <v/>
      </c>
      <c r="L108" s="114" t="str">
        <f aca="false">IF(D108="","",IFERROR(VLOOKUP($D108,cfg_LT,4,FALSE()),""))</f>
        <v/>
      </c>
      <c r="M108" s="114" t="str">
        <f aca="false">IF(D108="","",IFERROR(VLOOKUP($D108,cfg_LT,5,FALSE()),""))</f>
        <v/>
      </c>
      <c r="N108" s="111" t="n">
        <f aca="false">IF(OR(OR($B108="",$E108="",$F108=""),M108&lt;&gt;"نعم"),0,G108*J108*IFERROR(INDEX(الموظفون!$R$6:$R$105,MATCH(B108,الموظفون!$B$6:$B$105,0)),0)/cfg_DAYS_M)</f>
        <v>0</v>
      </c>
      <c r="O108" s="106" t="str">
        <f aca="false">IF(OR(OR($B108="",$E108="",$F108=""),M108&lt;&gt;"نعم"),"",IF(YEAR(E108)=cfg_FY,MONTH(E108),""))</f>
        <v/>
      </c>
      <c r="P108" s="114" t="str">
        <f aca="false">IF(B108="","",IF(OR(D108="",E108="",F108=""),"⚠ أكمل النوع والتواريخ",IF(F108&lt;E108,"✖ النهاية قبل البداية",IF(COUNTIFS($B$6:$B$505,B108,$E$6:$E$505,"&lt;="&amp;F108,$F$6:$F$505,"&gt;="&amp;E108)&gt;1,"⚠ تداخل مع سجل آخر",IF(E108&gt;cfg_VAL_DATE,"⏳ قادمة",IF(F108&lt;cfg_VAL_DATE,"✔ منتهية","✈ جارية في تاريخ التقرير"))))))</f>
        <v/>
      </c>
      <c r="Q108" s="118"/>
      <c r="R108" s="65" t="n">
        <f aca="false">IF(OR(OR($B108="",$E108="",$F108=""),L108&lt;&gt;"لا"),0,MAX(0,MIN(F108,cfg_Y_START-1)-E108+1))</f>
        <v>0</v>
      </c>
      <c r="S108" s="65" t="n">
        <f aca="false">IF(OR(OR($B108="",$E108="",$F108=""),L108&lt;&gt;"لا"),0,MAX(0,MIN(F108,cfg_VAL_DATE)-E108+1))</f>
        <v>0</v>
      </c>
      <c r="T108" s="65" t="n">
        <f aca="false">IF(OR(OR($B108="",$E108="",$F108=""),K108&lt;&gt;"نعم"),0,IF(M108="نعم",IF(AND(ISNUMBER(O108),N(O108)&lt;=cfg_VAL_M),G108,0),MAX(0,MIN(F108,cfg_VAL_DATE)-MAX(E108,cfg_Y_START)+1)))</f>
        <v>0</v>
      </c>
      <c r="V108" s="65" t="n">
        <f aca="false">IF(OR($B108="",$E108="",$F108=""),0,MAX(0,MIN($F108,EOMONTH(DATE(cfg_FY,1,1),0))-MAX($E108,DATE(cfg_FY,1,1))+1)*(1-IF($M108="نعم",0,N($J108))))</f>
        <v>0</v>
      </c>
      <c r="W108" s="65" t="n">
        <f aca="false">IF(OR($B108="",$E108="",$F108=""),0,MAX(0,MIN($F108,EOMONTH(DATE(cfg_FY,2,1),0))-MAX($E108,DATE(cfg_FY,2,1))+1)*(1-IF($M108="نعم",0,N($J108))))</f>
        <v>0</v>
      </c>
      <c r="X108" s="65" t="n">
        <f aca="false">IF(OR($B108="",$E108="",$F108=""),0,MAX(0,MIN($F108,EOMONTH(DATE(cfg_FY,3,1),0))-MAX($E108,DATE(cfg_FY,3,1))+1)*(1-IF($M108="نعم",0,N($J108))))</f>
        <v>0</v>
      </c>
      <c r="Y108" s="65" t="n">
        <f aca="false">IF(OR($B108="",$E108="",$F108=""),0,MAX(0,MIN($F108,EOMONTH(DATE(cfg_FY,4,1),0))-MAX($E108,DATE(cfg_FY,4,1))+1)*(1-IF($M108="نعم",0,N($J108))))</f>
        <v>0</v>
      </c>
      <c r="Z108" s="65" t="n">
        <f aca="false">IF(OR($B108="",$E108="",$F108=""),0,MAX(0,MIN($F108,EOMONTH(DATE(cfg_FY,5,1),0))-MAX($E108,DATE(cfg_FY,5,1))+1)*(1-IF($M108="نعم",0,N($J108))))</f>
        <v>0</v>
      </c>
      <c r="AA108" s="65" t="n">
        <f aca="false">IF(OR($B108="",$E108="",$F108=""),0,MAX(0,MIN($F108,EOMONTH(DATE(cfg_FY,6,1),0))-MAX($E108,DATE(cfg_FY,6,1))+1)*(1-IF($M108="نعم",0,N($J108))))</f>
        <v>0</v>
      </c>
      <c r="AB108" s="65" t="n">
        <f aca="false">IF(OR($B108="",$E108="",$F108=""),0,MAX(0,MIN($F108,EOMONTH(DATE(cfg_FY,7,1),0))-MAX($E108,DATE(cfg_FY,7,1))+1)*(1-IF($M108="نعم",0,N($J108))))</f>
        <v>0</v>
      </c>
      <c r="AC108" s="65" t="n">
        <f aca="false">IF(OR($B108="",$E108="",$F108=""),0,MAX(0,MIN($F108,EOMONTH(DATE(cfg_FY,8,1),0))-MAX($E108,DATE(cfg_FY,8,1))+1)*(1-IF($M108="نعم",0,N($J108))))</f>
        <v>0</v>
      </c>
      <c r="AD108" s="65" t="n">
        <f aca="false">IF(OR($B108="",$E108="",$F108=""),0,MAX(0,MIN($F108,EOMONTH(DATE(cfg_FY,9,1),0))-MAX($E108,DATE(cfg_FY,9,1))+1)*(1-IF($M108="نعم",0,N($J108))))</f>
        <v>0</v>
      </c>
      <c r="AE108" s="65" t="n">
        <f aca="false">IF(OR($B108="",$E108="",$F108=""),0,MAX(0,MIN($F108,EOMONTH(DATE(cfg_FY,10,1),0))-MAX($E108,DATE(cfg_FY,10,1))+1)*(1-IF($M108="نعم",0,N($J108))))</f>
        <v>0</v>
      </c>
      <c r="AF108" s="65" t="n">
        <f aca="false">IF(OR($B108="",$E108="",$F108=""),0,MAX(0,MIN($F108,EOMONTH(DATE(cfg_FY,11,1),0))-MAX($E108,DATE(cfg_FY,11,1))+1)*(1-IF($M108="نعم",0,N($J108))))</f>
        <v>0</v>
      </c>
      <c r="AG108" s="65" t="n">
        <f aca="false">IF(OR($B108="",$E108="",$F108=""),0,MAX(0,MIN($F108,EOMONTH(DATE(cfg_FY,12,1),0))-MAX($E108,DATE(cfg_FY,12,1))+1)*(1-IF($M108="نعم",0,N($J108))))</f>
        <v>0</v>
      </c>
      <c r="AH108" s="65" t="n">
        <f aca="false">IF(OR(OR($B108="",$E108="",$F108=""),$L108&lt;&gt;"لا"),0,MAX(0,MIN($F108,EOMONTH(DATE(cfg_FY,1,1),0))-$E108+1))</f>
        <v>0</v>
      </c>
      <c r="AI108" s="65" t="n">
        <f aca="false">IF(OR(OR($B108="",$E108="",$F108=""),$L108&lt;&gt;"لا"),0,MAX(0,MIN($F108,EOMONTH(DATE(cfg_FY,2,1),0))-$E108+1))</f>
        <v>0</v>
      </c>
      <c r="AJ108" s="65" t="n">
        <f aca="false">IF(OR(OR($B108="",$E108="",$F108=""),$L108&lt;&gt;"لا"),0,MAX(0,MIN($F108,EOMONTH(DATE(cfg_FY,3,1),0))-$E108+1))</f>
        <v>0</v>
      </c>
      <c r="AK108" s="65" t="n">
        <f aca="false">IF(OR(OR($B108="",$E108="",$F108=""),$L108&lt;&gt;"لا"),0,MAX(0,MIN($F108,EOMONTH(DATE(cfg_FY,4,1),0))-$E108+1))</f>
        <v>0</v>
      </c>
      <c r="AL108" s="65" t="n">
        <f aca="false">IF(OR(OR($B108="",$E108="",$F108=""),$L108&lt;&gt;"لا"),0,MAX(0,MIN($F108,EOMONTH(DATE(cfg_FY,5,1),0))-$E108+1))</f>
        <v>0</v>
      </c>
      <c r="AM108" s="65" t="n">
        <f aca="false">IF(OR(OR($B108="",$E108="",$F108=""),$L108&lt;&gt;"لا"),0,MAX(0,MIN($F108,EOMONTH(DATE(cfg_FY,6,1),0))-$E108+1))</f>
        <v>0</v>
      </c>
      <c r="AN108" s="65" t="n">
        <f aca="false">IF(OR(OR($B108="",$E108="",$F108=""),$L108&lt;&gt;"لا"),0,MAX(0,MIN($F108,EOMONTH(DATE(cfg_FY,7,1),0))-$E108+1))</f>
        <v>0</v>
      </c>
      <c r="AO108" s="65" t="n">
        <f aca="false">IF(OR(OR($B108="",$E108="",$F108=""),$L108&lt;&gt;"لا"),0,MAX(0,MIN($F108,EOMONTH(DATE(cfg_FY,8,1),0))-$E108+1))</f>
        <v>0</v>
      </c>
      <c r="AP108" s="65" t="n">
        <f aca="false">IF(OR(OR($B108="",$E108="",$F108=""),$L108&lt;&gt;"لا"),0,MAX(0,MIN($F108,EOMONTH(DATE(cfg_FY,9,1),0))-$E108+1))</f>
        <v>0</v>
      </c>
      <c r="AQ108" s="65" t="n">
        <f aca="false">IF(OR(OR($B108="",$E108="",$F108=""),$L108&lt;&gt;"لا"),0,MAX(0,MIN($F108,EOMONTH(DATE(cfg_FY,10,1),0))-$E108+1))</f>
        <v>0</v>
      </c>
      <c r="AR108" s="65" t="n">
        <f aca="false">IF(OR(OR($B108="",$E108="",$F108=""),$L108&lt;&gt;"لا"),0,MAX(0,MIN($F108,EOMONTH(DATE(cfg_FY,11,1),0))-$E108+1))</f>
        <v>0</v>
      </c>
      <c r="AS108" s="65" t="n">
        <f aca="false">IF(OR(OR($B108="",$E108="",$F108=""),$L108&lt;&gt;"لا"),0,MAX(0,MIN($F108,EOMONTH(DATE(cfg_FY,12,1),0))-$E108+1))</f>
        <v>0</v>
      </c>
      <c r="AT108" s="65" t="n">
        <f aca="false">IF(OR(OR($B108="",$E108="",$F108=""),$K108&lt;&gt;"نعم",$M108="نعم"),0,MAX(0,MIN($F108,EOMONTH(DATE(cfg_FY,1,1),0))-MAX($E108,DATE(cfg_FY,1,1))+1))</f>
        <v>0</v>
      </c>
      <c r="AU108" s="65" t="n">
        <f aca="false">IF(OR(OR($B108="",$E108="",$F108=""),$K108&lt;&gt;"نعم",$M108="نعم"),0,MAX(0,MIN($F108,EOMONTH(DATE(cfg_FY,2,1),0))-MAX($E108,DATE(cfg_FY,2,1))+1))</f>
        <v>0</v>
      </c>
      <c r="AV108" s="65" t="n">
        <f aca="false">IF(OR(OR($B108="",$E108="",$F108=""),$K108&lt;&gt;"نعم",$M108="نعم"),0,MAX(0,MIN($F108,EOMONTH(DATE(cfg_FY,3,1),0))-MAX($E108,DATE(cfg_FY,3,1))+1))</f>
        <v>0</v>
      </c>
      <c r="AW108" s="65" t="n">
        <f aca="false">IF(OR(OR($B108="",$E108="",$F108=""),$K108&lt;&gt;"نعم",$M108="نعم"),0,MAX(0,MIN($F108,EOMONTH(DATE(cfg_FY,4,1),0))-MAX($E108,DATE(cfg_FY,4,1))+1))</f>
        <v>0</v>
      </c>
      <c r="AX108" s="65" t="n">
        <f aca="false">IF(OR(OR($B108="",$E108="",$F108=""),$K108&lt;&gt;"نعم",$M108="نعم"),0,MAX(0,MIN($F108,EOMONTH(DATE(cfg_FY,5,1),0))-MAX($E108,DATE(cfg_FY,5,1))+1))</f>
        <v>0</v>
      </c>
      <c r="AY108" s="65" t="n">
        <f aca="false">IF(OR(OR($B108="",$E108="",$F108=""),$K108&lt;&gt;"نعم",$M108="نعم"),0,MAX(0,MIN($F108,EOMONTH(DATE(cfg_FY,6,1),0))-MAX($E108,DATE(cfg_FY,6,1))+1))</f>
        <v>0</v>
      </c>
      <c r="AZ108" s="65" t="n">
        <f aca="false">IF(OR(OR($B108="",$E108="",$F108=""),$K108&lt;&gt;"نعم",$M108="نعم"),0,MAX(0,MIN($F108,EOMONTH(DATE(cfg_FY,7,1),0))-MAX($E108,DATE(cfg_FY,7,1))+1))</f>
        <v>0</v>
      </c>
      <c r="BA108" s="65" t="n">
        <f aca="false">IF(OR(OR($B108="",$E108="",$F108=""),$K108&lt;&gt;"نعم",$M108="نعم"),0,MAX(0,MIN($F108,EOMONTH(DATE(cfg_FY,8,1),0))-MAX($E108,DATE(cfg_FY,8,1))+1))</f>
        <v>0</v>
      </c>
      <c r="BB108" s="65" t="n">
        <f aca="false">IF(OR(OR($B108="",$E108="",$F108=""),$K108&lt;&gt;"نعم",$M108="نعم"),0,MAX(0,MIN($F108,EOMONTH(DATE(cfg_FY,9,1),0))-MAX($E108,DATE(cfg_FY,9,1))+1))</f>
        <v>0</v>
      </c>
      <c r="BC108" s="65" t="n">
        <f aca="false">IF(OR(OR($B108="",$E108="",$F108=""),$K108&lt;&gt;"نعم",$M108="نعم"),0,MAX(0,MIN($F108,EOMONTH(DATE(cfg_FY,10,1),0))-MAX($E108,DATE(cfg_FY,10,1))+1))</f>
        <v>0</v>
      </c>
      <c r="BD108" s="65" t="n">
        <f aca="false">IF(OR(OR($B108="",$E108="",$F108=""),$K108&lt;&gt;"نعم",$M108="نعم"),0,MAX(0,MIN($F108,EOMONTH(DATE(cfg_FY,11,1),0))-MAX($E108,DATE(cfg_FY,11,1))+1))</f>
        <v>0</v>
      </c>
      <c r="BE108" s="65" t="n">
        <f aca="false">IF(OR(OR($B108="",$E108="",$F108=""),$K108&lt;&gt;"نعم",$M108="نعم"),0,MAX(0,MIN($F108,EOMONTH(DATE(cfg_FY,12,1),0))-MAX($E108,DATE(cfg_FY,12,1))+1))</f>
        <v>0</v>
      </c>
    </row>
    <row r="109" customFormat="false" ht="15" hidden="false" customHeight="false" outlineLevel="0" collapsed="false">
      <c r="A109" s="115" t="str">
        <f aca="false">IF(B109="","",ROW()-5)</f>
        <v/>
      </c>
      <c r="B109" s="118"/>
      <c r="C109" s="117" t="str">
        <f aca="false">IF(B109="","",IFERROR(INDEX(الموظفون!$C$6:$C$105,MATCH(B109,الموظفون!$B$6:$B$105,0)),"✖ رقم غير موجود"))</f>
        <v/>
      </c>
      <c r="D109" s="118"/>
      <c r="E109" s="119"/>
      <c r="F109" s="119"/>
      <c r="G109" s="133" t="str">
        <f aca="false">IF(OR($B109="",$E109="",$F109=""),"",MAX(0,F109-E109+1))</f>
        <v/>
      </c>
      <c r="H109" s="134" t="str">
        <f aca="false">IF(D109="","",IFERROR(VLOOKUP(D109,cfg_LT,2,FALSE()),1))</f>
        <v/>
      </c>
      <c r="I109" s="135"/>
      <c r="J109" s="134" t="str">
        <f aca="false">IF(D109="","",IF(I109&lt;&gt;"",I109,H109))</f>
        <v/>
      </c>
      <c r="K109" s="117" t="str">
        <f aca="false">IF(D109="","",IFERROR(VLOOKUP($D109,cfg_LT,3,FALSE()),""))</f>
        <v/>
      </c>
      <c r="L109" s="117" t="str">
        <f aca="false">IF(D109="","",IFERROR(VLOOKUP($D109,cfg_LT,4,FALSE()),""))</f>
        <v/>
      </c>
      <c r="M109" s="117" t="str">
        <f aca="false">IF(D109="","",IFERROR(VLOOKUP($D109,cfg_LT,5,FALSE()),""))</f>
        <v/>
      </c>
      <c r="N109" s="116" t="n">
        <f aca="false">IF(OR(OR($B109="",$E109="",$F109=""),M109&lt;&gt;"نعم"),0,G109*J109*IFERROR(INDEX(الموظفون!$R$6:$R$105,MATCH(B109,الموظفون!$B$6:$B$105,0)),0)/cfg_DAYS_M)</f>
        <v>0</v>
      </c>
      <c r="O109" s="115" t="str">
        <f aca="false">IF(OR(OR($B109="",$E109="",$F109=""),M109&lt;&gt;"نعم"),"",IF(YEAR(E109)=cfg_FY,MONTH(E109),""))</f>
        <v/>
      </c>
      <c r="P109" s="117" t="str">
        <f aca="false">IF(B109="","",IF(OR(D109="",E109="",F109=""),"⚠ أكمل النوع والتواريخ",IF(F109&lt;E109,"✖ النهاية قبل البداية",IF(COUNTIFS($B$6:$B$505,B109,$E$6:$E$505,"&lt;="&amp;F109,$F$6:$F$505,"&gt;="&amp;E109)&gt;1,"⚠ تداخل مع سجل آخر",IF(E109&gt;cfg_VAL_DATE,"⏳ قادمة",IF(F109&lt;cfg_VAL_DATE,"✔ منتهية","✈ جارية في تاريخ التقرير"))))))</f>
        <v/>
      </c>
      <c r="Q109" s="118"/>
      <c r="R109" s="133" t="n">
        <f aca="false">IF(OR(OR($B109="",$E109="",$F109=""),L109&lt;&gt;"لا"),0,MAX(0,MIN(F109,cfg_Y_START-1)-E109+1))</f>
        <v>0</v>
      </c>
      <c r="S109" s="133" t="n">
        <f aca="false">IF(OR(OR($B109="",$E109="",$F109=""),L109&lt;&gt;"لا"),0,MAX(0,MIN(F109,cfg_VAL_DATE)-E109+1))</f>
        <v>0</v>
      </c>
      <c r="T109" s="133" t="n">
        <f aca="false">IF(OR(OR($B109="",$E109="",$F109=""),K109&lt;&gt;"نعم"),0,IF(M109="نعم",IF(AND(ISNUMBER(O109),N(O109)&lt;=cfg_VAL_M),G109,0),MAX(0,MIN(F109,cfg_VAL_DATE)-MAX(E109,cfg_Y_START)+1)))</f>
        <v>0</v>
      </c>
      <c r="V109" s="133" t="n">
        <f aca="false">IF(OR($B109="",$E109="",$F109=""),0,MAX(0,MIN($F109,EOMONTH(DATE(cfg_FY,1,1),0))-MAX($E109,DATE(cfg_FY,1,1))+1)*(1-IF($M109="نعم",0,N($J109))))</f>
        <v>0</v>
      </c>
      <c r="W109" s="133" t="n">
        <f aca="false">IF(OR($B109="",$E109="",$F109=""),0,MAX(0,MIN($F109,EOMONTH(DATE(cfg_FY,2,1),0))-MAX($E109,DATE(cfg_FY,2,1))+1)*(1-IF($M109="نعم",0,N($J109))))</f>
        <v>0</v>
      </c>
      <c r="X109" s="133" t="n">
        <f aca="false">IF(OR($B109="",$E109="",$F109=""),0,MAX(0,MIN($F109,EOMONTH(DATE(cfg_FY,3,1),0))-MAX($E109,DATE(cfg_FY,3,1))+1)*(1-IF($M109="نعم",0,N($J109))))</f>
        <v>0</v>
      </c>
      <c r="Y109" s="133" t="n">
        <f aca="false">IF(OR($B109="",$E109="",$F109=""),0,MAX(0,MIN($F109,EOMONTH(DATE(cfg_FY,4,1),0))-MAX($E109,DATE(cfg_FY,4,1))+1)*(1-IF($M109="نعم",0,N($J109))))</f>
        <v>0</v>
      </c>
      <c r="Z109" s="133" t="n">
        <f aca="false">IF(OR($B109="",$E109="",$F109=""),0,MAX(0,MIN($F109,EOMONTH(DATE(cfg_FY,5,1),0))-MAX($E109,DATE(cfg_FY,5,1))+1)*(1-IF($M109="نعم",0,N($J109))))</f>
        <v>0</v>
      </c>
      <c r="AA109" s="133" t="n">
        <f aca="false">IF(OR($B109="",$E109="",$F109=""),0,MAX(0,MIN($F109,EOMONTH(DATE(cfg_FY,6,1),0))-MAX($E109,DATE(cfg_FY,6,1))+1)*(1-IF($M109="نعم",0,N($J109))))</f>
        <v>0</v>
      </c>
      <c r="AB109" s="133" t="n">
        <f aca="false">IF(OR($B109="",$E109="",$F109=""),0,MAX(0,MIN($F109,EOMONTH(DATE(cfg_FY,7,1),0))-MAX($E109,DATE(cfg_FY,7,1))+1)*(1-IF($M109="نعم",0,N($J109))))</f>
        <v>0</v>
      </c>
      <c r="AC109" s="133" t="n">
        <f aca="false">IF(OR($B109="",$E109="",$F109=""),0,MAX(0,MIN($F109,EOMONTH(DATE(cfg_FY,8,1),0))-MAX($E109,DATE(cfg_FY,8,1))+1)*(1-IF($M109="نعم",0,N($J109))))</f>
        <v>0</v>
      </c>
      <c r="AD109" s="133" t="n">
        <f aca="false">IF(OR($B109="",$E109="",$F109=""),0,MAX(0,MIN($F109,EOMONTH(DATE(cfg_FY,9,1),0))-MAX($E109,DATE(cfg_FY,9,1))+1)*(1-IF($M109="نعم",0,N($J109))))</f>
        <v>0</v>
      </c>
      <c r="AE109" s="133" t="n">
        <f aca="false">IF(OR($B109="",$E109="",$F109=""),0,MAX(0,MIN($F109,EOMONTH(DATE(cfg_FY,10,1),0))-MAX($E109,DATE(cfg_FY,10,1))+1)*(1-IF($M109="نعم",0,N($J109))))</f>
        <v>0</v>
      </c>
      <c r="AF109" s="133" t="n">
        <f aca="false">IF(OR($B109="",$E109="",$F109=""),0,MAX(0,MIN($F109,EOMONTH(DATE(cfg_FY,11,1),0))-MAX($E109,DATE(cfg_FY,11,1))+1)*(1-IF($M109="نعم",0,N($J109))))</f>
        <v>0</v>
      </c>
      <c r="AG109" s="133" t="n">
        <f aca="false">IF(OR($B109="",$E109="",$F109=""),0,MAX(0,MIN($F109,EOMONTH(DATE(cfg_FY,12,1),0))-MAX($E109,DATE(cfg_FY,12,1))+1)*(1-IF($M109="نعم",0,N($J109))))</f>
        <v>0</v>
      </c>
      <c r="AH109" s="133" t="n">
        <f aca="false">IF(OR(OR($B109="",$E109="",$F109=""),$L109&lt;&gt;"لا"),0,MAX(0,MIN($F109,EOMONTH(DATE(cfg_FY,1,1),0))-$E109+1))</f>
        <v>0</v>
      </c>
      <c r="AI109" s="133" t="n">
        <f aca="false">IF(OR(OR($B109="",$E109="",$F109=""),$L109&lt;&gt;"لا"),0,MAX(0,MIN($F109,EOMONTH(DATE(cfg_FY,2,1),0))-$E109+1))</f>
        <v>0</v>
      </c>
      <c r="AJ109" s="133" t="n">
        <f aca="false">IF(OR(OR($B109="",$E109="",$F109=""),$L109&lt;&gt;"لا"),0,MAX(0,MIN($F109,EOMONTH(DATE(cfg_FY,3,1),0))-$E109+1))</f>
        <v>0</v>
      </c>
      <c r="AK109" s="133" t="n">
        <f aca="false">IF(OR(OR($B109="",$E109="",$F109=""),$L109&lt;&gt;"لا"),0,MAX(0,MIN($F109,EOMONTH(DATE(cfg_FY,4,1),0))-$E109+1))</f>
        <v>0</v>
      </c>
      <c r="AL109" s="133" t="n">
        <f aca="false">IF(OR(OR($B109="",$E109="",$F109=""),$L109&lt;&gt;"لا"),0,MAX(0,MIN($F109,EOMONTH(DATE(cfg_FY,5,1),0))-$E109+1))</f>
        <v>0</v>
      </c>
      <c r="AM109" s="133" t="n">
        <f aca="false">IF(OR(OR($B109="",$E109="",$F109=""),$L109&lt;&gt;"لا"),0,MAX(0,MIN($F109,EOMONTH(DATE(cfg_FY,6,1),0))-$E109+1))</f>
        <v>0</v>
      </c>
      <c r="AN109" s="133" t="n">
        <f aca="false">IF(OR(OR($B109="",$E109="",$F109=""),$L109&lt;&gt;"لا"),0,MAX(0,MIN($F109,EOMONTH(DATE(cfg_FY,7,1),0))-$E109+1))</f>
        <v>0</v>
      </c>
      <c r="AO109" s="133" t="n">
        <f aca="false">IF(OR(OR($B109="",$E109="",$F109=""),$L109&lt;&gt;"لا"),0,MAX(0,MIN($F109,EOMONTH(DATE(cfg_FY,8,1),0))-$E109+1))</f>
        <v>0</v>
      </c>
      <c r="AP109" s="133" t="n">
        <f aca="false">IF(OR(OR($B109="",$E109="",$F109=""),$L109&lt;&gt;"لا"),0,MAX(0,MIN($F109,EOMONTH(DATE(cfg_FY,9,1),0))-$E109+1))</f>
        <v>0</v>
      </c>
      <c r="AQ109" s="133" t="n">
        <f aca="false">IF(OR(OR($B109="",$E109="",$F109=""),$L109&lt;&gt;"لا"),0,MAX(0,MIN($F109,EOMONTH(DATE(cfg_FY,10,1),0))-$E109+1))</f>
        <v>0</v>
      </c>
      <c r="AR109" s="133" t="n">
        <f aca="false">IF(OR(OR($B109="",$E109="",$F109=""),$L109&lt;&gt;"لا"),0,MAX(0,MIN($F109,EOMONTH(DATE(cfg_FY,11,1),0))-$E109+1))</f>
        <v>0</v>
      </c>
      <c r="AS109" s="133" t="n">
        <f aca="false">IF(OR(OR($B109="",$E109="",$F109=""),$L109&lt;&gt;"لا"),0,MAX(0,MIN($F109,EOMONTH(DATE(cfg_FY,12,1),0))-$E109+1))</f>
        <v>0</v>
      </c>
      <c r="AT109" s="133" t="n">
        <f aca="false">IF(OR(OR($B109="",$E109="",$F109=""),$K109&lt;&gt;"نعم",$M109="نعم"),0,MAX(0,MIN($F109,EOMONTH(DATE(cfg_FY,1,1),0))-MAX($E109,DATE(cfg_FY,1,1))+1))</f>
        <v>0</v>
      </c>
      <c r="AU109" s="133" t="n">
        <f aca="false">IF(OR(OR($B109="",$E109="",$F109=""),$K109&lt;&gt;"نعم",$M109="نعم"),0,MAX(0,MIN($F109,EOMONTH(DATE(cfg_FY,2,1),0))-MAX($E109,DATE(cfg_FY,2,1))+1))</f>
        <v>0</v>
      </c>
      <c r="AV109" s="133" t="n">
        <f aca="false">IF(OR(OR($B109="",$E109="",$F109=""),$K109&lt;&gt;"نعم",$M109="نعم"),0,MAX(0,MIN($F109,EOMONTH(DATE(cfg_FY,3,1),0))-MAX($E109,DATE(cfg_FY,3,1))+1))</f>
        <v>0</v>
      </c>
      <c r="AW109" s="133" t="n">
        <f aca="false">IF(OR(OR($B109="",$E109="",$F109=""),$K109&lt;&gt;"نعم",$M109="نعم"),0,MAX(0,MIN($F109,EOMONTH(DATE(cfg_FY,4,1),0))-MAX($E109,DATE(cfg_FY,4,1))+1))</f>
        <v>0</v>
      </c>
      <c r="AX109" s="133" t="n">
        <f aca="false">IF(OR(OR($B109="",$E109="",$F109=""),$K109&lt;&gt;"نعم",$M109="نعم"),0,MAX(0,MIN($F109,EOMONTH(DATE(cfg_FY,5,1),0))-MAX($E109,DATE(cfg_FY,5,1))+1))</f>
        <v>0</v>
      </c>
      <c r="AY109" s="133" t="n">
        <f aca="false">IF(OR(OR($B109="",$E109="",$F109=""),$K109&lt;&gt;"نعم",$M109="نعم"),0,MAX(0,MIN($F109,EOMONTH(DATE(cfg_FY,6,1),0))-MAX($E109,DATE(cfg_FY,6,1))+1))</f>
        <v>0</v>
      </c>
      <c r="AZ109" s="133" t="n">
        <f aca="false">IF(OR(OR($B109="",$E109="",$F109=""),$K109&lt;&gt;"نعم",$M109="نعم"),0,MAX(0,MIN($F109,EOMONTH(DATE(cfg_FY,7,1),0))-MAX($E109,DATE(cfg_FY,7,1))+1))</f>
        <v>0</v>
      </c>
      <c r="BA109" s="133" t="n">
        <f aca="false">IF(OR(OR($B109="",$E109="",$F109=""),$K109&lt;&gt;"نعم",$M109="نعم"),0,MAX(0,MIN($F109,EOMONTH(DATE(cfg_FY,8,1),0))-MAX($E109,DATE(cfg_FY,8,1))+1))</f>
        <v>0</v>
      </c>
      <c r="BB109" s="133" t="n">
        <f aca="false">IF(OR(OR($B109="",$E109="",$F109=""),$K109&lt;&gt;"نعم",$M109="نعم"),0,MAX(0,MIN($F109,EOMONTH(DATE(cfg_FY,9,1),0))-MAX($E109,DATE(cfg_FY,9,1))+1))</f>
        <v>0</v>
      </c>
      <c r="BC109" s="133" t="n">
        <f aca="false">IF(OR(OR($B109="",$E109="",$F109=""),$K109&lt;&gt;"نعم",$M109="نعم"),0,MAX(0,MIN($F109,EOMONTH(DATE(cfg_FY,10,1),0))-MAX($E109,DATE(cfg_FY,10,1))+1))</f>
        <v>0</v>
      </c>
      <c r="BD109" s="133" t="n">
        <f aca="false">IF(OR(OR($B109="",$E109="",$F109=""),$K109&lt;&gt;"نعم",$M109="نعم"),0,MAX(0,MIN($F109,EOMONTH(DATE(cfg_FY,11,1),0))-MAX($E109,DATE(cfg_FY,11,1))+1))</f>
        <v>0</v>
      </c>
      <c r="BE109" s="133" t="n">
        <f aca="false">IF(OR(OR($B109="",$E109="",$F109=""),$K109&lt;&gt;"نعم",$M109="نعم"),0,MAX(0,MIN($F109,EOMONTH(DATE(cfg_FY,12,1),0))-MAX($E109,DATE(cfg_FY,12,1))+1))</f>
        <v>0</v>
      </c>
    </row>
    <row r="110" customFormat="false" ht="15" hidden="false" customHeight="false" outlineLevel="0" collapsed="false">
      <c r="A110" s="106" t="str">
        <f aca="false">IF(B110="","",ROW()-5)</f>
        <v/>
      </c>
      <c r="B110" s="118"/>
      <c r="C110" s="114" t="str">
        <f aca="false">IF(B110="","",IFERROR(INDEX(الموظفون!$C$6:$C$105,MATCH(B110,الموظفون!$B$6:$B$105,0)),"✖ رقم غير موجود"))</f>
        <v/>
      </c>
      <c r="D110" s="118"/>
      <c r="E110" s="119"/>
      <c r="F110" s="119"/>
      <c r="G110" s="65" t="str">
        <f aca="false">IF(OR($B110="",$E110="",$F110=""),"",MAX(0,F110-E110+1))</f>
        <v/>
      </c>
      <c r="H110" s="66" t="str">
        <f aca="false">IF(D110="","",IFERROR(VLOOKUP(D110,cfg_LT,2,FALSE()),1))</f>
        <v/>
      </c>
      <c r="I110" s="135"/>
      <c r="J110" s="66" t="str">
        <f aca="false">IF(D110="","",IF(I110&lt;&gt;"",I110,H110))</f>
        <v/>
      </c>
      <c r="K110" s="114" t="str">
        <f aca="false">IF(D110="","",IFERROR(VLOOKUP($D110,cfg_LT,3,FALSE()),""))</f>
        <v/>
      </c>
      <c r="L110" s="114" t="str">
        <f aca="false">IF(D110="","",IFERROR(VLOOKUP($D110,cfg_LT,4,FALSE()),""))</f>
        <v/>
      </c>
      <c r="M110" s="114" t="str">
        <f aca="false">IF(D110="","",IFERROR(VLOOKUP($D110,cfg_LT,5,FALSE()),""))</f>
        <v/>
      </c>
      <c r="N110" s="111" t="n">
        <f aca="false">IF(OR(OR($B110="",$E110="",$F110=""),M110&lt;&gt;"نعم"),0,G110*J110*IFERROR(INDEX(الموظفون!$R$6:$R$105,MATCH(B110,الموظفون!$B$6:$B$105,0)),0)/cfg_DAYS_M)</f>
        <v>0</v>
      </c>
      <c r="O110" s="106" t="str">
        <f aca="false">IF(OR(OR($B110="",$E110="",$F110=""),M110&lt;&gt;"نعم"),"",IF(YEAR(E110)=cfg_FY,MONTH(E110),""))</f>
        <v/>
      </c>
      <c r="P110" s="114" t="str">
        <f aca="false">IF(B110="","",IF(OR(D110="",E110="",F110=""),"⚠ أكمل النوع والتواريخ",IF(F110&lt;E110,"✖ النهاية قبل البداية",IF(COUNTIFS($B$6:$B$505,B110,$E$6:$E$505,"&lt;="&amp;F110,$F$6:$F$505,"&gt;="&amp;E110)&gt;1,"⚠ تداخل مع سجل آخر",IF(E110&gt;cfg_VAL_DATE,"⏳ قادمة",IF(F110&lt;cfg_VAL_DATE,"✔ منتهية","✈ جارية في تاريخ التقرير"))))))</f>
        <v/>
      </c>
      <c r="Q110" s="118"/>
      <c r="R110" s="65" t="n">
        <f aca="false">IF(OR(OR($B110="",$E110="",$F110=""),L110&lt;&gt;"لا"),0,MAX(0,MIN(F110,cfg_Y_START-1)-E110+1))</f>
        <v>0</v>
      </c>
      <c r="S110" s="65" t="n">
        <f aca="false">IF(OR(OR($B110="",$E110="",$F110=""),L110&lt;&gt;"لا"),0,MAX(0,MIN(F110,cfg_VAL_DATE)-E110+1))</f>
        <v>0</v>
      </c>
      <c r="T110" s="65" t="n">
        <f aca="false">IF(OR(OR($B110="",$E110="",$F110=""),K110&lt;&gt;"نعم"),0,IF(M110="نعم",IF(AND(ISNUMBER(O110),N(O110)&lt;=cfg_VAL_M),G110,0),MAX(0,MIN(F110,cfg_VAL_DATE)-MAX(E110,cfg_Y_START)+1)))</f>
        <v>0</v>
      </c>
      <c r="V110" s="65" t="n">
        <f aca="false">IF(OR($B110="",$E110="",$F110=""),0,MAX(0,MIN($F110,EOMONTH(DATE(cfg_FY,1,1),0))-MAX($E110,DATE(cfg_FY,1,1))+1)*(1-IF($M110="نعم",0,N($J110))))</f>
        <v>0</v>
      </c>
      <c r="W110" s="65" t="n">
        <f aca="false">IF(OR($B110="",$E110="",$F110=""),0,MAX(0,MIN($F110,EOMONTH(DATE(cfg_FY,2,1),0))-MAX($E110,DATE(cfg_FY,2,1))+1)*(1-IF($M110="نعم",0,N($J110))))</f>
        <v>0</v>
      </c>
      <c r="X110" s="65" t="n">
        <f aca="false">IF(OR($B110="",$E110="",$F110=""),0,MAX(0,MIN($F110,EOMONTH(DATE(cfg_FY,3,1),0))-MAX($E110,DATE(cfg_FY,3,1))+1)*(1-IF($M110="نعم",0,N($J110))))</f>
        <v>0</v>
      </c>
      <c r="Y110" s="65" t="n">
        <f aca="false">IF(OR($B110="",$E110="",$F110=""),0,MAX(0,MIN($F110,EOMONTH(DATE(cfg_FY,4,1),0))-MAX($E110,DATE(cfg_FY,4,1))+1)*(1-IF($M110="نعم",0,N($J110))))</f>
        <v>0</v>
      </c>
      <c r="Z110" s="65" t="n">
        <f aca="false">IF(OR($B110="",$E110="",$F110=""),0,MAX(0,MIN($F110,EOMONTH(DATE(cfg_FY,5,1),0))-MAX($E110,DATE(cfg_FY,5,1))+1)*(1-IF($M110="نعم",0,N($J110))))</f>
        <v>0</v>
      </c>
      <c r="AA110" s="65" t="n">
        <f aca="false">IF(OR($B110="",$E110="",$F110=""),0,MAX(0,MIN($F110,EOMONTH(DATE(cfg_FY,6,1),0))-MAX($E110,DATE(cfg_FY,6,1))+1)*(1-IF($M110="نعم",0,N($J110))))</f>
        <v>0</v>
      </c>
      <c r="AB110" s="65" t="n">
        <f aca="false">IF(OR($B110="",$E110="",$F110=""),0,MAX(0,MIN($F110,EOMONTH(DATE(cfg_FY,7,1),0))-MAX($E110,DATE(cfg_FY,7,1))+1)*(1-IF($M110="نعم",0,N($J110))))</f>
        <v>0</v>
      </c>
      <c r="AC110" s="65" t="n">
        <f aca="false">IF(OR($B110="",$E110="",$F110=""),0,MAX(0,MIN($F110,EOMONTH(DATE(cfg_FY,8,1),0))-MAX($E110,DATE(cfg_FY,8,1))+1)*(1-IF($M110="نعم",0,N($J110))))</f>
        <v>0</v>
      </c>
      <c r="AD110" s="65" t="n">
        <f aca="false">IF(OR($B110="",$E110="",$F110=""),0,MAX(0,MIN($F110,EOMONTH(DATE(cfg_FY,9,1),0))-MAX($E110,DATE(cfg_FY,9,1))+1)*(1-IF($M110="نعم",0,N($J110))))</f>
        <v>0</v>
      </c>
      <c r="AE110" s="65" t="n">
        <f aca="false">IF(OR($B110="",$E110="",$F110=""),0,MAX(0,MIN($F110,EOMONTH(DATE(cfg_FY,10,1),0))-MAX($E110,DATE(cfg_FY,10,1))+1)*(1-IF($M110="نعم",0,N($J110))))</f>
        <v>0</v>
      </c>
      <c r="AF110" s="65" t="n">
        <f aca="false">IF(OR($B110="",$E110="",$F110=""),0,MAX(0,MIN($F110,EOMONTH(DATE(cfg_FY,11,1),0))-MAX($E110,DATE(cfg_FY,11,1))+1)*(1-IF($M110="نعم",0,N($J110))))</f>
        <v>0</v>
      </c>
      <c r="AG110" s="65" t="n">
        <f aca="false">IF(OR($B110="",$E110="",$F110=""),0,MAX(0,MIN($F110,EOMONTH(DATE(cfg_FY,12,1),0))-MAX($E110,DATE(cfg_FY,12,1))+1)*(1-IF($M110="نعم",0,N($J110))))</f>
        <v>0</v>
      </c>
      <c r="AH110" s="65" t="n">
        <f aca="false">IF(OR(OR($B110="",$E110="",$F110=""),$L110&lt;&gt;"لا"),0,MAX(0,MIN($F110,EOMONTH(DATE(cfg_FY,1,1),0))-$E110+1))</f>
        <v>0</v>
      </c>
      <c r="AI110" s="65" t="n">
        <f aca="false">IF(OR(OR($B110="",$E110="",$F110=""),$L110&lt;&gt;"لا"),0,MAX(0,MIN($F110,EOMONTH(DATE(cfg_FY,2,1),0))-$E110+1))</f>
        <v>0</v>
      </c>
      <c r="AJ110" s="65" t="n">
        <f aca="false">IF(OR(OR($B110="",$E110="",$F110=""),$L110&lt;&gt;"لا"),0,MAX(0,MIN($F110,EOMONTH(DATE(cfg_FY,3,1),0))-$E110+1))</f>
        <v>0</v>
      </c>
      <c r="AK110" s="65" t="n">
        <f aca="false">IF(OR(OR($B110="",$E110="",$F110=""),$L110&lt;&gt;"لا"),0,MAX(0,MIN($F110,EOMONTH(DATE(cfg_FY,4,1),0))-$E110+1))</f>
        <v>0</v>
      </c>
      <c r="AL110" s="65" t="n">
        <f aca="false">IF(OR(OR($B110="",$E110="",$F110=""),$L110&lt;&gt;"لا"),0,MAX(0,MIN($F110,EOMONTH(DATE(cfg_FY,5,1),0))-$E110+1))</f>
        <v>0</v>
      </c>
      <c r="AM110" s="65" t="n">
        <f aca="false">IF(OR(OR($B110="",$E110="",$F110=""),$L110&lt;&gt;"لا"),0,MAX(0,MIN($F110,EOMONTH(DATE(cfg_FY,6,1),0))-$E110+1))</f>
        <v>0</v>
      </c>
      <c r="AN110" s="65" t="n">
        <f aca="false">IF(OR(OR($B110="",$E110="",$F110=""),$L110&lt;&gt;"لا"),0,MAX(0,MIN($F110,EOMONTH(DATE(cfg_FY,7,1),0))-$E110+1))</f>
        <v>0</v>
      </c>
      <c r="AO110" s="65" t="n">
        <f aca="false">IF(OR(OR($B110="",$E110="",$F110=""),$L110&lt;&gt;"لا"),0,MAX(0,MIN($F110,EOMONTH(DATE(cfg_FY,8,1),0))-$E110+1))</f>
        <v>0</v>
      </c>
      <c r="AP110" s="65" t="n">
        <f aca="false">IF(OR(OR($B110="",$E110="",$F110=""),$L110&lt;&gt;"لا"),0,MAX(0,MIN($F110,EOMONTH(DATE(cfg_FY,9,1),0))-$E110+1))</f>
        <v>0</v>
      </c>
      <c r="AQ110" s="65" t="n">
        <f aca="false">IF(OR(OR($B110="",$E110="",$F110=""),$L110&lt;&gt;"لا"),0,MAX(0,MIN($F110,EOMONTH(DATE(cfg_FY,10,1),0))-$E110+1))</f>
        <v>0</v>
      </c>
      <c r="AR110" s="65" t="n">
        <f aca="false">IF(OR(OR($B110="",$E110="",$F110=""),$L110&lt;&gt;"لا"),0,MAX(0,MIN($F110,EOMONTH(DATE(cfg_FY,11,1),0))-$E110+1))</f>
        <v>0</v>
      </c>
      <c r="AS110" s="65" t="n">
        <f aca="false">IF(OR(OR($B110="",$E110="",$F110=""),$L110&lt;&gt;"لا"),0,MAX(0,MIN($F110,EOMONTH(DATE(cfg_FY,12,1),0))-$E110+1))</f>
        <v>0</v>
      </c>
      <c r="AT110" s="65" t="n">
        <f aca="false">IF(OR(OR($B110="",$E110="",$F110=""),$K110&lt;&gt;"نعم",$M110="نعم"),0,MAX(0,MIN($F110,EOMONTH(DATE(cfg_FY,1,1),0))-MAX($E110,DATE(cfg_FY,1,1))+1))</f>
        <v>0</v>
      </c>
      <c r="AU110" s="65" t="n">
        <f aca="false">IF(OR(OR($B110="",$E110="",$F110=""),$K110&lt;&gt;"نعم",$M110="نعم"),0,MAX(0,MIN($F110,EOMONTH(DATE(cfg_FY,2,1),0))-MAX($E110,DATE(cfg_FY,2,1))+1))</f>
        <v>0</v>
      </c>
      <c r="AV110" s="65" t="n">
        <f aca="false">IF(OR(OR($B110="",$E110="",$F110=""),$K110&lt;&gt;"نعم",$M110="نعم"),0,MAX(0,MIN($F110,EOMONTH(DATE(cfg_FY,3,1),0))-MAX($E110,DATE(cfg_FY,3,1))+1))</f>
        <v>0</v>
      </c>
      <c r="AW110" s="65" t="n">
        <f aca="false">IF(OR(OR($B110="",$E110="",$F110=""),$K110&lt;&gt;"نعم",$M110="نعم"),0,MAX(0,MIN($F110,EOMONTH(DATE(cfg_FY,4,1),0))-MAX($E110,DATE(cfg_FY,4,1))+1))</f>
        <v>0</v>
      </c>
      <c r="AX110" s="65" t="n">
        <f aca="false">IF(OR(OR($B110="",$E110="",$F110=""),$K110&lt;&gt;"نعم",$M110="نعم"),0,MAX(0,MIN($F110,EOMONTH(DATE(cfg_FY,5,1),0))-MAX($E110,DATE(cfg_FY,5,1))+1))</f>
        <v>0</v>
      </c>
      <c r="AY110" s="65" t="n">
        <f aca="false">IF(OR(OR($B110="",$E110="",$F110=""),$K110&lt;&gt;"نعم",$M110="نعم"),0,MAX(0,MIN($F110,EOMONTH(DATE(cfg_FY,6,1),0))-MAX($E110,DATE(cfg_FY,6,1))+1))</f>
        <v>0</v>
      </c>
      <c r="AZ110" s="65" t="n">
        <f aca="false">IF(OR(OR($B110="",$E110="",$F110=""),$K110&lt;&gt;"نعم",$M110="نعم"),0,MAX(0,MIN($F110,EOMONTH(DATE(cfg_FY,7,1),0))-MAX($E110,DATE(cfg_FY,7,1))+1))</f>
        <v>0</v>
      </c>
      <c r="BA110" s="65" t="n">
        <f aca="false">IF(OR(OR($B110="",$E110="",$F110=""),$K110&lt;&gt;"نعم",$M110="نعم"),0,MAX(0,MIN($F110,EOMONTH(DATE(cfg_FY,8,1),0))-MAX($E110,DATE(cfg_FY,8,1))+1))</f>
        <v>0</v>
      </c>
      <c r="BB110" s="65" t="n">
        <f aca="false">IF(OR(OR($B110="",$E110="",$F110=""),$K110&lt;&gt;"نعم",$M110="نعم"),0,MAX(0,MIN($F110,EOMONTH(DATE(cfg_FY,9,1),0))-MAX($E110,DATE(cfg_FY,9,1))+1))</f>
        <v>0</v>
      </c>
      <c r="BC110" s="65" t="n">
        <f aca="false">IF(OR(OR($B110="",$E110="",$F110=""),$K110&lt;&gt;"نعم",$M110="نعم"),0,MAX(0,MIN($F110,EOMONTH(DATE(cfg_FY,10,1),0))-MAX($E110,DATE(cfg_FY,10,1))+1))</f>
        <v>0</v>
      </c>
      <c r="BD110" s="65" t="n">
        <f aca="false">IF(OR(OR($B110="",$E110="",$F110=""),$K110&lt;&gt;"نعم",$M110="نعم"),0,MAX(0,MIN($F110,EOMONTH(DATE(cfg_FY,11,1),0))-MAX($E110,DATE(cfg_FY,11,1))+1))</f>
        <v>0</v>
      </c>
      <c r="BE110" s="65" t="n">
        <f aca="false">IF(OR(OR($B110="",$E110="",$F110=""),$K110&lt;&gt;"نعم",$M110="نعم"),0,MAX(0,MIN($F110,EOMONTH(DATE(cfg_FY,12,1),0))-MAX($E110,DATE(cfg_FY,12,1))+1))</f>
        <v>0</v>
      </c>
    </row>
    <row r="111" customFormat="false" ht="15" hidden="false" customHeight="false" outlineLevel="0" collapsed="false">
      <c r="A111" s="115" t="str">
        <f aca="false">IF(B111="","",ROW()-5)</f>
        <v/>
      </c>
      <c r="B111" s="118"/>
      <c r="C111" s="117" t="str">
        <f aca="false">IF(B111="","",IFERROR(INDEX(الموظفون!$C$6:$C$105,MATCH(B111,الموظفون!$B$6:$B$105,0)),"✖ رقم غير موجود"))</f>
        <v/>
      </c>
      <c r="D111" s="118"/>
      <c r="E111" s="119"/>
      <c r="F111" s="119"/>
      <c r="G111" s="133" t="str">
        <f aca="false">IF(OR($B111="",$E111="",$F111=""),"",MAX(0,F111-E111+1))</f>
        <v/>
      </c>
      <c r="H111" s="134" t="str">
        <f aca="false">IF(D111="","",IFERROR(VLOOKUP(D111,cfg_LT,2,FALSE()),1))</f>
        <v/>
      </c>
      <c r="I111" s="135"/>
      <c r="J111" s="134" t="str">
        <f aca="false">IF(D111="","",IF(I111&lt;&gt;"",I111,H111))</f>
        <v/>
      </c>
      <c r="K111" s="117" t="str">
        <f aca="false">IF(D111="","",IFERROR(VLOOKUP($D111,cfg_LT,3,FALSE()),""))</f>
        <v/>
      </c>
      <c r="L111" s="117" t="str">
        <f aca="false">IF(D111="","",IFERROR(VLOOKUP($D111,cfg_LT,4,FALSE()),""))</f>
        <v/>
      </c>
      <c r="M111" s="117" t="str">
        <f aca="false">IF(D111="","",IFERROR(VLOOKUP($D111,cfg_LT,5,FALSE()),""))</f>
        <v/>
      </c>
      <c r="N111" s="116" t="n">
        <f aca="false">IF(OR(OR($B111="",$E111="",$F111=""),M111&lt;&gt;"نعم"),0,G111*J111*IFERROR(INDEX(الموظفون!$R$6:$R$105,MATCH(B111,الموظفون!$B$6:$B$105,0)),0)/cfg_DAYS_M)</f>
        <v>0</v>
      </c>
      <c r="O111" s="115" t="str">
        <f aca="false">IF(OR(OR($B111="",$E111="",$F111=""),M111&lt;&gt;"نعم"),"",IF(YEAR(E111)=cfg_FY,MONTH(E111),""))</f>
        <v/>
      </c>
      <c r="P111" s="117" t="str">
        <f aca="false">IF(B111="","",IF(OR(D111="",E111="",F111=""),"⚠ أكمل النوع والتواريخ",IF(F111&lt;E111,"✖ النهاية قبل البداية",IF(COUNTIFS($B$6:$B$505,B111,$E$6:$E$505,"&lt;="&amp;F111,$F$6:$F$505,"&gt;="&amp;E111)&gt;1,"⚠ تداخل مع سجل آخر",IF(E111&gt;cfg_VAL_DATE,"⏳ قادمة",IF(F111&lt;cfg_VAL_DATE,"✔ منتهية","✈ جارية في تاريخ التقرير"))))))</f>
        <v/>
      </c>
      <c r="Q111" s="118"/>
      <c r="R111" s="133" t="n">
        <f aca="false">IF(OR(OR($B111="",$E111="",$F111=""),L111&lt;&gt;"لا"),0,MAX(0,MIN(F111,cfg_Y_START-1)-E111+1))</f>
        <v>0</v>
      </c>
      <c r="S111" s="133" t="n">
        <f aca="false">IF(OR(OR($B111="",$E111="",$F111=""),L111&lt;&gt;"لا"),0,MAX(0,MIN(F111,cfg_VAL_DATE)-E111+1))</f>
        <v>0</v>
      </c>
      <c r="T111" s="133" t="n">
        <f aca="false">IF(OR(OR($B111="",$E111="",$F111=""),K111&lt;&gt;"نعم"),0,IF(M111="نعم",IF(AND(ISNUMBER(O111),N(O111)&lt;=cfg_VAL_M),G111,0),MAX(0,MIN(F111,cfg_VAL_DATE)-MAX(E111,cfg_Y_START)+1)))</f>
        <v>0</v>
      </c>
      <c r="V111" s="133" t="n">
        <f aca="false">IF(OR($B111="",$E111="",$F111=""),0,MAX(0,MIN($F111,EOMONTH(DATE(cfg_FY,1,1),0))-MAX($E111,DATE(cfg_FY,1,1))+1)*(1-IF($M111="نعم",0,N($J111))))</f>
        <v>0</v>
      </c>
      <c r="W111" s="133" t="n">
        <f aca="false">IF(OR($B111="",$E111="",$F111=""),0,MAX(0,MIN($F111,EOMONTH(DATE(cfg_FY,2,1),0))-MAX($E111,DATE(cfg_FY,2,1))+1)*(1-IF($M111="نعم",0,N($J111))))</f>
        <v>0</v>
      </c>
      <c r="X111" s="133" t="n">
        <f aca="false">IF(OR($B111="",$E111="",$F111=""),0,MAX(0,MIN($F111,EOMONTH(DATE(cfg_FY,3,1),0))-MAX($E111,DATE(cfg_FY,3,1))+1)*(1-IF($M111="نعم",0,N($J111))))</f>
        <v>0</v>
      </c>
      <c r="Y111" s="133" t="n">
        <f aca="false">IF(OR($B111="",$E111="",$F111=""),0,MAX(0,MIN($F111,EOMONTH(DATE(cfg_FY,4,1),0))-MAX($E111,DATE(cfg_FY,4,1))+1)*(1-IF($M111="نعم",0,N($J111))))</f>
        <v>0</v>
      </c>
      <c r="Z111" s="133" t="n">
        <f aca="false">IF(OR($B111="",$E111="",$F111=""),0,MAX(0,MIN($F111,EOMONTH(DATE(cfg_FY,5,1),0))-MAX($E111,DATE(cfg_FY,5,1))+1)*(1-IF($M111="نعم",0,N($J111))))</f>
        <v>0</v>
      </c>
      <c r="AA111" s="133" t="n">
        <f aca="false">IF(OR($B111="",$E111="",$F111=""),0,MAX(0,MIN($F111,EOMONTH(DATE(cfg_FY,6,1),0))-MAX($E111,DATE(cfg_FY,6,1))+1)*(1-IF($M111="نعم",0,N($J111))))</f>
        <v>0</v>
      </c>
      <c r="AB111" s="133" t="n">
        <f aca="false">IF(OR($B111="",$E111="",$F111=""),0,MAX(0,MIN($F111,EOMONTH(DATE(cfg_FY,7,1),0))-MAX($E111,DATE(cfg_FY,7,1))+1)*(1-IF($M111="نعم",0,N($J111))))</f>
        <v>0</v>
      </c>
      <c r="AC111" s="133" t="n">
        <f aca="false">IF(OR($B111="",$E111="",$F111=""),0,MAX(0,MIN($F111,EOMONTH(DATE(cfg_FY,8,1),0))-MAX($E111,DATE(cfg_FY,8,1))+1)*(1-IF($M111="نعم",0,N($J111))))</f>
        <v>0</v>
      </c>
      <c r="AD111" s="133" t="n">
        <f aca="false">IF(OR($B111="",$E111="",$F111=""),0,MAX(0,MIN($F111,EOMONTH(DATE(cfg_FY,9,1),0))-MAX($E111,DATE(cfg_FY,9,1))+1)*(1-IF($M111="نعم",0,N($J111))))</f>
        <v>0</v>
      </c>
      <c r="AE111" s="133" t="n">
        <f aca="false">IF(OR($B111="",$E111="",$F111=""),0,MAX(0,MIN($F111,EOMONTH(DATE(cfg_FY,10,1),0))-MAX($E111,DATE(cfg_FY,10,1))+1)*(1-IF($M111="نعم",0,N($J111))))</f>
        <v>0</v>
      </c>
      <c r="AF111" s="133" t="n">
        <f aca="false">IF(OR($B111="",$E111="",$F111=""),0,MAX(0,MIN($F111,EOMONTH(DATE(cfg_FY,11,1),0))-MAX($E111,DATE(cfg_FY,11,1))+1)*(1-IF($M111="نعم",0,N($J111))))</f>
        <v>0</v>
      </c>
      <c r="AG111" s="133" t="n">
        <f aca="false">IF(OR($B111="",$E111="",$F111=""),0,MAX(0,MIN($F111,EOMONTH(DATE(cfg_FY,12,1),0))-MAX($E111,DATE(cfg_FY,12,1))+1)*(1-IF($M111="نعم",0,N($J111))))</f>
        <v>0</v>
      </c>
      <c r="AH111" s="133" t="n">
        <f aca="false">IF(OR(OR($B111="",$E111="",$F111=""),$L111&lt;&gt;"لا"),0,MAX(0,MIN($F111,EOMONTH(DATE(cfg_FY,1,1),0))-$E111+1))</f>
        <v>0</v>
      </c>
      <c r="AI111" s="133" t="n">
        <f aca="false">IF(OR(OR($B111="",$E111="",$F111=""),$L111&lt;&gt;"لا"),0,MAX(0,MIN($F111,EOMONTH(DATE(cfg_FY,2,1),0))-$E111+1))</f>
        <v>0</v>
      </c>
      <c r="AJ111" s="133" t="n">
        <f aca="false">IF(OR(OR($B111="",$E111="",$F111=""),$L111&lt;&gt;"لا"),0,MAX(0,MIN($F111,EOMONTH(DATE(cfg_FY,3,1),0))-$E111+1))</f>
        <v>0</v>
      </c>
      <c r="AK111" s="133" t="n">
        <f aca="false">IF(OR(OR($B111="",$E111="",$F111=""),$L111&lt;&gt;"لا"),0,MAX(0,MIN($F111,EOMONTH(DATE(cfg_FY,4,1),0))-$E111+1))</f>
        <v>0</v>
      </c>
      <c r="AL111" s="133" t="n">
        <f aca="false">IF(OR(OR($B111="",$E111="",$F111=""),$L111&lt;&gt;"لا"),0,MAX(0,MIN($F111,EOMONTH(DATE(cfg_FY,5,1),0))-$E111+1))</f>
        <v>0</v>
      </c>
      <c r="AM111" s="133" t="n">
        <f aca="false">IF(OR(OR($B111="",$E111="",$F111=""),$L111&lt;&gt;"لا"),0,MAX(0,MIN($F111,EOMONTH(DATE(cfg_FY,6,1),0))-$E111+1))</f>
        <v>0</v>
      </c>
      <c r="AN111" s="133" t="n">
        <f aca="false">IF(OR(OR($B111="",$E111="",$F111=""),$L111&lt;&gt;"لا"),0,MAX(0,MIN($F111,EOMONTH(DATE(cfg_FY,7,1),0))-$E111+1))</f>
        <v>0</v>
      </c>
      <c r="AO111" s="133" t="n">
        <f aca="false">IF(OR(OR($B111="",$E111="",$F111=""),$L111&lt;&gt;"لا"),0,MAX(0,MIN($F111,EOMONTH(DATE(cfg_FY,8,1),0))-$E111+1))</f>
        <v>0</v>
      </c>
      <c r="AP111" s="133" t="n">
        <f aca="false">IF(OR(OR($B111="",$E111="",$F111=""),$L111&lt;&gt;"لا"),0,MAX(0,MIN($F111,EOMONTH(DATE(cfg_FY,9,1),0))-$E111+1))</f>
        <v>0</v>
      </c>
      <c r="AQ111" s="133" t="n">
        <f aca="false">IF(OR(OR($B111="",$E111="",$F111=""),$L111&lt;&gt;"لا"),0,MAX(0,MIN($F111,EOMONTH(DATE(cfg_FY,10,1),0))-$E111+1))</f>
        <v>0</v>
      </c>
      <c r="AR111" s="133" t="n">
        <f aca="false">IF(OR(OR($B111="",$E111="",$F111=""),$L111&lt;&gt;"لا"),0,MAX(0,MIN($F111,EOMONTH(DATE(cfg_FY,11,1),0))-$E111+1))</f>
        <v>0</v>
      </c>
      <c r="AS111" s="133" t="n">
        <f aca="false">IF(OR(OR($B111="",$E111="",$F111=""),$L111&lt;&gt;"لا"),0,MAX(0,MIN($F111,EOMONTH(DATE(cfg_FY,12,1),0))-$E111+1))</f>
        <v>0</v>
      </c>
      <c r="AT111" s="133" t="n">
        <f aca="false">IF(OR(OR($B111="",$E111="",$F111=""),$K111&lt;&gt;"نعم",$M111="نعم"),0,MAX(0,MIN($F111,EOMONTH(DATE(cfg_FY,1,1),0))-MAX($E111,DATE(cfg_FY,1,1))+1))</f>
        <v>0</v>
      </c>
      <c r="AU111" s="133" t="n">
        <f aca="false">IF(OR(OR($B111="",$E111="",$F111=""),$K111&lt;&gt;"نعم",$M111="نعم"),0,MAX(0,MIN($F111,EOMONTH(DATE(cfg_FY,2,1),0))-MAX($E111,DATE(cfg_FY,2,1))+1))</f>
        <v>0</v>
      </c>
      <c r="AV111" s="133" t="n">
        <f aca="false">IF(OR(OR($B111="",$E111="",$F111=""),$K111&lt;&gt;"نعم",$M111="نعم"),0,MAX(0,MIN($F111,EOMONTH(DATE(cfg_FY,3,1),0))-MAX($E111,DATE(cfg_FY,3,1))+1))</f>
        <v>0</v>
      </c>
      <c r="AW111" s="133" t="n">
        <f aca="false">IF(OR(OR($B111="",$E111="",$F111=""),$K111&lt;&gt;"نعم",$M111="نعم"),0,MAX(0,MIN($F111,EOMONTH(DATE(cfg_FY,4,1),0))-MAX($E111,DATE(cfg_FY,4,1))+1))</f>
        <v>0</v>
      </c>
      <c r="AX111" s="133" t="n">
        <f aca="false">IF(OR(OR($B111="",$E111="",$F111=""),$K111&lt;&gt;"نعم",$M111="نعم"),0,MAX(0,MIN($F111,EOMONTH(DATE(cfg_FY,5,1),0))-MAX($E111,DATE(cfg_FY,5,1))+1))</f>
        <v>0</v>
      </c>
      <c r="AY111" s="133" t="n">
        <f aca="false">IF(OR(OR($B111="",$E111="",$F111=""),$K111&lt;&gt;"نعم",$M111="نعم"),0,MAX(0,MIN($F111,EOMONTH(DATE(cfg_FY,6,1),0))-MAX($E111,DATE(cfg_FY,6,1))+1))</f>
        <v>0</v>
      </c>
      <c r="AZ111" s="133" t="n">
        <f aca="false">IF(OR(OR($B111="",$E111="",$F111=""),$K111&lt;&gt;"نعم",$M111="نعم"),0,MAX(0,MIN($F111,EOMONTH(DATE(cfg_FY,7,1),0))-MAX($E111,DATE(cfg_FY,7,1))+1))</f>
        <v>0</v>
      </c>
      <c r="BA111" s="133" t="n">
        <f aca="false">IF(OR(OR($B111="",$E111="",$F111=""),$K111&lt;&gt;"نعم",$M111="نعم"),0,MAX(0,MIN($F111,EOMONTH(DATE(cfg_FY,8,1),0))-MAX($E111,DATE(cfg_FY,8,1))+1))</f>
        <v>0</v>
      </c>
      <c r="BB111" s="133" t="n">
        <f aca="false">IF(OR(OR($B111="",$E111="",$F111=""),$K111&lt;&gt;"نعم",$M111="نعم"),0,MAX(0,MIN($F111,EOMONTH(DATE(cfg_FY,9,1),0))-MAX($E111,DATE(cfg_FY,9,1))+1))</f>
        <v>0</v>
      </c>
      <c r="BC111" s="133" t="n">
        <f aca="false">IF(OR(OR($B111="",$E111="",$F111=""),$K111&lt;&gt;"نعم",$M111="نعم"),0,MAX(0,MIN($F111,EOMONTH(DATE(cfg_FY,10,1),0))-MAX($E111,DATE(cfg_FY,10,1))+1))</f>
        <v>0</v>
      </c>
      <c r="BD111" s="133" t="n">
        <f aca="false">IF(OR(OR($B111="",$E111="",$F111=""),$K111&lt;&gt;"نعم",$M111="نعم"),0,MAX(0,MIN($F111,EOMONTH(DATE(cfg_FY,11,1),0))-MAX($E111,DATE(cfg_FY,11,1))+1))</f>
        <v>0</v>
      </c>
      <c r="BE111" s="133" t="n">
        <f aca="false">IF(OR(OR($B111="",$E111="",$F111=""),$K111&lt;&gt;"نعم",$M111="نعم"),0,MAX(0,MIN($F111,EOMONTH(DATE(cfg_FY,12,1),0))-MAX($E111,DATE(cfg_FY,12,1))+1))</f>
        <v>0</v>
      </c>
    </row>
    <row r="112" customFormat="false" ht="15" hidden="false" customHeight="false" outlineLevel="0" collapsed="false">
      <c r="A112" s="106" t="str">
        <f aca="false">IF(B112="","",ROW()-5)</f>
        <v/>
      </c>
      <c r="B112" s="118"/>
      <c r="C112" s="114" t="str">
        <f aca="false">IF(B112="","",IFERROR(INDEX(الموظفون!$C$6:$C$105,MATCH(B112,الموظفون!$B$6:$B$105,0)),"✖ رقم غير موجود"))</f>
        <v/>
      </c>
      <c r="D112" s="118"/>
      <c r="E112" s="119"/>
      <c r="F112" s="119"/>
      <c r="G112" s="65" t="str">
        <f aca="false">IF(OR($B112="",$E112="",$F112=""),"",MAX(0,F112-E112+1))</f>
        <v/>
      </c>
      <c r="H112" s="66" t="str">
        <f aca="false">IF(D112="","",IFERROR(VLOOKUP(D112,cfg_LT,2,FALSE()),1))</f>
        <v/>
      </c>
      <c r="I112" s="135"/>
      <c r="J112" s="66" t="str">
        <f aca="false">IF(D112="","",IF(I112&lt;&gt;"",I112,H112))</f>
        <v/>
      </c>
      <c r="K112" s="114" t="str">
        <f aca="false">IF(D112="","",IFERROR(VLOOKUP($D112,cfg_LT,3,FALSE()),""))</f>
        <v/>
      </c>
      <c r="L112" s="114" t="str">
        <f aca="false">IF(D112="","",IFERROR(VLOOKUP($D112,cfg_LT,4,FALSE()),""))</f>
        <v/>
      </c>
      <c r="M112" s="114" t="str">
        <f aca="false">IF(D112="","",IFERROR(VLOOKUP($D112,cfg_LT,5,FALSE()),""))</f>
        <v/>
      </c>
      <c r="N112" s="111" t="n">
        <f aca="false">IF(OR(OR($B112="",$E112="",$F112=""),M112&lt;&gt;"نعم"),0,G112*J112*IFERROR(INDEX(الموظفون!$R$6:$R$105,MATCH(B112,الموظفون!$B$6:$B$105,0)),0)/cfg_DAYS_M)</f>
        <v>0</v>
      </c>
      <c r="O112" s="106" t="str">
        <f aca="false">IF(OR(OR($B112="",$E112="",$F112=""),M112&lt;&gt;"نعم"),"",IF(YEAR(E112)=cfg_FY,MONTH(E112),""))</f>
        <v/>
      </c>
      <c r="P112" s="114" t="str">
        <f aca="false">IF(B112="","",IF(OR(D112="",E112="",F112=""),"⚠ أكمل النوع والتواريخ",IF(F112&lt;E112,"✖ النهاية قبل البداية",IF(COUNTIFS($B$6:$B$505,B112,$E$6:$E$505,"&lt;="&amp;F112,$F$6:$F$505,"&gt;="&amp;E112)&gt;1,"⚠ تداخل مع سجل آخر",IF(E112&gt;cfg_VAL_DATE,"⏳ قادمة",IF(F112&lt;cfg_VAL_DATE,"✔ منتهية","✈ جارية في تاريخ التقرير"))))))</f>
        <v/>
      </c>
      <c r="Q112" s="118"/>
      <c r="R112" s="65" t="n">
        <f aca="false">IF(OR(OR($B112="",$E112="",$F112=""),L112&lt;&gt;"لا"),0,MAX(0,MIN(F112,cfg_Y_START-1)-E112+1))</f>
        <v>0</v>
      </c>
      <c r="S112" s="65" t="n">
        <f aca="false">IF(OR(OR($B112="",$E112="",$F112=""),L112&lt;&gt;"لا"),0,MAX(0,MIN(F112,cfg_VAL_DATE)-E112+1))</f>
        <v>0</v>
      </c>
      <c r="T112" s="65" t="n">
        <f aca="false">IF(OR(OR($B112="",$E112="",$F112=""),K112&lt;&gt;"نعم"),0,IF(M112="نعم",IF(AND(ISNUMBER(O112),N(O112)&lt;=cfg_VAL_M),G112,0),MAX(0,MIN(F112,cfg_VAL_DATE)-MAX(E112,cfg_Y_START)+1)))</f>
        <v>0</v>
      </c>
      <c r="V112" s="65" t="n">
        <f aca="false">IF(OR($B112="",$E112="",$F112=""),0,MAX(0,MIN($F112,EOMONTH(DATE(cfg_FY,1,1),0))-MAX($E112,DATE(cfg_FY,1,1))+1)*(1-IF($M112="نعم",0,N($J112))))</f>
        <v>0</v>
      </c>
      <c r="W112" s="65" t="n">
        <f aca="false">IF(OR($B112="",$E112="",$F112=""),0,MAX(0,MIN($F112,EOMONTH(DATE(cfg_FY,2,1),0))-MAX($E112,DATE(cfg_FY,2,1))+1)*(1-IF($M112="نعم",0,N($J112))))</f>
        <v>0</v>
      </c>
      <c r="X112" s="65" t="n">
        <f aca="false">IF(OR($B112="",$E112="",$F112=""),0,MAX(0,MIN($F112,EOMONTH(DATE(cfg_FY,3,1),0))-MAX($E112,DATE(cfg_FY,3,1))+1)*(1-IF($M112="نعم",0,N($J112))))</f>
        <v>0</v>
      </c>
      <c r="Y112" s="65" t="n">
        <f aca="false">IF(OR($B112="",$E112="",$F112=""),0,MAX(0,MIN($F112,EOMONTH(DATE(cfg_FY,4,1),0))-MAX($E112,DATE(cfg_FY,4,1))+1)*(1-IF($M112="نعم",0,N($J112))))</f>
        <v>0</v>
      </c>
      <c r="Z112" s="65" t="n">
        <f aca="false">IF(OR($B112="",$E112="",$F112=""),0,MAX(0,MIN($F112,EOMONTH(DATE(cfg_FY,5,1),0))-MAX($E112,DATE(cfg_FY,5,1))+1)*(1-IF($M112="نعم",0,N($J112))))</f>
        <v>0</v>
      </c>
      <c r="AA112" s="65" t="n">
        <f aca="false">IF(OR($B112="",$E112="",$F112=""),0,MAX(0,MIN($F112,EOMONTH(DATE(cfg_FY,6,1),0))-MAX($E112,DATE(cfg_FY,6,1))+1)*(1-IF($M112="نعم",0,N($J112))))</f>
        <v>0</v>
      </c>
      <c r="AB112" s="65" t="n">
        <f aca="false">IF(OR($B112="",$E112="",$F112=""),0,MAX(0,MIN($F112,EOMONTH(DATE(cfg_FY,7,1),0))-MAX($E112,DATE(cfg_FY,7,1))+1)*(1-IF($M112="نعم",0,N($J112))))</f>
        <v>0</v>
      </c>
      <c r="AC112" s="65" t="n">
        <f aca="false">IF(OR($B112="",$E112="",$F112=""),0,MAX(0,MIN($F112,EOMONTH(DATE(cfg_FY,8,1),0))-MAX($E112,DATE(cfg_FY,8,1))+1)*(1-IF($M112="نعم",0,N($J112))))</f>
        <v>0</v>
      </c>
      <c r="AD112" s="65" t="n">
        <f aca="false">IF(OR($B112="",$E112="",$F112=""),0,MAX(0,MIN($F112,EOMONTH(DATE(cfg_FY,9,1),0))-MAX($E112,DATE(cfg_FY,9,1))+1)*(1-IF($M112="نعم",0,N($J112))))</f>
        <v>0</v>
      </c>
      <c r="AE112" s="65" t="n">
        <f aca="false">IF(OR($B112="",$E112="",$F112=""),0,MAX(0,MIN($F112,EOMONTH(DATE(cfg_FY,10,1),0))-MAX($E112,DATE(cfg_FY,10,1))+1)*(1-IF($M112="نعم",0,N($J112))))</f>
        <v>0</v>
      </c>
      <c r="AF112" s="65" t="n">
        <f aca="false">IF(OR($B112="",$E112="",$F112=""),0,MAX(0,MIN($F112,EOMONTH(DATE(cfg_FY,11,1),0))-MAX($E112,DATE(cfg_FY,11,1))+1)*(1-IF($M112="نعم",0,N($J112))))</f>
        <v>0</v>
      </c>
      <c r="AG112" s="65" t="n">
        <f aca="false">IF(OR($B112="",$E112="",$F112=""),0,MAX(0,MIN($F112,EOMONTH(DATE(cfg_FY,12,1),0))-MAX($E112,DATE(cfg_FY,12,1))+1)*(1-IF($M112="نعم",0,N($J112))))</f>
        <v>0</v>
      </c>
      <c r="AH112" s="65" t="n">
        <f aca="false">IF(OR(OR($B112="",$E112="",$F112=""),$L112&lt;&gt;"لا"),0,MAX(0,MIN($F112,EOMONTH(DATE(cfg_FY,1,1),0))-$E112+1))</f>
        <v>0</v>
      </c>
      <c r="AI112" s="65" t="n">
        <f aca="false">IF(OR(OR($B112="",$E112="",$F112=""),$L112&lt;&gt;"لا"),0,MAX(0,MIN($F112,EOMONTH(DATE(cfg_FY,2,1),0))-$E112+1))</f>
        <v>0</v>
      </c>
      <c r="AJ112" s="65" t="n">
        <f aca="false">IF(OR(OR($B112="",$E112="",$F112=""),$L112&lt;&gt;"لا"),0,MAX(0,MIN($F112,EOMONTH(DATE(cfg_FY,3,1),0))-$E112+1))</f>
        <v>0</v>
      </c>
      <c r="AK112" s="65" t="n">
        <f aca="false">IF(OR(OR($B112="",$E112="",$F112=""),$L112&lt;&gt;"لا"),0,MAX(0,MIN($F112,EOMONTH(DATE(cfg_FY,4,1),0))-$E112+1))</f>
        <v>0</v>
      </c>
      <c r="AL112" s="65" t="n">
        <f aca="false">IF(OR(OR($B112="",$E112="",$F112=""),$L112&lt;&gt;"لا"),0,MAX(0,MIN($F112,EOMONTH(DATE(cfg_FY,5,1),0))-$E112+1))</f>
        <v>0</v>
      </c>
      <c r="AM112" s="65" t="n">
        <f aca="false">IF(OR(OR($B112="",$E112="",$F112=""),$L112&lt;&gt;"لا"),0,MAX(0,MIN($F112,EOMONTH(DATE(cfg_FY,6,1),0))-$E112+1))</f>
        <v>0</v>
      </c>
      <c r="AN112" s="65" t="n">
        <f aca="false">IF(OR(OR($B112="",$E112="",$F112=""),$L112&lt;&gt;"لا"),0,MAX(0,MIN($F112,EOMONTH(DATE(cfg_FY,7,1),0))-$E112+1))</f>
        <v>0</v>
      </c>
      <c r="AO112" s="65" t="n">
        <f aca="false">IF(OR(OR($B112="",$E112="",$F112=""),$L112&lt;&gt;"لا"),0,MAX(0,MIN($F112,EOMONTH(DATE(cfg_FY,8,1),0))-$E112+1))</f>
        <v>0</v>
      </c>
      <c r="AP112" s="65" t="n">
        <f aca="false">IF(OR(OR($B112="",$E112="",$F112=""),$L112&lt;&gt;"لا"),0,MAX(0,MIN($F112,EOMONTH(DATE(cfg_FY,9,1),0))-$E112+1))</f>
        <v>0</v>
      </c>
      <c r="AQ112" s="65" t="n">
        <f aca="false">IF(OR(OR($B112="",$E112="",$F112=""),$L112&lt;&gt;"لا"),0,MAX(0,MIN($F112,EOMONTH(DATE(cfg_FY,10,1),0))-$E112+1))</f>
        <v>0</v>
      </c>
      <c r="AR112" s="65" t="n">
        <f aca="false">IF(OR(OR($B112="",$E112="",$F112=""),$L112&lt;&gt;"لا"),0,MAX(0,MIN($F112,EOMONTH(DATE(cfg_FY,11,1),0))-$E112+1))</f>
        <v>0</v>
      </c>
      <c r="AS112" s="65" t="n">
        <f aca="false">IF(OR(OR($B112="",$E112="",$F112=""),$L112&lt;&gt;"لا"),0,MAX(0,MIN($F112,EOMONTH(DATE(cfg_FY,12,1),0))-$E112+1))</f>
        <v>0</v>
      </c>
      <c r="AT112" s="65" t="n">
        <f aca="false">IF(OR(OR($B112="",$E112="",$F112=""),$K112&lt;&gt;"نعم",$M112="نعم"),0,MAX(0,MIN($F112,EOMONTH(DATE(cfg_FY,1,1),0))-MAX($E112,DATE(cfg_FY,1,1))+1))</f>
        <v>0</v>
      </c>
      <c r="AU112" s="65" t="n">
        <f aca="false">IF(OR(OR($B112="",$E112="",$F112=""),$K112&lt;&gt;"نعم",$M112="نعم"),0,MAX(0,MIN($F112,EOMONTH(DATE(cfg_FY,2,1),0))-MAX($E112,DATE(cfg_FY,2,1))+1))</f>
        <v>0</v>
      </c>
      <c r="AV112" s="65" t="n">
        <f aca="false">IF(OR(OR($B112="",$E112="",$F112=""),$K112&lt;&gt;"نعم",$M112="نعم"),0,MAX(0,MIN($F112,EOMONTH(DATE(cfg_FY,3,1),0))-MAX($E112,DATE(cfg_FY,3,1))+1))</f>
        <v>0</v>
      </c>
      <c r="AW112" s="65" t="n">
        <f aca="false">IF(OR(OR($B112="",$E112="",$F112=""),$K112&lt;&gt;"نعم",$M112="نعم"),0,MAX(0,MIN($F112,EOMONTH(DATE(cfg_FY,4,1),0))-MAX($E112,DATE(cfg_FY,4,1))+1))</f>
        <v>0</v>
      </c>
      <c r="AX112" s="65" t="n">
        <f aca="false">IF(OR(OR($B112="",$E112="",$F112=""),$K112&lt;&gt;"نعم",$M112="نعم"),0,MAX(0,MIN($F112,EOMONTH(DATE(cfg_FY,5,1),0))-MAX($E112,DATE(cfg_FY,5,1))+1))</f>
        <v>0</v>
      </c>
      <c r="AY112" s="65" t="n">
        <f aca="false">IF(OR(OR($B112="",$E112="",$F112=""),$K112&lt;&gt;"نعم",$M112="نعم"),0,MAX(0,MIN($F112,EOMONTH(DATE(cfg_FY,6,1),0))-MAX($E112,DATE(cfg_FY,6,1))+1))</f>
        <v>0</v>
      </c>
      <c r="AZ112" s="65" t="n">
        <f aca="false">IF(OR(OR($B112="",$E112="",$F112=""),$K112&lt;&gt;"نعم",$M112="نعم"),0,MAX(0,MIN($F112,EOMONTH(DATE(cfg_FY,7,1),0))-MAX($E112,DATE(cfg_FY,7,1))+1))</f>
        <v>0</v>
      </c>
      <c r="BA112" s="65" t="n">
        <f aca="false">IF(OR(OR($B112="",$E112="",$F112=""),$K112&lt;&gt;"نعم",$M112="نعم"),0,MAX(0,MIN($F112,EOMONTH(DATE(cfg_FY,8,1),0))-MAX($E112,DATE(cfg_FY,8,1))+1))</f>
        <v>0</v>
      </c>
      <c r="BB112" s="65" t="n">
        <f aca="false">IF(OR(OR($B112="",$E112="",$F112=""),$K112&lt;&gt;"نعم",$M112="نعم"),0,MAX(0,MIN($F112,EOMONTH(DATE(cfg_FY,9,1),0))-MAX($E112,DATE(cfg_FY,9,1))+1))</f>
        <v>0</v>
      </c>
      <c r="BC112" s="65" t="n">
        <f aca="false">IF(OR(OR($B112="",$E112="",$F112=""),$K112&lt;&gt;"نعم",$M112="نعم"),0,MAX(0,MIN($F112,EOMONTH(DATE(cfg_FY,10,1),0))-MAX($E112,DATE(cfg_FY,10,1))+1))</f>
        <v>0</v>
      </c>
      <c r="BD112" s="65" t="n">
        <f aca="false">IF(OR(OR($B112="",$E112="",$F112=""),$K112&lt;&gt;"نعم",$M112="نعم"),0,MAX(0,MIN($F112,EOMONTH(DATE(cfg_FY,11,1),0))-MAX($E112,DATE(cfg_FY,11,1))+1))</f>
        <v>0</v>
      </c>
      <c r="BE112" s="65" t="n">
        <f aca="false">IF(OR(OR($B112="",$E112="",$F112=""),$K112&lt;&gt;"نعم",$M112="نعم"),0,MAX(0,MIN($F112,EOMONTH(DATE(cfg_FY,12,1),0))-MAX($E112,DATE(cfg_FY,12,1))+1))</f>
        <v>0</v>
      </c>
    </row>
    <row r="113" customFormat="false" ht="15" hidden="false" customHeight="false" outlineLevel="0" collapsed="false">
      <c r="A113" s="115" t="str">
        <f aca="false">IF(B113="","",ROW()-5)</f>
        <v/>
      </c>
      <c r="B113" s="118"/>
      <c r="C113" s="117" t="str">
        <f aca="false">IF(B113="","",IFERROR(INDEX(الموظفون!$C$6:$C$105,MATCH(B113,الموظفون!$B$6:$B$105,0)),"✖ رقم غير موجود"))</f>
        <v/>
      </c>
      <c r="D113" s="118"/>
      <c r="E113" s="119"/>
      <c r="F113" s="119"/>
      <c r="G113" s="133" t="str">
        <f aca="false">IF(OR($B113="",$E113="",$F113=""),"",MAX(0,F113-E113+1))</f>
        <v/>
      </c>
      <c r="H113" s="134" t="str">
        <f aca="false">IF(D113="","",IFERROR(VLOOKUP(D113,cfg_LT,2,FALSE()),1))</f>
        <v/>
      </c>
      <c r="I113" s="135"/>
      <c r="J113" s="134" t="str">
        <f aca="false">IF(D113="","",IF(I113&lt;&gt;"",I113,H113))</f>
        <v/>
      </c>
      <c r="K113" s="117" t="str">
        <f aca="false">IF(D113="","",IFERROR(VLOOKUP($D113,cfg_LT,3,FALSE()),""))</f>
        <v/>
      </c>
      <c r="L113" s="117" t="str">
        <f aca="false">IF(D113="","",IFERROR(VLOOKUP($D113,cfg_LT,4,FALSE()),""))</f>
        <v/>
      </c>
      <c r="M113" s="117" t="str">
        <f aca="false">IF(D113="","",IFERROR(VLOOKUP($D113,cfg_LT,5,FALSE()),""))</f>
        <v/>
      </c>
      <c r="N113" s="116" t="n">
        <f aca="false">IF(OR(OR($B113="",$E113="",$F113=""),M113&lt;&gt;"نعم"),0,G113*J113*IFERROR(INDEX(الموظفون!$R$6:$R$105,MATCH(B113,الموظفون!$B$6:$B$105,0)),0)/cfg_DAYS_M)</f>
        <v>0</v>
      </c>
      <c r="O113" s="115" t="str">
        <f aca="false">IF(OR(OR($B113="",$E113="",$F113=""),M113&lt;&gt;"نعم"),"",IF(YEAR(E113)=cfg_FY,MONTH(E113),""))</f>
        <v/>
      </c>
      <c r="P113" s="117" t="str">
        <f aca="false">IF(B113="","",IF(OR(D113="",E113="",F113=""),"⚠ أكمل النوع والتواريخ",IF(F113&lt;E113,"✖ النهاية قبل البداية",IF(COUNTIFS($B$6:$B$505,B113,$E$6:$E$505,"&lt;="&amp;F113,$F$6:$F$505,"&gt;="&amp;E113)&gt;1,"⚠ تداخل مع سجل آخر",IF(E113&gt;cfg_VAL_DATE,"⏳ قادمة",IF(F113&lt;cfg_VAL_DATE,"✔ منتهية","✈ جارية في تاريخ التقرير"))))))</f>
        <v/>
      </c>
      <c r="Q113" s="118"/>
      <c r="R113" s="133" t="n">
        <f aca="false">IF(OR(OR($B113="",$E113="",$F113=""),L113&lt;&gt;"لا"),0,MAX(0,MIN(F113,cfg_Y_START-1)-E113+1))</f>
        <v>0</v>
      </c>
      <c r="S113" s="133" t="n">
        <f aca="false">IF(OR(OR($B113="",$E113="",$F113=""),L113&lt;&gt;"لا"),0,MAX(0,MIN(F113,cfg_VAL_DATE)-E113+1))</f>
        <v>0</v>
      </c>
      <c r="T113" s="133" t="n">
        <f aca="false">IF(OR(OR($B113="",$E113="",$F113=""),K113&lt;&gt;"نعم"),0,IF(M113="نعم",IF(AND(ISNUMBER(O113),N(O113)&lt;=cfg_VAL_M),G113,0),MAX(0,MIN(F113,cfg_VAL_DATE)-MAX(E113,cfg_Y_START)+1)))</f>
        <v>0</v>
      </c>
      <c r="V113" s="133" t="n">
        <f aca="false">IF(OR($B113="",$E113="",$F113=""),0,MAX(0,MIN($F113,EOMONTH(DATE(cfg_FY,1,1),0))-MAX($E113,DATE(cfg_FY,1,1))+1)*(1-IF($M113="نعم",0,N($J113))))</f>
        <v>0</v>
      </c>
      <c r="W113" s="133" t="n">
        <f aca="false">IF(OR($B113="",$E113="",$F113=""),0,MAX(0,MIN($F113,EOMONTH(DATE(cfg_FY,2,1),0))-MAX($E113,DATE(cfg_FY,2,1))+1)*(1-IF($M113="نعم",0,N($J113))))</f>
        <v>0</v>
      </c>
      <c r="X113" s="133" t="n">
        <f aca="false">IF(OR($B113="",$E113="",$F113=""),0,MAX(0,MIN($F113,EOMONTH(DATE(cfg_FY,3,1),0))-MAX($E113,DATE(cfg_FY,3,1))+1)*(1-IF($M113="نعم",0,N($J113))))</f>
        <v>0</v>
      </c>
      <c r="Y113" s="133" t="n">
        <f aca="false">IF(OR($B113="",$E113="",$F113=""),0,MAX(0,MIN($F113,EOMONTH(DATE(cfg_FY,4,1),0))-MAX($E113,DATE(cfg_FY,4,1))+1)*(1-IF($M113="نعم",0,N($J113))))</f>
        <v>0</v>
      </c>
      <c r="Z113" s="133" t="n">
        <f aca="false">IF(OR($B113="",$E113="",$F113=""),0,MAX(0,MIN($F113,EOMONTH(DATE(cfg_FY,5,1),0))-MAX($E113,DATE(cfg_FY,5,1))+1)*(1-IF($M113="نعم",0,N($J113))))</f>
        <v>0</v>
      </c>
      <c r="AA113" s="133" t="n">
        <f aca="false">IF(OR($B113="",$E113="",$F113=""),0,MAX(0,MIN($F113,EOMONTH(DATE(cfg_FY,6,1),0))-MAX($E113,DATE(cfg_FY,6,1))+1)*(1-IF($M113="نعم",0,N($J113))))</f>
        <v>0</v>
      </c>
      <c r="AB113" s="133" t="n">
        <f aca="false">IF(OR($B113="",$E113="",$F113=""),0,MAX(0,MIN($F113,EOMONTH(DATE(cfg_FY,7,1),0))-MAX($E113,DATE(cfg_FY,7,1))+1)*(1-IF($M113="نعم",0,N($J113))))</f>
        <v>0</v>
      </c>
      <c r="AC113" s="133" t="n">
        <f aca="false">IF(OR($B113="",$E113="",$F113=""),0,MAX(0,MIN($F113,EOMONTH(DATE(cfg_FY,8,1),0))-MAX($E113,DATE(cfg_FY,8,1))+1)*(1-IF($M113="نعم",0,N($J113))))</f>
        <v>0</v>
      </c>
      <c r="AD113" s="133" t="n">
        <f aca="false">IF(OR($B113="",$E113="",$F113=""),0,MAX(0,MIN($F113,EOMONTH(DATE(cfg_FY,9,1),0))-MAX($E113,DATE(cfg_FY,9,1))+1)*(1-IF($M113="نعم",0,N($J113))))</f>
        <v>0</v>
      </c>
      <c r="AE113" s="133" t="n">
        <f aca="false">IF(OR($B113="",$E113="",$F113=""),0,MAX(0,MIN($F113,EOMONTH(DATE(cfg_FY,10,1),0))-MAX($E113,DATE(cfg_FY,10,1))+1)*(1-IF($M113="نعم",0,N($J113))))</f>
        <v>0</v>
      </c>
      <c r="AF113" s="133" t="n">
        <f aca="false">IF(OR($B113="",$E113="",$F113=""),0,MAX(0,MIN($F113,EOMONTH(DATE(cfg_FY,11,1),0))-MAX($E113,DATE(cfg_FY,11,1))+1)*(1-IF($M113="نعم",0,N($J113))))</f>
        <v>0</v>
      </c>
      <c r="AG113" s="133" t="n">
        <f aca="false">IF(OR($B113="",$E113="",$F113=""),0,MAX(0,MIN($F113,EOMONTH(DATE(cfg_FY,12,1),0))-MAX($E113,DATE(cfg_FY,12,1))+1)*(1-IF($M113="نعم",0,N($J113))))</f>
        <v>0</v>
      </c>
      <c r="AH113" s="133" t="n">
        <f aca="false">IF(OR(OR($B113="",$E113="",$F113=""),$L113&lt;&gt;"لا"),0,MAX(0,MIN($F113,EOMONTH(DATE(cfg_FY,1,1),0))-$E113+1))</f>
        <v>0</v>
      </c>
      <c r="AI113" s="133" t="n">
        <f aca="false">IF(OR(OR($B113="",$E113="",$F113=""),$L113&lt;&gt;"لا"),0,MAX(0,MIN($F113,EOMONTH(DATE(cfg_FY,2,1),0))-$E113+1))</f>
        <v>0</v>
      </c>
      <c r="AJ113" s="133" t="n">
        <f aca="false">IF(OR(OR($B113="",$E113="",$F113=""),$L113&lt;&gt;"لا"),0,MAX(0,MIN($F113,EOMONTH(DATE(cfg_FY,3,1),0))-$E113+1))</f>
        <v>0</v>
      </c>
      <c r="AK113" s="133" t="n">
        <f aca="false">IF(OR(OR($B113="",$E113="",$F113=""),$L113&lt;&gt;"لا"),0,MAX(0,MIN($F113,EOMONTH(DATE(cfg_FY,4,1),0))-$E113+1))</f>
        <v>0</v>
      </c>
      <c r="AL113" s="133" t="n">
        <f aca="false">IF(OR(OR($B113="",$E113="",$F113=""),$L113&lt;&gt;"لا"),0,MAX(0,MIN($F113,EOMONTH(DATE(cfg_FY,5,1),0))-$E113+1))</f>
        <v>0</v>
      </c>
      <c r="AM113" s="133" t="n">
        <f aca="false">IF(OR(OR($B113="",$E113="",$F113=""),$L113&lt;&gt;"لا"),0,MAX(0,MIN($F113,EOMONTH(DATE(cfg_FY,6,1),0))-$E113+1))</f>
        <v>0</v>
      </c>
      <c r="AN113" s="133" t="n">
        <f aca="false">IF(OR(OR($B113="",$E113="",$F113=""),$L113&lt;&gt;"لا"),0,MAX(0,MIN($F113,EOMONTH(DATE(cfg_FY,7,1),0))-$E113+1))</f>
        <v>0</v>
      </c>
      <c r="AO113" s="133" t="n">
        <f aca="false">IF(OR(OR($B113="",$E113="",$F113=""),$L113&lt;&gt;"لا"),0,MAX(0,MIN($F113,EOMONTH(DATE(cfg_FY,8,1),0))-$E113+1))</f>
        <v>0</v>
      </c>
      <c r="AP113" s="133" t="n">
        <f aca="false">IF(OR(OR($B113="",$E113="",$F113=""),$L113&lt;&gt;"لا"),0,MAX(0,MIN($F113,EOMONTH(DATE(cfg_FY,9,1),0))-$E113+1))</f>
        <v>0</v>
      </c>
      <c r="AQ113" s="133" t="n">
        <f aca="false">IF(OR(OR($B113="",$E113="",$F113=""),$L113&lt;&gt;"لا"),0,MAX(0,MIN($F113,EOMONTH(DATE(cfg_FY,10,1),0))-$E113+1))</f>
        <v>0</v>
      </c>
      <c r="AR113" s="133" t="n">
        <f aca="false">IF(OR(OR($B113="",$E113="",$F113=""),$L113&lt;&gt;"لا"),0,MAX(0,MIN($F113,EOMONTH(DATE(cfg_FY,11,1),0))-$E113+1))</f>
        <v>0</v>
      </c>
      <c r="AS113" s="133" t="n">
        <f aca="false">IF(OR(OR($B113="",$E113="",$F113=""),$L113&lt;&gt;"لا"),0,MAX(0,MIN($F113,EOMONTH(DATE(cfg_FY,12,1),0))-$E113+1))</f>
        <v>0</v>
      </c>
      <c r="AT113" s="133" t="n">
        <f aca="false">IF(OR(OR($B113="",$E113="",$F113=""),$K113&lt;&gt;"نعم",$M113="نعم"),0,MAX(0,MIN($F113,EOMONTH(DATE(cfg_FY,1,1),0))-MAX($E113,DATE(cfg_FY,1,1))+1))</f>
        <v>0</v>
      </c>
      <c r="AU113" s="133" t="n">
        <f aca="false">IF(OR(OR($B113="",$E113="",$F113=""),$K113&lt;&gt;"نعم",$M113="نعم"),0,MAX(0,MIN($F113,EOMONTH(DATE(cfg_FY,2,1),0))-MAX($E113,DATE(cfg_FY,2,1))+1))</f>
        <v>0</v>
      </c>
      <c r="AV113" s="133" t="n">
        <f aca="false">IF(OR(OR($B113="",$E113="",$F113=""),$K113&lt;&gt;"نعم",$M113="نعم"),0,MAX(0,MIN($F113,EOMONTH(DATE(cfg_FY,3,1),0))-MAX($E113,DATE(cfg_FY,3,1))+1))</f>
        <v>0</v>
      </c>
      <c r="AW113" s="133" t="n">
        <f aca="false">IF(OR(OR($B113="",$E113="",$F113=""),$K113&lt;&gt;"نعم",$M113="نعم"),0,MAX(0,MIN($F113,EOMONTH(DATE(cfg_FY,4,1),0))-MAX($E113,DATE(cfg_FY,4,1))+1))</f>
        <v>0</v>
      </c>
      <c r="AX113" s="133" t="n">
        <f aca="false">IF(OR(OR($B113="",$E113="",$F113=""),$K113&lt;&gt;"نعم",$M113="نعم"),0,MAX(0,MIN($F113,EOMONTH(DATE(cfg_FY,5,1),0))-MAX($E113,DATE(cfg_FY,5,1))+1))</f>
        <v>0</v>
      </c>
      <c r="AY113" s="133" t="n">
        <f aca="false">IF(OR(OR($B113="",$E113="",$F113=""),$K113&lt;&gt;"نعم",$M113="نعم"),0,MAX(0,MIN($F113,EOMONTH(DATE(cfg_FY,6,1),0))-MAX($E113,DATE(cfg_FY,6,1))+1))</f>
        <v>0</v>
      </c>
      <c r="AZ113" s="133" t="n">
        <f aca="false">IF(OR(OR($B113="",$E113="",$F113=""),$K113&lt;&gt;"نعم",$M113="نعم"),0,MAX(0,MIN($F113,EOMONTH(DATE(cfg_FY,7,1),0))-MAX($E113,DATE(cfg_FY,7,1))+1))</f>
        <v>0</v>
      </c>
      <c r="BA113" s="133" t="n">
        <f aca="false">IF(OR(OR($B113="",$E113="",$F113=""),$K113&lt;&gt;"نعم",$M113="نعم"),0,MAX(0,MIN($F113,EOMONTH(DATE(cfg_FY,8,1),0))-MAX($E113,DATE(cfg_FY,8,1))+1))</f>
        <v>0</v>
      </c>
      <c r="BB113" s="133" t="n">
        <f aca="false">IF(OR(OR($B113="",$E113="",$F113=""),$K113&lt;&gt;"نعم",$M113="نعم"),0,MAX(0,MIN($F113,EOMONTH(DATE(cfg_FY,9,1),0))-MAX($E113,DATE(cfg_FY,9,1))+1))</f>
        <v>0</v>
      </c>
      <c r="BC113" s="133" t="n">
        <f aca="false">IF(OR(OR($B113="",$E113="",$F113=""),$K113&lt;&gt;"نعم",$M113="نعم"),0,MAX(0,MIN($F113,EOMONTH(DATE(cfg_FY,10,1),0))-MAX($E113,DATE(cfg_FY,10,1))+1))</f>
        <v>0</v>
      </c>
      <c r="BD113" s="133" t="n">
        <f aca="false">IF(OR(OR($B113="",$E113="",$F113=""),$K113&lt;&gt;"نعم",$M113="نعم"),0,MAX(0,MIN($F113,EOMONTH(DATE(cfg_FY,11,1),0))-MAX($E113,DATE(cfg_FY,11,1))+1))</f>
        <v>0</v>
      </c>
      <c r="BE113" s="133" t="n">
        <f aca="false">IF(OR(OR($B113="",$E113="",$F113=""),$K113&lt;&gt;"نعم",$M113="نعم"),0,MAX(0,MIN($F113,EOMONTH(DATE(cfg_FY,12,1),0))-MAX($E113,DATE(cfg_FY,12,1))+1))</f>
        <v>0</v>
      </c>
    </row>
    <row r="114" customFormat="false" ht="15" hidden="false" customHeight="false" outlineLevel="0" collapsed="false">
      <c r="A114" s="106" t="str">
        <f aca="false">IF(B114="","",ROW()-5)</f>
        <v/>
      </c>
      <c r="B114" s="118"/>
      <c r="C114" s="114" t="str">
        <f aca="false">IF(B114="","",IFERROR(INDEX(الموظفون!$C$6:$C$105,MATCH(B114,الموظفون!$B$6:$B$105,0)),"✖ رقم غير موجود"))</f>
        <v/>
      </c>
      <c r="D114" s="118"/>
      <c r="E114" s="119"/>
      <c r="F114" s="119"/>
      <c r="G114" s="65" t="str">
        <f aca="false">IF(OR($B114="",$E114="",$F114=""),"",MAX(0,F114-E114+1))</f>
        <v/>
      </c>
      <c r="H114" s="66" t="str">
        <f aca="false">IF(D114="","",IFERROR(VLOOKUP(D114,cfg_LT,2,FALSE()),1))</f>
        <v/>
      </c>
      <c r="I114" s="135"/>
      <c r="J114" s="66" t="str">
        <f aca="false">IF(D114="","",IF(I114&lt;&gt;"",I114,H114))</f>
        <v/>
      </c>
      <c r="K114" s="114" t="str">
        <f aca="false">IF(D114="","",IFERROR(VLOOKUP($D114,cfg_LT,3,FALSE()),""))</f>
        <v/>
      </c>
      <c r="L114" s="114" t="str">
        <f aca="false">IF(D114="","",IFERROR(VLOOKUP($D114,cfg_LT,4,FALSE()),""))</f>
        <v/>
      </c>
      <c r="M114" s="114" t="str">
        <f aca="false">IF(D114="","",IFERROR(VLOOKUP($D114,cfg_LT,5,FALSE()),""))</f>
        <v/>
      </c>
      <c r="N114" s="111" t="n">
        <f aca="false">IF(OR(OR($B114="",$E114="",$F114=""),M114&lt;&gt;"نعم"),0,G114*J114*IFERROR(INDEX(الموظفون!$R$6:$R$105,MATCH(B114,الموظفون!$B$6:$B$105,0)),0)/cfg_DAYS_M)</f>
        <v>0</v>
      </c>
      <c r="O114" s="106" t="str">
        <f aca="false">IF(OR(OR($B114="",$E114="",$F114=""),M114&lt;&gt;"نعم"),"",IF(YEAR(E114)=cfg_FY,MONTH(E114),""))</f>
        <v/>
      </c>
      <c r="P114" s="114" t="str">
        <f aca="false">IF(B114="","",IF(OR(D114="",E114="",F114=""),"⚠ أكمل النوع والتواريخ",IF(F114&lt;E114,"✖ النهاية قبل البداية",IF(COUNTIFS($B$6:$B$505,B114,$E$6:$E$505,"&lt;="&amp;F114,$F$6:$F$505,"&gt;="&amp;E114)&gt;1,"⚠ تداخل مع سجل آخر",IF(E114&gt;cfg_VAL_DATE,"⏳ قادمة",IF(F114&lt;cfg_VAL_DATE,"✔ منتهية","✈ جارية في تاريخ التقرير"))))))</f>
        <v/>
      </c>
      <c r="Q114" s="118"/>
      <c r="R114" s="65" t="n">
        <f aca="false">IF(OR(OR($B114="",$E114="",$F114=""),L114&lt;&gt;"لا"),0,MAX(0,MIN(F114,cfg_Y_START-1)-E114+1))</f>
        <v>0</v>
      </c>
      <c r="S114" s="65" t="n">
        <f aca="false">IF(OR(OR($B114="",$E114="",$F114=""),L114&lt;&gt;"لا"),0,MAX(0,MIN(F114,cfg_VAL_DATE)-E114+1))</f>
        <v>0</v>
      </c>
      <c r="T114" s="65" t="n">
        <f aca="false">IF(OR(OR($B114="",$E114="",$F114=""),K114&lt;&gt;"نعم"),0,IF(M114="نعم",IF(AND(ISNUMBER(O114),N(O114)&lt;=cfg_VAL_M),G114,0),MAX(0,MIN(F114,cfg_VAL_DATE)-MAX(E114,cfg_Y_START)+1)))</f>
        <v>0</v>
      </c>
      <c r="V114" s="65" t="n">
        <f aca="false">IF(OR($B114="",$E114="",$F114=""),0,MAX(0,MIN($F114,EOMONTH(DATE(cfg_FY,1,1),0))-MAX($E114,DATE(cfg_FY,1,1))+1)*(1-IF($M114="نعم",0,N($J114))))</f>
        <v>0</v>
      </c>
      <c r="W114" s="65" t="n">
        <f aca="false">IF(OR($B114="",$E114="",$F114=""),0,MAX(0,MIN($F114,EOMONTH(DATE(cfg_FY,2,1),0))-MAX($E114,DATE(cfg_FY,2,1))+1)*(1-IF($M114="نعم",0,N($J114))))</f>
        <v>0</v>
      </c>
      <c r="X114" s="65" t="n">
        <f aca="false">IF(OR($B114="",$E114="",$F114=""),0,MAX(0,MIN($F114,EOMONTH(DATE(cfg_FY,3,1),0))-MAX($E114,DATE(cfg_FY,3,1))+1)*(1-IF($M114="نعم",0,N($J114))))</f>
        <v>0</v>
      </c>
      <c r="Y114" s="65" t="n">
        <f aca="false">IF(OR($B114="",$E114="",$F114=""),0,MAX(0,MIN($F114,EOMONTH(DATE(cfg_FY,4,1),0))-MAX($E114,DATE(cfg_FY,4,1))+1)*(1-IF($M114="نعم",0,N($J114))))</f>
        <v>0</v>
      </c>
      <c r="Z114" s="65" t="n">
        <f aca="false">IF(OR($B114="",$E114="",$F114=""),0,MAX(0,MIN($F114,EOMONTH(DATE(cfg_FY,5,1),0))-MAX($E114,DATE(cfg_FY,5,1))+1)*(1-IF($M114="نعم",0,N($J114))))</f>
        <v>0</v>
      </c>
      <c r="AA114" s="65" t="n">
        <f aca="false">IF(OR($B114="",$E114="",$F114=""),0,MAX(0,MIN($F114,EOMONTH(DATE(cfg_FY,6,1),0))-MAX($E114,DATE(cfg_FY,6,1))+1)*(1-IF($M114="نعم",0,N($J114))))</f>
        <v>0</v>
      </c>
      <c r="AB114" s="65" t="n">
        <f aca="false">IF(OR($B114="",$E114="",$F114=""),0,MAX(0,MIN($F114,EOMONTH(DATE(cfg_FY,7,1),0))-MAX($E114,DATE(cfg_FY,7,1))+1)*(1-IF($M114="نعم",0,N($J114))))</f>
        <v>0</v>
      </c>
      <c r="AC114" s="65" t="n">
        <f aca="false">IF(OR($B114="",$E114="",$F114=""),0,MAX(0,MIN($F114,EOMONTH(DATE(cfg_FY,8,1),0))-MAX($E114,DATE(cfg_FY,8,1))+1)*(1-IF($M114="نعم",0,N($J114))))</f>
        <v>0</v>
      </c>
      <c r="AD114" s="65" t="n">
        <f aca="false">IF(OR($B114="",$E114="",$F114=""),0,MAX(0,MIN($F114,EOMONTH(DATE(cfg_FY,9,1),0))-MAX($E114,DATE(cfg_FY,9,1))+1)*(1-IF($M114="نعم",0,N($J114))))</f>
        <v>0</v>
      </c>
      <c r="AE114" s="65" t="n">
        <f aca="false">IF(OR($B114="",$E114="",$F114=""),0,MAX(0,MIN($F114,EOMONTH(DATE(cfg_FY,10,1),0))-MAX($E114,DATE(cfg_FY,10,1))+1)*(1-IF($M114="نعم",0,N($J114))))</f>
        <v>0</v>
      </c>
      <c r="AF114" s="65" t="n">
        <f aca="false">IF(OR($B114="",$E114="",$F114=""),0,MAX(0,MIN($F114,EOMONTH(DATE(cfg_FY,11,1),0))-MAX($E114,DATE(cfg_FY,11,1))+1)*(1-IF($M114="نعم",0,N($J114))))</f>
        <v>0</v>
      </c>
      <c r="AG114" s="65" t="n">
        <f aca="false">IF(OR($B114="",$E114="",$F114=""),0,MAX(0,MIN($F114,EOMONTH(DATE(cfg_FY,12,1),0))-MAX($E114,DATE(cfg_FY,12,1))+1)*(1-IF($M114="نعم",0,N($J114))))</f>
        <v>0</v>
      </c>
      <c r="AH114" s="65" t="n">
        <f aca="false">IF(OR(OR($B114="",$E114="",$F114=""),$L114&lt;&gt;"لا"),0,MAX(0,MIN($F114,EOMONTH(DATE(cfg_FY,1,1),0))-$E114+1))</f>
        <v>0</v>
      </c>
      <c r="AI114" s="65" t="n">
        <f aca="false">IF(OR(OR($B114="",$E114="",$F114=""),$L114&lt;&gt;"لا"),0,MAX(0,MIN($F114,EOMONTH(DATE(cfg_FY,2,1),0))-$E114+1))</f>
        <v>0</v>
      </c>
      <c r="AJ114" s="65" t="n">
        <f aca="false">IF(OR(OR($B114="",$E114="",$F114=""),$L114&lt;&gt;"لا"),0,MAX(0,MIN($F114,EOMONTH(DATE(cfg_FY,3,1),0))-$E114+1))</f>
        <v>0</v>
      </c>
      <c r="AK114" s="65" t="n">
        <f aca="false">IF(OR(OR($B114="",$E114="",$F114=""),$L114&lt;&gt;"لا"),0,MAX(0,MIN($F114,EOMONTH(DATE(cfg_FY,4,1),0))-$E114+1))</f>
        <v>0</v>
      </c>
      <c r="AL114" s="65" t="n">
        <f aca="false">IF(OR(OR($B114="",$E114="",$F114=""),$L114&lt;&gt;"لا"),0,MAX(0,MIN($F114,EOMONTH(DATE(cfg_FY,5,1),0))-$E114+1))</f>
        <v>0</v>
      </c>
      <c r="AM114" s="65" t="n">
        <f aca="false">IF(OR(OR($B114="",$E114="",$F114=""),$L114&lt;&gt;"لا"),0,MAX(0,MIN($F114,EOMONTH(DATE(cfg_FY,6,1),0))-$E114+1))</f>
        <v>0</v>
      </c>
      <c r="AN114" s="65" t="n">
        <f aca="false">IF(OR(OR($B114="",$E114="",$F114=""),$L114&lt;&gt;"لا"),0,MAX(0,MIN($F114,EOMONTH(DATE(cfg_FY,7,1),0))-$E114+1))</f>
        <v>0</v>
      </c>
      <c r="AO114" s="65" t="n">
        <f aca="false">IF(OR(OR($B114="",$E114="",$F114=""),$L114&lt;&gt;"لا"),0,MAX(0,MIN($F114,EOMONTH(DATE(cfg_FY,8,1),0))-$E114+1))</f>
        <v>0</v>
      </c>
      <c r="AP114" s="65" t="n">
        <f aca="false">IF(OR(OR($B114="",$E114="",$F114=""),$L114&lt;&gt;"لا"),0,MAX(0,MIN($F114,EOMONTH(DATE(cfg_FY,9,1),0))-$E114+1))</f>
        <v>0</v>
      </c>
      <c r="AQ114" s="65" t="n">
        <f aca="false">IF(OR(OR($B114="",$E114="",$F114=""),$L114&lt;&gt;"لا"),0,MAX(0,MIN($F114,EOMONTH(DATE(cfg_FY,10,1),0))-$E114+1))</f>
        <v>0</v>
      </c>
      <c r="AR114" s="65" t="n">
        <f aca="false">IF(OR(OR($B114="",$E114="",$F114=""),$L114&lt;&gt;"لا"),0,MAX(0,MIN($F114,EOMONTH(DATE(cfg_FY,11,1),0))-$E114+1))</f>
        <v>0</v>
      </c>
      <c r="AS114" s="65" t="n">
        <f aca="false">IF(OR(OR($B114="",$E114="",$F114=""),$L114&lt;&gt;"لا"),0,MAX(0,MIN($F114,EOMONTH(DATE(cfg_FY,12,1),0))-$E114+1))</f>
        <v>0</v>
      </c>
      <c r="AT114" s="65" t="n">
        <f aca="false">IF(OR(OR($B114="",$E114="",$F114=""),$K114&lt;&gt;"نعم",$M114="نعم"),0,MAX(0,MIN($F114,EOMONTH(DATE(cfg_FY,1,1),0))-MAX($E114,DATE(cfg_FY,1,1))+1))</f>
        <v>0</v>
      </c>
      <c r="AU114" s="65" t="n">
        <f aca="false">IF(OR(OR($B114="",$E114="",$F114=""),$K114&lt;&gt;"نعم",$M114="نعم"),0,MAX(0,MIN($F114,EOMONTH(DATE(cfg_FY,2,1),0))-MAX($E114,DATE(cfg_FY,2,1))+1))</f>
        <v>0</v>
      </c>
      <c r="AV114" s="65" t="n">
        <f aca="false">IF(OR(OR($B114="",$E114="",$F114=""),$K114&lt;&gt;"نعم",$M114="نعم"),0,MAX(0,MIN($F114,EOMONTH(DATE(cfg_FY,3,1),0))-MAX($E114,DATE(cfg_FY,3,1))+1))</f>
        <v>0</v>
      </c>
      <c r="AW114" s="65" t="n">
        <f aca="false">IF(OR(OR($B114="",$E114="",$F114=""),$K114&lt;&gt;"نعم",$M114="نعم"),0,MAX(0,MIN($F114,EOMONTH(DATE(cfg_FY,4,1),0))-MAX($E114,DATE(cfg_FY,4,1))+1))</f>
        <v>0</v>
      </c>
      <c r="AX114" s="65" t="n">
        <f aca="false">IF(OR(OR($B114="",$E114="",$F114=""),$K114&lt;&gt;"نعم",$M114="نعم"),0,MAX(0,MIN($F114,EOMONTH(DATE(cfg_FY,5,1),0))-MAX($E114,DATE(cfg_FY,5,1))+1))</f>
        <v>0</v>
      </c>
      <c r="AY114" s="65" t="n">
        <f aca="false">IF(OR(OR($B114="",$E114="",$F114=""),$K114&lt;&gt;"نعم",$M114="نعم"),0,MAX(0,MIN($F114,EOMONTH(DATE(cfg_FY,6,1),0))-MAX($E114,DATE(cfg_FY,6,1))+1))</f>
        <v>0</v>
      </c>
      <c r="AZ114" s="65" t="n">
        <f aca="false">IF(OR(OR($B114="",$E114="",$F114=""),$K114&lt;&gt;"نعم",$M114="نعم"),0,MAX(0,MIN($F114,EOMONTH(DATE(cfg_FY,7,1),0))-MAX($E114,DATE(cfg_FY,7,1))+1))</f>
        <v>0</v>
      </c>
      <c r="BA114" s="65" t="n">
        <f aca="false">IF(OR(OR($B114="",$E114="",$F114=""),$K114&lt;&gt;"نعم",$M114="نعم"),0,MAX(0,MIN($F114,EOMONTH(DATE(cfg_FY,8,1),0))-MAX($E114,DATE(cfg_FY,8,1))+1))</f>
        <v>0</v>
      </c>
      <c r="BB114" s="65" t="n">
        <f aca="false">IF(OR(OR($B114="",$E114="",$F114=""),$K114&lt;&gt;"نعم",$M114="نعم"),0,MAX(0,MIN($F114,EOMONTH(DATE(cfg_FY,9,1),0))-MAX($E114,DATE(cfg_FY,9,1))+1))</f>
        <v>0</v>
      </c>
      <c r="BC114" s="65" t="n">
        <f aca="false">IF(OR(OR($B114="",$E114="",$F114=""),$K114&lt;&gt;"نعم",$M114="نعم"),0,MAX(0,MIN($F114,EOMONTH(DATE(cfg_FY,10,1),0))-MAX($E114,DATE(cfg_FY,10,1))+1))</f>
        <v>0</v>
      </c>
      <c r="BD114" s="65" t="n">
        <f aca="false">IF(OR(OR($B114="",$E114="",$F114=""),$K114&lt;&gt;"نعم",$M114="نعم"),0,MAX(0,MIN($F114,EOMONTH(DATE(cfg_FY,11,1),0))-MAX($E114,DATE(cfg_FY,11,1))+1))</f>
        <v>0</v>
      </c>
      <c r="BE114" s="65" t="n">
        <f aca="false">IF(OR(OR($B114="",$E114="",$F114=""),$K114&lt;&gt;"نعم",$M114="نعم"),0,MAX(0,MIN($F114,EOMONTH(DATE(cfg_FY,12,1),0))-MAX($E114,DATE(cfg_FY,12,1))+1))</f>
        <v>0</v>
      </c>
    </row>
    <row r="115" customFormat="false" ht="15" hidden="false" customHeight="false" outlineLevel="0" collapsed="false">
      <c r="A115" s="115" t="str">
        <f aca="false">IF(B115="","",ROW()-5)</f>
        <v/>
      </c>
      <c r="B115" s="118"/>
      <c r="C115" s="117" t="str">
        <f aca="false">IF(B115="","",IFERROR(INDEX(الموظفون!$C$6:$C$105,MATCH(B115,الموظفون!$B$6:$B$105,0)),"✖ رقم غير موجود"))</f>
        <v/>
      </c>
      <c r="D115" s="118"/>
      <c r="E115" s="119"/>
      <c r="F115" s="119"/>
      <c r="G115" s="133" t="str">
        <f aca="false">IF(OR($B115="",$E115="",$F115=""),"",MAX(0,F115-E115+1))</f>
        <v/>
      </c>
      <c r="H115" s="134" t="str">
        <f aca="false">IF(D115="","",IFERROR(VLOOKUP(D115,cfg_LT,2,FALSE()),1))</f>
        <v/>
      </c>
      <c r="I115" s="135"/>
      <c r="J115" s="134" t="str">
        <f aca="false">IF(D115="","",IF(I115&lt;&gt;"",I115,H115))</f>
        <v/>
      </c>
      <c r="K115" s="117" t="str">
        <f aca="false">IF(D115="","",IFERROR(VLOOKUP($D115,cfg_LT,3,FALSE()),""))</f>
        <v/>
      </c>
      <c r="L115" s="117" t="str">
        <f aca="false">IF(D115="","",IFERROR(VLOOKUP($D115,cfg_LT,4,FALSE()),""))</f>
        <v/>
      </c>
      <c r="M115" s="117" t="str">
        <f aca="false">IF(D115="","",IFERROR(VLOOKUP($D115,cfg_LT,5,FALSE()),""))</f>
        <v/>
      </c>
      <c r="N115" s="116" t="n">
        <f aca="false">IF(OR(OR($B115="",$E115="",$F115=""),M115&lt;&gt;"نعم"),0,G115*J115*IFERROR(INDEX(الموظفون!$R$6:$R$105,MATCH(B115,الموظفون!$B$6:$B$105,0)),0)/cfg_DAYS_M)</f>
        <v>0</v>
      </c>
      <c r="O115" s="115" t="str">
        <f aca="false">IF(OR(OR($B115="",$E115="",$F115=""),M115&lt;&gt;"نعم"),"",IF(YEAR(E115)=cfg_FY,MONTH(E115),""))</f>
        <v/>
      </c>
      <c r="P115" s="117" t="str">
        <f aca="false">IF(B115="","",IF(OR(D115="",E115="",F115=""),"⚠ أكمل النوع والتواريخ",IF(F115&lt;E115,"✖ النهاية قبل البداية",IF(COUNTIFS($B$6:$B$505,B115,$E$6:$E$505,"&lt;="&amp;F115,$F$6:$F$505,"&gt;="&amp;E115)&gt;1,"⚠ تداخل مع سجل آخر",IF(E115&gt;cfg_VAL_DATE,"⏳ قادمة",IF(F115&lt;cfg_VAL_DATE,"✔ منتهية","✈ جارية في تاريخ التقرير"))))))</f>
        <v/>
      </c>
      <c r="Q115" s="118"/>
      <c r="R115" s="133" t="n">
        <f aca="false">IF(OR(OR($B115="",$E115="",$F115=""),L115&lt;&gt;"لا"),0,MAX(0,MIN(F115,cfg_Y_START-1)-E115+1))</f>
        <v>0</v>
      </c>
      <c r="S115" s="133" t="n">
        <f aca="false">IF(OR(OR($B115="",$E115="",$F115=""),L115&lt;&gt;"لا"),0,MAX(0,MIN(F115,cfg_VAL_DATE)-E115+1))</f>
        <v>0</v>
      </c>
      <c r="T115" s="133" t="n">
        <f aca="false">IF(OR(OR($B115="",$E115="",$F115=""),K115&lt;&gt;"نعم"),0,IF(M115="نعم",IF(AND(ISNUMBER(O115),N(O115)&lt;=cfg_VAL_M),G115,0),MAX(0,MIN(F115,cfg_VAL_DATE)-MAX(E115,cfg_Y_START)+1)))</f>
        <v>0</v>
      </c>
      <c r="V115" s="133" t="n">
        <f aca="false">IF(OR($B115="",$E115="",$F115=""),0,MAX(0,MIN($F115,EOMONTH(DATE(cfg_FY,1,1),0))-MAX($E115,DATE(cfg_FY,1,1))+1)*(1-IF($M115="نعم",0,N($J115))))</f>
        <v>0</v>
      </c>
      <c r="W115" s="133" t="n">
        <f aca="false">IF(OR($B115="",$E115="",$F115=""),0,MAX(0,MIN($F115,EOMONTH(DATE(cfg_FY,2,1),0))-MAX($E115,DATE(cfg_FY,2,1))+1)*(1-IF($M115="نعم",0,N($J115))))</f>
        <v>0</v>
      </c>
      <c r="X115" s="133" t="n">
        <f aca="false">IF(OR($B115="",$E115="",$F115=""),0,MAX(0,MIN($F115,EOMONTH(DATE(cfg_FY,3,1),0))-MAX($E115,DATE(cfg_FY,3,1))+1)*(1-IF($M115="نعم",0,N($J115))))</f>
        <v>0</v>
      </c>
      <c r="Y115" s="133" t="n">
        <f aca="false">IF(OR($B115="",$E115="",$F115=""),0,MAX(0,MIN($F115,EOMONTH(DATE(cfg_FY,4,1),0))-MAX($E115,DATE(cfg_FY,4,1))+1)*(1-IF($M115="نعم",0,N($J115))))</f>
        <v>0</v>
      </c>
      <c r="Z115" s="133" t="n">
        <f aca="false">IF(OR($B115="",$E115="",$F115=""),0,MAX(0,MIN($F115,EOMONTH(DATE(cfg_FY,5,1),0))-MAX($E115,DATE(cfg_FY,5,1))+1)*(1-IF($M115="نعم",0,N($J115))))</f>
        <v>0</v>
      </c>
      <c r="AA115" s="133" t="n">
        <f aca="false">IF(OR($B115="",$E115="",$F115=""),0,MAX(0,MIN($F115,EOMONTH(DATE(cfg_FY,6,1),0))-MAX($E115,DATE(cfg_FY,6,1))+1)*(1-IF($M115="نعم",0,N($J115))))</f>
        <v>0</v>
      </c>
      <c r="AB115" s="133" t="n">
        <f aca="false">IF(OR($B115="",$E115="",$F115=""),0,MAX(0,MIN($F115,EOMONTH(DATE(cfg_FY,7,1),0))-MAX($E115,DATE(cfg_FY,7,1))+1)*(1-IF($M115="نعم",0,N($J115))))</f>
        <v>0</v>
      </c>
      <c r="AC115" s="133" t="n">
        <f aca="false">IF(OR($B115="",$E115="",$F115=""),0,MAX(0,MIN($F115,EOMONTH(DATE(cfg_FY,8,1),0))-MAX($E115,DATE(cfg_FY,8,1))+1)*(1-IF($M115="نعم",0,N($J115))))</f>
        <v>0</v>
      </c>
      <c r="AD115" s="133" t="n">
        <f aca="false">IF(OR($B115="",$E115="",$F115=""),0,MAX(0,MIN($F115,EOMONTH(DATE(cfg_FY,9,1),0))-MAX($E115,DATE(cfg_FY,9,1))+1)*(1-IF($M115="نعم",0,N($J115))))</f>
        <v>0</v>
      </c>
      <c r="AE115" s="133" t="n">
        <f aca="false">IF(OR($B115="",$E115="",$F115=""),0,MAX(0,MIN($F115,EOMONTH(DATE(cfg_FY,10,1),0))-MAX($E115,DATE(cfg_FY,10,1))+1)*(1-IF($M115="نعم",0,N($J115))))</f>
        <v>0</v>
      </c>
      <c r="AF115" s="133" t="n">
        <f aca="false">IF(OR($B115="",$E115="",$F115=""),0,MAX(0,MIN($F115,EOMONTH(DATE(cfg_FY,11,1),0))-MAX($E115,DATE(cfg_FY,11,1))+1)*(1-IF($M115="نعم",0,N($J115))))</f>
        <v>0</v>
      </c>
      <c r="AG115" s="133" t="n">
        <f aca="false">IF(OR($B115="",$E115="",$F115=""),0,MAX(0,MIN($F115,EOMONTH(DATE(cfg_FY,12,1),0))-MAX($E115,DATE(cfg_FY,12,1))+1)*(1-IF($M115="نعم",0,N($J115))))</f>
        <v>0</v>
      </c>
      <c r="AH115" s="133" t="n">
        <f aca="false">IF(OR(OR($B115="",$E115="",$F115=""),$L115&lt;&gt;"لا"),0,MAX(0,MIN($F115,EOMONTH(DATE(cfg_FY,1,1),0))-$E115+1))</f>
        <v>0</v>
      </c>
      <c r="AI115" s="133" t="n">
        <f aca="false">IF(OR(OR($B115="",$E115="",$F115=""),$L115&lt;&gt;"لا"),0,MAX(0,MIN($F115,EOMONTH(DATE(cfg_FY,2,1),0))-$E115+1))</f>
        <v>0</v>
      </c>
      <c r="AJ115" s="133" t="n">
        <f aca="false">IF(OR(OR($B115="",$E115="",$F115=""),$L115&lt;&gt;"لا"),0,MAX(0,MIN($F115,EOMONTH(DATE(cfg_FY,3,1),0))-$E115+1))</f>
        <v>0</v>
      </c>
      <c r="AK115" s="133" t="n">
        <f aca="false">IF(OR(OR($B115="",$E115="",$F115=""),$L115&lt;&gt;"لا"),0,MAX(0,MIN($F115,EOMONTH(DATE(cfg_FY,4,1),0))-$E115+1))</f>
        <v>0</v>
      </c>
      <c r="AL115" s="133" t="n">
        <f aca="false">IF(OR(OR($B115="",$E115="",$F115=""),$L115&lt;&gt;"لا"),0,MAX(0,MIN($F115,EOMONTH(DATE(cfg_FY,5,1),0))-$E115+1))</f>
        <v>0</v>
      </c>
      <c r="AM115" s="133" t="n">
        <f aca="false">IF(OR(OR($B115="",$E115="",$F115=""),$L115&lt;&gt;"لا"),0,MAX(0,MIN($F115,EOMONTH(DATE(cfg_FY,6,1),0))-$E115+1))</f>
        <v>0</v>
      </c>
      <c r="AN115" s="133" t="n">
        <f aca="false">IF(OR(OR($B115="",$E115="",$F115=""),$L115&lt;&gt;"لا"),0,MAX(0,MIN($F115,EOMONTH(DATE(cfg_FY,7,1),0))-$E115+1))</f>
        <v>0</v>
      </c>
      <c r="AO115" s="133" t="n">
        <f aca="false">IF(OR(OR($B115="",$E115="",$F115=""),$L115&lt;&gt;"لا"),0,MAX(0,MIN($F115,EOMONTH(DATE(cfg_FY,8,1),0))-$E115+1))</f>
        <v>0</v>
      </c>
      <c r="AP115" s="133" t="n">
        <f aca="false">IF(OR(OR($B115="",$E115="",$F115=""),$L115&lt;&gt;"لا"),0,MAX(0,MIN($F115,EOMONTH(DATE(cfg_FY,9,1),0))-$E115+1))</f>
        <v>0</v>
      </c>
      <c r="AQ115" s="133" t="n">
        <f aca="false">IF(OR(OR($B115="",$E115="",$F115=""),$L115&lt;&gt;"لا"),0,MAX(0,MIN($F115,EOMONTH(DATE(cfg_FY,10,1),0))-$E115+1))</f>
        <v>0</v>
      </c>
      <c r="AR115" s="133" t="n">
        <f aca="false">IF(OR(OR($B115="",$E115="",$F115=""),$L115&lt;&gt;"لا"),0,MAX(0,MIN($F115,EOMONTH(DATE(cfg_FY,11,1),0))-$E115+1))</f>
        <v>0</v>
      </c>
      <c r="AS115" s="133" t="n">
        <f aca="false">IF(OR(OR($B115="",$E115="",$F115=""),$L115&lt;&gt;"لا"),0,MAX(0,MIN($F115,EOMONTH(DATE(cfg_FY,12,1),0))-$E115+1))</f>
        <v>0</v>
      </c>
      <c r="AT115" s="133" t="n">
        <f aca="false">IF(OR(OR($B115="",$E115="",$F115=""),$K115&lt;&gt;"نعم",$M115="نعم"),0,MAX(0,MIN($F115,EOMONTH(DATE(cfg_FY,1,1),0))-MAX($E115,DATE(cfg_FY,1,1))+1))</f>
        <v>0</v>
      </c>
      <c r="AU115" s="133" t="n">
        <f aca="false">IF(OR(OR($B115="",$E115="",$F115=""),$K115&lt;&gt;"نعم",$M115="نعم"),0,MAX(0,MIN($F115,EOMONTH(DATE(cfg_FY,2,1),0))-MAX($E115,DATE(cfg_FY,2,1))+1))</f>
        <v>0</v>
      </c>
      <c r="AV115" s="133" t="n">
        <f aca="false">IF(OR(OR($B115="",$E115="",$F115=""),$K115&lt;&gt;"نعم",$M115="نعم"),0,MAX(0,MIN($F115,EOMONTH(DATE(cfg_FY,3,1),0))-MAX($E115,DATE(cfg_FY,3,1))+1))</f>
        <v>0</v>
      </c>
      <c r="AW115" s="133" t="n">
        <f aca="false">IF(OR(OR($B115="",$E115="",$F115=""),$K115&lt;&gt;"نعم",$M115="نعم"),0,MAX(0,MIN($F115,EOMONTH(DATE(cfg_FY,4,1),0))-MAX($E115,DATE(cfg_FY,4,1))+1))</f>
        <v>0</v>
      </c>
      <c r="AX115" s="133" t="n">
        <f aca="false">IF(OR(OR($B115="",$E115="",$F115=""),$K115&lt;&gt;"نعم",$M115="نعم"),0,MAX(0,MIN($F115,EOMONTH(DATE(cfg_FY,5,1),0))-MAX($E115,DATE(cfg_FY,5,1))+1))</f>
        <v>0</v>
      </c>
      <c r="AY115" s="133" t="n">
        <f aca="false">IF(OR(OR($B115="",$E115="",$F115=""),$K115&lt;&gt;"نعم",$M115="نعم"),0,MAX(0,MIN($F115,EOMONTH(DATE(cfg_FY,6,1),0))-MAX($E115,DATE(cfg_FY,6,1))+1))</f>
        <v>0</v>
      </c>
      <c r="AZ115" s="133" t="n">
        <f aca="false">IF(OR(OR($B115="",$E115="",$F115=""),$K115&lt;&gt;"نعم",$M115="نعم"),0,MAX(0,MIN($F115,EOMONTH(DATE(cfg_FY,7,1),0))-MAX($E115,DATE(cfg_FY,7,1))+1))</f>
        <v>0</v>
      </c>
      <c r="BA115" s="133" t="n">
        <f aca="false">IF(OR(OR($B115="",$E115="",$F115=""),$K115&lt;&gt;"نعم",$M115="نعم"),0,MAX(0,MIN($F115,EOMONTH(DATE(cfg_FY,8,1),0))-MAX($E115,DATE(cfg_FY,8,1))+1))</f>
        <v>0</v>
      </c>
      <c r="BB115" s="133" t="n">
        <f aca="false">IF(OR(OR($B115="",$E115="",$F115=""),$K115&lt;&gt;"نعم",$M115="نعم"),0,MAX(0,MIN($F115,EOMONTH(DATE(cfg_FY,9,1),0))-MAX($E115,DATE(cfg_FY,9,1))+1))</f>
        <v>0</v>
      </c>
      <c r="BC115" s="133" t="n">
        <f aca="false">IF(OR(OR($B115="",$E115="",$F115=""),$K115&lt;&gt;"نعم",$M115="نعم"),0,MAX(0,MIN($F115,EOMONTH(DATE(cfg_FY,10,1),0))-MAX($E115,DATE(cfg_FY,10,1))+1))</f>
        <v>0</v>
      </c>
      <c r="BD115" s="133" t="n">
        <f aca="false">IF(OR(OR($B115="",$E115="",$F115=""),$K115&lt;&gt;"نعم",$M115="نعم"),0,MAX(0,MIN($F115,EOMONTH(DATE(cfg_FY,11,1),0))-MAX($E115,DATE(cfg_FY,11,1))+1))</f>
        <v>0</v>
      </c>
      <c r="BE115" s="133" t="n">
        <f aca="false">IF(OR(OR($B115="",$E115="",$F115=""),$K115&lt;&gt;"نعم",$M115="نعم"),0,MAX(0,MIN($F115,EOMONTH(DATE(cfg_FY,12,1),0))-MAX($E115,DATE(cfg_FY,12,1))+1))</f>
        <v>0</v>
      </c>
    </row>
    <row r="116" customFormat="false" ht="15" hidden="false" customHeight="false" outlineLevel="0" collapsed="false">
      <c r="A116" s="106" t="str">
        <f aca="false">IF(B116="","",ROW()-5)</f>
        <v/>
      </c>
      <c r="B116" s="118"/>
      <c r="C116" s="114" t="str">
        <f aca="false">IF(B116="","",IFERROR(INDEX(الموظفون!$C$6:$C$105,MATCH(B116,الموظفون!$B$6:$B$105,0)),"✖ رقم غير موجود"))</f>
        <v/>
      </c>
      <c r="D116" s="118"/>
      <c r="E116" s="119"/>
      <c r="F116" s="119"/>
      <c r="G116" s="65" t="str">
        <f aca="false">IF(OR($B116="",$E116="",$F116=""),"",MAX(0,F116-E116+1))</f>
        <v/>
      </c>
      <c r="H116" s="66" t="str">
        <f aca="false">IF(D116="","",IFERROR(VLOOKUP(D116,cfg_LT,2,FALSE()),1))</f>
        <v/>
      </c>
      <c r="I116" s="135"/>
      <c r="J116" s="66" t="str">
        <f aca="false">IF(D116="","",IF(I116&lt;&gt;"",I116,H116))</f>
        <v/>
      </c>
      <c r="K116" s="114" t="str">
        <f aca="false">IF(D116="","",IFERROR(VLOOKUP($D116,cfg_LT,3,FALSE()),""))</f>
        <v/>
      </c>
      <c r="L116" s="114" t="str">
        <f aca="false">IF(D116="","",IFERROR(VLOOKUP($D116,cfg_LT,4,FALSE()),""))</f>
        <v/>
      </c>
      <c r="M116" s="114" t="str">
        <f aca="false">IF(D116="","",IFERROR(VLOOKUP($D116,cfg_LT,5,FALSE()),""))</f>
        <v/>
      </c>
      <c r="N116" s="111" t="n">
        <f aca="false">IF(OR(OR($B116="",$E116="",$F116=""),M116&lt;&gt;"نعم"),0,G116*J116*IFERROR(INDEX(الموظفون!$R$6:$R$105,MATCH(B116,الموظفون!$B$6:$B$105,0)),0)/cfg_DAYS_M)</f>
        <v>0</v>
      </c>
      <c r="O116" s="106" t="str">
        <f aca="false">IF(OR(OR($B116="",$E116="",$F116=""),M116&lt;&gt;"نعم"),"",IF(YEAR(E116)=cfg_FY,MONTH(E116),""))</f>
        <v/>
      </c>
      <c r="P116" s="114" t="str">
        <f aca="false">IF(B116="","",IF(OR(D116="",E116="",F116=""),"⚠ أكمل النوع والتواريخ",IF(F116&lt;E116,"✖ النهاية قبل البداية",IF(COUNTIFS($B$6:$B$505,B116,$E$6:$E$505,"&lt;="&amp;F116,$F$6:$F$505,"&gt;="&amp;E116)&gt;1,"⚠ تداخل مع سجل آخر",IF(E116&gt;cfg_VAL_DATE,"⏳ قادمة",IF(F116&lt;cfg_VAL_DATE,"✔ منتهية","✈ جارية في تاريخ التقرير"))))))</f>
        <v/>
      </c>
      <c r="Q116" s="118"/>
      <c r="R116" s="65" t="n">
        <f aca="false">IF(OR(OR($B116="",$E116="",$F116=""),L116&lt;&gt;"لا"),0,MAX(0,MIN(F116,cfg_Y_START-1)-E116+1))</f>
        <v>0</v>
      </c>
      <c r="S116" s="65" t="n">
        <f aca="false">IF(OR(OR($B116="",$E116="",$F116=""),L116&lt;&gt;"لا"),0,MAX(0,MIN(F116,cfg_VAL_DATE)-E116+1))</f>
        <v>0</v>
      </c>
      <c r="T116" s="65" t="n">
        <f aca="false">IF(OR(OR($B116="",$E116="",$F116=""),K116&lt;&gt;"نعم"),0,IF(M116="نعم",IF(AND(ISNUMBER(O116),N(O116)&lt;=cfg_VAL_M),G116,0),MAX(0,MIN(F116,cfg_VAL_DATE)-MAX(E116,cfg_Y_START)+1)))</f>
        <v>0</v>
      </c>
      <c r="V116" s="65" t="n">
        <f aca="false">IF(OR($B116="",$E116="",$F116=""),0,MAX(0,MIN($F116,EOMONTH(DATE(cfg_FY,1,1),0))-MAX($E116,DATE(cfg_FY,1,1))+1)*(1-IF($M116="نعم",0,N($J116))))</f>
        <v>0</v>
      </c>
      <c r="W116" s="65" t="n">
        <f aca="false">IF(OR($B116="",$E116="",$F116=""),0,MAX(0,MIN($F116,EOMONTH(DATE(cfg_FY,2,1),0))-MAX($E116,DATE(cfg_FY,2,1))+1)*(1-IF($M116="نعم",0,N($J116))))</f>
        <v>0</v>
      </c>
      <c r="X116" s="65" t="n">
        <f aca="false">IF(OR($B116="",$E116="",$F116=""),0,MAX(0,MIN($F116,EOMONTH(DATE(cfg_FY,3,1),0))-MAX($E116,DATE(cfg_FY,3,1))+1)*(1-IF($M116="نعم",0,N($J116))))</f>
        <v>0</v>
      </c>
      <c r="Y116" s="65" t="n">
        <f aca="false">IF(OR($B116="",$E116="",$F116=""),0,MAX(0,MIN($F116,EOMONTH(DATE(cfg_FY,4,1),0))-MAX($E116,DATE(cfg_FY,4,1))+1)*(1-IF($M116="نعم",0,N($J116))))</f>
        <v>0</v>
      </c>
      <c r="Z116" s="65" t="n">
        <f aca="false">IF(OR($B116="",$E116="",$F116=""),0,MAX(0,MIN($F116,EOMONTH(DATE(cfg_FY,5,1),0))-MAX($E116,DATE(cfg_FY,5,1))+1)*(1-IF($M116="نعم",0,N($J116))))</f>
        <v>0</v>
      </c>
      <c r="AA116" s="65" t="n">
        <f aca="false">IF(OR($B116="",$E116="",$F116=""),0,MAX(0,MIN($F116,EOMONTH(DATE(cfg_FY,6,1),0))-MAX($E116,DATE(cfg_FY,6,1))+1)*(1-IF($M116="نعم",0,N($J116))))</f>
        <v>0</v>
      </c>
      <c r="AB116" s="65" t="n">
        <f aca="false">IF(OR($B116="",$E116="",$F116=""),0,MAX(0,MIN($F116,EOMONTH(DATE(cfg_FY,7,1),0))-MAX($E116,DATE(cfg_FY,7,1))+1)*(1-IF($M116="نعم",0,N($J116))))</f>
        <v>0</v>
      </c>
      <c r="AC116" s="65" t="n">
        <f aca="false">IF(OR($B116="",$E116="",$F116=""),0,MAX(0,MIN($F116,EOMONTH(DATE(cfg_FY,8,1),0))-MAX($E116,DATE(cfg_FY,8,1))+1)*(1-IF($M116="نعم",0,N($J116))))</f>
        <v>0</v>
      </c>
      <c r="AD116" s="65" t="n">
        <f aca="false">IF(OR($B116="",$E116="",$F116=""),0,MAX(0,MIN($F116,EOMONTH(DATE(cfg_FY,9,1),0))-MAX($E116,DATE(cfg_FY,9,1))+1)*(1-IF($M116="نعم",0,N($J116))))</f>
        <v>0</v>
      </c>
      <c r="AE116" s="65" t="n">
        <f aca="false">IF(OR($B116="",$E116="",$F116=""),0,MAX(0,MIN($F116,EOMONTH(DATE(cfg_FY,10,1),0))-MAX($E116,DATE(cfg_FY,10,1))+1)*(1-IF($M116="نعم",0,N($J116))))</f>
        <v>0</v>
      </c>
      <c r="AF116" s="65" t="n">
        <f aca="false">IF(OR($B116="",$E116="",$F116=""),0,MAX(0,MIN($F116,EOMONTH(DATE(cfg_FY,11,1),0))-MAX($E116,DATE(cfg_FY,11,1))+1)*(1-IF($M116="نعم",0,N($J116))))</f>
        <v>0</v>
      </c>
      <c r="AG116" s="65" t="n">
        <f aca="false">IF(OR($B116="",$E116="",$F116=""),0,MAX(0,MIN($F116,EOMONTH(DATE(cfg_FY,12,1),0))-MAX($E116,DATE(cfg_FY,12,1))+1)*(1-IF($M116="نعم",0,N($J116))))</f>
        <v>0</v>
      </c>
      <c r="AH116" s="65" t="n">
        <f aca="false">IF(OR(OR($B116="",$E116="",$F116=""),$L116&lt;&gt;"لا"),0,MAX(0,MIN($F116,EOMONTH(DATE(cfg_FY,1,1),0))-$E116+1))</f>
        <v>0</v>
      </c>
      <c r="AI116" s="65" t="n">
        <f aca="false">IF(OR(OR($B116="",$E116="",$F116=""),$L116&lt;&gt;"لا"),0,MAX(0,MIN($F116,EOMONTH(DATE(cfg_FY,2,1),0))-$E116+1))</f>
        <v>0</v>
      </c>
      <c r="AJ116" s="65" t="n">
        <f aca="false">IF(OR(OR($B116="",$E116="",$F116=""),$L116&lt;&gt;"لا"),0,MAX(0,MIN($F116,EOMONTH(DATE(cfg_FY,3,1),0))-$E116+1))</f>
        <v>0</v>
      </c>
      <c r="AK116" s="65" t="n">
        <f aca="false">IF(OR(OR($B116="",$E116="",$F116=""),$L116&lt;&gt;"لا"),0,MAX(0,MIN($F116,EOMONTH(DATE(cfg_FY,4,1),0))-$E116+1))</f>
        <v>0</v>
      </c>
      <c r="AL116" s="65" t="n">
        <f aca="false">IF(OR(OR($B116="",$E116="",$F116=""),$L116&lt;&gt;"لا"),0,MAX(0,MIN($F116,EOMONTH(DATE(cfg_FY,5,1),0))-$E116+1))</f>
        <v>0</v>
      </c>
      <c r="AM116" s="65" t="n">
        <f aca="false">IF(OR(OR($B116="",$E116="",$F116=""),$L116&lt;&gt;"لا"),0,MAX(0,MIN($F116,EOMONTH(DATE(cfg_FY,6,1),0))-$E116+1))</f>
        <v>0</v>
      </c>
      <c r="AN116" s="65" t="n">
        <f aca="false">IF(OR(OR($B116="",$E116="",$F116=""),$L116&lt;&gt;"لا"),0,MAX(0,MIN($F116,EOMONTH(DATE(cfg_FY,7,1),0))-$E116+1))</f>
        <v>0</v>
      </c>
      <c r="AO116" s="65" t="n">
        <f aca="false">IF(OR(OR($B116="",$E116="",$F116=""),$L116&lt;&gt;"لا"),0,MAX(0,MIN($F116,EOMONTH(DATE(cfg_FY,8,1),0))-$E116+1))</f>
        <v>0</v>
      </c>
      <c r="AP116" s="65" t="n">
        <f aca="false">IF(OR(OR($B116="",$E116="",$F116=""),$L116&lt;&gt;"لا"),0,MAX(0,MIN($F116,EOMONTH(DATE(cfg_FY,9,1),0))-$E116+1))</f>
        <v>0</v>
      </c>
      <c r="AQ116" s="65" t="n">
        <f aca="false">IF(OR(OR($B116="",$E116="",$F116=""),$L116&lt;&gt;"لا"),0,MAX(0,MIN($F116,EOMONTH(DATE(cfg_FY,10,1),0))-$E116+1))</f>
        <v>0</v>
      </c>
      <c r="AR116" s="65" t="n">
        <f aca="false">IF(OR(OR($B116="",$E116="",$F116=""),$L116&lt;&gt;"لا"),0,MAX(0,MIN($F116,EOMONTH(DATE(cfg_FY,11,1),0))-$E116+1))</f>
        <v>0</v>
      </c>
      <c r="AS116" s="65" t="n">
        <f aca="false">IF(OR(OR($B116="",$E116="",$F116=""),$L116&lt;&gt;"لا"),0,MAX(0,MIN($F116,EOMONTH(DATE(cfg_FY,12,1),0))-$E116+1))</f>
        <v>0</v>
      </c>
      <c r="AT116" s="65" t="n">
        <f aca="false">IF(OR(OR($B116="",$E116="",$F116=""),$K116&lt;&gt;"نعم",$M116="نعم"),0,MAX(0,MIN($F116,EOMONTH(DATE(cfg_FY,1,1),0))-MAX($E116,DATE(cfg_FY,1,1))+1))</f>
        <v>0</v>
      </c>
      <c r="AU116" s="65" t="n">
        <f aca="false">IF(OR(OR($B116="",$E116="",$F116=""),$K116&lt;&gt;"نعم",$M116="نعم"),0,MAX(0,MIN($F116,EOMONTH(DATE(cfg_FY,2,1),0))-MAX($E116,DATE(cfg_FY,2,1))+1))</f>
        <v>0</v>
      </c>
      <c r="AV116" s="65" t="n">
        <f aca="false">IF(OR(OR($B116="",$E116="",$F116=""),$K116&lt;&gt;"نعم",$M116="نعم"),0,MAX(0,MIN($F116,EOMONTH(DATE(cfg_FY,3,1),0))-MAX($E116,DATE(cfg_FY,3,1))+1))</f>
        <v>0</v>
      </c>
      <c r="AW116" s="65" t="n">
        <f aca="false">IF(OR(OR($B116="",$E116="",$F116=""),$K116&lt;&gt;"نعم",$M116="نعم"),0,MAX(0,MIN($F116,EOMONTH(DATE(cfg_FY,4,1),0))-MAX($E116,DATE(cfg_FY,4,1))+1))</f>
        <v>0</v>
      </c>
      <c r="AX116" s="65" t="n">
        <f aca="false">IF(OR(OR($B116="",$E116="",$F116=""),$K116&lt;&gt;"نعم",$M116="نعم"),0,MAX(0,MIN($F116,EOMONTH(DATE(cfg_FY,5,1),0))-MAX($E116,DATE(cfg_FY,5,1))+1))</f>
        <v>0</v>
      </c>
      <c r="AY116" s="65" t="n">
        <f aca="false">IF(OR(OR($B116="",$E116="",$F116=""),$K116&lt;&gt;"نعم",$M116="نعم"),0,MAX(0,MIN($F116,EOMONTH(DATE(cfg_FY,6,1),0))-MAX($E116,DATE(cfg_FY,6,1))+1))</f>
        <v>0</v>
      </c>
      <c r="AZ116" s="65" t="n">
        <f aca="false">IF(OR(OR($B116="",$E116="",$F116=""),$K116&lt;&gt;"نعم",$M116="نعم"),0,MAX(0,MIN($F116,EOMONTH(DATE(cfg_FY,7,1),0))-MAX($E116,DATE(cfg_FY,7,1))+1))</f>
        <v>0</v>
      </c>
      <c r="BA116" s="65" t="n">
        <f aca="false">IF(OR(OR($B116="",$E116="",$F116=""),$K116&lt;&gt;"نعم",$M116="نعم"),0,MAX(0,MIN($F116,EOMONTH(DATE(cfg_FY,8,1),0))-MAX($E116,DATE(cfg_FY,8,1))+1))</f>
        <v>0</v>
      </c>
      <c r="BB116" s="65" t="n">
        <f aca="false">IF(OR(OR($B116="",$E116="",$F116=""),$K116&lt;&gt;"نعم",$M116="نعم"),0,MAX(0,MIN($F116,EOMONTH(DATE(cfg_FY,9,1),0))-MAX($E116,DATE(cfg_FY,9,1))+1))</f>
        <v>0</v>
      </c>
      <c r="BC116" s="65" t="n">
        <f aca="false">IF(OR(OR($B116="",$E116="",$F116=""),$K116&lt;&gt;"نعم",$M116="نعم"),0,MAX(0,MIN($F116,EOMONTH(DATE(cfg_FY,10,1),0))-MAX($E116,DATE(cfg_FY,10,1))+1))</f>
        <v>0</v>
      </c>
      <c r="BD116" s="65" t="n">
        <f aca="false">IF(OR(OR($B116="",$E116="",$F116=""),$K116&lt;&gt;"نعم",$M116="نعم"),0,MAX(0,MIN($F116,EOMONTH(DATE(cfg_FY,11,1),0))-MAX($E116,DATE(cfg_FY,11,1))+1))</f>
        <v>0</v>
      </c>
      <c r="BE116" s="65" t="n">
        <f aca="false">IF(OR(OR($B116="",$E116="",$F116=""),$K116&lt;&gt;"نعم",$M116="نعم"),0,MAX(0,MIN($F116,EOMONTH(DATE(cfg_FY,12,1),0))-MAX($E116,DATE(cfg_FY,12,1))+1))</f>
        <v>0</v>
      </c>
    </row>
    <row r="117" customFormat="false" ht="15" hidden="false" customHeight="false" outlineLevel="0" collapsed="false">
      <c r="A117" s="115" t="str">
        <f aca="false">IF(B117="","",ROW()-5)</f>
        <v/>
      </c>
      <c r="B117" s="118"/>
      <c r="C117" s="117" t="str">
        <f aca="false">IF(B117="","",IFERROR(INDEX(الموظفون!$C$6:$C$105,MATCH(B117,الموظفون!$B$6:$B$105,0)),"✖ رقم غير موجود"))</f>
        <v/>
      </c>
      <c r="D117" s="118"/>
      <c r="E117" s="119"/>
      <c r="F117" s="119"/>
      <c r="G117" s="133" t="str">
        <f aca="false">IF(OR($B117="",$E117="",$F117=""),"",MAX(0,F117-E117+1))</f>
        <v/>
      </c>
      <c r="H117" s="134" t="str">
        <f aca="false">IF(D117="","",IFERROR(VLOOKUP(D117,cfg_LT,2,FALSE()),1))</f>
        <v/>
      </c>
      <c r="I117" s="135"/>
      <c r="J117" s="134" t="str">
        <f aca="false">IF(D117="","",IF(I117&lt;&gt;"",I117,H117))</f>
        <v/>
      </c>
      <c r="K117" s="117" t="str">
        <f aca="false">IF(D117="","",IFERROR(VLOOKUP($D117,cfg_LT,3,FALSE()),""))</f>
        <v/>
      </c>
      <c r="L117" s="117" t="str">
        <f aca="false">IF(D117="","",IFERROR(VLOOKUP($D117,cfg_LT,4,FALSE()),""))</f>
        <v/>
      </c>
      <c r="M117" s="117" t="str">
        <f aca="false">IF(D117="","",IFERROR(VLOOKUP($D117,cfg_LT,5,FALSE()),""))</f>
        <v/>
      </c>
      <c r="N117" s="116" t="n">
        <f aca="false">IF(OR(OR($B117="",$E117="",$F117=""),M117&lt;&gt;"نعم"),0,G117*J117*IFERROR(INDEX(الموظفون!$R$6:$R$105,MATCH(B117,الموظفون!$B$6:$B$105,0)),0)/cfg_DAYS_M)</f>
        <v>0</v>
      </c>
      <c r="O117" s="115" t="str">
        <f aca="false">IF(OR(OR($B117="",$E117="",$F117=""),M117&lt;&gt;"نعم"),"",IF(YEAR(E117)=cfg_FY,MONTH(E117),""))</f>
        <v/>
      </c>
      <c r="P117" s="117" t="str">
        <f aca="false">IF(B117="","",IF(OR(D117="",E117="",F117=""),"⚠ أكمل النوع والتواريخ",IF(F117&lt;E117,"✖ النهاية قبل البداية",IF(COUNTIFS($B$6:$B$505,B117,$E$6:$E$505,"&lt;="&amp;F117,$F$6:$F$505,"&gt;="&amp;E117)&gt;1,"⚠ تداخل مع سجل آخر",IF(E117&gt;cfg_VAL_DATE,"⏳ قادمة",IF(F117&lt;cfg_VAL_DATE,"✔ منتهية","✈ جارية في تاريخ التقرير"))))))</f>
        <v/>
      </c>
      <c r="Q117" s="118"/>
      <c r="R117" s="133" t="n">
        <f aca="false">IF(OR(OR($B117="",$E117="",$F117=""),L117&lt;&gt;"لا"),0,MAX(0,MIN(F117,cfg_Y_START-1)-E117+1))</f>
        <v>0</v>
      </c>
      <c r="S117" s="133" t="n">
        <f aca="false">IF(OR(OR($B117="",$E117="",$F117=""),L117&lt;&gt;"لا"),0,MAX(0,MIN(F117,cfg_VAL_DATE)-E117+1))</f>
        <v>0</v>
      </c>
      <c r="T117" s="133" t="n">
        <f aca="false">IF(OR(OR($B117="",$E117="",$F117=""),K117&lt;&gt;"نعم"),0,IF(M117="نعم",IF(AND(ISNUMBER(O117),N(O117)&lt;=cfg_VAL_M),G117,0),MAX(0,MIN(F117,cfg_VAL_DATE)-MAX(E117,cfg_Y_START)+1)))</f>
        <v>0</v>
      </c>
      <c r="V117" s="133" t="n">
        <f aca="false">IF(OR($B117="",$E117="",$F117=""),0,MAX(0,MIN($F117,EOMONTH(DATE(cfg_FY,1,1),0))-MAX($E117,DATE(cfg_FY,1,1))+1)*(1-IF($M117="نعم",0,N($J117))))</f>
        <v>0</v>
      </c>
      <c r="W117" s="133" t="n">
        <f aca="false">IF(OR($B117="",$E117="",$F117=""),0,MAX(0,MIN($F117,EOMONTH(DATE(cfg_FY,2,1),0))-MAX($E117,DATE(cfg_FY,2,1))+1)*(1-IF($M117="نعم",0,N($J117))))</f>
        <v>0</v>
      </c>
      <c r="X117" s="133" t="n">
        <f aca="false">IF(OR($B117="",$E117="",$F117=""),0,MAX(0,MIN($F117,EOMONTH(DATE(cfg_FY,3,1),0))-MAX($E117,DATE(cfg_FY,3,1))+1)*(1-IF($M117="نعم",0,N($J117))))</f>
        <v>0</v>
      </c>
      <c r="Y117" s="133" t="n">
        <f aca="false">IF(OR($B117="",$E117="",$F117=""),0,MAX(0,MIN($F117,EOMONTH(DATE(cfg_FY,4,1),0))-MAX($E117,DATE(cfg_FY,4,1))+1)*(1-IF($M117="نعم",0,N($J117))))</f>
        <v>0</v>
      </c>
      <c r="Z117" s="133" t="n">
        <f aca="false">IF(OR($B117="",$E117="",$F117=""),0,MAX(0,MIN($F117,EOMONTH(DATE(cfg_FY,5,1),0))-MAX($E117,DATE(cfg_FY,5,1))+1)*(1-IF($M117="نعم",0,N($J117))))</f>
        <v>0</v>
      </c>
      <c r="AA117" s="133" t="n">
        <f aca="false">IF(OR($B117="",$E117="",$F117=""),0,MAX(0,MIN($F117,EOMONTH(DATE(cfg_FY,6,1),0))-MAX($E117,DATE(cfg_FY,6,1))+1)*(1-IF($M117="نعم",0,N($J117))))</f>
        <v>0</v>
      </c>
      <c r="AB117" s="133" t="n">
        <f aca="false">IF(OR($B117="",$E117="",$F117=""),0,MAX(0,MIN($F117,EOMONTH(DATE(cfg_FY,7,1),0))-MAX($E117,DATE(cfg_FY,7,1))+1)*(1-IF($M117="نعم",0,N($J117))))</f>
        <v>0</v>
      </c>
      <c r="AC117" s="133" t="n">
        <f aca="false">IF(OR($B117="",$E117="",$F117=""),0,MAX(0,MIN($F117,EOMONTH(DATE(cfg_FY,8,1),0))-MAX($E117,DATE(cfg_FY,8,1))+1)*(1-IF($M117="نعم",0,N($J117))))</f>
        <v>0</v>
      </c>
      <c r="AD117" s="133" t="n">
        <f aca="false">IF(OR($B117="",$E117="",$F117=""),0,MAX(0,MIN($F117,EOMONTH(DATE(cfg_FY,9,1),0))-MAX($E117,DATE(cfg_FY,9,1))+1)*(1-IF($M117="نعم",0,N($J117))))</f>
        <v>0</v>
      </c>
      <c r="AE117" s="133" t="n">
        <f aca="false">IF(OR($B117="",$E117="",$F117=""),0,MAX(0,MIN($F117,EOMONTH(DATE(cfg_FY,10,1),0))-MAX($E117,DATE(cfg_FY,10,1))+1)*(1-IF($M117="نعم",0,N($J117))))</f>
        <v>0</v>
      </c>
      <c r="AF117" s="133" t="n">
        <f aca="false">IF(OR($B117="",$E117="",$F117=""),0,MAX(0,MIN($F117,EOMONTH(DATE(cfg_FY,11,1),0))-MAX($E117,DATE(cfg_FY,11,1))+1)*(1-IF($M117="نعم",0,N($J117))))</f>
        <v>0</v>
      </c>
      <c r="AG117" s="133" t="n">
        <f aca="false">IF(OR($B117="",$E117="",$F117=""),0,MAX(0,MIN($F117,EOMONTH(DATE(cfg_FY,12,1),0))-MAX($E117,DATE(cfg_FY,12,1))+1)*(1-IF($M117="نعم",0,N($J117))))</f>
        <v>0</v>
      </c>
      <c r="AH117" s="133" t="n">
        <f aca="false">IF(OR(OR($B117="",$E117="",$F117=""),$L117&lt;&gt;"لا"),0,MAX(0,MIN($F117,EOMONTH(DATE(cfg_FY,1,1),0))-$E117+1))</f>
        <v>0</v>
      </c>
      <c r="AI117" s="133" t="n">
        <f aca="false">IF(OR(OR($B117="",$E117="",$F117=""),$L117&lt;&gt;"لا"),0,MAX(0,MIN($F117,EOMONTH(DATE(cfg_FY,2,1),0))-$E117+1))</f>
        <v>0</v>
      </c>
      <c r="AJ117" s="133" t="n">
        <f aca="false">IF(OR(OR($B117="",$E117="",$F117=""),$L117&lt;&gt;"لا"),0,MAX(0,MIN($F117,EOMONTH(DATE(cfg_FY,3,1),0))-$E117+1))</f>
        <v>0</v>
      </c>
      <c r="AK117" s="133" t="n">
        <f aca="false">IF(OR(OR($B117="",$E117="",$F117=""),$L117&lt;&gt;"لا"),0,MAX(0,MIN($F117,EOMONTH(DATE(cfg_FY,4,1),0))-$E117+1))</f>
        <v>0</v>
      </c>
      <c r="AL117" s="133" t="n">
        <f aca="false">IF(OR(OR($B117="",$E117="",$F117=""),$L117&lt;&gt;"لا"),0,MAX(0,MIN($F117,EOMONTH(DATE(cfg_FY,5,1),0))-$E117+1))</f>
        <v>0</v>
      </c>
      <c r="AM117" s="133" t="n">
        <f aca="false">IF(OR(OR($B117="",$E117="",$F117=""),$L117&lt;&gt;"لا"),0,MAX(0,MIN($F117,EOMONTH(DATE(cfg_FY,6,1),0))-$E117+1))</f>
        <v>0</v>
      </c>
      <c r="AN117" s="133" t="n">
        <f aca="false">IF(OR(OR($B117="",$E117="",$F117=""),$L117&lt;&gt;"لا"),0,MAX(0,MIN($F117,EOMONTH(DATE(cfg_FY,7,1),0))-$E117+1))</f>
        <v>0</v>
      </c>
      <c r="AO117" s="133" t="n">
        <f aca="false">IF(OR(OR($B117="",$E117="",$F117=""),$L117&lt;&gt;"لا"),0,MAX(0,MIN($F117,EOMONTH(DATE(cfg_FY,8,1),0))-$E117+1))</f>
        <v>0</v>
      </c>
      <c r="AP117" s="133" t="n">
        <f aca="false">IF(OR(OR($B117="",$E117="",$F117=""),$L117&lt;&gt;"لا"),0,MAX(0,MIN($F117,EOMONTH(DATE(cfg_FY,9,1),0))-$E117+1))</f>
        <v>0</v>
      </c>
      <c r="AQ117" s="133" t="n">
        <f aca="false">IF(OR(OR($B117="",$E117="",$F117=""),$L117&lt;&gt;"لا"),0,MAX(0,MIN($F117,EOMONTH(DATE(cfg_FY,10,1),0))-$E117+1))</f>
        <v>0</v>
      </c>
      <c r="AR117" s="133" t="n">
        <f aca="false">IF(OR(OR($B117="",$E117="",$F117=""),$L117&lt;&gt;"لا"),0,MAX(0,MIN($F117,EOMONTH(DATE(cfg_FY,11,1),0))-$E117+1))</f>
        <v>0</v>
      </c>
      <c r="AS117" s="133" t="n">
        <f aca="false">IF(OR(OR($B117="",$E117="",$F117=""),$L117&lt;&gt;"لا"),0,MAX(0,MIN($F117,EOMONTH(DATE(cfg_FY,12,1),0))-$E117+1))</f>
        <v>0</v>
      </c>
      <c r="AT117" s="133" t="n">
        <f aca="false">IF(OR(OR($B117="",$E117="",$F117=""),$K117&lt;&gt;"نعم",$M117="نعم"),0,MAX(0,MIN($F117,EOMONTH(DATE(cfg_FY,1,1),0))-MAX($E117,DATE(cfg_FY,1,1))+1))</f>
        <v>0</v>
      </c>
      <c r="AU117" s="133" t="n">
        <f aca="false">IF(OR(OR($B117="",$E117="",$F117=""),$K117&lt;&gt;"نعم",$M117="نعم"),0,MAX(0,MIN($F117,EOMONTH(DATE(cfg_FY,2,1),0))-MAX($E117,DATE(cfg_FY,2,1))+1))</f>
        <v>0</v>
      </c>
      <c r="AV117" s="133" t="n">
        <f aca="false">IF(OR(OR($B117="",$E117="",$F117=""),$K117&lt;&gt;"نعم",$M117="نعم"),0,MAX(0,MIN($F117,EOMONTH(DATE(cfg_FY,3,1),0))-MAX($E117,DATE(cfg_FY,3,1))+1))</f>
        <v>0</v>
      </c>
      <c r="AW117" s="133" t="n">
        <f aca="false">IF(OR(OR($B117="",$E117="",$F117=""),$K117&lt;&gt;"نعم",$M117="نعم"),0,MAX(0,MIN($F117,EOMONTH(DATE(cfg_FY,4,1),0))-MAX($E117,DATE(cfg_FY,4,1))+1))</f>
        <v>0</v>
      </c>
      <c r="AX117" s="133" t="n">
        <f aca="false">IF(OR(OR($B117="",$E117="",$F117=""),$K117&lt;&gt;"نعم",$M117="نعم"),0,MAX(0,MIN($F117,EOMONTH(DATE(cfg_FY,5,1),0))-MAX($E117,DATE(cfg_FY,5,1))+1))</f>
        <v>0</v>
      </c>
      <c r="AY117" s="133" t="n">
        <f aca="false">IF(OR(OR($B117="",$E117="",$F117=""),$K117&lt;&gt;"نعم",$M117="نعم"),0,MAX(0,MIN($F117,EOMONTH(DATE(cfg_FY,6,1),0))-MAX($E117,DATE(cfg_FY,6,1))+1))</f>
        <v>0</v>
      </c>
      <c r="AZ117" s="133" t="n">
        <f aca="false">IF(OR(OR($B117="",$E117="",$F117=""),$K117&lt;&gt;"نعم",$M117="نعم"),0,MAX(0,MIN($F117,EOMONTH(DATE(cfg_FY,7,1),0))-MAX($E117,DATE(cfg_FY,7,1))+1))</f>
        <v>0</v>
      </c>
      <c r="BA117" s="133" t="n">
        <f aca="false">IF(OR(OR($B117="",$E117="",$F117=""),$K117&lt;&gt;"نعم",$M117="نعم"),0,MAX(0,MIN($F117,EOMONTH(DATE(cfg_FY,8,1),0))-MAX($E117,DATE(cfg_FY,8,1))+1))</f>
        <v>0</v>
      </c>
      <c r="BB117" s="133" t="n">
        <f aca="false">IF(OR(OR($B117="",$E117="",$F117=""),$K117&lt;&gt;"نعم",$M117="نعم"),0,MAX(0,MIN($F117,EOMONTH(DATE(cfg_FY,9,1),0))-MAX($E117,DATE(cfg_FY,9,1))+1))</f>
        <v>0</v>
      </c>
      <c r="BC117" s="133" t="n">
        <f aca="false">IF(OR(OR($B117="",$E117="",$F117=""),$K117&lt;&gt;"نعم",$M117="نعم"),0,MAX(0,MIN($F117,EOMONTH(DATE(cfg_FY,10,1),0))-MAX($E117,DATE(cfg_FY,10,1))+1))</f>
        <v>0</v>
      </c>
      <c r="BD117" s="133" t="n">
        <f aca="false">IF(OR(OR($B117="",$E117="",$F117=""),$K117&lt;&gt;"نعم",$M117="نعم"),0,MAX(0,MIN($F117,EOMONTH(DATE(cfg_FY,11,1),0))-MAX($E117,DATE(cfg_FY,11,1))+1))</f>
        <v>0</v>
      </c>
      <c r="BE117" s="133" t="n">
        <f aca="false">IF(OR(OR($B117="",$E117="",$F117=""),$K117&lt;&gt;"نعم",$M117="نعم"),0,MAX(0,MIN($F117,EOMONTH(DATE(cfg_FY,12,1),0))-MAX($E117,DATE(cfg_FY,12,1))+1))</f>
        <v>0</v>
      </c>
    </row>
    <row r="118" customFormat="false" ht="15" hidden="false" customHeight="false" outlineLevel="0" collapsed="false">
      <c r="A118" s="106" t="str">
        <f aca="false">IF(B118="","",ROW()-5)</f>
        <v/>
      </c>
      <c r="B118" s="118"/>
      <c r="C118" s="114" t="str">
        <f aca="false">IF(B118="","",IFERROR(INDEX(الموظفون!$C$6:$C$105,MATCH(B118,الموظفون!$B$6:$B$105,0)),"✖ رقم غير موجود"))</f>
        <v/>
      </c>
      <c r="D118" s="118"/>
      <c r="E118" s="119"/>
      <c r="F118" s="119"/>
      <c r="G118" s="65" t="str">
        <f aca="false">IF(OR($B118="",$E118="",$F118=""),"",MAX(0,F118-E118+1))</f>
        <v/>
      </c>
      <c r="H118" s="66" t="str">
        <f aca="false">IF(D118="","",IFERROR(VLOOKUP(D118,cfg_LT,2,FALSE()),1))</f>
        <v/>
      </c>
      <c r="I118" s="135"/>
      <c r="J118" s="66" t="str">
        <f aca="false">IF(D118="","",IF(I118&lt;&gt;"",I118,H118))</f>
        <v/>
      </c>
      <c r="K118" s="114" t="str">
        <f aca="false">IF(D118="","",IFERROR(VLOOKUP($D118,cfg_LT,3,FALSE()),""))</f>
        <v/>
      </c>
      <c r="L118" s="114" t="str">
        <f aca="false">IF(D118="","",IFERROR(VLOOKUP($D118,cfg_LT,4,FALSE()),""))</f>
        <v/>
      </c>
      <c r="M118" s="114" t="str">
        <f aca="false">IF(D118="","",IFERROR(VLOOKUP($D118,cfg_LT,5,FALSE()),""))</f>
        <v/>
      </c>
      <c r="N118" s="111" t="n">
        <f aca="false">IF(OR(OR($B118="",$E118="",$F118=""),M118&lt;&gt;"نعم"),0,G118*J118*IFERROR(INDEX(الموظفون!$R$6:$R$105,MATCH(B118,الموظفون!$B$6:$B$105,0)),0)/cfg_DAYS_M)</f>
        <v>0</v>
      </c>
      <c r="O118" s="106" t="str">
        <f aca="false">IF(OR(OR($B118="",$E118="",$F118=""),M118&lt;&gt;"نعم"),"",IF(YEAR(E118)=cfg_FY,MONTH(E118),""))</f>
        <v/>
      </c>
      <c r="P118" s="114" t="str">
        <f aca="false">IF(B118="","",IF(OR(D118="",E118="",F118=""),"⚠ أكمل النوع والتواريخ",IF(F118&lt;E118,"✖ النهاية قبل البداية",IF(COUNTIFS($B$6:$B$505,B118,$E$6:$E$505,"&lt;="&amp;F118,$F$6:$F$505,"&gt;="&amp;E118)&gt;1,"⚠ تداخل مع سجل آخر",IF(E118&gt;cfg_VAL_DATE,"⏳ قادمة",IF(F118&lt;cfg_VAL_DATE,"✔ منتهية","✈ جارية في تاريخ التقرير"))))))</f>
        <v/>
      </c>
      <c r="Q118" s="118"/>
      <c r="R118" s="65" t="n">
        <f aca="false">IF(OR(OR($B118="",$E118="",$F118=""),L118&lt;&gt;"لا"),0,MAX(0,MIN(F118,cfg_Y_START-1)-E118+1))</f>
        <v>0</v>
      </c>
      <c r="S118" s="65" t="n">
        <f aca="false">IF(OR(OR($B118="",$E118="",$F118=""),L118&lt;&gt;"لا"),0,MAX(0,MIN(F118,cfg_VAL_DATE)-E118+1))</f>
        <v>0</v>
      </c>
      <c r="T118" s="65" t="n">
        <f aca="false">IF(OR(OR($B118="",$E118="",$F118=""),K118&lt;&gt;"نعم"),0,IF(M118="نعم",IF(AND(ISNUMBER(O118),N(O118)&lt;=cfg_VAL_M),G118,0),MAX(0,MIN(F118,cfg_VAL_DATE)-MAX(E118,cfg_Y_START)+1)))</f>
        <v>0</v>
      </c>
      <c r="V118" s="65" t="n">
        <f aca="false">IF(OR($B118="",$E118="",$F118=""),0,MAX(0,MIN($F118,EOMONTH(DATE(cfg_FY,1,1),0))-MAX($E118,DATE(cfg_FY,1,1))+1)*(1-IF($M118="نعم",0,N($J118))))</f>
        <v>0</v>
      </c>
      <c r="W118" s="65" t="n">
        <f aca="false">IF(OR($B118="",$E118="",$F118=""),0,MAX(0,MIN($F118,EOMONTH(DATE(cfg_FY,2,1),0))-MAX($E118,DATE(cfg_FY,2,1))+1)*(1-IF($M118="نعم",0,N($J118))))</f>
        <v>0</v>
      </c>
      <c r="X118" s="65" t="n">
        <f aca="false">IF(OR($B118="",$E118="",$F118=""),0,MAX(0,MIN($F118,EOMONTH(DATE(cfg_FY,3,1),0))-MAX($E118,DATE(cfg_FY,3,1))+1)*(1-IF($M118="نعم",0,N($J118))))</f>
        <v>0</v>
      </c>
      <c r="Y118" s="65" t="n">
        <f aca="false">IF(OR($B118="",$E118="",$F118=""),0,MAX(0,MIN($F118,EOMONTH(DATE(cfg_FY,4,1),0))-MAX($E118,DATE(cfg_FY,4,1))+1)*(1-IF($M118="نعم",0,N($J118))))</f>
        <v>0</v>
      </c>
      <c r="Z118" s="65" t="n">
        <f aca="false">IF(OR($B118="",$E118="",$F118=""),0,MAX(0,MIN($F118,EOMONTH(DATE(cfg_FY,5,1),0))-MAX($E118,DATE(cfg_FY,5,1))+1)*(1-IF($M118="نعم",0,N($J118))))</f>
        <v>0</v>
      </c>
      <c r="AA118" s="65" t="n">
        <f aca="false">IF(OR($B118="",$E118="",$F118=""),0,MAX(0,MIN($F118,EOMONTH(DATE(cfg_FY,6,1),0))-MAX($E118,DATE(cfg_FY,6,1))+1)*(1-IF($M118="نعم",0,N($J118))))</f>
        <v>0</v>
      </c>
      <c r="AB118" s="65" t="n">
        <f aca="false">IF(OR($B118="",$E118="",$F118=""),0,MAX(0,MIN($F118,EOMONTH(DATE(cfg_FY,7,1),0))-MAX($E118,DATE(cfg_FY,7,1))+1)*(1-IF($M118="نعم",0,N($J118))))</f>
        <v>0</v>
      </c>
      <c r="AC118" s="65" t="n">
        <f aca="false">IF(OR($B118="",$E118="",$F118=""),0,MAX(0,MIN($F118,EOMONTH(DATE(cfg_FY,8,1),0))-MAX($E118,DATE(cfg_FY,8,1))+1)*(1-IF($M118="نعم",0,N($J118))))</f>
        <v>0</v>
      </c>
      <c r="AD118" s="65" t="n">
        <f aca="false">IF(OR($B118="",$E118="",$F118=""),0,MAX(0,MIN($F118,EOMONTH(DATE(cfg_FY,9,1),0))-MAX($E118,DATE(cfg_FY,9,1))+1)*(1-IF($M118="نعم",0,N($J118))))</f>
        <v>0</v>
      </c>
      <c r="AE118" s="65" t="n">
        <f aca="false">IF(OR($B118="",$E118="",$F118=""),0,MAX(0,MIN($F118,EOMONTH(DATE(cfg_FY,10,1),0))-MAX($E118,DATE(cfg_FY,10,1))+1)*(1-IF($M118="نعم",0,N($J118))))</f>
        <v>0</v>
      </c>
      <c r="AF118" s="65" t="n">
        <f aca="false">IF(OR($B118="",$E118="",$F118=""),0,MAX(0,MIN($F118,EOMONTH(DATE(cfg_FY,11,1),0))-MAX($E118,DATE(cfg_FY,11,1))+1)*(1-IF($M118="نعم",0,N($J118))))</f>
        <v>0</v>
      </c>
      <c r="AG118" s="65" t="n">
        <f aca="false">IF(OR($B118="",$E118="",$F118=""),0,MAX(0,MIN($F118,EOMONTH(DATE(cfg_FY,12,1),0))-MAX($E118,DATE(cfg_FY,12,1))+1)*(1-IF($M118="نعم",0,N($J118))))</f>
        <v>0</v>
      </c>
      <c r="AH118" s="65" t="n">
        <f aca="false">IF(OR(OR($B118="",$E118="",$F118=""),$L118&lt;&gt;"لا"),0,MAX(0,MIN($F118,EOMONTH(DATE(cfg_FY,1,1),0))-$E118+1))</f>
        <v>0</v>
      </c>
      <c r="AI118" s="65" t="n">
        <f aca="false">IF(OR(OR($B118="",$E118="",$F118=""),$L118&lt;&gt;"لا"),0,MAX(0,MIN($F118,EOMONTH(DATE(cfg_FY,2,1),0))-$E118+1))</f>
        <v>0</v>
      </c>
      <c r="AJ118" s="65" t="n">
        <f aca="false">IF(OR(OR($B118="",$E118="",$F118=""),$L118&lt;&gt;"لا"),0,MAX(0,MIN($F118,EOMONTH(DATE(cfg_FY,3,1),0))-$E118+1))</f>
        <v>0</v>
      </c>
      <c r="AK118" s="65" t="n">
        <f aca="false">IF(OR(OR($B118="",$E118="",$F118=""),$L118&lt;&gt;"لا"),0,MAX(0,MIN($F118,EOMONTH(DATE(cfg_FY,4,1),0))-$E118+1))</f>
        <v>0</v>
      </c>
      <c r="AL118" s="65" t="n">
        <f aca="false">IF(OR(OR($B118="",$E118="",$F118=""),$L118&lt;&gt;"لا"),0,MAX(0,MIN($F118,EOMONTH(DATE(cfg_FY,5,1),0))-$E118+1))</f>
        <v>0</v>
      </c>
      <c r="AM118" s="65" t="n">
        <f aca="false">IF(OR(OR($B118="",$E118="",$F118=""),$L118&lt;&gt;"لا"),0,MAX(0,MIN($F118,EOMONTH(DATE(cfg_FY,6,1),0))-$E118+1))</f>
        <v>0</v>
      </c>
      <c r="AN118" s="65" t="n">
        <f aca="false">IF(OR(OR($B118="",$E118="",$F118=""),$L118&lt;&gt;"لا"),0,MAX(0,MIN($F118,EOMONTH(DATE(cfg_FY,7,1),0))-$E118+1))</f>
        <v>0</v>
      </c>
      <c r="AO118" s="65" t="n">
        <f aca="false">IF(OR(OR($B118="",$E118="",$F118=""),$L118&lt;&gt;"لا"),0,MAX(0,MIN($F118,EOMONTH(DATE(cfg_FY,8,1),0))-$E118+1))</f>
        <v>0</v>
      </c>
      <c r="AP118" s="65" t="n">
        <f aca="false">IF(OR(OR($B118="",$E118="",$F118=""),$L118&lt;&gt;"لا"),0,MAX(0,MIN($F118,EOMONTH(DATE(cfg_FY,9,1),0))-$E118+1))</f>
        <v>0</v>
      </c>
      <c r="AQ118" s="65" t="n">
        <f aca="false">IF(OR(OR($B118="",$E118="",$F118=""),$L118&lt;&gt;"لا"),0,MAX(0,MIN($F118,EOMONTH(DATE(cfg_FY,10,1),0))-$E118+1))</f>
        <v>0</v>
      </c>
      <c r="AR118" s="65" t="n">
        <f aca="false">IF(OR(OR($B118="",$E118="",$F118=""),$L118&lt;&gt;"لا"),0,MAX(0,MIN($F118,EOMONTH(DATE(cfg_FY,11,1),0))-$E118+1))</f>
        <v>0</v>
      </c>
      <c r="AS118" s="65" t="n">
        <f aca="false">IF(OR(OR($B118="",$E118="",$F118=""),$L118&lt;&gt;"لا"),0,MAX(0,MIN($F118,EOMONTH(DATE(cfg_FY,12,1),0))-$E118+1))</f>
        <v>0</v>
      </c>
      <c r="AT118" s="65" t="n">
        <f aca="false">IF(OR(OR($B118="",$E118="",$F118=""),$K118&lt;&gt;"نعم",$M118="نعم"),0,MAX(0,MIN($F118,EOMONTH(DATE(cfg_FY,1,1),0))-MAX($E118,DATE(cfg_FY,1,1))+1))</f>
        <v>0</v>
      </c>
      <c r="AU118" s="65" t="n">
        <f aca="false">IF(OR(OR($B118="",$E118="",$F118=""),$K118&lt;&gt;"نعم",$M118="نعم"),0,MAX(0,MIN($F118,EOMONTH(DATE(cfg_FY,2,1),0))-MAX($E118,DATE(cfg_FY,2,1))+1))</f>
        <v>0</v>
      </c>
      <c r="AV118" s="65" t="n">
        <f aca="false">IF(OR(OR($B118="",$E118="",$F118=""),$K118&lt;&gt;"نعم",$M118="نعم"),0,MAX(0,MIN($F118,EOMONTH(DATE(cfg_FY,3,1),0))-MAX($E118,DATE(cfg_FY,3,1))+1))</f>
        <v>0</v>
      </c>
      <c r="AW118" s="65" t="n">
        <f aca="false">IF(OR(OR($B118="",$E118="",$F118=""),$K118&lt;&gt;"نعم",$M118="نعم"),0,MAX(0,MIN($F118,EOMONTH(DATE(cfg_FY,4,1),0))-MAX($E118,DATE(cfg_FY,4,1))+1))</f>
        <v>0</v>
      </c>
      <c r="AX118" s="65" t="n">
        <f aca="false">IF(OR(OR($B118="",$E118="",$F118=""),$K118&lt;&gt;"نعم",$M118="نعم"),0,MAX(0,MIN($F118,EOMONTH(DATE(cfg_FY,5,1),0))-MAX($E118,DATE(cfg_FY,5,1))+1))</f>
        <v>0</v>
      </c>
      <c r="AY118" s="65" t="n">
        <f aca="false">IF(OR(OR($B118="",$E118="",$F118=""),$K118&lt;&gt;"نعم",$M118="نعم"),0,MAX(0,MIN($F118,EOMONTH(DATE(cfg_FY,6,1),0))-MAX($E118,DATE(cfg_FY,6,1))+1))</f>
        <v>0</v>
      </c>
      <c r="AZ118" s="65" t="n">
        <f aca="false">IF(OR(OR($B118="",$E118="",$F118=""),$K118&lt;&gt;"نعم",$M118="نعم"),0,MAX(0,MIN($F118,EOMONTH(DATE(cfg_FY,7,1),0))-MAX($E118,DATE(cfg_FY,7,1))+1))</f>
        <v>0</v>
      </c>
      <c r="BA118" s="65" t="n">
        <f aca="false">IF(OR(OR($B118="",$E118="",$F118=""),$K118&lt;&gt;"نعم",$M118="نعم"),0,MAX(0,MIN($F118,EOMONTH(DATE(cfg_FY,8,1),0))-MAX($E118,DATE(cfg_FY,8,1))+1))</f>
        <v>0</v>
      </c>
      <c r="BB118" s="65" t="n">
        <f aca="false">IF(OR(OR($B118="",$E118="",$F118=""),$K118&lt;&gt;"نعم",$M118="نعم"),0,MAX(0,MIN($F118,EOMONTH(DATE(cfg_FY,9,1),0))-MAX($E118,DATE(cfg_FY,9,1))+1))</f>
        <v>0</v>
      </c>
      <c r="BC118" s="65" t="n">
        <f aca="false">IF(OR(OR($B118="",$E118="",$F118=""),$K118&lt;&gt;"نعم",$M118="نعم"),0,MAX(0,MIN($F118,EOMONTH(DATE(cfg_FY,10,1),0))-MAX($E118,DATE(cfg_FY,10,1))+1))</f>
        <v>0</v>
      </c>
      <c r="BD118" s="65" t="n">
        <f aca="false">IF(OR(OR($B118="",$E118="",$F118=""),$K118&lt;&gt;"نعم",$M118="نعم"),0,MAX(0,MIN($F118,EOMONTH(DATE(cfg_FY,11,1),0))-MAX($E118,DATE(cfg_FY,11,1))+1))</f>
        <v>0</v>
      </c>
      <c r="BE118" s="65" t="n">
        <f aca="false">IF(OR(OR($B118="",$E118="",$F118=""),$K118&lt;&gt;"نعم",$M118="نعم"),0,MAX(0,MIN($F118,EOMONTH(DATE(cfg_FY,12,1),0))-MAX($E118,DATE(cfg_FY,12,1))+1))</f>
        <v>0</v>
      </c>
    </row>
    <row r="119" customFormat="false" ht="15" hidden="false" customHeight="false" outlineLevel="0" collapsed="false">
      <c r="A119" s="115" t="str">
        <f aca="false">IF(B119="","",ROW()-5)</f>
        <v/>
      </c>
      <c r="B119" s="118"/>
      <c r="C119" s="117" t="str">
        <f aca="false">IF(B119="","",IFERROR(INDEX(الموظفون!$C$6:$C$105,MATCH(B119,الموظفون!$B$6:$B$105,0)),"✖ رقم غير موجود"))</f>
        <v/>
      </c>
      <c r="D119" s="118"/>
      <c r="E119" s="119"/>
      <c r="F119" s="119"/>
      <c r="G119" s="133" t="str">
        <f aca="false">IF(OR($B119="",$E119="",$F119=""),"",MAX(0,F119-E119+1))</f>
        <v/>
      </c>
      <c r="H119" s="134" t="str">
        <f aca="false">IF(D119="","",IFERROR(VLOOKUP(D119,cfg_LT,2,FALSE()),1))</f>
        <v/>
      </c>
      <c r="I119" s="135"/>
      <c r="J119" s="134" t="str">
        <f aca="false">IF(D119="","",IF(I119&lt;&gt;"",I119,H119))</f>
        <v/>
      </c>
      <c r="K119" s="117" t="str">
        <f aca="false">IF(D119="","",IFERROR(VLOOKUP($D119,cfg_LT,3,FALSE()),""))</f>
        <v/>
      </c>
      <c r="L119" s="117" t="str">
        <f aca="false">IF(D119="","",IFERROR(VLOOKUP($D119,cfg_LT,4,FALSE()),""))</f>
        <v/>
      </c>
      <c r="M119" s="117" t="str">
        <f aca="false">IF(D119="","",IFERROR(VLOOKUP($D119,cfg_LT,5,FALSE()),""))</f>
        <v/>
      </c>
      <c r="N119" s="116" t="n">
        <f aca="false">IF(OR(OR($B119="",$E119="",$F119=""),M119&lt;&gt;"نعم"),0,G119*J119*IFERROR(INDEX(الموظفون!$R$6:$R$105,MATCH(B119,الموظفون!$B$6:$B$105,0)),0)/cfg_DAYS_M)</f>
        <v>0</v>
      </c>
      <c r="O119" s="115" t="str">
        <f aca="false">IF(OR(OR($B119="",$E119="",$F119=""),M119&lt;&gt;"نعم"),"",IF(YEAR(E119)=cfg_FY,MONTH(E119),""))</f>
        <v/>
      </c>
      <c r="P119" s="117" t="str">
        <f aca="false">IF(B119="","",IF(OR(D119="",E119="",F119=""),"⚠ أكمل النوع والتواريخ",IF(F119&lt;E119,"✖ النهاية قبل البداية",IF(COUNTIFS($B$6:$B$505,B119,$E$6:$E$505,"&lt;="&amp;F119,$F$6:$F$505,"&gt;="&amp;E119)&gt;1,"⚠ تداخل مع سجل آخر",IF(E119&gt;cfg_VAL_DATE,"⏳ قادمة",IF(F119&lt;cfg_VAL_DATE,"✔ منتهية","✈ جارية في تاريخ التقرير"))))))</f>
        <v/>
      </c>
      <c r="Q119" s="118"/>
      <c r="R119" s="133" t="n">
        <f aca="false">IF(OR(OR($B119="",$E119="",$F119=""),L119&lt;&gt;"لا"),0,MAX(0,MIN(F119,cfg_Y_START-1)-E119+1))</f>
        <v>0</v>
      </c>
      <c r="S119" s="133" t="n">
        <f aca="false">IF(OR(OR($B119="",$E119="",$F119=""),L119&lt;&gt;"لا"),0,MAX(0,MIN(F119,cfg_VAL_DATE)-E119+1))</f>
        <v>0</v>
      </c>
      <c r="T119" s="133" t="n">
        <f aca="false">IF(OR(OR($B119="",$E119="",$F119=""),K119&lt;&gt;"نعم"),0,IF(M119="نعم",IF(AND(ISNUMBER(O119),N(O119)&lt;=cfg_VAL_M),G119,0),MAX(0,MIN(F119,cfg_VAL_DATE)-MAX(E119,cfg_Y_START)+1)))</f>
        <v>0</v>
      </c>
      <c r="V119" s="133" t="n">
        <f aca="false">IF(OR($B119="",$E119="",$F119=""),0,MAX(0,MIN($F119,EOMONTH(DATE(cfg_FY,1,1),0))-MAX($E119,DATE(cfg_FY,1,1))+1)*(1-IF($M119="نعم",0,N($J119))))</f>
        <v>0</v>
      </c>
      <c r="W119" s="133" t="n">
        <f aca="false">IF(OR($B119="",$E119="",$F119=""),0,MAX(0,MIN($F119,EOMONTH(DATE(cfg_FY,2,1),0))-MAX($E119,DATE(cfg_FY,2,1))+1)*(1-IF($M119="نعم",0,N($J119))))</f>
        <v>0</v>
      </c>
      <c r="X119" s="133" t="n">
        <f aca="false">IF(OR($B119="",$E119="",$F119=""),0,MAX(0,MIN($F119,EOMONTH(DATE(cfg_FY,3,1),0))-MAX($E119,DATE(cfg_FY,3,1))+1)*(1-IF($M119="نعم",0,N($J119))))</f>
        <v>0</v>
      </c>
      <c r="Y119" s="133" t="n">
        <f aca="false">IF(OR($B119="",$E119="",$F119=""),0,MAX(0,MIN($F119,EOMONTH(DATE(cfg_FY,4,1),0))-MAX($E119,DATE(cfg_FY,4,1))+1)*(1-IF($M119="نعم",0,N($J119))))</f>
        <v>0</v>
      </c>
      <c r="Z119" s="133" t="n">
        <f aca="false">IF(OR($B119="",$E119="",$F119=""),0,MAX(0,MIN($F119,EOMONTH(DATE(cfg_FY,5,1),0))-MAX($E119,DATE(cfg_FY,5,1))+1)*(1-IF($M119="نعم",0,N($J119))))</f>
        <v>0</v>
      </c>
      <c r="AA119" s="133" t="n">
        <f aca="false">IF(OR($B119="",$E119="",$F119=""),0,MAX(0,MIN($F119,EOMONTH(DATE(cfg_FY,6,1),0))-MAX($E119,DATE(cfg_FY,6,1))+1)*(1-IF($M119="نعم",0,N($J119))))</f>
        <v>0</v>
      </c>
      <c r="AB119" s="133" t="n">
        <f aca="false">IF(OR($B119="",$E119="",$F119=""),0,MAX(0,MIN($F119,EOMONTH(DATE(cfg_FY,7,1),0))-MAX($E119,DATE(cfg_FY,7,1))+1)*(1-IF($M119="نعم",0,N($J119))))</f>
        <v>0</v>
      </c>
      <c r="AC119" s="133" t="n">
        <f aca="false">IF(OR($B119="",$E119="",$F119=""),0,MAX(0,MIN($F119,EOMONTH(DATE(cfg_FY,8,1),0))-MAX($E119,DATE(cfg_FY,8,1))+1)*(1-IF($M119="نعم",0,N($J119))))</f>
        <v>0</v>
      </c>
      <c r="AD119" s="133" t="n">
        <f aca="false">IF(OR($B119="",$E119="",$F119=""),0,MAX(0,MIN($F119,EOMONTH(DATE(cfg_FY,9,1),0))-MAX($E119,DATE(cfg_FY,9,1))+1)*(1-IF($M119="نعم",0,N($J119))))</f>
        <v>0</v>
      </c>
      <c r="AE119" s="133" t="n">
        <f aca="false">IF(OR($B119="",$E119="",$F119=""),0,MAX(0,MIN($F119,EOMONTH(DATE(cfg_FY,10,1),0))-MAX($E119,DATE(cfg_FY,10,1))+1)*(1-IF($M119="نعم",0,N($J119))))</f>
        <v>0</v>
      </c>
      <c r="AF119" s="133" t="n">
        <f aca="false">IF(OR($B119="",$E119="",$F119=""),0,MAX(0,MIN($F119,EOMONTH(DATE(cfg_FY,11,1),0))-MAX($E119,DATE(cfg_FY,11,1))+1)*(1-IF($M119="نعم",0,N($J119))))</f>
        <v>0</v>
      </c>
      <c r="AG119" s="133" t="n">
        <f aca="false">IF(OR($B119="",$E119="",$F119=""),0,MAX(0,MIN($F119,EOMONTH(DATE(cfg_FY,12,1),0))-MAX($E119,DATE(cfg_FY,12,1))+1)*(1-IF($M119="نعم",0,N($J119))))</f>
        <v>0</v>
      </c>
      <c r="AH119" s="133" t="n">
        <f aca="false">IF(OR(OR($B119="",$E119="",$F119=""),$L119&lt;&gt;"لا"),0,MAX(0,MIN($F119,EOMONTH(DATE(cfg_FY,1,1),0))-$E119+1))</f>
        <v>0</v>
      </c>
      <c r="AI119" s="133" t="n">
        <f aca="false">IF(OR(OR($B119="",$E119="",$F119=""),$L119&lt;&gt;"لا"),0,MAX(0,MIN($F119,EOMONTH(DATE(cfg_FY,2,1),0))-$E119+1))</f>
        <v>0</v>
      </c>
      <c r="AJ119" s="133" t="n">
        <f aca="false">IF(OR(OR($B119="",$E119="",$F119=""),$L119&lt;&gt;"لا"),0,MAX(0,MIN($F119,EOMONTH(DATE(cfg_FY,3,1),0))-$E119+1))</f>
        <v>0</v>
      </c>
      <c r="AK119" s="133" t="n">
        <f aca="false">IF(OR(OR($B119="",$E119="",$F119=""),$L119&lt;&gt;"لا"),0,MAX(0,MIN($F119,EOMONTH(DATE(cfg_FY,4,1),0))-$E119+1))</f>
        <v>0</v>
      </c>
      <c r="AL119" s="133" t="n">
        <f aca="false">IF(OR(OR($B119="",$E119="",$F119=""),$L119&lt;&gt;"لا"),0,MAX(0,MIN($F119,EOMONTH(DATE(cfg_FY,5,1),0))-$E119+1))</f>
        <v>0</v>
      </c>
      <c r="AM119" s="133" t="n">
        <f aca="false">IF(OR(OR($B119="",$E119="",$F119=""),$L119&lt;&gt;"لا"),0,MAX(0,MIN($F119,EOMONTH(DATE(cfg_FY,6,1),0))-$E119+1))</f>
        <v>0</v>
      </c>
      <c r="AN119" s="133" t="n">
        <f aca="false">IF(OR(OR($B119="",$E119="",$F119=""),$L119&lt;&gt;"لا"),0,MAX(0,MIN($F119,EOMONTH(DATE(cfg_FY,7,1),0))-$E119+1))</f>
        <v>0</v>
      </c>
      <c r="AO119" s="133" t="n">
        <f aca="false">IF(OR(OR($B119="",$E119="",$F119=""),$L119&lt;&gt;"لا"),0,MAX(0,MIN($F119,EOMONTH(DATE(cfg_FY,8,1),0))-$E119+1))</f>
        <v>0</v>
      </c>
      <c r="AP119" s="133" t="n">
        <f aca="false">IF(OR(OR($B119="",$E119="",$F119=""),$L119&lt;&gt;"لا"),0,MAX(0,MIN($F119,EOMONTH(DATE(cfg_FY,9,1),0))-$E119+1))</f>
        <v>0</v>
      </c>
      <c r="AQ119" s="133" t="n">
        <f aca="false">IF(OR(OR($B119="",$E119="",$F119=""),$L119&lt;&gt;"لا"),0,MAX(0,MIN($F119,EOMONTH(DATE(cfg_FY,10,1),0))-$E119+1))</f>
        <v>0</v>
      </c>
      <c r="AR119" s="133" t="n">
        <f aca="false">IF(OR(OR($B119="",$E119="",$F119=""),$L119&lt;&gt;"لا"),0,MAX(0,MIN($F119,EOMONTH(DATE(cfg_FY,11,1),0))-$E119+1))</f>
        <v>0</v>
      </c>
      <c r="AS119" s="133" t="n">
        <f aca="false">IF(OR(OR($B119="",$E119="",$F119=""),$L119&lt;&gt;"لا"),0,MAX(0,MIN($F119,EOMONTH(DATE(cfg_FY,12,1),0))-$E119+1))</f>
        <v>0</v>
      </c>
      <c r="AT119" s="133" t="n">
        <f aca="false">IF(OR(OR($B119="",$E119="",$F119=""),$K119&lt;&gt;"نعم",$M119="نعم"),0,MAX(0,MIN($F119,EOMONTH(DATE(cfg_FY,1,1),0))-MAX($E119,DATE(cfg_FY,1,1))+1))</f>
        <v>0</v>
      </c>
      <c r="AU119" s="133" t="n">
        <f aca="false">IF(OR(OR($B119="",$E119="",$F119=""),$K119&lt;&gt;"نعم",$M119="نعم"),0,MAX(0,MIN($F119,EOMONTH(DATE(cfg_FY,2,1),0))-MAX($E119,DATE(cfg_FY,2,1))+1))</f>
        <v>0</v>
      </c>
      <c r="AV119" s="133" t="n">
        <f aca="false">IF(OR(OR($B119="",$E119="",$F119=""),$K119&lt;&gt;"نعم",$M119="نعم"),0,MAX(0,MIN($F119,EOMONTH(DATE(cfg_FY,3,1),0))-MAX($E119,DATE(cfg_FY,3,1))+1))</f>
        <v>0</v>
      </c>
      <c r="AW119" s="133" t="n">
        <f aca="false">IF(OR(OR($B119="",$E119="",$F119=""),$K119&lt;&gt;"نعم",$M119="نعم"),0,MAX(0,MIN($F119,EOMONTH(DATE(cfg_FY,4,1),0))-MAX($E119,DATE(cfg_FY,4,1))+1))</f>
        <v>0</v>
      </c>
      <c r="AX119" s="133" t="n">
        <f aca="false">IF(OR(OR($B119="",$E119="",$F119=""),$K119&lt;&gt;"نعم",$M119="نعم"),0,MAX(0,MIN($F119,EOMONTH(DATE(cfg_FY,5,1),0))-MAX($E119,DATE(cfg_FY,5,1))+1))</f>
        <v>0</v>
      </c>
      <c r="AY119" s="133" t="n">
        <f aca="false">IF(OR(OR($B119="",$E119="",$F119=""),$K119&lt;&gt;"نعم",$M119="نعم"),0,MAX(0,MIN($F119,EOMONTH(DATE(cfg_FY,6,1),0))-MAX($E119,DATE(cfg_FY,6,1))+1))</f>
        <v>0</v>
      </c>
      <c r="AZ119" s="133" t="n">
        <f aca="false">IF(OR(OR($B119="",$E119="",$F119=""),$K119&lt;&gt;"نعم",$M119="نعم"),0,MAX(0,MIN($F119,EOMONTH(DATE(cfg_FY,7,1),0))-MAX($E119,DATE(cfg_FY,7,1))+1))</f>
        <v>0</v>
      </c>
      <c r="BA119" s="133" t="n">
        <f aca="false">IF(OR(OR($B119="",$E119="",$F119=""),$K119&lt;&gt;"نعم",$M119="نعم"),0,MAX(0,MIN($F119,EOMONTH(DATE(cfg_FY,8,1),0))-MAX($E119,DATE(cfg_FY,8,1))+1))</f>
        <v>0</v>
      </c>
      <c r="BB119" s="133" t="n">
        <f aca="false">IF(OR(OR($B119="",$E119="",$F119=""),$K119&lt;&gt;"نعم",$M119="نعم"),0,MAX(0,MIN($F119,EOMONTH(DATE(cfg_FY,9,1),0))-MAX($E119,DATE(cfg_FY,9,1))+1))</f>
        <v>0</v>
      </c>
      <c r="BC119" s="133" t="n">
        <f aca="false">IF(OR(OR($B119="",$E119="",$F119=""),$K119&lt;&gt;"نعم",$M119="نعم"),0,MAX(0,MIN($F119,EOMONTH(DATE(cfg_FY,10,1),0))-MAX($E119,DATE(cfg_FY,10,1))+1))</f>
        <v>0</v>
      </c>
      <c r="BD119" s="133" t="n">
        <f aca="false">IF(OR(OR($B119="",$E119="",$F119=""),$K119&lt;&gt;"نعم",$M119="نعم"),0,MAX(0,MIN($F119,EOMONTH(DATE(cfg_FY,11,1),0))-MAX($E119,DATE(cfg_FY,11,1))+1))</f>
        <v>0</v>
      </c>
      <c r="BE119" s="133" t="n">
        <f aca="false">IF(OR(OR($B119="",$E119="",$F119=""),$K119&lt;&gt;"نعم",$M119="نعم"),0,MAX(0,MIN($F119,EOMONTH(DATE(cfg_FY,12,1),0))-MAX($E119,DATE(cfg_FY,12,1))+1))</f>
        <v>0</v>
      </c>
    </row>
    <row r="120" customFormat="false" ht="15" hidden="false" customHeight="false" outlineLevel="0" collapsed="false">
      <c r="A120" s="106" t="str">
        <f aca="false">IF(B120="","",ROW()-5)</f>
        <v/>
      </c>
      <c r="B120" s="118"/>
      <c r="C120" s="114" t="str">
        <f aca="false">IF(B120="","",IFERROR(INDEX(الموظفون!$C$6:$C$105,MATCH(B120,الموظفون!$B$6:$B$105,0)),"✖ رقم غير موجود"))</f>
        <v/>
      </c>
      <c r="D120" s="118"/>
      <c r="E120" s="119"/>
      <c r="F120" s="119"/>
      <c r="G120" s="65" t="str">
        <f aca="false">IF(OR($B120="",$E120="",$F120=""),"",MAX(0,F120-E120+1))</f>
        <v/>
      </c>
      <c r="H120" s="66" t="str">
        <f aca="false">IF(D120="","",IFERROR(VLOOKUP(D120,cfg_LT,2,FALSE()),1))</f>
        <v/>
      </c>
      <c r="I120" s="135"/>
      <c r="J120" s="66" t="str">
        <f aca="false">IF(D120="","",IF(I120&lt;&gt;"",I120,H120))</f>
        <v/>
      </c>
      <c r="K120" s="114" t="str">
        <f aca="false">IF(D120="","",IFERROR(VLOOKUP($D120,cfg_LT,3,FALSE()),""))</f>
        <v/>
      </c>
      <c r="L120" s="114" t="str">
        <f aca="false">IF(D120="","",IFERROR(VLOOKUP($D120,cfg_LT,4,FALSE()),""))</f>
        <v/>
      </c>
      <c r="M120" s="114" t="str">
        <f aca="false">IF(D120="","",IFERROR(VLOOKUP($D120,cfg_LT,5,FALSE()),""))</f>
        <v/>
      </c>
      <c r="N120" s="111" t="n">
        <f aca="false">IF(OR(OR($B120="",$E120="",$F120=""),M120&lt;&gt;"نعم"),0,G120*J120*IFERROR(INDEX(الموظفون!$R$6:$R$105,MATCH(B120,الموظفون!$B$6:$B$105,0)),0)/cfg_DAYS_M)</f>
        <v>0</v>
      </c>
      <c r="O120" s="106" t="str">
        <f aca="false">IF(OR(OR($B120="",$E120="",$F120=""),M120&lt;&gt;"نعم"),"",IF(YEAR(E120)=cfg_FY,MONTH(E120),""))</f>
        <v/>
      </c>
      <c r="P120" s="114" t="str">
        <f aca="false">IF(B120="","",IF(OR(D120="",E120="",F120=""),"⚠ أكمل النوع والتواريخ",IF(F120&lt;E120,"✖ النهاية قبل البداية",IF(COUNTIFS($B$6:$B$505,B120,$E$6:$E$505,"&lt;="&amp;F120,$F$6:$F$505,"&gt;="&amp;E120)&gt;1,"⚠ تداخل مع سجل آخر",IF(E120&gt;cfg_VAL_DATE,"⏳ قادمة",IF(F120&lt;cfg_VAL_DATE,"✔ منتهية","✈ جارية في تاريخ التقرير"))))))</f>
        <v/>
      </c>
      <c r="Q120" s="118"/>
      <c r="R120" s="65" t="n">
        <f aca="false">IF(OR(OR($B120="",$E120="",$F120=""),L120&lt;&gt;"لا"),0,MAX(0,MIN(F120,cfg_Y_START-1)-E120+1))</f>
        <v>0</v>
      </c>
      <c r="S120" s="65" t="n">
        <f aca="false">IF(OR(OR($B120="",$E120="",$F120=""),L120&lt;&gt;"لا"),0,MAX(0,MIN(F120,cfg_VAL_DATE)-E120+1))</f>
        <v>0</v>
      </c>
      <c r="T120" s="65" t="n">
        <f aca="false">IF(OR(OR($B120="",$E120="",$F120=""),K120&lt;&gt;"نعم"),0,IF(M120="نعم",IF(AND(ISNUMBER(O120),N(O120)&lt;=cfg_VAL_M),G120,0),MAX(0,MIN(F120,cfg_VAL_DATE)-MAX(E120,cfg_Y_START)+1)))</f>
        <v>0</v>
      </c>
      <c r="V120" s="65" t="n">
        <f aca="false">IF(OR($B120="",$E120="",$F120=""),0,MAX(0,MIN($F120,EOMONTH(DATE(cfg_FY,1,1),0))-MAX($E120,DATE(cfg_FY,1,1))+1)*(1-IF($M120="نعم",0,N($J120))))</f>
        <v>0</v>
      </c>
      <c r="W120" s="65" t="n">
        <f aca="false">IF(OR($B120="",$E120="",$F120=""),0,MAX(0,MIN($F120,EOMONTH(DATE(cfg_FY,2,1),0))-MAX($E120,DATE(cfg_FY,2,1))+1)*(1-IF($M120="نعم",0,N($J120))))</f>
        <v>0</v>
      </c>
      <c r="X120" s="65" t="n">
        <f aca="false">IF(OR($B120="",$E120="",$F120=""),0,MAX(0,MIN($F120,EOMONTH(DATE(cfg_FY,3,1),0))-MAX($E120,DATE(cfg_FY,3,1))+1)*(1-IF($M120="نعم",0,N($J120))))</f>
        <v>0</v>
      </c>
      <c r="Y120" s="65" t="n">
        <f aca="false">IF(OR($B120="",$E120="",$F120=""),0,MAX(0,MIN($F120,EOMONTH(DATE(cfg_FY,4,1),0))-MAX($E120,DATE(cfg_FY,4,1))+1)*(1-IF($M120="نعم",0,N($J120))))</f>
        <v>0</v>
      </c>
      <c r="Z120" s="65" t="n">
        <f aca="false">IF(OR($B120="",$E120="",$F120=""),0,MAX(0,MIN($F120,EOMONTH(DATE(cfg_FY,5,1),0))-MAX($E120,DATE(cfg_FY,5,1))+1)*(1-IF($M120="نعم",0,N($J120))))</f>
        <v>0</v>
      </c>
      <c r="AA120" s="65" t="n">
        <f aca="false">IF(OR($B120="",$E120="",$F120=""),0,MAX(0,MIN($F120,EOMONTH(DATE(cfg_FY,6,1),0))-MAX($E120,DATE(cfg_FY,6,1))+1)*(1-IF($M120="نعم",0,N($J120))))</f>
        <v>0</v>
      </c>
      <c r="AB120" s="65" t="n">
        <f aca="false">IF(OR($B120="",$E120="",$F120=""),0,MAX(0,MIN($F120,EOMONTH(DATE(cfg_FY,7,1),0))-MAX($E120,DATE(cfg_FY,7,1))+1)*(1-IF($M120="نعم",0,N($J120))))</f>
        <v>0</v>
      </c>
      <c r="AC120" s="65" t="n">
        <f aca="false">IF(OR($B120="",$E120="",$F120=""),0,MAX(0,MIN($F120,EOMONTH(DATE(cfg_FY,8,1),0))-MAX($E120,DATE(cfg_FY,8,1))+1)*(1-IF($M120="نعم",0,N($J120))))</f>
        <v>0</v>
      </c>
      <c r="AD120" s="65" t="n">
        <f aca="false">IF(OR($B120="",$E120="",$F120=""),0,MAX(0,MIN($F120,EOMONTH(DATE(cfg_FY,9,1),0))-MAX($E120,DATE(cfg_FY,9,1))+1)*(1-IF($M120="نعم",0,N($J120))))</f>
        <v>0</v>
      </c>
      <c r="AE120" s="65" t="n">
        <f aca="false">IF(OR($B120="",$E120="",$F120=""),0,MAX(0,MIN($F120,EOMONTH(DATE(cfg_FY,10,1),0))-MAX($E120,DATE(cfg_FY,10,1))+1)*(1-IF($M120="نعم",0,N($J120))))</f>
        <v>0</v>
      </c>
      <c r="AF120" s="65" t="n">
        <f aca="false">IF(OR($B120="",$E120="",$F120=""),0,MAX(0,MIN($F120,EOMONTH(DATE(cfg_FY,11,1),0))-MAX($E120,DATE(cfg_FY,11,1))+1)*(1-IF($M120="نعم",0,N($J120))))</f>
        <v>0</v>
      </c>
      <c r="AG120" s="65" t="n">
        <f aca="false">IF(OR($B120="",$E120="",$F120=""),0,MAX(0,MIN($F120,EOMONTH(DATE(cfg_FY,12,1),0))-MAX($E120,DATE(cfg_FY,12,1))+1)*(1-IF($M120="نعم",0,N($J120))))</f>
        <v>0</v>
      </c>
      <c r="AH120" s="65" t="n">
        <f aca="false">IF(OR(OR($B120="",$E120="",$F120=""),$L120&lt;&gt;"لا"),0,MAX(0,MIN($F120,EOMONTH(DATE(cfg_FY,1,1),0))-$E120+1))</f>
        <v>0</v>
      </c>
      <c r="AI120" s="65" t="n">
        <f aca="false">IF(OR(OR($B120="",$E120="",$F120=""),$L120&lt;&gt;"لا"),0,MAX(0,MIN($F120,EOMONTH(DATE(cfg_FY,2,1),0))-$E120+1))</f>
        <v>0</v>
      </c>
      <c r="AJ120" s="65" t="n">
        <f aca="false">IF(OR(OR($B120="",$E120="",$F120=""),$L120&lt;&gt;"لا"),0,MAX(0,MIN($F120,EOMONTH(DATE(cfg_FY,3,1),0))-$E120+1))</f>
        <v>0</v>
      </c>
      <c r="AK120" s="65" t="n">
        <f aca="false">IF(OR(OR($B120="",$E120="",$F120=""),$L120&lt;&gt;"لا"),0,MAX(0,MIN($F120,EOMONTH(DATE(cfg_FY,4,1),0))-$E120+1))</f>
        <v>0</v>
      </c>
      <c r="AL120" s="65" t="n">
        <f aca="false">IF(OR(OR($B120="",$E120="",$F120=""),$L120&lt;&gt;"لا"),0,MAX(0,MIN($F120,EOMONTH(DATE(cfg_FY,5,1),0))-$E120+1))</f>
        <v>0</v>
      </c>
      <c r="AM120" s="65" t="n">
        <f aca="false">IF(OR(OR($B120="",$E120="",$F120=""),$L120&lt;&gt;"لا"),0,MAX(0,MIN($F120,EOMONTH(DATE(cfg_FY,6,1),0))-$E120+1))</f>
        <v>0</v>
      </c>
      <c r="AN120" s="65" t="n">
        <f aca="false">IF(OR(OR($B120="",$E120="",$F120=""),$L120&lt;&gt;"لا"),0,MAX(0,MIN($F120,EOMONTH(DATE(cfg_FY,7,1),0))-$E120+1))</f>
        <v>0</v>
      </c>
      <c r="AO120" s="65" t="n">
        <f aca="false">IF(OR(OR($B120="",$E120="",$F120=""),$L120&lt;&gt;"لا"),0,MAX(0,MIN($F120,EOMONTH(DATE(cfg_FY,8,1),0))-$E120+1))</f>
        <v>0</v>
      </c>
      <c r="AP120" s="65" t="n">
        <f aca="false">IF(OR(OR($B120="",$E120="",$F120=""),$L120&lt;&gt;"لا"),0,MAX(0,MIN($F120,EOMONTH(DATE(cfg_FY,9,1),0))-$E120+1))</f>
        <v>0</v>
      </c>
      <c r="AQ120" s="65" t="n">
        <f aca="false">IF(OR(OR($B120="",$E120="",$F120=""),$L120&lt;&gt;"لا"),0,MAX(0,MIN($F120,EOMONTH(DATE(cfg_FY,10,1),0))-$E120+1))</f>
        <v>0</v>
      </c>
      <c r="AR120" s="65" t="n">
        <f aca="false">IF(OR(OR($B120="",$E120="",$F120=""),$L120&lt;&gt;"لا"),0,MAX(0,MIN($F120,EOMONTH(DATE(cfg_FY,11,1),0))-$E120+1))</f>
        <v>0</v>
      </c>
      <c r="AS120" s="65" t="n">
        <f aca="false">IF(OR(OR($B120="",$E120="",$F120=""),$L120&lt;&gt;"لا"),0,MAX(0,MIN($F120,EOMONTH(DATE(cfg_FY,12,1),0))-$E120+1))</f>
        <v>0</v>
      </c>
      <c r="AT120" s="65" t="n">
        <f aca="false">IF(OR(OR($B120="",$E120="",$F120=""),$K120&lt;&gt;"نعم",$M120="نعم"),0,MAX(0,MIN($F120,EOMONTH(DATE(cfg_FY,1,1),0))-MAX($E120,DATE(cfg_FY,1,1))+1))</f>
        <v>0</v>
      </c>
      <c r="AU120" s="65" t="n">
        <f aca="false">IF(OR(OR($B120="",$E120="",$F120=""),$K120&lt;&gt;"نعم",$M120="نعم"),0,MAX(0,MIN($F120,EOMONTH(DATE(cfg_FY,2,1),0))-MAX($E120,DATE(cfg_FY,2,1))+1))</f>
        <v>0</v>
      </c>
      <c r="AV120" s="65" t="n">
        <f aca="false">IF(OR(OR($B120="",$E120="",$F120=""),$K120&lt;&gt;"نعم",$M120="نعم"),0,MAX(0,MIN($F120,EOMONTH(DATE(cfg_FY,3,1),0))-MAX($E120,DATE(cfg_FY,3,1))+1))</f>
        <v>0</v>
      </c>
      <c r="AW120" s="65" t="n">
        <f aca="false">IF(OR(OR($B120="",$E120="",$F120=""),$K120&lt;&gt;"نعم",$M120="نعم"),0,MAX(0,MIN($F120,EOMONTH(DATE(cfg_FY,4,1),0))-MAX($E120,DATE(cfg_FY,4,1))+1))</f>
        <v>0</v>
      </c>
      <c r="AX120" s="65" t="n">
        <f aca="false">IF(OR(OR($B120="",$E120="",$F120=""),$K120&lt;&gt;"نعم",$M120="نعم"),0,MAX(0,MIN($F120,EOMONTH(DATE(cfg_FY,5,1),0))-MAX($E120,DATE(cfg_FY,5,1))+1))</f>
        <v>0</v>
      </c>
      <c r="AY120" s="65" t="n">
        <f aca="false">IF(OR(OR($B120="",$E120="",$F120=""),$K120&lt;&gt;"نعم",$M120="نعم"),0,MAX(0,MIN($F120,EOMONTH(DATE(cfg_FY,6,1),0))-MAX($E120,DATE(cfg_FY,6,1))+1))</f>
        <v>0</v>
      </c>
      <c r="AZ120" s="65" t="n">
        <f aca="false">IF(OR(OR($B120="",$E120="",$F120=""),$K120&lt;&gt;"نعم",$M120="نعم"),0,MAX(0,MIN($F120,EOMONTH(DATE(cfg_FY,7,1),0))-MAX($E120,DATE(cfg_FY,7,1))+1))</f>
        <v>0</v>
      </c>
      <c r="BA120" s="65" t="n">
        <f aca="false">IF(OR(OR($B120="",$E120="",$F120=""),$K120&lt;&gt;"نعم",$M120="نعم"),0,MAX(0,MIN($F120,EOMONTH(DATE(cfg_FY,8,1),0))-MAX($E120,DATE(cfg_FY,8,1))+1))</f>
        <v>0</v>
      </c>
      <c r="BB120" s="65" t="n">
        <f aca="false">IF(OR(OR($B120="",$E120="",$F120=""),$K120&lt;&gt;"نعم",$M120="نعم"),0,MAX(0,MIN($F120,EOMONTH(DATE(cfg_FY,9,1),0))-MAX($E120,DATE(cfg_FY,9,1))+1))</f>
        <v>0</v>
      </c>
      <c r="BC120" s="65" t="n">
        <f aca="false">IF(OR(OR($B120="",$E120="",$F120=""),$K120&lt;&gt;"نعم",$M120="نعم"),0,MAX(0,MIN($F120,EOMONTH(DATE(cfg_FY,10,1),0))-MAX($E120,DATE(cfg_FY,10,1))+1))</f>
        <v>0</v>
      </c>
      <c r="BD120" s="65" t="n">
        <f aca="false">IF(OR(OR($B120="",$E120="",$F120=""),$K120&lt;&gt;"نعم",$M120="نعم"),0,MAX(0,MIN($F120,EOMONTH(DATE(cfg_FY,11,1),0))-MAX($E120,DATE(cfg_FY,11,1))+1))</f>
        <v>0</v>
      </c>
      <c r="BE120" s="65" t="n">
        <f aca="false">IF(OR(OR($B120="",$E120="",$F120=""),$K120&lt;&gt;"نعم",$M120="نعم"),0,MAX(0,MIN($F120,EOMONTH(DATE(cfg_FY,12,1),0))-MAX($E120,DATE(cfg_FY,12,1))+1))</f>
        <v>0</v>
      </c>
    </row>
    <row r="121" customFormat="false" ht="15" hidden="false" customHeight="false" outlineLevel="0" collapsed="false">
      <c r="A121" s="115" t="str">
        <f aca="false">IF(B121="","",ROW()-5)</f>
        <v/>
      </c>
      <c r="B121" s="118"/>
      <c r="C121" s="117" t="str">
        <f aca="false">IF(B121="","",IFERROR(INDEX(الموظفون!$C$6:$C$105,MATCH(B121,الموظفون!$B$6:$B$105,0)),"✖ رقم غير موجود"))</f>
        <v/>
      </c>
      <c r="D121" s="118"/>
      <c r="E121" s="119"/>
      <c r="F121" s="119"/>
      <c r="G121" s="133" t="str">
        <f aca="false">IF(OR($B121="",$E121="",$F121=""),"",MAX(0,F121-E121+1))</f>
        <v/>
      </c>
      <c r="H121" s="134" t="str">
        <f aca="false">IF(D121="","",IFERROR(VLOOKUP(D121,cfg_LT,2,FALSE()),1))</f>
        <v/>
      </c>
      <c r="I121" s="135"/>
      <c r="J121" s="134" t="str">
        <f aca="false">IF(D121="","",IF(I121&lt;&gt;"",I121,H121))</f>
        <v/>
      </c>
      <c r="K121" s="117" t="str">
        <f aca="false">IF(D121="","",IFERROR(VLOOKUP($D121,cfg_LT,3,FALSE()),""))</f>
        <v/>
      </c>
      <c r="L121" s="117" t="str">
        <f aca="false">IF(D121="","",IFERROR(VLOOKUP($D121,cfg_LT,4,FALSE()),""))</f>
        <v/>
      </c>
      <c r="M121" s="117" t="str">
        <f aca="false">IF(D121="","",IFERROR(VLOOKUP($D121,cfg_LT,5,FALSE()),""))</f>
        <v/>
      </c>
      <c r="N121" s="116" t="n">
        <f aca="false">IF(OR(OR($B121="",$E121="",$F121=""),M121&lt;&gt;"نعم"),0,G121*J121*IFERROR(INDEX(الموظفون!$R$6:$R$105,MATCH(B121,الموظفون!$B$6:$B$105,0)),0)/cfg_DAYS_M)</f>
        <v>0</v>
      </c>
      <c r="O121" s="115" t="str">
        <f aca="false">IF(OR(OR($B121="",$E121="",$F121=""),M121&lt;&gt;"نعم"),"",IF(YEAR(E121)=cfg_FY,MONTH(E121),""))</f>
        <v/>
      </c>
      <c r="P121" s="117" t="str">
        <f aca="false">IF(B121="","",IF(OR(D121="",E121="",F121=""),"⚠ أكمل النوع والتواريخ",IF(F121&lt;E121,"✖ النهاية قبل البداية",IF(COUNTIFS($B$6:$B$505,B121,$E$6:$E$505,"&lt;="&amp;F121,$F$6:$F$505,"&gt;="&amp;E121)&gt;1,"⚠ تداخل مع سجل آخر",IF(E121&gt;cfg_VAL_DATE,"⏳ قادمة",IF(F121&lt;cfg_VAL_DATE,"✔ منتهية","✈ جارية في تاريخ التقرير"))))))</f>
        <v/>
      </c>
      <c r="Q121" s="118"/>
      <c r="R121" s="133" t="n">
        <f aca="false">IF(OR(OR($B121="",$E121="",$F121=""),L121&lt;&gt;"لا"),0,MAX(0,MIN(F121,cfg_Y_START-1)-E121+1))</f>
        <v>0</v>
      </c>
      <c r="S121" s="133" t="n">
        <f aca="false">IF(OR(OR($B121="",$E121="",$F121=""),L121&lt;&gt;"لا"),0,MAX(0,MIN(F121,cfg_VAL_DATE)-E121+1))</f>
        <v>0</v>
      </c>
      <c r="T121" s="133" t="n">
        <f aca="false">IF(OR(OR($B121="",$E121="",$F121=""),K121&lt;&gt;"نعم"),0,IF(M121="نعم",IF(AND(ISNUMBER(O121),N(O121)&lt;=cfg_VAL_M),G121,0),MAX(0,MIN(F121,cfg_VAL_DATE)-MAX(E121,cfg_Y_START)+1)))</f>
        <v>0</v>
      </c>
      <c r="V121" s="133" t="n">
        <f aca="false">IF(OR($B121="",$E121="",$F121=""),0,MAX(0,MIN($F121,EOMONTH(DATE(cfg_FY,1,1),0))-MAX($E121,DATE(cfg_FY,1,1))+1)*(1-IF($M121="نعم",0,N($J121))))</f>
        <v>0</v>
      </c>
      <c r="W121" s="133" t="n">
        <f aca="false">IF(OR($B121="",$E121="",$F121=""),0,MAX(0,MIN($F121,EOMONTH(DATE(cfg_FY,2,1),0))-MAX($E121,DATE(cfg_FY,2,1))+1)*(1-IF($M121="نعم",0,N($J121))))</f>
        <v>0</v>
      </c>
      <c r="X121" s="133" t="n">
        <f aca="false">IF(OR($B121="",$E121="",$F121=""),0,MAX(0,MIN($F121,EOMONTH(DATE(cfg_FY,3,1),0))-MAX($E121,DATE(cfg_FY,3,1))+1)*(1-IF($M121="نعم",0,N($J121))))</f>
        <v>0</v>
      </c>
      <c r="Y121" s="133" t="n">
        <f aca="false">IF(OR($B121="",$E121="",$F121=""),0,MAX(0,MIN($F121,EOMONTH(DATE(cfg_FY,4,1),0))-MAX($E121,DATE(cfg_FY,4,1))+1)*(1-IF($M121="نعم",0,N($J121))))</f>
        <v>0</v>
      </c>
      <c r="Z121" s="133" t="n">
        <f aca="false">IF(OR($B121="",$E121="",$F121=""),0,MAX(0,MIN($F121,EOMONTH(DATE(cfg_FY,5,1),0))-MAX($E121,DATE(cfg_FY,5,1))+1)*(1-IF($M121="نعم",0,N($J121))))</f>
        <v>0</v>
      </c>
      <c r="AA121" s="133" t="n">
        <f aca="false">IF(OR($B121="",$E121="",$F121=""),0,MAX(0,MIN($F121,EOMONTH(DATE(cfg_FY,6,1),0))-MAX($E121,DATE(cfg_FY,6,1))+1)*(1-IF($M121="نعم",0,N($J121))))</f>
        <v>0</v>
      </c>
      <c r="AB121" s="133" t="n">
        <f aca="false">IF(OR($B121="",$E121="",$F121=""),0,MAX(0,MIN($F121,EOMONTH(DATE(cfg_FY,7,1),0))-MAX($E121,DATE(cfg_FY,7,1))+1)*(1-IF($M121="نعم",0,N($J121))))</f>
        <v>0</v>
      </c>
      <c r="AC121" s="133" t="n">
        <f aca="false">IF(OR($B121="",$E121="",$F121=""),0,MAX(0,MIN($F121,EOMONTH(DATE(cfg_FY,8,1),0))-MAX($E121,DATE(cfg_FY,8,1))+1)*(1-IF($M121="نعم",0,N($J121))))</f>
        <v>0</v>
      </c>
      <c r="AD121" s="133" t="n">
        <f aca="false">IF(OR($B121="",$E121="",$F121=""),0,MAX(0,MIN($F121,EOMONTH(DATE(cfg_FY,9,1),0))-MAX($E121,DATE(cfg_FY,9,1))+1)*(1-IF($M121="نعم",0,N($J121))))</f>
        <v>0</v>
      </c>
      <c r="AE121" s="133" t="n">
        <f aca="false">IF(OR($B121="",$E121="",$F121=""),0,MAX(0,MIN($F121,EOMONTH(DATE(cfg_FY,10,1),0))-MAX($E121,DATE(cfg_FY,10,1))+1)*(1-IF($M121="نعم",0,N($J121))))</f>
        <v>0</v>
      </c>
      <c r="AF121" s="133" t="n">
        <f aca="false">IF(OR($B121="",$E121="",$F121=""),0,MAX(0,MIN($F121,EOMONTH(DATE(cfg_FY,11,1),0))-MAX($E121,DATE(cfg_FY,11,1))+1)*(1-IF($M121="نعم",0,N($J121))))</f>
        <v>0</v>
      </c>
      <c r="AG121" s="133" t="n">
        <f aca="false">IF(OR($B121="",$E121="",$F121=""),0,MAX(0,MIN($F121,EOMONTH(DATE(cfg_FY,12,1),0))-MAX($E121,DATE(cfg_FY,12,1))+1)*(1-IF($M121="نعم",0,N($J121))))</f>
        <v>0</v>
      </c>
      <c r="AH121" s="133" t="n">
        <f aca="false">IF(OR(OR($B121="",$E121="",$F121=""),$L121&lt;&gt;"لا"),0,MAX(0,MIN($F121,EOMONTH(DATE(cfg_FY,1,1),0))-$E121+1))</f>
        <v>0</v>
      </c>
      <c r="AI121" s="133" t="n">
        <f aca="false">IF(OR(OR($B121="",$E121="",$F121=""),$L121&lt;&gt;"لا"),0,MAX(0,MIN($F121,EOMONTH(DATE(cfg_FY,2,1),0))-$E121+1))</f>
        <v>0</v>
      </c>
      <c r="AJ121" s="133" t="n">
        <f aca="false">IF(OR(OR($B121="",$E121="",$F121=""),$L121&lt;&gt;"لا"),0,MAX(0,MIN($F121,EOMONTH(DATE(cfg_FY,3,1),0))-$E121+1))</f>
        <v>0</v>
      </c>
      <c r="AK121" s="133" t="n">
        <f aca="false">IF(OR(OR($B121="",$E121="",$F121=""),$L121&lt;&gt;"لا"),0,MAX(0,MIN($F121,EOMONTH(DATE(cfg_FY,4,1),0))-$E121+1))</f>
        <v>0</v>
      </c>
      <c r="AL121" s="133" t="n">
        <f aca="false">IF(OR(OR($B121="",$E121="",$F121=""),$L121&lt;&gt;"لا"),0,MAX(0,MIN($F121,EOMONTH(DATE(cfg_FY,5,1),0))-$E121+1))</f>
        <v>0</v>
      </c>
      <c r="AM121" s="133" t="n">
        <f aca="false">IF(OR(OR($B121="",$E121="",$F121=""),$L121&lt;&gt;"لا"),0,MAX(0,MIN($F121,EOMONTH(DATE(cfg_FY,6,1),0))-$E121+1))</f>
        <v>0</v>
      </c>
      <c r="AN121" s="133" t="n">
        <f aca="false">IF(OR(OR($B121="",$E121="",$F121=""),$L121&lt;&gt;"لا"),0,MAX(0,MIN($F121,EOMONTH(DATE(cfg_FY,7,1),0))-$E121+1))</f>
        <v>0</v>
      </c>
      <c r="AO121" s="133" t="n">
        <f aca="false">IF(OR(OR($B121="",$E121="",$F121=""),$L121&lt;&gt;"لا"),0,MAX(0,MIN($F121,EOMONTH(DATE(cfg_FY,8,1),0))-$E121+1))</f>
        <v>0</v>
      </c>
      <c r="AP121" s="133" t="n">
        <f aca="false">IF(OR(OR($B121="",$E121="",$F121=""),$L121&lt;&gt;"لا"),0,MAX(0,MIN($F121,EOMONTH(DATE(cfg_FY,9,1),0))-$E121+1))</f>
        <v>0</v>
      </c>
      <c r="AQ121" s="133" t="n">
        <f aca="false">IF(OR(OR($B121="",$E121="",$F121=""),$L121&lt;&gt;"لا"),0,MAX(0,MIN($F121,EOMONTH(DATE(cfg_FY,10,1),0))-$E121+1))</f>
        <v>0</v>
      </c>
      <c r="AR121" s="133" t="n">
        <f aca="false">IF(OR(OR($B121="",$E121="",$F121=""),$L121&lt;&gt;"لا"),0,MAX(0,MIN($F121,EOMONTH(DATE(cfg_FY,11,1),0))-$E121+1))</f>
        <v>0</v>
      </c>
      <c r="AS121" s="133" t="n">
        <f aca="false">IF(OR(OR($B121="",$E121="",$F121=""),$L121&lt;&gt;"لا"),0,MAX(0,MIN($F121,EOMONTH(DATE(cfg_FY,12,1),0))-$E121+1))</f>
        <v>0</v>
      </c>
      <c r="AT121" s="133" t="n">
        <f aca="false">IF(OR(OR($B121="",$E121="",$F121=""),$K121&lt;&gt;"نعم",$M121="نعم"),0,MAX(0,MIN($F121,EOMONTH(DATE(cfg_FY,1,1),0))-MAX($E121,DATE(cfg_FY,1,1))+1))</f>
        <v>0</v>
      </c>
      <c r="AU121" s="133" t="n">
        <f aca="false">IF(OR(OR($B121="",$E121="",$F121=""),$K121&lt;&gt;"نعم",$M121="نعم"),0,MAX(0,MIN($F121,EOMONTH(DATE(cfg_FY,2,1),0))-MAX($E121,DATE(cfg_FY,2,1))+1))</f>
        <v>0</v>
      </c>
      <c r="AV121" s="133" t="n">
        <f aca="false">IF(OR(OR($B121="",$E121="",$F121=""),$K121&lt;&gt;"نعم",$M121="نعم"),0,MAX(0,MIN($F121,EOMONTH(DATE(cfg_FY,3,1),0))-MAX($E121,DATE(cfg_FY,3,1))+1))</f>
        <v>0</v>
      </c>
      <c r="AW121" s="133" t="n">
        <f aca="false">IF(OR(OR($B121="",$E121="",$F121=""),$K121&lt;&gt;"نعم",$M121="نعم"),0,MAX(0,MIN($F121,EOMONTH(DATE(cfg_FY,4,1),0))-MAX($E121,DATE(cfg_FY,4,1))+1))</f>
        <v>0</v>
      </c>
      <c r="AX121" s="133" t="n">
        <f aca="false">IF(OR(OR($B121="",$E121="",$F121=""),$K121&lt;&gt;"نعم",$M121="نعم"),0,MAX(0,MIN($F121,EOMONTH(DATE(cfg_FY,5,1),0))-MAX($E121,DATE(cfg_FY,5,1))+1))</f>
        <v>0</v>
      </c>
      <c r="AY121" s="133" t="n">
        <f aca="false">IF(OR(OR($B121="",$E121="",$F121=""),$K121&lt;&gt;"نعم",$M121="نعم"),0,MAX(0,MIN($F121,EOMONTH(DATE(cfg_FY,6,1),0))-MAX($E121,DATE(cfg_FY,6,1))+1))</f>
        <v>0</v>
      </c>
      <c r="AZ121" s="133" t="n">
        <f aca="false">IF(OR(OR($B121="",$E121="",$F121=""),$K121&lt;&gt;"نعم",$M121="نعم"),0,MAX(0,MIN($F121,EOMONTH(DATE(cfg_FY,7,1),0))-MAX($E121,DATE(cfg_FY,7,1))+1))</f>
        <v>0</v>
      </c>
      <c r="BA121" s="133" t="n">
        <f aca="false">IF(OR(OR($B121="",$E121="",$F121=""),$K121&lt;&gt;"نعم",$M121="نعم"),0,MAX(0,MIN($F121,EOMONTH(DATE(cfg_FY,8,1),0))-MAX($E121,DATE(cfg_FY,8,1))+1))</f>
        <v>0</v>
      </c>
      <c r="BB121" s="133" t="n">
        <f aca="false">IF(OR(OR($B121="",$E121="",$F121=""),$K121&lt;&gt;"نعم",$M121="نعم"),0,MAX(0,MIN($F121,EOMONTH(DATE(cfg_FY,9,1),0))-MAX($E121,DATE(cfg_FY,9,1))+1))</f>
        <v>0</v>
      </c>
      <c r="BC121" s="133" t="n">
        <f aca="false">IF(OR(OR($B121="",$E121="",$F121=""),$K121&lt;&gt;"نعم",$M121="نعم"),0,MAX(0,MIN($F121,EOMONTH(DATE(cfg_FY,10,1),0))-MAX($E121,DATE(cfg_FY,10,1))+1))</f>
        <v>0</v>
      </c>
      <c r="BD121" s="133" t="n">
        <f aca="false">IF(OR(OR($B121="",$E121="",$F121=""),$K121&lt;&gt;"نعم",$M121="نعم"),0,MAX(0,MIN($F121,EOMONTH(DATE(cfg_FY,11,1),0))-MAX($E121,DATE(cfg_FY,11,1))+1))</f>
        <v>0</v>
      </c>
      <c r="BE121" s="133" t="n">
        <f aca="false">IF(OR(OR($B121="",$E121="",$F121=""),$K121&lt;&gt;"نعم",$M121="نعم"),0,MAX(0,MIN($F121,EOMONTH(DATE(cfg_FY,12,1),0))-MAX($E121,DATE(cfg_FY,12,1))+1))</f>
        <v>0</v>
      </c>
    </row>
    <row r="122" customFormat="false" ht="15" hidden="false" customHeight="false" outlineLevel="0" collapsed="false">
      <c r="A122" s="106" t="str">
        <f aca="false">IF(B122="","",ROW()-5)</f>
        <v/>
      </c>
      <c r="B122" s="118"/>
      <c r="C122" s="114" t="str">
        <f aca="false">IF(B122="","",IFERROR(INDEX(الموظفون!$C$6:$C$105,MATCH(B122,الموظفون!$B$6:$B$105,0)),"✖ رقم غير موجود"))</f>
        <v/>
      </c>
      <c r="D122" s="118"/>
      <c r="E122" s="119"/>
      <c r="F122" s="119"/>
      <c r="G122" s="65" t="str">
        <f aca="false">IF(OR($B122="",$E122="",$F122=""),"",MAX(0,F122-E122+1))</f>
        <v/>
      </c>
      <c r="H122" s="66" t="str">
        <f aca="false">IF(D122="","",IFERROR(VLOOKUP(D122,cfg_LT,2,FALSE()),1))</f>
        <v/>
      </c>
      <c r="I122" s="135"/>
      <c r="J122" s="66" t="str">
        <f aca="false">IF(D122="","",IF(I122&lt;&gt;"",I122,H122))</f>
        <v/>
      </c>
      <c r="K122" s="114" t="str">
        <f aca="false">IF(D122="","",IFERROR(VLOOKUP($D122,cfg_LT,3,FALSE()),""))</f>
        <v/>
      </c>
      <c r="L122" s="114" t="str">
        <f aca="false">IF(D122="","",IFERROR(VLOOKUP($D122,cfg_LT,4,FALSE()),""))</f>
        <v/>
      </c>
      <c r="M122" s="114" t="str">
        <f aca="false">IF(D122="","",IFERROR(VLOOKUP($D122,cfg_LT,5,FALSE()),""))</f>
        <v/>
      </c>
      <c r="N122" s="111" t="n">
        <f aca="false">IF(OR(OR($B122="",$E122="",$F122=""),M122&lt;&gt;"نعم"),0,G122*J122*IFERROR(INDEX(الموظفون!$R$6:$R$105,MATCH(B122,الموظفون!$B$6:$B$105,0)),0)/cfg_DAYS_M)</f>
        <v>0</v>
      </c>
      <c r="O122" s="106" t="str">
        <f aca="false">IF(OR(OR($B122="",$E122="",$F122=""),M122&lt;&gt;"نعم"),"",IF(YEAR(E122)=cfg_FY,MONTH(E122),""))</f>
        <v/>
      </c>
      <c r="P122" s="114" t="str">
        <f aca="false">IF(B122="","",IF(OR(D122="",E122="",F122=""),"⚠ أكمل النوع والتواريخ",IF(F122&lt;E122,"✖ النهاية قبل البداية",IF(COUNTIFS($B$6:$B$505,B122,$E$6:$E$505,"&lt;="&amp;F122,$F$6:$F$505,"&gt;="&amp;E122)&gt;1,"⚠ تداخل مع سجل آخر",IF(E122&gt;cfg_VAL_DATE,"⏳ قادمة",IF(F122&lt;cfg_VAL_DATE,"✔ منتهية","✈ جارية في تاريخ التقرير"))))))</f>
        <v/>
      </c>
      <c r="Q122" s="118"/>
      <c r="R122" s="65" t="n">
        <f aca="false">IF(OR(OR($B122="",$E122="",$F122=""),L122&lt;&gt;"لا"),0,MAX(0,MIN(F122,cfg_Y_START-1)-E122+1))</f>
        <v>0</v>
      </c>
      <c r="S122" s="65" t="n">
        <f aca="false">IF(OR(OR($B122="",$E122="",$F122=""),L122&lt;&gt;"لا"),0,MAX(0,MIN(F122,cfg_VAL_DATE)-E122+1))</f>
        <v>0</v>
      </c>
      <c r="T122" s="65" t="n">
        <f aca="false">IF(OR(OR($B122="",$E122="",$F122=""),K122&lt;&gt;"نعم"),0,IF(M122="نعم",IF(AND(ISNUMBER(O122),N(O122)&lt;=cfg_VAL_M),G122,0),MAX(0,MIN(F122,cfg_VAL_DATE)-MAX(E122,cfg_Y_START)+1)))</f>
        <v>0</v>
      </c>
      <c r="V122" s="65" t="n">
        <f aca="false">IF(OR($B122="",$E122="",$F122=""),0,MAX(0,MIN($F122,EOMONTH(DATE(cfg_FY,1,1),0))-MAX($E122,DATE(cfg_FY,1,1))+1)*(1-IF($M122="نعم",0,N($J122))))</f>
        <v>0</v>
      </c>
      <c r="W122" s="65" t="n">
        <f aca="false">IF(OR($B122="",$E122="",$F122=""),0,MAX(0,MIN($F122,EOMONTH(DATE(cfg_FY,2,1),0))-MAX($E122,DATE(cfg_FY,2,1))+1)*(1-IF($M122="نعم",0,N($J122))))</f>
        <v>0</v>
      </c>
      <c r="X122" s="65" t="n">
        <f aca="false">IF(OR($B122="",$E122="",$F122=""),0,MAX(0,MIN($F122,EOMONTH(DATE(cfg_FY,3,1),0))-MAX($E122,DATE(cfg_FY,3,1))+1)*(1-IF($M122="نعم",0,N($J122))))</f>
        <v>0</v>
      </c>
      <c r="Y122" s="65" t="n">
        <f aca="false">IF(OR($B122="",$E122="",$F122=""),0,MAX(0,MIN($F122,EOMONTH(DATE(cfg_FY,4,1),0))-MAX($E122,DATE(cfg_FY,4,1))+1)*(1-IF($M122="نعم",0,N($J122))))</f>
        <v>0</v>
      </c>
      <c r="Z122" s="65" t="n">
        <f aca="false">IF(OR($B122="",$E122="",$F122=""),0,MAX(0,MIN($F122,EOMONTH(DATE(cfg_FY,5,1),0))-MAX($E122,DATE(cfg_FY,5,1))+1)*(1-IF($M122="نعم",0,N($J122))))</f>
        <v>0</v>
      </c>
      <c r="AA122" s="65" t="n">
        <f aca="false">IF(OR($B122="",$E122="",$F122=""),0,MAX(0,MIN($F122,EOMONTH(DATE(cfg_FY,6,1),0))-MAX($E122,DATE(cfg_FY,6,1))+1)*(1-IF($M122="نعم",0,N($J122))))</f>
        <v>0</v>
      </c>
      <c r="AB122" s="65" t="n">
        <f aca="false">IF(OR($B122="",$E122="",$F122=""),0,MAX(0,MIN($F122,EOMONTH(DATE(cfg_FY,7,1),0))-MAX($E122,DATE(cfg_FY,7,1))+1)*(1-IF($M122="نعم",0,N($J122))))</f>
        <v>0</v>
      </c>
      <c r="AC122" s="65" t="n">
        <f aca="false">IF(OR($B122="",$E122="",$F122=""),0,MAX(0,MIN($F122,EOMONTH(DATE(cfg_FY,8,1),0))-MAX($E122,DATE(cfg_FY,8,1))+1)*(1-IF($M122="نعم",0,N($J122))))</f>
        <v>0</v>
      </c>
      <c r="AD122" s="65" t="n">
        <f aca="false">IF(OR($B122="",$E122="",$F122=""),0,MAX(0,MIN($F122,EOMONTH(DATE(cfg_FY,9,1),0))-MAX($E122,DATE(cfg_FY,9,1))+1)*(1-IF($M122="نعم",0,N($J122))))</f>
        <v>0</v>
      </c>
      <c r="AE122" s="65" t="n">
        <f aca="false">IF(OR($B122="",$E122="",$F122=""),0,MAX(0,MIN($F122,EOMONTH(DATE(cfg_FY,10,1),0))-MAX($E122,DATE(cfg_FY,10,1))+1)*(1-IF($M122="نعم",0,N($J122))))</f>
        <v>0</v>
      </c>
      <c r="AF122" s="65" t="n">
        <f aca="false">IF(OR($B122="",$E122="",$F122=""),0,MAX(0,MIN($F122,EOMONTH(DATE(cfg_FY,11,1),0))-MAX($E122,DATE(cfg_FY,11,1))+1)*(1-IF($M122="نعم",0,N($J122))))</f>
        <v>0</v>
      </c>
      <c r="AG122" s="65" t="n">
        <f aca="false">IF(OR($B122="",$E122="",$F122=""),0,MAX(0,MIN($F122,EOMONTH(DATE(cfg_FY,12,1),0))-MAX($E122,DATE(cfg_FY,12,1))+1)*(1-IF($M122="نعم",0,N($J122))))</f>
        <v>0</v>
      </c>
      <c r="AH122" s="65" t="n">
        <f aca="false">IF(OR(OR($B122="",$E122="",$F122=""),$L122&lt;&gt;"لا"),0,MAX(0,MIN($F122,EOMONTH(DATE(cfg_FY,1,1),0))-$E122+1))</f>
        <v>0</v>
      </c>
      <c r="AI122" s="65" t="n">
        <f aca="false">IF(OR(OR($B122="",$E122="",$F122=""),$L122&lt;&gt;"لا"),0,MAX(0,MIN($F122,EOMONTH(DATE(cfg_FY,2,1),0))-$E122+1))</f>
        <v>0</v>
      </c>
      <c r="AJ122" s="65" t="n">
        <f aca="false">IF(OR(OR($B122="",$E122="",$F122=""),$L122&lt;&gt;"لا"),0,MAX(0,MIN($F122,EOMONTH(DATE(cfg_FY,3,1),0))-$E122+1))</f>
        <v>0</v>
      </c>
      <c r="AK122" s="65" t="n">
        <f aca="false">IF(OR(OR($B122="",$E122="",$F122=""),$L122&lt;&gt;"لا"),0,MAX(0,MIN($F122,EOMONTH(DATE(cfg_FY,4,1),0))-$E122+1))</f>
        <v>0</v>
      </c>
      <c r="AL122" s="65" t="n">
        <f aca="false">IF(OR(OR($B122="",$E122="",$F122=""),$L122&lt;&gt;"لا"),0,MAX(0,MIN($F122,EOMONTH(DATE(cfg_FY,5,1),0))-$E122+1))</f>
        <v>0</v>
      </c>
      <c r="AM122" s="65" t="n">
        <f aca="false">IF(OR(OR($B122="",$E122="",$F122=""),$L122&lt;&gt;"لا"),0,MAX(0,MIN($F122,EOMONTH(DATE(cfg_FY,6,1),0))-$E122+1))</f>
        <v>0</v>
      </c>
      <c r="AN122" s="65" t="n">
        <f aca="false">IF(OR(OR($B122="",$E122="",$F122=""),$L122&lt;&gt;"لا"),0,MAX(0,MIN($F122,EOMONTH(DATE(cfg_FY,7,1),0))-$E122+1))</f>
        <v>0</v>
      </c>
      <c r="AO122" s="65" t="n">
        <f aca="false">IF(OR(OR($B122="",$E122="",$F122=""),$L122&lt;&gt;"لا"),0,MAX(0,MIN($F122,EOMONTH(DATE(cfg_FY,8,1),0))-$E122+1))</f>
        <v>0</v>
      </c>
      <c r="AP122" s="65" t="n">
        <f aca="false">IF(OR(OR($B122="",$E122="",$F122=""),$L122&lt;&gt;"لا"),0,MAX(0,MIN($F122,EOMONTH(DATE(cfg_FY,9,1),0))-$E122+1))</f>
        <v>0</v>
      </c>
      <c r="AQ122" s="65" t="n">
        <f aca="false">IF(OR(OR($B122="",$E122="",$F122=""),$L122&lt;&gt;"لا"),0,MAX(0,MIN($F122,EOMONTH(DATE(cfg_FY,10,1),0))-$E122+1))</f>
        <v>0</v>
      </c>
      <c r="AR122" s="65" t="n">
        <f aca="false">IF(OR(OR($B122="",$E122="",$F122=""),$L122&lt;&gt;"لا"),0,MAX(0,MIN($F122,EOMONTH(DATE(cfg_FY,11,1),0))-$E122+1))</f>
        <v>0</v>
      </c>
      <c r="AS122" s="65" t="n">
        <f aca="false">IF(OR(OR($B122="",$E122="",$F122=""),$L122&lt;&gt;"لا"),0,MAX(0,MIN($F122,EOMONTH(DATE(cfg_FY,12,1),0))-$E122+1))</f>
        <v>0</v>
      </c>
      <c r="AT122" s="65" t="n">
        <f aca="false">IF(OR(OR($B122="",$E122="",$F122=""),$K122&lt;&gt;"نعم",$M122="نعم"),0,MAX(0,MIN($F122,EOMONTH(DATE(cfg_FY,1,1),0))-MAX($E122,DATE(cfg_FY,1,1))+1))</f>
        <v>0</v>
      </c>
      <c r="AU122" s="65" t="n">
        <f aca="false">IF(OR(OR($B122="",$E122="",$F122=""),$K122&lt;&gt;"نعم",$M122="نعم"),0,MAX(0,MIN($F122,EOMONTH(DATE(cfg_FY,2,1),0))-MAX($E122,DATE(cfg_FY,2,1))+1))</f>
        <v>0</v>
      </c>
      <c r="AV122" s="65" t="n">
        <f aca="false">IF(OR(OR($B122="",$E122="",$F122=""),$K122&lt;&gt;"نعم",$M122="نعم"),0,MAX(0,MIN($F122,EOMONTH(DATE(cfg_FY,3,1),0))-MAX($E122,DATE(cfg_FY,3,1))+1))</f>
        <v>0</v>
      </c>
      <c r="AW122" s="65" t="n">
        <f aca="false">IF(OR(OR($B122="",$E122="",$F122=""),$K122&lt;&gt;"نعم",$M122="نعم"),0,MAX(0,MIN($F122,EOMONTH(DATE(cfg_FY,4,1),0))-MAX($E122,DATE(cfg_FY,4,1))+1))</f>
        <v>0</v>
      </c>
      <c r="AX122" s="65" t="n">
        <f aca="false">IF(OR(OR($B122="",$E122="",$F122=""),$K122&lt;&gt;"نعم",$M122="نعم"),0,MAX(0,MIN($F122,EOMONTH(DATE(cfg_FY,5,1),0))-MAX($E122,DATE(cfg_FY,5,1))+1))</f>
        <v>0</v>
      </c>
      <c r="AY122" s="65" t="n">
        <f aca="false">IF(OR(OR($B122="",$E122="",$F122=""),$K122&lt;&gt;"نعم",$M122="نعم"),0,MAX(0,MIN($F122,EOMONTH(DATE(cfg_FY,6,1),0))-MAX($E122,DATE(cfg_FY,6,1))+1))</f>
        <v>0</v>
      </c>
      <c r="AZ122" s="65" t="n">
        <f aca="false">IF(OR(OR($B122="",$E122="",$F122=""),$K122&lt;&gt;"نعم",$M122="نعم"),0,MAX(0,MIN($F122,EOMONTH(DATE(cfg_FY,7,1),0))-MAX($E122,DATE(cfg_FY,7,1))+1))</f>
        <v>0</v>
      </c>
      <c r="BA122" s="65" t="n">
        <f aca="false">IF(OR(OR($B122="",$E122="",$F122=""),$K122&lt;&gt;"نعم",$M122="نعم"),0,MAX(0,MIN($F122,EOMONTH(DATE(cfg_FY,8,1),0))-MAX($E122,DATE(cfg_FY,8,1))+1))</f>
        <v>0</v>
      </c>
      <c r="BB122" s="65" t="n">
        <f aca="false">IF(OR(OR($B122="",$E122="",$F122=""),$K122&lt;&gt;"نعم",$M122="نعم"),0,MAX(0,MIN($F122,EOMONTH(DATE(cfg_FY,9,1),0))-MAX($E122,DATE(cfg_FY,9,1))+1))</f>
        <v>0</v>
      </c>
      <c r="BC122" s="65" t="n">
        <f aca="false">IF(OR(OR($B122="",$E122="",$F122=""),$K122&lt;&gt;"نعم",$M122="نعم"),0,MAX(0,MIN($F122,EOMONTH(DATE(cfg_FY,10,1),0))-MAX($E122,DATE(cfg_FY,10,1))+1))</f>
        <v>0</v>
      </c>
      <c r="BD122" s="65" t="n">
        <f aca="false">IF(OR(OR($B122="",$E122="",$F122=""),$K122&lt;&gt;"نعم",$M122="نعم"),0,MAX(0,MIN($F122,EOMONTH(DATE(cfg_FY,11,1),0))-MAX($E122,DATE(cfg_FY,11,1))+1))</f>
        <v>0</v>
      </c>
      <c r="BE122" s="65" t="n">
        <f aca="false">IF(OR(OR($B122="",$E122="",$F122=""),$K122&lt;&gt;"نعم",$M122="نعم"),0,MAX(0,MIN($F122,EOMONTH(DATE(cfg_FY,12,1),0))-MAX($E122,DATE(cfg_FY,12,1))+1))</f>
        <v>0</v>
      </c>
    </row>
    <row r="123" customFormat="false" ht="15" hidden="false" customHeight="false" outlineLevel="0" collapsed="false">
      <c r="A123" s="115" t="str">
        <f aca="false">IF(B123="","",ROW()-5)</f>
        <v/>
      </c>
      <c r="B123" s="118"/>
      <c r="C123" s="117" t="str">
        <f aca="false">IF(B123="","",IFERROR(INDEX(الموظفون!$C$6:$C$105,MATCH(B123,الموظفون!$B$6:$B$105,0)),"✖ رقم غير موجود"))</f>
        <v/>
      </c>
      <c r="D123" s="118"/>
      <c r="E123" s="119"/>
      <c r="F123" s="119"/>
      <c r="G123" s="133" t="str">
        <f aca="false">IF(OR($B123="",$E123="",$F123=""),"",MAX(0,F123-E123+1))</f>
        <v/>
      </c>
      <c r="H123" s="134" t="str">
        <f aca="false">IF(D123="","",IFERROR(VLOOKUP(D123,cfg_LT,2,FALSE()),1))</f>
        <v/>
      </c>
      <c r="I123" s="135"/>
      <c r="J123" s="134" t="str">
        <f aca="false">IF(D123="","",IF(I123&lt;&gt;"",I123,H123))</f>
        <v/>
      </c>
      <c r="K123" s="117" t="str">
        <f aca="false">IF(D123="","",IFERROR(VLOOKUP($D123,cfg_LT,3,FALSE()),""))</f>
        <v/>
      </c>
      <c r="L123" s="117" t="str">
        <f aca="false">IF(D123="","",IFERROR(VLOOKUP($D123,cfg_LT,4,FALSE()),""))</f>
        <v/>
      </c>
      <c r="M123" s="117" t="str">
        <f aca="false">IF(D123="","",IFERROR(VLOOKUP($D123,cfg_LT,5,FALSE()),""))</f>
        <v/>
      </c>
      <c r="N123" s="116" t="n">
        <f aca="false">IF(OR(OR($B123="",$E123="",$F123=""),M123&lt;&gt;"نعم"),0,G123*J123*IFERROR(INDEX(الموظفون!$R$6:$R$105,MATCH(B123,الموظفون!$B$6:$B$105,0)),0)/cfg_DAYS_M)</f>
        <v>0</v>
      </c>
      <c r="O123" s="115" t="str">
        <f aca="false">IF(OR(OR($B123="",$E123="",$F123=""),M123&lt;&gt;"نعم"),"",IF(YEAR(E123)=cfg_FY,MONTH(E123),""))</f>
        <v/>
      </c>
      <c r="P123" s="117" t="str">
        <f aca="false">IF(B123="","",IF(OR(D123="",E123="",F123=""),"⚠ أكمل النوع والتواريخ",IF(F123&lt;E123,"✖ النهاية قبل البداية",IF(COUNTIFS($B$6:$B$505,B123,$E$6:$E$505,"&lt;="&amp;F123,$F$6:$F$505,"&gt;="&amp;E123)&gt;1,"⚠ تداخل مع سجل آخر",IF(E123&gt;cfg_VAL_DATE,"⏳ قادمة",IF(F123&lt;cfg_VAL_DATE,"✔ منتهية","✈ جارية في تاريخ التقرير"))))))</f>
        <v/>
      </c>
      <c r="Q123" s="118"/>
      <c r="R123" s="133" t="n">
        <f aca="false">IF(OR(OR($B123="",$E123="",$F123=""),L123&lt;&gt;"لا"),0,MAX(0,MIN(F123,cfg_Y_START-1)-E123+1))</f>
        <v>0</v>
      </c>
      <c r="S123" s="133" t="n">
        <f aca="false">IF(OR(OR($B123="",$E123="",$F123=""),L123&lt;&gt;"لا"),0,MAX(0,MIN(F123,cfg_VAL_DATE)-E123+1))</f>
        <v>0</v>
      </c>
      <c r="T123" s="133" t="n">
        <f aca="false">IF(OR(OR($B123="",$E123="",$F123=""),K123&lt;&gt;"نعم"),0,IF(M123="نعم",IF(AND(ISNUMBER(O123),N(O123)&lt;=cfg_VAL_M),G123,0),MAX(0,MIN(F123,cfg_VAL_DATE)-MAX(E123,cfg_Y_START)+1)))</f>
        <v>0</v>
      </c>
      <c r="V123" s="133" t="n">
        <f aca="false">IF(OR($B123="",$E123="",$F123=""),0,MAX(0,MIN($F123,EOMONTH(DATE(cfg_FY,1,1),0))-MAX($E123,DATE(cfg_FY,1,1))+1)*(1-IF($M123="نعم",0,N($J123))))</f>
        <v>0</v>
      </c>
      <c r="W123" s="133" t="n">
        <f aca="false">IF(OR($B123="",$E123="",$F123=""),0,MAX(0,MIN($F123,EOMONTH(DATE(cfg_FY,2,1),0))-MAX($E123,DATE(cfg_FY,2,1))+1)*(1-IF($M123="نعم",0,N($J123))))</f>
        <v>0</v>
      </c>
      <c r="X123" s="133" t="n">
        <f aca="false">IF(OR($B123="",$E123="",$F123=""),0,MAX(0,MIN($F123,EOMONTH(DATE(cfg_FY,3,1),0))-MAX($E123,DATE(cfg_FY,3,1))+1)*(1-IF($M123="نعم",0,N($J123))))</f>
        <v>0</v>
      </c>
      <c r="Y123" s="133" t="n">
        <f aca="false">IF(OR($B123="",$E123="",$F123=""),0,MAX(0,MIN($F123,EOMONTH(DATE(cfg_FY,4,1),0))-MAX($E123,DATE(cfg_FY,4,1))+1)*(1-IF($M123="نعم",0,N($J123))))</f>
        <v>0</v>
      </c>
      <c r="Z123" s="133" t="n">
        <f aca="false">IF(OR($B123="",$E123="",$F123=""),0,MAX(0,MIN($F123,EOMONTH(DATE(cfg_FY,5,1),0))-MAX($E123,DATE(cfg_FY,5,1))+1)*(1-IF($M123="نعم",0,N($J123))))</f>
        <v>0</v>
      </c>
      <c r="AA123" s="133" t="n">
        <f aca="false">IF(OR($B123="",$E123="",$F123=""),0,MAX(0,MIN($F123,EOMONTH(DATE(cfg_FY,6,1),0))-MAX($E123,DATE(cfg_FY,6,1))+1)*(1-IF($M123="نعم",0,N($J123))))</f>
        <v>0</v>
      </c>
      <c r="AB123" s="133" t="n">
        <f aca="false">IF(OR($B123="",$E123="",$F123=""),0,MAX(0,MIN($F123,EOMONTH(DATE(cfg_FY,7,1),0))-MAX($E123,DATE(cfg_FY,7,1))+1)*(1-IF($M123="نعم",0,N($J123))))</f>
        <v>0</v>
      </c>
      <c r="AC123" s="133" t="n">
        <f aca="false">IF(OR($B123="",$E123="",$F123=""),0,MAX(0,MIN($F123,EOMONTH(DATE(cfg_FY,8,1),0))-MAX($E123,DATE(cfg_FY,8,1))+1)*(1-IF($M123="نعم",0,N($J123))))</f>
        <v>0</v>
      </c>
      <c r="AD123" s="133" t="n">
        <f aca="false">IF(OR($B123="",$E123="",$F123=""),0,MAX(0,MIN($F123,EOMONTH(DATE(cfg_FY,9,1),0))-MAX($E123,DATE(cfg_FY,9,1))+1)*(1-IF($M123="نعم",0,N($J123))))</f>
        <v>0</v>
      </c>
      <c r="AE123" s="133" t="n">
        <f aca="false">IF(OR($B123="",$E123="",$F123=""),0,MAX(0,MIN($F123,EOMONTH(DATE(cfg_FY,10,1),0))-MAX($E123,DATE(cfg_FY,10,1))+1)*(1-IF($M123="نعم",0,N($J123))))</f>
        <v>0</v>
      </c>
      <c r="AF123" s="133" t="n">
        <f aca="false">IF(OR($B123="",$E123="",$F123=""),0,MAX(0,MIN($F123,EOMONTH(DATE(cfg_FY,11,1),0))-MAX($E123,DATE(cfg_FY,11,1))+1)*(1-IF($M123="نعم",0,N($J123))))</f>
        <v>0</v>
      </c>
      <c r="AG123" s="133" t="n">
        <f aca="false">IF(OR($B123="",$E123="",$F123=""),0,MAX(0,MIN($F123,EOMONTH(DATE(cfg_FY,12,1),0))-MAX($E123,DATE(cfg_FY,12,1))+1)*(1-IF($M123="نعم",0,N($J123))))</f>
        <v>0</v>
      </c>
      <c r="AH123" s="133" t="n">
        <f aca="false">IF(OR(OR($B123="",$E123="",$F123=""),$L123&lt;&gt;"لا"),0,MAX(0,MIN($F123,EOMONTH(DATE(cfg_FY,1,1),0))-$E123+1))</f>
        <v>0</v>
      </c>
      <c r="AI123" s="133" t="n">
        <f aca="false">IF(OR(OR($B123="",$E123="",$F123=""),$L123&lt;&gt;"لا"),0,MAX(0,MIN($F123,EOMONTH(DATE(cfg_FY,2,1),0))-$E123+1))</f>
        <v>0</v>
      </c>
      <c r="AJ123" s="133" t="n">
        <f aca="false">IF(OR(OR($B123="",$E123="",$F123=""),$L123&lt;&gt;"لا"),0,MAX(0,MIN($F123,EOMONTH(DATE(cfg_FY,3,1),0))-$E123+1))</f>
        <v>0</v>
      </c>
      <c r="AK123" s="133" t="n">
        <f aca="false">IF(OR(OR($B123="",$E123="",$F123=""),$L123&lt;&gt;"لا"),0,MAX(0,MIN($F123,EOMONTH(DATE(cfg_FY,4,1),0))-$E123+1))</f>
        <v>0</v>
      </c>
      <c r="AL123" s="133" t="n">
        <f aca="false">IF(OR(OR($B123="",$E123="",$F123=""),$L123&lt;&gt;"لا"),0,MAX(0,MIN($F123,EOMONTH(DATE(cfg_FY,5,1),0))-$E123+1))</f>
        <v>0</v>
      </c>
      <c r="AM123" s="133" t="n">
        <f aca="false">IF(OR(OR($B123="",$E123="",$F123=""),$L123&lt;&gt;"لا"),0,MAX(0,MIN($F123,EOMONTH(DATE(cfg_FY,6,1),0))-$E123+1))</f>
        <v>0</v>
      </c>
      <c r="AN123" s="133" t="n">
        <f aca="false">IF(OR(OR($B123="",$E123="",$F123=""),$L123&lt;&gt;"لا"),0,MAX(0,MIN($F123,EOMONTH(DATE(cfg_FY,7,1),0))-$E123+1))</f>
        <v>0</v>
      </c>
      <c r="AO123" s="133" t="n">
        <f aca="false">IF(OR(OR($B123="",$E123="",$F123=""),$L123&lt;&gt;"لا"),0,MAX(0,MIN($F123,EOMONTH(DATE(cfg_FY,8,1),0))-$E123+1))</f>
        <v>0</v>
      </c>
      <c r="AP123" s="133" t="n">
        <f aca="false">IF(OR(OR($B123="",$E123="",$F123=""),$L123&lt;&gt;"لا"),0,MAX(0,MIN($F123,EOMONTH(DATE(cfg_FY,9,1),0))-$E123+1))</f>
        <v>0</v>
      </c>
      <c r="AQ123" s="133" t="n">
        <f aca="false">IF(OR(OR($B123="",$E123="",$F123=""),$L123&lt;&gt;"لا"),0,MAX(0,MIN($F123,EOMONTH(DATE(cfg_FY,10,1),0))-$E123+1))</f>
        <v>0</v>
      </c>
      <c r="AR123" s="133" t="n">
        <f aca="false">IF(OR(OR($B123="",$E123="",$F123=""),$L123&lt;&gt;"لا"),0,MAX(0,MIN($F123,EOMONTH(DATE(cfg_FY,11,1),0))-$E123+1))</f>
        <v>0</v>
      </c>
      <c r="AS123" s="133" t="n">
        <f aca="false">IF(OR(OR($B123="",$E123="",$F123=""),$L123&lt;&gt;"لا"),0,MAX(0,MIN($F123,EOMONTH(DATE(cfg_FY,12,1),0))-$E123+1))</f>
        <v>0</v>
      </c>
      <c r="AT123" s="133" t="n">
        <f aca="false">IF(OR(OR($B123="",$E123="",$F123=""),$K123&lt;&gt;"نعم",$M123="نعم"),0,MAX(0,MIN($F123,EOMONTH(DATE(cfg_FY,1,1),0))-MAX($E123,DATE(cfg_FY,1,1))+1))</f>
        <v>0</v>
      </c>
      <c r="AU123" s="133" t="n">
        <f aca="false">IF(OR(OR($B123="",$E123="",$F123=""),$K123&lt;&gt;"نعم",$M123="نعم"),0,MAX(0,MIN($F123,EOMONTH(DATE(cfg_FY,2,1),0))-MAX($E123,DATE(cfg_FY,2,1))+1))</f>
        <v>0</v>
      </c>
      <c r="AV123" s="133" t="n">
        <f aca="false">IF(OR(OR($B123="",$E123="",$F123=""),$K123&lt;&gt;"نعم",$M123="نعم"),0,MAX(0,MIN($F123,EOMONTH(DATE(cfg_FY,3,1),0))-MAX($E123,DATE(cfg_FY,3,1))+1))</f>
        <v>0</v>
      </c>
      <c r="AW123" s="133" t="n">
        <f aca="false">IF(OR(OR($B123="",$E123="",$F123=""),$K123&lt;&gt;"نعم",$M123="نعم"),0,MAX(0,MIN($F123,EOMONTH(DATE(cfg_FY,4,1),0))-MAX($E123,DATE(cfg_FY,4,1))+1))</f>
        <v>0</v>
      </c>
      <c r="AX123" s="133" t="n">
        <f aca="false">IF(OR(OR($B123="",$E123="",$F123=""),$K123&lt;&gt;"نعم",$M123="نعم"),0,MAX(0,MIN($F123,EOMONTH(DATE(cfg_FY,5,1),0))-MAX($E123,DATE(cfg_FY,5,1))+1))</f>
        <v>0</v>
      </c>
      <c r="AY123" s="133" t="n">
        <f aca="false">IF(OR(OR($B123="",$E123="",$F123=""),$K123&lt;&gt;"نعم",$M123="نعم"),0,MAX(0,MIN($F123,EOMONTH(DATE(cfg_FY,6,1),0))-MAX($E123,DATE(cfg_FY,6,1))+1))</f>
        <v>0</v>
      </c>
      <c r="AZ123" s="133" t="n">
        <f aca="false">IF(OR(OR($B123="",$E123="",$F123=""),$K123&lt;&gt;"نعم",$M123="نعم"),0,MAX(0,MIN($F123,EOMONTH(DATE(cfg_FY,7,1),0))-MAX($E123,DATE(cfg_FY,7,1))+1))</f>
        <v>0</v>
      </c>
      <c r="BA123" s="133" t="n">
        <f aca="false">IF(OR(OR($B123="",$E123="",$F123=""),$K123&lt;&gt;"نعم",$M123="نعم"),0,MAX(0,MIN($F123,EOMONTH(DATE(cfg_FY,8,1),0))-MAX($E123,DATE(cfg_FY,8,1))+1))</f>
        <v>0</v>
      </c>
      <c r="BB123" s="133" t="n">
        <f aca="false">IF(OR(OR($B123="",$E123="",$F123=""),$K123&lt;&gt;"نعم",$M123="نعم"),0,MAX(0,MIN($F123,EOMONTH(DATE(cfg_FY,9,1),0))-MAX($E123,DATE(cfg_FY,9,1))+1))</f>
        <v>0</v>
      </c>
      <c r="BC123" s="133" t="n">
        <f aca="false">IF(OR(OR($B123="",$E123="",$F123=""),$K123&lt;&gt;"نعم",$M123="نعم"),0,MAX(0,MIN($F123,EOMONTH(DATE(cfg_FY,10,1),0))-MAX($E123,DATE(cfg_FY,10,1))+1))</f>
        <v>0</v>
      </c>
      <c r="BD123" s="133" t="n">
        <f aca="false">IF(OR(OR($B123="",$E123="",$F123=""),$K123&lt;&gt;"نعم",$M123="نعم"),0,MAX(0,MIN($F123,EOMONTH(DATE(cfg_FY,11,1),0))-MAX($E123,DATE(cfg_FY,11,1))+1))</f>
        <v>0</v>
      </c>
      <c r="BE123" s="133" t="n">
        <f aca="false">IF(OR(OR($B123="",$E123="",$F123=""),$K123&lt;&gt;"نعم",$M123="نعم"),0,MAX(0,MIN($F123,EOMONTH(DATE(cfg_FY,12,1),0))-MAX($E123,DATE(cfg_FY,12,1))+1))</f>
        <v>0</v>
      </c>
    </row>
    <row r="124" customFormat="false" ht="15" hidden="false" customHeight="false" outlineLevel="0" collapsed="false">
      <c r="A124" s="106" t="str">
        <f aca="false">IF(B124="","",ROW()-5)</f>
        <v/>
      </c>
      <c r="B124" s="118"/>
      <c r="C124" s="114" t="str">
        <f aca="false">IF(B124="","",IFERROR(INDEX(الموظفون!$C$6:$C$105,MATCH(B124,الموظفون!$B$6:$B$105,0)),"✖ رقم غير موجود"))</f>
        <v/>
      </c>
      <c r="D124" s="118"/>
      <c r="E124" s="119"/>
      <c r="F124" s="119"/>
      <c r="G124" s="65" t="str">
        <f aca="false">IF(OR($B124="",$E124="",$F124=""),"",MAX(0,F124-E124+1))</f>
        <v/>
      </c>
      <c r="H124" s="66" t="str">
        <f aca="false">IF(D124="","",IFERROR(VLOOKUP(D124,cfg_LT,2,FALSE()),1))</f>
        <v/>
      </c>
      <c r="I124" s="135"/>
      <c r="J124" s="66" t="str">
        <f aca="false">IF(D124="","",IF(I124&lt;&gt;"",I124,H124))</f>
        <v/>
      </c>
      <c r="K124" s="114" t="str">
        <f aca="false">IF(D124="","",IFERROR(VLOOKUP($D124,cfg_LT,3,FALSE()),""))</f>
        <v/>
      </c>
      <c r="L124" s="114" t="str">
        <f aca="false">IF(D124="","",IFERROR(VLOOKUP($D124,cfg_LT,4,FALSE()),""))</f>
        <v/>
      </c>
      <c r="M124" s="114" t="str">
        <f aca="false">IF(D124="","",IFERROR(VLOOKUP($D124,cfg_LT,5,FALSE()),""))</f>
        <v/>
      </c>
      <c r="N124" s="111" t="n">
        <f aca="false">IF(OR(OR($B124="",$E124="",$F124=""),M124&lt;&gt;"نعم"),0,G124*J124*IFERROR(INDEX(الموظفون!$R$6:$R$105,MATCH(B124,الموظفون!$B$6:$B$105,0)),0)/cfg_DAYS_M)</f>
        <v>0</v>
      </c>
      <c r="O124" s="106" t="str">
        <f aca="false">IF(OR(OR($B124="",$E124="",$F124=""),M124&lt;&gt;"نعم"),"",IF(YEAR(E124)=cfg_FY,MONTH(E124),""))</f>
        <v/>
      </c>
      <c r="P124" s="114" t="str">
        <f aca="false">IF(B124="","",IF(OR(D124="",E124="",F124=""),"⚠ أكمل النوع والتواريخ",IF(F124&lt;E124,"✖ النهاية قبل البداية",IF(COUNTIFS($B$6:$B$505,B124,$E$6:$E$505,"&lt;="&amp;F124,$F$6:$F$505,"&gt;="&amp;E124)&gt;1,"⚠ تداخل مع سجل آخر",IF(E124&gt;cfg_VAL_DATE,"⏳ قادمة",IF(F124&lt;cfg_VAL_DATE,"✔ منتهية","✈ جارية في تاريخ التقرير"))))))</f>
        <v/>
      </c>
      <c r="Q124" s="118"/>
      <c r="R124" s="65" t="n">
        <f aca="false">IF(OR(OR($B124="",$E124="",$F124=""),L124&lt;&gt;"لا"),0,MAX(0,MIN(F124,cfg_Y_START-1)-E124+1))</f>
        <v>0</v>
      </c>
      <c r="S124" s="65" t="n">
        <f aca="false">IF(OR(OR($B124="",$E124="",$F124=""),L124&lt;&gt;"لا"),0,MAX(0,MIN(F124,cfg_VAL_DATE)-E124+1))</f>
        <v>0</v>
      </c>
      <c r="T124" s="65" t="n">
        <f aca="false">IF(OR(OR($B124="",$E124="",$F124=""),K124&lt;&gt;"نعم"),0,IF(M124="نعم",IF(AND(ISNUMBER(O124),N(O124)&lt;=cfg_VAL_M),G124,0),MAX(0,MIN(F124,cfg_VAL_DATE)-MAX(E124,cfg_Y_START)+1)))</f>
        <v>0</v>
      </c>
      <c r="V124" s="65" t="n">
        <f aca="false">IF(OR($B124="",$E124="",$F124=""),0,MAX(0,MIN($F124,EOMONTH(DATE(cfg_FY,1,1),0))-MAX($E124,DATE(cfg_FY,1,1))+1)*(1-IF($M124="نعم",0,N($J124))))</f>
        <v>0</v>
      </c>
      <c r="W124" s="65" t="n">
        <f aca="false">IF(OR($B124="",$E124="",$F124=""),0,MAX(0,MIN($F124,EOMONTH(DATE(cfg_FY,2,1),0))-MAX($E124,DATE(cfg_FY,2,1))+1)*(1-IF($M124="نعم",0,N($J124))))</f>
        <v>0</v>
      </c>
      <c r="X124" s="65" t="n">
        <f aca="false">IF(OR($B124="",$E124="",$F124=""),0,MAX(0,MIN($F124,EOMONTH(DATE(cfg_FY,3,1),0))-MAX($E124,DATE(cfg_FY,3,1))+1)*(1-IF($M124="نعم",0,N($J124))))</f>
        <v>0</v>
      </c>
      <c r="Y124" s="65" t="n">
        <f aca="false">IF(OR($B124="",$E124="",$F124=""),0,MAX(0,MIN($F124,EOMONTH(DATE(cfg_FY,4,1),0))-MAX($E124,DATE(cfg_FY,4,1))+1)*(1-IF($M124="نعم",0,N($J124))))</f>
        <v>0</v>
      </c>
      <c r="Z124" s="65" t="n">
        <f aca="false">IF(OR($B124="",$E124="",$F124=""),0,MAX(0,MIN($F124,EOMONTH(DATE(cfg_FY,5,1),0))-MAX($E124,DATE(cfg_FY,5,1))+1)*(1-IF($M124="نعم",0,N($J124))))</f>
        <v>0</v>
      </c>
      <c r="AA124" s="65" t="n">
        <f aca="false">IF(OR($B124="",$E124="",$F124=""),0,MAX(0,MIN($F124,EOMONTH(DATE(cfg_FY,6,1),0))-MAX($E124,DATE(cfg_FY,6,1))+1)*(1-IF($M124="نعم",0,N($J124))))</f>
        <v>0</v>
      </c>
      <c r="AB124" s="65" t="n">
        <f aca="false">IF(OR($B124="",$E124="",$F124=""),0,MAX(0,MIN($F124,EOMONTH(DATE(cfg_FY,7,1),0))-MAX($E124,DATE(cfg_FY,7,1))+1)*(1-IF($M124="نعم",0,N($J124))))</f>
        <v>0</v>
      </c>
      <c r="AC124" s="65" t="n">
        <f aca="false">IF(OR($B124="",$E124="",$F124=""),0,MAX(0,MIN($F124,EOMONTH(DATE(cfg_FY,8,1),0))-MAX($E124,DATE(cfg_FY,8,1))+1)*(1-IF($M124="نعم",0,N($J124))))</f>
        <v>0</v>
      </c>
      <c r="AD124" s="65" t="n">
        <f aca="false">IF(OR($B124="",$E124="",$F124=""),0,MAX(0,MIN($F124,EOMONTH(DATE(cfg_FY,9,1),0))-MAX($E124,DATE(cfg_FY,9,1))+1)*(1-IF($M124="نعم",0,N($J124))))</f>
        <v>0</v>
      </c>
      <c r="AE124" s="65" t="n">
        <f aca="false">IF(OR($B124="",$E124="",$F124=""),0,MAX(0,MIN($F124,EOMONTH(DATE(cfg_FY,10,1),0))-MAX($E124,DATE(cfg_FY,10,1))+1)*(1-IF($M124="نعم",0,N($J124))))</f>
        <v>0</v>
      </c>
      <c r="AF124" s="65" t="n">
        <f aca="false">IF(OR($B124="",$E124="",$F124=""),0,MAX(0,MIN($F124,EOMONTH(DATE(cfg_FY,11,1),0))-MAX($E124,DATE(cfg_FY,11,1))+1)*(1-IF($M124="نعم",0,N($J124))))</f>
        <v>0</v>
      </c>
      <c r="AG124" s="65" t="n">
        <f aca="false">IF(OR($B124="",$E124="",$F124=""),0,MAX(0,MIN($F124,EOMONTH(DATE(cfg_FY,12,1),0))-MAX($E124,DATE(cfg_FY,12,1))+1)*(1-IF($M124="نعم",0,N($J124))))</f>
        <v>0</v>
      </c>
      <c r="AH124" s="65" t="n">
        <f aca="false">IF(OR(OR($B124="",$E124="",$F124=""),$L124&lt;&gt;"لا"),0,MAX(0,MIN($F124,EOMONTH(DATE(cfg_FY,1,1),0))-$E124+1))</f>
        <v>0</v>
      </c>
      <c r="AI124" s="65" t="n">
        <f aca="false">IF(OR(OR($B124="",$E124="",$F124=""),$L124&lt;&gt;"لا"),0,MAX(0,MIN($F124,EOMONTH(DATE(cfg_FY,2,1),0))-$E124+1))</f>
        <v>0</v>
      </c>
      <c r="AJ124" s="65" t="n">
        <f aca="false">IF(OR(OR($B124="",$E124="",$F124=""),$L124&lt;&gt;"لا"),0,MAX(0,MIN($F124,EOMONTH(DATE(cfg_FY,3,1),0))-$E124+1))</f>
        <v>0</v>
      </c>
      <c r="AK124" s="65" t="n">
        <f aca="false">IF(OR(OR($B124="",$E124="",$F124=""),$L124&lt;&gt;"لا"),0,MAX(0,MIN($F124,EOMONTH(DATE(cfg_FY,4,1),0))-$E124+1))</f>
        <v>0</v>
      </c>
      <c r="AL124" s="65" t="n">
        <f aca="false">IF(OR(OR($B124="",$E124="",$F124=""),$L124&lt;&gt;"لا"),0,MAX(0,MIN($F124,EOMONTH(DATE(cfg_FY,5,1),0))-$E124+1))</f>
        <v>0</v>
      </c>
      <c r="AM124" s="65" t="n">
        <f aca="false">IF(OR(OR($B124="",$E124="",$F124=""),$L124&lt;&gt;"لا"),0,MAX(0,MIN($F124,EOMONTH(DATE(cfg_FY,6,1),0))-$E124+1))</f>
        <v>0</v>
      </c>
      <c r="AN124" s="65" t="n">
        <f aca="false">IF(OR(OR($B124="",$E124="",$F124=""),$L124&lt;&gt;"لا"),0,MAX(0,MIN($F124,EOMONTH(DATE(cfg_FY,7,1),0))-$E124+1))</f>
        <v>0</v>
      </c>
      <c r="AO124" s="65" t="n">
        <f aca="false">IF(OR(OR($B124="",$E124="",$F124=""),$L124&lt;&gt;"لا"),0,MAX(0,MIN($F124,EOMONTH(DATE(cfg_FY,8,1),0))-$E124+1))</f>
        <v>0</v>
      </c>
      <c r="AP124" s="65" t="n">
        <f aca="false">IF(OR(OR($B124="",$E124="",$F124=""),$L124&lt;&gt;"لا"),0,MAX(0,MIN($F124,EOMONTH(DATE(cfg_FY,9,1),0))-$E124+1))</f>
        <v>0</v>
      </c>
      <c r="AQ124" s="65" t="n">
        <f aca="false">IF(OR(OR($B124="",$E124="",$F124=""),$L124&lt;&gt;"لا"),0,MAX(0,MIN($F124,EOMONTH(DATE(cfg_FY,10,1),0))-$E124+1))</f>
        <v>0</v>
      </c>
      <c r="AR124" s="65" t="n">
        <f aca="false">IF(OR(OR($B124="",$E124="",$F124=""),$L124&lt;&gt;"لا"),0,MAX(0,MIN($F124,EOMONTH(DATE(cfg_FY,11,1),0))-$E124+1))</f>
        <v>0</v>
      </c>
      <c r="AS124" s="65" t="n">
        <f aca="false">IF(OR(OR($B124="",$E124="",$F124=""),$L124&lt;&gt;"لا"),0,MAX(0,MIN($F124,EOMONTH(DATE(cfg_FY,12,1),0))-$E124+1))</f>
        <v>0</v>
      </c>
      <c r="AT124" s="65" t="n">
        <f aca="false">IF(OR(OR($B124="",$E124="",$F124=""),$K124&lt;&gt;"نعم",$M124="نعم"),0,MAX(0,MIN($F124,EOMONTH(DATE(cfg_FY,1,1),0))-MAX($E124,DATE(cfg_FY,1,1))+1))</f>
        <v>0</v>
      </c>
      <c r="AU124" s="65" t="n">
        <f aca="false">IF(OR(OR($B124="",$E124="",$F124=""),$K124&lt;&gt;"نعم",$M124="نعم"),0,MAX(0,MIN($F124,EOMONTH(DATE(cfg_FY,2,1),0))-MAX($E124,DATE(cfg_FY,2,1))+1))</f>
        <v>0</v>
      </c>
      <c r="AV124" s="65" t="n">
        <f aca="false">IF(OR(OR($B124="",$E124="",$F124=""),$K124&lt;&gt;"نعم",$M124="نعم"),0,MAX(0,MIN($F124,EOMONTH(DATE(cfg_FY,3,1),0))-MAX($E124,DATE(cfg_FY,3,1))+1))</f>
        <v>0</v>
      </c>
      <c r="AW124" s="65" t="n">
        <f aca="false">IF(OR(OR($B124="",$E124="",$F124=""),$K124&lt;&gt;"نعم",$M124="نعم"),0,MAX(0,MIN($F124,EOMONTH(DATE(cfg_FY,4,1),0))-MAX($E124,DATE(cfg_FY,4,1))+1))</f>
        <v>0</v>
      </c>
      <c r="AX124" s="65" t="n">
        <f aca="false">IF(OR(OR($B124="",$E124="",$F124=""),$K124&lt;&gt;"نعم",$M124="نعم"),0,MAX(0,MIN($F124,EOMONTH(DATE(cfg_FY,5,1),0))-MAX($E124,DATE(cfg_FY,5,1))+1))</f>
        <v>0</v>
      </c>
      <c r="AY124" s="65" t="n">
        <f aca="false">IF(OR(OR($B124="",$E124="",$F124=""),$K124&lt;&gt;"نعم",$M124="نعم"),0,MAX(0,MIN($F124,EOMONTH(DATE(cfg_FY,6,1),0))-MAX($E124,DATE(cfg_FY,6,1))+1))</f>
        <v>0</v>
      </c>
      <c r="AZ124" s="65" t="n">
        <f aca="false">IF(OR(OR($B124="",$E124="",$F124=""),$K124&lt;&gt;"نعم",$M124="نعم"),0,MAX(0,MIN($F124,EOMONTH(DATE(cfg_FY,7,1),0))-MAX($E124,DATE(cfg_FY,7,1))+1))</f>
        <v>0</v>
      </c>
      <c r="BA124" s="65" t="n">
        <f aca="false">IF(OR(OR($B124="",$E124="",$F124=""),$K124&lt;&gt;"نعم",$M124="نعم"),0,MAX(0,MIN($F124,EOMONTH(DATE(cfg_FY,8,1),0))-MAX($E124,DATE(cfg_FY,8,1))+1))</f>
        <v>0</v>
      </c>
      <c r="BB124" s="65" t="n">
        <f aca="false">IF(OR(OR($B124="",$E124="",$F124=""),$K124&lt;&gt;"نعم",$M124="نعم"),0,MAX(0,MIN($F124,EOMONTH(DATE(cfg_FY,9,1),0))-MAX($E124,DATE(cfg_FY,9,1))+1))</f>
        <v>0</v>
      </c>
      <c r="BC124" s="65" t="n">
        <f aca="false">IF(OR(OR($B124="",$E124="",$F124=""),$K124&lt;&gt;"نعم",$M124="نعم"),0,MAX(0,MIN($F124,EOMONTH(DATE(cfg_FY,10,1),0))-MAX($E124,DATE(cfg_FY,10,1))+1))</f>
        <v>0</v>
      </c>
      <c r="BD124" s="65" t="n">
        <f aca="false">IF(OR(OR($B124="",$E124="",$F124=""),$K124&lt;&gt;"نعم",$M124="نعم"),0,MAX(0,MIN($F124,EOMONTH(DATE(cfg_FY,11,1),0))-MAX($E124,DATE(cfg_FY,11,1))+1))</f>
        <v>0</v>
      </c>
      <c r="BE124" s="65" t="n">
        <f aca="false">IF(OR(OR($B124="",$E124="",$F124=""),$K124&lt;&gt;"نعم",$M124="نعم"),0,MAX(0,MIN($F124,EOMONTH(DATE(cfg_FY,12,1),0))-MAX($E124,DATE(cfg_FY,12,1))+1))</f>
        <v>0</v>
      </c>
    </row>
    <row r="125" customFormat="false" ht="15" hidden="false" customHeight="false" outlineLevel="0" collapsed="false">
      <c r="A125" s="115" t="str">
        <f aca="false">IF(B125="","",ROW()-5)</f>
        <v/>
      </c>
      <c r="B125" s="118"/>
      <c r="C125" s="117" t="str">
        <f aca="false">IF(B125="","",IFERROR(INDEX(الموظفون!$C$6:$C$105,MATCH(B125,الموظفون!$B$6:$B$105,0)),"✖ رقم غير موجود"))</f>
        <v/>
      </c>
      <c r="D125" s="118"/>
      <c r="E125" s="119"/>
      <c r="F125" s="119"/>
      <c r="G125" s="133" t="str">
        <f aca="false">IF(OR($B125="",$E125="",$F125=""),"",MAX(0,F125-E125+1))</f>
        <v/>
      </c>
      <c r="H125" s="134" t="str">
        <f aca="false">IF(D125="","",IFERROR(VLOOKUP(D125,cfg_LT,2,FALSE()),1))</f>
        <v/>
      </c>
      <c r="I125" s="135"/>
      <c r="J125" s="134" t="str">
        <f aca="false">IF(D125="","",IF(I125&lt;&gt;"",I125,H125))</f>
        <v/>
      </c>
      <c r="K125" s="117" t="str">
        <f aca="false">IF(D125="","",IFERROR(VLOOKUP($D125,cfg_LT,3,FALSE()),""))</f>
        <v/>
      </c>
      <c r="L125" s="117" t="str">
        <f aca="false">IF(D125="","",IFERROR(VLOOKUP($D125,cfg_LT,4,FALSE()),""))</f>
        <v/>
      </c>
      <c r="M125" s="117" t="str">
        <f aca="false">IF(D125="","",IFERROR(VLOOKUP($D125,cfg_LT,5,FALSE()),""))</f>
        <v/>
      </c>
      <c r="N125" s="116" t="n">
        <f aca="false">IF(OR(OR($B125="",$E125="",$F125=""),M125&lt;&gt;"نعم"),0,G125*J125*IFERROR(INDEX(الموظفون!$R$6:$R$105,MATCH(B125,الموظفون!$B$6:$B$105,0)),0)/cfg_DAYS_M)</f>
        <v>0</v>
      </c>
      <c r="O125" s="115" t="str">
        <f aca="false">IF(OR(OR($B125="",$E125="",$F125=""),M125&lt;&gt;"نعم"),"",IF(YEAR(E125)=cfg_FY,MONTH(E125),""))</f>
        <v/>
      </c>
      <c r="P125" s="117" t="str">
        <f aca="false">IF(B125="","",IF(OR(D125="",E125="",F125=""),"⚠ أكمل النوع والتواريخ",IF(F125&lt;E125,"✖ النهاية قبل البداية",IF(COUNTIFS($B$6:$B$505,B125,$E$6:$E$505,"&lt;="&amp;F125,$F$6:$F$505,"&gt;="&amp;E125)&gt;1,"⚠ تداخل مع سجل آخر",IF(E125&gt;cfg_VAL_DATE,"⏳ قادمة",IF(F125&lt;cfg_VAL_DATE,"✔ منتهية","✈ جارية في تاريخ التقرير"))))))</f>
        <v/>
      </c>
      <c r="Q125" s="118"/>
      <c r="R125" s="133" t="n">
        <f aca="false">IF(OR(OR($B125="",$E125="",$F125=""),L125&lt;&gt;"لا"),0,MAX(0,MIN(F125,cfg_Y_START-1)-E125+1))</f>
        <v>0</v>
      </c>
      <c r="S125" s="133" t="n">
        <f aca="false">IF(OR(OR($B125="",$E125="",$F125=""),L125&lt;&gt;"لا"),0,MAX(0,MIN(F125,cfg_VAL_DATE)-E125+1))</f>
        <v>0</v>
      </c>
      <c r="T125" s="133" t="n">
        <f aca="false">IF(OR(OR($B125="",$E125="",$F125=""),K125&lt;&gt;"نعم"),0,IF(M125="نعم",IF(AND(ISNUMBER(O125),N(O125)&lt;=cfg_VAL_M),G125,0),MAX(0,MIN(F125,cfg_VAL_DATE)-MAX(E125,cfg_Y_START)+1)))</f>
        <v>0</v>
      </c>
      <c r="V125" s="133" t="n">
        <f aca="false">IF(OR($B125="",$E125="",$F125=""),0,MAX(0,MIN($F125,EOMONTH(DATE(cfg_FY,1,1),0))-MAX($E125,DATE(cfg_FY,1,1))+1)*(1-IF($M125="نعم",0,N($J125))))</f>
        <v>0</v>
      </c>
      <c r="W125" s="133" t="n">
        <f aca="false">IF(OR($B125="",$E125="",$F125=""),0,MAX(0,MIN($F125,EOMONTH(DATE(cfg_FY,2,1),0))-MAX($E125,DATE(cfg_FY,2,1))+1)*(1-IF($M125="نعم",0,N($J125))))</f>
        <v>0</v>
      </c>
      <c r="X125" s="133" t="n">
        <f aca="false">IF(OR($B125="",$E125="",$F125=""),0,MAX(0,MIN($F125,EOMONTH(DATE(cfg_FY,3,1),0))-MAX($E125,DATE(cfg_FY,3,1))+1)*(1-IF($M125="نعم",0,N($J125))))</f>
        <v>0</v>
      </c>
      <c r="Y125" s="133" t="n">
        <f aca="false">IF(OR($B125="",$E125="",$F125=""),0,MAX(0,MIN($F125,EOMONTH(DATE(cfg_FY,4,1),0))-MAX($E125,DATE(cfg_FY,4,1))+1)*(1-IF($M125="نعم",0,N($J125))))</f>
        <v>0</v>
      </c>
      <c r="Z125" s="133" t="n">
        <f aca="false">IF(OR($B125="",$E125="",$F125=""),0,MAX(0,MIN($F125,EOMONTH(DATE(cfg_FY,5,1),0))-MAX($E125,DATE(cfg_FY,5,1))+1)*(1-IF($M125="نعم",0,N($J125))))</f>
        <v>0</v>
      </c>
      <c r="AA125" s="133" t="n">
        <f aca="false">IF(OR($B125="",$E125="",$F125=""),0,MAX(0,MIN($F125,EOMONTH(DATE(cfg_FY,6,1),0))-MAX($E125,DATE(cfg_FY,6,1))+1)*(1-IF($M125="نعم",0,N($J125))))</f>
        <v>0</v>
      </c>
      <c r="AB125" s="133" t="n">
        <f aca="false">IF(OR($B125="",$E125="",$F125=""),0,MAX(0,MIN($F125,EOMONTH(DATE(cfg_FY,7,1),0))-MAX($E125,DATE(cfg_FY,7,1))+1)*(1-IF($M125="نعم",0,N($J125))))</f>
        <v>0</v>
      </c>
      <c r="AC125" s="133" t="n">
        <f aca="false">IF(OR($B125="",$E125="",$F125=""),0,MAX(0,MIN($F125,EOMONTH(DATE(cfg_FY,8,1),0))-MAX($E125,DATE(cfg_FY,8,1))+1)*(1-IF($M125="نعم",0,N($J125))))</f>
        <v>0</v>
      </c>
      <c r="AD125" s="133" t="n">
        <f aca="false">IF(OR($B125="",$E125="",$F125=""),0,MAX(0,MIN($F125,EOMONTH(DATE(cfg_FY,9,1),0))-MAX($E125,DATE(cfg_FY,9,1))+1)*(1-IF($M125="نعم",0,N($J125))))</f>
        <v>0</v>
      </c>
      <c r="AE125" s="133" t="n">
        <f aca="false">IF(OR($B125="",$E125="",$F125=""),0,MAX(0,MIN($F125,EOMONTH(DATE(cfg_FY,10,1),0))-MAX($E125,DATE(cfg_FY,10,1))+1)*(1-IF($M125="نعم",0,N($J125))))</f>
        <v>0</v>
      </c>
      <c r="AF125" s="133" t="n">
        <f aca="false">IF(OR($B125="",$E125="",$F125=""),0,MAX(0,MIN($F125,EOMONTH(DATE(cfg_FY,11,1),0))-MAX($E125,DATE(cfg_FY,11,1))+1)*(1-IF($M125="نعم",0,N($J125))))</f>
        <v>0</v>
      </c>
      <c r="AG125" s="133" t="n">
        <f aca="false">IF(OR($B125="",$E125="",$F125=""),0,MAX(0,MIN($F125,EOMONTH(DATE(cfg_FY,12,1),0))-MAX($E125,DATE(cfg_FY,12,1))+1)*(1-IF($M125="نعم",0,N($J125))))</f>
        <v>0</v>
      </c>
      <c r="AH125" s="133" t="n">
        <f aca="false">IF(OR(OR($B125="",$E125="",$F125=""),$L125&lt;&gt;"لا"),0,MAX(0,MIN($F125,EOMONTH(DATE(cfg_FY,1,1),0))-$E125+1))</f>
        <v>0</v>
      </c>
      <c r="AI125" s="133" t="n">
        <f aca="false">IF(OR(OR($B125="",$E125="",$F125=""),$L125&lt;&gt;"لا"),0,MAX(0,MIN($F125,EOMONTH(DATE(cfg_FY,2,1),0))-$E125+1))</f>
        <v>0</v>
      </c>
      <c r="AJ125" s="133" t="n">
        <f aca="false">IF(OR(OR($B125="",$E125="",$F125=""),$L125&lt;&gt;"لا"),0,MAX(0,MIN($F125,EOMONTH(DATE(cfg_FY,3,1),0))-$E125+1))</f>
        <v>0</v>
      </c>
      <c r="AK125" s="133" t="n">
        <f aca="false">IF(OR(OR($B125="",$E125="",$F125=""),$L125&lt;&gt;"لا"),0,MAX(0,MIN($F125,EOMONTH(DATE(cfg_FY,4,1),0))-$E125+1))</f>
        <v>0</v>
      </c>
      <c r="AL125" s="133" t="n">
        <f aca="false">IF(OR(OR($B125="",$E125="",$F125=""),$L125&lt;&gt;"لا"),0,MAX(0,MIN($F125,EOMONTH(DATE(cfg_FY,5,1),0))-$E125+1))</f>
        <v>0</v>
      </c>
      <c r="AM125" s="133" t="n">
        <f aca="false">IF(OR(OR($B125="",$E125="",$F125=""),$L125&lt;&gt;"لا"),0,MAX(0,MIN($F125,EOMONTH(DATE(cfg_FY,6,1),0))-$E125+1))</f>
        <v>0</v>
      </c>
      <c r="AN125" s="133" t="n">
        <f aca="false">IF(OR(OR($B125="",$E125="",$F125=""),$L125&lt;&gt;"لا"),0,MAX(0,MIN($F125,EOMONTH(DATE(cfg_FY,7,1),0))-$E125+1))</f>
        <v>0</v>
      </c>
      <c r="AO125" s="133" t="n">
        <f aca="false">IF(OR(OR($B125="",$E125="",$F125=""),$L125&lt;&gt;"لا"),0,MAX(0,MIN($F125,EOMONTH(DATE(cfg_FY,8,1),0))-$E125+1))</f>
        <v>0</v>
      </c>
      <c r="AP125" s="133" t="n">
        <f aca="false">IF(OR(OR($B125="",$E125="",$F125=""),$L125&lt;&gt;"لا"),0,MAX(0,MIN($F125,EOMONTH(DATE(cfg_FY,9,1),0))-$E125+1))</f>
        <v>0</v>
      </c>
      <c r="AQ125" s="133" t="n">
        <f aca="false">IF(OR(OR($B125="",$E125="",$F125=""),$L125&lt;&gt;"لا"),0,MAX(0,MIN($F125,EOMONTH(DATE(cfg_FY,10,1),0))-$E125+1))</f>
        <v>0</v>
      </c>
      <c r="AR125" s="133" t="n">
        <f aca="false">IF(OR(OR($B125="",$E125="",$F125=""),$L125&lt;&gt;"لا"),0,MAX(0,MIN($F125,EOMONTH(DATE(cfg_FY,11,1),0))-$E125+1))</f>
        <v>0</v>
      </c>
      <c r="AS125" s="133" t="n">
        <f aca="false">IF(OR(OR($B125="",$E125="",$F125=""),$L125&lt;&gt;"لا"),0,MAX(0,MIN($F125,EOMONTH(DATE(cfg_FY,12,1),0))-$E125+1))</f>
        <v>0</v>
      </c>
      <c r="AT125" s="133" t="n">
        <f aca="false">IF(OR(OR($B125="",$E125="",$F125=""),$K125&lt;&gt;"نعم",$M125="نعم"),0,MAX(0,MIN($F125,EOMONTH(DATE(cfg_FY,1,1),0))-MAX($E125,DATE(cfg_FY,1,1))+1))</f>
        <v>0</v>
      </c>
      <c r="AU125" s="133" t="n">
        <f aca="false">IF(OR(OR($B125="",$E125="",$F125=""),$K125&lt;&gt;"نعم",$M125="نعم"),0,MAX(0,MIN($F125,EOMONTH(DATE(cfg_FY,2,1),0))-MAX($E125,DATE(cfg_FY,2,1))+1))</f>
        <v>0</v>
      </c>
      <c r="AV125" s="133" t="n">
        <f aca="false">IF(OR(OR($B125="",$E125="",$F125=""),$K125&lt;&gt;"نعم",$M125="نعم"),0,MAX(0,MIN($F125,EOMONTH(DATE(cfg_FY,3,1),0))-MAX($E125,DATE(cfg_FY,3,1))+1))</f>
        <v>0</v>
      </c>
      <c r="AW125" s="133" t="n">
        <f aca="false">IF(OR(OR($B125="",$E125="",$F125=""),$K125&lt;&gt;"نعم",$M125="نعم"),0,MAX(0,MIN($F125,EOMONTH(DATE(cfg_FY,4,1),0))-MAX($E125,DATE(cfg_FY,4,1))+1))</f>
        <v>0</v>
      </c>
      <c r="AX125" s="133" t="n">
        <f aca="false">IF(OR(OR($B125="",$E125="",$F125=""),$K125&lt;&gt;"نعم",$M125="نعم"),0,MAX(0,MIN($F125,EOMONTH(DATE(cfg_FY,5,1),0))-MAX($E125,DATE(cfg_FY,5,1))+1))</f>
        <v>0</v>
      </c>
      <c r="AY125" s="133" t="n">
        <f aca="false">IF(OR(OR($B125="",$E125="",$F125=""),$K125&lt;&gt;"نعم",$M125="نعم"),0,MAX(0,MIN($F125,EOMONTH(DATE(cfg_FY,6,1),0))-MAX($E125,DATE(cfg_FY,6,1))+1))</f>
        <v>0</v>
      </c>
      <c r="AZ125" s="133" t="n">
        <f aca="false">IF(OR(OR($B125="",$E125="",$F125=""),$K125&lt;&gt;"نعم",$M125="نعم"),0,MAX(0,MIN($F125,EOMONTH(DATE(cfg_FY,7,1),0))-MAX($E125,DATE(cfg_FY,7,1))+1))</f>
        <v>0</v>
      </c>
      <c r="BA125" s="133" t="n">
        <f aca="false">IF(OR(OR($B125="",$E125="",$F125=""),$K125&lt;&gt;"نعم",$M125="نعم"),0,MAX(0,MIN($F125,EOMONTH(DATE(cfg_FY,8,1),0))-MAX($E125,DATE(cfg_FY,8,1))+1))</f>
        <v>0</v>
      </c>
      <c r="BB125" s="133" t="n">
        <f aca="false">IF(OR(OR($B125="",$E125="",$F125=""),$K125&lt;&gt;"نعم",$M125="نعم"),0,MAX(0,MIN($F125,EOMONTH(DATE(cfg_FY,9,1),0))-MAX($E125,DATE(cfg_FY,9,1))+1))</f>
        <v>0</v>
      </c>
      <c r="BC125" s="133" t="n">
        <f aca="false">IF(OR(OR($B125="",$E125="",$F125=""),$K125&lt;&gt;"نعم",$M125="نعم"),0,MAX(0,MIN($F125,EOMONTH(DATE(cfg_FY,10,1),0))-MAX($E125,DATE(cfg_FY,10,1))+1))</f>
        <v>0</v>
      </c>
      <c r="BD125" s="133" t="n">
        <f aca="false">IF(OR(OR($B125="",$E125="",$F125=""),$K125&lt;&gt;"نعم",$M125="نعم"),0,MAX(0,MIN($F125,EOMONTH(DATE(cfg_FY,11,1),0))-MAX($E125,DATE(cfg_FY,11,1))+1))</f>
        <v>0</v>
      </c>
      <c r="BE125" s="133" t="n">
        <f aca="false">IF(OR(OR($B125="",$E125="",$F125=""),$K125&lt;&gt;"نعم",$M125="نعم"),0,MAX(0,MIN($F125,EOMONTH(DATE(cfg_FY,12,1),0))-MAX($E125,DATE(cfg_FY,12,1))+1))</f>
        <v>0</v>
      </c>
    </row>
    <row r="126" customFormat="false" ht="15" hidden="false" customHeight="false" outlineLevel="0" collapsed="false">
      <c r="A126" s="106" t="str">
        <f aca="false">IF(B126="","",ROW()-5)</f>
        <v/>
      </c>
      <c r="B126" s="118"/>
      <c r="C126" s="114" t="str">
        <f aca="false">IF(B126="","",IFERROR(INDEX(الموظفون!$C$6:$C$105,MATCH(B126,الموظفون!$B$6:$B$105,0)),"✖ رقم غير موجود"))</f>
        <v/>
      </c>
      <c r="D126" s="118"/>
      <c r="E126" s="119"/>
      <c r="F126" s="119"/>
      <c r="G126" s="65" t="str">
        <f aca="false">IF(OR($B126="",$E126="",$F126=""),"",MAX(0,F126-E126+1))</f>
        <v/>
      </c>
      <c r="H126" s="66" t="str">
        <f aca="false">IF(D126="","",IFERROR(VLOOKUP(D126,cfg_LT,2,FALSE()),1))</f>
        <v/>
      </c>
      <c r="I126" s="135"/>
      <c r="J126" s="66" t="str">
        <f aca="false">IF(D126="","",IF(I126&lt;&gt;"",I126,H126))</f>
        <v/>
      </c>
      <c r="K126" s="114" t="str">
        <f aca="false">IF(D126="","",IFERROR(VLOOKUP($D126,cfg_LT,3,FALSE()),""))</f>
        <v/>
      </c>
      <c r="L126" s="114" t="str">
        <f aca="false">IF(D126="","",IFERROR(VLOOKUP($D126,cfg_LT,4,FALSE()),""))</f>
        <v/>
      </c>
      <c r="M126" s="114" t="str">
        <f aca="false">IF(D126="","",IFERROR(VLOOKUP($D126,cfg_LT,5,FALSE()),""))</f>
        <v/>
      </c>
      <c r="N126" s="111" t="n">
        <f aca="false">IF(OR(OR($B126="",$E126="",$F126=""),M126&lt;&gt;"نعم"),0,G126*J126*IFERROR(INDEX(الموظفون!$R$6:$R$105,MATCH(B126,الموظفون!$B$6:$B$105,0)),0)/cfg_DAYS_M)</f>
        <v>0</v>
      </c>
      <c r="O126" s="106" t="str">
        <f aca="false">IF(OR(OR($B126="",$E126="",$F126=""),M126&lt;&gt;"نعم"),"",IF(YEAR(E126)=cfg_FY,MONTH(E126),""))</f>
        <v/>
      </c>
      <c r="P126" s="114" t="str">
        <f aca="false">IF(B126="","",IF(OR(D126="",E126="",F126=""),"⚠ أكمل النوع والتواريخ",IF(F126&lt;E126,"✖ النهاية قبل البداية",IF(COUNTIFS($B$6:$B$505,B126,$E$6:$E$505,"&lt;="&amp;F126,$F$6:$F$505,"&gt;="&amp;E126)&gt;1,"⚠ تداخل مع سجل آخر",IF(E126&gt;cfg_VAL_DATE,"⏳ قادمة",IF(F126&lt;cfg_VAL_DATE,"✔ منتهية","✈ جارية في تاريخ التقرير"))))))</f>
        <v/>
      </c>
      <c r="Q126" s="118"/>
      <c r="R126" s="65" t="n">
        <f aca="false">IF(OR(OR($B126="",$E126="",$F126=""),L126&lt;&gt;"لا"),0,MAX(0,MIN(F126,cfg_Y_START-1)-E126+1))</f>
        <v>0</v>
      </c>
      <c r="S126" s="65" t="n">
        <f aca="false">IF(OR(OR($B126="",$E126="",$F126=""),L126&lt;&gt;"لا"),0,MAX(0,MIN(F126,cfg_VAL_DATE)-E126+1))</f>
        <v>0</v>
      </c>
      <c r="T126" s="65" t="n">
        <f aca="false">IF(OR(OR($B126="",$E126="",$F126=""),K126&lt;&gt;"نعم"),0,IF(M126="نعم",IF(AND(ISNUMBER(O126),N(O126)&lt;=cfg_VAL_M),G126,0),MAX(0,MIN(F126,cfg_VAL_DATE)-MAX(E126,cfg_Y_START)+1)))</f>
        <v>0</v>
      </c>
      <c r="V126" s="65" t="n">
        <f aca="false">IF(OR($B126="",$E126="",$F126=""),0,MAX(0,MIN($F126,EOMONTH(DATE(cfg_FY,1,1),0))-MAX($E126,DATE(cfg_FY,1,1))+1)*(1-IF($M126="نعم",0,N($J126))))</f>
        <v>0</v>
      </c>
      <c r="W126" s="65" t="n">
        <f aca="false">IF(OR($B126="",$E126="",$F126=""),0,MAX(0,MIN($F126,EOMONTH(DATE(cfg_FY,2,1),0))-MAX($E126,DATE(cfg_FY,2,1))+1)*(1-IF($M126="نعم",0,N($J126))))</f>
        <v>0</v>
      </c>
      <c r="X126" s="65" t="n">
        <f aca="false">IF(OR($B126="",$E126="",$F126=""),0,MAX(0,MIN($F126,EOMONTH(DATE(cfg_FY,3,1),0))-MAX($E126,DATE(cfg_FY,3,1))+1)*(1-IF($M126="نعم",0,N($J126))))</f>
        <v>0</v>
      </c>
      <c r="Y126" s="65" t="n">
        <f aca="false">IF(OR($B126="",$E126="",$F126=""),0,MAX(0,MIN($F126,EOMONTH(DATE(cfg_FY,4,1),0))-MAX($E126,DATE(cfg_FY,4,1))+1)*(1-IF($M126="نعم",0,N($J126))))</f>
        <v>0</v>
      </c>
      <c r="Z126" s="65" t="n">
        <f aca="false">IF(OR($B126="",$E126="",$F126=""),0,MAX(0,MIN($F126,EOMONTH(DATE(cfg_FY,5,1),0))-MAX($E126,DATE(cfg_FY,5,1))+1)*(1-IF($M126="نعم",0,N($J126))))</f>
        <v>0</v>
      </c>
      <c r="AA126" s="65" t="n">
        <f aca="false">IF(OR($B126="",$E126="",$F126=""),0,MAX(0,MIN($F126,EOMONTH(DATE(cfg_FY,6,1),0))-MAX($E126,DATE(cfg_FY,6,1))+1)*(1-IF($M126="نعم",0,N($J126))))</f>
        <v>0</v>
      </c>
      <c r="AB126" s="65" t="n">
        <f aca="false">IF(OR($B126="",$E126="",$F126=""),0,MAX(0,MIN($F126,EOMONTH(DATE(cfg_FY,7,1),0))-MAX($E126,DATE(cfg_FY,7,1))+1)*(1-IF($M126="نعم",0,N($J126))))</f>
        <v>0</v>
      </c>
      <c r="AC126" s="65" t="n">
        <f aca="false">IF(OR($B126="",$E126="",$F126=""),0,MAX(0,MIN($F126,EOMONTH(DATE(cfg_FY,8,1),0))-MAX($E126,DATE(cfg_FY,8,1))+1)*(1-IF($M126="نعم",0,N($J126))))</f>
        <v>0</v>
      </c>
      <c r="AD126" s="65" t="n">
        <f aca="false">IF(OR($B126="",$E126="",$F126=""),0,MAX(0,MIN($F126,EOMONTH(DATE(cfg_FY,9,1),0))-MAX($E126,DATE(cfg_FY,9,1))+1)*(1-IF($M126="نعم",0,N($J126))))</f>
        <v>0</v>
      </c>
      <c r="AE126" s="65" t="n">
        <f aca="false">IF(OR($B126="",$E126="",$F126=""),0,MAX(0,MIN($F126,EOMONTH(DATE(cfg_FY,10,1),0))-MAX($E126,DATE(cfg_FY,10,1))+1)*(1-IF($M126="نعم",0,N($J126))))</f>
        <v>0</v>
      </c>
      <c r="AF126" s="65" t="n">
        <f aca="false">IF(OR($B126="",$E126="",$F126=""),0,MAX(0,MIN($F126,EOMONTH(DATE(cfg_FY,11,1),0))-MAX($E126,DATE(cfg_FY,11,1))+1)*(1-IF($M126="نعم",0,N($J126))))</f>
        <v>0</v>
      </c>
      <c r="AG126" s="65" t="n">
        <f aca="false">IF(OR($B126="",$E126="",$F126=""),0,MAX(0,MIN($F126,EOMONTH(DATE(cfg_FY,12,1),0))-MAX($E126,DATE(cfg_FY,12,1))+1)*(1-IF($M126="نعم",0,N($J126))))</f>
        <v>0</v>
      </c>
      <c r="AH126" s="65" t="n">
        <f aca="false">IF(OR(OR($B126="",$E126="",$F126=""),$L126&lt;&gt;"لا"),0,MAX(0,MIN($F126,EOMONTH(DATE(cfg_FY,1,1),0))-$E126+1))</f>
        <v>0</v>
      </c>
      <c r="AI126" s="65" t="n">
        <f aca="false">IF(OR(OR($B126="",$E126="",$F126=""),$L126&lt;&gt;"لا"),0,MAX(0,MIN($F126,EOMONTH(DATE(cfg_FY,2,1),0))-$E126+1))</f>
        <v>0</v>
      </c>
      <c r="AJ126" s="65" t="n">
        <f aca="false">IF(OR(OR($B126="",$E126="",$F126=""),$L126&lt;&gt;"لا"),0,MAX(0,MIN($F126,EOMONTH(DATE(cfg_FY,3,1),0))-$E126+1))</f>
        <v>0</v>
      </c>
      <c r="AK126" s="65" t="n">
        <f aca="false">IF(OR(OR($B126="",$E126="",$F126=""),$L126&lt;&gt;"لا"),0,MAX(0,MIN($F126,EOMONTH(DATE(cfg_FY,4,1),0))-$E126+1))</f>
        <v>0</v>
      </c>
      <c r="AL126" s="65" t="n">
        <f aca="false">IF(OR(OR($B126="",$E126="",$F126=""),$L126&lt;&gt;"لا"),0,MAX(0,MIN($F126,EOMONTH(DATE(cfg_FY,5,1),0))-$E126+1))</f>
        <v>0</v>
      </c>
      <c r="AM126" s="65" t="n">
        <f aca="false">IF(OR(OR($B126="",$E126="",$F126=""),$L126&lt;&gt;"لا"),0,MAX(0,MIN($F126,EOMONTH(DATE(cfg_FY,6,1),0))-$E126+1))</f>
        <v>0</v>
      </c>
      <c r="AN126" s="65" t="n">
        <f aca="false">IF(OR(OR($B126="",$E126="",$F126=""),$L126&lt;&gt;"لا"),0,MAX(0,MIN($F126,EOMONTH(DATE(cfg_FY,7,1),0))-$E126+1))</f>
        <v>0</v>
      </c>
      <c r="AO126" s="65" t="n">
        <f aca="false">IF(OR(OR($B126="",$E126="",$F126=""),$L126&lt;&gt;"لا"),0,MAX(0,MIN($F126,EOMONTH(DATE(cfg_FY,8,1),0))-$E126+1))</f>
        <v>0</v>
      </c>
      <c r="AP126" s="65" t="n">
        <f aca="false">IF(OR(OR($B126="",$E126="",$F126=""),$L126&lt;&gt;"لا"),0,MAX(0,MIN($F126,EOMONTH(DATE(cfg_FY,9,1),0))-$E126+1))</f>
        <v>0</v>
      </c>
      <c r="AQ126" s="65" t="n">
        <f aca="false">IF(OR(OR($B126="",$E126="",$F126=""),$L126&lt;&gt;"لا"),0,MAX(0,MIN($F126,EOMONTH(DATE(cfg_FY,10,1),0))-$E126+1))</f>
        <v>0</v>
      </c>
      <c r="AR126" s="65" t="n">
        <f aca="false">IF(OR(OR($B126="",$E126="",$F126=""),$L126&lt;&gt;"لا"),0,MAX(0,MIN($F126,EOMONTH(DATE(cfg_FY,11,1),0))-$E126+1))</f>
        <v>0</v>
      </c>
      <c r="AS126" s="65" t="n">
        <f aca="false">IF(OR(OR($B126="",$E126="",$F126=""),$L126&lt;&gt;"لا"),0,MAX(0,MIN($F126,EOMONTH(DATE(cfg_FY,12,1),0))-$E126+1))</f>
        <v>0</v>
      </c>
      <c r="AT126" s="65" t="n">
        <f aca="false">IF(OR(OR($B126="",$E126="",$F126=""),$K126&lt;&gt;"نعم",$M126="نعم"),0,MAX(0,MIN($F126,EOMONTH(DATE(cfg_FY,1,1),0))-MAX($E126,DATE(cfg_FY,1,1))+1))</f>
        <v>0</v>
      </c>
      <c r="AU126" s="65" t="n">
        <f aca="false">IF(OR(OR($B126="",$E126="",$F126=""),$K126&lt;&gt;"نعم",$M126="نعم"),0,MAX(0,MIN($F126,EOMONTH(DATE(cfg_FY,2,1),0))-MAX($E126,DATE(cfg_FY,2,1))+1))</f>
        <v>0</v>
      </c>
      <c r="AV126" s="65" t="n">
        <f aca="false">IF(OR(OR($B126="",$E126="",$F126=""),$K126&lt;&gt;"نعم",$M126="نعم"),0,MAX(0,MIN($F126,EOMONTH(DATE(cfg_FY,3,1),0))-MAX($E126,DATE(cfg_FY,3,1))+1))</f>
        <v>0</v>
      </c>
      <c r="AW126" s="65" t="n">
        <f aca="false">IF(OR(OR($B126="",$E126="",$F126=""),$K126&lt;&gt;"نعم",$M126="نعم"),0,MAX(0,MIN($F126,EOMONTH(DATE(cfg_FY,4,1),0))-MAX($E126,DATE(cfg_FY,4,1))+1))</f>
        <v>0</v>
      </c>
      <c r="AX126" s="65" t="n">
        <f aca="false">IF(OR(OR($B126="",$E126="",$F126=""),$K126&lt;&gt;"نعم",$M126="نعم"),0,MAX(0,MIN($F126,EOMONTH(DATE(cfg_FY,5,1),0))-MAX($E126,DATE(cfg_FY,5,1))+1))</f>
        <v>0</v>
      </c>
      <c r="AY126" s="65" t="n">
        <f aca="false">IF(OR(OR($B126="",$E126="",$F126=""),$K126&lt;&gt;"نعم",$M126="نعم"),0,MAX(0,MIN($F126,EOMONTH(DATE(cfg_FY,6,1),0))-MAX($E126,DATE(cfg_FY,6,1))+1))</f>
        <v>0</v>
      </c>
      <c r="AZ126" s="65" t="n">
        <f aca="false">IF(OR(OR($B126="",$E126="",$F126=""),$K126&lt;&gt;"نعم",$M126="نعم"),0,MAX(0,MIN($F126,EOMONTH(DATE(cfg_FY,7,1),0))-MAX($E126,DATE(cfg_FY,7,1))+1))</f>
        <v>0</v>
      </c>
      <c r="BA126" s="65" t="n">
        <f aca="false">IF(OR(OR($B126="",$E126="",$F126=""),$K126&lt;&gt;"نعم",$M126="نعم"),0,MAX(0,MIN($F126,EOMONTH(DATE(cfg_FY,8,1),0))-MAX($E126,DATE(cfg_FY,8,1))+1))</f>
        <v>0</v>
      </c>
      <c r="BB126" s="65" t="n">
        <f aca="false">IF(OR(OR($B126="",$E126="",$F126=""),$K126&lt;&gt;"نعم",$M126="نعم"),0,MAX(0,MIN($F126,EOMONTH(DATE(cfg_FY,9,1),0))-MAX($E126,DATE(cfg_FY,9,1))+1))</f>
        <v>0</v>
      </c>
      <c r="BC126" s="65" t="n">
        <f aca="false">IF(OR(OR($B126="",$E126="",$F126=""),$K126&lt;&gt;"نعم",$M126="نعم"),0,MAX(0,MIN($F126,EOMONTH(DATE(cfg_FY,10,1),0))-MAX($E126,DATE(cfg_FY,10,1))+1))</f>
        <v>0</v>
      </c>
      <c r="BD126" s="65" t="n">
        <f aca="false">IF(OR(OR($B126="",$E126="",$F126=""),$K126&lt;&gt;"نعم",$M126="نعم"),0,MAX(0,MIN($F126,EOMONTH(DATE(cfg_FY,11,1),0))-MAX($E126,DATE(cfg_FY,11,1))+1))</f>
        <v>0</v>
      </c>
      <c r="BE126" s="65" t="n">
        <f aca="false">IF(OR(OR($B126="",$E126="",$F126=""),$K126&lt;&gt;"نعم",$M126="نعم"),0,MAX(0,MIN($F126,EOMONTH(DATE(cfg_FY,12,1),0))-MAX($E126,DATE(cfg_FY,12,1))+1))</f>
        <v>0</v>
      </c>
    </row>
    <row r="127" customFormat="false" ht="15" hidden="false" customHeight="false" outlineLevel="0" collapsed="false">
      <c r="A127" s="115" t="str">
        <f aca="false">IF(B127="","",ROW()-5)</f>
        <v/>
      </c>
      <c r="B127" s="118"/>
      <c r="C127" s="117" t="str">
        <f aca="false">IF(B127="","",IFERROR(INDEX(الموظفون!$C$6:$C$105,MATCH(B127,الموظفون!$B$6:$B$105,0)),"✖ رقم غير موجود"))</f>
        <v/>
      </c>
      <c r="D127" s="118"/>
      <c r="E127" s="119"/>
      <c r="F127" s="119"/>
      <c r="G127" s="133" t="str">
        <f aca="false">IF(OR($B127="",$E127="",$F127=""),"",MAX(0,F127-E127+1))</f>
        <v/>
      </c>
      <c r="H127" s="134" t="str">
        <f aca="false">IF(D127="","",IFERROR(VLOOKUP(D127,cfg_LT,2,FALSE()),1))</f>
        <v/>
      </c>
      <c r="I127" s="135"/>
      <c r="J127" s="134" t="str">
        <f aca="false">IF(D127="","",IF(I127&lt;&gt;"",I127,H127))</f>
        <v/>
      </c>
      <c r="K127" s="117" t="str">
        <f aca="false">IF(D127="","",IFERROR(VLOOKUP($D127,cfg_LT,3,FALSE()),""))</f>
        <v/>
      </c>
      <c r="L127" s="117" t="str">
        <f aca="false">IF(D127="","",IFERROR(VLOOKUP($D127,cfg_LT,4,FALSE()),""))</f>
        <v/>
      </c>
      <c r="M127" s="117" t="str">
        <f aca="false">IF(D127="","",IFERROR(VLOOKUP($D127,cfg_LT,5,FALSE()),""))</f>
        <v/>
      </c>
      <c r="N127" s="116" t="n">
        <f aca="false">IF(OR(OR($B127="",$E127="",$F127=""),M127&lt;&gt;"نعم"),0,G127*J127*IFERROR(INDEX(الموظفون!$R$6:$R$105,MATCH(B127,الموظفون!$B$6:$B$105,0)),0)/cfg_DAYS_M)</f>
        <v>0</v>
      </c>
      <c r="O127" s="115" t="str">
        <f aca="false">IF(OR(OR($B127="",$E127="",$F127=""),M127&lt;&gt;"نعم"),"",IF(YEAR(E127)=cfg_FY,MONTH(E127),""))</f>
        <v/>
      </c>
      <c r="P127" s="117" t="str">
        <f aca="false">IF(B127="","",IF(OR(D127="",E127="",F127=""),"⚠ أكمل النوع والتواريخ",IF(F127&lt;E127,"✖ النهاية قبل البداية",IF(COUNTIFS($B$6:$B$505,B127,$E$6:$E$505,"&lt;="&amp;F127,$F$6:$F$505,"&gt;="&amp;E127)&gt;1,"⚠ تداخل مع سجل آخر",IF(E127&gt;cfg_VAL_DATE,"⏳ قادمة",IF(F127&lt;cfg_VAL_DATE,"✔ منتهية","✈ جارية في تاريخ التقرير"))))))</f>
        <v/>
      </c>
      <c r="Q127" s="118"/>
      <c r="R127" s="133" t="n">
        <f aca="false">IF(OR(OR($B127="",$E127="",$F127=""),L127&lt;&gt;"لا"),0,MAX(0,MIN(F127,cfg_Y_START-1)-E127+1))</f>
        <v>0</v>
      </c>
      <c r="S127" s="133" t="n">
        <f aca="false">IF(OR(OR($B127="",$E127="",$F127=""),L127&lt;&gt;"لا"),0,MAX(0,MIN(F127,cfg_VAL_DATE)-E127+1))</f>
        <v>0</v>
      </c>
      <c r="T127" s="133" t="n">
        <f aca="false">IF(OR(OR($B127="",$E127="",$F127=""),K127&lt;&gt;"نعم"),0,IF(M127="نعم",IF(AND(ISNUMBER(O127),N(O127)&lt;=cfg_VAL_M),G127,0),MAX(0,MIN(F127,cfg_VAL_DATE)-MAX(E127,cfg_Y_START)+1)))</f>
        <v>0</v>
      </c>
      <c r="V127" s="133" t="n">
        <f aca="false">IF(OR($B127="",$E127="",$F127=""),0,MAX(0,MIN($F127,EOMONTH(DATE(cfg_FY,1,1),0))-MAX($E127,DATE(cfg_FY,1,1))+1)*(1-IF($M127="نعم",0,N($J127))))</f>
        <v>0</v>
      </c>
      <c r="W127" s="133" t="n">
        <f aca="false">IF(OR($B127="",$E127="",$F127=""),0,MAX(0,MIN($F127,EOMONTH(DATE(cfg_FY,2,1),0))-MAX($E127,DATE(cfg_FY,2,1))+1)*(1-IF($M127="نعم",0,N($J127))))</f>
        <v>0</v>
      </c>
      <c r="X127" s="133" t="n">
        <f aca="false">IF(OR($B127="",$E127="",$F127=""),0,MAX(0,MIN($F127,EOMONTH(DATE(cfg_FY,3,1),0))-MAX($E127,DATE(cfg_FY,3,1))+1)*(1-IF($M127="نعم",0,N($J127))))</f>
        <v>0</v>
      </c>
      <c r="Y127" s="133" t="n">
        <f aca="false">IF(OR($B127="",$E127="",$F127=""),0,MAX(0,MIN($F127,EOMONTH(DATE(cfg_FY,4,1),0))-MAX($E127,DATE(cfg_FY,4,1))+1)*(1-IF($M127="نعم",0,N($J127))))</f>
        <v>0</v>
      </c>
      <c r="Z127" s="133" t="n">
        <f aca="false">IF(OR($B127="",$E127="",$F127=""),0,MAX(0,MIN($F127,EOMONTH(DATE(cfg_FY,5,1),0))-MAX($E127,DATE(cfg_FY,5,1))+1)*(1-IF($M127="نعم",0,N($J127))))</f>
        <v>0</v>
      </c>
      <c r="AA127" s="133" t="n">
        <f aca="false">IF(OR($B127="",$E127="",$F127=""),0,MAX(0,MIN($F127,EOMONTH(DATE(cfg_FY,6,1),0))-MAX($E127,DATE(cfg_FY,6,1))+1)*(1-IF($M127="نعم",0,N($J127))))</f>
        <v>0</v>
      </c>
      <c r="AB127" s="133" t="n">
        <f aca="false">IF(OR($B127="",$E127="",$F127=""),0,MAX(0,MIN($F127,EOMONTH(DATE(cfg_FY,7,1),0))-MAX($E127,DATE(cfg_FY,7,1))+1)*(1-IF($M127="نعم",0,N($J127))))</f>
        <v>0</v>
      </c>
      <c r="AC127" s="133" t="n">
        <f aca="false">IF(OR($B127="",$E127="",$F127=""),0,MAX(0,MIN($F127,EOMONTH(DATE(cfg_FY,8,1),0))-MAX($E127,DATE(cfg_FY,8,1))+1)*(1-IF($M127="نعم",0,N($J127))))</f>
        <v>0</v>
      </c>
      <c r="AD127" s="133" t="n">
        <f aca="false">IF(OR($B127="",$E127="",$F127=""),0,MAX(0,MIN($F127,EOMONTH(DATE(cfg_FY,9,1),0))-MAX($E127,DATE(cfg_FY,9,1))+1)*(1-IF($M127="نعم",0,N($J127))))</f>
        <v>0</v>
      </c>
      <c r="AE127" s="133" t="n">
        <f aca="false">IF(OR($B127="",$E127="",$F127=""),0,MAX(0,MIN($F127,EOMONTH(DATE(cfg_FY,10,1),0))-MAX($E127,DATE(cfg_FY,10,1))+1)*(1-IF($M127="نعم",0,N($J127))))</f>
        <v>0</v>
      </c>
      <c r="AF127" s="133" t="n">
        <f aca="false">IF(OR($B127="",$E127="",$F127=""),0,MAX(0,MIN($F127,EOMONTH(DATE(cfg_FY,11,1),0))-MAX($E127,DATE(cfg_FY,11,1))+1)*(1-IF($M127="نعم",0,N($J127))))</f>
        <v>0</v>
      </c>
      <c r="AG127" s="133" t="n">
        <f aca="false">IF(OR($B127="",$E127="",$F127=""),0,MAX(0,MIN($F127,EOMONTH(DATE(cfg_FY,12,1),0))-MAX($E127,DATE(cfg_FY,12,1))+1)*(1-IF($M127="نعم",0,N($J127))))</f>
        <v>0</v>
      </c>
      <c r="AH127" s="133" t="n">
        <f aca="false">IF(OR(OR($B127="",$E127="",$F127=""),$L127&lt;&gt;"لا"),0,MAX(0,MIN($F127,EOMONTH(DATE(cfg_FY,1,1),0))-$E127+1))</f>
        <v>0</v>
      </c>
      <c r="AI127" s="133" t="n">
        <f aca="false">IF(OR(OR($B127="",$E127="",$F127=""),$L127&lt;&gt;"لا"),0,MAX(0,MIN($F127,EOMONTH(DATE(cfg_FY,2,1),0))-$E127+1))</f>
        <v>0</v>
      </c>
      <c r="AJ127" s="133" t="n">
        <f aca="false">IF(OR(OR($B127="",$E127="",$F127=""),$L127&lt;&gt;"لا"),0,MAX(0,MIN($F127,EOMONTH(DATE(cfg_FY,3,1),0))-$E127+1))</f>
        <v>0</v>
      </c>
      <c r="AK127" s="133" t="n">
        <f aca="false">IF(OR(OR($B127="",$E127="",$F127=""),$L127&lt;&gt;"لا"),0,MAX(0,MIN($F127,EOMONTH(DATE(cfg_FY,4,1),0))-$E127+1))</f>
        <v>0</v>
      </c>
      <c r="AL127" s="133" t="n">
        <f aca="false">IF(OR(OR($B127="",$E127="",$F127=""),$L127&lt;&gt;"لا"),0,MAX(0,MIN($F127,EOMONTH(DATE(cfg_FY,5,1),0))-$E127+1))</f>
        <v>0</v>
      </c>
      <c r="AM127" s="133" t="n">
        <f aca="false">IF(OR(OR($B127="",$E127="",$F127=""),$L127&lt;&gt;"لا"),0,MAX(0,MIN($F127,EOMONTH(DATE(cfg_FY,6,1),0))-$E127+1))</f>
        <v>0</v>
      </c>
      <c r="AN127" s="133" t="n">
        <f aca="false">IF(OR(OR($B127="",$E127="",$F127=""),$L127&lt;&gt;"لا"),0,MAX(0,MIN($F127,EOMONTH(DATE(cfg_FY,7,1),0))-$E127+1))</f>
        <v>0</v>
      </c>
      <c r="AO127" s="133" t="n">
        <f aca="false">IF(OR(OR($B127="",$E127="",$F127=""),$L127&lt;&gt;"لا"),0,MAX(0,MIN($F127,EOMONTH(DATE(cfg_FY,8,1),0))-$E127+1))</f>
        <v>0</v>
      </c>
      <c r="AP127" s="133" t="n">
        <f aca="false">IF(OR(OR($B127="",$E127="",$F127=""),$L127&lt;&gt;"لا"),0,MAX(0,MIN($F127,EOMONTH(DATE(cfg_FY,9,1),0))-$E127+1))</f>
        <v>0</v>
      </c>
      <c r="AQ127" s="133" t="n">
        <f aca="false">IF(OR(OR($B127="",$E127="",$F127=""),$L127&lt;&gt;"لا"),0,MAX(0,MIN($F127,EOMONTH(DATE(cfg_FY,10,1),0))-$E127+1))</f>
        <v>0</v>
      </c>
      <c r="AR127" s="133" t="n">
        <f aca="false">IF(OR(OR($B127="",$E127="",$F127=""),$L127&lt;&gt;"لا"),0,MAX(0,MIN($F127,EOMONTH(DATE(cfg_FY,11,1),0))-$E127+1))</f>
        <v>0</v>
      </c>
      <c r="AS127" s="133" t="n">
        <f aca="false">IF(OR(OR($B127="",$E127="",$F127=""),$L127&lt;&gt;"لا"),0,MAX(0,MIN($F127,EOMONTH(DATE(cfg_FY,12,1),0))-$E127+1))</f>
        <v>0</v>
      </c>
      <c r="AT127" s="133" t="n">
        <f aca="false">IF(OR(OR($B127="",$E127="",$F127=""),$K127&lt;&gt;"نعم",$M127="نعم"),0,MAX(0,MIN($F127,EOMONTH(DATE(cfg_FY,1,1),0))-MAX($E127,DATE(cfg_FY,1,1))+1))</f>
        <v>0</v>
      </c>
      <c r="AU127" s="133" t="n">
        <f aca="false">IF(OR(OR($B127="",$E127="",$F127=""),$K127&lt;&gt;"نعم",$M127="نعم"),0,MAX(0,MIN($F127,EOMONTH(DATE(cfg_FY,2,1),0))-MAX($E127,DATE(cfg_FY,2,1))+1))</f>
        <v>0</v>
      </c>
      <c r="AV127" s="133" t="n">
        <f aca="false">IF(OR(OR($B127="",$E127="",$F127=""),$K127&lt;&gt;"نعم",$M127="نعم"),0,MAX(0,MIN($F127,EOMONTH(DATE(cfg_FY,3,1),0))-MAX($E127,DATE(cfg_FY,3,1))+1))</f>
        <v>0</v>
      </c>
      <c r="AW127" s="133" t="n">
        <f aca="false">IF(OR(OR($B127="",$E127="",$F127=""),$K127&lt;&gt;"نعم",$M127="نعم"),0,MAX(0,MIN($F127,EOMONTH(DATE(cfg_FY,4,1),0))-MAX($E127,DATE(cfg_FY,4,1))+1))</f>
        <v>0</v>
      </c>
      <c r="AX127" s="133" t="n">
        <f aca="false">IF(OR(OR($B127="",$E127="",$F127=""),$K127&lt;&gt;"نعم",$M127="نعم"),0,MAX(0,MIN($F127,EOMONTH(DATE(cfg_FY,5,1),0))-MAX($E127,DATE(cfg_FY,5,1))+1))</f>
        <v>0</v>
      </c>
      <c r="AY127" s="133" t="n">
        <f aca="false">IF(OR(OR($B127="",$E127="",$F127=""),$K127&lt;&gt;"نعم",$M127="نعم"),0,MAX(0,MIN($F127,EOMONTH(DATE(cfg_FY,6,1),0))-MAX($E127,DATE(cfg_FY,6,1))+1))</f>
        <v>0</v>
      </c>
      <c r="AZ127" s="133" t="n">
        <f aca="false">IF(OR(OR($B127="",$E127="",$F127=""),$K127&lt;&gt;"نعم",$M127="نعم"),0,MAX(0,MIN($F127,EOMONTH(DATE(cfg_FY,7,1),0))-MAX($E127,DATE(cfg_FY,7,1))+1))</f>
        <v>0</v>
      </c>
      <c r="BA127" s="133" t="n">
        <f aca="false">IF(OR(OR($B127="",$E127="",$F127=""),$K127&lt;&gt;"نعم",$M127="نعم"),0,MAX(0,MIN($F127,EOMONTH(DATE(cfg_FY,8,1),0))-MAX($E127,DATE(cfg_FY,8,1))+1))</f>
        <v>0</v>
      </c>
      <c r="BB127" s="133" t="n">
        <f aca="false">IF(OR(OR($B127="",$E127="",$F127=""),$K127&lt;&gt;"نعم",$M127="نعم"),0,MAX(0,MIN($F127,EOMONTH(DATE(cfg_FY,9,1),0))-MAX($E127,DATE(cfg_FY,9,1))+1))</f>
        <v>0</v>
      </c>
      <c r="BC127" s="133" t="n">
        <f aca="false">IF(OR(OR($B127="",$E127="",$F127=""),$K127&lt;&gt;"نعم",$M127="نعم"),0,MAX(0,MIN($F127,EOMONTH(DATE(cfg_FY,10,1),0))-MAX($E127,DATE(cfg_FY,10,1))+1))</f>
        <v>0</v>
      </c>
      <c r="BD127" s="133" t="n">
        <f aca="false">IF(OR(OR($B127="",$E127="",$F127=""),$K127&lt;&gt;"نعم",$M127="نعم"),0,MAX(0,MIN($F127,EOMONTH(DATE(cfg_FY,11,1),0))-MAX($E127,DATE(cfg_FY,11,1))+1))</f>
        <v>0</v>
      </c>
      <c r="BE127" s="133" t="n">
        <f aca="false">IF(OR(OR($B127="",$E127="",$F127=""),$K127&lt;&gt;"نعم",$M127="نعم"),0,MAX(0,MIN($F127,EOMONTH(DATE(cfg_FY,12,1),0))-MAX($E127,DATE(cfg_FY,12,1))+1))</f>
        <v>0</v>
      </c>
    </row>
    <row r="128" customFormat="false" ht="15" hidden="false" customHeight="false" outlineLevel="0" collapsed="false">
      <c r="A128" s="106" t="str">
        <f aca="false">IF(B128="","",ROW()-5)</f>
        <v/>
      </c>
      <c r="B128" s="118"/>
      <c r="C128" s="114" t="str">
        <f aca="false">IF(B128="","",IFERROR(INDEX(الموظفون!$C$6:$C$105,MATCH(B128,الموظفون!$B$6:$B$105,0)),"✖ رقم غير موجود"))</f>
        <v/>
      </c>
      <c r="D128" s="118"/>
      <c r="E128" s="119"/>
      <c r="F128" s="119"/>
      <c r="G128" s="65" t="str">
        <f aca="false">IF(OR($B128="",$E128="",$F128=""),"",MAX(0,F128-E128+1))</f>
        <v/>
      </c>
      <c r="H128" s="66" t="str">
        <f aca="false">IF(D128="","",IFERROR(VLOOKUP(D128,cfg_LT,2,FALSE()),1))</f>
        <v/>
      </c>
      <c r="I128" s="135"/>
      <c r="J128" s="66" t="str">
        <f aca="false">IF(D128="","",IF(I128&lt;&gt;"",I128,H128))</f>
        <v/>
      </c>
      <c r="K128" s="114" t="str">
        <f aca="false">IF(D128="","",IFERROR(VLOOKUP($D128,cfg_LT,3,FALSE()),""))</f>
        <v/>
      </c>
      <c r="L128" s="114" t="str">
        <f aca="false">IF(D128="","",IFERROR(VLOOKUP($D128,cfg_LT,4,FALSE()),""))</f>
        <v/>
      </c>
      <c r="M128" s="114" t="str">
        <f aca="false">IF(D128="","",IFERROR(VLOOKUP($D128,cfg_LT,5,FALSE()),""))</f>
        <v/>
      </c>
      <c r="N128" s="111" t="n">
        <f aca="false">IF(OR(OR($B128="",$E128="",$F128=""),M128&lt;&gt;"نعم"),0,G128*J128*IFERROR(INDEX(الموظفون!$R$6:$R$105,MATCH(B128,الموظفون!$B$6:$B$105,0)),0)/cfg_DAYS_M)</f>
        <v>0</v>
      </c>
      <c r="O128" s="106" t="str">
        <f aca="false">IF(OR(OR($B128="",$E128="",$F128=""),M128&lt;&gt;"نعم"),"",IF(YEAR(E128)=cfg_FY,MONTH(E128),""))</f>
        <v/>
      </c>
      <c r="P128" s="114" t="str">
        <f aca="false">IF(B128="","",IF(OR(D128="",E128="",F128=""),"⚠ أكمل النوع والتواريخ",IF(F128&lt;E128,"✖ النهاية قبل البداية",IF(COUNTIFS($B$6:$B$505,B128,$E$6:$E$505,"&lt;="&amp;F128,$F$6:$F$505,"&gt;="&amp;E128)&gt;1,"⚠ تداخل مع سجل آخر",IF(E128&gt;cfg_VAL_DATE,"⏳ قادمة",IF(F128&lt;cfg_VAL_DATE,"✔ منتهية","✈ جارية في تاريخ التقرير"))))))</f>
        <v/>
      </c>
      <c r="Q128" s="118"/>
      <c r="R128" s="65" t="n">
        <f aca="false">IF(OR(OR($B128="",$E128="",$F128=""),L128&lt;&gt;"لا"),0,MAX(0,MIN(F128,cfg_Y_START-1)-E128+1))</f>
        <v>0</v>
      </c>
      <c r="S128" s="65" t="n">
        <f aca="false">IF(OR(OR($B128="",$E128="",$F128=""),L128&lt;&gt;"لا"),0,MAX(0,MIN(F128,cfg_VAL_DATE)-E128+1))</f>
        <v>0</v>
      </c>
      <c r="T128" s="65" t="n">
        <f aca="false">IF(OR(OR($B128="",$E128="",$F128=""),K128&lt;&gt;"نعم"),0,IF(M128="نعم",IF(AND(ISNUMBER(O128),N(O128)&lt;=cfg_VAL_M),G128,0),MAX(0,MIN(F128,cfg_VAL_DATE)-MAX(E128,cfg_Y_START)+1)))</f>
        <v>0</v>
      </c>
      <c r="V128" s="65" t="n">
        <f aca="false">IF(OR($B128="",$E128="",$F128=""),0,MAX(0,MIN($F128,EOMONTH(DATE(cfg_FY,1,1),0))-MAX($E128,DATE(cfg_FY,1,1))+1)*(1-IF($M128="نعم",0,N($J128))))</f>
        <v>0</v>
      </c>
      <c r="W128" s="65" t="n">
        <f aca="false">IF(OR($B128="",$E128="",$F128=""),0,MAX(0,MIN($F128,EOMONTH(DATE(cfg_FY,2,1),0))-MAX($E128,DATE(cfg_FY,2,1))+1)*(1-IF($M128="نعم",0,N($J128))))</f>
        <v>0</v>
      </c>
      <c r="X128" s="65" t="n">
        <f aca="false">IF(OR($B128="",$E128="",$F128=""),0,MAX(0,MIN($F128,EOMONTH(DATE(cfg_FY,3,1),0))-MAX($E128,DATE(cfg_FY,3,1))+1)*(1-IF($M128="نعم",0,N($J128))))</f>
        <v>0</v>
      </c>
      <c r="Y128" s="65" t="n">
        <f aca="false">IF(OR($B128="",$E128="",$F128=""),0,MAX(0,MIN($F128,EOMONTH(DATE(cfg_FY,4,1),0))-MAX($E128,DATE(cfg_FY,4,1))+1)*(1-IF($M128="نعم",0,N($J128))))</f>
        <v>0</v>
      </c>
      <c r="Z128" s="65" t="n">
        <f aca="false">IF(OR($B128="",$E128="",$F128=""),0,MAX(0,MIN($F128,EOMONTH(DATE(cfg_FY,5,1),0))-MAX($E128,DATE(cfg_FY,5,1))+1)*(1-IF($M128="نعم",0,N($J128))))</f>
        <v>0</v>
      </c>
      <c r="AA128" s="65" t="n">
        <f aca="false">IF(OR($B128="",$E128="",$F128=""),0,MAX(0,MIN($F128,EOMONTH(DATE(cfg_FY,6,1),0))-MAX($E128,DATE(cfg_FY,6,1))+1)*(1-IF($M128="نعم",0,N($J128))))</f>
        <v>0</v>
      </c>
      <c r="AB128" s="65" t="n">
        <f aca="false">IF(OR($B128="",$E128="",$F128=""),0,MAX(0,MIN($F128,EOMONTH(DATE(cfg_FY,7,1),0))-MAX($E128,DATE(cfg_FY,7,1))+1)*(1-IF($M128="نعم",0,N($J128))))</f>
        <v>0</v>
      </c>
      <c r="AC128" s="65" t="n">
        <f aca="false">IF(OR($B128="",$E128="",$F128=""),0,MAX(0,MIN($F128,EOMONTH(DATE(cfg_FY,8,1),0))-MAX($E128,DATE(cfg_FY,8,1))+1)*(1-IF($M128="نعم",0,N($J128))))</f>
        <v>0</v>
      </c>
      <c r="AD128" s="65" t="n">
        <f aca="false">IF(OR($B128="",$E128="",$F128=""),0,MAX(0,MIN($F128,EOMONTH(DATE(cfg_FY,9,1),0))-MAX($E128,DATE(cfg_FY,9,1))+1)*(1-IF($M128="نعم",0,N($J128))))</f>
        <v>0</v>
      </c>
      <c r="AE128" s="65" t="n">
        <f aca="false">IF(OR($B128="",$E128="",$F128=""),0,MAX(0,MIN($F128,EOMONTH(DATE(cfg_FY,10,1),0))-MAX($E128,DATE(cfg_FY,10,1))+1)*(1-IF($M128="نعم",0,N($J128))))</f>
        <v>0</v>
      </c>
      <c r="AF128" s="65" t="n">
        <f aca="false">IF(OR($B128="",$E128="",$F128=""),0,MAX(0,MIN($F128,EOMONTH(DATE(cfg_FY,11,1),0))-MAX($E128,DATE(cfg_FY,11,1))+1)*(1-IF($M128="نعم",0,N($J128))))</f>
        <v>0</v>
      </c>
      <c r="AG128" s="65" t="n">
        <f aca="false">IF(OR($B128="",$E128="",$F128=""),0,MAX(0,MIN($F128,EOMONTH(DATE(cfg_FY,12,1),0))-MAX($E128,DATE(cfg_FY,12,1))+1)*(1-IF($M128="نعم",0,N($J128))))</f>
        <v>0</v>
      </c>
      <c r="AH128" s="65" t="n">
        <f aca="false">IF(OR(OR($B128="",$E128="",$F128=""),$L128&lt;&gt;"لا"),0,MAX(0,MIN($F128,EOMONTH(DATE(cfg_FY,1,1),0))-$E128+1))</f>
        <v>0</v>
      </c>
      <c r="AI128" s="65" t="n">
        <f aca="false">IF(OR(OR($B128="",$E128="",$F128=""),$L128&lt;&gt;"لا"),0,MAX(0,MIN($F128,EOMONTH(DATE(cfg_FY,2,1),0))-$E128+1))</f>
        <v>0</v>
      </c>
      <c r="AJ128" s="65" t="n">
        <f aca="false">IF(OR(OR($B128="",$E128="",$F128=""),$L128&lt;&gt;"لا"),0,MAX(0,MIN($F128,EOMONTH(DATE(cfg_FY,3,1),0))-$E128+1))</f>
        <v>0</v>
      </c>
      <c r="AK128" s="65" t="n">
        <f aca="false">IF(OR(OR($B128="",$E128="",$F128=""),$L128&lt;&gt;"لا"),0,MAX(0,MIN($F128,EOMONTH(DATE(cfg_FY,4,1),0))-$E128+1))</f>
        <v>0</v>
      </c>
      <c r="AL128" s="65" t="n">
        <f aca="false">IF(OR(OR($B128="",$E128="",$F128=""),$L128&lt;&gt;"لا"),0,MAX(0,MIN($F128,EOMONTH(DATE(cfg_FY,5,1),0))-$E128+1))</f>
        <v>0</v>
      </c>
      <c r="AM128" s="65" t="n">
        <f aca="false">IF(OR(OR($B128="",$E128="",$F128=""),$L128&lt;&gt;"لا"),0,MAX(0,MIN($F128,EOMONTH(DATE(cfg_FY,6,1),0))-$E128+1))</f>
        <v>0</v>
      </c>
      <c r="AN128" s="65" t="n">
        <f aca="false">IF(OR(OR($B128="",$E128="",$F128=""),$L128&lt;&gt;"لا"),0,MAX(0,MIN($F128,EOMONTH(DATE(cfg_FY,7,1),0))-$E128+1))</f>
        <v>0</v>
      </c>
      <c r="AO128" s="65" t="n">
        <f aca="false">IF(OR(OR($B128="",$E128="",$F128=""),$L128&lt;&gt;"لا"),0,MAX(0,MIN($F128,EOMONTH(DATE(cfg_FY,8,1),0))-$E128+1))</f>
        <v>0</v>
      </c>
      <c r="AP128" s="65" t="n">
        <f aca="false">IF(OR(OR($B128="",$E128="",$F128=""),$L128&lt;&gt;"لا"),0,MAX(0,MIN($F128,EOMONTH(DATE(cfg_FY,9,1),0))-$E128+1))</f>
        <v>0</v>
      </c>
      <c r="AQ128" s="65" t="n">
        <f aca="false">IF(OR(OR($B128="",$E128="",$F128=""),$L128&lt;&gt;"لا"),0,MAX(0,MIN($F128,EOMONTH(DATE(cfg_FY,10,1),0))-$E128+1))</f>
        <v>0</v>
      </c>
      <c r="AR128" s="65" t="n">
        <f aca="false">IF(OR(OR($B128="",$E128="",$F128=""),$L128&lt;&gt;"لا"),0,MAX(0,MIN($F128,EOMONTH(DATE(cfg_FY,11,1),0))-$E128+1))</f>
        <v>0</v>
      </c>
      <c r="AS128" s="65" t="n">
        <f aca="false">IF(OR(OR($B128="",$E128="",$F128=""),$L128&lt;&gt;"لا"),0,MAX(0,MIN($F128,EOMONTH(DATE(cfg_FY,12,1),0))-$E128+1))</f>
        <v>0</v>
      </c>
      <c r="AT128" s="65" t="n">
        <f aca="false">IF(OR(OR($B128="",$E128="",$F128=""),$K128&lt;&gt;"نعم",$M128="نعم"),0,MAX(0,MIN($F128,EOMONTH(DATE(cfg_FY,1,1),0))-MAX($E128,DATE(cfg_FY,1,1))+1))</f>
        <v>0</v>
      </c>
      <c r="AU128" s="65" t="n">
        <f aca="false">IF(OR(OR($B128="",$E128="",$F128=""),$K128&lt;&gt;"نعم",$M128="نعم"),0,MAX(0,MIN($F128,EOMONTH(DATE(cfg_FY,2,1),0))-MAX($E128,DATE(cfg_FY,2,1))+1))</f>
        <v>0</v>
      </c>
      <c r="AV128" s="65" t="n">
        <f aca="false">IF(OR(OR($B128="",$E128="",$F128=""),$K128&lt;&gt;"نعم",$M128="نعم"),0,MAX(0,MIN($F128,EOMONTH(DATE(cfg_FY,3,1),0))-MAX($E128,DATE(cfg_FY,3,1))+1))</f>
        <v>0</v>
      </c>
      <c r="AW128" s="65" t="n">
        <f aca="false">IF(OR(OR($B128="",$E128="",$F128=""),$K128&lt;&gt;"نعم",$M128="نعم"),0,MAX(0,MIN($F128,EOMONTH(DATE(cfg_FY,4,1),0))-MAX($E128,DATE(cfg_FY,4,1))+1))</f>
        <v>0</v>
      </c>
      <c r="AX128" s="65" t="n">
        <f aca="false">IF(OR(OR($B128="",$E128="",$F128=""),$K128&lt;&gt;"نعم",$M128="نعم"),0,MAX(0,MIN($F128,EOMONTH(DATE(cfg_FY,5,1),0))-MAX($E128,DATE(cfg_FY,5,1))+1))</f>
        <v>0</v>
      </c>
      <c r="AY128" s="65" t="n">
        <f aca="false">IF(OR(OR($B128="",$E128="",$F128=""),$K128&lt;&gt;"نعم",$M128="نعم"),0,MAX(0,MIN($F128,EOMONTH(DATE(cfg_FY,6,1),0))-MAX($E128,DATE(cfg_FY,6,1))+1))</f>
        <v>0</v>
      </c>
      <c r="AZ128" s="65" t="n">
        <f aca="false">IF(OR(OR($B128="",$E128="",$F128=""),$K128&lt;&gt;"نعم",$M128="نعم"),0,MAX(0,MIN($F128,EOMONTH(DATE(cfg_FY,7,1),0))-MAX($E128,DATE(cfg_FY,7,1))+1))</f>
        <v>0</v>
      </c>
      <c r="BA128" s="65" t="n">
        <f aca="false">IF(OR(OR($B128="",$E128="",$F128=""),$K128&lt;&gt;"نعم",$M128="نعم"),0,MAX(0,MIN($F128,EOMONTH(DATE(cfg_FY,8,1),0))-MAX($E128,DATE(cfg_FY,8,1))+1))</f>
        <v>0</v>
      </c>
      <c r="BB128" s="65" t="n">
        <f aca="false">IF(OR(OR($B128="",$E128="",$F128=""),$K128&lt;&gt;"نعم",$M128="نعم"),0,MAX(0,MIN($F128,EOMONTH(DATE(cfg_FY,9,1),0))-MAX($E128,DATE(cfg_FY,9,1))+1))</f>
        <v>0</v>
      </c>
      <c r="BC128" s="65" t="n">
        <f aca="false">IF(OR(OR($B128="",$E128="",$F128=""),$K128&lt;&gt;"نعم",$M128="نعم"),0,MAX(0,MIN($F128,EOMONTH(DATE(cfg_FY,10,1),0))-MAX($E128,DATE(cfg_FY,10,1))+1))</f>
        <v>0</v>
      </c>
      <c r="BD128" s="65" t="n">
        <f aca="false">IF(OR(OR($B128="",$E128="",$F128=""),$K128&lt;&gt;"نعم",$M128="نعم"),0,MAX(0,MIN($F128,EOMONTH(DATE(cfg_FY,11,1),0))-MAX($E128,DATE(cfg_FY,11,1))+1))</f>
        <v>0</v>
      </c>
      <c r="BE128" s="65" t="n">
        <f aca="false">IF(OR(OR($B128="",$E128="",$F128=""),$K128&lt;&gt;"نعم",$M128="نعم"),0,MAX(0,MIN($F128,EOMONTH(DATE(cfg_FY,12,1),0))-MAX($E128,DATE(cfg_FY,12,1))+1))</f>
        <v>0</v>
      </c>
    </row>
    <row r="129" customFormat="false" ht="15" hidden="false" customHeight="false" outlineLevel="0" collapsed="false">
      <c r="A129" s="115" t="str">
        <f aca="false">IF(B129="","",ROW()-5)</f>
        <v/>
      </c>
      <c r="B129" s="118"/>
      <c r="C129" s="117" t="str">
        <f aca="false">IF(B129="","",IFERROR(INDEX(الموظفون!$C$6:$C$105,MATCH(B129,الموظفون!$B$6:$B$105,0)),"✖ رقم غير موجود"))</f>
        <v/>
      </c>
      <c r="D129" s="118"/>
      <c r="E129" s="119"/>
      <c r="F129" s="119"/>
      <c r="G129" s="133" t="str">
        <f aca="false">IF(OR($B129="",$E129="",$F129=""),"",MAX(0,F129-E129+1))</f>
        <v/>
      </c>
      <c r="H129" s="134" t="str">
        <f aca="false">IF(D129="","",IFERROR(VLOOKUP(D129,cfg_LT,2,FALSE()),1))</f>
        <v/>
      </c>
      <c r="I129" s="135"/>
      <c r="J129" s="134" t="str">
        <f aca="false">IF(D129="","",IF(I129&lt;&gt;"",I129,H129))</f>
        <v/>
      </c>
      <c r="K129" s="117" t="str">
        <f aca="false">IF(D129="","",IFERROR(VLOOKUP($D129,cfg_LT,3,FALSE()),""))</f>
        <v/>
      </c>
      <c r="L129" s="117" t="str">
        <f aca="false">IF(D129="","",IFERROR(VLOOKUP($D129,cfg_LT,4,FALSE()),""))</f>
        <v/>
      </c>
      <c r="M129" s="117" t="str">
        <f aca="false">IF(D129="","",IFERROR(VLOOKUP($D129,cfg_LT,5,FALSE()),""))</f>
        <v/>
      </c>
      <c r="N129" s="116" t="n">
        <f aca="false">IF(OR(OR($B129="",$E129="",$F129=""),M129&lt;&gt;"نعم"),0,G129*J129*IFERROR(INDEX(الموظفون!$R$6:$R$105,MATCH(B129,الموظفون!$B$6:$B$105,0)),0)/cfg_DAYS_M)</f>
        <v>0</v>
      </c>
      <c r="O129" s="115" t="str">
        <f aca="false">IF(OR(OR($B129="",$E129="",$F129=""),M129&lt;&gt;"نعم"),"",IF(YEAR(E129)=cfg_FY,MONTH(E129),""))</f>
        <v/>
      </c>
      <c r="P129" s="117" t="str">
        <f aca="false">IF(B129="","",IF(OR(D129="",E129="",F129=""),"⚠ أكمل النوع والتواريخ",IF(F129&lt;E129,"✖ النهاية قبل البداية",IF(COUNTIFS($B$6:$B$505,B129,$E$6:$E$505,"&lt;="&amp;F129,$F$6:$F$505,"&gt;="&amp;E129)&gt;1,"⚠ تداخل مع سجل آخر",IF(E129&gt;cfg_VAL_DATE,"⏳ قادمة",IF(F129&lt;cfg_VAL_DATE,"✔ منتهية","✈ جارية في تاريخ التقرير"))))))</f>
        <v/>
      </c>
      <c r="Q129" s="118"/>
      <c r="R129" s="133" t="n">
        <f aca="false">IF(OR(OR($B129="",$E129="",$F129=""),L129&lt;&gt;"لا"),0,MAX(0,MIN(F129,cfg_Y_START-1)-E129+1))</f>
        <v>0</v>
      </c>
      <c r="S129" s="133" t="n">
        <f aca="false">IF(OR(OR($B129="",$E129="",$F129=""),L129&lt;&gt;"لا"),0,MAX(0,MIN(F129,cfg_VAL_DATE)-E129+1))</f>
        <v>0</v>
      </c>
      <c r="T129" s="133" t="n">
        <f aca="false">IF(OR(OR($B129="",$E129="",$F129=""),K129&lt;&gt;"نعم"),0,IF(M129="نعم",IF(AND(ISNUMBER(O129),N(O129)&lt;=cfg_VAL_M),G129,0),MAX(0,MIN(F129,cfg_VAL_DATE)-MAX(E129,cfg_Y_START)+1)))</f>
        <v>0</v>
      </c>
      <c r="V129" s="133" t="n">
        <f aca="false">IF(OR($B129="",$E129="",$F129=""),0,MAX(0,MIN($F129,EOMONTH(DATE(cfg_FY,1,1),0))-MAX($E129,DATE(cfg_FY,1,1))+1)*(1-IF($M129="نعم",0,N($J129))))</f>
        <v>0</v>
      </c>
      <c r="W129" s="133" t="n">
        <f aca="false">IF(OR($B129="",$E129="",$F129=""),0,MAX(0,MIN($F129,EOMONTH(DATE(cfg_FY,2,1),0))-MAX($E129,DATE(cfg_FY,2,1))+1)*(1-IF($M129="نعم",0,N($J129))))</f>
        <v>0</v>
      </c>
      <c r="X129" s="133" t="n">
        <f aca="false">IF(OR($B129="",$E129="",$F129=""),0,MAX(0,MIN($F129,EOMONTH(DATE(cfg_FY,3,1),0))-MAX($E129,DATE(cfg_FY,3,1))+1)*(1-IF($M129="نعم",0,N($J129))))</f>
        <v>0</v>
      </c>
      <c r="Y129" s="133" t="n">
        <f aca="false">IF(OR($B129="",$E129="",$F129=""),0,MAX(0,MIN($F129,EOMONTH(DATE(cfg_FY,4,1),0))-MAX($E129,DATE(cfg_FY,4,1))+1)*(1-IF($M129="نعم",0,N($J129))))</f>
        <v>0</v>
      </c>
      <c r="Z129" s="133" t="n">
        <f aca="false">IF(OR($B129="",$E129="",$F129=""),0,MAX(0,MIN($F129,EOMONTH(DATE(cfg_FY,5,1),0))-MAX($E129,DATE(cfg_FY,5,1))+1)*(1-IF($M129="نعم",0,N($J129))))</f>
        <v>0</v>
      </c>
      <c r="AA129" s="133" t="n">
        <f aca="false">IF(OR($B129="",$E129="",$F129=""),0,MAX(0,MIN($F129,EOMONTH(DATE(cfg_FY,6,1),0))-MAX($E129,DATE(cfg_FY,6,1))+1)*(1-IF($M129="نعم",0,N($J129))))</f>
        <v>0</v>
      </c>
      <c r="AB129" s="133" t="n">
        <f aca="false">IF(OR($B129="",$E129="",$F129=""),0,MAX(0,MIN($F129,EOMONTH(DATE(cfg_FY,7,1),0))-MAX($E129,DATE(cfg_FY,7,1))+1)*(1-IF($M129="نعم",0,N($J129))))</f>
        <v>0</v>
      </c>
      <c r="AC129" s="133" t="n">
        <f aca="false">IF(OR($B129="",$E129="",$F129=""),0,MAX(0,MIN($F129,EOMONTH(DATE(cfg_FY,8,1),0))-MAX($E129,DATE(cfg_FY,8,1))+1)*(1-IF($M129="نعم",0,N($J129))))</f>
        <v>0</v>
      </c>
      <c r="AD129" s="133" t="n">
        <f aca="false">IF(OR($B129="",$E129="",$F129=""),0,MAX(0,MIN($F129,EOMONTH(DATE(cfg_FY,9,1),0))-MAX($E129,DATE(cfg_FY,9,1))+1)*(1-IF($M129="نعم",0,N($J129))))</f>
        <v>0</v>
      </c>
      <c r="AE129" s="133" t="n">
        <f aca="false">IF(OR($B129="",$E129="",$F129=""),0,MAX(0,MIN($F129,EOMONTH(DATE(cfg_FY,10,1),0))-MAX($E129,DATE(cfg_FY,10,1))+1)*(1-IF($M129="نعم",0,N($J129))))</f>
        <v>0</v>
      </c>
      <c r="AF129" s="133" t="n">
        <f aca="false">IF(OR($B129="",$E129="",$F129=""),0,MAX(0,MIN($F129,EOMONTH(DATE(cfg_FY,11,1),0))-MAX($E129,DATE(cfg_FY,11,1))+1)*(1-IF($M129="نعم",0,N($J129))))</f>
        <v>0</v>
      </c>
      <c r="AG129" s="133" t="n">
        <f aca="false">IF(OR($B129="",$E129="",$F129=""),0,MAX(0,MIN($F129,EOMONTH(DATE(cfg_FY,12,1),0))-MAX($E129,DATE(cfg_FY,12,1))+1)*(1-IF($M129="نعم",0,N($J129))))</f>
        <v>0</v>
      </c>
      <c r="AH129" s="133" t="n">
        <f aca="false">IF(OR(OR($B129="",$E129="",$F129=""),$L129&lt;&gt;"لا"),0,MAX(0,MIN($F129,EOMONTH(DATE(cfg_FY,1,1),0))-$E129+1))</f>
        <v>0</v>
      </c>
      <c r="AI129" s="133" t="n">
        <f aca="false">IF(OR(OR($B129="",$E129="",$F129=""),$L129&lt;&gt;"لا"),0,MAX(0,MIN($F129,EOMONTH(DATE(cfg_FY,2,1),0))-$E129+1))</f>
        <v>0</v>
      </c>
      <c r="AJ129" s="133" t="n">
        <f aca="false">IF(OR(OR($B129="",$E129="",$F129=""),$L129&lt;&gt;"لا"),0,MAX(0,MIN($F129,EOMONTH(DATE(cfg_FY,3,1),0))-$E129+1))</f>
        <v>0</v>
      </c>
      <c r="AK129" s="133" t="n">
        <f aca="false">IF(OR(OR($B129="",$E129="",$F129=""),$L129&lt;&gt;"لا"),0,MAX(0,MIN($F129,EOMONTH(DATE(cfg_FY,4,1),0))-$E129+1))</f>
        <v>0</v>
      </c>
      <c r="AL129" s="133" t="n">
        <f aca="false">IF(OR(OR($B129="",$E129="",$F129=""),$L129&lt;&gt;"لا"),0,MAX(0,MIN($F129,EOMONTH(DATE(cfg_FY,5,1),0))-$E129+1))</f>
        <v>0</v>
      </c>
      <c r="AM129" s="133" t="n">
        <f aca="false">IF(OR(OR($B129="",$E129="",$F129=""),$L129&lt;&gt;"لا"),0,MAX(0,MIN($F129,EOMONTH(DATE(cfg_FY,6,1),0))-$E129+1))</f>
        <v>0</v>
      </c>
      <c r="AN129" s="133" t="n">
        <f aca="false">IF(OR(OR($B129="",$E129="",$F129=""),$L129&lt;&gt;"لا"),0,MAX(0,MIN($F129,EOMONTH(DATE(cfg_FY,7,1),0))-$E129+1))</f>
        <v>0</v>
      </c>
      <c r="AO129" s="133" t="n">
        <f aca="false">IF(OR(OR($B129="",$E129="",$F129=""),$L129&lt;&gt;"لا"),0,MAX(0,MIN($F129,EOMONTH(DATE(cfg_FY,8,1),0))-$E129+1))</f>
        <v>0</v>
      </c>
      <c r="AP129" s="133" t="n">
        <f aca="false">IF(OR(OR($B129="",$E129="",$F129=""),$L129&lt;&gt;"لا"),0,MAX(0,MIN($F129,EOMONTH(DATE(cfg_FY,9,1),0))-$E129+1))</f>
        <v>0</v>
      </c>
      <c r="AQ129" s="133" t="n">
        <f aca="false">IF(OR(OR($B129="",$E129="",$F129=""),$L129&lt;&gt;"لا"),0,MAX(0,MIN($F129,EOMONTH(DATE(cfg_FY,10,1),0))-$E129+1))</f>
        <v>0</v>
      </c>
      <c r="AR129" s="133" t="n">
        <f aca="false">IF(OR(OR($B129="",$E129="",$F129=""),$L129&lt;&gt;"لا"),0,MAX(0,MIN($F129,EOMONTH(DATE(cfg_FY,11,1),0))-$E129+1))</f>
        <v>0</v>
      </c>
      <c r="AS129" s="133" t="n">
        <f aca="false">IF(OR(OR($B129="",$E129="",$F129=""),$L129&lt;&gt;"لا"),0,MAX(0,MIN($F129,EOMONTH(DATE(cfg_FY,12,1),0))-$E129+1))</f>
        <v>0</v>
      </c>
      <c r="AT129" s="133" t="n">
        <f aca="false">IF(OR(OR($B129="",$E129="",$F129=""),$K129&lt;&gt;"نعم",$M129="نعم"),0,MAX(0,MIN($F129,EOMONTH(DATE(cfg_FY,1,1),0))-MAX($E129,DATE(cfg_FY,1,1))+1))</f>
        <v>0</v>
      </c>
      <c r="AU129" s="133" t="n">
        <f aca="false">IF(OR(OR($B129="",$E129="",$F129=""),$K129&lt;&gt;"نعم",$M129="نعم"),0,MAX(0,MIN($F129,EOMONTH(DATE(cfg_FY,2,1),0))-MAX($E129,DATE(cfg_FY,2,1))+1))</f>
        <v>0</v>
      </c>
      <c r="AV129" s="133" t="n">
        <f aca="false">IF(OR(OR($B129="",$E129="",$F129=""),$K129&lt;&gt;"نعم",$M129="نعم"),0,MAX(0,MIN($F129,EOMONTH(DATE(cfg_FY,3,1),0))-MAX($E129,DATE(cfg_FY,3,1))+1))</f>
        <v>0</v>
      </c>
      <c r="AW129" s="133" t="n">
        <f aca="false">IF(OR(OR($B129="",$E129="",$F129=""),$K129&lt;&gt;"نعم",$M129="نعم"),0,MAX(0,MIN($F129,EOMONTH(DATE(cfg_FY,4,1),0))-MAX($E129,DATE(cfg_FY,4,1))+1))</f>
        <v>0</v>
      </c>
      <c r="AX129" s="133" t="n">
        <f aca="false">IF(OR(OR($B129="",$E129="",$F129=""),$K129&lt;&gt;"نعم",$M129="نعم"),0,MAX(0,MIN($F129,EOMONTH(DATE(cfg_FY,5,1),0))-MAX($E129,DATE(cfg_FY,5,1))+1))</f>
        <v>0</v>
      </c>
      <c r="AY129" s="133" t="n">
        <f aca="false">IF(OR(OR($B129="",$E129="",$F129=""),$K129&lt;&gt;"نعم",$M129="نعم"),0,MAX(0,MIN($F129,EOMONTH(DATE(cfg_FY,6,1),0))-MAX($E129,DATE(cfg_FY,6,1))+1))</f>
        <v>0</v>
      </c>
      <c r="AZ129" s="133" t="n">
        <f aca="false">IF(OR(OR($B129="",$E129="",$F129=""),$K129&lt;&gt;"نعم",$M129="نعم"),0,MAX(0,MIN($F129,EOMONTH(DATE(cfg_FY,7,1),0))-MAX($E129,DATE(cfg_FY,7,1))+1))</f>
        <v>0</v>
      </c>
      <c r="BA129" s="133" t="n">
        <f aca="false">IF(OR(OR($B129="",$E129="",$F129=""),$K129&lt;&gt;"نعم",$M129="نعم"),0,MAX(0,MIN($F129,EOMONTH(DATE(cfg_FY,8,1),0))-MAX($E129,DATE(cfg_FY,8,1))+1))</f>
        <v>0</v>
      </c>
      <c r="BB129" s="133" t="n">
        <f aca="false">IF(OR(OR($B129="",$E129="",$F129=""),$K129&lt;&gt;"نعم",$M129="نعم"),0,MAX(0,MIN($F129,EOMONTH(DATE(cfg_FY,9,1),0))-MAX($E129,DATE(cfg_FY,9,1))+1))</f>
        <v>0</v>
      </c>
      <c r="BC129" s="133" t="n">
        <f aca="false">IF(OR(OR($B129="",$E129="",$F129=""),$K129&lt;&gt;"نعم",$M129="نعم"),0,MAX(0,MIN($F129,EOMONTH(DATE(cfg_FY,10,1),0))-MAX($E129,DATE(cfg_FY,10,1))+1))</f>
        <v>0</v>
      </c>
      <c r="BD129" s="133" t="n">
        <f aca="false">IF(OR(OR($B129="",$E129="",$F129=""),$K129&lt;&gt;"نعم",$M129="نعم"),0,MAX(0,MIN($F129,EOMONTH(DATE(cfg_FY,11,1),0))-MAX($E129,DATE(cfg_FY,11,1))+1))</f>
        <v>0</v>
      </c>
      <c r="BE129" s="133" t="n">
        <f aca="false">IF(OR(OR($B129="",$E129="",$F129=""),$K129&lt;&gt;"نعم",$M129="نعم"),0,MAX(0,MIN($F129,EOMONTH(DATE(cfg_FY,12,1),0))-MAX($E129,DATE(cfg_FY,12,1))+1))</f>
        <v>0</v>
      </c>
    </row>
    <row r="130" customFormat="false" ht="15" hidden="false" customHeight="false" outlineLevel="0" collapsed="false">
      <c r="A130" s="106" t="str">
        <f aca="false">IF(B130="","",ROW()-5)</f>
        <v/>
      </c>
      <c r="B130" s="118"/>
      <c r="C130" s="114" t="str">
        <f aca="false">IF(B130="","",IFERROR(INDEX(الموظفون!$C$6:$C$105,MATCH(B130,الموظفون!$B$6:$B$105,0)),"✖ رقم غير موجود"))</f>
        <v/>
      </c>
      <c r="D130" s="118"/>
      <c r="E130" s="119"/>
      <c r="F130" s="119"/>
      <c r="G130" s="65" t="str">
        <f aca="false">IF(OR($B130="",$E130="",$F130=""),"",MAX(0,F130-E130+1))</f>
        <v/>
      </c>
      <c r="H130" s="66" t="str">
        <f aca="false">IF(D130="","",IFERROR(VLOOKUP(D130,cfg_LT,2,FALSE()),1))</f>
        <v/>
      </c>
      <c r="I130" s="135"/>
      <c r="J130" s="66" t="str">
        <f aca="false">IF(D130="","",IF(I130&lt;&gt;"",I130,H130))</f>
        <v/>
      </c>
      <c r="K130" s="114" t="str">
        <f aca="false">IF(D130="","",IFERROR(VLOOKUP($D130,cfg_LT,3,FALSE()),""))</f>
        <v/>
      </c>
      <c r="L130" s="114" t="str">
        <f aca="false">IF(D130="","",IFERROR(VLOOKUP($D130,cfg_LT,4,FALSE()),""))</f>
        <v/>
      </c>
      <c r="M130" s="114" t="str">
        <f aca="false">IF(D130="","",IFERROR(VLOOKUP($D130,cfg_LT,5,FALSE()),""))</f>
        <v/>
      </c>
      <c r="N130" s="111" t="n">
        <f aca="false">IF(OR(OR($B130="",$E130="",$F130=""),M130&lt;&gt;"نعم"),0,G130*J130*IFERROR(INDEX(الموظفون!$R$6:$R$105,MATCH(B130,الموظفون!$B$6:$B$105,0)),0)/cfg_DAYS_M)</f>
        <v>0</v>
      </c>
      <c r="O130" s="106" t="str">
        <f aca="false">IF(OR(OR($B130="",$E130="",$F130=""),M130&lt;&gt;"نعم"),"",IF(YEAR(E130)=cfg_FY,MONTH(E130),""))</f>
        <v/>
      </c>
      <c r="P130" s="114" t="str">
        <f aca="false">IF(B130="","",IF(OR(D130="",E130="",F130=""),"⚠ أكمل النوع والتواريخ",IF(F130&lt;E130,"✖ النهاية قبل البداية",IF(COUNTIFS($B$6:$B$505,B130,$E$6:$E$505,"&lt;="&amp;F130,$F$6:$F$505,"&gt;="&amp;E130)&gt;1,"⚠ تداخل مع سجل آخر",IF(E130&gt;cfg_VAL_DATE,"⏳ قادمة",IF(F130&lt;cfg_VAL_DATE,"✔ منتهية","✈ جارية في تاريخ التقرير"))))))</f>
        <v/>
      </c>
      <c r="Q130" s="118"/>
      <c r="R130" s="65" t="n">
        <f aca="false">IF(OR(OR($B130="",$E130="",$F130=""),L130&lt;&gt;"لا"),0,MAX(0,MIN(F130,cfg_Y_START-1)-E130+1))</f>
        <v>0</v>
      </c>
      <c r="S130" s="65" t="n">
        <f aca="false">IF(OR(OR($B130="",$E130="",$F130=""),L130&lt;&gt;"لا"),0,MAX(0,MIN(F130,cfg_VAL_DATE)-E130+1))</f>
        <v>0</v>
      </c>
      <c r="T130" s="65" t="n">
        <f aca="false">IF(OR(OR($B130="",$E130="",$F130=""),K130&lt;&gt;"نعم"),0,IF(M130="نعم",IF(AND(ISNUMBER(O130),N(O130)&lt;=cfg_VAL_M),G130,0),MAX(0,MIN(F130,cfg_VAL_DATE)-MAX(E130,cfg_Y_START)+1)))</f>
        <v>0</v>
      </c>
      <c r="V130" s="65" t="n">
        <f aca="false">IF(OR($B130="",$E130="",$F130=""),0,MAX(0,MIN($F130,EOMONTH(DATE(cfg_FY,1,1),0))-MAX($E130,DATE(cfg_FY,1,1))+1)*(1-IF($M130="نعم",0,N($J130))))</f>
        <v>0</v>
      </c>
      <c r="W130" s="65" t="n">
        <f aca="false">IF(OR($B130="",$E130="",$F130=""),0,MAX(0,MIN($F130,EOMONTH(DATE(cfg_FY,2,1),0))-MAX($E130,DATE(cfg_FY,2,1))+1)*(1-IF($M130="نعم",0,N($J130))))</f>
        <v>0</v>
      </c>
      <c r="X130" s="65" t="n">
        <f aca="false">IF(OR($B130="",$E130="",$F130=""),0,MAX(0,MIN($F130,EOMONTH(DATE(cfg_FY,3,1),0))-MAX($E130,DATE(cfg_FY,3,1))+1)*(1-IF($M130="نعم",0,N($J130))))</f>
        <v>0</v>
      </c>
      <c r="Y130" s="65" t="n">
        <f aca="false">IF(OR($B130="",$E130="",$F130=""),0,MAX(0,MIN($F130,EOMONTH(DATE(cfg_FY,4,1),0))-MAX($E130,DATE(cfg_FY,4,1))+1)*(1-IF($M130="نعم",0,N($J130))))</f>
        <v>0</v>
      </c>
      <c r="Z130" s="65" t="n">
        <f aca="false">IF(OR($B130="",$E130="",$F130=""),0,MAX(0,MIN($F130,EOMONTH(DATE(cfg_FY,5,1),0))-MAX($E130,DATE(cfg_FY,5,1))+1)*(1-IF($M130="نعم",0,N($J130))))</f>
        <v>0</v>
      </c>
      <c r="AA130" s="65" t="n">
        <f aca="false">IF(OR($B130="",$E130="",$F130=""),0,MAX(0,MIN($F130,EOMONTH(DATE(cfg_FY,6,1),0))-MAX($E130,DATE(cfg_FY,6,1))+1)*(1-IF($M130="نعم",0,N($J130))))</f>
        <v>0</v>
      </c>
      <c r="AB130" s="65" t="n">
        <f aca="false">IF(OR($B130="",$E130="",$F130=""),0,MAX(0,MIN($F130,EOMONTH(DATE(cfg_FY,7,1),0))-MAX($E130,DATE(cfg_FY,7,1))+1)*(1-IF($M130="نعم",0,N($J130))))</f>
        <v>0</v>
      </c>
      <c r="AC130" s="65" t="n">
        <f aca="false">IF(OR($B130="",$E130="",$F130=""),0,MAX(0,MIN($F130,EOMONTH(DATE(cfg_FY,8,1),0))-MAX($E130,DATE(cfg_FY,8,1))+1)*(1-IF($M130="نعم",0,N($J130))))</f>
        <v>0</v>
      </c>
      <c r="AD130" s="65" t="n">
        <f aca="false">IF(OR($B130="",$E130="",$F130=""),0,MAX(0,MIN($F130,EOMONTH(DATE(cfg_FY,9,1),0))-MAX($E130,DATE(cfg_FY,9,1))+1)*(1-IF($M130="نعم",0,N($J130))))</f>
        <v>0</v>
      </c>
      <c r="AE130" s="65" t="n">
        <f aca="false">IF(OR($B130="",$E130="",$F130=""),0,MAX(0,MIN($F130,EOMONTH(DATE(cfg_FY,10,1),0))-MAX($E130,DATE(cfg_FY,10,1))+1)*(1-IF($M130="نعم",0,N($J130))))</f>
        <v>0</v>
      </c>
      <c r="AF130" s="65" t="n">
        <f aca="false">IF(OR($B130="",$E130="",$F130=""),0,MAX(0,MIN($F130,EOMONTH(DATE(cfg_FY,11,1),0))-MAX($E130,DATE(cfg_FY,11,1))+1)*(1-IF($M130="نعم",0,N($J130))))</f>
        <v>0</v>
      </c>
      <c r="AG130" s="65" t="n">
        <f aca="false">IF(OR($B130="",$E130="",$F130=""),0,MAX(0,MIN($F130,EOMONTH(DATE(cfg_FY,12,1),0))-MAX($E130,DATE(cfg_FY,12,1))+1)*(1-IF($M130="نعم",0,N($J130))))</f>
        <v>0</v>
      </c>
      <c r="AH130" s="65" t="n">
        <f aca="false">IF(OR(OR($B130="",$E130="",$F130=""),$L130&lt;&gt;"لا"),0,MAX(0,MIN($F130,EOMONTH(DATE(cfg_FY,1,1),0))-$E130+1))</f>
        <v>0</v>
      </c>
      <c r="AI130" s="65" t="n">
        <f aca="false">IF(OR(OR($B130="",$E130="",$F130=""),$L130&lt;&gt;"لا"),0,MAX(0,MIN($F130,EOMONTH(DATE(cfg_FY,2,1),0))-$E130+1))</f>
        <v>0</v>
      </c>
      <c r="AJ130" s="65" t="n">
        <f aca="false">IF(OR(OR($B130="",$E130="",$F130=""),$L130&lt;&gt;"لا"),0,MAX(0,MIN($F130,EOMONTH(DATE(cfg_FY,3,1),0))-$E130+1))</f>
        <v>0</v>
      </c>
      <c r="AK130" s="65" t="n">
        <f aca="false">IF(OR(OR($B130="",$E130="",$F130=""),$L130&lt;&gt;"لا"),0,MAX(0,MIN($F130,EOMONTH(DATE(cfg_FY,4,1),0))-$E130+1))</f>
        <v>0</v>
      </c>
      <c r="AL130" s="65" t="n">
        <f aca="false">IF(OR(OR($B130="",$E130="",$F130=""),$L130&lt;&gt;"لا"),0,MAX(0,MIN($F130,EOMONTH(DATE(cfg_FY,5,1),0))-$E130+1))</f>
        <v>0</v>
      </c>
      <c r="AM130" s="65" t="n">
        <f aca="false">IF(OR(OR($B130="",$E130="",$F130=""),$L130&lt;&gt;"لا"),0,MAX(0,MIN($F130,EOMONTH(DATE(cfg_FY,6,1),0))-$E130+1))</f>
        <v>0</v>
      </c>
      <c r="AN130" s="65" t="n">
        <f aca="false">IF(OR(OR($B130="",$E130="",$F130=""),$L130&lt;&gt;"لا"),0,MAX(0,MIN($F130,EOMONTH(DATE(cfg_FY,7,1),0))-$E130+1))</f>
        <v>0</v>
      </c>
      <c r="AO130" s="65" t="n">
        <f aca="false">IF(OR(OR($B130="",$E130="",$F130=""),$L130&lt;&gt;"لا"),0,MAX(0,MIN($F130,EOMONTH(DATE(cfg_FY,8,1),0))-$E130+1))</f>
        <v>0</v>
      </c>
      <c r="AP130" s="65" t="n">
        <f aca="false">IF(OR(OR($B130="",$E130="",$F130=""),$L130&lt;&gt;"لا"),0,MAX(0,MIN($F130,EOMONTH(DATE(cfg_FY,9,1),0))-$E130+1))</f>
        <v>0</v>
      </c>
      <c r="AQ130" s="65" t="n">
        <f aca="false">IF(OR(OR($B130="",$E130="",$F130=""),$L130&lt;&gt;"لا"),0,MAX(0,MIN($F130,EOMONTH(DATE(cfg_FY,10,1),0))-$E130+1))</f>
        <v>0</v>
      </c>
      <c r="AR130" s="65" t="n">
        <f aca="false">IF(OR(OR($B130="",$E130="",$F130=""),$L130&lt;&gt;"لا"),0,MAX(0,MIN($F130,EOMONTH(DATE(cfg_FY,11,1),0))-$E130+1))</f>
        <v>0</v>
      </c>
      <c r="AS130" s="65" t="n">
        <f aca="false">IF(OR(OR($B130="",$E130="",$F130=""),$L130&lt;&gt;"لا"),0,MAX(0,MIN($F130,EOMONTH(DATE(cfg_FY,12,1),0))-$E130+1))</f>
        <v>0</v>
      </c>
      <c r="AT130" s="65" t="n">
        <f aca="false">IF(OR(OR($B130="",$E130="",$F130=""),$K130&lt;&gt;"نعم",$M130="نعم"),0,MAX(0,MIN($F130,EOMONTH(DATE(cfg_FY,1,1),0))-MAX($E130,DATE(cfg_FY,1,1))+1))</f>
        <v>0</v>
      </c>
      <c r="AU130" s="65" t="n">
        <f aca="false">IF(OR(OR($B130="",$E130="",$F130=""),$K130&lt;&gt;"نعم",$M130="نعم"),0,MAX(0,MIN($F130,EOMONTH(DATE(cfg_FY,2,1),0))-MAX($E130,DATE(cfg_FY,2,1))+1))</f>
        <v>0</v>
      </c>
      <c r="AV130" s="65" t="n">
        <f aca="false">IF(OR(OR($B130="",$E130="",$F130=""),$K130&lt;&gt;"نعم",$M130="نعم"),0,MAX(0,MIN($F130,EOMONTH(DATE(cfg_FY,3,1),0))-MAX($E130,DATE(cfg_FY,3,1))+1))</f>
        <v>0</v>
      </c>
      <c r="AW130" s="65" t="n">
        <f aca="false">IF(OR(OR($B130="",$E130="",$F130=""),$K130&lt;&gt;"نعم",$M130="نعم"),0,MAX(0,MIN($F130,EOMONTH(DATE(cfg_FY,4,1),0))-MAX($E130,DATE(cfg_FY,4,1))+1))</f>
        <v>0</v>
      </c>
      <c r="AX130" s="65" t="n">
        <f aca="false">IF(OR(OR($B130="",$E130="",$F130=""),$K130&lt;&gt;"نعم",$M130="نعم"),0,MAX(0,MIN($F130,EOMONTH(DATE(cfg_FY,5,1),0))-MAX($E130,DATE(cfg_FY,5,1))+1))</f>
        <v>0</v>
      </c>
      <c r="AY130" s="65" t="n">
        <f aca="false">IF(OR(OR($B130="",$E130="",$F130=""),$K130&lt;&gt;"نعم",$M130="نعم"),0,MAX(0,MIN($F130,EOMONTH(DATE(cfg_FY,6,1),0))-MAX($E130,DATE(cfg_FY,6,1))+1))</f>
        <v>0</v>
      </c>
      <c r="AZ130" s="65" t="n">
        <f aca="false">IF(OR(OR($B130="",$E130="",$F130=""),$K130&lt;&gt;"نعم",$M130="نعم"),0,MAX(0,MIN($F130,EOMONTH(DATE(cfg_FY,7,1),0))-MAX($E130,DATE(cfg_FY,7,1))+1))</f>
        <v>0</v>
      </c>
      <c r="BA130" s="65" t="n">
        <f aca="false">IF(OR(OR($B130="",$E130="",$F130=""),$K130&lt;&gt;"نعم",$M130="نعم"),0,MAX(0,MIN($F130,EOMONTH(DATE(cfg_FY,8,1),0))-MAX($E130,DATE(cfg_FY,8,1))+1))</f>
        <v>0</v>
      </c>
      <c r="BB130" s="65" t="n">
        <f aca="false">IF(OR(OR($B130="",$E130="",$F130=""),$K130&lt;&gt;"نعم",$M130="نعم"),0,MAX(0,MIN($F130,EOMONTH(DATE(cfg_FY,9,1),0))-MAX($E130,DATE(cfg_FY,9,1))+1))</f>
        <v>0</v>
      </c>
      <c r="BC130" s="65" t="n">
        <f aca="false">IF(OR(OR($B130="",$E130="",$F130=""),$K130&lt;&gt;"نعم",$M130="نعم"),0,MAX(0,MIN($F130,EOMONTH(DATE(cfg_FY,10,1),0))-MAX($E130,DATE(cfg_FY,10,1))+1))</f>
        <v>0</v>
      </c>
      <c r="BD130" s="65" t="n">
        <f aca="false">IF(OR(OR($B130="",$E130="",$F130=""),$K130&lt;&gt;"نعم",$M130="نعم"),0,MAX(0,MIN($F130,EOMONTH(DATE(cfg_FY,11,1),0))-MAX($E130,DATE(cfg_FY,11,1))+1))</f>
        <v>0</v>
      </c>
      <c r="BE130" s="65" t="n">
        <f aca="false">IF(OR(OR($B130="",$E130="",$F130=""),$K130&lt;&gt;"نعم",$M130="نعم"),0,MAX(0,MIN($F130,EOMONTH(DATE(cfg_FY,12,1),0))-MAX($E130,DATE(cfg_FY,12,1))+1))</f>
        <v>0</v>
      </c>
    </row>
    <row r="131" customFormat="false" ht="15" hidden="false" customHeight="false" outlineLevel="0" collapsed="false">
      <c r="A131" s="115" t="str">
        <f aca="false">IF(B131="","",ROW()-5)</f>
        <v/>
      </c>
      <c r="B131" s="118"/>
      <c r="C131" s="117" t="str">
        <f aca="false">IF(B131="","",IFERROR(INDEX(الموظفون!$C$6:$C$105,MATCH(B131,الموظفون!$B$6:$B$105,0)),"✖ رقم غير موجود"))</f>
        <v/>
      </c>
      <c r="D131" s="118"/>
      <c r="E131" s="119"/>
      <c r="F131" s="119"/>
      <c r="G131" s="133" t="str">
        <f aca="false">IF(OR($B131="",$E131="",$F131=""),"",MAX(0,F131-E131+1))</f>
        <v/>
      </c>
      <c r="H131" s="134" t="str">
        <f aca="false">IF(D131="","",IFERROR(VLOOKUP(D131,cfg_LT,2,FALSE()),1))</f>
        <v/>
      </c>
      <c r="I131" s="135"/>
      <c r="J131" s="134" t="str">
        <f aca="false">IF(D131="","",IF(I131&lt;&gt;"",I131,H131))</f>
        <v/>
      </c>
      <c r="K131" s="117" t="str">
        <f aca="false">IF(D131="","",IFERROR(VLOOKUP($D131,cfg_LT,3,FALSE()),""))</f>
        <v/>
      </c>
      <c r="L131" s="117" t="str">
        <f aca="false">IF(D131="","",IFERROR(VLOOKUP($D131,cfg_LT,4,FALSE()),""))</f>
        <v/>
      </c>
      <c r="M131" s="117" t="str">
        <f aca="false">IF(D131="","",IFERROR(VLOOKUP($D131,cfg_LT,5,FALSE()),""))</f>
        <v/>
      </c>
      <c r="N131" s="116" t="n">
        <f aca="false">IF(OR(OR($B131="",$E131="",$F131=""),M131&lt;&gt;"نعم"),0,G131*J131*IFERROR(INDEX(الموظفون!$R$6:$R$105,MATCH(B131,الموظفون!$B$6:$B$105,0)),0)/cfg_DAYS_M)</f>
        <v>0</v>
      </c>
      <c r="O131" s="115" t="str">
        <f aca="false">IF(OR(OR($B131="",$E131="",$F131=""),M131&lt;&gt;"نعم"),"",IF(YEAR(E131)=cfg_FY,MONTH(E131),""))</f>
        <v/>
      </c>
      <c r="P131" s="117" t="str">
        <f aca="false">IF(B131="","",IF(OR(D131="",E131="",F131=""),"⚠ أكمل النوع والتواريخ",IF(F131&lt;E131,"✖ النهاية قبل البداية",IF(COUNTIFS($B$6:$B$505,B131,$E$6:$E$505,"&lt;="&amp;F131,$F$6:$F$505,"&gt;="&amp;E131)&gt;1,"⚠ تداخل مع سجل آخر",IF(E131&gt;cfg_VAL_DATE,"⏳ قادمة",IF(F131&lt;cfg_VAL_DATE,"✔ منتهية","✈ جارية في تاريخ التقرير"))))))</f>
        <v/>
      </c>
      <c r="Q131" s="118"/>
      <c r="R131" s="133" t="n">
        <f aca="false">IF(OR(OR($B131="",$E131="",$F131=""),L131&lt;&gt;"لا"),0,MAX(0,MIN(F131,cfg_Y_START-1)-E131+1))</f>
        <v>0</v>
      </c>
      <c r="S131" s="133" t="n">
        <f aca="false">IF(OR(OR($B131="",$E131="",$F131=""),L131&lt;&gt;"لا"),0,MAX(0,MIN(F131,cfg_VAL_DATE)-E131+1))</f>
        <v>0</v>
      </c>
      <c r="T131" s="133" t="n">
        <f aca="false">IF(OR(OR($B131="",$E131="",$F131=""),K131&lt;&gt;"نعم"),0,IF(M131="نعم",IF(AND(ISNUMBER(O131),N(O131)&lt;=cfg_VAL_M),G131,0),MAX(0,MIN(F131,cfg_VAL_DATE)-MAX(E131,cfg_Y_START)+1)))</f>
        <v>0</v>
      </c>
      <c r="V131" s="133" t="n">
        <f aca="false">IF(OR($B131="",$E131="",$F131=""),0,MAX(0,MIN($F131,EOMONTH(DATE(cfg_FY,1,1),0))-MAX($E131,DATE(cfg_FY,1,1))+1)*(1-IF($M131="نعم",0,N($J131))))</f>
        <v>0</v>
      </c>
      <c r="W131" s="133" t="n">
        <f aca="false">IF(OR($B131="",$E131="",$F131=""),0,MAX(0,MIN($F131,EOMONTH(DATE(cfg_FY,2,1),0))-MAX($E131,DATE(cfg_FY,2,1))+1)*(1-IF($M131="نعم",0,N($J131))))</f>
        <v>0</v>
      </c>
      <c r="X131" s="133" t="n">
        <f aca="false">IF(OR($B131="",$E131="",$F131=""),0,MAX(0,MIN($F131,EOMONTH(DATE(cfg_FY,3,1),0))-MAX($E131,DATE(cfg_FY,3,1))+1)*(1-IF($M131="نعم",0,N($J131))))</f>
        <v>0</v>
      </c>
      <c r="Y131" s="133" t="n">
        <f aca="false">IF(OR($B131="",$E131="",$F131=""),0,MAX(0,MIN($F131,EOMONTH(DATE(cfg_FY,4,1),0))-MAX($E131,DATE(cfg_FY,4,1))+1)*(1-IF($M131="نعم",0,N($J131))))</f>
        <v>0</v>
      </c>
      <c r="Z131" s="133" t="n">
        <f aca="false">IF(OR($B131="",$E131="",$F131=""),0,MAX(0,MIN($F131,EOMONTH(DATE(cfg_FY,5,1),0))-MAX($E131,DATE(cfg_FY,5,1))+1)*(1-IF($M131="نعم",0,N($J131))))</f>
        <v>0</v>
      </c>
      <c r="AA131" s="133" t="n">
        <f aca="false">IF(OR($B131="",$E131="",$F131=""),0,MAX(0,MIN($F131,EOMONTH(DATE(cfg_FY,6,1),0))-MAX($E131,DATE(cfg_FY,6,1))+1)*(1-IF($M131="نعم",0,N($J131))))</f>
        <v>0</v>
      </c>
      <c r="AB131" s="133" t="n">
        <f aca="false">IF(OR($B131="",$E131="",$F131=""),0,MAX(0,MIN($F131,EOMONTH(DATE(cfg_FY,7,1),0))-MAX($E131,DATE(cfg_FY,7,1))+1)*(1-IF($M131="نعم",0,N($J131))))</f>
        <v>0</v>
      </c>
      <c r="AC131" s="133" t="n">
        <f aca="false">IF(OR($B131="",$E131="",$F131=""),0,MAX(0,MIN($F131,EOMONTH(DATE(cfg_FY,8,1),0))-MAX($E131,DATE(cfg_FY,8,1))+1)*(1-IF($M131="نعم",0,N($J131))))</f>
        <v>0</v>
      </c>
      <c r="AD131" s="133" t="n">
        <f aca="false">IF(OR($B131="",$E131="",$F131=""),0,MAX(0,MIN($F131,EOMONTH(DATE(cfg_FY,9,1),0))-MAX($E131,DATE(cfg_FY,9,1))+1)*(1-IF($M131="نعم",0,N($J131))))</f>
        <v>0</v>
      </c>
      <c r="AE131" s="133" t="n">
        <f aca="false">IF(OR($B131="",$E131="",$F131=""),0,MAX(0,MIN($F131,EOMONTH(DATE(cfg_FY,10,1),0))-MAX($E131,DATE(cfg_FY,10,1))+1)*(1-IF($M131="نعم",0,N($J131))))</f>
        <v>0</v>
      </c>
      <c r="AF131" s="133" t="n">
        <f aca="false">IF(OR($B131="",$E131="",$F131=""),0,MAX(0,MIN($F131,EOMONTH(DATE(cfg_FY,11,1),0))-MAX($E131,DATE(cfg_FY,11,1))+1)*(1-IF($M131="نعم",0,N($J131))))</f>
        <v>0</v>
      </c>
      <c r="AG131" s="133" t="n">
        <f aca="false">IF(OR($B131="",$E131="",$F131=""),0,MAX(0,MIN($F131,EOMONTH(DATE(cfg_FY,12,1),0))-MAX($E131,DATE(cfg_FY,12,1))+1)*(1-IF($M131="نعم",0,N($J131))))</f>
        <v>0</v>
      </c>
      <c r="AH131" s="133" t="n">
        <f aca="false">IF(OR(OR($B131="",$E131="",$F131=""),$L131&lt;&gt;"لا"),0,MAX(0,MIN($F131,EOMONTH(DATE(cfg_FY,1,1),0))-$E131+1))</f>
        <v>0</v>
      </c>
      <c r="AI131" s="133" t="n">
        <f aca="false">IF(OR(OR($B131="",$E131="",$F131=""),$L131&lt;&gt;"لا"),0,MAX(0,MIN($F131,EOMONTH(DATE(cfg_FY,2,1),0))-$E131+1))</f>
        <v>0</v>
      </c>
      <c r="AJ131" s="133" t="n">
        <f aca="false">IF(OR(OR($B131="",$E131="",$F131=""),$L131&lt;&gt;"لا"),0,MAX(0,MIN($F131,EOMONTH(DATE(cfg_FY,3,1),0))-$E131+1))</f>
        <v>0</v>
      </c>
      <c r="AK131" s="133" t="n">
        <f aca="false">IF(OR(OR($B131="",$E131="",$F131=""),$L131&lt;&gt;"لا"),0,MAX(0,MIN($F131,EOMONTH(DATE(cfg_FY,4,1),0))-$E131+1))</f>
        <v>0</v>
      </c>
      <c r="AL131" s="133" t="n">
        <f aca="false">IF(OR(OR($B131="",$E131="",$F131=""),$L131&lt;&gt;"لا"),0,MAX(0,MIN($F131,EOMONTH(DATE(cfg_FY,5,1),0))-$E131+1))</f>
        <v>0</v>
      </c>
      <c r="AM131" s="133" t="n">
        <f aca="false">IF(OR(OR($B131="",$E131="",$F131=""),$L131&lt;&gt;"لا"),0,MAX(0,MIN($F131,EOMONTH(DATE(cfg_FY,6,1),0))-$E131+1))</f>
        <v>0</v>
      </c>
      <c r="AN131" s="133" t="n">
        <f aca="false">IF(OR(OR($B131="",$E131="",$F131=""),$L131&lt;&gt;"لا"),0,MAX(0,MIN($F131,EOMONTH(DATE(cfg_FY,7,1),0))-$E131+1))</f>
        <v>0</v>
      </c>
      <c r="AO131" s="133" t="n">
        <f aca="false">IF(OR(OR($B131="",$E131="",$F131=""),$L131&lt;&gt;"لا"),0,MAX(0,MIN($F131,EOMONTH(DATE(cfg_FY,8,1),0))-$E131+1))</f>
        <v>0</v>
      </c>
      <c r="AP131" s="133" t="n">
        <f aca="false">IF(OR(OR($B131="",$E131="",$F131=""),$L131&lt;&gt;"لا"),0,MAX(0,MIN($F131,EOMONTH(DATE(cfg_FY,9,1),0))-$E131+1))</f>
        <v>0</v>
      </c>
      <c r="AQ131" s="133" t="n">
        <f aca="false">IF(OR(OR($B131="",$E131="",$F131=""),$L131&lt;&gt;"لا"),0,MAX(0,MIN($F131,EOMONTH(DATE(cfg_FY,10,1),0))-$E131+1))</f>
        <v>0</v>
      </c>
      <c r="AR131" s="133" t="n">
        <f aca="false">IF(OR(OR($B131="",$E131="",$F131=""),$L131&lt;&gt;"لا"),0,MAX(0,MIN($F131,EOMONTH(DATE(cfg_FY,11,1),0))-$E131+1))</f>
        <v>0</v>
      </c>
      <c r="AS131" s="133" t="n">
        <f aca="false">IF(OR(OR($B131="",$E131="",$F131=""),$L131&lt;&gt;"لا"),0,MAX(0,MIN($F131,EOMONTH(DATE(cfg_FY,12,1),0))-$E131+1))</f>
        <v>0</v>
      </c>
      <c r="AT131" s="133" t="n">
        <f aca="false">IF(OR(OR($B131="",$E131="",$F131=""),$K131&lt;&gt;"نعم",$M131="نعم"),0,MAX(0,MIN($F131,EOMONTH(DATE(cfg_FY,1,1),0))-MAX($E131,DATE(cfg_FY,1,1))+1))</f>
        <v>0</v>
      </c>
      <c r="AU131" s="133" t="n">
        <f aca="false">IF(OR(OR($B131="",$E131="",$F131=""),$K131&lt;&gt;"نعم",$M131="نعم"),0,MAX(0,MIN($F131,EOMONTH(DATE(cfg_FY,2,1),0))-MAX($E131,DATE(cfg_FY,2,1))+1))</f>
        <v>0</v>
      </c>
      <c r="AV131" s="133" t="n">
        <f aca="false">IF(OR(OR($B131="",$E131="",$F131=""),$K131&lt;&gt;"نعم",$M131="نعم"),0,MAX(0,MIN($F131,EOMONTH(DATE(cfg_FY,3,1),0))-MAX($E131,DATE(cfg_FY,3,1))+1))</f>
        <v>0</v>
      </c>
      <c r="AW131" s="133" t="n">
        <f aca="false">IF(OR(OR($B131="",$E131="",$F131=""),$K131&lt;&gt;"نعم",$M131="نعم"),0,MAX(0,MIN($F131,EOMONTH(DATE(cfg_FY,4,1),0))-MAX($E131,DATE(cfg_FY,4,1))+1))</f>
        <v>0</v>
      </c>
      <c r="AX131" s="133" t="n">
        <f aca="false">IF(OR(OR($B131="",$E131="",$F131=""),$K131&lt;&gt;"نعم",$M131="نعم"),0,MAX(0,MIN($F131,EOMONTH(DATE(cfg_FY,5,1),0))-MAX($E131,DATE(cfg_FY,5,1))+1))</f>
        <v>0</v>
      </c>
      <c r="AY131" s="133" t="n">
        <f aca="false">IF(OR(OR($B131="",$E131="",$F131=""),$K131&lt;&gt;"نعم",$M131="نعم"),0,MAX(0,MIN($F131,EOMONTH(DATE(cfg_FY,6,1),0))-MAX($E131,DATE(cfg_FY,6,1))+1))</f>
        <v>0</v>
      </c>
      <c r="AZ131" s="133" t="n">
        <f aca="false">IF(OR(OR($B131="",$E131="",$F131=""),$K131&lt;&gt;"نعم",$M131="نعم"),0,MAX(0,MIN($F131,EOMONTH(DATE(cfg_FY,7,1),0))-MAX($E131,DATE(cfg_FY,7,1))+1))</f>
        <v>0</v>
      </c>
      <c r="BA131" s="133" t="n">
        <f aca="false">IF(OR(OR($B131="",$E131="",$F131=""),$K131&lt;&gt;"نعم",$M131="نعم"),0,MAX(0,MIN($F131,EOMONTH(DATE(cfg_FY,8,1),0))-MAX($E131,DATE(cfg_FY,8,1))+1))</f>
        <v>0</v>
      </c>
      <c r="BB131" s="133" t="n">
        <f aca="false">IF(OR(OR($B131="",$E131="",$F131=""),$K131&lt;&gt;"نعم",$M131="نعم"),0,MAX(0,MIN($F131,EOMONTH(DATE(cfg_FY,9,1),0))-MAX($E131,DATE(cfg_FY,9,1))+1))</f>
        <v>0</v>
      </c>
      <c r="BC131" s="133" t="n">
        <f aca="false">IF(OR(OR($B131="",$E131="",$F131=""),$K131&lt;&gt;"نعم",$M131="نعم"),0,MAX(0,MIN($F131,EOMONTH(DATE(cfg_FY,10,1),0))-MAX($E131,DATE(cfg_FY,10,1))+1))</f>
        <v>0</v>
      </c>
      <c r="BD131" s="133" t="n">
        <f aca="false">IF(OR(OR($B131="",$E131="",$F131=""),$K131&lt;&gt;"نعم",$M131="نعم"),0,MAX(0,MIN($F131,EOMONTH(DATE(cfg_FY,11,1),0))-MAX($E131,DATE(cfg_FY,11,1))+1))</f>
        <v>0</v>
      </c>
      <c r="BE131" s="133" t="n">
        <f aca="false">IF(OR(OR($B131="",$E131="",$F131=""),$K131&lt;&gt;"نعم",$M131="نعم"),0,MAX(0,MIN($F131,EOMONTH(DATE(cfg_FY,12,1),0))-MAX($E131,DATE(cfg_FY,12,1))+1))</f>
        <v>0</v>
      </c>
    </row>
    <row r="132" customFormat="false" ht="15" hidden="false" customHeight="false" outlineLevel="0" collapsed="false">
      <c r="A132" s="106" t="str">
        <f aca="false">IF(B132="","",ROW()-5)</f>
        <v/>
      </c>
      <c r="B132" s="118"/>
      <c r="C132" s="114" t="str">
        <f aca="false">IF(B132="","",IFERROR(INDEX(الموظفون!$C$6:$C$105,MATCH(B132,الموظفون!$B$6:$B$105,0)),"✖ رقم غير موجود"))</f>
        <v/>
      </c>
      <c r="D132" s="118"/>
      <c r="E132" s="119"/>
      <c r="F132" s="119"/>
      <c r="G132" s="65" t="str">
        <f aca="false">IF(OR($B132="",$E132="",$F132=""),"",MAX(0,F132-E132+1))</f>
        <v/>
      </c>
      <c r="H132" s="66" t="str">
        <f aca="false">IF(D132="","",IFERROR(VLOOKUP(D132,cfg_LT,2,FALSE()),1))</f>
        <v/>
      </c>
      <c r="I132" s="135"/>
      <c r="J132" s="66" t="str">
        <f aca="false">IF(D132="","",IF(I132&lt;&gt;"",I132,H132))</f>
        <v/>
      </c>
      <c r="K132" s="114" t="str">
        <f aca="false">IF(D132="","",IFERROR(VLOOKUP($D132,cfg_LT,3,FALSE()),""))</f>
        <v/>
      </c>
      <c r="L132" s="114" t="str">
        <f aca="false">IF(D132="","",IFERROR(VLOOKUP($D132,cfg_LT,4,FALSE()),""))</f>
        <v/>
      </c>
      <c r="M132" s="114" t="str">
        <f aca="false">IF(D132="","",IFERROR(VLOOKUP($D132,cfg_LT,5,FALSE()),""))</f>
        <v/>
      </c>
      <c r="N132" s="111" t="n">
        <f aca="false">IF(OR(OR($B132="",$E132="",$F132=""),M132&lt;&gt;"نعم"),0,G132*J132*IFERROR(INDEX(الموظفون!$R$6:$R$105,MATCH(B132,الموظفون!$B$6:$B$105,0)),0)/cfg_DAYS_M)</f>
        <v>0</v>
      </c>
      <c r="O132" s="106" t="str">
        <f aca="false">IF(OR(OR($B132="",$E132="",$F132=""),M132&lt;&gt;"نعم"),"",IF(YEAR(E132)=cfg_FY,MONTH(E132),""))</f>
        <v/>
      </c>
      <c r="P132" s="114" t="str">
        <f aca="false">IF(B132="","",IF(OR(D132="",E132="",F132=""),"⚠ أكمل النوع والتواريخ",IF(F132&lt;E132,"✖ النهاية قبل البداية",IF(COUNTIFS($B$6:$B$505,B132,$E$6:$E$505,"&lt;="&amp;F132,$F$6:$F$505,"&gt;="&amp;E132)&gt;1,"⚠ تداخل مع سجل آخر",IF(E132&gt;cfg_VAL_DATE,"⏳ قادمة",IF(F132&lt;cfg_VAL_DATE,"✔ منتهية","✈ جارية في تاريخ التقرير"))))))</f>
        <v/>
      </c>
      <c r="Q132" s="118"/>
      <c r="R132" s="65" t="n">
        <f aca="false">IF(OR(OR($B132="",$E132="",$F132=""),L132&lt;&gt;"لا"),0,MAX(0,MIN(F132,cfg_Y_START-1)-E132+1))</f>
        <v>0</v>
      </c>
      <c r="S132" s="65" t="n">
        <f aca="false">IF(OR(OR($B132="",$E132="",$F132=""),L132&lt;&gt;"لا"),0,MAX(0,MIN(F132,cfg_VAL_DATE)-E132+1))</f>
        <v>0</v>
      </c>
      <c r="T132" s="65" t="n">
        <f aca="false">IF(OR(OR($B132="",$E132="",$F132=""),K132&lt;&gt;"نعم"),0,IF(M132="نعم",IF(AND(ISNUMBER(O132),N(O132)&lt;=cfg_VAL_M),G132,0),MAX(0,MIN(F132,cfg_VAL_DATE)-MAX(E132,cfg_Y_START)+1)))</f>
        <v>0</v>
      </c>
      <c r="V132" s="65" t="n">
        <f aca="false">IF(OR($B132="",$E132="",$F132=""),0,MAX(0,MIN($F132,EOMONTH(DATE(cfg_FY,1,1),0))-MAX($E132,DATE(cfg_FY,1,1))+1)*(1-IF($M132="نعم",0,N($J132))))</f>
        <v>0</v>
      </c>
      <c r="W132" s="65" t="n">
        <f aca="false">IF(OR($B132="",$E132="",$F132=""),0,MAX(0,MIN($F132,EOMONTH(DATE(cfg_FY,2,1),0))-MAX($E132,DATE(cfg_FY,2,1))+1)*(1-IF($M132="نعم",0,N($J132))))</f>
        <v>0</v>
      </c>
      <c r="X132" s="65" t="n">
        <f aca="false">IF(OR($B132="",$E132="",$F132=""),0,MAX(0,MIN($F132,EOMONTH(DATE(cfg_FY,3,1),0))-MAX($E132,DATE(cfg_FY,3,1))+1)*(1-IF($M132="نعم",0,N($J132))))</f>
        <v>0</v>
      </c>
      <c r="Y132" s="65" t="n">
        <f aca="false">IF(OR($B132="",$E132="",$F132=""),0,MAX(0,MIN($F132,EOMONTH(DATE(cfg_FY,4,1),0))-MAX($E132,DATE(cfg_FY,4,1))+1)*(1-IF($M132="نعم",0,N($J132))))</f>
        <v>0</v>
      </c>
      <c r="Z132" s="65" t="n">
        <f aca="false">IF(OR($B132="",$E132="",$F132=""),0,MAX(0,MIN($F132,EOMONTH(DATE(cfg_FY,5,1),0))-MAX($E132,DATE(cfg_FY,5,1))+1)*(1-IF($M132="نعم",0,N($J132))))</f>
        <v>0</v>
      </c>
      <c r="AA132" s="65" t="n">
        <f aca="false">IF(OR($B132="",$E132="",$F132=""),0,MAX(0,MIN($F132,EOMONTH(DATE(cfg_FY,6,1),0))-MAX($E132,DATE(cfg_FY,6,1))+1)*(1-IF($M132="نعم",0,N($J132))))</f>
        <v>0</v>
      </c>
      <c r="AB132" s="65" t="n">
        <f aca="false">IF(OR($B132="",$E132="",$F132=""),0,MAX(0,MIN($F132,EOMONTH(DATE(cfg_FY,7,1),0))-MAX($E132,DATE(cfg_FY,7,1))+1)*(1-IF($M132="نعم",0,N($J132))))</f>
        <v>0</v>
      </c>
      <c r="AC132" s="65" t="n">
        <f aca="false">IF(OR($B132="",$E132="",$F132=""),0,MAX(0,MIN($F132,EOMONTH(DATE(cfg_FY,8,1),0))-MAX($E132,DATE(cfg_FY,8,1))+1)*(1-IF($M132="نعم",0,N($J132))))</f>
        <v>0</v>
      </c>
      <c r="AD132" s="65" t="n">
        <f aca="false">IF(OR($B132="",$E132="",$F132=""),0,MAX(0,MIN($F132,EOMONTH(DATE(cfg_FY,9,1),0))-MAX($E132,DATE(cfg_FY,9,1))+1)*(1-IF($M132="نعم",0,N($J132))))</f>
        <v>0</v>
      </c>
      <c r="AE132" s="65" t="n">
        <f aca="false">IF(OR($B132="",$E132="",$F132=""),0,MAX(0,MIN($F132,EOMONTH(DATE(cfg_FY,10,1),0))-MAX($E132,DATE(cfg_FY,10,1))+1)*(1-IF($M132="نعم",0,N($J132))))</f>
        <v>0</v>
      </c>
      <c r="AF132" s="65" t="n">
        <f aca="false">IF(OR($B132="",$E132="",$F132=""),0,MAX(0,MIN($F132,EOMONTH(DATE(cfg_FY,11,1),0))-MAX($E132,DATE(cfg_FY,11,1))+1)*(1-IF($M132="نعم",0,N($J132))))</f>
        <v>0</v>
      </c>
      <c r="AG132" s="65" t="n">
        <f aca="false">IF(OR($B132="",$E132="",$F132=""),0,MAX(0,MIN($F132,EOMONTH(DATE(cfg_FY,12,1),0))-MAX($E132,DATE(cfg_FY,12,1))+1)*(1-IF($M132="نعم",0,N($J132))))</f>
        <v>0</v>
      </c>
      <c r="AH132" s="65" t="n">
        <f aca="false">IF(OR(OR($B132="",$E132="",$F132=""),$L132&lt;&gt;"لا"),0,MAX(0,MIN($F132,EOMONTH(DATE(cfg_FY,1,1),0))-$E132+1))</f>
        <v>0</v>
      </c>
      <c r="AI132" s="65" t="n">
        <f aca="false">IF(OR(OR($B132="",$E132="",$F132=""),$L132&lt;&gt;"لا"),0,MAX(0,MIN($F132,EOMONTH(DATE(cfg_FY,2,1),0))-$E132+1))</f>
        <v>0</v>
      </c>
      <c r="AJ132" s="65" t="n">
        <f aca="false">IF(OR(OR($B132="",$E132="",$F132=""),$L132&lt;&gt;"لا"),0,MAX(0,MIN($F132,EOMONTH(DATE(cfg_FY,3,1),0))-$E132+1))</f>
        <v>0</v>
      </c>
      <c r="AK132" s="65" t="n">
        <f aca="false">IF(OR(OR($B132="",$E132="",$F132=""),$L132&lt;&gt;"لا"),0,MAX(0,MIN($F132,EOMONTH(DATE(cfg_FY,4,1),0))-$E132+1))</f>
        <v>0</v>
      </c>
      <c r="AL132" s="65" t="n">
        <f aca="false">IF(OR(OR($B132="",$E132="",$F132=""),$L132&lt;&gt;"لا"),0,MAX(0,MIN($F132,EOMONTH(DATE(cfg_FY,5,1),0))-$E132+1))</f>
        <v>0</v>
      </c>
      <c r="AM132" s="65" t="n">
        <f aca="false">IF(OR(OR($B132="",$E132="",$F132=""),$L132&lt;&gt;"لا"),0,MAX(0,MIN($F132,EOMONTH(DATE(cfg_FY,6,1),0))-$E132+1))</f>
        <v>0</v>
      </c>
      <c r="AN132" s="65" t="n">
        <f aca="false">IF(OR(OR($B132="",$E132="",$F132=""),$L132&lt;&gt;"لا"),0,MAX(0,MIN($F132,EOMONTH(DATE(cfg_FY,7,1),0))-$E132+1))</f>
        <v>0</v>
      </c>
      <c r="AO132" s="65" t="n">
        <f aca="false">IF(OR(OR($B132="",$E132="",$F132=""),$L132&lt;&gt;"لا"),0,MAX(0,MIN($F132,EOMONTH(DATE(cfg_FY,8,1),0))-$E132+1))</f>
        <v>0</v>
      </c>
      <c r="AP132" s="65" t="n">
        <f aca="false">IF(OR(OR($B132="",$E132="",$F132=""),$L132&lt;&gt;"لا"),0,MAX(0,MIN($F132,EOMONTH(DATE(cfg_FY,9,1),0))-$E132+1))</f>
        <v>0</v>
      </c>
      <c r="AQ132" s="65" t="n">
        <f aca="false">IF(OR(OR($B132="",$E132="",$F132=""),$L132&lt;&gt;"لا"),0,MAX(0,MIN($F132,EOMONTH(DATE(cfg_FY,10,1),0))-$E132+1))</f>
        <v>0</v>
      </c>
      <c r="AR132" s="65" t="n">
        <f aca="false">IF(OR(OR($B132="",$E132="",$F132=""),$L132&lt;&gt;"لا"),0,MAX(0,MIN($F132,EOMONTH(DATE(cfg_FY,11,1),0))-$E132+1))</f>
        <v>0</v>
      </c>
      <c r="AS132" s="65" t="n">
        <f aca="false">IF(OR(OR($B132="",$E132="",$F132=""),$L132&lt;&gt;"لا"),0,MAX(0,MIN($F132,EOMONTH(DATE(cfg_FY,12,1),0))-$E132+1))</f>
        <v>0</v>
      </c>
      <c r="AT132" s="65" t="n">
        <f aca="false">IF(OR(OR($B132="",$E132="",$F132=""),$K132&lt;&gt;"نعم",$M132="نعم"),0,MAX(0,MIN($F132,EOMONTH(DATE(cfg_FY,1,1),0))-MAX($E132,DATE(cfg_FY,1,1))+1))</f>
        <v>0</v>
      </c>
      <c r="AU132" s="65" t="n">
        <f aca="false">IF(OR(OR($B132="",$E132="",$F132=""),$K132&lt;&gt;"نعم",$M132="نعم"),0,MAX(0,MIN($F132,EOMONTH(DATE(cfg_FY,2,1),0))-MAX($E132,DATE(cfg_FY,2,1))+1))</f>
        <v>0</v>
      </c>
      <c r="AV132" s="65" t="n">
        <f aca="false">IF(OR(OR($B132="",$E132="",$F132=""),$K132&lt;&gt;"نعم",$M132="نعم"),0,MAX(0,MIN($F132,EOMONTH(DATE(cfg_FY,3,1),0))-MAX($E132,DATE(cfg_FY,3,1))+1))</f>
        <v>0</v>
      </c>
      <c r="AW132" s="65" t="n">
        <f aca="false">IF(OR(OR($B132="",$E132="",$F132=""),$K132&lt;&gt;"نعم",$M132="نعم"),0,MAX(0,MIN($F132,EOMONTH(DATE(cfg_FY,4,1),0))-MAX($E132,DATE(cfg_FY,4,1))+1))</f>
        <v>0</v>
      </c>
      <c r="AX132" s="65" t="n">
        <f aca="false">IF(OR(OR($B132="",$E132="",$F132=""),$K132&lt;&gt;"نعم",$M132="نعم"),0,MAX(0,MIN($F132,EOMONTH(DATE(cfg_FY,5,1),0))-MAX($E132,DATE(cfg_FY,5,1))+1))</f>
        <v>0</v>
      </c>
      <c r="AY132" s="65" t="n">
        <f aca="false">IF(OR(OR($B132="",$E132="",$F132=""),$K132&lt;&gt;"نعم",$M132="نعم"),0,MAX(0,MIN($F132,EOMONTH(DATE(cfg_FY,6,1),0))-MAX($E132,DATE(cfg_FY,6,1))+1))</f>
        <v>0</v>
      </c>
      <c r="AZ132" s="65" t="n">
        <f aca="false">IF(OR(OR($B132="",$E132="",$F132=""),$K132&lt;&gt;"نعم",$M132="نعم"),0,MAX(0,MIN($F132,EOMONTH(DATE(cfg_FY,7,1),0))-MAX($E132,DATE(cfg_FY,7,1))+1))</f>
        <v>0</v>
      </c>
      <c r="BA132" s="65" t="n">
        <f aca="false">IF(OR(OR($B132="",$E132="",$F132=""),$K132&lt;&gt;"نعم",$M132="نعم"),0,MAX(0,MIN($F132,EOMONTH(DATE(cfg_FY,8,1),0))-MAX($E132,DATE(cfg_FY,8,1))+1))</f>
        <v>0</v>
      </c>
      <c r="BB132" s="65" t="n">
        <f aca="false">IF(OR(OR($B132="",$E132="",$F132=""),$K132&lt;&gt;"نعم",$M132="نعم"),0,MAX(0,MIN($F132,EOMONTH(DATE(cfg_FY,9,1),0))-MAX($E132,DATE(cfg_FY,9,1))+1))</f>
        <v>0</v>
      </c>
      <c r="BC132" s="65" t="n">
        <f aca="false">IF(OR(OR($B132="",$E132="",$F132=""),$K132&lt;&gt;"نعم",$M132="نعم"),0,MAX(0,MIN($F132,EOMONTH(DATE(cfg_FY,10,1),0))-MAX($E132,DATE(cfg_FY,10,1))+1))</f>
        <v>0</v>
      </c>
      <c r="BD132" s="65" t="n">
        <f aca="false">IF(OR(OR($B132="",$E132="",$F132=""),$K132&lt;&gt;"نعم",$M132="نعم"),0,MAX(0,MIN($F132,EOMONTH(DATE(cfg_FY,11,1),0))-MAX($E132,DATE(cfg_FY,11,1))+1))</f>
        <v>0</v>
      </c>
      <c r="BE132" s="65" t="n">
        <f aca="false">IF(OR(OR($B132="",$E132="",$F132=""),$K132&lt;&gt;"نعم",$M132="نعم"),0,MAX(0,MIN($F132,EOMONTH(DATE(cfg_FY,12,1),0))-MAX($E132,DATE(cfg_FY,12,1))+1))</f>
        <v>0</v>
      </c>
    </row>
    <row r="133" customFormat="false" ht="15" hidden="false" customHeight="false" outlineLevel="0" collapsed="false">
      <c r="A133" s="115" t="str">
        <f aca="false">IF(B133="","",ROW()-5)</f>
        <v/>
      </c>
      <c r="B133" s="118"/>
      <c r="C133" s="117" t="str">
        <f aca="false">IF(B133="","",IFERROR(INDEX(الموظفون!$C$6:$C$105,MATCH(B133,الموظفون!$B$6:$B$105,0)),"✖ رقم غير موجود"))</f>
        <v/>
      </c>
      <c r="D133" s="118"/>
      <c r="E133" s="119"/>
      <c r="F133" s="119"/>
      <c r="G133" s="133" t="str">
        <f aca="false">IF(OR($B133="",$E133="",$F133=""),"",MAX(0,F133-E133+1))</f>
        <v/>
      </c>
      <c r="H133" s="134" t="str">
        <f aca="false">IF(D133="","",IFERROR(VLOOKUP(D133,cfg_LT,2,FALSE()),1))</f>
        <v/>
      </c>
      <c r="I133" s="135"/>
      <c r="J133" s="134" t="str">
        <f aca="false">IF(D133="","",IF(I133&lt;&gt;"",I133,H133))</f>
        <v/>
      </c>
      <c r="K133" s="117" t="str">
        <f aca="false">IF(D133="","",IFERROR(VLOOKUP($D133,cfg_LT,3,FALSE()),""))</f>
        <v/>
      </c>
      <c r="L133" s="117" t="str">
        <f aca="false">IF(D133="","",IFERROR(VLOOKUP($D133,cfg_LT,4,FALSE()),""))</f>
        <v/>
      </c>
      <c r="M133" s="117" t="str">
        <f aca="false">IF(D133="","",IFERROR(VLOOKUP($D133,cfg_LT,5,FALSE()),""))</f>
        <v/>
      </c>
      <c r="N133" s="116" t="n">
        <f aca="false">IF(OR(OR($B133="",$E133="",$F133=""),M133&lt;&gt;"نعم"),0,G133*J133*IFERROR(INDEX(الموظفون!$R$6:$R$105,MATCH(B133,الموظفون!$B$6:$B$105,0)),0)/cfg_DAYS_M)</f>
        <v>0</v>
      </c>
      <c r="O133" s="115" t="str">
        <f aca="false">IF(OR(OR($B133="",$E133="",$F133=""),M133&lt;&gt;"نعم"),"",IF(YEAR(E133)=cfg_FY,MONTH(E133),""))</f>
        <v/>
      </c>
      <c r="P133" s="117" t="str">
        <f aca="false">IF(B133="","",IF(OR(D133="",E133="",F133=""),"⚠ أكمل النوع والتواريخ",IF(F133&lt;E133,"✖ النهاية قبل البداية",IF(COUNTIFS($B$6:$B$505,B133,$E$6:$E$505,"&lt;="&amp;F133,$F$6:$F$505,"&gt;="&amp;E133)&gt;1,"⚠ تداخل مع سجل آخر",IF(E133&gt;cfg_VAL_DATE,"⏳ قادمة",IF(F133&lt;cfg_VAL_DATE,"✔ منتهية","✈ جارية في تاريخ التقرير"))))))</f>
        <v/>
      </c>
      <c r="Q133" s="118"/>
      <c r="R133" s="133" t="n">
        <f aca="false">IF(OR(OR($B133="",$E133="",$F133=""),L133&lt;&gt;"لا"),0,MAX(0,MIN(F133,cfg_Y_START-1)-E133+1))</f>
        <v>0</v>
      </c>
      <c r="S133" s="133" t="n">
        <f aca="false">IF(OR(OR($B133="",$E133="",$F133=""),L133&lt;&gt;"لا"),0,MAX(0,MIN(F133,cfg_VAL_DATE)-E133+1))</f>
        <v>0</v>
      </c>
      <c r="T133" s="133" t="n">
        <f aca="false">IF(OR(OR($B133="",$E133="",$F133=""),K133&lt;&gt;"نعم"),0,IF(M133="نعم",IF(AND(ISNUMBER(O133),N(O133)&lt;=cfg_VAL_M),G133,0),MAX(0,MIN(F133,cfg_VAL_DATE)-MAX(E133,cfg_Y_START)+1)))</f>
        <v>0</v>
      </c>
      <c r="V133" s="133" t="n">
        <f aca="false">IF(OR($B133="",$E133="",$F133=""),0,MAX(0,MIN($F133,EOMONTH(DATE(cfg_FY,1,1),0))-MAX($E133,DATE(cfg_FY,1,1))+1)*(1-IF($M133="نعم",0,N($J133))))</f>
        <v>0</v>
      </c>
      <c r="W133" s="133" t="n">
        <f aca="false">IF(OR($B133="",$E133="",$F133=""),0,MAX(0,MIN($F133,EOMONTH(DATE(cfg_FY,2,1),0))-MAX($E133,DATE(cfg_FY,2,1))+1)*(1-IF($M133="نعم",0,N($J133))))</f>
        <v>0</v>
      </c>
      <c r="X133" s="133" t="n">
        <f aca="false">IF(OR($B133="",$E133="",$F133=""),0,MAX(0,MIN($F133,EOMONTH(DATE(cfg_FY,3,1),0))-MAX($E133,DATE(cfg_FY,3,1))+1)*(1-IF($M133="نعم",0,N($J133))))</f>
        <v>0</v>
      </c>
      <c r="Y133" s="133" t="n">
        <f aca="false">IF(OR($B133="",$E133="",$F133=""),0,MAX(0,MIN($F133,EOMONTH(DATE(cfg_FY,4,1),0))-MAX($E133,DATE(cfg_FY,4,1))+1)*(1-IF($M133="نعم",0,N($J133))))</f>
        <v>0</v>
      </c>
      <c r="Z133" s="133" t="n">
        <f aca="false">IF(OR($B133="",$E133="",$F133=""),0,MAX(0,MIN($F133,EOMONTH(DATE(cfg_FY,5,1),0))-MAX($E133,DATE(cfg_FY,5,1))+1)*(1-IF($M133="نعم",0,N($J133))))</f>
        <v>0</v>
      </c>
      <c r="AA133" s="133" t="n">
        <f aca="false">IF(OR($B133="",$E133="",$F133=""),0,MAX(0,MIN($F133,EOMONTH(DATE(cfg_FY,6,1),0))-MAX($E133,DATE(cfg_FY,6,1))+1)*(1-IF($M133="نعم",0,N($J133))))</f>
        <v>0</v>
      </c>
      <c r="AB133" s="133" t="n">
        <f aca="false">IF(OR($B133="",$E133="",$F133=""),0,MAX(0,MIN($F133,EOMONTH(DATE(cfg_FY,7,1),0))-MAX($E133,DATE(cfg_FY,7,1))+1)*(1-IF($M133="نعم",0,N($J133))))</f>
        <v>0</v>
      </c>
      <c r="AC133" s="133" t="n">
        <f aca="false">IF(OR($B133="",$E133="",$F133=""),0,MAX(0,MIN($F133,EOMONTH(DATE(cfg_FY,8,1),0))-MAX($E133,DATE(cfg_FY,8,1))+1)*(1-IF($M133="نعم",0,N($J133))))</f>
        <v>0</v>
      </c>
      <c r="AD133" s="133" t="n">
        <f aca="false">IF(OR($B133="",$E133="",$F133=""),0,MAX(0,MIN($F133,EOMONTH(DATE(cfg_FY,9,1),0))-MAX($E133,DATE(cfg_FY,9,1))+1)*(1-IF($M133="نعم",0,N($J133))))</f>
        <v>0</v>
      </c>
      <c r="AE133" s="133" t="n">
        <f aca="false">IF(OR($B133="",$E133="",$F133=""),0,MAX(0,MIN($F133,EOMONTH(DATE(cfg_FY,10,1),0))-MAX($E133,DATE(cfg_FY,10,1))+1)*(1-IF($M133="نعم",0,N($J133))))</f>
        <v>0</v>
      </c>
      <c r="AF133" s="133" t="n">
        <f aca="false">IF(OR($B133="",$E133="",$F133=""),0,MAX(0,MIN($F133,EOMONTH(DATE(cfg_FY,11,1),0))-MAX($E133,DATE(cfg_FY,11,1))+1)*(1-IF($M133="نعم",0,N($J133))))</f>
        <v>0</v>
      </c>
      <c r="AG133" s="133" t="n">
        <f aca="false">IF(OR($B133="",$E133="",$F133=""),0,MAX(0,MIN($F133,EOMONTH(DATE(cfg_FY,12,1),0))-MAX($E133,DATE(cfg_FY,12,1))+1)*(1-IF($M133="نعم",0,N($J133))))</f>
        <v>0</v>
      </c>
      <c r="AH133" s="133" t="n">
        <f aca="false">IF(OR(OR($B133="",$E133="",$F133=""),$L133&lt;&gt;"لا"),0,MAX(0,MIN($F133,EOMONTH(DATE(cfg_FY,1,1),0))-$E133+1))</f>
        <v>0</v>
      </c>
      <c r="AI133" s="133" t="n">
        <f aca="false">IF(OR(OR($B133="",$E133="",$F133=""),$L133&lt;&gt;"لا"),0,MAX(0,MIN($F133,EOMONTH(DATE(cfg_FY,2,1),0))-$E133+1))</f>
        <v>0</v>
      </c>
      <c r="AJ133" s="133" t="n">
        <f aca="false">IF(OR(OR($B133="",$E133="",$F133=""),$L133&lt;&gt;"لا"),0,MAX(0,MIN($F133,EOMONTH(DATE(cfg_FY,3,1),0))-$E133+1))</f>
        <v>0</v>
      </c>
      <c r="AK133" s="133" t="n">
        <f aca="false">IF(OR(OR($B133="",$E133="",$F133=""),$L133&lt;&gt;"لا"),0,MAX(0,MIN($F133,EOMONTH(DATE(cfg_FY,4,1),0))-$E133+1))</f>
        <v>0</v>
      </c>
      <c r="AL133" s="133" t="n">
        <f aca="false">IF(OR(OR($B133="",$E133="",$F133=""),$L133&lt;&gt;"لا"),0,MAX(0,MIN($F133,EOMONTH(DATE(cfg_FY,5,1),0))-$E133+1))</f>
        <v>0</v>
      </c>
      <c r="AM133" s="133" t="n">
        <f aca="false">IF(OR(OR($B133="",$E133="",$F133=""),$L133&lt;&gt;"لا"),0,MAX(0,MIN($F133,EOMONTH(DATE(cfg_FY,6,1),0))-$E133+1))</f>
        <v>0</v>
      </c>
      <c r="AN133" s="133" t="n">
        <f aca="false">IF(OR(OR($B133="",$E133="",$F133=""),$L133&lt;&gt;"لا"),0,MAX(0,MIN($F133,EOMONTH(DATE(cfg_FY,7,1),0))-$E133+1))</f>
        <v>0</v>
      </c>
      <c r="AO133" s="133" t="n">
        <f aca="false">IF(OR(OR($B133="",$E133="",$F133=""),$L133&lt;&gt;"لا"),0,MAX(0,MIN($F133,EOMONTH(DATE(cfg_FY,8,1),0))-$E133+1))</f>
        <v>0</v>
      </c>
      <c r="AP133" s="133" t="n">
        <f aca="false">IF(OR(OR($B133="",$E133="",$F133=""),$L133&lt;&gt;"لا"),0,MAX(0,MIN($F133,EOMONTH(DATE(cfg_FY,9,1),0))-$E133+1))</f>
        <v>0</v>
      </c>
      <c r="AQ133" s="133" t="n">
        <f aca="false">IF(OR(OR($B133="",$E133="",$F133=""),$L133&lt;&gt;"لا"),0,MAX(0,MIN($F133,EOMONTH(DATE(cfg_FY,10,1),0))-$E133+1))</f>
        <v>0</v>
      </c>
      <c r="AR133" s="133" t="n">
        <f aca="false">IF(OR(OR($B133="",$E133="",$F133=""),$L133&lt;&gt;"لا"),0,MAX(0,MIN($F133,EOMONTH(DATE(cfg_FY,11,1),0))-$E133+1))</f>
        <v>0</v>
      </c>
      <c r="AS133" s="133" t="n">
        <f aca="false">IF(OR(OR($B133="",$E133="",$F133=""),$L133&lt;&gt;"لا"),0,MAX(0,MIN($F133,EOMONTH(DATE(cfg_FY,12,1),0))-$E133+1))</f>
        <v>0</v>
      </c>
      <c r="AT133" s="133" t="n">
        <f aca="false">IF(OR(OR($B133="",$E133="",$F133=""),$K133&lt;&gt;"نعم",$M133="نعم"),0,MAX(0,MIN($F133,EOMONTH(DATE(cfg_FY,1,1),0))-MAX($E133,DATE(cfg_FY,1,1))+1))</f>
        <v>0</v>
      </c>
      <c r="AU133" s="133" t="n">
        <f aca="false">IF(OR(OR($B133="",$E133="",$F133=""),$K133&lt;&gt;"نعم",$M133="نعم"),0,MAX(0,MIN($F133,EOMONTH(DATE(cfg_FY,2,1),0))-MAX($E133,DATE(cfg_FY,2,1))+1))</f>
        <v>0</v>
      </c>
      <c r="AV133" s="133" t="n">
        <f aca="false">IF(OR(OR($B133="",$E133="",$F133=""),$K133&lt;&gt;"نعم",$M133="نعم"),0,MAX(0,MIN($F133,EOMONTH(DATE(cfg_FY,3,1),0))-MAX($E133,DATE(cfg_FY,3,1))+1))</f>
        <v>0</v>
      </c>
      <c r="AW133" s="133" t="n">
        <f aca="false">IF(OR(OR($B133="",$E133="",$F133=""),$K133&lt;&gt;"نعم",$M133="نعم"),0,MAX(0,MIN($F133,EOMONTH(DATE(cfg_FY,4,1),0))-MAX($E133,DATE(cfg_FY,4,1))+1))</f>
        <v>0</v>
      </c>
      <c r="AX133" s="133" t="n">
        <f aca="false">IF(OR(OR($B133="",$E133="",$F133=""),$K133&lt;&gt;"نعم",$M133="نعم"),0,MAX(0,MIN($F133,EOMONTH(DATE(cfg_FY,5,1),0))-MAX($E133,DATE(cfg_FY,5,1))+1))</f>
        <v>0</v>
      </c>
      <c r="AY133" s="133" t="n">
        <f aca="false">IF(OR(OR($B133="",$E133="",$F133=""),$K133&lt;&gt;"نعم",$M133="نعم"),0,MAX(0,MIN($F133,EOMONTH(DATE(cfg_FY,6,1),0))-MAX($E133,DATE(cfg_FY,6,1))+1))</f>
        <v>0</v>
      </c>
      <c r="AZ133" s="133" t="n">
        <f aca="false">IF(OR(OR($B133="",$E133="",$F133=""),$K133&lt;&gt;"نعم",$M133="نعم"),0,MAX(0,MIN($F133,EOMONTH(DATE(cfg_FY,7,1),0))-MAX($E133,DATE(cfg_FY,7,1))+1))</f>
        <v>0</v>
      </c>
      <c r="BA133" s="133" t="n">
        <f aca="false">IF(OR(OR($B133="",$E133="",$F133=""),$K133&lt;&gt;"نعم",$M133="نعم"),0,MAX(0,MIN($F133,EOMONTH(DATE(cfg_FY,8,1),0))-MAX($E133,DATE(cfg_FY,8,1))+1))</f>
        <v>0</v>
      </c>
      <c r="BB133" s="133" t="n">
        <f aca="false">IF(OR(OR($B133="",$E133="",$F133=""),$K133&lt;&gt;"نعم",$M133="نعم"),0,MAX(0,MIN($F133,EOMONTH(DATE(cfg_FY,9,1),0))-MAX($E133,DATE(cfg_FY,9,1))+1))</f>
        <v>0</v>
      </c>
      <c r="BC133" s="133" t="n">
        <f aca="false">IF(OR(OR($B133="",$E133="",$F133=""),$K133&lt;&gt;"نعم",$M133="نعم"),0,MAX(0,MIN($F133,EOMONTH(DATE(cfg_FY,10,1),0))-MAX($E133,DATE(cfg_FY,10,1))+1))</f>
        <v>0</v>
      </c>
      <c r="BD133" s="133" t="n">
        <f aca="false">IF(OR(OR($B133="",$E133="",$F133=""),$K133&lt;&gt;"نعم",$M133="نعم"),0,MAX(0,MIN($F133,EOMONTH(DATE(cfg_FY,11,1),0))-MAX($E133,DATE(cfg_FY,11,1))+1))</f>
        <v>0</v>
      </c>
      <c r="BE133" s="133" t="n">
        <f aca="false">IF(OR(OR($B133="",$E133="",$F133=""),$K133&lt;&gt;"نعم",$M133="نعم"),0,MAX(0,MIN($F133,EOMONTH(DATE(cfg_FY,12,1),0))-MAX($E133,DATE(cfg_FY,12,1))+1))</f>
        <v>0</v>
      </c>
    </row>
    <row r="134" customFormat="false" ht="15" hidden="false" customHeight="false" outlineLevel="0" collapsed="false">
      <c r="A134" s="106" t="str">
        <f aca="false">IF(B134="","",ROW()-5)</f>
        <v/>
      </c>
      <c r="B134" s="118"/>
      <c r="C134" s="114" t="str">
        <f aca="false">IF(B134="","",IFERROR(INDEX(الموظفون!$C$6:$C$105,MATCH(B134,الموظفون!$B$6:$B$105,0)),"✖ رقم غير موجود"))</f>
        <v/>
      </c>
      <c r="D134" s="118"/>
      <c r="E134" s="119"/>
      <c r="F134" s="119"/>
      <c r="G134" s="65" t="str">
        <f aca="false">IF(OR($B134="",$E134="",$F134=""),"",MAX(0,F134-E134+1))</f>
        <v/>
      </c>
      <c r="H134" s="66" t="str">
        <f aca="false">IF(D134="","",IFERROR(VLOOKUP(D134,cfg_LT,2,FALSE()),1))</f>
        <v/>
      </c>
      <c r="I134" s="135"/>
      <c r="J134" s="66" t="str">
        <f aca="false">IF(D134="","",IF(I134&lt;&gt;"",I134,H134))</f>
        <v/>
      </c>
      <c r="K134" s="114" t="str">
        <f aca="false">IF(D134="","",IFERROR(VLOOKUP($D134,cfg_LT,3,FALSE()),""))</f>
        <v/>
      </c>
      <c r="L134" s="114" t="str">
        <f aca="false">IF(D134="","",IFERROR(VLOOKUP($D134,cfg_LT,4,FALSE()),""))</f>
        <v/>
      </c>
      <c r="M134" s="114" t="str">
        <f aca="false">IF(D134="","",IFERROR(VLOOKUP($D134,cfg_LT,5,FALSE()),""))</f>
        <v/>
      </c>
      <c r="N134" s="111" t="n">
        <f aca="false">IF(OR(OR($B134="",$E134="",$F134=""),M134&lt;&gt;"نعم"),0,G134*J134*IFERROR(INDEX(الموظفون!$R$6:$R$105,MATCH(B134,الموظفون!$B$6:$B$105,0)),0)/cfg_DAYS_M)</f>
        <v>0</v>
      </c>
      <c r="O134" s="106" t="str">
        <f aca="false">IF(OR(OR($B134="",$E134="",$F134=""),M134&lt;&gt;"نعم"),"",IF(YEAR(E134)=cfg_FY,MONTH(E134),""))</f>
        <v/>
      </c>
      <c r="P134" s="114" t="str">
        <f aca="false">IF(B134="","",IF(OR(D134="",E134="",F134=""),"⚠ أكمل النوع والتواريخ",IF(F134&lt;E134,"✖ النهاية قبل البداية",IF(COUNTIFS($B$6:$B$505,B134,$E$6:$E$505,"&lt;="&amp;F134,$F$6:$F$505,"&gt;="&amp;E134)&gt;1,"⚠ تداخل مع سجل آخر",IF(E134&gt;cfg_VAL_DATE,"⏳ قادمة",IF(F134&lt;cfg_VAL_DATE,"✔ منتهية","✈ جارية في تاريخ التقرير"))))))</f>
        <v/>
      </c>
      <c r="Q134" s="118"/>
      <c r="R134" s="65" t="n">
        <f aca="false">IF(OR(OR($B134="",$E134="",$F134=""),L134&lt;&gt;"لا"),0,MAX(0,MIN(F134,cfg_Y_START-1)-E134+1))</f>
        <v>0</v>
      </c>
      <c r="S134" s="65" t="n">
        <f aca="false">IF(OR(OR($B134="",$E134="",$F134=""),L134&lt;&gt;"لا"),0,MAX(0,MIN(F134,cfg_VAL_DATE)-E134+1))</f>
        <v>0</v>
      </c>
      <c r="T134" s="65" t="n">
        <f aca="false">IF(OR(OR($B134="",$E134="",$F134=""),K134&lt;&gt;"نعم"),0,IF(M134="نعم",IF(AND(ISNUMBER(O134),N(O134)&lt;=cfg_VAL_M),G134,0),MAX(0,MIN(F134,cfg_VAL_DATE)-MAX(E134,cfg_Y_START)+1)))</f>
        <v>0</v>
      </c>
      <c r="V134" s="65" t="n">
        <f aca="false">IF(OR($B134="",$E134="",$F134=""),0,MAX(0,MIN($F134,EOMONTH(DATE(cfg_FY,1,1),0))-MAX($E134,DATE(cfg_FY,1,1))+1)*(1-IF($M134="نعم",0,N($J134))))</f>
        <v>0</v>
      </c>
      <c r="W134" s="65" t="n">
        <f aca="false">IF(OR($B134="",$E134="",$F134=""),0,MAX(0,MIN($F134,EOMONTH(DATE(cfg_FY,2,1),0))-MAX($E134,DATE(cfg_FY,2,1))+1)*(1-IF($M134="نعم",0,N($J134))))</f>
        <v>0</v>
      </c>
      <c r="X134" s="65" t="n">
        <f aca="false">IF(OR($B134="",$E134="",$F134=""),0,MAX(0,MIN($F134,EOMONTH(DATE(cfg_FY,3,1),0))-MAX($E134,DATE(cfg_FY,3,1))+1)*(1-IF($M134="نعم",0,N($J134))))</f>
        <v>0</v>
      </c>
      <c r="Y134" s="65" t="n">
        <f aca="false">IF(OR($B134="",$E134="",$F134=""),0,MAX(0,MIN($F134,EOMONTH(DATE(cfg_FY,4,1),0))-MAX($E134,DATE(cfg_FY,4,1))+1)*(1-IF($M134="نعم",0,N($J134))))</f>
        <v>0</v>
      </c>
      <c r="Z134" s="65" t="n">
        <f aca="false">IF(OR($B134="",$E134="",$F134=""),0,MAX(0,MIN($F134,EOMONTH(DATE(cfg_FY,5,1),0))-MAX($E134,DATE(cfg_FY,5,1))+1)*(1-IF($M134="نعم",0,N($J134))))</f>
        <v>0</v>
      </c>
      <c r="AA134" s="65" t="n">
        <f aca="false">IF(OR($B134="",$E134="",$F134=""),0,MAX(0,MIN($F134,EOMONTH(DATE(cfg_FY,6,1),0))-MAX($E134,DATE(cfg_FY,6,1))+1)*(1-IF($M134="نعم",0,N($J134))))</f>
        <v>0</v>
      </c>
      <c r="AB134" s="65" t="n">
        <f aca="false">IF(OR($B134="",$E134="",$F134=""),0,MAX(0,MIN($F134,EOMONTH(DATE(cfg_FY,7,1),0))-MAX($E134,DATE(cfg_FY,7,1))+1)*(1-IF($M134="نعم",0,N($J134))))</f>
        <v>0</v>
      </c>
      <c r="AC134" s="65" t="n">
        <f aca="false">IF(OR($B134="",$E134="",$F134=""),0,MAX(0,MIN($F134,EOMONTH(DATE(cfg_FY,8,1),0))-MAX($E134,DATE(cfg_FY,8,1))+1)*(1-IF($M134="نعم",0,N($J134))))</f>
        <v>0</v>
      </c>
      <c r="AD134" s="65" t="n">
        <f aca="false">IF(OR($B134="",$E134="",$F134=""),0,MAX(0,MIN($F134,EOMONTH(DATE(cfg_FY,9,1),0))-MAX($E134,DATE(cfg_FY,9,1))+1)*(1-IF($M134="نعم",0,N($J134))))</f>
        <v>0</v>
      </c>
      <c r="AE134" s="65" t="n">
        <f aca="false">IF(OR($B134="",$E134="",$F134=""),0,MAX(0,MIN($F134,EOMONTH(DATE(cfg_FY,10,1),0))-MAX($E134,DATE(cfg_FY,10,1))+1)*(1-IF($M134="نعم",0,N($J134))))</f>
        <v>0</v>
      </c>
      <c r="AF134" s="65" t="n">
        <f aca="false">IF(OR($B134="",$E134="",$F134=""),0,MAX(0,MIN($F134,EOMONTH(DATE(cfg_FY,11,1),0))-MAX($E134,DATE(cfg_FY,11,1))+1)*(1-IF($M134="نعم",0,N($J134))))</f>
        <v>0</v>
      </c>
      <c r="AG134" s="65" t="n">
        <f aca="false">IF(OR($B134="",$E134="",$F134=""),0,MAX(0,MIN($F134,EOMONTH(DATE(cfg_FY,12,1),0))-MAX($E134,DATE(cfg_FY,12,1))+1)*(1-IF($M134="نعم",0,N($J134))))</f>
        <v>0</v>
      </c>
      <c r="AH134" s="65" t="n">
        <f aca="false">IF(OR(OR($B134="",$E134="",$F134=""),$L134&lt;&gt;"لا"),0,MAX(0,MIN($F134,EOMONTH(DATE(cfg_FY,1,1),0))-$E134+1))</f>
        <v>0</v>
      </c>
      <c r="AI134" s="65" t="n">
        <f aca="false">IF(OR(OR($B134="",$E134="",$F134=""),$L134&lt;&gt;"لا"),0,MAX(0,MIN($F134,EOMONTH(DATE(cfg_FY,2,1),0))-$E134+1))</f>
        <v>0</v>
      </c>
      <c r="AJ134" s="65" t="n">
        <f aca="false">IF(OR(OR($B134="",$E134="",$F134=""),$L134&lt;&gt;"لا"),0,MAX(0,MIN($F134,EOMONTH(DATE(cfg_FY,3,1),0))-$E134+1))</f>
        <v>0</v>
      </c>
      <c r="AK134" s="65" t="n">
        <f aca="false">IF(OR(OR($B134="",$E134="",$F134=""),$L134&lt;&gt;"لا"),0,MAX(0,MIN($F134,EOMONTH(DATE(cfg_FY,4,1),0))-$E134+1))</f>
        <v>0</v>
      </c>
      <c r="AL134" s="65" t="n">
        <f aca="false">IF(OR(OR($B134="",$E134="",$F134=""),$L134&lt;&gt;"لا"),0,MAX(0,MIN($F134,EOMONTH(DATE(cfg_FY,5,1),0))-$E134+1))</f>
        <v>0</v>
      </c>
      <c r="AM134" s="65" t="n">
        <f aca="false">IF(OR(OR($B134="",$E134="",$F134=""),$L134&lt;&gt;"لا"),0,MAX(0,MIN($F134,EOMONTH(DATE(cfg_FY,6,1),0))-$E134+1))</f>
        <v>0</v>
      </c>
      <c r="AN134" s="65" t="n">
        <f aca="false">IF(OR(OR($B134="",$E134="",$F134=""),$L134&lt;&gt;"لا"),0,MAX(0,MIN($F134,EOMONTH(DATE(cfg_FY,7,1),0))-$E134+1))</f>
        <v>0</v>
      </c>
      <c r="AO134" s="65" t="n">
        <f aca="false">IF(OR(OR($B134="",$E134="",$F134=""),$L134&lt;&gt;"لا"),0,MAX(0,MIN($F134,EOMONTH(DATE(cfg_FY,8,1),0))-$E134+1))</f>
        <v>0</v>
      </c>
      <c r="AP134" s="65" t="n">
        <f aca="false">IF(OR(OR($B134="",$E134="",$F134=""),$L134&lt;&gt;"لا"),0,MAX(0,MIN($F134,EOMONTH(DATE(cfg_FY,9,1),0))-$E134+1))</f>
        <v>0</v>
      </c>
      <c r="AQ134" s="65" t="n">
        <f aca="false">IF(OR(OR($B134="",$E134="",$F134=""),$L134&lt;&gt;"لا"),0,MAX(0,MIN($F134,EOMONTH(DATE(cfg_FY,10,1),0))-$E134+1))</f>
        <v>0</v>
      </c>
      <c r="AR134" s="65" t="n">
        <f aca="false">IF(OR(OR($B134="",$E134="",$F134=""),$L134&lt;&gt;"لا"),0,MAX(0,MIN($F134,EOMONTH(DATE(cfg_FY,11,1),0))-$E134+1))</f>
        <v>0</v>
      </c>
      <c r="AS134" s="65" t="n">
        <f aca="false">IF(OR(OR($B134="",$E134="",$F134=""),$L134&lt;&gt;"لا"),0,MAX(0,MIN($F134,EOMONTH(DATE(cfg_FY,12,1),0))-$E134+1))</f>
        <v>0</v>
      </c>
      <c r="AT134" s="65" t="n">
        <f aca="false">IF(OR(OR($B134="",$E134="",$F134=""),$K134&lt;&gt;"نعم",$M134="نعم"),0,MAX(0,MIN($F134,EOMONTH(DATE(cfg_FY,1,1),0))-MAX($E134,DATE(cfg_FY,1,1))+1))</f>
        <v>0</v>
      </c>
      <c r="AU134" s="65" t="n">
        <f aca="false">IF(OR(OR($B134="",$E134="",$F134=""),$K134&lt;&gt;"نعم",$M134="نعم"),0,MAX(0,MIN($F134,EOMONTH(DATE(cfg_FY,2,1),0))-MAX($E134,DATE(cfg_FY,2,1))+1))</f>
        <v>0</v>
      </c>
      <c r="AV134" s="65" t="n">
        <f aca="false">IF(OR(OR($B134="",$E134="",$F134=""),$K134&lt;&gt;"نعم",$M134="نعم"),0,MAX(0,MIN($F134,EOMONTH(DATE(cfg_FY,3,1),0))-MAX($E134,DATE(cfg_FY,3,1))+1))</f>
        <v>0</v>
      </c>
      <c r="AW134" s="65" t="n">
        <f aca="false">IF(OR(OR($B134="",$E134="",$F134=""),$K134&lt;&gt;"نعم",$M134="نعم"),0,MAX(0,MIN($F134,EOMONTH(DATE(cfg_FY,4,1),0))-MAX($E134,DATE(cfg_FY,4,1))+1))</f>
        <v>0</v>
      </c>
      <c r="AX134" s="65" t="n">
        <f aca="false">IF(OR(OR($B134="",$E134="",$F134=""),$K134&lt;&gt;"نعم",$M134="نعم"),0,MAX(0,MIN($F134,EOMONTH(DATE(cfg_FY,5,1),0))-MAX($E134,DATE(cfg_FY,5,1))+1))</f>
        <v>0</v>
      </c>
      <c r="AY134" s="65" t="n">
        <f aca="false">IF(OR(OR($B134="",$E134="",$F134=""),$K134&lt;&gt;"نعم",$M134="نعم"),0,MAX(0,MIN($F134,EOMONTH(DATE(cfg_FY,6,1),0))-MAX($E134,DATE(cfg_FY,6,1))+1))</f>
        <v>0</v>
      </c>
      <c r="AZ134" s="65" t="n">
        <f aca="false">IF(OR(OR($B134="",$E134="",$F134=""),$K134&lt;&gt;"نعم",$M134="نعم"),0,MAX(0,MIN($F134,EOMONTH(DATE(cfg_FY,7,1),0))-MAX($E134,DATE(cfg_FY,7,1))+1))</f>
        <v>0</v>
      </c>
      <c r="BA134" s="65" t="n">
        <f aca="false">IF(OR(OR($B134="",$E134="",$F134=""),$K134&lt;&gt;"نعم",$M134="نعم"),0,MAX(0,MIN($F134,EOMONTH(DATE(cfg_FY,8,1),0))-MAX($E134,DATE(cfg_FY,8,1))+1))</f>
        <v>0</v>
      </c>
      <c r="BB134" s="65" t="n">
        <f aca="false">IF(OR(OR($B134="",$E134="",$F134=""),$K134&lt;&gt;"نعم",$M134="نعم"),0,MAX(0,MIN($F134,EOMONTH(DATE(cfg_FY,9,1),0))-MAX($E134,DATE(cfg_FY,9,1))+1))</f>
        <v>0</v>
      </c>
      <c r="BC134" s="65" t="n">
        <f aca="false">IF(OR(OR($B134="",$E134="",$F134=""),$K134&lt;&gt;"نعم",$M134="نعم"),0,MAX(0,MIN($F134,EOMONTH(DATE(cfg_FY,10,1),0))-MAX($E134,DATE(cfg_FY,10,1))+1))</f>
        <v>0</v>
      </c>
      <c r="BD134" s="65" t="n">
        <f aca="false">IF(OR(OR($B134="",$E134="",$F134=""),$K134&lt;&gt;"نعم",$M134="نعم"),0,MAX(0,MIN($F134,EOMONTH(DATE(cfg_FY,11,1),0))-MAX($E134,DATE(cfg_FY,11,1))+1))</f>
        <v>0</v>
      </c>
      <c r="BE134" s="65" t="n">
        <f aca="false">IF(OR(OR($B134="",$E134="",$F134=""),$K134&lt;&gt;"نعم",$M134="نعم"),0,MAX(0,MIN($F134,EOMONTH(DATE(cfg_FY,12,1),0))-MAX($E134,DATE(cfg_FY,12,1))+1))</f>
        <v>0</v>
      </c>
    </row>
    <row r="135" customFormat="false" ht="15" hidden="false" customHeight="false" outlineLevel="0" collapsed="false">
      <c r="A135" s="115" t="str">
        <f aca="false">IF(B135="","",ROW()-5)</f>
        <v/>
      </c>
      <c r="B135" s="118"/>
      <c r="C135" s="117" t="str">
        <f aca="false">IF(B135="","",IFERROR(INDEX(الموظفون!$C$6:$C$105,MATCH(B135,الموظفون!$B$6:$B$105,0)),"✖ رقم غير موجود"))</f>
        <v/>
      </c>
      <c r="D135" s="118"/>
      <c r="E135" s="119"/>
      <c r="F135" s="119"/>
      <c r="G135" s="133" t="str">
        <f aca="false">IF(OR($B135="",$E135="",$F135=""),"",MAX(0,F135-E135+1))</f>
        <v/>
      </c>
      <c r="H135" s="134" t="str">
        <f aca="false">IF(D135="","",IFERROR(VLOOKUP(D135,cfg_LT,2,FALSE()),1))</f>
        <v/>
      </c>
      <c r="I135" s="135"/>
      <c r="J135" s="134" t="str">
        <f aca="false">IF(D135="","",IF(I135&lt;&gt;"",I135,H135))</f>
        <v/>
      </c>
      <c r="K135" s="117" t="str">
        <f aca="false">IF(D135="","",IFERROR(VLOOKUP($D135,cfg_LT,3,FALSE()),""))</f>
        <v/>
      </c>
      <c r="L135" s="117" t="str">
        <f aca="false">IF(D135="","",IFERROR(VLOOKUP($D135,cfg_LT,4,FALSE()),""))</f>
        <v/>
      </c>
      <c r="M135" s="117" t="str">
        <f aca="false">IF(D135="","",IFERROR(VLOOKUP($D135,cfg_LT,5,FALSE()),""))</f>
        <v/>
      </c>
      <c r="N135" s="116" t="n">
        <f aca="false">IF(OR(OR($B135="",$E135="",$F135=""),M135&lt;&gt;"نعم"),0,G135*J135*IFERROR(INDEX(الموظفون!$R$6:$R$105,MATCH(B135,الموظفون!$B$6:$B$105,0)),0)/cfg_DAYS_M)</f>
        <v>0</v>
      </c>
      <c r="O135" s="115" t="str">
        <f aca="false">IF(OR(OR($B135="",$E135="",$F135=""),M135&lt;&gt;"نعم"),"",IF(YEAR(E135)=cfg_FY,MONTH(E135),""))</f>
        <v/>
      </c>
      <c r="P135" s="117" t="str">
        <f aca="false">IF(B135="","",IF(OR(D135="",E135="",F135=""),"⚠ أكمل النوع والتواريخ",IF(F135&lt;E135,"✖ النهاية قبل البداية",IF(COUNTIFS($B$6:$B$505,B135,$E$6:$E$505,"&lt;="&amp;F135,$F$6:$F$505,"&gt;="&amp;E135)&gt;1,"⚠ تداخل مع سجل آخر",IF(E135&gt;cfg_VAL_DATE,"⏳ قادمة",IF(F135&lt;cfg_VAL_DATE,"✔ منتهية","✈ جارية في تاريخ التقرير"))))))</f>
        <v/>
      </c>
      <c r="Q135" s="118"/>
      <c r="R135" s="133" t="n">
        <f aca="false">IF(OR(OR($B135="",$E135="",$F135=""),L135&lt;&gt;"لا"),0,MAX(0,MIN(F135,cfg_Y_START-1)-E135+1))</f>
        <v>0</v>
      </c>
      <c r="S135" s="133" t="n">
        <f aca="false">IF(OR(OR($B135="",$E135="",$F135=""),L135&lt;&gt;"لا"),0,MAX(0,MIN(F135,cfg_VAL_DATE)-E135+1))</f>
        <v>0</v>
      </c>
      <c r="T135" s="133" t="n">
        <f aca="false">IF(OR(OR($B135="",$E135="",$F135=""),K135&lt;&gt;"نعم"),0,IF(M135="نعم",IF(AND(ISNUMBER(O135),N(O135)&lt;=cfg_VAL_M),G135,0),MAX(0,MIN(F135,cfg_VAL_DATE)-MAX(E135,cfg_Y_START)+1)))</f>
        <v>0</v>
      </c>
      <c r="V135" s="133" t="n">
        <f aca="false">IF(OR($B135="",$E135="",$F135=""),0,MAX(0,MIN($F135,EOMONTH(DATE(cfg_FY,1,1),0))-MAX($E135,DATE(cfg_FY,1,1))+1)*(1-IF($M135="نعم",0,N($J135))))</f>
        <v>0</v>
      </c>
      <c r="W135" s="133" t="n">
        <f aca="false">IF(OR($B135="",$E135="",$F135=""),0,MAX(0,MIN($F135,EOMONTH(DATE(cfg_FY,2,1),0))-MAX($E135,DATE(cfg_FY,2,1))+1)*(1-IF($M135="نعم",0,N($J135))))</f>
        <v>0</v>
      </c>
      <c r="X135" s="133" t="n">
        <f aca="false">IF(OR($B135="",$E135="",$F135=""),0,MAX(0,MIN($F135,EOMONTH(DATE(cfg_FY,3,1),0))-MAX($E135,DATE(cfg_FY,3,1))+1)*(1-IF($M135="نعم",0,N($J135))))</f>
        <v>0</v>
      </c>
      <c r="Y135" s="133" t="n">
        <f aca="false">IF(OR($B135="",$E135="",$F135=""),0,MAX(0,MIN($F135,EOMONTH(DATE(cfg_FY,4,1),0))-MAX($E135,DATE(cfg_FY,4,1))+1)*(1-IF($M135="نعم",0,N($J135))))</f>
        <v>0</v>
      </c>
      <c r="Z135" s="133" t="n">
        <f aca="false">IF(OR($B135="",$E135="",$F135=""),0,MAX(0,MIN($F135,EOMONTH(DATE(cfg_FY,5,1),0))-MAX($E135,DATE(cfg_FY,5,1))+1)*(1-IF($M135="نعم",0,N($J135))))</f>
        <v>0</v>
      </c>
      <c r="AA135" s="133" t="n">
        <f aca="false">IF(OR($B135="",$E135="",$F135=""),0,MAX(0,MIN($F135,EOMONTH(DATE(cfg_FY,6,1),0))-MAX($E135,DATE(cfg_FY,6,1))+1)*(1-IF($M135="نعم",0,N($J135))))</f>
        <v>0</v>
      </c>
      <c r="AB135" s="133" t="n">
        <f aca="false">IF(OR($B135="",$E135="",$F135=""),0,MAX(0,MIN($F135,EOMONTH(DATE(cfg_FY,7,1),0))-MAX($E135,DATE(cfg_FY,7,1))+1)*(1-IF($M135="نعم",0,N($J135))))</f>
        <v>0</v>
      </c>
      <c r="AC135" s="133" t="n">
        <f aca="false">IF(OR($B135="",$E135="",$F135=""),0,MAX(0,MIN($F135,EOMONTH(DATE(cfg_FY,8,1),0))-MAX($E135,DATE(cfg_FY,8,1))+1)*(1-IF($M135="نعم",0,N($J135))))</f>
        <v>0</v>
      </c>
      <c r="AD135" s="133" t="n">
        <f aca="false">IF(OR($B135="",$E135="",$F135=""),0,MAX(0,MIN($F135,EOMONTH(DATE(cfg_FY,9,1),0))-MAX($E135,DATE(cfg_FY,9,1))+1)*(1-IF($M135="نعم",0,N($J135))))</f>
        <v>0</v>
      </c>
      <c r="AE135" s="133" t="n">
        <f aca="false">IF(OR($B135="",$E135="",$F135=""),0,MAX(0,MIN($F135,EOMONTH(DATE(cfg_FY,10,1),0))-MAX($E135,DATE(cfg_FY,10,1))+1)*(1-IF($M135="نعم",0,N($J135))))</f>
        <v>0</v>
      </c>
      <c r="AF135" s="133" t="n">
        <f aca="false">IF(OR($B135="",$E135="",$F135=""),0,MAX(0,MIN($F135,EOMONTH(DATE(cfg_FY,11,1),0))-MAX($E135,DATE(cfg_FY,11,1))+1)*(1-IF($M135="نعم",0,N($J135))))</f>
        <v>0</v>
      </c>
      <c r="AG135" s="133" t="n">
        <f aca="false">IF(OR($B135="",$E135="",$F135=""),0,MAX(0,MIN($F135,EOMONTH(DATE(cfg_FY,12,1),0))-MAX($E135,DATE(cfg_FY,12,1))+1)*(1-IF($M135="نعم",0,N($J135))))</f>
        <v>0</v>
      </c>
      <c r="AH135" s="133" t="n">
        <f aca="false">IF(OR(OR($B135="",$E135="",$F135=""),$L135&lt;&gt;"لا"),0,MAX(0,MIN($F135,EOMONTH(DATE(cfg_FY,1,1),0))-$E135+1))</f>
        <v>0</v>
      </c>
      <c r="AI135" s="133" t="n">
        <f aca="false">IF(OR(OR($B135="",$E135="",$F135=""),$L135&lt;&gt;"لا"),0,MAX(0,MIN($F135,EOMONTH(DATE(cfg_FY,2,1),0))-$E135+1))</f>
        <v>0</v>
      </c>
      <c r="AJ135" s="133" t="n">
        <f aca="false">IF(OR(OR($B135="",$E135="",$F135=""),$L135&lt;&gt;"لا"),0,MAX(0,MIN($F135,EOMONTH(DATE(cfg_FY,3,1),0))-$E135+1))</f>
        <v>0</v>
      </c>
      <c r="AK135" s="133" t="n">
        <f aca="false">IF(OR(OR($B135="",$E135="",$F135=""),$L135&lt;&gt;"لا"),0,MAX(0,MIN($F135,EOMONTH(DATE(cfg_FY,4,1),0))-$E135+1))</f>
        <v>0</v>
      </c>
      <c r="AL135" s="133" t="n">
        <f aca="false">IF(OR(OR($B135="",$E135="",$F135=""),$L135&lt;&gt;"لا"),0,MAX(0,MIN($F135,EOMONTH(DATE(cfg_FY,5,1),0))-$E135+1))</f>
        <v>0</v>
      </c>
      <c r="AM135" s="133" t="n">
        <f aca="false">IF(OR(OR($B135="",$E135="",$F135=""),$L135&lt;&gt;"لا"),0,MAX(0,MIN($F135,EOMONTH(DATE(cfg_FY,6,1),0))-$E135+1))</f>
        <v>0</v>
      </c>
      <c r="AN135" s="133" t="n">
        <f aca="false">IF(OR(OR($B135="",$E135="",$F135=""),$L135&lt;&gt;"لا"),0,MAX(0,MIN($F135,EOMONTH(DATE(cfg_FY,7,1),0))-$E135+1))</f>
        <v>0</v>
      </c>
      <c r="AO135" s="133" t="n">
        <f aca="false">IF(OR(OR($B135="",$E135="",$F135=""),$L135&lt;&gt;"لا"),0,MAX(0,MIN($F135,EOMONTH(DATE(cfg_FY,8,1),0))-$E135+1))</f>
        <v>0</v>
      </c>
      <c r="AP135" s="133" t="n">
        <f aca="false">IF(OR(OR($B135="",$E135="",$F135=""),$L135&lt;&gt;"لا"),0,MAX(0,MIN($F135,EOMONTH(DATE(cfg_FY,9,1),0))-$E135+1))</f>
        <v>0</v>
      </c>
      <c r="AQ135" s="133" t="n">
        <f aca="false">IF(OR(OR($B135="",$E135="",$F135=""),$L135&lt;&gt;"لا"),0,MAX(0,MIN($F135,EOMONTH(DATE(cfg_FY,10,1),0))-$E135+1))</f>
        <v>0</v>
      </c>
      <c r="AR135" s="133" t="n">
        <f aca="false">IF(OR(OR($B135="",$E135="",$F135=""),$L135&lt;&gt;"لا"),0,MAX(0,MIN($F135,EOMONTH(DATE(cfg_FY,11,1),0))-$E135+1))</f>
        <v>0</v>
      </c>
      <c r="AS135" s="133" t="n">
        <f aca="false">IF(OR(OR($B135="",$E135="",$F135=""),$L135&lt;&gt;"لا"),0,MAX(0,MIN($F135,EOMONTH(DATE(cfg_FY,12,1),0))-$E135+1))</f>
        <v>0</v>
      </c>
      <c r="AT135" s="133" t="n">
        <f aca="false">IF(OR(OR($B135="",$E135="",$F135=""),$K135&lt;&gt;"نعم",$M135="نعم"),0,MAX(0,MIN($F135,EOMONTH(DATE(cfg_FY,1,1),0))-MAX($E135,DATE(cfg_FY,1,1))+1))</f>
        <v>0</v>
      </c>
      <c r="AU135" s="133" t="n">
        <f aca="false">IF(OR(OR($B135="",$E135="",$F135=""),$K135&lt;&gt;"نعم",$M135="نعم"),0,MAX(0,MIN($F135,EOMONTH(DATE(cfg_FY,2,1),0))-MAX($E135,DATE(cfg_FY,2,1))+1))</f>
        <v>0</v>
      </c>
      <c r="AV135" s="133" t="n">
        <f aca="false">IF(OR(OR($B135="",$E135="",$F135=""),$K135&lt;&gt;"نعم",$M135="نعم"),0,MAX(0,MIN($F135,EOMONTH(DATE(cfg_FY,3,1),0))-MAX($E135,DATE(cfg_FY,3,1))+1))</f>
        <v>0</v>
      </c>
      <c r="AW135" s="133" t="n">
        <f aca="false">IF(OR(OR($B135="",$E135="",$F135=""),$K135&lt;&gt;"نعم",$M135="نعم"),0,MAX(0,MIN($F135,EOMONTH(DATE(cfg_FY,4,1),0))-MAX($E135,DATE(cfg_FY,4,1))+1))</f>
        <v>0</v>
      </c>
      <c r="AX135" s="133" t="n">
        <f aca="false">IF(OR(OR($B135="",$E135="",$F135=""),$K135&lt;&gt;"نعم",$M135="نعم"),0,MAX(0,MIN($F135,EOMONTH(DATE(cfg_FY,5,1),0))-MAX($E135,DATE(cfg_FY,5,1))+1))</f>
        <v>0</v>
      </c>
      <c r="AY135" s="133" t="n">
        <f aca="false">IF(OR(OR($B135="",$E135="",$F135=""),$K135&lt;&gt;"نعم",$M135="نعم"),0,MAX(0,MIN($F135,EOMONTH(DATE(cfg_FY,6,1),0))-MAX($E135,DATE(cfg_FY,6,1))+1))</f>
        <v>0</v>
      </c>
      <c r="AZ135" s="133" t="n">
        <f aca="false">IF(OR(OR($B135="",$E135="",$F135=""),$K135&lt;&gt;"نعم",$M135="نعم"),0,MAX(0,MIN($F135,EOMONTH(DATE(cfg_FY,7,1),0))-MAX($E135,DATE(cfg_FY,7,1))+1))</f>
        <v>0</v>
      </c>
      <c r="BA135" s="133" t="n">
        <f aca="false">IF(OR(OR($B135="",$E135="",$F135=""),$K135&lt;&gt;"نعم",$M135="نعم"),0,MAX(0,MIN($F135,EOMONTH(DATE(cfg_FY,8,1),0))-MAX($E135,DATE(cfg_FY,8,1))+1))</f>
        <v>0</v>
      </c>
      <c r="BB135" s="133" t="n">
        <f aca="false">IF(OR(OR($B135="",$E135="",$F135=""),$K135&lt;&gt;"نعم",$M135="نعم"),0,MAX(0,MIN($F135,EOMONTH(DATE(cfg_FY,9,1),0))-MAX($E135,DATE(cfg_FY,9,1))+1))</f>
        <v>0</v>
      </c>
      <c r="BC135" s="133" t="n">
        <f aca="false">IF(OR(OR($B135="",$E135="",$F135=""),$K135&lt;&gt;"نعم",$M135="نعم"),0,MAX(0,MIN($F135,EOMONTH(DATE(cfg_FY,10,1),0))-MAX($E135,DATE(cfg_FY,10,1))+1))</f>
        <v>0</v>
      </c>
      <c r="BD135" s="133" t="n">
        <f aca="false">IF(OR(OR($B135="",$E135="",$F135=""),$K135&lt;&gt;"نعم",$M135="نعم"),0,MAX(0,MIN($F135,EOMONTH(DATE(cfg_FY,11,1),0))-MAX($E135,DATE(cfg_FY,11,1))+1))</f>
        <v>0</v>
      </c>
      <c r="BE135" s="133" t="n">
        <f aca="false">IF(OR(OR($B135="",$E135="",$F135=""),$K135&lt;&gt;"نعم",$M135="نعم"),0,MAX(0,MIN($F135,EOMONTH(DATE(cfg_FY,12,1),0))-MAX($E135,DATE(cfg_FY,12,1))+1))</f>
        <v>0</v>
      </c>
    </row>
    <row r="136" customFormat="false" ht="15" hidden="false" customHeight="false" outlineLevel="0" collapsed="false">
      <c r="A136" s="106" t="str">
        <f aca="false">IF(B136="","",ROW()-5)</f>
        <v/>
      </c>
      <c r="B136" s="118"/>
      <c r="C136" s="114" t="str">
        <f aca="false">IF(B136="","",IFERROR(INDEX(الموظفون!$C$6:$C$105,MATCH(B136,الموظفون!$B$6:$B$105,0)),"✖ رقم غير موجود"))</f>
        <v/>
      </c>
      <c r="D136" s="118"/>
      <c r="E136" s="119"/>
      <c r="F136" s="119"/>
      <c r="G136" s="65" t="str">
        <f aca="false">IF(OR($B136="",$E136="",$F136=""),"",MAX(0,F136-E136+1))</f>
        <v/>
      </c>
      <c r="H136" s="66" t="str">
        <f aca="false">IF(D136="","",IFERROR(VLOOKUP(D136,cfg_LT,2,FALSE()),1))</f>
        <v/>
      </c>
      <c r="I136" s="135"/>
      <c r="J136" s="66" t="str">
        <f aca="false">IF(D136="","",IF(I136&lt;&gt;"",I136,H136))</f>
        <v/>
      </c>
      <c r="K136" s="114" t="str">
        <f aca="false">IF(D136="","",IFERROR(VLOOKUP($D136,cfg_LT,3,FALSE()),""))</f>
        <v/>
      </c>
      <c r="L136" s="114" t="str">
        <f aca="false">IF(D136="","",IFERROR(VLOOKUP($D136,cfg_LT,4,FALSE()),""))</f>
        <v/>
      </c>
      <c r="M136" s="114" t="str">
        <f aca="false">IF(D136="","",IFERROR(VLOOKUP($D136,cfg_LT,5,FALSE()),""))</f>
        <v/>
      </c>
      <c r="N136" s="111" t="n">
        <f aca="false">IF(OR(OR($B136="",$E136="",$F136=""),M136&lt;&gt;"نعم"),0,G136*J136*IFERROR(INDEX(الموظفون!$R$6:$R$105,MATCH(B136,الموظفون!$B$6:$B$105,0)),0)/cfg_DAYS_M)</f>
        <v>0</v>
      </c>
      <c r="O136" s="106" t="str">
        <f aca="false">IF(OR(OR($B136="",$E136="",$F136=""),M136&lt;&gt;"نعم"),"",IF(YEAR(E136)=cfg_FY,MONTH(E136),""))</f>
        <v/>
      </c>
      <c r="P136" s="114" t="str">
        <f aca="false">IF(B136="","",IF(OR(D136="",E136="",F136=""),"⚠ أكمل النوع والتواريخ",IF(F136&lt;E136,"✖ النهاية قبل البداية",IF(COUNTIFS($B$6:$B$505,B136,$E$6:$E$505,"&lt;="&amp;F136,$F$6:$F$505,"&gt;="&amp;E136)&gt;1,"⚠ تداخل مع سجل آخر",IF(E136&gt;cfg_VAL_DATE,"⏳ قادمة",IF(F136&lt;cfg_VAL_DATE,"✔ منتهية","✈ جارية في تاريخ التقرير"))))))</f>
        <v/>
      </c>
      <c r="Q136" s="118"/>
      <c r="R136" s="65" t="n">
        <f aca="false">IF(OR(OR($B136="",$E136="",$F136=""),L136&lt;&gt;"لا"),0,MAX(0,MIN(F136,cfg_Y_START-1)-E136+1))</f>
        <v>0</v>
      </c>
      <c r="S136" s="65" t="n">
        <f aca="false">IF(OR(OR($B136="",$E136="",$F136=""),L136&lt;&gt;"لا"),0,MAX(0,MIN(F136,cfg_VAL_DATE)-E136+1))</f>
        <v>0</v>
      </c>
      <c r="T136" s="65" t="n">
        <f aca="false">IF(OR(OR($B136="",$E136="",$F136=""),K136&lt;&gt;"نعم"),0,IF(M136="نعم",IF(AND(ISNUMBER(O136),N(O136)&lt;=cfg_VAL_M),G136,0),MAX(0,MIN(F136,cfg_VAL_DATE)-MAX(E136,cfg_Y_START)+1)))</f>
        <v>0</v>
      </c>
      <c r="V136" s="65" t="n">
        <f aca="false">IF(OR($B136="",$E136="",$F136=""),0,MAX(0,MIN($F136,EOMONTH(DATE(cfg_FY,1,1),0))-MAX($E136,DATE(cfg_FY,1,1))+1)*(1-IF($M136="نعم",0,N($J136))))</f>
        <v>0</v>
      </c>
      <c r="W136" s="65" t="n">
        <f aca="false">IF(OR($B136="",$E136="",$F136=""),0,MAX(0,MIN($F136,EOMONTH(DATE(cfg_FY,2,1),0))-MAX($E136,DATE(cfg_FY,2,1))+1)*(1-IF($M136="نعم",0,N($J136))))</f>
        <v>0</v>
      </c>
      <c r="X136" s="65" t="n">
        <f aca="false">IF(OR($B136="",$E136="",$F136=""),0,MAX(0,MIN($F136,EOMONTH(DATE(cfg_FY,3,1),0))-MAX($E136,DATE(cfg_FY,3,1))+1)*(1-IF($M136="نعم",0,N($J136))))</f>
        <v>0</v>
      </c>
      <c r="Y136" s="65" t="n">
        <f aca="false">IF(OR($B136="",$E136="",$F136=""),0,MAX(0,MIN($F136,EOMONTH(DATE(cfg_FY,4,1),0))-MAX($E136,DATE(cfg_FY,4,1))+1)*(1-IF($M136="نعم",0,N($J136))))</f>
        <v>0</v>
      </c>
      <c r="Z136" s="65" t="n">
        <f aca="false">IF(OR($B136="",$E136="",$F136=""),0,MAX(0,MIN($F136,EOMONTH(DATE(cfg_FY,5,1),0))-MAX($E136,DATE(cfg_FY,5,1))+1)*(1-IF($M136="نعم",0,N($J136))))</f>
        <v>0</v>
      </c>
      <c r="AA136" s="65" t="n">
        <f aca="false">IF(OR($B136="",$E136="",$F136=""),0,MAX(0,MIN($F136,EOMONTH(DATE(cfg_FY,6,1),0))-MAX($E136,DATE(cfg_FY,6,1))+1)*(1-IF($M136="نعم",0,N($J136))))</f>
        <v>0</v>
      </c>
      <c r="AB136" s="65" t="n">
        <f aca="false">IF(OR($B136="",$E136="",$F136=""),0,MAX(0,MIN($F136,EOMONTH(DATE(cfg_FY,7,1),0))-MAX($E136,DATE(cfg_FY,7,1))+1)*(1-IF($M136="نعم",0,N($J136))))</f>
        <v>0</v>
      </c>
      <c r="AC136" s="65" t="n">
        <f aca="false">IF(OR($B136="",$E136="",$F136=""),0,MAX(0,MIN($F136,EOMONTH(DATE(cfg_FY,8,1),0))-MAX($E136,DATE(cfg_FY,8,1))+1)*(1-IF($M136="نعم",0,N($J136))))</f>
        <v>0</v>
      </c>
      <c r="AD136" s="65" t="n">
        <f aca="false">IF(OR($B136="",$E136="",$F136=""),0,MAX(0,MIN($F136,EOMONTH(DATE(cfg_FY,9,1),0))-MAX($E136,DATE(cfg_FY,9,1))+1)*(1-IF($M136="نعم",0,N($J136))))</f>
        <v>0</v>
      </c>
      <c r="AE136" s="65" t="n">
        <f aca="false">IF(OR($B136="",$E136="",$F136=""),0,MAX(0,MIN($F136,EOMONTH(DATE(cfg_FY,10,1),0))-MAX($E136,DATE(cfg_FY,10,1))+1)*(1-IF($M136="نعم",0,N($J136))))</f>
        <v>0</v>
      </c>
      <c r="AF136" s="65" t="n">
        <f aca="false">IF(OR($B136="",$E136="",$F136=""),0,MAX(0,MIN($F136,EOMONTH(DATE(cfg_FY,11,1),0))-MAX($E136,DATE(cfg_FY,11,1))+1)*(1-IF($M136="نعم",0,N($J136))))</f>
        <v>0</v>
      </c>
      <c r="AG136" s="65" t="n">
        <f aca="false">IF(OR($B136="",$E136="",$F136=""),0,MAX(0,MIN($F136,EOMONTH(DATE(cfg_FY,12,1),0))-MAX($E136,DATE(cfg_FY,12,1))+1)*(1-IF($M136="نعم",0,N($J136))))</f>
        <v>0</v>
      </c>
      <c r="AH136" s="65" t="n">
        <f aca="false">IF(OR(OR($B136="",$E136="",$F136=""),$L136&lt;&gt;"لا"),0,MAX(0,MIN($F136,EOMONTH(DATE(cfg_FY,1,1),0))-$E136+1))</f>
        <v>0</v>
      </c>
      <c r="AI136" s="65" t="n">
        <f aca="false">IF(OR(OR($B136="",$E136="",$F136=""),$L136&lt;&gt;"لا"),0,MAX(0,MIN($F136,EOMONTH(DATE(cfg_FY,2,1),0))-$E136+1))</f>
        <v>0</v>
      </c>
      <c r="AJ136" s="65" t="n">
        <f aca="false">IF(OR(OR($B136="",$E136="",$F136=""),$L136&lt;&gt;"لا"),0,MAX(0,MIN($F136,EOMONTH(DATE(cfg_FY,3,1),0))-$E136+1))</f>
        <v>0</v>
      </c>
      <c r="AK136" s="65" t="n">
        <f aca="false">IF(OR(OR($B136="",$E136="",$F136=""),$L136&lt;&gt;"لا"),0,MAX(0,MIN($F136,EOMONTH(DATE(cfg_FY,4,1),0))-$E136+1))</f>
        <v>0</v>
      </c>
      <c r="AL136" s="65" t="n">
        <f aca="false">IF(OR(OR($B136="",$E136="",$F136=""),$L136&lt;&gt;"لا"),0,MAX(0,MIN($F136,EOMONTH(DATE(cfg_FY,5,1),0))-$E136+1))</f>
        <v>0</v>
      </c>
      <c r="AM136" s="65" t="n">
        <f aca="false">IF(OR(OR($B136="",$E136="",$F136=""),$L136&lt;&gt;"لا"),0,MAX(0,MIN($F136,EOMONTH(DATE(cfg_FY,6,1),0))-$E136+1))</f>
        <v>0</v>
      </c>
      <c r="AN136" s="65" t="n">
        <f aca="false">IF(OR(OR($B136="",$E136="",$F136=""),$L136&lt;&gt;"لا"),0,MAX(0,MIN($F136,EOMONTH(DATE(cfg_FY,7,1),0))-$E136+1))</f>
        <v>0</v>
      </c>
      <c r="AO136" s="65" t="n">
        <f aca="false">IF(OR(OR($B136="",$E136="",$F136=""),$L136&lt;&gt;"لا"),0,MAX(0,MIN($F136,EOMONTH(DATE(cfg_FY,8,1),0))-$E136+1))</f>
        <v>0</v>
      </c>
      <c r="AP136" s="65" t="n">
        <f aca="false">IF(OR(OR($B136="",$E136="",$F136=""),$L136&lt;&gt;"لا"),0,MAX(0,MIN($F136,EOMONTH(DATE(cfg_FY,9,1),0))-$E136+1))</f>
        <v>0</v>
      </c>
      <c r="AQ136" s="65" t="n">
        <f aca="false">IF(OR(OR($B136="",$E136="",$F136=""),$L136&lt;&gt;"لا"),0,MAX(0,MIN($F136,EOMONTH(DATE(cfg_FY,10,1),0))-$E136+1))</f>
        <v>0</v>
      </c>
      <c r="AR136" s="65" t="n">
        <f aca="false">IF(OR(OR($B136="",$E136="",$F136=""),$L136&lt;&gt;"لا"),0,MAX(0,MIN($F136,EOMONTH(DATE(cfg_FY,11,1),0))-$E136+1))</f>
        <v>0</v>
      </c>
      <c r="AS136" s="65" t="n">
        <f aca="false">IF(OR(OR($B136="",$E136="",$F136=""),$L136&lt;&gt;"لا"),0,MAX(0,MIN($F136,EOMONTH(DATE(cfg_FY,12,1),0))-$E136+1))</f>
        <v>0</v>
      </c>
      <c r="AT136" s="65" t="n">
        <f aca="false">IF(OR(OR($B136="",$E136="",$F136=""),$K136&lt;&gt;"نعم",$M136="نعم"),0,MAX(0,MIN($F136,EOMONTH(DATE(cfg_FY,1,1),0))-MAX($E136,DATE(cfg_FY,1,1))+1))</f>
        <v>0</v>
      </c>
      <c r="AU136" s="65" t="n">
        <f aca="false">IF(OR(OR($B136="",$E136="",$F136=""),$K136&lt;&gt;"نعم",$M136="نعم"),0,MAX(0,MIN($F136,EOMONTH(DATE(cfg_FY,2,1),0))-MAX($E136,DATE(cfg_FY,2,1))+1))</f>
        <v>0</v>
      </c>
      <c r="AV136" s="65" t="n">
        <f aca="false">IF(OR(OR($B136="",$E136="",$F136=""),$K136&lt;&gt;"نعم",$M136="نعم"),0,MAX(0,MIN($F136,EOMONTH(DATE(cfg_FY,3,1),0))-MAX($E136,DATE(cfg_FY,3,1))+1))</f>
        <v>0</v>
      </c>
      <c r="AW136" s="65" t="n">
        <f aca="false">IF(OR(OR($B136="",$E136="",$F136=""),$K136&lt;&gt;"نعم",$M136="نعم"),0,MAX(0,MIN($F136,EOMONTH(DATE(cfg_FY,4,1),0))-MAX($E136,DATE(cfg_FY,4,1))+1))</f>
        <v>0</v>
      </c>
      <c r="AX136" s="65" t="n">
        <f aca="false">IF(OR(OR($B136="",$E136="",$F136=""),$K136&lt;&gt;"نعم",$M136="نعم"),0,MAX(0,MIN($F136,EOMONTH(DATE(cfg_FY,5,1),0))-MAX($E136,DATE(cfg_FY,5,1))+1))</f>
        <v>0</v>
      </c>
      <c r="AY136" s="65" t="n">
        <f aca="false">IF(OR(OR($B136="",$E136="",$F136=""),$K136&lt;&gt;"نعم",$M136="نعم"),0,MAX(0,MIN($F136,EOMONTH(DATE(cfg_FY,6,1),0))-MAX($E136,DATE(cfg_FY,6,1))+1))</f>
        <v>0</v>
      </c>
      <c r="AZ136" s="65" t="n">
        <f aca="false">IF(OR(OR($B136="",$E136="",$F136=""),$K136&lt;&gt;"نعم",$M136="نعم"),0,MAX(0,MIN($F136,EOMONTH(DATE(cfg_FY,7,1),0))-MAX($E136,DATE(cfg_FY,7,1))+1))</f>
        <v>0</v>
      </c>
      <c r="BA136" s="65" t="n">
        <f aca="false">IF(OR(OR($B136="",$E136="",$F136=""),$K136&lt;&gt;"نعم",$M136="نعم"),0,MAX(0,MIN($F136,EOMONTH(DATE(cfg_FY,8,1),0))-MAX($E136,DATE(cfg_FY,8,1))+1))</f>
        <v>0</v>
      </c>
      <c r="BB136" s="65" t="n">
        <f aca="false">IF(OR(OR($B136="",$E136="",$F136=""),$K136&lt;&gt;"نعم",$M136="نعم"),0,MAX(0,MIN($F136,EOMONTH(DATE(cfg_FY,9,1),0))-MAX($E136,DATE(cfg_FY,9,1))+1))</f>
        <v>0</v>
      </c>
      <c r="BC136" s="65" t="n">
        <f aca="false">IF(OR(OR($B136="",$E136="",$F136=""),$K136&lt;&gt;"نعم",$M136="نعم"),0,MAX(0,MIN($F136,EOMONTH(DATE(cfg_FY,10,1),0))-MAX($E136,DATE(cfg_FY,10,1))+1))</f>
        <v>0</v>
      </c>
      <c r="BD136" s="65" t="n">
        <f aca="false">IF(OR(OR($B136="",$E136="",$F136=""),$K136&lt;&gt;"نعم",$M136="نعم"),0,MAX(0,MIN($F136,EOMONTH(DATE(cfg_FY,11,1),0))-MAX($E136,DATE(cfg_FY,11,1))+1))</f>
        <v>0</v>
      </c>
      <c r="BE136" s="65" t="n">
        <f aca="false">IF(OR(OR($B136="",$E136="",$F136=""),$K136&lt;&gt;"نعم",$M136="نعم"),0,MAX(0,MIN($F136,EOMONTH(DATE(cfg_FY,12,1),0))-MAX($E136,DATE(cfg_FY,12,1))+1))</f>
        <v>0</v>
      </c>
    </row>
    <row r="137" customFormat="false" ht="15" hidden="false" customHeight="false" outlineLevel="0" collapsed="false">
      <c r="A137" s="115" t="str">
        <f aca="false">IF(B137="","",ROW()-5)</f>
        <v/>
      </c>
      <c r="B137" s="118"/>
      <c r="C137" s="117" t="str">
        <f aca="false">IF(B137="","",IFERROR(INDEX(الموظفون!$C$6:$C$105,MATCH(B137,الموظفون!$B$6:$B$105,0)),"✖ رقم غير موجود"))</f>
        <v/>
      </c>
      <c r="D137" s="118"/>
      <c r="E137" s="119"/>
      <c r="F137" s="119"/>
      <c r="G137" s="133" t="str">
        <f aca="false">IF(OR($B137="",$E137="",$F137=""),"",MAX(0,F137-E137+1))</f>
        <v/>
      </c>
      <c r="H137" s="134" t="str">
        <f aca="false">IF(D137="","",IFERROR(VLOOKUP(D137,cfg_LT,2,FALSE()),1))</f>
        <v/>
      </c>
      <c r="I137" s="135"/>
      <c r="J137" s="134" t="str">
        <f aca="false">IF(D137="","",IF(I137&lt;&gt;"",I137,H137))</f>
        <v/>
      </c>
      <c r="K137" s="117" t="str">
        <f aca="false">IF(D137="","",IFERROR(VLOOKUP($D137,cfg_LT,3,FALSE()),""))</f>
        <v/>
      </c>
      <c r="L137" s="117" t="str">
        <f aca="false">IF(D137="","",IFERROR(VLOOKUP($D137,cfg_LT,4,FALSE()),""))</f>
        <v/>
      </c>
      <c r="M137" s="117" t="str">
        <f aca="false">IF(D137="","",IFERROR(VLOOKUP($D137,cfg_LT,5,FALSE()),""))</f>
        <v/>
      </c>
      <c r="N137" s="116" t="n">
        <f aca="false">IF(OR(OR($B137="",$E137="",$F137=""),M137&lt;&gt;"نعم"),0,G137*J137*IFERROR(INDEX(الموظفون!$R$6:$R$105,MATCH(B137,الموظفون!$B$6:$B$105,0)),0)/cfg_DAYS_M)</f>
        <v>0</v>
      </c>
      <c r="O137" s="115" t="str">
        <f aca="false">IF(OR(OR($B137="",$E137="",$F137=""),M137&lt;&gt;"نعم"),"",IF(YEAR(E137)=cfg_FY,MONTH(E137),""))</f>
        <v/>
      </c>
      <c r="P137" s="117" t="str">
        <f aca="false">IF(B137="","",IF(OR(D137="",E137="",F137=""),"⚠ أكمل النوع والتواريخ",IF(F137&lt;E137,"✖ النهاية قبل البداية",IF(COUNTIFS($B$6:$B$505,B137,$E$6:$E$505,"&lt;="&amp;F137,$F$6:$F$505,"&gt;="&amp;E137)&gt;1,"⚠ تداخل مع سجل آخر",IF(E137&gt;cfg_VAL_DATE,"⏳ قادمة",IF(F137&lt;cfg_VAL_DATE,"✔ منتهية","✈ جارية في تاريخ التقرير"))))))</f>
        <v/>
      </c>
      <c r="Q137" s="118"/>
      <c r="R137" s="133" t="n">
        <f aca="false">IF(OR(OR($B137="",$E137="",$F137=""),L137&lt;&gt;"لا"),0,MAX(0,MIN(F137,cfg_Y_START-1)-E137+1))</f>
        <v>0</v>
      </c>
      <c r="S137" s="133" t="n">
        <f aca="false">IF(OR(OR($B137="",$E137="",$F137=""),L137&lt;&gt;"لا"),0,MAX(0,MIN(F137,cfg_VAL_DATE)-E137+1))</f>
        <v>0</v>
      </c>
      <c r="T137" s="133" t="n">
        <f aca="false">IF(OR(OR($B137="",$E137="",$F137=""),K137&lt;&gt;"نعم"),0,IF(M137="نعم",IF(AND(ISNUMBER(O137),N(O137)&lt;=cfg_VAL_M),G137,0),MAX(0,MIN(F137,cfg_VAL_DATE)-MAX(E137,cfg_Y_START)+1)))</f>
        <v>0</v>
      </c>
      <c r="V137" s="133" t="n">
        <f aca="false">IF(OR($B137="",$E137="",$F137=""),0,MAX(0,MIN($F137,EOMONTH(DATE(cfg_FY,1,1),0))-MAX($E137,DATE(cfg_FY,1,1))+1)*(1-IF($M137="نعم",0,N($J137))))</f>
        <v>0</v>
      </c>
      <c r="W137" s="133" t="n">
        <f aca="false">IF(OR($B137="",$E137="",$F137=""),0,MAX(0,MIN($F137,EOMONTH(DATE(cfg_FY,2,1),0))-MAX($E137,DATE(cfg_FY,2,1))+1)*(1-IF($M137="نعم",0,N($J137))))</f>
        <v>0</v>
      </c>
      <c r="X137" s="133" t="n">
        <f aca="false">IF(OR($B137="",$E137="",$F137=""),0,MAX(0,MIN($F137,EOMONTH(DATE(cfg_FY,3,1),0))-MAX($E137,DATE(cfg_FY,3,1))+1)*(1-IF($M137="نعم",0,N($J137))))</f>
        <v>0</v>
      </c>
      <c r="Y137" s="133" t="n">
        <f aca="false">IF(OR($B137="",$E137="",$F137=""),0,MAX(0,MIN($F137,EOMONTH(DATE(cfg_FY,4,1),0))-MAX($E137,DATE(cfg_FY,4,1))+1)*(1-IF($M137="نعم",0,N($J137))))</f>
        <v>0</v>
      </c>
      <c r="Z137" s="133" t="n">
        <f aca="false">IF(OR($B137="",$E137="",$F137=""),0,MAX(0,MIN($F137,EOMONTH(DATE(cfg_FY,5,1),0))-MAX($E137,DATE(cfg_FY,5,1))+1)*(1-IF($M137="نعم",0,N($J137))))</f>
        <v>0</v>
      </c>
      <c r="AA137" s="133" t="n">
        <f aca="false">IF(OR($B137="",$E137="",$F137=""),0,MAX(0,MIN($F137,EOMONTH(DATE(cfg_FY,6,1),0))-MAX($E137,DATE(cfg_FY,6,1))+1)*(1-IF($M137="نعم",0,N($J137))))</f>
        <v>0</v>
      </c>
      <c r="AB137" s="133" t="n">
        <f aca="false">IF(OR($B137="",$E137="",$F137=""),0,MAX(0,MIN($F137,EOMONTH(DATE(cfg_FY,7,1),0))-MAX($E137,DATE(cfg_FY,7,1))+1)*(1-IF($M137="نعم",0,N($J137))))</f>
        <v>0</v>
      </c>
      <c r="AC137" s="133" t="n">
        <f aca="false">IF(OR($B137="",$E137="",$F137=""),0,MAX(0,MIN($F137,EOMONTH(DATE(cfg_FY,8,1),0))-MAX($E137,DATE(cfg_FY,8,1))+1)*(1-IF($M137="نعم",0,N($J137))))</f>
        <v>0</v>
      </c>
      <c r="AD137" s="133" t="n">
        <f aca="false">IF(OR($B137="",$E137="",$F137=""),0,MAX(0,MIN($F137,EOMONTH(DATE(cfg_FY,9,1),0))-MAX($E137,DATE(cfg_FY,9,1))+1)*(1-IF($M137="نعم",0,N($J137))))</f>
        <v>0</v>
      </c>
      <c r="AE137" s="133" t="n">
        <f aca="false">IF(OR($B137="",$E137="",$F137=""),0,MAX(0,MIN($F137,EOMONTH(DATE(cfg_FY,10,1),0))-MAX($E137,DATE(cfg_FY,10,1))+1)*(1-IF($M137="نعم",0,N($J137))))</f>
        <v>0</v>
      </c>
      <c r="AF137" s="133" t="n">
        <f aca="false">IF(OR($B137="",$E137="",$F137=""),0,MAX(0,MIN($F137,EOMONTH(DATE(cfg_FY,11,1),0))-MAX($E137,DATE(cfg_FY,11,1))+1)*(1-IF($M137="نعم",0,N($J137))))</f>
        <v>0</v>
      </c>
      <c r="AG137" s="133" t="n">
        <f aca="false">IF(OR($B137="",$E137="",$F137=""),0,MAX(0,MIN($F137,EOMONTH(DATE(cfg_FY,12,1),0))-MAX($E137,DATE(cfg_FY,12,1))+1)*(1-IF($M137="نعم",0,N($J137))))</f>
        <v>0</v>
      </c>
      <c r="AH137" s="133" t="n">
        <f aca="false">IF(OR(OR($B137="",$E137="",$F137=""),$L137&lt;&gt;"لا"),0,MAX(0,MIN($F137,EOMONTH(DATE(cfg_FY,1,1),0))-$E137+1))</f>
        <v>0</v>
      </c>
      <c r="AI137" s="133" t="n">
        <f aca="false">IF(OR(OR($B137="",$E137="",$F137=""),$L137&lt;&gt;"لا"),0,MAX(0,MIN($F137,EOMONTH(DATE(cfg_FY,2,1),0))-$E137+1))</f>
        <v>0</v>
      </c>
      <c r="AJ137" s="133" t="n">
        <f aca="false">IF(OR(OR($B137="",$E137="",$F137=""),$L137&lt;&gt;"لا"),0,MAX(0,MIN($F137,EOMONTH(DATE(cfg_FY,3,1),0))-$E137+1))</f>
        <v>0</v>
      </c>
      <c r="AK137" s="133" t="n">
        <f aca="false">IF(OR(OR($B137="",$E137="",$F137=""),$L137&lt;&gt;"لا"),0,MAX(0,MIN($F137,EOMONTH(DATE(cfg_FY,4,1),0))-$E137+1))</f>
        <v>0</v>
      </c>
      <c r="AL137" s="133" t="n">
        <f aca="false">IF(OR(OR($B137="",$E137="",$F137=""),$L137&lt;&gt;"لا"),0,MAX(0,MIN($F137,EOMONTH(DATE(cfg_FY,5,1),0))-$E137+1))</f>
        <v>0</v>
      </c>
      <c r="AM137" s="133" t="n">
        <f aca="false">IF(OR(OR($B137="",$E137="",$F137=""),$L137&lt;&gt;"لا"),0,MAX(0,MIN($F137,EOMONTH(DATE(cfg_FY,6,1),0))-$E137+1))</f>
        <v>0</v>
      </c>
      <c r="AN137" s="133" t="n">
        <f aca="false">IF(OR(OR($B137="",$E137="",$F137=""),$L137&lt;&gt;"لا"),0,MAX(0,MIN($F137,EOMONTH(DATE(cfg_FY,7,1),0))-$E137+1))</f>
        <v>0</v>
      </c>
      <c r="AO137" s="133" t="n">
        <f aca="false">IF(OR(OR($B137="",$E137="",$F137=""),$L137&lt;&gt;"لا"),0,MAX(0,MIN($F137,EOMONTH(DATE(cfg_FY,8,1),0))-$E137+1))</f>
        <v>0</v>
      </c>
      <c r="AP137" s="133" t="n">
        <f aca="false">IF(OR(OR($B137="",$E137="",$F137=""),$L137&lt;&gt;"لا"),0,MAX(0,MIN($F137,EOMONTH(DATE(cfg_FY,9,1),0))-$E137+1))</f>
        <v>0</v>
      </c>
      <c r="AQ137" s="133" t="n">
        <f aca="false">IF(OR(OR($B137="",$E137="",$F137=""),$L137&lt;&gt;"لا"),0,MAX(0,MIN($F137,EOMONTH(DATE(cfg_FY,10,1),0))-$E137+1))</f>
        <v>0</v>
      </c>
      <c r="AR137" s="133" t="n">
        <f aca="false">IF(OR(OR($B137="",$E137="",$F137=""),$L137&lt;&gt;"لا"),0,MAX(0,MIN($F137,EOMONTH(DATE(cfg_FY,11,1),0))-$E137+1))</f>
        <v>0</v>
      </c>
      <c r="AS137" s="133" t="n">
        <f aca="false">IF(OR(OR($B137="",$E137="",$F137=""),$L137&lt;&gt;"لا"),0,MAX(0,MIN($F137,EOMONTH(DATE(cfg_FY,12,1),0))-$E137+1))</f>
        <v>0</v>
      </c>
      <c r="AT137" s="133" t="n">
        <f aca="false">IF(OR(OR($B137="",$E137="",$F137=""),$K137&lt;&gt;"نعم",$M137="نعم"),0,MAX(0,MIN($F137,EOMONTH(DATE(cfg_FY,1,1),0))-MAX($E137,DATE(cfg_FY,1,1))+1))</f>
        <v>0</v>
      </c>
      <c r="AU137" s="133" t="n">
        <f aca="false">IF(OR(OR($B137="",$E137="",$F137=""),$K137&lt;&gt;"نعم",$M137="نعم"),0,MAX(0,MIN($F137,EOMONTH(DATE(cfg_FY,2,1),0))-MAX($E137,DATE(cfg_FY,2,1))+1))</f>
        <v>0</v>
      </c>
      <c r="AV137" s="133" t="n">
        <f aca="false">IF(OR(OR($B137="",$E137="",$F137=""),$K137&lt;&gt;"نعم",$M137="نعم"),0,MAX(0,MIN($F137,EOMONTH(DATE(cfg_FY,3,1),0))-MAX($E137,DATE(cfg_FY,3,1))+1))</f>
        <v>0</v>
      </c>
      <c r="AW137" s="133" t="n">
        <f aca="false">IF(OR(OR($B137="",$E137="",$F137=""),$K137&lt;&gt;"نعم",$M137="نعم"),0,MAX(0,MIN($F137,EOMONTH(DATE(cfg_FY,4,1),0))-MAX($E137,DATE(cfg_FY,4,1))+1))</f>
        <v>0</v>
      </c>
      <c r="AX137" s="133" t="n">
        <f aca="false">IF(OR(OR($B137="",$E137="",$F137=""),$K137&lt;&gt;"نعم",$M137="نعم"),0,MAX(0,MIN($F137,EOMONTH(DATE(cfg_FY,5,1),0))-MAX($E137,DATE(cfg_FY,5,1))+1))</f>
        <v>0</v>
      </c>
      <c r="AY137" s="133" t="n">
        <f aca="false">IF(OR(OR($B137="",$E137="",$F137=""),$K137&lt;&gt;"نعم",$M137="نعم"),0,MAX(0,MIN($F137,EOMONTH(DATE(cfg_FY,6,1),0))-MAX($E137,DATE(cfg_FY,6,1))+1))</f>
        <v>0</v>
      </c>
      <c r="AZ137" s="133" t="n">
        <f aca="false">IF(OR(OR($B137="",$E137="",$F137=""),$K137&lt;&gt;"نعم",$M137="نعم"),0,MAX(0,MIN($F137,EOMONTH(DATE(cfg_FY,7,1),0))-MAX($E137,DATE(cfg_FY,7,1))+1))</f>
        <v>0</v>
      </c>
      <c r="BA137" s="133" t="n">
        <f aca="false">IF(OR(OR($B137="",$E137="",$F137=""),$K137&lt;&gt;"نعم",$M137="نعم"),0,MAX(0,MIN($F137,EOMONTH(DATE(cfg_FY,8,1),0))-MAX($E137,DATE(cfg_FY,8,1))+1))</f>
        <v>0</v>
      </c>
      <c r="BB137" s="133" t="n">
        <f aca="false">IF(OR(OR($B137="",$E137="",$F137=""),$K137&lt;&gt;"نعم",$M137="نعم"),0,MAX(0,MIN($F137,EOMONTH(DATE(cfg_FY,9,1),0))-MAX($E137,DATE(cfg_FY,9,1))+1))</f>
        <v>0</v>
      </c>
      <c r="BC137" s="133" t="n">
        <f aca="false">IF(OR(OR($B137="",$E137="",$F137=""),$K137&lt;&gt;"نعم",$M137="نعم"),0,MAX(0,MIN($F137,EOMONTH(DATE(cfg_FY,10,1),0))-MAX($E137,DATE(cfg_FY,10,1))+1))</f>
        <v>0</v>
      </c>
      <c r="BD137" s="133" t="n">
        <f aca="false">IF(OR(OR($B137="",$E137="",$F137=""),$K137&lt;&gt;"نعم",$M137="نعم"),0,MAX(0,MIN($F137,EOMONTH(DATE(cfg_FY,11,1),0))-MAX($E137,DATE(cfg_FY,11,1))+1))</f>
        <v>0</v>
      </c>
      <c r="BE137" s="133" t="n">
        <f aca="false">IF(OR(OR($B137="",$E137="",$F137=""),$K137&lt;&gt;"نعم",$M137="نعم"),0,MAX(0,MIN($F137,EOMONTH(DATE(cfg_FY,12,1),0))-MAX($E137,DATE(cfg_FY,12,1))+1))</f>
        <v>0</v>
      </c>
    </row>
    <row r="138" customFormat="false" ht="15" hidden="false" customHeight="false" outlineLevel="0" collapsed="false">
      <c r="A138" s="106" t="str">
        <f aca="false">IF(B138="","",ROW()-5)</f>
        <v/>
      </c>
      <c r="B138" s="118"/>
      <c r="C138" s="114" t="str">
        <f aca="false">IF(B138="","",IFERROR(INDEX(الموظفون!$C$6:$C$105,MATCH(B138,الموظفون!$B$6:$B$105,0)),"✖ رقم غير موجود"))</f>
        <v/>
      </c>
      <c r="D138" s="118"/>
      <c r="E138" s="119"/>
      <c r="F138" s="119"/>
      <c r="G138" s="65" t="str">
        <f aca="false">IF(OR($B138="",$E138="",$F138=""),"",MAX(0,F138-E138+1))</f>
        <v/>
      </c>
      <c r="H138" s="66" t="str">
        <f aca="false">IF(D138="","",IFERROR(VLOOKUP(D138,cfg_LT,2,FALSE()),1))</f>
        <v/>
      </c>
      <c r="I138" s="135"/>
      <c r="J138" s="66" t="str">
        <f aca="false">IF(D138="","",IF(I138&lt;&gt;"",I138,H138))</f>
        <v/>
      </c>
      <c r="K138" s="114" t="str">
        <f aca="false">IF(D138="","",IFERROR(VLOOKUP($D138,cfg_LT,3,FALSE()),""))</f>
        <v/>
      </c>
      <c r="L138" s="114" t="str">
        <f aca="false">IF(D138="","",IFERROR(VLOOKUP($D138,cfg_LT,4,FALSE()),""))</f>
        <v/>
      </c>
      <c r="M138" s="114" t="str">
        <f aca="false">IF(D138="","",IFERROR(VLOOKUP($D138,cfg_LT,5,FALSE()),""))</f>
        <v/>
      </c>
      <c r="N138" s="111" t="n">
        <f aca="false">IF(OR(OR($B138="",$E138="",$F138=""),M138&lt;&gt;"نعم"),0,G138*J138*IFERROR(INDEX(الموظفون!$R$6:$R$105,MATCH(B138,الموظفون!$B$6:$B$105,0)),0)/cfg_DAYS_M)</f>
        <v>0</v>
      </c>
      <c r="O138" s="106" t="str">
        <f aca="false">IF(OR(OR($B138="",$E138="",$F138=""),M138&lt;&gt;"نعم"),"",IF(YEAR(E138)=cfg_FY,MONTH(E138),""))</f>
        <v/>
      </c>
      <c r="P138" s="114" t="str">
        <f aca="false">IF(B138="","",IF(OR(D138="",E138="",F138=""),"⚠ أكمل النوع والتواريخ",IF(F138&lt;E138,"✖ النهاية قبل البداية",IF(COUNTIFS($B$6:$B$505,B138,$E$6:$E$505,"&lt;="&amp;F138,$F$6:$F$505,"&gt;="&amp;E138)&gt;1,"⚠ تداخل مع سجل آخر",IF(E138&gt;cfg_VAL_DATE,"⏳ قادمة",IF(F138&lt;cfg_VAL_DATE,"✔ منتهية","✈ جارية في تاريخ التقرير"))))))</f>
        <v/>
      </c>
      <c r="Q138" s="118"/>
      <c r="R138" s="65" t="n">
        <f aca="false">IF(OR(OR($B138="",$E138="",$F138=""),L138&lt;&gt;"لا"),0,MAX(0,MIN(F138,cfg_Y_START-1)-E138+1))</f>
        <v>0</v>
      </c>
      <c r="S138" s="65" t="n">
        <f aca="false">IF(OR(OR($B138="",$E138="",$F138=""),L138&lt;&gt;"لا"),0,MAX(0,MIN(F138,cfg_VAL_DATE)-E138+1))</f>
        <v>0</v>
      </c>
      <c r="T138" s="65" t="n">
        <f aca="false">IF(OR(OR($B138="",$E138="",$F138=""),K138&lt;&gt;"نعم"),0,IF(M138="نعم",IF(AND(ISNUMBER(O138),N(O138)&lt;=cfg_VAL_M),G138,0),MAX(0,MIN(F138,cfg_VAL_DATE)-MAX(E138,cfg_Y_START)+1)))</f>
        <v>0</v>
      </c>
      <c r="V138" s="65" t="n">
        <f aca="false">IF(OR($B138="",$E138="",$F138=""),0,MAX(0,MIN($F138,EOMONTH(DATE(cfg_FY,1,1),0))-MAX($E138,DATE(cfg_FY,1,1))+1)*(1-IF($M138="نعم",0,N($J138))))</f>
        <v>0</v>
      </c>
      <c r="W138" s="65" t="n">
        <f aca="false">IF(OR($B138="",$E138="",$F138=""),0,MAX(0,MIN($F138,EOMONTH(DATE(cfg_FY,2,1),0))-MAX($E138,DATE(cfg_FY,2,1))+1)*(1-IF($M138="نعم",0,N($J138))))</f>
        <v>0</v>
      </c>
      <c r="X138" s="65" t="n">
        <f aca="false">IF(OR($B138="",$E138="",$F138=""),0,MAX(0,MIN($F138,EOMONTH(DATE(cfg_FY,3,1),0))-MAX($E138,DATE(cfg_FY,3,1))+1)*(1-IF($M138="نعم",0,N($J138))))</f>
        <v>0</v>
      </c>
      <c r="Y138" s="65" t="n">
        <f aca="false">IF(OR($B138="",$E138="",$F138=""),0,MAX(0,MIN($F138,EOMONTH(DATE(cfg_FY,4,1),0))-MAX($E138,DATE(cfg_FY,4,1))+1)*(1-IF($M138="نعم",0,N($J138))))</f>
        <v>0</v>
      </c>
      <c r="Z138" s="65" t="n">
        <f aca="false">IF(OR($B138="",$E138="",$F138=""),0,MAX(0,MIN($F138,EOMONTH(DATE(cfg_FY,5,1),0))-MAX($E138,DATE(cfg_FY,5,1))+1)*(1-IF($M138="نعم",0,N($J138))))</f>
        <v>0</v>
      </c>
      <c r="AA138" s="65" t="n">
        <f aca="false">IF(OR($B138="",$E138="",$F138=""),0,MAX(0,MIN($F138,EOMONTH(DATE(cfg_FY,6,1),0))-MAX($E138,DATE(cfg_FY,6,1))+1)*(1-IF($M138="نعم",0,N($J138))))</f>
        <v>0</v>
      </c>
      <c r="AB138" s="65" t="n">
        <f aca="false">IF(OR($B138="",$E138="",$F138=""),0,MAX(0,MIN($F138,EOMONTH(DATE(cfg_FY,7,1),0))-MAX($E138,DATE(cfg_FY,7,1))+1)*(1-IF($M138="نعم",0,N($J138))))</f>
        <v>0</v>
      </c>
      <c r="AC138" s="65" t="n">
        <f aca="false">IF(OR($B138="",$E138="",$F138=""),0,MAX(0,MIN($F138,EOMONTH(DATE(cfg_FY,8,1),0))-MAX($E138,DATE(cfg_FY,8,1))+1)*(1-IF($M138="نعم",0,N($J138))))</f>
        <v>0</v>
      </c>
      <c r="AD138" s="65" t="n">
        <f aca="false">IF(OR($B138="",$E138="",$F138=""),0,MAX(0,MIN($F138,EOMONTH(DATE(cfg_FY,9,1),0))-MAX($E138,DATE(cfg_FY,9,1))+1)*(1-IF($M138="نعم",0,N($J138))))</f>
        <v>0</v>
      </c>
      <c r="AE138" s="65" t="n">
        <f aca="false">IF(OR($B138="",$E138="",$F138=""),0,MAX(0,MIN($F138,EOMONTH(DATE(cfg_FY,10,1),0))-MAX($E138,DATE(cfg_FY,10,1))+1)*(1-IF($M138="نعم",0,N($J138))))</f>
        <v>0</v>
      </c>
      <c r="AF138" s="65" t="n">
        <f aca="false">IF(OR($B138="",$E138="",$F138=""),0,MAX(0,MIN($F138,EOMONTH(DATE(cfg_FY,11,1),0))-MAX($E138,DATE(cfg_FY,11,1))+1)*(1-IF($M138="نعم",0,N($J138))))</f>
        <v>0</v>
      </c>
      <c r="AG138" s="65" t="n">
        <f aca="false">IF(OR($B138="",$E138="",$F138=""),0,MAX(0,MIN($F138,EOMONTH(DATE(cfg_FY,12,1),0))-MAX($E138,DATE(cfg_FY,12,1))+1)*(1-IF($M138="نعم",0,N($J138))))</f>
        <v>0</v>
      </c>
      <c r="AH138" s="65" t="n">
        <f aca="false">IF(OR(OR($B138="",$E138="",$F138=""),$L138&lt;&gt;"لا"),0,MAX(0,MIN($F138,EOMONTH(DATE(cfg_FY,1,1),0))-$E138+1))</f>
        <v>0</v>
      </c>
      <c r="AI138" s="65" t="n">
        <f aca="false">IF(OR(OR($B138="",$E138="",$F138=""),$L138&lt;&gt;"لا"),0,MAX(0,MIN($F138,EOMONTH(DATE(cfg_FY,2,1),0))-$E138+1))</f>
        <v>0</v>
      </c>
      <c r="AJ138" s="65" t="n">
        <f aca="false">IF(OR(OR($B138="",$E138="",$F138=""),$L138&lt;&gt;"لا"),0,MAX(0,MIN($F138,EOMONTH(DATE(cfg_FY,3,1),0))-$E138+1))</f>
        <v>0</v>
      </c>
      <c r="AK138" s="65" t="n">
        <f aca="false">IF(OR(OR($B138="",$E138="",$F138=""),$L138&lt;&gt;"لا"),0,MAX(0,MIN($F138,EOMONTH(DATE(cfg_FY,4,1),0))-$E138+1))</f>
        <v>0</v>
      </c>
      <c r="AL138" s="65" t="n">
        <f aca="false">IF(OR(OR($B138="",$E138="",$F138=""),$L138&lt;&gt;"لا"),0,MAX(0,MIN($F138,EOMONTH(DATE(cfg_FY,5,1),0))-$E138+1))</f>
        <v>0</v>
      </c>
      <c r="AM138" s="65" t="n">
        <f aca="false">IF(OR(OR($B138="",$E138="",$F138=""),$L138&lt;&gt;"لا"),0,MAX(0,MIN($F138,EOMONTH(DATE(cfg_FY,6,1),0))-$E138+1))</f>
        <v>0</v>
      </c>
      <c r="AN138" s="65" t="n">
        <f aca="false">IF(OR(OR($B138="",$E138="",$F138=""),$L138&lt;&gt;"لا"),0,MAX(0,MIN($F138,EOMONTH(DATE(cfg_FY,7,1),0))-$E138+1))</f>
        <v>0</v>
      </c>
      <c r="AO138" s="65" t="n">
        <f aca="false">IF(OR(OR($B138="",$E138="",$F138=""),$L138&lt;&gt;"لا"),0,MAX(0,MIN($F138,EOMONTH(DATE(cfg_FY,8,1),0))-$E138+1))</f>
        <v>0</v>
      </c>
      <c r="AP138" s="65" t="n">
        <f aca="false">IF(OR(OR($B138="",$E138="",$F138=""),$L138&lt;&gt;"لا"),0,MAX(0,MIN($F138,EOMONTH(DATE(cfg_FY,9,1),0))-$E138+1))</f>
        <v>0</v>
      </c>
      <c r="AQ138" s="65" t="n">
        <f aca="false">IF(OR(OR($B138="",$E138="",$F138=""),$L138&lt;&gt;"لا"),0,MAX(0,MIN($F138,EOMONTH(DATE(cfg_FY,10,1),0))-$E138+1))</f>
        <v>0</v>
      </c>
      <c r="AR138" s="65" t="n">
        <f aca="false">IF(OR(OR($B138="",$E138="",$F138=""),$L138&lt;&gt;"لا"),0,MAX(0,MIN($F138,EOMONTH(DATE(cfg_FY,11,1),0))-$E138+1))</f>
        <v>0</v>
      </c>
      <c r="AS138" s="65" t="n">
        <f aca="false">IF(OR(OR($B138="",$E138="",$F138=""),$L138&lt;&gt;"لا"),0,MAX(0,MIN($F138,EOMONTH(DATE(cfg_FY,12,1),0))-$E138+1))</f>
        <v>0</v>
      </c>
      <c r="AT138" s="65" t="n">
        <f aca="false">IF(OR(OR($B138="",$E138="",$F138=""),$K138&lt;&gt;"نعم",$M138="نعم"),0,MAX(0,MIN($F138,EOMONTH(DATE(cfg_FY,1,1),0))-MAX($E138,DATE(cfg_FY,1,1))+1))</f>
        <v>0</v>
      </c>
      <c r="AU138" s="65" t="n">
        <f aca="false">IF(OR(OR($B138="",$E138="",$F138=""),$K138&lt;&gt;"نعم",$M138="نعم"),0,MAX(0,MIN($F138,EOMONTH(DATE(cfg_FY,2,1),0))-MAX($E138,DATE(cfg_FY,2,1))+1))</f>
        <v>0</v>
      </c>
      <c r="AV138" s="65" t="n">
        <f aca="false">IF(OR(OR($B138="",$E138="",$F138=""),$K138&lt;&gt;"نعم",$M138="نعم"),0,MAX(0,MIN($F138,EOMONTH(DATE(cfg_FY,3,1),0))-MAX($E138,DATE(cfg_FY,3,1))+1))</f>
        <v>0</v>
      </c>
      <c r="AW138" s="65" t="n">
        <f aca="false">IF(OR(OR($B138="",$E138="",$F138=""),$K138&lt;&gt;"نعم",$M138="نعم"),0,MAX(0,MIN($F138,EOMONTH(DATE(cfg_FY,4,1),0))-MAX($E138,DATE(cfg_FY,4,1))+1))</f>
        <v>0</v>
      </c>
      <c r="AX138" s="65" t="n">
        <f aca="false">IF(OR(OR($B138="",$E138="",$F138=""),$K138&lt;&gt;"نعم",$M138="نعم"),0,MAX(0,MIN($F138,EOMONTH(DATE(cfg_FY,5,1),0))-MAX($E138,DATE(cfg_FY,5,1))+1))</f>
        <v>0</v>
      </c>
      <c r="AY138" s="65" t="n">
        <f aca="false">IF(OR(OR($B138="",$E138="",$F138=""),$K138&lt;&gt;"نعم",$M138="نعم"),0,MAX(0,MIN($F138,EOMONTH(DATE(cfg_FY,6,1),0))-MAX($E138,DATE(cfg_FY,6,1))+1))</f>
        <v>0</v>
      </c>
      <c r="AZ138" s="65" t="n">
        <f aca="false">IF(OR(OR($B138="",$E138="",$F138=""),$K138&lt;&gt;"نعم",$M138="نعم"),0,MAX(0,MIN($F138,EOMONTH(DATE(cfg_FY,7,1),0))-MAX($E138,DATE(cfg_FY,7,1))+1))</f>
        <v>0</v>
      </c>
      <c r="BA138" s="65" t="n">
        <f aca="false">IF(OR(OR($B138="",$E138="",$F138=""),$K138&lt;&gt;"نعم",$M138="نعم"),0,MAX(0,MIN($F138,EOMONTH(DATE(cfg_FY,8,1),0))-MAX($E138,DATE(cfg_FY,8,1))+1))</f>
        <v>0</v>
      </c>
      <c r="BB138" s="65" t="n">
        <f aca="false">IF(OR(OR($B138="",$E138="",$F138=""),$K138&lt;&gt;"نعم",$M138="نعم"),0,MAX(0,MIN($F138,EOMONTH(DATE(cfg_FY,9,1),0))-MAX($E138,DATE(cfg_FY,9,1))+1))</f>
        <v>0</v>
      </c>
      <c r="BC138" s="65" t="n">
        <f aca="false">IF(OR(OR($B138="",$E138="",$F138=""),$K138&lt;&gt;"نعم",$M138="نعم"),0,MAX(0,MIN($F138,EOMONTH(DATE(cfg_FY,10,1),0))-MAX($E138,DATE(cfg_FY,10,1))+1))</f>
        <v>0</v>
      </c>
      <c r="BD138" s="65" t="n">
        <f aca="false">IF(OR(OR($B138="",$E138="",$F138=""),$K138&lt;&gt;"نعم",$M138="نعم"),0,MAX(0,MIN($F138,EOMONTH(DATE(cfg_FY,11,1),0))-MAX($E138,DATE(cfg_FY,11,1))+1))</f>
        <v>0</v>
      </c>
      <c r="BE138" s="65" t="n">
        <f aca="false">IF(OR(OR($B138="",$E138="",$F138=""),$K138&lt;&gt;"نعم",$M138="نعم"),0,MAX(0,MIN($F138,EOMONTH(DATE(cfg_FY,12,1),0))-MAX($E138,DATE(cfg_FY,12,1))+1))</f>
        <v>0</v>
      </c>
    </row>
    <row r="139" customFormat="false" ht="15" hidden="false" customHeight="false" outlineLevel="0" collapsed="false">
      <c r="A139" s="115" t="str">
        <f aca="false">IF(B139="","",ROW()-5)</f>
        <v/>
      </c>
      <c r="B139" s="118"/>
      <c r="C139" s="117" t="str">
        <f aca="false">IF(B139="","",IFERROR(INDEX(الموظفون!$C$6:$C$105,MATCH(B139,الموظفون!$B$6:$B$105,0)),"✖ رقم غير موجود"))</f>
        <v/>
      </c>
      <c r="D139" s="118"/>
      <c r="E139" s="119"/>
      <c r="F139" s="119"/>
      <c r="G139" s="133" t="str">
        <f aca="false">IF(OR($B139="",$E139="",$F139=""),"",MAX(0,F139-E139+1))</f>
        <v/>
      </c>
      <c r="H139" s="134" t="str">
        <f aca="false">IF(D139="","",IFERROR(VLOOKUP(D139,cfg_LT,2,FALSE()),1))</f>
        <v/>
      </c>
      <c r="I139" s="135"/>
      <c r="J139" s="134" t="str">
        <f aca="false">IF(D139="","",IF(I139&lt;&gt;"",I139,H139))</f>
        <v/>
      </c>
      <c r="K139" s="117" t="str">
        <f aca="false">IF(D139="","",IFERROR(VLOOKUP($D139,cfg_LT,3,FALSE()),""))</f>
        <v/>
      </c>
      <c r="L139" s="117" t="str">
        <f aca="false">IF(D139="","",IFERROR(VLOOKUP($D139,cfg_LT,4,FALSE()),""))</f>
        <v/>
      </c>
      <c r="M139" s="117" t="str">
        <f aca="false">IF(D139="","",IFERROR(VLOOKUP($D139,cfg_LT,5,FALSE()),""))</f>
        <v/>
      </c>
      <c r="N139" s="116" t="n">
        <f aca="false">IF(OR(OR($B139="",$E139="",$F139=""),M139&lt;&gt;"نعم"),0,G139*J139*IFERROR(INDEX(الموظفون!$R$6:$R$105,MATCH(B139,الموظفون!$B$6:$B$105,0)),0)/cfg_DAYS_M)</f>
        <v>0</v>
      </c>
      <c r="O139" s="115" t="str">
        <f aca="false">IF(OR(OR($B139="",$E139="",$F139=""),M139&lt;&gt;"نعم"),"",IF(YEAR(E139)=cfg_FY,MONTH(E139),""))</f>
        <v/>
      </c>
      <c r="P139" s="117" t="str">
        <f aca="false">IF(B139="","",IF(OR(D139="",E139="",F139=""),"⚠ أكمل النوع والتواريخ",IF(F139&lt;E139,"✖ النهاية قبل البداية",IF(COUNTIFS($B$6:$B$505,B139,$E$6:$E$505,"&lt;="&amp;F139,$F$6:$F$505,"&gt;="&amp;E139)&gt;1,"⚠ تداخل مع سجل آخر",IF(E139&gt;cfg_VAL_DATE,"⏳ قادمة",IF(F139&lt;cfg_VAL_DATE,"✔ منتهية","✈ جارية في تاريخ التقرير"))))))</f>
        <v/>
      </c>
      <c r="Q139" s="118"/>
      <c r="R139" s="133" t="n">
        <f aca="false">IF(OR(OR($B139="",$E139="",$F139=""),L139&lt;&gt;"لا"),0,MAX(0,MIN(F139,cfg_Y_START-1)-E139+1))</f>
        <v>0</v>
      </c>
      <c r="S139" s="133" t="n">
        <f aca="false">IF(OR(OR($B139="",$E139="",$F139=""),L139&lt;&gt;"لا"),0,MAX(0,MIN(F139,cfg_VAL_DATE)-E139+1))</f>
        <v>0</v>
      </c>
      <c r="T139" s="133" t="n">
        <f aca="false">IF(OR(OR($B139="",$E139="",$F139=""),K139&lt;&gt;"نعم"),0,IF(M139="نعم",IF(AND(ISNUMBER(O139),N(O139)&lt;=cfg_VAL_M),G139,0),MAX(0,MIN(F139,cfg_VAL_DATE)-MAX(E139,cfg_Y_START)+1)))</f>
        <v>0</v>
      </c>
      <c r="V139" s="133" t="n">
        <f aca="false">IF(OR($B139="",$E139="",$F139=""),0,MAX(0,MIN($F139,EOMONTH(DATE(cfg_FY,1,1),0))-MAX($E139,DATE(cfg_FY,1,1))+1)*(1-IF($M139="نعم",0,N($J139))))</f>
        <v>0</v>
      </c>
      <c r="W139" s="133" t="n">
        <f aca="false">IF(OR($B139="",$E139="",$F139=""),0,MAX(0,MIN($F139,EOMONTH(DATE(cfg_FY,2,1),0))-MAX($E139,DATE(cfg_FY,2,1))+1)*(1-IF($M139="نعم",0,N($J139))))</f>
        <v>0</v>
      </c>
      <c r="X139" s="133" t="n">
        <f aca="false">IF(OR($B139="",$E139="",$F139=""),0,MAX(0,MIN($F139,EOMONTH(DATE(cfg_FY,3,1),0))-MAX($E139,DATE(cfg_FY,3,1))+1)*(1-IF($M139="نعم",0,N($J139))))</f>
        <v>0</v>
      </c>
      <c r="Y139" s="133" t="n">
        <f aca="false">IF(OR($B139="",$E139="",$F139=""),0,MAX(0,MIN($F139,EOMONTH(DATE(cfg_FY,4,1),0))-MAX($E139,DATE(cfg_FY,4,1))+1)*(1-IF($M139="نعم",0,N($J139))))</f>
        <v>0</v>
      </c>
      <c r="Z139" s="133" t="n">
        <f aca="false">IF(OR($B139="",$E139="",$F139=""),0,MAX(0,MIN($F139,EOMONTH(DATE(cfg_FY,5,1),0))-MAX($E139,DATE(cfg_FY,5,1))+1)*(1-IF($M139="نعم",0,N($J139))))</f>
        <v>0</v>
      </c>
      <c r="AA139" s="133" t="n">
        <f aca="false">IF(OR($B139="",$E139="",$F139=""),0,MAX(0,MIN($F139,EOMONTH(DATE(cfg_FY,6,1),0))-MAX($E139,DATE(cfg_FY,6,1))+1)*(1-IF($M139="نعم",0,N($J139))))</f>
        <v>0</v>
      </c>
      <c r="AB139" s="133" t="n">
        <f aca="false">IF(OR($B139="",$E139="",$F139=""),0,MAX(0,MIN($F139,EOMONTH(DATE(cfg_FY,7,1),0))-MAX($E139,DATE(cfg_FY,7,1))+1)*(1-IF($M139="نعم",0,N($J139))))</f>
        <v>0</v>
      </c>
      <c r="AC139" s="133" t="n">
        <f aca="false">IF(OR($B139="",$E139="",$F139=""),0,MAX(0,MIN($F139,EOMONTH(DATE(cfg_FY,8,1),0))-MAX($E139,DATE(cfg_FY,8,1))+1)*(1-IF($M139="نعم",0,N($J139))))</f>
        <v>0</v>
      </c>
      <c r="AD139" s="133" t="n">
        <f aca="false">IF(OR($B139="",$E139="",$F139=""),0,MAX(0,MIN($F139,EOMONTH(DATE(cfg_FY,9,1),0))-MAX($E139,DATE(cfg_FY,9,1))+1)*(1-IF($M139="نعم",0,N($J139))))</f>
        <v>0</v>
      </c>
      <c r="AE139" s="133" t="n">
        <f aca="false">IF(OR($B139="",$E139="",$F139=""),0,MAX(0,MIN($F139,EOMONTH(DATE(cfg_FY,10,1),0))-MAX($E139,DATE(cfg_FY,10,1))+1)*(1-IF($M139="نعم",0,N($J139))))</f>
        <v>0</v>
      </c>
      <c r="AF139" s="133" t="n">
        <f aca="false">IF(OR($B139="",$E139="",$F139=""),0,MAX(0,MIN($F139,EOMONTH(DATE(cfg_FY,11,1),0))-MAX($E139,DATE(cfg_FY,11,1))+1)*(1-IF($M139="نعم",0,N($J139))))</f>
        <v>0</v>
      </c>
      <c r="AG139" s="133" t="n">
        <f aca="false">IF(OR($B139="",$E139="",$F139=""),0,MAX(0,MIN($F139,EOMONTH(DATE(cfg_FY,12,1),0))-MAX($E139,DATE(cfg_FY,12,1))+1)*(1-IF($M139="نعم",0,N($J139))))</f>
        <v>0</v>
      </c>
      <c r="AH139" s="133" t="n">
        <f aca="false">IF(OR(OR($B139="",$E139="",$F139=""),$L139&lt;&gt;"لا"),0,MAX(0,MIN($F139,EOMONTH(DATE(cfg_FY,1,1),0))-$E139+1))</f>
        <v>0</v>
      </c>
      <c r="AI139" s="133" t="n">
        <f aca="false">IF(OR(OR($B139="",$E139="",$F139=""),$L139&lt;&gt;"لا"),0,MAX(0,MIN($F139,EOMONTH(DATE(cfg_FY,2,1),0))-$E139+1))</f>
        <v>0</v>
      </c>
      <c r="AJ139" s="133" t="n">
        <f aca="false">IF(OR(OR($B139="",$E139="",$F139=""),$L139&lt;&gt;"لا"),0,MAX(0,MIN($F139,EOMONTH(DATE(cfg_FY,3,1),0))-$E139+1))</f>
        <v>0</v>
      </c>
      <c r="AK139" s="133" t="n">
        <f aca="false">IF(OR(OR($B139="",$E139="",$F139=""),$L139&lt;&gt;"لا"),0,MAX(0,MIN($F139,EOMONTH(DATE(cfg_FY,4,1),0))-$E139+1))</f>
        <v>0</v>
      </c>
      <c r="AL139" s="133" t="n">
        <f aca="false">IF(OR(OR($B139="",$E139="",$F139=""),$L139&lt;&gt;"لا"),0,MAX(0,MIN($F139,EOMONTH(DATE(cfg_FY,5,1),0))-$E139+1))</f>
        <v>0</v>
      </c>
      <c r="AM139" s="133" t="n">
        <f aca="false">IF(OR(OR($B139="",$E139="",$F139=""),$L139&lt;&gt;"لا"),0,MAX(0,MIN($F139,EOMONTH(DATE(cfg_FY,6,1),0))-$E139+1))</f>
        <v>0</v>
      </c>
      <c r="AN139" s="133" t="n">
        <f aca="false">IF(OR(OR($B139="",$E139="",$F139=""),$L139&lt;&gt;"لا"),0,MAX(0,MIN($F139,EOMONTH(DATE(cfg_FY,7,1),0))-$E139+1))</f>
        <v>0</v>
      </c>
      <c r="AO139" s="133" t="n">
        <f aca="false">IF(OR(OR($B139="",$E139="",$F139=""),$L139&lt;&gt;"لا"),0,MAX(0,MIN($F139,EOMONTH(DATE(cfg_FY,8,1),0))-$E139+1))</f>
        <v>0</v>
      </c>
      <c r="AP139" s="133" t="n">
        <f aca="false">IF(OR(OR($B139="",$E139="",$F139=""),$L139&lt;&gt;"لا"),0,MAX(0,MIN($F139,EOMONTH(DATE(cfg_FY,9,1),0))-$E139+1))</f>
        <v>0</v>
      </c>
      <c r="AQ139" s="133" t="n">
        <f aca="false">IF(OR(OR($B139="",$E139="",$F139=""),$L139&lt;&gt;"لا"),0,MAX(0,MIN($F139,EOMONTH(DATE(cfg_FY,10,1),0))-$E139+1))</f>
        <v>0</v>
      </c>
      <c r="AR139" s="133" t="n">
        <f aca="false">IF(OR(OR($B139="",$E139="",$F139=""),$L139&lt;&gt;"لا"),0,MAX(0,MIN($F139,EOMONTH(DATE(cfg_FY,11,1),0))-$E139+1))</f>
        <v>0</v>
      </c>
      <c r="AS139" s="133" t="n">
        <f aca="false">IF(OR(OR($B139="",$E139="",$F139=""),$L139&lt;&gt;"لا"),0,MAX(0,MIN($F139,EOMONTH(DATE(cfg_FY,12,1),0))-$E139+1))</f>
        <v>0</v>
      </c>
      <c r="AT139" s="133" t="n">
        <f aca="false">IF(OR(OR($B139="",$E139="",$F139=""),$K139&lt;&gt;"نعم",$M139="نعم"),0,MAX(0,MIN($F139,EOMONTH(DATE(cfg_FY,1,1),0))-MAX($E139,DATE(cfg_FY,1,1))+1))</f>
        <v>0</v>
      </c>
      <c r="AU139" s="133" t="n">
        <f aca="false">IF(OR(OR($B139="",$E139="",$F139=""),$K139&lt;&gt;"نعم",$M139="نعم"),0,MAX(0,MIN($F139,EOMONTH(DATE(cfg_FY,2,1),0))-MAX($E139,DATE(cfg_FY,2,1))+1))</f>
        <v>0</v>
      </c>
      <c r="AV139" s="133" t="n">
        <f aca="false">IF(OR(OR($B139="",$E139="",$F139=""),$K139&lt;&gt;"نعم",$M139="نعم"),0,MAX(0,MIN($F139,EOMONTH(DATE(cfg_FY,3,1),0))-MAX($E139,DATE(cfg_FY,3,1))+1))</f>
        <v>0</v>
      </c>
      <c r="AW139" s="133" t="n">
        <f aca="false">IF(OR(OR($B139="",$E139="",$F139=""),$K139&lt;&gt;"نعم",$M139="نعم"),0,MAX(0,MIN($F139,EOMONTH(DATE(cfg_FY,4,1),0))-MAX($E139,DATE(cfg_FY,4,1))+1))</f>
        <v>0</v>
      </c>
      <c r="AX139" s="133" t="n">
        <f aca="false">IF(OR(OR($B139="",$E139="",$F139=""),$K139&lt;&gt;"نعم",$M139="نعم"),0,MAX(0,MIN($F139,EOMONTH(DATE(cfg_FY,5,1),0))-MAX($E139,DATE(cfg_FY,5,1))+1))</f>
        <v>0</v>
      </c>
      <c r="AY139" s="133" t="n">
        <f aca="false">IF(OR(OR($B139="",$E139="",$F139=""),$K139&lt;&gt;"نعم",$M139="نعم"),0,MAX(0,MIN($F139,EOMONTH(DATE(cfg_FY,6,1),0))-MAX($E139,DATE(cfg_FY,6,1))+1))</f>
        <v>0</v>
      </c>
      <c r="AZ139" s="133" t="n">
        <f aca="false">IF(OR(OR($B139="",$E139="",$F139=""),$K139&lt;&gt;"نعم",$M139="نعم"),0,MAX(0,MIN($F139,EOMONTH(DATE(cfg_FY,7,1),0))-MAX($E139,DATE(cfg_FY,7,1))+1))</f>
        <v>0</v>
      </c>
      <c r="BA139" s="133" t="n">
        <f aca="false">IF(OR(OR($B139="",$E139="",$F139=""),$K139&lt;&gt;"نعم",$M139="نعم"),0,MAX(0,MIN($F139,EOMONTH(DATE(cfg_FY,8,1),0))-MAX($E139,DATE(cfg_FY,8,1))+1))</f>
        <v>0</v>
      </c>
      <c r="BB139" s="133" t="n">
        <f aca="false">IF(OR(OR($B139="",$E139="",$F139=""),$K139&lt;&gt;"نعم",$M139="نعم"),0,MAX(0,MIN($F139,EOMONTH(DATE(cfg_FY,9,1),0))-MAX($E139,DATE(cfg_FY,9,1))+1))</f>
        <v>0</v>
      </c>
      <c r="BC139" s="133" t="n">
        <f aca="false">IF(OR(OR($B139="",$E139="",$F139=""),$K139&lt;&gt;"نعم",$M139="نعم"),0,MAX(0,MIN($F139,EOMONTH(DATE(cfg_FY,10,1),0))-MAX($E139,DATE(cfg_FY,10,1))+1))</f>
        <v>0</v>
      </c>
      <c r="BD139" s="133" t="n">
        <f aca="false">IF(OR(OR($B139="",$E139="",$F139=""),$K139&lt;&gt;"نعم",$M139="نعم"),0,MAX(0,MIN($F139,EOMONTH(DATE(cfg_FY,11,1),0))-MAX($E139,DATE(cfg_FY,11,1))+1))</f>
        <v>0</v>
      </c>
      <c r="BE139" s="133" t="n">
        <f aca="false">IF(OR(OR($B139="",$E139="",$F139=""),$K139&lt;&gt;"نعم",$M139="نعم"),0,MAX(0,MIN($F139,EOMONTH(DATE(cfg_FY,12,1),0))-MAX($E139,DATE(cfg_FY,12,1))+1))</f>
        <v>0</v>
      </c>
    </row>
    <row r="140" customFormat="false" ht="15" hidden="false" customHeight="false" outlineLevel="0" collapsed="false">
      <c r="A140" s="106" t="str">
        <f aca="false">IF(B140="","",ROW()-5)</f>
        <v/>
      </c>
      <c r="B140" s="118"/>
      <c r="C140" s="114" t="str">
        <f aca="false">IF(B140="","",IFERROR(INDEX(الموظفون!$C$6:$C$105,MATCH(B140,الموظفون!$B$6:$B$105,0)),"✖ رقم غير موجود"))</f>
        <v/>
      </c>
      <c r="D140" s="118"/>
      <c r="E140" s="119"/>
      <c r="F140" s="119"/>
      <c r="G140" s="65" t="str">
        <f aca="false">IF(OR($B140="",$E140="",$F140=""),"",MAX(0,F140-E140+1))</f>
        <v/>
      </c>
      <c r="H140" s="66" t="str">
        <f aca="false">IF(D140="","",IFERROR(VLOOKUP(D140,cfg_LT,2,FALSE()),1))</f>
        <v/>
      </c>
      <c r="I140" s="135"/>
      <c r="J140" s="66" t="str">
        <f aca="false">IF(D140="","",IF(I140&lt;&gt;"",I140,H140))</f>
        <v/>
      </c>
      <c r="K140" s="114" t="str">
        <f aca="false">IF(D140="","",IFERROR(VLOOKUP($D140,cfg_LT,3,FALSE()),""))</f>
        <v/>
      </c>
      <c r="L140" s="114" t="str">
        <f aca="false">IF(D140="","",IFERROR(VLOOKUP($D140,cfg_LT,4,FALSE()),""))</f>
        <v/>
      </c>
      <c r="M140" s="114" t="str">
        <f aca="false">IF(D140="","",IFERROR(VLOOKUP($D140,cfg_LT,5,FALSE()),""))</f>
        <v/>
      </c>
      <c r="N140" s="111" t="n">
        <f aca="false">IF(OR(OR($B140="",$E140="",$F140=""),M140&lt;&gt;"نعم"),0,G140*J140*IFERROR(INDEX(الموظفون!$R$6:$R$105,MATCH(B140,الموظفون!$B$6:$B$105,0)),0)/cfg_DAYS_M)</f>
        <v>0</v>
      </c>
      <c r="O140" s="106" t="str">
        <f aca="false">IF(OR(OR($B140="",$E140="",$F140=""),M140&lt;&gt;"نعم"),"",IF(YEAR(E140)=cfg_FY,MONTH(E140),""))</f>
        <v/>
      </c>
      <c r="P140" s="114" t="str">
        <f aca="false">IF(B140="","",IF(OR(D140="",E140="",F140=""),"⚠ أكمل النوع والتواريخ",IF(F140&lt;E140,"✖ النهاية قبل البداية",IF(COUNTIFS($B$6:$B$505,B140,$E$6:$E$505,"&lt;="&amp;F140,$F$6:$F$505,"&gt;="&amp;E140)&gt;1,"⚠ تداخل مع سجل آخر",IF(E140&gt;cfg_VAL_DATE,"⏳ قادمة",IF(F140&lt;cfg_VAL_DATE,"✔ منتهية","✈ جارية في تاريخ التقرير"))))))</f>
        <v/>
      </c>
      <c r="Q140" s="118"/>
      <c r="R140" s="65" t="n">
        <f aca="false">IF(OR(OR($B140="",$E140="",$F140=""),L140&lt;&gt;"لا"),0,MAX(0,MIN(F140,cfg_Y_START-1)-E140+1))</f>
        <v>0</v>
      </c>
      <c r="S140" s="65" t="n">
        <f aca="false">IF(OR(OR($B140="",$E140="",$F140=""),L140&lt;&gt;"لا"),0,MAX(0,MIN(F140,cfg_VAL_DATE)-E140+1))</f>
        <v>0</v>
      </c>
      <c r="T140" s="65" t="n">
        <f aca="false">IF(OR(OR($B140="",$E140="",$F140=""),K140&lt;&gt;"نعم"),0,IF(M140="نعم",IF(AND(ISNUMBER(O140),N(O140)&lt;=cfg_VAL_M),G140,0),MAX(0,MIN(F140,cfg_VAL_DATE)-MAX(E140,cfg_Y_START)+1)))</f>
        <v>0</v>
      </c>
      <c r="V140" s="65" t="n">
        <f aca="false">IF(OR($B140="",$E140="",$F140=""),0,MAX(0,MIN($F140,EOMONTH(DATE(cfg_FY,1,1),0))-MAX($E140,DATE(cfg_FY,1,1))+1)*(1-IF($M140="نعم",0,N($J140))))</f>
        <v>0</v>
      </c>
      <c r="W140" s="65" t="n">
        <f aca="false">IF(OR($B140="",$E140="",$F140=""),0,MAX(0,MIN($F140,EOMONTH(DATE(cfg_FY,2,1),0))-MAX($E140,DATE(cfg_FY,2,1))+1)*(1-IF($M140="نعم",0,N($J140))))</f>
        <v>0</v>
      </c>
      <c r="X140" s="65" t="n">
        <f aca="false">IF(OR($B140="",$E140="",$F140=""),0,MAX(0,MIN($F140,EOMONTH(DATE(cfg_FY,3,1),0))-MAX($E140,DATE(cfg_FY,3,1))+1)*(1-IF($M140="نعم",0,N($J140))))</f>
        <v>0</v>
      </c>
      <c r="Y140" s="65" t="n">
        <f aca="false">IF(OR($B140="",$E140="",$F140=""),0,MAX(0,MIN($F140,EOMONTH(DATE(cfg_FY,4,1),0))-MAX($E140,DATE(cfg_FY,4,1))+1)*(1-IF($M140="نعم",0,N($J140))))</f>
        <v>0</v>
      </c>
      <c r="Z140" s="65" t="n">
        <f aca="false">IF(OR($B140="",$E140="",$F140=""),0,MAX(0,MIN($F140,EOMONTH(DATE(cfg_FY,5,1),0))-MAX($E140,DATE(cfg_FY,5,1))+1)*(1-IF($M140="نعم",0,N($J140))))</f>
        <v>0</v>
      </c>
      <c r="AA140" s="65" t="n">
        <f aca="false">IF(OR($B140="",$E140="",$F140=""),0,MAX(0,MIN($F140,EOMONTH(DATE(cfg_FY,6,1),0))-MAX($E140,DATE(cfg_FY,6,1))+1)*(1-IF($M140="نعم",0,N($J140))))</f>
        <v>0</v>
      </c>
      <c r="AB140" s="65" t="n">
        <f aca="false">IF(OR($B140="",$E140="",$F140=""),0,MAX(0,MIN($F140,EOMONTH(DATE(cfg_FY,7,1),0))-MAX($E140,DATE(cfg_FY,7,1))+1)*(1-IF($M140="نعم",0,N($J140))))</f>
        <v>0</v>
      </c>
      <c r="AC140" s="65" t="n">
        <f aca="false">IF(OR($B140="",$E140="",$F140=""),0,MAX(0,MIN($F140,EOMONTH(DATE(cfg_FY,8,1),0))-MAX($E140,DATE(cfg_FY,8,1))+1)*(1-IF($M140="نعم",0,N($J140))))</f>
        <v>0</v>
      </c>
      <c r="AD140" s="65" t="n">
        <f aca="false">IF(OR($B140="",$E140="",$F140=""),0,MAX(0,MIN($F140,EOMONTH(DATE(cfg_FY,9,1),0))-MAX($E140,DATE(cfg_FY,9,1))+1)*(1-IF($M140="نعم",0,N($J140))))</f>
        <v>0</v>
      </c>
      <c r="AE140" s="65" t="n">
        <f aca="false">IF(OR($B140="",$E140="",$F140=""),0,MAX(0,MIN($F140,EOMONTH(DATE(cfg_FY,10,1),0))-MAX($E140,DATE(cfg_FY,10,1))+1)*(1-IF($M140="نعم",0,N($J140))))</f>
        <v>0</v>
      </c>
      <c r="AF140" s="65" t="n">
        <f aca="false">IF(OR($B140="",$E140="",$F140=""),0,MAX(0,MIN($F140,EOMONTH(DATE(cfg_FY,11,1),0))-MAX($E140,DATE(cfg_FY,11,1))+1)*(1-IF($M140="نعم",0,N($J140))))</f>
        <v>0</v>
      </c>
      <c r="AG140" s="65" t="n">
        <f aca="false">IF(OR($B140="",$E140="",$F140=""),0,MAX(0,MIN($F140,EOMONTH(DATE(cfg_FY,12,1),0))-MAX($E140,DATE(cfg_FY,12,1))+1)*(1-IF($M140="نعم",0,N($J140))))</f>
        <v>0</v>
      </c>
      <c r="AH140" s="65" t="n">
        <f aca="false">IF(OR(OR($B140="",$E140="",$F140=""),$L140&lt;&gt;"لا"),0,MAX(0,MIN($F140,EOMONTH(DATE(cfg_FY,1,1),0))-$E140+1))</f>
        <v>0</v>
      </c>
      <c r="AI140" s="65" t="n">
        <f aca="false">IF(OR(OR($B140="",$E140="",$F140=""),$L140&lt;&gt;"لا"),0,MAX(0,MIN($F140,EOMONTH(DATE(cfg_FY,2,1),0))-$E140+1))</f>
        <v>0</v>
      </c>
      <c r="AJ140" s="65" t="n">
        <f aca="false">IF(OR(OR($B140="",$E140="",$F140=""),$L140&lt;&gt;"لا"),0,MAX(0,MIN($F140,EOMONTH(DATE(cfg_FY,3,1),0))-$E140+1))</f>
        <v>0</v>
      </c>
      <c r="AK140" s="65" t="n">
        <f aca="false">IF(OR(OR($B140="",$E140="",$F140=""),$L140&lt;&gt;"لا"),0,MAX(0,MIN($F140,EOMONTH(DATE(cfg_FY,4,1),0))-$E140+1))</f>
        <v>0</v>
      </c>
      <c r="AL140" s="65" t="n">
        <f aca="false">IF(OR(OR($B140="",$E140="",$F140=""),$L140&lt;&gt;"لا"),0,MAX(0,MIN($F140,EOMONTH(DATE(cfg_FY,5,1),0))-$E140+1))</f>
        <v>0</v>
      </c>
      <c r="AM140" s="65" t="n">
        <f aca="false">IF(OR(OR($B140="",$E140="",$F140=""),$L140&lt;&gt;"لا"),0,MAX(0,MIN($F140,EOMONTH(DATE(cfg_FY,6,1),0))-$E140+1))</f>
        <v>0</v>
      </c>
      <c r="AN140" s="65" t="n">
        <f aca="false">IF(OR(OR($B140="",$E140="",$F140=""),$L140&lt;&gt;"لا"),0,MAX(0,MIN($F140,EOMONTH(DATE(cfg_FY,7,1),0))-$E140+1))</f>
        <v>0</v>
      </c>
      <c r="AO140" s="65" t="n">
        <f aca="false">IF(OR(OR($B140="",$E140="",$F140=""),$L140&lt;&gt;"لا"),0,MAX(0,MIN($F140,EOMONTH(DATE(cfg_FY,8,1),0))-$E140+1))</f>
        <v>0</v>
      </c>
      <c r="AP140" s="65" t="n">
        <f aca="false">IF(OR(OR($B140="",$E140="",$F140=""),$L140&lt;&gt;"لا"),0,MAX(0,MIN($F140,EOMONTH(DATE(cfg_FY,9,1),0))-$E140+1))</f>
        <v>0</v>
      </c>
      <c r="AQ140" s="65" t="n">
        <f aca="false">IF(OR(OR($B140="",$E140="",$F140=""),$L140&lt;&gt;"لا"),0,MAX(0,MIN($F140,EOMONTH(DATE(cfg_FY,10,1),0))-$E140+1))</f>
        <v>0</v>
      </c>
      <c r="AR140" s="65" t="n">
        <f aca="false">IF(OR(OR($B140="",$E140="",$F140=""),$L140&lt;&gt;"لا"),0,MAX(0,MIN($F140,EOMONTH(DATE(cfg_FY,11,1),0))-$E140+1))</f>
        <v>0</v>
      </c>
      <c r="AS140" s="65" t="n">
        <f aca="false">IF(OR(OR($B140="",$E140="",$F140=""),$L140&lt;&gt;"لا"),0,MAX(0,MIN($F140,EOMONTH(DATE(cfg_FY,12,1),0))-$E140+1))</f>
        <v>0</v>
      </c>
      <c r="AT140" s="65" t="n">
        <f aca="false">IF(OR(OR($B140="",$E140="",$F140=""),$K140&lt;&gt;"نعم",$M140="نعم"),0,MAX(0,MIN($F140,EOMONTH(DATE(cfg_FY,1,1),0))-MAX($E140,DATE(cfg_FY,1,1))+1))</f>
        <v>0</v>
      </c>
      <c r="AU140" s="65" t="n">
        <f aca="false">IF(OR(OR($B140="",$E140="",$F140=""),$K140&lt;&gt;"نعم",$M140="نعم"),0,MAX(0,MIN($F140,EOMONTH(DATE(cfg_FY,2,1),0))-MAX($E140,DATE(cfg_FY,2,1))+1))</f>
        <v>0</v>
      </c>
      <c r="AV140" s="65" t="n">
        <f aca="false">IF(OR(OR($B140="",$E140="",$F140=""),$K140&lt;&gt;"نعم",$M140="نعم"),0,MAX(0,MIN($F140,EOMONTH(DATE(cfg_FY,3,1),0))-MAX($E140,DATE(cfg_FY,3,1))+1))</f>
        <v>0</v>
      </c>
      <c r="AW140" s="65" t="n">
        <f aca="false">IF(OR(OR($B140="",$E140="",$F140=""),$K140&lt;&gt;"نعم",$M140="نعم"),0,MAX(0,MIN($F140,EOMONTH(DATE(cfg_FY,4,1),0))-MAX($E140,DATE(cfg_FY,4,1))+1))</f>
        <v>0</v>
      </c>
      <c r="AX140" s="65" t="n">
        <f aca="false">IF(OR(OR($B140="",$E140="",$F140=""),$K140&lt;&gt;"نعم",$M140="نعم"),0,MAX(0,MIN($F140,EOMONTH(DATE(cfg_FY,5,1),0))-MAX($E140,DATE(cfg_FY,5,1))+1))</f>
        <v>0</v>
      </c>
      <c r="AY140" s="65" t="n">
        <f aca="false">IF(OR(OR($B140="",$E140="",$F140=""),$K140&lt;&gt;"نعم",$M140="نعم"),0,MAX(0,MIN($F140,EOMONTH(DATE(cfg_FY,6,1),0))-MAX($E140,DATE(cfg_FY,6,1))+1))</f>
        <v>0</v>
      </c>
      <c r="AZ140" s="65" t="n">
        <f aca="false">IF(OR(OR($B140="",$E140="",$F140=""),$K140&lt;&gt;"نعم",$M140="نعم"),0,MAX(0,MIN($F140,EOMONTH(DATE(cfg_FY,7,1),0))-MAX($E140,DATE(cfg_FY,7,1))+1))</f>
        <v>0</v>
      </c>
      <c r="BA140" s="65" t="n">
        <f aca="false">IF(OR(OR($B140="",$E140="",$F140=""),$K140&lt;&gt;"نعم",$M140="نعم"),0,MAX(0,MIN($F140,EOMONTH(DATE(cfg_FY,8,1),0))-MAX($E140,DATE(cfg_FY,8,1))+1))</f>
        <v>0</v>
      </c>
      <c r="BB140" s="65" t="n">
        <f aca="false">IF(OR(OR($B140="",$E140="",$F140=""),$K140&lt;&gt;"نعم",$M140="نعم"),0,MAX(0,MIN($F140,EOMONTH(DATE(cfg_FY,9,1),0))-MAX($E140,DATE(cfg_FY,9,1))+1))</f>
        <v>0</v>
      </c>
      <c r="BC140" s="65" t="n">
        <f aca="false">IF(OR(OR($B140="",$E140="",$F140=""),$K140&lt;&gt;"نعم",$M140="نعم"),0,MAX(0,MIN($F140,EOMONTH(DATE(cfg_FY,10,1),0))-MAX($E140,DATE(cfg_FY,10,1))+1))</f>
        <v>0</v>
      </c>
      <c r="BD140" s="65" t="n">
        <f aca="false">IF(OR(OR($B140="",$E140="",$F140=""),$K140&lt;&gt;"نعم",$M140="نعم"),0,MAX(0,MIN($F140,EOMONTH(DATE(cfg_FY,11,1),0))-MAX($E140,DATE(cfg_FY,11,1))+1))</f>
        <v>0</v>
      </c>
      <c r="BE140" s="65" t="n">
        <f aca="false">IF(OR(OR($B140="",$E140="",$F140=""),$K140&lt;&gt;"نعم",$M140="نعم"),0,MAX(0,MIN($F140,EOMONTH(DATE(cfg_FY,12,1),0))-MAX($E140,DATE(cfg_FY,12,1))+1))</f>
        <v>0</v>
      </c>
    </row>
    <row r="141" customFormat="false" ht="15" hidden="false" customHeight="false" outlineLevel="0" collapsed="false">
      <c r="A141" s="115" t="str">
        <f aca="false">IF(B141="","",ROW()-5)</f>
        <v/>
      </c>
      <c r="B141" s="118"/>
      <c r="C141" s="117" t="str">
        <f aca="false">IF(B141="","",IFERROR(INDEX(الموظفون!$C$6:$C$105,MATCH(B141,الموظفون!$B$6:$B$105,0)),"✖ رقم غير موجود"))</f>
        <v/>
      </c>
      <c r="D141" s="118"/>
      <c r="E141" s="119"/>
      <c r="F141" s="119"/>
      <c r="G141" s="133" t="str">
        <f aca="false">IF(OR($B141="",$E141="",$F141=""),"",MAX(0,F141-E141+1))</f>
        <v/>
      </c>
      <c r="H141" s="134" t="str">
        <f aca="false">IF(D141="","",IFERROR(VLOOKUP(D141,cfg_LT,2,FALSE()),1))</f>
        <v/>
      </c>
      <c r="I141" s="135"/>
      <c r="J141" s="134" t="str">
        <f aca="false">IF(D141="","",IF(I141&lt;&gt;"",I141,H141))</f>
        <v/>
      </c>
      <c r="K141" s="117" t="str">
        <f aca="false">IF(D141="","",IFERROR(VLOOKUP($D141,cfg_LT,3,FALSE()),""))</f>
        <v/>
      </c>
      <c r="L141" s="117" t="str">
        <f aca="false">IF(D141="","",IFERROR(VLOOKUP($D141,cfg_LT,4,FALSE()),""))</f>
        <v/>
      </c>
      <c r="M141" s="117" t="str">
        <f aca="false">IF(D141="","",IFERROR(VLOOKUP($D141,cfg_LT,5,FALSE()),""))</f>
        <v/>
      </c>
      <c r="N141" s="116" t="n">
        <f aca="false">IF(OR(OR($B141="",$E141="",$F141=""),M141&lt;&gt;"نعم"),0,G141*J141*IFERROR(INDEX(الموظفون!$R$6:$R$105,MATCH(B141,الموظفون!$B$6:$B$105,0)),0)/cfg_DAYS_M)</f>
        <v>0</v>
      </c>
      <c r="O141" s="115" t="str">
        <f aca="false">IF(OR(OR($B141="",$E141="",$F141=""),M141&lt;&gt;"نعم"),"",IF(YEAR(E141)=cfg_FY,MONTH(E141),""))</f>
        <v/>
      </c>
      <c r="P141" s="117" t="str">
        <f aca="false">IF(B141="","",IF(OR(D141="",E141="",F141=""),"⚠ أكمل النوع والتواريخ",IF(F141&lt;E141,"✖ النهاية قبل البداية",IF(COUNTIFS($B$6:$B$505,B141,$E$6:$E$505,"&lt;="&amp;F141,$F$6:$F$505,"&gt;="&amp;E141)&gt;1,"⚠ تداخل مع سجل آخر",IF(E141&gt;cfg_VAL_DATE,"⏳ قادمة",IF(F141&lt;cfg_VAL_DATE,"✔ منتهية","✈ جارية في تاريخ التقرير"))))))</f>
        <v/>
      </c>
      <c r="Q141" s="118"/>
      <c r="R141" s="133" t="n">
        <f aca="false">IF(OR(OR($B141="",$E141="",$F141=""),L141&lt;&gt;"لا"),0,MAX(0,MIN(F141,cfg_Y_START-1)-E141+1))</f>
        <v>0</v>
      </c>
      <c r="S141" s="133" t="n">
        <f aca="false">IF(OR(OR($B141="",$E141="",$F141=""),L141&lt;&gt;"لا"),0,MAX(0,MIN(F141,cfg_VAL_DATE)-E141+1))</f>
        <v>0</v>
      </c>
      <c r="T141" s="133" t="n">
        <f aca="false">IF(OR(OR($B141="",$E141="",$F141=""),K141&lt;&gt;"نعم"),0,IF(M141="نعم",IF(AND(ISNUMBER(O141),N(O141)&lt;=cfg_VAL_M),G141,0),MAX(0,MIN(F141,cfg_VAL_DATE)-MAX(E141,cfg_Y_START)+1)))</f>
        <v>0</v>
      </c>
      <c r="V141" s="133" t="n">
        <f aca="false">IF(OR($B141="",$E141="",$F141=""),0,MAX(0,MIN($F141,EOMONTH(DATE(cfg_FY,1,1),0))-MAX($E141,DATE(cfg_FY,1,1))+1)*(1-IF($M141="نعم",0,N($J141))))</f>
        <v>0</v>
      </c>
      <c r="W141" s="133" t="n">
        <f aca="false">IF(OR($B141="",$E141="",$F141=""),0,MAX(0,MIN($F141,EOMONTH(DATE(cfg_FY,2,1),0))-MAX($E141,DATE(cfg_FY,2,1))+1)*(1-IF($M141="نعم",0,N($J141))))</f>
        <v>0</v>
      </c>
      <c r="X141" s="133" t="n">
        <f aca="false">IF(OR($B141="",$E141="",$F141=""),0,MAX(0,MIN($F141,EOMONTH(DATE(cfg_FY,3,1),0))-MAX($E141,DATE(cfg_FY,3,1))+1)*(1-IF($M141="نعم",0,N($J141))))</f>
        <v>0</v>
      </c>
      <c r="Y141" s="133" t="n">
        <f aca="false">IF(OR($B141="",$E141="",$F141=""),0,MAX(0,MIN($F141,EOMONTH(DATE(cfg_FY,4,1),0))-MAX($E141,DATE(cfg_FY,4,1))+1)*(1-IF($M141="نعم",0,N($J141))))</f>
        <v>0</v>
      </c>
      <c r="Z141" s="133" t="n">
        <f aca="false">IF(OR($B141="",$E141="",$F141=""),0,MAX(0,MIN($F141,EOMONTH(DATE(cfg_FY,5,1),0))-MAX($E141,DATE(cfg_FY,5,1))+1)*(1-IF($M141="نعم",0,N($J141))))</f>
        <v>0</v>
      </c>
      <c r="AA141" s="133" t="n">
        <f aca="false">IF(OR($B141="",$E141="",$F141=""),0,MAX(0,MIN($F141,EOMONTH(DATE(cfg_FY,6,1),0))-MAX($E141,DATE(cfg_FY,6,1))+1)*(1-IF($M141="نعم",0,N($J141))))</f>
        <v>0</v>
      </c>
      <c r="AB141" s="133" t="n">
        <f aca="false">IF(OR($B141="",$E141="",$F141=""),0,MAX(0,MIN($F141,EOMONTH(DATE(cfg_FY,7,1),0))-MAX($E141,DATE(cfg_FY,7,1))+1)*(1-IF($M141="نعم",0,N($J141))))</f>
        <v>0</v>
      </c>
      <c r="AC141" s="133" t="n">
        <f aca="false">IF(OR($B141="",$E141="",$F141=""),0,MAX(0,MIN($F141,EOMONTH(DATE(cfg_FY,8,1),0))-MAX($E141,DATE(cfg_FY,8,1))+1)*(1-IF($M141="نعم",0,N($J141))))</f>
        <v>0</v>
      </c>
      <c r="AD141" s="133" t="n">
        <f aca="false">IF(OR($B141="",$E141="",$F141=""),0,MAX(0,MIN($F141,EOMONTH(DATE(cfg_FY,9,1),0))-MAX($E141,DATE(cfg_FY,9,1))+1)*(1-IF($M141="نعم",0,N($J141))))</f>
        <v>0</v>
      </c>
      <c r="AE141" s="133" t="n">
        <f aca="false">IF(OR($B141="",$E141="",$F141=""),0,MAX(0,MIN($F141,EOMONTH(DATE(cfg_FY,10,1),0))-MAX($E141,DATE(cfg_FY,10,1))+1)*(1-IF($M141="نعم",0,N($J141))))</f>
        <v>0</v>
      </c>
      <c r="AF141" s="133" t="n">
        <f aca="false">IF(OR($B141="",$E141="",$F141=""),0,MAX(0,MIN($F141,EOMONTH(DATE(cfg_FY,11,1),0))-MAX($E141,DATE(cfg_FY,11,1))+1)*(1-IF($M141="نعم",0,N($J141))))</f>
        <v>0</v>
      </c>
      <c r="AG141" s="133" t="n">
        <f aca="false">IF(OR($B141="",$E141="",$F141=""),0,MAX(0,MIN($F141,EOMONTH(DATE(cfg_FY,12,1),0))-MAX($E141,DATE(cfg_FY,12,1))+1)*(1-IF($M141="نعم",0,N($J141))))</f>
        <v>0</v>
      </c>
      <c r="AH141" s="133" t="n">
        <f aca="false">IF(OR(OR($B141="",$E141="",$F141=""),$L141&lt;&gt;"لا"),0,MAX(0,MIN($F141,EOMONTH(DATE(cfg_FY,1,1),0))-$E141+1))</f>
        <v>0</v>
      </c>
      <c r="AI141" s="133" t="n">
        <f aca="false">IF(OR(OR($B141="",$E141="",$F141=""),$L141&lt;&gt;"لا"),0,MAX(0,MIN($F141,EOMONTH(DATE(cfg_FY,2,1),0))-$E141+1))</f>
        <v>0</v>
      </c>
      <c r="AJ141" s="133" t="n">
        <f aca="false">IF(OR(OR($B141="",$E141="",$F141=""),$L141&lt;&gt;"لا"),0,MAX(0,MIN($F141,EOMONTH(DATE(cfg_FY,3,1),0))-$E141+1))</f>
        <v>0</v>
      </c>
      <c r="AK141" s="133" t="n">
        <f aca="false">IF(OR(OR($B141="",$E141="",$F141=""),$L141&lt;&gt;"لا"),0,MAX(0,MIN($F141,EOMONTH(DATE(cfg_FY,4,1),0))-$E141+1))</f>
        <v>0</v>
      </c>
      <c r="AL141" s="133" t="n">
        <f aca="false">IF(OR(OR($B141="",$E141="",$F141=""),$L141&lt;&gt;"لا"),0,MAX(0,MIN($F141,EOMONTH(DATE(cfg_FY,5,1),0))-$E141+1))</f>
        <v>0</v>
      </c>
      <c r="AM141" s="133" t="n">
        <f aca="false">IF(OR(OR($B141="",$E141="",$F141=""),$L141&lt;&gt;"لا"),0,MAX(0,MIN($F141,EOMONTH(DATE(cfg_FY,6,1),0))-$E141+1))</f>
        <v>0</v>
      </c>
      <c r="AN141" s="133" t="n">
        <f aca="false">IF(OR(OR($B141="",$E141="",$F141=""),$L141&lt;&gt;"لا"),0,MAX(0,MIN($F141,EOMONTH(DATE(cfg_FY,7,1),0))-$E141+1))</f>
        <v>0</v>
      </c>
      <c r="AO141" s="133" t="n">
        <f aca="false">IF(OR(OR($B141="",$E141="",$F141=""),$L141&lt;&gt;"لا"),0,MAX(0,MIN($F141,EOMONTH(DATE(cfg_FY,8,1),0))-$E141+1))</f>
        <v>0</v>
      </c>
      <c r="AP141" s="133" t="n">
        <f aca="false">IF(OR(OR($B141="",$E141="",$F141=""),$L141&lt;&gt;"لا"),0,MAX(0,MIN($F141,EOMONTH(DATE(cfg_FY,9,1),0))-$E141+1))</f>
        <v>0</v>
      </c>
      <c r="AQ141" s="133" t="n">
        <f aca="false">IF(OR(OR($B141="",$E141="",$F141=""),$L141&lt;&gt;"لا"),0,MAX(0,MIN($F141,EOMONTH(DATE(cfg_FY,10,1),0))-$E141+1))</f>
        <v>0</v>
      </c>
      <c r="AR141" s="133" t="n">
        <f aca="false">IF(OR(OR($B141="",$E141="",$F141=""),$L141&lt;&gt;"لا"),0,MAX(0,MIN($F141,EOMONTH(DATE(cfg_FY,11,1),0))-$E141+1))</f>
        <v>0</v>
      </c>
      <c r="AS141" s="133" t="n">
        <f aca="false">IF(OR(OR($B141="",$E141="",$F141=""),$L141&lt;&gt;"لا"),0,MAX(0,MIN($F141,EOMONTH(DATE(cfg_FY,12,1),0))-$E141+1))</f>
        <v>0</v>
      </c>
      <c r="AT141" s="133" t="n">
        <f aca="false">IF(OR(OR($B141="",$E141="",$F141=""),$K141&lt;&gt;"نعم",$M141="نعم"),0,MAX(0,MIN($F141,EOMONTH(DATE(cfg_FY,1,1),0))-MAX($E141,DATE(cfg_FY,1,1))+1))</f>
        <v>0</v>
      </c>
      <c r="AU141" s="133" t="n">
        <f aca="false">IF(OR(OR($B141="",$E141="",$F141=""),$K141&lt;&gt;"نعم",$M141="نعم"),0,MAX(0,MIN($F141,EOMONTH(DATE(cfg_FY,2,1),0))-MAX($E141,DATE(cfg_FY,2,1))+1))</f>
        <v>0</v>
      </c>
      <c r="AV141" s="133" t="n">
        <f aca="false">IF(OR(OR($B141="",$E141="",$F141=""),$K141&lt;&gt;"نعم",$M141="نعم"),0,MAX(0,MIN($F141,EOMONTH(DATE(cfg_FY,3,1),0))-MAX($E141,DATE(cfg_FY,3,1))+1))</f>
        <v>0</v>
      </c>
      <c r="AW141" s="133" t="n">
        <f aca="false">IF(OR(OR($B141="",$E141="",$F141=""),$K141&lt;&gt;"نعم",$M141="نعم"),0,MAX(0,MIN($F141,EOMONTH(DATE(cfg_FY,4,1),0))-MAX($E141,DATE(cfg_FY,4,1))+1))</f>
        <v>0</v>
      </c>
      <c r="AX141" s="133" t="n">
        <f aca="false">IF(OR(OR($B141="",$E141="",$F141=""),$K141&lt;&gt;"نعم",$M141="نعم"),0,MAX(0,MIN($F141,EOMONTH(DATE(cfg_FY,5,1),0))-MAX($E141,DATE(cfg_FY,5,1))+1))</f>
        <v>0</v>
      </c>
      <c r="AY141" s="133" t="n">
        <f aca="false">IF(OR(OR($B141="",$E141="",$F141=""),$K141&lt;&gt;"نعم",$M141="نعم"),0,MAX(0,MIN($F141,EOMONTH(DATE(cfg_FY,6,1),0))-MAX($E141,DATE(cfg_FY,6,1))+1))</f>
        <v>0</v>
      </c>
      <c r="AZ141" s="133" t="n">
        <f aca="false">IF(OR(OR($B141="",$E141="",$F141=""),$K141&lt;&gt;"نعم",$M141="نعم"),0,MAX(0,MIN($F141,EOMONTH(DATE(cfg_FY,7,1),0))-MAX($E141,DATE(cfg_FY,7,1))+1))</f>
        <v>0</v>
      </c>
      <c r="BA141" s="133" t="n">
        <f aca="false">IF(OR(OR($B141="",$E141="",$F141=""),$K141&lt;&gt;"نعم",$M141="نعم"),0,MAX(0,MIN($F141,EOMONTH(DATE(cfg_FY,8,1),0))-MAX($E141,DATE(cfg_FY,8,1))+1))</f>
        <v>0</v>
      </c>
      <c r="BB141" s="133" t="n">
        <f aca="false">IF(OR(OR($B141="",$E141="",$F141=""),$K141&lt;&gt;"نعم",$M141="نعم"),0,MAX(0,MIN($F141,EOMONTH(DATE(cfg_FY,9,1),0))-MAX($E141,DATE(cfg_FY,9,1))+1))</f>
        <v>0</v>
      </c>
      <c r="BC141" s="133" t="n">
        <f aca="false">IF(OR(OR($B141="",$E141="",$F141=""),$K141&lt;&gt;"نعم",$M141="نعم"),0,MAX(0,MIN($F141,EOMONTH(DATE(cfg_FY,10,1),0))-MAX($E141,DATE(cfg_FY,10,1))+1))</f>
        <v>0</v>
      </c>
      <c r="BD141" s="133" t="n">
        <f aca="false">IF(OR(OR($B141="",$E141="",$F141=""),$K141&lt;&gt;"نعم",$M141="نعم"),0,MAX(0,MIN($F141,EOMONTH(DATE(cfg_FY,11,1),0))-MAX($E141,DATE(cfg_FY,11,1))+1))</f>
        <v>0</v>
      </c>
      <c r="BE141" s="133" t="n">
        <f aca="false">IF(OR(OR($B141="",$E141="",$F141=""),$K141&lt;&gt;"نعم",$M141="نعم"),0,MAX(0,MIN($F141,EOMONTH(DATE(cfg_FY,12,1),0))-MAX($E141,DATE(cfg_FY,12,1))+1))</f>
        <v>0</v>
      </c>
    </row>
    <row r="142" customFormat="false" ht="15" hidden="false" customHeight="false" outlineLevel="0" collapsed="false">
      <c r="A142" s="106" t="str">
        <f aca="false">IF(B142="","",ROW()-5)</f>
        <v/>
      </c>
      <c r="B142" s="118"/>
      <c r="C142" s="114" t="str">
        <f aca="false">IF(B142="","",IFERROR(INDEX(الموظفون!$C$6:$C$105,MATCH(B142,الموظفون!$B$6:$B$105,0)),"✖ رقم غير موجود"))</f>
        <v/>
      </c>
      <c r="D142" s="118"/>
      <c r="E142" s="119"/>
      <c r="F142" s="119"/>
      <c r="G142" s="65" t="str">
        <f aca="false">IF(OR($B142="",$E142="",$F142=""),"",MAX(0,F142-E142+1))</f>
        <v/>
      </c>
      <c r="H142" s="66" t="str">
        <f aca="false">IF(D142="","",IFERROR(VLOOKUP(D142,cfg_LT,2,FALSE()),1))</f>
        <v/>
      </c>
      <c r="I142" s="135"/>
      <c r="J142" s="66" t="str">
        <f aca="false">IF(D142="","",IF(I142&lt;&gt;"",I142,H142))</f>
        <v/>
      </c>
      <c r="K142" s="114" t="str">
        <f aca="false">IF(D142="","",IFERROR(VLOOKUP($D142,cfg_LT,3,FALSE()),""))</f>
        <v/>
      </c>
      <c r="L142" s="114" t="str">
        <f aca="false">IF(D142="","",IFERROR(VLOOKUP($D142,cfg_LT,4,FALSE()),""))</f>
        <v/>
      </c>
      <c r="M142" s="114" t="str">
        <f aca="false">IF(D142="","",IFERROR(VLOOKUP($D142,cfg_LT,5,FALSE()),""))</f>
        <v/>
      </c>
      <c r="N142" s="111" t="n">
        <f aca="false">IF(OR(OR($B142="",$E142="",$F142=""),M142&lt;&gt;"نعم"),0,G142*J142*IFERROR(INDEX(الموظفون!$R$6:$R$105,MATCH(B142,الموظفون!$B$6:$B$105,0)),0)/cfg_DAYS_M)</f>
        <v>0</v>
      </c>
      <c r="O142" s="106" t="str">
        <f aca="false">IF(OR(OR($B142="",$E142="",$F142=""),M142&lt;&gt;"نعم"),"",IF(YEAR(E142)=cfg_FY,MONTH(E142),""))</f>
        <v/>
      </c>
      <c r="P142" s="114" t="str">
        <f aca="false">IF(B142="","",IF(OR(D142="",E142="",F142=""),"⚠ أكمل النوع والتواريخ",IF(F142&lt;E142,"✖ النهاية قبل البداية",IF(COUNTIFS($B$6:$B$505,B142,$E$6:$E$505,"&lt;="&amp;F142,$F$6:$F$505,"&gt;="&amp;E142)&gt;1,"⚠ تداخل مع سجل آخر",IF(E142&gt;cfg_VAL_DATE,"⏳ قادمة",IF(F142&lt;cfg_VAL_DATE,"✔ منتهية","✈ جارية في تاريخ التقرير"))))))</f>
        <v/>
      </c>
      <c r="Q142" s="118"/>
      <c r="R142" s="65" t="n">
        <f aca="false">IF(OR(OR($B142="",$E142="",$F142=""),L142&lt;&gt;"لا"),0,MAX(0,MIN(F142,cfg_Y_START-1)-E142+1))</f>
        <v>0</v>
      </c>
      <c r="S142" s="65" t="n">
        <f aca="false">IF(OR(OR($B142="",$E142="",$F142=""),L142&lt;&gt;"لا"),0,MAX(0,MIN(F142,cfg_VAL_DATE)-E142+1))</f>
        <v>0</v>
      </c>
      <c r="T142" s="65" t="n">
        <f aca="false">IF(OR(OR($B142="",$E142="",$F142=""),K142&lt;&gt;"نعم"),0,IF(M142="نعم",IF(AND(ISNUMBER(O142),N(O142)&lt;=cfg_VAL_M),G142,0),MAX(0,MIN(F142,cfg_VAL_DATE)-MAX(E142,cfg_Y_START)+1)))</f>
        <v>0</v>
      </c>
      <c r="V142" s="65" t="n">
        <f aca="false">IF(OR($B142="",$E142="",$F142=""),0,MAX(0,MIN($F142,EOMONTH(DATE(cfg_FY,1,1),0))-MAX($E142,DATE(cfg_FY,1,1))+1)*(1-IF($M142="نعم",0,N($J142))))</f>
        <v>0</v>
      </c>
      <c r="W142" s="65" t="n">
        <f aca="false">IF(OR($B142="",$E142="",$F142=""),0,MAX(0,MIN($F142,EOMONTH(DATE(cfg_FY,2,1),0))-MAX($E142,DATE(cfg_FY,2,1))+1)*(1-IF($M142="نعم",0,N($J142))))</f>
        <v>0</v>
      </c>
      <c r="X142" s="65" t="n">
        <f aca="false">IF(OR($B142="",$E142="",$F142=""),0,MAX(0,MIN($F142,EOMONTH(DATE(cfg_FY,3,1),0))-MAX($E142,DATE(cfg_FY,3,1))+1)*(1-IF($M142="نعم",0,N($J142))))</f>
        <v>0</v>
      </c>
      <c r="Y142" s="65" t="n">
        <f aca="false">IF(OR($B142="",$E142="",$F142=""),0,MAX(0,MIN($F142,EOMONTH(DATE(cfg_FY,4,1),0))-MAX($E142,DATE(cfg_FY,4,1))+1)*(1-IF($M142="نعم",0,N($J142))))</f>
        <v>0</v>
      </c>
      <c r="Z142" s="65" t="n">
        <f aca="false">IF(OR($B142="",$E142="",$F142=""),0,MAX(0,MIN($F142,EOMONTH(DATE(cfg_FY,5,1),0))-MAX($E142,DATE(cfg_FY,5,1))+1)*(1-IF($M142="نعم",0,N($J142))))</f>
        <v>0</v>
      </c>
      <c r="AA142" s="65" t="n">
        <f aca="false">IF(OR($B142="",$E142="",$F142=""),0,MAX(0,MIN($F142,EOMONTH(DATE(cfg_FY,6,1),0))-MAX($E142,DATE(cfg_FY,6,1))+1)*(1-IF($M142="نعم",0,N($J142))))</f>
        <v>0</v>
      </c>
      <c r="AB142" s="65" t="n">
        <f aca="false">IF(OR($B142="",$E142="",$F142=""),0,MAX(0,MIN($F142,EOMONTH(DATE(cfg_FY,7,1),0))-MAX($E142,DATE(cfg_FY,7,1))+1)*(1-IF($M142="نعم",0,N($J142))))</f>
        <v>0</v>
      </c>
      <c r="AC142" s="65" t="n">
        <f aca="false">IF(OR($B142="",$E142="",$F142=""),0,MAX(0,MIN($F142,EOMONTH(DATE(cfg_FY,8,1),0))-MAX($E142,DATE(cfg_FY,8,1))+1)*(1-IF($M142="نعم",0,N($J142))))</f>
        <v>0</v>
      </c>
      <c r="AD142" s="65" t="n">
        <f aca="false">IF(OR($B142="",$E142="",$F142=""),0,MAX(0,MIN($F142,EOMONTH(DATE(cfg_FY,9,1),0))-MAX($E142,DATE(cfg_FY,9,1))+1)*(1-IF($M142="نعم",0,N($J142))))</f>
        <v>0</v>
      </c>
      <c r="AE142" s="65" t="n">
        <f aca="false">IF(OR($B142="",$E142="",$F142=""),0,MAX(0,MIN($F142,EOMONTH(DATE(cfg_FY,10,1),0))-MAX($E142,DATE(cfg_FY,10,1))+1)*(1-IF($M142="نعم",0,N($J142))))</f>
        <v>0</v>
      </c>
      <c r="AF142" s="65" t="n">
        <f aca="false">IF(OR($B142="",$E142="",$F142=""),0,MAX(0,MIN($F142,EOMONTH(DATE(cfg_FY,11,1),0))-MAX($E142,DATE(cfg_FY,11,1))+1)*(1-IF($M142="نعم",0,N($J142))))</f>
        <v>0</v>
      </c>
      <c r="AG142" s="65" t="n">
        <f aca="false">IF(OR($B142="",$E142="",$F142=""),0,MAX(0,MIN($F142,EOMONTH(DATE(cfg_FY,12,1),0))-MAX($E142,DATE(cfg_FY,12,1))+1)*(1-IF($M142="نعم",0,N($J142))))</f>
        <v>0</v>
      </c>
      <c r="AH142" s="65" t="n">
        <f aca="false">IF(OR(OR($B142="",$E142="",$F142=""),$L142&lt;&gt;"لا"),0,MAX(0,MIN($F142,EOMONTH(DATE(cfg_FY,1,1),0))-$E142+1))</f>
        <v>0</v>
      </c>
      <c r="AI142" s="65" t="n">
        <f aca="false">IF(OR(OR($B142="",$E142="",$F142=""),$L142&lt;&gt;"لا"),0,MAX(0,MIN($F142,EOMONTH(DATE(cfg_FY,2,1),0))-$E142+1))</f>
        <v>0</v>
      </c>
      <c r="AJ142" s="65" t="n">
        <f aca="false">IF(OR(OR($B142="",$E142="",$F142=""),$L142&lt;&gt;"لا"),0,MAX(0,MIN($F142,EOMONTH(DATE(cfg_FY,3,1),0))-$E142+1))</f>
        <v>0</v>
      </c>
      <c r="AK142" s="65" t="n">
        <f aca="false">IF(OR(OR($B142="",$E142="",$F142=""),$L142&lt;&gt;"لا"),0,MAX(0,MIN($F142,EOMONTH(DATE(cfg_FY,4,1),0))-$E142+1))</f>
        <v>0</v>
      </c>
      <c r="AL142" s="65" t="n">
        <f aca="false">IF(OR(OR($B142="",$E142="",$F142=""),$L142&lt;&gt;"لا"),0,MAX(0,MIN($F142,EOMONTH(DATE(cfg_FY,5,1),0))-$E142+1))</f>
        <v>0</v>
      </c>
      <c r="AM142" s="65" t="n">
        <f aca="false">IF(OR(OR($B142="",$E142="",$F142=""),$L142&lt;&gt;"لا"),0,MAX(0,MIN($F142,EOMONTH(DATE(cfg_FY,6,1),0))-$E142+1))</f>
        <v>0</v>
      </c>
      <c r="AN142" s="65" t="n">
        <f aca="false">IF(OR(OR($B142="",$E142="",$F142=""),$L142&lt;&gt;"لا"),0,MAX(0,MIN($F142,EOMONTH(DATE(cfg_FY,7,1),0))-$E142+1))</f>
        <v>0</v>
      </c>
      <c r="AO142" s="65" t="n">
        <f aca="false">IF(OR(OR($B142="",$E142="",$F142=""),$L142&lt;&gt;"لا"),0,MAX(0,MIN($F142,EOMONTH(DATE(cfg_FY,8,1),0))-$E142+1))</f>
        <v>0</v>
      </c>
      <c r="AP142" s="65" t="n">
        <f aca="false">IF(OR(OR($B142="",$E142="",$F142=""),$L142&lt;&gt;"لا"),0,MAX(0,MIN($F142,EOMONTH(DATE(cfg_FY,9,1),0))-$E142+1))</f>
        <v>0</v>
      </c>
      <c r="AQ142" s="65" t="n">
        <f aca="false">IF(OR(OR($B142="",$E142="",$F142=""),$L142&lt;&gt;"لا"),0,MAX(0,MIN($F142,EOMONTH(DATE(cfg_FY,10,1),0))-$E142+1))</f>
        <v>0</v>
      </c>
      <c r="AR142" s="65" t="n">
        <f aca="false">IF(OR(OR($B142="",$E142="",$F142=""),$L142&lt;&gt;"لا"),0,MAX(0,MIN($F142,EOMONTH(DATE(cfg_FY,11,1),0))-$E142+1))</f>
        <v>0</v>
      </c>
      <c r="AS142" s="65" t="n">
        <f aca="false">IF(OR(OR($B142="",$E142="",$F142=""),$L142&lt;&gt;"لا"),0,MAX(0,MIN($F142,EOMONTH(DATE(cfg_FY,12,1),0))-$E142+1))</f>
        <v>0</v>
      </c>
      <c r="AT142" s="65" t="n">
        <f aca="false">IF(OR(OR($B142="",$E142="",$F142=""),$K142&lt;&gt;"نعم",$M142="نعم"),0,MAX(0,MIN($F142,EOMONTH(DATE(cfg_FY,1,1),0))-MAX($E142,DATE(cfg_FY,1,1))+1))</f>
        <v>0</v>
      </c>
      <c r="AU142" s="65" t="n">
        <f aca="false">IF(OR(OR($B142="",$E142="",$F142=""),$K142&lt;&gt;"نعم",$M142="نعم"),0,MAX(0,MIN($F142,EOMONTH(DATE(cfg_FY,2,1),0))-MAX($E142,DATE(cfg_FY,2,1))+1))</f>
        <v>0</v>
      </c>
      <c r="AV142" s="65" t="n">
        <f aca="false">IF(OR(OR($B142="",$E142="",$F142=""),$K142&lt;&gt;"نعم",$M142="نعم"),0,MAX(0,MIN($F142,EOMONTH(DATE(cfg_FY,3,1),0))-MAX($E142,DATE(cfg_FY,3,1))+1))</f>
        <v>0</v>
      </c>
      <c r="AW142" s="65" t="n">
        <f aca="false">IF(OR(OR($B142="",$E142="",$F142=""),$K142&lt;&gt;"نعم",$M142="نعم"),0,MAX(0,MIN($F142,EOMONTH(DATE(cfg_FY,4,1),0))-MAX($E142,DATE(cfg_FY,4,1))+1))</f>
        <v>0</v>
      </c>
      <c r="AX142" s="65" t="n">
        <f aca="false">IF(OR(OR($B142="",$E142="",$F142=""),$K142&lt;&gt;"نعم",$M142="نعم"),0,MAX(0,MIN($F142,EOMONTH(DATE(cfg_FY,5,1),0))-MAX($E142,DATE(cfg_FY,5,1))+1))</f>
        <v>0</v>
      </c>
      <c r="AY142" s="65" t="n">
        <f aca="false">IF(OR(OR($B142="",$E142="",$F142=""),$K142&lt;&gt;"نعم",$M142="نعم"),0,MAX(0,MIN($F142,EOMONTH(DATE(cfg_FY,6,1),0))-MAX($E142,DATE(cfg_FY,6,1))+1))</f>
        <v>0</v>
      </c>
      <c r="AZ142" s="65" t="n">
        <f aca="false">IF(OR(OR($B142="",$E142="",$F142=""),$K142&lt;&gt;"نعم",$M142="نعم"),0,MAX(0,MIN($F142,EOMONTH(DATE(cfg_FY,7,1),0))-MAX($E142,DATE(cfg_FY,7,1))+1))</f>
        <v>0</v>
      </c>
      <c r="BA142" s="65" t="n">
        <f aca="false">IF(OR(OR($B142="",$E142="",$F142=""),$K142&lt;&gt;"نعم",$M142="نعم"),0,MAX(0,MIN($F142,EOMONTH(DATE(cfg_FY,8,1),0))-MAX($E142,DATE(cfg_FY,8,1))+1))</f>
        <v>0</v>
      </c>
      <c r="BB142" s="65" t="n">
        <f aca="false">IF(OR(OR($B142="",$E142="",$F142=""),$K142&lt;&gt;"نعم",$M142="نعم"),0,MAX(0,MIN($F142,EOMONTH(DATE(cfg_FY,9,1),0))-MAX($E142,DATE(cfg_FY,9,1))+1))</f>
        <v>0</v>
      </c>
      <c r="BC142" s="65" t="n">
        <f aca="false">IF(OR(OR($B142="",$E142="",$F142=""),$K142&lt;&gt;"نعم",$M142="نعم"),0,MAX(0,MIN($F142,EOMONTH(DATE(cfg_FY,10,1),0))-MAX($E142,DATE(cfg_FY,10,1))+1))</f>
        <v>0</v>
      </c>
      <c r="BD142" s="65" t="n">
        <f aca="false">IF(OR(OR($B142="",$E142="",$F142=""),$K142&lt;&gt;"نعم",$M142="نعم"),0,MAX(0,MIN($F142,EOMONTH(DATE(cfg_FY,11,1),0))-MAX($E142,DATE(cfg_FY,11,1))+1))</f>
        <v>0</v>
      </c>
      <c r="BE142" s="65" t="n">
        <f aca="false">IF(OR(OR($B142="",$E142="",$F142=""),$K142&lt;&gt;"نعم",$M142="نعم"),0,MAX(0,MIN($F142,EOMONTH(DATE(cfg_FY,12,1),0))-MAX($E142,DATE(cfg_FY,12,1))+1))</f>
        <v>0</v>
      </c>
    </row>
    <row r="143" customFormat="false" ht="15" hidden="false" customHeight="false" outlineLevel="0" collapsed="false">
      <c r="A143" s="115" t="str">
        <f aca="false">IF(B143="","",ROW()-5)</f>
        <v/>
      </c>
      <c r="B143" s="118"/>
      <c r="C143" s="117" t="str">
        <f aca="false">IF(B143="","",IFERROR(INDEX(الموظفون!$C$6:$C$105,MATCH(B143,الموظفون!$B$6:$B$105,0)),"✖ رقم غير موجود"))</f>
        <v/>
      </c>
      <c r="D143" s="118"/>
      <c r="E143" s="119"/>
      <c r="F143" s="119"/>
      <c r="G143" s="133" t="str">
        <f aca="false">IF(OR($B143="",$E143="",$F143=""),"",MAX(0,F143-E143+1))</f>
        <v/>
      </c>
      <c r="H143" s="134" t="str">
        <f aca="false">IF(D143="","",IFERROR(VLOOKUP(D143,cfg_LT,2,FALSE()),1))</f>
        <v/>
      </c>
      <c r="I143" s="135"/>
      <c r="J143" s="134" t="str">
        <f aca="false">IF(D143="","",IF(I143&lt;&gt;"",I143,H143))</f>
        <v/>
      </c>
      <c r="K143" s="117" t="str">
        <f aca="false">IF(D143="","",IFERROR(VLOOKUP($D143,cfg_LT,3,FALSE()),""))</f>
        <v/>
      </c>
      <c r="L143" s="117" t="str">
        <f aca="false">IF(D143="","",IFERROR(VLOOKUP($D143,cfg_LT,4,FALSE()),""))</f>
        <v/>
      </c>
      <c r="M143" s="117" t="str">
        <f aca="false">IF(D143="","",IFERROR(VLOOKUP($D143,cfg_LT,5,FALSE()),""))</f>
        <v/>
      </c>
      <c r="N143" s="116" t="n">
        <f aca="false">IF(OR(OR($B143="",$E143="",$F143=""),M143&lt;&gt;"نعم"),0,G143*J143*IFERROR(INDEX(الموظفون!$R$6:$R$105,MATCH(B143,الموظفون!$B$6:$B$105,0)),0)/cfg_DAYS_M)</f>
        <v>0</v>
      </c>
      <c r="O143" s="115" t="str">
        <f aca="false">IF(OR(OR($B143="",$E143="",$F143=""),M143&lt;&gt;"نعم"),"",IF(YEAR(E143)=cfg_FY,MONTH(E143),""))</f>
        <v/>
      </c>
      <c r="P143" s="117" t="str">
        <f aca="false">IF(B143="","",IF(OR(D143="",E143="",F143=""),"⚠ أكمل النوع والتواريخ",IF(F143&lt;E143,"✖ النهاية قبل البداية",IF(COUNTIFS($B$6:$B$505,B143,$E$6:$E$505,"&lt;="&amp;F143,$F$6:$F$505,"&gt;="&amp;E143)&gt;1,"⚠ تداخل مع سجل آخر",IF(E143&gt;cfg_VAL_DATE,"⏳ قادمة",IF(F143&lt;cfg_VAL_DATE,"✔ منتهية","✈ جارية في تاريخ التقرير"))))))</f>
        <v/>
      </c>
      <c r="Q143" s="118"/>
      <c r="R143" s="133" t="n">
        <f aca="false">IF(OR(OR($B143="",$E143="",$F143=""),L143&lt;&gt;"لا"),0,MAX(0,MIN(F143,cfg_Y_START-1)-E143+1))</f>
        <v>0</v>
      </c>
      <c r="S143" s="133" t="n">
        <f aca="false">IF(OR(OR($B143="",$E143="",$F143=""),L143&lt;&gt;"لا"),0,MAX(0,MIN(F143,cfg_VAL_DATE)-E143+1))</f>
        <v>0</v>
      </c>
      <c r="T143" s="133" t="n">
        <f aca="false">IF(OR(OR($B143="",$E143="",$F143=""),K143&lt;&gt;"نعم"),0,IF(M143="نعم",IF(AND(ISNUMBER(O143),N(O143)&lt;=cfg_VAL_M),G143,0),MAX(0,MIN(F143,cfg_VAL_DATE)-MAX(E143,cfg_Y_START)+1)))</f>
        <v>0</v>
      </c>
      <c r="V143" s="133" t="n">
        <f aca="false">IF(OR($B143="",$E143="",$F143=""),0,MAX(0,MIN($F143,EOMONTH(DATE(cfg_FY,1,1),0))-MAX($E143,DATE(cfg_FY,1,1))+1)*(1-IF($M143="نعم",0,N($J143))))</f>
        <v>0</v>
      </c>
      <c r="W143" s="133" t="n">
        <f aca="false">IF(OR($B143="",$E143="",$F143=""),0,MAX(0,MIN($F143,EOMONTH(DATE(cfg_FY,2,1),0))-MAX($E143,DATE(cfg_FY,2,1))+1)*(1-IF($M143="نعم",0,N($J143))))</f>
        <v>0</v>
      </c>
      <c r="X143" s="133" t="n">
        <f aca="false">IF(OR($B143="",$E143="",$F143=""),0,MAX(0,MIN($F143,EOMONTH(DATE(cfg_FY,3,1),0))-MAX($E143,DATE(cfg_FY,3,1))+1)*(1-IF($M143="نعم",0,N($J143))))</f>
        <v>0</v>
      </c>
      <c r="Y143" s="133" t="n">
        <f aca="false">IF(OR($B143="",$E143="",$F143=""),0,MAX(0,MIN($F143,EOMONTH(DATE(cfg_FY,4,1),0))-MAX($E143,DATE(cfg_FY,4,1))+1)*(1-IF($M143="نعم",0,N($J143))))</f>
        <v>0</v>
      </c>
      <c r="Z143" s="133" t="n">
        <f aca="false">IF(OR($B143="",$E143="",$F143=""),0,MAX(0,MIN($F143,EOMONTH(DATE(cfg_FY,5,1),0))-MAX($E143,DATE(cfg_FY,5,1))+1)*(1-IF($M143="نعم",0,N($J143))))</f>
        <v>0</v>
      </c>
      <c r="AA143" s="133" t="n">
        <f aca="false">IF(OR($B143="",$E143="",$F143=""),0,MAX(0,MIN($F143,EOMONTH(DATE(cfg_FY,6,1),0))-MAX($E143,DATE(cfg_FY,6,1))+1)*(1-IF($M143="نعم",0,N($J143))))</f>
        <v>0</v>
      </c>
      <c r="AB143" s="133" t="n">
        <f aca="false">IF(OR($B143="",$E143="",$F143=""),0,MAX(0,MIN($F143,EOMONTH(DATE(cfg_FY,7,1),0))-MAX($E143,DATE(cfg_FY,7,1))+1)*(1-IF($M143="نعم",0,N($J143))))</f>
        <v>0</v>
      </c>
      <c r="AC143" s="133" t="n">
        <f aca="false">IF(OR($B143="",$E143="",$F143=""),0,MAX(0,MIN($F143,EOMONTH(DATE(cfg_FY,8,1),0))-MAX($E143,DATE(cfg_FY,8,1))+1)*(1-IF($M143="نعم",0,N($J143))))</f>
        <v>0</v>
      </c>
      <c r="AD143" s="133" t="n">
        <f aca="false">IF(OR($B143="",$E143="",$F143=""),0,MAX(0,MIN($F143,EOMONTH(DATE(cfg_FY,9,1),0))-MAX($E143,DATE(cfg_FY,9,1))+1)*(1-IF($M143="نعم",0,N($J143))))</f>
        <v>0</v>
      </c>
      <c r="AE143" s="133" t="n">
        <f aca="false">IF(OR($B143="",$E143="",$F143=""),0,MAX(0,MIN($F143,EOMONTH(DATE(cfg_FY,10,1),0))-MAX($E143,DATE(cfg_FY,10,1))+1)*(1-IF($M143="نعم",0,N($J143))))</f>
        <v>0</v>
      </c>
      <c r="AF143" s="133" t="n">
        <f aca="false">IF(OR($B143="",$E143="",$F143=""),0,MAX(0,MIN($F143,EOMONTH(DATE(cfg_FY,11,1),0))-MAX($E143,DATE(cfg_FY,11,1))+1)*(1-IF($M143="نعم",0,N($J143))))</f>
        <v>0</v>
      </c>
      <c r="AG143" s="133" t="n">
        <f aca="false">IF(OR($B143="",$E143="",$F143=""),0,MAX(0,MIN($F143,EOMONTH(DATE(cfg_FY,12,1),0))-MAX($E143,DATE(cfg_FY,12,1))+1)*(1-IF($M143="نعم",0,N($J143))))</f>
        <v>0</v>
      </c>
      <c r="AH143" s="133" t="n">
        <f aca="false">IF(OR(OR($B143="",$E143="",$F143=""),$L143&lt;&gt;"لا"),0,MAX(0,MIN($F143,EOMONTH(DATE(cfg_FY,1,1),0))-$E143+1))</f>
        <v>0</v>
      </c>
      <c r="AI143" s="133" t="n">
        <f aca="false">IF(OR(OR($B143="",$E143="",$F143=""),$L143&lt;&gt;"لا"),0,MAX(0,MIN($F143,EOMONTH(DATE(cfg_FY,2,1),0))-$E143+1))</f>
        <v>0</v>
      </c>
      <c r="AJ143" s="133" t="n">
        <f aca="false">IF(OR(OR($B143="",$E143="",$F143=""),$L143&lt;&gt;"لا"),0,MAX(0,MIN($F143,EOMONTH(DATE(cfg_FY,3,1),0))-$E143+1))</f>
        <v>0</v>
      </c>
      <c r="AK143" s="133" t="n">
        <f aca="false">IF(OR(OR($B143="",$E143="",$F143=""),$L143&lt;&gt;"لا"),0,MAX(0,MIN($F143,EOMONTH(DATE(cfg_FY,4,1),0))-$E143+1))</f>
        <v>0</v>
      </c>
      <c r="AL143" s="133" t="n">
        <f aca="false">IF(OR(OR($B143="",$E143="",$F143=""),$L143&lt;&gt;"لا"),0,MAX(0,MIN($F143,EOMONTH(DATE(cfg_FY,5,1),0))-$E143+1))</f>
        <v>0</v>
      </c>
      <c r="AM143" s="133" t="n">
        <f aca="false">IF(OR(OR($B143="",$E143="",$F143=""),$L143&lt;&gt;"لا"),0,MAX(0,MIN($F143,EOMONTH(DATE(cfg_FY,6,1),0))-$E143+1))</f>
        <v>0</v>
      </c>
      <c r="AN143" s="133" t="n">
        <f aca="false">IF(OR(OR($B143="",$E143="",$F143=""),$L143&lt;&gt;"لا"),0,MAX(0,MIN($F143,EOMONTH(DATE(cfg_FY,7,1),0))-$E143+1))</f>
        <v>0</v>
      </c>
      <c r="AO143" s="133" t="n">
        <f aca="false">IF(OR(OR($B143="",$E143="",$F143=""),$L143&lt;&gt;"لا"),0,MAX(0,MIN($F143,EOMONTH(DATE(cfg_FY,8,1),0))-$E143+1))</f>
        <v>0</v>
      </c>
      <c r="AP143" s="133" t="n">
        <f aca="false">IF(OR(OR($B143="",$E143="",$F143=""),$L143&lt;&gt;"لا"),0,MAX(0,MIN($F143,EOMONTH(DATE(cfg_FY,9,1),0))-$E143+1))</f>
        <v>0</v>
      </c>
      <c r="AQ143" s="133" t="n">
        <f aca="false">IF(OR(OR($B143="",$E143="",$F143=""),$L143&lt;&gt;"لا"),0,MAX(0,MIN($F143,EOMONTH(DATE(cfg_FY,10,1),0))-$E143+1))</f>
        <v>0</v>
      </c>
      <c r="AR143" s="133" t="n">
        <f aca="false">IF(OR(OR($B143="",$E143="",$F143=""),$L143&lt;&gt;"لا"),0,MAX(0,MIN($F143,EOMONTH(DATE(cfg_FY,11,1),0))-$E143+1))</f>
        <v>0</v>
      </c>
      <c r="AS143" s="133" t="n">
        <f aca="false">IF(OR(OR($B143="",$E143="",$F143=""),$L143&lt;&gt;"لا"),0,MAX(0,MIN($F143,EOMONTH(DATE(cfg_FY,12,1),0))-$E143+1))</f>
        <v>0</v>
      </c>
      <c r="AT143" s="133" t="n">
        <f aca="false">IF(OR(OR($B143="",$E143="",$F143=""),$K143&lt;&gt;"نعم",$M143="نعم"),0,MAX(0,MIN($F143,EOMONTH(DATE(cfg_FY,1,1),0))-MAX($E143,DATE(cfg_FY,1,1))+1))</f>
        <v>0</v>
      </c>
      <c r="AU143" s="133" t="n">
        <f aca="false">IF(OR(OR($B143="",$E143="",$F143=""),$K143&lt;&gt;"نعم",$M143="نعم"),0,MAX(0,MIN($F143,EOMONTH(DATE(cfg_FY,2,1),0))-MAX($E143,DATE(cfg_FY,2,1))+1))</f>
        <v>0</v>
      </c>
      <c r="AV143" s="133" t="n">
        <f aca="false">IF(OR(OR($B143="",$E143="",$F143=""),$K143&lt;&gt;"نعم",$M143="نعم"),0,MAX(0,MIN($F143,EOMONTH(DATE(cfg_FY,3,1),0))-MAX($E143,DATE(cfg_FY,3,1))+1))</f>
        <v>0</v>
      </c>
      <c r="AW143" s="133" t="n">
        <f aca="false">IF(OR(OR($B143="",$E143="",$F143=""),$K143&lt;&gt;"نعم",$M143="نعم"),0,MAX(0,MIN($F143,EOMONTH(DATE(cfg_FY,4,1),0))-MAX($E143,DATE(cfg_FY,4,1))+1))</f>
        <v>0</v>
      </c>
      <c r="AX143" s="133" t="n">
        <f aca="false">IF(OR(OR($B143="",$E143="",$F143=""),$K143&lt;&gt;"نعم",$M143="نعم"),0,MAX(0,MIN($F143,EOMONTH(DATE(cfg_FY,5,1),0))-MAX($E143,DATE(cfg_FY,5,1))+1))</f>
        <v>0</v>
      </c>
      <c r="AY143" s="133" t="n">
        <f aca="false">IF(OR(OR($B143="",$E143="",$F143=""),$K143&lt;&gt;"نعم",$M143="نعم"),0,MAX(0,MIN($F143,EOMONTH(DATE(cfg_FY,6,1),0))-MAX($E143,DATE(cfg_FY,6,1))+1))</f>
        <v>0</v>
      </c>
      <c r="AZ143" s="133" t="n">
        <f aca="false">IF(OR(OR($B143="",$E143="",$F143=""),$K143&lt;&gt;"نعم",$M143="نعم"),0,MAX(0,MIN($F143,EOMONTH(DATE(cfg_FY,7,1),0))-MAX($E143,DATE(cfg_FY,7,1))+1))</f>
        <v>0</v>
      </c>
      <c r="BA143" s="133" t="n">
        <f aca="false">IF(OR(OR($B143="",$E143="",$F143=""),$K143&lt;&gt;"نعم",$M143="نعم"),0,MAX(0,MIN($F143,EOMONTH(DATE(cfg_FY,8,1),0))-MAX($E143,DATE(cfg_FY,8,1))+1))</f>
        <v>0</v>
      </c>
      <c r="BB143" s="133" t="n">
        <f aca="false">IF(OR(OR($B143="",$E143="",$F143=""),$K143&lt;&gt;"نعم",$M143="نعم"),0,MAX(0,MIN($F143,EOMONTH(DATE(cfg_FY,9,1),0))-MAX($E143,DATE(cfg_FY,9,1))+1))</f>
        <v>0</v>
      </c>
      <c r="BC143" s="133" t="n">
        <f aca="false">IF(OR(OR($B143="",$E143="",$F143=""),$K143&lt;&gt;"نعم",$M143="نعم"),0,MAX(0,MIN($F143,EOMONTH(DATE(cfg_FY,10,1),0))-MAX($E143,DATE(cfg_FY,10,1))+1))</f>
        <v>0</v>
      </c>
      <c r="BD143" s="133" t="n">
        <f aca="false">IF(OR(OR($B143="",$E143="",$F143=""),$K143&lt;&gt;"نعم",$M143="نعم"),0,MAX(0,MIN($F143,EOMONTH(DATE(cfg_FY,11,1),0))-MAX($E143,DATE(cfg_FY,11,1))+1))</f>
        <v>0</v>
      </c>
      <c r="BE143" s="133" t="n">
        <f aca="false">IF(OR(OR($B143="",$E143="",$F143=""),$K143&lt;&gt;"نعم",$M143="نعم"),0,MAX(0,MIN($F143,EOMONTH(DATE(cfg_FY,12,1),0))-MAX($E143,DATE(cfg_FY,12,1))+1))</f>
        <v>0</v>
      </c>
    </row>
    <row r="144" customFormat="false" ht="15" hidden="false" customHeight="false" outlineLevel="0" collapsed="false">
      <c r="A144" s="106" t="str">
        <f aca="false">IF(B144="","",ROW()-5)</f>
        <v/>
      </c>
      <c r="B144" s="118"/>
      <c r="C144" s="114" t="str">
        <f aca="false">IF(B144="","",IFERROR(INDEX(الموظفون!$C$6:$C$105,MATCH(B144,الموظفون!$B$6:$B$105,0)),"✖ رقم غير موجود"))</f>
        <v/>
      </c>
      <c r="D144" s="118"/>
      <c r="E144" s="119"/>
      <c r="F144" s="119"/>
      <c r="G144" s="65" t="str">
        <f aca="false">IF(OR($B144="",$E144="",$F144=""),"",MAX(0,F144-E144+1))</f>
        <v/>
      </c>
      <c r="H144" s="66" t="str">
        <f aca="false">IF(D144="","",IFERROR(VLOOKUP(D144,cfg_LT,2,FALSE()),1))</f>
        <v/>
      </c>
      <c r="I144" s="135"/>
      <c r="J144" s="66" t="str">
        <f aca="false">IF(D144="","",IF(I144&lt;&gt;"",I144,H144))</f>
        <v/>
      </c>
      <c r="K144" s="114" t="str">
        <f aca="false">IF(D144="","",IFERROR(VLOOKUP($D144,cfg_LT,3,FALSE()),""))</f>
        <v/>
      </c>
      <c r="L144" s="114" t="str">
        <f aca="false">IF(D144="","",IFERROR(VLOOKUP($D144,cfg_LT,4,FALSE()),""))</f>
        <v/>
      </c>
      <c r="M144" s="114" t="str">
        <f aca="false">IF(D144="","",IFERROR(VLOOKUP($D144,cfg_LT,5,FALSE()),""))</f>
        <v/>
      </c>
      <c r="N144" s="111" t="n">
        <f aca="false">IF(OR(OR($B144="",$E144="",$F144=""),M144&lt;&gt;"نعم"),0,G144*J144*IFERROR(INDEX(الموظفون!$R$6:$R$105,MATCH(B144,الموظفون!$B$6:$B$105,0)),0)/cfg_DAYS_M)</f>
        <v>0</v>
      </c>
      <c r="O144" s="106" t="str">
        <f aca="false">IF(OR(OR($B144="",$E144="",$F144=""),M144&lt;&gt;"نعم"),"",IF(YEAR(E144)=cfg_FY,MONTH(E144),""))</f>
        <v/>
      </c>
      <c r="P144" s="114" t="str">
        <f aca="false">IF(B144="","",IF(OR(D144="",E144="",F144=""),"⚠ أكمل النوع والتواريخ",IF(F144&lt;E144,"✖ النهاية قبل البداية",IF(COUNTIFS($B$6:$B$505,B144,$E$6:$E$505,"&lt;="&amp;F144,$F$6:$F$505,"&gt;="&amp;E144)&gt;1,"⚠ تداخل مع سجل آخر",IF(E144&gt;cfg_VAL_DATE,"⏳ قادمة",IF(F144&lt;cfg_VAL_DATE,"✔ منتهية","✈ جارية في تاريخ التقرير"))))))</f>
        <v/>
      </c>
      <c r="Q144" s="118"/>
      <c r="R144" s="65" t="n">
        <f aca="false">IF(OR(OR($B144="",$E144="",$F144=""),L144&lt;&gt;"لا"),0,MAX(0,MIN(F144,cfg_Y_START-1)-E144+1))</f>
        <v>0</v>
      </c>
      <c r="S144" s="65" t="n">
        <f aca="false">IF(OR(OR($B144="",$E144="",$F144=""),L144&lt;&gt;"لا"),0,MAX(0,MIN(F144,cfg_VAL_DATE)-E144+1))</f>
        <v>0</v>
      </c>
      <c r="T144" s="65" t="n">
        <f aca="false">IF(OR(OR($B144="",$E144="",$F144=""),K144&lt;&gt;"نعم"),0,IF(M144="نعم",IF(AND(ISNUMBER(O144),N(O144)&lt;=cfg_VAL_M),G144,0),MAX(0,MIN(F144,cfg_VAL_DATE)-MAX(E144,cfg_Y_START)+1)))</f>
        <v>0</v>
      </c>
      <c r="V144" s="65" t="n">
        <f aca="false">IF(OR($B144="",$E144="",$F144=""),0,MAX(0,MIN($F144,EOMONTH(DATE(cfg_FY,1,1),0))-MAX($E144,DATE(cfg_FY,1,1))+1)*(1-IF($M144="نعم",0,N($J144))))</f>
        <v>0</v>
      </c>
      <c r="W144" s="65" t="n">
        <f aca="false">IF(OR($B144="",$E144="",$F144=""),0,MAX(0,MIN($F144,EOMONTH(DATE(cfg_FY,2,1),0))-MAX($E144,DATE(cfg_FY,2,1))+1)*(1-IF($M144="نعم",0,N($J144))))</f>
        <v>0</v>
      </c>
      <c r="X144" s="65" t="n">
        <f aca="false">IF(OR($B144="",$E144="",$F144=""),0,MAX(0,MIN($F144,EOMONTH(DATE(cfg_FY,3,1),0))-MAX($E144,DATE(cfg_FY,3,1))+1)*(1-IF($M144="نعم",0,N($J144))))</f>
        <v>0</v>
      </c>
      <c r="Y144" s="65" t="n">
        <f aca="false">IF(OR($B144="",$E144="",$F144=""),0,MAX(0,MIN($F144,EOMONTH(DATE(cfg_FY,4,1),0))-MAX($E144,DATE(cfg_FY,4,1))+1)*(1-IF($M144="نعم",0,N($J144))))</f>
        <v>0</v>
      </c>
      <c r="Z144" s="65" t="n">
        <f aca="false">IF(OR($B144="",$E144="",$F144=""),0,MAX(0,MIN($F144,EOMONTH(DATE(cfg_FY,5,1),0))-MAX($E144,DATE(cfg_FY,5,1))+1)*(1-IF($M144="نعم",0,N($J144))))</f>
        <v>0</v>
      </c>
      <c r="AA144" s="65" t="n">
        <f aca="false">IF(OR($B144="",$E144="",$F144=""),0,MAX(0,MIN($F144,EOMONTH(DATE(cfg_FY,6,1),0))-MAX($E144,DATE(cfg_FY,6,1))+1)*(1-IF($M144="نعم",0,N($J144))))</f>
        <v>0</v>
      </c>
      <c r="AB144" s="65" t="n">
        <f aca="false">IF(OR($B144="",$E144="",$F144=""),0,MAX(0,MIN($F144,EOMONTH(DATE(cfg_FY,7,1),0))-MAX($E144,DATE(cfg_FY,7,1))+1)*(1-IF($M144="نعم",0,N($J144))))</f>
        <v>0</v>
      </c>
      <c r="AC144" s="65" t="n">
        <f aca="false">IF(OR($B144="",$E144="",$F144=""),0,MAX(0,MIN($F144,EOMONTH(DATE(cfg_FY,8,1),0))-MAX($E144,DATE(cfg_FY,8,1))+1)*(1-IF($M144="نعم",0,N($J144))))</f>
        <v>0</v>
      </c>
      <c r="AD144" s="65" t="n">
        <f aca="false">IF(OR($B144="",$E144="",$F144=""),0,MAX(0,MIN($F144,EOMONTH(DATE(cfg_FY,9,1),0))-MAX($E144,DATE(cfg_FY,9,1))+1)*(1-IF($M144="نعم",0,N($J144))))</f>
        <v>0</v>
      </c>
      <c r="AE144" s="65" t="n">
        <f aca="false">IF(OR($B144="",$E144="",$F144=""),0,MAX(0,MIN($F144,EOMONTH(DATE(cfg_FY,10,1),0))-MAX($E144,DATE(cfg_FY,10,1))+1)*(1-IF($M144="نعم",0,N($J144))))</f>
        <v>0</v>
      </c>
      <c r="AF144" s="65" t="n">
        <f aca="false">IF(OR($B144="",$E144="",$F144=""),0,MAX(0,MIN($F144,EOMONTH(DATE(cfg_FY,11,1),0))-MAX($E144,DATE(cfg_FY,11,1))+1)*(1-IF($M144="نعم",0,N($J144))))</f>
        <v>0</v>
      </c>
      <c r="AG144" s="65" t="n">
        <f aca="false">IF(OR($B144="",$E144="",$F144=""),0,MAX(0,MIN($F144,EOMONTH(DATE(cfg_FY,12,1),0))-MAX($E144,DATE(cfg_FY,12,1))+1)*(1-IF($M144="نعم",0,N($J144))))</f>
        <v>0</v>
      </c>
      <c r="AH144" s="65" t="n">
        <f aca="false">IF(OR(OR($B144="",$E144="",$F144=""),$L144&lt;&gt;"لا"),0,MAX(0,MIN($F144,EOMONTH(DATE(cfg_FY,1,1),0))-$E144+1))</f>
        <v>0</v>
      </c>
      <c r="AI144" s="65" t="n">
        <f aca="false">IF(OR(OR($B144="",$E144="",$F144=""),$L144&lt;&gt;"لا"),0,MAX(0,MIN($F144,EOMONTH(DATE(cfg_FY,2,1),0))-$E144+1))</f>
        <v>0</v>
      </c>
      <c r="AJ144" s="65" t="n">
        <f aca="false">IF(OR(OR($B144="",$E144="",$F144=""),$L144&lt;&gt;"لا"),0,MAX(0,MIN($F144,EOMONTH(DATE(cfg_FY,3,1),0))-$E144+1))</f>
        <v>0</v>
      </c>
      <c r="AK144" s="65" t="n">
        <f aca="false">IF(OR(OR($B144="",$E144="",$F144=""),$L144&lt;&gt;"لا"),0,MAX(0,MIN($F144,EOMONTH(DATE(cfg_FY,4,1),0))-$E144+1))</f>
        <v>0</v>
      </c>
      <c r="AL144" s="65" t="n">
        <f aca="false">IF(OR(OR($B144="",$E144="",$F144=""),$L144&lt;&gt;"لا"),0,MAX(0,MIN($F144,EOMONTH(DATE(cfg_FY,5,1),0))-$E144+1))</f>
        <v>0</v>
      </c>
      <c r="AM144" s="65" t="n">
        <f aca="false">IF(OR(OR($B144="",$E144="",$F144=""),$L144&lt;&gt;"لا"),0,MAX(0,MIN($F144,EOMONTH(DATE(cfg_FY,6,1),0))-$E144+1))</f>
        <v>0</v>
      </c>
      <c r="AN144" s="65" t="n">
        <f aca="false">IF(OR(OR($B144="",$E144="",$F144=""),$L144&lt;&gt;"لا"),0,MAX(0,MIN($F144,EOMONTH(DATE(cfg_FY,7,1),0))-$E144+1))</f>
        <v>0</v>
      </c>
      <c r="AO144" s="65" t="n">
        <f aca="false">IF(OR(OR($B144="",$E144="",$F144=""),$L144&lt;&gt;"لا"),0,MAX(0,MIN($F144,EOMONTH(DATE(cfg_FY,8,1),0))-$E144+1))</f>
        <v>0</v>
      </c>
      <c r="AP144" s="65" t="n">
        <f aca="false">IF(OR(OR($B144="",$E144="",$F144=""),$L144&lt;&gt;"لا"),0,MAX(0,MIN($F144,EOMONTH(DATE(cfg_FY,9,1),0))-$E144+1))</f>
        <v>0</v>
      </c>
      <c r="AQ144" s="65" t="n">
        <f aca="false">IF(OR(OR($B144="",$E144="",$F144=""),$L144&lt;&gt;"لا"),0,MAX(0,MIN($F144,EOMONTH(DATE(cfg_FY,10,1),0))-$E144+1))</f>
        <v>0</v>
      </c>
      <c r="AR144" s="65" t="n">
        <f aca="false">IF(OR(OR($B144="",$E144="",$F144=""),$L144&lt;&gt;"لا"),0,MAX(0,MIN($F144,EOMONTH(DATE(cfg_FY,11,1),0))-$E144+1))</f>
        <v>0</v>
      </c>
      <c r="AS144" s="65" t="n">
        <f aca="false">IF(OR(OR($B144="",$E144="",$F144=""),$L144&lt;&gt;"لا"),0,MAX(0,MIN($F144,EOMONTH(DATE(cfg_FY,12,1),0))-$E144+1))</f>
        <v>0</v>
      </c>
      <c r="AT144" s="65" t="n">
        <f aca="false">IF(OR(OR($B144="",$E144="",$F144=""),$K144&lt;&gt;"نعم",$M144="نعم"),0,MAX(0,MIN($F144,EOMONTH(DATE(cfg_FY,1,1),0))-MAX($E144,DATE(cfg_FY,1,1))+1))</f>
        <v>0</v>
      </c>
      <c r="AU144" s="65" t="n">
        <f aca="false">IF(OR(OR($B144="",$E144="",$F144=""),$K144&lt;&gt;"نعم",$M144="نعم"),0,MAX(0,MIN($F144,EOMONTH(DATE(cfg_FY,2,1),0))-MAX($E144,DATE(cfg_FY,2,1))+1))</f>
        <v>0</v>
      </c>
      <c r="AV144" s="65" t="n">
        <f aca="false">IF(OR(OR($B144="",$E144="",$F144=""),$K144&lt;&gt;"نعم",$M144="نعم"),0,MAX(0,MIN($F144,EOMONTH(DATE(cfg_FY,3,1),0))-MAX($E144,DATE(cfg_FY,3,1))+1))</f>
        <v>0</v>
      </c>
      <c r="AW144" s="65" t="n">
        <f aca="false">IF(OR(OR($B144="",$E144="",$F144=""),$K144&lt;&gt;"نعم",$M144="نعم"),0,MAX(0,MIN($F144,EOMONTH(DATE(cfg_FY,4,1),0))-MAX($E144,DATE(cfg_FY,4,1))+1))</f>
        <v>0</v>
      </c>
      <c r="AX144" s="65" t="n">
        <f aca="false">IF(OR(OR($B144="",$E144="",$F144=""),$K144&lt;&gt;"نعم",$M144="نعم"),0,MAX(0,MIN($F144,EOMONTH(DATE(cfg_FY,5,1),0))-MAX($E144,DATE(cfg_FY,5,1))+1))</f>
        <v>0</v>
      </c>
      <c r="AY144" s="65" t="n">
        <f aca="false">IF(OR(OR($B144="",$E144="",$F144=""),$K144&lt;&gt;"نعم",$M144="نعم"),0,MAX(0,MIN($F144,EOMONTH(DATE(cfg_FY,6,1),0))-MAX($E144,DATE(cfg_FY,6,1))+1))</f>
        <v>0</v>
      </c>
      <c r="AZ144" s="65" t="n">
        <f aca="false">IF(OR(OR($B144="",$E144="",$F144=""),$K144&lt;&gt;"نعم",$M144="نعم"),0,MAX(0,MIN($F144,EOMONTH(DATE(cfg_FY,7,1),0))-MAX($E144,DATE(cfg_FY,7,1))+1))</f>
        <v>0</v>
      </c>
      <c r="BA144" s="65" t="n">
        <f aca="false">IF(OR(OR($B144="",$E144="",$F144=""),$K144&lt;&gt;"نعم",$M144="نعم"),0,MAX(0,MIN($F144,EOMONTH(DATE(cfg_FY,8,1),0))-MAX($E144,DATE(cfg_FY,8,1))+1))</f>
        <v>0</v>
      </c>
      <c r="BB144" s="65" t="n">
        <f aca="false">IF(OR(OR($B144="",$E144="",$F144=""),$K144&lt;&gt;"نعم",$M144="نعم"),0,MAX(0,MIN($F144,EOMONTH(DATE(cfg_FY,9,1),0))-MAX($E144,DATE(cfg_FY,9,1))+1))</f>
        <v>0</v>
      </c>
      <c r="BC144" s="65" t="n">
        <f aca="false">IF(OR(OR($B144="",$E144="",$F144=""),$K144&lt;&gt;"نعم",$M144="نعم"),0,MAX(0,MIN($F144,EOMONTH(DATE(cfg_FY,10,1),0))-MAX($E144,DATE(cfg_FY,10,1))+1))</f>
        <v>0</v>
      </c>
      <c r="BD144" s="65" t="n">
        <f aca="false">IF(OR(OR($B144="",$E144="",$F144=""),$K144&lt;&gt;"نعم",$M144="نعم"),0,MAX(0,MIN($F144,EOMONTH(DATE(cfg_FY,11,1),0))-MAX($E144,DATE(cfg_FY,11,1))+1))</f>
        <v>0</v>
      </c>
      <c r="BE144" s="65" t="n">
        <f aca="false">IF(OR(OR($B144="",$E144="",$F144=""),$K144&lt;&gt;"نعم",$M144="نعم"),0,MAX(0,MIN($F144,EOMONTH(DATE(cfg_FY,12,1),0))-MAX($E144,DATE(cfg_FY,12,1))+1))</f>
        <v>0</v>
      </c>
    </row>
    <row r="145" customFormat="false" ht="15" hidden="false" customHeight="false" outlineLevel="0" collapsed="false">
      <c r="A145" s="115" t="str">
        <f aca="false">IF(B145="","",ROW()-5)</f>
        <v/>
      </c>
      <c r="B145" s="118"/>
      <c r="C145" s="117" t="str">
        <f aca="false">IF(B145="","",IFERROR(INDEX(الموظفون!$C$6:$C$105,MATCH(B145,الموظفون!$B$6:$B$105,0)),"✖ رقم غير موجود"))</f>
        <v/>
      </c>
      <c r="D145" s="118"/>
      <c r="E145" s="119"/>
      <c r="F145" s="119"/>
      <c r="G145" s="133" t="str">
        <f aca="false">IF(OR($B145="",$E145="",$F145=""),"",MAX(0,F145-E145+1))</f>
        <v/>
      </c>
      <c r="H145" s="134" t="str">
        <f aca="false">IF(D145="","",IFERROR(VLOOKUP(D145,cfg_LT,2,FALSE()),1))</f>
        <v/>
      </c>
      <c r="I145" s="135"/>
      <c r="J145" s="134" t="str">
        <f aca="false">IF(D145="","",IF(I145&lt;&gt;"",I145,H145))</f>
        <v/>
      </c>
      <c r="K145" s="117" t="str">
        <f aca="false">IF(D145="","",IFERROR(VLOOKUP($D145,cfg_LT,3,FALSE()),""))</f>
        <v/>
      </c>
      <c r="L145" s="117" t="str">
        <f aca="false">IF(D145="","",IFERROR(VLOOKUP($D145,cfg_LT,4,FALSE()),""))</f>
        <v/>
      </c>
      <c r="M145" s="117" t="str">
        <f aca="false">IF(D145="","",IFERROR(VLOOKUP($D145,cfg_LT,5,FALSE()),""))</f>
        <v/>
      </c>
      <c r="N145" s="116" t="n">
        <f aca="false">IF(OR(OR($B145="",$E145="",$F145=""),M145&lt;&gt;"نعم"),0,G145*J145*IFERROR(INDEX(الموظفون!$R$6:$R$105,MATCH(B145,الموظفون!$B$6:$B$105,0)),0)/cfg_DAYS_M)</f>
        <v>0</v>
      </c>
      <c r="O145" s="115" t="str">
        <f aca="false">IF(OR(OR($B145="",$E145="",$F145=""),M145&lt;&gt;"نعم"),"",IF(YEAR(E145)=cfg_FY,MONTH(E145),""))</f>
        <v/>
      </c>
      <c r="P145" s="117" t="str">
        <f aca="false">IF(B145="","",IF(OR(D145="",E145="",F145=""),"⚠ أكمل النوع والتواريخ",IF(F145&lt;E145,"✖ النهاية قبل البداية",IF(COUNTIFS($B$6:$B$505,B145,$E$6:$E$505,"&lt;="&amp;F145,$F$6:$F$505,"&gt;="&amp;E145)&gt;1,"⚠ تداخل مع سجل آخر",IF(E145&gt;cfg_VAL_DATE,"⏳ قادمة",IF(F145&lt;cfg_VAL_DATE,"✔ منتهية","✈ جارية في تاريخ التقرير"))))))</f>
        <v/>
      </c>
      <c r="Q145" s="118"/>
      <c r="R145" s="133" t="n">
        <f aca="false">IF(OR(OR($B145="",$E145="",$F145=""),L145&lt;&gt;"لا"),0,MAX(0,MIN(F145,cfg_Y_START-1)-E145+1))</f>
        <v>0</v>
      </c>
      <c r="S145" s="133" t="n">
        <f aca="false">IF(OR(OR($B145="",$E145="",$F145=""),L145&lt;&gt;"لا"),0,MAX(0,MIN(F145,cfg_VAL_DATE)-E145+1))</f>
        <v>0</v>
      </c>
      <c r="T145" s="133" t="n">
        <f aca="false">IF(OR(OR($B145="",$E145="",$F145=""),K145&lt;&gt;"نعم"),0,IF(M145="نعم",IF(AND(ISNUMBER(O145),N(O145)&lt;=cfg_VAL_M),G145,0),MAX(0,MIN(F145,cfg_VAL_DATE)-MAX(E145,cfg_Y_START)+1)))</f>
        <v>0</v>
      </c>
      <c r="V145" s="133" t="n">
        <f aca="false">IF(OR($B145="",$E145="",$F145=""),0,MAX(0,MIN($F145,EOMONTH(DATE(cfg_FY,1,1),0))-MAX($E145,DATE(cfg_FY,1,1))+1)*(1-IF($M145="نعم",0,N($J145))))</f>
        <v>0</v>
      </c>
      <c r="W145" s="133" t="n">
        <f aca="false">IF(OR($B145="",$E145="",$F145=""),0,MAX(0,MIN($F145,EOMONTH(DATE(cfg_FY,2,1),0))-MAX($E145,DATE(cfg_FY,2,1))+1)*(1-IF($M145="نعم",0,N($J145))))</f>
        <v>0</v>
      </c>
      <c r="X145" s="133" t="n">
        <f aca="false">IF(OR($B145="",$E145="",$F145=""),0,MAX(0,MIN($F145,EOMONTH(DATE(cfg_FY,3,1),0))-MAX($E145,DATE(cfg_FY,3,1))+1)*(1-IF($M145="نعم",0,N($J145))))</f>
        <v>0</v>
      </c>
      <c r="Y145" s="133" t="n">
        <f aca="false">IF(OR($B145="",$E145="",$F145=""),0,MAX(0,MIN($F145,EOMONTH(DATE(cfg_FY,4,1),0))-MAX($E145,DATE(cfg_FY,4,1))+1)*(1-IF($M145="نعم",0,N($J145))))</f>
        <v>0</v>
      </c>
      <c r="Z145" s="133" t="n">
        <f aca="false">IF(OR($B145="",$E145="",$F145=""),0,MAX(0,MIN($F145,EOMONTH(DATE(cfg_FY,5,1),0))-MAX($E145,DATE(cfg_FY,5,1))+1)*(1-IF($M145="نعم",0,N($J145))))</f>
        <v>0</v>
      </c>
      <c r="AA145" s="133" t="n">
        <f aca="false">IF(OR($B145="",$E145="",$F145=""),0,MAX(0,MIN($F145,EOMONTH(DATE(cfg_FY,6,1),0))-MAX($E145,DATE(cfg_FY,6,1))+1)*(1-IF($M145="نعم",0,N($J145))))</f>
        <v>0</v>
      </c>
      <c r="AB145" s="133" t="n">
        <f aca="false">IF(OR($B145="",$E145="",$F145=""),0,MAX(0,MIN($F145,EOMONTH(DATE(cfg_FY,7,1),0))-MAX($E145,DATE(cfg_FY,7,1))+1)*(1-IF($M145="نعم",0,N($J145))))</f>
        <v>0</v>
      </c>
      <c r="AC145" s="133" t="n">
        <f aca="false">IF(OR($B145="",$E145="",$F145=""),0,MAX(0,MIN($F145,EOMONTH(DATE(cfg_FY,8,1),0))-MAX($E145,DATE(cfg_FY,8,1))+1)*(1-IF($M145="نعم",0,N($J145))))</f>
        <v>0</v>
      </c>
      <c r="AD145" s="133" t="n">
        <f aca="false">IF(OR($B145="",$E145="",$F145=""),0,MAX(0,MIN($F145,EOMONTH(DATE(cfg_FY,9,1),0))-MAX($E145,DATE(cfg_FY,9,1))+1)*(1-IF($M145="نعم",0,N($J145))))</f>
        <v>0</v>
      </c>
      <c r="AE145" s="133" t="n">
        <f aca="false">IF(OR($B145="",$E145="",$F145=""),0,MAX(0,MIN($F145,EOMONTH(DATE(cfg_FY,10,1),0))-MAX($E145,DATE(cfg_FY,10,1))+1)*(1-IF($M145="نعم",0,N($J145))))</f>
        <v>0</v>
      </c>
      <c r="AF145" s="133" t="n">
        <f aca="false">IF(OR($B145="",$E145="",$F145=""),0,MAX(0,MIN($F145,EOMONTH(DATE(cfg_FY,11,1),0))-MAX($E145,DATE(cfg_FY,11,1))+1)*(1-IF($M145="نعم",0,N($J145))))</f>
        <v>0</v>
      </c>
      <c r="AG145" s="133" t="n">
        <f aca="false">IF(OR($B145="",$E145="",$F145=""),0,MAX(0,MIN($F145,EOMONTH(DATE(cfg_FY,12,1),0))-MAX($E145,DATE(cfg_FY,12,1))+1)*(1-IF($M145="نعم",0,N($J145))))</f>
        <v>0</v>
      </c>
      <c r="AH145" s="133" t="n">
        <f aca="false">IF(OR(OR($B145="",$E145="",$F145=""),$L145&lt;&gt;"لا"),0,MAX(0,MIN($F145,EOMONTH(DATE(cfg_FY,1,1),0))-$E145+1))</f>
        <v>0</v>
      </c>
      <c r="AI145" s="133" t="n">
        <f aca="false">IF(OR(OR($B145="",$E145="",$F145=""),$L145&lt;&gt;"لا"),0,MAX(0,MIN($F145,EOMONTH(DATE(cfg_FY,2,1),0))-$E145+1))</f>
        <v>0</v>
      </c>
      <c r="AJ145" s="133" t="n">
        <f aca="false">IF(OR(OR($B145="",$E145="",$F145=""),$L145&lt;&gt;"لا"),0,MAX(0,MIN($F145,EOMONTH(DATE(cfg_FY,3,1),0))-$E145+1))</f>
        <v>0</v>
      </c>
      <c r="AK145" s="133" t="n">
        <f aca="false">IF(OR(OR($B145="",$E145="",$F145=""),$L145&lt;&gt;"لا"),0,MAX(0,MIN($F145,EOMONTH(DATE(cfg_FY,4,1),0))-$E145+1))</f>
        <v>0</v>
      </c>
      <c r="AL145" s="133" t="n">
        <f aca="false">IF(OR(OR($B145="",$E145="",$F145=""),$L145&lt;&gt;"لا"),0,MAX(0,MIN($F145,EOMONTH(DATE(cfg_FY,5,1),0))-$E145+1))</f>
        <v>0</v>
      </c>
      <c r="AM145" s="133" t="n">
        <f aca="false">IF(OR(OR($B145="",$E145="",$F145=""),$L145&lt;&gt;"لا"),0,MAX(0,MIN($F145,EOMONTH(DATE(cfg_FY,6,1),0))-$E145+1))</f>
        <v>0</v>
      </c>
      <c r="AN145" s="133" t="n">
        <f aca="false">IF(OR(OR($B145="",$E145="",$F145=""),$L145&lt;&gt;"لا"),0,MAX(0,MIN($F145,EOMONTH(DATE(cfg_FY,7,1),0))-$E145+1))</f>
        <v>0</v>
      </c>
      <c r="AO145" s="133" t="n">
        <f aca="false">IF(OR(OR($B145="",$E145="",$F145=""),$L145&lt;&gt;"لا"),0,MAX(0,MIN($F145,EOMONTH(DATE(cfg_FY,8,1),0))-$E145+1))</f>
        <v>0</v>
      </c>
      <c r="AP145" s="133" t="n">
        <f aca="false">IF(OR(OR($B145="",$E145="",$F145=""),$L145&lt;&gt;"لا"),0,MAX(0,MIN($F145,EOMONTH(DATE(cfg_FY,9,1),0))-$E145+1))</f>
        <v>0</v>
      </c>
      <c r="AQ145" s="133" t="n">
        <f aca="false">IF(OR(OR($B145="",$E145="",$F145=""),$L145&lt;&gt;"لا"),0,MAX(0,MIN($F145,EOMONTH(DATE(cfg_FY,10,1),0))-$E145+1))</f>
        <v>0</v>
      </c>
      <c r="AR145" s="133" t="n">
        <f aca="false">IF(OR(OR($B145="",$E145="",$F145=""),$L145&lt;&gt;"لا"),0,MAX(0,MIN($F145,EOMONTH(DATE(cfg_FY,11,1),0))-$E145+1))</f>
        <v>0</v>
      </c>
      <c r="AS145" s="133" t="n">
        <f aca="false">IF(OR(OR($B145="",$E145="",$F145=""),$L145&lt;&gt;"لا"),0,MAX(0,MIN($F145,EOMONTH(DATE(cfg_FY,12,1),0))-$E145+1))</f>
        <v>0</v>
      </c>
      <c r="AT145" s="133" t="n">
        <f aca="false">IF(OR(OR($B145="",$E145="",$F145=""),$K145&lt;&gt;"نعم",$M145="نعم"),0,MAX(0,MIN($F145,EOMONTH(DATE(cfg_FY,1,1),0))-MAX($E145,DATE(cfg_FY,1,1))+1))</f>
        <v>0</v>
      </c>
      <c r="AU145" s="133" t="n">
        <f aca="false">IF(OR(OR($B145="",$E145="",$F145=""),$K145&lt;&gt;"نعم",$M145="نعم"),0,MAX(0,MIN($F145,EOMONTH(DATE(cfg_FY,2,1),0))-MAX($E145,DATE(cfg_FY,2,1))+1))</f>
        <v>0</v>
      </c>
      <c r="AV145" s="133" t="n">
        <f aca="false">IF(OR(OR($B145="",$E145="",$F145=""),$K145&lt;&gt;"نعم",$M145="نعم"),0,MAX(0,MIN($F145,EOMONTH(DATE(cfg_FY,3,1),0))-MAX($E145,DATE(cfg_FY,3,1))+1))</f>
        <v>0</v>
      </c>
      <c r="AW145" s="133" t="n">
        <f aca="false">IF(OR(OR($B145="",$E145="",$F145=""),$K145&lt;&gt;"نعم",$M145="نعم"),0,MAX(0,MIN($F145,EOMONTH(DATE(cfg_FY,4,1),0))-MAX($E145,DATE(cfg_FY,4,1))+1))</f>
        <v>0</v>
      </c>
      <c r="AX145" s="133" t="n">
        <f aca="false">IF(OR(OR($B145="",$E145="",$F145=""),$K145&lt;&gt;"نعم",$M145="نعم"),0,MAX(0,MIN($F145,EOMONTH(DATE(cfg_FY,5,1),0))-MAX($E145,DATE(cfg_FY,5,1))+1))</f>
        <v>0</v>
      </c>
      <c r="AY145" s="133" t="n">
        <f aca="false">IF(OR(OR($B145="",$E145="",$F145=""),$K145&lt;&gt;"نعم",$M145="نعم"),0,MAX(0,MIN($F145,EOMONTH(DATE(cfg_FY,6,1),0))-MAX($E145,DATE(cfg_FY,6,1))+1))</f>
        <v>0</v>
      </c>
      <c r="AZ145" s="133" t="n">
        <f aca="false">IF(OR(OR($B145="",$E145="",$F145=""),$K145&lt;&gt;"نعم",$M145="نعم"),0,MAX(0,MIN($F145,EOMONTH(DATE(cfg_FY,7,1),0))-MAX($E145,DATE(cfg_FY,7,1))+1))</f>
        <v>0</v>
      </c>
      <c r="BA145" s="133" t="n">
        <f aca="false">IF(OR(OR($B145="",$E145="",$F145=""),$K145&lt;&gt;"نعم",$M145="نعم"),0,MAX(0,MIN($F145,EOMONTH(DATE(cfg_FY,8,1),0))-MAX($E145,DATE(cfg_FY,8,1))+1))</f>
        <v>0</v>
      </c>
      <c r="BB145" s="133" t="n">
        <f aca="false">IF(OR(OR($B145="",$E145="",$F145=""),$K145&lt;&gt;"نعم",$M145="نعم"),0,MAX(0,MIN($F145,EOMONTH(DATE(cfg_FY,9,1),0))-MAX($E145,DATE(cfg_FY,9,1))+1))</f>
        <v>0</v>
      </c>
      <c r="BC145" s="133" t="n">
        <f aca="false">IF(OR(OR($B145="",$E145="",$F145=""),$K145&lt;&gt;"نعم",$M145="نعم"),0,MAX(0,MIN($F145,EOMONTH(DATE(cfg_FY,10,1),0))-MAX($E145,DATE(cfg_FY,10,1))+1))</f>
        <v>0</v>
      </c>
      <c r="BD145" s="133" t="n">
        <f aca="false">IF(OR(OR($B145="",$E145="",$F145=""),$K145&lt;&gt;"نعم",$M145="نعم"),0,MAX(0,MIN($F145,EOMONTH(DATE(cfg_FY,11,1),0))-MAX($E145,DATE(cfg_FY,11,1))+1))</f>
        <v>0</v>
      </c>
      <c r="BE145" s="133" t="n">
        <f aca="false">IF(OR(OR($B145="",$E145="",$F145=""),$K145&lt;&gt;"نعم",$M145="نعم"),0,MAX(0,MIN($F145,EOMONTH(DATE(cfg_FY,12,1),0))-MAX($E145,DATE(cfg_FY,12,1))+1))</f>
        <v>0</v>
      </c>
    </row>
    <row r="146" customFormat="false" ht="15" hidden="false" customHeight="false" outlineLevel="0" collapsed="false">
      <c r="A146" s="106" t="str">
        <f aca="false">IF(B146="","",ROW()-5)</f>
        <v/>
      </c>
      <c r="B146" s="118"/>
      <c r="C146" s="114" t="str">
        <f aca="false">IF(B146="","",IFERROR(INDEX(الموظفون!$C$6:$C$105,MATCH(B146,الموظفون!$B$6:$B$105,0)),"✖ رقم غير موجود"))</f>
        <v/>
      </c>
      <c r="D146" s="118"/>
      <c r="E146" s="119"/>
      <c r="F146" s="119"/>
      <c r="G146" s="65" t="str">
        <f aca="false">IF(OR($B146="",$E146="",$F146=""),"",MAX(0,F146-E146+1))</f>
        <v/>
      </c>
      <c r="H146" s="66" t="str">
        <f aca="false">IF(D146="","",IFERROR(VLOOKUP(D146,cfg_LT,2,FALSE()),1))</f>
        <v/>
      </c>
      <c r="I146" s="135"/>
      <c r="J146" s="66" t="str">
        <f aca="false">IF(D146="","",IF(I146&lt;&gt;"",I146,H146))</f>
        <v/>
      </c>
      <c r="K146" s="114" t="str">
        <f aca="false">IF(D146="","",IFERROR(VLOOKUP($D146,cfg_LT,3,FALSE()),""))</f>
        <v/>
      </c>
      <c r="L146" s="114" t="str">
        <f aca="false">IF(D146="","",IFERROR(VLOOKUP($D146,cfg_LT,4,FALSE()),""))</f>
        <v/>
      </c>
      <c r="M146" s="114" t="str">
        <f aca="false">IF(D146="","",IFERROR(VLOOKUP($D146,cfg_LT,5,FALSE()),""))</f>
        <v/>
      </c>
      <c r="N146" s="111" t="n">
        <f aca="false">IF(OR(OR($B146="",$E146="",$F146=""),M146&lt;&gt;"نعم"),0,G146*J146*IFERROR(INDEX(الموظفون!$R$6:$R$105,MATCH(B146,الموظفون!$B$6:$B$105,0)),0)/cfg_DAYS_M)</f>
        <v>0</v>
      </c>
      <c r="O146" s="106" t="str">
        <f aca="false">IF(OR(OR($B146="",$E146="",$F146=""),M146&lt;&gt;"نعم"),"",IF(YEAR(E146)=cfg_FY,MONTH(E146),""))</f>
        <v/>
      </c>
      <c r="P146" s="114" t="str">
        <f aca="false">IF(B146="","",IF(OR(D146="",E146="",F146=""),"⚠ أكمل النوع والتواريخ",IF(F146&lt;E146,"✖ النهاية قبل البداية",IF(COUNTIFS($B$6:$B$505,B146,$E$6:$E$505,"&lt;="&amp;F146,$F$6:$F$505,"&gt;="&amp;E146)&gt;1,"⚠ تداخل مع سجل آخر",IF(E146&gt;cfg_VAL_DATE,"⏳ قادمة",IF(F146&lt;cfg_VAL_DATE,"✔ منتهية","✈ جارية في تاريخ التقرير"))))))</f>
        <v/>
      </c>
      <c r="Q146" s="118"/>
      <c r="R146" s="65" t="n">
        <f aca="false">IF(OR(OR($B146="",$E146="",$F146=""),L146&lt;&gt;"لا"),0,MAX(0,MIN(F146,cfg_Y_START-1)-E146+1))</f>
        <v>0</v>
      </c>
      <c r="S146" s="65" t="n">
        <f aca="false">IF(OR(OR($B146="",$E146="",$F146=""),L146&lt;&gt;"لا"),0,MAX(0,MIN(F146,cfg_VAL_DATE)-E146+1))</f>
        <v>0</v>
      </c>
      <c r="T146" s="65" t="n">
        <f aca="false">IF(OR(OR($B146="",$E146="",$F146=""),K146&lt;&gt;"نعم"),0,IF(M146="نعم",IF(AND(ISNUMBER(O146),N(O146)&lt;=cfg_VAL_M),G146,0),MAX(0,MIN(F146,cfg_VAL_DATE)-MAX(E146,cfg_Y_START)+1)))</f>
        <v>0</v>
      </c>
      <c r="V146" s="65" t="n">
        <f aca="false">IF(OR($B146="",$E146="",$F146=""),0,MAX(0,MIN($F146,EOMONTH(DATE(cfg_FY,1,1),0))-MAX($E146,DATE(cfg_FY,1,1))+1)*(1-IF($M146="نعم",0,N($J146))))</f>
        <v>0</v>
      </c>
      <c r="W146" s="65" t="n">
        <f aca="false">IF(OR($B146="",$E146="",$F146=""),0,MAX(0,MIN($F146,EOMONTH(DATE(cfg_FY,2,1),0))-MAX($E146,DATE(cfg_FY,2,1))+1)*(1-IF($M146="نعم",0,N($J146))))</f>
        <v>0</v>
      </c>
      <c r="X146" s="65" t="n">
        <f aca="false">IF(OR($B146="",$E146="",$F146=""),0,MAX(0,MIN($F146,EOMONTH(DATE(cfg_FY,3,1),0))-MAX($E146,DATE(cfg_FY,3,1))+1)*(1-IF($M146="نعم",0,N($J146))))</f>
        <v>0</v>
      </c>
      <c r="Y146" s="65" t="n">
        <f aca="false">IF(OR($B146="",$E146="",$F146=""),0,MAX(0,MIN($F146,EOMONTH(DATE(cfg_FY,4,1),0))-MAX($E146,DATE(cfg_FY,4,1))+1)*(1-IF($M146="نعم",0,N($J146))))</f>
        <v>0</v>
      </c>
      <c r="Z146" s="65" t="n">
        <f aca="false">IF(OR($B146="",$E146="",$F146=""),0,MAX(0,MIN($F146,EOMONTH(DATE(cfg_FY,5,1),0))-MAX($E146,DATE(cfg_FY,5,1))+1)*(1-IF($M146="نعم",0,N($J146))))</f>
        <v>0</v>
      </c>
      <c r="AA146" s="65" t="n">
        <f aca="false">IF(OR($B146="",$E146="",$F146=""),0,MAX(0,MIN($F146,EOMONTH(DATE(cfg_FY,6,1),0))-MAX($E146,DATE(cfg_FY,6,1))+1)*(1-IF($M146="نعم",0,N($J146))))</f>
        <v>0</v>
      </c>
      <c r="AB146" s="65" t="n">
        <f aca="false">IF(OR($B146="",$E146="",$F146=""),0,MAX(0,MIN($F146,EOMONTH(DATE(cfg_FY,7,1),0))-MAX($E146,DATE(cfg_FY,7,1))+1)*(1-IF($M146="نعم",0,N($J146))))</f>
        <v>0</v>
      </c>
      <c r="AC146" s="65" t="n">
        <f aca="false">IF(OR($B146="",$E146="",$F146=""),0,MAX(0,MIN($F146,EOMONTH(DATE(cfg_FY,8,1),0))-MAX($E146,DATE(cfg_FY,8,1))+1)*(1-IF($M146="نعم",0,N($J146))))</f>
        <v>0</v>
      </c>
      <c r="AD146" s="65" t="n">
        <f aca="false">IF(OR($B146="",$E146="",$F146=""),0,MAX(0,MIN($F146,EOMONTH(DATE(cfg_FY,9,1),0))-MAX($E146,DATE(cfg_FY,9,1))+1)*(1-IF($M146="نعم",0,N($J146))))</f>
        <v>0</v>
      </c>
      <c r="AE146" s="65" t="n">
        <f aca="false">IF(OR($B146="",$E146="",$F146=""),0,MAX(0,MIN($F146,EOMONTH(DATE(cfg_FY,10,1),0))-MAX($E146,DATE(cfg_FY,10,1))+1)*(1-IF($M146="نعم",0,N($J146))))</f>
        <v>0</v>
      </c>
      <c r="AF146" s="65" t="n">
        <f aca="false">IF(OR($B146="",$E146="",$F146=""),0,MAX(0,MIN($F146,EOMONTH(DATE(cfg_FY,11,1),0))-MAX($E146,DATE(cfg_FY,11,1))+1)*(1-IF($M146="نعم",0,N($J146))))</f>
        <v>0</v>
      </c>
      <c r="AG146" s="65" t="n">
        <f aca="false">IF(OR($B146="",$E146="",$F146=""),0,MAX(0,MIN($F146,EOMONTH(DATE(cfg_FY,12,1),0))-MAX($E146,DATE(cfg_FY,12,1))+1)*(1-IF($M146="نعم",0,N($J146))))</f>
        <v>0</v>
      </c>
      <c r="AH146" s="65" t="n">
        <f aca="false">IF(OR(OR($B146="",$E146="",$F146=""),$L146&lt;&gt;"لا"),0,MAX(0,MIN($F146,EOMONTH(DATE(cfg_FY,1,1),0))-$E146+1))</f>
        <v>0</v>
      </c>
      <c r="AI146" s="65" t="n">
        <f aca="false">IF(OR(OR($B146="",$E146="",$F146=""),$L146&lt;&gt;"لا"),0,MAX(0,MIN($F146,EOMONTH(DATE(cfg_FY,2,1),0))-$E146+1))</f>
        <v>0</v>
      </c>
      <c r="AJ146" s="65" t="n">
        <f aca="false">IF(OR(OR($B146="",$E146="",$F146=""),$L146&lt;&gt;"لا"),0,MAX(0,MIN($F146,EOMONTH(DATE(cfg_FY,3,1),0))-$E146+1))</f>
        <v>0</v>
      </c>
      <c r="AK146" s="65" t="n">
        <f aca="false">IF(OR(OR($B146="",$E146="",$F146=""),$L146&lt;&gt;"لا"),0,MAX(0,MIN($F146,EOMONTH(DATE(cfg_FY,4,1),0))-$E146+1))</f>
        <v>0</v>
      </c>
      <c r="AL146" s="65" t="n">
        <f aca="false">IF(OR(OR($B146="",$E146="",$F146=""),$L146&lt;&gt;"لا"),0,MAX(0,MIN($F146,EOMONTH(DATE(cfg_FY,5,1),0))-$E146+1))</f>
        <v>0</v>
      </c>
      <c r="AM146" s="65" t="n">
        <f aca="false">IF(OR(OR($B146="",$E146="",$F146=""),$L146&lt;&gt;"لا"),0,MAX(0,MIN($F146,EOMONTH(DATE(cfg_FY,6,1),0))-$E146+1))</f>
        <v>0</v>
      </c>
      <c r="AN146" s="65" t="n">
        <f aca="false">IF(OR(OR($B146="",$E146="",$F146=""),$L146&lt;&gt;"لا"),0,MAX(0,MIN($F146,EOMONTH(DATE(cfg_FY,7,1),0))-$E146+1))</f>
        <v>0</v>
      </c>
      <c r="AO146" s="65" t="n">
        <f aca="false">IF(OR(OR($B146="",$E146="",$F146=""),$L146&lt;&gt;"لا"),0,MAX(0,MIN($F146,EOMONTH(DATE(cfg_FY,8,1),0))-$E146+1))</f>
        <v>0</v>
      </c>
      <c r="AP146" s="65" t="n">
        <f aca="false">IF(OR(OR($B146="",$E146="",$F146=""),$L146&lt;&gt;"لا"),0,MAX(0,MIN($F146,EOMONTH(DATE(cfg_FY,9,1),0))-$E146+1))</f>
        <v>0</v>
      </c>
      <c r="AQ146" s="65" t="n">
        <f aca="false">IF(OR(OR($B146="",$E146="",$F146=""),$L146&lt;&gt;"لا"),0,MAX(0,MIN($F146,EOMONTH(DATE(cfg_FY,10,1),0))-$E146+1))</f>
        <v>0</v>
      </c>
      <c r="AR146" s="65" t="n">
        <f aca="false">IF(OR(OR($B146="",$E146="",$F146=""),$L146&lt;&gt;"لا"),0,MAX(0,MIN($F146,EOMONTH(DATE(cfg_FY,11,1),0))-$E146+1))</f>
        <v>0</v>
      </c>
      <c r="AS146" s="65" t="n">
        <f aca="false">IF(OR(OR($B146="",$E146="",$F146=""),$L146&lt;&gt;"لا"),0,MAX(0,MIN($F146,EOMONTH(DATE(cfg_FY,12,1),0))-$E146+1))</f>
        <v>0</v>
      </c>
      <c r="AT146" s="65" t="n">
        <f aca="false">IF(OR(OR($B146="",$E146="",$F146=""),$K146&lt;&gt;"نعم",$M146="نعم"),0,MAX(0,MIN($F146,EOMONTH(DATE(cfg_FY,1,1),0))-MAX($E146,DATE(cfg_FY,1,1))+1))</f>
        <v>0</v>
      </c>
      <c r="AU146" s="65" t="n">
        <f aca="false">IF(OR(OR($B146="",$E146="",$F146=""),$K146&lt;&gt;"نعم",$M146="نعم"),0,MAX(0,MIN($F146,EOMONTH(DATE(cfg_FY,2,1),0))-MAX($E146,DATE(cfg_FY,2,1))+1))</f>
        <v>0</v>
      </c>
      <c r="AV146" s="65" t="n">
        <f aca="false">IF(OR(OR($B146="",$E146="",$F146=""),$K146&lt;&gt;"نعم",$M146="نعم"),0,MAX(0,MIN($F146,EOMONTH(DATE(cfg_FY,3,1),0))-MAX($E146,DATE(cfg_FY,3,1))+1))</f>
        <v>0</v>
      </c>
      <c r="AW146" s="65" t="n">
        <f aca="false">IF(OR(OR($B146="",$E146="",$F146=""),$K146&lt;&gt;"نعم",$M146="نعم"),0,MAX(0,MIN($F146,EOMONTH(DATE(cfg_FY,4,1),0))-MAX($E146,DATE(cfg_FY,4,1))+1))</f>
        <v>0</v>
      </c>
      <c r="AX146" s="65" t="n">
        <f aca="false">IF(OR(OR($B146="",$E146="",$F146=""),$K146&lt;&gt;"نعم",$M146="نعم"),0,MAX(0,MIN($F146,EOMONTH(DATE(cfg_FY,5,1),0))-MAX($E146,DATE(cfg_FY,5,1))+1))</f>
        <v>0</v>
      </c>
      <c r="AY146" s="65" t="n">
        <f aca="false">IF(OR(OR($B146="",$E146="",$F146=""),$K146&lt;&gt;"نعم",$M146="نعم"),0,MAX(0,MIN($F146,EOMONTH(DATE(cfg_FY,6,1),0))-MAX($E146,DATE(cfg_FY,6,1))+1))</f>
        <v>0</v>
      </c>
      <c r="AZ146" s="65" t="n">
        <f aca="false">IF(OR(OR($B146="",$E146="",$F146=""),$K146&lt;&gt;"نعم",$M146="نعم"),0,MAX(0,MIN($F146,EOMONTH(DATE(cfg_FY,7,1),0))-MAX($E146,DATE(cfg_FY,7,1))+1))</f>
        <v>0</v>
      </c>
      <c r="BA146" s="65" t="n">
        <f aca="false">IF(OR(OR($B146="",$E146="",$F146=""),$K146&lt;&gt;"نعم",$M146="نعم"),0,MAX(0,MIN($F146,EOMONTH(DATE(cfg_FY,8,1),0))-MAX($E146,DATE(cfg_FY,8,1))+1))</f>
        <v>0</v>
      </c>
      <c r="BB146" s="65" t="n">
        <f aca="false">IF(OR(OR($B146="",$E146="",$F146=""),$K146&lt;&gt;"نعم",$M146="نعم"),0,MAX(0,MIN($F146,EOMONTH(DATE(cfg_FY,9,1),0))-MAX($E146,DATE(cfg_FY,9,1))+1))</f>
        <v>0</v>
      </c>
      <c r="BC146" s="65" t="n">
        <f aca="false">IF(OR(OR($B146="",$E146="",$F146=""),$K146&lt;&gt;"نعم",$M146="نعم"),0,MAX(0,MIN($F146,EOMONTH(DATE(cfg_FY,10,1),0))-MAX($E146,DATE(cfg_FY,10,1))+1))</f>
        <v>0</v>
      </c>
      <c r="BD146" s="65" t="n">
        <f aca="false">IF(OR(OR($B146="",$E146="",$F146=""),$K146&lt;&gt;"نعم",$M146="نعم"),0,MAX(0,MIN($F146,EOMONTH(DATE(cfg_FY,11,1),0))-MAX($E146,DATE(cfg_FY,11,1))+1))</f>
        <v>0</v>
      </c>
      <c r="BE146" s="65" t="n">
        <f aca="false">IF(OR(OR($B146="",$E146="",$F146=""),$K146&lt;&gt;"نعم",$M146="نعم"),0,MAX(0,MIN($F146,EOMONTH(DATE(cfg_FY,12,1),0))-MAX($E146,DATE(cfg_FY,12,1))+1))</f>
        <v>0</v>
      </c>
    </row>
    <row r="147" customFormat="false" ht="15" hidden="false" customHeight="false" outlineLevel="0" collapsed="false">
      <c r="A147" s="115" t="str">
        <f aca="false">IF(B147="","",ROW()-5)</f>
        <v/>
      </c>
      <c r="B147" s="118"/>
      <c r="C147" s="117" t="str">
        <f aca="false">IF(B147="","",IFERROR(INDEX(الموظفون!$C$6:$C$105,MATCH(B147,الموظفون!$B$6:$B$105,0)),"✖ رقم غير موجود"))</f>
        <v/>
      </c>
      <c r="D147" s="118"/>
      <c r="E147" s="119"/>
      <c r="F147" s="119"/>
      <c r="G147" s="133" t="str">
        <f aca="false">IF(OR($B147="",$E147="",$F147=""),"",MAX(0,F147-E147+1))</f>
        <v/>
      </c>
      <c r="H147" s="134" t="str">
        <f aca="false">IF(D147="","",IFERROR(VLOOKUP(D147,cfg_LT,2,FALSE()),1))</f>
        <v/>
      </c>
      <c r="I147" s="135"/>
      <c r="J147" s="134" t="str">
        <f aca="false">IF(D147="","",IF(I147&lt;&gt;"",I147,H147))</f>
        <v/>
      </c>
      <c r="K147" s="117" t="str">
        <f aca="false">IF(D147="","",IFERROR(VLOOKUP($D147,cfg_LT,3,FALSE()),""))</f>
        <v/>
      </c>
      <c r="L147" s="117" t="str">
        <f aca="false">IF(D147="","",IFERROR(VLOOKUP($D147,cfg_LT,4,FALSE()),""))</f>
        <v/>
      </c>
      <c r="M147" s="117" t="str">
        <f aca="false">IF(D147="","",IFERROR(VLOOKUP($D147,cfg_LT,5,FALSE()),""))</f>
        <v/>
      </c>
      <c r="N147" s="116" t="n">
        <f aca="false">IF(OR(OR($B147="",$E147="",$F147=""),M147&lt;&gt;"نعم"),0,G147*J147*IFERROR(INDEX(الموظفون!$R$6:$R$105,MATCH(B147,الموظفون!$B$6:$B$105,0)),0)/cfg_DAYS_M)</f>
        <v>0</v>
      </c>
      <c r="O147" s="115" t="str">
        <f aca="false">IF(OR(OR($B147="",$E147="",$F147=""),M147&lt;&gt;"نعم"),"",IF(YEAR(E147)=cfg_FY,MONTH(E147),""))</f>
        <v/>
      </c>
      <c r="P147" s="117" t="str">
        <f aca="false">IF(B147="","",IF(OR(D147="",E147="",F147=""),"⚠ أكمل النوع والتواريخ",IF(F147&lt;E147,"✖ النهاية قبل البداية",IF(COUNTIFS($B$6:$B$505,B147,$E$6:$E$505,"&lt;="&amp;F147,$F$6:$F$505,"&gt;="&amp;E147)&gt;1,"⚠ تداخل مع سجل آخر",IF(E147&gt;cfg_VAL_DATE,"⏳ قادمة",IF(F147&lt;cfg_VAL_DATE,"✔ منتهية","✈ جارية في تاريخ التقرير"))))))</f>
        <v/>
      </c>
      <c r="Q147" s="118"/>
      <c r="R147" s="133" t="n">
        <f aca="false">IF(OR(OR($B147="",$E147="",$F147=""),L147&lt;&gt;"لا"),0,MAX(0,MIN(F147,cfg_Y_START-1)-E147+1))</f>
        <v>0</v>
      </c>
      <c r="S147" s="133" t="n">
        <f aca="false">IF(OR(OR($B147="",$E147="",$F147=""),L147&lt;&gt;"لا"),0,MAX(0,MIN(F147,cfg_VAL_DATE)-E147+1))</f>
        <v>0</v>
      </c>
      <c r="T147" s="133" t="n">
        <f aca="false">IF(OR(OR($B147="",$E147="",$F147=""),K147&lt;&gt;"نعم"),0,IF(M147="نعم",IF(AND(ISNUMBER(O147),N(O147)&lt;=cfg_VAL_M),G147,0),MAX(0,MIN(F147,cfg_VAL_DATE)-MAX(E147,cfg_Y_START)+1)))</f>
        <v>0</v>
      </c>
      <c r="V147" s="133" t="n">
        <f aca="false">IF(OR($B147="",$E147="",$F147=""),0,MAX(0,MIN($F147,EOMONTH(DATE(cfg_FY,1,1),0))-MAX($E147,DATE(cfg_FY,1,1))+1)*(1-IF($M147="نعم",0,N($J147))))</f>
        <v>0</v>
      </c>
      <c r="W147" s="133" t="n">
        <f aca="false">IF(OR($B147="",$E147="",$F147=""),0,MAX(0,MIN($F147,EOMONTH(DATE(cfg_FY,2,1),0))-MAX($E147,DATE(cfg_FY,2,1))+1)*(1-IF($M147="نعم",0,N($J147))))</f>
        <v>0</v>
      </c>
      <c r="X147" s="133" t="n">
        <f aca="false">IF(OR($B147="",$E147="",$F147=""),0,MAX(0,MIN($F147,EOMONTH(DATE(cfg_FY,3,1),0))-MAX($E147,DATE(cfg_FY,3,1))+1)*(1-IF($M147="نعم",0,N($J147))))</f>
        <v>0</v>
      </c>
      <c r="Y147" s="133" t="n">
        <f aca="false">IF(OR($B147="",$E147="",$F147=""),0,MAX(0,MIN($F147,EOMONTH(DATE(cfg_FY,4,1),0))-MAX($E147,DATE(cfg_FY,4,1))+1)*(1-IF($M147="نعم",0,N($J147))))</f>
        <v>0</v>
      </c>
      <c r="Z147" s="133" t="n">
        <f aca="false">IF(OR($B147="",$E147="",$F147=""),0,MAX(0,MIN($F147,EOMONTH(DATE(cfg_FY,5,1),0))-MAX($E147,DATE(cfg_FY,5,1))+1)*(1-IF($M147="نعم",0,N($J147))))</f>
        <v>0</v>
      </c>
      <c r="AA147" s="133" t="n">
        <f aca="false">IF(OR($B147="",$E147="",$F147=""),0,MAX(0,MIN($F147,EOMONTH(DATE(cfg_FY,6,1),0))-MAX($E147,DATE(cfg_FY,6,1))+1)*(1-IF($M147="نعم",0,N($J147))))</f>
        <v>0</v>
      </c>
      <c r="AB147" s="133" t="n">
        <f aca="false">IF(OR($B147="",$E147="",$F147=""),0,MAX(0,MIN($F147,EOMONTH(DATE(cfg_FY,7,1),0))-MAX($E147,DATE(cfg_FY,7,1))+1)*(1-IF($M147="نعم",0,N($J147))))</f>
        <v>0</v>
      </c>
      <c r="AC147" s="133" t="n">
        <f aca="false">IF(OR($B147="",$E147="",$F147=""),0,MAX(0,MIN($F147,EOMONTH(DATE(cfg_FY,8,1),0))-MAX($E147,DATE(cfg_FY,8,1))+1)*(1-IF($M147="نعم",0,N($J147))))</f>
        <v>0</v>
      </c>
      <c r="AD147" s="133" t="n">
        <f aca="false">IF(OR($B147="",$E147="",$F147=""),0,MAX(0,MIN($F147,EOMONTH(DATE(cfg_FY,9,1),0))-MAX($E147,DATE(cfg_FY,9,1))+1)*(1-IF($M147="نعم",0,N($J147))))</f>
        <v>0</v>
      </c>
      <c r="AE147" s="133" t="n">
        <f aca="false">IF(OR($B147="",$E147="",$F147=""),0,MAX(0,MIN($F147,EOMONTH(DATE(cfg_FY,10,1),0))-MAX($E147,DATE(cfg_FY,10,1))+1)*(1-IF($M147="نعم",0,N($J147))))</f>
        <v>0</v>
      </c>
      <c r="AF147" s="133" t="n">
        <f aca="false">IF(OR($B147="",$E147="",$F147=""),0,MAX(0,MIN($F147,EOMONTH(DATE(cfg_FY,11,1),0))-MAX($E147,DATE(cfg_FY,11,1))+1)*(1-IF($M147="نعم",0,N($J147))))</f>
        <v>0</v>
      </c>
      <c r="AG147" s="133" t="n">
        <f aca="false">IF(OR($B147="",$E147="",$F147=""),0,MAX(0,MIN($F147,EOMONTH(DATE(cfg_FY,12,1),0))-MAX($E147,DATE(cfg_FY,12,1))+1)*(1-IF($M147="نعم",0,N($J147))))</f>
        <v>0</v>
      </c>
      <c r="AH147" s="133" t="n">
        <f aca="false">IF(OR(OR($B147="",$E147="",$F147=""),$L147&lt;&gt;"لا"),0,MAX(0,MIN($F147,EOMONTH(DATE(cfg_FY,1,1),0))-$E147+1))</f>
        <v>0</v>
      </c>
      <c r="AI147" s="133" t="n">
        <f aca="false">IF(OR(OR($B147="",$E147="",$F147=""),$L147&lt;&gt;"لا"),0,MAX(0,MIN($F147,EOMONTH(DATE(cfg_FY,2,1),0))-$E147+1))</f>
        <v>0</v>
      </c>
      <c r="AJ147" s="133" t="n">
        <f aca="false">IF(OR(OR($B147="",$E147="",$F147=""),$L147&lt;&gt;"لا"),0,MAX(0,MIN($F147,EOMONTH(DATE(cfg_FY,3,1),0))-$E147+1))</f>
        <v>0</v>
      </c>
      <c r="AK147" s="133" t="n">
        <f aca="false">IF(OR(OR($B147="",$E147="",$F147=""),$L147&lt;&gt;"لا"),0,MAX(0,MIN($F147,EOMONTH(DATE(cfg_FY,4,1),0))-$E147+1))</f>
        <v>0</v>
      </c>
      <c r="AL147" s="133" t="n">
        <f aca="false">IF(OR(OR($B147="",$E147="",$F147=""),$L147&lt;&gt;"لا"),0,MAX(0,MIN($F147,EOMONTH(DATE(cfg_FY,5,1),0))-$E147+1))</f>
        <v>0</v>
      </c>
      <c r="AM147" s="133" t="n">
        <f aca="false">IF(OR(OR($B147="",$E147="",$F147=""),$L147&lt;&gt;"لا"),0,MAX(0,MIN($F147,EOMONTH(DATE(cfg_FY,6,1),0))-$E147+1))</f>
        <v>0</v>
      </c>
      <c r="AN147" s="133" t="n">
        <f aca="false">IF(OR(OR($B147="",$E147="",$F147=""),$L147&lt;&gt;"لا"),0,MAX(0,MIN($F147,EOMONTH(DATE(cfg_FY,7,1),0))-$E147+1))</f>
        <v>0</v>
      </c>
      <c r="AO147" s="133" t="n">
        <f aca="false">IF(OR(OR($B147="",$E147="",$F147=""),$L147&lt;&gt;"لا"),0,MAX(0,MIN($F147,EOMONTH(DATE(cfg_FY,8,1),0))-$E147+1))</f>
        <v>0</v>
      </c>
      <c r="AP147" s="133" t="n">
        <f aca="false">IF(OR(OR($B147="",$E147="",$F147=""),$L147&lt;&gt;"لا"),0,MAX(0,MIN($F147,EOMONTH(DATE(cfg_FY,9,1),0))-$E147+1))</f>
        <v>0</v>
      </c>
      <c r="AQ147" s="133" t="n">
        <f aca="false">IF(OR(OR($B147="",$E147="",$F147=""),$L147&lt;&gt;"لا"),0,MAX(0,MIN($F147,EOMONTH(DATE(cfg_FY,10,1),0))-$E147+1))</f>
        <v>0</v>
      </c>
      <c r="AR147" s="133" t="n">
        <f aca="false">IF(OR(OR($B147="",$E147="",$F147=""),$L147&lt;&gt;"لا"),0,MAX(0,MIN($F147,EOMONTH(DATE(cfg_FY,11,1),0))-$E147+1))</f>
        <v>0</v>
      </c>
      <c r="AS147" s="133" t="n">
        <f aca="false">IF(OR(OR($B147="",$E147="",$F147=""),$L147&lt;&gt;"لا"),0,MAX(0,MIN($F147,EOMONTH(DATE(cfg_FY,12,1),0))-$E147+1))</f>
        <v>0</v>
      </c>
      <c r="AT147" s="133" t="n">
        <f aca="false">IF(OR(OR($B147="",$E147="",$F147=""),$K147&lt;&gt;"نعم",$M147="نعم"),0,MAX(0,MIN($F147,EOMONTH(DATE(cfg_FY,1,1),0))-MAX($E147,DATE(cfg_FY,1,1))+1))</f>
        <v>0</v>
      </c>
      <c r="AU147" s="133" t="n">
        <f aca="false">IF(OR(OR($B147="",$E147="",$F147=""),$K147&lt;&gt;"نعم",$M147="نعم"),0,MAX(0,MIN($F147,EOMONTH(DATE(cfg_FY,2,1),0))-MAX($E147,DATE(cfg_FY,2,1))+1))</f>
        <v>0</v>
      </c>
      <c r="AV147" s="133" t="n">
        <f aca="false">IF(OR(OR($B147="",$E147="",$F147=""),$K147&lt;&gt;"نعم",$M147="نعم"),0,MAX(0,MIN($F147,EOMONTH(DATE(cfg_FY,3,1),0))-MAX($E147,DATE(cfg_FY,3,1))+1))</f>
        <v>0</v>
      </c>
      <c r="AW147" s="133" t="n">
        <f aca="false">IF(OR(OR($B147="",$E147="",$F147=""),$K147&lt;&gt;"نعم",$M147="نعم"),0,MAX(0,MIN($F147,EOMONTH(DATE(cfg_FY,4,1),0))-MAX($E147,DATE(cfg_FY,4,1))+1))</f>
        <v>0</v>
      </c>
      <c r="AX147" s="133" t="n">
        <f aca="false">IF(OR(OR($B147="",$E147="",$F147=""),$K147&lt;&gt;"نعم",$M147="نعم"),0,MAX(0,MIN($F147,EOMONTH(DATE(cfg_FY,5,1),0))-MAX($E147,DATE(cfg_FY,5,1))+1))</f>
        <v>0</v>
      </c>
      <c r="AY147" s="133" t="n">
        <f aca="false">IF(OR(OR($B147="",$E147="",$F147=""),$K147&lt;&gt;"نعم",$M147="نعم"),0,MAX(0,MIN($F147,EOMONTH(DATE(cfg_FY,6,1),0))-MAX($E147,DATE(cfg_FY,6,1))+1))</f>
        <v>0</v>
      </c>
      <c r="AZ147" s="133" t="n">
        <f aca="false">IF(OR(OR($B147="",$E147="",$F147=""),$K147&lt;&gt;"نعم",$M147="نعم"),0,MAX(0,MIN($F147,EOMONTH(DATE(cfg_FY,7,1),0))-MAX($E147,DATE(cfg_FY,7,1))+1))</f>
        <v>0</v>
      </c>
      <c r="BA147" s="133" t="n">
        <f aca="false">IF(OR(OR($B147="",$E147="",$F147=""),$K147&lt;&gt;"نعم",$M147="نعم"),0,MAX(0,MIN($F147,EOMONTH(DATE(cfg_FY,8,1),0))-MAX($E147,DATE(cfg_FY,8,1))+1))</f>
        <v>0</v>
      </c>
      <c r="BB147" s="133" t="n">
        <f aca="false">IF(OR(OR($B147="",$E147="",$F147=""),$K147&lt;&gt;"نعم",$M147="نعم"),0,MAX(0,MIN($F147,EOMONTH(DATE(cfg_FY,9,1),0))-MAX($E147,DATE(cfg_FY,9,1))+1))</f>
        <v>0</v>
      </c>
      <c r="BC147" s="133" t="n">
        <f aca="false">IF(OR(OR($B147="",$E147="",$F147=""),$K147&lt;&gt;"نعم",$M147="نعم"),0,MAX(0,MIN($F147,EOMONTH(DATE(cfg_FY,10,1),0))-MAX($E147,DATE(cfg_FY,10,1))+1))</f>
        <v>0</v>
      </c>
      <c r="BD147" s="133" t="n">
        <f aca="false">IF(OR(OR($B147="",$E147="",$F147=""),$K147&lt;&gt;"نعم",$M147="نعم"),0,MAX(0,MIN($F147,EOMONTH(DATE(cfg_FY,11,1),0))-MAX($E147,DATE(cfg_FY,11,1))+1))</f>
        <v>0</v>
      </c>
      <c r="BE147" s="133" t="n">
        <f aca="false">IF(OR(OR($B147="",$E147="",$F147=""),$K147&lt;&gt;"نعم",$M147="نعم"),0,MAX(0,MIN($F147,EOMONTH(DATE(cfg_FY,12,1),0))-MAX($E147,DATE(cfg_FY,12,1))+1))</f>
        <v>0</v>
      </c>
    </row>
    <row r="148" customFormat="false" ht="15" hidden="false" customHeight="false" outlineLevel="0" collapsed="false">
      <c r="A148" s="106" t="str">
        <f aca="false">IF(B148="","",ROW()-5)</f>
        <v/>
      </c>
      <c r="B148" s="118"/>
      <c r="C148" s="114" t="str">
        <f aca="false">IF(B148="","",IFERROR(INDEX(الموظفون!$C$6:$C$105,MATCH(B148,الموظفون!$B$6:$B$105,0)),"✖ رقم غير موجود"))</f>
        <v/>
      </c>
      <c r="D148" s="118"/>
      <c r="E148" s="119"/>
      <c r="F148" s="119"/>
      <c r="G148" s="65" t="str">
        <f aca="false">IF(OR($B148="",$E148="",$F148=""),"",MAX(0,F148-E148+1))</f>
        <v/>
      </c>
      <c r="H148" s="66" t="str">
        <f aca="false">IF(D148="","",IFERROR(VLOOKUP(D148,cfg_LT,2,FALSE()),1))</f>
        <v/>
      </c>
      <c r="I148" s="135"/>
      <c r="J148" s="66" t="str">
        <f aca="false">IF(D148="","",IF(I148&lt;&gt;"",I148,H148))</f>
        <v/>
      </c>
      <c r="K148" s="114" t="str">
        <f aca="false">IF(D148="","",IFERROR(VLOOKUP($D148,cfg_LT,3,FALSE()),""))</f>
        <v/>
      </c>
      <c r="L148" s="114" t="str">
        <f aca="false">IF(D148="","",IFERROR(VLOOKUP($D148,cfg_LT,4,FALSE()),""))</f>
        <v/>
      </c>
      <c r="M148" s="114" t="str">
        <f aca="false">IF(D148="","",IFERROR(VLOOKUP($D148,cfg_LT,5,FALSE()),""))</f>
        <v/>
      </c>
      <c r="N148" s="111" t="n">
        <f aca="false">IF(OR(OR($B148="",$E148="",$F148=""),M148&lt;&gt;"نعم"),0,G148*J148*IFERROR(INDEX(الموظفون!$R$6:$R$105,MATCH(B148,الموظفون!$B$6:$B$105,0)),0)/cfg_DAYS_M)</f>
        <v>0</v>
      </c>
      <c r="O148" s="106" t="str">
        <f aca="false">IF(OR(OR($B148="",$E148="",$F148=""),M148&lt;&gt;"نعم"),"",IF(YEAR(E148)=cfg_FY,MONTH(E148),""))</f>
        <v/>
      </c>
      <c r="P148" s="114" t="str">
        <f aca="false">IF(B148="","",IF(OR(D148="",E148="",F148=""),"⚠ أكمل النوع والتواريخ",IF(F148&lt;E148,"✖ النهاية قبل البداية",IF(COUNTIFS($B$6:$B$505,B148,$E$6:$E$505,"&lt;="&amp;F148,$F$6:$F$505,"&gt;="&amp;E148)&gt;1,"⚠ تداخل مع سجل آخر",IF(E148&gt;cfg_VAL_DATE,"⏳ قادمة",IF(F148&lt;cfg_VAL_DATE,"✔ منتهية","✈ جارية في تاريخ التقرير"))))))</f>
        <v/>
      </c>
      <c r="Q148" s="118"/>
      <c r="R148" s="65" t="n">
        <f aca="false">IF(OR(OR($B148="",$E148="",$F148=""),L148&lt;&gt;"لا"),0,MAX(0,MIN(F148,cfg_Y_START-1)-E148+1))</f>
        <v>0</v>
      </c>
      <c r="S148" s="65" t="n">
        <f aca="false">IF(OR(OR($B148="",$E148="",$F148=""),L148&lt;&gt;"لا"),0,MAX(0,MIN(F148,cfg_VAL_DATE)-E148+1))</f>
        <v>0</v>
      </c>
      <c r="T148" s="65" t="n">
        <f aca="false">IF(OR(OR($B148="",$E148="",$F148=""),K148&lt;&gt;"نعم"),0,IF(M148="نعم",IF(AND(ISNUMBER(O148),N(O148)&lt;=cfg_VAL_M),G148,0),MAX(0,MIN(F148,cfg_VAL_DATE)-MAX(E148,cfg_Y_START)+1)))</f>
        <v>0</v>
      </c>
      <c r="V148" s="65" t="n">
        <f aca="false">IF(OR($B148="",$E148="",$F148=""),0,MAX(0,MIN($F148,EOMONTH(DATE(cfg_FY,1,1),0))-MAX($E148,DATE(cfg_FY,1,1))+1)*(1-IF($M148="نعم",0,N($J148))))</f>
        <v>0</v>
      </c>
      <c r="W148" s="65" t="n">
        <f aca="false">IF(OR($B148="",$E148="",$F148=""),0,MAX(0,MIN($F148,EOMONTH(DATE(cfg_FY,2,1),0))-MAX($E148,DATE(cfg_FY,2,1))+1)*(1-IF($M148="نعم",0,N($J148))))</f>
        <v>0</v>
      </c>
      <c r="X148" s="65" t="n">
        <f aca="false">IF(OR($B148="",$E148="",$F148=""),0,MAX(0,MIN($F148,EOMONTH(DATE(cfg_FY,3,1),0))-MAX($E148,DATE(cfg_FY,3,1))+1)*(1-IF($M148="نعم",0,N($J148))))</f>
        <v>0</v>
      </c>
      <c r="Y148" s="65" t="n">
        <f aca="false">IF(OR($B148="",$E148="",$F148=""),0,MAX(0,MIN($F148,EOMONTH(DATE(cfg_FY,4,1),0))-MAX($E148,DATE(cfg_FY,4,1))+1)*(1-IF($M148="نعم",0,N($J148))))</f>
        <v>0</v>
      </c>
      <c r="Z148" s="65" t="n">
        <f aca="false">IF(OR($B148="",$E148="",$F148=""),0,MAX(0,MIN($F148,EOMONTH(DATE(cfg_FY,5,1),0))-MAX($E148,DATE(cfg_FY,5,1))+1)*(1-IF($M148="نعم",0,N($J148))))</f>
        <v>0</v>
      </c>
      <c r="AA148" s="65" t="n">
        <f aca="false">IF(OR($B148="",$E148="",$F148=""),0,MAX(0,MIN($F148,EOMONTH(DATE(cfg_FY,6,1),0))-MAX($E148,DATE(cfg_FY,6,1))+1)*(1-IF($M148="نعم",0,N($J148))))</f>
        <v>0</v>
      </c>
      <c r="AB148" s="65" t="n">
        <f aca="false">IF(OR($B148="",$E148="",$F148=""),0,MAX(0,MIN($F148,EOMONTH(DATE(cfg_FY,7,1),0))-MAX($E148,DATE(cfg_FY,7,1))+1)*(1-IF($M148="نعم",0,N($J148))))</f>
        <v>0</v>
      </c>
      <c r="AC148" s="65" t="n">
        <f aca="false">IF(OR($B148="",$E148="",$F148=""),0,MAX(0,MIN($F148,EOMONTH(DATE(cfg_FY,8,1),0))-MAX($E148,DATE(cfg_FY,8,1))+1)*(1-IF($M148="نعم",0,N($J148))))</f>
        <v>0</v>
      </c>
      <c r="AD148" s="65" t="n">
        <f aca="false">IF(OR($B148="",$E148="",$F148=""),0,MAX(0,MIN($F148,EOMONTH(DATE(cfg_FY,9,1),0))-MAX($E148,DATE(cfg_FY,9,1))+1)*(1-IF($M148="نعم",0,N($J148))))</f>
        <v>0</v>
      </c>
      <c r="AE148" s="65" t="n">
        <f aca="false">IF(OR($B148="",$E148="",$F148=""),0,MAX(0,MIN($F148,EOMONTH(DATE(cfg_FY,10,1),0))-MAX($E148,DATE(cfg_FY,10,1))+1)*(1-IF($M148="نعم",0,N($J148))))</f>
        <v>0</v>
      </c>
      <c r="AF148" s="65" t="n">
        <f aca="false">IF(OR($B148="",$E148="",$F148=""),0,MAX(0,MIN($F148,EOMONTH(DATE(cfg_FY,11,1),0))-MAX($E148,DATE(cfg_FY,11,1))+1)*(1-IF($M148="نعم",0,N($J148))))</f>
        <v>0</v>
      </c>
      <c r="AG148" s="65" t="n">
        <f aca="false">IF(OR($B148="",$E148="",$F148=""),0,MAX(0,MIN($F148,EOMONTH(DATE(cfg_FY,12,1),0))-MAX($E148,DATE(cfg_FY,12,1))+1)*(1-IF($M148="نعم",0,N($J148))))</f>
        <v>0</v>
      </c>
      <c r="AH148" s="65" t="n">
        <f aca="false">IF(OR(OR($B148="",$E148="",$F148=""),$L148&lt;&gt;"لا"),0,MAX(0,MIN($F148,EOMONTH(DATE(cfg_FY,1,1),0))-$E148+1))</f>
        <v>0</v>
      </c>
      <c r="AI148" s="65" t="n">
        <f aca="false">IF(OR(OR($B148="",$E148="",$F148=""),$L148&lt;&gt;"لا"),0,MAX(0,MIN($F148,EOMONTH(DATE(cfg_FY,2,1),0))-$E148+1))</f>
        <v>0</v>
      </c>
      <c r="AJ148" s="65" t="n">
        <f aca="false">IF(OR(OR($B148="",$E148="",$F148=""),$L148&lt;&gt;"لا"),0,MAX(0,MIN($F148,EOMONTH(DATE(cfg_FY,3,1),0))-$E148+1))</f>
        <v>0</v>
      </c>
      <c r="AK148" s="65" t="n">
        <f aca="false">IF(OR(OR($B148="",$E148="",$F148=""),$L148&lt;&gt;"لا"),0,MAX(0,MIN($F148,EOMONTH(DATE(cfg_FY,4,1),0))-$E148+1))</f>
        <v>0</v>
      </c>
      <c r="AL148" s="65" t="n">
        <f aca="false">IF(OR(OR($B148="",$E148="",$F148=""),$L148&lt;&gt;"لا"),0,MAX(0,MIN($F148,EOMONTH(DATE(cfg_FY,5,1),0))-$E148+1))</f>
        <v>0</v>
      </c>
      <c r="AM148" s="65" t="n">
        <f aca="false">IF(OR(OR($B148="",$E148="",$F148=""),$L148&lt;&gt;"لا"),0,MAX(0,MIN($F148,EOMONTH(DATE(cfg_FY,6,1),0))-$E148+1))</f>
        <v>0</v>
      </c>
      <c r="AN148" s="65" t="n">
        <f aca="false">IF(OR(OR($B148="",$E148="",$F148=""),$L148&lt;&gt;"لا"),0,MAX(0,MIN($F148,EOMONTH(DATE(cfg_FY,7,1),0))-$E148+1))</f>
        <v>0</v>
      </c>
      <c r="AO148" s="65" t="n">
        <f aca="false">IF(OR(OR($B148="",$E148="",$F148=""),$L148&lt;&gt;"لا"),0,MAX(0,MIN($F148,EOMONTH(DATE(cfg_FY,8,1),0))-$E148+1))</f>
        <v>0</v>
      </c>
      <c r="AP148" s="65" t="n">
        <f aca="false">IF(OR(OR($B148="",$E148="",$F148=""),$L148&lt;&gt;"لا"),0,MAX(0,MIN($F148,EOMONTH(DATE(cfg_FY,9,1),0))-$E148+1))</f>
        <v>0</v>
      </c>
      <c r="AQ148" s="65" t="n">
        <f aca="false">IF(OR(OR($B148="",$E148="",$F148=""),$L148&lt;&gt;"لا"),0,MAX(0,MIN($F148,EOMONTH(DATE(cfg_FY,10,1),0))-$E148+1))</f>
        <v>0</v>
      </c>
      <c r="AR148" s="65" t="n">
        <f aca="false">IF(OR(OR($B148="",$E148="",$F148=""),$L148&lt;&gt;"لا"),0,MAX(0,MIN($F148,EOMONTH(DATE(cfg_FY,11,1),0))-$E148+1))</f>
        <v>0</v>
      </c>
      <c r="AS148" s="65" t="n">
        <f aca="false">IF(OR(OR($B148="",$E148="",$F148=""),$L148&lt;&gt;"لا"),0,MAX(0,MIN($F148,EOMONTH(DATE(cfg_FY,12,1),0))-$E148+1))</f>
        <v>0</v>
      </c>
      <c r="AT148" s="65" t="n">
        <f aca="false">IF(OR(OR($B148="",$E148="",$F148=""),$K148&lt;&gt;"نعم",$M148="نعم"),0,MAX(0,MIN($F148,EOMONTH(DATE(cfg_FY,1,1),0))-MAX($E148,DATE(cfg_FY,1,1))+1))</f>
        <v>0</v>
      </c>
      <c r="AU148" s="65" t="n">
        <f aca="false">IF(OR(OR($B148="",$E148="",$F148=""),$K148&lt;&gt;"نعم",$M148="نعم"),0,MAX(0,MIN($F148,EOMONTH(DATE(cfg_FY,2,1),0))-MAX($E148,DATE(cfg_FY,2,1))+1))</f>
        <v>0</v>
      </c>
      <c r="AV148" s="65" t="n">
        <f aca="false">IF(OR(OR($B148="",$E148="",$F148=""),$K148&lt;&gt;"نعم",$M148="نعم"),0,MAX(0,MIN($F148,EOMONTH(DATE(cfg_FY,3,1),0))-MAX($E148,DATE(cfg_FY,3,1))+1))</f>
        <v>0</v>
      </c>
      <c r="AW148" s="65" t="n">
        <f aca="false">IF(OR(OR($B148="",$E148="",$F148=""),$K148&lt;&gt;"نعم",$M148="نعم"),0,MAX(0,MIN($F148,EOMONTH(DATE(cfg_FY,4,1),0))-MAX($E148,DATE(cfg_FY,4,1))+1))</f>
        <v>0</v>
      </c>
      <c r="AX148" s="65" t="n">
        <f aca="false">IF(OR(OR($B148="",$E148="",$F148=""),$K148&lt;&gt;"نعم",$M148="نعم"),0,MAX(0,MIN($F148,EOMONTH(DATE(cfg_FY,5,1),0))-MAX($E148,DATE(cfg_FY,5,1))+1))</f>
        <v>0</v>
      </c>
      <c r="AY148" s="65" t="n">
        <f aca="false">IF(OR(OR($B148="",$E148="",$F148=""),$K148&lt;&gt;"نعم",$M148="نعم"),0,MAX(0,MIN($F148,EOMONTH(DATE(cfg_FY,6,1),0))-MAX($E148,DATE(cfg_FY,6,1))+1))</f>
        <v>0</v>
      </c>
      <c r="AZ148" s="65" t="n">
        <f aca="false">IF(OR(OR($B148="",$E148="",$F148=""),$K148&lt;&gt;"نعم",$M148="نعم"),0,MAX(0,MIN($F148,EOMONTH(DATE(cfg_FY,7,1),0))-MAX($E148,DATE(cfg_FY,7,1))+1))</f>
        <v>0</v>
      </c>
      <c r="BA148" s="65" t="n">
        <f aca="false">IF(OR(OR($B148="",$E148="",$F148=""),$K148&lt;&gt;"نعم",$M148="نعم"),0,MAX(0,MIN($F148,EOMONTH(DATE(cfg_FY,8,1),0))-MAX($E148,DATE(cfg_FY,8,1))+1))</f>
        <v>0</v>
      </c>
      <c r="BB148" s="65" t="n">
        <f aca="false">IF(OR(OR($B148="",$E148="",$F148=""),$K148&lt;&gt;"نعم",$M148="نعم"),0,MAX(0,MIN($F148,EOMONTH(DATE(cfg_FY,9,1),0))-MAX($E148,DATE(cfg_FY,9,1))+1))</f>
        <v>0</v>
      </c>
      <c r="BC148" s="65" t="n">
        <f aca="false">IF(OR(OR($B148="",$E148="",$F148=""),$K148&lt;&gt;"نعم",$M148="نعم"),0,MAX(0,MIN($F148,EOMONTH(DATE(cfg_FY,10,1),0))-MAX($E148,DATE(cfg_FY,10,1))+1))</f>
        <v>0</v>
      </c>
      <c r="BD148" s="65" t="n">
        <f aca="false">IF(OR(OR($B148="",$E148="",$F148=""),$K148&lt;&gt;"نعم",$M148="نعم"),0,MAX(0,MIN($F148,EOMONTH(DATE(cfg_FY,11,1),0))-MAX($E148,DATE(cfg_FY,11,1))+1))</f>
        <v>0</v>
      </c>
      <c r="BE148" s="65" t="n">
        <f aca="false">IF(OR(OR($B148="",$E148="",$F148=""),$K148&lt;&gt;"نعم",$M148="نعم"),0,MAX(0,MIN($F148,EOMONTH(DATE(cfg_FY,12,1),0))-MAX($E148,DATE(cfg_FY,12,1))+1))</f>
        <v>0</v>
      </c>
    </row>
    <row r="149" customFormat="false" ht="15" hidden="false" customHeight="false" outlineLevel="0" collapsed="false">
      <c r="A149" s="115" t="str">
        <f aca="false">IF(B149="","",ROW()-5)</f>
        <v/>
      </c>
      <c r="B149" s="118"/>
      <c r="C149" s="117" t="str">
        <f aca="false">IF(B149="","",IFERROR(INDEX(الموظفون!$C$6:$C$105,MATCH(B149,الموظفون!$B$6:$B$105,0)),"✖ رقم غير موجود"))</f>
        <v/>
      </c>
      <c r="D149" s="118"/>
      <c r="E149" s="119"/>
      <c r="F149" s="119"/>
      <c r="G149" s="133" t="str">
        <f aca="false">IF(OR($B149="",$E149="",$F149=""),"",MAX(0,F149-E149+1))</f>
        <v/>
      </c>
      <c r="H149" s="134" t="str">
        <f aca="false">IF(D149="","",IFERROR(VLOOKUP(D149,cfg_LT,2,FALSE()),1))</f>
        <v/>
      </c>
      <c r="I149" s="135"/>
      <c r="J149" s="134" t="str">
        <f aca="false">IF(D149="","",IF(I149&lt;&gt;"",I149,H149))</f>
        <v/>
      </c>
      <c r="K149" s="117" t="str">
        <f aca="false">IF(D149="","",IFERROR(VLOOKUP($D149,cfg_LT,3,FALSE()),""))</f>
        <v/>
      </c>
      <c r="L149" s="117" t="str">
        <f aca="false">IF(D149="","",IFERROR(VLOOKUP($D149,cfg_LT,4,FALSE()),""))</f>
        <v/>
      </c>
      <c r="M149" s="117" t="str">
        <f aca="false">IF(D149="","",IFERROR(VLOOKUP($D149,cfg_LT,5,FALSE()),""))</f>
        <v/>
      </c>
      <c r="N149" s="116" t="n">
        <f aca="false">IF(OR(OR($B149="",$E149="",$F149=""),M149&lt;&gt;"نعم"),0,G149*J149*IFERROR(INDEX(الموظفون!$R$6:$R$105,MATCH(B149,الموظفون!$B$6:$B$105,0)),0)/cfg_DAYS_M)</f>
        <v>0</v>
      </c>
      <c r="O149" s="115" t="str">
        <f aca="false">IF(OR(OR($B149="",$E149="",$F149=""),M149&lt;&gt;"نعم"),"",IF(YEAR(E149)=cfg_FY,MONTH(E149),""))</f>
        <v/>
      </c>
      <c r="P149" s="117" t="str">
        <f aca="false">IF(B149="","",IF(OR(D149="",E149="",F149=""),"⚠ أكمل النوع والتواريخ",IF(F149&lt;E149,"✖ النهاية قبل البداية",IF(COUNTIFS($B$6:$B$505,B149,$E$6:$E$505,"&lt;="&amp;F149,$F$6:$F$505,"&gt;="&amp;E149)&gt;1,"⚠ تداخل مع سجل آخر",IF(E149&gt;cfg_VAL_DATE,"⏳ قادمة",IF(F149&lt;cfg_VAL_DATE,"✔ منتهية","✈ جارية في تاريخ التقرير"))))))</f>
        <v/>
      </c>
      <c r="Q149" s="118"/>
      <c r="R149" s="133" t="n">
        <f aca="false">IF(OR(OR($B149="",$E149="",$F149=""),L149&lt;&gt;"لا"),0,MAX(0,MIN(F149,cfg_Y_START-1)-E149+1))</f>
        <v>0</v>
      </c>
      <c r="S149" s="133" t="n">
        <f aca="false">IF(OR(OR($B149="",$E149="",$F149=""),L149&lt;&gt;"لا"),0,MAX(0,MIN(F149,cfg_VAL_DATE)-E149+1))</f>
        <v>0</v>
      </c>
      <c r="T149" s="133" t="n">
        <f aca="false">IF(OR(OR($B149="",$E149="",$F149=""),K149&lt;&gt;"نعم"),0,IF(M149="نعم",IF(AND(ISNUMBER(O149),N(O149)&lt;=cfg_VAL_M),G149,0),MAX(0,MIN(F149,cfg_VAL_DATE)-MAX(E149,cfg_Y_START)+1)))</f>
        <v>0</v>
      </c>
      <c r="V149" s="133" t="n">
        <f aca="false">IF(OR($B149="",$E149="",$F149=""),0,MAX(0,MIN($F149,EOMONTH(DATE(cfg_FY,1,1),0))-MAX($E149,DATE(cfg_FY,1,1))+1)*(1-IF($M149="نعم",0,N($J149))))</f>
        <v>0</v>
      </c>
      <c r="W149" s="133" t="n">
        <f aca="false">IF(OR($B149="",$E149="",$F149=""),0,MAX(0,MIN($F149,EOMONTH(DATE(cfg_FY,2,1),0))-MAX($E149,DATE(cfg_FY,2,1))+1)*(1-IF($M149="نعم",0,N($J149))))</f>
        <v>0</v>
      </c>
      <c r="X149" s="133" t="n">
        <f aca="false">IF(OR($B149="",$E149="",$F149=""),0,MAX(0,MIN($F149,EOMONTH(DATE(cfg_FY,3,1),0))-MAX($E149,DATE(cfg_FY,3,1))+1)*(1-IF($M149="نعم",0,N($J149))))</f>
        <v>0</v>
      </c>
      <c r="Y149" s="133" t="n">
        <f aca="false">IF(OR($B149="",$E149="",$F149=""),0,MAX(0,MIN($F149,EOMONTH(DATE(cfg_FY,4,1),0))-MAX($E149,DATE(cfg_FY,4,1))+1)*(1-IF($M149="نعم",0,N($J149))))</f>
        <v>0</v>
      </c>
      <c r="Z149" s="133" t="n">
        <f aca="false">IF(OR($B149="",$E149="",$F149=""),0,MAX(0,MIN($F149,EOMONTH(DATE(cfg_FY,5,1),0))-MAX($E149,DATE(cfg_FY,5,1))+1)*(1-IF($M149="نعم",0,N($J149))))</f>
        <v>0</v>
      </c>
      <c r="AA149" s="133" t="n">
        <f aca="false">IF(OR($B149="",$E149="",$F149=""),0,MAX(0,MIN($F149,EOMONTH(DATE(cfg_FY,6,1),0))-MAX($E149,DATE(cfg_FY,6,1))+1)*(1-IF($M149="نعم",0,N($J149))))</f>
        <v>0</v>
      </c>
      <c r="AB149" s="133" t="n">
        <f aca="false">IF(OR($B149="",$E149="",$F149=""),0,MAX(0,MIN($F149,EOMONTH(DATE(cfg_FY,7,1),0))-MAX($E149,DATE(cfg_FY,7,1))+1)*(1-IF($M149="نعم",0,N($J149))))</f>
        <v>0</v>
      </c>
      <c r="AC149" s="133" t="n">
        <f aca="false">IF(OR($B149="",$E149="",$F149=""),0,MAX(0,MIN($F149,EOMONTH(DATE(cfg_FY,8,1),0))-MAX($E149,DATE(cfg_FY,8,1))+1)*(1-IF($M149="نعم",0,N($J149))))</f>
        <v>0</v>
      </c>
      <c r="AD149" s="133" t="n">
        <f aca="false">IF(OR($B149="",$E149="",$F149=""),0,MAX(0,MIN($F149,EOMONTH(DATE(cfg_FY,9,1),0))-MAX($E149,DATE(cfg_FY,9,1))+1)*(1-IF($M149="نعم",0,N($J149))))</f>
        <v>0</v>
      </c>
      <c r="AE149" s="133" t="n">
        <f aca="false">IF(OR($B149="",$E149="",$F149=""),0,MAX(0,MIN($F149,EOMONTH(DATE(cfg_FY,10,1),0))-MAX($E149,DATE(cfg_FY,10,1))+1)*(1-IF($M149="نعم",0,N($J149))))</f>
        <v>0</v>
      </c>
      <c r="AF149" s="133" t="n">
        <f aca="false">IF(OR($B149="",$E149="",$F149=""),0,MAX(0,MIN($F149,EOMONTH(DATE(cfg_FY,11,1),0))-MAX($E149,DATE(cfg_FY,11,1))+1)*(1-IF($M149="نعم",0,N($J149))))</f>
        <v>0</v>
      </c>
      <c r="AG149" s="133" t="n">
        <f aca="false">IF(OR($B149="",$E149="",$F149=""),0,MAX(0,MIN($F149,EOMONTH(DATE(cfg_FY,12,1),0))-MAX($E149,DATE(cfg_FY,12,1))+1)*(1-IF($M149="نعم",0,N($J149))))</f>
        <v>0</v>
      </c>
      <c r="AH149" s="133" t="n">
        <f aca="false">IF(OR(OR($B149="",$E149="",$F149=""),$L149&lt;&gt;"لا"),0,MAX(0,MIN($F149,EOMONTH(DATE(cfg_FY,1,1),0))-$E149+1))</f>
        <v>0</v>
      </c>
      <c r="AI149" s="133" t="n">
        <f aca="false">IF(OR(OR($B149="",$E149="",$F149=""),$L149&lt;&gt;"لا"),0,MAX(0,MIN($F149,EOMONTH(DATE(cfg_FY,2,1),0))-$E149+1))</f>
        <v>0</v>
      </c>
      <c r="AJ149" s="133" t="n">
        <f aca="false">IF(OR(OR($B149="",$E149="",$F149=""),$L149&lt;&gt;"لا"),0,MAX(0,MIN($F149,EOMONTH(DATE(cfg_FY,3,1),0))-$E149+1))</f>
        <v>0</v>
      </c>
      <c r="AK149" s="133" t="n">
        <f aca="false">IF(OR(OR($B149="",$E149="",$F149=""),$L149&lt;&gt;"لا"),0,MAX(0,MIN($F149,EOMONTH(DATE(cfg_FY,4,1),0))-$E149+1))</f>
        <v>0</v>
      </c>
      <c r="AL149" s="133" t="n">
        <f aca="false">IF(OR(OR($B149="",$E149="",$F149=""),$L149&lt;&gt;"لا"),0,MAX(0,MIN($F149,EOMONTH(DATE(cfg_FY,5,1),0))-$E149+1))</f>
        <v>0</v>
      </c>
      <c r="AM149" s="133" t="n">
        <f aca="false">IF(OR(OR($B149="",$E149="",$F149=""),$L149&lt;&gt;"لا"),0,MAX(0,MIN($F149,EOMONTH(DATE(cfg_FY,6,1),0))-$E149+1))</f>
        <v>0</v>
      </c>
      <c r="AN149" s="133" t="n">
        <f aca="false">IF(OR(OR($B149="",$E149="",$F149=""),$L149&lt;&gt;"لا"),0,MAX(0,MIN($F149,EOMONTH(DATE(cfg_FY,7,1),0))-$E149+1))</f>
        <v>0</v>
      </c>
      <c r="AO149" s="133" t="n">
        <f aca="false">IF(OR(OR($B149="",$E149="",$F149=""),$L149&lt;&gt;"لا"),0,MAX(0,MIN($F149,EOMONTH(DATE(cfg_FY,8,1),0))-$E149+1))</f>
        <v>0</v>
      </c>
      <c r="AP149" s="133" t="n">
        <f aca="false">IF(OR(OR($B149="",$E149="",$F149=""),$L149&lt;&gt;"لا"),0,MAX(0,MIN($F149,EOMONTH(DATE(cfg_FY,9,1),0))-$E149+1))</f>
        <v>0</v>
      </c>
      <c r="AQ149" s="133" t="n">
        <f aca="false">IF(OR(OR($B149="",$E149="",$F149=""),$L149&lt;&gt;"لا"),0,MAX(0,MIN($F149,EOMONTH(DATE(cfg_FY,10,1),0))-$E149+1))</f>
        <v>0</v>
      </c>
      <c r="AR149" s="133" t="n">
        <f aca="false">IF(OR(OR($B149="",$E149="",$F149=""),$L149&lt;&gt;"لا"),0,MAX(0,MIN($F149,EOMONTH(DATE(cfg_FY,11,1),0))-$E149+1))</f>
        <v>0</v>
      </c>
      <c r="AS149" s="133" t="n">
        <f aca="false">IF(OR(OR($B149="",$E149="",$F149=""),$L149&lt;&gt;"لا"),0,MAX(0,MIN($F149,EOMONTH(DATE(cfg_FY,12,1),0))-$E149+1))</f>
        <v>0</v>
      </c>
      <c r="AT149" s="133" t="n">
        <f aca="false">IF(OR(OR($B149="",$E149="",$F149=""),$K149&lt;&gt;"نعم",$M149="نعم"),0,MAX(0,MIN($F149,EOMONTH(DATE(cfg_FY,1,1),0))-MAX($E149,DATE(cfg_FY,1,1))+1))</f>
        <v>0</v>
      </c>
      <c r="AU149" s="133" t="n">
        <f aca="false">IF(OR(OR($B149="",$E149="",$F149=""),$K149&lt;&gt;"نعم",$M149="نعم"),0,MAX(0,MIN($F149,EOMONTH(DATE(cfg_FY,2,1),0))-MAX($E149,DATE(cfg_FY,2,1))+1))</f>
        <v>0</v>
      </c>
      <c r="AV149" s="133" t="n">
        <f aca="false">IF(OR(OR($B149="",$E149="",$F149=""),$K149&lt;&gt;"نعم",$M149="نعم"),0,MAX(0,MIN($F149,EOMONTH(DATE(cfg_FY,3,1),0))-MAX($E149,DATE(cfg_FY,3,1))+1))</f>
        <v>0</v>
      </c>
      <c r="AW149" s="133" t="n">
        <f aca="false">IF(OR(OR($B149="",$E149="",$F149=""),$K149&lt;&gt;"نعم",$M149="نعم"),0,MAX(0,MIN($F149,EOMONTH(DATE(cfg_FY,4,1),0))-MAX($E149,DATE(cfg_FY,4,1))+1))</f>
        <v>0</v>
      </c>
      <c r="AX149" s="133" t="n">
        <f aca="false">IF(OR(OR($B149="",$E149="",$F149=""),$K149&lt;&gt;"نعم",$M149="نعم"),0,MAX(0,MIN($F149,EOMONTH(DATE(cfg_FY,5,1),0))-MAX($E149,DATE(cfg_FY,5,1))+1))</f>
        <v>0</v>
      </c>
      <c r="AY149" s="133" t="n">
        <f aca="false">IF(OR(OR($B149="",$E149="",$F149=""),$K149&lt;&gt;"نعم",$M149="نعم"),0,MAX(0,MIN($F149,EOMONTH(DATE(cfg_FY,6,1),0))-MAX($E149,DATE(cfg_FY,6,1))+1))</f>
        <v>0</v>
      </c>
      <c r="AZ149" s="133" t="n">
        <f aca="false">IF(OR(OR($B149="",$E149="",$F149=""),$K149&lt;&gt;"نعم",$M149="نعم"),0,MAX(0,MIN($F149,EOMONTH(DATE(cfg_FY,7,1),0))-MAX($E149,DATE(cfg_FY,7,1))+1))</f>
        <v>0</v>
      </c>
      <c r="BA149" s="133" t="n">
        <f aca="false">IF(OR(OR($B149="",$E149="",$F149=""),$K149&lt;&gt;"نعم",$M149="نعم"),0,MAX(0,MIN($F149,EOMONTH(DATE(cfg_FY,8,1),0))-MAX($E149,DATE(cfg_FY,8,1))+1))</f>
        <v>0</v>
      </c>
      <c r="BB149" s="133" t="n">
        <f aca="false">IF(OR(OR($B149="",$E149="",$F149=""),$K149&lt;&gt;"نعم",$M149="نعم"),0,MAX(0,MIN($F149,EOMONTH(DATE(cfg_FY,9,1),0))-MAX($E149,DATE(cfg_FY,9,1))+1))</f>
        <v>0</v>
      </c>
      <c r="BC149" s="133" t="n">
        <f aca="false">IF(OR(OR($B149="",$E149="",$F149=""),$K149&lt;&gt;"نعم",$M149="نعم"),0,MAX(0,MIN($F149,EOMONTH(DATE(cfg_FY,10,1),0))-MAX($E149,DATE(cfg_FY,10,1))+1))</f>
        <v>0</v>
      </c>
      <c r="BD149" s="133" t="n">
        <f aca="false">IF(OR(OR($B149="",$E149="",$F149=""),$K149&lt;&gt;"نعم",$M149="نعم"),0,MAX(0,MIN($F149,EOMONTH(DATE(cfg_FY,11,1),0))-MAX($E149,DATE(cfg_FY,11,1))+1))</f>
        <v>0</v>
      </c>
      <c r="BE149" s="133" t="n">
        <f aca="false">IF(OR(OR($B149="",$E149="",$F149=""),$K149&lt;&gt;"نعم",$M149="نعم"),0,MAX(0,MIN($F149,EOMONTH(DATE(cfg_FY,12,1),0))-MAX($E149,DATE(cfg_FY,12,1))+1))</f>
        <v>0</v>
      </c>
    </row>
    <row r="150" customFormat="false" ht="15" hidden="false" customHeight="false" outlineLevel="0" collapsed="false">
      <c r="A150" s="106" t="str">
        <f aca="false">IF(B150="","",ROW()-5)</f>
        <v/>
      </c>
      <c r="B150" s="118"/>
      <c r="C150" s="114" t="str">
        <f aca="false">IF(B150="","",IFERROR(INDEX(الموظفون!$C$6:$C$105,MATCH(B150,الموظفون!$B$6:$B$105,0)),"✖ رقم غير موجود"))</f>
        <v/>
      </c>
      <c r="D150" s="118"/>
      <c r="E150" s="119"/>
      <c r="F150" s="119"/>
      <c r="G150" s="65" t="str">
        <f aca="false">IF(OR($B150="",$E150="",$F150=""),"",MAX(0,F150-E150+1))</f>
        <v/>
      </c>
      <c r="H150" s="66" t="str">
        <f aca="false">IF(D150="","",IFERROR(VLOOKUP(D150,cfg_LT,2,FALSE()),1))</f>
        <v/>
      </c>
      <c r="I150" s="135"/>
      <c r="J150" s="66" t="str">
        <f aca="false">IF(D150="","",IF(I150&lt;&gt;"",I150,H150))</f>
        <v/>
      </c>
      <c r="K150" s="114" t="str">
        <f aca="false">IF(D150="","",IFERROR(VLOOKUP($D150,cfg_LT,3,FALSE()),""))</f>
        <v/>
      </c>
      <c r="L150" s="114" t="str">
        <f aca="false">IF(D150="","",IFERROR(VLOOKUP($D150,cfg_LT,4,FALSE()),""))</f>
        <v/>
      </c>
      <c r="M150" s="114" t="str">
        <f aca="false">IF(D150="","",IFERROR(VLOOKUP($D150,cfg_LT,5,FALSE()),""))</f>
        <v/>
      </c>
      <c r="N150" s="111" t="n">
        <f aca="false">IF(OR(OR($B150="",$E150="",$F150=""),M150&lt;&gt;"نعم"),0,G150*J150*IFERROR(INDEX(الموظفون!$R$6:$R$105,MATCH(B150,الموظفون!$B$6:$B$105,0)),0)/cfg_DAYS_M)</f>
        <v>0</v>
      </c>
      <c r="O150" s="106" t="str">
        <f aca="false">IF(OR(OR($B150="",$E150="",$F150=""),M150&lt;&gt;"نعم"),"",IF(YEAR(E150)=cfg_FY,MONTH(E150),""))</f>
        <v/>
      </c>
      <c r="P150" s="114" t="str">
        <f aca="false">IF(B150="","",IF(OR(D150="",E150="",F150=""),"⚠ أكمل النوع والتواريخ",IF(F150&lt;E150,"✖ النهاية قبل البداية",IF(COUNTIFS($B$6:$B$505,B150,$E$6:$E$505,"&lt;="&amp;F150,$F$6:$F$505,"&gt;="&amp;E150)&gt;1,"⚠ تداخل مع سجل آخر",IF(E150&gt;cfg_VAL_DATE,"⏳ قادمة",IF(F150&lt;cfg_VAL_DATE,"✔ منتهية","✈ جارية في تاريخ التقرير"))))))</f>
        <v/>
      </c>
      <c r="Q150" s="118"/>
      <c r="R150" s="65" t="n">
        <f aca="false">IF(OR(OR($B150="",$E150="",$F150=""),L150&lt;&gt;"لا"),0,MAX(0,MIN(F150,cfg_Y_START-1)-E150+1))</f>
        <v>0</v>
      </c>
      <c r="S150" s="65" t="n">
        <f aca="false">IF(OR(OR($B150="",$E150="",$F150=""),L150&lt;&gt;"لا"),0,MAX(0,MIN(F150,cfg_VAL_DATE)-E150+1))</f>
        <v>0</v>
      </c>
      <c r="T150" s="65" t="n">
        <f aca="false">IF(OR(OR($B150="",$E150="",$F150=""),K150&lt;&gt;"نعم"),0,IF(M150="نعم",IF(AND(ISNUMBER(O150),N(O150)&lt;=cfg_VAL_M),G150,0),MAX(0,MIN(F150,cfg_VAL_DATE)-MAX(E150,cfg_Y_START)+1)))</f>
        <v>0</v>
      </c>
      <c r="V150" s="65" t="n">
        <f aca="false">IF(OR($B150="",$E150="",$F150=""),0,MAX(0,MIN($F150,EOMONTH(DATE(cfg_FY,1,1),0))-MAX($E150,DATE(cfg_FY,1,1))+1)*(1-IF($M150="نعم",0,N($J150))))</f>
        <v>0</v>
      </c>
      <c r="W150" s="65" t="n">
        <f aca="false">IF(OR($B150="",$E150="",$F150=""),0,MAX(0,MIN($F150,EOMONTH(DATE(cfg_FY,2,1),0))-MAX($E150,DATE(cfg_FY,2,1))+1)*(1-IF($M150="نعم",0,N($J150))))</f>
        <v>0</v>
      </c>
      <c r="X150" s="65" t="n">
        <f aca="false">IF(OR($B150="",$E150="",$F150=""),0,MAX(0,MIN($F150,EOMONTH(DATE(cfg_FY,3,1),0))-MAX($E150,DATE(cfg_FY,3,1))+1)*(1-IF($M150="نعم",0,N($J150))))</f>
        <v>0</v>
      </c>
      <c r="Y150" s="65" t="n">
        <f aca="false">IF(OR($B150="",$E150="",$F150=""),0,MAX(0,MIN($F150,EOMONTH(DATE(cfg_FY,4,1),0))-MAX($E150,DATE(cfg_FY,4,1))+1)*(1-IF($M150="نعم",0,N($J150))))</f>
        <v>0</v>
      </c>
      <c r="Z150" s="65" t="n">
        <f aca="false">IF(OR($B150="",$E150="",$F150=""),0,MAX(0,MIN($F150,EOMONTH(DATE(cfg_FY,5,1),0))-MAX($E150,DATE(cfg_FY,5,1))+1)*(1-IF($M150="نعم",0,N($J150))))</f>
        <v>0</v>
      </c>
      <c r="AA150" s="65" t="n">
        <f aca="false">IF(OR($B150="",$E150="",$F150=""),0,MAX(0,MIN($F150,EOMONTH(DATE(cfg_FY,6,1),0))-MAX($E150,DATE(cfg_FY,6,1))+1)*(1-IF($M150="نعم",0,N($J150))))</f>
        <v>0</v>
      </c>
      <c r="AB150" s="65" t="n">
        <f aca="false">IF(OR($B150="",$E150="",$F150=""),0,MAX(0,MIN($F150,EOMONTH(DATE(cfg_FY,7,1),0))-MAX($E150,DATE(cfg_FY,7,1))+1)*(1-IF($M150="نعم",0,N($J150))))</f>
        <v>0</v>
      </c>
      <c r="AC150" s="65" t="n">
        <f aca="false">IF(OR($B150="",$E150="",$F150=""),0,MAX(0,MIN($F150,EOMONTH(DATE(cfg_FY,8,1),0))-MAX($E150,DATE(cfg_FY,8,1))+1)*(1-IF($M150="نعم",0,N($J150))))</f>
        <v>0</v>
      </c>
      <c r="AD150" s="65" t="n">
        <f aca="false">IF(OR($B150="",$E150="",$F150=""),0,MAX(0,MIN($F150,EOMONTH(DATE(cfg_FY,9,1),0))-MAX($E150,DATE(cfg_FY,9,1))+1)*(1-IF($M150="نعم",0,N($J150))))</f>
        <v>0</v>
      </c>
      <c r="AE150" s="65" t="n">
        <f aca="false">IF(OR($B150="",$E150="",$F150=""),0,MAX(0,MIN($F150,EOMONTH(DATE(cfg_FY,10,1),0))-MAX($E150,DATE(cfg_FY,10,1))+1)*(1-IF($M150="نعم",0,N($J150))))</f>
        <v>0</v>
      </c>
      <c r="AF150" s="65" t="n">
        <f aca="false">IF(OR($B150="",$E150="",$F150=""),0,MAX(0,MIN($F150,EOMONTH(DATE(cfg_FY,11,1),0))-MAX($E150,DATE(cfg_FY,11,1))+1)*(1-IF($M150="نعم",0,N($J150))))</f>
        <v>0</v>
      </c>
      <c r="AG150" s="65" t="n">
        <f aca="false">IF(OR($B150="",$E150="",$F150=""),0,MAX(0,MIN($F150,EOMONTH(DATE(cfg_FY,12,1),0))-MAX($E150,DATE(cfg_FY,12,1))+1)*(1-IF($M150="نعم",0,N($J150))))</f>
        <v>0</v>
      </c>
      <c r="AH150" s="65" t="n">
        <f aca="false">IF(OR(OR($B150="",$E150="",$F150=""),$L150&lt;&gt;"لا"),0,MAX(0,MIN($F150,EOMONTH(DATE(cfg_FY,1,1),0))-$E150+1))</f>
        <v>0</v>
      </c>
      <c r="AI150" s="65" t="n">
        <f aca="false">IF(OR(OR($B150="",$E150="",$F150=""),$L150&lt;&gt;"لا"),0,MAX(0,MIN($F150,EOMONTH(DATE(cfg_FY,2,1),0))-$E150+1))</f>
        <v>0</v>
      </c>
      <c r="AJ150" s="65" t="n">
        <f aca="false">IF(OR(OR($B150="",$E150="",$F150=""),$L150&lt;&gt;"لا"),0,MAX(0,MIN($F150,EOMONTH(DATE(cfg_FY,3,1),0))-$E150+1))</f>
        <v>0</v>
      </c>
      <c r="AK150" s="65" t="n">
        <f aca="false">IF(OR(OR($B150="",$E150="",$F150=""),$L150&lt;&gt;"لا"),0,MAX(0,MIN($F150,EOMONTH(DATE(cfg_FY,4,1),0))-$E150+1))</f>
        <v>0</v>
      </c>
      <c r="AL150" s="65" t="n">
        <f aca="false">IF(OR(OR($B150="",$E150="",$F150=""),$L150&lt;&gt;"لا"),0,MAX(0,MIN($F150,EOMONTH(DATE(cfg_FY,5,1),0))-$E150+1))</f>
        <v>0</v>
      </c>
      <c r="AM150" s="65" t="n">
        <f aca="false">IF(OR(OR($B150="",$E150="",$F150=""),$L150&lt;&gt;"لا"),0,MAX(0,MIN($F150,EOMONTH(DATE(cfg_FY,6,1),0))-$E150+1))</f>
        <v>0</v>
      </c>
      <c r="AN150" s="65" t="n">
        <f aca="false">IF(OR(OR($B150="",$E150="",$F150=""),$L150&lt;&gt;"لا"),0,MAX(0,MIN($F150,EOMONTH(DATE(cfg_FY,7,1),0))-$E150+1))</f>
        <v>0</v>
      </c>
      <c r="AO150" s="65" t="n">
        <f aca="false">IF(OR(OR($B150="",$E150="",$F150=""),$L150&lt;&gt;"لا"),0,MAX(0,MIN($F150,EOMONTH(DATE(cfg_FY,8,1),0))-$E150+1))</f>
        <v>0</v>
      </c>
      <c r="AP150" s="65" t="n">
        <f aca="false">IF(OR(OR($B150="",$E150="",$F150=""),$L150&lt;&gt;"لا"),0,MAX(0,MIN($F150,EOMONTH(DATE(cfg_FY,9,1),0))-$E150+1))</f>
        <v>0</v>
      </c>
      <c r="AQ150" s="65" t="n">
        <f aca="false">IF(OR(OR($B150="",$E150="",$F150=""),$L150&lt;&gt;"لا"),0,MAX(0,MIN($F150,EOMONTH(DATE(cfg_FY,10,1),0))-$E150+1))</f>
        <v>0</v>
      </c>
      <c r="AR150" s="65" t="n">
        <f aca="false">IF(OR(OR($B150="",$E150="",$F150=""),$L150&lt;&gt;"لا"),0,MAX(0,MIN($F150,EOMONTH(DATE(cfg_FY,11,1),0))-$E150+1))</f>
        <v>0</v>
      </c>
      <c r="AS150" s="65" t="n">
        <f aca="false">IF(OR(OR($B150="",$E150="",$F150=""),$L150&lt;&gt;"لا"),0,MAX(0,MIN($F150,EOMONTH(DATE(cfg_FY,12,1),0))-$E150+1))</f>
        <v>0</v>
      </c>
      <c r="AT150" s="65" t="n">
        <f aca="false">IF(OR(OR($B150="",$E150="",$F150=""),$K150&lt;&gt;"نعم",$M150="نعم"),0,MAX(0,MIN($F150,EOMONTH(DATE(cfg_FY,1,1),0))-MAX($E150,DATE(cfg_FY,1,1))+1))</f>
        <v>0</v>
      </c>
      <c r="AU150" s="65" t="n">
        <f aca="false">IF(OR(OR($B150="",$E150="",$F150=""),$K150&lt;&gt;"نعم",$M150="نعم"),0,MAX(0,MIN($F150,EOMONTH(DATE(cfg_FY,2,1),0))-MAX($E150,DATE(cfg_FY,2,1))+1))</f>
        <v>0</v>
      </c>
      <c r="AV150" s="65" t="n">
        <f aca="false">IF(OR(OR($B150="",$E150="",$F150=""),$K150&lt;&gt;"نعم",$M150="نعم"),0,MAX(0,MIN($F150,EOMONTH(DATE(cfg_FY,3,1),0))-MAX($E150,DATE(cfg_FY,3,1))+1))</f>
        <v>0</v>
      </c>
      <c r="AW150" s="65" t="n">
        <f aca="false">IF(OR(OR($B150="",$E150="",$F150=""),$K150&lt;&gt;"نعم",$M150="نعم"),0,MAX(0,MIN($F150,EOMONTH(DATE(cfg_FY,4,1),0))-MAX($E150,DATE(cfg_FY,4,1))+1))</f>
        <v>0</v>
      </c>
      <c r="AX150" s="65" t="n">
        <f aca="false">IF(OR(OR($B150="",$E150="",$F150=""),$K150&lt;&gt;"نعم",$M150="نعم"),0,MAX(0,MIN($F150,EOMONTH(DATE(cfg_FY,5,1),0))-MAX($E150,DATE(cfg_FY,5,1))+1))</f>
        <v>0</v>
      </c>
      <c r="AY150" s="65" t="n">
        <f aca="false">IF(OR(OR($B150="",$E150="",$F150=""),$K150&lt;&gt;"نعم",$M150="نعم"),0,MAX(0,MIN($F150,EOMONTH(DATE(cfg_FY,6,1),0))-MAX($E150,DATE(cfg_FY,6,1))+1))</f>
        <v>0</v>
      </c>
      <c r="AZ150" s="65" t="n">
        <f aca="false">IF(OR(OR($B150="",$E150="",$F150=""),$K150&lt;&gt;"نعم",$M150="نعم"),0,MAX(0,MIN($F150,EOMONTH(DATE(cfg_FY,7,1),0))-MAX($E150,DATE(cfg_FY,7,1))+1))</f>
        <v>0</v>
      </c>
      <c r="BA150" s="65" t="n">
        <f aca="false">IF(OR(OR($B150="",$E150="",$F150=""),$K150&lt;&gt;"نعم",$M150="نعم"),0,MAX(0,MIN($F150,EOMONTH(DATE(cfg_FY,8,1),0))-MAX($E150,DATE(cfg_FY,8,1))+1))</f>
        <v>0</v>
      </c>
      <c r="BB150" s="65" t="n">
        <f aca="false">IF(OR(OR($B150="",$E150="",$F150=""),$K150&lt;&gt;"نعم",$M150="نعم"),0,MAX(0,MIN($F150,EOMONTH(DATE(cfg_FY,9,1),0))-MAX($E150,DATE(cfg_FY,9,1))+1))</f>
        <v>0</v>
      </c>
      <c r="BC150" s="65" t="n">
        <f aca="false">IF(OR(OR($B150="",$E150="",$F150=""),$K150&lt;&gt;"نعم",$M150="نعم"),0,MAX(0,MIN($F150,EOMONTH(DATE(cfg_FY,10,1),0))-MAX($E150,DATE(cfg_FY,10,1))+1))</f>
        <v>0</v>
      </c>
      <c r="BD150" s="65" t="n">
        <f aca="false">IF(OR(OR($B150="",$E150="",$F150=""),$K150&lt;&gt;"نعم",$M150="نعم"),0,MAX(0,MIN($F150,EOMONTH(DATE(cfg_FY,11,1),0))-MAX($E150,DATE(cfg_FY,11,1))+1))</f>
        <v>0</v>
      </c>
      <c r="BE150" s="65" t="n">
        <f aca="false">IF(OR(OR($B150="",$E150="",$F150=""),$K150&lt;&gt;"نعم",$M150="نعم"),0,MAX(0,MIN($F150,EOMONTH(DATE(cfg_FY,12,1),0))-MAX($E150,DATE(cfg_FY,12,1))+1))</f>
        <v>0</v>
      </c>
    </row>
    <row r="151" customFormat="false" ht="15" hidden="false" customHeight="false" outlineLevel="0" collapsed="false">
      <c r="A151" s="115" t="str">
        <f aca="false">IF(B151="","",ROW()-5)</f>
        <v/>
      </c>
      <c r="B151" s="118"/>
      <c r="C151" s="117" t="str">
        <f aca="false">IF(B151="","",IFERROR(INDEX(الموظفون!$C$6:$C$105,MATCH(B151,الموظفون!$B$6:$B$105,0)),"✖ رقم غير موجود"))</f>
        <v/>
      </c>
      <c r="D151" s="118"/>
      <c r="E151" s="119"/>
      <c r="F151" s="119"/>
      <c r="G151" s="133" t="str">
        <f aca="false">IF(OR($B151="",$E151="",$F151=""),"",MAX(0,F151-E151+1))</f>
        <v/>
      </c>
      <c r="H151" s="134" t="str">
        <f aca="false">IF(D151="","",IFERROR(VLOOKUP(D151,cfg_LT,2,FALSE()),1))</f>
        <v/>
      </c>
      <c r="I151" s="135"/>
      <c r="J151" s="134" t="str">
        <f aca="false">IF(D151="","",IF(I151&lt;&gt;"",I151,H151))</f>
        <v/>
      </c>
      <c r="K151" s="117" t="str">
        <f aca="false">IF(D151="","",IFERROR(VLOOKUP($D151,cfg_LT,3,FALSE()),""))</f>
        <v/>
      </c>
      <c r="L151" s="117" t="str">
        <f aca="false">IF(D151="","",IFERROR(VLOOKUP($D151,cfg_LT,4,FALSE()),""))</f>
        <v/>
      </c>
      <c r="M151" s="117" t="str">
        <f aca="false">IF(D151="","",IFERROR(VLOOKUP($D151,cfg_LT,5,FALSE()),""))</f>
        <v/>
      </c>
      <c r="N151" s="116" t="n">
        <f aca="false">IF(OR(OR($B151="",$E151="",$F151=""),M151&lt;&gt;"نعم"),0,G151*J151*IFERROR(INDEX(الموظفون!$R$6:$R$105,MATCH(B151,الموظفون!$B$6:$B$105,0)),0)/cfg_DAYS_M)</f>
        <v>0</v>
      </c>
      <c r="O151" s="115" t="str">
        <f aca="false">IF(OR(OR($B151="",$E151="",$F151=""),M151&lt;&gt;"نعم"),"",IF(YEAR(E151)=cfg_FY,MONTH(E151),""))</f>
        <v/>
      </c>
      <c r="P151" s="117" t="str">
        <f aca="false">IF(B151="","",IF(OR(D151="",E151="",F151=""),"⚠ أكمل النوع والتواريخ",IF(F151&lt;E151,"✖ النهاية قبل البداية",IF(COUNTIFS($B$6:$B$505,B151,$E$6:$E$505,"&lt;="&amp;F151,$F$6:$F$505,"&gt;="&amp;E151)&gt;1,"⚠ تداخل مع سجل آخر",IF(E151&gt;cfg_VAL_DATE,"⏳ قادمة",IF(F151&lt;cfg_VAL_DATE,"✔ منتهية","✈ جارية في تاريخ التقرير"))))))</f>
        <v/>
      </c>
      <c r="Q151" s="118"/>
      <c r="R151" s="133" t="n">
        <f aca="false">IF(OR(OR($B151="",$E151="",$F151=""),L151&lt;&gt;"لا"),0,MAX(0,MIN(F151,cfg_Y_START-1)-E151+1))</f>
        <v>0</v>
      </c>
      <c r="S151" s="133" t="n">
        <f aca="false">IF(OR(OR($B151="",$E151="",$F151=""),L151&lt;&gt;"لا"),0,MAX(0,MIN(F151,cfg_VAL_DATE)-E151+1))</f>
        <v>0</v>
      </c>
      <c r="T151" s="133" t="n">
        <f aca="false">IF(OR(OR($B151="",$E151="",$F151=""),K151&lt;&gt;"نعم"),0,IF(M151="نعم",IF(AND(ISNUMBER(O151),N(O151)&lt;=cfg_VAL_M),G151,0),MAX(0,MIN(F151,cfg_VAL_DATE)-MAX(E151,cfg_Y_START)+1)))</f>
        <v>0</v>
      </c>
      <c r="V151" s="133" t="n">
        <f aca="false">IF(OR($B151="",$E151="",$F151=""),0,MAX(0,MIN($F151,EOMONTH(DATE(cfg_FY,1,1),0))-MAX($E151,DATE(cfg_FY,1,1))+1)*(1-IF($M151="نعم",0,N($J151))))</f>
        <v>0</v>
      </c>
      <c r="W151" s="133" t="n">
        <f aca="false">IF(OR($B151="",$E151="",$F151=""),0,MAX(0,MIN($F151,EOMONTH(DATE(cfg_FY,2,1),0))-MAX($E151,DATE(cfg_FY,2,1))+1)*(1-IF($M151="نعم",0,N($J151))))</f>
        <v>0</v>
      </c>
      <c r="X151" s="133" t="n">
        <f aca="false">IF(OR($B151="",$E151="",$F151=""),0,MAX(0,MIN($F151,EOMONTH(DATE(cfg_FY,3,1),0))-MAX($E151,DATE(cfg_FY,3,1))+1)*(1-IF($M151="نعم",0,N($J151))))</f>
        <v>0</v>
      </c>
      <c r="Y151" s="133" t="n">
        <f aca="false">IF(OR($B151="",$E151="",$F151=""),0,MAX(0,MIN($F151,EOMONTH(DATE(cfg_FY,4,1),0))-MAX($E151,DATE(cfg_FY,4,1))+1)*(1-IF($M151="نعم",0,N($J151))))</f>
        <v>0</v>
      </c>
      <c r="Z151" s="133" t="n">
        <f aca="false">IF(OR($B151="",$E151="",$F151=""),0,MAX(0,MIN($F151,EOMONTH(DATE(cfg_FY,5,1),0))-MAX($E151,DATE(cfg_FY,5,1))+1)*(1-IF($M151="نعم",0,N($J151))))</f>
        <v>0</v>
      </c>
      <c r="AA151" s="133" t="n">
        <f aca="false">IF(OR($B151="",$E151="",$F151=""),0,MAX(0,MIN($F151,EOMONTH(DATE(cfg_FY,6,1),0))-MAX($E151,DATE(cfg_FY,6,1))+1)*(1-IF($M151="نعم",0,N($J151))))</f>
        <v>0</v>
      </c>
      <c r="AB151" s="133" t="n">
        <f aca="false">IF(OR($B151="",$E151="",$F151=""),0,MAX(0,MIN($F151,EOMONTH(DATE(cfg_FY,7,1),0))-MAX($E151,DATE(cfg_FY,7,1))+1)*(1-IF($M151="نعم",0,N($J151))))</f>
        <v>0</v>
      </c>
      <c r="AC151" s="133" t="n">
        <f aca="false">IF(OR($B151="",$E151="",$F151=""),0,MAX(0,MIN($F151,EOMONTH(DATE(cfg_FY,8,1),0))-MAX($E151,DATE(cfg_FY,8,1))+1)*(1-IF($M151="نعم",0,N($J151))))</f>
        <v>0</v>
      </c>
      <c r="AD151" s="133" t="n">
        <f aca="false">IF(OR($B151="",$E151="",$F151=""),0,MAX(0,MIN($F151,EOMONTH(DATE(cfg_FY,9,1),0))-MAX($E151,DATE(cfg_FY,9,1))+1)*(1-IF($M151="نعم",0,N($J151))))</f>
        <v>0</v>
      </c>
      <c r="AE151" s="133" t="n">
        <f aca="false">IF(OR($B151="",$E151="",$F151=""),0,MAX(0,MIN($F151,EOMONTH(DATE(cfg_FY,10,1),0))-MAX($E151,DATE(cfg_FY,10,1))+1)*(1-IF($M151="نعم",0,N($J151))))</f>
        <v>0</v>
      </c>
      <c r="AF151" s="133" t="n">
        <f aca="false">IF(OR($B151="",$E151="",$F151=""),0,MAX(0,MIN($F151,EOMONTH(DATE(cfg_FY,11,1),0))-MAX($E151,DATE(cfg_FY,11,1))+1)*(1-IF($M151="نعم",0,N($J151))))</f>
        <v>0</v>
      </c>
      <c r="AG151" s="133" t="n">
        <f aca="false">IF(OR($B151="",$E151="",$F151=""),0,MAX(0,MIN($F151,EOMONTH(DATE(cfg_FY,12,1),0))-MAX($E151,DATE(cfg_FY,12,1))+1)*(1-IF($M151="نعم",0,N($J151))))</f>
        <v>0</v>
      </c>
      <c r="AH151" s="133" t="n">
        <f aca="false">IF(OR(OR($B151="",$E151="",$F151=""),$L151&lt;&gt;"لا"),0,MAX(0,MIN($F151,EOMONTH(DATE(cfg_FY,1,1),0))-$E151+1))</f>
        <v>0</v>
      </c>
      <c r="AI151" s="133" t="n">
        <f aca="false">IF(OR(OR($B151="",$E151="",$F151=""),$L151&lt;&gt;"لا"),0,MAX(0,MIN($F151,EOMONTH(DATE(cfg_FY,2,1),0))-$E151+1))</f>
        <v>0</v>
      </c>
      <c r="AJ151" s="133" t="n">
        <f aca="false">IF(OR(OR($B151="",$E151="",$F151=""),$L151&lt;&gt;"لا"),0,MAX(0,MIN($F151,EOMONTH(DATE(cfg_FY,3,1),0))-$E151+1))</f>
        <v>0</v>
      </c>
      <c r="AK151" s="133" t="n">
        <f aca="false">IF(OR(OR($B151="",$E151="",$F151=""),$L151&lt;&gt;"لا"),0,MAX(0,MIN($F151,EOMONTH(DATE(cfg_FY,4,1),0))-$E151+1))</f>
        <v>0</v>
      </c>
      <c r="AL151" s="133" t="n">
        <f aca="false">IF(OR(OR($B151="",$E151="",$F151=""),$L151&lt;&gt;"لا"),0,MAX(0,MIN($F151,EOMONTH(DATE(cfg_FY,5,1),0))-$E151+1))</f>
        <v>0</v>
      </c>
      <c r="AM151" s="133" t="n">
        <f aca="false">IF(OR(OR($B151="",$E151="",$F151=""),$L151&lt;&gt;"لا"),0,MAX(0,MIN($F151,EOMONTH(DATE(cfg_FY,6,1),0))-$E151+1))</f>
        <v>0</v>
      </c>
      <c r="AN151" s="133" t="n">
        <f aca="false">IF(OR(OR($B151="",$E151="",$F151=""),$L151&lt;&gt;"لا"),0,MAX(0,MIN($F151,EOMONTH(DATE(cfg_FY,7,1),0))-$E151+1))</f>
        <v>0</v>
      </c>
      <c r="AO151" s="133" t="n">
        <f aca="false">IF(OR(OR($B151="",$E151="",$F151=""),$L151&lt;&gt;"لا"),0,MAX(0,MIN($F151,EOMONTH(DATE(cfg_FY,8,1),0))-$E151+1))</f>
        <v>0</v>
      </c>
      <c r="AP151" s="133" t="n">
        <f aca="false">IF(OR(OR($B151="",$E151="",$F151=""),$L151&lt;&gt;"لا"),0,MAX(0,MIN($F151,EOMONTH(DATE(cfg_FY,9,1),0))-$E151+1))</f>
        <v>0</v>
      </c>
      <c r="AQ151" s="133" t="n">
        <f aca="false">IF(OR(OR($B151="",$E151="",$F151=""),$L151&lt;&gt;"لا"),0,MAX(0,MIN($F151,EOMONTH(DATE(cfg_FY,10,1),0))-$E151+1))</f>
        <v>0</v>
      </c>
      <c r="AR151" s="133" t="n">
        <f aca="false">IF(OR(OR($B151="",$E151="",$F151=""),$L151&lt;&gt;"لا"),0,MAX(0,MIN($F151,EOMONTH(DATE(cfg_FY,11,1),0))-$E151+1))</f>
        <v>0</v>
      </c>
      <c r="AS151" s="133" t="n">
        <f aca="false">IF(OR(OR($B151="",$E151="",$F151=""),$L151&lt;&gt;"لا"),0,MAX(0,MIN($F151,EOMONTH(DATE(cfg_FY,12,1),0))-$E151+1))</f>
        <v>0</v>
      </c>
      <c r="AT151" s="133" t="n">
        <f aca="false">IF(OR(OR($B151="",$E151="",$F151=""),$K151&lt;&gt;"نعم",$M151="نعم"),0,MAX(0,MIN($F151,EOMONTH(DATE(cfg_FY,1,1),0))-MAX($E151,DATE(cfg_FY,1,1))+1))</f>
        <v>0</v>
      </c>
      <c r="AU151" s="133" t="n">
        <f aca="false">IF(OR(OR($B151="",$E151="",$F151=""),$K151&lt;&gt;"نعم",$M151="نعم"),0,MAX(0,MIN($F151,EOMONTH(DATE(cfg_FY,2,1),0))-MAX($E151,DATE(cfg_FY,2,1))+1))</f>
        <v>0</v>
      </c>
      <c r="AV151" s="133" t="n">
        <f aca="false">IF(OR(OR($B151="",$E151="",$F151=""),$K151&lt;&gt;"نعم",$M151="نعم"),0,MAX(0,MIN($F151,EOMONTH(DATE(cfg_FY,3,1),0))-MAX($E151,DATE(cfg_FY,3,1))+1))</f>
        <v>0</v>
      </c>
      <c r="AW151" s="133" t="n">
        <f aca="false">IF(OR(OR($B151="",$E151="",$F151=""),$K151&lt;&gt;"نعم",$M151="نعم"),0,MAX(0,MIN($F151,EOMONTH(DATE(cfg_FY,4,1),0))-MAX($E151,DATE(cfg_FY,4,1))+1))</f>
        <v>0</v>
      </c>
      <c r="AX151" s="133" t="n">
        <f aca="false">IF(OR(OR($B151="",$E151="",$F151=""),$K151&lt;&gt;"نعم",$M151="نعم"),0,MAX(0,MIN($F151,EOMONTH(DATE(cfg_FY,5,1),0))-MAX($E151,DATE(cfg_FY,5,1))+1))</f>
        <v>0</v>
      </c>
      <c r="AY151" s="133" t="n">
        <f aca="false">IF(OR(OR($B151="",$E151="",$F151=""),$K151&lt;&gt;"نعم",$M151="نعم"),0,MAX(0,MIN($F151,EOMONTH(DATE(cfg_FY,6,1),0))-MAX($E151,DATE(cfg_FY,6,1))+1))</f>
        <v>0</v>
      </c>
      <c r="AZ151" s="133" t="n">
        <f aca="false">IF(OR(OR($B151="",$E151="",$F151=""),$K151&lt;&gt;"نعم",$M151="نعم"),0,MAX(0,MIN($F151,EOMONTH(DATE(cfg_FY,7,1),0))-MAX($E151,DATE(cfg_FY,7,1))+1))</f>
        <v>0</v>
      </c>
      <c r="BA151" s="133" t="n">
        <f aca="false">IF(OR(OR($B151="",$E151="",$F151=""),$K151&lt;&gt;"نعم",$M151="نعم"),0,MAX(0,MIN($F151,EOMONTH(DATE(cfg_FY,8,1),0))-MAX($E151,DATE(cfg_FY,8,1))+1))</f>
        <v>0</v>
      </c>
      <c r="BB151" s="133" t="n">
        <f aca="false">IF(OR(OR($B151="",$E151="",$F151=""),$K151&lt;&gt;"نعم",$M151="نعم"),0,MAX(0,MIN($F151,EOMONTH(DATE(cfg_FY,9,1),0))-MAX($E151,DATE(cfg_FY,9,1))+1))</f>
        <v>0</v>
      </c>
      <c r="BC151" s="133" t="n">
        <f aca="false">IF(OR(OR($B151="",$E151="",$F151=""),$K151&lt;&gt;"نعم",$M151="نعم"),0,MAX(0,MIN($F151,EOMONTH(DATE(cfg_FY,10,1),0))-MAX($E151,DATE(cfg_FY,10,1))+1))</f>
        <v>0</v>
      </c>
      <c r="BD151" s="133" t="n">
        <f aca="false">IF(OR(OR($B151="",$E151="",$F151=""),$K151&lt;&gt;"نعم",$M151="نعم"),0,MAX(0,MIN($F151,EOMONTH(DATE(cfg_FY,11,1),0))-MAX($E151,DATE(cfg_FY,11,1))+1))</f>
        <v>0</v>
      </c>
      <c r="BE151" s="133" t="n">
        <f aca="false">IF(OR(OR($B151="",$E151="",$F151=""),$K151&lt;&gt;"نعم",$M151="نعم"),0,MAX(0,MIN($F151,EOMONTH(DATE(cfg_FY,12,1),0))-MAX($E151,DATE(cfg_FY,12,1))+1))</f>
        <v>0</v>
      </c>
    </row>
    <row r="152" customFormat="false" ht="15" hidden="false" customHeight="false" outlineLevel="0" collapsed="false">
      <c r="A152" s="106" t="str">
        <f aca="false">IF(B152="","",ROW()-5)</f>
        <v/>
      </c>
      <c r="B152" s="118"/>
      <c r="C152" s="114" t="str">
        <f aca="false">IF(B152="","",IFERROR(INDEX(الموظفون!$C$6:$C$105,MATCH(B152,الموظفون!$B$6:$B$105,0)),"✖ رقم غير موجود"))</f>
        <v/>
      </c>
      <c r="D152" s="118"/>
      <c r="E152" s="119"/>
      <c r="F152" s="119"/>
      <c r="G152" s="65" t="str">
        <f aca="false">IF(OR($B152="",$E152="",$F152=""),"",MAX(0,F152-E152+1))</f>
        <v/>
      </c>
      <c r="H152" s="66" t="str">
        <f aca="false">IF(D152="","",IFERROR(VLOOKUP(D152,cfg_LT,2,FALSE()),1))</f>
        <v/>
      </c>
      <c r="I152" s="135"/>
      <c r="J152" s="66" t="str">
        <f aca="false">IF(D152="","",IF(I152&lt;&gt;"",I152,H152))</f>
        <v/>
      </c>
      <c r="K152" s="114" t="str">
        <f aca="false">IF(D152="","",IFERROR(VLOOKUP($D152,cfg_LT,3,FALSE()),""))</f>
        <v/>
      </c>
      <c r="L152" s="114" t="str">
        <f aca="false">IF(D152="","",IFERROR(VLOOKUP($D152,cfg_LT,4,FALSE()),""))</f>
        <v/>
      </c>
      <c r="M152" s="114" t="str">
        <f aca="false">IF(D152="","",IFERROR(VLOOKUP($D152,cfg_LT,5,FALSE()),""))</f>
        <v/>
      </c>
      <c r="N152" s="111" t="n">
        <f aca="false">IF(OR(OR($B152="",$E152="",$F152=""),M152&lt;&gt;"نعم"),0,G152*J152*IFERROR(INDEX(الموظفون!$R$6:$R$105,MATCH(B152,الموظفون!$B$6:$B$105,0)),0)/cfg_DAYS_M)</f>
        <v>0</v>
      </c>
      <c r="O152" s="106" t="str">
        <f aca="false">IF(OR(OR($B152="",$E152="",$F152=""),M152&lt;&gt;"نعم"),"",IF(YEAR(E152)=cfg_FY,MONTH(E152),""))</f>
        <v/>
      </c>
      <c r="P152" s="114" t="str">
        <f aca="false">IF(B152="","",IF(OR(D152="",E152="",F152=""),"⚠ أكمل النوع والتواريخ",IF(F152&lt;E152,"✖ النهاية قبل البداية",IF(COUNTIFS($B$6:$B$505,B152,$E$6:$E$505,"&lt;="&amp;F152,$F$6:$F$505,"&gt;="&amp;E152)&gt;1,"⚠ تداخل مع سجل آخر",IF(E152&gt;cfg_VAL_DATE,"⏳ قادمة",IF(F152&lt;cfg_VAL_DATE,"✔ منتهية","✈ جارية في تاريخ التقرير"))))))</f>
        <v/>
      </c>
      <c r="Q152" s="118"/>
      <c r="R152" s="65" t="n">
        <f aca="false">IF(OR(OR($B152="",$E152="",$F152=""),L152&lt;&gt;"لا"),0,MAX(0,MIN(F152,cfg_Y_START-1)-E152+1))</f>
        <v>0</v>
      </c>
      <c r="S152" s="65" t="n">
        <f aca="false">IF(OR(OR($B152="",$E152="",$F152=""),L152&lt;&gt;"لا"),0,MAX(0,MIN(F152,cfg_VAL_DATE)-E152+1))</f>
        <v>0</v>
      </c>
      <c r="T152" s="65" t="n">
        <f aca="false">IF(OR(OR($B152="",$E152="",$F152=""),K152&lt;&gt;"نعم"),0,IF(M152="نعم",IF(AND(ISNUMBER(O152),N(O152)&lt;=cfg_VAL_M),G152,0),MAX(0,MIN(F152,cfg_VAL_DATE)-MAX(E152,cfg_Y_START)+1)))</f>
        <v>0</v>
      </c>
      <c r="V152" s="65" t="n">
        <f aca="false">IF(OR($B152="",$E152="",$F152=""),0,MAX(0,MIN($F152,EOMONTH(DATE(cfg_FY,1,1),0))-MAX($E152,DATE(cfg_FY,1,1))+1)*(1-IF($M152="نعم",0,N($J152))))</f>
        <v>0</v>
      </c>
      <c r="W152" s="65" t="n">
        <f aca="false">IF(OR($B152="",$E152="",$F152=""),0,MAX(0,MIN($F152,EOMONTH(DATE(cfg_FY,2,1),0))-MAX($E152,DATE(cfg_FY,2,1))+1)*(1-IF($M152="نعم",0,N($J152))))</f>
        <v>0</v>
      </c>
      <c r="X152" s="65" t="n">
        <f aca="false">IF(OR($B152="",$E152="",$F152=""),0,MAX(0,MIN($F152,EOMONTH(DATE(cfg_FY,3,1),0))-MAX($E152,DATE(cfg_FY,3,1))+1)*(1-IF($M152="نعم",0,N($J152))))</f>
        <v>0</v>
      </c>
      <c r="Y152" s="65" t="n">
        <f aca="false">IF(OR($B152="",$E152="",$F152=""),0,MAX(0,MIN($F152,EOMONTH(DATE(cfg_FY,4,1),0))-MAX($E152,DATE(cfg_FY,4,1))+1)*(1-IF($M152="نعم",0,N($J152))))</f>
        <v>0</v>
      </c>
      <c r="Z152" s="65" t="n">
        <f aca="false">IF(OR($B152="",$E152="",$F152=""),0,MAX(0,MIN($F152,EOMONTH(DATE(cfg_FY,5,1),0))-MAX($E152,DATE(cfg_FY,5,1))+1)*(1-IF($M152="نعم",0,N($J152))))</f>
        <v>0</v>
      </c>
      <c r="AA152" s="65" t="n">
        <f aca="false">IF(OR($B152="",$E152="",$F152=""),0,MAX(0,MIN($F152,EOMONTH(DATE(cfg_FY,6,1),0))-MAX($E152,DATE(cfg_FY,6,1))+1)*(1-IF($M152="نعم",0,N($J152))))</f>
        <v>0</v>
      </c>
      <c r="AB152" s="65" t="n">
        <f aca="false">IF(OR($B152="",$E152="",$F152=""),0,MAX(0,MIN($F152,EOMONTH(DATE(cfg_FY,7,1),0))-MAX($E152,DATE(cfg_FY,7,1))+1)*(1-IF($M152="نعم",0,N($J152))))</f>
        <v>0</v>
      </c>
      <c r="AC152" s="65" t="n">
        <f aca="false">IF(OR($B152="",$E152="",$F152=""),0,MAX(0,MIN($F152,EOMONTH(DATE(cfg_FY,8,1),0))-MAX($E152,DATE(cfg_FY,8,1))+1)*(1-IF($M152="نعم",0,N($J152))))</f>
        <v>0</v>
      </c>
      <c r="AD152" s="65" t="n">
        <f aca="false">IF(OR($B152="",$E152="",$F152=""),0,MAX(0,MIN($F152,EOMONTH(DATE(cfg_FY,9,1),0))-MAX($E152,DATE(cfg_FY,9,1))+1)*(1-IF($M152="نعم",0,N($J152))))</f>
        <v>0</v>
      </c>
      <c r="AE152" s="65" t="n">
        <f aca="false">IF(OR($B152="",$E152="",$F152=""),0,MAX(0,MIN($F152,EOMONTH(DATE(cfg_FY,10,1),0))-MAX($E152,DATE(cfg_FY,10,1))+1)*(1-IF($M152="نعم",0,N($J152))))</f>
        <v>0</v>
      </c>
      <c r="AF152" s="65" t="n">
        <f aca="false">IF(OR($B152="",$E152="",$F152=""),0,MAX(0,MIN($F152,EOMONTH(DATE(cfg_FY,11,1),0))-MAX($E152,DATE(cfg_FY,11,1))+1)*(1-IF($M152="نعم",0,N($J152))))</f>
        <v>0</v>
      </c>
      <c r="AG152" s="65" t="n">
        <f aca="false">IF(OR($B152="",$E152="",$F152=""),0,MAX(0,MIN($F152,EOMONTH(DATE(cfg_FY,12,1),0))-MAX($E152,DATE(cfg_FY,12,1))+1)*(1-IF($M152="نعم",0,N($J152))))</f>
        <v>0</v>
      </c>
      <c r="AH152" s="65" t="n">
        <f aca="false">IF(OR(OR($B152="",$E152="",$F152=""),$L152&lt;&gt;"لا"),0,MAX(0,MIN($F152,EOMONTH(DATE(cfg_FY,1,1),0))-$E152+1))</f>
        <v>0</v>
      </c>
      <c r="AI152" s="65" t="n">
        <f aca="false">IF(OR(OR($B152="",$E152="",$F152=""),$L152&lt;&gt;"لا"),0,MAX(0,MIN($F152,EOMONTH(DATE(cfg_FY,2,1),0))-$E152+1))</f>
        <v>0</v>
      </c>
      <c r="AJ152" s="65" t="n">
        <f aca="false">IF(OR(OR($B152="",$E152="",$F152=""),$L152&lt;&gt;"لا"),0,MAX(0,MIN($F152,EOMONTH(DATE(cfg_FY,3,1),0))-$E152+1))</f>
        <v>0</v>
      </c>
      <c r="AK152" s="65" t="n">
        <f aca="false">IF(OR(OR($B152="",$E152="",$F152=""),$L152&lt;&gt;"لا"),0,MAX(0,MIN($F152,EOMONTH(DATE(cfg_FY,4,1),0))-$E152+1))</f>
        <v>0</v>
      </c>
      <c r="AL152" s="65" t="n">
        <f aca="false">IF(OR(OR($B152="",$E152="",$F152=""),$L152&lt;&gt;"لا"),0,MAX(0,MIN($F152,EOMONTH(DATE(cfg_FY,5,1),0))-$E152+1))</f>
        <v>0</v>
      </c>
      <c r="AM152" s="65" t="n">
        <f aca="false">IF(OR(OR($B152="",$E152="",$F152=""),$L152&lt;&gt;"لا"),0,MAX(0,MIN($F152,EOMONTH(DATE(cfg_FY,6,1),0))-$E152+1))</f>
        <v>0</v>
      </c>
      <c r="AN152" s="65" t="n">
        <f aca="false">IF(OR(OR($B152="",$E152="",$F152=""),$L152&lt;&gt;"لا"),0,MAX(0,MIN($F152,EOMONTH(DATE(cfg_FY,7,1),0))-$E152+1))</f>
        <v>0</v>
      </c>
      <c r="AO152" s="65" t="n">
        <f aca="false">IF(OR(OR($B152="",$E152="",$F152=""),$L152&lt;&gt;"لا"),0,MAX(0,MIN($F152,EOMONTH(DATE(cfg_FY,8,1),0))-$E152+1))</f>
        <v>0</v>
      </c>
      <c r="AP152" s="65" t="n">
        <f aca="false">IF(OR(OR($B152="",$E152="",$F152=""),$L152&lt;&gt;"لا"),0,MAX(0,MIN($F152,EOMONTH(DATE(cfg_FY,9,1),0))-$E152+1))</f>
        <v>0</v>
      </c>
      <c r="AQ152" s="65" t="n">
        <f aca="false">IF(OR(OR($B152="",$E152="",$F152=""),$L152&lt;&gt;"لا"),0,MAX(0,MIN($F152,EOMONTH(DATE(cfg_FY,10,1),0))-$E152+1))</f>
        <v>0</v>
      </c>
      <c r="AR152" s="65" t="n">
        <f aca="false">IF(OR(OR($B152="",$E152="",$F152=""),$L152&lt;&gt;"لا"),0,MAX(0,MIN($F152,EOMONTH(DATE(cfg_FY,11,1),0))-$E152+1))</f>
        <v>0</v>
      </c>
      <c r="AS152" s="65" t="n">
        <f aca="false">IF(OR(OR($B152="",$E152="",$F152=""),$L152&lt;&gt;"لا"),0,MAX(0,MIN($F152,EOMONTH(DATE(cfg_FY,12,1),0))-$E152+1))</f>
        <v>0</v>
      </c>
      <c r="AT152" s="65" t="n">
        <f aca="false">IF(OR(OR($B152="",$E152="",$F152=""),$K152&lt;&gt;"نعم",$M152="نعم"),0,MAX(0,MIN($F152,EOMONTH(DATE(cfg_FY,1,1),0))-MAX($E152,DATE(cfg_FY,1,1))+1))</f>
        <v>0</v>
      </c>
      <c r="AU152" s="65" t="n">
        <f aca="false">IF(OR(OR($B152="",$E152="",$F152=""),$K152&lt;&gt;"نعم",$M152="نعم"),0,MAX(0,MIN($F152,EOMONTH(DATE(cfg_FY,2,1),0))-MAX($E152,DATE(cfg_FY,2,1))+1))</f>
        <v>0</v>
      </c>
      <c r="AV152" s="65" t="n">
        <f aca="false">IF(OR(OR($B152="",$E152="",$F152=""),$K152&lt;&gt;"نعم",$M152="نعم"),0,MAX(0,MIN($F152,EOMONTH(DATE(cfg_FY,3,1),0))-MAX($E152,DATE(cfg_FY,3,1))+1))</f>
        <v>0</v>
      </c>
      <c r="AW152" s="65" t="n">
        <f aca="false">IF(OR(OR($B152="",$E152="",$F152=""),$K152&lt;&gt;"نعم",$M152="نعم"),0,MAX(0,MIN($F152,EOMONTH(DATE(cfg_FY,4,1),0))-MAX($E152,DATE(cfg_FY,4,1))+1))</f>
        <v>0</v>
      </c>
      <c r="AX152" s="65" t="n">
        <f aca="false">IF(OR(OR($B152="",$E152="",$F152=""),$K152&lt;&gt;"نعم",$M152="نعم"),0,MAX(0,MIN($F152,EOMONTH(DATE(cfg_FY,5,1),0))-MAX($E152,DATE(cfg_FY,5,1))+1))</f>
        <v>0</v>
      </c>
      <c r="AY152" s="65" t="n">
        <f aca="false">IF(OR(OR($B152="",$E152="",$F152=""),$K152&lt;&gt;"نعم",$M152="نعم"),0,MAX(0,MIN($F152,EOMONTH(DATE(cfg_FY,6,1),0))-MAX($E152,DATE(cfg_FY,6,1))+1))</f>
        <v>0</v>
      </c>
      <c r="AZ152" s="65" t="n">
        <f aca="false">IF(OR(OR($B152="",$E152="",$F152=""),$K152&lt;&gt;"نعم",$M152="نعم"),0,MAX(0,MIN($F152,EOMONTH(DATE(cfg_FY,7,1),0))-MAX($E152,DATE(cfg_FY,7,1))+1))</f>
        <v>0</v>
      </c>
      <c r="BA152" s="65" t="n">
        <f aca="false">IF(OR(OR($B152="",$E152="",$F152=""),$K152&lt;&gt;"نعم",$M152="نعم"),0,MAX(0,MIN($F152,EOMONTH(DATE(cfg_FY,8,1),0))-MAX($E152,DATE(cfg_FY,8,1))+1))</f>
        <v>0</v>
      </c>
      <c r="BB152" s="65" t="n">
        <f aca="false">IF(OR(OR($B152="",$E152="",$F152=""),$K152&lt;&gt;"نعم",$M152="نعم"),0,MAX(0,MIN($F152,EOMONTH(DATE(cfg_FY,9,1),0))-MAX($E152,DATE(cfg_FY,9,1))+1))</f>
        <v>0</v>
      </c>
      <c r="BC152" s="65" t="n">
        <f aca="false">IF(OR(OR($B152="",$E152="",$F152=""),$K152&lt;&gt;"نعم",$M152="نعم"),0,MAX(0,MIN($F152,EOMONTH(DATE(cfg_FY,10,1),0))-MAX($E152,DATE(cfg_FY,10,1))+1))</f>
        <v>0</v>
      </c>
      <c r="BD152" s="65" t="n">
        <f aca="false">IF(OR(OR($B152="",$E152="",$F152=""),$K152&lt;&gt;"نعم",$M152="نعم"),0,MAX(0,MIN($F152,EOMONTH(DATE(cfg_FY,11,1),0))-MAX($E152,DATE(cfg_FY,11,1))+1))</f>
        <v>0</v>
      </c>
      <c r="BE152" s="65" t="n">
        <f aca="false">IF(OR(OR($B152="",$E152="",$F152=""),$K152&lt;&gt;"نعم",$M152="نعم"),0,MAX(0,MIN($F152,EOMONTH(DATE(cfg_FY,12,1),0))-MAX($E152,DATE(cfg_FY,12,1))+1))</f>
        <v>0</v>
      </c>
    </row>
    <row r="153" customFormat="false" ht="15" hidden="false" customHeight="false" outlineLevel="0" collapsed="false">
      <c r="A153" s="115" t="str">
        <f aca="false">IF(B153="","",ROW()-5)</f>
        <v/>
      </c>
      <c r="B153" s="118"/>
      <c r="C153" s="117" t="str">
        <f aca="false">IF(B153="","",IFERROR(INDEX(الموظفون!$C$6:$C$105,MATCH(B153,الموظفون!$B$6:$B$105,0)),"✖ رقم غير موجود"))</f>
        <v/>
      </c>
      <c r="D153" s="118"/>
      <c r="E153" s="119"/>
      <c r="F153" s="119"/>
      <c r="G153" s="133" t="str">
        <f aca="false">IF(OR($B153="",$E153="",$F153=""),"",MAX(0,F153-E153+1))</f>
        <v/>
      </c>
      <c r="H153" s="134" t="str">
        <f aca="false">IF(D153="","",IFERROR(VLOOKUP(D153,cfg_LT,2,FALSE()),1))</f>
        <v/>
      </c>
      <c r="I153" s="135"/>
      <c r="J153" s="134" t="str">
        <f aca="false">IF(D153="","",IF(I153&lt;&gt;"",I153,H153))</f>
        <v/>
      </c>
      <c r="K153" s="117" t="str">
        <f aca="false">IF(D153="","",IFERROR(VLOOKUP($D153,cfg_LT,3,FALSE()),""))</f>
        <v/>
      </c>
      <c r="L153" s="117" t="str">
        <f aca="false">IF(D153="","",IFERROR(VLOOKUP($D153,cfg_LT,4,FALSE()),""))</f>
        <v/>
      </c>
      <c r="M153" s="117" t="str">
        <f aca="false">IF(D153="","",IFERROR(VLOOKUP($D153,cfg_LT,5,FALSE()),""))</f>
        <v/>
      </c>
      <c r="N153" s="116" t="n">
        <f aca="false">IF(OR(OR($B153="",$E153="",$F153=""),M153&lt;&gt;"نعم"),0,G153*J153*IFERROR(INDEX(الموظفون!$R$6:$R$105,MATCH(B153,الموظفون!$B$6:$B$105,0)),0)/cfg_DAYS_M)</f>
        <v>0</v>
      </c>
      <c r="O153" s="115" t="str">
        <f aca="false">IF(OR(OR($B153="",$E153="",$F153=""),M153&lt;&gt;"نعم"),"",IF(YEAR(E153)=cfg_FY,MONTH(E153),""))</f>
        <v/>
      </c>
      <c r="P153" s="117" t="str">
        <f aca="false">IF(B153="","",IF(OR(D153="",E153="",F153=""),"⚠ أكمل النوع والتواريخ",IF(F153&lt;E153,"✖ النهاية قبل البداية",IF(COUNTIFS($B$6:$B$505,B153,$E$6:$E$505,"&lt;="&amp;F153,$F$6:$F$505,"&gt;="&amp;E153)&gt;1,"⚠ تداخل مع سجل آخر",IF(E153&gt;cfg_VAL_DATE,"⏳ قادمة",IF(F153&lt;cfg_VAL_DATE,"✔ منتهية","✈ جارية في تاريخ التقرير"))))))</f>
        <v/>
      </c>
      <c r="Q153" s="118"/>
      <c r="R153" s="133" t="n">
        <f aca="false">IF(OR(OR($B153="",$E153="",$F153=""),L153&lt;&gt;"لا"),0,MAX(0,MIN(F153,cfg_Y_START-1)-E153+1))</f>
        <v>0</v>
      </c>
      <c r="S153" s="133" t="n">
        <f aca="false">IF(OR(OR($B153="",$E153="",$F153=""),L153&lt;&gt;"لا"),0,MAX(0,MIN(F153,cfg_VAL_DATE)-E153+1))</f>
        <v>0</v>
      </c>
      <c r="T153" s="133" t="n">
        <f aca="false">IF(OR(OR($B153="",$E153="",$F153=""),K153&lt;&gt;"نعم"),0,IF(M153="نعم",IF(AND(ISNUMBER(O153),N(O153)&lt;=cfg_VAL_M),G153,0),MAX(0,MIN(F153,cfg_VAL_DATE)-MAX(E153,cfg_Y_START)+1)))</f>
        <v>0</v>
      </c>
      <c r="V153" s="133" t="n">
        <f aca="false">IF(OR($B153="",$E153="",$F153=""),0,MAX(0,MIN($F153,EOMONTH(DATE(cfg_FY,1,1),0))-MAX($E153,DATE(cfg_FY,1,1))+1)*(1-IF($M153="نعم",0,N($J153))))</f>
        <v>0</v>
      </c>
      <c r="W153" s="133" t="n">
        <f aca="false">IF(OR($B153="",$E153="",$F153=""),0,MAX(0,MIN($F153,EOMONTH(DATE(cfg_FY,2,1),0))-MAX($E153,DATE(cfg_FY,2,1))+1)*(1-IF($M153="نعم",0,N($J153))))</f>
        <v>0</v>
      </c>
      <c r="X153" s="133" t="n">
        <f aca="false">IF(OR($B153="",$E153="",$F153=""),0,MAX(0,MIN($F153,EOMONTH(DATE(cfg_FY,3,1),0))-MAX($E153,DATE(cfg_FY,3,1))+1)*(1-IF($M153="نعم",0,N($J153))))</f>
        <v>0</v>
      </c>
      <c r="Y153" s="133" t="n">
        <f aca="false">IF(OR($B153="",$E153="",$F153=""),0,MAX(0,MIN($F153,EOMONTH(DATE(cfg_FY,4,1),0))-MAX($E153,DATE(cfg_FY,4,1))+1)*(1-IF($M153="نعم",0,N($J153))))</f>
        <v>0</v>
      </c>
      <c r="Z153" s="133" t="n">
        <f aca="false">IF(OR($B153="",$E153="",$F153=""),0,MAX(0,MIN($F153,EOMONTH(DATE(cfg_FY,5,1),0))-MAX($E153,DATE(cfg_FY,5,1))+1)*(1-IF($M153="نعم",0,N($J153))))</f>
        <v>0</v>
      </c>
      <c r="AA153" s="133" t="n">
        <f aca="false">IF(OR($B153="",$E153="",$F153=""),0,MAX(0,MIN($F153,EOMONTH(DATE(cfg_FY,6,1),0))-MAX($E153,DATE(cfg_FY,6,1))+1)*(1-IF($M153="نعم",0,N($J153))))</f>
        <v>0</v>
      </c>
      <c r="AB153" s="133" t="n">
        <f aca="false">IF(OR($B153="",$E153="",$F153=""),0,MAX(0,MIN($F153,EOMONTH(DATE(cfg_FY,7,1),0))-MAX($E153,DATE(cfg_FY,7,1))+1)*(1-IF($M153="نعم",0,N($J153))))</f>
        <v>0</v>
      </c>
      <c r="AC153" s="133" t="n">
        <f aca="false">IF(OR($B153="",$E153="",$F153=""),0,MAX(0,MIN($F153,EOMONTH(DATE(cfg_FY,8,1),0))-MAX($E153,DATE(cfg_FY,8,1))+1)*(1-IF($M153="نعم",0,N($J153))))</f>
        <v>0</v>
      </c>
      <c r="AD153" s="133" t="n">
        <f aca="false">IF(OR($B153="",$E153="",$F153=""),0,MAX(0,MIN($F153,EOMONTH(DATE(cfg_FY,9,1),0))-MAX($E153,DATE(cfg_FY,9,1))+1)*(1-IF($M153="نعم",0,N($J153))))</f>
        <v>0</v>
      </c>
      <c r="AE153" s="133" t="n">
        <f aca="false">IF(OR($B153="",$E153="",$F153=""),0,MAX(0,MIN($F153,EOMONTH(DATE(cfg_FY,10,1),0))-MAX($E153,DATE(cfg_FY,10,1))+1)*(1-IF($M153="نعم",0,N($J153))))</f>
        <v>0</v>
      </c>
      <c r="AF153" s="133" t="n">
        <f aca="false">IF(OR($B153="",$E153="",$F153=""),0,MAX(0,MIN($F153,EOMONTH(DATE(cfg_FY,11,1),0))-MAX($E153,DATE(cfg_FY,11,1))+1)*(1-IF($M153="نعم",0,N($J153))))</f>
        <v>0</v>
      </c>
      <c r="AG153" s="133" t="n">
        <f aca="false">IF(OR($B153="",$E153="",$F153=""),0,MAX(0,MIN($F153,EOMONTH(DATE(cfg_FY,12,1),0))-MAX($E153,DATE(cfg_FY,12,1))+1)*(1-IF($M153="نعم",0,N($J153))))</f>
        <v>0</v>
      </c>
      <c r="AH153" s="133" t="n">
        <f aca="false">IF(OR(OR($B153="",$E153="",$F153=""),$L153&lt;&gt;"لا"),0,MAX(0,MIN($F153,EOMONTH(DATE(cfg_FY,1,1),0))-$E153+1))</f>
        <v>0</v>
      </c>
      <c r="AI153" s="133" t="n">
        <f aca="false">IF(OR(OR($B153="",$E153="",$F153=""),$L153&lt;&gt;"لا"),0,MAX(0,MIN($F153,EOMONTH(DATE(cfg_FY,2,1),0))-$E153+1))</f>
        <v>0</v>
      </c>
      <c r="AJ153" s="133" t="n">
        <f aca="false">IF(OR(OR($B153="",$E153="",$F153=""),$L153&lt;&gt;"لا"),0,MAX(0,MIN($F153,EOMONTH(DATE(cfg_FY,3,1),0))-$E153+1))</f>
        <v>0</v>
      </c>
      <c r="AK153" s="133" t="n">
        <f aca="false">IF(OR(OR($B153="",$E153="",$F153=""),$L153&lt;&gt;"لا"),0,MAX(0,MIN($F153,EOMONTH(DATE(cfg_FY,4,1),0))-$E153+1))</f>
        <v>0</v>
      </c>
      <c r="AL153" s="133" t="n">
        <f aca="false">IF(OR(OR($B153="",$E153="",$F153=""),$L153&lt;&gt;"لا"),0,MAX(0,MIN($F153,EOMONTH(DATE(cfg_FY,5,1),0))-$E153+1))</f>
        <v>0</v>
      </c>
      <c r="AM153" s="133" t="n">
        <f aca="false">IF(OR(OR($B153="",$E153="",$F153=""),$L153&lt;&gt;"لا"),0,MAX(0,MIN($F153,EOMONTH(DATE(cfg_FY,6,1),0))-$E153+1))</f>
        <v>0</v>
      </c>
      <c r="AN153" s="133" t="n">
        <f aca="false">IF(OR(OR($B153="",$E153="",$F153=""),$L153&lt;&gt;"لا"),0,MAX(0,MIN($F153,EOMONTH(DATE(cfg_FY,7,1),0))-$E153+1))</f>
        <v>0</v>
      </c>
      <c r="AO153" s="133" t="n">
        <f aca="false">IF(OR(OR($B153="",$E153="",$F153=""),$L153&lt;&gt;"لا"),0,MAX(0,MIN($F153,EOMONTH(DATE(cfg_FY,8,1),0))-$E153+1))</f>
        <v>0</v>
      </c>
      <c r="AP153" s="133" t="n">
        <f aca="false">IF(OR(OR($B153="",$E153="",$F153=""),$L153&lt;&gt;"لا"),0,MAX(0,MIN($F153,EOMONTH(DATE(cfg_FY,9,1),0))-$E153+1))</f>
        <v>0</v>
      </c>
      <c r="AQ153" s="133" t="n">
        <f aca="false">IF(OR(OR($B153="",$E153="",$F153=""),$L153&lt;&gt;"لا"),0,MAX(0,MIN($F153,EOMONTH(DATE(cfg_FY,10,1),0))-$E153+1))</f>
        <v>0</v>
      </c>
      <c r="AR153" s="133" t="n">
        <f aca="false">IF(OR(OR($B153="",$E153="",$F153=""),$L153&lt;&gt;"لا"),0,MAX(0,MIN($F153,EOMONTH(DATE(cfg_FY,11,1),0))-$E153+1))</f>
        <v>0</v>
      </c>
      <c r="AS153" s="133" t="n">
        <f aca="false">IF(OR(OR($B153="",$E153="",$F153=""),$L153&lt;&gt;"لا"),0,MAX(0,MIN($F153,EOMONTH(DATE(cfg_FY,12,1),0))-$E153+1))</f>
        <v>0</v>
      </c>
      <c r="AT153" s="133" t="n">
        <f aca="false">IF(OR(OR($B153="",$E153="",$F153=""),$K153&lt;&gt;"نعم",$M153="نعم"),0,MAX(0,MIN($F153,EOMONTH(DATE(cfg_FY,1,1),0))-MAX($E153,DATE(cfg_FY,1,1))+1))</f>
        <v>0</v>
      </c>
      <c r="AU153" s="133" t="n">
        <f aca="false">IF(OR(OR($B153="",$E153="",$F153=""),$K153&lt;&gt;"نعم",$M153="نعم"),0,MAX(0,MIN($F153,EOMONTH(DATE(cfg_FY,2,1),0))-MAX($E153,DATE(cfg_FY,2,1))+1))</f>
        <v>0</v>
      </c>
      <c r="AV153" s="133" t="n">
        <f aca="false">IF(OR(OR($B153="",$E153="",$F153=""),$K153&lt;&gt;"نعم",$M153="نعم"),0,MAX(0,MIN($F153,EOMONTH(DATE(cfg_FY,3,1),0))-MAX($E153,DATE(cfg_FY,3,1))+1))</f>
        <v>0</v>
      </c>
      <c r="AW153" s="133" t="n">
        <f aca="false">IF(OR(OR($B153="",$E153="",$F153=""),$K153&lt;&gt;"نعم",$M153="نعم"),0,MAX(0,MIN($F153,EOMONTH(DATE(cfg_FY,4,1),0))-MAX($E153,DATE(cfg_FY,4,1))+1))</f>
        <v>0</v>
      </c>
      <c r="AX153" s="133" t="n">
        <f aca="false">IF(OR(OR($B153="",$E153="",$F153=""),$K153&lt;&gt;"نعم",$M153="نعم"),0,MAX(0,MIN($F153,EOMONTH(DATE(cfg_FY,5,1),0))-MAX($E153,DATE(cfg_FY,5,1))+1))</f>
        <v>0</v>
      </c>
      <c r="AY153" s="133" t="n">
        <f aca="false">IF(OR(OR($B153="",$E153="",$F153=""),$K153&lt;&gt;"نعم",$M153="نعم"),0,MAX(0,MIN($F153,EOMONTH(DATE(cfg_FY,6,1),0))-MAX($E153,DATE(cfg_FY,6,1))+1))</f>
        <v>0</v>
      </c>
      <c r="AZ153" s="133" t="n">
        <f aca="false">IF(OR(OR($B153="",$E153="",$F153=""),$K153&lt;&gt;"نعم",$M153="نعم"),0,MAX(0,MIN($F153,EOMONTH(DATE(cfg_FY,7,1),0))-MAX($E153,DATE(cfg_FY,7,1))+1))</f>
        <v>0</v>
      </c>
      <c r="BA153" s="133" t="n">
        <f aca="false">IF(OR(OR($B153="",$E153="",$F153=""),$K153&lt;&gt;"نعم",$M153="نعم"),0,MAX(0,MIN($F153,EOMONTH(DATE(cfg_FY,8,1),0))-MAX($E153,DATE(cfg_FY,8,1))+1))</f>
        <v>0</v>
      </c>
      <c r="BB153" s="133" t="n">
        <f aca="false">IF(OR(OR($B153="",$E153="",$F153=""),$K153&lt;&gt;"نعم",$M153="نعم"),0,MAX(0,MIN($F153,EOMONTH(DATE(cfg_FY,9,1),0))-MAX($E153,DATE(cfg_FY,9,1))+1))</f>
        <v>0</v>
      </c>
      <c r="BC153" s="133" t="n">
        <f aca="false">IF(OR(OR($B153="",$E153="",$F153=""),$K153&lt;&gt;"نعم",$M153="نعم"),0,MAX(0,MIN($F153,EOMONTH(DATE(cfg_FY,10,1),0))-MAX($E153,DATE(cfg_FY,10,1))+1))</f>
        <v>0</v>
      </c>
      <c r="BD153" s="133" t="n">
        <f aca="false">IF(OR(OR($B153="",$E153="",$F153=""),$K153&lt;&gt;"نعم",$M153="نعم"),0,MAX(0,MIN($F153,EOMONTH(DATE(cfg_FY,11,1),0))-MAX($E153,DATE(cfg_FY,11,1))+1))</f>
        <v>0</v>
      </c>
      <c r="BE153" s="133" t="n">
        <f aca="false">IF(OR(OR($B153="",$E153="",$F153=""),$K153&lt;&gt;"نعم",$M153="نعم"),0,MAX(0,MIN($F153,EOMONTH(DATE(cfg_FY,12,1),0))-MAX($E153,DATE(cfg_FY,12,1))+1))</f>
        <v>0</v>
      </c>
    </row>
    <row r="154" customFormat="false" ht="15" hidden="false" customHeight="false" outlineLevel="0" collapsed="false">
      <c r="A154" s="106" t="str">
        <f aca="false">IF(B154="","",ROW()-5)</f>
        <v/>
      </c>
      <c r="B154" s="118"/>
      <c r="C154" s="114" t="str">
        <f aca="false">IF(B154="","",IFERROR(INDEX(الموظفون!$C$6:$C$105,MATCH(B154,الموظفون!$B$6:$B$105,0)),"✖ رقم غير موجود"))</f>
        <v/>
      </c>
      <c r="D154" s="118"/>
      <c r="E154" s="119"/>
      <c r="F154" s="119"/>
      <c r="G154" s="65" t="str">
        <f aca="false">IF(OR($B154="",$E154="",$F154=""),"",MAX(0,F154-E154+1))</f>
        <v/>
      </c>
      <c r="H154" s="66" t="str">
        <f aca="false">IF(D154="","",IFERROR(VLOOKUP(D154,cfg_LT,2,FALSE()),1))</f>
        <v/>
      </c>
      <c r="I154" s="135"/>
      <c r="J154" s="66" t="str">
        <f aca="false">IF(D154="","",IF(I154&lt;&gt;"",I154,H154))</f>
        <v/>
      </c>
      <c r="K154" s="114" t="str">
        <f aca="false">IF(D154="","",IFERROR(VLOOKUP($D154,cfg_LT,3,FALSE()),""))</f>
        <v/>
      </c>
      <c r="L154" s="114" t="str">
        <f aca="false">IF(D154="","",IFERROR(VLOOKUP($D154,cfg_LT,4,FALSE()),""))</f>
        <v/>
      </c>
      <c r="M154" s="114" t="str">
        <f aca="false">IF(D154="","",IFERROR(VLOOKUP($D154,cfg_LT,5,FALSE()),""))</f>
        <v/>
      </c>
      <c r="N154" s="111" t="n">
        <f aca="false">IF(OR(OR($B154="",$E154="",$F154=""),M154&lt;&gt;"نعم"),0,G154*J154*IFERROR(INDEX(الموظفون!$R$6:$R$105,MATCH(B154,الموظفون!$B$6:$B$105,0)),0)/cfg_DAYS_M)</f>
        <v>0</v>
      </c>
      <c r="O154" s="106" t="str">
        <f aca="false">IF(OR(OR($B154="",$E154="",$F154=""),M154&lt;&gt;"نعم"),"",IF(YEAR(E154)=cfg_FY,MONTH(E154),""))</f>
        <v/>
      </c>
      <c r="P154" s="114" t="str">
        <f aca="false">IF(B154="","",IF(OR(D154="",E154="",F154=""),"⚠ أكمل النوع والتواريخ",IF(F154&lt;E154,"✖ النهاية قبل البداية",IF(COUNTIFS($B$6:$B$505,B154,$E$6:$E$505,"&lt;="&amp;F154,$F$6:$F$505,"&gt;="&amp;E154)&gt;1,"⚠ تداخل مع سجل آخر",IF(E154&gt;cfg_VAL_DATE,"⏳ قادمة",IF(F154&lt;cfg_VAL_DATE,"✔ منتهية","✈ جارية في تاريخ التقرير"))))))</f>
        <v/>
      </c>
      <c r="Q154" s="118"/>
      <c r="R154" s="65" t="n">
        <f aca="false">IF(OR(OR($B154="",$E154="",$F154=""),L154&lt;&gt;"لا"),0,MAX(0,MIN(F154,cfg_Y_START-1)-E154+1))</f>
        <v>0</v>
      </c>
      <c r="S154" s="65" t="n">
        <f aca="false">IF(OR(OR($B154="",$E154="",$F154=""),L154&lt;&gt;"لا"),0,MAX(0,MIN(F154,cfg_VAL_DATE)-E154+1))</f>
        <v>0</v>
      </c>
      <c r="T154" s="65" t="n">
        <f aca="false">IF(OR(OR($B154="",$E154="",$F154=""),K154&lt;&gt;"نعم"),0,IF(M154="نعم",IF(AND(ISNUMBER(O154),N(O154)&lt;=cfg_VAL_M),G154,0),MAX(0,MIN(F154,cfg_VAL_DATE)-MAX(E154,cfg_Y_START)+1)))</f>
        <v>0</v>
      </c>
      <c r="V154" s="65" t="n">
        <f aca="false">IF(OR($B154="",$E154="",$F154=""),0,MAX(0,MIN($F154,EOMONTH(DATE(cfg_FY,1,1),0))-MAX($E154,DATE(cfg_FY,1,1))+1)*(1-IF($M154="نعم",0,N($J154))))</f>
        <v>0</v>
      </c>
      <c r="W154" s="65" t="n">
        <f aca="false">IF(OR($B154="",$E154="",$F154=""),0,MAX(0,MIN($F154,EOMONTH(DATE(cfg_FY,2,1),0))-MAX($E154,DATE(cfg_FY,2,1))+1)*(1-IF($M154="نعم",0,N($J154))))</f>
        <v>0</v>
      </c>
      <c r="X154" s="65" t="n">
        <f aca="false">IF(OR($B154="",$E154="",$F154=""),0,MAX(0,MIN($F154,EOMONTH(DATE(cfg_FY,3,1),0))-MAX($E154,DATE(cfg_FY,3,1))+1)*(1-IF($M154="نعم",0,N($J154))))</f>
        <v>0</v>
      </c>
      <c r="Y154" s="65" t="n">
        <f aca="false">IF(OR($B154="",$E154="",$F154=""),0,MAX(0,MIN($F154,EOMONTH(DATE(cfg_FY,4,1),0))-MAX($E154,DATE(cfg_FY,4,1))+1)*(1-IF($M154="نعم",0,N($J154))))</f>
        <v>0</v>
      </c>
      <c r="Z154" s="65" t="n">
        <f aca="false">IF(OR($B154="",$E154="",$F154=""),0,MAX(0,MIN($F154,EOMONTH(DATE(cfg_FY,5,1),0))-MAX($E154,DATE(cfg_FY,5,1))+1)*(1-IF($M154="نعم",0,N($J154))))</f>
        <v>0</v>
      </c>
      <c r="AA154" s="65" t="n">
        <f aca="false">IF(OR($B154="",$E154="",$F154=""),0,MAX(0,MIN($F154,EOMONTH(DATE(cfg_FY,6,1),0))-MAX($E154,DATE(cfg_FY,6,1))+1)*(1-IF($M154="نعم",0,N($J154))))</f>
        <v>0</v>
      </c>
      <c r="AB154" s="65" t="n">
        <f aca="false">IF(OR($B154="",$E154="",$F154=""),0,MAX(0,MIN($F154,EOMONTH(DATE(cfg_FY,7,1),0))-MAX($E154,DATE(cfg_FY,7,1))+1)*(1-IF($M154="نعم",0,N($J154))))</f>
        <v>0</v>
      </c>
      <c r="AC154" s="65" t="n">
        <f aca="false">IF(OR($B154="",$E154="",$F154=""),0,MAX(0,MIN($F154,EOMONTH(DATE(cfg_FY,8,1),0))-MAX($E154,DATE(cfg_FY,8,1))+1)*(1-IF($M154="نعم",0,N($J154))))</f>
        <v>0</v>
      </c>
      <c r="AD154" s="65" t="n">
        <f aca="false">IF(OR($B154="",$E154="",$F154=""),0,MAX(0,MIN($F154,EOMONTH(DATE(cfg_FY,9,1),0))-MAX($E154,DATE(cfg_FY,9,1))+1)*(1-IF($M154="نعم",0,N($J154))))</f>
        <v>0</v>
      </c>
      <c r="AE154" s="65" t="n">
        <f aca="false">IF(OR($B154="",$E154="",$F154=""),0,MAX(0,MIN($F154,EOMONTH(DATE(cfg_FY,10,1),0))-MAX($E154,DATE(cfg_FY,10,1))+1)*(1-IF($M154="نعم",0,N($J154))))</f>
        <v>0</v>
      </c>
      <c r="AF154" s="65" t="n">
        <f aca="false">IF(OR($B154="",$E154="",$F154=""),0,MAX(0,MIN($F154,EOMONTH(DATE(cfg_FY,11,1),0))-MAX($E154,DATE(cfg_FY,11,1))+1)*(1-IF($M154="نعم",0,N($J154))))</f>
        <v>0</v>
      </c>
      <c r="AG154" s="65" t="n">
        <f aca="false">IF(OR($B154="",$E154="",$F154=""),0,MAX(0,MIN($F154,EOMONTH(DATE(cfg_FY,12,1),0))-MAX($E154,DATE(cfg_FY,12,1))+1)*(1-IF($M154="نعم",0,N($J154))))</f>
        <v>0</v>
      </c>
      <c r="AH154" s="65" t="n">
        <f aca="false">IF(OR(OR($B154="",$E154="",$F154=""),$L154&lt;&gt;"لا"),0,MAX(0,MIN($F154,EOMONTH(DATE(cfg_FY,1,1),0))-$E154+1))</f>
        <v>0</v>
      </c>
      <c r="AI154" s="65" t="n">
        <f aca="false">IF(OR(OR($B154="",$E154="",$F154=""),$L154&lt;&gt;"لا"),0,MAX(0,MIN($F154,EOMONTH(DATE(cfg_FY,2,1),0))-$E154+1))</f>
        <v>0</v>
      </c>
      <c r="AJ154" s="65" t="n">
        <f aca="false">IF(OR(OR($B154="",$E154="",$F154=""),$L154&lt;&gt;"لا"),0,MAX(0,MIN($F154,EOMONTH(DATE(cfg_FY,3,1),0))-$E154+1))</f>
        <v>0</v>
      </c>
      <c r="AK154" s="65" t="n">
        <f aca="false">IF(OR(OR($B154="",$E154="",$F154=""),$L154&lt;&gt;"لا"),0,MAX(0,MIN($F154,EOMONTH(DATE(cfg_FY,4,1),0))-$E154+1))</f>
        <v>0</v>
      </c>
      <c r="AL154" s="65" t="n">
        <f aca="false">IF(OR(OR($B154="",$E154="",$F154=""),$L154&lt;&gt;"لا"),0,MAX(0,MIN($F154,EOMONTH(DATE(cfg_FY,5,1),0))-$E154+1))</f>
        <v>0</v>
      </c>
      <c r="AM154" s="65" t="n">
        <f aca="false">IF(OR(OR($B154="",$E154="",$F154=""),$L154&lt;&gt;"لا"),0,MAX(0,MIN($F154,EOMONTH(DATE(cfg_FY,6,1),0))-$E154+1))</f>
        <v>0</v>
      </c>
      <c r="AN154" s="65" t="n">
        <f aca="false">IF(OR(OR($B154="",$E154="",$F154=""),$L154&lt;&gt;"لا"),0,MAX(0,MIN($F154,EOMONTH(DATE(cfg_FY,7,1),0))-$E154+1))</f>
        <v>0</v>
      </c>
      <c r="AO154" s="65" t="n">
        <f aca="false">IF(OR(OR($B154="",$E154="",$F154=""),$L154&lt;&gt;"لا"),0,MAX(0,MIN($F154,EOMONTH(DATE(cfg_FY,8,1),0))-$E154+1))</f>
        <v>0</v>
      </c>
      <c r="AP154" s="65" t="n">
        <f aca="false">IF(OR(OR($B154="",$E154="",$F154=""),$L154&lt;&gt;"لا"),0,MAX(0,MIN($F154,EOMONTH(DATE(cfg_FY,9,1),0))-$E154+1))</f>
        <v>0</v>
      </c>
      <c r="AQ154" s="65" t="n">
        <f aca="false">IF(OR(OR($B154="",$E154="",$F154=""),$L154&lt;&gt;"لا"),0,MAX(0,MIN($F154,EOMONTH(DATE(cfg_FY,10,1),0))-$E154+1))</f>
        <v>0</v>
      </c>
      <c r="AR154" s="65" t="n">
        <f aca="false">IF(OR(OR($B154="",$E154="",$F154=""),$L154&lt;&gt;"لا"),0,MAX(0,MIN($F154,EOMONTH(DATE(cfg_FY,11,1),0))-$E154+1))</f>
        <v>0</v>
      </c>
      <c r="AS154" s="65" t="n">
        <f aca="false">IF(OR(OR($B154="",$E154="",$F154=""),$L154&lt;&gt;"لا"),0,MAX(0,MIN($F154,EOMONTH(DATE(cfg_FY,12,1),0))-$E154+1))</f>
        <v>0</v>
      </c>
      <c r="AT154" s="65" t="n">
        <f aca="false">IF(OR(OR($B154="",$E154="",$F154=""),$K154&lt;&gt;"نعم",$M154="نعم"),0,MAX(0,MIN($F154,EOMONTH(DATE(cfg_FY,1,1),0))-MAX($E154,DATE(cfg_FY,1,1))+1))</f>
        <v>0</v>
      </c>
      <c r="AU154" s="65" t="n">
        <f aca="false">IF(OR(OR($B154="",$E154="",$F154=""),$K154&lt;&gt;"نعم",$M154="نعم"),0,MAX(0,MIN($F154,EOMONTH(DATE(cfg_FY,2,1),0))-MAX($E154,DATE(cfg_FY,2,1))+1))</f>
        <v>0</v>
      </c>
      <c r="AV154" s="65" t="n">
        <f aca="false">IF(OR(OR($B154="",$E154="",$F154=""),$K154&lt;&gt;"نعم",$M154="نعم"),0,MAX(0,MIN($F154,EOMONTH(DATE(cfg_FY,3,1),0))-MAX($E154,DATE(cfg_FY,3,1))+1))</f>
        <v>0</v>
      </c>
      <c r="AW154" s="65" t="n">
        <f aca="false">IF(OR(OR($B154="",$E154="",$F154=""),$K154&lt;&gt;"نعم",$M154="نعم"),0,MAX(0,MIN($F154,EOMONTH(DATE(cfg_FY,4,1),0))-MAX($E154,DATE(cfg_FY,4,1))+1))</f>
        <v>0</v>
      </c>
      <c r="AX154" s="65" t="n">
        <f aca="false">IF(OR(OR($B154="",$E154="",$F154=""),$K154&lt;&gt;"نعم",$M154="نعم"),0,MAX(0,MIN($F154,EOMONTH(DATE(cfg_FY,5,1),0))-MAX($E154,DATE(cfg_FY,5,1))+1))</f>
        <v>0</v>
      </c>
      <c r="AY154" s="65" t="n">
        <f aca="false">IF(OR(OR($B154="",$E154="",$F154=""),$K154&lt;&gt;"نعم",$M154="نعم"),0,MAX(0,MIN($F154,EOMONTH(DATE(cfg_FY,6,1),0))-MAX($E154,DATE(cfg_FY,6,1))+1))</f>
        <v>0</v>
      </c>
      <c r="AZ154" s="65" t="n">
        <f aca="false">IF(OR(OR($B154="",$E154="",$F154=""),$K154&lt;&gt;"نعم",$M154="نعم"),0,MAX(0,MIN($F154,EOMONTH(DATE(cfg_FY,7,1),0))-MAX($E154,DATE(cfg_FY,7,1))+1))</f>
        <v>0</v>
      </c>
      <c r="BA154" s="65" t="n">
        <f aca="false">IF(OR(OR($B154="",$E154="",$F154=""),$K154&lt;&gt;"نعم",$M154="نعم"),0,MAX(0,MIN($F154,EOMONTH(DATE(cfg_FY,8,1),0))-MAX($E154,DATE(cfg_FY,8,1))+1))</f>
        <v>0</v>
      </c>
      <c r="BB154" s="65" t="n">
        <f aca="false">IF(OR(OR($B154="",$E154="",$F154=""),$K154&lt;&gt;"نعم",$M154="نعم"),0,MAX(0,MIN($F154,EOMONTH(DATE(cfg_FY,9,1),0))-MAX($E154,DATE(cfg_FY,9,1))+1))</f>
        <v>0</v>
      </c>
      <c r="BC154" s="65" t="n">
        <f aca="false">IF(OR(OR($B154="",$E154="",$F154=""),$K154&lt;&gt;"نعم",$M154="نعم"),0,MAX(0,MIN($F154,EOMONTH(DATE(cfg_FY,10,1),0))-MAX($E154,DATE(cfg_FY,10,1))+1))</f>
        <v>0</v>
      </c>
      <c r="BD154" s="65" t="n">
        <f aca="false">IF(OR(OR($B154="",$E154="",$F154=""),$K154&lt;&gt;"نعم",$M154="نعم"),0,MAX(0,MIN($F154,EOMONTH(DATE(cfg_FY,11,1),0))-MAX($E154,DATE(cfg_FY,11,1))+1))</f>
        <v>0</v>
      </c>
      <c r="BE154" s="65" t="n">
        <f aca="false">IF(OR(OR($B154="",$E154="",$F154=""),$K154&lt;&gt;"نعم",$M154="نعم"),0,MAX(0,MIN($F154,EOMONTH(DATE(cfg_FY,12,1),0))-MAX($E154,DATE(cfg_FY,12,1))+1))</f>
        <v>0</v>
      </c>
    </row>
    <row r="155" customFormat="false" ht="15" hidden="false" customHeight="false" outlineLevel="0" collapsed="false">
      <c r="A155" s="115" t="str">
        <f aca="false">IF(B155="","",ROW()-5)</f>
        <v/>
      </c>
      <c r="B155" s="118"/>
      <c r="C155" s="117" t="str">
        <f aca="false">IF(B155="","",IFERROR(INDEX(الموظفون!$C$6:$C$105,MATCH(B155,الموظفون!$B$6:$B$105,0)),"✖ رقم غير موجود"))</f>
        <v/>
      </c>
      <c r="D155" s="118"/>
      <c r="E155" s="119"/>
      <c r="F155" s="119"/>
      <c r="G155" s="133" t="str">
        <f aca="false">IF(OR($B155="",$E155="",$F155=""),"",MAX(0,F155-E155+1))</f>
        <v/>
      </c>
      <c r="H155" s="134" t="str">
        <f aca="false">IF(D155="","",IFERROR(VLOOKUP(D155,cfg_LT,2,FALSE()),1))</f>
        <v/>
      </c>
      <c r="I155" s="135"/>
      <c r="J155" s="134" t="str">
        <f aca="false">IF(D155="","",IF(I155&lt;&gt;"",I155,H155))</f>
        <v/>
      </c>
      <c r="K155" s="117" t="str">
        <f aca="false">IF(D155="","",IFERROR(VLOOKUP($D155,cfg_LT,3,FALSE()),""))</f>
        <v/>
      </c>
      <c r="L155" s="117" t="str">
        <f aca="false">IF(D155="","",IFERROR(VLOOKUP($D155,cfg_LT,4,FALSE()),""))</f>
        <v/>
      </c>
      <c r="M155" s="117" t="str">
        <f aca="false">IF(D155="","",IFERROR(VLOOKUP($D155,cfg_LT,5,FALSE()),""))</f>
        <v/>
      </c>
      <c r="N155" s="116" t="n">
        <f aca="false">IF(OR(OR($B155="",$E155="",$F155=""),M155&lt;&gt;"نعم"),0,G155*J155*IFERROR(INDEX(الموظفون!$R$6:$R$105,MATCH(B155,الموظفون!$B$6:$B$105,0)),0)/cfg_DAYS_M)</f>
        <v>0</v>
      </c>
      <c r="O155" s="115" t="str">
        <f aca="false">IF(OR(OR($B155="",$E155="",$F155=""),M155&lt;&gt;"نعم"),"",IF(YEAR(E155)=cfg_FY,MONTH(E155),""))</f>
        <v/>
      </c>
      <c r="P155" s="117" t="str">
        <f aca="false">IF(B155="","",IF(OR(D155="",E155="",F155=""),"⚠ أكمل النوع والتواريخ",IF(F155&lt;E155,"✖ النهاية قبل البداية",IF(COUNTIFS($B$6:$B$505,B155,$E$6:$E$505,"&lt;="&amp;F155,$F$6:$F$505,"&gt;="&amp;E155)&gt;1,"⚠ تداخل مع سجل آخر",IF(E155&gt;cfg_VAL_DATE,"⏳ قادمة",IF(F155&lt;cfg_VAL_DATE,"✔ منتهية","✈ جارية في تاريخ التقرير"))))))</f>
        <v/>
      </c>
      <c r="Q155" s="118"/>
      <c r="R155" s="133" t="n">
        <f aca="false">IF(OR(OR($B155="",$E155="",$F155=""),L155&lt;&gt;"لا"),0,MAX(0,MIN(F155,cfg_Y_START-1)-E155+1))</f>
        <v>0</v>
      </c>
      <c r="S155" s="133" t="n">
        <f aca="false">IF(OR(OR($B155="",$E155="",$F155=""),L155&lt;&gt;"لا"),0,MAX(0,MIN(F155,cfg_VAL_DATE)-E155+1))</f>
        <v>0</v>
      </c>
      <c r="T155" s="133" t="n">
        <f aca="false">IF(OR(OR($B155="",$E155="",$F155=""),K155&lt;&gt;"نعم"),0,IF(M155="نعم",IF(AND(ISNUMBER(O155),N(O155)&lt;=cfg_VAL_M),G155,0),MAX(0,MIN(F155,cfg_VAL_DATE)-MAX(E155,cfg_Y_START)+1)))</f>
        <v>0</v>
      </c>
      <c r="V155" s="133" t="n">
        <f aca="false">IF(OR($B155="",$E155="",$F155=""),0,MAX(0,MIN($F155,EOMONTH(DATE(cfg_FY,1,1),0))-MAX($E155,DATE(cfg_FY,1,1))+1)*(1-IF($M155="نعم",0,N($J155))))</f>
        <v>0</v>
      </c>
      <c r="W155" s="133" t="n">
        <f aca="false">IF(OR($B155="",$E155="",$F155=""),0,MAX(0,MIN($F155,EOMONTH(DATE(cfg_FY,2,1),0))-MAX($E155,DATE(cfg_FY,2,1))+1)*(1-IF($M155="نعم",0,N($J155))))</f>
        <v>0</v>
      </c>
      <c r="X155" s="133" t="n">
        <f aca="false">IF(OR($B155="",$E155="",$F155=""),0,MAX(0,MIN($F155,EOMONTH(DATE(cfg_FY,3,1),0))-MAX($E155,DATE(cfg_FY,3,1))+1)*(1-IF($M155="نعم",0,N($J155))))</f>
        <v>0</v>
      </c>
      <c r="Y155" s="133" t="n">
        <f aca="false">IF(OR($B155="",$E155="",$F155=""),0,MAX(0,MIN($F155,EOMONTH(DATE(cfg_FY,4,1),0))-MAX($E155,DATE(cfg_FY,4,1))+1)*(1-IF($M155="نعم",0,N($J155))))</f>
        <v>0</v>
      </c>
      <c r="Z155" s="133" t="n">
        <f aca="false">IF(OR($B155="",$E155="",$F155=""),0,MAX(0,MIN($F155,EOMONTH(DATE(cfg_FY,5,1),0))-MAX($E155,DATE(cfg_FY,5,1))+1)*(1-IF($M155="نعم",0,N($J155))))</f>
        <v>0</v>
      </c>
      <c r="AA155" s="133" t="n">
        <f aca="false">IF(OR($B155="",$E155="",$F155=""),0,MAX(0,MIN($F155,EOMONTH(DATE(cfg_FY,6,1),0))-MAX($E155,DATE(cfg_FY,6,1))+1)*(1-IF($M155="نعم",0,N($J155))))</f>
        <v>0</v>
      </c>
      <c r="AB155" s="133" t="n">
        <f aca="false">IF(OR($B155="",$E155="",$F155=""),0,MAX(0,MIN($F155,EOMONTH(DATE(cfg_FY,7,1),0))-MAX($E155,DATE(cfg_FY,7,1))+1)*(1-IF($M155="نعم",0,N($J155))))</f>
        <v>0</v>
      </c>
      <c r="AC155" s="133" t="n">
        <f aca="false">IF(OR($B155="",$E155="",$F155=""),0,MAX(0,MIN($F155,EOMONTH(DATE(cfg_FY,8,1),0))-MAX($E155,DATE(cfg_FY,8,1))+1)*(1-IF($M155="نعم",0,N($J155))))</f>
        <v>0</v>
      </c>
      <c r="AD155" s="133" t="n">
        <f aca="false">IF(OR($B155="",$E155="",$F155=""),0,MAX(0,MIN($F155,EOMONTH(DATE(cfg_FY,9,1),0))-MAX($E155,DATE(cfg_FY,9,1))+1)*(1-IF($M155="نعم",0,N($J155))))</f>
        <v>0</v>
      </c>
      <c r="AE155" s="133" t="n">
        <f aca="false">IF(OR($B155="",$E155="",$F155=""),0,MAX(0,MIN($F155,EOMONTH(DATE(cfg_FY,10,1),0))-MAX($E155,DATE(cfg_FY,10,1))+1)*(1-IF($M155="نعم",0,N($J155))))</f>
        <v>0</v>
      </c>
      <c r="AF155" s="133" t="n">
        <f aca="false">IF(OR($B155="",$E155="",$F155=""),0,MAX(0,MIN($F155,EOMONTH(DATE(cfg_FY,11,1),0))-MAX($E155,DATE(cfg_FY,11,1))+1)*(1-IF($M155="نعم",0,N($J155))))</f>
        <v>0</v>
      </c>
      <c r="AG155" s="133" t="n">
        <f aca="false">IF(OR($B155="",$E155="",$F155=""),0,MAX(0,MIN($F155,EOMONTH(DATE(cfg_FY,12,1),0))-MAX($E155,DATE(cfg_FY,12,1))+1)*(1-IF($M155="نعم",0,N($J155))))</f>
        <v>0</v>
      </c>
      <c r="AH155" s="133" t="n">
        <f aca="false">IF(OR(OR($B155="",$E155="",$F155=""),$L155&lt;&gt;"لا"),0,MAX(0,MIN($F155,EOMONTH(DATE(cfg_FY,1,1),0))-$E155+1))</f>
        <v>0</v>
      </c>
      <c r="AI155" s="133" t="n">
        <f aca="false">IF(OR(OR($B155="",$E155="",$F155=""),$L155&lt;&gt;"لا"),0,MAX(0,MIN($F155,EOMONTH(DATE(cfg_FY,2,1),0))-$E155+1))</f>
        <v>0</v>
      </c>
      <c r="AJ155" s="133" t="n">
        <f aca="false">IF(OR(OR($B155="",$E155="",$F155=""),$L155&lt;&gt;"لا"),0,MAX(0,MIN($F155,EOMONTH(DATE(cfg_FY,3,1),0))-$E155+1))</f>
        <v>0</v>
      </c>
      <c r="AK155" s="133" t="n">
        <f aca="false">IF(OR(OR($B155="",$E155="",$F155=""),$L155&lt;&gt;"لا"),0,MAX(0,MIN($F155,EOMONTH(DATE(cfg_FY,4,1),0))-$E155+1))</f>
        <v>0</v>
      </c>
      <c r="AL155" s="133" t="n">
        <f aca="false">IF(OR(OR($B155="",$E155="",$F155=""),$L155&lt;&gt;"لا"),0,MAX(0,MIN($F155,EOMONTH(DATE(cfg_FY,5,1),0))-$E155+1))</f>
        <v>0</v>
      </c>
      <c r="AM155" s="133" t="n">
        <f aca="false">IF(OR(OR($B155="",$E155="",$F155=""),$L155&lt;&gt;"لا"),0,MAX(0,MIN($F155,EOMONTH(DATE(cfg_FY,6,1),0))-$E155+1))</f>
        <v>0</v>
      </c>
      <c r="AN155" s="133" t="n">
        <f aca="false">IF(OR(OR($B155="",$E155="",$F155=""),$L155&lt;&gt;"لا"),0,MAX(0,MIN($F155,EOMONTH(DATE(cfg_FY,7,1),0))-$E155+1))</f>
        <v>0</v>
      </c>
      <c r="AO155" s="133" t="n">
        <f aca="false">IF(OR(OR($B155="",$E155="",$F155=""),$L155&lt;&gt;"لا"),0,MAX(0,MIN($F155,EOMONTH(DATE(cfg_FY,8,1),0))-$E155+1))</f>
        <v>0</v>
      </c>
      <c r="AP155" s="133" t="n">
        <f aca="false">IF(OR(OR($B155="",$E155="",$F155=""),$L155&lt;&gt;"لا"),0,MAX(0,MIN($F155,EOMONTH(DATE(cfg_FY,9,1),0))-$E155+1))</f>
        <v>0</v>
      </c>
      <c r="AQ155" s="133" t="n">
        <f aca="false">IF(OR(OR($B155="",$E155="",$F155=""),$L155&lt;&gt;"لا"),0,MAX(0,MIN($F155,EOMONTH(DATE(cfg_FY,10,1),0))-$E155+1))</f>
        <v>0</v>
      </c>
      <c r="AR155" s="133" t="n">
        <f aca="false">IF(OR(OR($B155="",$E155="",$F155=""),$L155&lt;&gt;"لا"),0,MAX(0,MIN($F155,EOMONTH(DATE(cfg_FY,11,1),0))-$E155+1))</f>
        <v>0</v>
      </c>
      <c r="AS155" s="133" t="n">
        <f aca="false">IF(OR(OR($B155="",$E155="",$F155=""),$L155&lt;&gt;"لا"),0,MAX(0,MIN($F155,EOMONTH(DATE(cfg_FY,12,1),0))-$E155+1))</f>
        <v>0</v>
      </c>
      <c r="AT155" s="133" t="n">
        <f aca="false">IF(OR(OR($B155="",$E155="",$F155=""),$K155&lt;&gt;"نعم",$M155="نعم"),0,MAX(0,MIN($F155,EOMONTH(DATE(cfg_FY,1,1),0))-MAX($E155,DATE(cfg_FY,1,1))+1))</f>
        <v>0</v>
      </c>
      <c r="AU155" s="133" t="n">
        <f aca="false">IF(OR(OR($B155="",$E155="",$F155=""),$K155&lt;&gt;"نعم",$M155="نعم"),0,MAX(0,MIN($F155,EOMONTH(DATE(cfg_FY,2,1),0))-MAX($E155,DATE(cfg_FY,2,1))+1))</f>
        <v>0</v>
      </c>
      <c r="AV155" s="133" t="n">
        <f aca="false">IF(OR(OR($B155="",$E155="",$F155=""),$K155&lt;&gt;"نعم",$M155="نعم"),0,MAX(0,MIN($F155,EOMONTH(DATE(cfg_FY,3,1),0))-MAX($E155,DATE(cfg_FY,3,1))+1))</f>
        <v>0</v>
      </c>
      <c r="AW155" s="133" t="n">
        <f aca="false">IF(OR(OR($B155="",$E155="",$F155=""),$K155&lt;&gt;"نعم",$M155="نعم"),0,MAX(0,MIN($F155,EOMONTH(DATE(cfg_FY,4,1),0))-MAX($E155,DATE(cfg_FY,4,1))+1))</f>
        <v>0</v>
      </c>
      <c r="AX155" s="133" t="n">
        <f aca="false">IF(OR(OR($B155="",$E155="",$F155=""),$K155&lt;&gt;"نعم",$M155="نعم"),0,MAX(0,MIN($F155,EOMONTH(DATE(cfg_FY,5,1),0))-MAX($E155,DATE(cfg_FY,5,1))+1))</f>
        <v>0</v>
      </c>
      <c r="AY155" s="133" t="n">
        <f aca="false">IF(OR(OR($B155="",$E155="",$F155=""),$K155&lt;&gt;"نعم",$M155="نعم"),0,MAX(0,MIN($F155,EOMONTH(DATE(cfg_FY,6,1),0))-MAX($E155,DATE(cfg_FY,6,1))+1))</f>
        <v>0</v>
      </c>
      <c r="AZ155" s="133" t="n">
        <f aca="false">IF(OR(OR($B155="",$E155="",$F155=""),$K155&lt;&gt;"نعم",$M155="نعم"),0,MAX(0,MIN($F155,EOMONTH(DATE(cfg_FY,7,1),0))-MAX($E155,DATE(cfg_FY,7,1))+1))</f>
        <v>0</v>
      </c>
      <c r="BA155" s="133" t="n">
        <f aca="false">IF(OR(OR($B155="",$E155="",$F155=""),$K155&lt;&gt;"نعم",$M155="نعم"),0,MAX(0,MIN($F155,EOMONTH(DATE(cfg_FY,8,1),0))-MAX($E155,DATE(cfg_FY,8,1))+1))</f>
        <v>0</v>
      </c>
      <c r="BB155" s="133" t="n">
        <f aca="false">IF(OR(OR($B155="",$E155="",$F155=""),$K155&lt;&gt;"نعم",$M155="نعم"),0,MAX(0,MIN($F155,EOMONTH(DATE(cfg_FY,9,1),0))-MAX($E155,DATE(cfg_FY,9,1))+1))</f>
        <v>0</v>
      </c>
      <c r="BC155" s="133" t="n">
        <f aca="false">IF(OR(OR($B155="",$E155="",$F155=""),$K155&lt;&gt;"نعم",$M155="نعم"),0,MAX(0,MIN($F155,EOMONTH(DATE(cfg_FY,10,1),0))-MAX($E155,DATE(cfg_FY,10,1))+1))</f>
        <v>0</v>
      </c>
      <c r="BD155" s="133" t="n">
        <f aca="false">IF(OR(OR($B155="",$E155="",$F155=""),$K155&lt;&gt;"نعم",$M155="نعم"),0,MAX(0,MIN($F155,EOMONTH(DATE(cfg_FY,11,1),0))-MAX($E155,DATE(cfg_FY,11,1))+1))</f>
        <v>0</v>
      </c>
      <c r="BE155" s="133" t="n">
        <f aca="false">IF(OR(OR($B155="",$E155="",$F155=""),$K155&lt;&gt;"نعم",$M155="نعم"),0,MAX(0,MIN($F155,EOMONTH(DATE(cfg_FY,12,1),0))-MAX($E155,DATE(cfg_FY,12,1))+1))</f>
        <v>0</v>
      </c>
    </row>
    <row r="156" customFormat="false" ht="15" hidden="false" customHeight="false" outlineLevel="0" collapsed="false">
      <c r="A156" s="106" t="str">
        <f aca="false">IF(B156="","",ROW()-5)</f>
        <v/>
      </c>
      <c r="B156" s="118"/>
      <c r="C156" s="114" t="str">
        <f aca="false">IF(B156="","",IFERROR(INDEX(الموظفون!$C$6:$C$105,MATCH(B156,الموظفون!$B$6:$B$105,0)),"✖ رقم غير موجود"))</f>
        <v/>
      </c>
      <c r="D156" s="118"/>
      <c r="E156" s="119"/>
      <c r="F156" s="119"/>
      <c r="G156" s="65" t="str">
        <f aca="false">IF(OR($B156="",$E156="",$F156=""),"",MAX(0,F156-E156+1))</f>
        <v/>
      </c>
      <c r="H156" s="66" t="str">
        <f aca="false">IF(D156="","",IFERROR(VLOOKUP(D156,cfg_LT,2,FALSE()),1))</f>
        <v/>
      </c>
      <c r="I156" s="135"/>
      <c r="J156" s="66" t="str">
        <f aca="false">IF(D156="","",IF(I156&lt;&gt;"",I156,H156))</f>
        <v/>
      </c>
      <c r="K156" s="114" t="str">
        <f aca="false">IF(D156="","",IFERROR(VLOOKUP($D156,cfg_LT,3,FALSE()),""))</f>
        <v/>
      </c>
      <c r="L156" s="114" t="str">
        <f aca="false">IF(D156="","",IFERROR(VLOOKUP($D156,cfg_LT,4,FALSE()),""))</f>
        <v/>
      </c>
      <c r="M156" s="114" t="str">
        <f aca="false">IF(D156="","",IFERROR(VLOOKUP($D156,cfg_LT,5,FALSE()),""))</f>
        <v/>
      </c>
      <c r="N156" s="111" t="n">
        <f aca="false">IF(OR(OR($B156="",$E156="",$F156=""),M156&lt;&gt;"نعم"),0,G156*J156*IFERROR(INDEX(الموظفون!$R$6:$R$105,MATCH(B156,الموظفون!$B$6:$B$105,0)),0)/cfg_DAYS_M)</f>
        <v>0</v>
      </c>
      <c r="O156" s="106" t="str">
        <f aca="false">IF(OR(OR($B156="",$E156="",$F156=""),M156&lt;&gt;"نعم"),"",IF(YEAR(E156)=cfg_FY,MONTH(E156),""))</f>
        <v/>
      </c>
      <c r="P156" s="114" t="str">
        <f aca="false">IF(B156="","",IF(OR(D156="",E156="",F156=""),"⚠ أكمل النوع والتواريخ",IF(F156&lt;E156,"✖ النهاية قبل البداية",IF(COUNTIFS($B$6:$B$505,B156,$E$6:$E$505,"&lt;="&amp;F156,$F$6:$F$505,"&gt;="&amp;E156)&gt;1,"⚠ تداخل مع سجل آخر",IF(E156&gt;cfg_VAL_DATE,"⏳ قادمة",IF(F156&lt;cfg_VAL_DATE,"✔ منتهية","✈ جارية في تاريخ التقرير"))))))</f>
        <v/>
      </c>
      <c r="Q156" s="118"/>
      <c r="R156" s="65" t="n">
        <f aca="false">IF(OR(OR($B156="",$E156="",$F156=""),L156&lt;&gt;"لا"),0,MAX(0,MIN(F156,cfg_Y_START-1)-E156+1))</f>
        <v>0</v>
      </c>
      <c r="S156" s="65" t="n">
        <f aca="false">IF(OR(OR($B156="",$E156="",$F156=""),L156&lt;&gt;"لا"),0,MAX(0,MIN(F156,cfg_VAL_DATE)-E156+1))</f>
        <v>0</v>
      </c>
      <c r="T156" s="65" t="n">
        <f aca="false">IF(OR(OR($B156="",$E156="",$F156=""),K156&lt;&gt;"نعم"),0,IF(M156="نعم",IF(AND(ISNUMBER(O156),N(O156)&lt;=cfg_VAL_M),G156,0),MAX(0,MIN(F156,cfg_VAL_DATE)-MAX(E156,cfg_Y_START)+1)))</f>
        <v>0</v>
      </c>
      <c r="V156" s="65" t="n">
        <f aca="false">IF(OR($B156="",$E156="",$F156=""),0,MAX(0,MIN($F156,EOMONTH(DATE(cfg_FY,1,1),0))-MAX($E156,DATE(cfg_FY,1,1))+1)*(1-IF($M156="نعم",0,N($J156))))</f>
        <v>0</v>
      </c>
      <c r="W156" s="65" t="n">
        <f aca="false">IF(OR($B156="",$E156="",$F156=""),0,MAX(0,MIN($F156,EOMONTH(DATE(cfg_FY,2,1),0))-MAX($E156,DATE(cfg_FY,2,1))+1)*(1-IF($M156="نعم",0,N($J156))))</f>
        <v>0</v>
      </c>
      <c r="X156" s="65" t="n">
        <f aca="false">IF(OR($B156="",$E156="",$F156=""),0,MAX(0,MIN($F156,EOMONTH(DATE(cfg_FY,3,1),0))-MAX($E156,DATE(cfg_FY,3,1))+1)*(1-IF($M156="نعم",0,N($J156))))</f>
        <v>0</v>
      </c>
      <c r="Y156" s="65" t="n">
        <f aca="false">IF(OR($B156="",$E156="",$F156=""),0,MAX(0,MIN($F156,EOMONTH(DATE(cfg_FY,4,1),0))-MAX($E156,DATE(cfg_FY,4,1))+1)*(1-IF($M156="نعم",0,N($J156))))</f>
        <v>0</v>
      </c>
      <c r="Z156" s="65" t="n">
        <f aca="false">IF(OR($B156="",$E156="",$F156=""),0,MAX(0,MIN($F156,EOMONTH(DATE(cfg_FY,5,1),0))-MAX($E156,DATE(cfg_FY,5,1))+1)*(1-IF($M156="نعم",0,N($J156))))</f>
        <v>0</v>
      </c>
      <c r="AA156" s="65" t="n">
        <f aca="false">IF(OR($B156="",$E156="",$F156=""),0,MAX(0,MIN($F156,EOMONTH(DATE(cfg_FY,6,1),0))-MAX($E156,DATE(cfg_FY,6,1))+1)*(1-IF($M156="نعم",0,N($J156))))</f>
        <v>0</v>
      </c>
      <c r="AB156" s="65" t="n">
        <f aca="false">IF(OR($B156="",$E156="",$F156=""),0,MAX(0,MIN($F156,EOMONTH(DATE(cfg_FY,7,1),0))-MAX($E156,DATE(cfg_FY,7,1))+1)*(1-IF($M156="نعم",0,N($J156))))</f>
        <v>0</v>
      </c>
      <c r="AC156" s="65" t="n">
        <f aca="false">IF(OR($B156="",$E156="",$F156=""),0,MAX(0,MIN($F156,EOMONTH(DATE(cfg_FY,8,1),0))-MAX($E156,DATE(cfg_FY,8,1))+1)*(1-IF($M156="نعم",0,N($J156))))</f>
        <v>0</v>
      </c>
      <c r="AD156" s="65" t="n">
        <f aca="false">IF(OR($B156="",$E156="",$F156=""),0,MAX(0,MIN($F156,EOMONTH(DATE(cfg_FY,9,1),0))-MAX($E156,DATE(cfg_FY,9,1))+1)*(1-IF($M156="نعم",0,N($J156))))</f>
        <v>0</v>
      </c>
      <c r="AE156" s="65" t="n">
        <f aca="false">IF(OR($B156="",$E156="",$F156=""),0,MAX(0,MIN($F156,EOMONTH(DATE(cfg_FY,10,1),0))-MAX($E156,DATE(cfg_FY,10,1))+1)*(1-IF($M156="نعم",0,N($J156))))</f>
        <v>0</v>
      </c>
      <c r="AF156" s="65" t="n">
        <f aca="false">IF(OR($B156="",$E156="",$F156=""),0,MAX(0,MIN($F156,EOMONTH(DATE(cfg_FY,11,1),0))-MAX($E156,DATE(cfg_FY,11,1))+1)*(1-IF($M156="نعم",0,N($J156))))</f>
        <v>0</v>
      </c>
      <c r="AG156" s="65" t="n">
        <f aca="false">IF(OR($B156="",$E156="",$F156=""),0,MAX(0,MIN($F156,EOMONTH(DATE(cfg_FY,12,1),0))-MAX($E156,DATE(cfg_FY,12,1))+1)*(1-IF($M156="نعم",0,N($J156))))</f>
        <v>0</v>
      </c>
      <c r="AH156" s="65" t="n">
        <f aca="false">IF(OR(OR($B156="",$E156="",$F156=""),$L156&lt;&gt;"لا"),0,MAX(0,MIN($F156,EOMONTH(DATE(cfg_FY,1,1),0))-$E156+1))</f>
        <v>0</v>
      </c>
      <c r="AI156" s="65" t="n">
        <f aca="false">IF(OR(OR($B156="",$E156="",$F156=""),$L156&lt;&gt;"لا"),0,MAX(0,MIN($F156,EOMONTH(DATE(cfg_FY,2,1),0))-$E156+1))</f>
        <v>0</v>
      </c>
      <c r="AJ156" s="65" t="n">
        <f aca="false">IF(OR(OR($B156="",$E156="",$F156=""),$L156&lt;&gt;"لا"),0,MAX(0,MIN($F156,EOMONTH(DATE(cfg_FY,3,1),0))-$E156+1))</f>
        <v>0</v>
      </c>
      <c r="AK156" s="65" t="n">
        <f aca="false">IF(OR(OR($B156="",$E156="",$F156=""),$L156&lt;&gt;"لا"),0,MAX(0,MIN($F156,EOMONTH(DATE(cfg_FY,4,1),0))-$E156+1))</f>
        <v>0</v>
      </c>
      <c r="AL156" s="65" t="n">
        <f aca="false">IF(OR(OR($B156="",$E156="",$F156=""),$L156&lt;&gt;"لا"),0,MAX(0,MIN($F156,EOMONTH(DATE(cfg_FY,5,1),0))-$E156+1))</f>
        <v>0</v>
      </c>
      <c r="AM156" s="65" t="n">
        <f aca="false">IF(OR(OR($B156="",$E156="",$F156=""),$L156&lt;&gt;"لا"),0,MAX(0,MIN($F156,EOMONTH(DATE(cfg_FY,6,1),0))-$E156+1))</f>
        <v>0</v>
      </c>
      <c r="AN156" s="65" t="n">
        <f aca="false">IF(OR(OR($B156="",$E156="",$F156=""),$L156&lt;&gt;"لا"),0,MAX(0,MIN($F156,EOMONTH(DATE(cfg_FY,7,1),0))-$E156+1))</f>
        <v>0</v>
      </c>
      <c r="AO156" s="65" t="n">
        <f aca="false">IF(OR(OR($B156="",$E156="",$F156=""),$L156&lt;&gt;"لا"),0,MAX(0,MIN($F156,EOMONTH(DATE(cfg_FY,8,1),0))-$E156+1))</f>
        <v>0</v>
      </c>
      <c r="AP156" s="65" t="n">
        <f aca="false">IF(OR(OR($B156="",$E156="",$F156=""),$L156&lt;&gt;"لا"),0,MAX(0,MIN($F156,EOMONTH(DATE(cfg_FY,9,1),0))-$E156+1))</f>
        <v>0</v>
      </c>
      <c r="AQ156" s="65" t="n">
        <f aca="false">IF(OR(OR($B156="",$E156="",$F156=""),$L156&lt;&gt;"لا"),0,MAX(0,MIN($F156,EOMONTH(DATE(cfg_FY,10,1),0))-$E156+1))</f>
        <v>0</v>
      </c>
      <c r="AR156" s="65" t="n">
        <f aca="false">IF(OR(OR($B156="",$E156="",$F156=""),$L156&lt;&gt;"لا"),0,MAX(0,MIN($F156,EOMONTH(DATE(cfg_FY,11,1),0))-$E156+1))</f>
        <v>0</v>
      </c>
      <c r="AS156" s="65" t="n">
        <f aca="false">IF(OR(OR($B156="",$E156="",$F156=""),$L156&lt;&gt;"لا"),0,MAX(0,MIN($F156,EOMONTH(DATE(cfg_FY,12,1),0))-$E156+1))</f>
        <v>0</v>
      </c>
      <c r="AT156" s="65" t="n">
        <f aca="false">IF(OR(OR($B156="",$E156="",$F156=""),$K156&lt;&gt;"نعم",$M156="نعم"),0,MAX(0,MIN($F156,EOMONTH(DATE(cfg_FY,1,1),0))-MAX($E156,DATE(cfg_FY,1,1))+1))</f>
        <v>0</v>
      </c>
      <c r="AU156" s="65" t="n">
        <f aca="false">IF(OR(OR($B156="",$E156="",$F156=""),$K156&lt;&gt;"نعم",$M156="نعم"),0,MAX(0,MIN($F156,EOMONTH(DATE(cfg_FY,2,1),0))-MAX($E156,DATE(cfg_FY,2,1))+1))</f>
        <v>0</v>
      </c>
      <c r="AV156" s="65" t="n">
        <f aca="false">IF(OR(OR($B156="",$E156="",$F156=""),$K156&lt;&gt;"نعم",$M156="نعم"),0,MAX(0,MIN($F156,EOMONTH(DATE(cfg_FY,3,1),0))-MAX($E156,DATE(cfg_FY,3,1))+1))</f>
        <v>0</v>
      </c>
      <c r="AW156" s="65" t="n">
        <f aca="false">IF(OR(OR($B156="",$E156="",$F156=""),$K156&lt;&gt;"نعم",$M156="نعم"),0,MAX(0,MIN($F156,EOMONTH(DATE(cfg_FY,4,1),0))-MAX($E156,DATE(cfg_FY,4,1))+1))</f>
        <v>0</v>
      </c>
      <c r="AX156" s="65" t="n">
        <f aca="false">IF(OR(OR($B156="",$E156="",$F156=""),$K156&lt;&gt;"نعم",$M156="نعم"),0,MAX(0,MIN($F156,EOMONTH(DATE(cfg_FY,5,1),0))-MAX($E156,DATE(cfg_FY,5,1))+1))</f>
        <v>0</v>
      </c>
      <c r="AY156" s="65" t="n">
        <f aca="false">IF(OR(OR($B156="",$E156="",$F156=""),$K156&lt;&gt;"نعم",$M156="نعم"),0,MAX(0,MIN($F156,EOMONTH(DATE(cfg_FY,6,1),0))-MAX($E156,DATE(cfg_FY,6,1))+1))</f>
        <v>0</v>
      </c>
      <c r="AZ156" s="65" t="n">
        <f aca="false">IF(OR(OR($B156="",$E156="",$F156=""),$K156&lt;&gt;"نعم",$M156="نعم"),0,MAX(0,MIN($F156,EOMONTH(DATE(cfg_FY,7,1),0))-MAX($E156,DATE(cfg_FY,7,1))+1))</f>
        <v>0</v>
      </c>
      <c r="BA156" s="65" t="n">
        <f aca="false">IF(OR(OR($B156="",$E156="",$F156=""),$K156&lt;&gt;"نعم",$M156="نعم"),0,MAX(0,MIN($F156,EOMONTH(DATE(cfg_FY,8,1),0))-MAX($E156,DATE(cfg_FY,8,1))+1))</f>
        <v>0</v>
      </c>
      <c r="BB156" s="65" t="n">
        <f aca="false">IF(OR(OR($B156="",$E156="",$F156=""),$K156&lt;&gt;"نعم",$M156="نعم"),0,MAX(0,MIN($F156,EOMONTH(DATE(cfg_FY,9,1),0))-MAX($E156,DATE(cfg_FY,9,1))+1))</f>
        <v>0</v>
      </c>
      <c r="BC156" s="65" t="n">
        <f aca="false">IF(OR(OR($B156="",$E156="",$F156=""),$K156&lt;&gt;"نعم",$M156="نعم"),0,MAX(0,MIN($F156,EOMONTH(DATE(cfg_FY,10,1),0))-MAX($E156,DATE(cfg_FY,10,1))+1))</f>
        <v>0</v>
      </c>
      <c r="BD156" s="65" t="n">
        <f aca="false">IF(OR(OR($B156="",$E156="",$F156=""),$K156&lt;&gt;"نعم",$M156="نعم"),0,MAX(0,MIN($F156,EOMONTH(DATE(cfg_FY,11,1),0))-MAX($E156,DATE(cfg_FY,11,1))+1))</f>
        <v>0</v>
      </c>
      <c r="BE156" s="65" t="n">
        <f aca="false">IF(OR(OR($B156="",$E156="",$F156=""),$K156&lt;&gt;"نعم",$M156="نعم"),0,MAX(0,MIN($F156,EOMONTH(DATE(cfg_FY,12,1),0))-MAX($E156,DATE(cfg_FY,12,1))+1))</f>
        <v>0</v>
      </c>
    </row>
    <row r="157" customFormat="false" ht="15" hidden="false" customHeight="false" outlineLevel="0" collapsed="false">
      <c r="A157" s="115" t="str">
        <f aca="false">IF(B157="","",ROW()-5)</f>
        <v/>
      </c>
      <c r="B157" s="118"/>
      <c r="C157" s="117" t="str">
        <f aca="false">IF(B157="","",IFERROR(INDEX(الموظفون!$C$6:$C$105,MATCH(B157,الموظفون!$B$6:$B$105,0)),"✖ رقم غير موجود"))</f>
        <v/>
      </c>
      <c r="D157" s="118"/>
      <c r="E157" s="119"/>
      <c r="F157" s="119"/>
      <c r="G157" s="133" t="str">
        <f aca="false">IF(OR($B157="",$E157="",$F157=""),"",MAX(0,F157-E157+1))</f>
        <v/>
      </c>
      <c r="H157" s="134" t="str">
        <f aca="false">IF(D157="","",IFERROR(VLOOKUP(D157,cfg_LT,2,FALSE()),1))</f>
        <v/>
      </c>
      <c r="I157" s="135"/>
      <c r="J157" s="134" t="str">
        <f aca="false">IF(D157="","",IF(I157&lt;&gt;"",I157,H157))</f>
        <v/>
      </c>
      <c r="K157" s="117" t="str">
        <f aca="false">IF(D157="","",IFERROR(VLOOKUP($D157,cfg_LT,3,FALSE()),""))</f>
        <v/>
      </c>
      <c r="L157" s="117" t="str">
        <f aca="false">IF(D157="","",IFERROR(VLOOKUP($D157,cfg_LT,4,FALSE()),""))</f>
        <v/>
      </c>
      <c r="M157" s="117" t="str">
        <f aca="false">IF(D157="","",IFERROR(VLOOKUP($D157,cfg_LT,5,FALSE()),""))</f>
        <v/>
      </c>
      <c r="N157" s="116" t="n">
        <f aca="false">IF(OR(OR($B157="",$E157="",$F157=""),M157&lt;&gt;"نعم"),0,G157*J157*IFERROR(INDEX(الموظفون!$R$6:$R$105,MATCH(B157,الموظفون!$B$6:$B$105,0)),0)/cfg_DAYS_M)</f>
        <v>0</v>
      </c>
      <c r="O157" s="115" t="str">
        <f aca="false">IF(OR(OR($B157="",$E157="",$F157=""),M157&lt;&gt;"نعم"),"",IF(YEAR(E157)=cfg_FY,MONTH(E157),""))</f>
        <v/>
      </c>
      <c r="P157" s="117" t="str">
        <f aca="false">IF(B157="","",IF(OR(D157="",E157="",F157=""),"⚠ أكمل النوع والتواريخ",IF(F157&lt;E157,"✖ النهاية قبل البداية",IF(COUNTIFS($B$6:$B$505,B157,$E$6:$E$505,"&lt;="&amp;F157,$F$6:$F$505,"&gt;="&amp;E157)&gt;1,"⚠ تداخل مع سجل آخر",IF(E157&gt;cfg_VAL_DATE,"⏳ قادمة",IF(F157&lt;cfg_VAL_DATE,"✔ منتهية","✈ جارية في تاريخ التقرير"))))))</f>
        <v/>
      </c>
      <c r="Q157" s="118"/>
      <c r="R157" s="133" t="n">
        <f aca="false">IF(OR(OR($B157="",$E157="",$F157=""),L157&lt;&gt;"لا"),0,MAX(0,MIN(F157,cfg_Y_START-1)-E157+1))</f>
        <v>0</v>
      </c>
      <c r="S157" s="133" t="n">
        <f aca="false">IF(OR(OR($B157="",$E157="",$F157=""),L157&lt;&gt;"لا"),0,MAX(0,MIN(F157,cfg_VAL_DATE)-E157+1))</f>
        <v>0</v>
      </c>
      <c r="T157" s="133" t="n">
        <f aca="false">IF(OR(OR($B157="",$E157="",$F157=""),K157&lt;&gt;"نعم"),0,IF(M157="نعم",IF(AND(ISNUMBER(O157),N(O157)&lt;=cfg_VAL_M),G157,0),MAX(0,MIN(F157,cfg_VAL_DATE)-MAX(E157,cfg_Y_START)+1)))</f>
        <v>0</v>
      </c>
      <c r="V157" s="133" t="n">
        <f aca="false">IF(OR($B157="",$E157="",$F157=""),0,MAX(0,MIN($F157,EOMONTH(DATE(cfg_FY,1,1),0))-MAX($E157,DATE(cfg_FY,1,1))+1)*(1-IF($M157="نعم",0,N($J157))))</f>
        <v>0</v>
      </c>
      <c r="W157" s="133" t="n">
        <f aca="false">IF(OR($B157="",$E157="",$F157=""),0,MAX(0,MIN($F157,EOMONTH(DATE(cfg_FY,2,1),0))-MAX($E157,DATE(cfg_FY,2,1))+1)*(1-IF($M157="نعم",0,N($J157))))</f>
        <v>0</v>
      </c>
      <c r="X157" s="133" t="n">
        <f aca="false">IF(OR($B157="",$E157="",$F157=""),0,MAX(0,MIN($F157,EOMONTH(DATE(cfg_FY,3,1),0))-MAX($E157,DATE(cfg_FY,3,1))+1)*(1-IF($M157="نعم",0,N($J157))))</f>
        <v>0</v>
      </c>
      <c r="Y157" s="133" t="n">
        <f aca="false">IF(OR($B157="",$E157="",$F157=""),0,MAX(0,MIN($F157,EOMONTH(DATE(cfg_FY,4,1),0))-MAX($E157,DATE(cfg_FY,4,1))+1)*(1-IF($M157="نعم",0,N($J157))))</f>
        <v>0</v>
      </c>
      <c r="Z157" s="133" t="n">
        <f aca="false">IF(OR($B157="",$E157="",$F157=""),0,MAX(0,MIN($F157,EOMONTH(DATE(cfg_FY,5,1),0))-MAX($E157,DATE(cfg_FY,5,1))+1)*(1-IF($M157="نعم",0,N($J157))))</f>
        <v>0</v>
      </c>
      <c r="AA157" s="133" t="n">
        <f aca="false">IF(OR($B157="",$E157="",$F157=""),0,MAX(0,MIN($F157,EOMONTH(DATE(cfg_FY,6,1),0))-MAX($E157,DATE(cfg_FY,6,1))+1)*(1-IF($M157="نعم",0,N($J157))))</f>
        <v>0</v>
      </c>
      <c r="AB157" s="133" t="n">
        <f aca="false">IF(OR($B157="",$E157="",$F157=""),0,MAX(0,MIN($F157,EOMONTH(DATE(cfg_FY,7,1),0))-MAX($E157,DATE(cfg_FY,7,1))+1)*(1-IF($M157="نعم",0,N($J157))))</f>
        <v>0</v>
      </c>
      <c r="AC157" s="133" t="n">
        <f aca="false">IF(OR($B157="",$E157="",$F157=""),0,MAX(0,MIN($F157,EOMONTH(DATE(cfg_FY,8,1),0))-MAX($E157,DATE(cfg_FY,8,1))+1)*(1-IF($M157="نعم",0,N($J157))))</f>
        <v>0</v>
      </c>
      <c r="AD157" s="133" t="n">
        <f aca="false">IF(OR($B157="",$E157="",$F157=""),0,MAX(0,MIN($F157,EOMONTH(DATE(cfg_FY,9,1),0))-MAX($E157,DATE(cfg_FY,9,1))+1)*(1-IF($M157="نعم",0,N($J157))))</f>
        <v>0</v>
      </c>
      <c r="AE157" s="133" t="n">
        <f aca="false">IF(OR($B157="",$E157="",$F157=""),0,MAX(0,MIN($F157,EOMONTH(DATE(cfg_FY,10,1),0))-MAX($E157,DATE(cfg_FY,10,1))+1)*(1-IF($M157="نعم",0,N($J157))))</f>
        <v>0</v>
      </c>
      <c r="AF157" s="133" t="n">
        <f aca="false">IF(OR($B157="",$E157="",$F157=""),0,MAX(0,MIN($F157,EOMONTH(DATE(cfg_FY,11,1),0))-MAX($E157,DATE(cfg_FY,11,1))+1)*(1-IF($M157="نعم",0,N($J157))))</f>
        <v>0</v>
      </c>
      <c r="AG157" s="133" t="n">
        <f aca="false">IF(OR($B157="",$E157="",$F157=""),0,MAX(0,MIN($F157,EOMONTH(DATE(cfg_FY,12,1),0))-MAX($E157,DATE(cfg_FY,12,1))+1)*(1-IF($M157="نعم",0,N($J157))))</f>
        <v>0</v>
      </c>
      <c r="AH157" s="133" t="n">
        <f aca="false">IF(OR(OR($B157="",$E157="",$F157=""),$L157&lt;&gt;"لا"),0,MAX(0,MIN($F157,EOMONTH(DATE(cfg_FY,1,1),0))-$E157+1))</f>
        <v>0</v>
      </c>
      <c r="AI157" s="133" t="n">
        <f aca="false">IF(OR(OR($B157="",$E157="",$F157=""),$L157&lt;&gt;"لا"),0,MAX(0,MIN($F157,EOMONTH(DATE(cfg_FY,2,1),0))-$E157+1))</f>
        <v>0</v>
      </c>
      <c r="AJ157" s="133" t="n">
        <f aca="false">IF(OR(OR($B157="",$E157="",$F157=""),$L157&lt;&gt;"لا"),0,MAX(0,MIN($F157,EOMONTH(DATE(cfg_FY,3,1),0))-$E157+1))</f>
        <v>0</v>
      </c>
      <c r="AK157" s="133" t="n">
        <f aca="false">IF(OR(OR($B157="",$E157="",$F157=""),$L157&lt;&gt;"لا"),0,MAX(0,MIN($F157,EOMONTH(DATE(cfg_FY,4,1),0))-$E157+1))</f>
        <v>0</v>
      </c>
      <c r="AL157" s="133" t="n">
        <f aca="false">IF(OR(OR($B157="",$E157="",$F157=""),$L157&lt;&gt;"لا"),0,MAX(0,MIN($F157,EOMONTH(DATE(cfg_FY,5,1),0))-$E157+1))</f>
        <v>0</v>
      </c>
      <c r="AM157" s="133" t="n">
        <f aca="false">IF(OR(OR($B157="",$E157="",$F157=""),$L157&lt;&gt;"لا"),0,MAX(0,MIN($F157,EOMONTH(DATE(cfg_FY,6,1),0))-$E157+1))</f>
        <v>0</v>
      </c>
      <c r="AN157" s="133" t="n">
        <f aca="false">IF(OR(OR($B157="",$E157="",$F157=""),$L157&lt;&gt;"لا"),0,MAX(0,MIN($F157,EOMONTH(DATE(cfg_FY,7,1),0))-$E157+1))</f>
        <v>0</v>
      </c>
      <c r="AO157" s="133" t="n">
        <f aca="false">IF(OR(OR($B157="",$E157="",$F157=""),$L157&lt;&gt;"لا"),0,MAX(0,MIN($F157,EOMONTH(DATE(cfg_FY,8,1),0))-$E157+1))</f>
        <v>0</v>
      </c>
      <c r="AP157" s="133" t="n">
        <f aca="false">IF(OR(OR($B157="",$E157="",$F157=""),$L157&lt;&gt;"لا"),0,MAX(0,MIN($F157,EOMONTH(DATE(cfg_FY,9,1),0))-$E157+1))</f>
        <v>0</v>
      </c>
      <c r="AQ157" s="133" t="n">
        <f aca="false">IF(OR(OR($B157="",$E157="",$F157=""),$L157&lt;&gt;"لا"),0,MAX(0,MIN($F157,EOMONTH(DATE(cfg_FY,10,1),0))-$E157+1))</f>
        <v>0</v>
      </c>
      <c r="AR157" s="133" t="n">
        <f aca="false">IF(OR(OR($B157="",$E157="",$F157=""),$L157&lt;&gt;"لا"),0,MAX(0,MIN($F157,EOMONTH(DATE(cfg_FY,11,1),0))-$E157+1))</f>
        <v>0</v>
      </c>
      <c r="AS157" s="133" t="n">
        <f aca="false">IF(OR(OR($B157="",$E157="",$F157=""),$L157&lt;&gt;"لا"),0,MAX(0,MIN($F157,EOMONTH(DATE(cfg_FY,12,1),0))-$E157+1))</f>
        <v>0</v>
      </c>
      <c r="AT157" s="133" t="n">
        <f aca="false">IF(OR(OR($B157="",$E157="",$F157=""),$K157&lt;&gt;"نعم",$M157="نعم"),0,MAX(0,MIN($F157,EOMONTH(DATE(cfg_FY,1,1),0))-MAX($E157,DATE(cfg_FY,1,1))+1))</f>
        <v>0</v>
      </c>
      <c r="AU157" s="133" t="n">
        <f aca="false">IF(OR(OR($B157="",$E157="",$F157=""),$K157&lt;&gt;"نعم",$M157="نعم"),0,MAX(0,MIN($F157,EOMONTH(DATE(cfg_FY,2,1),0))-MAX($E157,DATE(cfg_FY,2,1))+1))</f>
        <v>0</v>
      </c>
      <c r="AV157" s="133" t="n">
        <f aca="false">IF(OR(OR($B157="",$E157="",$F157=""),$K157&lt;&gt;"نعم",$M157="نعم"),0,MAX(0,MIN($F157,EOMONTH(DATE(cfg_FY,3,1),0))-MAX($E157,DATE(cfg_FY,3,1))+1))</f>
        <v>0</v>
      </c>
      <c r="AW157" s="133" t="n">
        <f aca="false">IF(OR(OR($B157="",$E157="",$F157=""),$K157&lt;&gt;"نعم",$M157="نعم"),0,MAX(0,MIN($F157,EOMONTH(DATE(cfg_FY,4,1),0))-MAX($E157,DATE(cfg_FY,4,1))+1))</f>
        <v>0</v>
      </c>
      <c r="AX157" s="133" t="n">
        <f aca="false">IF(OR(OR($B157="",$E157="",$F157=""),$K157&lt;&gt;"نعم",$M157="نعم"),0,MAX(0,MIN($F157,EOMONTH(DATE(cfg_FY,5,1),0))-MAX($E157,DATE(cfg_FY,5,1))+1))</f>
        <v>0</v>
      </c>
      <c r="AY157" s="133" t="n">
        <f aca="false">IF(OR(OR($B157="",$E157="",$F157=""),$K157&lt;&gt;"نعم",$M157="نعم"),0,MAX(0,MIN($F157,EOMONTH(DATE(cfg_FY,6,1),0))-MAX($E157,DATE(cfg_FY,6,1))+1))</f>
        <v>0</v>
      </c>
      <c r="AZ157" s="133" t="n">
        <f aca="false">IF(OR(OR($B157="",$E157="",$F157=""),$K157&lt;&gt;"نعم",$M157="نعم"),0,MAX(0,MIN($F157,EOMONTH(DATE(cfg_FY,7,1),0))-MAX($E157,DATE(cfg_FY,7,1))+1))</f>
        <v>0</v>
      </c>
      <c r="BA157" s="133" t="n">
        <f aca="false">IF(OR(OR($B157="",$E157="",$F157=""),$K157&lt;&gt;"نعم",$M157="نعم"),0,MAX(0,MIN($F157,EOMONTH(DATE(cfg_FY,8,1),0))-MAX($E157,DATE(cfg_FY,8,1))+1))</f>
        <v>0</v>
      </c>
      <c r="BB157" s="133" t="n">
        <f aca="false">IF(OR(OR($B157="",$E157="",$F157=""),$K157&lt;&gt;"نعم",$M157="نعم"),0,MAX(0,MIN($F157,EOMONTH(DATE(cfg_FY,9,1),0))-MAX($E157,DATE(cfg_FY,9,1))+1))</f>
        <v>0</v>
      </c>
      <c r="BC157" s="133" t="n">
        <f aca="false">IF(OR(OR($B157="",$E157="",$F157=""),$K157&lt;&gt;"نعم",$M157="نعم"),0,MAX(0,MIN($F157,EOMONTH(DATE(cfg_FY,10,1),0))-MAX($E157,DATE(cfg_FY,10,1))+1))</f>
        <v>0</v>
      </c>
      <c r="BD157" s="133" t="n">
        <f aca="false">IF(OR(OR($B157="",$E157="",$F157=""),$K157&lt;&gt;"نعم",$M157="نعم"),0,MAX(0,MIN($F157,EOMONTH(DATE(cfg_FY,11,1),0))-MAX($E157,DATE(cfg_FY,11,1))+1))</f>
        <v>0</v>
      </c>
      <c r="BE157" s="133" t="n">
        <f aca="false">IF(OR(OR($B157="",$E157="",$F157=""),$K157&lt;&gt;"نعم",$M157="نعم"),0,MAX(0,MIN($F157,EOMONTH(DATE(cfg_FY,12,1),0))-MAX($E157,DATE(cfg_FY,12,1))+1))</f>
        <v>0</v>
      </c>
    </row>
    <row r="158" customFormat="false" ht="15" hidden="false" customHeight="false" outlineLevel="0" collapsed="false">
      <c r="A158" s="106" t="str">
        <f aca="false">IF(B158="","",ROW()-5)</f>
        <v/>
      </c>
      <c r="B158" s="118"/>
      <c r="C158" s="114" t="str">
        <f aca="false">IF(B158="","",IFERROR(INDEX(الموظفون!$C$6:$C$105,MATCH(B158,الموظفون!$B$6:$B$105,0)),"✖ رقم غير موجود"))</f>
        <v/>
      </c>
      <c r="D158" s="118"/>
      <c r="E158" s="119"/>
      <c r="F158" s="119"/>
      <c r="G158" s="65" t="str">
        <f aca="false">IF(OR($B158="",$E158="",$F158=""),"",MAX(0,F158-E158+1))</f>
        <v/>
      </c>
      <c r="H158" s="66" t="str">
        <f aca="false">IF(D158="","",IFERROR(VLOOKUP(D158,cfg_LT,2,FALSE()),1))</f>
        <v/>
      </c>
      <c r="I158" s="135"/>
      <c r="J158" s="66" t="str">
        <f aca="false">IF(D158="","",IF(I158&lt;&gt;"",I158,H158))</f>
        <v/>
      </c>
      <c r="K158" s="114" t="str">
        <f aca="false">IF(D158="","",IFERROR(VLOOKUP($D158,cfg_LT,3,FALSE()),""))</f>
        <v/>
      </c>
      <c r="L158" s="114" t="str">
        <f aca="false">IF(D158="","",IFERROR(VLOOKUP($D158,cfg_LT,4,FALSE()),""))</f>
        <v/>
      </c>
      <c r="M158" s="114" t="str">
        <f aca="false">IF(D158="","",IFERROR(VLOOKUP($D158,cfg_LT,5,FALSE()),""))</f>
        <v/>
      </c>
      <c r="N158" s="111" t="n">
        <f aca="false">IF(OR(OR($B158="",$E158="",$F158=""),M158&lt;&gt;"نعم"),0,G158*J158*IFERROR(INDEX(الموظفون!$R$6:$R$105,MATCH(B158,الموظفون!$B$6:$B$105,0)),0)/cfg_DAYS_M)</f>
        <v>0</v>
      </c>
      <c r="O158" s="106" t="str">
        <f aca="false">IF(OR(OR($B158="",$E158="",$F158=""),M158&lt;&gt;"نعم"),"",IF(YEAR(E158)=cfg_FY,MONTH(E158),""))</f>
        <v/>
      </c>
      <c r="P158" s="114" t="str">
        <f aca="false">IF(B158="","",IF(OR(D158="",E158="",F158=""),"⚠ أكمل النوع والتواريخ",IF(F158&lt;E158,"✖ النهاية قبل البداية",IF(COUNTIFS($B$6:$B$505,B158,$E$6:$E$505,"&lt;="&amp;F158,$F$6:$F$505,"&gt;="&amp;E158)&gt;1,"⚠ تداخل مع سجل آخر",IF(E158&gt;cfg_VAL_DATE,"⏳ قادمة",IF(F158&lt;cfg_VAL_DATE,"✔ منتهية","✈ جارية في تاريخ التقرير"))))))</f>
        <v/>
      </c>
      <c r="Q158" s="118"/>
      <c r="R158" s="65" t="n">
        <f aca="false">IF(OR(OR($B158="",$E158="",$F158=""),L158&lt;&gt;"لا"),0,MAX(0,MIN(F158,cfg_Y_START-1)-E158+1))</f>
        <v>0</v>
      </c>
      <c r="S158" s="65" t="n">
        <f aca="false">IF(OR(OR($B158="",$E158="",$F158=""),L158&lt;&gt;"لا"),0,MAX(0,MIN(F158,cfg_VAL_DATE)-E158+1))</f>
        <v>0</v>
      </c>
      <c r="T158" s="65" t="n">
        <f aca="false">IF(OR(OR($B158="",$E158="",$F158=""),K158&lt;&gt;"نعم"),0,IF(M158="نعم",IF(AND(ISNUMBER(O158),N(O158)&lt;=cfg_VAL_M),G158,0),MAX(0,MIN(F158,cfg_VAL_DATE)-MAX(E158,cfg_Y_START)+1)))</f>
        <v>0</v>
      </c>
      <c r="V158" s="65" t="n">
        <f aca="false">IF(OR($B158="",$E158="",$F158=""),0,MAX(0,MIN($F158,EOMONTH(DATE(cfg_FY,1,1),0))-MAX($E158,DATE(cfg_FY,1,1))+1)*(1-IF($M158="نعم",0,N($J158))))</f>
        <v>0</v>
      </c>
      <c r="W158" s="65" t="n">
        <f aca="false">IF(OR($B158="",$E158="",$F158=""),0,MAX(0,MIN($F158,EOMONTH(DATE(cfg_FY,2,1),0))-MAX($E158,DATE(cfg_FY,2,1))+1)*(1-IF($M158="نعم",0,N($J158))))</f>
        <v>0</v>
      </c>
      <c r="X158" s="65" t="n">
        <f aca="false">IF(OR($B158="",$E158="",$F158=""),0,MAX(0,MIN($F158,EOMONTH(DATE(cfg_FY,3,1),0))-MAX($E158,DATE(cfg_FY,3,1))+1)*(1-IF($M158="نعم",0,N($J158))))</f>
        <v>0</v>
      </c>
      <c r="Y158" s="65" t="n">
        <f aca="false">IF(OR($B158="",$E158="",$F158=""),0,MAX(0,MIN($F158,EOMONTH(DATE(cfg_FY,4,1),0))-MAX($E158,DATE(cfg_FY,4,1))+1)*(1-IF($M158="نعم",0,N($J158))))</f>
        <v>0</v>
      </c>
      <c r="Z158" s="65" t="n">
        <f aca="false">IF(OR($B158="",$E158="",$F158=""),0,MAX(0,MIN($F158,EOMONTH(DATE(cfg_FY,5,1),0))-MAX($E158,DATE(cfg_FY,5,1))+1)*(1-IF($M158="نعم",0,N($J158))))</f>
        <v>0</v>
      </c>
      <c r="AA158" s="65" t="n">
        <f aca="false">IF(OR($B158="",$E158="",$F158=""),0,MAX(0,MIN($F158,EOMONTH(DATE(cfg_FY,6,1),0))-MAX($E158,DATE(cfg_FY,6,1))+1)*(1-IF($M158="نعم",0,N($J158))))</f>
        <v>0</v>
      </c>
      <c r="AB158" s="65" t="n">
        <f aca="false">IF(OR($B158="",$E158="",$F158=""),0,MAX(0,MIN($F158,EOMONTH(DATE(cfg_FY,7,1),0))-MAX($E158,DATE(cfg_FY,7,1))+1)*(1-IF($M158="نعم",0,N($J158))))</f>
        <v>0</v>
      </c>
      <c r="AC158" s="65" t="n">
        <f aca="false">IF(OR($B158="",$E158="",$F158=""),0,MAX(0,MIN($F158,EOMONTH(DATE(cfg_FY,8,1),0))-MAX($E158,DATE(cfg_FY,8,1))+1)*(1-IF($M158="نعم",0,N($J158))))</f>
        <v>0</v>
      </c>
      <c r="AD158" s="65" t="n">
        <f aca="false">IF(OR($B158="",$E158="",$F158=""),0,MAX(0,MIN($F158,EOMONTH(DATE(cfg_FY,9,1),0))-MAX($E158,DATE(cfg_FY,9,1))+1)*(1-IF($M158="نعم",0,N($J158))))</f>
        <v>0</v>
      </c>
      <c r="AE158" s="65" t="n">
        <f aca="false">IF(OR($B158="",$E158="",$F158=""),0,MAX(0,MIN($F158,EOMONTH(DATE(cfg_FY,10,1),0))-MAX($E158,DATE(cfg_FY,10,1))+1)*(1-IF($M158="نعم",0,N($J158))))</f>
        <v>0</v>
      </c>
      <c r="AF158" s="65" t="n">
        <f aca="false">IF(OR($B158="",$E158="",$F158=""),0,MAX(0,MIN($F158,EOMONTH(DATE(cfg_FY,11,1),0))-MAX($E158,DATE(cfg_FY,11,1))+1)*(1-IF($M158="نعم",0,N($J158))))</f>
        <v>0</v>
      </c>
      <c r="AG158" s="65" t="n">
        <f aca="false">IF(OR($B158="",$E158="",$F158=""),0,MAX(0,MIN($F158,EOMONTH(DATE(cfg_FY,12,1),0))-MAX($E158,DATE(cfg_FY,12,1))+1)*(1-IF($M158="نعم",0,N($J158))))</f>
        <v>0</v>
      </c>
      <c r="AH158" s="65" t="n">
        <f aca="false">IF(OR(OR($B158="",$E158="",$F158=""),$L158&lt;&gt;"لا"),0,MAX(0,MIN($F158,EOMONTH(DATE(cfg_FY,1,1),0))-$E158+1))</f>
        <v>0</v>
      </c>
      <c r="AI158" s="65" t="n">
        <f aca="false">IF(OR(OR($B158="",$E158="",$F158=""),$L158&lt;&gt;"لا"),0,MAX(0,MIN($F158,EOMONTH(DATE(cfg_FY,2,1),0))-$E158+1))</f>
        <v>0</v>
      </c>
      <c r="AJ158" s="65" t="n">
        <f aca="false">IF(OR(OR($B158="",$E158="",$F158=""),$L158&lt;&gt;"لا"),0,MAX(0,MIN($F158,EOMONTH(DATE(cfg_FY,3,1),0))-$E158+1))</f>
        <v>0</v>
      </c>
      <c r="AK158" s="65" t="n">
        <f aca="false">IF(OR(OR($B158="",$E158="",$F158=""),$L158&lt;&gt;"لا"),0,MAX(0,MIN($F158,EOMONTH(DATE(cfg_FY,4,1),0))-$E158+1))</f>
        <v>0</v>
      </c>
      <c r="AL158" s="65" t="n">
        <f aca="false">IF(OR(OR($B158="",$E158="",$F158=""),$L158&lt;&gt;"لا"),0,MAX(0,MIN($F158,EOMONTH(DATE(cfg_FY,5,1),0))-$E158+1))</f>
        <v>0</v>
      </c>
      <c r="AM158" s="65" t="n">
        <f aca="false">IF(OR(OR($B158="",$E158="",$F158=""),$L158&lt;&gt;"لا"),0,MAX(0,MIN($F158,EOMONTH(DATE(cfg_FY,6,1),0))-$E158+1))</f>
        <v>0</v>
      </c>
      <c r="AN158" s="65" t="n">
        <f aca="false">IF(OR(OR($B158="",$E158="",$F158=""),$L158&lt;&gt;"لا"),0,MAX(0,MIN($F158,EOMONTH(DATE(cfg_FY,7,1),0))-$E158+1))</f>
        <v>0</v>
      </c>
      <c r="AO158" s="65" t="n">
        <f aca="false">IF(OR(OR($B158="",$E158="",$F158=""),$L158&lt;&gt;"لا"),0,MAX(0,MIN($F158,EOMONTH(DATE(cfg_FY,8,1),0))-$E158+1))</f>
        <v>0</v>
      </c>
      <c r="AP158" s="65" t="n">
        <f aca="false">IF(OR(OR($B158="",$E158="",$F158=""),$L158&lt;&gt;"لا"),0,MAX(0,MIN($F158,EOMONTH(DATE(cfg_FY,9,1),0))-$E158+1))</f>
        <v>0</v>
      </c>
      <c r="AQ158" s="65" t="n">
        <f aca="false">IF(OR(OR($B158="",$E158="",$F158=""),$L158&lt;&gt;"لا"),0,MAX(0,MIN($F158,EOMONTH(DATE(cfg_FY,10,1),0))-$E158+1))</f>
        <v>0</v>
      </c>
      <c r="AR158" s="65" t="n">
        <f aca="false">IF(OR(OR($B158="",$E158="",$F158=""),$L158&lt;&gt;"لا"),0,MAX(0,MIN($F158,EOMONTH(DATE(cfg_FY,11,1),0))-$E158+1))</f>
        <v>0</v>
      </c>
      <c r="AS158" s="65" t="n">
        <f aca="false">IF(OR(OR($B158="",$E158="",$F158=""),$L158&lt;&gt;"لا"),0,MAX(0,MIN($F158,EOMONTH(DATE(cfg_FY,12,1),0))-$E158+1))</f>
        <v>0</v>
      </c>
      <c r="AT158" s="65" t="n">
        <f aca="false">IF(OR(OR($B158="",$E158="",$F158=""),$K158&lt;&gt;"نعم",$M158="نعم"),0,MAX(0,MIN($F158,EOMONTH(DATE(cfg_FY,1,1),0))-MAX($E158,DATE(cfg_FY,1,1))+1))</f>
        <v>0</v>
      </c>
      <c r="AU158" s="65" t="n">
        <f aca="false">IF(OR(OR($B158="",$E158="",$F158=""),$K158&lt;&gt;"نعم",$M158="نعم"),0,MAX(0,MIN($F158,EOMONTH(DATE(cfg_FY,2,1),0))-MAX($E158,DATE(cfg_FY,2,1))+1))</f>
        <v>0</v>
      </c>
      <c r="AV158" s="65" t="n">
        <f aca="false">IF(OR(OR($B158="",$E158="",$F158=""),$K158&lt;&gt;"نعم",$M158="نعم"),0,MAX(0,MIN($F158,EOMONTH(DATE(cfg_FY,3,1),0))-MAX($E158,DATE(cfg_FY,3,1))+1))</f>
        <v>0</v>
      </c>
      <c r="AW158" s="65" t="n">
        <f aca="false">IF(OR(OR($B158="",$E158="",$F158=""),$K158&lt;&gt;"نعم",$M158="نعم"),0,MAX(0,MIN($F158,EOMONTH(DATE(cfg_FY,4,1),0))-MAX($E158,DATE(cfg_FY,4,1))+1))</f>
        <v>0</v>
      </c>
      <c r="AX158" s="65" t="n">
        <f aca="false">IF(OR(OR($B158="",$E158="",$F158=""),$K158&lt;&gt;"نعم",$M158="نعم"),0,MAX(0,MIN($F158,EOMONTH(DATE(cfg_FY,5,1),0))-MAX($E158,DATE(cfg_FY,5,1))+1))</f>
        <v>0</v>
      </c>
      <c r="AY158" s="65" t="n">
        <f aca="false">IF(OR(OR($B158="",$E158="",$F158=""),$K158&lt;&gt;"نعم",$M158="نعم"),0,MAX(0,MIN($F158,EOMONTH(DATE(cfg_FY,6,1),0))-MAX($E158,DATE(cfg_FY,6,1))+1))</f>
        <v>0</v>
      </c>
      <c r="AZ158" s="65" t="n">
        <f aca="false">IF(OR(OR($B158="",$E158="",$F158=""),$K158&lt;&gt;"نعم",$M158="نعم"),0,MAX(0,MIN($F158,EOMONTH(DATE(cfg_FY,7,1),0))-MAX($E158,DATE(cfg_FY,7,1))+1))</f>
        <v>0</v>
      </c>
      <c r="BA158" s="65" t="n">
        <f aca="false">IF(OR(OR($B158="",$E158="",$F158=""),$K158&lt;&gt;"نعم",$M158="نعم"),0,MAX(0,MIN($F158,EOMONTH(DATE(cfg_FY,8,1),0))-MAX($E158,DATE(cfg_FY,8,1))+1))</f>
        <v>0</v>
      </c>
      <c r="BB158" s="65" t="n">
        <f aca="false">IF(OR(OR($B158="",$E158="",$F158=""),$K158&lt;&gt;"نعم",$M158="نعم"),0,MAX(0,MIN($F158,EOMONTH(DATE(cfg_FY,9,1),0))-MAX($E158,DATE(cfg_FY,9,1))+1))</f>
        <v>0</v>
      </c>
      <c r="BC158" s="65" t="n">
        <f aca="false">IF(OR(OR($B158="",$E158="",$F158=""),$K158&lt;&gt;"نعم",$M158="نعم"),0,MAX(0,MIN($F158,EOMONTH(DATE(cfg_FY,10,1),0))-MAX($E158,DATE(cfg_FY,10,1))+1))</f>
        <v>0</v>
      </c>
      <c r="BD158" s="65" t="n">
        <f aca="false">IF(OR(OR($B158="",$E158="",$F158=""),$K158&lt;&gt;"نعم",$M158="نعم"),0,MAX(0,MIN($F158,EOMONTH(DATE(cfg_FY,11,1),0))-MAX($E158,DATE(cfg_FY,11,1))+1))</f>
        <v>0</v>
      </c>
      <c r="BE158" s="65" t="n">
        <f aca="false">IF(OR(OR($B158="",$E158="",$F158=""),$K158&lt;&gt;"نعم",$M158="نعم"),0,MAX(0,MIN($F158,EOMONTH(DATE(cfg_FY,12,1),0))-MAX($E158,DATE(cfg_FY,12,1))+1))</f>
        <v>0</v>
      </c>
    </row>
    <row r="159" customFormat="false" ht="15" hidden="false" customHeight="false" outlineLevel="0" collapsed="false">
      <c r="A159" s="115" t="str">
        <f aca="false">IF(B159="","",ROW()-5)</f>
        <v/>
      </c>
      <c r="B159" s="118"/>
      <c r="C159" s="117" t="str">
        <f aca="false">IF(B159="","",IFERROR(INDEX(الموظفون!$C$6:$C$105,MATCH(B159,الموظفون!$B$6:$B$105,0)),"✖ رقم غير موجود"))</f>
        <v/>
      </c>
      <c r="D159" s="118"/>
      <c r="E159" s="119"/>
      <c r="F159" s="119"/>
      <c r="G159" s="133" t="str">
        <f aca="false">IF(OR($B159="",$E159="",$F159=""),"",MAX(0,F159-E159+1))</f>
        <v/>
      </c>
      <c r="H159" s="134" t="str">
        <f aca="false">IF(D159="","",IFERROR(VLOOKUP(D159,cfg_LT,2,FALSE()),1))</f>
        <v/>
      </c>
      <c r="I159" s="135"/>
      <c r="J159" s="134" t="str">
        <f aca="false">IF(D159="","",IF(I159&lt;&gt;"",I159,H159))</f>
        <v/>
      </c>
      <c r="K159" s="117" t="str">
        <f aca="false">IF(D159="","",IFERROR(VLOOKUP($D159,cfg_LT,3,FALSE()),""))</f>
        <v/>
      </c>
      <c r="L159" s="117" t="str">
        <f aca="false">IF(D159="","",IFERROR(VLOOKUP($D159,cfg_LT,4,FALSE()),""))</f>
        <v/>
      </c>
      <c r="M159" s="117" t="str">
        <f aca="false">IF(D159="","",IFERROR(VLOOKUP($D159,cfg_LT,5,FALSE()),""))</f>
        <v/>
      </c>
      <c r="N159" s="116" t="n">
        <f aca="false">IF(OR(OR($B159="",$E159="",$F159=""),M159&lt;&gt;"نعم"),0,G159*J159*IFERROR(INDEX(الموظفون!$R$6:$R$105,MATCH(B159,الموظفون!$B$6:$B$105,0)),0)/cfg_DAYS_M)</f>
        <v>0</v>
      </c>
      <c r="O159" s="115" t="str">
        <f aca="false">IF(OR(OR($B159="",$E159="",$F159=""),M159&lt;&gt;"نعم"),"",IF(YEAR(E159)=cfg_FY,MONTH(E159),""))</f>
        <v/>
      </c>
      <c r="P159" s="117" t="str">
        <f aca="false">IF(B159="","",IF(OR(D159="",E159="",F159=""),"⚠ أكمل النوع والتواريخ",IF(F159&lt;E159,"✖ النهاية قبل البداية",IF(COUNTIFS($B$6:$B$505,B159,$E$6:$E$505,"&lt;="&amp;F159,$F$6:$F$505,"&gt;="&amp;E159)&gt;1,"⚠ تداخل مع سجل آخر",IF(E159&gt;cfg_VAL_DATE,"⏳ قادمة",IF(F159&lt;cfg_VAL_DATE,"✔ منتهية","✈ جارية في تاريخ التقرير"))))))</f>
        <v/>
      </c>
      <c r="Q159" s="118"/>
      <c r="R159" s="133" t="n">
        <f aca="false">IF(OR(OR($B159="",$E159="",$F159=""),L159&lt;&gt;"لا"),0,MAX(0,MIN(F159,cfg_Y_START-1)-E159+1))</f>
        <v>0</v>
      </c>
      <c r="S159" s="133" t="n">
        <f aca="false">IF(OR(OR($B159="",$E159="",$F159=""),L159&lt;&gt;"لا"),0,MAX(0,MIN(F159,cfg_VAL_DATE)-E159+1))</f>
        <v>0</v>
      </c>
      <c r="T159" s="133" t="n">
        <f aca="false">IF(OR(OR($B159="",$E159="",$F159=""),K159&lt;&gt;"نعم"),0,IF(M159="نعم",IF(AND(ISNUMBER(O159),N(O159)&lt;=cfg_VAL_M),G159,0),MAX(0,MIN(F159,cfg_VAL_DATE)-MAX(E159,cfg_Y_START)+1)))</f>
        <v>0</v>
      </c>
      <c r="V159" s="133" t="n">
        <f aca="false">IF(OR($B159="",$E159="",$F159=""),0,MAX(0,MIN($F159,EOMONTH(DATE(cfg_FY,1,1),0))-MAX($E159,DATE(cfg_FY,1,1))+1)*(1-IF($M159="نعم",0,N($J159))))</f>
        <v>0</v>
      </c>
      <c r="W159" s="133" t="n">
        <f aca="false">IF(OR($B159="",$E159="",$F159=""),0,MAX(0,MIN($F159,EOMONTH(DATE(cfg_FY,2,1),0))-MAX($E159,DATE(cfg_FY,2,1))+1)*(1-IF($M159="نعم",0,N($J159))))</f>
        <v>0</v>
      </c>
      <c r="X159" s="133" t="n">
        <f aca="false">IF(OR($B159="",$E159="",$F159=""),0,MAX(0,MIN($F159,EOMONTH(DATE(cfg_FY,3,1),0))-MAX($E159,DATE(cfg_FY,3,1))+1)*(1-IF($M159="نعم",0,N($J159))))</f>
        <v>0</v>
      </c>
      <c r="Y159" s="133" t="n">
        <f aca="false">IF(OR($B159="",$E159="",$F159=""),0,MAX(0,MIN($F159,EOMONTH(DATE(cfg_FY,4,1),0))-MAX($E159,DATE(cfg_FY,4,1))+1)*(1-IF($M159="نعم",0,N($J159))))</f>
        <v>0</v>
      </c>
      <c r="Z159" s="133" t="n">
        <f aca="false">IF(OR($B159="",$E159="",$F159=""),0,MAX(0,MIN($F159,EOMONTH(DATE(cfg_FY,5,1),0))-MAX($E159,DATE(cfg_FY,5,1))+1)*(1-IF($M159="نعم",0,N($J159))))</f>
        <v>0</v>
      </c>
      <c r="AA159" s="133" t="n">
        <f aca="false">IF(OR($B159="",$E159="",$F159=""),0,MAX(0,MIN($F159,EOMONTH(DATE(cfg_FY,6,1),0))-MAX($E159,DATE(cfg_FY,6,1))+1)*(1-IF($M159="نعم",0,N($J159))))</f>
        <v>0</v>
      </c>
      <c r="AB159" s="133" t="n">
        <f aca="false">IF(OR($B159="",$E159="",$F159=""),0,MAX(0,MIN($F159,EOMONTH(DATE(cfg_FY,7,1),0))-MAX($E159,DATE(cfg_FY,7,1))+1)*(1-IF($M159="نعم",0,N($J159))))</f>
        <v>0</v>
      </c>
      <c r="AC159" s="133" t="n">
        <f aca="false">IF(OR($B159="",$E159="",$F159=""),0,MAX(0,MIN($F159,EOMONTH(DATE(cfg_FY,8,1),0))-MAX($E159,DATE(cfg_FY,8,1))+1)*(1-IF($M159="نعم",0,N($J159))))</f>
        <v>0</v>
      </c>
      <c r="AD159" s="133" t="n">
        <f aca="false">IF(OR($B159="",$E159="",$F159=""),0,MAX(0,MIN($F159,EOMONTH(DATE(cfg_FY,9,1),0))-MAX($E159,DATE(cfg_FY,9,1))+1)*(1-IF($M159="نعم",0,N($J159))))</f>
        <v>0</v>
      </c>
      <c r="AE159" s="133" t="n">
        <f aca="false">IF(OR($B159="",$E159="",$F159=""),0,MAX(0,MIN($F159,EOMONTH(DATE(cfg_FY,10,1),0))-MAX($E159,DATE(cfg_FY,10,1))+1)*(1-IF($M159="نعم",0,N($J159))))</f>
        <v>0</v>
      </c>
      <c r="AF159" s="133" t="n">
        <f aca="false">IF(OR($B159="",$E159="",$F159=""),0,MAX(0,MIN($F159,EOMONTH(DATE(cfg_FY,11,1),0))-MAX($E159,DATE(cfg_FY,11,1))+1)*(1-IF($M159="نعم",0,N($J159))))</f>
        <v>0</v>
      </c>
      <c r="AG159" s="133" t="n">
        <f aca="false">IF(OR($B159="",$E159="",$F159=""),0,MAX(0,MIN($F159,EOMONTH(DATE(cfg_FY,12,1),0))-MAX($E159,DATE(cfg_FY,12,1))+1)*(1-IF($M159="نعم",0,N($J159))))</f>
        <v>0</v>
      </c>
      <c r="AH159" s="133" t="n">
        <f aca="false">IF(OR(OR($B159="",$E159="",$F159=""),$L159&lt;&gt;"لا"),0,MAX(0,MIN($F159,EOMONTH(DATE(cfg_FY,1,1),0))-$E159+1))</f>
        <v>0</v>
      </c>
      <c r="AI159" s="133" t="n">
        <f aca="false">IF(OR(OR($B159="",$E159="",$F159=""),$L159&lt;&gt;"لا"),0,MAX(0,MIN($F159,EOMONTH(DATE(cfg_FY,2,1),0))-$E159+1))</f>
        <v>0</v>
      </c>
      <c r="AJ159" s="133" t="n">
        <f aca="false">IF(OR(OR($B159="",$E159="",$F159=""),$L159&lt;&gt;"لا"),0,MAX(0,MIN($F159,EOMONTH(DATE(cfg_FY,3,1),0))-$E159+1))</f>
        <v>0</v>
      </c>
      <c r="AK159" s="133" t="n">
        <f aca="false">IF(OR(OR($B159="",$E159="",$F159=""),$L159&lt;&gt;"لا"),0,MAX(0,MIN($F159,EOMONTH(DATE(cfg_FY,4,1),0))-$E159+1))</f>
        <v>0</v>
      </c>
      <c r="AL159" s="133" t="n">
        <f aca="false">IF(OR(OR($B159="",$E159="",$F159=""),$L159&lt;&gt;"لا"),0,MAX(0,MIN($F159,EOMONTH(DATE(cfg_FY,5,1),0))-$E159+1))</f>
        <v>0</v>
      </c>
      <c r="AM159" s="133" t="n">
        <f aca="false">IF(OR(OR($B159="",$E159="",$F159=""),$L159&lt;&gt;"لا"),0,MAX(0,MIN($F159,EOMONTH(DATE(cfg_FY,6,1),0))-$E159+1))</f>
        <v>0</v>
      </c>
      <c r="AN159" s="133" t="n">
        <f aca="false">IF(OR(OR($B159="",$E159="",$F159=""),$L159&lt;&gt;"لا"),0,MAX(0,MIN($F159,EOMONTH(DATE(cfg_FY,7,1),0))-$E159+1))</f>
        <v>0</v>
      </c>
      <c r="AO159" s="133" t="n">
        <f aca="false">IF(OR(OR($B159="",$E159="",$F159=""),$L159&lt;&gt;"لا"),0,MAX(0,MIN($F159,EOMONTH(DATE(cfg_FY,8,1),0))-$E159+1))</f>
        <v>0</v>
      </c>
      <c r="AP159" s="133" t="n">
        <f aca="false">IF(OR(OR($B159="",$E159="",$F159=""),$L159&lt;&gt;"لا"),0,MAX(0,MIN($F159,EOMONTH(DATE(cfg_FY,9,1),0))-$E159+1))</f>
        <v>0</v>
      </c>
      <c r="AQ159" s="133" t="n">
        <f aca="false">IF(OR(OR($B159="",$E159="",$F159=""),$L159&lt;&gt;"لا"),0,MAX(0,MIN($F159,EOMONTH(DATE(cfg_FY,10,1),0))-$E159+1))</f>
        <v>0</v>
      </c>
      <c r="AR159" s="133" t="n">
        <f aca="false">IF(OR(OR($B159="",$E159="",$F159=""),$L159&lt;&gt;"لا"),0,MAX(0,MIN($F159,EOMONTH(DATE(cfg_FY,11,1),0))-$E159+1))</f>
        <v>0</v>
      </c>
      <c r="AS159" s="133" t="n">
        <f aca="false">IF(OR(OR($B159="",$E159="",$F159=""),$L159&lt;&gt;"لا"),0,MAX(0,MIN($F159,EOMONTH(DATE(cfg_FY,12,1),0))-$E159+1))</f>
        <v>0</v>
      </c>
      <c r="AT159" s="133" t="n">
        <f aca="false">IF(OR(OR($B159="",$E159="",$F159=""),$K159&lt;&gt;"نعم",$M159="نعم"),0,MAX(0,MIN($F159,EOMONTH(DATE(cfg_FY,1,1),0))-MAX($E159,DATE(cfg_FY,1,1))+1))</f>
        <v>0</v>
      </c>
      <c r="AU159" s="133" t="n">
        <f aca="false">IF(OR(OR($B159="",$E159="",$F159=""),$K159&lt;&gt;"نعم",$M159="نعم"),0,MAX(0,MIN($F159,EOMONTH(DATE(cfg_FY,2,1),0))-MAX($E159,DATE(cfg_FY,2,1))+1))</f>
        <v>0</v>
      </c>
      <c r="AV159" s="133" t="n">
        <f aca="false">IF(OR(OR($B159="",$E159="",$F159=""),$K159&lt;&gt;"نعم",$M159="نعم"),0,MAX(0,MIN($F159,EOMONTH(DATE(cfg_FY,3,1),0))-MAX($E159,DATE(cfg_FY,3,1))+1))</f>
        <v>0</v>
      </c>
      <c r="AW159" s="133" t="n">
        <f aca="false">IF(OR(OR($B159="",$E159="",$F159=""),$K159&lt;&gt;"نعم",$M159="نعم"),0,MAX(0,MIN($F159,EOMONTH(DATE(cfg_FY,4,1),0))-MAX($E159,DATE(cfg_FY,4,1))+1))</f>
        <v>0</v>
      </c>
      <c r="AX159" s="133" t="n">
        <f aca="false">IF(OR(OR($B159="",$E159="",$F159=""),$K159&lt;&gt;"نعم",$M159="نعم"),0,MAX(0,MIN($F159,EOMONTH(DATE(cfg_FY,5,1),0))-MAX($E159,DATE(cfg_FY,5,1))+1))</f>
        <v>0</v>
      </c>
      <c r="AY159" s="133" t="n">
        <f aca="false">IF(OR(OR($B159="",$E159="",$F159=""),$K159&lt;&gt;"نعم",$M159="نعم"),0,MAX(0,MIN($F159,EOMONTH(DATE(cfg_FY,6,1),0))-MAX($E159,DATE(cfg_FY,6,1))+1))</f>
        <v>0</v>
      </c>
      <c r="AZ159" s="133" t="n">
        <f aca="false">IF(OR(OR($B159="",$E159="",$F159=""),$K159&lt;&gt;"نعم",$M159="نعم"),0,MAX(0,MIN($F159,EOMONTH(DATE(cfg_FY,7,1),0))-MAX($E159,DATE(cfg_FY,7,1))+1))</f>
        <v>0</v>
      </c>
      <c r="BA159" s="133" t="n">
        <f aca="false">IF(OR(OR($B159="",$E159="",$F159=""),$K159&lt;&gt;"نعم",$M159="نعم"),0,MAX(0,MIN($F159,EOMONTH(DATE(cfg_FY,8,1),0))-MAX($E159,DATE(cfg_FY,8,1))+1))</f>
        <v>0</v>
      </c>
      <c r="BB159" s="133" t="n">
        <f aca="false">IF(OR(OR($B159="",$E159="",$F159=""),$K159&lt;&gt;"نعم",$M159="نعم"),0,MAX(0,MIN($F159,EOMONTH(DATE(cfg_FY,9,1),0))-MAX($E159,DATE(cfg_FY,9,1))+1))</f>
        <v>0</v>
      </c>
      <c r="BC159" s="133" t="n">
        <f aca="false">IF(OR(OR($B159="",$E159="",$F159=""),$K159&lt;&gt;"نعم",$M159="نعم"),0,MAX(0,MIN($F159,EOMONTH(DATE(cfg_FY,10,1),0))-MAX($E159,DATE(cfg_FY,10,1))+1))</f>
        <v>0</v>
      </c>
      <c r="BD159" s="133" t="n">
        <f aca="false">IF(OR(OR($B159="",$E159="",$F159=""),$K159&lt;&gt;"نعم",$M159="نعم"),0,MAX(0,MIN($F159,EOMONTH(DATE(cfg_FY,11,1),0))-MAX($E159,DATE(cfg_FY,11,1))+1))</f>
        <v>0</v>
      </c>
      <c r="BE159" s="133" t="n">
        <f aca="false">IF(OR(OR($B159="",$E159="",$F159=""),$K159&lt;&gt;"نعم",$M159="نعم"),0,MAX(0,MIN($F159,EOMONTH(DATE(cfg_FY,12,1),0))-MAX($E159,DATE(cfg_FY,12,1))+1))</f>
        <v>0</v>
      </c>
    </row>
    <row r="160" customFormat="false" ht="15" hidden="false" customHeight="false" outlineLevel="0" collapsed="false">
      <c r="A160" s="106" t="str">
        <f aca="false">IF(B160="","",ROW()-5)</f>
        <v/>
      </c>
      <c r="B160" s="118"/>
      <c r="C160" s="114" t="str">
        <f aca="false">IF(B160="","",IFERROR(INDEX(الموظفون!$C$6:$C$105,MATCH(B160,الموظفون!$B$6:$B$105,0)),"✖ رقم غير موجود"))</f>
        <v/>
      </c>
      <c r="D160" s="118"/>
      <c r="E160" s="119"/>
      <c r="F160" s="119"/>
      <c r="G160" s="65" t="str">
        <f aca="false">IF(OR($B160="",$E160="",$F160=""),"",MAX(0,F160-E160+1))</f>
        <v/>
      </c>
      <c r="H160" s="66" t="str">
        <f aca="false">IF(D160="","",IFERROR(VLOOKUP(D160,cfg_LT,2,FALSE()),1))</f>
        <v/>
      </c>
      <c r="I160" s="135"/>
      <c r="J160" s="66" t="str">
        <f aca="false">IF(D160="","",IF(I160&lt;&gt;"",I160,H160))</f>
        <v/>
      </c>
      <c r="K160" s="114" t="str">
        <f aca="false">IF(D160="","",IFERROR(VLOOKUP($D160,cfg_LT,3,FALSE()),""))</f>
        <v/>
      </c>
      <c r="L160" s="114" t="str">
        <f aca="false">IF(D160="","",IFERROR(VLOOKUP($D160,cfg_LT,4,FALSE()),""))</f>
        <v/>
      </c>
      <c r="M160" s="114" t="str">
        <f aca="false">IF(D160="","",IFERROR(VLOOKUP($D160,cfg_LT,5,FALSE()),""))</f>
        <v/>
      </c>
      <c r="N160" s="111" t="n">
        <f aca="false">IF(OR(OR($B160="",$E160="",$F160=""),M160&lt;&gt;"نعم"),0,G160*J160*IFERROR(INDEX(الموظفون!$R$6:$R$105,MATCH(B160,الموظفون!$B$6:$B$105,0)),0)/cfg_DAYS_M)</f>
        <v>0</v>
      </c>
      <c r="O160" s="106" t="str">
        <f aca="false">IF(OR(OR($B160="",$E160="",$F160=""),M160&lt;&gt;"نعم"),"",IF(YEAR(E160)=cfg_FY,MONTH(E160),""))</f>
        <v/>
      </c>
      <c r="P160" s="114" t="str">
        <f aca="false">IF(B160="","",IF(OR(D160="",E160="",F160=""),"⚠ أكمل النوع والتواريخ",IF(F160&lt;E160,"✖ النهاية قبل البداية",IF(COUNTIFS($B$6:$B$505,B160,$E$6:$E$505,"&lt;="&amp;F160,$F$6:$F$505,"&gt;="&amp;E160)&gt;1,"⚠ تداخل مع سجل آخر",IF(E160&gt;cfg_VAL_DATE,"⏳ قادمة",IF(F160&lt;cfg_VAL_DATE,"✔ منتهية","✈ جارية في تاريخ التقرير"))))))</f>
        <v/>
      </c>
      <c r="Q160" s="118"/>
      <c r="R160" s="65" t="n">
        <f aca="false">IF(OR(OR($B160="",$E160="",$F160=""),L160&lt;&gt;"لا"),0,MAX(0,MIN(F160,cfg_Y_START-1)-E160+1))</f>
        <v>0</v>
      </c>
      <c r="S160" s="65" t="n">
        <f aca="false">IF(OR(OR($B160="",$E160="",$F160=""),L160&lt;&gt;"لا"),0,MAX(0,MIN(F160,cfg_VAL_DATE)-E160+1))</f>
        <v>0</v>
      </c>
      <c r="T160" s="65" t="n">
        <f aca="false">IF(OR(OR($B160="",$E160="",$F160=""),K160&lt;&gt;"نعم"),0,IF(M160="نعم",IF(AND(ISNUMBER(O160),N(O160)&lt;=cfg_VAL_M),G160,0),MAX(0,MIN(F160,cfg_VAL_DATE)-MAX(E160,cfg_Y_START)+1)))</f>
        <v>0</v>
      </c>
      <c r="V160" s="65" t="n">
        <f aca="false">IF(OR($B160="",$E160="",$F160=""),0,MAX(0,MIN($F160,EOMONTH(DATE(cfg_FY,1,1),0))-MAX($E160,DATE(cfg_FY,1,1))+1)*(1-IF($M160="نعم",0,N($J160))))</f>
        <v>0</v>
      </c>
      <c r="W160" s="65" t="n">
        <f aca="false">IF(OR($B160="",$E160="",$F160=""),0,MAX(0,MIN($F160,EOMONTH(DATE(cfg_FY,2,1),0))-MAX($E160,DATE(cfg_FY,2,1))+1)*(1-IF($M160="نعم",0,N($J160))))</f>
        <v>0</v>
      </c>
      <c r="X160" s="65" t="n">
        <f aca="false">IF(OR($B160="",$E160="",$F160=""),0,MAX(0,MIN($F160,EOMONTH(DATE(cfg_FY,3,1),0))-MAX($E160,DATE(cfg_FY,3,1))+1)*(1-IF($M160="نعم",0,N($J160))))</f>
        <v>0</v>
      </c>
      <c r="Y160" s="65" t="n">
        <f aca="false">IF(OR($B160="",$E160="",$F160=""),0,MAX(0,MIN($F160,EOMONTH(DATE(cfg_FY,4,1),0))-MAX($E160,DATE(cfg_FY,4,1))+1)*(1-IF($M160="نعم",0,N($J160))))</f>
        <v>0</v>
      </c>
      <c r="Z160" s="65" t="n">
        <f aca="false">IF(OR($B160="",$E160="",$F160=""),0,MAX(0,MIN($F160,EOMONTH(DATE(cfg_FY,5,1),0))-MAX($E160,DATE(cfg_FY,5,1))+1)*(1-IF($M160="نعم",0,N($J160))))</f>
        <v>0</v>
      </c>
      <c r="AA160" s="65" t="n">
        <f aca="false">IF(OR($B160="",$E160="",$F160=""),0,MAX(0,MIN($F160,EOMONTH(DATE(cfg_FY,6,1),0))-MAX($E160,DATE(cfg_FY,6,1))+1)*(1-IF($M160="نعم",0,N($J160))))</f>
        <v>0</v>
      </c>
      <c r="AB160" s="65" t="n">
        <f aca="false">IF(OR($B160="",$E160="",$F160=""),0,MAX(0,MIN($F160,EOMONTH(DATE(cfg_FY,7,1),0))-MAX($E160,DATE(cfg_FY,7,1))+1)*(1-IF($M160="نعم",0,N($J160))))</f>
        <v>0</v>
      </c>
      <c r="AC160" s="65" t="n">
        <f aca="false">IF(OR($B160="",$E160="",$F160=""),0,MAX(0,MIN($F160,EOMONTH(DATE(cfg_FY,8,1),0))-MAX($E160,DATE(cfg_FY,8,1))+1)*(1-IF($M160="نعم",0,N($J160))))</f>
        <v>0</v>
      </c>
      <c r="AD160" s="65" t="n">
        <f aca="false">IF(OR($B160="",$E160="",$F160=""),0,MAX(0,MIN($F160,EOMONTH(DATE(cfg_FY,9,1),0))-MAX($E160,DATE(cfg_FY,9,1))+1)*(1-IF($M160="نعم",0,N($J160))))</f>
        <v>0</v>
      </c>
      <c r="AE160" s="65" t="n">
        <f aca="false">IF(OR($B160="",$E160="",$F160=""),0,MAX(0,MIN($F160,EOMONTH(DATE(cfg_FY,10,1),0))-MAX($E160,DATE(cfg_FY,10,1))+1)*(1-IF($M160="نعم",0,N($J160))))</f>
        <v>0</v>
      </c>
      <c r="AF160" s="65" t="n">
        <f aca="false">IF(OR($B160="",$E160="",$F160=""),0,MAX(0,MIN($F160,EOMONTH(DATE(cfg_FY,11,1),0))-MAX($E160,DATE(cfg_FY,11,1))+1)*(1-IF($M160="نعم",0,N($J160))))</f>
        <v>0</v>
      </c>
      <c r="AG160" s="65" t="n">
        <f aca="false">IF(OR($B160="",$E160="",$F160=""),0,MAX(0,MIN($F160,EOMONTH(DATE(cfg_FY,12,1),0))-MAX($E160,DATE(cfg_FY,12,1))+1)*(1-IF($M160="نعم",0,N($J160))))</f>
        <v>0</v>
      </c>
      <c r="AH160" s="65" t="n">
        <f aca="false">IF(OR(OR($B160="",$E160="",$F160=""),$L160&lt;&gt;"لا"),0,MAX(0,MIN($F160,EOMONTH(DATE(cfg_FY,1,1),0))-$E160+1))</f>
        <v>0</v>
      </c>
      <c r="AI160" s="65" t="n">
        <f aca="false">IF(OR(OR($B160="",$E160="",$F160=""),$L160&lt;&gt;"لا"),0,MAX(0,MIN($F160,EOMONTH(DATE(cfg_FY,2,1),0))-$E160+1))</f>
        <v>0</v>
      </c>
      <c r="AJ160" s="65" t="n">
        <f aca="false">IF(OR(OR($B160="",$E160="",$F160=""),$L160&lt;&gt;"لا"),0,MAX(0,MIN($F160,EOMONTH(DATE(cfg_FY,3,1),0))-$E160+1))</f>
        <v>0</v>
      </c>
      <c r="AK160" s="65" t="n">
        <f aca="false">IF(OR(OR($B160="",$E160="",$F160=""),$L160&lt;&gt;"لا"),0,MAX(0,MIN($F160,EOMONTH(DATE(cfg_FY,4,1),0))-$E160+1))</f>
        <v>0</v>
      </c>
      <c r="AL160" s="65" t="n">
        <f aca="false">IF(OR(OR($B160="",$E160="",$F160=""),$L160&lt;&gt;"لا"),0,MAX(0,MIN($F160,EOMONTH(DATE(cfg_FY,5,1),0))-$E160+1))</f>
        <v>0</v>
      </c>
      <c r="AM160" s="65" t="n">
        <f aca="false">IF(OR(OR($B160="",$E160="",$F160=""),$L160&lt;&gt;"لا"),0,MAX(0,MIN($F160,EOMONTH(DATE(cfg_FY,6,1),0))-$E160+1))</f>
        <v>0</v>
      </c>
      <c r="AN160" s="65" t="n">
        <f aca="false">IF(OR(OR($B160="",$E160="",$F160=""),$L160&lt;&gt;"لا"),0,MAX(0,MIN($F160,EOMONTH(DATE(cfg_FY,7,1),0))-$E160+1))</f>
        <v>0</v>
      </c>
      <c r="AO160" s="65" t="n">
        <f aca="false">IF(OR(OR($B160="",$E160="",$F160=""),$L160&lt;&gt;"لا"),0,MAX(0,MIN($F160,EOMONTH(DATE(cfg_FY,8,1),0))-$E160+1))</f>
        <v>0</v>
      </c>
      <c r="AP160" s="65" t="n">
        <f aca="false">IF(OR(OR($B160="",$E160="",$F160=""),$L160&lt;&gt;"لا"),0,MAX(0,MIN($F160,EOMONTH(DATE(cfg_FY,9,1),0))-$E160+1))</f>
        <v>0</v>
      </c>
      <c r="AQ160" s="65" t="n">
        <f aca="false">IF(OR(OR($B160="",$E160="",$F160=""),$L160&lt;&gt;"لا"),0,MAX(0,MIN($F160,EOMONTH(DATE(cfg_FY,10,1),0))-$E160+1))</f>
        <v>0</v>
      </c>
      <c r="AR160" s="65" t="n">
        <f aca="false">IF(OR(OR($B160="",$E160="",$F160=""),$L160&lt;&gt;"لا"),0,MAX(0,MIN($F160,EOMONTH(DATE(cfg_FY,11,1),0))-$E160+1))</f>
        <v>0</v>
      </c>
      <c r="AS160" s="65" t="n">
        <f aca="false">IF(OR(OR($B160="",$E160="",$F160=""),$L160&lt;&gt;"لا"),0,MAX(0,MIN($F160,EOMONTH(DATE(cfg_FY,12,1),0))-$E160+1))</f>
        <v>0</v>
      </c>
      <c r="AT160" s="65" t="n">
        <f aca="false">IF(OR(OR($B160="",$E160="",$F160=""),$K160&lt;&gt;"نعم",$M160="نعم"),0,MAX(0,MIN($F160,EOMONTH(DATE(cfg_FY,1,1),0))-MAX($E160,DATE(cfg_FY,1,1))+1))</f>
        <v>0</v>
      </c>
      <c r="AU160" s="65" t="n">
        <f aca="false">IF(OR(OR($B160="",$E160="",$F160=""),$K160&lt;&gt;"نعم",$M160="نعم"),0,MAX(0,MIN($F160,EOMONTH(DATE(cfg_FY,2,1),0))-MAX($E160,DATE(cfg_FY,2,1))+1))</f>
        <v>0</v>
      </c>
      <c r="AV160" s="65" t="n">
        <f aca="false">IF(OR(OR($B160="",$E160="",$F160=""),$K160&lt;&gt;"نعم",$M160="نعم"),0,MAX(0,MIN($F160,EOMONTH(DATE(cfg_FY,3,1),0))-MAX($E160,DATE(cfg_FY,3,1))+1))</f>
        <v>0</v>
      </c>
      <c r="AW160" s="65" t="n">
        <f aca="false">IF(OR(OR($B160="",$E160="",$F160=""),$K160&lt;&gt;"نعم",$M160="نعم"),0,MAX(0,MIN($F160,EOMONTH(DATE(cfg_FY,4,1),0))-MAX($E160,DATE(cfg_FY,4,1))+1))</f>
        <v>0</v>
      </c>
      <c r="AX160" s="65" t="n">
        <f aca="false">IF(OR(OR($B160="",$E160="",$F160=""),$K160&lt;&gt;"نعم",$M160="نعم"),0,MAX(0,MIN($F160,EOMONTH(DATE(cfg_FY,5,1),0))-MAX($E160,DATE(cfg_FY,5,1))+1))</f>
        <v>0</v>
      </c>
      <c r="AY160" s="65" t="n">
        <f aca="false">IF(OR(OR($B160="",$E160="",$F160=""),$K160&lt;&gt;"نعم",$M160="نعم"),0,MAX(0,MIN($F160,EOMONTH(DATE(cfg_FY,6,1),0))-MAX($E160,DATE(cfg_FY,6,1))+1))</f>
        <v>0</v>
      </c>
      <c r="AZ160" s="65" t="n">
        <f aca="false">IF(OR(OR($B160="",$E160="",$F160=""),$K160&lt;&gt;"نعم",$M160="نعم"),0,MAX(0,MIN($F160,EOMONTH(DATE(cfg_FY,7,1),0))-MAX($E160,DATE(cfg_FY,7,1))+1))</f>
        <v>0</v>
      </c>
      <c r="BA160" s="65" t="n">
        <f aca="false">IF(OR(OR($B160="",$E160="",$F160=""),$K160&lt;&gt;"نعم",$M160="نعم"),0,MAX(0,MIN($F160,EOMONTH(DATE(cfg_FY,8,1),0))-MAX($E160,DATE(cfg_FY,8,1))+1))</f>
        <v>0</v>
      </c>
      <c r="BB160" s="65" t="n">
        <f aca="false">IF(OR(OR($B160="",$E160="",$F160=""),$K160&lt;&gt;"نعم",$M160="نعم"),0,MAX(0,MIN($F160,EOMONTH(DATE(cfg_FY,9,1),0))-MAX($E160,DATE(cfg_FY,9,1))+1))</f>
        <v>0</v>
      </c>
      <c r="BC160" s="65" t="n">
        <f aca="false">IF(OR(OR($B160="",$E160="",$F160=""),$K160&lt;&gt;"نعم",$M160="نعم"),0,MAX(0,MIN($F160,EOMONTH(DATE(cfg_FY,10,1),0))-MAX($E160,DATE(cfg_FY,10,1))+1))</f>
        <v>0</v>
      </c>
      <c r="BD160" s="65" t="n">
        <f aca="false">IF(OR(OR($B160="",$E160="",$F160=""),$K160&lt;&gt;"نعم",$M160="نعم"),0,MAX(0,MIN($F160,EOMONTH(DATE(cfg_FY,11,1),0))-MAX($E160,DATE(cfg_FY,11,1))+1))</f>
        <v>0</v>
      </c>
      <c r="BE160" s="65" t="n">
        <f aca="false">IF(OR(OR($B160="",$E160="",$F160=""),$K160&lt;&gt;"نعم",$M160="نعم"),0,MAX(0,MIN($F160,EOMONTH(DATE(cfg_FY,12,1),0))-MAX($E160,DATE(cfg_FY,12,1))+1))</f>
        <v>0</v>
      </c>
    </row>
    <row r="161" customFormat="false" ht="15" hidden="false" customHeight="false" outlineLevel="0" collapsed="false">
      <c r="A161" s="115" t="str">
        <f aca="false">IF(B161="","",ROW()-5)</f>
        <v/>
      </c>
      <c r="B161" s="118"/>
      <c r="C161" s="117" t="str">
        <f aca="false">IF(B161="","",IFERROR(INDEX(الموظفون!$C$6:$C$105,MATCH(B161,الموظفون!$B$6:$B$105,0)),"✖ رقم غير موجود"))</f>
        <v/>
      </c>
      <c r="D161" s="118"/>
      <c r="E161" s="119"/>
      <c r="F161" s="119"/>
      <c r="G161" s="133" t="str">
        <f aca="false">IF(OR($B161="",$E161="",$F161=""),"",MAX(0,F161-E161+1))</f>
        <v/>
      </c>
      <c r="H161" s="134" t="str">
        <f aca="false">IF(D161="","",IFERROR(VLOOKUP(D161,cfg_LT,2,FALSE()),1))</f>
        <v/>
      </c>
      <c r="I161" s="135"/>
      <c r="J161" s="134" t="str">
        <f aca="false">IF(D161="","",IF(I161&lt;&gt;"",I161,H161))</f>
        <v/>
      </c>
      <c r="K161" s="117" t="str">
        <f aca="false">IF(D161="","",IFERROR(VLOOKUP($D161,cfg_LT,3,FALSE()),""))</f>
        <v/>
      </c>
      <c r="L161" s="117" t="str">
        <f aca="false">IF(D161="","",IFERROR(VLOOKUP($D161,cfg_LT,4,FALSE()),""))</f>
        <v/>
      </c>
      <c r="M161" s="117" t="str">
        <f aca="false">IF(D161="","",IFERROR(VLOOKUP($D161,cfg_LT,5,FALSE()),""))</f>
        <v/>
      </c>
      <c r="N161" s="116" t="n">
        <f aca="false">IF(OR(OR($B161="",$E161="",$F161=""),M161&lt;&gt;"نعم"),0,G161*J161*IFERROR(INDEX(الموظفون!$R$6:$R$105,MATCH(B161,الموظفون!$B$6:$B$105,0)),0)/cfg_DAYS_M)</f>
        <v>0</v>
      </c>
      <c r="O161" s="115" t="str">
        <f aca="false">IF(OR(OR($B161="",$E161="",$F161=""),M161&lt;&gt;"نعم"),"",IF(YEAR(E161)=cfg_FY,MONTH(E161),""))</f>
        <v/>
      </c>
      <c r="P161" s="117" t="str">
        <f aca="false">IF(B161="","",IF(OR(D161="",E161="",F161=""),"⚠ أكمل النوع والتواريخ",IF(F161&lt;E161,"✖ النهاية قبل البداية",IF(COUNTIFS($B$6:$B$505,B161,$E$6:$E$505,"&lt;="&amp;F161,$F$6:$F$505,"&gt;="&amp;E161)&gt;1,"⚠ تداخل مع سجل آخر",IF(E161&gt;cfg_VAL_DATE,"⏳ قادمة",IF(F161&lt;cfg_VAL_DATE,"✔ منتهية","✈ جارية في تاريخ التقرير"))))))</f>
        <v/>
      </c>
      <c r="Q161" s="118"/>
      <c r="R161" s="133" t="n">
        <f aca="false">IF(OR(OR($B161="",$E161="",$F161=""),L161&lt;&gt;"لا"),0,MAX(0,MIN(F161,cfg_Y_START-1)-E161+1))</f>
        <v>0</v>
      </c>
      <c r="S161" s="133" t="n">
        <f aca="false">IF(OR(OR($B161="",$E161="",$F161=""),L161&lt;&gt;"لا"),0,MAX(0,MIN(F161,cfg_VAL_DATE)-E161+1))</f>
        <v>0</v>
      </c>
      <c r="T161" s="133" t="n">
        <f aca="false">IF(OR(OR($B161="",$E161="",$F161=""),K161&lt;&gt;"نعم"),0,IF(M161="نعم",IF(AND(ISNUMBER(O161),N(O161)&lt;=cfg_VAL_M),G161,0),MAX(0,MIN(F161,cfg_VAL_DATE)-MAX(E161,cfg_Y_START)+1)))</f>
        <v>0</v>
      </c>
      <c r="V161" s="133" t="n">
        <f aca="false">IF(OR($B161="",$E161="",$F161=""),0,MAX(0,MIN($F161,EOMONTH(DATE(cfg_FY,1,1),0))-MAX($E161,DATE(cfg_FY,1,1))+1)*(1-IF($M161="نعم",0,N($J161))))</f>
        <v>0</v>
      </c>
      <c r="W161" s="133" t="n">
        <f aca="false">IF(OR($B161="",$E161="",$F161=""),0,MAX(0,MIN($F161,EOMONTH(DATE(cfg_FY,2,1),0))-MAX($E161,DATE(cfg_FY,2,1))+1)*(1-IF($M161="نعم",0,N($J161))))</f>
        <v>0</v>
      </c>
      <c r="X161" s="133" t="n">
        <f aca="false">IF(OR($B161="",$E161="",$F161=""),0,MAX(0,MIN($F161,EOMONTH(DATE(cfg_FY,3,1),0))-MAX($E161,DATE(cfg_FY,3,1))+1)*(1-IF($M161="نعم",0,N($J161))))</f>
        <v>0</v>
      </c>
      <c r="Y161" s="133" t="n">
        <f aca="false">IF(OR($B161="",$E161="",$F161=""),0,MAX(0,MIN($F161,EOMONTH(DATE(cfg_FY,4,1),0))-MAX($E161,DATE(cfg_FY,4,1))+1)*(1-IF($M161="نعم",0,N($J161))))</f>
        <v>0</v>
      </c>
      <c r="Z161" s="133" t="n">
        <f aca="false">IF(OR($B161="",$E161="",$F161=""),0,MAX(0,MIN($F161,EOMONTH(DATE(cfg_FY,5,1),0))-MAX($E161,DATE(cfg_FY,5,1))+1)*(1-IF($M161="نعم",0,N($J161))))</f>
        <v>0</v>
      </c>
      <c r="AA161" s="133" t="n">
        <f aca="false">IF(OR($B161="",$E161="",$F161=""),0,MAX(0,MIN($F161,EOMONTH(DATE(cfg_FY,6,1),0))-MAX($E161,DATE(cfg_FY,6,1))+1)*(1-IF($M161="نعم",0,N($J161))))</f>
        <v>0</v>
      </c>
      <c r="AB161" s="133" t="n">
        <f aca="false">IF(OR($B161="",$E161="",$F161=""),0,MAX(0,MIN($F161,EOMONTH(DATE(cfg_FY,7,1),0))-MAX($E161,DATE(cfg_FY,7,1))+1)*(1-IF($M161="نعم",0,N($J161))))</f>
        <v>0</v>
      </c>
      <c r="AC161" s="133" t="n">
        <f aca="false">IF(OR($B161="",$E161="",$F161=""),0,MAX(0,MIN($F161,EOMONTH(DATE(cfg_FY,8,1),0))-MAX($E161,DATE(cfg_FY,8,1))+1)*(1-IF($M161="نعم",0,N($J161))))</f>
        <v>0</v>
      </c>
      <c r="AD161" s="133" t="n">
        <f aca="false">IF(OR($B161="",$E161="",$F161=""),0,MAX(0,MIN($F161,EOMONTH(DATE(cfg_FY,9,1),0))-MAX($E161,DATE(cfg_FY,9,1))+1)*(1-IF($M161="نعم",0,N($J161))))</f>
        <v>0</v>
      </c>
      <c r="AE161" s="133" t="n">
        <f aca="false">IF(OR($B161="",$E161="",$F161=""),0,MAX(0,MIN($F161,EOMONTH(DATE(cfg_FY,10,1),0))-MAX($E161,DATE(cfg_FY,10,1))+1)*(1-IF($M161="نعم",0,N($J161))))</f>
        <v>0</v>
      </c>
      <c r="AF161" s="133" t="n">
        <f aca="false">IF(OR($B161="",$E161="",$F161=""),0,MAX(0,MIN($F161,EOMONTH(DATE(cfg_FY,11,1),0))-MAX($E161,DATE(cfg_FY,11,1))+1)*(1-IF($M161="نعم",0,N($J161))))</f>
        <v>0</v>
      </c>
      <c r="AG161" s="133" t="n">
        <f aca="false">IF(OR($B161="",$E161="",$F161=""),0,MAX(0,MIN($F161,EOMONTH(DATE(cfg_FY,12,1),0))-MAX($E161,DATE(cfg_FY,12,1))+1)*(1-IF($M161="نعم",0,N($J161))))</f>
        <v>0</v>
      </c>
      <c r="AH161" s="133" t="n">
        <f aca="false">IF(OR(OR($B161="",$E161="",$F161=""),$L161&lt;&gt;"لا"),0,MAX(0,MIN($F161,EOMONTH(DATE(cfg_FY,1,1),0))-$E161+1))</f>
        <v>0</v>
      </c>
      <c r="AI161" s="133" t="n">
        <f aca="false">IF(OR(OR($B161="",$E161="",$F161=""),$L161&lt;&gt;"لا"),0,MAX(0,MIN($F161,EOMONTH(DATE(cfg_FY,2,1),0))-$E161+1))</f>
        <v>0</v>
      </c>
      <c r="AJ161" s="133" t="n">
        <f aca="false">IF(OR(OR($B161="",$E161="",$F161=""),$L161&lt;&gt;"لا"),0,MAX(0,MIN($F161,EOMONTH(DATE(cfg_FY,3,1),0))-$E161+1))</f>
        <v>0</v>
      </c>
      <c r="AK161" s="133" t="n">
        <f aca="false">IF(OR(OR($B161="",$E161="",$F161=""),$L161&lt;&gt;"لا"),0,MAX(0,MIN($F161,EOMONTH(DATE(cfg_FY,4,1),0))-$E161+1))</f>
        <v>0</v>
      </c>
      <c r="AL161" s="133" t="n">
        <f aca="false">IF(OR(OR($B161="",$E161="",$F161=""),$L161&lt;&gt;"لا"),0,MAX(0,MIN($F161,EOMONTH(DATE(cfg_FY,5,1),0))-$E161+1))</f>
        <v>0</v>
      </c>
      <c r="AM161" s="133" t="n">
        <f aca="false">IF(OR(OR($B161="",$E161="",$F161=""),$L161&lt;&gt;"لا"),0,MAX(0,MIN($F161,EOMONTH(DATE(cfg_FY,6,1),0))-$E161+1))</f>
        <v>0</v>
      </c>
      <c r="AN161" s="133" t="n">
        <f aca="false">IF(OR(OR($B161="",$E161="",$F161=""),$L161&lt;&gt;"لا"),0,MAX(0,MIN($F161,EOMONTH(DATE(cfg_FY,7,1),0))-$E161+1))</f>
        <v>0</v>
      </c>
      <c r="AO161" s="133" t="n">
        <f aca="false">IF(OR(OR($B161="",$E161="",$F161=""),$L161&lt;&gt;"لا"),0,MAX(0,MIN($F161,EOMONTH(DATE(cfg_FY,8,1),0))-$E161+1))</f>
        <v>0</v>
      </c>
      <c r="AP161" s="133" t="n">
        <f aca="false">IF(OR(OR($B161="",$E161="",$F161=""),$L161&lt;&gt;"لا"),0,MAX(0,MIN($F161,EOMONTH(DATE(cfg_FY,9,1),0))-$E161+1))</f>
        <v>0</v>
      </c>
      <c r="AQ161" s="133" t="n">
        <f aca="false">IF(OR(OR($B161="",$E161="",$F161=""),$L161&lt;&gt;"لا"),0,MAX(0,MIN($F161,EOMONTH(DATE(cfg_FY,10,1),0))-$E161+1))</f>
        <v>0</v>
      </c>
      <c r="AR161" s="133" t="n">
        <f aca="false">IF(OR(OR($B161="",$E161="",$F161=""),$L161&lt;&gt;"لا"),0,MAX(0,MIN($F161,EOMONTH(DATE(cfg_FY,11,1),0))-$E161+1))</f>
        <v>0</v>
      </c>
      <c r="AS161" s="133" t="n">
        <f aca="false">IF(OR(OR($B161="",$E161="",$F161=""),$L161&lt;&gt;"لا"),0,MAX(0,MIN($F161,EOMONTH(DATE(cfg_FY,12,1),0))-$E161+1))</f>
        <v>0</v>
      </c>
      <c r="AT161" s="133" t="n">
        <f aca="false">IF(OR(OR($B161="",$E161="",$F161=""),$K161&lt;&gt;"نعم",$M161="نعم"),0,MAX(0,MIN($F161,EOMONTH(DATE(cfg_FY,1,1),0))-MAX($E161,DATE(cfg_FY,1,1))+1))</f>
        <v>0</v>
      </c>
      <c r="AU161" s="133" t="n">
        <f aca="false">IF(OR(OR($B161="",$E161="",$F161=""),$K161&lt;&gt;"نعم",$M161="نعم"),0,MAX(0,MIN($F161,EOMONTH(DATE(cfg_FY,2,1),0))-MAX($E161,DATE(cfg_FY,2,1))+1))</f>
        <v>0</v>
      </c>
      <c r="AV161" s="133" t="n">
        <f aca="false">IF(OR(OR($B161="",$E161="",$F161=""),$K161&lt;&gt;"نعم",$M161="نعم"),0,MAX(0,MIN($F161,EOMONTH(DATE(cfg_FY,3,1),0))-MAX($E161,DATE(cfg_FY,3,1))+1))</f>
        <v>0</v>
      </c>
      <c r="AW161" s="133" t="n">
        <f aca="false">IF(OR(OR($B161="",$E161="",$F161=""),$K161&lt;&gt;"نعم",$M161="نعم"),0,MAX(0,MIN($F161,EOMONTH(DATE(cfg_FY,4,1),0))-MAX($E161,DATE(cfg_FY,4,1))+1))</f>
        <v>0</v>
      </c>
      <c r="AX161" s="133" t="n">
        <f aca="false">IF(OR(OR($B161="",$E161="",$F161=""),$K161&lt;&gt;"نعم",$M161="نعم"),0,MAX(0,MIN($F161,EOMONTH(DATE(cfg_FY,5,1),0))-MAX($E161,DATE(cfg_FY,5,1))+1))</f>
        <v>0</v>
      </c>
      <c r="AY161" s="133" t="n">
        <f aca="false">IF(OR(OR($B161="",$E161="",$F161=""),$K161&lt;&gt;"نعم",$M161="نعم"),0,MAX(0,MIN($F161,EOMONTH(DATE(cfg_FY,6,1),0))-MAX($E161,DATE(cfg_FY,6,1))+1))</f>
        <v>0</v>
      </c>
      <c r="AZ161" s="133" t="n">
        <f aca="false">IF(OR(OR($B161="",$E161="",$F161=""),$K161&lt;&gt;"نعم",$M161="نعم"),0,MAX(0,MIN($F161,EOMONTH(DATE(cfg_FY,7,1),0))-MAX($E161,DATE(cfg_FY,7,1))+1))</f>
        <v>0</v>
      </c>
      <c r="BA161" s="133" t="n">
        <f aca="false">IF(OR(OR($B161="",$E161="",$F161=""),$K161&lt;&gt;"نعم",$M161="نعم"),0,MAX(0,MIN($F161,EOMONTH(DATE(cfg_FY,8,1),0))-MAX($E161,DATE(cfg_FY,8,1))+1))</f>
        <v>0</v>
      </c>
      <c r="BB161" s="133" t="n">
        <f aca="false">IF(OR(OR($B161="",$E161="",$F161=""),$K161&lt;&gt;"نعم",$M161="نعم"),0,MAX(0,MIN($F161,EOMONTH(DATE(cfg_FY,9,1),0))-MAX($E161,DATE(cfg_FY,9,1))+1))</f>
        <v>0</v>
      </c>
      <c r="BC161" s="133" t="n">
        <f aca="false">IF(OR(OR($B161="",$E161="",$F161=""),$K161&lt;&gt;"نعم",$M161="نعم"),0,MAX(0,MIN($F161,EOMONTH(DATE(cfg_FY,10,1),0))-MAX($E161,DATE(cfg_FY,10,1))+1))</f>
        <v>0</v>
      </c>
      <c r="BD161" s="133" t="n">
        <f aca="false">IF(OR(OR($B161="",$E161="",$F161=""),$K161&lt;&gt;"نعم",$M161="نعم"),0,MAX(0,MIN($F161,EOMONTH(DATE(cfg_FY,11,1),0))-MAX($E161,DATE(cfg_FY,11,1))+1))</f>
        <v>0</v>
      </c>
      <c r="BE161" s="133" t="n">
        <f aca="false">IF(OR(OR($B161="",$E161="",$F161=""),$K161&lt;&gt;"نعم",$M161="نعم"),0,MAX(0,MIN($F161,EOMONTH(DATE(cfg_FY,12,1),0))-MAX($E161,DATE(cfg_FY,12,1))+1))</f>
        <v>0</v>
      </c>
    </row>
    <row r="162" customFormat="false" ht="15" hidden="false" customHeight="false" outlineLevel="0" collapsed="false">
      <c r="A162" s="106" t="str">
        <f aca="false">IF(B162="","",ROW()-5)</f>
        <v/>
      </c>
      <c r="B162" s="118"/>
      <c r="C162" s="114" t="str">
        <f aca="false">IF(B162="","",IFERROR(INDEX(الموظفون!$C$6:$C$105,MATCH(B162,الموظفون!$B$6:$B$105,0)),"✖ رقم غير موجود"))</f>
        <v/>
      </c>
      <c r="D162" s="118"/>
      <c r="E162" s="119"/>
      <c r="F162" s="119"/>
      <c r="G162" s="65" t="str">
        <f aca="false">IF(OR($B162="",$E162="",$F162=""),"",MAX(0,F162-E162+1))</f>
        <v/>
      </c>
      <c r="H162" s="66" t="str">
        <f aca="false">IF(D162="","",IFERROR(VLOOKUP(D162,cfg_LT,2,FALSE()),1))</f>
        <v/>
      </c>
      <c r="I162" s="135"/>
      <c r="J162" s="66" t="str">
        <f aca="false">IF(D162="","",IF(I162&lt;&gt;"",I162,H162))</f>
        <v/>
      </c>
      <c r="K162" s="114" t="str">
        <f aca="false">IF(D162="","",IFERROR(VLOOKUP($D162,cfg_LT,3,FALSE()),""))</f>
        <v/>
      </c>
      <c r="L162" s="114" t="str">
        <f aca="false">IF(D162="","",IFERROR(VLOOKUP($D162,cfg_LT,4,FALSE()),""))</f>
        <v/>
      </c>
      <c r="M162" s="114" t="str">
        <f aca="false">IF(D162="","",IFERROR(VLOOKUP($D162,cfg_LT,5,FALSE()),""))</f>
        <v/>
      </c>
      <c r="N162" s="111" t="n">
        <f aca="false">IF(OR(OR($B162="",$E162="",$F162=""),M162&lt;&gt;"نعم"),0,G162*J162*IFERROR(INDEX(الموظفون!$R$6:$R$105,MATCH(B162,الموظفون!$B$6:$B$105,0)),0)/cfg_DAYS_M)</f>
        <v>0</v>
      </c>
      <c r="O162" s="106" t="str">
        <f aca="false">IF(OR(OR($B162="",$E162="",$F162=""),M162&lt;&gt;"نعم"),"",IF(YEAR(E162)=cfg_FY,MONTH(E162),""))</f>
        <v/>
      </c>
      <c r="P162" s="114" t="str">
        <f aca="false">IF(B162="","",IF(OR(D162="",E162="",F162=""),"⚠ أكمل النوع والتواريخ",IF(F162&lt;E162,"✖ النهاية قبل البداية",IF(COUNTIFS($B$6:$B$505,B162,$E$6:$E$505,"&lt;="&amp;F162,$F$6:$F$505,"&gt;="&amp;E162)&gt;1,"⚠ تداخل مع سجل آخر",IF(E162&gt;cfg_VAL_DATE,"⏳ قادمة",IF(F162&lt;cfg_VAL_DATE,"✔ منتهية","✈ جارية في تاريخ التقرير"))))))</f>
        <v/>
      </c>
      <c r="Q162" s="118"/>
      <c r="R162" s="65" t="n">
        <f aca="false">IF(OR(OR($B162="",$E162="",$F162=""),L162&lt;&gt;"لا"),0,MAX(0,MIN(F162,cfg_Y_START-1)-E162+1))</f>
        <v>0</v>
      </c>
      <c r="S162" s="65" t="n">
        <f aca="false">IF(OR(OR($B162="",$E162="",$F162=""),L162&lt;&gt;"لا"),0,MAX(0,MIN(F162,cfg_VAL_DATE)-E162+1))</f>
        <v>0</v>
      </c>
      <c r="T162" s="65" t="n">
        <f aca="false">IF(OR(OR($B162="",$E162="",$F162=""),K162&lt;&gt;"نعم"),0,IF(M162="نعم",IF(AND(ISNUMBER(O162),N(O162)&lt;=cfg_VAL_M),G162,0),MAX(0,MIN(F162,cfg_VAL_DATE)-MAX(E162,cfg_Y_START)+1)))</f>
        <v>0</v>
      </c>
      <c r="V162" s="65" t="n">
        <f aca="false">IF(OR($B162="",$E162="",$F162=""),0,MAX(0,MIN($F162,EOMONTH(DATE(cfg_FY,1,1),0))-MAX($E162,DATE(cfg_FY,1,1))+1)*(1-IF($M162="نعم",0,N($J162))))</f>
        <v>0</v>
      </c>
      <c r="W162" s="65" t="n">
        <f aca="false">IF(OR($B162="",$E162="",$F162=""),0,MAX(0,MIN($F162,EOMONTH(DATE(cfg_FY,2,1),0))-MAX($E162,DATE(cfg_FY,2,1))+1)*(1-IF($M162="نعم",0,N($J162))))</f>
        <v>0</v>
      </c>
      <c r="X162" s="65" t="n">
        <f aca="false">IF(OR($B162="",$E162="",$F162=""),0,MAX(0,MIN($F162,EOMONTH(DATE(cfg_FY,3,1),0))-MAX($E162,DATE(cfg_FY,3,1))+1)*(1-IF($M162="نعم",0,N($J162))))</f>
        <v>0</v>
      </c>
      <c r="Y162" s="65" t="n">
        <f aca="false">IF(OR($B162="",$E162="",$F162=""),0,MAX(0,MIN($F162,EOMONTH(DATE(cfg_FY,4,1),0))-MAX($E162,DATE(cfg_FY,4,1))+1)*(1-IF($M162="نعم",0,N($J162))))</f>
        <v>0</v>
      </c>
      <c r="Z162" s="65" t="n">
        <f aca="false">IF(OR($B162="",$E162="",$F162=""),0,MAX(0,MIN($F162,EOMONTH(DATE(cfg_FY,5,1),0))-MAX($E162,DATE(cfg_FY,5,1))+1)*(1-IF($M162="نعم",0,N($J162))))</f>
        <v>0</v>
      </c>
      <c r="AA162" s="65" t="n">
        <f aca="false">IF(OR($B162="",$E162="",$F162=""),0,MAX(0,MIN($F162,EOMONTH(DATE(cfg_FY,6,1),0))-MAX($E162,DATE(cfg_FY,6,1))+1)*(1-IF($M162="نعم",0,N($J162))))</f>
        <v>0</v>
      </c>
      <c r="AB162" s="65" t="n">
        <f aca="false">IF(OR($B162="",$E162="",$F162=""),0,MAX(0,MIN($F162,EOMONTH(DATE(cfg_FY,7,1),0))-MAX($E162,DATE(cfg_FY,7,1))+1)*(1-IF($M162="نعم",0,N($J162))))</f>
        <v>0</v>
      </c>
      <c r="AC162" s="65" t="n">
        <f aca="false">IF(OR($B162="",$E162="",$F162=""),0,MAX(0,MIN($F162,EOMONTH(DATE(cfg_FY,8,1),0))-MAX($E162,DATE(cfg_FY,8,1))+1)*(1-IF($M162="نعم",0,N($J162))))</f>
        <v>0</v>
      </c>
      <c r="AD162" s="65" t="n">
        <f aca="false">IF(OR($B162="",$E162="",$F162=""),0,MAX(0,MIN($F162,EOMONTH(DATE(cfg_FY,9,1),0))-MAX($E162,DATE(cfg_FY,9,1))+1)*(1-IF($M162="نعم",0,N($J162))))</f>
        <v>0</v>
      </c>
      <c r="AE162" s="65" t="n">
        <f aca="false">IF(OR($B162="",$E162="",$F162=""),0,MAX(0,MIN($F162,EOMONTH(DATE(cfg_FY,10,1),0))-MAX($E162,DATE(cfg_FY,10,1))+1)*(1-IF($M162="نعم",0,N($J162))))</f>
        <v>0</v>
      </c>
      <c r="AF162" s="65" t="n">
        <f aca="false">IF(OR($B162="",$E162="",$F162=""),0,MAX(0,MIN($F162,EOMONTH(DATE(cfg_FY,11,1),0))-MAX($E162,DATE(cfg_FY,11,1))+1)*(1-IF($M162="نعم",0,N($J162))))</f>
        <v>0</v>
      </c>
      <c r="AG162" s="65" t="n">
        <f aca="false">IF(OR($B162="",$E162="",$F162=""),0,MAX(0,MIN($F162,EOMONTH(DATE(cfg_FY,12,1),0))-MAX($E162,DATE(cfg_FY,12,1))+1)*(1-IF($M162="نعم",0,N($J162))))</f>
        <v>0</v>
      </c>
      <c r="AH162" s="65" t="n">
        <f aca="false">IF(OR(OR($B162="",$E162="",$F162=""),$L162&lt;&gt;"لا"),0,MAX(0,MIN($F162,EOMONTH(DATE(cfg_FY,1,1),0))-$E162+1))</f>
        <v>0</v>
      </c>
      <c r="AI162" s="65" t="n">
        <f aca="false">IF(OR(OR($B162="",$E162="",$F162=""),$L162&lt;&gt;"لا"),0,MAX(0,MIN($F162,EOMONTH(DATE(cfg_FY,2,1),0))-$E162+1))</f>
        <v>0</v>
      </c>
      <c r="AJ162" s="65" t="n">
        <f aca="false">IF(OR(OR($B162="",$E162="",$F162=""),$L162&lt;&gt;"لا"),0,MAX(0,MIN($F162,EOMONTH(DATE(cfg_FY,3,1),0))-$E162+1))</f>
        <v>0</v>
      </c>
      <c r="AK162" s="65" t="n">
        <f aca="false">IF(OR(OR($B162="",$E162="",$F162=""),$L162&lt;&gt;"لا"),0,MAX(0,MIN($F162,EOMONTH(DATE(cfg_FY,4,1),0))-$E162+1))</f>
        <v>0</v>
      </c>
      <c r="AL162" s="65" t="n">
        <f aca="false">IF(OR(OR($B162="",$E162="",$F162=""),$L162&lt;&gt;"لا"),0,MAX(0,MIN($F162,EOMONTH(DATE(cfg_FY,5,1),0))-$E162+1))</f>
        <v>0</v>
      </c>
      <c r="AM162" s="65" t="n">
        <f aca="false">IF(OR(OR($B162="",$E162="",$F162=""),$L162&lt;&gt;"لا"),0,MAX(0,MIN($F162,EOMONTH(DATE(cfg_FY,6,1),0))-$E162+1))</f>
        <v>0</v>
      </c>
      <c r="AN162" s="65" t="n">
        <f aca="false">IF(OR(OR($B162="",$E162="",$F162=""),$L162&lt;&gt;"لا"),0,MAX(0,MIN($F162,EOMONTH(DATE(cfg_FY,7,1),0))-$E162+1))</f>
        <v>0</v>
      </c>
      <c r="AO162" s="65" t="n">
        <f aca="false">IF(OR(OR($B162="",$E162="",$F162=""),$L162&lt;&gt;"لا"),0,MAX(0,MIN($F162,EOMONTH(DATE(cfg_FY,8,1),0))-$E162+1))</f>
        <v>0</v>
      </c>
      <c r="AP162" s="65" t="n">
        <f aca="false">IF(OR(OR($B162="",$E162="",$F162=""),$L162&lt;&gt;"لا"),0,MAX(0,MIN($F162,EOMONTH(DATE(cfg_FY,9,1),0))-$E162+1))</f>
        <v>0</v>
      </c>
      <c r="AQ162" s="65" t="n">
        <f aca="false">IF(OR(OR($B162="",$E162="",$F162=""),$L162&lt;&gt;"لا"),0,MAX(0,MIN($F162,EOMONTH(DATE(cfg_FY,10,1),0))-$E162+1))</f>
        <v>0</v>
      </c>
      <c r="AR162" s="65" t="n">
        <f aca="false">IF(OR(OR($B162="",$E162="",$F162=""),$L162&lt;&gt;"لا"),0,MAX(0,MIN($F162,EOMONTH(DATE(cfg_FY,11,1),0))-$E162+1))</f>
        <v>0</v>
      </c>
      <c r="AS162" s="65" t="n">
        <f aca="false">IF(OR(OR($B162="",$E162="",$F162=""),$L162&lt;&gt;"لا"),0,MAX(0,MIN($F162,EOMONTH(DATE(cfg_FY,12,1),0))-$E162+1))</f>
        <v>0</v>
      </c>
      <c r="AT162" s="65" t="n">
        <f aca="false">IF(OR(OR($B162="",$E162="",$F162=""),$K162&lt;&gt;"نعم",$M162="نعم"),0,MAX(0,MIN($F162,EOMONTH(DATE(cfg_FY,1,1),0))-MAX($E162,DATE(cfg_FY,1,1))+1))</f>
        <v>0</v>
      </c>
      <c r="AU162" s="65" t="n">
        <f aca="false">IF(OR(OR($B162="",$E162="",$F162=""),$K162&lt;&gt;"نعم",$M162="نعم"),0,MAX(0,MIN($F162,EOMONTH(DATE(cfg_FY,2,1),0))-MAX($E162,DATE(cfg_FY,2,1))+1))</f>
        <v>0</v>
      </c>
      <c r="AV162" s="65" t="n">
        <f aca="false">IF(OR(OR($B162="",$E162="",$F162=""),$K162&lt;&gt;"نعم",$M162="نعم"),0,MAX(0,MIN($F162,EOMONTH(DATE(cfg_FY,3,1),0))-MAX($E162,DATE(cfg_FY,3,1))+1))</f>
        <v>0</v>
      </c>
      <c r="AW162" s="65" t="n">
        <f aca="false">IF(OR(OR($B162="",$E162="",$F162=""),$K162&lt;&gt;"نعم",$M162="نعم"),0,MAX(0,MIN($F162,EOMONTH(DATE(cfg_FY,4,1),0))-MAX($E162,DATE(cfg_FY,4,1))+1))</f>
        <v>0</v>
      </c>
      <c r="AX162" s="65" t="n">
        <f aca="false">IF(OR(OR($B162="",$E162="",$F162=""),$K162&lt;&gt;"نعم",$M162="نعم"),0,MAX(0,MIN($F162,EOMONTH(DATE(cfg_FY,5,1),0))-MAX($E162,DATE(cfg_FY,5,1))+1))</f>
        <v>0</v>
      </c>
      <c r="AY162" s="65" t="n">
        <f aca="false">IF(OR(OR($B162="",$E162="",$F162=""),$K162&lt;&gt;"نعم",$M162="نعم"),0,MAX(0,MIN($F162,EOMONTH(DATE(cfg_FY,6,1),0))-MAX($E162,DATE(cfg_FY,6,1))+1))</f>
        <v>0</v>
      </c>
      <c r="AZ162" s="65" t="n">
        <f aca="false">IF(OR(OR($B162="",$E162="",$F162=""),$K162&lt;&gt;"نعم",$M162="نعم"),0,MAX(0,MIN($F162,EOMONTH(DATE(cfg_FY,7,1),0))-MAX($E162,DATE(cfg_FY,7,1))+1))</f>
        <v>0</v>
      </c>
      <c r="BA162" s="65" t="n">
        <f aca="false">IF(OR(OR($B162="",$E162="",$F162=""),$K162&lt;&gt;"نعم",$M162="نعم"),0,MAX(0,MIN($F162,EOMONTH(DATE(cfg_FY,8,1),0))-MAX($E162,DATE(cfg_FY,8,1))+1))</f>
        <v>0</v>
      </c>
      <c r="BB162" s="65" t="n">
        <f aca="false">IF(OR(OR($B162="",$E162="",$F162=""),$K162&lt;&gt;"نعم",$M162="نعم"),0,MAX(0,MIN($F162,EOMONTH(DATE(cfg_FY,9,1),0))-MAX($E162,DATE(cfg_FY,9,1))+1))</f>
        <v>0</v>
      </c>
      <c r="BC162" s="65" t="n">
        <f aca="false">IF(OR(OR($B162="",$E162="",$F162=""),$K162&lt;&gt;"نعم",$M162="نعم"),0,MAX(0,MIN($F162,EOMONTH(DATE(cfg_FY,10,1),0))-MAX($E162,DATE(cfg_FY,10,1))+1))</f>
        <v>0</v>
      </c>
      <c r="BD162" s="65" t="n">
        <f aca="false">IF(OR(OR($B162="",$E162="",$F162=""),$K162&lt;&gt;"نعم",$M162="نعم"),0,MAX(0,MIN($F162,EOMONTH(DATE(cfg_FY,11,1),0))-MAX($E162,DATE(cfg_FY,11,1))+1))</f>
        <v>0</v>
      </c>
      <c r="BE162" s="65" t="n">
        <f aca="false">IF(OR(OR($B162="",$E162="",$F162=""),$K162&lt;&gt;"نعم",$M162="نعم"),0,MAX(0,MIN($F162,EOMONTH(DATE(cfg_FY,12,1),0))-MAX($E162,DATE(cfg_FY,12,1))+1))</f>
        <v>0</v>
      </c>
    </row>
    <row r="163" customFormat="false" ht="15" hidden="false" customHeight="false" outlineLevel="0" collapsed="false">
      <c r="A163" s="115" t="str">
        <f aca="false">IF(B163="","",ROW()-5)</f>
        <v/>
      </c>
      <c r="B163" s="118"/>
      <c r="C163" s="117" t="str">
        <f aca="false">IF(B163="","",IFERROR(INDEX(الموظفون!$C$6:$C$105,MATCH(B163,الموظفون!$B$6:$B$105,0)),"✖ رقم غير موجود"))</f>
        <v/>
      </c>
      <c r="D163" s="118"/>
      <c r="E163" s="119"/>
      <c r="F163" s="119"/>
      <c r="G163" s="133" t="str">
        <f aca="false">IF(OR($B163="",$E163="",$F163=""),"",MAX(0,F163-E163+1))</f>
        <v/>
      </c>
      <c r="H163" s="134" t="str">
        <f aca="false">IF(D163="","",IFERROR(VLOOKUP(D163,cfg_LT,2,FALSE()),1))</f>
        <v/>
      </c>
      <c r="I163" s="135"/>
      <c r="J163" s="134" t="str">
        <f aca="false">IF(D163="","",IF(I163&lt;&gt;"",I163,H163))</f>
        <v/>
      </c>
      <c r="K163" s="117" t="str">
        <f aca="false">IF(D163="","",IFERROR(VLOOKUP($D163,cfg_LT,3,FALSE()),""))</f>
        <v/>
      </c>
      <c r="L163" s="117" t="str">
        <f aca="false">IF(D163="","",IFERROR(VLOOKUP($D163,cfg_LT,4,FALSE()),""))</f>
        <v/>
      </c>
      <c r="M163" s="117" t="str">
        <f aca="false">IF(D163="","",IFERROR(VLOOKUP($D163,cfg_LT,5,FALSE()),""))</f>
        <v/>
      </c>
      <c r="N163" s="116" t="n">
        <f aca="false">IF(OR(OR($B163="",$E163="",$F163=""),M163&lt;&gt;"نعم"),0,G163*J163*IFERROR(INDEX(الموظفون!$R$6:$R$105,MATCH(B163,الموظفون!$B$6:$B$105,0)),0)/cfg_DAYS_M)</f>
        <v>0</v>
      </c>
      <c r="O163" s="115" t="str">
        <f aca="false">IF(OR(OR($B163="",$E163="",$F163=""),M163&lt;&gt;"نعم"),"",IF(YEAR(E163)=cfg_FY,MONTH(E163),""))</f>
        <v/>
      </c>
      <c r="P163" s="117" t="str">
        <f aca="false">IF(B163="","",IF(OR(D163="",E163="",F163=""),"⚠ أكمل النوع والتواريخ",IF(F163&lt;E163,"✖ النهاية قبل البداية",IF(COUNTIFS($B$6:$B$505,B163,$E$6:$E$505,"&lt;="&amp;F163,$F$6:$F$505,"&gt;="&amp;E163)&gt;1,"⚠ تداخل مع سجل آخر",IF(E163&gt;cfg_VAL_DATE,"⏳ قادمة",IF(F163&lt;cfg_VAL_DATE,"✔ منتهية","✈ جارية في تاريخ التقرير"))))))</f>
        <v/>
      </c>
      <c r="Q163" s="118"/>
      <c r="R163" s="133" t="n">
        <f aca="false">IF(OR(OR($B163="",$E163="",$F163=""),L163&lt;&gt;"لا"),0,MAX(0,MIN(F163,cfg_Y_START-1)-E163+1))</f>
        <v>0</v>
      </c>
      <c r="S163" s="133" t="n">
        <f aca="false">IF(OR(OR($B163="",$E163="",$F163=""),L163&lt;&gt;"لا"),0,MAX(0,MIN(F163,cfg_VAL_DATE)-E163+1))</f>
        <v>0</v>
      </c>
      <c r="T163" s="133" t="n">
        <f aca="false">IF(OR(OR($B163="",$E163="",$F163=""),K163&lt;&gt;"نعم"),0,IF(M163="نعم",IF(AND(ISNUMBER(O163),N(O163)&lt;=cfg_VAL_M),G163,0),MAX(0,MIN(F163,cfg_VAL_DATE)-MAX(E163,cfg_Y_START)+1)))</f>
        <v>0</v>
      </c>
      <c r="V163" s="133" t="n">
        <f aca="false">IF(OR($B163="",$E163="",$F163=""),0,MAX(0,MIN($F163,EOMONTH(DATE(cfg_FY,1,1),0))-MAX($E163,DATE(cfg_FY,1,1))+1)*(1-IF($M163="نعم",0,N($J163))))</f>
        <v>0</v>
      </c>
      <c r="W163" s="133" t="n">
        <f aca="false">IF(OR($B163="",$E163="",$F163=""),0,MAX(0,MIN($F163,EOMONTH(DATE(cfg_FY,2,1),0))-MAX($E163,DATE(cfg_FY,2,1))+1)*(1-IF($M163="نعم",0,N($J163))))</f>
        <v>0</v>
      </c>
      <c r="X163" s="133" t="n">
        <f aca="false">IF(OR($B163="",$E163="",$F163=""),0,MAX(0,MIN($F163,EOMONTH(DATE(cfg_FY,3,1),0))-MAX($E163,DATE(cfg_FY,3,1))+1)*(1-IF($M163="نعم",0,N($J163))))</f>
        <v>0</v>
      </c>
      <c r="Y163" s="133" t="n">
        <f aca="false">IF(OR($B163="",$E163="",$F163=""),0,MAX(0,MIN($F163,EOMONTH(DATE(cfg_FY,4,1),0))-MAX($E163,DATE(cfg_FY,4,1))+1)*(1-IF($M163="نعم",0,N($J163))))</f>
        <v>0</v>
      </c>
      <c r="Z163" s="133" t="n">
        <f aca="false">IF(OR($B163="",$E163="",$F163=""),0,MAX(0,MIN($F163,EOMONTH(DATE(cfg_FY,5,1),0))-MAX($E163,DATE(cfg_FY,5,1))+1)*(1-IF($M163="نعم",0,N($J163))))</f>
        <v>0</v>
      </c>
      <c r="AA163" s="133" t="n">
        <f aca="false">IF(OR($B163="",$E163="",$F163=""),0,MAX(0,MIN($F163,EOMONTH(DATE(cfg_FY,6,1),0))-MAX($E163,DATE(cfg_FY,6,1))+1)*(1-IF($M163="نعم",0,N($J163))))</f>
        <v>0</v>
      </c>
      <c r="AB163" s="133" t="n">
        <f aca="false">IF(OR($B163="",$E163="",$F163=""),0,MAX(0,MIN($F163,EOMONTH(DATE(cfg_FY,7,1),0))-MAX($E163,DATE(cfg_FY,7,1))+1)*(1-IF($M163="نعم",0,N($J163))))</f>
        <v>0</v>
      </c>
      <c r="AC163" s="133" t="n">
        <f aca="false">IF(OR($B163="",$E163="",$F163=""),0,MAX(0,MIN($F163,EOMONTH(DATE(cfg_FY,8,1),0))-MAX($E163,DATE(cfg_FY,8,1))+1)*(1-IF($M163="نعم",0,N($J163))))</f>
        <v>0</v>
      </c>
      <c r="AD163" s="133" t="n">
        <f aca="false">IF(OR($B163="",$E163="",$F163=""),0,MAX(0,MIN($F163,EOMONTH(DATE(cfg_FY,9,1),0))-MAX($E163,DATE(cfg_FY,9,1))+1)*(1-IF($M163="نعم",0,N($J163))))</f>
        <v>0</v>
      </c>
      <c r="AE163" s="133" t="n">
        <f aca="false">IF(OR($B163="",$E163="",$F163=""),0,MAX(0,MIN($F163,EOMONTH(DATE(cfg_FY,10,1),0))-MAX($E163,DATE(cfg_FY,10,1))+1)*(1-IF($M163="نعم",0,N($J163))))</f>
        <v>0</v>
      </c>
      <c r="AF163" s="133" t="n">
        <f aca="false">IF(OR($B163="",$E163="",$F163=""),0,MAX(0,MIN($F163,EOMONTH(DATE(cfg_FY,11,1),0))-MAX($E163,DATE(cfg_FY,11,1))+1)*(1-IF($M163="نعم",0,N($J163))))</f>
        <v>0</v>
      </c>
      <c r="AG163" s="133" t="n">
        <f aca="false">IF(OR($B163="",$E163="",$F163=""),0,MAX(0,MIN($F163,EOMONTH(DATE(cfg_FY,12,1),0))-MAX($E163,DATE(cfg_FY,12,1))+1)*(1-IF($M163="نعم",0,N($J163))))</f>
        <v>0</v>
      </c>
      <c r="AH163" s="133" t="n">
        <f aca="false">IF(OR(OR($B163="",$E163="",$F163=""),$L163&lt;&gt;"لا"),0,MAX(0,MIN($F163,EOMONTH(DATE(cfg_FY,1,1),0))-$E163+1))</f>
        <v>0</v>
      </c>
      <c r="AI163" s="133" t="n">
        <f aca="false">IF(OR(OR($B163="",$E163="",$F163=""),$L163&lt;&gt;"لا"),0,MAX(0,MIN($F163,EOMONTH(DATE(cfg_FY,2,1),0))-$E163+1))</f>
        <v>0</v>
      </c>
      <c r="AJ163" s="133" t="n">
        <f aca="false">IF(OR(OR($B163="",$E163="",$F163=""),$L163&lt;&gt;"لا"),0,MAX(0,MIN($F163,EOMONTH(DATE(cfg_FY,3,1),0))-$E163+1))</f>
        <v>0</v>
      </c>
      <c r="AK163" s="133" t="n">
        <f aca="false">IF(OR(OR($B163="",$E163="",$F163=""),$L163&lt;&gt;"لا"),0,MAX(0,MIN($F163,EOMONTH(DATE(cfg_FY,4,1),0))-$E163+1))</f>
        <v>0</v>
      </c>
      <c r="AL163" s="133" t="n">
        <f aca="false">IF(OR(OR($B163="",$E163="",$F163=""),$L163&lt;&gt;"لا"),0,MAX(0,MIN($F163,EOMONTH(DATE(cfg_FY,5,1),0))-$E163+1))</f>
        <v>0</v>
      </c>
      <c r="AM163" s="133" t="n">
        <f aca="false">IF(OR(OR($B163="",$E163="",$F163=""),$L163&lt;&gt;"لا"),0,MAX(0,MIN($F163,EOMONTH(DATE(cfg_FY,6,1),0))-$E163+1))</f>
        <v>0</v>
      </c>
      <c r="AN163" s="133" t="n">
        <f aca="false">IF(OR(OR($B163="",$E163="",$F163=""),$L163&lt;&gt;"لا"),0,MAX(0,MIN($F163,EOMONTH(DATE(cfg_FY,7,1),0))-$E163+1))</f>
        <v>0</v>
      </c>
      <c r="AO163" s="133" t="n">
        <f aca="false">IF(OR(OR($B163="",$E163="",$F163=""),$L163&lt;&gt;"لا"),0,MAX(0,MIN($F163,EOMONTH(DATE(cfg_FY,8,1),0))-$E163+1))</f>
        <v>0</v>
      </c>
      <c r="AP163" s="133" t="n">
        <f aca="false">IF(OR(OR($B163="",$E163="",$F163=""),$L163&lt;&gt;"لا"),0,MAX(0,MIN($F163,EOMONTH(DATE(cfg_FY,9,1),0))-$E163+1))</f>
        <v>0</v>
      </c>
      <c r="AQ163" s="133" t="n">
        <f aca="false">IF(OR(OR($B163="",$E163="",$F163=""),$L163&lt;&gt;"لا"),0,MAX(0,MIN($F163,EOMONTH(DATE(cfg_FY,10,1),0))-$E163+1))</f>
        <v>0</v>
      </c>
      <c r="AR163" s="133" t="n">
        <f aca="false">IF(OR(OR($B163="",$E163="",$F163=""),$L163&lt;&gt;"لا"),0,MAX(0,MIN($F163,EOMONTH(DATE(cfg_FY,11,1),0))-$E163+1))</f>
        <v>0</v>
      </c>
      <c r="AS163" s="133" t="n">
        <f aca="false">IF(OR(OR($B163="",$E163="",$F163=""),$L163&lt;&gt;"لا"),0,MAX(0,MIN($F163,EOMONTH(DATE(cfg_FY,12,1),0))-$E163+1))</f>
        <v>0</v>
      </c>
      <c r="AT163" s="133" t="n">
        <f aca="false">IF(OR(OR($B163="",$E163="",$F163=""),$K163&lt;&gt;"نعم",$M163="نعم"),0,MAX(0,MIN($F163,EOMONTH(DATE(cfg_FY,1,1),0))-MAX($E163,DATE(cfg_FY,1,1))+1))</f>
        <v>0</v>
      </c>
      <c r="AU163" s="133" t="n">
        <f aca="false">IF(OR(OR($B163="",$E163="",$F163=""),$K163&lt;&gt;"نعم",$M163="نعم"),0,MAX(0,MIN($F163,EOMONTH(DATE(cfg_FY,2,1),0))-MAX($E163,DATE(cfg_FY,2,1))+1))</f>
        <v>0</v>
      </c>
      <c r="AV163" s="133" t="n">
        <f aca="false">IF(OR(OR($B163="",$E163="",$F163=""),$K163&lt;&gt;"نعم",$M163="نعم"),0,MAX(0,MIN($F163,EOMONTH(DATE(cfg_FY,3,1),0))-MAX($E163,DATE(cfg_FY,3,1))+1))</f>
        <v>0</v>
      </c>
      <c r="AW163" s="133" t="n">
        <f aca="false">IF(OR(OR($B163="",$E163="",$F163=""),$K163&lt;&gt;"نعم",$M163="نعم"),0,MAX(0,MIN($F163,EOMONTH(DATE(cfg_FY,4,1),0))-MAX($E163,DATE(cfg_FY,4,1))+1))</f>
        <v>0</v>
      </c>
      <c r="AX163" s="133" t="n">
        <f aca="false">IF(OR(OR($B163="",$E163="",$F163=""),$K163&lt;&gt;"نعم",$M163="نعم"),0,MAX(0,MIN($F163,EOMONTH(DATE(cfg_FY,5,1),0))-MAX($E163,DATE(cfg_FY,5,1))+1))</f>
        <v>0</v>
      </c>
      <c r="AY163" s="133" t="n">
        <f aca="false">IF(OR(OR($B163="",$E163="",$F163=""),$K163&lt;&gt;"نعم",$M163="نعم"),0,MAX(0,MIN($F163,EOMONTH(DATE(cfg_FY,6,1),0))-MAX($E163,DATE(cfg_FY,6,1))+1))</f>
        <v>0</v>
      </c>
      <c r="AZ163" s="133" t="n">
        <f aca="false">IF(OR(OR($B163="",$E163="",$F163=""),$K163&lt;&gt;"نعم",$M163="نعم"),0,MAX(0,MIN($F163,EOMONTH(DATE(cfg_FY,7,1),0))-MAX($E163,DATE(cfg_FY,7,1))+1))</f>
        <v>0</v>
      </c>
      <c r="BA163" s="133" t="n">
        <f aca="false">IF(OR(OR($B163="",$E163="",$F163=""),$K163&lt;&gt;"نعم",$M163="نعم"),0,MAX(0,MIN($F163,EOMONTH(DATE(cfg_FY,8,1),0))-MAX($E163,DATE(cfg_FY,8,1))+1))</f>
        <v>0</v>
      </c>
      <c r="BB163" s="133" t="n">
        <f aca="false">IF(OR(OR($B163="",$E163="",$F163=""),$K163&lt;&gt;"نعم",$M163="نعم"),0,MAX(0,MIN($F163,EOMONTH(DATE(cfg_FY,9,1),0))-MAX($E163,DATE(cfg_FY,9,1))+1))</f>
        <v>0</v>
      </c>
      <c r="BC163" s="133" t="n">
        <f aca="false">IF(OR(OR($B163="",$E163="",$F163=""),$K163&lt;&gt;"نعم",$M163="نعم"),0,MAX(0,MIN($F163,EOMONTH(DATE(cfg_FY,10,1),0))-MAX($E163,DATE(cfg_FY,10,1))+1))</f>
        <v>0</v>
      </c>
      <c r="BD163" s="133" t="n">
        <f aca="false">IF(OR(OR($B163="",$E163="",$F163=""),$K163&lt;&gt;"نعم",$M163="نعم"),0,MAX(0,MIN($F163,EOMONTH(DATE(cfg_FY,11,1),0))-MAX($E163,DATE(cfg_FY,11,1))+1))</f>
        <v>0</v>
      </c>
      <c r="BE163" s="133" t="n">
        <f aca="false">IF(OR(OR($B163="",$E163="",$F163=""),$K163&lt;&gt;"نعم",$M163="نعم"),0,MAX(0,MIN($F163,EOMONTH(DATE(cfg_FY,12,1),0))-MAX($E163,DATE(cfg_FY,12,1))+1))</f>
        <v>0</v>
      </c>
    </row>
    <row r="164" customFormat="false" ht="15" hidden="false" customHeight="false" outlineLevel="0" collapsed="false">
      <c r="A164" s="106" t="str">
        <f aca="false">IF(B164="","",ROW()-5)</f>
        <v/>
      </c>
      <c r="B164" s="118"/>
      <c r="C164" s="114" t="str">
        <f aca="false">IF(B164="","",IFERROR(INDEX(الموظفون!$C$6:$C$105,MATCH(B164,الموظفون!$B$6:$B$105,0)),"✖ رقم غير موجود"))</f>
        <v/>
      </c>
      <c r="D164" s="118"/>
      <c r="E164" s="119"/>
      <c r="F164" s="119"/>
      <c r="G164" s="65" t="str">
        <f aca="false">IF(OR($B164="",$E164="",$F164=""),"",MAX(0,F164-E164+1))</f>
        <v/>
      </c>
      <c r="H164" s="66" t="str">
        <f aca="false">IF(D164="","",IFERROR(VLOOKUP(D164,cfg_LT,2,FALSE()),1))</f>
        <v/>
      </c>
      <c r="I164" s="135"/>
      <c r="J164" s="66" t="str">
        <f aca="false">IF(D164="","",IF(I164&lt;&gt;"",I164,H164))</f>
        <v/>
      </c>
      <c r="K164" s="114" t="str">
        <f aca="false">IF(D164="","",IFERROR(VLOOKUP($D164,cfg_LT,3,FALSE()),""))</f>
        <v/>
      </c>
      <c r="L164" s="114" t="str">
        <f aca="false">IF(D164="","",IFERROR(VLOOKUP($D164,cfg_LT,4,FALSE()),""))</f>
        <v/>
      </c>
      <c r="M164" s="114" t="str">
        <f aca="false">IF(D164="","",IFERROR(VLOOKUP($D164,cfg_LT,5,FALSE()),""))</f>
        <v/>
      </c>
      <c r="N164" s="111" t="n">
        <f aca="false">IF(OR(OR($B164="",$E164="",$F164=""),M164&lt;&gt;"نعم"),0,G164*J164*IFERROR(INDEX(الموظفون!$R$6:$R$105,MATCH(B164,الموظفون!$B$6:$B$105,0)),0)/cfg_DAYS_M)</f>
        <v>0</v>
      </c>
      <c r="O164" s="106" t="str">
        <f aca="false">IF(OR(OR($B164="",$E164="",$F164=""),M164&lt;&gt;"نعم"),"",IF(YEAR(E164)=cfg_FY,MONTH(E164),""))</f>
        <v/>
      </c>
      <c r="P164" s="114" t="str">
        <f aca="false">IF(B164="","",IF(OR(D164="",E164="",F164=""),"⚠ أكمل النوع والتواريخ",IF(F164&lt;E164,"✖ النهاية قبل البداية",IF(COUNTIFS($B$6:$B$505,B164,$E$6:$E$505,"&lt;="&amp;F164,$F$6:$F$505,"&gt;="&amp;E164)&gt;1,"⚠ تداخل مع سجل آخر",IF(E164&gt;cfg_VAL_DATE,"⏳ قادمة",IF(F164&lt;cfg_VAL_DATE,"✔ منتهية","✈ جارية في تاريخ التقرير"))))))</f>
        <v/>
      </c>
      <c r="Q164" s="118"/>
      <c r="R164" s="65" t="n">
        <f aca="false">IF(OR(OR($B164="",$E164="",$F164=""),L164&lt;&gt;"لا"),0,MAX(0,MIN(F164,cfg_Y_START-1)-E164+1))</f>
        <v>0</v>
      </c>
      <c r="S164" s="65" t="n">
        <f aca="false">IF(OR(OR($B164="",$E164="",$F164=""),L164&lt;&gt;"لا"),0,MAX(0,MIN(F164,cfg_VAL_DATE)-E164+1))</f>
        <v>0</v>
      </c>
      <c r="T164" s="65" t="n">
        <f aca="false">IF(OR(OR($B164="",$E164="",$F164=""),K164&lt;&gt;"نعم"),0,IF(M164="نعم",IF(AND(ISNUMBER(O164),N(O164)&lt;=cfg_VAL_M),G164,0),MAX(0,MIN(F164,cfg_VAL_DATE)-MAX(E164,cfg_Y_START)+1)))</f>
        <v>0</v>
      </c>
      <c r="V164" s="65" t="n">
        <f aca="false">IF(OR($B164="",$E164="",$F164=""),0,MAX(0,MIN($F164,EOMONTH(DATE(cfg_FY,1,1),0))-MAX($E164,DATE(cfg_FY,1,1))+1)*(1-IF($M164="نعم",0,N($J164))))</f>
        <v>0</v>
      </c>
      <c r="W164" s="65" t="n">
        <f aca="false">IF(OR($B164="",$E164="",$F164=""),0,MAX(0,MIN($F164,EOMONTH(DATE(cfg_FY,2,1),0))-MAX($E164,DATE(cfg_FY,2,1))+1)*(1-IF($M164="نعم",0,N($J164))))</f>
        <v>0</v>
      </c>
      <c r="X164" s="65" t="n">
        <f aca="false">IF(OR($B164="",$E164="",$F164=""),0,MAX(0,MIN($F164,EOMONTH(DATE(cfg_FY,3,1),0))-MAX($E164,DATE(cfg_FY,3,1))+1)*(1-IF($M164="نعم",0,N($J164))))</f>
        <v>0</v>
      </c>
      <c r="Y164" s="65" t="n">
        <f aca="false">IF(OR($B164="",$E164="",$F164=""),0,MAX(0,MIN($F164,EOMONTH(DATE(cfg_FY,4,1),0))-MAX($E164,DATE(cfg_FY,4,1))+1)*(1-IF($M164="نعم",0,N($J164))))</f>
        <v>0</v>
      </c>
      <c r="Z164" s="65" t="n">
        <f aca="false">IF(OR($B164="",$E164="",$F164=""),0,MAX(0,MIN($F164,EOMONTH(DATE(cfg_FY,5,1),0))-MAX($E164,DATE(cfg_FY,5,1))+1)*(1-IF($M164="نعم",0,N($J164))))</f>
        <v>0</v>
      </c>
      <c r="AA164" s="65" t="n">
        <f aca="false">IF(OR($B164="",$E164="",$F164=""),0,MAX(0,MIN($F164,EOMONTH(DATE(cfg_FY,6,1),0))-MAX($E164,DATE(cfg_FY,6,1))+1)*(1-IF($M164="نعم",0,N($J164))))</f>
        <v>0</v>
      </c>
      <c r="AB164" s="65" t="n">
        <f aca="false">IF(OR($B164="",$E164="",$F164=""),0,MAX(0,MIN($F164,EOMONTH(DATE(cfg_FY,7,1),0))-MAX($E164,DATE(cfg_FY,7,1))+1)*(1-IF($M164="نعم",0,N($J164))))</f>
        <v>0</v>
      </c>
      <c r="AC164" s="65" t="n">
        <f aca="false">IF(OR($B164="",$E164="",$F164=""),0,MAX(0,MIN($F164,EOMONTH(DATE(cfg_FY,8,1),0))-MAX($E164,DATE(cfg_FY,8,1))+1)*(1-IF($M164="نعم",0,N($J164))))</f>
        <v>0</v>
      </c>
      <c r="AD164" s="65" t="n">
        <f aca="false">IF(OR($B164="",$E164="",$F164=""),0,MAX(0,MIN($F164,EOMONTH(DATE(cfg_FY,9,1),0))-MAX($E164,DATE(cfg_FY,9,1))+1)*(1-IF($M164="نعم",0,N($J164))))</f>
        <v>0</v>
      </c>
      <c r="AE164" s="65" t="n">
        <f aca="false">IF(OR($B164="",$E164="",$F164=""),0,MAX(0,MIN($F164,EOMONTH(DATE(cfg_FY,10,1),0))-MAX($E164,DATE(cfg_FY,10,1))+1)*(1-IF($M164="نعم",0,N($J164))))</f>
        <v>0</v>
      </c>
      <c r="AF164" s="65" t="n">
        <f aca="false">IF(OR($B164="",$E164="",$F164=""),0,MAX(0,MIN($F164,EOMONTH(DATE(cfg_FY,11,1),0))-MAX($E164,DATE(cfg_FY,11,1))+1)*(1-IF($M164="نعم",0,N($J164))))</f>
        <v>0</v>
      </c>
      <c r="AG164" s="65" t="n">
        <f aca="false">IF(OR($B164="",$E164="",$F164=""),0,MAX(0,MIN($F164,EOMONTH(DATE(cfg_FY,12,1),0))-MAX($E164,DATE(cfg_FY,12,1))+1)*(1-IF($M164="نعم",0,N($J164))))</f>
        <v>0</v>
      </c>
      <c r="AH164" s="65" t="n">
        <f aca="false">IF(OR(OR($B164="",$E164="",$F164=""),$L164&lt;&gt;"لا"),0,MAX(0,MIN($F164,EOMONTH(DATE(cfg_FY,1,1),0))-$E164+1))</f>
        <v>0</v>
      </c>
      <c r="AI164" s="65" t="n">
        <f aca="false">IF(OR(OR($B164="",$E164="",$F164=""),$L164&lt;&gt;"لا"),0,MAX(0,MIN($F164,EOMONTH(DATE(cfg_FY,2,1),0))-$E164+1))</f>
        <v>0</v>
      </c>
      <c r="AJ164" s="65" t="n">
        <f aca="false">IF(OR(OR($B164="",$E164="",$F164=""),$L164&lt;&gt;"لا"),0,MAX(0,MIN($F164,EOMONTH(DATE(cfg_FY,3,1),0))-$E164+1))</f>
        <v>0</v>
      </c>
      <c r="AK164" s="65" t="n">
        <f aca="false">IF(OR(OR($B164="",$E164="",$F164=""),$L164&lt;&gt;"لا"),0,MAX(0,MIN($F164,EOMONTH(DATE(cfg_FY,4,1),0))-$E164+1))</f>
        <v>0</v>
      </c>
      <c r="AL164" s="65" t="n">
        <f aca="false">IF(OR(OR($B164="",$E164="",$F164=""),$L164&lt;&gt;"لا"),0,MAX(0,MIN($F164,EOMONTH(DATE(cfg_FY,5,1),0))-$E164+1))</f>
        <v>0</v>
      </c>
      <c r="AM164" s="65" t="n">
        <f aca="false">IF(OR(OR($B164="",$E164="",$F164=""),$L164&lt;&gt;"لا"),0,MAX(0,MIN($F164,EOMONTH(DATE(cfg_FY,6,1),0))-$E164+1))</f>
        <v>0</v>
      </c>
      <c r="AN164" s="65" t="n">
        <f aca="false">IF(OR(OR($B164="",$E164="",$F164=""),$L164&lt;&gt;"لا"),0,MAX(0,MIN($F164,EOMONTH(DATE(cfg_FY,7,1),0))-$E164+1))</f>
        <v>0</v>
      </c>
      <c r="AO164" s="65" t="n">
        <f aca="false">IF(OR(OR($B164="",$E164="",$F164=""),$L164&lt;&gt;"لا"),0,MAX(0,MIN($F164,EOMONTH(DATE(cfg_FY,8,1),0))-$E164+1))</f>
        <v>0</v>
      </c>
      <c r="AP164" s="65" t="n">
        <f aca="false">IF(OR(OR($B164="",$E164="",$F164=""),$L164&lt;&gt;"لا"),0,MAX(0,MIN($F164,EOMONTH(DATE(cfg_FY,9,1),0))-$E164+1))</f>
        <v>0</v>
      </c>
      <c r="AQ164" s="65" t="n">
        <f aca="false">IF(OR(OR($B164="",$E164="",$F164=""),$L164&lt;&gt;"لا"),0,MAX(0,MIN($F164,EOMONTH(DATE(cfg_FY,10,1),0))-$E164+1))</f>
        <v>0</v>
      </c>
      <c r="AR164" s="65" t="n">
        <f aca="false">IF(OR(OR($B164="",$E164="",$F164=""),$L164&lt;&gt;"لا"),0,MAX(0,MIN($F164,EOMONTH(DATE(cfg_FY,11,1),0))-$E164+1))</f>
        <v>0</v>
      </c>
      <c r="AS164" s="65" t="n">
        <f aca="false">IF(OR(OR($B164="",$E164="",$F164=""),$L164&lt;&gt;"لا"),0,MAX(0,MIN($F164,EOMONTH(DATE(cfg_FY,12,1),0))-$E164+1))</f>
        <v>0</v>
      </c>
      <c r="AT164" s="65" t="n">
        <f aca="false">IF(OR(OR($B164="",$E164="",$F164=""),$K164&lt;&gt;"نعم",$M164="نعم"),0,MAX(0,MIN($F164,EOMONTH(DATE(cfg_FY,1,1),0))-MAX($E164,DATE(cfg_FY,1,1))+1))</f>
        <v>0</v>
      </c>
      <c r="AU164" s="65" t="n">
        <f aca="false">IF(OR(OR($B164="",$E164="",$F164=""),$K164&lt;&gt;"نعم",$M164="نعم"),0,MAX(0,MIN($F164,EOMONTH(DATE(cfg_FY,2,1),0))-MAX($E164,DATE(cfg_FY,2,1))+1))</f>
        <v>0</v>
      </c>
      <c r="AV164" s="65" t="n">
        <f aca="false">IF(OR(OR($B164="",$E164="",$F164=""),$K164&lt;&gt;"نعم",$M164="نعم"),0,MAX(0,MIN($F164,EOMONTH(DATE(cfg_FY,3,1),0))-MAX($E164,DATE(cfg_FY,3,1))+1))</f>
        <v>0</v>
      </c>
      <c r="AW164" s="65" t="n">
        <f aca="false">IF(OR(OR($B164="",$E164="",$F164=""),$K164&lt;&gt;"نعم",$M164="نعم"),0,MAX(0,MIN($F164,EOMONTH(DATE(cfg_FY,4,1),0))-MAX($E164,DATE(cfg_FY,4,1))+1))</f>
        <v>0</v>
      </c>
      <c r="AX164" s="65" t="n">
        <f aca="false">IF(OR(OR($B164="",$E164="",$F164=""),$K164&lt;&gt;"نعم",$M164="نعم"),0,MAX(0,MIN($F164,EOMONTH(DATE(cfg_FY,5,1),0))-MAX($E164,DATE(cfg_FY,5,1))+1))</f>
        <v>0</v>
      </c>
      <c r="AY164" s="65" t="n">
        <f aca="false">IF(OR(OR($B164="",$E164="",$F164=""),$K164&lt;&gt;"نعم",$M164="نعم"),0,MAX(0,MIN($F164,EOMONTH(DATE(cfg_FY,6,1),0))-MAX($E164,DATE(cfg_FY,6,1))+1))</f>
        <v>0</v>
      </c>
      <c r="AZ164" s="65" t="n">
        <f aca="false">IF(OR(OR($B164="",$E164="",$F164=""),$K164&lt;&gt;"نعم",$M164="نعم"),0,MAX(0,MIN($F164,EOMONTH(DATE(cfg_FY,7,1),0))-MAX($E164,DATE(cfg_FY,7,1))+1))</f>
        <v>0</v>
      </c>
      <c r="BA164" s="65" t="n">
        <f aca="false">IF(OR(OR($B164="",$E164="",$F164=""),$K164&lt;&gt;"نعم",$M164="نعم"),0,MAX(0,MIN($F164,EOMONTH(DATE(cfg_FY,8,1),0))-MAX($E164,DATE(cfg_FY,8,1))+1))</f>
        <v>0</v>
      </c>
      <c r="BB164" s="65" t="n">
        <f aca="false">IF(OR(OR($B164="",$E164="",$F164=""),$K164&lt;&gt;"نعم",$M164="نعم"),0,MAX(0,MIN($F164,EOMONTH(DATE(cfg_FY,9,1),0))-MAX($E164,DATE(cfg_FY,9,1))+1))</f>
        <v>0</v>
      </c>
      <c r="BC164" s="65" t="n">
        <f aca="false">IF(OR(OR($B164="",$E164="",$F164=""),$K164&lt;&gt;"نعم",$M164="نعم"),0,MAX(0,MIN($F164,EOMONTH(DATE(cfg_FY,10,1),0))-MAX($E164,DATE(cfg_FY,10,1))+1))</f>
        <v>0</v>
      </c>
      <c r="BD164" s="65" t="n">
        <f aca="false">IF(OR(OR($B164="",$E164="",$F164=""),$K164&lt;&gt;"نعم",$M164="نعم"),0,MAX(0,MIN($F164,EOMONTH(DATE(cfg_FY,11,1),0))-MAX($E164,DATE(cfg_FY,11,1))+1))</f>
        <v>0</v>
      </c>
      <c r="BE164" s="65" t="n">
        <f aca="false">IF(OR(OR($B164="",$E164="",$F164=""),$K164&lt;&gt;"نعم",$M164="نعم"),0,MAX(0,MIN($F164,EOMONTH(DATE(cfg_FY,12,1),0))-MAX($E164,DATE(cfg_FY,12,1))+1))</f>
        <v>0</v>
      </c>
    </row>
    <row r="165" customFormat="false" ht="15" hidden="false" customHeight="false" outlineLevel="0" collapsed="false">
      <c r="A165" s="115" t="str">
        <f aca="false">IF(B165="","",ROW()-5)</f>
        <v/>
      </c>
      <c r="B165" s="118"/>
      <c r="C165" s="117" t="str">
        <f aca="false">IF(B165="","",IFERROR(INDEX(الموظفون!$C$6:$C$105,MATCH(B165,الموظفون!$B$6:$B$105,0)),"✖ رقم غير موجود"))</f>
        <v/>
      </c>
      <c r="D165" s="118"/>
      <c r="E165" s="119"/>
      <c r="F165" s="119"/>
      <c r="G165" s="133" t="str">
        <f aca="false">IF(OR($B165="",$E165="",$F165=""),"",MAX(0,F165-E165+1))</f>
        <v/>
      </c>
      <c r="H165" s="134" t="str">
        <f aca="false">IF(D165="","",IFERROR(VLOOKUP(D165,cfg_LT,2,FALSE()),1))</f>
        <v/>
      </c>
      <c r="I165" s="135"/>
      <c r="J165" s="134" t="str">
        <f aca="false">IF(D165="","",IF(I165&lt;&gt;"",I165,H165))</f>
        <v/>
      </c>
      <c r="K165" s="117" t="str">
        <f aca="false">IF(D165="","",IFERROR(VLOOKUP($D165,cfg_LT,3,FALSE()),""))</f>
        <v/>
      </c>
      <c r="L165" s="117" t="str">
        <f aca="false">IF(D165="","",IFERROR(VLOOKUP($D165,cfg_LT,4,FALSE()),""))</f>
        <v/>
      </c>
      <c r="M165" s="117" t="str">
        <f aca="false">IF(D165="","",IFERROR(VLOOKUP($D165,cfg_LT,5,FALSE()),""))</f>
        <v/>
      </c>
      <c r="N165" s="116" t="n">
        <f aca="false">IF(OR(OR($B165="",$E165="",$F165=""),M165&lt;&gt;"نعم"),0,G165*J165*IFERROR(INDEX(الموظفون!$R$6:$R$105,MATCH(B165,الموظفون!$B$6:$B$105,0)),0)/cfg_DAYS_M)</f>
        <v>0</v>
      </c>
      <c r="O165" s="115" t="str">
        <f aca="false">IF(OR(OR($B165="",$E165="",$F165=""),M165&lt;&gt;"نعم"),"",IF(YEAR(E165)=cfg_FY,MONTH(E165),""))</f>
        <v/>
      </c>
      <c r="P165" s="117" t="str">
        <f aca="false">IF(B165="","",IF(OR(D165="",E165="",F165=""),"⚠ أكمل النوع والتواريخ",IF(F165&lt;E165,"✖ النهاية قبل البداية",IF(COUNTIFS($B$6:$B$505,B165,$E$6:$E$505,"&lt;="&amp;F165,$F$6:$F$505,"&gt;="&amp;E165)&gt;1,"⚠ تداخل مع سجل آخر",IF(E165&gt;cfg_VAL_DATE,"⏳ قادمة",IF(F165&lt;cfg_VAL_DATE,"✔ منتهية","✈ جارية في تاريخ التقرير"))))))</f>
        <v/>
      </c>
      <c r="Q165" s="118"/>
      <c r="R165" s="133" t="n">
        <f aca="false">IF(OR(OR($B165="",$E165="",$F165=""),L165&lt;&gt;"لا"),0,MAX(0,MIN(F165,cfg_Y_START-1)-E165+1))</f>
        <v>0</v>
      </c>
      <c r="S165" s="133" t="n">
        <f aca="false">IF(OR(OR($B165="",$E165="",$F165=""),L165&lt;&gt;"لا"),0,MAX(0,MIN(F165,cfg_VAL_DATE)-E165+1))</f>
        <v>0</v>
      </c>
      <c r="T165" s="133" t="n">
        <f aca="false">IF(OR(OR($B165="",$E165="",$F165=""),K165&lt;&gt;"نعم"),0,IF(M165="نعم",IF(AND(ISNUMBER(O165),N(O165)&lt;=cfg_VAL_M),G165,0),MAX(0,MIN(F165,cfg_VAL_DATE)-MAX(E165,cfg_Y_START)+1)))</f>
        <v>0</v>
      </c>
      <c r="V165" s="133" t="n">
        <f aca="false">IF(OR($B165="",$E165="",$F165=""),0,MAX(0,MIN($F165,EOMONTH(DATE(cfg_FY,1,1),0))-MAX($E165,DATE(cfg_FY,1,1))+1)*(1-IF($M165="نعم",0,N($J165))))</f>
        <v>0</v>
      </c>
      <c r="W165" s="133" t="n">
        <f aca="false">IF(OR($B165="",$E165="",$F165=""),0,MAX(0,MIN($F165,EOMONTH(DATE(cfg_FY,2,1),0))-MAX($E165,DATE(cfg_FY,2,1))+1)*(1-IF($M165="نعم",0,N($J165))))</f>
        <v>0</v>
      </c>
      <c r="X165" s="133" t="n">
        <f aca="false">IF(OR($B165="",$E165="",$F165=""),0,MAX(0,MIN($F165,EOMONTH(DATE(cfg_FY,3,1),0))-MAX($E165,DATE(cfg_FY,3,1))+1)*(1-IF($M165="نعم",0,N($J165))))</f>
        <v>0</v>
      </c>
      <c r="Y165" s="133" t="n">
        <f aca="false">IF(OR($B165="",$E165="",$F165=""),0,MAX(0,MIN($F165,EOMONTH(DATE(cfg_FY,4,1),0))-MAX($E165,DATE(cfg_FY,4,1))+1)*(1-IF($M165="نعم",0,N($J165))))</f>
        <v>0</v>
      </c>
      <c r="Z165" s="133" t="n">
        <f aca="false">IF(OR($B165="",$E165="",$F165=""),0,MAX(0,MIN($F165,EOMONTH(DATE(cfg_FY,5,1),0))-MAX($E165,DATE(cfg_FY,5,1))+1)*(1-IF($M165="نعم",0,N($J165))))</f>
        <v>0</v>
      </c>
      <c r="AA165" s="133" t="n">
        <f aca="false">IF(OR($B165="",$E165="",$F165=""),0,MAX(0,MIN($F165,EOMONTH(DATE(cfg_FY,6,1),0))-MAX($E165,DATE(cfg_FY,6,1))+1)*(1-IF($M165="نعم",0,N($J165))))</f>
        <v>0</v>
      </c>
      <c r="AB165" s="133" t="n">
        <f aca="false">IF(OR($B165="",$E165="",$F165=""),0,MAX(0,MIN($F165,EOMONTH(DATE(cfg_FY,7,1),0))-MAX($E165,DATE(cfg_FY,7,1))+1)*(1-IF($M165="نعم",0,N($J165))))</f>
        <v>0</v>
      </c>
      <c r="AC165" s="133" t="n">
        <f aca="false">IF(OR($B165="",$E165="",$F165=""),0,MAX(0,MIN($F165,EOMONTH(DATE(cfg_FY,8,1),0))-MAX($E165,DATE(cfg_FY,8,1))+1)*(1-IF($M165="نعم",0,N($J165))))</f>
        <v>0</v>
      </c>
      <c r="AD165" s="133" t="n">
        <f aca="false">IF(OR($B165="",$E165="",$F165=""),0,MAX(0,MIN($F165,EOMONTH(DATE(cfg_FY,9,1),0))-MAX($E165,DATE(cfg_FY,9,1))+1)*(1-IF($M165="نعم",0,N($J165))))</f>
        <v>0</v>
      </c>
      <c r="AE165" s="133" t="n">
        <f aca="false">IF(OR($B165="",$E165="",$F165=""),0,MAX(0,MIN($F165,EOMONTH(DATE(cfg_FY,10,1),0))-MAX($E165,DATE(cfg_FY,10,1))+1)*(1-IF($M165="نعم",0,N($J165))))</f>
        <v>0</v>
      </c>
      <c r="AF165" s="133" t="n">
        <f aca="false">IF(OR($B165="",$E165="",$F165=""),0,MAX(0,MIN($F165,EOMONTH(DATE(cfg_FY,11,1),0))-MAX($E165,DATE(cfg_FY,11,1))+1)*(1-IF($M165="نعم",0,N($J165))))</f>
        <v>0</v>
      </c>
      <c r="AG165" s="133" t="n">
        <f aca="false">IF(OR($B165="",$E165="",$F165=""),0,MAX(0,MIN($F165,EOMONTH(DATE(cfg_FY,12,1),0))-MAX($E165,DATE(cfg_FY,12,1))+1)*(1-IF($M165="نعم",0,N($J165))))</f>
        <v>0</v>
      </c>
      <c r="AH165" s="133" t="n">
        <f aca="false">IF(OR(OR($B165="",$E165="",$F165=""),$L165&lt;&gt;"لا"),0,MAX(0,MIN($F165,EOMONTH(DATE(cfg_FY,1,1),0))-$E165+1))</f>
        <v>0</v>
      </c>
      <c r="AI165" s="133" t="n">
        <f aca="false">IF(OR(OR($B165="",$E165="",$F165=""),$L165&lt;&gt;"لا"),0,MAX(0,MIN($F165,EOMONTH(DATE(cfg_FY,2,1),0))-$E165+1))</f>
        <v>0</v>
      </c>
      <c r="AJ165" s="133" t="n">
        <f aca="false">IF(OR(OR($B165="",$E165="",$F165=""),$L165&lt;&gt;"لا"),0,MAX(0,MIN($F165,EOMONTH(DATE(cfg_FY,3,1),0))-$E165+1))</f>
        <v>0</v>
      </c>
      <c r="AK165" s="133" t="n">
        <f aca="false">IF(OR(OR($B165="",$E165="",$F165=""),$L165&lt;&gt;"لا"),0,MAX(0,MIN($F165,EOMONTH(DATE(cfg_FY,4,1),0))-$E165+1))</f>
        <v>0</v>
      </c>
      <c r="AL165" s="133" t="n">
        <f aca="false">IF(OR(OR($B165="",$E165="",$F165=""),$L165&lt;&gt;"لا"),0,MAX(0,MIN($F165,EOMONTH(DATE(cfg_FY,5,1),0))-$E165+1))</f>
        <v>0</v>
      </c>
      <c r="AM165" s="133" t="n">
        <f aca="false">IF(OR(OR($B165="",$E165="",$F165=""),$L165&lt;&gt;"لا"),0,MAX(0,MIN($F165,EOMONTH(DATE(cfg_FY,6,1),0))-$E165+1))</f>
        <v>0</v>
      </c>
      <c r="AN165" s="133" t="n">
        <f aca="false">IF(OR(OR($B165="",$E165="",$F165=""),$L165&lt;&gt;"لا"),0,MAX(0,MIN($F165,EOMONTH(DATE(cfg_FY,7,1),0))-$E165+1))</f>
        <v>0</v>
      </c>
      <c r="AO165" s="133" t="n">
        <f aca="false">IF(OR(OR($B165="",$E165="",$F165=""),$L165&lt;&gt;"لا"),0,MAX(0,MIN($F165,EOMONTH(DATE(cfg_FY,8,1),0))-$E165+1))</f>
        <v>0</v>
      </c>
      <c r="AP165" s="133" t="n">
        <f aca="false">IF(OR(OR($B165="",$E165="",$F165=""),$L165&lt;&gt;"لا"),0,MAX(0,MIN($F165,EOMONTH(DATE(cfg_FY,9,1),0))-$E165+1))</f>
        <v>0</v>
      </c>
      <c r="AQ165" s="133" t="n">
        <f aca="false">IF(OR(OR($B165="",$E165="",$F165=""),$L165&lt;&gt;"لا"),0,MAX(0,MIN($F165,EOMONTH(DATE(cfg_FY,10,1),0))-$E165+1))</f>
        <v>0</v>
      </c>
      <c r="AR165" s="133" t="n">
        <f aca="false">IF(OR(OR($B165="",$E165="",$F165=""),$L165&lt;&gt;"لا"),0,MAX(0,MIN($F165,EOMONTH(DATE(cfg_FY,11,1),0))-$E165+1))</f>
        <v>0</v>
      </c>
      <c r="AS165" s="133" t="n">
        <f aca="false">IF(OR(OR($B165="",$E165="",$F165=""),$L165&lt;&gt;"لا"),0,MAX(0,MIN($F165,EOMONTH(DATE(cfg_FY,12,1),0))-$E165+1))</f>
        <v>0</v>
      </c>
      <c r="AT165" s="133" t="n">
        <f aca="false">IF(OR(OR($B165="",$E165="",$F165=""),$K165&lt;&gt;"نعم",$M165="نعم"),0,MAX(0,MIN($F165,EOMONTH(DATE(cfg_FY,1,1),0))-MAX($E165,DATE(cfg_FY,1,1))+1))</f>
        <v>0</v>
      </c>
      <c r="AU165" s="133" t="n">
        <f aca="false">IF(OR(OR($B165="",$E165="",$F165=""),$K165&lt;&gt;"نعم",$M165="نعم"),0,MAX(0,MIN($F165,EOMONTH(DATE(cfg_FY,2,1),0))-MAX($E165,DATE(cfg_FY,2,1))+1))</f>
        <v>0</v>
      </c>
      <c r="AV165" s="133" t="n">
        <f aca="false">IF(OR(OR($B165="",$E165="",$F165=""),$K165&lt;&gt;"نعم",$M165="نعم"),0,MAX(0,MIN($F165,EOMONTH(DATE(cfg_FY,3,1),0))-MAX($E165,DATE(cfg_FY,3,1))+1))</f>
        <v>0</v>
      </c>
      <c r="AW165" s="133" t="n">
        <f aca="false">IF(OR(OR($B165="",$E165="",$F165=""),$K165&lt;&gt;"نعم",$M165="نعم"),0,MAX(0,MIN($F165,EOMONTH(DATE(cfg_FY,4,1),0))-MAX($E165,DATE(cfg_FY,4,1))+1))</f>
        <v>0</v>
      </c>
      <c r="AX165" s="133" t="n">
        <f aca="false">IF(OR(OR($B165="",$E165="",$F165=""),$K165&lt;&gt;"نعم",$M165="نعم"),0,MAX(0,MIN($F165,EOMONTH(DATE(cfg_FY,5,1),0))-MAX($E165,DATE(cfg_FY,5,1))+1))</f>
        <v>0</v>
      </c>
      <c r="AY165" s="133" t="n">
        <f aca="false">IF(OR(OR($B165="",$E165="",$F165=""),$K165&lt;&gt;"نعم",$M165="نعم"),0,MAX(0,MIN($F165,EOMONTH(DATE(cfg_FY,6,1),0))-MAX($E165,DATE(cfg_FY,6,1))+1))</f>
        <v>0</v>
      </c>
      <c r="AZ165" s="133" t="n">
        <f aca="false">IF(OR(OR($B165="",$E165="",$F165=""),$K165&lt;&gt;"نعم",$M165="نعم"),0,MAX(0,MIN($F165,EOMONTH(DATE(cfg_FY,7,1),0))-MAX($E165,DATE(cfg_FY,7,1))+1))</f>
        <v>0</v>
      </c>
      <c r="BA165" s="133" t="n">
        <f aca="false">IF(OR(OR($B165="",$E165="",$F165=""),$K165&lt;&gt;"نعم",$M165="نعم"),0,MAX(0,MIN($F165,EOMONTH(DATE(cfg_FY,8,1),0))-MAX($E165,DATE(cfg_FY,8,1))+1))</f>
        <v>0</v>
      </c>
      <c r="BB165" s="133" t="n">
        <f aca="false">IF(OR(OR($B165="",$E165="",$F165=""),$K165&lt;&gt;"نعم",$M165="نعم"),0,MAX(0,MIN($F165,EOMONTH(DATE(cfg_FY,9,1),0))-MAX($E165,DATE(cfg_FY,9,1))+1))</f>
        <v>0</v>
      </c>
      <c r="BC165" s="133" t="n">
        <f aca="false">IF(OR(OR($B165="",$E165="",$F165=""),$K165&lt;&gt;"نعم",$M165="نعم"),0,MAX(0,MIN($F165,EOMONTH(DATE(cfg_FY,10,1),0))-MAX($E165,DATE(cfg_FY,10,1))+1))</f>
        <v>0</v>
      </c>
      <c r="BD165" s="133" t="n">
        <f aca="false">IF(OR(OR($B165="",$E165="",$F165=""),$K165&lt;&gt;"نعم",$M165="نعم"),0,MAX(0,MIN($F165,EOMONTH(DATE(cfg_FY,11,1),0))-MAX($E165,DATE(cfg_FY,11,1))+1))</f>
        <v>0</v>
      </c>
      <c r="BE165" s="133" t="n">
        <f aca="false">IF(OR(OR($B165="",$E165="",$F165=""),$K165&lt;&gt;"نعم",$M165="نعم"),0,MAX(0,MIN($F165,EOMONTH(DATE(cfg_FY,12,1),0))-MAX($E165,DATE(cfg_FY,12,1))+1))</f>
        <v>0</v>
      </c>
    </row>
    <row r="166" customFormat="false" ht="15" hidden="false" customHeight="false" outlineLevel="0" collapsed="false">
      <c r="A166" s="106" t="str">
        <f aca="false">IF(B166="","",ROW()-5)</f>
        <v/>
      </c>
      <c r="B166" s="118"/>
      <c r="C166" s="114" t="str">
        <f aca="false">IF(B166="","",IFERROR(INDEX(الموظفون!$C$6:$C$105,MATCH(B166,الموظفون!$B$6:$B$105,0)),"✖ رقم غير موجود"))</f>
        <v/>
      </c>
      <c r="D166" s="118"/>
      <c r="E166" s="119"/>
      <c r="F166" s="119"/>
      <c r="G166" s="65" t="str">
        <f aca="false">IF(OR($B166="",$E166="",$F166=""),"",MAX(0,F166-E166+1))</f>
        <v/>
      </c>
      <c r="H166" s="66" t="str">
        <f aca="false">IF(D166="","",IFERROR(VLOOKUP(D166,cfg_LT,2,FALSE()),1))</f>
        <v/>
      </c>
      <c r="I166" s="135"/>
      <c r="J166" s="66" t="str">
        <f aca="false">IF(D166="","",IF(I166&lt;&gt;"",I166,H166))</f>
        <v/>
      </c>
      <c r="K166" s="114" t="str">
        <f aca="false">IF(D166="","",IFERROR(VLOOKUP($D166,cfg_LT,3,FALSE()),""))</f>
        <v/>
      </c>
      <c r="L166" s="114" t="str">
        <f aca="false">IF(D166="","",IFERROR(VLOOKUP($D166,cfg_LT,4,FALSE()),""))</f>
        <v/>
      </c>
      <c r="M166" s="114" t="str">
        <f aca="false">IF(D166="","",IFERROR(VLOOKUP($D166,cfg_LT,5,FALSE()),""))</f>
        <v/>
      </c>
      <c r="N166" s="111" t="n">
        <f aca="false">IF(OR(OR($B166="",$E166="",$F166=""),M166&lt;&gt;"نعم"),0,G166*J166*IFERROR(INDEX(الموظفون!$R$6:$R$105,MATCH(B166,الموظفون!$B$6:$B$105,0)),0)/cfg_DAYS_M)</f>
        <v>0</v>
      </c>
      <c r="O166" s="106" t="str">
        <f aca="false">IF(OR(OR($B166="",$E166="",$F166=""),M166&lt;&gt;"نعم"),"",IF(YEAR(E166)=cfg_FY,MONTH(E166),""))</f>
        <v/>
      </c>
      <c r="P166" s="114" t="str">
        <f aca="false">IF(B166="","",IF(OR(D166="",E166="",F166=""),"⚠ أكمل النوع والتواريخ",IF(F166&lt;E166,"✖ النهاية قبل البداية",IF(COUNTIFS($B$6:$B$505,B166,$E$6:$E$505,"&lt;="&amp;F166,$F$6:$F$505,"&gt;="&amp;E166)&gt;1,"⚠ تداخل مع سجل آخر",IF(E166&gt;cfg_VAL_DATE,"⏳ قادمة",IF(F166&lt;cfg_VAL_DATE,"✔ منتهية","✈ جارية في تاريخ التقرير"))))))</f>
        <v/>
      </c>
      <c r="Q166" s="118"/>
      <c r="R166" s="65" t="n">
        <f aca="false">IF(OR(OR($B166="",$E166="",$F166=""),L166&lt;&gt;"لا"),0,MAX(0,MIN(F166,cfg_Y_START-1)-E166+1))</f>
        <v>0</v>
      </c>
      <c r="S166" s="65" t="n">
        <f aca="false">IF(OR(OR($B166="",$E166="",$F166=""),L166&lt;&gt;"لا"),0,MAX(0,MIN(F166,cfg_VAL_DATE)-E166+1))</f>
        <v>0</v>
      </c>
      <c r="T166" s="65" t="n">
        <f aca="false">IF(OR(OR($B166="",$E166="",$F166=""),K166&lt;&gt;"نعم"),0,IF(M166="نعم",IF(AND(ISNUMBER(O166),N(O166)&lt;=cfg_VAL_M),G166,0),MAX(0,MIN(F166,cfg_VAL_DATE)-MAX(E166,cfg_Y_START)+1)))</f>
        <v>0</v>
      </c>
      <c r="V166" s="65" t="n">
        <f aca="false">IF(OR($B166="",$E166="",$F166=""),0,MAX(0,MIN($F166,EOMONTH(DATE(cfg_FY,1,1),0))-MAX($E166,DATE(cfg_FY,1,1))+1)*(1-IF($M166="نعم",0,N($J166))))</f>
        <v>0</v>
      </c>
      <c r="W166" s="65" t="n">
        <f aca="false">IF(OR($B166="",$E166="",$F166=""),0,MAX(0,MIN($F166,EOMONTH(DATE(cfg_FY,2,1),0))-MAX($E166,DATE(cfg_FY,2,1))+1)*(1-IF($M166="نعم",0,N($J166))))</f>
        <v>0</v>
      </c>
      <c r="X166" s="65" t="n">
        <f aca="false">IF(OR($B166="",$E166="",$F166=""),0,MAX(0,MIN($F166,EOMONTH(DATE(cfg_FY,3,1),0))-MAX($E166,DATE(cfg_FY,3,1))+1)*(1-IF($M166="نعم",0,N($J166))))</f>
        <v>0</v>
      </c>
      <c r="Y166" s="65" t="n">
        <f aca="false">IF(OR($B166="",$E166="",$F166=""),0,MAX(0,MIN($F166,EOMONTH(DATE(cfg_FY,4,1),0))-MAX($E166,DATE(cfg_FY,4,1))+1)*(1-IF($M166="نعم",0,N($J166))))</f>
        <v>0</v>
      </c>
      <c r="Z166" s="65" t="n">
        <f aca="false">IF(OR($B166="",$E166="",$F166=""),0,MAX(0,MIN($F166,EOMONTH(DATE(cfg_FY,5,1),0))-MAX($E166,DATE(cfg_FY,5,1))+1)*(1-IF($M166="نعم",0,N($J166))))</f>
        <v>0</v>
      </c>
      <c r="AA166" s="65" t="n">
        <f aca="false">IF(OR($B166="",$E166="",$F166=""),0,MAX(0,MIN($F166,EOMONTH(DATE(cfg_FY,6,1),0))-MAX($E166,DATE(cfg_FY,6,1))+1)*(1-IF($M166="نعم",0,N($J166))))</f>
        <v>0</v>
      </c>
      <c r="AB166" s="65" t="n">
        <f aca="false">IF(OR($B166="",$E166="",$F166=""),0,MAX(0,MIN($F166,EOMONTH(DATE(cfg_FY,7,1),0))-MAX($E166,DATE(cfg_FY,7,1))+1)*(1-IF($M166="نعم",0,N($J166))))</f>
        <v>0</v>
      </c>
      <c r="AC166" s="65" t="n">
        <f aca="false">IF(OR($B166="",$E166="",$F166=""),0,MAX(0,MIN($F166,EOMONTH(DATE(cfg_FY,8,1),0))-MAX($E166,DATE(cfg_FY,8,1))+1)*(1-IF($M166="نعم",0,N($J166))))</f>
        <v>0</v>
      </c>
      <c r="AD166" s="65" t="n">
        <f aca="false">IF(OR($B166="",$E166="",$F166=""),0,MAX(0,MIN($F166,EOMONTH(DATE(cfg_FY,9,1),0))-MAX($E166,DATE(cfg_FY,9,1))+1)*(1-IF($M166="نعم",0,N($J166))))</f>
        <v>0</v>
      </c>
      <c r="AE166" s="65" t="n">
        <f aca="false">IF(OR($B166="",$E166="",$F166=""),0,MAX(0,MIN($F166,EOMONTH(DATE(cfg_FY,10,1),0))-MAX($E166,DATE(cfg_FY,10,1))+1)*(1-IF($M166="نعم",0,N($J166))))</f>
        <v>0</v>
      </c>
      <c r="AF166" s="65" t="n">
        <f aca="false">IF(OR($B166="",$E166="",$F166=""),0,MAX(0,MIN($F166,EOMONTH(DATE(cfg_FY,11,1),0))-MAX($E166,DATE(cfg_FY,11,1))+1)*(1-IF($M166="نعم",0,N($J166))))</f>
        <v>0</v>
      </c>
      <c r="AG166" s="65" t="n">
        <f aca="false">IF(OR($B166="",$E166="",$F166=""),0,MAX(0,MIN($F166,EOMONTH(DATE(cfg_FY,12,1),0))-MAX($E166,DATE(cfg_FY,12,1))+1)*(1-IF($M166="نعم",0,N($J166))))</f>
        <v>0</v>
      </c>
      <c r="AH166" s="65" t="n">
        <f aca="false">IF(OR(OR($B166="",$E166="",$F166=""),$L166&lt;&gt;"لا"),0,MAX(0,MIN($F166,EOMONTH(DATE(cfg_FY,1,1),0))-$E166+1))</f>
        <v>0</v>
      </c>
      <c r="AI166" s="65" t="n">
        <f aca="false">IF(OR(OR($B166="",$E166="",$F166=""),$L166&lt;&gt;"لا"),0,MAX(0,MIN($F166,EOMONTH(DATE(cfg_FY,2,1),0))-$E166+1))</f>
        <v>0</v>
      </c>
      <c r="AJ166" s="65" t="n">
        <f aca="false">IF(OR(OR($B166="",$E166="",$F166=""),$L166&lt;&gt;"لا"),0,MAX(0,MIN($F166,EOMONTH(DATE(cfg_FY,3,1),0))-$E166+1))</f>
        <v>0</v>
      </c>
      <c r="AK166" s="65" t="n">
        <f aca="false">IF(OR(OR($B166="",$E166="",$F166=""),$L166&lt;&gt;"لا"),0,MAX(0,MIN($F166,EOMONTH(DATE(cfg_FY,4,1),0))-$E166+1))</f>
        <v>0</v>
      </c>
      <c r="AL166" s="65" t="n">
        <f aca="false">IF(OR(OR($B166="",$E166="",$F166=""),$L166&lt;&gt;"لا"),0,MAX(0,MIN($F166,EOMONTH(DATE(cfg_FY,5,1),0))-$E166+1))</f>
        <v>0</v>
      </c>
      <c r="AM166" s="65" t="n">
        <f aca="false">IF(OR(OR($B166="",$E166="",$F166=""),$L166&lt;&gt;"لا"),0,MAX(0,MIN($F166,EOMONTH(DATE(cfg_FY,6,1),0))-$E166+1))</f>
        <v>0</v>
      </c>
      <c r="AN166" s="65" t="n">
        <f aca="false">IF(OR(OR($B166="",$E166="",$F166=""),$L166&lt;&gt;"لا"),0,MAX(0,MIN($F166,EOMONTH(DATE(cfg_FY,7,1),0))-$E166+1))</f>
        <v>0</v>
      </c>
      <c r="AO166" s="65" t="n">
        <f aca="false">IF(OR(OR($B166="",$E166="",$F166=""),$L166&lt;&gt;"لا"),0,MAX(0,MIN($F166,EOMONTH(DATE(cfg_FY,8,1),0))-$E166+1))</f>
        <v>0</v>
      </c>
      <c r="AP166" s="65" t="n">
        <f aca="false">IF(OR(OR($B166="",$E166="",$F166=""),$L166&lt;&gt;"لا"),0,MAX(0,MIN($F166,EOMONTH(DATE(cfg_FY,9,1),0))-$E166+1))</f>
        <v>0</v>
      </c>
      <c r="AQ166" s="65" t="n">
        <f aca="false">IF(OR(OR($B166="",$E166="",$F166=""),$L166&lt;&gt;"لا"),0,MAX(0,MIN($F166,EOMONTH(DATE(cfg_FY,10,1),0))-$E166+1))</f>
        <v>0</v>
      </c>
      <c r="AR166" s="65" t="n">
        <f aca="false">IF(OR(OR($B166="",$E166="",$F166=""),$L166&lt;&gt;"لا"),0,MAX(0,MIN($F166,EOMONTH(DATE(cfg_FY,11,1),0))-$E166+1))</f>
        <v>0</v>
      </c>
      <c r="AS166" s="65" t="n">
        <f aca="false">IF(OR(OR($B166="",$E166="",$F166=""),$L166&lt;&gt;"لا"),0,MAX(0,MIN($F166,EOMONTH(DATE(cfg_FY,12,1),0))-$E166+1))</f>
        <v>0</v>
      </c>
      <c r="AT166" s="65" t="n">
        <f aca="false">IF(OR(OR($B166="",$E166="",$F166=""),$K166&lt;&gt;"نعم",$M166="نعم"),0,MAX(0,MIN($F166,EOMONTH(DATE(cfg_FY,1,1),0))-MAX($E166,DATE(cfg_FY,1,1))+1))</f>
        <v>0</v>
      </c>
      <c r="AU166" s="65" t="n">
        <f aca="false">IF(OR(OR($B166="",$E166="",$F166=""),$K166&lt;&gt;"نعم",$M166="نعم"),0,MAX(0,MIN($F166,EOMONTH(DATE(cfg_FY,2,1),0))-MAX($E166,DATE(cfg_FY,2,1))+1))</f>
        <v>0</v>
      </c>
      <c r="AV166" s="65" t="n">
        <f aca="false">IF(OR(OR($B166="",$E166="",$F166=""),$K166&lt;&gt;"نعم",$M166="نعم"),0,MAX(0,MIN($F166,EOMONTH(DATE(cfg_FY,3,1),0))-MAX($E166,DATE(cfg_FY,3,1))+1))</f>
        <v>0</v>
      </c>
      <c r="AW166" s="65" t="n">
        <f aca="false">IF(OR(OR($B166="",$E166="",$F166=""),$K166&lt;&gt;"نعم",$M166="نعم"),0,MAX(0,MIN($F166,EOMONTH(DATE(cfg_FY,4,1),0))-MAX($E166,DATE(cfg_FY,4,1))+1))</f>
        <v>0</v>
      </c>
      <c r="AX166" s="65" t="n">
        <f aca="false">IF(OR(OR($B166="",$E166="",$F166=""),$K166&lt;&gt;"نعم",$M166="نعم"),0,MAX(0,MIN($F166,EOMONTH(DATE(cfg_FY,5,1),0))-MAX($E166,DATE(cfg_FY,5,1))+1))</f>
        <v>0</v>
      </c>
      <c r="AY166" s="65" t="n">
        <f aca="false">IF(OR(OR($B166="",$E166="",$F166=""),$K166&lt;&gt;"نعم",$M166="نعم"),0,MAX(0,MIN($F166,EOMONTH(DATE(cfg_FY,6,1),0))-MAX($E166,DATE(cfg_FY,6,1))+1))</f>
        <v>0</v>
      </c>
      <c r="AZ166" s="65" t="n">
        <f aca="false">IF(OR(OR($B166="",$E166="",$F166=""),$K166&lt;&gt;"نعم",$M166="نعم"),0,MAX(0,MIN($F166,EOMONTH(DATE(cfg_FY,7,1),0))-MAX($E166,DATE(cfg_FY,7,1))+1))</f>
        <v>0</v>
      </c>
      <c r="BA166" s="65" t="n">
        <f aca="false">IF(OR(OR($B166="",$E166="",$F166=""),$K166&lt;&gt;"نعم",$M166="نعم"),0,MAX(0,MIN($F166,EOMONTH(DATE(cfg_FY,8,1),0))-MAX($E166,DATE(cfg_FY,8,1))+1))</f>
        <v>0</v>
      </c>
      <c r="BB166" s="65" t="n">
        <f aca="false">IF(OR(OR($B166="",$E166="",$F166=""),$K166&lt;&gt;"نعم",$M166="نعم"),0,MAX(0,MIN($F166,EOMONTH(DATE(cfg_FY,9,1),0))-MAX($E166,DATE(cfg_FY,9,1))+1))</f>
        <v>0</v>
      </c>
      <c r="BC166" s="65" t="n">
        <f aca="false">IF(OR(OR($B166="",$E166="",$F166=""),$K166&lt;&gt;"نعم",$M166="نعم"),0,MAX(0,MIN($F166,EOMONTH(DATE(cfg_FY,10,1),0))-MAX($E166,DATE(cfg_FY,10,1))+1))</f>
        <v>0</v>
      </c>
      <c r="BD166" s="65" t="n">
        <f aca="false">IF(OR(OR($B166="",$E166="",$F166=""),$K166&lt;&gt;"نعم",$M166="نعم"),0,MAX(0,MIN($F166,EOMONTH(DATE(cfg_FY,11,1),0))-MAX($E166,DATE(cfg_FY,11,1))+1))</f>
        <v>0</v>
      </c>
      <c r="BE166" s="65" t="n">
        <f aca="false">IF(OR(OR($B166="",$E166="",$F166=""),$K166&lt;&gt;"نعم",$M166="نعم"),0,MAX(0,MIN($F166,EOMONTH(DATE(cfg_FY,12,1),0))-MAX($E166,DATE(cfg_FY,12,1))+1))</f>
        <v>0</v>
      </c>
    </row>
    <row r="167" customFormat="false" ht="15" hidden="false" customHeight="false" outlineLevel="0" collapsed="false">
      <c r="A167" s="115" t="str">
        <f aca="false">IF(B167="","",ROW()-5)</f>
        <v/>
      </c>
      <c r="B167" s="118"/>
      <c r="C167" s="117" t="str">
        <f aca="false">IF(B167="","",IFERROR(INDEX(الموظفون!$C$6:$C$105,MATCH(B167,الموظفون!$B$6:$B$105,0)),"✖ رقم غير موجود"))</f>
        <v/>
      </c>
      <c r="D167" s="118"/>
      <c r="E167" s="119"/>
      <c r="F167" s="119"/>
      <c r="G167" s="133" t="str">
        <f aca="false">IF(OR($B167="",$E167="",$F167=""),"",MAX(0,F167-E167+1))</f>
        <v/>
      </c>
      <c r="H167" s="134" t="str">
        <f aca="false">IF(D167="","",IFERROR(VLOOKUP(D167,cfg_LT,2,FALSE()),1))</f>
        <v/>
      </c>
      <c r="I167" s="135"/>
      <c r="J167" s="134" t="str">
        <f aca="false">IF(D167="","",IF(I167&lt;&gt;"",I167,H167))</f>
        <v/>
      </c>
      <c r="K167" s="117" t="str">
        <f aca="false">IF(D167="","",IFERROR(VLOOKUP($D167,cfg_LT,3,FALSE()),""))</f>
        <v/>
      </c>
      <c r="L167" s="117" t="str">
        <f aca="false">IF(D167="","",IFERROR(VLOOKUP($D167,cfg_LT,4,FALSE()),""))</f>
        <v/>
      </c>
      <c r="M167" s="117" t="str">
        <f aca="false">IF(D167="","",IFERROR(VLOOKUP($D167,cfg_LT,5,FALSE()),""))</f>
        <v/>
      </c>
      <c r="N167" s="116" t="n">
        <f aca="false">IF(OR(OR($B167="",$E167="",$F167=""),M167&lt;&gt;"نعم"),0,G167*J167*IFERROR(INDEX(الموظفون!$R$6:$R$105,MATCH(B167,الموظفون!$B$6:$B$105,0)),0)/cfg_DAYS_M)</f>
        <v>0</v>
      </c>
      <c r="O167" s="115" t="str">
        <f aca="false">IF(OR(OR($B167="",$E167="",$F167=""),M167&lt;&gt;"نعم"),"",IF(YEAR(E167)=cfg_FY,MONTH(E167),""))</f>
        <v/>
      </c>
      <c r="P167" s="117" t="str">
        <f aca="false">IF(B167="","",IF(OR(D167="",E167="",F167=""),"⚠ أكمل النوع والتواريخ",IF(F167&lt;E167,"✖ النهاية قبل البداية",IF(COUNTIFS($B$6:$B$505,B167,$E$6:$E$505,"&lt;="&amp;F167,$F$6:$F$505,"&gt;="&amp;E167)&gt;1,"⚠ تداخل مع سجل آخر",IF(E167&gt;cfg_VAL_DATE,"⏳ قادمة",IF(F167&lt;cfg_VAL_DATE,"✔ منتهية","✈ جارية في تاريخ التقرير"))))))</f>
        <v/>
      </c>
      <c r="Q167" s="118"/>
      <c r="R167" s="133" t="n">
        <f aca="false">IF(OR(OR($B167="",$E167="",$F167=""),L167&lt;&gt;"لا"),0,MAX(0,MIN(F167,cfg_Y_START-1)-E167+1))</f>
        <v>0</v>
      </c>
      <c r="S167" s="133" t="n">
        <f aca="false">IF(OR(OR($B167="",$E167="",$F167=""),L167&lt;&gt;"لا"),0,MAX(0,MIN(F167,cfg_VAL_DATE)-E167+1))</f>
        <v>0</v>
      </c>
      <c r="T167" s="133" t="n">
        <f aca="false">IF(OR(OR($B167="",$E167="",$F167=""),K167&lt;&gt;"نعم"),0,IF(M167="نعم",IF(AND(ISNUMBER(O167),N(O167)&lt;=cfg_VAL_M),G167,0),MAX(0,MIN(F167,cfg_VAL_DATE)-MAX(E167,cfg_Y_START)+1)))</f>
        <v>0</v>
      </c>
      <c r="V167" s="133" t="n">
        <f aca="false">IF(OR($B167="",$E167="",$F167=""),0,MAX(0,MIN($F167,EOMONTH(DATE(cfg_FY,1,1),0))-MAX($E167,DATE(cfg_FY,1,1))+1)*(1-IF($M167="نعم",0,N($J167))))</f>
        <v>0</v>
      </c>
      <c r="W167" s="133" t="n">
        <f aca="false">IF(OR($B167="",$E167="",$F167=""),0,MAX(0,MIN($F167,EOMONTH(DATE(cfg_FY,2,1),0))-MAX($E167,DATE(cfg_FY,2,1))+1)*(1-IF($M167="نعم",0,N($J167))))</f>
        <v>0</v>
      </c>
      <c r="X167" s="133" t="n">
        <f aca="false">IF(OR($B167="",$E167="",$F167=""),0,MAX(0,MIN($F167,EOMONTH(DATE(cfg_FY,3,1),0))-MAX($E167,DATE(cfg_FY,3,1))+1)*(1-IF($M167="نعم",0,N($J167))))</f>
        <v>0</v>
      </c>
      <c r="Y167" s="133" t="n">
        <f aca="false">IF(OR($B167="",$E167="",$F167=""),0,MAX(0,MIN($F167,EOMONTH(DATE(cfg_FY,4,1),0))-MAX($E167,DATE(cfg_FY,4,1))+1)*(1-IF($M167="نعم",0,N($J167))))</f>
        <v>0</v>
      </c>
      <c r="Z167" s="133" t="n">
        <f aca="false">IF(OR($B167="",$E167="",$F167=""),0,MAX(0,MIN($F167,EOMONTH(DATE(cfg_FY,5,1),0))-MAX($E167,DATE(cfg_FY,5,1))+1)*(1-IF($M167="نعم",0,N($J167))))</f>
        <v>0</v>
      </c>
      <c r="AA167" s="133" t="n">
        <f aca="false">IF(OR($B167="",$E167="",$F167=""),0,MAX(0,MIN($F167,EOMONTH(DATE(cfg_FY,6,1),0))-MAX($E167,DATE(cfg_FY,6,1))+1)*(1-IF($M167="نعم",0,N($J167))))</f>
        <v>0</v>
      </c>
      <c r="AB167" s="133" t="n">
        <f aca="false">IF(OR($B167="",$E167="",$F167=""),0,MAX(0,MIN($F167,EOMONTH(DATE(cfg_FY,7,1),0))-MAX($E167,DATE(cfg_FY,7,1))+1)*(1-IF($M167="نعم",0,N($J167))))</f>
        <v>0</v>
      </c>
      <c r="AC167" s="133" t="n">
        <f aca="false">IF(OR($B167="",$E167="",$F167=""),0,MAX(0,MIN($F167,EOMONTH(DATE(cfg_FY,8,1),0))-MAX($E167,DATE(cfg_FY,8,1))+1)*(1-IF($M167="نعم",0,N($J167))))</f>
        <v>0</v>
      </c>
      <c r="AD167" s="133" t="n">
        <f aca="false">IF(OR($B167="",$E167="",$F167=""),0,MAX(0,MIN($F167,EOMONTH(DATE(cfg_FY,9,1),0))-MAX($E167,DATE(cfg_FY,9,1))+1)*(1-IF($M167="نعم",0,N($J167))))</f>
        <v>0</v>
      </c>
      <c r="AE167" s="133" t="n">
        <f aca="false">IF(OR($B167="",$E167="",$F167=""),0,MAX(0,MIN($F167,EOMONTH(DATE(cfg_FY,10,1),0))-MAX($E167,DATE(cfg_FY,10,1))+1)*(1-IF($M167="نعم",0,N($J167))))</f>
        <v>0</v>
      </c>
      <c r="AF167" s="133" t="n">
        <f aca="false">IF(OR($B167="",$E167="",$F167=""),0,MAX(0,MIN($F167,EOMONTH(DATE(cfg_FY,11,1),0))-MAX($E167,DATE(cfg_FY,11,1))+1)*(1-IF($M167="نعم",0,N($J167))))</f>
        <v>0</v>
      </c>
      <c r="AG167" s="133" t="n">
        <f aca="false">IF(OR($B167="",$E167="",$F167=""),0,MAX(0,MIN($F167,EOMONTH(DATE(cfg_FY,12,1),0))-MAX($E167,DATE(cfg_FY,12,1))+1)*(1-IF($M167="نعم",0,N($J167))))</f>
        <v>0</v>
      </c>
      <c r="AH167" s="133" t="n">
        <f aca="false">IF(OR(OR($B167="",$E167="",$F167=""),$L167&lt;&gt;"لا"),0,MAX(0,MIN($F167,EOMONTH(DATE(cfg_FY,1,1),0))-$E167+1))</f>
        <v>0</v>
      </c>
      <c r="AI167" s="133" t="n">
        <f aca="false">IF(OR(OR($B167="",$E167="",$F167=""),$L167&lt;&gt;"لا"),0,MAX(0,MIN($F167,EOMONTH(DATE(cfg_FY,2,1),0))-$E167+1))</f>
        <v>0</v>
      </c>
      <c r="AJ167" s="133" t="n">
        <f aca="false">IF(OR(OR($B167="",$E167="",$F167=""),$L167&lt;&gt;"لا"),0,MAX(0,MIN($F167,EOMONTH(DATE(cfg_FY,3,1),0))-$E167+1))</f>
        <v>0</v>
      </c>
      <c r="AK167" s="133" t="n">
        <f aca="false">IF(OR(OR($B167="",$E167="",$F167=""),$L167&lt;&gt;"لا"),0,MAX(0,MIN($F167,EOMONTH(DATE(cfg_FY,4,1),0))-$E167+1))</f>
        <v>0</v>
      </c>
      <c r="AL167" s="133" t="n">
        <f aca="false">IF(OR(OR($B167="",$E167="",$F167=""),$L167&lt;&gt;"لا"),0,MAX(0,MIN($F167,EOMONTH(DATE(cfg_FY,5,1),0))-$E167+1))</f>
        <v>0</v>
      </c>
      <c r="AM167" s="133" t="n">
        <f aca="false">IF(OR(OR($B167="",$E167="",$F167=""),$L167&lt;&gt;"لا"),0,MAX(0,MIN($F167,EOMONTH(DATE(cfg_FY,6,1),0))-$E167+1))</f>
        <v>0</v>
      </c>
      <c r="AN167" s="133" t="n">
        <f aca="false">IF(OR(OR($B167="",$E167="",$F167=""),$L167&lt;&gt;"لا"),0,MAX(0,MIN($F167,EOMONTH(DATE(cfg_FY,7,1),0))-$E167+1))</f>
        <v>0</v>
      </c>
      <c r="AO167" s="133" t="n">
        <f aca="false">IF(OR(OR($B167="",$E167="",$F167=""),$L167&lt;&gt;"لا"),0,MAX(0,MIN($F167,EOMONTH(DATE(cfg_FY,8,1),0))-$E167+1))</f>
        <v>0</v>
      </c>
      <c r="AP167" s="133" t="n">
        <f aca="false">IF(OR(OR($B167="",$E167="",$F167=""),$L167&lt;&gt;"لا"),0,MAX(0,MIN($F167,EOMONTH(DATE(cfg_FY,9,1),0))-$E167+1))</f>
        <v>0</v>
      </c>
      <c r="AQ167" s="133" t="n">
        <f aca="false">IF(OR(OR($B167="",$E167="",$F167=""),$L167&lt;&gt;"لا"),0,MAX(0,MIN($F167,EOMONTH(DATE(cfg_FY,10,1),0))-$E167+1))</f>
        <v>0</v>
      </c>
      <c r="AR167" s="133" t="n">
        <f aca="false">IF(OR(OR($B167="",$E167="",$F167=""),$L167&lt;&gt;"لا"),0,MAX(0,MIN($F167,EOMONTH(DATE(cfg_FY,11,1),0))-$E167+1))</f>
        <v>0</v>
      </c>
      <c r="AS167" s="133" t="n">
        <f aca="false">IF(OR(OR($B167="",$E167="",$F167=""),$L167&lt;&gt;"لا"),0,MAX(0,MIN($F167,EOMONTH(DATE(cfg_FY,12,1),0))-$E167+1))</f>
        <v>0</v>
      </c>
      <c r="AT167" s="133" t="n">
        <f aca="false">IF(OR(OR($B167="",$E167="",$F167=""),$K167&lt;&gt;"نعم",$M167="نعم"),0,MAX(0,MIN($F167,EOMONTH(DATE(cfg_FY,1,1),0))-MAX($E167,DATE(cfg_FY,1,1))+1))</f>
        <v>0</v>
      </c>
      <c r="AU167" s="133" t="n">
        <f aca="false">IF(OR(OR($B167="",$E167="",$F167=""),$K167&lt;&gt;"نعم",$M167="نعم"),0,MAX(0,MIN($F167,EOMONTH(DATE(cfg_FY,2,1),0))-MAX($E167,DATE(cfg_FY,2,1))+1))</f>
        <v>0</v>
      </c>
      <c r="AV167" s="133" t="n">
        <f aca="false">IF(OR(OR($B167="",$E167="",$F167=""),$K167&lt;&gt;"نعم",$M167="نعم"),0,MAX(0,MIN($F167,EOMONTH(DATE(cfg_FY,3,1),0))-MAX($E167,DATE(cfg_FY,3,1))+1))</f>
        <v>0</v>
      </c>
      <c r="AW167" s="133" t="n">
        <f aca="false">IF(OR(OR($B167="",$E167="",$F167=""),$K167&lt;&gt;"نعم",$M167="نعم"),0,MAX(0,MIN($F167,EOMONTH(DATE(cfg_FY,4,1),0))-MAX($E167,DATE(cfg_FY,4,1))+1))</f>
        <v>0</v>
      </c>
      <c r="AX167" s="133" t="n">
        <f aca="false">IF(OR(OR($B167="",$E167="",$F167=""),$K167&lt;&gt;"نعم",$M167="نعم"),0,MAX(0,MIN($F167,EOMONTH(DATE(cfg_FY,5,1),0))-MAX($E167,DATE(cfg_FY,5,1))+1))</f>
        <v>0</v>
      </c>
      <c r="AY167" s="133" t="n">
        <f aca="false">IF(OR(OR($B167="",$E167="",$F167=""),$K167&lt;&gt;"نعم",$M167="نعم"),0,MAX(0,MIN($F167,EOMONTH(DATE(cfg_FY,6,1),0))-MAX($E167,DATE(cfg_FY,6,1))+1))</f>
        <v>0</v>
      </c>
      <c r="AZ167" s="133" t="n">
        <f aca="false">IF(OR(OR($B167="",$E167="",$F167=""),$K167&lt;&gt;"نعم",$M167="نعم"),0,MAX(0,MIN($F167,EOMONTH(DATE(cfg_FY,7,1),0))-MAX($E167,DATE(cfg_FY,7,1))+1))</f>
        <v>0</v>
      </c>
      <c r="BA167" s="133" t="n">
        <f aca="false">IF(OR(OR($B167="",$E167="",$F167=""),$K167&lt;&gt;"نعم",$M167="نعم"),0,MAX(0,MIN($F167,EOMONTH(DATE(cfg_FY,8,1),0))-MAX($E167,DATE(cfg_FY,8,1))+1))</f>
        <v>0</v>
      </c>
      <c r="BB167" s="133" t="n">
        <f aca="false">IF(OR(OR($B167="",$E167="",$F167=""),$K167&lt;&gt;"نعم",$M167="نعم"),0,MAX(0,MIN($F167,EOMONTH(DATE(cfg_FY,9,1),0))-MAX($E167,DATE(cfg_FY,9,1))+1))</f>
        <v>0</v>
      </c>
      <c r="BC167" s="133" t="n">
        <f aca="false">IF(OR(OR($B167="",$E167="",$F167=""),$K167&lt;&gt;"نعم",$M167="نعم"),0,MAX(0,MIN($F167,EOMONTH(DATE(cfg_FY,10,1),0))-MAX($E167,DATE(cfg_FY,10,1))+1))</f>
        <v>0</v>
      </c>
      <c r="BD167" s="133" t="n">
        <f aca="false">IF(OR(OR($B167="",$E167="",$F167=""),$K167&lt;&gt;"نعم",$M167="نعم"),0,MAX(0,MIN($F167,EOMONTH(DATE(cfg_FY,11,1),0))-MAX($E167,DATE(cfg_FY,11,1))+1))</f>
        <v>0</v>
      </c>
      <c r="BE167" s="133" t="n">
        <f aca="false">IF(OR(OR($B167="",$E167="",$F167=""),$K167&lt;&gt;"نعم",$M167="نعم"),0,MAX(0,MIN($F167,EOMONTH(DATE(cfg_FY,12,1),0))-MAX($E167,DATE(cfg_FY,12,1))+1))</f>
        <v>0</v>
      </c>
    </row>
    <row r="168" customFormat="false" ht="15" hidden="false" customHeight="false" outlineLevel="0" collapsed="false">
      <c r="A168" s="106" t="str">
        <f aca="false">IF(B168="","",ROW()-5)</f>
        <v/>
      </c>
      <c r="B168" s="118"/>
      <c r="C168" s="114" t="str">
        <f aca="false">IF(B168="","",IFERROR(INDEX(الموظفون!$C$6:$C$105,MATCH(B168,الموظفون!$B$6:$B$105,0)),"✖ رقم غير موجود"))</f>
        <v/>
      </c>
      <c r="D168" s="118"/>
      <c r="E168" s="119"/>
      <c r="F168" s="119"/>
      <c r="G168" s="65" t="str">
        <f aca="false">IF(OR($B168="",$E168="",$F168=""),"",MAX(0,F168-E168+1))</f>
        <v/>
      </c>
      <c r="H168" s="66" t="str">
        <f aca="false">IF(D168="","",IFERROR(VLOOKUP(D168,cfg_LT,2,FALSE()),1))</f>
        <v/>
      </c>
      <c r="I168" s="135"/>
      <c r="J168" s="66" t="str">
        <f aca="false">IF(D168="","",IF(I168&lt;&gt;"",I168,H168))</f>
        <v/>
      </c>
      <c r="K168" s="114" t="str">
        <f aca="false">IF(D168="","",IFERROR(VLOOKUP($D168,cfg_LT,3,FALSE()),""))</f>
        <v/>
      </c>
      <c r="L168" s="114" t="str">
        <f aca="false">IF(D168="","",IFERROR(VLOOKUP($D168,cfg_LT,4,FALSE()),""))</f>
        <v/>
      </c>
      <c r="M168" s="114" t="str">
        <f aca="false">IF(D168="","",IFERROR(VLOOKUP($D168,cfg_LT,5,FALSE()),""))</f>
        <v/>
      </c>
      <c r="N168" s="111" t="n">
        <f aca="false">IF(OR(OR($B168="",$E168="",$F168=""),M168&lt;&gt;"نعم"),0,G168*J168*IFERROR(INDEX(الموظفون!$R$6:$R$105,MATCH(B168,الموظفون!$B$6:$B$105,0)),0)/cfg_DAYS_M)</f>
        <v>0</v>
      </c>
      <c r="O168" s="106" t="str">
        <f aca="false">IF(OR(OR($B168="",$E168="",$F168=""),M168&lt;&gt;"نعم"),"",IF(YEAR(E168)=cfg_FY,MONTH(E168),""))</f>
        <v/>
      </c>
      <c r="P168" s="114" t="str">
        <f aca="false">IF(B168="","",IF(OR(D168="",E168="",F168=""),"⚠ أكمل النوع والتواريخ",IF(F168&lt;E168,"✖ النهاية قبل البداية",IF(COUNTIFS($B$6:$B$505,B168,$E$6:$E$505,"&lt;="&amp;F168,$F$6:$F$505,"&gt;="&amp;E168)&gt;1,"⚠ تداخل مع سجل آخر",IF(E168&gt;cfg_VAL_DATE,"⏳ قادمة",IF(F168&lt;cfg_VAL_DATE,"✔ منتهية","✈ جارية في تاريخ التقرير"))))))</f>
        <v/>
      </c>
      <c r="Q168" s="118"/>
      <c r="R168" s="65" t="n">
        <f aca="false">IF(OR(OR($B168="",$E168="",$F168=""),L168&lt;&gt;"لا"),0,MAX(0,MIN(F168,cfg_Y_START-1)-E168+1))</f>
        <v>0</v>
      </c>
      <c r="S168" s="65" t="n">
        <f aca="false">IF(OR(OR($B168="",$E168="",$F168=""),L168&lt;&gt;"لا"),0,MAX(0,MIN(F168,cfg_VAL_DATE)-E168+1))</f>
        <v>0</v>
      </c>
      <c r="T168" s="65" t="n">
        <f aca="false">IF(OR(OR($B168="",$E168="",$F168=""),K168&lt;&gt;"نعم"),0,IF(M168="نعم",IF(AND(ISNUMBER(O168),N(O168)&lt;=cfg_VAL_M),G168,0),MAX(0,MIN(F168,cfg_VAL_DATE)-MAX(E168,cfg_Y_START)+1)))</f>
        <v>0</v>
      </c>
      <c r="V168" s="65" t="n">
        <f aca="false">IF(OR($B168="",$E168="",$F168=""),0,MAX(0,MIN($F168,EOMONTH(DATE(cfg_FY,1,1),0))-MAX($E168,DATE(cfg_FY,1,1))+1)*(1-IF($M168="نعم",0,N($J168))))</f>
        <v>0</v>
      </c>
      <c r="W168" s="65" t="n">
        <f aca="false">IF(OR($B168="",$E168="",$F168=""),0,MAX(0,MIN($F168,EOMONTH(DATE(cfg_FY,2,1),0))-MAX($E168,DATE(cfg_FY,2,1))+1)*(1-IF($M168="نعم",0,N($J168))))</f>
        <v>0</v>
      </c>
      <c r="X168" s="65" t="n">
        <f aca="false">IF(OR($B168="",$E168="",$F168=""),0,MAX(0,MIN($F168,EOMONTH(DATE(cfg_FY,3,1),0))-MAX($E168,DATE(cfg_FY,3,1))+1)*(1-IF($M168="نعم",0,N($J168))))</f>
        <v>0</v>
      </c>
      <c r="Y168" s="65" t="n">
        <f aca="false">IF(OR($B168="",$E168="",$F168=""),0,MAX(0,MIN($F168,EOMONTH(DATE(cfg_FY,4,1),0))-MAX($E168,DATE(cfg_FY,4,1))+1)*(1-IF($M168="نعم",0,N($J168))))</f>
        <v>0</v>
      </c>
      <c r="Z168" s="65" t="n">
        <f aca="false">IF(OR($B168="",$E168="",$F168=""),0,MAX(0,MIN($F168,EOMONTH(DATE(cfg_FY,5,1),0))-MAX($E168,DATE(cfg_FY,5,1))+1)*(1-IF($M168="نعم",0,N($J168))))</f>
        <v>0</v>
      </c>
      <c r="AA168" s="65" t="n">
        <f aca="false">IF(OR($B168="",$E168="",$F168=""),0,MAX(0,MIN($F168,EOMONTH(DATE(cfg_FY,6,1),0))-MAX($E168,DATE(cfg_FY,6,1))+1)*(1-IF($M168="نعم",0,N($J168))))</f>
        <v>0</v>
      </c>
      <c r="AB168" s="65" t="n">
        <f aca="false">IF(OR($B168="",$E168="",$F168=""),0,MAX(0,MIN($F168,EOMONTH(DATE(cfg_FY,7,1),0))-MAX($E168,DATE(cfg_FY,7,1))+1)*(1-IF($M168="نعم",0,N($J168))))</f>
        <v>0</v>
      </c>
      <c r="AC168" s="65" t="n">
        <f aca="false">IF(OR($B168="",$E168="",$F168=""),0,MAX(0,MIN($F168,EOMONTH(DATE(cfg_FY,8,1),0))-MAX($E168,DATE(cfg_FY,8,1))+1)*(1-IF($M168="نعم",0,N($J168))))</f>
        <v>0</v>
      </c>
      <c r="AD168" s="65" t="n">
        <f aca="false">IF(OR($B168="",$E168="",$F168=""),0,MAX(0,MIN($F168,EOMONTH(DATE(cfg_FY,9,1),0))-MAX($E168,DATE(cfg_FY,9,1))+1)*(1-IF($M168="نعم",0,N($J168))))</f>
        <v>0</v>
      </c>
      <c r="AE168" s="65" t="n">
        <f aca="false">IF(OR($B168="",$E168="",$F168=""),0,MAX(0,MIN($F168,EOMONTH(DATE(cfg_FY,10,1),0))-MAX($E168,DATE(cfg_FY,10,1))+1)*(1-IF($M168="نعم",0,N($J168))))</f>
        <v>0</v>
      </c>
      <c r="AF168" s="65" t="n">
        <f aca="false">IF(OR($B168="",$E168="",$F168=""),0,MAX(0,MIN($F168,EOMONTH(DATE(cfg_FY,11,1),0))-MAX($E168,DATE(cfg_FY,11,1))+1)*(1-IF($M168="نعم",0,N($J168))))</f>
        <v>0</v>
      </c>
      <c r="AG168" s="65" t="n">
        <f aca="false">IF(OR($B168="",$E168="",$F168=""),0,MAX(0,MIN($F168,EOMONTH(DATE(cfg_FY,12,1),0))-MAX($E168,DATE(cfg_FY,12,1))+1)*(1-IF($M168="نعم",0,N($J168))))</f>
        <v>0</v>
      </c>
      <c r="AH168" s="65" t="n">
        <f aca="false">IF(OR(OR($B168="",$E168="",$F168=""),$L168&lt;&gt;"لا"),0,MAX(0,MIN($F168,EOMONTH(DATE(cfg_FY,1,1),0))-$E168+1))</f>
        <v>0</v>
      </c>
      <c r="AI168" s="65" t="n">
        <f aca="false">IF(OR(OR($B168="",$E168="",$F168=""),$L168&lt;&gt;"لا"),0,MAX(0,MIN($F168,EOMONTH(DATE(cfg_FY,2,1),0))-$E168+1))</f>
        <v>0</v>
      </c>
      <c r="AJ168" s="65" t="n">
        <f aca="false">IF(OR(OR($B168="",$E168="",$F168=""),$L168&lt;&gt;"لا"),0,MAX(0,MIN($F168,EOMONTH(DATE(cfg_FY,3,1),0))-$E168+1))</f>
        <v>0</v>
      </c>
      <c r="AK168" s="65" t="n">
        <f aca="false">IF(OR(OR($B168="",$E168="",$F168=""),$L168&lt;&gt;"لا"),0,MAX(0,MIN($F168,EOMONTH(DATE(cfg_FY,4,1),0))-$E168+1))</f>
        <v>0</v>
      </c>
      <c r="AL168" s="65" t="n">
        <f aca="false">IF(OR(OR($B168="",$E168="",$F168=""),$L168&lt;&gt;"لا"),0,MAX(0,MIN($F168,EOMONTH(DATE(cfg_FY,5,1),0))-$E168+1))</f>
        <v>0</v>
      </c>
      <c r="AM168" s="65" t="n">
        <f aca="false">IF(OR(OR($B168="",$E168="",$F168=""),$L168&lt;&gt;"لا"),0,MAX(0,MIN($F168,EOMONTH(DATE(cfg_FY,6,1),0))-$E168+1))</f>
        <v>0</v>
      </c>
      <c r="AN168" s="65" t="n">
        <f aca="false">IF(OR(OR($B168="",$E168="",$F168=""),$L168&lt;&gt;"لا"),0,MAX(0,MIN($F168,EOMONTH(DATE(cfg_FY,7,1),0))-$E168+1))</f>
        <v>0</v>
      </c>
      <c r="AO168" s="65" t="n">
        <f aca="false">IF(OR(OR($B168="",$E168="",$F168=""),$L168&lt;&gt;"لا"),0,MAX(0,MIN($F168,EOMONTH(DATE(cfg_FY,8,1),0))-$E168+1))</f>
        <v>0</v>
      </c>
      <c r="AP168" s="65" t="n">
        <f aca="false">IF(OR(OR($B168="",$E168="",$F168=""),$L168&lt;&gt;"لا"),0,MAX(0,MIN($F168,EOMONTH(DATE(cfg_FY,9,1),0))-$E168+1))</f>
        <v>0</v>
      </c>
      <c r="AQ168" s="65" t="n">
        <f aca="false">IF(OR(OR($B168="",$E168="",$F168=""),$L168&lt;&gt;"لا"),0,MAX(0,MIN($F168,EOMONTH(DATE(cfg_FY,10,1),0))-$E168+1))</f>
        <v>0</v>
      </c>
      <c r="AR168" s="65" t="n">
        <f aca="false">IF(OR(OR($B168="",$E168="",$F168=""),$L168&lt;&gt;"لا"),0,MAX(0,MIN($F168,EOMONTH(DATE(cfg_FY,11,1),0))-$E168+1))</f>
        <v>0</v>
      </c>
      <c r="AS168" s="65" t="n">
        <f aca="false">IF(OR(OR($B168="",$E168="",$F168=""),$L168&lt;&gt;"لا"),0,MAX(0,MIN($F168,EOMONTH(DATE(cfg_FY,12,1),0))-$E168+1))</f>
        <v>0</v>
      </c>
      <c r="AT168" s="65" t="n">
        <f aca="false">IF(OR(OR($B168="",$E168="",$F168=""),$K168&lt;&gt;"نعم",$M168="نعم"),0,MAX(0,MIN($F168,EOMONTH(DATE(cfg_FY,1,1),0))-MAX($E168,DATE(cfg_FY,1,1))+1))</f>
        <v>0</v>
      </c>
      <c r="AU168" s="65" t="n">
        <f aca="false">IF(OR(OR($B168="",$E168="",$F168=""),$K168&lt;&gt;"نعم",$M168="نعم"),0,MAX(0,MIN($F168,EOMONTH(DATE(cfg_FY,2,1),0))-MAX($E168,DATE(cfg_FY,2,1))+1))</f>
        <v>0</v>
      </c>
      <c r="AV168" s="65" t="n">
        <f aca="false">IF(OR(OR($B168="",$E168="",$F168=""),$K168&lt;&gt;"نعم",$M168="نعم"),0,MAX(0,MIN($F168,EOMONTH(DATE(cfg_FY,3,1),0))-MAX($E168,DATE(cfg_FY,3,1))+1))</f>
        <v>0</v>
      </c>
      <c r="AW168" s="65" t="n">
        <f aca="false">IF(OR(OR($B168="",$E168="",$F168=""),$K168&lt;&gt;"نعم",$M168="نعم"),0,MAX(0,MIN($F168,EOMONTH(DATE(cfg_FY,4,1),0))-MAX($E168,DATE(cfg_FY,4,1))+1))</f>
        <v>0</v>
      </c>
      <c r="AX168" s="65" t="n">
        <f aca="false">IF(OR(OR($B168="",$E168="",$F168=""),$K168&lt;&gt;"نعم",$M168="نعم"),0,MAX(0,MIN($F168,EOMONTH(DATE(cfg_FY,5,1),0))-MAX($E168,DATE(cfg_FY,5,1))+1))</f>
        <v>0</v>
      </c>
      <c r="AY168" s="65" t="n">
        <f aca="false">IF(OR(OR($B168="",$E168="",$F168=""),$K168&lt;&gt;"نعم",$M168="نعم"),0,MAX(0,MIN($F168,EOMONTH(DATE(cfg_FY,6,1),0))-MAX($E168,DATE(cfg_FY,6,1))+1))</f>
        <v>0</v>
      </c>
      <c r="AZ168" s="65" t="n">
        <f aca="false">IF(OR(OR($B168="",$E168="",$F168=""),$K168&lt;&gt;"نعم",$M168="نعم"),0,MAX(0,MIN($F168,EOMONTH(DATE(cfg_FY,7,1),0))-MAX($E168,DATE(cfg_FY,7,1))+1))</f>
        <v>0</v>
      </c>
      <c r="BA168" s="65" t="n">
        <f aca="false">IF(OR(OR($B168="",$E168="",$F168=""),$K168&lt;&gt;"نعم",$M168="نعم"),0,MAX(0,MIN($F168,EOMONTH(DATE(cfg_FY,8,1),0))-MAX($E168,DATE(cfg_FY,8,1))+1))</f>
        <v>0</v>
      </c>
      <c r="BB168" s="65" t="n">
        <f aca="false">IF(OR(OR($B168="",$E168="",$F168=""),$K168&lt;&gt;"نعم",$M168="نعم"),0,MAX(0,MIN($F168,EOMONTH(DATE(cfg_FY,9,1),0))-MAX($E168,DATE(cfg_FY,9,1))+1))</f>
        <v>0</v>
      </c>
      <c r="BC168" s="65" t="n">
        <f aca="false">IF(OR(OR($B168="",$E168="",$F168=""),$K168&lt;&gt;"نعم",$M168="نعم"),0,MAX(0,MIN($F168,EOMONTH(DATE(cfg_FY,10,1),0))-MAX($E168,DATE(cfg_FY,10,1))+1))</f>
        <v>0</v>
      </c>
      <c r="BD168" s="65" t="n">
        <f aca="false">IF(OR(OR($B168="",$E168="",$F168=""),$K168&lt;&gt;"نعم",$M168="نعم"),0,MAX(0,MIN($F168,EOMONTH(DATE(cfg_FY,11,1),0))-MAX($E168,DATE(cfg_FY,11,1))+1))</f>
        <v>0</v>
      </c>
      <c r="BE168" s="65" t="n">
        <f aca="false">IF(OR(OR($B168="",$E168="",$F168=""),$K168&lt;&gt;"نعم",$M168="نعم"),0,MAX(0,MIN($F168,EOMONTH(DATE(cfg_FY,12,1),0))-MAX($E168,DATE(cfg_FY,12,1))+1))</f>
        <v>0</v>
      </c>
    </row>
    <row r="169" customFormat="false" ht="15" hidden="false" customHeight="false" outlineLevel="0" collapsed="false">
      <c r="A169" s="115" t="str">
        <f aca="false">IF(B169="","",ROW()-5)</f>
        <v/>
      </c>
      <c r="B169" s="118"/>
      <c r="C169" s="117" t="str">
        <f aca="false">IF(B169="","",IFERROR(INDEX(الموظفون!$C$6:$C$105,MATCH(B169,الموظفون!$B$6:$B$105,0)),"✖ رقم غير موجود"))</f>
        <v/>
      </c>
      <c r="D169" s="118"/>
      <c r="E169" s="119"/>
      <c r="F169" s="119"/>
      <c r="G169" s="133" t="str">
        <f aca="false">IF(OR($B169="",$E169="",$F169=""),"",MAX(0,F169-E169+1))</f>
        <v/>
      </c>
      <c r="H169" s="134" t="str">
        <f aca="false">IF(D169="","",IFERROR(VLOOKUP(D169,cfg_LT,2,FALSE()),1))</f>
        <v/>
      </c>
      <c r="I169" s="135"/>
      <c r="J169" s="134" t="str">
        <f aca="false">IF(D169="","",IF(I169&lt;&gt;"",I169,H169))</f>
        <v/>
      </c>
      <c r="K169" s="117" t="str">
        <f aca="false">IF(D169="","",IFERROR(VLOOKUP($D169,cfg_LT,3,FALSE()),""))</f>
        <v/>
      </c>
      <c r="L169" s="117" t="str">
        <f aca="false">IF(D169="","",IFERROR(VLOOKUP($D169,cfg_LT,4,FALSE()),""))</f>
        <v/>
      </c>
      <c r="M169" s="117" t="str">
        <f aca="false">IF(D169="","",IFERROR(VLOOKUP($D169,cfg_LT,5,FALSE()),""))</f>
        <v/>
      </c>
      <c r="N169" s="116" t="n">
        <f aca="false">IF(OR(OR($B169="",$E169="",$F169=""),M169&lt;&gt;"نعم"),0,G169*J169*IFERROR(INDEX(الموظفون!$R$6:$R$105,MATCH(B169,الموظفون!$B$6:$B$105,0)),0)/cfg_DAYS_M)</f>
        <v>0</v>
      </c>
      <c r="O169" s="115" t="str">
        <f aca="false">IF(OR(OR($B169="",$E169="",$F169=""),M169&lt;&gt;"نعم"),"",IF(YEAR(E169)=cfg_FY,MONTH(E169),""))</f>
        <v/>
      </c>
      <c r="P169" s="117" t="str">
        <f aca="false">IF(B169="","",IF(OR(D169="",E169="",F169=""),"⚠ أكمل النوع والتواريخ",IF(F169&lt;E169,"✖ النهاية قبل البداية",IF(COUNTIFS($B$6:$B$505,B169,$E$6:$E$505,"&lt;="&amp;F169,$F$6:$F$505,"&gt;="&amp;E169)&gt;1,"⚠ تداخل مع سجل آخر",IF(E169&gt;cfg_VAL_DATE,"⏳ قادمة",IF(F169&lt;cfg_VAL_DATE,"✔ منتهية","✈ جارية في تاريخ التقرير"))))))</f>
        <v/>
      </c>
      <c r="Q169" s="118"/>
      <c r="R169" s="133" t="n">
        <f aca="false">IF(OR(OR($B169="",$E169="",$F169=""),L169&lt;&gt;"لا"),0,MAX(0,MIN(F169,cfg_Y_START-1)-E169+1))</f>
        <v>0</v>
      </c>
      <c r="S169" s="133" t="n">
        <f aca="false">IF(OR(OR($B169="",$E169="",$F169=""),L169&lt;&gt;"لا"),0,MAX(0,MIN(F169,cfg_VAL_DATE)-E169+1))</f>
        <v>0</v>
      </c>
      <c r="T169" s="133" t="n">
        <f aca="false">IF(OR(OR($B169="",$E169="",$F169=""),K169&lt;&gt;"نعم"),0,IF(M169="نعم",IF(AND(ISNUMBER(O169),N(O169)&lt;=cfg_VAL_M),G169,0),MAX(0,MIN(F169,cfg_VAL_DATE)-MAX(E169,cfg_Y_START)+1)))</f>
        <v>0</v>
      </c>
      <c r="V169" s="133" t="n">
        <f aca="false">IF(OR($B169="",$E169="",$F169=""),0,MAX(0,MIN($F169,EOMONTH(DATE(cfg_FY,1,1),0))-MAX($E169,DATE(cfg_FY,1,1))+1)*(1-IF($M169="نعم",0,N($J169))))</f>
        <v>0</v>
      </c>
      <c r="W169" s="133" t="n">
        <f aca="false">IF(OR($B169="",$E169="",$F169=""),0,MAX(0,MIN($F169,EOMONTH(DATE(cfg_FY,2,1),0))-MAX($E169,DATE(cfg_FY,2,1))+1)*(1-IF($M169="نعم",0,N($J169))))</f>
        <v>0</v>
      </c>
      <c r="X169" s="133" t="n">
        <f aca="false">IF(OR($B169="",$E169="",$F169=""),0,MAX(0,MIN($F169,EOMONTH(DATE(cfg_FY,3,1),0))-MAX($E169,DATE(cfg_FY,3,1))+1)*(1-IF($M169="نعم",0,N($J169))))</f>
        <v>0</v>
      </c>
      <c r="Y169" s="133" t="n">
        <f aca="false">IF(OR($B169="",$E169="",$F169=""),0,MAX(0,MIN($F169,EOMONTH(DATE(cfg_FY,4,1),0))-MAX($E169,DATE(cfg_FY,4,1))+1)*(1-IF($M169="نعم",0,N($J169))))</f>
        <v>0</v>
      </c>
      <c r="Z169" s="133" t="n">
        <f aca="false">IF(OR($B169="",$E169="",$F169=""),0,MAX(0,MIN($F169,EOMONTH(DATE(cfg_FY,5,1),0))-MAX($E169,DATE(cfg_FY,5,1))+1)*(1-IF($M169="نعم",0,N($J169))))</f>
        <v>0</v>
      </c>
      <c r="AA169" s="133" t="n">
        <f aca="false">IF(OR($B169="",$E169="",$F169=""),0,MAX(0,MIN($F169,EOMONTH(DATE(cfg_FY,6,1),0))-MAX($E169,DATE(cfg_FY,6,1))+1)*(1-IF($M169="نعم",0,N($J169))))</f>
        <v>0</v>
      </c>
      <c r="AB169" s="133" t="n">
        <f aca="false">IF(OR($B169="",$E169="",$F169=""),0,MAX(0,MIN($F169,EOMONTH(DATE(cfg_FY,7,1),0))-MAX($E169,DATE(cfg_FY,7,1))+1)*(1-IF($M169="نعم",0,N($J169))))</f>
        <v>0</v>
      </c>
      <c r="AC169" s="133" t="n">
        <f aca="false">IF(OR($B169="",$E169="",$F169=""),0,MAX(0,MIN($F169,EOMONTH(DATE(cfg_FY,8,1),0))-MAX($E169,DATE(cfg_FY,8,1))+1)*(1-IF($M169="نعم",0,N($J169))))</f>
        <v>0</v>
      </c>
      <c r="AD169" s="133" t="n">
        <f aca="false">IF(OR($B169="",$E169="",$F169=""),0,MAX(0,MIN($F169,EOMONTH(DATE(cfg_FY,9,1),0))-MAX($E169,DATE(cfg_FY,9,1))+1)*(1-IF($M169="نعم",0,N($J169))))</f>
        <v>0</v>
      </c>
      <c r="AE169" s="133" t="n">
        <f aca="false">IF(OR($B169="",$E169="",$F169=""),0,MAX(0,MIN($F169,EOMONTH(DATE(cfg_FY,10,1),0))-MAX($E169,DATE(cfg_FY,10,1))+1)*(1-IF($M169="نعم",0,N($J169))))</f>
        <v>0</v>
      </c>
      <c r="AF169" s="133" t="n">
        <f aca="false">IF(OR($B169="",$E169="",$F169=""),0,MAX(0,MIN($F169,EOMONTH(DATE(cfg_FY,11,1),0))-MAX($E169,DATE(cfg_FY,11,1))+1)*(1-IF($M169="نعم",0,N($J169))))</f>
        <v>0</v>
      </c>
      <c r="AG169" s="133" t="n">
        <f aca="false">IF(OR($B169="",$E169="",$F169=""),0,MAX(0,MIN($F169,EOMONTH(DATE(cfg_FY,12,1),0))-MAX($E169,DATE(cfg_FY,12,1))+1)*(1-IF($M169="نعم",0,N($J169))))</f>
        <v>0</v>
      </c>
      <c r="AH169" s="133" t="n">
        <f aca="false">IF(OR(OR($B169="",$E169="",$F169=""),$L169&lt;&gt;"لا"),0,MAX(0,MIN($F169,EOMONTH(DATE(cfg_FY,1,1),0))-$E169+1))</f>
        <v>0</v>
      </c>
      <c r="AI169" s="133" t="n">
        <f aca="false">IF(OR(OR($B169="",$E169="",$F169=""),$L169&lt;&gt;"لا"),0,MAX(0,MIN($F169,EOMONTH(DATE(cfg_FY,2,1),0))-$E169+1))</f>
        <v>0</v>
      </c>
      <c r="AJ169" s="133" t="n">
        <f aca="false">IF(OR(OR($B169="",$E169="",$F169=""),$L169&lt;&gt;"لا"),0,MAX(0,MIN($F169,EOMONTH(DATE(cfg_FY,3,1),0))-$E169+1))</f>
        <v>0</v>
      </c>
      <c r="AK169" s="133" t="n">
        <f aca="false">IF(OR(OR($B169="",$E169="",$F169=""),$L169&lt;&gt;"لا"),0,MAX(0,MIN($F169,EOMONTH(DATE(cfg_FY,4,1),0))-$E169+1))</f>
        <v>0</v>
      </c>
      <c r="AL169" s="133" t="n">
        <f aca="false">IF(OR(OR($B169="",$E169="",$F169=""),$L169&lt;&gt;"لا"),0,MAX(0,MIN($F169,EOMONTH(DATE(cfg_FY,5,1),0))-$E169+1))</f>
        <v>0</v>
      </c>
      <c r="AM169" s="133" t="n">
        <f aca="false">IF(OR(OR($B169="",$E169="",$F169=""),$L169&lt;&gt;"لا"),0,MAX(0,MIN($F169,EOMONTH(DATE(cfg_FY,6,1),0))-$E169+1))</f>
        <v>0</v>
      </c>
      <c r="AN169" s="133" t="n">
        <f aca="false">IF(OR(OR($B169="",$E169="",$F169=""),$L169&lt;&gt;"لا"),0,MAX(0,MIN($F169,EOMONTH(DATE(cfg_FY,7,1),0))-$E169+1))</f>
        <v>0</v>
      </c>
      <c r="AO169" s="133" t="n">
        <f aca="false">IF(OR(OR($B169="",$E169="",$F169=""),$L169&lt;&gt;"لا"),0,MAX(0,MIN($F169,EOMONTH(DATE(cfg_FY,8,1),0))-$E169+1))</f>
        <v>0</v>
      </c>
      <c r="AP169" s="133" t="n">
        <f aca="false">IF(OR(OR($B169="",$E169="",$F169=""),$L169&lt;&gt;"لا"),0,MAX(0,MIN($F169,EOMONTH(DATE(cfg_FY,9,1),0))-$E169+1))</f>
        <v>0</v>
      </c>
      <c r="AQ169" s="133" t="n">
        <f aca="false">IF(OR(OR($B169="",$E169="",$F169=""),$L169&lt;&gt;"لا"),0,MAX(0,MIN($F169,EOMONTH(DATE(cfg_FY,10,1),0))-$E169+1))</f>
        <v>0</v>
      </c>
      <c r="AR169" s="133" t="n">
        <f aca="false">IF(OR(OR($B169="",$E169="",$F169=""),$L169&lt;&gt;"لا"),0,MAX(0,MIN($F169,EOMONTH(DATE(cfg_FY,11,1),0))-$E169+1))</f>
        <v>0</v>
      </c>
      <c r="AS169" s="133" t="n">
        <f aca="false">IF(OR(OR($B169="",$E169="",$F169=""),$L169&lt;&gt;"لا"),0,MAX(0,MIN($F169,EOMONTH(DATE(cfg_FY,12,1),0))-$E169+1))</f>
        <v>0</v>
      </c>
      <c r="AT169" s="133" t="n">
        <f aca="false">IF(OR(OR($B169="",$E169="",$F169=""),$K169&lt;&gt;"نعم",$M169="نعم"),0,MAX(0,MIN($F169,EOMONTH(DATE(cfg_FY,1,1),0))-MAX($E169,DATE(cfg_FY,1,1))+1))</f>
        <v>0</v>
      </c>
      <c r="AU169" s="133" t="n">
        <f aca="false">IF(OR(OR($B169="",$E169="",$F169=""),$K169&lt;&gt;"نعم",$M169="نعم"),0,MAX(0,MIN($F169,EOMONTH(DATE(cfg_FY,2,1),0))-MAX($E169,DATE(cfg_FY,2,1))+1))</f>
        <v>0</v>
      </c>
      <c r="AV169" s="133" t="n">
        <f aca="false">IF(OR(OR($B169="",$E169="",$F169=""),$K169&lt;&gt;"نعم",$M169="نعم"),0,MAX(0,MIN($F169,EOMONTH(DATE(cfg_FY,3,1),0))-MAX($E169,DATE(cfg_FY,3,1))+1))</f>
        <v>0</v>
      </c>
      <c r="AW169" s="133" t="n">
        <f aca="false">IF(OR(OR($B169="",$E169="",$F169=""),$K169&lt;&gt;"نعم",$M169="نعم"),0,MAX(0,MIN($F169,EOMONTH(DATE(cfg_FY,4,1),0))-MAX($E169,DATE(cfg_FY,4,1))+1))</f>
        <v>0</v>
      </c>
      <c r="AX169" s="133" t="n">
        <f aca="false">IF(OR(OR($B169="",$E169="",$F169=""),$K169&lt;&gt;"نعم",$M169="نعم"),0,MAX(0,MIN($F169,EOMONTH(DATE(cfg_FY,5,1),0))-MAX($E169,DATE(cfg_FY,5,1))+1))</f>
        <v>0</v>
      </c>
      <c r="AY169" s="133" t="n">
        <f aca="false">IF(OR(OR($B169="",$E169="",$F169=""),$K169&lt;&gt;"نعم",$M169="نعم"),0,MAX(0,MIN($F169,EOMONTH(DATE(cfg_FY,6,1),0))-MAX($E169,DATE(cfg_FY,6,1))+1))</f>
        <v>0</v>
      </c>
      <c r="AZ169" s="133" t="n">
        <f aca="false">IF(OR(OR($B169="",$E169="",$F169=""),$K169&lt;&gt;"نعم",$M169="نعم"),0,MAX(0,MIN($F169,EOMONTH(DATE(cfg_FY,7,1),0))-MAX($E169,DATE(cfg_FY,7,1))+1))</f>
        <v>0</v>
      </c>
      <c r="BA169" s="133" t="n">
        <f aca="false">IF(OR(OR($B169="",$E169="",$F169=""),$K169&lt;&gt;"نعم",$M169="نعم"),0,MAX(0,MIN($F169,EOMONTH(DATE(cfg_FY,8,1),0))-MAX($E169,DATE(cfg_FY,8,1))+1))</f>
        <v>0</v>
      </c>
      <c r="BB169" s="133" t="n">
        <f aca="false">IF(OR(OR($B169="",$E169="",$F169=""),$K169&lt;&gt;"نعم",$M169="نعم"),0,MAX(0,MIN($F169,EOMONTH(DATE(cfg_FY,9,1),0))-MAX($E169,DATE(cfg_FY,9,1))+1))</f>
        <v>0</v>
      </c>
      <c r="BC169" s="133" t="n">
        <f aca="false">IF(OR(OR($B169="",$E169="",$F169=""),$K169&lt;&gt;"نعم",$M169="نعم"),0,MAX(0,MIN($F169,EOMONTH(DATE(cfg_FY,10,1),0))-MAX($E169,DATE(cfg_FY,10,1))+1))</f>
        <v>0</v>
      </c>
      <c r="BD169" s="133" t="n">
        <f aca="false">IF(OR(OR($B169="",$E169="",$F169=""),$K169&lt;&gt;"نعم",$M169="نعم"),0,MAX(0,MIN($F169,EOMONTH(DATE(cfg_FY,11,1),0))-MAX($E169,DATE(cfg_FY,11,1))+1))</f>
        <v>0</v>
      </c>
      <c r="BE169" s="133" t="n">
        <f aca="false">IF(OR(OR($B169="",$E169="",$F169=""),$K169&lt;&gt;"نعم",$M169="نعم"),0,MAX(0,MIN($F169,EOMONTH(DATE(cfg_FY,12,1),0))-MAX($E169,DATE(cfg_FY,12,1))+1))</f>
        <v>0</v>
      </c>
    </row>
    <row r="170" customFormat="false" ht="15" hidden="false" customHeight="false" outlineLevel="0" collapsed="false">
      <c r="A170" s="106" t="str">
        <f aca="false">IF(B170="","",ROW()-5)</f>
        <v/>
      </c>
      <c r="B170" s="118"/>
      <c r="C170" s="114" t="str">
        <f aca="false">IF(B170="","",IFERROR(INDEX(الموظفون!$C$6:$C$105,MATCH(B170,الموظفون!$B$6:$B$105,0)),"✖ رقم غير موجود"))</f>
        <v/>
      </c>
      <c r="D170" s="118"/>
      <c r="E170" s="119"/>
      <c r="F170" s="119"/>
      <c r="G170" s="65" t="str">
        <f aca="false">IF(OR($B170="",$E170="",$F170=""),"",MAX(0,F170-E170+1))</f>
        <v/>
      </c>
      <c r="H170" s="66" t="str">
        <f aca="false">IF(D170="","",IFERROR(VLOOKUP(D170,cfg_LT,2,FALSE()),1))</f>
        <v/>
      </c>
      <c r="I170" s="135"/>
      <c r="J170" s="66" t="str">
        <f aca="false">IF(D170="","",IF(I170&lt;&gt;"",I170,H170))</f>
        <v/>
      </c>
      <c r="K170" s="114" t="str">
        <f aca="false">IF(D170="","",IFERROR(VLOOKUP($D170,cfg_LT,3,FALSE()),""))</f>
        <v/>
      </c>
      <c r="L170" s="114" t="str">
        <f aca="false">IF(D170="","",IFERROR(VLOOKUP($D170,cfg_LT,4,FALSE()),""))</f>
        <v/>
      </c>
      <c r="M170" s="114" t="str">
        <f aca="false">IF(D170="","",IFERROR(VLOOKUP($D170,cfg_LT,5,FALSE()),""))</f>
        <v/>
      </c>
      <c r="N170" s="111" t="n">
        <f aca="false">IF(OR(OR($B170="",$E170="",$F170=""),M170&lt;&gt;"نعم"),0,G170*J170*IFERROR(INDEX(الموظفون!$R$6:$R$105,MATCH(B170,الموظفون!$B$6:$B$105,0)),0)/cfg_DAYS_M)</f>
        <v>0</v>
      </c>
      <c r="O170" s="106" t="str">
        <f aca="false">IF(OR(OR($B170="",$E170="",$F170=""),M170&lt;&gt;"نعم"),"",IF(YEAR(E170)=cfg_FY,MONTH(E170),""))</f>
        <v/>
      </c>
      <c r="P170" s="114" t="str">
        <f aca="false">IF(B170="","",IF(OR(D170="",E170="",F170=""),"⚠ أكمل النوع والتواريخ",IF(F170&lt;E170,"✖ النهاية قبل البداية",IF(COUNTIFS($B$6:$B$505,B170,$E$6:$E$505,"&lt;="&amp;F170,$F$6:$F$505,"&gt;="&amp;E170)&gt;1,"⚠ تداخل مع سجل آخر",IF(E170&gt;cfg_VAL_DATE,"⏳ قادمة",IF(F170&lt;cfg_VAL_DATE,"✔ منتهية","✈ جارية في تاريخ التقرير"))))))</f>
        <v/>
      </c>
      <c r="Q170" s="118"/>
      <c r="R170" s="65" t="n">
        <f aca="false">IF(OR(OR($B170="",$E170="",$F170=""),L170&lt;&gt;"لا"),0,MAX(0,MIN(F170,cfg_Y_START-1)-E170+1))</f>
        <v>0</v>
      </c>
      <c r="S170" s="65" t="n">
        <f aca="false">IF(OR(OR($B170="",$E170="",$F170=""),L170&lt;&gt;"لا"),0,MAX(0,MIN(F170,cfg_VAL_DATE)-E170+1))</f>
        <v>0</v>
      </c>
      <c r="T170" s="65" t="n">
        <f aca="false">IF(OR(OR($B170="",$E170="",$F170=""),K170&lt;&gt;"نعم"),0,IF(M170="نعم",IF(AND(ISNUMBER(O170),N(O170)&lt;=cfg_VAL_M),G170,0),MAX(0,MIN(F170,cfg_VAL_DATE)-MAX(E170,cfg_Y_START)+1)))</f>
        <v>0</v>
      </c>
      <c r="V170" s="65" t="n">
        <f aca="false">IF(OR($B170="",$E170="",$F170=""),0,MAX(0,MIN($F170,EOMONTH(DATE(cfg_FY,1,1),0))-MAX($E170,DATE(cfg_FY,1,1))+1)*(1-IF($M170="نعم",0,N($J170))))</f>
        <v>0</v>
      </c>
      <c r="W170" s="65" t="n">
        <f aca="false">IF(OR($B170="",$E170="",$F170=""),0,MAX(0,MIN($F170,EOMONTH(DATE(cfg_FY,2,1),0))-MAX($E170,DATE(cfg_FY,2,1))+1)*(1-IF($M170="نعم",0,N($J170))))</f>
        <v>0</v>
      </c>
      <c r="X170" s="65" t="n">
        <f aca="false">IF(OR($B170="",$E170="",$F170=""),0,MAX(0,MIN($F170,EOMONTH(DATE(cfg_FY,3,1),0))-MAX($E170,DATE(cfg_FY,3,1))+1)*(1-IF($M170="نعم",0,N($J170))))</f>
        <v>0</v>
      </c>
      <c r="Y170" s="65" t="n">
        <f aca="false">IF(OR($B170="",$E170="",$F170=""),0,MAX(0,MIN($F170,EOMONTH(DATE(cfg_FY,4,1),0))-MAX($E170,DATE(cfg_FY,4,1))+1)*(1-IF($M170="نعم",0,N($J170))))</f>
        <v>0</v>
      </c>
      <c r="Z170" s="65" t="n">
        <f aca="false">IF(OR($B170="",$E170="",$F170=""),0,MAX(0,MIN($F170,EOMONTH(DATE(cfg_FY,5,1),0))-MAX($E170,DATE(cfg_FY,5,1))+1)*(1-IF($M170="نعم",0,N($J170))))</f>
        <v>0</v>
      </c>
      <c r="AA170" s="65" t="n">
        <f aca="false">IF(OR($B170="",$E170="",$F170=""),0,MAX(0,MIN($F170,EOMONTH(DATE(cfg_FY,6,1),0))-MAX($E170,DATE(cfg_FY,6,1))+1)*(1-IF($M170="نعم",0,N($J170))))</f>
        <v>0</v>
      </c>
      <c r="AB170" s="65" t="n">
        <f aca="false">IF(OR($B170="",$E170="",$F170=""),0,MAX(0,MIN($F170,EOMONTH(DATE(cfg_FY,7,1),0))-MAX($E170,DATE(cfg_FY,7,1))+1)*(1-IF($M170="نعم",0,N($J170))))</f>
        <v>0</v>
      </c>
      <c r="AC170" s="65" t="n">
        <f aca="false">IF(OR($B170="",$E170="",$F170=""),0,MAX(0,MIN($F170,EOMONTH(DATE(cfg_FY,8,1),0))-MAX($E170,DATE(cfg_FY,8,1))+1)*(1-IF($M170="نعم",0,N($J170))))</f>
        <v>0</v>
      </c>
      <c r="AD170" s="65" t="n">
        <f aca="false">IF(OR($B170="",$E170="",$F170=""),0,MAX(0,MIN($F170,EOMONTH(DATE(cfg_FY,9,1),0))-MAX($E170,DATE(cfg_FY,9,1))+1)*(1-IF($M170="نعم",0,N($J170))))</f>
        <v>0</v>
      </c>
      <c r="AE170" s="65" t="n">
        <f aca="false">IF(OR($B170="",$E170="",$F170=""),0,MAX(0,MIN($F170,EOMONTH(DATE(cfg_FY,10,1),0))-MAX($E170,DATE(cfg_FY,10,1))+1)*(1-IF($M170="نعم",0,N($J170))))</f>
        <v>0</v>
      </c>
      <c r="AF170" s="65" t="n">
        <f aca="false">IF(OR($B170="",$E170="",$F170=""),0,MAX(0,MIN($F170,EOMONTH(DATE(cfg_FY,11,1),0))-MAX($E170,DATE(cfg_FY,11,1))+1)*(1-IF($M170="نعم",0,N($J170))))</f>
        <v>0</v>
      </c>
      <c r="AG170" s="65" t="n">
        <f aca="false">IF(OR($B170="",$E170="",$F170=""),0,MAX(0,MIN($F170,EOMONTH(DATE(cfg_FY,12,1),0))-MAX($E170,DATE(cfg_FY,12,1))+1)*(1-IF($M170="نعم",0,N($J170))))</f>
        <v>0</v>
      </c>
      <c r="AH170" s="65" t="n">
        <f aca="false">IF(OR(OR($B170="",$E170="",$F170=""),$L170&lt;&gt;"لا"),0,MAX(0,MIN($F170,EOMONTH(DATE(cfg_FY,1,1),0))-$E170+1))</f>
        <v>0</v>
      </c>
      <c r="AI170" s="65" t="n">
        <f aca="false">IF(OR(OR($B170="",$E170="",$F170=""),$L170&lt;&gt;"لا"),0,MAX(0,MIN($F170,EOMONTH(DATE(cfg_FY,2,1),0))-$E170+1))</f>
        <v>0</v>
      </c>
      <c r="AJ170" s="65" t="n">
        <f aca="false">IF(OR(OR($B170="",$E170="",$F170=""),$L170&lt;&gt;"لا"),0,MAX(0,MIN($F170,EOMONTH(DATE(cfg_FY,3,1),0))-$E170+1))</f>
        <v>0</v>
      </c>
      <c r="AK170" s="65" t="n">
        <f aca="false">IF(OR(OR($B170="",$E170="",$F170=""),$L170&lt;&gt;"لا"),0,MAX(0,MIN($F170,EOMONTH(DATE(cfg_FY,4,1),0))-$E170+1))</f>
        <v>0</v>
      </c>
      <c r="AL170" s="65" t="n">
        <f aca="false">IF(OR(OR($B170="",$E170="",$F170=""),$L170&lt;&gt;"لا"),0,MAX(0,MIN($F170,EOMONTH(DATE(cfg_FY,5,1),0))-$E170+1))</f>
        <v>0</v>
      </c>
      <c r="AM170" s="65" t="n">
        <f aca="false">IF(OR(OR($B170="",$E170="",$F170=""),$L170&lt;&gt;"لا"),0,MAX(0,MIN($F170,EOMONTH(DATE(cfg_FY,6,1),0))-$E170+1))</f>
        <v>0</v>
      </c>
      <c r="AN170" s="65" t="n">
        <f aca="false">IF(OR(OR($B170="",$E170="",$F170=""),$L170&lt;&gt;"لا"),0,MAX(0,MIN($F170,EOMONTH(DATE(cfg_FY,7,1),0))-$E170+1))</f>
        <v>0</v>
      </c>
      <c r="AO170" s="65" t="n">
        <f aca="false">IF(OR(OR($B170="",$E170="",$F170=""),$L170&lt;&gt;"لا"),0,MAX(0,MIN($F170,EOMONTH(DATE(cfg_FY,8,1),0))-$E170+1))</f>
        <v>0</v>
      </c>
      <c r="AP170" s="65" t="n">
        <f aca="false">IF(OR(OR($B170="",$E170="",$F170=""),$L170&lt;&gt;"لا"),0,MAX(0,MIN($F170,EOMONTH(DATE(cfg_FY,9,1),0))-$E170+1))</f>
        <v>0</v>
      </c>
      <c r="AQ170" s="65" t="n">
        <f aca="false">IF(OR(OR($B170="",$E170="",$F170=""),$L170&lt;&gt;"لا"),0,MAX(0,MIN($F170,EOMONTH(DATE(cfg_FY,10,1),0))-$E170+1))</f>
        <v>0</v>
      </c>
      <c r="AR170" s="65" t="n">
        <f aca="false">IF(OR(OR($B170="",$E170="",$F170=""),$L170&lt;&gt;"لا"),0,MAX(0,MIN($F170,EOMONTH(DATE(cfg_FY,11,1),0))-$E170+1))</f>
        <v>0</v>
      </c>
      <c r="AS170" s="65" t="n">
        <f aca="false">IF(OR(OR($B170="",$E170="",$F170=""),$L170&lt;&gt;"لا"),0,MAX(0,MIN($F170,EOMONTH(DATE(cfg_FY,12,1),0))-$E170+1))</f>
        <v>0</v>
      </c>
      <c r="AT170" s="65" t="n">
        <f aca="false">IF(OR(OR($B170="",$E170="",$F170=""),$K170&lt;&gt;"نعم",$M170="نعم"),0,MAX(0,MIN($F170,EOMONTH(DATE(cfg_FY,1,1),0))-MAX($E170,DATE(cfg_FY,1,1))+1))</f>
        <v>0</v>
      </c>
      <c r="AU170" s="65" t="n">
        <f aca="false">IF(OR(OR($B170="",$E170="",$F170=""),$K170&lt;&gt;"نعم",$M170="نعم"),0,MAX(0,MIN($F170,EOMONTH(DATE(cfg_FY,2,1),0))-MAX($E170,DATE(cfg_FY,2,1))+1))</f>
        <v>0</v>
      </c>
      <c r="AV170" s="65" t="n">
        <f aca="false">IF(OR(OR($B170="",$E170="",$F170=""),$K170&lt;&gt;"نعم",$M170="نعم"),0,MAX(0,MIN($F170,EOMONTH(DATE(cfg_FY,3,1),0))-MAX($E170,DATE(cfg_FY,3,1))+1))</f>
        <v>0</v>
      </c>
      <c r="AW170" s="65" t="n">
        <f aca="false">IF(OR(OR($B170="",$E170="",$F170=""),$K170&lt;&gt;"نعم",$M170="نعم"),0,MAX(0,MIN($F170,EOMONTH(DATE(cfg_FY,4,1),0))-MAX($E170,DATE(cfg_FY,4,1))+1))</f>
        <v>0</v>
      </c>
      <c r="AX170" s="65" t="n">
        <f aca="false">IF(OR(OR($B170="",$E170="",$F170=""),$K170&lt;&gt;"نعم",$M170="نعم"),0,MAX(0,MIN($F170,EOMONTH(DATE(cfg_FY,5,1),0))-MAX($E170,DATE(cfg_FY,5,1))+1))</f>
        <v>0</v>
      </c>
      <c r="AY170" s="65" t="n">
        <f aca="false">IF(OR(OR($B170="",$E170="",$F170=""),$K170&lt;&gt;"نعم",$M170="نعم"),0,MAX(0,MIN($F170,EOMONTH(DATE(cfg_FY,6,1),0))-MAX($E170,DATE(cfg_FY,6,1))+1))</f>
        <v>0</v>
      </c>
      <c r="AZ170" s="65" t="n">
        <f aca="false">IF(OR(OR($B170="",$E170="",$F170=""),$K170&lt;&gt;"نعم",$M170="نعم"),0,MAX(0,MIN($F170,EOMONTH(DATE(cfg_FY,7,1),0))-MAX($E170,DATE(cfg_FY,7,1))+1))</f>
        <v>0</v>
      </c>
      <c r="BA170" s="65" t="n">
        <f aca="false">IF(OR(OR($B170="",$E170="",$F170=""),$K170&lt;&gt;"نعم",$M170="نعم"),0,MAX(0,MIN($F170,EOMONTH(DATE(cfg_FY,8,1),0))-MAX($E170,DATE(cfg_FY,8,1))+1))</f>
        <v>0</v>
      </c>
      <c r="BB170" s="65" t="n">
        <f aca="false">IF(OR(OR($B170="",$E170="",$F170=""),$K170&lt;&gt;"نعم",$M170="نعم"),0,MAX(0,MIN($F170,EOMONTH(DATE(cfg_FY,9,1),0))-MAX($E170,DATE(cfg_FY,9,1))+1))</f>
        <v>0</v>
      </c>
      <c r="BC170" s="65" t="n">
        <f aca="false">IF(OR(OR($B170="",$E170="",$F170=""),$K170&lt;&gt;"نعم",$M170="نعم"),0,MAX(0,MIN($F170,EOMONTH(DATE(cfg_FY,10,1),0))-MAX($E170,DATE(cfg_FY,10,1))+1))</f>
        <v>0</v>
      </c>
      <c r="BD170" s="65" t="n">
        <f aca="false">IF(OR(OR($B170="",$E170="",$F170=""),$K170&lt;&gt;"نعم",$M170="نعم"),0,MAX(0,MIN($F170,EOMONTH(DATE(cfg_FY,11,1),0))-MAX($E170,DATE(cfg_FY,11,1))+1))</f>
        <v>0</v>
      </c>
      <c r="BE170" s="65" t="n">
        <f aca="false">IF(OR(OR($B170="",$E170="",$F170=""),$K170&lt;&gt;"نعم",$M170="نعم"),0,MAX(0,MIN($F170,EOMONTH(DATE(cfg_FY,12,1),0))-MAX($E170,DATE(cfg_FY,12,1))+1))</f>
        <v>0</v>
      </c>
    </row>
    <row r="171" customFormat="false" ht="15" hidden="false" customHeight="false" outlineLevel="0" collapsed="false">
      <c r="A171" s="115" t="str">
        <f aca="false">IF(B171="","",ROW()-5)</f>
        <v/>
      </c>
      <c r="B171" s="118"/>
      <c r="C171" s="117" t="str">
        <f aca="false">IF(B171="","",IFERROR(INDEX(الموظفون!$C$6:$C$105,MATCH(B171,الموظفون!$B$6:$B$105,0)),"✖ رقم غير موجود"))</f>
        <v/>
      </c>
      <c r="D171" s="118"/>
      <c r="E171" s="119"/>
      <c r="F171" s="119"/>
      <c r="G171" s="133" t="str">
        <f aca="false">IF(OR($B171="",$E171="",$F171=""),"",MAX(0,F171-E171+1))</f>
        <v/>
      </c>
      <c r="H171" s="134" t="str">
        <f aca="false">IF(D171="","",IFERROR(VLOOKUP(D171,cfg_LT,2,FALSE()),1))</f>
        <v/>
      </c>
      <c r="I171" s="135"/>
      <c r="J171" s="134" t="str">
        <f aca="false">IF(D171="","",IF(I171&lt;&gt;"",I171,H171))</f>
        <v/>
      </c>
      <c r="K171" s="117" t="str">
        <f aca="false">IF(D171="","",IFERROR(VLOOKUP($D171,cfg_LT,3,FALSE()),""))</f>
        <v/>
      </c>
      <c r="L171" s="117" t="str">
        <f aca="false">IF(D171="","",IFERROR(VLOOKUP($D171,cfg_LT,4,FALSE()),""))</f>
        <v/>
      </c>
      <c r="M171" s="117" t="str">
        <f aca="false">IF(D171="","",IFERROR(VLOOKUP($D171,cfg_LT,5,FALSE()),""))</f>
        <v/>
      </c>
      <c r="N171" s="116" t="n">
        <f aca="false">IF(OR(OR($B171="",$E171="",$F171=""),M171&lt;&gt;"نعم"),0,G171*J171*IFERROR(INDEX(الموظفون!$R$6:$R$105,MATCH(B171,الموظفون!$B$6:$B$105,0)),0)/cfg_DAYS_M)</f>
        <v>0</v>
      </c>
      <c r="O171" s="115" t="str">
        <f aca="false">IF(OR(OR($B171="",$E171="",$F171=""),M171&lt;&gt;"نعم"),"",IF(YEAR(E171)=cfg_FY,MONTH(E171),""))</f>
        <v/>
      </c>
      <c r="P171" s="117" t="str">
        <f aca="false">IF(B171="","",IF(OR(D171="",E171="",F171=""),"⚠ أكمل النوع والتواريخ",IF(F171&lt;E171,"✖ النهاية قبل البداية",IF(COUNTIFS($B$6:$B$505,B171,$E$6:$E$505,"&lt;="&amp;F171,$F$6:$F$505,"&gt;="&amp;E171)&gt;1,"⚠ تداخل مع سجل آخر",IF(E171&gt;cfg_VAL_DATE,"⏳ قادمة",IF(F171&lt;cfg_VAL_DATE,"✔ منتهية","✈ جارية في تاريخ التقرير"))))))</f>
        <v/>
      </c>
      <c r="Q171" s="118"/>
      <c r="R171" s="133" t="n">
        <f aca="false">IF(OR(OR($B171="",$E171="",$F171=""),L171&lt;&gt;"لا"),0,MAX(0,MIN(F171,cfg_Y_START-1)-E171+1))</f>
        <v>0</v>
      </c>
      <c r="S171" s="133" t="n">
        <f aca="false">IF(OR(OR($B171="",$E171="",$F171=""),L171&lt;&gt;"لا"),0,MAX(0,MIN(F171,cfg_VAL_DATE)-E171+1))</f>
        <v>0</v>
      </c>
      <c r="T171" s="133" t="n">
        <f aca="false">IF(OR(OR($B171="",$E171="",$F171=""),K171&lt;&gt;"نعم"),0,IF(M171="نعم",IF(AND(ISNUMBER(O171),N(O171)&lt;=cfg_VAL_M),G171,0),MAX(0,MIN(F171,cfg_VAL_DATE)-MAX(E171,cfg_Y_START)+1)))</f>
        <v>0</v>
      </c>
      <c r="V171" s="133" t="n">
        <f aca="false">IF(OR($B171="",$E171="",$F171=""),0,MAX(0,MIN($F171,EOMONTH(DATE(cfg_FY,1,1),0))-MAX($E171,DATE(cfg_FY,1,1))+1)*(1-IF($M171="نعم",0,N($J171))))</f>
        <v>0</v>
      </c>
      <c r="W171" s="133" t="n">
        <f aca="false">IF(OR($B171="",$E171="",$F171=""),0,MAX(0,MIN($F171,EOMONTH(DATE(cfg_FY,2,1),0))-MAX($E171,DATE(cfg_FY,2,1))+1)*(1-IF($M171="نعم",0,N($J171))))</f>
        <v>0</v>
      </c>
      <c r="X171" s="133" t="n">
        <f aca="false">IF(OR($B171="",$E171="",$F171=""),0,MAX(0,MIN($F171,EOMONTH(DATE(cfg_FY,3,1),0))-MAX($E171,DATE(cfg_FY,3,1))+1)*(1-IF($M171="نعم",0,N($J171))))</f>
        <v>0</v>
      </c>
      <c r="Y171" s="133" t="n">
        <f aca="false">IF(OR($B171="",$E171="",$F171=""),0,MAX(0,MIN($F171,EOMONTH(DATE(cfg_FY,4,1),0))-MAX($E171,DATE(cfg_FY,4,1))+1)*(1-IF($M171="نعم",0,N($J171))))</f>
        <v>0</v>
      </c>
      <c r="Z171" s="133" t="n">
        <f aca="false">IF(OR($B171="",$E171="",$F171=""),0,MAX(0,MIN($F171,EOMONTH(DATE(cfg_FY,5,1),0))-MAX($E171,DATE(cfg_FY,5,1))+1)*(1-IF($M171="نعم",0,N($J171))))</f>
        <v>0</v>
      </c>
      <c r="AA171" s="133" t="n">
        <f aca="false">IF(OR($B171="",$E171="",$F171=""),0,MAX(0,MIN($F171,EOMONTH(DATE(cfg_FY,6,1),0))-MAX($E171,DATE(cfg_FY,6,1))+1)*(1-IF($M171="نعم",0,N($J171))))</f>
        <v>0</v>
      </c>
      <c r="AB171" s="133" t="n">
        <f aca="false">IF(OR($B171="",$E171="",$F171=""),0,MAX(0,MIN($F171,EOMONTH(DATE(cfg_FY,7,1),0))-MAX($E171,DATE(cfg_FY,7,1))+1)*(1-IF($M171="نعم",0,N($J171))))</f>
        <v>0</v>
      </c>
      <c r="AC171" s="133" t="n">
        <f aca="false">IF(OR($B171="",$E171="",$F171=""),0,MAX(0,MIN($F171,EOMONTH(DATE(cfg_FY,8,1),0))-MAX($E171,DATE(cfg_FY,8,1))+1)*(1-IF($M171="نعم",0,N($J171))))</f>
        <v>0</v>
      </c>
      <c r="AD171" s="133" t="n">
        <f aca="false">IF(OR($B171="",$E171="",$F171=""),0,MAX(0,MIN($F171,EOMONTH(DATE(cfg_FY,9,1),0))-MAX($E171,DATE(cfg_FY,9,1))+1)*(1-IF($M171="نعم",0,N($J171))))</f>
        <v>0</v>
      </c>
      <c r="AE171" s="133" t="n">
        <f aca="false">IF(OR($B171="",$E171="",$F171=""),0,MAX(0,MIN($F171,EOMONTH(DATE(cfg_FY,10,1),0))-MAX($E171,DATE(cfg_FY,10,1))+1)*(1-IF($M171="نعم",0,N($J171))))</f>
        <v>0</v>
      </c>
      <c r="AF171" s="133" t="n">
        <f aca="false">IF(OR($B171="",$E171="",$F171=""),0,MAX(0,MIN($F171,EOMONTH(DATE(cfg_FY,11,1),0))-MAX($E171,DATE(cfg_FY,11,1))+1)*(1-IF($M171="نعم",0,N($J171))))</f>
        <v>0</v>
      </c>
      <c r="AG171" s="133" t="n">
        <f aca="false">IF(OR($B171="",$E171="",$F171=""),0,MAX(0,MIN($F171,EOMONTH(DATE(cfg_FY,12,1),0))-MAX($E171,DATE(cfg_FY,12,1))+1)*(1-IF($M171="نعم",0,N($J171))))</f>
        <v>0</v>
      </c>
      <c r="AH171" s="133" t="n">
        <f aca="false">IF(OR(OR($B171="",$E171="",$F171=""),$L171&lt;&gt;"لا"),0,MAX(0,MIN($F171,EOMONTH(DATE(cfg_FY,1,1),0))-$E171+1))</f>
        <v>0</v>
      </c>
      <c r="AI171" s="133" t="n">
        <f aca="false">IF(OR(OR($B171="",$E171="",$F171=""),$L171&lt;&gt;"لا"),0,MAX(0,MIN($F171,EOMONTH(DATE(cfg_FY,2,1),0))-$E171+1))</f>
        <v>0</v>
      </c>
      <c r="AJ171" s="133" t="n">
        <f aca="false">IF(OR(OR($B171="",$E171="",$F171=""),$L171&lt;&gt;"لا"),0,MAX(0,MIN($F171,EOMONTH(DATE(cfg_FY,3,1),0))-$E171+1))</f>
        <v>0</v>
      </c>
      <c r="AK171" s="133" t="n">
        <f aca="false">IF(OR(OR($B171="",$E171="",$F171=""),$L171&lt;&gt;"لا"),0,MAX(0,MIN($F171,EOMONTH(DATE(cfg_FY,4,1),0))-$E171+1))</f>
        <v>0</v>
      </c>
      <c r="AL171" s="133" t="n">
        <f aca="false">IF(OR(OR($B171="",$E171="",$F171=""),$L171&lt;&gt;"لا"),0,MAX(0,MIN($F171,EOMONTH(DATE(cfg_FY,5,1),0))-$E171+1))</f>
        <v>0</v>
      </c>
      <c r="AM171" s="133" t="n">
        <f aca="false">IF(OR(OR($B171="",$E171="",$F171=""),$L171&lt;&gt;"لا"),0,MAX(0,MIN($F171,EOMONTH(DATE(cfg_FY,6,1),0))-$E171+1))</f>
        <v>0</v>
      </c>
      <c r="AN171" s="133" t="n">
        <f aca="false">IF(OR(OR($B171="",$E171="",$F171=""),$L171&lt;&gt;"لا"),0,MAX(0,MIN($F171,EOMONTH(DATE(cfg_FY,7,1),0))-$E171+1))</f>
        <v>0</v>
      </c>
      <c r="AO171" s="133" t="n">
        <f aca="false">IF(OR(OR($B171="",$E171="",$F171=""),$L171&lt;&gt;"لا"),0,MAX(0,MIN($F171,EOMONTH(DATE(cfg_FY,8,1),0))-$E171+1))</f>
        <v>0</v>
      </c>
      <c r="AP171" s="133" t="n">
        <f aca="false">IF(OR(OR($B171="",$E171="",$F171=""),$L171&lt;&gt;"لا"),0,MAX(0,MIN($F171,EOMONTH(DATE(cfg_FY,9,1),0))-$E171+1))</f>
        <v>0</v>
      </c>
      <c r="AQ171" s="133" t="n">
        <f aca="false">IF(OR(OR($B171="",$E171="",$F171=""),$L171&lt;&gt;"لا"),0,MAX(0,MIN($F171,EOMONTH(DATE(cfg_FY,10,1),0))-$E171+1))</f>
        <v>0</v>
      </c>
      <c r="AR171" s="133" t="n">
        <f aca="false">IF(OR(OR($B171="",$E171="",$F171=""),$L171&lt;&gt;"لا"),0,MAX(0,MIN($F171,EOMONTH(DATE(cfg_FY,11,1),0))-$E171+1))</f>
        <v>0</v>
      </c>
      <c r="AS171" s="133" t="n">
        <f aca="false">IF(OR(OR($B171="",$E171="",$F171=""),$L171&lt;&gt;"لا"),0,MAX(0,MIN($F171,EOMONTH(DATE(cfg_FY,12,1),0))-$E171+1))</f>
        <v>0</v>
      </c>
      <c r="AT171" s="133" t="n">
        <f aca="false">IF(OR(OR($B171="",$E171="",$F171=""),$K171&lt;&gt;"نعم",$M171="نعم"),0,MAX(0,MIN($F171,EOMONTH(DATE(cfg_FY,1,1),0))-MAX($E171,DATE(cfg_FY,1,1))+1))</f>
        <v>0</v>
      </c>
      <c r="AU171" s="133" t="n">
        <f aca="false">IF(OR(OR($B171="",$E171="",$F171=""),$K171&lt;&gt;"نعم",$M171="نعم"),0,MAX(0,MIN($F171,EOMONTH(DATE(cfg_FY,2,1),0))-MAX($E171,DATE(cfg_FY,2,1))+1))</f>
        <v>0</v>
      </c>
      <c r="AV171" s="133" t="n">
        <f aca="false">IF(OR(OR($B171="",$E171="",$F171=""),$K171&lt;&gt;"نعم",$M171="نعم"),0,MAX(0,MIN($F171,EOMONTH(DATE(cfg_FY,3,1),0))-MAX($E171,DATE(cfg_FY,3,1))+1))</f>
        <v>0</v>
      </c>
      <c r="AW171" s="133" t="n">
        <f aca="false">IF(OR(OR($B171="",$E171="",$F171=""),$K171&lt;&gt;"نعم",$M171="نعم"),0,MAX(0,MIN($F171,EOMONTH(DATE(cfg_FY,4,1),0))-MAX($E171,DATE(cfg_FY,4,1))+1))</f>
        <v>0</v>
      </c>
      <c r="AX171" s="133" t="n">
        <f aca="false">IF(OR(OR($B171="",$E171="",$F171=""),$K171&lt;&gt;"نعم",$M171="نعم"),0,MAX(0,MIN($F171,EOMONTH(DATE(cfg_FY,5,1),0))-MAX($E171,DATE(cfg_FY,5,1))+1))</f>
        <v>0</v>
      </c>
      <c r="AY171" s="133" t="n">
        <f aca="false">IF(OR(OR($B171="",$E171="",$F171=""),$K171&lt;&gt;"نعم",$M171="نعم"),0,MAX(0,MIN($F171,EOMONTH(DATE(cfg_FY,6,1),0))-MAX($E171,DATE(cfg_FY,6,1))+1))</f>
        <v>0</v>
      </c>
      <c r="AZ171" s="133" t="n">
        <f aca="false">IF(OR(OR($B171="",$E171="",$F171=""),$K171&lt;&gt;"نعم",$M171="نعم"),0,MAX(0,MIN($F171,EOMONTH(DATE(cfg_FY,7,1),0))-MAX($E171,DATE(cfg_FY,7,1))+1))</f>
        <v>0</v>
      </c>
      <c r="BA171" s="133" t="n">
        <f aca="false">IF(OR(OR($B171="",$E171="",$F171=""),$K171&lt;&gt;"نعم",$M171="نعم"),0,MAX(0,MIN($F171,EOMONTH(DATE(cfg_FY,8,1),0))-MAX($E171,DATE(cfg_FY,8,1))+1))</f>
        <v>0</v>
      </c>
      <c r="BB171" s="133" t="n">
        <f aca="false">IF(OR(OR($B171="",$E171="",$F171=""),$K171&lt;&gt;"نعم",$M171="نعم"),0,MAX(0,MIN($F171,EOMONTH(DATE(cfg_FY,9,1),0))-MAX($E171,DATE(cfg_FY,9,1))+1))</f>
        <v>0</v>
      </c>
      <c r="BC171" s="133" t="n">
        <f aca="false">IF(OR(OR($B171="",$E171="",$F171=""),$K171&lt;&gt;"نعم",$M171="نعم"),0,MAX(0,MIN($F171,EOMONTH(DATE(cfg_FY,10,1),0))-MAX($E171,DATE(cfg_FY,10,1))+1))</f>
        <v>0</v>
      </c>
      <c r="BD171" s="133" t="n">
        <f aca="false">IF(OR(OR($B171="",$E171="",$F171=""),$K171&lt;&gt;"نعم",$M171="نعم"),0,MAX(0,MIN($F171,EOMONTH(DATE(cfg_FY,11,1),0))-MAX($E171,DATE(cfg_FY,11,1))+1))</f>
        <v>0</v>
      </c>
      <c r="BE171" s="133" t="n">
        <f aca="false">IF(OR(OR($B171="",$E171="",$F171=""),$K171&lt;&gt;"نعم",$M171="نعم"),0,MAX(0,MIN($F171,EOMONTH(DATE(cfg_FY,12,1),0))-MAX($E171,DATE(cfg_FY,12,1))+1))</f>
        <v>0</v>
      </c>
    </row>
    <row r="172" customFormat="false" ht="15" hidden="false" customHeight="false" outlineLevel="0" collapsed="false">
      <c r="A172" s="106" t="str">
        <f aca="false">IF(B172="","",ROW()-5)</f>
        <v/>
      </c>
      <c r="B172" s="118"/>
      <c r="C172" s="114" t="str">
        <f aca="false">IF(B172="","",IFERROR(INDEX(الموظفون!$C$6:$C$105,MATCH(B172,الموظفون!$B$6:$B$105,0)),"✖ رقم غير موجود"))</f>
        <v/>
      </c>
      <c r="D172" s="118"/>
      <c r="E172" s="119"/>
      <c r="F172" s="119"/>
      <c r="G172" s="65" t="str">
        <f aca="false">IF(OR($B172="",$E172="",$F172=""),"",MAX(0,F172-E172+1))</f>
        <v/>
      </c>
      <c r="H172" s="66" t="str">
        <f aca="false">IF(D172="","",IFERROR(VLOOKUP(D172,cfg_LT,2,FALSE()),1))</f>
        <v/>
      </c>
      <c r="I172" s="135"/>
      <c r="J172" s="66" t="str">
        <f aca="false">IF(D172="","",IF(I172&lt;&gt;"",I172,H172))</f>
        <v/>
      </c>
      <c r="K172" s="114" t="str">
        <f aca="false">IF(D172="","",IFERROR(VLOOKUP($D172,cfg_LT,3,FALSE()),""))</f>
        <v/>
      </c>
      <c r="L172" s="114" t="str">
        <f aca="false">IF(D172="","",IFERROR(VLOOKUP($D172,cfg_LT,4,FALSE()),""))</f>
        <v/>
      </c>
      <c r="M172" s="114" t="str">
        <f aca="false">IF(D172="","",IFERROR(VLOOKUP($D172,cfg_LT,5,FALSE()),""))</f>
        <v/>
      </c>
      <c r="N172" s="111" t="n">
        <f aca="false">IF(OR(OR($B172="",$E172="",$F172=""),M172&lt;&gt;"نعم"),0,G172*J172*IFERROR(INDEX(الموظفون!$R$6:$R$105,MATCH(B172,الموظفون!$B$6:$B$105,0)),0)/cfg_DAYS_M)</f>
        <v>0</v>
      </c>
      <c r="O172" s="106" t="str">
        <f aca="false">IF(OR(OR($B172="",$E172="",$F172=""),M172&lt;&gt;"نعم"),"",IF(YEAR(E172)=cfg_FY,MONTH(E172),""))</f>
        <v/>
      </c>
      <c r="P172" s="114" t="str">
        <f aca="false">IF(B172="","",IF(OR(D172="",E172="",F172=""),"⚠ أكمل النوع والتواريخ",IF(F172&lt;E172,"✖ النهاية قبل البداية",IF(COUNTIFS($B$6:$B$505,B172,$E$6:$E$505,"&lt;="&amp;F172,$F$6:$F$505,"&gt;="&amp;E172)&gt;1,"⚠ تداخل مع سجل آخر",IF(E172&gt;cfg_VAL_DATE,"⏳ قادمة",IF(F172&lt;cfg_VAL_DATE,"✔ منتهية","✈ جارية في تاريخ التقرير"))))))</f>
        <v/>
      </c>
      <c r="Q172" s="118"/>
      <c r="R172" s="65" t="n">
        <f aca="false">IF(OR(OR($B172="",$E172="",$F172=""),L172&lt;&gt;"لا"),0,MAX(0,MIN(F172,cfg_Y_START-1)-E172+1))</f>
        <v>0</v>
      </c>
      <c r="S172" s="65" t="n">
        <f aca="false">IF(OR(OR($B172="",$E172="",$F172=""),L172&lt;&gt;"لا"),0,MAX(0,MIN(F172,cfg_VAL_DATE)-E172+1))</f>
        <v>0</v>
      </c>
      <c r="T172" s="65" t="n">
        <f aca="false">IF(OR(OR($B172="",$E172="",$F172=""),K172&lt;&gt;"نعم"),0,IF(M172="نعم",IF(AND(ISNUMBER(O172),N(O172)&lt;=cfg_VAL_M),G172,0),MAX(0,MIN(F172,cfg_VAL_DATE)-MAX(E172,cfg_Y_START)+1)))</f>
        <v>0</v>
      </c>
      <c r="V172" s="65" t="n">
        <f aca="false">IF(OR($B172="",$E172="",$F172=""),0,MAX(0,MIN($F172,EOMONTH(DATE(cfg_FY,1,1),0))-MAX($E172,DATE(cfg_FY,1,1))+1)*(1-IF($M172="نعم",0,N($J172))))</f>
        <v>0</v>
      </c>
      <c r="W172" s="65" t="n">
        <f aca="false">IF(OR($B172="",$E172="",$F172=""),0,MAX(0,MIN($F172,EOMONTH(DATE(cfg_FY,2,1),0))-MAX($E172,DATE(cfg_FY,2,1))+1)*(1-IF($M172="نعم",0,N($J172))))</f>
        <v>0</v>
      </c>
      <c r="X172" s="65" t="n">
        <f aca="false">IF(OR($B172="",$E172="",$F172=""),0,MAX(0,MIN($F172,EOMONTH(DATE(cfg_FY,3,1),0))-MAX($E172,DATE(cfg_FY,3,1))+1)*(1-IF($M172="نعم",0,N($J172))))</f>
        <v>0</v>
      </c>
      <c r="Y172" s="65" t="n">
        <f aca="false">IF(OR($B172="",$E172="",$F172=""),0,MAX(0,MIN($F172,EOMONTH(DATE(cfg_FY,4,1),0))-MAX($E172,DATE(cfg_FY,4,1))+1)*(1-IF($M172="نعم",0,N($J172))))</f>
        <v>0</v>
      </c>
      <c r="Z172" s="65" t="n">
        <f aca="false">IF(OR($B172="",$E172="",$F172=""),0,MAX(0,MIN($F172,EOMONTH(DATE(cfg_FY,5,1),0))-MAX($E172,DATE(cfg_FY,5,1))+1)*(1-IF($M172="نعم",0,N($J172))))</f>
        <v>0</v>
      </c>
      <c r="AA172" s="65" t="n">
        <f aca="false">IF(OR($B172="",$E172="",$F172=""),0,MAX(0,MIN($F172,EOMONTH(DATE(cfg_FY,6,1),0))-MAX($E172,DATE(cfg_FY,6,1))+1)*(1-IF($M172="نعم",0,N($J172))))</f>
        <v>0</v>
      </c>
      <c r="AB172" s="65" t="n">
        <f aca="false">IF(OR($B172="",$E172="",$F172=""),0,MAX(0,MIN($F172,EOMONTH(DATE(cfg_FY,7,1),0))-MAX($E172,DATE(cfg_FY,7,1))+1)*(1-IF($M172="نعم",0,N($J172))))</f>
        <v>0</v>
      </c>
      <c r="AC172" s="65" t="n">
        <f aca="false">IF(OR($B172="",$E172="",$F172=""),0,MAX(0,MIN($F172,EOMONTH(DATE(cfg_FY,8,1),0))-MAX($E172,DATE(cfg_FY,8,1))+1)*(1-IF($M172="نعم",0,N($J172))))</f>
        <v>0</v>
      </c>
      <c r="AD172" s="65" t="n">
        <f aca="false">IF(OR($B172="",$E172="",$F172=""),0,MAX(0,MIN($F172,EOMONTH(DATE(cfg_FY,9,1),0))-MAX($E172,DATE(cfg_FY,9,1))+1)*(1-IF($M172="نعم",0,N($J172))))</f>
        <v>0</v>
      </c>
      <c r="AE172" s="65" t="n">
        <f aca="false">IF(OR($B172="",$E172="",$F172=""),0,MAX(0,MIN($F172,EOMONTH(DATE(cfg_FY,10,1),0))-MAX($E172,DATE(cfg_FY,10,1))+1)*(1-IF($M172="نعم",0,N($J172))))</f>
        <v>0</v>
      </c>
      <c r="AF172" s="65" t="n">
        <f aca="false">IF(OR($B172="",$E172="",$F172=""),0,MAX(0,MIN($F172,EOMONTH(DATE(cfg_FY,11,1),0))-MAX($E172,DATE(cfg_FY,11,1))+1)*(1-IF($M172="نعم",0,N($J172))))</f>
        <v>0</v>
      </c>
      <c r="AG172" s="65" t="n">
        <f aca="false">IF(OR($B172="",$E172="",$F172=""),0,MAX(0,MIN($F172,EOMONTH(DATE(cfg_FY,12,1),0))-MAX($E172,DATE(cfg_FY,12,1))+1)*(1-IF($M172="نعم",0,N($J172))))</f>
        <v>0</v>
      </c>
      <c r="AH172" s="65" t="n">
        <f aca="false">IF(OR(OR($B172="",$E172="",$F172=""),$L172&lt;&gt;"لا"),0,MAX(0,MIN($F172,EOMONTH(DATE(cfg_FY,1,1),0))-$E172+1))</f>
        <v>0</v>
      </c>
      <c r="AI172" s="65" t="n">
        <f aca="false">IF(OR(OR($B172="",$E172="",$F172=""),$L172&lt;&gt;"لا"),0,MAX(0,MIN($F172,EOMONTH(DATE(cfg_FY,2,1),0))-$E172+1))</f>
        <v>0</v>
      </c>
      <c r="AJ172" s="65" t="n">
        <f aca="false">IF(OR(OR($B172="",$E172="",$F172=""),$L172&lt;&gt;"لا"),0,MAX(0,MIN($F172,EOMONTH(DATE(cfg_FY,3,1),0))-$E172+1))</f>
        <v>0</v>
      </c>
      <c r="AK172" s="65" t="n">
        <f aca="false">IF(OR(OR($B172="",$E172="",$F172=""),$L172&lt;&gt;"لا"),0,MAX(0,MIN($F172,EOMONTH(DATE(cfg_FY,4,1),0))-$E172+1))</f>
        <v>0</v>
      </c>
      <c r="AL172" s="65" t="n">
        <f aca="false">IF(OR(OR($B172="",$E172="",$F172=""),$L172&lt;&gt;"لا"),0,MAX(0,MIN($F172,EOMONTH(DATE(cfg_FY,5,1),0))-$E172+1))</f>
        <v>0</v>
      </c>
      <c r="AM172" s="65" t="n">
        <f aca="false">IF(OR(OR($B172="",$E172="",$F172=""),$L172&lt;&gt;"لا"),0,MAX(0,MIN($F172,EOMONTH(DATE(cfg_FY,6,1),0))-$E172+1))</f>
        <v>0</v>
      </c>
      <c r="AN172" s="65" t="n">
        <f aca="false">IF(OR(OR($B172="",$E172="",$F172=""),$L172&lt;&gt;"لا"),0,MAX(0,MIN($F172,EOMONTH(DATE(cfg_FY,7,1),0))-$E172+1))</f>
        <v>0</v>
      </c>
      <c r="AO172" s="65" t="n">
        <f aca="false">IF(OR(OR($B172="",$E172="",$F172=""),$L172&lt;&gt;"لا"),0,MAX(0,MIN($F172,EOMONTH(DATE(cfg_FY,8,1),0))-$E172+1))</f>
        <v>0</v>
      </c>
      <c r="AP172" s="65" t="n">
        <f aca="false">IF(OR(OR($B172="",$E172="",$F172=""),$L172&lt;&gt;"لا"),0,MAX(0,MIN($F172,EOMONTH(DATE(cfg_FY,9,1),0))-$E172+1))</f>
        <v>0</v>
      </c>
      <c r="AQ172" s="65" t="n">
        <f aca="false">IF(OR(OR($B172="",$E172="",$F172=""),$L172&lt;&gt;"لا"),0,MAX(0,MIN($F172,EOMONTH(DATE(cfg_FY,10,1),0))-$E172+1))</f>
        <v>0</v>
      </c>
      <c r="AR172" s="65" t="n">
        <f aca="false">IF(OR(OR($B172="",$E172="",$F172=""),$L172&lt;&gt;"لا"),0,MAX(0,MIN($F172,EOMONTH(DATE(cfg_FY,11,1),0))-$E172+1))</f>
        <v>0</v>
      </c>
      <c r="AS172" s="65" t="n">
        <f aca="false">IF(OR(OR($B172="",$E172="",$F172=""),$L172&lt;&gt;"لا"),0,MAX(0,MIN($F172,EOMONTH(DATE(cfg_FY,12,1),0))-$E172+1))</f>
        <v>0</v>
      </c>
      <c r="AT172" s="65" t="n">
        <f aca="false">IF(OR(OR($B172="",$E172="",$F172=""),$K172&lt;&gt;"نعم",$M172="نعم"),0,MAX(0,MIN($F172,EOMONTH(DATE(cfg_FY,1,1),0))-MAX($E172,DATE(cfg_FY,1,1))+1))</f>
        <v>0</v>
      </c>
      <c r="AU172" s="65" t="n">
        <f aca="false">IF(OR(OR($B172="",$E172="",$F172=""),$K172&lt;&gt;"نعم",$M172="نعم"),0,MAX(0,MIN($F172,EOMONTH(DATE(cfg_FY,2,1),0))-MAX($E172,DATE(cfg_FY,2,1))+1))</f>
        <v>0</v>
      </c>
      <c r="AV172" s="65" t="n">
        <f aca="false">IF(OR(OR($B172="",$E172="",$F172=""),$K172&lt;&gt;"نعم",$M172="نعم"),0,MAX(0,MIN($F172,EOMONTH(DATE(cfg_FY,3,1),0))-MAX($E172,DATE(cfg_FY,3,1))+1))</f>
        <v>0</v>
      </c>
      <c r="AW172" s="65" t="n">
        <f aca="false">IF(OR(OR($B172="",$E172="",$F172=""),$K172&lt;&gt;"نعم",$M172="نعم"),0,MAX(0,MIN($F172,EOMONTH(DATE(cfg_FY,4,1),0))-MAX($E172,DATE(cfg_FY,4,1))+1))</f>
        <v>0</v>
      </c>
      <c r="AX172" s="65" t="n">
        <f aca="false">IF(OR(OR($B172="",$E172="",$F172=""),$K172&lt;&gt;"نعم",$M172="نعم"),0,MAX(0,MIN($F172,EOMONTH(DATE(cfg_FY,5,1),0))-MAX($E172,DATE(cfg_FY,5,1))+1))</f>
        <v>0</v>
      </c>
      <c r="AY172" s="65" t="n">
        <f aca="false">IF(OR(OR($B172="",$E172="",$F172=""),$K172&lt;&gt;"نعم",$M172="نعم"),0,MAX(0,MIN($F172,EOMONTH(DATE(cfg_FY,6,1),0))-MAX($E172,DATE(cfg_FY,6,1))+1))</f>
        <v>0</v>
      </c>
      <c r="AZ172" s="65" t="n">
        <f aca="false">IF(OR(OR($B172="",$E172="",$F172=""),$K172&lt;&gt;"نعم",$M172="نعم"),0,MAX(0,MIN($F172,EOMONTH(DATE(cfg_FY,7,1),0))-MAX($E172,DATE(cfg_FY,7,1))+1))</f>
        <v>0</v>
      </c>
      <c r="BA172" s="65" t="n">
        <f aca="false">IF(OR(OR($B172="",$E172="",$F172=""),$K172&lt;&gt;"نعم",$M172="نعم"),0,MAX(0,MIN($F172,EOMONTH(DATE(cfg_FY,8,1),0))-MAX($E172,DATE(cfg_FY,8,1))+1))</f>
        <v>0</v>
      </c>
      <c r="BB172" s="65" t="n">
        <f aca="false">IF(OR(OR($B172="",$E172="",$F172=""),$K172&lt;&gt;"نعم",$M172="نعم"),0,MAX(0,MIN($F172,EOMONTH(DATE(cfg_FY,9,1),0))-MAX($E172,DATE(cfg_FY,9,1))+1))</f>
        <v>0</v>
      </c>
      <c r="BC172" s="65" t="n">
        <f aca="false">IF(OR(OR($B172="",$E172="",$F172=""),$K172&lt;&gt;"نعم",$M172="نعم"),0,MAX(0,MIN($F172,EOMONTH(DATE(cfg_FY,10,1),0))-MAX($E172,DATE(cfg_FY,10,1))+1))</f>
        <v>0</v>
      </c>
      <c r="BD172" s="65" t="n">
        <f aca="false">IF(OR(OR($B172="",$E172="",$F172=""),$K172&lt;&gt;"نعم",$M172="نعم"),0,MAX(0,MIN($F172,EOMONTH(DATE(cfg_FY,11,1),0))-MAX($E172,DATE(cfg_FY,11,1))+1))</f>
        <v>0</v>
      </c>
      <c r="BE172" s="65" t="n">
        <f aca="false">IF(OR(OR($B172="",$E172="",$F172=""),$K172&lt;&gt;"نعم",$M172="نعم"),0,MAX(0,MIN($F172,EOMONTH(DATE(cfg_FY,12,1),0))-MAX($E172,DATE(cfg_FY,12,1))+1))</f>
        <v>0</v>
      </c>
    </row>
    <row r="173" customFormat="false" ht="15" hidden="false" customHeight="false" outlineLevel="0" collapsed="false">
      <c r="A173" s="115" t="str">
        <f aca="false">IF(B173="","",ROW()-5)</f>
        <v/>
      </c>
      <c r="B173" s="118"/>
      <c r="C173" s="117" t="str">
        <f aca="false">IF(B173="","",IFERROR(INDEX(الموظفون!$C$6:$C$105,MATCH(B173,الموظفون!$B$6:$B$105,0)),"✖ رقم غير موجود"))</f>
        <v/>
      </c>
      <c r="D173" s="118"/>
      <c r="E173" s="119"/>
      <c r="F173" s="119"/>
      <c r="G173" s="133" t="str">
        <f aca="false">IF(OR($B173="",$E173="",$F173=""),"",MAX(0,F173-E173+1))</f>
        <v/>
      </c>
      <c r="H173" s="134" t="str">
        <f aca="false">IF(D173="","",IFERROR(VLOOKUP(D173,cfg_LT,2,FALSE()),1))</f>
        <v/>
      </c>
      <c r="I173" s="135"/>
      <c r="J173" s="134" t="str">
        <f aca="false">IF(D173="","",IF(I173&lt;&gt;"",I173,H173))</f>
        <v/>
      </c>
      <c r="K173" s="117" t="str">
        <f aca="false">IF(D173="","",IFERROR(VLOOKUP($D173,cfg_LT,3,FALSE()),""))</f>
        <v/>
      </c>
      <c r="L173" s="117" t="str">
        <f aca="false">IF(D173="","",IFERROR(VLOOKUP($D173,cfg_LT,4,FALSE()),""))</f>
        <v/>
      </c>
      <c r="M173" s="117" t="str">
        <f aca="false">IF(D173="","",IFERROR(VLOOKUP($D173,cfg_LT,5,FALSE()),""))</f>
        <v/>
      </c>
      <c r="N173" s="116" t="n">
        <f aca="false">IF(OR(OR($B173="",$E173="",$F173=""),M173&lt;&gt;"نعم"),0,G173*J173*IFERROR(INDEX(الموظفون!$R$6:$R$105,MATCH(B173,الموظفون!$B$6:$B$105,0)),0)/cfg_DAYS_M)</f>
        <v>0</v>
      </c>
      <c r="O173" s="115" t="str">
        <f aca="false">IF(OR(OR($B173="",$E173="",$F173=""),M173&lt;&gt;"نعم"),"",IF(YEAR(E173)=cfg_FY,MONTH(E173),""))</f>
        <v/>
      </c>
      <c r="P173" s="117" t="str">
        <f aca="false">IF(B173="","",IF(OR(D173="",E173="",F173=""),"⚠ أكمل النوع والتواريخ",IF(F173&lt;E173,"✖ النهاية قبل البداية",IF(COUNTIFS($B$6:$B$505,B173,$E$6:$E$505,"&lt;="&amp;F173,$F$6:$F$505,"&gt;="&amp;E173)&gt;1,"⚠ تداخل مع سجل آخر",IF(E173&gt;cfg_VAL_DATE,"⏳ قادمة",IF(F173&lt;cfg_VAL_DATE,"✔ منتهية","✈ جارية في تاريخ التقرير"))))))</f>
        <v/>
      </c>
      <c r="Q173" s="118"/>
      <c r="R173" s="133" t="n">
        <f aca="false">IF(OR(OR($B173="",$E173="",$F173=""),L173&lt;&gt;"لا"),0,MAX(0,MIN(F173,cfg_Y_START-1)-E173+1))</f>
        <v>0</v>
      </c>
      <c r="S173" s="133" t="n">
        <f aca="false">IF(OR(OR($B173="",$E173="",$F173=""),L173&lt;&gt;"لا"),0,MAX(0,MIN(F173,cfg_VAL_DATE)-E173+1))</f>
        <v>0</v>
      </c>
      <c r="T173" s="133" t="n">
        <f aca="false">IF(OR(OR($B173="",$E173="",$F173=""),K173&lt;&gt;"نعم"),0,IF(M173="نعم",IF(AND(ISNUMBER(O173),N(O173)&lt;=cfg_VAL_M),G173,0),MAX(0,MIN(F173,cfg_VAL_DATE)-MAX(E173,cfg_Y_START)+1)))</f>
        <v>0</v>
      </c>
      <c r="V173" s="133" t="n">
        <f aca="false">IF(OR($B173="",$E173="",$F173=""),0,MAX(0,MIN($F173,EOMONTH(DATE(cfg_FY,1,1),0))-MAX($E173,DATE(cfg_FY,1,1))+1)*(1-IF($M173="نعم",0,N($J173))))</f>
        <v>0</v>
      </c>
      <c r="W173" s="133" t="n">
        <f aca="false">IF(OR($B173="",$E173="",$F173=""),0,MAX(0,MIN($F173,EOMONTH(DATE(cfg_FY,2,1),0))-MAX($E173,DATE(cfg_FY,2,1))+1)*(1-IF($M173="نعم",0,N($J173))))</f>
        <v>0</v>
      </c>
      <c r="X173" s="133" t="n">
        <f aca="false">IF(OR($B173="",$E173="",$F173=""),0,MAX(0,MIN($F173,EOMONTH(DATE(cfg_FY,3,1),0))-MAX($E173,DATE(cfg_FY,3,1))+1)*(1-IF($M173="نعم",0,N($J173))))</f>
        <v>0</v>
      </c>
      <c r="Y173" s="133" t="n">
        <f aca="false">IF(OR($B173="",$E173="",$F173=""),0,MAX(0,MIN($F173,EOMONTH(DATE(cfg_FY,4,1),0))-MAX($E173,DATE(cfg_FY,4,1))+1)*(1-IF($M173="نعم",0,N($J173))))</f>
        <v>0</v>
      </c>
      <c r="Z173" s="133" t="n">
        <f aca="false">IF(OR($B173="",$E173="",$F173=""),0,MAX(0,MIN($F173,EOMONTH(DATE(cfg_FY,5,1),0))-MAX($E173,DATE(cfg_FY,5,1))+1)*(1-IF($M173="نعم",0,N($J173))))</f>
        <v>0</v>
      </c>
      <c r="AA173" s="133" t="n">
        <f aca="false">IF(OR($B173="",$E173="",$F173=""),0,MAX(0,MIN($F173,EOMONTH(DATE(cfg_FY,6,1),0))-MAX($E173,DATE(cfg_FY,6,1))+1)*(1-IF($M173="نعم",0,N($J173))))</f>
        <v>0</v>
      </c>
      <c r="AB173" s="133" t="n">
        <f aca="false">IF(OR($B173="",$E173="",$F173=""),0,MAX(0,MIN($F173,EOMONTH(DATE(cfg_FY,7,1),0))-MAX($E173,DATE(cfg_FY,7,1))+1)*(1-IF($M173="نعم",0,N($J173))))</f>
        <v>0</v>
      </c>
      <c r="AC173" s="133" t="n">
        <f aca="false">IF(OR($B173="",$E173="",$F173=""),0,MAX(0,MIN($F173,EOMONTH(DATE(cfg_FY,8,1),0))-MAX($E173,DATE(cfg_FY,8,1))+1)*(1-IF($M173="نعم",0,N($J173))))</f>
        <v>0</v>
      </c>
      <c r="AD173" s="133" t="n">
        <f aca="false">IF(OR($B173="",$E173="",$F173=""),0,MAX(0,MIN($F173,EOMONTH(DATE(cfg_FY,9,1),0))-MAX($E173,DATE(cfg_FY,9,1))+1)*(1-IF($M173="نعم",0,N($J173))))</f>
        <v>0</v>
      </c>
      <c r="AE173" s="133" t="n">
        <f aca="false">IF(OR($B173="",$E173="",$F173=""),0,MAX(0,MIN($F173,EOMONTH(DATE(cfg_FY,10,1),0))-MAX($E173,DATE(cfg_FY,10,1))+1)*(1-IF($M173="نعم",0,N($J173))))</f>
        <v>0</v>
      </c>
      <c r="AF173" s="133" t="n">
        <f aca="false">IF(OR($B173="",$E173="",$F173=""),0,MAX(0,MIN($F173,EOMONTH(DATE(cfg_FY,11,1),0))-MAX($E173,DATE(cfg_FY,11,1))+1)*(1-IF($M173="نعم",0,N($J173))))</f>
        <v>0</v>
      </c>
      <c r="AG173" s="133" t="n">
        <f aca="false">IF(OR($B173="",$E173="",$F173=""),0,MAX(0,MIN($F173,EOMONTH(DATE(cfg_FY,12,1),0))-MAX($E173,DATE(cfg_FY,12,1))+1)*(1-IF($M173="نعم",0,N($J173))))</f>
        <v>0</v>
      </c>
      <c r="AH173" s="133" t="n">
        <f aca="false">IF(OR(OR($B173="",$E173="",$F173=""),$L173&lt;&gt;"لا"),0,MAX(0,MIN($F173,EOMONTH(DATE(cfg_FY,1,1),0))-$E173+1))</f>
        <v>0</v>
      </c>
      <c r="AI173" s="133" t="n">
        <f aca="false">IF(OR(OR($B173="",$E173="",$F173=""),$L173&lt;&gt;"لا"),0,MAX(0,MIN($F173,EOMONTH(DATE(cfg_FY,2,1),0))-$E173+1))</f>
        <v>0</v>
      </c>
      <c r="AJ173" s="133" t="n">
        <f aca="false">IF(OR(OR($B173="",$E173="",$F173=""),$L173&lt;&gt;"لا"),0,MAX(0,MIN($F173,EOMONTH(DATE(cfg_FY,3,1),0))-$E173+1))</f>
        <v>0</v>
      </c>
      <c r="AK173" s="133" t="n">
        <f aca="false">IF(OR(OR($B173="",$E173="",$F173=""),$L173&lt;&gt;"لا"),0,MAX(0,MIN($F173,EOMONTH(DATE(cfg_FY,4,1),0))-$E173+1))</f>
        <v>0</v>
      </c>
      <c r="AL173" s="133" t="n">
        <f aca="false">IF(OR(OR($B173="",$E173="",$F173=""),$L173&lt;&gt;"لا"),0,MAX(0,MIN($F173,EOMONTH(DATE(cfg_FY,5,1),0))-$E173+1))</f>
        <v>0</v>
      </c>
      <c r="AM173" s="133" t="n">
        <f aca="false">IF(OR(OR($B173="",$E173="",$F173=""),$L173&lt;&gt;"لا"),0,MAX(0,MIN($F173,EOMONTH(DATE(cfg_FY,6,1),0))-$E173+1))</f>
        <v>0</v>
      </c>
      <c r="AN173" s="133" t="n">
        <f aca="false">IF(OR(OR($B173="",$E173="",$F173=""),$L173&lt;&gt;"لا"),0,MAX(0,MIN($F173,EOMONTH(DATE(cfg_FY,7,1),0))-$E173+1))</f>
        <v>0</v>
      </c>
      <c r="AO173" s="133" t="n">
        <f aca="false">IF(OR(OR($B173="",$E173="",$F173=""),$L173&lt;&gt;"لا"),0,MAX(0,MIN($F173,EOMONTH(DATE(cfg_FY,8,1),0))-$E173+1))</f>
        <v>0</v>
      </c>
      <c r="AP173" s="133" t="n">
        <f aca="false">IF(OR(OR($B173="",$E173="",$F173=""),$L173&lt;&gt;"لا"),0,MAX(0,MIN($F173,EOMONTH(DATE(cfg_FY,9,1),0))-$E173+1))</f>
        <v>0</v>
      </c>
      <c r="AQ173" s="133" t="n">
        <f aca="false">IF(OR(OR($B173="",$E173="",$F173=""),$L173&lt;&gt;"لا"),0,MAX(0,MIN($F173,EOMONTH(DATE(cfg_FY,10,1),0))-$E173+1))</f>
        <v>0</v>
      </c>
      <c r="AR173" s="133" t="n">
        <f aca="false">IF(OR(OR($B173="",$E173="",$F173=""),$L173&lt;&gt;"لا"),0,MAX(0,MIN($F173,EOMONTH(DATE(cfg_FY,11,1),0))-$E173+1))</f>
        <v>0</v>
      </c>
      <c r="AS173" s="133" t="n">
        <f aca="false">IF(OR(OR($B173="",$E173="",$F173=""),$L173&lt;&gt;"لا"),0,MAX(0,MIN($F173,EOMONTH(DATE(cfg_FY,12,1),0))-$E173+1))</f>
        <v>0</v>
      </c>
      <c r="AT173" s="133" t="n">
        <f aca="false">IF(OR(OR($B173="",$E173="",$F173=""),$K173&lt;&gt;"نعم",$M173="نعم"),0,MAX(0,MIN($F173,EOMONTH(DATE(cfg_FY,1,1),0))-MAX($E173,DATE(cfg_FY,1,1))+1))</f>
        <v>0</v>
      </c>
      <c r="AU173" s="133" t="n">
        <f aca="false">IF(OR(OR($B173="",$E173="",$F173=""),$K173&lt;&gt;"نعم",$M173="نعم"),0,MAX(0,MIN($F173,EOMONTH(DATE(cfg_FY,2,1),0))-MAX($E173,DATE(cfg_FY,2,1))+1))</f>
        <v>0</v>
      </c>
      <c r="AV173" s="133" t="n">
        <f aca="false">IF(OR(OR($B173="",$E173="",$F173=""),$K173&lt;&gt;"نعم",$M173="نعم"),0,MAX(0,MIN($F173,EOMONTH(DATE(cfg_FY,3,1),0))-MAX($E173,DATE(cfg_FY,3,1))+1))</f>
        <v>0</v>
      </c>
      <c r="AW173" s="133" t="n">
        <f aca="false">IF(OR(OR($B173="",$E173="",$F173=""),$K173&lt;&gt;"نعم",$M173="نعم"),0,MAX(0,MIN($F173,EOMONTH(DATE(cfg_FY,4,1),0))-MAX($E173,DATE(cfg_FY,4,1))+1))</f>
        <v>0</v>
      </c>
      <c r="AX173" s="133" t="n">
        <f aca="false">IF(OR(OR($B173="",$E173="",$F173=""),$K173&lt;&gt;"نعم",$M173="نعم"),0,MAX(0,MIN($F173,EOMONTH(DATE(cfg_FY,5,1),0))-MAX($E173,DATE(cfg_FY,5,1))+1))</f>
        <v>0</v>
      </c>
      <c r="AY173" s="133" t="n">
        <f aca="false">IF(OR(OR($B173="",$E173="",$F173=""),$K173&lt;&gt;"نعم",$M173="نعم"),0,MAX(0,MIN($F173,EOMONTH(DATE(cfg_FY,6,1),0))-MAX($E173,DATE(cfg_FY,6,1))+1))</f>
        <v>0</v>
      </c>
      <c r="AZ173" s="133" t="n">
        <f aca="false">IF(OR(OR($B173="",$E173="",$F173=""),$K173&lt;&gt;"نعم",$M173="نعم"),0,MAX(0,MIN($F173,EOMONTH(DATE(cfg_FY,7,1),0))-MAX($E173,DATE(cfg_FY,7,1))+1))</f>
        <v>0</v>
      </c>
      <c r="BA173" s="133" t="n">
        <f aca="false">IF(OR(OR($B173="",$E173="",$F173=""),$K173&lt;&gt;"نعم",$M173="نعم"),0,MAX(0,MIN($F173,EOMONTH(DATE(cfg_FY,8,1),0))-MAX($E173,DATE(cfg_FY,8,1))+1))</f>
        <v>0</v>
      </c>
      <c r="BB173" s="133" t="n">
        <f aca="false">IF(OR(OR($B173="",$E173="",$F173=""),$K173&lt;&gt;"نعم",$M173="نعم"),0,MAX(0,MIN($F173,EOMONTH(DATE(cfg_FY,9,1),0))-MAX($E173,DATE(cfg_FY,9,1))+1))</f>
        <v>0</v>
      </c>
      <c r="BC173" s="133" t="n">
        <f aca="false">IF(OR(OR($B173="",$E173="",$F173=""),$K173&lt;&gt;"نعم",$M173="نعم"),0,MAX(0,MIN($F173,EOMONTH(DATE(cfg_FY,10,1),0))-MAX($E173,DATE(cfg_FY,10,1))+1))</f>
        <v>0</v>
      </c>
      <c r="BD173" s="133" t="n">
        <f aca="false">IF(OR(OR($B173="",$E173="",$F173=""),$K173&lt;&gt;"نعم",$M173="نعم"),0,MAX(0,MIN($F173,EOMONTH(DATE(cfg_FY,11,1),0))-MAX($E173,DATE(cfg_FY,11,1))+1))</f>
        <v>0</v>
      </c>
      <c r="BE173" s="133" t="n">
        <f aca="false">IF(OR(OR($B173="",$E173="",$F173=""),$K173&lt;&gt;"نعم",$M173="نعم"),0,MAX(0,MIN($F173,EOMONTH(DATE(cfg_FY,12,1),0))-MAX($E173,DATE(cfg_FY,12,1))+1))</f>
        <v>0</v>
      </c>
    </row>
    <row r="174" customFormat="false" ht="15" hidden="false" customHeight="false" outlineLevel="0" collapsed="false">
      <c r="A174" s="106" t="str">
        <f aca="false">IF(B174="","",ROW()-5)</f>
        <v/>
      </c>
      <c r="B174" s="118"/>
      <c r="C174" s="114" t="str">
        <f aca="false">IF(B174="","",IFERROR(INDEX(الموظفون!$C$6:$C$105,MATCH(B174,الموظفون!$B$6:$B$105,0)),"✖ رقم غير موجود"))</f>
        <v/>
      </c>
      <c r="D174" s="118"/>
      <c r="E174" s="119"/>
      <c r="F174" s="119"/>
      <c r="G174" s="65" t="str">
        <f aca="false">IF(OR($B174="",$E174="",$F174=""),"",MAX(0,F174-E174+1))</f>
        <v/>
      </c>
      <c r="H174" s="66" t="str">
        <f aca="false">IF(D174="","",IFERROR(VLOOKUP(D174,cfg_LT,2,FALSE()),1))</f>
        <v/>
      </c>
      <c r="I174" s="135"/>
      <c r="J174" s="66" t="str">
        <f aca="false">IF(D174="","",IF(I174&lt;&gt;"",I174,H174))</f>
        <v/>
      </c>
      <c r="K174" s="114" t="str">
        <f aca="false">IF(D174="","",IFERROR(VLOOKUP($D174,cfg_LT,3,FALSE()),""))</f>
        <v/>
      </c>
      <c r="L174" s="114" t="str">
        <f aca="false">IF(D174="","",IFERROR(VLOOKUP($D174,cfg_LT,4,FALSE()),""))</f>
        <v/>
      </c>
      <c r="M174" s="114" t="str">
        <f aca="false">IF(D174="","",IFERROR(VLOOKUP($D174,cfg_LT,5,FALSE()),""))</f>
        <v/>
      </c>
      <c r="N174" s="111" t="n">
        <f aca="false">IF(OR(OR($B174="",$E174="",$F174=""),M174&lt;&gt;"نعم"),0,G174*J174*IFERROR(INDEX(الموظفون!$R$6:$R$105,MATCH(B174,الموظفون!$B$6:$B$105,0)),0)/cfg_DAYS_M)</f>
        <v>0</v>
      </c>
      <c r="O174" s="106" t="str">
        <f aca="false">IF(OR(OR($B174="",$E174="",$F174=""),M174&lt;&gt;"نعم"),"",IF(YEAR(E174)=cfg_FY,MONTH(E174),""))</f>
        <v/>
      </c>
      <c r="P174" s="114" t="str">
        <f aca="false">IF(B174="","",IF(OR(D174="",E174="",F174=""),"⚠ أكمل النوع والتواريخ",IF(F174&lt;E174,"✖ النهاية قبل البداية",IF(COUNTIFS($B$6:$B$505,B174,$E$6:$E$505,"&lt;="&amp;F174,$F$6:$F$505,"&gt;="&amp;E174)&gt;1,"⚠ تداخل مع سجل آخر",IF(E174&gt;cfg_VAL_DATE,"⏳ قادمة",IF(F174&lt;cfg_VAL_DATE,"✔ منتهية","✈ جارية في تاريخ التقرير"))))))</f>
        <v/>
      </c>
      <c r="Q174" s="118"/>
      <c r="R174" s="65" t="n">
        <f aca="false">IF(OR(OR($B174="",$E174="",$F174=""),L174&lt;&gt;"لا"),0,MAX(0,MIN(F174,cfg_Y_START-1)-E174+1))</f>
        <v>0</v>
      </c>
      <c r="S174" s="65" t="n">
        <f aca="false">IF(OR(OR($B174="",$E174="",$F174=""),L174&lt;&gt;"لا"),0,MAX(0,MIN(F174,cfg_VAL_DATE)-E174+1))</f>
        <v>0</v>
      </c>
      <c r="T174" s="65" t="n">
        <f aca="false">IF(OR(OR($B174="",$E174="",$F174=""),K174&lt;&gt;"نعم"),0,IF(M174="نعم",IF(AND(ISNUMBER(O174),N(O174)&lt;=cfg_VAL_M),G174,0),MAX(0,MIN(F174,cfg_VAL_DATE)-MAX(E174,cfg_Y_START)+1)))</f>
        <v>0</v>
      </c>
      <c r="V174" s="65" t="n">
        <f aca="false">IF(OR($B174="",$E174="",$F174=""),0,MAX(0,MIN($F174,EOMONTH(DATE(cfg_FY,1,1),0))-MAX($E174,DATE(cfg_FY,1,1))+1)*(1-IF($M174="نعم",0,N($J174))))</f>
        <v>0</v>
      </c>
      <c r="W174" s="65" t="n">
        <f aca="false">IF(OR($B174="",$E174="",$F174=""),0,MAX(0,MIN($F174,EOMONTH(DATE(cfg_FY,2,1),0))-MAX($E174,DATE(cfg_FY,2,1))+1)*(1-IF($M174="نعم",0,N($J174))))</f>
        <v>0</v>
      </c>
      <c r="X174" s="65" t="n">
        <f aca="false">IF(OR($B174="",$E174="",$F174=""),0,MAX(0,MIN($F174,EOMONTH(DATE(cfg_FY,3,1),0))-MAX($E174,DATE(cfg_FY,3,1))+1)*(1-IF($M174="نعم",0,N($J174))))</f>
        <v>0</v>
      </c>
      <c r="Y174" s="65" t="n">
        <f aca="false">IF(OR($B174="",$E174="",$F174=""),0,MAX(0,MIN($F174,EOMONTH(DATE(cfg_FY,4,1),0))-MAX($E174,DATE(cfg_FY,4,1))+1)*(1-IF($M174="نعم",0,N($J174))))</f>
        <v>0</v>
      </c>
      <c r="Z174" s="65" t="n">
        <f aca="false">IF(OR($B174="",$E174="",$F174=""),0,MAX(0,MIN($F174,EOMONTH(DATE(cfg_FY,5,1),0))-MAX($E174,DATE(cfg_FY,5,1))+1)*(1-IF($M174="نعم",0,N($J174))))</f>
        <v>0</v>
      </c>
      <c r="AA174" s="65" t="n">
        <f aca="false">IF(OR($B174="",$E174="",$F174=""),0,MAX(0,MIN($F174,EOMONTH(DATE(cfg_FY,6,1),0))-MAX($E174,DATE(cfg_FY,6,1))+1)*(1-IF($M174="نعم",0,N($J174))))</f>
        <v>0</v>
      </c>
      <c r="AB174" s="65" t="n">
        <f aca="false">IF(OR($B174="",$E174="",$F174=""),0,MAX(0,MIN($F174,EOMONTH(DATE(cfg_FY,7,1),0))-MAX($E174,DATE(cfg_FY,7,1))+1)*(1-IF($M174="نعم",0,N($J174))))</f>
        <v>0</v>
      </c>
      <c r="AC174" s="65" t="n">
        <f aca="false">IF(OR($B174="",$E174="",$F174=""),0,MAX(0,MIN($F174,EOMONTH(DATE(cfg_FY,8,1),0))-MAX($E174,DATE(cfg_FY,8,1))+1)*(1-IF($M174="نعم",0,N($J174))))</f>
        <v>0</v>
      </c>
      <c r="AD174" s="65" t="n">
        <f aca="false">IF(OR($B174="",$E174="",$F174=""),0,MAX(0,MIN($F174,EOMONTH(DATE(cfg_FY,9,1),0))-MAX($E174,DATE(cfg_FY,9,1))+1)*(1-IF($M174="نعم",0,N($J174))))</f>
        <v>0</v>
      </c>
      <c r="AE174" s="65" t="n">
        <f aca="false">IF(OR($B174="",$E174="",$F174=""),0,MAX(0,MIN($F174,EOMONTH(DATE(cfg_FY,10,1),0))-MAX($E174,DATE(cfg_FY,10,1))+1)*(1-IF($M174="نعم",0,N($J174))))</f>
        <v>0</v>
      </c>
      <c r="AF174" s="65" t="n">
        <f aca="false">IF(OR($B174="",$E174="",$F174=""),0,MAX(0,MIN($F174,EOMONTH(DATE(cfg_FY,11,1),0))-MAX($E174,DATE(cfg_FY,11,1))+1)*(1-IF($M174="نعم",0,N($J174))))</f>
        <v>0</v>
      </c>
      <c r="AG174" s="65" t="n">
        <f aca="false">IF(OR($B174="",$E174="",$F174=""),0,MAX(0,MIN($F174,EOMONTH(DATE(cfg_FY,12,1),0))-MAX($E174,DATE(cfg_FY,12,1))+1)*(1-IF($M174="نعم",0,N($J174))))</f>
        <v>0</v>
      </c>
      <c r="AH174" s="65" t="n">
        <f aca="false">IF(OR(OR($B174="",$E174="",$F174=""),$L174&lt;&gt;"لا"),0,MAX(0,MIN($F174,EOMONTH(DATE(cfg_FY,1,1),0))-$E174+1))</f>
        <v>0</v>
      </c>
      <c r="AI174" s="65" t="n">
        <f aca="false">IF(OR(OR($B174="",$E174="",$F174=""),$L174&lt;&gt;"لا"),0,MAX(0,MIN($F174,EOMONTH(DATE(cfg_FY,2,1),0))-$E174+1))</f>
        <v>0</v>
      </c>
      <c r="AJ174" s="65" t="n">
        <f aca="false">IF(OR(OR($B174="",$E174="",$F174=""),$L174&lt;&gt;"لا"),0,MAX(0,MIN($F174,EOMONTH(DATE(cfg_FY,3,1),0))-$E174+1))</f>
        <v>0</v>
      </c>
      <c r="AK174" s="65" t="n">
        <f aca="false">IF(OR(OR($B174="",$E174="",$F174=""),$L174&lt;&gt;"لا"),0,MAX(0,MIN($F174,EOMONTH(DATE(cfg_FY,4,1),0))-$E174+1))</f>
        <v>0</v>
      </c>
      <c r="AL174" s="65" t="n">
        <f aca="false">IF(OR(OR($B174="",$E174="",$F174=""),$L174&lt;&gt;"لا"),0,MAX(0,MIN($F174,EOMONTH(DATE(cfg_FY,5,1),0))-$E174+1))</f>
        <v>0</v>
      </c>
      <c r="AM174" s="65" t="n">
        <f aca="false">IF(OR(OR($B174="",$E174="",$F174=""),$L174&lt;&gt;"لا"),0,MAX(0,MIN($F174,EOMONTH(DATE(cfg_FY,6,1),0))-$E174+1))</f>
        <v>0</v>
      </c>
      <c r="AN174" s="65" t="n">
        <f aca="false">IF(OR(OR($B174="",$E174="",$F174=""),$L174&lt;&gt;"لا"),0,MAX(0,MIN($F174,EOMONTH(DATE(cfg_FY,7,1),0))-$E174+1))</f>
        <v>0</v>
      </c>
      <c r="AO174" s="65" t="n">
        <f aca="false">IF(OR(OR($B174="",$E174="",$F174=""),$L174&lt;&gt;"لا"),0,MAX(0,MIN($F174,EOMONTH(DATE(cfg_FY,8,1),0))-$E174+1))</f>
        <v>0</v>
      </c>
      <c r="AP174" s="65" t="n">
        <f aca="false">IF(OR(OR($B174="",$E174="",$F174=""),$L174&lt;&gt;"لا"),0,MAX(0,MIN($F174,EOMONTH(DATE(cfg_FY,9,1),0))-$E174+1))</f>
        <v>0</v>
      </c>
      <c r="AQ174" s="65" t="n">
        <f aca="false">IF(OR(OR($B174="",$E174="",$F174=""),$L174&lt;&gt;"لا"),0,MAX(0,MIN($F174,EOMONTH(DATE(cfg_FY,10,1),0))-$E174+1))</f>
        <v>0</v>
      </c>
      <c r="AR174" s="65" t="n">
        <f aca="false">IF(OR(OR($B174="",$E174="",$F174=""),$L174&lt;&gt;"لا"),0,MAX(0,MIN($F174,EOMONTH(DATE(cfg_FY,11,1),0))-$E174+1))</f>
        <v>0</v>
      </c>
      <c r="AS174" s="65" t="n">
        <f aca="false">IF(OR(OR($B174="",$E174="",$F174=""),$L174&lt;&gt;"لا"),0,MAX(0,MIN($F174,EOMONTH(DATE(cfg_FY,12,1),0))-$E174+1))</f>
        <v>0</v>
      </c>
      <c r="AT174" s="65" t="n">
        <f aca="false">IF(OR(OR($B174="",$E174="",$F174=""),$K174&lt;&gt;"نعم",$M174="نعم"),0,MAX(0,MIN($F174,EOMONTH(DATE(cfg_FY,1,1),0))-MAX($E174,DATE(cfg_FY,1,1))+1))</f>
        <v>0</v>
      </c>
      <c r="AU174" s="65" t="n">
        <f aca="false">IF(OR(OR($B174="",$E174="",$F174=""),$K174&lt;&gt;"نعم",$M174="نعم"),0,MAX(0,MIN($F174,EOMONTH(DATE(cfg_FY,2,1),0))-MAX($E174,DATE(cfg_FY,2,1))+1))</f>
        <v>0</v>
      </c>
      <c r="AV174" s="65" t="n">
        <f aca="false">IF(OR(OR($B174="",$E174="",$F174=""),$K174&lt;&gt;"نعم",$M174="نعم"),0,MAX(0,MIN($F174,EOMONTH(DATE(cfg_FY,3,1),0))-MAX($E174,DATE(cfg_FY,3,1))+1))</f>
        <v>0</v>
      </c>
      <c r="AW174" s="65" t="n">
        <f aca="false">IF(OR(OR($B174="",$E174="",$F174=""),$K174&lt;&gt;"نعم",$M174="نعم"),0,MAX(0,MIN($F174,EOMONTH(DATE(cfg_FY,4,1),0))-MAX($E174,DATE(cfg_FY,4,1))+1))</f>
        <v>0</v>
      </c>
      <c r="AX174" s="65" t="n">
        <f aca="false">IF(OR(OR($B174="",$E174="",$F174=""),$K174&lt;&gt;"نعم",$M174="نعم"),0,MAX(0,MIN($F174,EOMONTH(DATE(cfg_FY,5,1),0))-MAX($E174,DATE(cfg_FY,5,1))+1))</f>
        <v>0</v>
      </c>
      <c r="AY174" s="65" t="n">
        <f aca="false">IF(OR(OR($B174="",$E174="",$F174=""),$K174&lt;&gt;"نعم",$M174="نعم"),0,MAX(0,MIN($F174,EOMONTH(DATE(cfg_FY,6,1),0))-MAX($E174,DATE(cfg_FY,6,1))+1))</f>
        <v>0</v>
      </c>
      <c r="AZ174" s="65" t="n">
        <f aca="false">IF(OR(OR($B174="",$E174="",$F174=""),$K174&lt;&gt;"نعم",$M174="نعم"),0,MAX(0,MIN($F174,EOMONTH(DATE(cfg_FY,7,1),0))-MAX($E174,DATE(cfg_FY,7,1))+1))</f>
        <v>0</v>
      </c>
      <c r="BA174" s="65" t="n">
        <f aca="false">IF(OR(OR($B174="",$E174="",$F174=""),$K174&lt;&gt;"نعم",$M174="نعم"),0,MAX(0,MIN($F174,EOMONTH(DATE(cfg_FY,8,1),0))-MAX($E174,DATE(cfg_FY,8,1))+1))</f>
        <v>0</v>
      </c>
      <c r="BB174" s="65" t="n">
        <f aca="false">IF(OR(OR($B174="",$E174="",$F174=""),$K174&lt;&gt;"نعم",$M174="نعم"),0,MAX(0,MIN($F174,EOMONTH(DATE(cfg_FY,9,1),0))-MAX($E174,DATE(cfg_FY,9,1))+1))</f>
        <v>0</v>
      </c>
      <c r="BC174" s="65" t="n">
        <f aca="false">IF(OR(OR($B174="",$E174="",$F174=""),$K174&lt;&gt;"نعم",$M174="نعم"),0,MAX(0,MIN($F174,EOMONTH(DATE(cfg_FY,10,1),0))-MAX($E174,DATE(cfg_FY,10,1))+1))</f>
        <v>0</v>
      </c>
      <c r="BD174" s="65" t="n">
        <f aca="false">IF(OR(OR($B174="",$E174="",$F174=""),$K174&lt;&gt;"نعم",$M174="نعم"),0,MAX(0,MIN($F174,EOMONTH(DATE(cfg_FY,11,1),0))-MAX($E174,DATE(cfg_FY,11,1))+1))</f>
        <v>0</v>
      </c>
      <c r="BE174" s="65" t="n">
        <f aca="false">IF(OR(OR($B174="",$E174="",$F174=""),$K174&lt;&gt;"نعم",$M174="نعم"),0,MAX(0,MIN($F174,EOMONTH(DATE(cfg_FY,12,1),0))-MAX($E174,DATE(cfg_FY,12,1))+1))</f>
        <v>0</v>
      </c>
    </row>
    <row r="175" customFormat="false" ht="15" hidden="false" customHeight="false" outlineLevel="0" collapsed="false">
      <c r="A175" s="115" t="str">
        <f aca="false">IF(B175="","",ROW()-5)</f>
        <v/>
      </c>
      <c r="B175" s="118"/>
      <c r="C175" s="117" t="str">
        <f aca="false">IF(B175="","",IFERROR(INDEX(الموظفون!$C$6:$C$105,MATCH(B175,الموظفون!$B$6:$B$105,0)),"✖ رقم غير موجود"))</f>
        <v/>
      </c>
      <c r="D175" s="118"/>
      <c r="E175" s="119"/>
      <c r="F175" s="119"/>
      <c r="G175" s="133" t="str">
        <f aca="false">IF(OR($B175="",$E175="",$F175=""),"",MAX(0,F175-E175+1))</f>
        <v/>
      </c>
      <c r="H175" s="134" t="str">
        <f aca="false">IF(D175="","",IFERROR(VLOOKUP(D175,cfg_LT,2,FALSE()),1))</f>
        <v/>
      </c>
      <c r="I175" s="135"/>
      <c r="J175" s="134" t="str">
        <f aca="false">IF(D175="","",IF(I175&lt;&gt;"",I175,H175))</f>
        <v/>
      </c>
      <c r="K175" s="117" t="str">
        <f aca="false">IF(D175="","",IFERROR(VLOOKUP($D175,cfg_LT,3,FALSE()),""))</f>
        <v/>
      </c>
      <c r="L175" s="117" t="str">
        <f aca="false">IF(D175="","",IFERROR(VLOOKUP($D175,cfg_LT,4,FALSE()),""))</f>
        <v/>
      </c>
      <c r="M175" s="117" t="str">
        <f aca="false">IF(D175="","",IFERROR(VLOOKUP($D175,cfg_LT,5,FALSE()),""))</f>
        <v/>
      </c>
      <c r="N175" s="116" t="n">
        <f aca="false">IF(OR(OR($B175="",$E175="",$F175=""),M175&lt;&gt;"نعم"),0,G175*J175*IFERROR(INDEX(الموظفون!$R$6:$R$105,MATCH(B175,الموظفون!$B$6:$B$105,0)),0)/cfg_DAYS_M)</f>
        <v>0</v>
      </c>
      <c r="O175" s="115" t="str">
        <f aca="false">IF(OR(OR($B175="",$E175="",$F175=""),M175&lt;&gt;"نعم"),"",IF(YEAR(E175)=cfg_FY,MONTH(E175),""))</f>
        <v/>
      </c>
      <c r="P175" s="117" t="str">
        <f aca="false">IF(B175="","",IF(OR(D175="",E175="",F175=""),"⚠ أكمل النوع والتواريخ",IF(F175&lt;E175,"✖ النهاية قبل البداية",IF(COUNTIFS($B$6:$B$505,B175,$E$6:$E$505,"&lt;="&amp;F175,$F$6:$F$505,"&gt;="&amp;E175)&gt;1,"⚠ تداخل مع سجل آخر",IF(E175&gt;cfg_VAL_DATE,"⏳ قادمة",IF(F175&lt;cfg_VAL_DATE,"✔ منتهية","✈ جارية في تاريخ التقرير"))))))</f>
        <v/>
      </c>
      <c r="Q175" s="118"/>
      <c r="R175" s="133" t="n">
        <f aca="false">IF(OR(OR($B175="",$E175="",$F175=""),L175&lt;&gt;"لا"),0,MAX(0,MIN(F175,cfg_Y_START-1)-E175+1))</f>
        <v>0</v>
      </c>
      <c r="S175" s="133" t="n">
        <f aca="false">IF(OR(OR($B175="",$E175="",$F175=""),L175&lt;&gt;"لا"),0,MAX(0,MIN(F175,cfg_VAL_DATE)-E175+1))</f>
        <v>0</v>
      </c>
      <c r="T175" s="133" t="n">
        <f aca="false">IF(OR(OR($B175="",$E175="",$F175=""),K175&lt;&gt;"نعم"),0,IF(M175="نعم",IF(AND(ISNUMBER(O175),N(O175)&lt;=cfg_VAL_M),G175,0),MAX(0,MIN(F175,cfg_VAL_DATE)-MAX(E175,cfg_Y_START)+1)))</f>
        <v>0</v>
      </c>
      <c r="V175" s="133" t="n">
        <f aca="false">IF(OR($B175="",$E175="",$F175=""),0,MAX(0,MIN($F175,EOMONTH(DATE(cfg_FY,1,1),0))-MAX($E175,DATE(cfg_FY,1,1))+1)*(1-IF($M175="نعم",0,N($J175))))</f>
        <v>0</v>
      </c>
      <c r="W175" s="133" t="n">
        <f aca="false">IF(OR($B175="",$E175="",$F175=""),0,MAX(0,MIN($F175,EOMONTH(DATE(cfg_FY,2,1),0))-MAX($E175,DATE(cfg_FY,2,1))+1)*(1-IF($M175="نعم",0,N($J175))))</f>
        <v>0</v>
      </c>
      <c r="X175" s="133" t="n">
        <f aca="false">IF(OR($B175="",$E175="",$F175=""),0,MAX(0,MIN($F175,EOMONTH(DATE(cfg_FY,3,1),0))-MAX($E175,DATE(cfg_FY,3,1))+1)*(1-IF($M175="نعم",0,N($J175))))</f>
        <v>0</v>
      </c>
      <c r="Y175" s="133" t="n">
        <f aca="false">IF(OR($B175="",$E175="",$F175=""),0,MAX(0,MIN($F175,EOMONTH(DATE(cfg_FY,4,1),0))-MAX($E175,DATE(cfg_FY,4,1))+1)*(1-IF($M175="نعم",0,N($J175))))</f>
        <v>0</v>
      </c>
      <c r="Z175" s="133" t="n">
        <f aca="false">IF(OR($B175="",$E175="",$F175=""),0,MAX(0,MIN($F175,EOMONTH(DATE(cfg_FY,5,1),0))-MAX($E175,DATE(cfg_FY,5,1))+1)*(1-IF($M175="نعم",0,N($J175))))</f>
        <v>0</v>
      </c>
      <c r="AA175" s="133" t="n">
        <f aca="false">IF(OR($B175="",$E175="",$F175=""),0,MAX(0,MIN($F175,EOMONTH(DATE(cfg_FY,6,1),0))-MAX($E175,DATE(cfg_FY,6,1))+1)*(1-IF($M175="نعم",0,N($J175))))</f>
        <v>0</v>
      </c>
      <c r="AB175" s="133" t="n">
        <f aca="false">IF(OR($B175="",$E175="",$F175=""),0,MAX(0,MIN($F175,EOMONTH(DATE(cfg_FY,7,1),0))-MAX($E175,DATE(cfg_FY,7,1))+1)*(1-IF($M175="نعم",0,N($J175))))</f>
        <v>0</v>
      </c>
      <c r="AC175" s="133" t="n">
        <f aca="false">IF(OR($B175="",$E175="",$F175=""),0,MAX(0,MIN($F175,EOMONTH(DATE(cfg_FY,8,1),0))-MAX($E175,DATE(cfg_FY,8,1))+1)*(1-IF($M175="نعم",0,N($J175))))</f>
        <v>0</v>
      </c>
      <c r="AD175" s="133" t="n">
        <f aca="false">IF(OR($B175="",$E175="",$F175=""),0,MAX(0,MIN($F175,EOMONTH(DATE(cfg_FY,9,1),0))-MAX($E175,DATE(cfg_FY,9,1))+1)*(1-IF($M175="نعم",0,N($J175))))</f>
        <v>0</v>
      </c>
      <c r="AE175" s="133" t="n">
        <f aca="false">IF(OR($B175="",$E175="",$F175=""),0,MAX(0,MIN($F175,EOMONTH(DATE(cfg_FY,10,1),0))-MAX($E175,DATE(cfg_FY,10,1))+1)*(1-IF($M175="نعم",0,N($J175))))</f>
        <v>0</v>
      </c>
      <c r="AF175" s="133" t="n">
        <f aca="false">IF(OR($B175="",$E175="",$F175=""),0,MAX(0,MIN($F175,EOMONTH(DATE(cfg_FY,11,1),0))-MAX($E175,DATE(cfg_FY,11,1))+1)*(1-IF($M175="نعم",0,N($J175))))</f>
        <v>0</v>
      </c>
      <c r="AG175" s="133" t="n">
        <f aca="false">IF(OR($B175="",$E175="",$F175=""),0,MAX(0,MIN($F175,EOMONTH(DATE(cfg_FY,12,1),0))-MAX($E175,DATE(cfg_FY,12,1))+1)*(1-IF($M175="نعم",0,N($J175))))</f>
        <v>0</v>
      </c>
      <c r="AH175" s="133" t="n">
        <f aca="false">IF(OR(OR($B175="",$E175="",$F175=""),$L175&lt;&gt;"لا"),0,MAX(0,MIN($F175,EOMONTH(DATE(cfg_FY,1,1),0))-$E175+1))</f>
        <v>0</v>
      </c>
      <c r="AI175" s="133" t="n">
        <f aca="false">IF(OR(OR($B175="",$E175="",$F175=""),$L175&lt;&gt;"لا"),0,MAX(0,MIN($F175,EOMONTH(DATE(cfg_FY,2,1),0))-$E175+1))</f>
        <v>0</v>
      </c>
      <c r="AJ175" s="133" t="n">
        <f aca="false">IF(OR(OR($B175="",$E175="",$F175=""),$L175&lt;&gt;"لا"),0,MAX(0,MIN($F175,EOMONTH(DATE(cfg_FY,3,1),0))-$E175+1))</f>
        <v>0</v>
      </c>
      <c r="AK175" s="133" t="n">
        <f aca="false">IF(OR(OR($B175="",$E175="",$F175=""),$L175&lt;&gt;"لا"),0,MAX(0,MIN($F175,EOMONTH(DATE(cfg_FY,4,1),0))-$E175+1))</f>
        <v>0</v>
      </c>
      <c r="AL175" s="133" t="n">
        <f aca="false">IF(OR(OR($B175="",$E175="",$F175=""),$L175&lt;&gt;"لا"),0,MAX(0,MIN($F175,EOMONTH(DATE(cfg_FY,5,1),0))-$E175+1))</f>
        <v>0</v>
      </c>
      <c r="AM175" s="133" t="n">
        <f aca="false">IF(OR(OR($B175="",$E175="",$F175=""),$L175&lt;&gt;"لا"),0,MAX(0,MIN($F175,EOMONTH(DATE(cfg_FY,6,1),0))-$E175+1))</f>
        <v>0</v>
      </c>
      <c r="AN175" s="133" t="n">
        <f aca="false">IF(OR(OR($B175="",$E175="",$F175=""),$L175&lt;&gt;"لا"),0,MAX(0,MIN($F175,EOMONTH(DATE(cfg_FY,7,1),0))-$E175+1))</f>
        <v>0</v>
      </c>
      <c r="AO175" s="133" t="n">
        <f aca="false">IF(OR(OR($B175="",$E175="",$F175=""),$L175&lt;&gt;"لا"),0,MAX(0,MIN($F175,EOMONTH(DATE(cfg_FY,8,1),0))-$E175+1))</f>
        <v>0</v>
      </c>
      <c r="AP175" s="133" t="n">
        <f aca="false">IF(OR(OR($B175="",$E175="",$F175=""),$L175&lt;&gt;"لا"),0,MAX(0,MIN($F175,EOMONTH(DATE(cfg_FY,9,1),0))-$E175+1))</f>
        <v>0</v>
      </c>
      <c r="AQ175" s="133" t="n">
        <f aca="false">IF(OR(OR($B175="",$E175="",$F175=""),$L175&lt;&gt;"لا"),0,MAX(0,MIN($F175,EOMONTH(DATE(cfg_FY,10,1),0))-$E175+1))</f>
        <v>0</v>
      </c>
      <c r="AR175" s="133" t="n">
        <f aca="false">IF(OR(OR($B175="",$E175="",$F175=""),$L175&lt;&gt;"لا"),0,MAX(0,MIN($F175,EOMONTH(DATE(cfg_FY,11,1),0))-$E175+1))</f>
        <v>0</v>
      </c>
      <c r="AS175" s="133" t="n">
        <f aca="false">IF(OR(OR($B175="",$E175="",$F175=""),$L175&lt;&gt;"لا"),0,MAX(0,MIN($F175,EOMONTH(DATE(cfg_FY,12,1),0))-$E175+1))</f>
        <v>0</v>
      </c>
      <c r="AT175" s="133" t="n">
        <f aca="false">IF(OR(OR($B175="",$E175="",$F175=""),$K175&lt;&gt;"نعم",$M175="نعم"),0,MAX(0,MIN($F175,EOMONTH(DATE(cfg_FY,1,1),0))-MAX($E175,DATE(cfg_FY,1,1))+1))</f>
        <v>0</v>
      </c>
      <c r="AU175" s="133" t="n">
        <f aca="false">IF(OR(OR($B175="",$E175="",$F175=""),$K175&lt;&gt;"نعم",$M175="نعم"),0,MAX(0,MIN($F175,EOMONTH(DATE(cfg_FY,2,1),0))-MAX($E175,DATE(cfg_FY,2,1))+1))</f>
        <v>0</v>
      </c>
      <c r="AV175" s="133" t="n">
        <f aca="false">IF(OR(OR($B175="",$E175="",$F175=""),$K175&lt;&gt;"نعم",$M175="نعم"),0,MAX(0,MIN($F175,EOMONTH(DATE(cfg_FY,3,1),0))-MAX($E175,DATE(cfg_FY,3,1))+1))</f>
        <v>0</v>
      </c>
      <c r="AW175" s="133" t="n">
        <f aca="false">IF(OR(OR($B175="",$E175="",$F175=""),$K175&lt;&gt;"نعم",$M175="نعم"),0,MAX(0,MIN($F175,EOMONTH(DATE(cfg_FY,4,1),0))-MAX($E175,DATE(cfg_FY,4,1))+1))</f>
        <v>0</v>
      </c>
      <c r="AX175" s="133" t="n">
        <f aca="false">IF(OR(OR($B175="",$E175="",$F175=""),$K175&lt;&gt;"نعم",$M175="نعم"),0,MAX(0,MIN($F175,EOMONTH(DATE(cfg_FY,5,1),0))-MAX($E175,DATE(cfg_FY,5,1))+1))</f>
        <v>0</v>
      </c>
      <c r="AY175" s="133" t="n">
        <f aca="false">IF(OR(OR($B175="",$E175="",$F175=""),$K175&lt;&gt;"نعم",$M175="نعم"),0,MAX(0,MIN($F175,EOMONTH(DATE(cfg_FY,6,1),0))-MAX($E175,DATE(cfg_FY,6,1))+1))</f>
        <v>0</v>
      </c>
      <c r="AZ175" s="133" t="n">
        <f aca="false">IF(OR(OR($B175="",$E175="",$F175=""),$K175&lt;&gt;"نعم",$M175="نعم"),0,MAX(0,MIN($F175,EOMONTH(DATE(cfg_FY,7,1),0))-MAX($E175,DATE(cfg_FY,7,1))+1))</f>
        <v>0</v>
      </c>
      <c r="BA175" s="133" t="n">
        <f aca="false">IF(OR(OR($B175="",$E175="",$F175=""),$K175&lt;&gt;"نعم",$M175="نعم"),0,MAX(0,MIN($F175,EOMONTH(DATE(cfg_FY,8,1),0))-MAX($E175,DATE(cfg_FY,8,1))+1))</f>
        <v>0</v>
      </c>
      <c r="BB175" s="133" t="n">
        <f aca="false">IF(OR(OR($B175="",$E175="",$F175=""),$K175&lt;&gt;"نعم",$M175="نعم"),0,MAX(0,MIN($F175,EOMONTH(DATE(cfg_FY,9,1),0))-MAX($E175,DATE(cfg_FY,9,1))+1))</f>
        <v>0</v>
      </c>
      <c r="BC175" s="133" t="n">
        <f aca="false">IF(OR(OR($B175="",$E175="",$F175=""),$K175&lt;&gt;"نعم",$M175="نعم"),0,MAX(0,MIN($F175,EOMONTH(DATE(cfg_FY,10,1),0))-MAX($E175,DATE(cfg_FY,10,1))+1))</f>
        <v>0</v>
      </c>
      <c r="BD175" s="133" t="n">
        <f aca="false">IF(OR(OR($B175="",$E175="",$F175=""),$K175&lt;&gt;"نعم",$M175="نعم"),0,MAX(0,MIN($F175,EOMONTH(DATE(cfg_FY,11,1),0))-MAX($E175,DATE(cfg_FY,11,1))+1))</f>
        <v>0</v>
      </c>
      <c r="BE175" s="133" t="n">
        <f aca="false">IF(OR(OR($B175="",$E175="",$F175=""),$K175&lt;&gt;"نعم",$M175="نعم"),0,MAX(0,MIN($F175,EOMONTH(DATE(cfg_FY,12,1),0))-MAX($E175,DATE(cfg_FY,12,1))+1))</f>
        <v>0</v>
      </c>
    </row>
    <row r="176" customFormat="false" ht="15" hidden="false" customHeight="false" outlineLevel="0" collapsed="false">
      <c r="A176" s="106" t="str">
        <f aca="false">IF(B176="","",ROW()-5)</f>
        <v/>
      </c>
      <c r="B176" s="118"/>
      <c r="C176" s="114" t="str">
        <f aca="false">IF(B176="","",IFERROR(INDEX(الموظفون!$C$6:$C$105,MATCH(B176,الموظفون!$B$6:$B$105,0)),"✖ رقم غير موجود"))</f>
        <v/>
      </c>
      <c r="D176" s="118"/>
      <c r="E176" s="119"/>
      <c r="F176" s="119"/>
      <c r="G176" s="65" t="str">
        <f aca="false">IF(OR($B176="",$E176="",$F176=""),"",MAX(0,F176-E176+1))</f>
        <v/>
      </c>
      <c r="H176" s="66" t="str">
        <f aca="false">IF(D176="","",IFERROR(VLOOKUP(D176,cfg_LT,2,FALSE()),1))</f>
        <v/>
      </c>
      <c r="I176" s="135"/>
      <c r="J176" s="66" t="str">
        <f aca="false">IF(D176="","",IF(I176&lt;&gt;"",I176,H176))</f>
        <v/>
      </c>
      <c r="K176" s="114" t="str">
        <f aca="false">IF(D176="","",IFERROR(VLOOKUP($D176,cfg_LT,3,FALSE()),""))</f>
        <v/>
      </c>
      <c r="L176" s="114" t="str">
        <f aca="false">IF(D176="","",IFERROR(VLOOKUP($D176,cfg_LT,4,FALSE()),""))</f>
        <v/>
      </c>
      <c r="M176" s="114" t="str">
        <f aca="false">IF(D176="","",IFERROR(VLOOKUP($D176,cfg_LT,5,FALSE()),""))</f>
        <v/>
      </c>
      <c r="N176" s="111" t="n">
        <f aca="false">IF(OR(OR($B176="",$E176="",$F176=""),M176&lt;&gt;"نعم"),0,G176*J176*IFERROR(INDEX(الموظفون!$R$6:$R$105,MATCH(B176,الموظفون!$B$6:$B$105,0)),0)/cfg_DAYS_M)</f>
        <v>0</v>
      </c>
      <c r="O176" s="106" t="str">
        <f aca="false">IF(OR(OR($B176="",$E176="",$F176=""),M176&lt;&gt;"نعم"),"",IF(YEAR(E176)=cfg_FY,MONTH(E176),""))</f>
        <v/>
      </c>
      <c r="P176" s="114" t="str">
        <f aca="false">IF(B176="","",IF(OR(D176="",E176="",F176=""),"⚠ أكمل النوع والتواريخ",IF(F176&lt;E176,"✖ النهاية قبل البداية",IF(COUNTIFS($B$6:$B$505,B176,$E$6:$E$505,"&lt;="&amp;F176,$F$6:$F$505,"&gt;="&amp;E176)&gt;1,"⚠ تداخل مع سجل آخر",IF(E176&gt;cfg_VAL_DATE,"⏳ قادمة",IF(F176&lt;cfg_VAL_DATE,"✔ منتهية","✈ جارية في تاريخ التقرير"))))))</f>
        <v/>
      </c>
      <c r="Q176" s="118"/>
      <c r="R176" s="65" t="n">
        <f aca="false">IF(OR(OR($B176="",$E176="",$F176=""),L176&lt;&gt;"لا"),0,MAX(0,MIN(F176,cfg_Y_START-1)-E176+1))</f>
        <v>0</v>
      </c>
      <c r="S176" s="65" t="n">
        <f aca="false">IF(OR(OR($B176="",$E176="",$F176=""),L176&lt;&gt;"لا"),0,MAX(0,MIN(F176,cfg_VAL_DATE)-E176+1))</f>
        <v>0</v>
      </c>
      <c r="T176" s="65" t="n">
        <f aca="false">IF(OR(OR($B176="",$E176="",$F176=""),K176&lt;&gt;"نعم"),0,IF(M176="نعم",IF(AND(ISNUMBER(O176),N(O176)&lt;=cfg_VAL_M),G176,0),MAX(0,MIN(F176,cfg_VAL_DATE)-MAX(E176,cfg_Y_START)+1)))</f>
        <v>0</v>
      </c>
      <c r="V176" s="65" t="n">
        <f aca="false">IF(OR($B176="",$E176="",$F176=""),0,MAX(0,MIN($F176,EOMONTH(DATE(cfg_FY,1,1),0))-MAX($E176,DATE(cfg_FY,1,1))+1)*(1-IF($M176="نعم",0,N($J176))))</f>
        <v>0</v>
      </c>
      <c r="W176" s="65" t="n">
        <f aca="false">IF(OR($B176="",$E176="",$F176=""),0,MAX(0,MIN($F176,EOMONTH(DATE(cfg_FY,2,1),0))-MAX($E176,DATE(cfg_FY,2,1))+1)*(1-IF($M176="نعم",0,N($J176))))</f>
        <v>0</v>
      </c>
      <c r="X176" s="65" t="n">
        <f aca="false">IF(OR($B176="",$E176="",$F176=""),0,MAX(0,MIN($F176,EOMONTH(DATE(cfg_FY,3,1),0))-MAX($E176,DATE(cfg_FY,3,1))+1)*(1-IF($M176="نعم",0,N($J176))))</f>
        <v>0</v>
      </c>
      <c r="Y176" s="65" t="n">
        <f aca="false">IF(OR($B176="",$E176="",$F176=""),0,MAX(0,MIN($F176,EOMONTH(DATE(cfg_FY,4,1),0))-MAX($E176,DATE(cfg_FY,4,1))+1)*(1-IF($M176="نعم",0,N($J176))))</f>
        <v>0</v>
      </c>
      <c r="Z176" s="65" t="n">
        <f aca="false">IF(OR($B176="",$E176="",$F176=""),0,MAX(0,MIN($F176,EOMONTH(DATE(cfg_FY,5,1),0))-MAX($E176,DATE(cfg_FY,5,1))+1)*(1-IF($M176="نعم",0,N($J176))))</f>
        <v>0</v>
      </c>
      <c r="AA176" s="65" t="n">
        <f aca="false">IF(OR($B176="",$E176="",$F176=""),0,MAX(0,MIN($F176,EOMONTH(DATE(cfg_FY,6,1),0))-MAX($E176,DATE(cfg_FY,6,1))+1)*(1-IF($M176="نعم",0,N($J176))))</f>
        <v>0</v>
      </c>
      <c r="AB176" s="65" t="n">
        <f aca="false">IF(OR($B176="",$E176="",$F176=""),0,MAX(0,MIN($F176,EOMONTH(DATE(cfg_FY,7,1),0))-MAX($E176,DATE(cfg_FY,7,1))+1)*(1-IF($M176="نعم",0,N($J176))))</f>
        <v>0</v>
      </c>
      <c r="AC176" s="65" t="n">
        <f aca="false">IF(OR($B176="",$E176="",$F176=""),0,MAX(0,MIN($F176,EOMONTH(DATE(cfg_FY,8,1),0))-MAX($E176,DATE(cfg_FY,8,1))+1)*(1-IF($M176="نعم",0,N($J176))))</f>
        <v>0</v>
      </c>
      <c r="AD176" s="65" t="n">
        <f aca="false">IF(OR($B176="",$E176="",$F176=""),0,MAX(0,MIN($F176,EOMONTH(DATE(cfg_FY,9,1),0))-MAX($E176,DATE(cfg_FY,9,1))+1)*(1-IF($M176="نعم",0,N($J176))))</f>
        <v>0</v>
      </c>
      <c r="AE176" s="65" t="n">
        <f aca="false">IF(OR($B176="",$E176="",$F176=""),0,MAX(0,MIN($F176,EOMONTH(DATE(cfg_FY,10,1),0))-MAX($E176,DATE(cfg_FY,10,1))+1)*(1-IF($M176="نعم",0,N($J176))))</f>
        <v>0</v>
      </c>
      <c r="AF176" s="65" t="n">
        <f aca="false">IF(OR($B176="",$E176="",$F176=""),0,MAX(0,MIN($F176,EOMONTH(DATE(cfg_FY,11,1),0))-MAX($E176,DATE(cfg_FY,11,1))+1)*(1-IF($M176="نعم",0,N($J176))))</f>
        <v>0</v>
      </c>
      <c r="AG176" s="65" t="n">
        <f aca="false">IF(OR($B176="",$E176="",$F176=""),0,MAX(0,MIN($F176,EOMONTH(DATE(cfg_FY,12,1),0))-MAX($E176,DATE(cfg_FY,12,1))+1)*(1-IF($M176="نعم",0,N($J176))))</f>
        <v>0</v>
      </c>
      <c r="AH176" s="65" t="n">
        <f aca="false">IF(OR(OR($B176="",$E176="",$F176=""),$L176&lt;&gt;"لا"),0,MAX(0,MIN($F176,EOMONTH(DATE(cfg_FY,1,1),0))-$E176+1))</f>
        <v>0</v>
      </c>
      <c r="AI176" s="65" t="n">
        <f aca="false">IF(OR(OR($B176="",$E176="",$F176=""),$L176&lt;&gt;"لا"),0,MAX(0,MIN($F176,EOMONTH(DATE(cfg_FY,2,1),0))-$E176+1))</f>
        <v>0</v>
      </c>
      <c r="AJ176" s="65" t="n">
        <f aca="false">IF(OR(OR($B176="",$E176="",$F176=""),$L176&lt;&gt;"لا"),0,MAX(0,MIN($F176,EOMONTH(DATE(cfg_FY,3,1),0))-$E176+1))</f>
        <v>0</v>
      </c>
      <c r="AK176" s="65" t="n">
        <f aca="false">IF(OR(OR($B176="",$E176="",$F176=""),$L176&lt;&gt;"لا"),0,MAX(0,MIN($F176,EOMONTH(DATE(cfg_FY,4,1),0))-$E176+1))</f>
        <v>0</v>
      </c>
      <c r="AL176" s="65" t="n">
        <f aca="false">IF(OR(OR($B176="",$E176="",$F176=""),$L176&lt;&gt;"لا"),0,MAX(0,MIN($F176,EOMONTH(DATE(cfg_FY,5,1),0))-$E176+1))</f>
        <v>0</v>
      </c>
      <c r="AM176" s="65" t="n">
        <f aca="false">IF(OR(OR($B176="",$E176="",$F176=""),$L176&lt;&gt;"لا"),0,MAX(0,MIN($F176,EOMONTH(DATE(cfg_FY,6,1),0))-$E176+1))</f>
        <v>0</v>
      </c>
      <c r="AN176" s="65" t="n">
        <f aca="false">IF(OR(OR($B176="",$E176="",$F176=""),$L176&lt;&gt;"لا"),0,MAX(0,MIN($F176,EOMONTH(DATE(cfg_FY,7,1),0))-$E176+1))</f>
        <v>0</v>
      </c>
      <c r="AO176" s="65" t="n">
        <f aca="false">IF(OR(OR($B176="",$E176="",$F176=""),$L176&lt;&gt;"لا"),0,MAX(0,MIN($F176,EOMONTH(DATE(cfg_FY,8,1),0))-$E176+1))</f>
        <v>0</v>
      </c>
      <c r="AP176" s="65" t="n">
        <f aca="false">IF(OR(OR($B176="",$E176="",$F176=""),$L176&lt;&gt;"لا"),0,MAX(0,MIN($F176,EOMONTH(DATE(cfg_FY,9,1),0))-$E176+1))</f>
        <v>0</v>
      </c>
      <c r="AQ176" s="65" t="n">
        <f aca="false">IF(OR(OR($B176="",$E176="",$F176=""),$L176&lt;&gt;"لا"),0,MAX(0,MIN($F176,EOMONTH(DATE(cfg_FY,10,1),0))-$E176+1))</f>
        <v>0</v>
      </c>
      <c r="AR176" s="65" t="n">
        <f aca="false">IF(OR(OR($B176="",$E176="",$F176=""),$L176&lt;&gt;"لا"),0,MAX(0,MIN($F176,EOMONTH(DATE(cfg_FY,11,1),0))-$E176+1))</f>
        <v>0</v>
      </c>
      <c r="AS176" s="65" t="n">
        <f aca="false">IF(OR(OR($B176="",$E176="",$F176=""),$L176&lt;&gt;"لا"),0,MAX(0,MIN($F176,EOMONTH(DATE(cfg_FY,12,1),0))-$E176+1))</f>
        <v>0</v>
      </c>
      <c r="AT176" s="65" t="n">
        <f aca="false">IF(OR(OR($B176="",$E176="",$F176=""),$K176&lt;&gt;"نعم",$M176="نعم"),0,MAX(0,MIN($F176,EOMONTH(DATE(cfg_FY,1,1),0))-MAX($E176,DATE(cfg_FY,1,1))+1))</f>
        <v>0</v>
      </c>
      <c r="AU176" s="65" t="n">
        <f aca="false">IF(OR(OR($B176="",$E176="",$F176=""),$K176&lt;&gt;"نعم",$M176="نعم"),0,MAX(0,MIN($F176,EOMONTH(DATE(cfg_FY,2,1),0))-MAX($E176,DATE(cfg_FY,2,1))+1))</f>
        <v>0</v>
      </c>
      <c r="AV176" s="65" t="n">
        <f aca="false">IF(OR(OR($B176="",$E176="",$F176=""),$K176&lt;&gt;"نعم",$M176="نعم"),0,MAX(0,MIN($F176,EOMONTH(DATE(cfg_FY,3,1),0))-MAX($E176,DATE(cfg_FY,3,1))+1))</f>
        <v>0</v>
      </c>
      <c r="AW176" s="65" t="n">
        <f aca="false">IF(OR(OR($B176="",$E176="",$F176=""),$K176&lt;&gt;"نعم",$M176="نعم"),0,MAX(0,MIN($F176,EOMONTH(DATE(cfg_FY,4,1),0))-MAX($E176,DATE(cfg_FY,4,1))+1))</f>
        <v>0</v>
      </c>
      <c r="AX176" s="65" t="n">
        <f aca="false">IF(OR(OR($B176="",$E176="",$F176=""),$K176&lt;&gt;"نعم",$M176="نعم"),0,MAX(0,MIN($F176,EOMONTH(DATE(cfg_FY,5,1),0))-MAX($E176,DATE(cfg_FY,5,1))+1))</f>
        <v>0</v>
      </c>
      <c r="AY176" s="65" t="n">
        <f aca="false">IF(OR(OR($B176="",$E176="",$F176=""),$K176&lt;&gt;"نعم",$M176="نعم"),0,MAX(0,MIN($F176,EOMONTH(DATE(cfg_FY,6,1),0))-MAX($E176,DATE(cfg_FY,6,1))+1))</f>
        <v>0</v>
      </c>
      <c r="AZ176" s="65" t="n">
        <f aca="false">IF(OR(OR($B176="",$E176="",$F176=""),$K176&lt;&gt;"نعم",$M176="نعم"),0,MAX(0,MIN($F176,EOMONTH(DATE(cfg_FY,7,1),0))-MAX($E176,DATE(cfg_FY,7,1))+1))</f>
        <v>0</v>
      </c>
      <c r="BA176" s="65" t="n">
        <f aca="false">IF(OR(OR($B176="",$E176="",$F176=""),$K176&lt;&gt;"نعم",$M176="نعم"),0,MAX(0,MIN($F176,EOMONTH(DATE(cfg_FY,8,1),0))-MAX($E176,DATE(cfg_FY,8,1))+1))</f>
        <v>0</v>
      </c>
      <c r="BB176" s="65" t="n">
        <f aca="false">IF(OR(OR($B176="",$E176="",$F176=""),$K176&lt;&gt;"نعم",$M176="نعم"),0,MAX(0,MIN($F176,EOMONTH(DATE(cfg_FY,9,1),0))-MAX($E176,DATE(cfg_FY,9,1))+1))</f>
        <v>0</v>
      </c>
      <c r="BC176" s="65" t="n">
        <f aca="false">IF(OR(OR($B176="",$E176="",$F176=""),$K176&lt;&gt;"نعم",$M176="نعم"),0,MAX(0,MIN($F176,EOMONTH(DATE(cfg_FY,10,1),0))-MAX($E176,DATE(cfg_FY,10,1))+1))</f>
        <v>0</v>
      </c>
      <c r="BD176" s="65" t="n">
        <f aca="false">IF(OR(OR($B176="",$E176="",$F176=""),$K176&lt;&gt;"نعم",$M176="نعم"),0,MAX(0,MIN($F176,EOMONTH(DATE(cfg_FY,11,1),0))-MAX($E176,DATE(cfg_FY,11,1))+1))</f>
        <v>0</v>
      </c>
      <c r="BE176" s="65" t="n">
        <f aca="false">IF(OR(OR($B176="",$E176="",$F176=""),$K176&lt;&gt;"نعم",$M176="نعم"),0,MAX(0,MIN($F176,EOMONTH(DATE(cfg_FY,12,1),0))-MAX($E176,DATE(cfg_FY,12,1))+1))</f>
        <v>0</v>
      </c>
    </row>
    <row r="177" customFormat="false" ht="15" hidden="false" customHeight="false" outlineLevel="0" collapsed="false">
      <c r="A177" s="115" t="str">
        <f aca="false">IF(B177="","",ROW()-5)</f>
        <v/>
      </c>
      <c r="B177" s="118"/>
      <c r="C177" s="117" t="str">
        <f aca="false">IF(B177="","",IFERROR(INDEX(الموظفون!$C$6:$C$105,MATCH(B177,الموظفون!$B$6:$B$105,0)),"✖ رقم غير موجود"))</f>
        <v/>
      </c>
      <c r="D177" s="118"/>
      <c r="E177" s="119"/>
      <c r="F177" s="119"/>
      <c r="G177" s="133" t="str">
        <f aca="false">IF(OR($B177="",$E177="",$F177=""),"",MAX(0,F177-E177+1))</f>
        <v/>
      </c>
      <c r="H177" s="134" t="str">
        <f aca="false">IF(D177="","",IFERROR(VLOOKUP(D177,cfg_LT,2,FALSE()),1))</f>
        <v/>
      </c>
      <c r="I177" s="135"/>
      <c r="J177" s="134" t="str">
        <f aca="false">IF(D177="","",IF(I177&lt;&gt;"",I177,H177))</f>
        <v/>
      </c>
      <c r="K177" s="117" t="str">
        <f aca="false">IF(D177="","",IFERROR(VLOOKUP($D177,cfg_LT,3,FALSE()),""))</f>
        <v/>
      </c>
      <c r="L177" s="117" t="str">
        <f aca="false">IF(D177="","",IFERROR(VLOOKUP($D177,cfg_LT,4,FALSE()),""))</f>
        <v/>
      </c>
      <c r="M177" s="117" t="str">
        <f aca="false">IF(D177="","",IFERROR(VLOOKUP($D177,cfg_LT,5,FALSE()),""))</f>
        <v/>
      </c>
      <c r="N177" s="116" t="n">
        <f aca="false">IF(OR(OR($B177="",$E177="",$F177=""),M177&lt;&gt;"نعم"),0,G177*J177*IFERROR(INDEX(الموظفون!$R$6:$R$105,MATCH(B177,الموظفون!$B$6:$B$105,0)),0)/cfg_DAYS_M)</f>
        <v>0</v>
      </c>
      <c r="O177" s="115" t="str">
        <f aca="false">IF(OR(OR($B177="",$E177="",$F177=""),M177&lt;&gt;"نعم"),"",IF(YEAR(E177)=cfg_FY,MONTH(E177),""))</f>
        <v/>
      </c>
      <c r="P177" s="117" t="str">
        <f aca="false">IF(B177="","",IF(OR(D177="",E177="",F177=""),"⚠ أكمل النوع والتواريخ",IF(F177&lt;E177,"✖ النهاية قبل البداية",IF(COUNTIFS($B$6:$B$505,B177,$E$6:$E$505,"&lt;="&amp;F177,$F$6:$F$505,"&gt;="&amp;E177)&gt;1,"⚠ تداخل مع سجل آخر",IF(E177&gt;cfg_VAL_DATE,"⏳ قادمة",IF(F177&lt;cfg_VAL_DATE,"✔ منتهية","✈ جارية في تاريخ التقرير"))))))</f>
        <v/>
      </c>
      <c r="Q177" s="118"/>
      <c r="R177" s="133" t="n">
        <f aca="false">IF(OR(OR($B177="",$E177="",$F177=""),L177&lt;&gt;"لا"),0,MAX(0,MIN(F177,cfg_Y_START-1)-E177+1))</f>
        <v>0</v>
      </c>
      <c r="S177" s="133" t="n">
        <f aca="false">IF(OR(OR($B177="",$E177="",$F177=""),L177&lt;&gt;"لا"),0,MAX(0,MIN(F177,cfg_VAL_DATE)-E177+1))</f>
        <v>0</v>
      </c>
      <c r="T177" s="133" t="n">
        <f aca="false">IF(OR(OR($B177="",$E177="",$F177=""),K177&lt;&gt;"نعم"),0,IF(M177="نعم",IF(AND(ISNUMBER(O177),N(O177)&lt;=cfg_VAL_M),G177,0),MAX(0,MIN(F177,cfg_VAL_DATE)-MAX(E177,cfg_Y_START)+1)))</f>
        <v>0</v>
      </c>
      <c r="V177" s="133" t="n">
        <f aca="false">IF(OR($B177="",$E177="",$F177=""),0,MAX(0,MIN($F177,EOMONTH(DATE(cfg_FY,1,1),0))-MAX($E177,DATE(cfg_FY,1,1))+1)*(1-IF($M177="نعم",0,N($J177))))</f>
        <v>0</v>
      </c>
      <c r="W177" s="133" t="n">
        <f aca="false">IF(OR($B177="",$E177="",$F177=""),0,MAX(0,MIN($F177,EOMONTH(DATE(cfg_FY,2,1),0))-MAX($E177,DATE(cfg_FY,2,1))+1)*(1-IF($M177="نعم",0,N($J177))))</f>
        <v>0</v>
      </c>
      <c r="X177" s="133" t="n">
        <f aca="false">IF(OR($B177="",$E177="",$F177=""),0,MAX(0,MIN($F177,EOMONTH(DATE(cfg_FY,3,1),0))-MAX($E177,DATE(cfg_FY,3,1))+1)*(1-IF($M177="نعم",0,N($J177))))</f>
        <v>0</v>
      </c>
      <c r="Y177" s="133" t="n">
        <f aca="false">IF(OR($B177="",$E177="",$F177=""),0,MAX(0,MIN($F177,EOMONTH(DATE(cfg_FY,4,1),0))-MAX($E177,DATE(cfg_FY,4,1))+1)*(1-IF($M177="نعم",0,N($J177))))</f>
        <v>0</v>
      </c>
      <c r="Z177" s="133" t="n">
        <f aca="false">IF(OR($B177="",$E177="",$F177=""),0,MAX(0,MIN($F177,EOMONTH(DATE(cfg_FY,5,1),0))-MAX($E177,DATE(cfg_FY,5,1))+1)*(1-IF($M177="نعم",0,N($J177))))</f>
        <v>0</v>
      </c>
      <c r="AA177" s="133" t="n">
        <f aca="false">IF(OR($B177="",$E177="",$F177=""),0,MAX(0,MIN($F177,EOMONTH(DATE(cfg_FY,6,1),0))-MAX($E177,DATE(cfg_FY,6,1))+1)*(1-IF($M177="نعم",0,N($J177))))</f>
        <v>0</v>
      </c>
      <c r="AB177" s="133" t="n">
        <f aca="false">IF(OR($B177="",$E177="",$F177=""),0,MAX(0,MIN($F177,EOMONTH(DATE(cfg_FY,7,1),0))-MAX($E177,DATE(cfg_FY,7,1))+1)*(1-IF($M177="نعم",0,N($J177))))</f>
        <v>0</v>
      </c>
      <c r="AC177" s="133" t="n">
        <f aca="false">IF(OR($B177="",$E177="",$F177=""),0,MAX(0,MIN($F177,EOMONTH(DATE(cfg_FY,8,1),0))-MAX($E177,DATE(cfg_FY,8,1))+1)*(1-IF($M177="نعم",0,N($J177))))</f>
        <v>0</v>
      </c>
      <c r="AD177" s="133" t="n">
        <f aca="false">IF(OR($B177="",$E177="",$F177=""),0,MAX(0,MIN($F177,EOMONTH(DATE(cfg_FY,9,1),0))-MAX($E177,DATE(cfg_FY,9,1))+1)*(1-IF($M177="نعم",0,N($J177))))</f>
        <v>0</v>
      </c>
      <c r="AE177" s="133" t="n">
        <f aca="false">IF(OR($B177="",$E177="",$F177=""),0,MAX(0,MIN($F177,EOMONTH(DATE(cfg_FY,10,1),0))-MAX($E177,DATE(cfg_FY,10,1))+1)*(1-IF($M177="نعم",0,N($J177))))</f>
        <v>0</v>
      </c>
      <c r="AF177" s="133" t="n">
        <f aca="false">IF(OR($B177="",$E177="",$F177=""),0,MAX(0,MIN($F177,EOMONTH(DATE(cfg_FY,11,1),0))-MAX($E177,DATE(cfg_FY,11,1))+1)*(1-IF($M177="نعم",0,N($J177))))</f>
        <v>0</v>
      </c>
      <c r="AG177" s="133" t="n">
        <f aca="false">IF(OR($B177="",$E177="",$F177=""),0,MAX(0,MIN($F177,EOMONTH(DATE(cfg_FY,12,1),0))-MAX($E177,DATE(cfg_FY,12,1))+1)*(1-IF($M177="نعم",0,N($J177))))</f>
        <v>0</v>
      </c>
      <c r="AH177" s="133" t="n">
        <f aca="false">IF(OR(OR($B177="",$E177="",$F177=""),$L177&lt;&gt;"لا"),0,MAX(0,MIN($F177,EOMONTH(DATE(cfg_FY,1,1),0))-$E177+1))</f>
        <v>0</v>
      </c>
      <c r="AI177" s="133" t="n">
        <f aca="false">IF(OR(OR($B177="",$E177="",$F177=""),$L177&lt;&gt;"لا"),0,MAX(0,MIN($F177,EOMONTH(DATE(cfg_FY,2,1),0))-$E177+1))</f>
        <v>0</v>
      </c>
      <c r="AJ177" s="133" t="n">
        <f aca="false">IF(OR(OR($B177="",$E177="",$F177=""),$L177&lt;&gt;"لا"),0,MAX(0,MIN($F177,EOMONTH(DATE(cfg_FY,3,1),0))-$E177+1))</f>
        <v>0</v>
      </c>
      <c r="AK177" s="133" t="n">
        <f aca="false">IF(OR(OR($B177="",$E177="",$F177=""),$L177&lt;&gt;"لا"),0,MAX(0,MIN($F177,EOMONTH(DATE(cfg_FY,4,1),0))-$E177+1))</f>
        <v>0</v>
      </c>
      <c r="AL177" s="133" t="n">
        <f aca="false">IF(OR(OR($B177="",$E177="",$F177=""),$L177&lt;&gt;"لا"),0,MAX(0,MIN($F177,EOMONTH(DATE(cfg_FY,5,1),0))-$E177+1))</f>
        <v>0</v>
      </c>
      <c r="AM177" s="133" t="n">
        <f aca="false">IF(OR(OR($B177="",$E177="",$F177=""),$L177&lt;&gt;"لا"),0,MAX(0,MIN($F177,EOMONTH(DATE(cfg_FY,6,1),0))-$E177+1))</f>
        <v>0</v>
      </c>
      <c r="AN177" s="133" t="n">
        <f aca="false">IF(OR(OR($B177="",$E177="",$F177=""),$L177&lt;&gt;"لا"),0,MAX(0,MIN($F177,EOMONTH(DATE(cfg_FY,7,1),0))-$E177+1))</f>
        <v>0</v>
      </c>
      <c r="AO177" s="133" t="n">
        <f aca="false">IF(OR(OR($B177="",$E177="",$F177=""),$L177&lt;&gt;"لا"),0,MAX(0,MIN($F177,EOMONTH(DATE(cfg_FY,8,1),0))-$E177+1))</f>
        <v>0</v>
      </c>
      <c r="AP177" s="133" t="n">
        <f aca="false">IF(OR(OR($B177="",$E177="",$F177=""),$L177&lt;&gt;"لا"),0,MAX(0,MIN($F177,EOMONTH(DATE(cfg_FY,9,1),0))-$E177+1))</f>
        <v>0</v>
      </c>
      <c r="AQ177" s="133" t="n">
        <f aca="false">IF(OR(OR($B177="",$E177="",$F177=""),$L177&lt;&gt;"لا"),0,MAX(0,MIN($F177,EOMONTH(DATE(cfg_FY,10,1),0))-$E177+1))</f>
        <v>0</v>
      </c>
      <c r="AR177" s="133" t="n">
        <f aca="false">IF(OR(OR($B177="",$E177="",$F177=""),$L177&lt;&gt;"لا"),0,MAX(0,MIN($F177,EOMONTH(DATE(cfg_FY,11,1),0))-$E177+1))</f>
        <v>0</v>
      </c>
      <c r="AS177" s="133" t="n">
        <f aca="false">IF(OR(OR($B177="",$E177="",$F177=""),$L177&lt;&gt;"لا"),0,MAX(0,MIN($F177,EOMONTH(DATE(cfg_FY,12,1),0))-$E177+1))</f>
        <v>0</v>
      </c>
      <c r="AT177" s="133" t="n">
        <f aca="false">IF(OR(OR($B177="",$E177="",$F177=""),$K177&lt;&gt;"نعم",$M177="نعم"),0,MAX(0,MIN($F177,EOMONTH(DATE(cfg_FY,1,1),0))-MAX($E177,DATE(cfg_FY,1,1))+1))</f>
        <v>0</v>
      </c>
      <c r="AU177" s="133" t="n">
        <f aca="false">IF(OR(OR($B177="",$E177="",$F177=""),$K177&lt;&gt;"نعم",$M177="نعم"),0,MAX(0,MIN($F177,EOMONTH(DATE(cfg_FY,2,1),0))-MAX($E177,DATE(cfg_FY,2,1))+1))</f>
        <v>0</v>
      </c>
      <c r="AV177" s="133" t="n">
        <f aca="false">IF(OR(OR($B177="",$E177="",$F177=""),$K177&lt;&gt;"نعم",$M177="نعم"),0,MAX(0,MIN($F177,EOMONTH(DATE(cfg_FY,3,1),0))-MAX($E177,DATE(cfg_FY,3,1))+1))</f>
        <v>0</v>
      </c>
      <c r="AW177" s="133" t="n">
        <f aca="false">IF(OR(OR($B177="",$E177="",$F177=""),$K177&lt;&gt;"نعم",$M177="نعم"),0,MAX(0,MIN($F177,EOMONTH(DATE(cfg_FY,4,1),0))-MAX($E177,DATE(cfg_FY,4,1))+1))</f>
        <v>0</v>
      </c>
      <c r="AX177" s="133" t="n">
        <f aca="false">IF(OR(OR($B177="",$E177="",$F177=""),$K177&lt;&gt;"نعم",$M177="نعم"),0,MAX(0,MIN($F177,EOMONTH(DATE(cfg_FY,5,1),0))-MAX($E177,DATE(cfg_FY,5,1))+1))</f>
        <v>0</v>
      </c>
      <c r="AY177" s="133" t="n">
        <f aca="false">IF(OR(OR($B177="",$E177="",$F177=""),$K177&lt;&gt;"نعم",$M177="نعم"),0,MAX(0,MIN($F177,EOMONTH(DATE(cfg_FY,6,1),0))-MAX($E177,DATE(cfg_FY,6,1))+1))</f>
        <v>0</v>
      </c>
      <c r="AZ177" s="133" t="n">
        <f aca="false">IF(OR(OR($B177="",$E177="",$F177=""),$K177&lt;&gt;"نعم",$M177="نعم"),0,MAX(0,MIN($F177,EOMONTH(DATE(cfg_FY,7,1),0))-MAX($E177,DATE(cfg_FY,7,1))+1))</f>
        <v>0</v>
      </c>
      <c r="BA177" s="133" t="n">
        <f aca="false">IF(OR(OR($B177="",$E177="",$F177=""),$K177&lt;&gt;"نعم",$M177="نعم"),0,MAX(0,MIN($F177,EOMONTH(DATE(cfg_FY,8,1),0))-MAX($E177,DATE(cfg_FY,8,1))+1))</f>
        <v>0</v>
      </c>
      <c r="BB177" s="133" t="n">
        <f aca="false">IF(OR(OR($B177="",$E177="",$F177=""),$K177&lt;&gt;"نعم",$M177="نعم"),0,MAX(0,MIN($F177,EOMONTH(DATE(cfg_FY,9,1),0))-MAX($E177,DATE(cfg_FY,9,1))+1))</f>
        <v>0</v>
      </c>
      <c r="BC177" s="133" t="n">
        <f aca="false">IF(OR(OR($B177="",$E177="",$F177=""),$K177&lt;&gt;"نعم",$M177="نعم"),0,MAX(0,MIN($F177,EOMONTH(DATE(cfg_FY,10,1),0))-MAX($E177,DATE(cfg_FY,10,1))+1))</f>
        <v>0</v>
      </c>
      <c r="BD177" s="133" t="n">
        <f aca="false">IF(OR(OR($B177="",$E177="",$F177=""),$K177&lt;&gt;"نعم",$M177="نعم"),0,MAX(0,MIN($F177,EOMONTH(DATE(cfg_FY,11,1),0))-MAX($E177,DATE(cfg_FY,11,1))+1))</f>
        <v>0</v>
      </c>
      <c r="BE177" s="133" t="n">
        <f aca="false">IF(OR(OR($B177="",$E177="",$F177=""),$K177&lt;&gt;"نعم",$M177="نعم"),0,MAX(0,MIN($F177,EOMONTH(DATE(cfg_FY,12,1),0))-MAX($E177,DATE(cfg_FY,12,1))+1))</f>
        <v>0</v>
      </c>
    </row>
    <row r="178" customFormat="false" ht="15" hidden="false" customHeight="false" outlineLevel="0" collapsed="false">
      <c r="A178" s="106" t="str">
        <f aca="false">IF(B178="","",ROW()-5)</f>
        <v/>
      </c>
      <c r="B178" s="118"/>
      <c r="C178" s="114" t="str">
        <f aca="false">IF(B178="","",IFERROR(INDEX(الموظفون!$C$6:$C$105,MATCH(B178,الموظفون!$B$6:$B$105,0)),"✖ رقم غير موجود"))</f>
        <v/>
      </c>
      <c r="D178" s="118"/>
      <c r="E178" s="119"/>
      <c r="F178" s="119"/>
      <c r="G178" s="65" t="str">
        <f aca="false">IF(OR($B178="",$E178="",$F178=""),"",MAX(0,F178-E178+1))</f>
        <v/>
      </c>
      <c r="H178" s="66" t="str">
        <f aca="false">IF(D178="","",IFERROR(VLOOKUP(D178,cfg_LT,2,FALSE()),1))</f>
        <v/>
      </c>
      <c r="I178" s="135"/>
      <c r="J178" s="66" t="str">
        <f aca="false">IF(D178="","",IF(I178&lt;&gt;"",I178,H178))</f>
        <v/>
      </c>
      <c r="K178" s="114" t="str">
        <f aca="false">IF(D178="","",IFERROR(VLOOKUP($D178,cfg_LT,3,FALSE()),""))</f>
        <v/>
      </c>
      <c r="L178" s="114" t="str">
        <f aca="false">IF(D178="","",IFERROR(VLOOKUP($D178,cfg_LT,4,FALSE()),""))</f>
        <v/>
      </c>
      <c r="M178" s="114" t="str">
        <f aca="false">IF(D178="","",IFERROR(VLOOKUP($D178,cfg_LT,5,FALSE()),""))</f>
        <v/>
      </c>
      <c r="N178" s="111" t="n">
        <f aca="false">IF(OR(OR($B178="",$E178="",$F178=""),M178&lt;&gt;"نعم"),0,G178*J178*IFERROR(INDEX(الموظفون!$R$6:$R$105,MATCH(B178,الموظفون!$B$6:$B$105,0)),0)/cfg_DAYS_M)</f>
        <v>0</v>
      </c>
      <c r="O178" s="106" t="str">
        <f aca="false">IF(OR(OR($B178="",$E178="",$F178=""),M178&lt;&gt;"نعم"),"",IF(YEAR(E178)=cfg_FY,MONTH(E178),""))</f>
        <v/>
      </c>
      <c r="P178" s="114" t="str">
        <f aca="false">IF(B178="","",IF(OR(D178="",E178="",F178=""),"⚠ أكمل النوع والتواريخ",IF(F178&lt;E178,"✖ النهاية قبل البداية",IF(COUNTIFS($B$6:$B$505,B178,$E$6:$E$505,"&lt;="&amp;F178,$F$6:$F$505,"&gt;="&amp;E178)&gt;1,"⚠ تداخل مع سجل آخر",IF(E178&gt;cfg_VAL_DATE,"⏳ قادمة",IF(F178&lt;cfg_VAL_DATE,"✔ منتهية","✈ جارية في تاريخ التقرير"))))))</f>
        <v/>
      </c>
      <c r="Q178" s="118"/>
      <c r="R178" s="65" t="n">
        <f aca="false">IF(OR(OR($B178="",$E178="",$F178=""),L178&lt;&gt;"لا"),0,MAX(0,MIN(F178,cfg_Y_START-1)-E178+1))</f>
        <v>0</v>
      </c>
      <c r="S178" s="65" t="n">
        <f aca="false">IF(OR(OR($B178="",$E178="",$F178=""),L178&lt;&gt;"لا"),0,MAX(0,MIN(F178,cfg_VAL_DATE)-E178+1))</f>
        <v>0</v>
      </c>
      <c r="T178" s="65" t="n">
        <f aca="false">IF(OR(OR($B178="",$E178="",$F178=""),K178&lt;&gt;"نعم"),0,IF(M178="نعم",IF(AND(ISNUMBER(O178),N(O178)&lt;=cfg_VAL_M),G178,0),MAX(0,MIN(F178,cfg_VAL_DATE)-MAX(E178,cfg_Y_START)+1)))</f>
        <v>0</v>
      </c>
      <c r="V178" s="65" t="n">
        <f aca="false">IF(OR($B178="",$E178="",$F178=""),0,MAX(0,MIN($F178,EOMONTH(DATE(cfg_FY,1,1),0))-MAX($E178,DATE(cfg_FY,1,1))+1)*(1-IF($M178="نعم",0,N($J178))))</f>
        <v>0</v>
      </c>
      <c r="W178" s="65" t="n">
        <f aca="false">IF(OR($B178="",$E178="",$F178=""),0,MAX(0,MIN($F178,EOMONTH(DATE(cfg_FY,2,1),0))-MAX($E178,DATE(cfg_FY,2,1))+1)*(1-IF($M178="نعم",0,N($J178))))</f>
        <v>0</v>
      </c>
      <c r="X178" s="65" t="n">
        <f aca="false">IF(OR($B178="",$E178="",$F178=""),0,MAX(0,MIN($F178,EOMONTH(DATE(cfg_FY,3,1),0))-MAX($E178,DATE(cfg_FY,3,1))+1)*(1-IF($M178="نعم",0,N($J178))))</f>
        <v>0</v>
      </c>
      <c r="Y178" s="65" t="n">
        <f aca="false">IF(OR($B178="",$E178="",$F178=""),0,MAX(0,MIN($F178,EOMONTH(DATE(cfg_FY,4,1),0))-MAX($E178,DATE(cfg_FY,4,1))+1)*(1-IF($M178="نعم",0,N($J178))))</f>
        <v>0</v>
      </c>
      <c r="Z178" s="65" t="n">
        <f aca="false">IF(OR($B178="",$E178="",$F178=""),0,MAX(0,MIN($F178,EOMONTH(DATE(cfg_FY,5,1),0))-MAX($E178,DATE(cfg_FY,5,1))+1)*(1-IF($M178="نعم",0,N($J178))))</f>
        <v>0</v>
      </c>
      <c r="AA178" s="65" t="n">
        <f aca="false">IF(OR($B178="",$E178="",$F178=""),0,MAX(0,MIN($F178,EOMONTH(DATE(cfg_FY,6,1),0))-MAX($E178,DATE(cfg_FY,6,1))+1)*(1-IF($M178="نعم",0,N($J178))))</f>
        <v>0</v>
      </c>
      <c r="AB178" s="65" t="n">
        <f aca="false">IF(OR($B178="",$E178="",$F178=""),0,MAX(0,MIN($F178,EOMONTH(DATE(cfg_FY,7,1),0))-MAX($E178,DATE(cfg_FY,7,1))+1)*(1-IF($M178="نعم",0,N($J178))))</f>
        <v>0</v>
      </c>
      <c r="AC178" s="65" t="n">
        <f aca="false">IF(OR($B178="",$E178="",$F178=""),0,MAX(0,MIN($F178,EOMONTH(DATE(cfg_FY,8,1),0))-MAX($E178,DATE(cfg_FY,8,1))+1)*(1-IF($M178="نعم",0,N($J178))))</f>
        <v>0</v>
      </c>
      <c r="AD178" s="65" t="n">
        <f aca="false">IF(OR($B178="",$E178="",$F178=""),0,MAX(0,MIN($F178,EOMONTH(DATE(cfg_FY,9,1),0))-MAX($E178,DATE(cfg_FY,9,1))+1)*(1-IF($M178="نعم",0,N($J178))))</f>
        <v>0</v>
      </c>
      <c r="AE178" s="65" t="n">
        <f aca="false">IF(OR($B178="",$E178="",$F178=""),0,MAX(0,MIN($F178,EOMONTH(DATE(cfg_FY,10,1),0))-MAX($E178,DATE(cfg_FY,10,1))+1)*(1-IF($M178="نعم",0,N($J178))))</f>
        <v>0</v>
      </c>
      <c r="AF178" s="65" t="n">
        <f aca="false">IF(OR($B178="",$E178="",$F178=""),0,MAX(0,MIN($F178,EOMONTH(DATE(cfg_FY,11,1),0))-MAX($E178,DATE(cfg_FY,11,1))+1)*(1-IF($M178="نعم",0,N($J178))))</f>
        <v>0</v>
      </c>
      <c r="AG178" s="65" t="n">
        <f aca="false">IF(OR($B178="",$E178="",$F178=""),0,MAX(0,MIN($F178,EOMONTH(DATE(cfg_FY,12,1),0))-MAX($E178,DATE(cfg_FY,12,1))+1)*(1-IF($M178="نعم",0,N($J178))))</f>
        <v>0</v>
      </c>
      <c r="AH178" s="65" t="n">
        <f aca="false">IF(OR(OR($B178="",$E178="",$F178=""),$L178&lt;&gt;"لا"),0,MAX(0,MIN($F178,EOMONTH(DATE(cfg_FY,1,1),0))-$E178+1))</f>
        <v>0</v>
      </c>
      <c r="AI178" s="65" t="n">
        <f aca="false">IF(OR(OR($B178="",$E178="",$F178=""),$L178&lt;&gt;"لا"),0,MAX(0,MIN($F178,EOMONTH(DATE(cfg_FY,2,1),0))-$E178+1))</f>
        <v>0</v>
      </c>
      <c r="AJ178" s="65" t="n">
        <f aca="false">IF(OR(OR($B178="",$E178="",$F178=""),$L178&lt;&gt;"لا"),0,MAX(0,MIN($F178,EOMONTH(DATE(cfg_FY,3,1),0))-$E178+1))</f>
        <v>0</v>
      </c>
      <c r="AK178" s="65" t="n">
        <f aca="false">IF(OR(OR($B178="",$E178="",$F178=""),$L178&lt;&gt;"لا"),0,MAX(0,MIN($F178,EOMONTH(DATE(cfg_FY,4,1),0))-$E178+1))</f>
        <v>0</v>
      </c>
      <c r="AL178" s="65" t="n">
        <f aca="false">IF(OR(OR($B178="",$E178="",$F178=""),$L178&lt;&gt;"لا"),0,MAX(0,MIN($F178,EOMONTH(DATE(cfg_FY,5,1),0))-$E178+1))</f>
        <v>0</v>
      </c>
      <c r="AM178" s="65" t="n">
        <f aca="false">IF(OR(OR($B178="",$E178="",$F178=""),$L178&lt;&gt;"لا"),0,MAX(0,MIN($F178,EOMONTH(DATE(cfg_FY,6,1),0))-$E178+1))</f>
        <v>0</v>
      </c>
      <c r="AN178" s="65" t="n">
        <f aca="false">IF(OR(OR($B178="",$E178="",$F178=""),$L178&lt;&gt;"لا"),0,MAX(0,MIN($F178,EOMONTH(DATE(cfg_FY,7,1),0))-$E178+1))</f>
        <v>0</v>
      </c>
      <c r="AO178" s="65" t="n">
        <f aca="false">IF(OR(OR($B178="",$E178="",$F178=""),$L178&lt;&gt;"لا"),0,MAX(0,MIN($F178,EOMONTH(DATE(cfg_FY,8,1),0))-$E178+1))</f>
        <v>0</v>
      </c>
      <c r="AP178" s="65" t="n">
        <f aca="false">IF(OR(OR($B178="",$E178="",$F178=""),$L178&lt;&gt;"لا"),0,MAX(0,MIN($F178,EOMONTH(DATE(cfg_FY,9,1),0))-$E178+1))</f>
        <v>0</v>
      </c>
      <c r="AQ178" s="65" t="n">
        <f aca="false">IF(OR(OR($B178="",$E178="",$F178=""),$L178&lt;&gt;"لا"),0,MAX(0,MIN($F178,EOMONTH(DATE(cfg_FY,10,1),0))-$E178+1))</f>
        <v>0</v>
      </c>
      <c r="AR178" s="65" t="n">
        <f aca="false">IF(OR(OR($B178="",$E178="",$F178=""),$L178&lt;&gt;"لا"),0,MAX(0,MIN($F178,EOMONTH(DATE(cfg_FY,11,1),0))-$E178+1))</f>
        <v>0</v>
      </c>
      <c r="AS178" s="65" t="n">
        <f aca="false">IF(OR(OR($B178="",$E178="",$F178=""),$L178&lt;&gt;"لا"),0,MAX(0,MIN($F178,EOMONTH(DATE(cfg_FY,12,1),0))-$E178+1))</f>
        <v>0</v>
      </c>
      <c r="AT178" s="65" t="n">
        <f aca="false">IF(OR(OR($B178="",$E178="",$F178=""),$K178&lt;&gt;"نعم",$M178="نعم"),0,MAX(0,MIN($F178,EOMONTH(DATE(cfg_FY,1,1),0))-MAX($E178,DATE(cfg_FY,1,1))+1))</f>
        <v>0</v>
      </c>
      <c r="AU178" s="65" t="n">
        <f aca="false">IF(OR(OR($B178="",$E178="",$F178=""),$K178&lt;&gt;"نعم",$M178="نعم"),0,MAX(0,MIN($F178,EOMONTH(DATE(cfg_FY,2,1),0))-MAX($E178,DATE(cfg_FY,2,1))+1))</f>
        <v>0</v>
      </c>
      <c r="AV178" s="65" t="n">
        <f aca="false">IF(OR(OR($B178="",$E178="",$F178=""),$K178&lt;&gt;"نعم",$M178="نعم"),0,MAX(0,MIN($F178,EOMONTH(DATE(cfg_FY,3,1),0))-MAX($E178,DATE(cfg_FY,3,1))+1))</f>
        <v>0</v>
      </c>
      <c r="AW178" s="65" t="n">
        <f aca="false">IF(OR(OR($B178="",$E178="",$F178=""),$K178&lt;&gt;"نعم",$M178="نعم"),0,MAX(0,MIN($F178,EOMONTH(DATE(cfg_FY,4,1),0))-MAX($E178,DATE(cfg_FY,4,1))+1))</f>
        <v>0</v>
      </c>
      <c r="AX178" s="65" t="n">
        <f aca="false">IF(OR(OR($B178="",$E178="",$F178=""),$K178&lt;&gt;"نعم",$M178="نعم"),0,MAX(0,MIN($F178,EOMONTH(DATE(cfg_FY,5,1),0))-MAX($E178,DATE(cfg_FY,5,1))+1))</f>
        <v>0</v>
      </c>
      <c r="AY178" s="65" t="n">
        <f aca="false">IF(OR(OR($B178="",$E178="",$F178=""),$K178&lt;&gt;"نعم",$M178="نعم"),0,MAX(0,MIN($F178,EOMONTH(DATE(cfg_FY,6,1),0))-MAX($E178,DATE(cfg_FY,6,1))+1))</f>
        <v>0</v>
      </c>
      <c r="AZ178" s="65" t="n">
        <f aca="false">IF(OR(OR($B178="",$E178="",$F178=""),$K178&lt;&gt;"نعم",$M178="نعم"),0,MAX(0,MIN($F178,EOMONTH(DATE(cfg_FY,7,1),0))-MAX($E178,DATE(cfg_FY,7,1))+1))</f>
        <v>0</v>
      </c>
      <c r="BA178" s="65" t="n">
        <f aca="false">IF(OR(OR($B178="",$E178="",$F178=""),$K178&lt;&gt;"نعم",$M178="نعم"),0,MAX(0,MIN($F178,EOMONTH(DATE(cfg_FY,8,1),0))-MAX($E178,DATE(cfg_FY,8,1))+1))</f>
        <v>0</v>
      </c>
      <c r="BB178" s="65" t="n">
        <f aca="false">IF(OR(OR($B178="",$E178="",$F178=""),$K178&lt;&gt;"نعم",$M178="نعم"),0,MAX(0,MIN($F178,EOMONTH(DATE(cfg_FY,9,1),0))-MAX($E178,DATE(cfg_FY,9,1))+1))</f>
        <v>0</v>
      </c>
      <c r="BC178" s="65" t="n">
        <f aca="false">IF(OR(OR($B178="",$E178="",$F178=""),$K178&lt;&gt;"نعم",$M178="نعم"),0,MAX(0,MIN($F178,EOMONTH(DATE(cfg_FY,10,1),0))-MAX($E178,DATE(cfg_FY,10,1))+1))</f>
        <v>0</v>
      </c>
      <c r="BD178" s="65" t="n">
        <f aca="false">IF(OR(OR($B178="",$E178="",$F178=""),$K178&lt;&gt;"نعم",$M178="نعم"),0,MAX(0,MIN($F178,EOMONTH(DATE(cfg_FY,11,1),0))-MAX($E178,DATE(cfg_FY,11,1))+1))</f>
        <v>0</v>
      </c>
      <c r="BE178" s="65" t="n">
        <f aca="false">IF(OR(OR($B178="",$E178="",$F178=""),$K178&lt;&gt;"نعم",$M178="نعم"),0,MAX(0,MIN($F178,EOMONTH(DATE(cfg_FY,12,1),0))-MAX($E178,DATE(cfg_FY,12,1))+1))</f>
        <v>0</v>
      </c>
    </row>
    <row r="179" customFormat="false" ht="15" hidden="false" customHeight="false" outlineLevel="0" collapsed="false">
      <c r="A179" s="115" t="str">
        <f aca="false">IF(B179="","",ROW()-5)</f>
        <v/>
      </c>
      <c r="B179" s="118"/>
      <c r="C179" s="117" t="str">
        <f aca="false">IF(B179="","",IFERROR(INDEX(الموظفون!$C$6:$C$105,MATCH(B179,الموظفون!$B$6:$B$105,0)),"✖ رقم غير موجود"))</f>
        <v/>
      </c>
      <c r="D179" s="118"/>
      <c r="E179" s="119"/>
      <c r="F179" s="119"/>
      <c r="G179" s="133" t="str">
        <f aca="false">IF(OR($B179="",$E179="",$F179=""),"",MAX(0,F179-E179+1))</f>
        <v/>
      </c>
      <c r="H179" s="134" t="str">
        <f aca="false">IF(D179="","",IFERROR(VLOOKUP(D179,cfg_LT,2,FALSE()),1))</f>
        <v/>
      </c>
      <c r="I179" s="135"/>
      <c r="J179" s="134" t="str">
        <f aca="false">IF(D179="","",IF(I179&lt;&gt;"",I179,H179))</f>
        <v/>
      </c>
      <c r="K179" s="117" t="str">
        <f aca="false">IF(D179="","",IFERROR(VLOOKUP($D179,cfg_LT,3,FALSE()),""))</f>
        <v/>
      </c>
      <c r="L179" s="117" t="str">
        <f aca="false">IF(D179="","",IFERROR(VLOOKUP($D179,cfg_LT,4,FALSE()),""))</f>
        <v/>
      </c>
      <c r="M179" s="117" t="str">
        <f aca="false">IF(D179="","",IFERROR(VLOOKUP($D179,cfg_LT,5,FALSE()),""))</f>
        <v/>
      </c>
      <c r="N179" s="116" t="n">
        <f aca="false">IF(OR(OR($B179="",$E179="",$F179=""),M179&lt;&gt;"نعم"),0,G179*J179*IFERROR(INDEX(الموظفون!$R$6:$R$105,MATCH(B179,الموظفون!$B$6:$B$105,0)),0)/cfg_DAYS_M)</f>
        <v>0</v>
      </c>
      <c r="O179" s="115" t="str">
        <f aca="false">IF(OR(OR($B179="",$E179="",$F179=""),M179&lt;&gt;"نعم"),"",IF(YEAR(E179)=cfg_FY,MONTH(E179),""))</f>
        <v/>
      </c>
      <c r="P179" s="117" t="str">
        <f aca="false">IF(B179="","",IF(OR(D179="",E179="",F179=""),"⚠ أكمل النوع والتواريخ",IF(F179&lt;E179,"✖ النهاية قبل البداية",IF(COUNTIFS($B$6:$B$505,B179,$E$6:$E$505,"&lt;="&amp;F179,$F$6:$F$505,"&gt;="&amp;E179)&gt;1,"⚠ تداخل مع سجل آخر",IF(E179&gt;cfg_VAL_DATE,"⏳ قادمة",IF(F179&lt;cfg_VAL_DATE,"✔ منتهية","✈ جارية في تاريخ التقرير"))))))</f>
        <v/>
      </c>
      <c r="Q179" s="118"/>
      <c r="R179" s="133" t="n">
        <f aca="false">IF(OR(OR($B179="",$E179="",$F179=""),L179&lt;&gt;"لا"),0,MAX(0,MIN(F179,cfg_Y_START-1)-E179+1))</f>
        <v>0</v>
      </c>
      <c r="S179" s="133" t="n">
        <f aca="false">IF(OR(OR($B179="",$E179="",$F179=""),L179&lt;&gt;"لا"),0,MAX(0,MIN(F179,cfg_VAL_DATE)-E179+1))</f>
        <v>0</v>
      </c>
      <c r="T179" s="133" t="n">
        <f aca="false">IF(OR(OR($B179="",$E179="",$F179=""),K179&lt;&gt;"نعم"),0,IF(M179="نعم",IF(AND(ISNUMBER(O179),N(O179)&lt;=cfg_VAL_M),G179,0),MAX(0,MIN(F179,cfg_VAL_DATE)-MAX(E179,cfg_Y_START)+1)))</f>
        <v>0</v>
      </c>
      <c r="V179" s="133" t="n">
        <f aca="false">IF(OR($B179="",$E179="",$F179=""),0,MAX(0,MIN($F179,EOMONTH(DATE(cfg_FY,1,1),0))-MAX($E179,DATE(cfg_FY,1,1))+1)*(1-IF($M179="نعم",0,N($J179))))</f>
        <v>0</v>
      </c>
      <c r="W179" s="133" t="n">
        <f aca="false">IF(OR($B179="",$E179="",$F179=""),0,MAX(0,MIN($F179,EOMONTH(DATE(cfg_FY,2,1),0))-MAX($E179,DATE(cfg_FY,2,1))+1)*(1-IF($M179="نعم",0,N($J179))))</f>
        <v>0</v>
      </c>
      <c r="X179" s="133" t="n">
        <f aca="false">IF(OR($B179="",$E179="",$F179=""),0,MAX(0,MIN($F179,EOMONTH(DATE(cfg_FY,3,1),0))-MAX($E179,DATE(cfg_FY,3,1))+1)*(1-IF($M179="نعم",0,N($J179))))</f>
        <v>0</v>
      </c>
      <c r="Y179" s="133" t="n">
        <f aca="false">IF(OR($B179="",$E179="",$F179=""),0,MAX(0,MIN($F179,EOMONTH(DATE(cfg_FY,4,1),0))-MAX($E179,DATE(cfg_FY,4,1))+1)*(1-IF($M179="نعم",0,N($J179))))</f>
        <v>0</v>
      </c>
      <c r="Z179" s="133" t="n">
        <f aca="false">IF(OR($B179="",$E179="",$F179=""),0,MAX(0,MIN($F179,EOMONTH(DATE(cfg_FY,5,1),0))-MAX($E179,DATE(cfg_FY,5,1))+1)*(1-IF($M179="نعم",0,N($J179))))</f>
        <v>0</v>
      </c>
      <c r="AA179" s="133" t="n">
        <f aca="false">IF(OR($B179="",$E179="",$F179=""),0,MAX(0,MIN($F179,EOMONTH(DATE(cfg_FY,6,1),0))-MAX($E179,DATE(cfg_FY,6,1))+1)*(1-IF($M179="نعم",0,N($J179))))</f>
        <v>0</v>
      </c>
      <c r="AB179" s="133" t="n">
        <f aca="false">IF(OR($B179="",$E179="",$F179=""),0,MAX(0,MIN($F179,EOMONTH(DATE(cfg_FY,7,1),0))-MAX($E179,DATE(cfg_FY,7,1))+1)*(1-IF($M179="نعم",0,N($J179))))</f>
        <v>0</v>
      </c>
      <c r="AC179" s="133" t="n">
        <f aca="false">IF(OR($B179="",$E179="",$F179=""),0,MAX(0,MIN($F179,EOMONTH(DATE(cfg_FY,8,1),0))-MAX($E179,DATE(cfg_FY,8,1))+1)*(1-IF($M179="نعم",0,N($J179))))</f>
        <v>0</v>
      </c>
      <c r="AD179" s="133" t="n">
        <f aca="false">IF(OR($B179="",$E179="",$F179=""),0,MAX(0,MIN($F179,EOMONTH(DATE(cfg_FY,9,1),0))-MAX($E179,DATE(cfg_FY,9,1))+1)*(1-IF($M179="نعم",0,N($J179))))</f>
        <v>0</v>
      </c>
      <c r="AE179" s="133" t="n">
        <f aca="false">IF(OR($B179="",$E179="",$F179=""),0,MAX(0,MIN($F179,EOMONTH(DATE(cfg_FY,10,1),0))-MAX($E179,DATE(cfg_FY,10,1))+1)*(1-IF($M179="نعم",0,N($J179))))</f>
        <v>0</v>
      </c>
      <c r="AF179" s="133" t="n">
        <f aca="false">IF(OR($B179="",$E179="",$F179=""),0,MAX(0,MIN($F179,EOMONTH(DATE(cfg_FY,11,1),0))-MAX($E179,DATE(cfg_FY,11,1))+1)*(1-IF($M179="نعم",0,N($J179))))</f>
        <v>0</v>
      </c>
      <c r="AG179" s="133" t="n">
        <f aca="false">IF(OR($B179="",$E179="",$F179=""),0,MAX(0,MIN($F179,EOMONTH(DATE(cfg_FY,12,1),0))-MAX($E179,DATE(cfg_FY,12,1))+1)*(1-IF($M179="نعم",0,N($J179))))</f>
        <v>0</v>
      </c>
      <c r="AH179" s="133" t="n">
        <f aca="false">IF(OR(OR($B179="",$E179="",$F179=""),$L179&lt;&gt;"لا"),0,MAX(0,MIN($F179,EOMONTH(DATE(cfg_FY,1,1),0))-$E179+1))</f>
        <v>0</v>
      </c>
      <c r="AI179" s="133" t="n">
        <f aca="false">IF(OR(OR($B179="",$E179="",$F179=""),$L179&lt;&gt;"لا"),0,MAX(0,MIN($F179,EOMONTH(DATE(cfg_FY,2,1),0))-$E179+1))</f>
        <v>0</v>
      </c>
      <c r="AJ179" s="133" t="n">
        <f aca="false">IF(OR(OR($B179="",$E179="",$F179=""),$L179&lt;&gt;"لا"),0,MAX(0,MIN($F179,EOMONTH(DATE(cfg_FY,3,1),0))-$E179+1))</f>
        <v>0</v>
      </c>
      <c r="AK179" s="133" t="n">
        <f aca="false">IF(OR(OR($B179="",$E179="",$F179=""),$L179&lt;&gt;"لا"),0,MAX(0,MIN($F179,EOMONTH(DATE(cfg_FY,4,1),0))-$E179+1))</f>
        <v>0</v>
      </c>
      <c r="AL179" s="133" t="n">
        <f aca="false">IF(OR(OR($B179="",$E179="",$F179=""),$L179&lt;&gt;"لا"),0,MAX(0,MIN($F179,EOMONTH(DATE(cfg_FY,5,1),0))-$E179+1))</f>
        <v>0</v>
      </c>
      <c r="AM179" s="133" t="n">
        <f aca="false">IF(OR(OR($B179="",$E179="",$F179=""),$L179&lt;&gt;"لا"),0,MAX(0,MIN($F179,EOMONTH(DATE(cfg_FY,6,1),0))-$E179+1))</f>
        <v>0</v>
      </c>
      <c r="AN179" s="133" t="n">
        <f aca="false">IF(OR(OR($B179="",$E179="",$F179=""),$L179&lt;&gt;"لا"),0,MAX(0,MIN($F179,EOMONTH(DATE(cfg_FY,7,1),0))-$E179+1))</f>
        <v>0</v>
      </c>
      <c r="AO179" s="133" t="n">
        <f aca="false">IF(OR(OR($B179="",$E179="",$F179=""),$L179&lt;&gt;"لا"),0,MAX(0,MIN($F179,EOMONTH(DATE(cfg_FY,8,1),0))-$E179+1))</f>
        <v>0</v>
      </c>
      <c r="AP179" s="133" t="n">
        <f aca="false">IF(OR(OR($B179="",$E179="",$F179=""),$L179&lt;&gt;"لا"),0,MAX(0,MIN($F179,EOMONTH(DATE(cfg_FY,9,1),0))-$E179+1))</f>
        <v>0</v>
      </c>
      <c r="AQ179" s="133" t="n">
        <f aca="false">IF(OR(OR($B179="",$E179="",$F179=""),$L179&lt;&gt;"لا"),0,MAX(0,MIN($F179,EOMONTH(DATE(cfg_FY,10,1),0))-$E179+1))</f>
        <v>0</v>
      </c>
      <c r="AR179" s="133" t="n">
        <f aca="false">IF(OR(OR($B179="",$E179="",$F179=""),$L179&lt;&gt;"لا"),0,MAX(0,MIN($F179,EOMONTH(DATE(cfg_FY,11,1),0))-$E179+1))</f>
        <v>0</v>
      </c>
      <c r="AS179" s="133" t="n">
        <f aca="false">IF(OR(OR($B179="",$E179="",$F179=""),$L179&lt;&gt;"لا"),0,MAX(0,MIN($F179,EOMONTH(DATE(cfg_FY,12,1),0))-$E179+1))</f>
        <v>0</v>
      </c>
      <c r="AT179" s="133" t="n">
        <f aca="false">IF(OR(OR($B179="",$E179="",$F179=""),$K179&lt;&gt;"نعم",$M179="نعم"),0,MAX(0,MIN($F179,EOMONTH(DATE(cfg_FY,1,1),0))-MAX($E179,DATE(cfg_FY,1,1))+1))</f>
        <v>0</v>
      </c>
      <c r="AU179" s="133" t="n">
        <f aca="false">IF(OR(OR($B179="",$E179="",$F179=""),$K179&lt;&gt;"نعم",$M179="نعم"),0,MAX(0,MIN($F179,EOMONTH(DATE(cfg_FY,2,1),0))-MAX($E179,DATE(cfg_FY,2,1))+1))</f>
        <v>0</v>
      </c>
      <c r="AV179" s="133" t="n">
        <f aca="false">IF(OR(OR($B179="",$E179="",$F179=""),$K179&lt;&gt;"نعم",$M179="نعم"),0,MAX(0,MIN($F179,EOMONTH(DATE(cfg_FY,3,1),0))-MAX($E179,DATE(cfg_FY,3,1))+1))</f>
        <v>0</v>
      </c>
      <c r="AW179" s="133" t="n">
        <f aca="false">IF(OR(OR($B179="",$E179="",$F179=""),$K179&lt;&gt;"نعم",$M179="نعم"),0,MAX(0,MIN($F179,EOMONTH(DATE(cfg_FY,4,1),0))-MAX($E179,DATE(cfg_FY,4,1))+1))</f>
        <v>0</v>
      </c>
      <c r="AX179" s="133" t="n">
        <f aca="false">IF(OR(OR($B179="",$E179="",$F179=""),$K179&lt;&gt;"نعم",$M179="نعم"),0,MAX(0,MIN($F179,EOMONTH(DATE(cfg_FY,5,1),0))-MAX($E179,DATE(cfg_FY,5,1))+1))</f>
        <v>0</v>
      </c>
      <c r="AY179" s="133" t="n">
        <f aca="false">IF(OR(OR($B179="",$E179="",$F179=""),$K179&lt;&gt;"نعم",$M179="نعم"),0,MAX(0,MIN($F179,EOMONTH(DATE(cfg_FY,6,1),0))-MAX($E179,DATE(cfg_FY,6,1))+1))</f>
        <v>0</v>
      </c>
      <c r="AZ179" s="133" t="n">
        <f aca="false">IF(OR(OR($B179="",$E179="",$F179=""),$K179&lt;&gt;"نعم",$M179="نعم"),0,MAX(0,MIN($F179,EOMONTH(DATE(cfg_FY,7,1),0))-MAX($E179,DATE(cfg_FY,7,1))+1))</f>
        <v>0</v>
      </c>
      <c r="BA179" s="133" t="n">
        <f aca="false">IF(OR(OR($B179="",$E179="",$F179=""),$K179&lt;&gt;"نعم",$M179="نعم"),0,MAX(0,MIN($F179,EOMONTH(DATE(cfg_FY,8,1),0))-MAX($E179,DATE(cfg_FY,8,1))+1))</f>
        <v>0</v>
      </c>
      <c r="BB179" s="133" t="n">
        <f aca="false">IF(OR(OR($B179="",$E179="",$F179=""),$K179&lt;&gt;"نعم",$M179="نعم"),0,MAX(0,MIN($F179,EOMONTH(DATE(cfg_FY,9,1),0))-MAX($E179,DATE(cfg_FY,9,1))+1))</f>
        <v>0</v>
      </c>
      <c r="BC179" s="133" t="n">
        <f aca="false">IF(OR(OR($B179="",$E179="",$F179=""),$K179&lt;&gt;"نعم",$M179="نعم"),0,MAX(0,MIN($F179,EOMONTH(DATE(cfg_FY,10,1),0))-MAX($E179,DATE(cfg_FY,10,1))+1))</f>
        <v>0</v>
      </c>
      <c r="BD179" s="133" t="n">
        <f aca="false">IF(OR(OR($B179="",$E179="",$F179=""),$K179&lt;&gt;"نعم",$M179="نعم"),0,MAX(0,MIN($F179,EOMONTH(DATE(cfg_FY,11,1),0))-MAX($E179,DATE(cfg_FY,11,1))+1))</f>
        <v>0</v>
      </c>
      <c r="BE179" s="133" t="n">
        <f aca="false">IF(OR(OR($B179="",$E179="",$F179=""),$K179&lt;&gt;"نعم",$M179="نعم"),0,MAX(0,MIN($F179,EOMONTH(DATE(cfg_FY,12,1),0))-MAX($E179,DATE(cfg_FY,12,1))+1))</f>
        <v>0</v>
      </c>
    </row>
    <row r="180" customFormat="false" ht="15" hidden="false" customHeight="false" outlineLevel="0" collapsed="false">
      <c r="A180" s="106" t="str">
        <f aca="false">IF(B180="","",ROW()-5)</f>
        <v/>
      </c>
      <c r="B180" s="118"/>
      <c r="C180" s="114" t="str">
        <f aca="false">IF(B180="","",IFERROR(INDEX(الموظفون!$C$6:$C$105,MATCH(B180,الموظفون!$B$6:$B$105,0)),"✖ رقم غير موجود"))</f>
        <v/>
      </c>
      <c r="D180" s="118"/>
      <c r="E180" s="119"/>
      <c r="F180" s="119"/>
      <c r="G180" s="65" t="str">
        <f aca="false">IF(OR($B180="",$E180="",$F180=""),"",MAX(0,F180-E180+1))</f>
        <v/>
      </c>
      <c r="H180" s="66" t="str">
        <f aca="false">IF(D180="","",IFERROR(VLOOKUP(D180,cfg_LT,2,FALSE()),1))</f>
        <v/>
      </c>
      <c r="I180" s="135"/>
      <c r="J180" s="66" t="str">
        <f aca="false">IF(D180="","",IF(I180&lt;&gt;"",I180,H180))</f>
        <v/>
      </c>
      <c r="K180" s="114" t="str">
        <f aca="false">IF(D180="","",IFERROR(VLOOKUP($D180,cfg_LT,3,FALSE()),""))</f>
        <v/>
      </c>
      <c r="L180" s="114" t="str">
        <f aca="false">IF(D180="","",IFERROR(VLOOKUP($D180,cfg_LT,4,FALSE()),""))</f>
        <v/>
      </c>
      <c r="M180" s="114" t="str">
        <f aca="false">IF(D180="","",IFERROR(VLOOKUP($D180,cfg_LT,5,FALSE()),""))</f>
        <v/>
      </c>
      <c r="N180" s="111" t="n">
        <f aca="false">IF(OR(OR($B180="",$E180="",$F180=""),M180&lt;&gt;"نعم"),0,G180*J180*IFERROR(INDEX(الموظفون!$R$6:$R$105,MATCH(B180,الموظفون!$B$6:$B$105,0)),0)/cfg_DAYS_M)</f>
        <v>0</v>
      </c>
      <c r="O180" s="106" t="str">
        <f aca="false">IF(OR(OR($B180="",$E180="",$F180=""),M180&lt;&gt;"نعم"),"",IF(YEAR(E180)=cfg_FY,MONTH(E180),""))</f>
        <v/>
      </c>
      <c r="P180" s="114" t="str">
        <f aca="false">IF(B180="","",IF(OR(D180="",E180="",F180=""),"⚠ أكمل النوع والتواريخ",IF(F180&lt;E180,"✖ النهاية قبل البداية",IF(COUNTIFS($B$6:$B$505,B180,$E$6:$E$505,"&lt;="&amp;F180,$F$6:$F$505,"&gt;="&amp;E180)&gt;1,"⚠ تداخل مع سجل آخر",IF(E180&gt;cfg_VAL_DATE,"⏳ قادمة",IF(F180&lt;cfg_VAL_DATE,"✔ منتهية","✈ جارية في تاريخ التقرير"))))))</f>
        <v/>
      </c>
      <c r="Q180" s="118"/>
      <c r="R180" s="65" t="n">
        <f aca="false">IF(OR(OR($B180="",$E180="",$F180=""),L180&lt;&gt;"لا"),0,MAX(0,MIN(F180,cfg_Y_START-1)-E180+1))</f>
        <v>0</v>
      </c>
      <c r="S180" s="65" t="n">
        <f aca="false">IF(OR(OR($B180="",$E180="",$F180=""),L180&lt;&gt;"لا"),0,MAX(0,MIN(F180,cfg_VAL_DATE)-E180+1))</f>
        <v>0</v>
      </c>
      <c r="T180" s="65" t="n">
        <f aca="false">IF(OR(OR($B180="",$E180="",$F180=""),K180&lt;&gt;"نعم"),0,IF(M180="نعم",IF(AND(ISNUMBER(O180),N(O180)&lt;=cfg_VAL_M),G180,0),MAX(0,MIN(F180,cfg_VAL_DATE)-MAX(E180,cfg_Y_START)+1)))</f>
        <v>0</v>
      </c>
      <c r="V180" s="65" t="n">
        <f aca="false">IF(OR($B180="",$E180="",$F180=""),0,MAX(0,MIN($F180,EOMONTH(DATE(cfg_FY,1,1),0))-MAX($E180,DATE(cfg_FY,1,1))+1)*(1-IF($M180="نعم",0,N($J180))))</f>
        <v>0</v>
      </c>
      <c r="W180" s="65" t="n">
        <f aca="false">IF(OR($B180="",$E180="",$F180=""),0,MAX(0,MIN($F180,EOMONTH(DATE(cfg_FY,2,1),0))-MAX($E180,DATE(cfg_FY,2,1))+1)*(1-IF($M180="نعم",0,N($J180))))</f>
        <v>0</v>
      </c>
      <c r="X180" s="65" t="n">
        <f aca="false">IF(OR($B180="",$E180="",$F180=""),0,MAX(0,MIN($F180,EOMONTH(DATE(cfg_FY,3,1),0))-MAX($E180,DATE(cfg_FY,3,1))+1)*(1-IF($M180="نعم",0,N($J180))))</f>
        <v>0</v>
      </c>
      <c r="Y180" s="65" t="n">
        <f aca="false">IF(OR($B180="",$E180="",$F180=""),0,MAX(0,MIN($F180,EOMONTH(DATE(cfg_FY,4,1),0))-MAX($E180,DATE(cfg_FY,4,1))+1)*(1-IF($M180="نعم",0,N($J180))))</f>
        <v>0</v>
      </c>
      <c r="Z180" s="65" t="n">
        <f aca="false">IF(OR($B180="",$E180="",$F180=""),0,MAX(0,MIN($F180,EOMONTH(DATE(cfg_FY,5,1),0))-MAX($E180,DATE(cfg_FY,5,1))+1)*(1-IF($M180="نعم",0,N($J180))))</f>
        <v>0</v>
      </c>
      <c r="AA180" s="65" t="n">
        <f aca="false">IF(OR($B180="",$E180="",$F180=""),0,MAX(0,MIN($F180,EOMONTH(DATE(cfg_FY,6,1),0))-MAX($E180,DATE(cfg_FY,6,1))+1)*(1-IF($M180="نعم",0,N($J180))))</f>
        <v>0</v>
      </c>
      <c r="AB180" s="65" t="n">
        <f aca="false">IF(OR($B180="",$E180="",$F180=""),0,MAX(0,MIN($F180,EOMONTH(DATE(cfg_FY,7,1),0))-MAX($E180,DATE(cfg_FY,7,1))+1)*(1-IF($M180="نعم",0,N($J180))))</f>
        <v>0</v>
      </c>
      <c r="AC180" s="65" t="n">
        <f aca="false">IF(OR($B180="",$E180="",$F180=""),0,MAX(0,MIN($F180,EOMONTH(DATE(cfg_FY,8,1),0))-MAX($E180,DATE(cfg_FY,8,1))+1)*(1-IF($M180="نعم",0,N($J180))))</f>
        <v>0</v>
      </c>
      <c r="AD180" s="65" t="n">
        <f aca="false">IF(OR($B180="",$E180="",$F180=""),0,MAX(0,MIN($F180,EOMONTH(DATE(cfg_FY,9,1),0))-MAX($E180,DATE(cfg_FY,9,1))+1)*(1-IF($M180="نعم",0,N($J180))))</f>
        <v>0</v>
      </c>
      <c r="AE180" s="65" t="n">
        <f aca="false">IF(OR($B180="",$E180="",$F180=""),0,MAX(0,MIN($F180,EOMONTH(DATE(cfg_FY,10,1),0))-MAX($E180,DATE(cfg_FY,10,1))+1)*(1-IF($M180="نعم",0,N($J180))))</f>
        <v>0</v>
      </c>
      <c r="AF180" s="65" t="n">
        <f aca="false">IF(OR($B180="",$E180="",$F180=""),0,MAX(0,MIN($F180,EOMONTH(DATE(cfg_FY,11,1),0))-MAX($E180,DATE(cfg_FY,11,1))+1)*(1-IF($M180="نعم",0,N($J180))))</f>
        <v>0</v>
      </c>
      <c r="AG180" s="65" t="n">
        <f aca="false">IF(OR($B180="",$E180="",$F180=""),0,MAX(0,MIN($F180,EOMONTH(DATE(cfg_FY,12,1),0))-MAX($E180,DATE(cfg_FY,12,1))+1)*(1-IF($M180="نعم",0,N($J180))))</f>
        <v>0</v>
      </c>
      <c r="AH180" s="65" t="n">
        <f aca="false">IF(OR(OR($B180="",$E180="",$F180=""),$L180&lt;&gt;"لا"),0,MAX(0,MIN($F180,EOMONTH(DATE(cfg_FY,1,1),0))-$E180+1))</f>
        <v>0</v>
      </c>
      <c r="AI180" s="65" t="n">
        <f aca="false">IF(OR(OR($B180="",$E180="",$F180=""),$L180&lt;&gt;"لا"),0,MAX(0,MIN($F180,EOMONTH(DATE(cfg_FY,2,1),0))-$E180+1))</f>
        <v>0</v>
      </c>
      <c r="AJ180" s="65" t="n">
        <f aca="false">IF(OR(OR($B180="",$E180="",$F180=""),$L180&lt;&gt;"لا"),0,MAX(0,MIN($F180,EOMONTH(DATE(cfg_FY,3,1),0))-$E180+1))</f>
        <v>0</v>
      </c>
      <c r="AK180" s="65" t="n">
        <f aca="false">IF(OR(OR($B180="",$E180="",$F180=""),$L180&lt;&gt;"لا"),0,MAX(0,MIN($F180,EOMONTH(DATE(cfg_FY,4,1),0))-$E180+1))</f>
        <v>0</v>
      </c>
      <c r="AL180" s="65" t="n">
        <f aca="false">IF(OR(OR($B180="",$E180="",$F180=""),$L180&lt;&gt;"لا"),0,MAX(0,MIN($F180,EOMONTH(DATE(cfg_FY,5,1),0))-$E180+1))</f>
        <v>0</v>
      </c>
      <c r="AM180" s="65" t="n">
        <f aca="false">IF(OR(OR($B180="",$E180="",$F180=""),$L180&lt;&gt;"لا"),0,MAX(0,MIN($F180,EOMONTH(DATE(cfg_FY,6,1),0))-$E180+1))</f>
        <v>0</v>
      </c>
      <c r="AN180" s="65" t="n">
        <f aca="false">IF(OR(OR($B180="",$E180="",$F180=""),$L180&lt;&gt;"لا"),0,MAX(0,MIN($F180,EOMONTH(DATE(cfg_FY,7,1),0))-$E180+1))</f>
        <v>0</v>
      </c>
      <c r="AO180" s="65" t="n">
        <f aca="false">IF(OR(OR($B180="",$E180="",$F180=""),$L180&lt;&gt;"لا"),0,MAX(0,MIN($F180,EOMONTH(DATE(cfg_FY,8,1),0))-$E180+1))</f>
        <v>0</v>
      </c>
      <c r="AP180" s="65" t="n">
        <f aca="false">IF(OR(OR($B180="",$E180="",$F180=""),$L180&lt;&gt;"لا"),0,MAX(0,MIN($F180,EOMONTH(DATE(cfg_FY,9,1),0))-$E180+1))</f>
        <v>0</v>
      </c>
      <c r="AQ180" s="65" t="n">
        <f aca="false">IF(OR(OR($B180="",$E180="",$F180=""),$L180&lt;&gt;"لا"),0,MAX(0,MIN($F180,EOMONTH(DATE(cfg_FY,10,1),0))-$E180+1))</f>
        <v>0</v>
      </c>
      <c r="AR180" s="65" t="n">
        <f aca="false">IF(OR(OR($B180="",$E180="",$F180=""),$L180&lt;&gt;"لا"),0,MAX(0,MIN($F180,EOMONTH(DATE(cfg_FY,11,1),0))-$E180+1))</f>
        <v>0</v>
      </c>
      <c r="AS180" s="65" t="n">
        <f aca="false">IF(OR(OR($B180="",$E180="",$F180=""),$L180&lt;&gt;"لا"),0,MAX(0,MIN($F180,EOMONTH(DATE(cfg_FY,12,1),0))-$E180+1))</f>
        <v>0</v>
      </c>
      <c r="AT180" s="65" t="n">
        <f aca="false">IF(OR(OR($B180="",$E180="",$F180=""),$K180&lt;&gt;"نعم",$M180="نعم"),0,MAX(0,MIN($F180,EOMONTH(DATE(cfg_FY,1,1),0))-MAX($E180,DATE(cfg_FY,1,1))+1))</f>
        <v>0</v>
      </c>
      <c r="AU180" s="65" t="n">
        <f aca="false">IF(OR(OR($B180="",$E180="",$F180=""),$K180&lt;&gt;"نعم",$M180="نعم"),0,MAX(0,MIN($F180,EOMONTH(DATE(cfg_FY,2,1),0))-MAX($E180,DATE(cfg_FY,2,1))+1))</f>
        <v>0</v>
      </c>
      <c r="AV180" s="65" t="n">
        <f aca="false">IF(OR(OR($B180="",$E180="",$F180=""),$K180&lt;&gt;"نعم",$M180="نعم"),0,MAX(0,MIN($F180,EOMONTH(DATE(cfg_FY,3,1),0))-MAX($E180,DATE(cfg_FY,3,1))+1))</f>
        <v>0</v>
      </c>
      <c r="AW180" s="65" t="n">
        <f aca="false">IF(OR(OR($B180="",$E180="",$F180=""),$K180&lt;&gt;"نعم",$M180="نعم"),0,MAX(0,MIN($F180,EOMONTH(DATE(cfg_FY,4,1),0))-MAX($E180,DATE(cfg_FY,4,1))+1))</f>
        <v>0</v>
      </c>
      <c r="AX180" s="65" t="n">
        <f aca="false">IF(OR(OR($B180="",$E180="",$F180=""),$K180&lt;&gt;"نعم",$M180="نعم"),0,MAX(0,MIN($F180,EOMONTH(DATE(cfg_FY,5,1),0))-MAX($E180,DATE(cfg_FY,5,1))+1))</f>
        <v>0</v>
      </c>
      <c r="AY180" s="65" t="n">
        <f aca="false">IF(OR(OR($B180="",$E180="",$F180=""),$K180&lt;&gt;"نعم",$M180="نعم"),0,MAX(0,MIN($F180,EOMONTH(DATE(cfg_FY,6,1),0))-MAX($E180,DATE(cfg_FY,6,1))+1))</f>
        <v>0</v>
      </c>
      <c r="AZ180" s="65" t="n">
        <f aca="false">IF(OR(OR($B180="",$E180="",$F180=""),$K180&lt;&gt;"نعم",$M180="نعم"),0,MAX(0,MIN($F180,EOMONTH(DATE(cfg_FY,7,1),0))-MAX($E180,DATE(cfg_FY,7,1))+1))</f>
        <v>0</v>
      </c>
      <c r="BA180" s="65" t="n">
        <f aca="false">IF(OR(OR($B180="",$E180="",$F180=""),$K180&lt;&gt;"نعم",$M180="نعم"),0,MAX(0,MIN($F180,EOMONTH(DATE(cfg_FY,8,1),0))-MAX($E180,DATE(cfg_FY,8,1))+1))</f>
        <v>0</v>
      </c>
      <c r="BB180" s="65" t="n">
        <f aca="false">IF(OR(OR($B180="",$E180="",$F180=""),$K180&lt;&gt;"نعم",$M180="نعم"),0,MAX(0,MIN($F180,EOMONTH(DATE(cfg_FY,9,1),0))-MAX($E180,DATE(cfg_FY,9,1))+1))</f>
        <v>0</v>
      </c>
      <c r="BC180" s="65" t="n">
        <f aca="false">IF(OR(OR($B180="",$E180="",$F180=""),$K180&lt;&gt;"نعم",$M180="نعم"),0,MAX(0,MIN($F180,EOMONTH(DATE(cfg_FY,10,1),0))-MAX($E180,DATE(cfg_FY,10,1))+1))</f>
        <v>0</v>
      </c>
      <c r="BD180" s="65" t="n">
        <f aca="false">IF(OR(OR($B180="",$E180="",$F180=""),$K180&lt;&gt;"نعم",$M180="نعم"),0,MAX(0,MIN($F180,EOMONTH(DATE(cfg_FY,11,1),0))-MAX($E180,DATE(cfg_FY,11,1))+1))</f>
        <v>0</v>
      </c>
      <c r="BE180" s="65" t="n">
        <f aca="false">IF(OR(OR($B180="",$E180="",$F180=""),$K180&lt;&gt;"نعم",$M180="نعم"),0,MAX(0,MIN($F180,EOMONTH(DATE(cfg_FY,12,1),0))-MAX($E180,DATE(cfg_FY,12,1))+1))</f>
        <v>0</v>
      </c>
    </row>
    <row r="181" customFormat="false" ht="15" hidden="false" customHeight="false" outlineLevel="0" collapsed="false">
      <c r="A181" s="115" t="str">
        <f aca="false">IF(B181="","",ROW()-5)</f>
        <v/>
      </c>
      <c r="B181" s="118"/>
      <c r="C181" s="117" t="str">
        <f aca="false">IF(B181="","",IFERROR(INDEX(الموظفون!$C$6:$C$105,MATCH(B181,الموظفون!$B$6:$B$105,0)),"✖ رقم غير موجود"))</f>
        <v/>
      </c>
      <c r="D181" s="118"/>
      <c r="E181" s="119"/>
      <c r="F181" s="119"/>
      <c r="G181" s="133" t="str">
        <f aca="false">IF(OR($B181="",$E181="",$F181=""),"",MAX(0,F181-E181+1))</f>
        <v/>
      </c>
      <c r="H181" s="134" t="str">
        <f aca="false">IF(D181="","",IFERROR(VLOOKUP(D181,cfg_LT,2,FALSE()),1))</f>
        <v/>
      </c>
      <c r="I181" s="135"/>
      <c r="J181" s="134" t="str">
        <f aca="false">IF(D181="","",IF(I181&lt;&gt;"",I181,H181))</f>
        <v/>
      </c>
      <c r="K181" s="117" t="str">
        <f aca="false">IF(D181="","",IFERROR(VLOOKUP($D181,cfg_LT,3,FALSE()),""))</f>
        <v/>
      </c>
      <c r="L181" s="117" t="str">
        <f aca="false">IF(D181="","",IFERROR(VLOOKUP($D181,cfg_LT,4,FALSE()),""))</f>
        <v/>
      </c>
      <c r="M181" s="117" t="str">
        <f aca="false">IF(D181="","",IFERROR(VLOOKUP($D181,cfg_LT,5,FALSE()),""))</f>
        <v/>
      </c>
      <c r="N181" s="116" t="n">
        <f aca="false">IF(OR(OR($B181="",$E181="",$F181=""),M181&lt;&gt;"نعم"),0,G181*J181*IFERROR(INDEX(الموظفون!$R$6:$R$105,MATCH(B181,الموظفون!$B$6:$B$105,0)),0)/cfg_DAYS_M)</f>
        <v>0</v>
      </c>
      <c r="O181" s="115" t="str">
        <f aca="false">IF(OR(OR($B181="",$E181="",$F181=""),M181&lt;&gt;"نعم"),"",IF(YEAR(E181)=cfg_FY,MONTH(E181),""))</f>
        <v/>
      </c>
      <c r="P181" s="117" t="str">
        <f aca="false">IF(B181="","",IF(OR(D181="",E181="",F181=""),"⚠ أكمل النوع والتواريخ",IF(F181&lt;E181,"✖ النهاية قبل البداية",IF(COUNTIFS($B$6:$B$505,B181,$E$6:$E$505,"&lt;="&amp;F181,$F$6:$F$505,"&gt;="&amp;E181)&gt;1,"⚠ تداخل مع سجل آخر",IF(E181&gt;cfg_VAL_DATE,"⏳ قادمة",IF(F181&lt;cfg_VAL_DATE,"✔ منتهية","✈ جارية في تاريخ التقرير"))))))</f>
        <v/>
      </c>
      <c r="Q181" s="118"/>
      <c r="R181" s="133" t="n">
        <f aca="false">IF(OR(OR($B181="",$E181="",$F181=""),L181&lt;&gt;"لا"),0,MAX(0,MIN(F181,cfg_Y_START-1)-E181+1))</f>
        <v>0</v>
      </c>
      <c r="S181" s="133" t="n">
        <f aca="false">IF(OR(OR($B181="",$E181="",$F181=""),L181&lt;&gt;"لا"),0,MAX(0,MIN(F181,cfg_VAL_DATE)-E181+1))</f>
        <v>0</v>
      </c>
      <c r="T181" s="133" t="n">
        <f aca="false">IF(OR(OR($B181="",$E181="",$F181=""),K181&lt;&gt;"نعم"),0,IF(M181="نعم",IF(AND(ISNUMBER(O181),N(O181)&lt;=cfg_VAL_M),G181,0),MAX(0,MIN(F181,cfg_VAL_DATE)-MAX(E181,cfg_Y_START)+1)))</f>
        <v>0</v>
      </c>
      <c r="V181" s="133" t="n">
        <f aca="false">IF(OR($B181="",$E181="",$F181=""),0,MAX(0,MIN($F181,EOMONTH(DATE(cfg_FY,1,1),0))-MAX($E181,DATE(cfg_FY,1,1))+1)*(1-IF($M181="نعم",0,N($J181))))</f>
        <v>0</v>
      </c>
      <c r="W181" s="133" t="n">
        <f aca="false">IF(OR($B181="",$E181="",$F181=""),0,MAX(0,MIN($F181,EOMONTH(DATE(cfg_FY,2,1),0))-MAX($E181,DATE(cfg_FY,2,1))+1)*(1-IF($M181="نعم",0,N($J181))))</f>
        <v>0</v>
      </c>
      <c r="X181" s="133" t="n">
        <f aca="false">IF(OR($B181="",$E181="",$F181=""),0,MAX(0,MIN($F181,EOMONTH(DATE(cfg_FY,3,1),0))-MAX($E181,DATE(cfg_FY,3,1))+1)*(1-IF($M181="نعم",0,N($J181))))</f>
        <v>0</v>
      </c>
      <c r="Y181" s="133" t="n">
        <f aca="false">IF(OR($B181="",$E181="",$F181=""),0,MAX(0,MIN($F181,EOMONTH(DATE(cfg_FY,4,1),0))-MAX($E181,DATE(cfg_FY,4,1))+1)*(1-IF($M181="نعم",0,N($J181))))</f>
        <v>0</v>
      </c>
      <c r="Z181" s="133" t="n">
        <f aca="false">IF(OR($B181="",$E181="",$F181=""),0,MAX(0,MIN($F181,EOMONTH(DATE(cfg_FY,5,1),0))-MAX($E181,DATE(cfg_FY,5,1))+1)*(1-IF($M181="نعم",0,N($J181))))</f>
        <v>0</v>
      </c>
      <c r="AA181" s="133" t="n">
        <f aca="false">IF(OR($B181="",$E181="",$F181=""),0,MAX(0,MIN($F181,EOMONTH(DATE(cfg_FY,6,1),0))-MAX($E181,DATE(cfg_FY,6,1))+1)*(1-IF($M181="نعم",0,N($J181))))</f>
        <v>0</v>
      </c>
      <c r="AB181" s="133" t="n">
        <f aca="false">IF(OR($B181="",$E181="",$F181=""),0,MAX(0,MIN($F181,EOMONTH(DATE(cfg_FY,7,1),0))-MAX($E181,DATE(cfg_FY,7,1))+1)*(1-IF($M181="نعم",0,N($J181))))</f>
        <v>0</v>
      </c>
      <c r="AC181" s="133" t="n">
        <f aca="false">IF(OR($B181="",$E181="",$F181=""),0,MAX(0,MIN($F181,EOMONTH(DATE(cfg_FY,8,1),0))-MAX($E181,DATE(cfg_FY,8,1))+1)*(1-IF($M181="نعم",0,N($J181))))</f>
        <v>0</v>
      </c>
      <c r="AD181" s="133" t="n">
        <f aca="false">IF(OR($B181="",$E181="",$F181=""),0,MAX(0,MIN($F181,EOMONTH(DATE(cfg_FY,9,1),0))-MAX($E181,DATE(cfg_FY,9,1))+1)*(1-IF($M181="نعم",0,N($J181))))</f>
        <v>0</v>
      </c>
      <c r="AE181" s="133" t="n">
        <f aca="false">IF(OR($B181="",$E181="",$F181=""),0,MAX(0,MIN($F181,EOMONTH(DATE(cfg_FY,10,1),0))-MAX($E181,DATE(cfg_FY,10,1))+1)*(1-IF($M181="نعم",0,N($J181))))</f>
        <v>0</v>
      </c>
      <c r="AF181" s="133" t="n">
        <f aca="false">IF(OR($B181="",$E181="",$F181=""),0,MAX(0,MIN($F181,EOMONTH(DATE(cfg_FY,11,1),0))-MAX($E181,DATE(cfg_FY,11,1))+1)*(1-IF($M181="نعم",0,N($J181))))</f>
        <v>0</v>
      </c>
      <c r="AG181" s="133" t="n">
        <f aca="false">IF(OR($B181="",$E181="",$F181=""),0,MAX(0,MIN($F181,EOMONTH(DATE(cfg_FY,12,1),0))-MAX($E181,DATE(cfg_FY,12,1))+1)*(1-IF($M181="نعم",0,N($J181))))</f>
        <v>0</v>
      </c>
      <c r="AH181" s="133" t="n">
        <f aca="false">IF(OR(OR($B181="",$E181="",$F181=""),$L181&lt;&gt;"لا"),0,MAX(0,MIN($F181,EOMONTH(DATE(cfg_FY,1,1),0))-$E181+1))</f>
        <v>0</v>
      </c>
      <c r="AI181" s="133" t="n">
        <f aca="false">IF(OR(OR($B181="",$E181="",$F181=""),$L181&lt;&gt;"لا"),0,MAX(0,MIN($F181,EOMONTH(DATE(cfg_FY,2,1),0))-$E181+1))</f>
        <v>0</v>
      </c>
      <c r="AJ181" s="133" t="n">
        <f aca="false">IF(OR(OR($B181="",$E181="",$F181=""),$L181&lt;&gt;"لا"),0,MAX(0,MIN($F181,EOMONTH(DATE(cfg_FY,3,1),0))-$E181+1))</f>
        <v>0</v>
      </c>
      <c r="AK181" s="133" t="n">
        <f aca="false">IF(OR(OR($B181="",$E181="",$F181=""),$L181&lt;&gt;"لا"),0,MAX(0,MIN($F181,EOMONTH(DATE(cfg_FY,4,1),0))-$E181+1))</f>
        <v>0</v>
      </c>
      <c r="AL181" s="133" t="n">
        <f aca="false">IF(OR(OR($B181="",$E181="",$F181=""),$L181&lt;&gt;"لا"),0,MAX(0,MIN($F181,EOMONTH(DATE(cfg_FY,5,1),0))-$E181+1))</f>
        <v>0</v>
      </c>
      <c r="AM181" s="133" t="n">
        <f aca="false">IF(OR(OR($B181="",$E181="",$F181=""),$L181&lt;&gt;"لا"),0,MAX(0,MIN($F181,EOMONTH(DATE(cfg_FY,6,1),0))-$E181+1))</f>
        <v>0</v>
      </c>
      <c r="AN181" s="133" t="n">
        <f aca="false">IF(OR(OR($B181="",$E181="",$F181=""),$L181&lt;&gt;"لا"),0,MAX(0,MIN($F181,EOMONTH(DATE(cfg_FY,7,1),0))-$E181+1))</f>
        <v>0</v>
      </c>
      <c r="AO181" s="133" t="n">
        <f aca="false">IF(OR(OR($B181="",$E181="",$F181=""),$L181&lt;&gt;"لا"),0,MAX(0,MIN($F181,EOMONTH(DATE(cfg_FY,8,1),0))-$E181+1))</f>
        <v>0</v>
      </c>
      <c r="AP181" s="133" t="n">
        <f aca="false">IF(OR(OR($B181="",$E181="",$F181=""),$L181&lt;&gt;"لا"),0,MAX(0,MIN($F181,EOMONTH(DATE(cfg_FY,9,1),0))-$E181+1))</f>
        <v>0</v>
      </c>
      <c r="AQ181" s="133" t="n">
        <f aca="false">IF(OR(OR($B181="",$E181="",$F181=""),$L181&lt;&gt;"لا"),0,MAX(0,MIN($F181,EOMONTH(DATE(cfg_FY,10,1),0))-$E181+1))</f>
        <v>0</v>
      </c>
      <c r="AR181" s="133" t="n">
        <f aca="false">IF(OR(OR($B181="",$E181="",$F181=""),$L181&lt;&gt;"لا"),0,MAX(0,MIN($F181,EOMONTH(DATE(cfg_FY,11,1),0))-$E181+1))</f>
        <v>0</v>
      </c>
      <c r="AS181" s="133" t="n">
        <f aca="false">IF(OR(OR($B181="",$E181="",$F181=""),$L181&lt;&gt;"لا"),0,MAX(0,MIN($F181,EOMONTH(DATE(cfg_FY,12,1),0))-$E181+1))</f>
        <v>0</v>
      </c>
      <c r="AT181" s="133" t="n">
        <f aca="false">IF(OR(OR($B181="",$E181="",$F181=""),$K181&lt;&gt;"نعم",$M181="نعم"),0,MAX(0,MIN($F181,EOMONTH(DATE(cfg_FY,1,1),0))-MAX($E181,DATE(cfg_FY,1,1))+1))</f>
        <v>0</v>
      </c>
      <c r="AU181" s="133" t="n">
        <f aca="false">IF(OR(OR($B181="",$E181="",$F181=""),$K181&lt;&gt;"نعم",$M181="نعم"),0,MAX(0,MIN($F181,EOMONTH(DATE(cfg_FY,2,1),0))-MAX($E181,DATE(cfg_FY,2,1))+1))</f>
        <v>0</v>
      </c>
      <c r="AV181" s="133" t="n">
        <f aca="false">IF(OR(OR($B181="",$E181="",$F181=""),$K181&lt;&gt;"نعم",$M181="نعم"),0,MAX(0,MIN($F181,EOMONTH(DATE(cfg_FY,3,1),0))-MAX($E181,DATE(cfg_FY,3,1))+1))</f>
        <v>0</v>
      </c>
      <c r="AW181" s="133" t="n">
        <f aca="false">IF(OR(OR($B181="",$E181="",$F181=""),$K181&lt;&gt;"نعم",$M181="نعم"),0,MAX(0,MIN($F181,EOMONTH(DATE(cfg_FY,4,1),0))-MAX($E181,DATE(cfg_FY,4,1))+1))</f>
        <v>0</v>
      </c>
      <c r="AX181" s="133" t="n">
        <f aca="false">IF(OR(OR($B181="",$E181="",$F181=""),$K181&lt;&gt;"نعم",$M181="نعم"),0,MAX(0,MIN($F181,EOMONTH(DATE(cfg_FY,5,1),0))-MAX($E181,DATE(cfg_FY,5,1))+1))</f>
        <v>0</v>
      </c>
      <c r="AY181" s="133" t="n">
        <f aca="false">IF(OR(OR($B181="",$E181="",$F181=""),$K181&lt;&gt;"نعم",$M181="نعم"),0,MAX(0,MIN($F181,EOMONTH(DATE(cfg_FY,6,1),0))-MAX($E181,DATE(cfg_FY,6,1))+1))</f>
        <v>0</v>
      </c>
      <c r="AZ181" s="133" t="n">
        <f aca="false">IF(OR(OR($B181="",$E181="",$F181=""),$K181&lt;&gt;"نعم",$M181="نعم"),0,MAX(0,MIN($F181,EOMONTH(DATE(cfg_FY,7,1),0))-MAX($E181,DATE(cfg_FY,7,1))+1))</f>
        <v>0</v>
      </c>
      <c r="BA181" s="133" t="n">
        <f aca="false">IF(OR(OR($B181="",$E181="",$F181=""),$K181&lt;&gt;"نعم",$M181="نعم"),0,MAX(0,MIN($F181,EOMONTH(DATE(cfg_FY,8,1),0))-MAX($E181,DATE(cfg_FY,8,1))+1))</f>
        <v>0</v>
      </c>
      <c r="BB181" s="133" t="n">
        <f aca="false">IF(OR(OR($B181="",$E181="",$F181=""),$K181&lt;&gt;"نعم",$M181="نعم"),0,MAX(0,MIN($F181,EOMONTH(DATE(cfg_FY,9,1),0))-MAX($E181,DATE(cfg_FY,9,1))+1))</f>
        <v>0</v>
      </c>
      <c r="BC181" s="133" t="n">
        <f aca="false">IF(OR(OR($B181="",$E181="",$F181=""),$K181&lt;&gt;"نعم",$M181="نعم"),0,MAX(0,MIN($F181,EOMONTH(DATE(cfg_FY,10,1),0))-MAX($E181,DATE(cfg_FY,10,1))+1))</f>
        <v>0</v>
      </c>
      <c r="BD181" s="133" t="n">
        <f aca="false">IF(OR(OR($B181="",$E181="",$F181=""),$K181&lt;&gt;"نعم",$M181="نعم"),0,MAX(0,MIN($F181,EOMONTH(DATE(cfg_FY,11,1),0))-MAX($E181,DATE(cfg_FY,11,1))+1))</f>
        <v>0</v>
      </c>
      <c r="BE181" s="133" t="n">
        <f aca="false">IF(OR(OR($B181="",$E181="",$F181=""),$K181&lt;&gt;"نعم",$M181="نعم"),0,MAX(0,MIN($F181,EOMONTH(DATE(cfg_FY,12,1),0))-MAX($E181,DATE(cfg_FY,12,1))+1))</f>
        <v>0</v>
      </c>
    </row>
    <row r="182" customFormat="false" ht="15" hidden="false" customHeight="false" outlineLevel="0" collapsed="false">
      <c r="A182" s="106" t="str">
        <f aca="false">IF(B182="","",ROW()-5)</f>
        <v/>
      </c>
      <c r="B182" s="118"/>
      <c r="C182" s="114" t="str">
        <f aca="false">IF(B182="","",IFERROR(INDEX(الموظفون!$C$6:$C$105,MATCH(B182,الموظفون!$B$6:$B$105,0)),"✖ رقم غير موجود"))</f>
        <v/>
      </c>
      <c r="D182" s="118"/>
      <c r="E182" s="119"/>
      <c r="F182" s="119"/>
      <c r="G182" s="65" t="str">
        <f aca="false">IF(OR($B182="",$E182="",$F182=""),"",MAX(0,F182-E182+1))</f>
        <v/>
      </c>
      <c r="H182" s="66" t="str">
        <f aca="false">IF(D182="","",IFERROR(VLOOKUP(D182,cfg_LT,2,FALSE()),1))</f>
        <v/>
      </c>
      <c r="I182" s="135"/>
      <c r="J182" s="66" t="str">
        <f aca="false">IF(D182="","",IF(I182&lt;&gt;"",I182,H182))</f>
        <v/>
      </c>
      <c r="K182" s="114" t="str">
        <f aca="false">IF(D182="","",IFERROR(VLOOKUP($D182,cfg_LT,3,FALSE()),""))</f>
        <v/>
      </c>
      <c r="L182" s="114" t="str">
        <f aca="false">IF(D182="","",IFERROR(VLOOKUP($D182,cfg_LT,4,FALSE()),""))</f>
        <v/>
      </c>
      <c r="M182" s="114" t="str">
        <f aca="false">IF(D182="","",IFERROR(VLOOKUP($D182,cfg_LT,5,FALSE()),""))</f>
        <v/>
      </c>
      <c r="N182" s="111" t="n">
        <f aca="false">IF(OR(OR($B182="",$E182="",$F182=""),M182&lt;&gt;"نعم"),0,G182*J182*IFERROR(INDEX(الموظفون!$R$6:$R$105,MATCH(B182,الموظفون!$B$6:$B$105,0)),0)/cfg_DAYS_M)</f>
        <v>0</v>
      </c>
      <c r="O182" s="106" t="str">
        <f aca="false">IF(OR(OR($B182="",$E182="",$F182=""),M182&lt;&gt;"نعم"),"",IF(YEAR(E182)=cfg_FY,MONTH(E182),""))</f>
        <v/>
      </c>
      <c r="P182" s="114" t="str">
        <f aca="false">IF(B182="","",IF(OR(D182="",E182="",F182=""),"⚠ أكمل النوع والتواريخ",IF(F182&lt;E182,"✖ النهاية قبل البداية",IF(COUNTIFS($B$6:$B$505,B182,$E$6:$E$505,"&lt;="&amp;F182,$F$6:$F$505,"&gt;="&amp;E182)&gt;1,"⚠ تداخل مع سجل آخر",IF(E182&gt;cfg_VAL_DATE,"⏳ قادمة",IF(F182&lt;cfg_VAL_DATE,"✔ منتهية","✈ جارية في تاريخ التقرير"))))))</f>
        <v/>
      </c>
      <c r="Q182" s="118"/>
      <c r="R182" s="65" t="n">
        <f aca="false">IF(OR(OR($B182="",$E182="",$F182=""),L182&lt;&gt;"لا"),0,MAX(0,MIN(F182,cfg_Y_START-1)-E182+1))</f>
        <v>0</v>
      </c>
      <c r="S182" s="65" t="n">
        <f aca="false">IF(OR(OR($B182="",$E182="",$F182=""),L182&lt;&gt;"لا"),0,MAX(0,MIN(F182,cfg_VAL_DATE)-E182+1))</f>
        <v>0</v>
      </c>
      <c r="T182" s="65" t="n">
        <f aca="false">IF(OR(OR($B182="",$E182="",$F182=""),K182&lt;&gt;"نعم"),0,IF(M182="نعم",IF(AND(ISNUMBER(O182),N(O182)&lt;=cfg_VAL_M),G182,0),MAX(0,MIN(F182,cfg_VAL_DATE)-MAX(E182,cfg_Y_START)+1)))</f>
        <v>0</v>
      </c>
      <c r="V182" s="65" t="n">
        <f aca="false">IF(OR($B182="",$E182="",$F182=""),0,MAX(0,MIN($F182,EOMONTH(DATE(cfg_FY,1,1),0))-MAX($E182,DATE(cfg_FY,1,1))+1)*(1-IF($M182="نعم",0,N($J182))))</f>
        <v>0</v>
      </c>
      <c r="W182" s="65" t="n">
        <f aca="false">IF(OR($B182="",$E182="",$F182=""),0,MAX(0,MIN($F182,EOMONTH(DATE(cfg_FY,2,1),0))-MAX($E182,DATE(cfg_FY,2,1))+1)*(1-IF($M182="نعم",0,N($J182))))</f>
        <v>0</v>
      </c>
      <c r="X182" s="65" t="n">
        <f aca="false">IF(OR($B182="",$E182="",$F182=""),0,MAX(0,MIN($F182,EOMONTH(DATE(cfg_FY,3,1),0))-MAX($E182,DATE(cfg_FY,3,1))+1)*(1-IF($M182="نعم",0,N($J182))))</f>
        <v>0</v>
      </c>
      <c r="Y182" s="65" t="n">
        <f aca="false">IF(OR($B182="",$E182="",$F182=""),0,MAX(0,MIN($F182,EOMONTH(DATE(cfg_FY,4,1),0))-MAX($E182,DATE(cfg_FY,4,1))+1)*(1-IF($M182="نعم",0,N($J182))))</f>
        <v>0</v>
      </c>
      <c r="Z182" s="65" t="n">
        <f aca="false">IF(OR($B182="",$E182="",$F182=""),0,MAX(0,MIN($F182,EOMONTH(DATE(cfg_FY,5,1),0))-MAX($E182,DATE(cfg_FY,5,1))+1)*(1-IF($M182="نعم",0,N($J182))))</f>
        <v>0</v>
      </c>
      <c r="AA182" s="65" t="n">
        <f aca="false">IF(OR($B182="",$E182="",$F182=""),0,MAX(0,MIN($F182,EOMONTH(DATE(cfg_FY,6,1),0))-MAX($E182,DATE(cfg_FY,6,1))+1)*(1-IF($M182="نعم",0,N($J182))))</f>
        <v>0</v>
      </c>
      <c r="AB182" s="65" t="n">
        <f aca="false">IF(OR($B182="",$E182="",$F182=""),0,MAX(0,MIN($F182,EOMONTH(DATE(cfg_FY,7,1),0))-MAX($E182,DATE(cfg_FY,7,1))+1)*(1-IF($M182="نعم",0,N($J182))))</f>
        <v>0</v>
      </c>
      <c r="AC182" s="65" t="n">
        <f aca="false">IF(OR($B182="",$E182="",$F182=""),0,MAX(0,MIN($F182,EOMONTH(DATE(cfg_FY,8,1),0))-MAX($E182,DATE(cfg_FY,8,1))+1)*(1-IF($M182="نعم",0,N($J182))))</f>
        <v>0</v>
      </c>
      <c r="AD182" s="65" t="n">
        <f aca="false">IF(OR($B182="",$E182="",$F182=""),0,MAX(0,MIN($F182,EOMONTH(DATE(cfg_FY,9,1),0))-MAX($E182,DATE(cfg_FY,9,1))+1)*(1-IF($M182="نعم",0,N($J182))))</f>
        <v>0</v>
      </c>
      <c r="AE182" s="65" t="n">
        <f aca="false">IF(OR($B182="",$E182="",$F182=""),0,MAX(0,MIN($F182,EOMONTH(DATE(cfg_FY,10,1),0))-MAX($E182,DATE(cfg_FY,10,1))+1)*(1-IF($M182="نعم",0,N($J182))))</f>
        <v>0</v>
      </c>
      <c r="AF182" s="65" t="n">
        <f aca="false">IF(OR($B182="",$E182="",$F182=""),0,MAX(0,MIN($F182,EOMONTH(DATE(cfg_FY,11,1),0))-MAX($E182,DATE(cfg_FY,11,1))+1)*(1-IF($M182="نعم",0,N($J182))))</f>
        <v>0</v>
      </c>
      <c r="AG182" s="65" t="n">
        <f aca="false">IF(OR($B182="",$E182="",$F182=""),0,MAX(0,MIN($F182,EOMONTH(DATE(cfg_FY,12,1),0))-MAX($E182,DATE(cfg_FY,12,1))+1)*(1-IF($M182="نعم",0,N($J182))))</f>
        <v>0</v>
      </c>
      <c r="AH182" s="65" t="n">
        <f aca="false">IF(OR(OR($B182="",$E182="",$F182=""),$L182&lt;&gt;"لا"),0,MAX(0,MIN($F182,EOMONTH(DATE(cfg_FY,1,1),0))-$E182+1))</f>
        <v>0</v>
      </c>
      <c r="AI182" s="65" t="n">
        <f aca="false">IF(OR(OR($B182="",$E182="",$F182=""),$L182&lt;&gt;"لا"),0,MAX(0,MIN($F182,EOMONTH(DATE(cfg_FY,2,1),0))-$E182+1))</f>
        <v>0</v>
      </c>
      <c r="AJ182" s="65" t="n">
        <f aca="false">IF(OR(OR($B182="",$E182="",$F182=""),$L182&lt;&gt;"لا"),0,MAX(0,MIN($F182,EOMONTH(DATE(cfg_FY,3,1),0))-$E182+1))</f>
        <v>0</v>
      </c>
      <c r="AK182" s="65" t="n">
        <f aca="false">IF(OR(OR($B182="",$E182="",$F182=""),$L182&lt;&gt;"لا"),0,MAX(0,MIN($F182,EOMONTH(DATE(cfg_FY,4,1),0))-$E182+1))</f>
        <v>0</v>
      </c>
      <c r="AL182" s="65" t="n">
        <f aca="false">IF(OR(OR($B182="",$E182="",$F182=""),$L182&lt;&gt;"لا"),0,MAX(0,MIN($F182,EOMONTH(DATE(cfg_FY,5,1),0))-$E182+1))</f>
        <v>0</v>
      </c>
      <c r="AM182" s="65" t="n">
        <f aca="false">IF(OR(OR($B182="",$E182="",$F182=""),$L182&lt;&gt;"لا"),0,MAX(0,MIN($F182,EOMONTH(DATE(cfg_FY,6,1),0))-$E182+1))</f>
        <v>0</v>
      </c>
      <c r="AN182" s="65" t="n">
        <f aca="false">IF(OR(OR($B182="",$E182="",$F182=""),$L182&lt;&gt;"لا"),0,MAX(0,MIN($F182,EOMONTH(DATE(cfg_FY,7,1),0))-$E182+1))</f>
        <v>0</v>
      </c>
      <c r="AO182" s="65" t="n">
        <f aca="false">IF(OR(OR($B182="",$E182="",$F182=""),$L182&lt;&gt;"لا"),0,MAX(0,MIN($F182,EOMONTH(DATE(cfg_FY,8,1),0))-$E182+1))</f>
        <v>0</v>
      </c>
      <c r="AP182" s="65" t="n">
        <f aca="false">IF(OR(OR($B182="",$E182="",$F182=""),$L182&lt;&gt;"لا"),0,MAX(0,MIN($F182,EOMONTH(DATE(cfg_FY,9,1),0))-$E182+1))</f>
        <v>0</v>
      </c>
      <c r="AQ182" s="65" t="n">
        <f aca="false">IF(OR(OR($B182="",$E182="",$F182=""),$L182&lt;&gt;"لا"),0,MAX(0,MIN($F182,EOMONTH(DATE(cfg_FY,10,1),0))-$E182+1))</f>
        <v>0</v>
      </c>
      <c r="AR182" s="65" t="n">
        <f aca="false">IF(OR(OR($B182="",$E182="",$F182=""),$L182&lt;&gt;"لا"),0,MAX(0,MIN($F182,EOMONTH(DATE(cfg_FY,11,1),0))-$E182+1))</f>
        <v>0</v>
      </c>
      <c r="AS182" s="65" t="n">
        <f aca="false">IF(OR(OR($B182="",$E182="",$F182=""),$L182&lt;&gt;"لا"),0,MAX(0,MIN($F182,EOMONTH(DATE(cfg_FY,12,1),0))-$E182+1))</f>
        <v>0</v>
      </c>
      <c r="AT182" s="65" t="n">
        <f aca="false">IF(OR(OR($B182="",$E182="",$F182=""),$K182&lt;&gt;"نعم",$M182="نعم"),0,MAX(0,MIN($F182,EOMONTH(DATE(cfg_FY,1,1),0))-MAX($E182,DATE(cfg_FY,1,1))+1))</f>
        <v>0</v>
      </c>
      <c r="AU182" s="65" t="n">
        <f aca="false">IF(OR(OR($B182="",$E182="",$F182=""),$K182&lt;&gt;"نعم",$M182="نعم"),0,MAX(0,MIN($F182,EOMONTH(DATE(cfg_FY,2,1),0))-MAX($E182,DATE(cfg_FY,2,1))+1))</f>
        <v>0</v>
      </c>
      <c r="AV182" s="65" t="n">
        <f aca="false">IF(OR(OR($B182="",$E182="",$F182=""),$K182&lt;&gt;"نعم",$M182="نعم"),0,MAX(0,MIN($F182,EOMONTH(DATE(cfg_FY,3,1),0))-MAX($E182,DATE(cfg_FY,3,1))+1))</f>
        <v>0</v>
      </c>
      <c r="AW182" s="65" t="n">
        <f aca="false">IF(OR(OR($B182="",$E182="",$F182=""),$K182&lt;&gt;"نعم",$M182="نعم"),0,MAX(0,MIN($F182,EOMONTH(DATE(cfg_FY,4,1),0))-MAX($E182,DATE(cfg_FY,4,1))+1))</f>
        <v>0</v>
      </c>
      <c r="AX182" s="65" t="n">
        <f aca="false">IF(OR(OR($B182="",$E182="",$F182=""),$K182&lt;&gt;"نعم",$M182="نعم"),0,MAX(0,MIN($F182,EOMONTH(DATE(cfg_FY,5,1),0))-MAX($E182,DATE(cfg_FY,5,1))+1))</f>
        <v>0</v>
      </c>
      <c r="AY182" s="65" t="n">
        <f aca="false">IF(OR(OR($B182="",$E182="",$F182=""),$K182&lt;&gt;"نعم",$M182="نعم"),0,MAX(0,MIN($F182,EOMONTH(DATE(cfg_FY,6,1),0))-MAX($E182,DATE(cfg_FY,6,1))+1))</f>
        <v>0</v>
      </c>
      <c r="AZ182" s="65" t="n">
        <f aca="false">IF(OR(OR($B182="",$E182="",$F182=""),$K182&lt;&gt;"نعم",$M182="نعم"),0,MAX(0,MIN($F182,EOMONTH(DATE(cfg_FY,7,1),0))-MAX($E182,DATE(cfg_FY,7,1))+1))</f>
        <v>0</v>
      </c>
      <c r="BA182" s="65" t="n">
        <f aca="false">IF(OR(OR($B182="",$E182="",$F182=""),$K182&lt;&gt;"نعم",$M182="نعم"),0,MAX(0,MIN($F182,EOMONTH(DATE(cfg_FY,8,1),0))-MAX($E182,DATE(cfg_FY,8,1))+1))</f>
        <v>0</v>
      </c>
      <c r="BB182" s="65" t="n">
        <f aca="false">IF(OR(OR($B182="",$E182="",$F182=""),$K182&lt;&gt;"نعم",$M182="نعم"),0,MAX(0,MIN($F182,EOMONTH(DATE(cfg_FY,9,1),0))-MAX($E182,DATE(cfg_FY,9,1))+1))</f>
        <v>0</v>
      </c>
      <c r="BC182" s="65" t="n">
        <f aca="false">IF(OR(OR($B182="",$E182="",$F182=""),$K182&lt;&gt;"نعم",$M182="نعم"),0,MAX(0,MIN($F182,EOMONTH(DATE(cfg_FY,10,1),0))-MAX($E182,DATE(cfg_FY,10,1))+1))</f>
        <v>0</v>
      </c>
      <c r="BD182" s="65" t="n">
        <f aca="false">IF(OR(OR($B182="",$E182="",$F182=""),$K182&lt;&gt;"نعم",$M182="نعم"),0,MAX(0,MIN($F182,EOMONTH(DATE(cfg_FY,11,1),0))-MAX($E182,DATE(cfg_FY,11,1))+1))</f>
        <v>0</v>
      </c>
      <c r="BE182" s="65" t="n">
        <f aca="false">IF(OR(OR($B182="",$E182="",$F182=""),$K182&lt;&gt;"نعم",$M182="نعم"),0,MAX(0,MIN($F182,EOMONTH(DATE(cfg_FY,12,1),0))-MAX($E182,DATE(cfg_FY,12,1))+1))</f>
        <v>0</v>
      </c>
    </row>
    <row r="183" customFormat="false" ht="15" hidden="false" customHeight="false" outlineLevel="0" collapsed="false">
      <c r="A183" s="115" t="str">
        <f aca="false">IF(B183="","",ROW()-5)</f>
        <v/>
      </c>
      <c r="B183" s="118"/>
      <c r="C183" s="117" t="str">
        <f aca="false">IF(B183="","",IFERROR(INDEX(الموظفون!$C$6:$C$105,MATCH(B183,الموظفون!$B$6:$B$105,0)),"✖ رقم غير موجود"))</f>
        <v/>
      </c>
      <c r="D183" s="118"/>
      <c r="E183" s="119"/>
      <c r="F183" s="119"/>
      <c r="G183" s="133" t="str">
        <f aca="false">IF(OR($B183="",$E183="",$F183=""),"",MAX(0,F183-E183+1))</f>
        <v/>
      </c>
      <c r="H183" s="134" t="str">
        <f aca="false">IF(D183="","",IFERROR(VLOOKUP(D183,cfg_LT,2,FALSE()),1))</f>
        <v/>
      </c>
      <c r="I183" s="135"/>
      <c r="J183" s="134" t="str">
        <f aca="false">IF(D183="","",IF(I183&lt;&gt;"",I183,H183))</f>
        <v/>
      </c>
      <c r="K183" s="117" t="str">
        <f aca="false">IF(D183="","",IFERROR(VLOOKUP($D183,cfg_LT,3,FALSE()),""))</f>
        <v/>
      </c>
      <c r="L183" s="117" t="str">
        <f aca="false">IF(D183="","",IFERROR(VLOOKUP($D183,cfg_LT,4,FALSE()),""))</f>
        <v/>
      </c>
      <c r="M183" s="117" t="str">
        <f aca="false">IF(D183="","",IFERROR(VLOOKUP($D183,cfg_LT,5,FALSE()),""))</f>
        <v/>
      </c>
      <c r="N183" s="116" t="n">
        <f aca="false">IF(OR(OR($B183="",$E183="",$F183=""),M183&lt;&gt;"نعم"),0,G183*J183*IFERROR(INDEX(الموظفون!$R$6:$R$105,MATCH(B183,الموظفون!$B$6:$B$105,0)),0)/cfg_DAYS_M)</f>
        <v>0</v>
      </c>
      <c r="O183" s="115" t="str">
        <f aca="false">IF(OR(OR($B183="",$E183="",$F183=""),M183&lt;&gt;"نعم"),"",IF(YEAR(E183)=cfg_FY,MONTH(E183),""))</f>
        <v/>
      </c>
      <c r="P183" s="117" t="str">
        <f aca="false">IF(B183="","",IF(OR(D183="",E183="",F183=""),"⚠ أكمل النوع والتواريخ",IF(F183&lt;E183,"✖ النهاية قبل البداية",IF(COUNTIFS($B$6:$B$505,B183,$E$6:$E$505,"&lt;="&amp;F183,$F$6:$F$505,"&gt;="&amp;E183)&gt;1,"⚠ تداخل مع سجل آخر",IF(E183&gt;cfg_VAL_DATE,"⏳ قادمة",IF(F183&lt;cfg_VAL_DATE,"✔ منتهية","✈ جارية في تاريخ التقرير"))))))</f>
        <v/>
      </c>
      <c r="Q183" s="118"/>
      <c r="R183" s="133" t="n">
        <f aca="false">IF(OR(OR($B183="",$E183="",$F183=""),L183&lt;&gt;"لا"),0,MAX(0,MIN(F183,cfg_Y_START-1)-E183+1))</f>
        <v>0</v>
      </c>
      <c r="S183" s="133" t="n">
        <f aca="false">IF(OR(OR($B183="",$E183="",$F183=""),L183&lt;&gt;"لا"),0,MAX(0,MIN(F183,cfg_VAL_DATE)-E183+1))</f>
        <v>0</v>
      </c>
      <c r="T183" s="133" t="n">
        <f aca="false">IF(OR(OR($B183="",$E183="",$F183=""),K183&lt;&gt;"نعم"),0,IF(M183="نعم",IF(AND(ISNUMBER(O183),N(O183)&lt;=cfg_VAL_M),G183,0),MAX(0,MIN(F183,cfg_VAL_DATE)-MAX(E183,cfg_Y_START)+1)))</f>
        <v>0</v>
      </c>
      <c r="V183" s="133" t="n">
        <f aca="false">IF(OR($B183="",$E183="",$F183=""),0,MAX(0,MIN($F183,EOMONTH(DATE(cfg_FY,1,1),0))-MAX($E183,DATE(cfg_FY,1,1))+1)*(1-IF($M183="نعم",0,N($J183))))</f>
        <v>0</v>
      </c>
      <c r="W183" s="133" t="n">
        <f aca="false">IF(OR($B183="",$E183="",$F183=""),0,MAX(0,MIN($F183,EOMONTH(DATE(cfg_FY,2,1),0))-MAX($E183,DATE(cfg_FY,2,1))+1)*(1-IF($M183="نعم",0,N($J183))))</f>
        <v>0</v>
      </c>
      <c r="X183" s="133" t="n">
        <f aca="false">IF(OR($B183="",$E183="",$F183=""),0,MAX(0,MIN($F183,EOMONTH(DATE(cfg_FY,3,1),0))-MAX($E183,DATE(cfg_FY,3,1))+1)*(1-IF($M183="نعم",0,N($J183))))</f>
        <v>0</v>
      </c>
      <c r="Y183" s="133" t="n">
        <f aca="false">IF(OR($B183="",$E183="",$F183=""),0,MAX(0,MIN($F183,EOMONTH(DATE(cfg_FY,4,1),0))-MAX($E183,DATE(cfg_FY,4,1))+1)*(1-IF($M183="نعم",0,N($J183))))</f>
        <v>0</v>
      </c>
      <c r="Z183" s="133" t="n">
        <f aca="false">IF(OR($B183="",$E183="",$F183=""),0,MAX(0,MIN($F183,EOMONTH(DATE(cfg_FY,5,1),0))-MAX($E183,DATE(cfg_FY,5,1))+1)*(1-IF($M183="نعم",0,N($J183))))</f>
        <v>0</v>
      </c>
      <c r="AA183" s="133" t="n">
        <f aca="false">IF(OR($B183="",$E183="",$F183=""),0,MAX(0,MIN($F183,EOMONTH(DATE(cfg_FY,6,1),0))-MAX($E183,DATE(cfg_FY,6,1))+1)*(1-IF($M183="نعم",0,N($J183))))</f>
        <v>0</v>
      </c>
      <c r="AB183" s="133" t="n">
        <f aca="false">IF(OR($B183="",$E183="",$F183=""),0,MAX(0,MIN($F183,EOMONTH(DATE(cfg_FY,7,1),0))-MAX($E183,DATE(cfg_FY,7,1))+1)*(1-IF($M183="نعم",0,N($J183))))</f>
        <v>0</v>
      </c>
      <c r="AC183" s="133" t="n">
        <f aca="false">IF(OR($B183="",$E183="",$F183=""),0,MAX(0,MIN($F183,EOMONTH(DATE(cfg_FY,8,1),0))-MAX($E183,DATE(cfg_FY,8,1))+1)*(1-IF($M183="نعم",0,N($J183))))</f>
        <v>0</v>
      </c>
      <c r="AD183" s="133" t="n">
        <f aca="false">IF(OR($B183="",$E183="",$F183=""),0,MAX(0,MIN($F183,EOMONTH(DATE(cfg_FY,9,1),0))-MAX($E183,DATE(cfg_FY,9,1))+1)*(1-IF($M183="نعم",0,N($J183))))</f>
        <v>0</v>
      </c>
      <c r="AE183" s="133" t="n">
        <f aca="false">IF(OR($B183="",$E183="",$F183=""),0,MAX(0,MIN($F183,EOMONTH(DATE(cfg_FY,10,1),0))-MAX($E183,DATE(cfg_FY,10,1))+1)*(1-IF($M183="نعم",0,N($J183))))</f>
        <v>0</v>
      </c>
      <c r="AF183" s="133" t="n">
        <f aca="false">IF(OR($B183="",$E183="",$F183=""),0,MAX(0,MIN($F183,EOMONTH(DATE(cfg_FY,11,1),0))-MAX($E183,DATE(cfg_FY,11,1))+1)*(1-IF($M183="نعم",0,N($J183))))</f>
        <v>0</v>
      </c>
      <c r="AG183" s="133" t="n">
        <f aca="false">IF(OR($B183="",$E183="",$F183=""),0,MAX(0,MIN($F183,EOMONTH(DATE(cfg_FY,12,1),0))-MAX($E183,DATE(cfg_FY,12,1))+1)*(1-IF($M183="نعم",0,N($J183))))</f>
        <v>0</v>
      </c>
      <c r="AH183" s="133" t="n">
        <f aca="false">IF(OR(OR($B183="",$E183="",$F183=""),$L183&lt;&gt;"لا"),0,MAX(0,MIN($F183,EOMONTH(DATE(cfg_FY,1,1),0))-$E183+1))</f>
        <v>0</v>
      </c>
      <c r="AI183" s="133" t="n">
        <f aca="false">IF(OR(OR($B183="",$E183="",$F183=""),$L183&lt;&gt;"لا"),0,MAX(0,MIN($F183,EOMONTH(DATE(cfg_FY,2,1),0))-$E183+1))</f>
        <v>0</v>
      </c>
      <c r="AJ183" s="133" t="n">
        <f aca="false">IF(OR(OR($B183="",$E183="",$F183=""),$L183&lt;&gt;"لا"),0,MAX(0,MIN($F183,EOMONTH(DATE(cfg_FY,3,1),0))-$E183+1))</f>
        <v>0</v>
      </c>
      <c r="AK183" s="133" t="n">
        <f aca="false">IF(OR(OR($B183="",$E183="",$F183=""),$L183&lt;&gt;"لا"),0,MAX(0,MIN($F183,EOMONTH(DATE(cfg_FY,4,1),0))-$E183+1))</f>
        <v>0</v>
      </c>
      <c r="AL183" s="133" t="n">
        <f aca="false">IF(OR(OR($B183="",$E183="",$F183=""),$L183&lt;&gt;"لا"),0,MAX(0,MIN($F183,EOMONTH(DATE(cfg_FY,5,1),0))-$E183+1))</f>
        <v>0</v>
      </c>
      <c r="AM183" s="133" t="n">
        <f aca="false">IF(OR(OR($B183="",$E183="",$F183=""),$L183&lt;&gt;"لا"),0,MAX(0,MIN($F183,EOMONTH(DATE(cfg_FY,6,1),0))-$E183+1))</f>
        <v>0</v>
      </c>
      <c r="AN183" s="133" t="n">
        <f aca="false">IF(OR(OR($B183="",$E183="",$F183=""),$L183&lt;&gt;"لا"),0,MAX(0,MIN($F183,EOMONTH(DATE(cfg_FY,7,1),0))-$E183+1))</f>
        <v>0</v>
      </c>
      <c r="AO183" s="133" t="n">
        <f aca="false">IF(OR(OR($B183="",$E183="",$F183=""),$L183&lt;&gt;"لا"),0,MAX(0,MIN($F183,EOMONTH(DATE(cfg_FY,8,1),0))-$E183+1))</f>
        <v>0</v>
      </c>
      <c r="AP183" s="133" t="n">
        <f aca="false">IF(OR(OR($B183="",$E183="",$F183=""),$L183&lt;&gt;"لا"),0,MAX(0,MIN($F183,EOMONTH(DATE(cfg_FY,9,1),0))-$E183+1))</f>
        <v>0</v>
      </c>
      <c r="AQ183" s="133" t="n">
        <f aca="false">IF(OR(OR($B183="",$E183="",$F183=""),$L183&lt;&gt;"لا"),0,MAX(0,MIN($F183,EOMONTH(DATE(cfg_FY,10,1),0))-$E183+1))</f>
        <v>0</v>
      </c>
      <c r="AR183" s="133" t="n">
        <f aca="false">IF(OR(OR($B183="",$E183="",$F183=""),$L183&lt;&gt;"لا"),0,MAX(0,MIN($F183,EOMONTH(DATE(cfg_FY,11,1),0))-$E183+1))</f>
        <v>0</v>
      </c>
      <c r="AS183" s="133" t="n">
        <f aca="false">IF(OR(OR($B183="",$E183="",$F183=""),$L183&lt;&gt;"لا"),0,MAX(0,MIN($F183,EOMONTH(DATE(cfg_FY,12,1),0))-$E183+1))</f>
        <v>0</v>
      </c>
      <c r="AT183" s="133" t="n">
        <f aca="false">IF(OR(OR($B183="",$E183="",$F183=""),$K183&lt;&gt;"نعم",$M183="نعم"),0,MAX(0,MIN($F183,EOMONTH(DATE(cfg_FY,1,1),0))-MAX($E183,DATE(cfg_FY,1,1))+1))</f>
        <v>0</v>
      </c>
      <c r="AU183" s="133" t="n">
        <f aca="false">IF(OR(OR($B183="",$E183="",$F183=""),$K183&lt;&gt;"نعم",$M183="نعم"),0,MAX(0,MIN($F183,EOMONTH(DATE(cfg_FY,2,1),0))-MAX($E183,DATE(cfg_FY,2,1))+1))</f>
        <v>0</v>
      </c>
      <c r="AV183" s="133" t="n">
        <f aca="false">IF(OR(OR($B183="",$E183="",$F183=""),$K183&lt;&gt;"نعم",$M183="نعم"),0,MAX(0,MIN($F183,EOMONTH(DATE(cfg_FY,3,1),0))-MAX($E183,DATE(cfg_FY,3,1))+1))</f>
        <v>0</v>
      </c>
      <c r="AW183" s="133" t="n">
        <f aca="false">IF(OR(OR($B183="",$E183="",$F183=""),$K183&lt;&gt;"نعم",$M183="نعم"),0,MAX(0,MIN($F183,EOMONTH(DATE(cfg_FY,4,1),0))-MAX($E183,DATE(cfg_FY,4,1))+1))</f>
        <v>0</v>
      </c>
      <c r="AX183" s="133" t="n">
        <f aca="false">IF(OR(OR($B183="",$E183="",$F183=""),$K183&lt;&gt;"نعم",$M183="نعم"),0,MAX(0,MIN($F183,EOMONTH(DATE(cfg_FY,5,1),0))-MAX($E183,DATE(cfg_FY,5,1))+1))</f>
        <v>0</v>
      </c>
      <c r="AY183" s="133" t="n">
        <f aca="false">IF(OR(OR($B183="",$E183="",$F183=""),$K183&lt;&gt;"نعم",$M183="نعم"),0,MAX(0,MIN($F183,EOMONTH(DATE(cfg_FY,6,1),0))-MAX($E183,DATE(cfg_FY,6,1))+1))</f>
        <v>0</v>
      </c>
      <c r="AZ183" s="133" t="n">
        <f aca="false">IF(OR(OR($B183="",$E183="",$F183=""),$K183&lt;&gt;"نعم",$M183="نعم"),0,MAX(0,MIN($F183,EOMONTH(DATE(cfg_FY,7,1),0))-MAX($E183,DATE(cfg_FY,7,1))+1))</f>
        <v>0</v>
      </c>
      <c r="BA183" s="133" t="n">
        <f aca="false">IF(OR(OR($B183="",$E183="",$F183=""),$K183&lt;&gt;"نعم",$M183="نعم"),0,MAX(0,MIN($F183,EOMONTH(DATE(cfg_FY,8,1),0))-MAX($E183,DATE(cfg_FY,8,1))+1))</f>
        <v>0</v>
      </c>
      <c r="BB183" s="133" t="n">
        <f aca="false">IF(OR(OR($B183="",$E183="",$F183=""),$K183&lt;&gt;"نعم",$M183="نعم"),0,MAX(0,MIN($F183,EOMONTH(DATE(cfg_FY,9,1),0))-MAX($E183,DATE(cfg_FY,9,1))+1))</f>
        <v>0</v>
      </c>
      <c r="BC183" s="133" t="n">
        <f aca="false">IF(OR(OR($B183="",$E183="",$F183=""),$K183&lt;&gt;"نعم",$M183="نعم"),0,MAX(0,MIN($F183,EOMONTH(DATE(cfg_FY,10,1),0))-MAX($E183,DATE(cfg_FY,10,1))+1))</f>
        <v>0</v>
      </c>
      <c r="BD183" s="133" t="n">
        <f aca="false">IF(OR(OR($B183="",$E183="",$F183=""),$K183&lt;&gt;"نعم",$M183="نعم"),0,MAX(0,MIN($F183,EOMONTH(DATE(cfg_FY,11,1),0))-MAX($E183,DATE(cfg_FY,11,1))+1))</f>
        <v>0</v>
      </c>
      <c r="BE183" s="133" t="n">
        <f aca="false">IF(OR(OR($B183="",$E183="",$F183=""),$K183&lt;&gt;"نعم",$M183="نعم"),0,MAX(0,MIN($F183,EOMONTH(DATE(cfg_FY,12,1),0))-MAX($E183,DATE(cfg_FY,12,1))+1))</f>
        <v>0</v>
      </c>
    </row>
    <row r="184" customFormat="false" ht="15" hidden="false" customHeight="false" outlineLevel="0" collapsed="false">
      <c r="A184" s="106" t="str">
        <f aca="false">IF(B184="","",ROW()-5)</f>
        <v/>
      </c>
      <c r="B184" s="118"/>
      <c r="C184" s="114" t="str">
        <f aca="false">IF(B184="","",IFERROR(INDEX(الموظفون!$C$6:$C$105,MATCH(B184,الموظفون!$B$6:$B$105,0)),"✖ رقم غير موجود"))</f>
        <v/>
      </c>
      <c r="D184" s="118"/>
      <c r="E184" s="119"/>
      <c r="F184" s="119"/>
      <c r="G184" s="65" t="str">
        <f aca="false">IF(OR($B184="",$E184="",$F184=""),"",MAX(0,F184-E184+1))</f>
        <v/>
      </c>
      <c r="H184" s="66" t="str">
        <f aca="false">IF(D184="","",IFERROR(VLOOKUP(D184,cfg_LT,2,FALSE()),1))</f>
        <v/>
      </c>
      <c r="I184" s="135"/>
      <c r="J184" s="66" t="str">
        <f aca="false">IF(D184="","",IF(I184&lt;&gt;"",I184,H184))</f>
        <v/>
      </c>
      <c r="K184" s="114" t="str">
        <f aca="false">IF(D184="","",IFERROR(VLOOKUP($D184,cfg_LT,3,FALSE()),""))</f>
        <v/>
      </c>
      <c r="L184" s="114" t="str">
        <f aca="false">IF(D184="","",IFERROR(VLOOKUP($D184,cfg_LT,4,FALSE()),""))</f>
        <v/>
      </c>
      <c r="M184" s="114" t="str">
        <f aca="false">IF(D184="","",IFERROR(VLOOKUP($D184,cfg_LT,5,FALSE()),""))</f>
        <v/>
      </c>
      <c r="N184" s="111" t="n">
        <f aca="false">IF(OR(OR($B184="",$E184="",$F184=""),M184&lt;&gt;"نعم"),0,G184*J184*IFERROR(INDEX(الموظفون!$R$6:$R$105,MATCH(B184,الموظفون!$B$6:$B$105,0)),0)/cfg_DAYS_M)</f>
        <v>0</v>
      </c>
      <c r="O184" s="106" t="str">
        <f aca="false">IF(OR(OR($B184="",$E184="",$F184=""),M184&lt;&gt;"نعم"),"",IF(YEAR(E184)=cfg_FY,MONTH(E184),""))</f>
        <v/>
      </c>
      <c r="P184" s="114" t="str">
        <f aca="false">IF(B184="","",IF(OR(D184="",E184="",F184=""),"⚠ أكمل النوع والتواريخ",IF(F184&lt;E184,"✖ النهاية قبل البداية",IF(COUNTIFS($B$6:$B$505,B184,$E$6:$E$505,"&lt;="&amp;F184,$F$6:$F$505,"&gt;="&amp;E184)&gt;1,"⚠ تداخل مع سجل آخر",IF(E184&gt;cfg_VAL_DATE,"⏳ قادمة",IF(F184&lt;cfg_VAL_DATE,"✔ منتهية","✈ جارية في تاريخ التقرير"))))))</f>
        <v/>
      </c>
      <c r="Q184" s="118"/>
      <c r="R184" s="65" t="n">
        <f aca="false">IF(OR(OR($B184="",$E184="",$F184=""),L184&lt;&gt;"لا"),0,MAX(0,MIN(F184,cfg_Y_START-1)-E184+1))</f>
        <v>0</v>
      </c>
      <c r="S184" s="65" t="n">
        <f aca="false">IF(OR(OR($B184="",$E184="",$F184=""),L184&lt;&gt;"لا"),0,MAX(0,MIN(F184,cfg_VAL_DATE)-E184+1))</f>
        <v>0</v>
      </c>
      <c r="T184" s="65" t="n">
        <f aca="false">IF(OR(OR($B184="",$E184="",$F184=""),K184&lt;&gt;"نعم"),0,IF(M184="نعم",IF(AND(ISNUMBER(O184),N(O184)&lt;=cfg_VAL_M),G184,0),MAX(0,MIN(F184,cfg_VAL_DATE)-MAX(E184,cfg_Y_START)+1)))</f>
        <v>0</v>
      </c>
      <c r="V184" s="65" t="n">
        <f aca="false">IF(OR($B184="",$E184="",$F184=""),0,MAX(0,MIN($F184,EOMONTH(DATE(cfg_FY,1,1),0))-MAX($E184,DATE(cfg_FY,1,1))+1)*(1-IF($M184="نعم",0,N($J184))))</f>
        <v>0</v>
      </c>
      <c r="W184" s="65" t="n">
        <f aca="false">IF(OR($B184="",$E184="",$F184=""),0,MAX(0,MIN($F184,EOMONTH(DATE(cfg_FY,2,1),0))-MAX($E184,DATE(cfg_FY,2,1))+1)*(1-IF($M184="نعم",0,N($J184))))</f>
        <v>0</v>
      </c>
      <c r="X184" s="65" t="n">
        <f aca="false">IF(OR($B184="",$E184="",$F184=""),0,MAX(0,MIN($F184,EOMONTH(DATE(cfg_FY,3,1),0))-MAX($E184,DATE(cfg_FY,3,1))+1)*(1-IF($M184="نعم",0,N($J184))))</f>
        <v>0</v>
      </c>
      <c r="Y184" s="65" t="n">
        <f aca="false">IF(OR($B184="",$E184="",$F184=""),0,MAX(0,MIN($F184,EOMONTH(DATE(cfg_FY,4,1),0))-MAX($E184,DATE(cfg_FY,4,1))+1)*(1-IF($M184="نعم",0,N($J184))))</f>
        <v>0</v>
      </c>
      <c r="Z184" s="65" t="n">
        <f aca="false">IF(OR($B184="",$E184="",$F184=""),0,MAX(0,MIN($F184,EOMONTH(DATE(cfg_FY,5,1),0))-MAX($E184,DATE(cfg_FY,5,1))+1)*(1-IF($M184="نعم",0,N($J184))))</f>
        <v>0</v>
      </c>
      <c r="AA184" s="65" t="n">
        <f aca="false">IF(OR($B184="",$E184="",$F184=""),0,MAX(0,MIN($F184,EOMONTH(DATE(cfg_FY,6,1),0))-MAX($E184,DATE(cfg_FY,6,1))+1)*(1-IF($M184="نعم",0,N($J184))))</f>
        <v>0</v>
      </c>
      <c r="AB184" s="65" t="n">
        <f aca="false">IF(OR($B184="",$E184="",$F184=""),0,MAX(0,MIN($F184,EOMONTH(DATE(cfg_FY,7,1),0))-MAX($E184,DATE(cfg_FY,7,1))+1)*(1-IF($M184="نعم",0,N($J184))))</f>
        <v>0</v>
      </c>
      <c r="AC184" s="65" t="n">
        <f aca="false">IF(OR($B184="",$E184="",$F184=""),0,MAX(0,MIN($F184,EOMONTH(DATE(cfg_FY,8,1),0))-MAX($E184,DATE(cfg_FY,8,1))+1)*(1-IF($M184="نعم",0,N($J184))))</f>
        <v>0</v>
      </c>
      <c r="AD184" s="65" t="n">
        <f aca="false">IF(OR($B184="",$E184="",$F184=""),0,MAX(0,MIN($F184,EOMONTH(DATE(cfg_FY,9,1),0))-MAX($E184,DATE(cfg_FY,9,1))+1)*(1-IF($M184="نعم",0,N($J184))))</f>
        <v>0</v>
      </c>
      <c r="AE184" s="65" t="n">
        <f aca="false">IF(OR($B184="",$E184="",$F184=""),0,MAX(0,MIN($F184,EOMONTH(DATE(cfg_FY,10,1),0))-MAX($E184,DATE(cfg_FY,10,1))+1)*(1-IF($M184="نعم",0,N($J184))))</f>
        <v>0</v>
      </c>
      <c r="AF184" s="65" t="n">
        <f aca="false">IF(OR($B184="",$E184="",$F184=""),0,MAX(0,MIN($F184,EOMONTH(DATE(cfg_FY,11,1),0))-MAX($E184,DATE(cfg_FY,11,1))+1)*(1-IF($M184="نعم",0,N($J184))))</f>
        <v>0</v>
      </c>
      <c r="AG184" s="65" t="n">
        <f aca="false">IF(OR($B184="",$E184="",$F184=""),0,MAX(0,MIN($F184,EOMONTH(DATE(cfg_FY,12,1),0))-MAX($E184,DATE(cfg_FY,12,1))+1)*(1-IF($M184="نعم",0,N($J184))))</f>
        <v>0</v>
      </c>
      <c r="AH184" s="65" t="n">
        <f aca="false">IF(OR(OR($B184="",$E184="",$F184=""),$L184&lt;&gt;"لا"),0,MAX(0,MIN($F184,EOMONTH(DATE(cfg_FY,1,1),0))-$E184+1))</f>
        <v>0</v>
      </c>
      <c r="AI184" s="65" t="n">
        <f aca="false">IF(OR(OR($B184="",$E184="",$F184=""),$L184&lt;&gt;"لا"),0,MAX(0,MIN($F184,EOMONTH(DATE(cfg_FY,2,1),0))-$E184+1))</f>
        <v>0</v>
      </c>
      <c r="AJ184" s="65" t="n">
        <f aca="false">IF(OR(OR($B184="",$E184="",$F184=""),$L184&lt;&gt;"لا"),0,MAX(0,MIN($F184,EOMONTH(DATE(cfg_FY,3,1),0))-$E184+1))</f>
        <v>0</v>
      </c>
      <c r="AK184" s="65" t="n">
        <f aca="false">IF(OR(OR($B184="",$E184="",$F184=""),$L184&lt;&gt;"لا"),0,MAX(0,MIN($F184,EOMONTH(DATE(cfg_FY,4,1),0))-$E184+1))</f>
        <v>0</v>
      </c>
      <c r="AL184" s="65" t="n">
        <f aca="false">IF(OR(OR($B184="",$E184="",$F184=""),$L184&lt;&gt;"لا"),0,MAX(0,MIN($F184,EOMONTH(DATE(cfg_FY,5,1),0))-$E184+1))</f>
        <v>0</v>
      </c>
      <c r="AM184" s="65" t="n">
        <f aca="false">IF(OR(OR($B184="",$E184="",$F184=""),$L184&lt;&gt;"لا"),0,MAX(0,MIN($F184,EOMONTH(DATE(cfg_FY,6,1),0))-$E184+1))</f>
        <v>0</v>
      </c>
      <c r="AN184" s="65" t="n">
        <f aca="false">IF(OR(OR($B184="",$E184="",$F184=""),$L184&lt;&gt;"لا"),0,MAX(0,MIN($F184,EOMONTH(DATE(cfg_FY,7,1),0))-$E184+1))</f>
        <v>0</v>
      </c>
      <c r="AO184" s="65" t="n">
        <f aca="false">IF(OR(OR($B184="",$E184="",$F184=""),$L184&lt;&gt;"لا"),0,MAX(0,MIN($F184,EOMONTH(DATE(cfg_FY,8,1),0))-$E184+1))</f>
        <v>0</v>
      </c>
      <c r="AP184" s="65" t="n">
        <f aca="false">IF(OR(OR($B184="",$E184="",$F184=""),$L184&lt;&gt;"لا"),0,MAX(0,MIN($F184,EOMONTH(DATE(cfg_FY,9,1),0))-$E184+1))</f>
        <v>0</v>
      </c>
      <c r="AQ184" s="65" t="n">
        <f aca="false">IF(OR(OR($B184="",$E184="",$F184=""),$L184&lt;&gt;"لا"),0,MAX(0,MIN($F184,EOMONTH(DATE(cfg_FY,10,1),0))-$E184+1))</f>
        <v>0</v>
      </c>
      <c r="AR184" s="65" t="n">
        <f aca="false">IF(OR(OR($B184="",$E184="",$F184=""),$L184&lt;&gt;"لا"),0,MAX(0,MIN($F184,EOMONTH(DATE(cfg_FY,11,1),0))-$E184+1))</f>
        <v>0</v>
      </c>
      <c r="AS184" s="65" t="n">
        <f aca="false">IF(OR(OR($B184="",$E184="",$F184=""),$L184&lt;&gt;"لا"),0,MAX(0,MIN($F184,EOMONTH(DATE(cfg_FY,12,1),0))-$E184+1))</f>
        <v>0</v>
      </c>
      <c r="AT184" s="65" t="n">
        <f aca="false">IF(OR(OR($B184="",$E184="",$F184=""),$K184&lt;&gt;"نعم",$M184="نعم"),0,MAX(0,MIN($F184,EOMONTH(DATE(cfg_FY,1,1),0))-MAX($E184,DATE(cfg_FY,1,1))+1))</f>
        <v>0</v>
      </c>
      <c r="AU184" s="65" t="n">
        <f aca="false">IF(OR(OR($B184="",$E184="",$F184=""),$K184&lt;&gt;"نعم",$M184="نعم"),0,MAX(0,MIN($F184,EOMONTH(DATE(cfg_FY,2,1),0))-MAX($E184,DATE(cfg_FY,2,1))+1))</f>
        <v>0</v>
      </c>
      <c r="AV184" s="65" t="n">
        <f aca="false">IF(OR(OR($B184="",$E184="",$F184=""),$K184&lt;&gt;"نعم",$M184="نعم"),0,MAX(0,MIN($F184,EOMONTH(DATE(cfg_FY,3,1),0))-MAX($E184,DATE(cfg_FY,3,1))+1))</f>
        <v>0</v>
      </c>
      <c r="AW184" s="65" t="n">
        <f aca="false">IF(OR(OR($B184="",$E184="",$F184=""),$K184&lt;&gt;"نعم",$M184="نعم"),0,MAX(0,MIN($F184,EOMONTH(DATE(cfg_FY,4,1),0))-MAX($E184,DATE(cfg_FY,4,1))+1))</f>
        <v>0</v>
      </c>
      <c r="AX184" s="65" t="n">
        <f aca="false">IF(OR(OR($B184="",$E184="",$F184=""),$K184&lt;&gt;"نعم",$M184="نعم"),0,MAX(0,MIN($F184,EOMONTH(DATE(cfg_FY,5,1),0))-MAX($E184,DATE(cfg_FY,5,1))+1))</f>
        <v>0</v>
      </c>
      <c r="AY184" s="65" t="n">
        <f aca="false">IF(OR(OR($B184="",$E184="",$F184=""),$K184&lt;&gt;"نعم",$M184="نعم"),0,MAX(0,MIN($F184,EOMONTH(DATE(cfg_FY,6,1),0))-MAX($E184,DATE(cfg_FY,6,1))+1))</f>
        <v>0</v>
      </c>
      <c r="AZ184" s="65" t="n">
        <f aca="false">IF(OR(OR($B184="",$E184="",$F184=""),$K184&lt;&gt;"نعم",$M184="نعم"),0,MAX(0,MIN($F184,EOMONTH(DATE(cfg_FY,7,1),0))-MAX($E184,DATE(cfg_FY,7,1))+1))</f>
        <v>0</v>
      </c>
      <c r="BA184" s="65" t="n">
        <f aca="false">IF(OR(OR($B184="",$E184="",$F184=""),$K184&lt;&gt;"نعم",$M184="نعم"),0,MAX(0,MIN($F184,EOMONTH(DATE(cfg_FY,8,1),0))-MAX($E184,DATE(cfg_FY,8,1))+1))</f>
        <v>0</v>
      </c>
      <c r="BB184" s="65" t="n">
        <f aca="false">IF(OR(OR($B184="",$E184="",$F184=""),$K184&lt;&gt;"نعم",$M184="نعم"),0,MAX(0,MIN($F184,EOMONTH(DATE(cfg_FY,9,1),0))-MAX($E184,DATE(cfg_FY,9,1))+1))</f>
        <v>0</v>
      </c>
      <c r="BC184" s="65" t="n">
        <f aca="false">IF(OR(OR($B184="",$E184="",$F184=""),$K184&lt;&gt;"نعم",$M184="نعم"),0,MAX(0,MIN($F184,EOMONTH(DATE(cfg_FY,10,1),0))-MAX($E184,DATE(cfg_FY,10,1))+1))</f>
        <v>0</v>
      </c>
      <c r="BD184" s="65" t="n">
        <f aca="false">IF(OR(OR($B184="",$E184="",$F184=""),$K184&lt;&gt;"نعم",$M184="نعم"),0,MAX(0,MIN($F184,EOMONTH(DATE(cfg_FY,11,1),0))-MAX($E184,DATE(cfg_FY,11,1))+1))</f>
        <v>0</v>
      </c>
      <c r="BE184" s="65" t="n">
        <f aca="false">IF(OR(OR($B184="",$E184="",$F184=""),$K184&lt;&gt;"نعم",$M184="نعم"),0,MAX(0,MIN($F184,EOMONTH(DATE(cfg_FY,12,1),0))-MAX($E184,DATE(cfg_FY,12,1))+1))</f>
        <v>0</v>
      </c>
    </row>
    <row r="185" customFormat="false" ht="15" hidden="false" customHeight="false" outlineLevel="0" collapsed="false">
      <c r="A185" s="115" t="str">
        <f aca="false">IF(B185="","",ROW()-5)</f>
        <v/>
      </c>
      <c r="B185" s="118"/>
      <c r="C185" s="117" t="str">
        <f aca="false">IF(B185="","",IFERROR(INDEX(الموظفون!$C$6:$C$105,MATCH(B185,الموظفون!$B$6:$B$105,0)),"✖ رقم غير موجود"))</f>
        <v/>
      </c>
      <c r="D185" s="118"/>
      <c r="E185" s="119"/>
      <c r="F185" s="119"/>
      <c r="G185" s="133" t="str">
        <f aca="false">IF(OR($B185="",$E185="",$F185=""),"",MAX(0,F185-E185+1))</f>
        <v/>
      </c>
      <c r="H185" s="134" t="str">
        <f aca="false">IF(D185="","",IFERROR(VLOOKUP(D185,cfg_LT,2,FALSE()),1))</f>
        <v/>
      </c>
      <c r="I185" s="135"/>
      <c r="J185" s="134" t="str">
        <f aca="false">IF(D185="","",IF(I185&lt;&gt;"",I185,H185))</f>
        <v/>
      </c>
      <c r="K185" s="117" t="str">
        <f aca="false">IF(D185="","",IFERROR(VLOOKUP($D185,cfg_LT,3,FALSE()),""))</f>
        <v/>
      </c>
      <c r="L185" s="117" t="str">
        <f aca="false">IF(D185="","",IFERROR(VLOOKUP($D185,cfg_LT,4,FALSE()),""))</f>
        <v/>
      </c>
      <c r="M185" s="117" t="str">
        <f aca="false">IF(D185="","",IFERROR(VLOOKUP($D185,cfg_LT,5,FALSE()),""))</f>
        <v/>
      </c>
      <c r="N185" s="116" t="n">
        <f aca="false">IF(OR(OR($B185="",$E185="",$F185=""),M185&lt;&gt;"نعم"),0,G185*J185*IFERROR(INDEX(الموظفون!$R$6:$R$105,MATCH(B185,الموظفون!$B$6:$B$105,0)),0)/cfg_DAYS_M)</f>
        <v>0</v>
      </c>
      <c r="O185" s="115" t="str">
        <f aca="false">IF(OR(OR($B185="",$E185="",$F185=""),M185&lt;&gt;"نعم"),"",IF(YEAR(E185)=cfg_FY,MONTH(E185),""))</f>
        <v/>
      </c>
      <c r="P185" s="117" t="str">
        <f aca="false">IF(B185="","",IF(OR(D185="",E185="",F185=""),"⚠ أكمل النوع والتواريخ",IF(F185&lt;E185,"✖ النهاية قبل البداية",IF(COUNTIFS($B$6:$B$505,B185,$E$6:$E$505,"&lt;="&amp;F185,$F$6:$F$505,"&gt;="&amp;E185)&gt;1,"⚠ تداخل مع سجل آخر",IF(E185&gt;cfg_VAL_DATE,"⏳ قادمة",IF(F185&lt;cfg_VAL_DATE,"✔ منتهية","✈ جارية في تاريخ التقرير"))))))</f>
        <v/>
      </c>
      <c r="Q185" s="118"/>
      <c r="R185" s="133" t="n">
        <f aca="false">IF(OR(OR($B185="",$E185="",$F185=""),L185&lt;&gt;"لا"),0,MAX(0,MIN(F185,cfg_Y_START-1)-E185+1))</f>
        <v>0</v>
      </c>
      <c r="S185" s="133" t="n">
        <f aca="false">IF(OR(OR($B185="",$E185="",$F185=""),L185&lt;&gt;"لا"),0,MAX(0,MIN(F185,cfg_VAL_DATE)-E185+1))</f>
        <v>0</v>
      </c>
      <c r="T185" s="133" t="n">
        <f aca="false">IF(OR(OR($B185="",$E185="",$F185=""),K185&lt;&gt;"نعم"),0,IF(M185="نعم",IF(AND(ISNUMBER(O185),N(O185)&lt;=cfg_VAL_M),G185,0),MAX(0,MIN(F185,cfg_VAL_DATE)-MAX(E185,cfg_Y_START)+1)))</f>
        <v>0</v>
      </c>
      <c r="V185" s="133" t="n">
        <f aca="false">IF(OR($B185="",$E185="",$F185=""),0,MAX(0,MIN($F185,EOMONTH(DATE(cfg_FY,1,1),0))-MAX($E185,DATE(cfg_FY,1,1))+1)*(1-IF($M185="نعم",0,N($J185))))</f>
        <v>0</v>
      </c>
      <c r="W185" s="133" t="n">
        <f aca="false">IF(OR($B185="",$E185="",$F185=""),0,MAX(0,MIN($F185,EOMONTH(DATE(cfg_FY,2,1),0))-MAX($E185,DATE(cfg_FY,2,1))+1)*(1-IF($M185="نعم",0,N($J185))))</f>
        <v>0</v>
      </c>
      <c r="X185" s="133" t="n">
        <f aca="false">IF(OR($B185="",$E185="",$F185=""),0,MAX(0,MIN($F185,EOMONTH(DATE(cfg_FY,3,1),0))-MAX($E185,DATE(cfg_FY,3,1))+1)*(1-IF($M185="نعم",0,N($J185))))</f>
        <v>0</v>
      </c>
      <c r="Y185" s="133" t="n">
        <f aca="false">IF(OR($B185="",$E185="",$F185=""),0,MAX(0,MIN($F185,EOMONTH(DATE(cfg_FY,4,1),0))-MAX($E185,DATE(cfg_FY,4,1))+1)*(1-IF($M185="نعم",0,N($J185))))</f>
        <v>0</v>
      </c>
      <c r="Z185" s="133" t="n">
        <f aca="false">IF(OR($B185="",$E185="",$F185=""),0,MAX(0,MIN($F185,EOMONTH(DATE(cfg_FY,5,1),0))-MAX($E185,DATE(cfg_FY,5,1))+1)*(1-IF($M185="نعم",0,N($J185))))</f>
        <v>0</v>
      </c>
      <c r="AA185" s="133" t="n">
        <f aca="false">IF(OR($B185="",$E185="",$F185=""),0,MAX(0,MIN($F185,EOMONTH(DATE(cfg_FY,6,1),0))-MAX($E185,DATE(cfg_FY,6,1))+1)*(1-IF($M185="نعم",0,N($J185))))</f>
        <v>0</v>
      </c>
      <c r="AB185" s="133" t="n">
        <f aca="false">IF(OR($B185="",$E185="",$F185=""),0,MAX(0,MIN($F185,EOMONTH(DATE(cfg_FY,7,1),0))-MAX($E185,DATE(cfg_FY,7,1))+1)*(1-IF($M185="نعم",0,N($J185))))</f>
        <v>0</v>
      </c>
      <c r="AC185" s="133" t="n">
        <f aca="false">IF(OR($B185="",$E185="",$F185=""),0,MAX(0,MIN($F185,EOMONTH(DATE(cfg_FY,8,1),0))-MAX($E185,DATE(cfg_FY,8,1))+1)*(1-IF($M185="نعم",0,N($J185))))</f>
        <v>0</v>
      </c>
      <c r="AD185" s="133" t="n">
        <f aca="false">IF(OR($B185="",$E185="",$F185=""),0,MAX(0,MIN($F185,EOMONTH(DATE(cfg_FY,9,1),0))-MAX($E185,DATE(cfg_FY,9,1))+1)*(1-IF($M185="نعم",0,N($J185))))</f>
        <v>0</v>
      </c>
      <c r="AE185" s="133" t="n">
        <f aca="false">IF(OR($B185="",$E185="",$F185=""),0,MAX(0,MIN($F185,EOMONTH(DATE(cfg_FY,10,1),0))-MAX($E185,DATE(cfg_FY,10,1))+1)*(1-IF($M185="نعم",0,N($J185))))</f>
        <v>0</v>
      </c>
      <c r="AF185" s="133" t="n">
        <f aca="false">IF(OR($B185="",$E185="",$F185=""),0,MAX(0,MIN($F185,EOMONTH(DATE(cfg_FY,11,1),0))-MAX($E185,DATE(cfg_FY,11,1))+1)*(1-IF($M185="نعم",0,N($J185))))</f>
        <v>0</v>
      </c>
      <c r="AG185" s="133" t="n">
        <f aca="false">IF(OR($B185="",$E185="",$F185=""),0,MAX(0,MIN($F185,EOMONTH(DATE(cfg_FY,12,1),0))-MAX($E185,DATE(cfg_FY,12,1))+1)*(1-IF($M185="نعم",0,N($J185))))</f>
        <v>0</v>
      </c>
      <c r="AH185" s="133" t="n">
        <f aca="false">IF(OR(OR($B185="",$E185="",$F185=""),$L185&lt;&gt;"لا"),0,MAX(0,MIN($F185,EOMONTH(DATE(cfg_FY,1,1),0))-$E185+1))</f>
        <v>0</v>
      </c>
      <c r="AI185" s="133" t="n">
        <f aca="false">IF(OR(OR($B185="",$E185="",$F185=""),$L185&lt;&gt;"لا"),0,MAX(0,MIN($F185,EOMONTH(DATE(cfg_FY,2,1),0))-$E185+1))</f>
        <v>0</v>
      </c>
      <c r="AJ185" s="133" t="n">
        <f aca="false">IF(OR(OR($B185="",$E185="",$F185=""),$L185&lt;&gt;"لا"),0,MAX(0,MIN($F185,EOMONTH(DATE(cfg_FY,3,1),0))-$E185+1))</f>
        <v>0</v>
      </c>
      <c r="AK185" s="133" t="n">
        <f aca="false">IF(OR(OR($B185="",$E185="",$F185=""),$L185&lt;&gt;"لا"),0,MAX(0,MIN($F185,EOMONTH(DATE(cfg_FY,4,1),0))-$E185+1))</f>
        <v>0</v>
      </c>
      <c r="AL185" s="133" t="n">
        <f aca="false">IF(OR(OR($B185="",$E185="",$F185=""),$L185&lt;&gt;"لا"),0,MAX(0,MIN($F185,EOMONTH(DATE(cfg_FY,5,1),0))-$E185+1))</f>
        <v>0</v>
      </c>
      <c r="AM185" s="133" t="n">
        <f aca="false">IF(OR(OR($B185="",$E185="",$F185=""),$L185&lt;&gt;"لا"),0,MAX(0,MIN($F185,EOMONTH(DATE(cfg_FY,6,1),0))-$E185+1))</f>
        <v>0</v>
      </c>
      <c r="AN185" s="133" t="n">
        <f aca="false">IF(OR(OR($B185="",$E185="",$F185=""),$L185&lt;&gt;"لا"),0,MAX(0,MIN($F185,EOMONTH(DATE(cfg_FY,7,1),0))-$E185+1))</f>
        <v>0</v>
      </c>
      <c r="AO185" s="133" t="n">
        <f aca="false">IF(OR(OR($B185="",$E185="",$F185=""),$L185&lt;&gt;"لا"),0,MAX(0,MIN($F185,EOMONTH(DATE(cfg_FY,8,1),0))-$E185+1))</f>
        <v>0</v>
      </c>
      <c r="AP185" s="133" t="n">
        <f aca="false">IF(OR(OR($B185="",$E185="",$F185=""),$L185&lt;&gt;"لا"),0,MAX(0,MIN($F185,EOMONTH(DATE(cfg_FY,9,1),0))-$E185+1))</f>
        <v>0</v>
      </c>
      <c r="AQ185" s="133" t="n">
        <f aca="false">IF(OR(OR($B185="",$E185="",$F185=""),$L185&lt;&gt;"لا"),0,MAX(0,MIN($F185,EOMONTH(DATE(cfg_FY,10,1),0))-$E185+1))</f>
        <v>0</v>
      </c>
      <c r="AR185" s="133" t="n">
        <f aca="false">IF(OR(OR($B185="",$E185="",$F185=""),$L185&lt;&gt;"لا"),0,MAX(0,MIN($F185,EOMONTH(DATE(cfg_FY,11,1),0))-$E185+1))</f>
        <v>0</v>
      </c>
      <c r="AS185" s="133" t="n">
        <f aca="false">IF(OR(OR($B185="",$E185="",$F185=""),$L185&lt;&gt;"لا"),0,MAX(0,MIN($F185,EOMONTH(DATE(cfg_FY,12,1),0))-$E185+1))</f>
        <v>0</v>
      </c>
      <c r="AT185" s="133" t="n">
        <f aca="false">IF(OR(OR($B185="",$E185="",$F185=""),$K185&lt;&gt;"نعم",$M185="نعم"),0,MAX(0,MIN($F185,EOMONTH(DATE(cfg_FY,1,1),0))-MAX($E185,DATE(cfg_FY,1,1))+1))</f>
        <v>0</v>
      </c>
      <c r="AU185" s="133" t="n">
        <f aca="false">IF(OR(OR($B185="",$E185="",$F185=""),$K185&lt;&gt;"نعم",$M185="نعم"),0,MAX(0,MIN($F185,EOMONTH(DATE(cfg_FY,2,1),0))-MAX($E185,DATE(cfg_FY,2,1))+1))</f>
        <v>0</v>
      </c>
      <c r="AV185" s="133" t="n">
        <f aca="false">IF(OR(OR($B185="",$E185="",$F185=""),$K185&lt;&gt;"نعم",$M185="نعم"),0,MAX(0,MIN($F185,EOMONTH(DATE(cfg_FY,3,1),0))-MAX($E185,DATE(cfg_FY,3,1))+1))</f>
        <v>0</v>
      </c>
      <c r="AW185" s="133" t="n">
        <f aca="false">IF(OR(OR($B185="",$E185="",$F185=""),$K185&lt;&gt;"نعم",$M185="نعم"),0,MAX(0,MIN($F185,EOMONTH(DATE(cfg_FY,4,1),0))-MAX($E185,DATE(cfg_FY,4,1))+1))</f>
        <v>0</v>
      </c>
      <c r="AX185" s="133" t="n">
        <f aca="false">IF(OR(OR($B185="",$E185="",$F185=""),$K185&lt;&gt;"نعم",$M185="نعم"),0,MAX(0,MIN($F185,EOMONTH(DATE(cfg_FY,5,1),0))-MAX($E185,DATE(cfg_FY,5,1))+1))</f>
        <v>0</v>
      </c>
      <c r="AY185" s="133" t="n">
        <f aca="false">IF(OR(OR($B185="",$E185="",$F185=""),$K185&lt;&gt;"نعم",$M185="نعم"),0,MAX(0,MIN($F185,EOMONTH(DATE(cfg_FY,6,1),0))-MAX($E185,DATE(cfg_FY,6,1))+1))</f>
        <v>0</v>
      </c>
      <c r="AZ185" s="133" t="n">
        <f aca="false">IF(OR(OR($B185="",$E185="",$F185=""),$K185&lt;&gt;"نعم",$M185="نعم"),0,MAX(0,MIN($F185,EOMONTH(DATE(cfg_FY,7,1),0))-MAX($E185,DATE(cfg_FY,7,1))+1))</f>
        <v>0</v>
      </c>
      <c r="BA185" s="133" t="n">
        <f aca="false">IF(OR(OR($B185="",$E185="",$F185=""),$K185&lt;&gt;"نعم",$M185="نعم"),0,MAX(0,MIN($F185,EOMONTH(DATE(cfg_FY,8,1),0))-MAX($E185,DATE(cfg_FY,8,1))+1))</f>
        <v>0</v>
      </c>
      <c r="BB185" s="133" t="n">
        <f aca="false">IF(OR(OR($B185="",$E185="",$F185=""),$K185&lt;&gt;"نعم",$M185="نعم"),0,MAX(0,MIN($F185,EOMONTH(DATE(cfg_FY,9,1),0))-MAX($E185,DATE(cfg_FY,9,1))+1))</f>
        <v>0</v>
      </c>
      <c r="BC185" s="133" t="n">
        <f aca="false">IF(OR(OR($B185="",$E185="",$F185=""),$K185&lt;&gt;"نعم",$M185="نعم"),0,MAX(0,MIN($F185,EOMONTH(DATE(cfg_FY,10,1),0))-MAX($E185,DATE(cfg_FY,10,1))+1))</f>
        <v>0</v>
      </c>
      <c r="BD185" s="133" t="n">
        <f aca="false">IF(OR(OR($B185="",$E185="",$F185=""),$K185&lt;&gt;"نعم",$M185="نعم"),0,MAX(0,MIN($F185,EOMONTH(DATE(cfg_FY,11,1),0))-MAX($E185,DATE(cfg_FY,11,1))+1))</f>
        <v>0</v>
      </c>
      <c r="BE185" s="133" t="n">
        <f aca="false">IF(OR(OR($B185="",$E185="",$F185=""),$K185&lt;&gt;"نعم",$M185="نعم"),0,MAX(0,MIN($F185,EOMONTH(DATE(cfg_FY,12,1),0))-MAX($E185,DATE(cfg_FY,12,1))+1))</f>
        <v>0</v>
      </c>
    </row>
    <row r="186" customFormat="false" ht="15" hidden="false" customHeight="false" outlineLevel="0" collapsed="false">
      <c r="A186" s="106" t="str">
        <f aca="false">IF(B186="","",ROW()-5)</f>
        <v/>
      </c>
      <c r="B186" s="118"/>
      <c r="C186" s="114" t="str">
        <f aca="false">IF(B186="","",IFERROR(INDEX(الموظفون!$C$6:$C$105,MATCH(B186,الموظفون!$B$6:$B$105,0)),"✖ رقم غير موجود"))</f>
        <v/>
      </c>
      <c r="D186" s="118"/>
      <c r="E186" s="119"/>
      <c r="F186" s="119"/>
      <c r="G186" s="65" t="str">
        <f aca="false">IF(OR($B186="",$E186="",$F186=""),"",MAX(0,F186-E186+1))</f>
        <v/>
      </c>
      <c r="H186" s="66" t="str">
        <f aca="false">IF(D186="","",IFERROR(VLOOKUP(D186,cfg_LT,2,FALSE()),1))</f>
        <v/>
      </c>
      <c r="I186" s="135"/>
      <c r="J186" s="66" t="str">
        <f aca="false">IF(D186="","",IF(I186&lt;&gt;"",I186,H186))</f>
        <v/>
      </c>
      <c r="K186" s="114" t="str">
        <f aca="false">IF(D186="","",IFERROR(VLOOKUP($D186,cfg_LT,3,FALSE()),""))</f>
        <v/>
      </c>
      <c r="L186" s="114" t="str">
        <f aca="false">IF(D186="","",IFERROR(VLOOKUP($D186,cfg_LT,4,FALSE()),""))</f>
        <v/>
      </c>
      <c r="M186" s="114" t="str">
        <f aca="false">IF(D186="","",IFERROR(VLOOKUP($D186,cfg_LT,5,FALSE()),""))</f>
        <v/>
      </c>
      <c r="N186" s="111" t="n">
        <f aca="false">IF(OR(OR($B186="",$E186="",$F186=""),M186&lt;&gt;"نعم"),0,G186*J186*IFERROR(INDEX(الموظفون!$R$6:$R$105,MATCH(B186,الموظفون!$B$6:$B$105,0)),0)/cfg_DAYS_M)</f>
        <v>0</v>
      </c>
      <c r="O186" s="106" t="str">
        <f aca="false">IF(OR(OR($B186="",$E186="",$F186=""),M186&lt;&gt;"نعم"),"",IF(YEAR(E186)=cfg_FY,MONTH(E186),""))</f>
        <v/>
      </c>
      <c r="P186" s="114" t="str">
        <f aca="false">IF(B186="","",IF(OR(D186="",E186="",F186=""),"⚠ أكمل النوع والتواريخ",IF(F186&lt;E186,"✖ النهاية قبل البداية",IF(COUNTIFS($B$6:$B$505,B186,$E$6:$E$505,"&lt;="&amp;F186,$F$6:$F$505,"&gt;="&amp;E186)&gt;1,"⚠ تداخل مع سجل آخر",IF(E186&gt;cfg_VAL_DATE,"⏳ قادمة",IF(F186&lt;cfg_VAL_DATE,"✔ منتهية","✈ جارية في تاريخ التقرير"))))))</f>
        <v/>
      </c>
      <c r="Q186" s="118"/>
      <c r="R186" s="65" t="n">
        <f aca="false">IF(OR(OR($B186="",$E186="",$F186=""),L186&lt;&gt;"لا"),0,MAX(0,MIN(F186,cfg_Y_START-1)-E186+1))</f>
        <v>0</v>
      </c>
      <c r="S186" s="65" t="n">
        <f aca="false">IF(OR(OR($B186="",$E186="",$F186=""),L186&lt;&gt;"لا"),0,MAX(0,MIN(F186,cfg_VAL_DATE)-E186+1))</f>
        <v>0</v>
      </c>
      <c r="T186" s="65" t="n">
        <f aca="false">IF(OR(OR($B186="",$E186="",$F186=""),K186&lt;&gt;"نعم"),0,IF(M186="نعم",IF(AND(ISNUMBER(O186),N(O186)&lt;=cfg_VAL_M),G186,0),MAX(0,MIN(F186,cfg_VAL_DATE)-MAX(E186,cfg_Y_START)+1)))</f>
        <v>0</v>
      </c>
      <c r="V186" s="65" t="n">
        <f aca="false">IF(OR($B186="",$E186="",$F186=""),0,MAX(0,MIN($F186,EOMONTH(DATE(cfg_FY,1,1),0))-MAX($E186,DATE(cfg_FY,1,1))+1)*(1-IF($M186="نعم",0,N($J186))))</f>
        <v>0</v>
      </c>
      <c r="W186" s="65" t="n">
        <f aca="false">IF(OR($B186="",$E186="",$F186=""),0,MAX(0,MIN($F186,EOMONTH(DATE(cfg_FY,2,1),0))-MAX($E186,DATE(cfg_FY,2,1))+1)*(1-IF($M186="نعم",0,N($J186))))</f>
        <v>0</v>
      </c>
      <c r="X186" s="65" t="n">
        <f aca="false">IF(OR($B186="",$E186="",$F186=""),0,MAX(0,MIN($F186,EOMONTH(DATE(cfg_FY,3,1),0))-MAX($E186,DATE(cfg_FY,3,1))+1)*(1-IF($M186="نعم",0,N($J186))))</f>
        <v>0</v>
      </c>
      <c r="Y186" s="65" t="n">
        <f aca="false">IF(OR($B186="",$E186="",$F186=""),0,MAX(0,MIN($F186,EOMONTH(DATE(cfg_FY,4,1),0))-MAX($E186,DATE(cfg_FY,4,1))+1)*(1-IF($M186="نعم",0,N($J186))))</f>
        <v>0</v>
      </c>
      <c r="Z186" s="65" t="n">
        <f aca="false">IF(OR($B186="",$E186="",$F186=""),0,MAX(0,MIN($F186,EOMONTH(DATE(cfg_FY,5,1),0))-MAX($E186,DATE(cfg_FY,5,1))+1)*(1-IF($M186="نعم",0,N($J186))))</f>
        <v>0</v>
      </c>
      <c r="AA186" s="65" t="n">
        <f aca="false">IF(OR($B186="",$E186="",$F186=""),0,MAX(0,MIN($F186,EOMONTH(DATE(cfg_FY,6,1),0))-MAX($E186,DATE(cfg_FY,6,1))+1)*(1-IF($M186="نعم",0,N($J186))))</f>
        <v>0</v>
      </c>
      <c r="AB186" s="65" t="n">
        <f aca="false">IF(OR($B186="",$E186="",$F186=""),0,MAX(0,MIN($F186,EOMONTH(DATE(cfg_FY,7,1),0))-MAX($E186,DATE(cfg_FY,7,1))+1)*(1-IF($M186="نعم",0,N($J186))))</f>
        <v>0</v>
      </c>
      <c r="AC186" s="65" t="n">
        <f aca="false">IF(OR($B186="",$E186="",$F186=""),0,MAX(0,MIN($F186,EOMONTH(DATE(cfg_FY,8,1),0))-MAX($E186,DATE(cfg_FY,8,1))+1)*(1-IF($M186="نعم",0,N($J186))))</f>
        <v>0</v>
      </c>
      <c r="AD186" s="65" t="n">
        <f aca="false">IF(OR($B186="",$E186="",$F186=""),0,MAX(0,MIN($F186,EOMONTH(DATE(cfg_FY,9,1),0))-MAX($E186,DATE(cfg_FY,9,1))+1)*(1-IF($M186="نعم",0,N($J186))))</f>
        <v>0</v>
      </c>
      <c r="AE186" s="65" t="n">
        <f aca="false">IF(OR($B186="",$E186="",$F186=""),0,MAX(0,MIN($F186,EOMONTH(DATE(cfg_FY,10,1),0))-MAX($E186,DATE(cfg_FY,10,1))+1)*(1-IF($M186="نعم",0,N($J186))))</f>
        <v>0</v>
      </c>
      <c r="AF186" s="65" t="n">
        <f aca="false">IF(OR($B186="",$E186="",$F186=""),0,MAX(0,MIN($F186,EOMONTH(DATE(cfg_FY,11,1),0))-MAX($E186,DATE(cfg_FY,11,1))+1)*(1-IF($M186="نعم",0,N($J186))))</f>
        <v>0</v>
      </c>
      <c r="AG186" s="65" t="n">
        <f aca="false">IF(OR($B186="",$E186="",$F186=""),0,MAX(0,MIN($F186,EOMONTH(DATE(cfg_FY,12,1),0))-MAX($E186,DATE(cfg_FY,12,1))+1)*(1-IF($M186="نعم",0,N($J186))))</f>
        <v>0</v>
      </c>
      <c r="AH186" s="65" t="n">
        <f aca="false">IF(OR(OR($B186="",$E186="",$F186=""),$L186&lt;&gt;"لا"),0,MAX(0,MIN($F186,EOMONTH(DATE(cfg_FY,1,1),0))-$E186+1))</f>
        <v>0</v>
      </c>
      <c r="AI186" s="65" t="n">
        <f aca="false">IF(OR(OR($B186="",$E186="",$F186=""),$L186&lt;&gt;"لا"),0,MAX(0,MIN($F186,EOMONTH(DATE(cfg_FY,2,1),0))-$E186+1))</f>
        <v>0</v>
      </c>
      <c r="AJ186" s="65" t="n">
        <f aca="false">IF(OR(OR($B186="",$E186="",$F186=""),$L186&lt;&gt;"لا"),0,MAX(0,MIN($F186,EOMONTH(DATE(cfg_FY,3,1),0))-$E186+1))</f>
        <v>0</v>
      </c>
      <c r="AK186" s="65" t="n">
        <f aca="false">IF(OR(OR($B186="",$E186="",$F186=""),$L186&lt;&gt;"لا"),0,MAX(0,MIN($F186,EOMONTH(DATE(cfg_FY,4,1),0))-$E186+1))</f>
        <v>0</v>
      </c>
      <c r="AL186" s="65" t="n">
        <f aca="false">IF(OR(OR($B186="",$E186="",$F186=""),$L186&lt;&gt;"لا"),0,MAX(0,MIN($F186,EOMONTH(DATE(cfg_FY,5,1),0))-$E186+1))</f>
        <v>0</v>
      </c>
      <c r="AM186" s="65" t="n">
        <f aca="false">IF(OR(OR($B186="",$E186="",$F186=""),$L186&lt;&gt;"لا"),0,MAX(0,MIN($F186,EOMONTH(DATE(cfg_FY,6,1),0))-$E186+1))</f>
        <v>0</v>
      </c>
      <c r="AN186" s="65" t="n">
        <f aca="false">IF(OR(OR($B186="",$E186="",$F186=""),$L186&lt;&gt;"لا"),0,MAX(0,MIN($F186,EOMONTH(DATE(cfg_FY,7,1),0))-$E186+1))</f>
        <v>0</v>
      </c>
      <c r="AO186" s="65" t="n">
        <f aca="false">IF(OR(OR($B186="",$E186="",$F186=""),$L186&lt;&gt;"لا"),0,MAX(0,MIN($F186,EOMONTH(DATE(cfg_FY,8,1),0))-$E186+1))</f>
        <v>0</v>
      </c>
      <c r="AP186" s="65" t="n">
        <f aca="false">IF(OR(OR($B186="",$E186="",$F186=""),$L186&lt;&gt;"لا"),0,MAX(0,MIN($F186,EOMONTH(DATE(cfg_FY,9,1),0))-$E186+1))</f>
        <v>0</v>
      </c>
      <c r="AQ186" s="65" t="n">
        <f aca="false">IF(OR(OR($B186="",$E186="",$F186=""),$L186&lt;&gt;"لا"),0,MAX(0,MIN($F186,EOMONTH(DATE(cfg_FY,10,1),0))-$E186+1))</f>
        <v>0</v>
      </c>
      <c r="AR186" s="65" t="n">
        <f aca="false">IF(OR(OR($B186="",$E186="",$F186=""),$L186&lt;&gt;"لا"),0,MAX(0,MIN($F186,EOMONTH(DATE(cfg_FY,11,1),0))-$E186+1))</f>
        <v>0</v>
      </c>
      <c r="AS186" s="65" t="n">
        <f aca="false">IF(OR(OR($B186="",$E186="",$F186=""),$L186&lt;&gt;"لا"),0,MAX(0,MIN($F186,EOMONTH(DATE(cfg_FY,12,1),0))-$E186+1))</f>
        <v>0</v>
      </c>
      <c r="AT186" s="65" t="n">
        <f aca="false">IF(OR(OR($B186="",$E186="",$F186=""),$K186&lt;&gt;"نعم",$M186="نعم"),0,MAX(0,MIN($F186,EOMONTH(DATE(cfg_FY,1,1),0))-MAX($E186,DATE(cfg_FY,1,1))+1))</f>
        <v>0</v>
      </c>
      <c r="AU186" s="65" t="n">
        <f aca="false">IF(OR(OR($B186="",$E186="",$F186=""),$K186&lt;&gt;"نعم",$M186="نعم"),0,MAX(0,MIN($F186,EOMONTH(DATE(cfg_FY,2,1),0))-MAX($E186,DATE(cfg_FY,2,1))+1))</f>
        <v>0</v>
      </c>
      <c r="AV186" s="65" t="n">
        <f aca="false">IF(OR(OR($B186="",$E186="",$F186=""),$K186&lt;&gt;"نعم",$M186="نعم"),0,MAX(0,MIN($F186,EOMONTH(DATE(cfg_FY,3,1),0))-MAX($E186,DATE(cfg_FY,3,1))+1))</f>
        <v>0</v>
      </c>
      <c r="AW186" s="65" t="n">
        <f aca="false">IF(OR(OR($B186="",$E186="",$F186=""),$K186&lt;&gt;"نعم",$M186="نعم"),0,MAX(0,MIN($F186,EOMONTH(DATE(cfg_FY,4,1),0))-MAX($E186,DATE(cfg_FY,4,1))+1))</f>
        <v>0</v>
      </c>
      <c r="AX186" s="65" t="n">
        <f aca="false">IF(OR(OR($B186="",$E186="",$F186=""),$K186&lt;&gt;"نعم",$M186="نعم"),0,MAX(0,MIN($F186,EOMONTH(DATE(cfg_FY,5,1),0))-MAX($E186,DATE(cfg_FY,5,1))+1))</f>
        <v>0</v>
      </c>
      <c r="AY186" s="65" t="n">
        <f aca="false">IF(OR(OR($B186="",$E186="",$F186=""),$K186&lt;&gt;"نعم",$M186="نعم"),0,MAX(0,MIN($F186,EOMONTH(DATE(cfg_FY,6,1),0))-MAX($E186,DATE(cfg_FY,6,1))+1))</f>
        <v>0</v>
      </c>
      <c r="AZ186" s="65" t="n">
        <f aca="false">IF(OR(OR($B186="",$E186="",$F186=""),$K186&lt;&gt;"نعم",$M186="نعم"),0,MAX(0,MIN($F186,EOMONTH(DATE(cfg_FY,7,1),0))-MAX($E186,DATE(cfg_FY,7,1))+1))</f>
        <v>0</v>
      </c>
      <c r="BA186" s="65" t="n">
        <f aca="false">IF(OR(OR($B186="",$E186="",$F186=""),$K186&lt;&gt;"نعم",$M186="نعم"),0,MAX(0,MIN($F186,EOMONTH(DATE(cfg_FY,8,1),0))-MAX($E186,DATE(cfg_FY,8,1))+1))</f>
        <v>0</v>
      </c>
      <c r="BB186" s="65" t="n">
        <f aca="false">IF(OR(OR($B186="",$E186="",$F186=""),$K186&lt;&gt;"نعم",$M186="نعم"),0,MAX(0,MIN($F186,EOMONTH(DATE(cfg_FY,9,1),0))-MAX($E186,DATE(cfg_FY,9,1))+1))</f>
        <v>0</v>
      </c>
      <c r="BC186" s="65" t="n">
        <f aca="false">IF(OR(OR($B186="",$E186="",$F186=""),$K186&lt;&gt;"نعم",$M186="نعم"),0,MAX(0,MIN($F186,EOMONTH(DATE(cfg_FY,10,1),0))-MAX($E186,DATE(cfg_FY,10,1))+1))</f>
        <v>0</v>
      </c>
      <c r="BD186" s="65" t="n">
        <f aca="false">IF(OR(OR($B186="",$E186="",$F186=""),$K186&lt;&gt;"نعم",$M186="نعم"),0,MAX(0,MIN($F186,EOMONTH(DATE(cfg_FY,11,1),0))-MAX($E186,DATE(cfg_FY,11,1))+1))</f>
        <v>0</v>
      </c>
      <c r="BE186" s="65" t="n">
        <f aca="false">IF(OR(OR($B186="",$E186="",$F186=""),$K186&lt;&gt;"نعم",$M186="نعم"),0,MAX(0,MIN($F186,EOMONTH(DATE(cfg_FY,12,1),0))-MAX($E186,DATE(cfg_FY,12,1))+1))</f>
        <v>0</v>
      </c>
    </row>
    <row r="187" customFormat="false" ht="15" hidden="false" customHeight="false" outlineLevel="0" collapsed="false">
      <c r="A187" s="115" t="str">
        <f aca="false">IF(B187="","",ROW()-5)</f>
        <v/>
      </c>
      <c r="B187" s="118"/>
      <c r="C187" s="117" t="str">
        <f aca="false">IF(B187="","",IFERROR(INDEX(الموظفون!$C$6:$C$105,MATCH(B187,الموظفون!$B$6:$B$105,0)),"✖ رقم غير موجود"))</f>
        <v/>
      </c>
      <c r="D187" s="118"/>
      <c r="E187" s="119"/>
      <c r="F187" s="119"/>
      <c r="G187" s="133" t="str">
        <f aca="false">IF(OR($B187="",$E187="",$F187=""),"",MAX(0,F187-E187+1))</f>
        <v/>
      </c>
      <c r="H187" s="134" t="str">
        <f aca="false">IF(D187="","",IFERROR(VLOOKUP(D187,cfg_LT,2,FALSE()),1))</f>
        <v/>
      </c>
      <c r="I187" s="135"/>
      <c r="J187" s="134" t="str">
        <f aca="false">IF(D187="","",IF(I187&lt;&gt;"",I187,H187))</f>
        <v/>
      </c>
      <c r="K187" s="117" t="str">
        <f aca="false">IF(D187="","",IFERROR(VLOOKUP($D187,cfg_LT,3,FALSE()),""))</f>
        <v/>
      </c>
      <c r="L187" s="117" t="str">
        <f aca="false">IF(D187="","",IFERROR(VLOOKUP($D187,cfg_LT,4,FALSE()),""))</f>
        <v/>
      </c>
      <c r="M187" s="117" t="str">
        <f aca="false">IF(D187="","",IFERROR(VLOOKUP($D187,cfg_LT,5,FALSE()),""))</f>
        <v/>
      </c>
      <c r="N187" s="116" t="n">
        <f aca="false">IF(OR(OR($B187="",$E187="",$F187=""),M187&lt;&gt;"نعم"),0,G187*J187*IFERROR(INDEX(الموظفون!$R$6:$R$105,MATCH(B187,الموظفون!$B$6:$B$105,0)),0)/cfg_DAYS_M)</f>
        <v>0</v>
      </c>
      <c r="O187" s="115" t="str">
        <f aca="false">IF(OR(OR($B187="",$E187="",$F187=""),M187&lt;&gt;"نعم"),"",IF(YEAR(E187)=cfg_FY,MONTH(E187),""))</f>
        <v/>
      </c>
      <c r="P187" s="117" t="str">
        <f aca="false">IF(B187="","",IF(OR(D187="",E187="",F187=""),"⚠ أكمل النوع والتواريخ",IF(F187&lt;E187,"✖ النهاية قبل البداية",IF(COUNTIFS($B$6:$B$505,B187,$E$6:$E$505,"&lt;="&amp;F187,$F$6:$F$505,"&gt;="&amp;E187)&gt;1,"⚠ تداخل مع سجل آخر",IF(E187&gt;cfg_VAL_DATE,"⏳ قادمة",IF(F187&lt;cfg_VAL_DATE,"✔ منتهية","✈ جارية في تاريخ التقرير"))))))</f>
        <v/>
      </c>
      <c r="Q187" s="118"/>
      <c r="R187" s="133" t="n">
        <f aca="false">IF(OR(OR($B187="",$E187="",$F187=""),L187&lt;&gt;"لا"),0,MAX(0,MIN(F187,cfg_Y_START-1)-E187+1))</f>
        <v>0</v>
      </c>
      <c r="S187" s="133" t="n">
        <f aca="false">IF(OR(OR($B187="",$E187="",$F187=""),L187&lt;&gt;"لا"),0,MAX(0,MIN(F187,cfg_VAL_DATE)-E187+1))</f>
        <v>0</v>
      </c>
      <c r="T187" s="133" t="n">
        <f aca="false">IF(OR(OR($B187="",$E187="",$F187=""),K187&lt;&gt;"نعم"),0,IF(M187="نعم",IF(AND(ISNUMBER(O187),N(O187)&lt;=cfg_VAL_M),G187,0),MAX(0,MIN(F187,cfg_VAL_DATE)-MAX(E187,cfg_Y_START)+1)))</f>
        <v>0</v>
      </c>
      <c r="V187" s="133" t="n">
        <f aca="false">IF(OR($B187="",$E187="",$F187=""),0,MAX(0,MIN($F187,EOMONTH(DATE(cfg_FY,1,1),0))-MAX($E187,DATE(cfg_FY,1,1))+1)*(1-IF($M187="نعم",0,N($J187))))</f>
        <v>0</v>
      </c>
      <c r="W187" s="133" t="n">
        <f aca="false">IF(OR($B187="",$E187="",$F187=""),0,MAX(0,MIN($F187,EOMONTH(DATE(cfg_FY,2,1),0))-MAX($E187,DATE(cfg_FY,2,1))+1)*(1-IF($M187="نعم",0,N($J187))))</f>
        <v>0</v>
      </c>
      <c r="X187" s="133" t="n">
        <f aca="false">IF(OR($B187="",$E187="",$F187=""),0,MAX(0,MIN($F187,EOMONTH(DATE(cfg_FY,3,1),0))-MAX($E187,DATE(cfg_FY,3,1))+1)*(1-IF($M187="نعم",0,N($J187))))</f>
        <v>0</v>
      </c>
      <c r="Y187" s="133" t="n">
        <f aca="false">IF(OR($B187="",$E187="",$F187=""),0,MAX(0,MIN($F187,EOMONTH(DATE(cfg_FY,4,1),0))-MAX($E187,DATE(cfg_FY,4,1))+1)*(1-IF($M187="نعم",0,N($J187))))</f>
        <v>0</v>
      </c>
      <c r="Z187" s="133" t="n">
        <f aca="false">IF(OR($B187="",$E187="",$F187=""),0,MAX(0,MIN($F187,EOMONTH(DATE(cfg_FY,5,1),0))-MAX($E187,DATE(cfg_FY,5,1))+1)*(1-IF($M187="نعم",0,N($J187))))</f>
        <v>0</v>
      </c>
      <c r="AA187" s="133" t="n">
        <f aca="false">IF(OR($B187="",$E187="",$F187=""),0,MAX(0,MIN($F187,EOMONTH(DATE(cfg_FY,6,1),0))-MAX($E187,DATE(cfg_FY,6,1))+1)*(1-IF($M187="نعم",0,N($J187))))</f>
        <v>0</v>
      </c>
      <c r="AB187" s="133" t="n">
        <f aca="false">IF(OR($B187="",$E187="",$F187=""),0,MAX(0,MIN($F187,EOMONTH(DATE(cfg_FY,7,1),0))-MAX($E187,DATE(cfg_FY,7,1))+1)*(1-IF($M187="نعم",0,N($J187))))</f>
        <v>0</v>
      </c>
      <c r="AC187" s="133" t="n">
        <f aca="false">IF(OR($B187="",$E187="",$F187=""),0,MAX(0,MIN($F187,EOMONTH(DATE(cfg_FY,8,1),0))-MAX($E187,DATE(cfg_FY,8,1))+1)*(1-IF($M187="نعم",0,N($J187))))</f>
        <v>0</v>
      </c>
      <c r="AD187" s="133" t="n">
        <f aca="false">IF(OR($B187="",$E187="",$F187=""),0,MAX(0,MIN($F187,EOMONTH(DATE(cfg_FY,9,1),0))-MAX($E187,DATE(cfg_FY,9,1))+1)*(1-IF($M187="نعم",0,N($J187))))</f>
        <v>0</v>
      </c>
      <c r="AE187" s="133" t="n">
        <f aca="false">IF(OR($B187="",$E187="",$F187=""),0,MAX(0,MIN($F187,EOMONTH(DATE(cfg_FY,10,1),0))-MAX($E187,DATE(cfg_FY,10,1))+1)*(1-IF($M187="نعم",0,N($J187))))</f>
        <v>0</v>
      </c>
      <c r="AF187" s="133" t="n">
        <f aca="false">IF(OR($B187="",$E187="",$F187=""),0,MAX(0,MIN($F187,EOMONTH(DATE(cfg_FY,11,1),0))-MAX($E187,DATE(cfg_FY,11,1))+1)*(1-IF($M187="نعم",0,N($J187))))</f>
        <v>0</v>
      </c>
      <c r="AG187" s="133" t="n">
        <f aca="false">IF(OR($B187="",$E187="",$F187=""),0,MAX(0,MIN($F187,EOMONTH(DATE(cfg_FY,12,1),0))-MAX($E187,DATE(cfg_FY,12,1))+1)*(1-IF($M187="نعم",0,N($J187))))</f>
        <v>0</v>
      </c>
      <c r="AH187" s="133" t="n">
        <f aca="false">IF(OR(OR($B187="",$E187="",$F187=""),$L187&lt;&gt;"لا"),0,MAX(0,MIN($F187,EOMONTH(DATE(cfg_FY,1,1),0))-$E187+1))</f>
        <v>0</v>
      </c>
      <c r="AI187" s="133" t="n">
        <f aca="false">IF(OR(OR($B187="",$E187="",$F187=""),$L187&lt;&gt;"لا"),0,MAX(0,MIN($F187,EOMONTH(DATE(cfg_FY,2,1),0))-$E187+1))</f>
        <v>0</v>
      </c>
      <c r="AJ187" s="133" t="n">
        <f aca="false">IF(OR(OR($B187="",$E187="",$F187=""),$L187&lt;&gt;"لا"),0,MAX(0,MIN($F187,EOMONTH(DATE(cfg_FY,3,1),0))-$E187+1))</f>
        <v>0</v>
      </c>
      <c r="AK187" s="133" t="n">
        <f aca="false">IF(OR(OR($B187="",$E187="",$F187=""),$L187&lt;&gt;"لا"),0,MAX(0,MIN($F187,EOMONTH(DATE(cfg_FY,4,1),0))-$E187+1))</f>
        <v>0</v>
      </c>
      <c r="AL187" s="133" t="n">
        <f aca="false">IF(OR(OR($B187="",$E187="",$F187=""),$L187&lt;&gt;"لا"),0,MAX(0,MIN($F187,EOMONTH(DATE(cfg_FY,5,1),0))-$E187+1))</f>
        <v>0</v>
      </c>
      <c r="AM187" s="133" t="n">
        <f aca="false">IF(OR(OR($B187="",$E187="",$F187=""),$L187&lt;&gt;"لا"),0,MAX(0,MIN($F187,EOMONTH(DATE(cfg_FY,6,1),0))-$E187+1))</f>
        <v>0</v>
      </c>
      <c r="AN187" s="133" t="n">
        <f aca="false">IF(OR(OR($B187="",$E187="",$F187=""),$L187&lt;&gt;"لا"),0,MAX(0,MIN($F187,EOMONTH(DATE(cfg_FY,7,1),0))-$E187+1))</f>
        <v>0</v>
      </c>
      <c r="AO187" s="133" t="n">
        <f aca="false">IF(OR(OR($B187="",$E187="",$F187=""),$L187&lt;&gt;"لا"),0,MAX(0,MIN($F187,EOMONTH(DATE(cfg_FY,8,1),0))-$E187+1))</f>
        <v>0</v>
      </c>
      <c r="AP187" s="133" t="n">
        <f aca="false">IF(OR(OR($B187="",$E187="",$F187=""),$L187&lt;&gt;"لا"),0,MAX(0,MIN($F187,EOMONTH(DATE(cfg_FY,9,1),0))-$E187+1))</f>
        <v>0</v>
      </c>
      <c r="AQ187" s="133" t="n">
        <f aca="false">IF(OR(OR($B187="",$E187="",$F187=""),$L187&lt;&gt;"لا"),0,MAX(0,MIN($F187,EOMONTH(DATE(cfg_FY,10,1),0))-$E187+1))</f>
        <v>0</v>
      </c>
      <c r="AR187" s="133" t="n">
        <f aca="false">IF(OR(OR($B187="",$E187="",$F187=""),$L187&lt;&gt;"لا"),0,MAX(0,MIN($F187,EOMONTH(DATE(cfg_FY,11,1),0))-$E187+1))</f>
        <v>0</v>
      </c>
      <c r="AS187" s="133" t="n">
        <f aca="false">IF(OR(OR($B187="",$E187="",$F187=""),$L187&lt;&gt;"لا"),0,MAX(0,MIN($F187,EOMONTH(DATE(cfg_FY,12,1),0))-$E187+1))</f>
        <v>0</v>
      </c>
      <c r="AT187" s="133" t="n">
        <f aca="false">IF(OR(OR($B187="",$E187="",$F187=""),$K187&lt;&gt;"نعم",$M187="نعم"),0,MAX(0,MIN($F187,EOMONTH(DATE(cfg_FY,1,1),0))-MAX($E187,DATE(cfg_FY,1,1))+1))</f>
        <v>0</v>
      </c>
      <c r="AU187" s="133" t="n">
        <f aca="false">IF(OR(OR($B187="",$E187="",$F187=""),$K187&lt;&gt;"نعم",$M187="نعم"),0,MAX(0,MIN($F187,EOMONTH(DATE(cfg_FY,2,1),0))-MAX($E187,DATE(cfg_FY,2,1))+1))</f>
        <v>0</v>
      </c>
      <c r="AV187" s="133" t="n">
        <f aca="false">IF(OR(OR($B187="",$E187="",$F187=""),$K187&lt;&gt;"نعم",$M187="نعم"),0,MAX(0,MIN($F187,EOMONTH(DATE(cfg_FY,3,1),0))-MAX($E187,DATE(cfg_FY,3,1))+1))</f>
        <v>0</v>
      </c>
      <c r="AW187" s="133" t="n">
        <f aca="false">IF(OR(OR($B187="",$E187="",$F187=""),$K187&lt;&gt;"نعم",$M187="نعم"),0,MAX(0,MIN($F187,EOMONTH(DATE(cfg_FY,4,1),0))-MAX($E187,DATE(cfg_FY,4,1))+1))</f>
        <v>0</v>
      </c>
      <c r="AX187" s="133" t="n">
        <f aca="false">IF(OR(OR($B187="",$E187="",$F187=""),$K187&lt;&gt;"نعم",$M187="نعم"),0,MAX(0,MIN($F187,EOMONTH(DATE(cfg_FY,5,1),0))-MAX($E187,DATE(cfg_FY,5,1))+1))</f>
        <v>0</v>
      </c>
      <c r="AY187" s="133" t="n">
        <f aca="false">IF(OR(OR($B187="",$E187="",$F187=""),$K187&lt;&gt;"نعم",$M187="نعم"),0,MAX(0,MIN($F187,EOMONTH(DATE(cfg_FY,6,1),0))-MAX($E187,DATE(cfg_FY,6,1))+1))</f>
        <v>0</v>
      </c>
      <c r="AZ187" s="133" t="n">
        <f aca="false">IF(OR(OR($B187="",$E187="",$F187=""),$K187&lt;&gt;"نعم",$M187="نعم"),0,MAX(0,MIN($F187,EOMONTH(DATE(cfg_FY,7,1),0))-MAX($E187,DATE(cfg_FY,7,1))+1))</f>
        <v>0</v>
      </c>
      <c r="BA187" s="133" t="n">
        <f aca="false">IF(OR(OR($B187="",$E187="",$F187=""),$K187&lt;&gt;"نعم",$M187="نعم"),0,MAX(0,MIN($F187,EOMONTH(DATE(cfg_FY,8,1),0))-MAX($E187,DATE(cfg_FY,8,1))+1))</f>
        <v>0</v>
      </c>
      <c r="BB187" s="133" t="n">
        <f aca="false">IF(OR(OR($B187="",$E187="",$F187=""),$K187&lt;&gt;"نعم",$M187="نعم"),0,MAX(0,MIN($F187,EOMONTH(DATE(cfg_FY,9,1),0))-MAX($E187,DATE(cfg_FY,9,1))+1))</f>
        <v>0</v>
      </c>
      <c r="BC187" s="133" t="n">
        <f aca="false">IF(OR(OR($B187="",$E187="",$F187=""),$K187&lt;&gt;"نعم",$M187="نعم"),0,MAX(0,MIN($F187,EOMONTH(DATE(cfg_FY,10,1),0))-MAX($E187,DATE(cfg_FY,10,1))+1))</f>
        <v>0</v>
      </c>
      <c r="BD187" s="133" t="n">
        <f aca="false">IF(OR(OR($B187="",$E187="",$F187=""),$K187&lt;&gt;"نعم",$M187="نعم"),0,MAX(0,MIN($F187,EOMONTH(DATE(cfg_FY,11,1),0))-MAX($E187,DATE(cfg_FY,11,1))+1))</f>
        <v>0</v>
      </c>
      <c r="BE187" s="133" t="n">
        <f aca="false">IF(OR(OR($B187="",$E187="",$F187=""),$K187&lt;&gt;"نعم",$M187="نعم"),0,MAX(0,MIN($F187,EOMONTH(DATE(cfg_FY,12,1),0))-MAX($E187,DATE(cfg_FY,12,1))+1))</f>
        <v>0</v>
      </c>
    </row>
    <row r="188" customFormat="false" ht="15" hidden="false" customHeight="false" outlineLevel="0" collapsed="false">
      <c r="A188" s="106" t="str">
        <f aca="false">IF(B188="","",ROW()-5)</f>
        <v/>
      </c>
      <c r="B188" s="118"/>
      <c r="C188" s="114" t="str">
        <f aca="false">IF(B188="","",IFERROR(INDEX(الموظفون!$C$6:$C$105,MATCH(B188,الموظفون!$B$6:$B$105,0)),"✖ رقم غير موجود"))</f>
        <v/>
      </c>
      <c r="D188" s="118"/>
      <c r="E188" s="119"/>
      <c r="F188" s="119"/>
      <c r="G188" s="65" t="str">
        <f aca="false">IF(OR($B188="",$E188="",$F188=""),"",MAX(0,F188-E188+1))</f>
        <v/>
      </c>
      <c r="H188" s="66" t="str">
        <f aca="false">IF(D188="","",IFERROR(VLOOKUP(D188,cfg_LT,2,FALSE()),1))</f>
        <v/>
      </c>
      <c r="I188" s="135"/>
      <c r="J188" s="66" t="str">
        <f aca="false">IF(D188="","",IF(I188&lt;&gt;"",I188,H188))</f>
        <v/>
      </c>
      <c r="K188" s="114" t="str">
        <f aca="false">IF(D188="","",IFERROR(VLOOKUP($D188,cfg_LT,3,FALSE()),""))</f>
        <v/>
      </c>
      <c r="L188" s="114" t="str">
        <f aca="false">IF(D188="","",IFERROR(VLOOKUP($D188,cfg_LT,4,FALSE()),""))</f>
        <v/>
      </c>
      <c r="M188" s="114" t="str">
        <f aca="false">IF(D188="","",IFERROR(VLOOKUP($D188,cfg_LT,5,FALSE()),""))</f>
        <v/>
      </c>
      <c r="N188" s="111" t="n">
        <f aca="false">IF(OR(OR($B188="",$E188="",$F188=""),M188&lt;&gt;"نعم"),0,G188*J188*IFERROR(INDEX(الموظفون!$R$6:$R$105,MATCH(B188,الموظفون!$B$6:$B$105,0)),0)/cfg_DAYS_M)</f>
        <v>0</v>
      </c>
      <c r="O188" s="106" t="str">
        <f aca="false">IF(OR(OR($B188="",$E188="",$F188=""),M188&lt;&gt;"نعم"),"",IF(YEAR(E188)=cfg_FY,MONTH(E188),""))</f>
        <v/>
      </c>
      <c r="P188" s="114" t="str">
        <f aca="false">IF(B188="","",IF(OR(D188="",E188="",F188=""),"⚠ أكمل النوع والتواريخ",IF(F188&lt;E188,"✖ النهاية قبل البداية",IF(COUNTIFS($B$6:$B$505,B188,$E$6:$E$505,"&lt;="&amp;F188,$F$6:$F$505,"&gt;="&amp;E188)&gt;1,"⚠ تداخل مع سجل آخر",IF(E188&gt;cfg_VAL_DATE,"⏳ قادمة",IF(F188&lt;cfg_VAL_DATE,"✔ منتهية","✈ جارية في تاريخ التقرير"))))))</f>
        <v/>
      </c>
      <c r="Q188" s="118"/>
      <c r="R188" s="65" t="n">
        <f aca="false">IF(OR(OR($B188="",$E188="",$F188=""),L188&lt;&gt;"لا"),0,MAX(0,MIN(F188,cfg_Y_START-1)-E188+1))</f>
        <v>0</v>
      </c>
      <c r="S188" s="65" t="n">
        <f aca="false">IF(OR(OR($B188="",$E188="",$F188=""),L188&lt;&gt;"لا"),0,MAX(0,MIN(F188,cfg_VAL_DATE)-E188+1))</f>
        <v>0</v>
      </c>
      <c r="T188" s="65" t="n">
        <f aca="false">IF(OR(OR($B188="",$E188="",$F188=""),K188&lt;&gt;"نعم"),0,IF(M188="نعم",IF(AND(ISNUMBER(O188),N(O188)&lt;=cfg_VAL_M),G188,0),MAX(0,MIN(F188,cfg_VAL_DATE)-MAX(E188,cfg_Y_START)+1)))</f>
        <v>0</v>
      </c>
      <c r="V188" s="65" t="n">
        <f aca="false">IF(OR($B188="",$E188="",$F188=""),0,MAX(0,MIN($F188,EOMONTH(DATE(cfg_FY,1,1),0))-MAX($E188,DATE(cfg_FY,1,1))+1)*(1-IF($M188="نعم",0,N($J188))))</f>
        <v>0</v>
      </c>
      <c r="W188" s="65" t="n">
        <f aca="false">IF(OR($B188="",$E188="",$F188=""),0,MAX(0,MIN($F188,EOMONTH(DATE(cfg_FY,2,1),0))-MAX($E188,DATE(cfg_FY,2,1))+1)*(1-IF($M188="نعم",0,N($J188))))</f>
        <v>0</v>
      </c>
      <c r="X188" s="65" t="n">
        <f aca="false">IF(OR($B188="",$E188="",$F188=""),0,MAX(0,MIN($F188,EOMONTH(DATE(cfg_FY,3,1),0))-MAX($E188,DATE(cfg_FY,3,1))+1)*(1-IF($M188="نعم",0,N($J188))))</f>
        <v>0</v>
      </c>
      <c r="Y188" s="65" t="n">
        <f aca="false">IF(OR($B188="",$E188="",$F188=""),0,MAX(0,MIN($F188,EOMONTH(DATE(cfg_FY,4,1),0))-MAX($E188,DATE(cfg_FY,4,1))+1)*(1-IF($M188="نعم",0,N($J188))))</f>
        <v>0</v>
      </c>
      <c r="Z188" s="65" t="n">
        <f aca="false">IF(OR($B188="",$E188="",$F188=""),0,MAX(0,MIN($F188,EOMONTH(DATE(cfg_FY,5,1),0))-MAX($E188,DATE(cfg_FY,5,1))+1)*(1-IF($M188="نعم",0,N($J188))))</f>
        <v>0</v>
      </c>
      <c r="AA188" s="65" t="n">
        <f aca="false">IF(OR($B188="",$E188="",$F188=""),0,MAX(0,MIN($F188,EOMONTH(DATE(cfg_FY,6,1),0))-MAX($E188,DATE(cfg_FY,6,1))+1)*(1-IF($M188="نعم",0,N($J188))))</f>
        <v>0</v>
      </c>
      <c r="AB188" s="65" t="n">
        <f aca="false">IF(OR($B188="",$E188="",$F188=""),0,MAX(0,MIN($F188,EOMONTH(DATE(cfg_FY,7,1),0))-MAX($E188,DATE(cfg_FY,7,1))+1)*(1-IF($M188="نعم",0,N($J188))))</f>
        <v>0</v>
      </c>
      <c r="AC188" s="65" t="n">
        <f aca="false">IF(OR($B188="",$E188="",$F188=""),0,MAX(0,MIN($F188,EOMONTH(DATE(cfg_FY,8,1),0))-MAX($E188,DATE(cfg_FY,8,1))+1)*(1-IF($M188="نعم",0,N($J188))))</f>
        <v>0</v>
      </c>
      <c r="AD188" s="65" t="n">
        <f aca="false">IF(OR($B188="",$E188="",$F188=""),0,MAX(0,MIN($F188,EOMONTH(DATE(cfg_FY,9,1),0))-MAX($E188,DATE(cfg_FY,9,1))+1)*(1-IF($M188="نعم",0,N($J188))))</f>
        <v>0</v>
      </c>
      <c r="AE188" s="65" t="n">
        <f aca="false">IF(OR($B188="",$E188="",$F188=""),0,MAX(0,MIN($F188,EOMONTH(DATE(cfg_FY,10,1),0))-MAX($E188,DATE(cfg_FY,10,1))+1)*(1-IF($M188="نعم",0,N($J188))))</f>
        <v>0</v>
      </c>
      <c r="AF188" s="65" t="n">
        <f aca="false">IF(OR($B188="",$E188="",$F188=""),0,MAX(0,MIN($F188,EOMONTH(DATE(cfg_FY,11,1),0))-MAX($E188,DATE(cfg_FY,11,1))+1)*(1-IF($M188="نعم",0,N($J188))))</f>
        <v>0</v>
      </c>
      <c r="AG188" s="65" t="n">
        <f aca="false">IF(OR($B188="",$E188="",$F188=""),0,MAX(0,MIN($F188,EOMONTH(DATE(cfg_FY,12,1),0))-MAX($E188,DATE(cfg_FY,12,1))+1)*(1-IF($M188="نعم",0,N($J188))))</f>
        <v>0</v>
      </c>
      <c r="AH188" s="65" t="n">
        <f aca="false">IF(OR(OR($B188="",$E188="",$F188=""),$L188&lt;&gt;"لا"),0,MAX(0,MIN($F188,EOMONTH(DATE(cfg_FY,1,1),0))-$E188+1))</f>
        <v>0</v>
      </c>
      <c r="AI188" s="65" t="n">
        <f aca="false">IF(OR(OR($B188="",$E188="",$F188=""),$L188&lt;&gt;"لا"),0,MAX(0,MIN($F188,EOMONTH(DATE(cfg_FY,2,1),0))-$E188+1))</f>
        <v>0</v>
      </c>
      <c r="AJ188" s="65" t="n">
        <f aca="false">IF(OR(OR($B188="",$E188="",$F188=""),$L188&lt;&gt;"لا"),0,MAX(0,MIN($F188,EOMONTH(DATE(cfg_FY,3,1),0))-$E188+1))</f>
        <v>0</v>
      </c>
      <c r="AK188" s="65" t="n">
        <f aca="false">IF(OR(OR($B188="",$E188="",$F188=""),$L188&lt;&gt;"لا"),0,MAX(0,MIN($F188,EOMONTH(DATE(cfg_FY,4,1),0))-$E188+1))</f>
        <v>0</v>
      </c>
      <c r="AL188" s="65" t="n">
        <f aca="false">IF(OR(OR($B188="",$E188="",$F188=""),$L188&lt;&gt;"لا"),0,MAX(0,MIN($F188,EOMONTH(DATE(cfg_FY,5,1),0))-$E188+1))</f>
        <v>0</v>
      </c>
      <c r="AM188" s="65" t="n">
        <f aca="false">IF(OR(OR($B188="",$E188="",$F188=""),$L188&lt;&gt;"لا"),0,MAX(0,MIN($F188,EOMONTH(DATE(cfg_FY,6,1),0))-$E188+1))</f>
        <v>0</v>
      </c>
      <c r="AN188" s="65" t="n">
        <f aca="false">IF(OR(OR($B188="",$E188="",$F188=""),$L188&lt;&gt;"لا"),0,MAX(0,MIN($F188,EOMONTH(DATE(cfg_FY,7,1),0))-$E188+1))</f>
        <v>0</v>
      </c>
      <c r="AO188" s="65" t="n">
        <f aca="false">IF(OR(OR($B188="",$E188="",$F188=""),$L188&lt;&gt;"لا"),0,MAX(0,MIN($F188,EOMONTH(DATE(cfg_FY,8,1),0))-$E188+1))</f>
        <v>0</v>
      </c>
      <c r="AP188" s="65" t="n">
        <f aca="false">IF(OR(OR($B188="",$E188="",$F188=""),$L188&lt;&gt;"لا"),0,MAX(0,MIN($F188,EOMONTH(DATE(cfg_FY,9,1),0))-$E188+1))</f>
        <v>0</v>
      </c>
      <c r="AQ188" s="65" t="n">
        <f aca="false">IF(OR(OR($B188="",$E188="",$F188=""),$L188&lt;&gt;"لا"),0,MAX(0,MIN($F188,EOMONTH(DATE(cfg_FY,10,1),0))-$E188+1))</f>
        <v>0</v>
      </c>
      <c r="AR188" s="65" t="n">
        <f aca="false">IF(OR(OR($B188="",$E188="",$F188=""),$L188&lt;&gt;"لا"),0,MAX(0,MIN($F188,EOMONTH(DATE(cfg_FY,11,1),0))-$E188+1))</f>
        <v>0</v>
      </c>
      <c r="AS188" s="65" t="n">
        <f aca="false">IF(OR(OR($B188="",$E188="",$F188=""),$L188&lt;&gt;"لا"),0,MAX(0,MIN($F188,EOMONTH(DATE(cfg_FY,12,1),0))-$E188+1))</f>
        <v>0</v>
      </c>
      <c r="AT188" s="65" t="n">
        <f aca="false">IF(OR(OR($B188="",$E188="",$F188=""),$K188&lt;&gt;"نعم",$M188="نعم"),0,MAX(0,MIN($F188,EOMONTH(DATE(cfg_FY,1,1),0))-MAX($E188,DATE(cfg_FY,1,1))+1))</f>
        <v>0</v>
      </c>
      <c r="AU188" s="65" t="n">
        <f aca="false">IF(OR(OR($B188="",$E188="",$F188=""),$K188&lt;&gt;"نعم",$M188="نعم"),0,MAX(0,MIN($F188,EOMONTH(DATE(cfg_FY,2,1),0))-MAX($E188,DATE(cfg_FY,2,1))+1))</f>
        <v>0</v>
      </c>
      <c r="AV188" s="65" t="n">
        <f aca="false">IF(OR(OR($B188="",$E188="",$F188=""),$K188&lt;&gt;"نعم",$M188="نعم"),0,MAX(0,MIN($F188,EOMONTH(DATE(cfg_FY,3,1),0))-MAX($E188,DATE(cfg_FY,3,1))+1))</f>
        <v>0</v>
      </c>
      <c r="AW188" s="65" t="n">
        <f aca="false">IF(OR(OR($B188="",$E188="",$F188=""),$K188&lt;&gt;"نعم",$M188="نعم"),0,MAX(0,MIN($F188,EOMONTH(DATE(cfg_FY,4,1),0))-MAX($E188,DATE(cfg_FY,4,1))+1))</f>
        <v>0</v>
      </c>
      <c r="AX188" s="65" t="n">
        <f aca="false">IF(OR(OR($B188="",$E188="",$F188=""),$K188&lt;&gt;"نعم",$M188="نعم"),0,MAX(0,MIN($F188,EOMONTH(DATE(cfg_FY,5,1),0))-MAX($E188,DATE(cfg_FY,5,1))+1))</f>
        <v>0</v>
      </c>
      <c r="AY188" s="65" t="n">
        <f aca="false">IF(OR(OR($B188="",$E188="",$F188=""),$K188&lt;&gt;"نعم",$M188="نعم"),0,MAX(0,MIN($F188,EOMONTH(DATE(cfg_FY,6,1),0))-MAX($E188,DATE(cfg_FY,6,1))+1))</f>
        <v>0</v>
      </c>
      <c r="AZ188" s="65" t="n">
        <f aca="false">IF(OR(OR($B188="",$E188="",$F188=""),$K188&lt;&gt;"نعم",$M188="نعم"),0,MAX(0,MIN($F188,EOMONTH(DATE(cfg_FY,7,1),0))-MAX($E188,DATE(cfg_FY,7,1))+1))</f>
        <v>0</v>
      </c>
      <c r="BA188" s="65" t="n">
        <f aca="false">IF(OR(OR($B188="",$E188="",$F188=""),$K188&lt;&gt;"نعم",$M188="نعم"),0,MAX(0,MIN($F188,EOMONTH(DATE(cfg_FY,8,1),0))-MAX($E188,DATE(cfg_FY,8,1))+1))</f>
        <v>0</v>
      </c>
      <c r="BB188" s="65" t="n">
        <f aca="false">IF(OR(OR($B188="",$E188="",$F188=""),$K188&lt;&gt;"نعم",$M188="نعم"),0,MAX(0,MIN($F188,EOMONTH(DATE(cfg_FY,9,1),0))-MAX($E188,DATE(cfg_FY,9,1))+1))</f>
        <v>0</v>
      </c>
      <c r="BC188" s="65" t="n">
        <f aca="false">IF(OR(OR($B188="",$E188="",$F188=""),$K188&lt;&gt;"نعم",$M188="نعم"),0,MAX(0,MIN($F188,EOMONTH(DATE(cfg_FY,10,1),0))-MAX($E188,DATE(cfg_FY,10,1))+1))</f>
        <v>0</v>
      </c>
      <c r="BD188" s="65" t="n">
        <f aca="false">IF(OR(OR($B188="",$E188="",$F188=""),$K188&lt;&gt;"نعم",$M188="نعم"),0,MAX(0,MIN($F188,EOMONTH(DATE(cfg_FY,11,1),0))-MAX($E188,DATE(cfg_FY,11,1))+1))</f>
        <v>0</v>
      </c>
      <c r="BE188" s="65" t="n">
        <f aca="false">IF(OR(OR($B188="",$E188="",$F188=""),$K188&lt;&gt;"نعم",$M188="نعم"),0,MAX(0,MIN($F188,EOMONTH(DATE(cfg_FY,12,1),0))-MAX($E188,DATE(cfg_FY,12,1))+1))</f>
        <v>0</v>
      </c>
    </row>
    <row r="189" customFormat="false" ht="15" hidden="false" customHeight="false" outlineLevel="0" collapsed="false">
      <c r="A189" s="115" t="str">
        <f aca="false">IF(B189="","",ROW()-5)</f>
        <v/>
      </c>
      <c r="B189" s="118"/>
      <c r="C189" s="117" t="str">
        <f aca="false">IF(B189="","",IFERROR(INDEX(الموظفون!$C$6:$C$105,MATCH(B189,الموظفون!$B$6:$B$105,0)),"✖ رقم غير موجود"))</f>
        <v/>
      </c>
      <c r="D189" s="118"/>
      <c r="E189" s="119"/>
      <c r="F189" s="119"/>
      <c r="G189" s="133" t="str">
        <f aca="false">IF(OR($B189="",$E189="",$F189=""),"",MAX(0,F189-E189+1))</f>
        <v/>
      </c>
      <c r="H189" s="134" t="str">
        <f aca="false">IF(D189="","",IFERROR(VLOOKUP(D189,cfg_LT,2,FALSE()),1))</f>
        <v/>
      </c>
      <c r="I189" s="135"/>
      <c r="J189" s="134" t="str">
        <f aca="false">IF(D189="","",IF(I189&lt;&gt;"",I189,H189))</f>
        <v/>
      </c>
      <c r="K189" s="117" t="str">
        <f aca="false">IF(D189="","",IFERROR(VLOOKUP($D189,cfg_LT,3,FALSE()),""))</f>
        <v/>
      </c>
      <c r="L189" s="117" t="str">
        <f aca="false">IF(D189="","",IFERROR(VLOOKUP($D189,cfg_LT,4,FALSE()),""))</f>
        <v/>
      </c>
      <c r="M189" s="117" t="str">
        <f aca="false">IF(D189="","",IFERROR(VLOOKUP($D189,cfg_LT,5,FALSE()),""))</f>
        <v/>
      </c>
      <c r="N189" s="116" t="n">
        <f aca="false">IF(OR(OR($B189="",$E189="",$F189=""),M189&lt;&gt;"نعم"),0,G189*J189*IFERROR(INDEX(الموظفون!$R$6:$R$105,MATCH(B189,الموظفون!$B$6:$B$105,0)),0)/cfg_DAYS_M)</f>
        <v>0</v>
      </c>
      <c r="O189" s="115" t="str">
        <f aca="false">IF(OR(OR($B189="",$E189="",$F189=""),M189&lt;&gt;"نعم"),"",IF(YEAR(E189)=cfg_FY,MONTH(E189),""))</f>
        <v/>
      </c>
      <c r="P189" s="117" t="str">
        <f aca="false">IF(B189="","",IF(OR(D189="",E189="",F189=""),"⚠ أكمل النوع والتواريخ",IF(F189&lt;E189,"✖ النهاية قبل البداية",IF(COUNTIFS($B$6:$B$505,B189,$E$6:$E$505,"&lt;="&amp;F189,$F$6:$F$505,"&gt;="&amp;E189)&gt;1,"⚠ تداخل مع سجل آخر",IF(E189&gt;cfg_VAL_DATE,"⏳ قادمة",IF(F189&lt;cfg_VAL_DATE,"✔ منتهية","✈ جارية في تاريخ التقرير"))))))</f>
        <v/>
      </c>
      <c r="Q189" s="118"/>
      <c r="R189" s="133" t="n">
        <f aca="false">IF(OR(OR($B189="",$E189="",$F189=""),L189&lt;&gt;"لا"),0,MAX(0,MIN(F189,cfg_Y_START-1)-E189+1))</f>
        <v>0</v>
      </c>
      <c r="S189" s="133" t="n">
        <f aca="false">IF(OR(OR($B189="",$E189="",$F189=""),L189&lt;&gt;"لا"),0,MAX(0,MIN(F189,cfg_VAL_DATE)-E189+1))</f>
        <v>0</v>
      </c>
      <c r="T189" s="133" t="n">
        <f aca="false">IF(OR(OR($B189="",$E189="",$F189=""),K189&lt;&gt;"نعم"),0,IF(M189="نعم",IF(AND(ISNUMBER(O189),N(O189)&lt;=cfg_VAL_M),G189,0),MAX(0,MIN(F189,cfg_VAL_DATE)-MAX(E189,cfg_Y_START)+1)))</f>
        <v>0</v>
      </c>
      <c r="V189" s="133" t="n">
        <f aca="false">IF(OR($B189="",$E189="",$F189=""),0,MAX(0,MIN($F189,EOMONTH(DATE(cfg_FY,1,1),0))-MAX($E189,DATE(cfg_FY,1,1))+1)*(1-IF($M189="نعم",0,N($J189))))</f>
        <v>0</v>
      </c>
      <c r="W189" s="133" t="n">
        <f aca="false">IF(OR($B189="",$E189="",$F189=""),0,MAX(0,MIN($F189,EOMONTH(DATE(cfg_FY,2,1),0))-MAX($E189,DATE(cfg_FY,2,1))+1)*(1-IF($M189="نعم",0,N($J189))))</f>
        <v>0</v>
      </c>
      <c r="X189" s="133" t="n">
        <f aca="false">IF(OR($B189="",$E189="",$F189=""),0,MAX(0,MIN($F189,EOMONTH(DATE(cfg_FY,3,1),0))-MAX($E189,DATE(cfg_FY,3,1))+1)*(1-IF($M189="نعم",0,N($J189))))</f>
        <v>0</v>
      </c>
      <c r="Y189" s="133" t="n">
        <f aca="false">IF(OR($B189="",$E189="",$F189=""),0,MAX(0,MIN($F189,EOMONTH(DATE(cfg_FY,4,1),0))-MAX($E189,DATE(cfg_FY,4,1))+1)*(1-IF($M189="نعم",0,N($J189))))</f>
        <v>0</v>
      </c>
      <c r="Z189" s="133" t="n">
        <f aca="false">IF(OR($B189="",$E189="",$F189=""),0,MAX(0,MIN($F189,EOMONTH(DATE(cfg_FY,5,1),0))-MAX($E189,DATE(cfg_FY,5,1))+1)*(1-IF($M189="نعم",0,N($J189))))</f>
        <v>0</v>
      </c>
      <c r="AA189" s="133" t="n">
        <f aca="false">IF(OR($B189="",$E189="",$F189=""),0,MAX(0,MIN($F189,EOMONTH(DATE(cfg_FY,6,1),0))-MAX($E189,DATE(cfg_FY,6,1))+1)*(1-IF($M189="نعم",0,N($J189))))</f>
        <v>0</v>
      </c>
      <c r="AB189" s="133" t="n">
        <f aca="false">IF(OR($B189="",$E189="",$F189=""),0,MAX(0,MIN($F189,EOMONTH(DATE(cfg_FY,7,1),0))-MAX($E189,DATE(cfg_FY,7,1))+1)*(1-IF($M189="نعم",0,N($J189))))</f>
        <v>0</v>
      </c>
      <c r="AC189" s="133" t="n">
        <f aca="false">IF(OR($B189="",$E189="",$F189=""),0,MAX(0,MIN($F189,EOMONTH(DATE(cfg_FY,8,1),0))-MAX($E189,DATE(cfg_FY,8,1))+1)*(1-IF($M189="نعم",0,N($J189))))</f>
        <v>0</v>
      </c>
      <c r="AD189" s="133" t="n">
        <f aca="false">IF(OR($B189="",$E189="",$F189=""),0,MAX(0,MIN($F189,EOMONTH(DATE(cfg_FY,9,1),0))-MAX($E189,DATE(cfg_FY,9,1))+1)*(1-IF($M189="نعم",0,N($J189))))</f>
        <v>0</v>
      </c>
      <c r="AE189" s="133" t="n">
        <f aca="false">IF(OR($B189="",$E189="",$F189=""),0,MAX(0,MIN($F189,EOMONTH(DATE(cfg_FY,10,1),0))-MAX($E189,DATE(cfg_FY,10,1))+1)*(1-IF($M189="نعم",0,N($J189))))</f>
        <v>0</v>
      </c>
      <c r="AF189" s="133" t="n">
        <f aca="false">IF(OR($B189="",$E189="",$F189=""),0,MAX(0,MIN($F189,EOMONTH(DATE(cfg_FY,11,1),0))-MAX($E189,DATE(cfg_FY,11,1))+1)*(1-IF($M189="نعم",0,N($J189))))</f>
        <v>0</v>
      </c>
      <c r="AG189" s="133" t="n">
        <f aca="false">IF(OR($B189="",$E189="",$F189=""),0,MAX(0,MIN($F189,EOMONTH(DATE(cfg_FY,12,1),0))-MAX($E189,DATE(cfg_FY,12,1))+1)*(1-IF($M189="نعم",0,N($J189))))</f>
        <v>0</v>
      </c>
      <c r="AH189" s="133" t="n">
        <f aca="false">IF(OR(OR($B189="",$E189="",$F189=""),$L189&lt;&gt;"لا"),0,MAX(0,MIN($F189,EOMONTH(DATE(cfg_FY,1,1),0))-$E189+1))</f>
        <v>0</v>
      </c>
      <c r="AI189" s="133" t="n">
        <f aca="false">IF(OR(OR($B189="",$E189="",$F189=""),$L189&lt;&gt;"لا"),0,MAX(0,MIN($F189,EOMONTH(DATE(cfg_FY,2,1),0))-$E189+1))</f>
        <v>0</v>
      </c>
      <c r="AJ189" s="133" t="n">
        <f aca="false">IF(OR(OR($B189="",$E189="",$F189=""),$L189&lt;&gt;"لا"),0,MAX(0,MIN($F189,EOMONTH(DATE(cfg_FY,3,1),0))-$E189+1))</f>
        <v>0</v>
      </c>
      <c r="AK189" s="133" t="n">
        <f aca="false">IF(OR(OR($B189="",$E189="",$F189=""),$L189&lt;&gt;"لا"),0,MAX(0,MIN($F189,EOMONTH(DATE(cfg_FY,4,1),0))-$E189+1))</f>
        <v>0</v>
      </c>
      <c r="AL189" s="133" t="n">
        <f aca="false">IF(OR(OR($B189="",$E189="",$F189=""),$L189&lt;&gt;"لا"),0,MAX(0,MIN($F189,EOMONTH(DATE(cfg_FY,5,1),0))-$E189+1))</f>
        <v>0</v>
      </c>
      <c r="AM189" s="133" t="n">
        <f aca="false">IF(OR(OR($B189="",$E189="",$F189=""),$L189&lt;&gt;"لا"),0,MAX(0,MIN($F189,EOMONTH(DATE(cfg_FY,6,1),0))-$E189+1))</f>
        <v>0</v>
      </c>
      <c r="AN189" s="133" t="n">
        <f aca="false">IF(OR(OR($B189="",$E189="",$F189=""),$L189&lt;&gt;"لا"),0,MAX(0,MIN($F189,EOMONTH(DATE(cfg_FY,7,1),0))-$E189+1))</f>
        <v>0</v>
      </c>
      <c r="AO189" s="133" t="n">
        <f aca="false">IF(OR(OR($B189="",$E189="",$F189=""),$L189&lt;&gt;"لا"),0,MAX(0,MIN($F189,EOMONTH(DATE(cfg_FY,8,1),0))-$E189+1))</f>
        <v>0</v>
      </c>
      <c r="AP189" s="133" t="n">
        <f aca="false">IF(OR(OR($B189="",$E189="",$F189=""),$L189&lt;&gt;"لا"),0,MAX(0,MIN($F189,EOMONTH(DATE(cfg_FY,9,1),0))-$E189+1))</f>
        <v>0</v>
      </c>
      <c r="AQ189" s="133" t="n">
        <f aca="false">IF(OR(OR($B189="",$E189="",$F189=""),$L189&lt;&gt;"لا"),0,MAX(0,MIN($F189,EOMONTH(DATE(cfg_FY,10,1),0))-$E189+1))</f>
        <v>0</v>
      </c>
      <c r="AR189" s="133" t="n">
        <f aca="false">IF(OR(OR($B189="",$E189="",$F189=""),$L189&lt;&gt;"لا"),0,MAX(0,MIN($F189,EOMONTH(DATE(cfg_FY,11,1),0))-$E189+1))</f>
        <v>0</v>
      </c>
      <c r="AS189" s="133" t="n">
        <f aca="false">IF(OR(OR($B189="",$E189="",$F189=""),$L189&lt;&gt;"لا"),0,MAX(0,MIN($F189,EOMONTH(DATE(cfg_FY,12,1),0))-$E189+1))</f>
        <v>0</v>
      </c>
      <c r="AT189" s="133" t="n">
        <f aca="false">IF(OR(OR($B189="",$E189="",$F189=""),$K189&lt;&gt;"نعم",$M189="نعم"),0,MAX(0,MIN($F189,EOMONTH(DATE(cfg_FY,1,1),0))-MAX($E189,DATE(cfg_FY,1,1))+1))</f>
        <v>0</v>
      </c>
      <c r="AU189" s="133" t="n">
        <f aca="false">IF(OR(OR($B189="",$E189="",$F189=""),$K189&lt;&gt;"نعم",$M189="نعم"),0,MAX(0,MIN($F189,EOMONTH(DATE(cfg_FY,2,1),0))-MAX($E189,DATE(cfg_FY,2,1))+1))</f>
        <v>0</v>
      </c>
      <c r="AV189" s="133" t="n">
        <f aca="false">IF(OR(OR($B189="",$E189="",$F189=""),$K189&lt;&gt;"نعم",$M189="نعم"),0,MAX(0,MIN($F189,EOMONTH(DATE(cfg_FY,3,1),0))-MAX($E189,DATE(cfg_FY,3,1))+1))</f>
        <v>0</v>
      </c>
      <c r="AW189" s="133" t="n">
        <f aca="false">IF(OR(OR($B189="",$E189="",$F189=""),$K189&lt;&gt;"نعم",$M189="نعم"),0,MAX(0,MIN($F189,EOMONTH(DATE(cfg_FY,4,1),0))-MAX($E189,DATE(cfg_FY,4,1))+1))</f>
        <v>0</v>
      </c>
      <c r="AX189" s="133" t="n">
        <f aca="false">IF(OR(OR($B189="",$E189="",$F189=""),$K189&lt;&gt;"نعم",$M189="نعم"),0,MAX(0,MIN($F189,EOMONTH(DATE(cfg_FY,5,1),0))-MAX($E189,DATE(cfg_FY,5,1))+1))</f>
        <v>0</v>
      </c>
      <c r="AY189" s="133" t="n">
        <f aca="false">IF(OR(OR($B189="",$E189="",$F189=""),$K189&lt;&gt;"نعم",$M189="نعم"),0,MAX(0,MIN($F189,EOMONTH(DATE(cfg_FY,6,1),0))-MAX($E189,DATE(cfg_FY,6,1))+1))</f>
        <v>0</v>
      </c>
      <c r="AZ189" s="133" t="n">
        <f aca="false">IF(OR(OR($B189="",$E189="",$F189=""),$K189&lt;&gt;"نعم",$M189="نعم"),0,MAX(0,MIN($F189,EOMONTH(DATE(cfg_FY,7,1),0))-MAX($E189,DATE(cfg_FY,7,1))+1))</f>
        <v>0</v>
      </c>
      <c r="BA189" s="133" t="n">
        <f aca="false">IF(OR(OR($B189="",$E189="",$F189=""),$K189&lt;&gt;"نعم",$M189="نعم"),0,MAX(0,MIN($F189,EOMONTH(DATE(cfg_FY,8,1),0))-MAX($E189,DATE(cfg_FY,8,1))+1))</f>
        <v>0</v>
      </c>
      <c r="BB189" s="133" t="n">
        <f aca="false">IF(OR(OR($B189="",$E189="",$F189=""),$K189&lt;&gt;"نعم",$M189="نعم"),0,MAX(0,MIN($F189,EOMONTH(DATE(cfg_FY,9,1),0))-MAX($E189,DATE(cfg_FY,9,1))+1))</f>
        <v>0</v>
      </c>
      <c r="BC189" s="133" t="n">
        <f aca="false">IF(OR(OR($B189="",$E189="",$F189=""),$K189&lt;&gt;"نعم",$M189="نعم"),0,MAX(0,MIN($F189,EOMONTH(DATE(cfg_FY,10,1),0))-MAX($E189,DATE(cfg_FY,10,1))+1))</f>
        <v>0</v>
      </c>
      <c r="BD189" s="133" t="n">
        <f aca="false">IF(OR(OR($B189="",$E189="",$F189=""),$K189&lt;&gt;"نعم",$M189="نعم"),0,MAX(0,MIN($F189,EOMONTH(DATE(cfg_FY,11,1),0))-MAX($E189,DATE(cfg_FY,11,1))+1))</f>
        <v>0</v>
      </c>
      <c r="BE189" s="133" t="n">
        <f aca="false">IF(OR(OR($B189="",$E189="",$F189=""),$K189&lt;&gt;"نعم",$M189="نعم"),0,MAX(0,MIN($F189,EOMONTH(DATE(cfg_FY,12,1),0))-MAX($E189,DATE(cfg_FY,12,1))+1))</f>
        <v>0</v>
      </c>
    </row>
    <row r="190" customFormat="false" ht="15" hidden="false" customHeight="false" outlineLevel="0" collapsed="false">
      <c r="A190" s="106" t="str">
        <f aca="false">IF(B190="","",ROW()-5)</f>
        <v/>
      </c>
      <c r="B190" s="118"/>
      <c r="C190" s="114" t="str">
        <f aca="false">IF(B190="","",IFERROR(INDEX(الموظفون!$C$6:$C$105,MATCH(B190,الموظفون!$B$6:$B$105,0)),"✖ رقم غير موجود"))</f>
        <v/>
      </c>
      <c r="D190" s="118"/>
      <c r="E190" s="119"/>
      <c r="F190" s="119"/>
      <c r="G190" s="65" t="str">
        <f aca="false">IF(OR($B190="",$E190="",$F190=""),"",MAX(0,F190-E190+1))</f>
        <v/>
      </c>
      <c r="H190" s="66" t="str">
        <f aca="false">IF(D190="","",IFERROR(VLOOKUP(D190,cfg_LT,2,FALSE()),1))</f>
        <v/>
      </c>
      <c r="I190" s="135"/>
      <c r="J190" s="66" t="str">
        <f aca="false">IF(D190="","",IF(I190&lt;&gt;"",I190,H190))</f>
        <v/>
      </c>
      <c r="K190" s="114" t="str">
        <f aca="false">IF(D190="","",IFERROR(VLOOKUP($D190,cfg_LT,3,FALSE()),""))</f>
        <v/>
      </c>
      <c r="L190" s="114" t="str">
        <f aca="false">IF(D190="","",IFERROR(VLOOKUP($D190,cfg_LT,4,FALSE()),""))</f>
        <v/>
      </c>
      <c r="M190" s="114" t="str">
        <f aca="false">IF(D190="","",IFERROR(VLOOKUP($D190,cfg_LT,5,FALSE()),""))</f>
        <v/>
      </c>
      <c r="N190" s="111" t="n">
        <f aca="false">IF(OR(OR($B190="",$E190="",$F190=""),M190&lt;&gt;"نعم"),0,G190*J190*IFERROR(INDEX(الموظفون!$R$6:$R$105,MATCH(B190,الموظفون!$B$6:$B$105,0)),0)/cfg_DAYS_M)</f>
        <v>0</v>
      </c>
      <c r="O190" s="106" t="str">
        <f aca="false">IF(OR(OR($B190="",$E190="",$F190=""),M190&lt;&gt;"نعم"),"",IF(YEAR(E190)=cfg_FY,MONTH(E190),""))</f>
        <v/>
      </c>
      <c r="P190" s="114" t="str">
        <f aca="false">IF(B190="","",IF(OR(D190="",E190="",F190=""),"⚠ أكمل النوع والتواريخ",IF(F190&lt;E190,"✖ النهاية قبل البداية",IF(COUNTIFS($B$6:$B$505,B190,$E$6:$E$505,"&lt;="&amp;F190,$F$6:$F$505,"&gt;="&amp;E190)&gt;1,"⚠ تداخل مع سجل آخر",IF(E190&gt;cfg_VAL_DATE,"⏳ قادمة",IF(F190&lt;cfg_VAL_DATE,"✔ منتهية","✈ جارية في تاريخ التقرير"))))))</f>
        <v/>
      </c>
      <c r="Q190" s="118"/>
      <c r="R190" s="65" t="n">
        <f aca="false">IF(OR(OR($B190="",$E190="",$F190=""),L190&lt;&gt;"لا"),0,MAX(0,MIN(F190,cfg_Y_START-1)-E190+1))</f>
        <v>0</v>
      </c>
      <c r="S190" s="65" t="n">
        <f aca="false">IF(OR(OR($B190="",$E190="",$F190=""),L190&lt;&gt;"لا"),0,MAX(0,MIN(F190,cfg_VAL_DATE)-E190+1))</f>
        <v>0</v>
      </c>
      <c r="T190" s="65" t="n">
        <f aca="false">IF(OR(OR($B190="",$E190="",$F190=""),K190&lt;&gt;"نعم"),0,IF(M190="نعم",IF(AND(ISNUMBER(O190),N(O190)&lt;=cfg_VAL_M),G190,0),MAX(0,MIN(F190,cfg_VAL_DATE)-MAX(E190,cfg_Y_START)+1)))</f>
        <v>0</v>
      </c>
      <c r="V190" s="65" t="n">
        <f aca="false">IF(OR($B190="",$E190="",$F190=""),0,MAX(0,MIN($F190,EOMONTH(DATE(cfg_FY,1,1),0))-MAX($E190,DATE(cfg_FY,1,1))+1)*(1-IF($M190="نعم",0,N($J190))))</f>
        <v>0</v>
      </c>
      <c r="W190" s="65" t="n">
        <f aca="false">IF(OR($B190="",$E190="",$F190=""),0,MAX(0,MIN($F190,EOMONTH(DATE(cfg_FY,2,1),0))-MAX($E190,DATE(cfg_FY,2,1))+1)*(1-IF($M190="نعم",0,N($J190))))</f>
        <v>0</v>
      </c>
      <c r="X190" s="65" t="n">
        <f aca="false">IF(OR($B190="",$E190="",$F190=""),0,MAX(0,MIN($F190,EOMONTH(DATE(cfg_FY,3,1),0))-MAX($E190,DATE(cfg_FY,3,1))+1)*(1-IF($M190="نعم",0,N($J190))))</f>
        <v>0</v>
      </c>
      <c r="Y190" s="65" t="n">
        <f aca="false">IF(OR($B190="",$E190="",$F190=""),0,MAX(0,MIN($F190,EOMONTH(DATE(cfg_FY,4,1),0))-MAX($E190,DATE(cfg_FY,4,1))+1)*(1-IF($M190="نعم",0,N($J190))))</f>
        <v>0</v>
      </c>
      <c r="Z190" s="65" t="n">
        <f aca="false">IF(OR($B190="",$E190="",$F190=""),0,MAX(0,MIN($F190,EOMONTH(DATE(cfg_FY,5,1),0))-MAX($E190,DATE(cfg_FY,5,1))+1)*(1-IF($M190="نعم",0,N($J190))))</f>
        <v>0</v>
      </c>
      <c r="AA190" s="65" t="n">
        <f aca="false">IF(OR($B190="",$E190="",$F190=""),0,MAX(0,MIN($F190,EOMONTH(DATE(cfg_FY,6,1),0))-MAX($E190,DATE(cfg_FY,6,1))+1)*(1-IF($M190="نعم",0,N($J190))))</f>
        <v>0</v>
      </c>
      <c r="AB190" s="65" t="n">
        <f aca="false">IF(OR($B190="",$E190="",$F190=""),0,MAX(0,MIN($F190,EOMONTH(DATE(cfg_FY,7,1),0))-MAX($E190,DATE(cfg_FY,7,1))+1)*(1-IF($M190="نعم",0,N($J190))))</f>
        <v>0</v>
      </c>
      <c r="AC190" s="65" t="n">
        <f aca="false">IF(OR($B190="",$E190="",$F190=""),0,MAX(0,MIN($F190,EOMONTH(DATE(cfg_FY,8,1),0))-MAX($E190,DATE(cfg_FY,8,1))+1)*(1-IF($M190="نعم",0,N($J190))))</f>
        <v>0</v>
      </c>
      <c r="AD190" s="65" t="n">
        <f aca="false">IF(OR($B190="",$E190="",$F190=""),0,MAX(0,MIN($F190,EOMONTH(DATE(cfg_FY,9,1),0))-MAX($E190,DATE(cfg_FY,9,1))+1)*(1-IF($M190="نعم",0,N($J190))))</f>
        <v>0</v>
      </c>
      <c r="AE190" s="65" t="n">
        <f aca="false">IF(OR($B190="",$E190="",$F190=""),0,MAX(0,MIN($F190,EOMONTH(DATE(cfg_FY,10,1),0))-MAX($E190,DATE(cfg_FY,10,1))+1)*(1-IF($M190="نعم",0,N($J190))))</f>
        <v>0</v>
      </c>
      <c r="AF190" s="65" t="n">
        <f aca="false">IF(OR($B190="",$E190="",$F190=""),0,MAX(0,MIN($F190,EOMONTH(DATE(cfg_FY,11,1),0))-MAX($E190,DATE(cfg_FY,11,1))+1)*(1-IF($M190="نعم",0,N($J190))))</f>
        <v>0</v>
      </c>
      <c r="AG190" s="65" t="n">
        <f aca="false">IF(OR($B190="",$E190="",$F190=""),0,MAX(0,MIN($F190,EOMONTH(DATE(cfg_FY,12,1),0))-MAX($E190,DATE(cfg_FY,12,1))+1)*(1-IF($M190="نعم",0,N($J190))))</f>
        <v>0</v>
      </c>
      <c r="AH190" s="65" t="n">
        <f aca="false">IF(OR(OR($B190="",$E190="",$F190=""),$L190&lt;&gt;"لا"),0,MAX(0,MIN($F190,EOMONTH(DATE(cfg_FY,1,1),0))-$E190+1))</f>
        <v>0</v>
      </c>
      <c r="AI190" s="65" t="n">
        <f aca="false">IF(OR(OR($B190="",$E190="",$F190=""),$L190&lt;&gt;"لا"),0,MAX(0,MIN($F190,EOMONTH(DATE(cfg_FY,2,1),0))-$E190+1))</f>
        <v>0</v>
      </c>
      <c r="AJ190" s="65" t="n">
        <f aca="false">IF(OR(OR($B190="",$E190="",$F190=""),$L190&lt;&gt;"لا"),0,MAX(0,MIN($F190,EOMONTH(DATE(cfg_FY,3,1),0))-$E190+1))</f>
        <v>0</v>
      </c>
      <c r="AK190" s="65" t="n">
        <f aca="false">IF(OR(OR($B190="",$E190="",$F190=""),$L190&lt;&gt;"لا"),0,MAX(0,MIN($F190,EOMONTH(DATE(cfg_FY,4,1),0))-$E190+1))</f>
        <v>0</v>
      </c>
      <c r="AL190" s="65" t="n">
        <f aca="false">IF(OR(OR($B190="",$E190="",$F190=""),$L190&lt;&gt;"لا"),0,MAX(0,MIN($F190,EOMONTH(DATE(cfg_FY,5,1),0))-$E190+1))</f>
        <v>0</v>
      </c>
      <c r="AM190" s="65" t="n">
        <f aca="false">IF(OR(OR($B190="",$E190="",$F190=""),$L190&lt;&gt;"لا"),0,MAX(0,MIN($F190,EOMONTH(DATE(cfg_FY,6,1),0))-$E190+1))</f>
        <v>0</v>
      </c>
      <c r="AN190" s="65" t="n">
        <f aca="false">IF(OR(OR($B190="",$E190="",$F190=""),$L190&lt;&gt;"لا"),0,MAX(0,MIN($F190,EOMONTH(DATE(cfg_FY,7,1),0))-$E190+1))</f>
        <v>0</v>
      </c>
      <c r="AO190" s="65" t="n">
        <f aca="false">IF(OR(OR($B190="",$E190="",$F190=""),$L190&lt;&gt;"لا"),0,MAX(0,MIN($F190,EOMONTH(DATE(cfg_FY,8,1),0))-$E190+1))</f>
        <v>0</v>
      </c>
      <c r="AP190" s="65" t="n">
        <f aca="false">IF(OR(OR($B190="",$E190="",$F190=""),$L190&lt;&gt;"لا"),0,MAX(0,MIN($F190,EOMONTH(DATE(cfg_FY,9,1),0))-$E190+1))</f>
        <v>0</v>
      </c>
      <c r="AQ190" s="65" t="n">
        <f aca="false">IF(OR(OR($B190="",$E190="",$F190=""),$L190&lt;&gt;"لا"),0,MAX(0,MIN($F190,EOMONTH(DATE(cfg_FY,10,1),0))-$E190+1))</f>
        <v>0</v>
      </c>
      <c r="AR190" s="65" t="n">
        <f aca="false">IF(OR(OR($B190="",$E190="",$F190=""),$L190&lt;&gt;"لا"),0,MAX(0,MIN($F190,EOMONTH(DATE(cfg_FY,11,1),0))-$E190+1))</f>
        <v>0</v>
      </c>
      <c r="AS190" s="65" t="n">
        <f aca="false">IF(OR(OR($B190="",$E190="",$F190=""),$L190&lt;&gt;"لا"),0,MAX(0,MIN($F190,EOMONTH(DATE(cfg_FY,12,1),0))-$E190+1))</f>
        <v>0</v>
      </c>
      <c r="AT190" s="65" t="n">
        <f aca="false">IF(OR(OR($B190="",$E190="",$F190=""),$K190&lt;&gt;"نعم",$M190="نعم"),0,MAX(0,MIN($F190,EOMONTH(DATE(cfg_FY,1,1),0))-MAX($E190,DATE(cfg_FY,1,1))+1))</f>
        <v>0</v>
      </c>
      <c r="AU190" s="65" t="n">
        <f aca="false">IF(OR(OR($B190="",$E190="",$F190=""),$K190&lt;&gt;"نعم",$M190="نعم"),0,MAX(0,MIN($F190,EOMONTH(DATE(cfg_FY,2,1),0))-MAX($E190,DATE(cfg_FY,2,1))+1))</f>
        <v>0</v>
      </c>
      <c r="AV190" s="65" t="n">
        <f aca="false">IF(OR(OR($B190="",$E190="",$F190=""),$K190&lt;&gt;"نعم",$M190="نعم"),0,MAX(0,MIN($F190,EOMONTH(DATE(cfg_FY,3,1),0))-MAX($E190,DATE(cfg_FY,3,1))+1))</f>
        <v>0</v>
      </c>
      <c r="AW190" s="65" t="n">
        <f aca="false">IF(OR(OR($B190="",$E190="",$F190=""),$K190&lt;&gt;"نعم",$M190="نعم"),0,MAX(0,MIN($F190,EOMONTH(DATE(cfg_FY,4,1),0))-MAX($E190,DATE(cfg_FY,4,1))+1))</f>
        <v>0</v>
      </c>
      <c r="AX190" s="65" t="n">
        <f aca="false">IF(OR(OR($B190="",$E190="",$F190=""),$K190&lt;&gt;"نعم",$M190="نعم"),0,MAX(0,MIN($F190,EOMONTH(DATE(cfg_FY,5,1),0))-MAX($E190,DATE(cfg_FY,5,1))+1))</f>
        <v>0</v>
      </c>
      <c r="AY190" s="65" t="n">
        <f aca="false">IF(OR(OR($B190="",$E190="",$F190=""),$K190&lt;&gt;"نعم",$M190="نعم"),0,MAX(0,MIN($F190,EOMONTH(DATE(cfg_FY,6,1),0))-MAX($E190,DATE(cfg_FY,6,1))+1))</f>
        <v>0</v>
      </c>
      <c r="AZ190" s="65" t="n">
        <f aca="false">IF(OR(OR($B190="",$E190="",$F190=""),$K190&lt;&gt;"نعم",$M190="نعم"),0,MAX(0,MIN($F190,EOMONTH(DATE(cfg_FY,7,1),0))-MAX($E190,DATE(cfg_FY,7,1))+1))</f>
        <v>0</v>
      </c>
      <c r="BA190" s="65" t="n">
        <f aca="false">IF(OR(OR($B190="",$E190="",$F190=""),$K190&lt;&gt;"نعم",$M190="نعم"),0,MAX(0,MIN($F190,EOMONTH(DATE(cfg_FY,8,1),0))-MAX($E190,DATE(cfg_FY,8,1))+1))</f>
        <v>0</v>
      </c>
      <c r="BB190" s="65" t="n">
        <f aca="false">IF(OR(OR($B190="",$E190="",$F190=""),$K190&lt;&gt;"نعم",$M190="نعم"),0,MAX(0,MIN($F190,EOMONTH(DATE(cfg_FY,9,1),0))-MAX($E190,DATE(cfg_FY,9,1))+1))</f>
        <v>0</v>
      </c>
      <c r="BC190" s="65" t="n">
        <f aca="false">IF(OR(OR($B190="",$E190="",$F190=""),$K190&lt;&gt;"نعم",$M190="نعم"),0,MAX(0,MIN($F190,EOMONTH(DATE(cfg_FY,10,1),0))-MAX($E190,DATE(cfg_FY,10,1))+1))</f>
        <v>0</v>
      </c>
      <c r="BD190" s="65" t="n">
        <f aca="false">IF(OR(OR($B190="",$E190="",$F190=""),$K190&lt;&gt;"نعم",$M190="نعم"),0,MAX(0,MIN($F190,EOMONTH(DATE(cfg_FY,11,1),0))-MAX($E190,DATE(cfg_FY,11,1))+1))</f>
        <v>0</v>
      </c>
      <c r="BE190" s="65" t="n">
        <f aca="false">IF(OR(OR($B190="",$E190="",$F190=""),$K190&lt;&gt;"نعم",$M190="نعم"),0,MAX(0,MIN($F190,EOMONTH(DATE(cfg_FY,12,1),0))-MAX($E190,DATE(cfg_FY,12,1))+1))</f>
        <v>0</v>
      </c>
    </row>
    <row r="191" customFormat="false" ht="15" hidden="false" customHeight="false" outlineLevel="0" collapsed="false">
      <c r="A191" s="115" t="str">
        <f aca="false">IF(B191="","",ROW()-5)</f>
        <v/>
      </c>
      <c r="B191" s="118"/>
      <c r="C191" s="117" t="str">
        <f aca="false">IF(B191="","",IFERROR(INDEX(الموظفون!$C$6:$C$105,MATCH(B191,الموظفون!$B$6:$B$105,0)),"✖ رقم غير موجود"))</f>
        <v/>
      </c>
      <c r="D191" s="118"/>
      <c r="E191" s="119"/>
      <c r="F191" s="119"/>
      <c r="G191" s="133" t="str">
        <f aca="false">IF(OR($B191="",$E191="",$F191=""),"",MAX(0,F191-E191+1))</f>
        <v/>
      </c>
      <c r="H191" s="134" t="str">
        <f aca="false">IF(D191="","",IFERROR(VLOOKUP(D191,cfg_LT,2,FALSE()),1))</f>
        <v/>
      </c>
      <c r="I191" s="135"/>
      <c r="J191" s="134" t="str">
        <f aca="false">IF(D191="","",IF(I191&lt;&gt;"",I191,H191))</f>
        <v/>
      </c>
      <c r="K191" s="117" t="str">
        <f aca="false">IF(D191="","",IFERROR(VLOOKUP($D191,cfg_LT,3,FALSE()),""))</f>
        <v/>
      </c>
      <c r="L191" s="117" t="str">
        <f aca="false">IF(D191="","",IFERROR(VLOOKUP($D191,cfg_LT,4,FALSE()),""))</f>
        <v/>
      </c>
      <c r="M191" s="117" t="str">
        <f aca="false">IF(D191="","",IFERROR(VLOOKUP($D191,cfg_LT,5,FALSE()),""))</f>
        <v/>
      </c>
      <c r="N191" s="116" t="n">
        <f aca="false">IF(OR(OR($B191="",$E191="",$F191=""),M191&lt;&gt;"نعم"),0,G191*J191*IFERROR(INDEX(الموظفون!$R$6:$R$105,MATCH(B191,الموظفون!$B$6:$B$105,0)),0)/cfg_DAYS_M)</f>
        <v>0</v>
      </c>
      <c r="O191" s="115" t="str">
        <f aca="false">IF(OR(OR($B191="",$E191="",$F191=""),M191&lt;&gt;"نعم"),"",IF(YEAR(E191)=cfg_FY,MONTH(E191),""))</f>
        <v/>
      </c>
      <c r="P191" s="117" t="str">
        <f aca="false">IF(B191="","",IF(OR(D191="",E191="",F191=""),"⚠ أكمل النوع والتواريخ",IF(F191&lt;E191,"✖ النهاية قبل البداية",IF(COUNTIFS($B$6:$B$505,B191,$E$6:$E$505,"&lt;="&amp;F191,$F$6:$F$505,"&gt;="&amp;E191)&gt;1,"⚠ تداخل مع سجل آخر",IF(E191&gt;cfg_VAL_DATE,"⏳ قادمة",IF(F191&lt;cfg_VAL_DATE,"✔ منتهية","✈ جارية في تاريخ التقرير"))))))</f>
        <v/>
      </c>
      <c r="Q191" s="118"/>
      <c r="R191" s="133" t="n">
        <f aca="false">IF(OR(OR($B191="",$E191="",$F191=""),L191&lt;&gt;"لا"),0,MAX(0,MIN(F191,cfg_Y_START-1)-E191+1))</f>
        <v>0</v>
      </c>
      <c r="S191" s="133" t="n">
        <f aca="false">IF(OR(OR($B191="",$E191="",$F191=""),L191&lt;&gt;"لا"),0,MAX(0,MIN(F191,cfg_VAL_DATE)-E191+1))</f>
        <v>0</v>
      </c>
      <c r="T191" s="133" t="n">
        <f aca="false">IF(OR(OR($B191="",$E191="",$F191=""),K191&lt;&gt;"نعم"),0,IF(M191="نعم",IF(AND(ISNUMBER(O191),N(O191)&lt;=cfg_VAL_M),G191,0),MAX(0,MIN(F191,cfg_VAL_DATE)-MAX(E191,cfg_Y_START)+1)))</f>
        <v>0</v>
      </c>
      <c r="V191" s="133" t="n">
        <f aca="false">IF(OR($B191="",$E191="",$F191=""),0,MAX(0,MIN($F191,EOMONTH(DATE(cfg_FY,1,1),0))-MAX($E191,DATE(cfg_FY,1,1))+1)*(1-IF($M191="نعم",0,N($J191))))</f>
        <v>0</v>
      </c>
      <c r="W191" s="133" t="n">
        <f aca="false">IF(OR($B191="",$E191="",$F191=""),0,MAX(0,MIN($F191,EOMONTH(DATE(cfg_FY,2,1),0))-MAX($E191,DATE(cfg_FY,2,1))+1)*(1-IF($M191="نعم",0,N($J191))))</f>
        <v>0</v>
      </c>
      <c r="X191" s="133" t="n">
        <f aca="false">IF(OR($B191="",$E191="",$F191=""),0,MAX(0,MIN($F191,EOMONTH(DATE(cfg_FY,3,1),0))-MAX($E191,DATE(cfg_FY,3,1))+1)*(1-IF($M191="نعم",0,N($J191))))</f>
        <v>0</v>
      </c>
      <c r="Y191" s="133" t="n">
        <f aca="false">IF(OR($B191="",$E191="",$F191=""),0,MAX(0,MIN($F191,EOMONTH(DATE(cfg_FY,4,1),0))-MAX($E191,DATE(cfg_FY,4,1))+1)*(1-IF($M191="نعم",0,N($J191))))</f>
        <v>0</v>
      </c>
      <c r="Z191" s="133" t="n">
        <f aca="false">IF(OR($B191="",$E191="",$F191=""),0,MAX(0,MIN($F191,EOMONTH(DATE(cfg_FY,5,1),0))-MAX($E191,DATE(cfg_FY,5,1))+1)*(1-IF($M191="نعم",0,N($J191))))</f>
        <v>0</v>
      </c>
      <c r="AA191" s="133" t="n">
        <f aca="false">IF(OR($B191="",$E191="",$F191=""),0,MAX(0,MIN($F191,EOMONTH(DATE(cfg_FY,6,1),0))-MAX($E191,DATE(cfg_FY,6,1))+1)*(1-IF($M191="نعم",0,N($J191))))</f>
        <v>0</v>
      </c>
      <c r="AB191" s="133" t="n">
        <f aca="false">IF(OR($B191="",$E191="",$F191=""),0,MAX(0,MIN($F191,EOMONTH(DATE(cfg_FY,7,1),0))-MAX($E191,DATE(cfg_FY,7,1))+1)*(1-IF($M191="نعم",0,N($J191))))</f>
        <v>0</v>
      </c>
      <c r="AC191" s="133" t="n">
        <f aca="false">IF(OR($B191="",$E191="",$F191=""),0,MAX(0,MIN($F191,EOMONTH(DATE(cfg_FY,8,1),0))-MAX($E191,DATE(cfg_FY,8,1))+1)*(1-IF($M191="نعم",0,N($J191))))</f>
        <v>0</v>
      </c>
      <c r="AD191" s="133" t="n">
        <f aca="false">IF(OR($B191="",$E191="",$F191=""),0,MAX(0,MIN($F191,EOMONTH(DATE(cfg_FY,9,1),0))-MAX($E191,DATE(cfg_FY,9,1))+1)*(1-IF($M191="نعم",0,N($J191))))</f>
        <v>0</v>
      </c>
      <c r="AE191" s="133" t="n">
        <f aca="false">IF(OR($B191="",$E191="",$F191=""),0,MAX(0,MIN($F191,EOMONTH(DATE(cfg_FY,10,1),0))-MAX($E191,DATE(cfg_FY,10,1))+1)*(1-IF($M191="نعم",0,N($J191))))</f>
        <v>0</v>
      </c>
      <c r="AF191" s="133" t="n">
        <f aca="false">IF(OR($B191="",$E191="",$F191=""),0,MAX(0,MIN($F191,EOMONTH(DATE(cfg_FY,11,1),0))-MAX($E191,DATE(cfg_FY,11,1))+1)*(1-IF($M191="نعم",0,N($J191))))</f>
        <v>0</v>
      </c>
      <c r="AG191" s="133" t="n">
        <f aca="false">IF(OR($B191="",$E191="",$F191=""),0,MAX(0,MIN($F191,EOMONTH(DATE(cfg_FY,12,1),0))-MAX($E191,DATE(cfg_FY,12,1))+1)*(1-IF($M191="نعم",0,N($J191))))</f>
        <v>0</v>
      </c>
      <c r="AH191" s="133" t="n">
        <f aca="false">IF(OR(OR($B191="",$E191="",$F191=""),$L191&lt;&gt;"لا"),0,MAX(0,MIN($F191,EOMONTH(DATE(cfg_FY,1,1),0))-$E191+1))</f>
        <v>0</v>
      </c>
      <c r="AI191" s="133" t="n">
        <f aca="false">IF(OR(OR($B191="",$E191="",$F191=""),$L191&lt;&gt;"لا"),0,MAX(0,MIN($F191,EOMONTH(DATE(cfg_FY,2,1),0))-$E191+1))</f>
        <v>0</v>
      </c>
      <c r="AJ191" s="133" t="n">
        <f aca="false">IF(OR(OR($B191="",$E191="",$F191=""),$L191&lt;&gt;"لا"),0,MAX(0,MIN($F191,EOMONTH(DATE(cfg_FY,3,1),0))-$E191+1))</f>
        <v>0</v>
      </c>
      <c r="AK191" s="133" t="n">
        <f aca="false">IF(OR(OR($B191="",$E191="",$F191=""),$L191&lt;&gt;"لا"),0,MAX(0,MIN($F191,EOMONTH(DATE(cfg_FY,4,1),0))-$E191+1))</f>
        <v>0</v>
      </c>
      <c r="AL191" s="133" t="n">
        <f aca="false">IF(OR(OR($B191="",$E191="",$F191=""),$L191&lt;&gt;"لا"),0,MAX(0,MIN($F191,EOMONTH(DATE(cfg_FY,5,1),0))-$E191+1))</f>
        <v>0</v>
      </c>
      <c r="AM191" s="133" t="n">
        <f aca="false">IF(OR(OR($B191="",$E191="",$F191=""),$L191&lt;&gt;"لا"),0,MAX(0,MIN($F191,EOMONTH(DATE(cfg_FY,6,1),0))-$E191+1))</f>
        <v>0</v>
      </c>
      <c r="AN191" s="133" t="n">
        <f aca="false">IF(OR(OR($B191="",$E191="",$F191=""),$L191&lt;&gt;"لا"),0,MAX(0,MIN($F191,EOMONTH(DATE(cfg_FY,7,1),0))-$E191+1))</f>
        <v>0</v>
      </c>
      <c r="AO191" s="133" t="n">
        <f aca="false">IF(OR(OR($B191="",$E191="",$F191=""),$L191&lt;&gt;"لا"),0,MAX(0,MIN($F191,EOMONTH(DATE(cfg_FY,8,1),0))-$E191+1))</f>
        <v>0</v>
      </c>
      <c r="AP191" s="133" t="n">
        <f aca="false">IF(OR(OR($B191="",$E191="",$F191=""),$L191&lt;&gt;"لا"),0,MAX(0,MIN($F191,EOMONTH(DATE(cfg_FY,9,1),0))-$E191+1))</f>
        <v>0</v>
      </c>
      <c r="AQ191" s="133" t="n">
        <f aca="false">IF(OR(OR($B191="",$E191="",$F191=""),$L191&lt;&gt;"لا"),0,MAX(0,MIN($F191,EOMONTH(DATE(cfg_FY,10,1),0))-$E191+1))</f>
        <v>0</v>
      </c>
      <c r="AR191" s="133" t="n">
        <f aca="false">IF(OR(OR($B191="",$E191="",$F191=""),$L191&lt;&gt;"لا"),0,MAX(0,MIN($F191,EOMONTH(DATE(cfg_FY,11,1),0))-$E191+1))</f>
        <v>0</v>
      </c>
      <c r="AS191" s="133" t="n">
        <f aca="false">IF(OR(OR($B191="",$E191="",$F191=""),$L191&lt;&gt;"لا"),0,MAX(0,MIN($F191,EOMONTH(DATE(cfg_FY,12,1),0))-$E191+1))</f>
        <v>0</v>
      </c>
      <c r="AT191" s="133" t="n">
        <f aca="false">IF(OR(OR($B191="",$E191="",$F191=""),$K191&lt;&gt;"نعم",$M191="نعم"),0,MAX(0,MIN($F191,EOMONTH(DATE(cfg_FY,1,1),0))-MAX($E191,DATE(cfg_FY,1,1))+1))</f>
        <v>0</v>
      </c>
      <c r="AU191" s="133" t="n">
        <f aca="false">IF(OR(OR($B191="",$E191="",$F191=""),$K191&lt;&gt;"نعم",$M191="نعم"),0,MAX(0,MIN($F191,EOMONTH(DATE(cfg_FY,2,1),0))-MAX($E191,DATE(cfg_FY,2,1))+1))</f>
        <v>0</v>
      </c>
      <c r="AV191" s="133" t="n">
        <f aca="false">IF(OR(OR($B191="",$E191="",$F191=""),$K191&lt;&gt;"نعم",$M191="نعم"),0,MAX(0,MIN($F191,EOMONTH(DATE(cfg_FY,3,1),0))-MAX($E191,DATE(cfg_FY,3,1))+1))</f>
        <v>0</v>
      </c>
      <c r="AW191" s="133" t="n">
        <f aca="false">IF(OR(OR($B191="",$E191="",$F191=""),$K191&lt;&gt;"نعم",$M191="نعم"),0,MAX(0,MIN($F191,EOMONTH(DATE(cfg_FY,4,1),0))-MAX($E191,DATE(cfg_FY,4,1))+1))</f>
        <v>0</v>
      </c>
      <c r="AX191" s="133" t="n">
        <f aca="false">IF(OR(OR($B191="",$E191="",$F191=""),$K191&lt;&gt;"نعم",$M191="نعم"),0,MAX(0,MIN($F191,EOMONTH(DATE(cfg_FY,5,1),0))-MAX($E191,DATE(cfg_FY,5,1))+1))</f>
        <v>0</v>
      </c>
      <c r="AY191" s="133" t="n">
        <f aca="false">IF(OR(OR($B191="",$E191="",$F191=""),$K191&lt;&gt;"نعم",$M191="نعم"),0,MAX(0,MIN($F191,EOMONTH(DATE(cfg_FY,6,1),0))-MAX($E191,DATE(cfg_FY,6,1))+1))</f>
        <v>0</v>
      </c>
      <c r="AZ191" s="133" t="n">
        <f aca="false">IF(OR(OR($B191="",$E191="",$F191=""),$K191&lt;&gt;"نعم",$M191="نعم"),0,MAX(0,MIN($F191,EOMONTH(DATE(cfg_FY,7,1),0))-MAX($E191,DATE(cfg_FY,7,1))+1))</f>
        <v>0</v>
      </c>
      <c r="BA191" s="133" t="n">
        <f aca="false">IF(OR(OR($B191="",$E191="",$F191=""),$K191&lt;&gt;"نعم",$M191="نعم"),0,MAX(0,MIN($F191,EOMONTH(DATE(cfg_FY,8,1),0))-MAX($E191,DATE(cfg_FY,8,1))+1))</f>
        <v>0</v>
      </c>
      <c r="BB191" s="133" t="n">
        <f aca="false">IF(OR(OR($B191="",$E191="",$F191=""),$K191&lt;&gt;"نعم",$M191="نعم"),0,MAX(0,MIN($F191,EOMONTH(DATE(cfg_FY,9,1),0))-MAX($E191,DATE(cfg_FY,9,1))+1))</f>
        <v>0</v>
      </c>
      <c r="BC191" s="133" t="n">
        <f aca="false">IF(OR(OR($B191="",$E191="",$F191=""),$K191&lt;&gt;"نعم",$M191="نعم"),0,MAX(0,MIN($F191,EOMONTH(DATE(cfg_FY,10,1),0))-MAX($E191,DATE(cfg_FY,10,1))+1))</f>
        <v>0</v>
      </c>
      <c r="BD191" s="133" t="n">
        <f aca="false">IF(OR(OR($B191="",$E191="",$F191=""),$K191&lt;&gt;"نعم",$M191="نعم"),0,MAX(0,MIN($F191,EOMONTH(DATE(cfg_FY,11,1),0))-MAX($E191,DATE(cfg_FY,11,1))+1))</f>
        <v>0</v>
      </c>
      <c r="BE191" s="133" t="n">
        <f aca="false">IF(OR(OR($B191="",$E191="",$F191=""),$K191&lt;&gt;"نعم",$M191="نعم"),0,MAX(0,MIN($F191,EOMONTH(DATE(cfg_FY,12,1),0))-MAX($E191,DATE(cfg_FY,12,1))+1))</f>
        <v>0</v>
      </c>
    </row>
    <row r="192" customFormat="false" ht="15" hidden="false" customHeight="false" outlineLevel="0" collapsed="false">
      <c r="A192" s="106" t="str">
        <f aca="false">IF(B192="","",ROW()-5)</f>
        <v/>
      </c>
      <c r="B192" s="118"/>
      <c r="C192" s="114" t="str">
        <f aca="false">IF(B192="","",IFERROR(INDEX(الموظفون!$C$6:$C$105,MATCH(B192,الموظفون!$B$6:$B$105,0)),"✖ رقم غير موجود"))</f>
        <v/>
      </c>
      <c r="D192" s="118"/>
      <c r="E192" s="119"/>
      <c r="F192" s="119"/>
      <c r="G192" s="65" t="str">
        <f aca="false">IF(OR($B192="",$E192="",$F192=""),"",MAX(0,F192-E192+1))</f>
        <v/>
      </c>
      <c r="H192" s="66" t="str">
        <f aca="false">IF(D192="","",IFERROR(VLOOKUP(D192,cfg_LT,2,FALSE()),1))</f>
        <v/>
      </c>
      <c r="I192" s="135"/>
      <c r="J192" s="66" t="str">
        <f aca="false">IF(D192="","",IF(I192&lt;&gt;"",I192,H192))</f>
        <v/>
      </c>
      <c r="K192" s="114" t="str">
        <f aca="false">IF(D192="","",IFERROR(VLOOKUP($D192,cfg_LT,3,FALSE()),""))</f>
        <v/>
      </c>
      <c r="L192" s="114" t="str">
        <f aca="false">IF(D192="","",IFERROR(VLOOKUP($D192,cfg_LT,4,FALSE()),""))</f>
        <v/>
      </c>
      <c r="M192" s="114" t="str">
        <f aca="false">IF(D192="","",IFERROR(VLOOKUP($D192,cfg_LT,5,FALSE()),""))</f>
        <v/>
      </c>
      <c r="N192" s="111" t="n">
        <f aca="false">IF(OR(OR($B192="",$E192="",$F192=""),M192&lt;&gt;"نعم"),0,G192*J192*IFERROR(INDEX(الموظفون!$R$6:$R$105,MATCH(B192,الموظفون!$B$6:$B$105,0)),0)/cfg_DAYS_M)</f>
        <v>0</v>
      </c>
      <c r="O192" s="106" t="str">
        <f aca="false">IF(OR(OR($B192="",$E192="",$F192=""),M192&lt;&gt;"نعم"),"",IF(YEAR(E192)=cfg_FY,MONTH(E192),""))</f>
        <v/>
      </c>
      <c r="P192" s="114" t="str">
        <f aca="false">IF(B192="","",IF(OR(D192="",E192="",F192=""),"⚠ أكمل النوع والتواريخ",IF(F192&lt;E192,"✖ النهاية قبل البداية",IF(COUNTIFS($B$6:$B$505,B192,$E$6:$E$505,"&lt;="&amp;F192,$F$6:$F$505,"&gt;="&amp;E192)&gt;1,"⚠ تداخل مع سجل آخر",IF(E192&gt;cfg_VAL_DATE,"⏳ قادمة",IF(F192&lt;cfg_VAL_DATE,"✔ منتهية","✈ جارية في تاريخ التقرير"))))))</f>
        <v/>
      </c>
      <c r="Q192" s="118"/>
      <c r="R192" s="65" t="n">
        <f aca="false">IF(OR(OR($B192="",$E192="",$F192=""),L192&lt;&gt;"لا"),0,MAX(0,MIN(F192,cfg_Y_START-1)-E192+1))</f>
        <v>0</v>
      </c>
      <c r="S192" s="65" t="n">
        <f aca="false">IF(OR(OR($B192="",$E192="",$F192=""),L192&lt;&gt;"لا"),0,MAX(0,MIN(F192,cfg_VAL_DATE)-E192+1))</f>
        <v>0</v>
      </c>
      <c r="T192" s="65" t="n">
        <f aca="false">IF(OR(OR($B192="",$E192="",$F192=""),K192&lt;&gt;"نعم"),0,IF(M192="نعم",IF(AND(ISNUMBER(O192),N(O192)&lt;=cfg_VAL_M),G192,0),MAX(0,MIN(F192,cfg_VAL_DATE)-MAX(E192,cfg_Y_START)+1)))</f>
        <v>0</v>
      </c>
      <c r="V192" s="65" t="n">
        <f aca="false">IF(OR($B192="",$E192="",$F192=""),0,MAX(0,MIN($F192,EOMONTH(DATE(cfg_FY,1,1),0))-MAX($E192,DATE(cfg_FY,1,1))+1)*(1-IF($M192="نعم",0,N($J192))))</f>
        <v>0</v>
      </c>
      <c r="W192" s="65" t="n">
        <f aca="false">IF(OR($B192="",$E192="",$F192=""),0,MAX(0,MIN($F192,EOMONTH(DATE(cfg_FY,2,1),0))-MAX($E192,DATE(cfg_FY,2,1))+1)*(1-IF($M192="نعم",0,N($J192))))</f>
        <v>0</v>
      </c>
      <c r="X192" s="65" t="n">
        <f aca="false">IF(OR($B192="",$E192="",$F192=""),0,MAX(0,MIN($F192,EOMONTH(DATE(cfg_FY,3,1),0))-MAX($E192,DATE(cfg_FY,3,1))+1)*(1-IF($M192="نعم",0,N($J192))))</f>
        <v>0</v>
      </c>
      <c r="Y192" s="65" t="n">
        <f aca="false">IF(OR($B192="",$E192="",$F192=""),0,MAX(0,MIN($F192,EOMONTH(DATE(cfg_FY,4,1),0))-MAX($E192,DATE(cfg_FY,4,1))+1)*(1-IF($M192="نعم",0,N($J192))))</f>
        <v>0</v>
      </c>
      <c r="Z192" s="65" t="n">
        <f aca="false">IF(OR($B192="",$E192="",$F192=""),0,MAX(0,MIN($F192,EOMONTH(DATE(cfg_FY,5,1),0))-MAX($E192,DATE(cfg_FY,5,1))+1)*(1-IF($M192="نعم",0,N($J192))))</f>
        <v>0</v>
      </c>
      <c r="AA192" s="65" t="n">
        <f aca="false">IF(OR($B192="",$E192="",$F192=""),0,MAX(0,MIN($F192,EOMONTH(DATE(cfg_FY,6,1),0))-MAX($E192,DATE(cfg_FY,6,1))+1)*(1-IF($M192="نعم",0,N($J192))))</f>
        <v>0</v>
      </c>
      <c r="AB192" s="65" t="n">
        <f aca="false">IF(OR($B192="",$E192="",$F192=""),0,MAX(0,MIN($F192,EOMONTH(DATE(cfg_FY,7,1),0))-MAX($E192,DATE(cfg_FY,7,1))+1)*(1-IF($M192="نعم",0,N($J192))))</f>
        <v>0</v>
      </c>
      <c r="AC192" s="65" t="n">
        <f aca="false">IF(OR($B192="",$E192="",$F192=""),0,MAX(0,MIN($F192,EOMONTH(DATE(cfg_FY,8,1),0))-MAX($E192,DATE(cfg_FY,8,1))+1)*(1-IF($M192="نعم",0,N($J192))))</f>
        <v>0</v>
      </c>
      <c r="AD192" s="65" t="n">
        <f aca="false">IF(OR($B192="",$E192="",$F192=""),0,MAX(0,MIN($F192,EOMONTH(DATE(cfg_FY,9,1),0))-MAX($E192,DATE(cfg_FY,9,1))+1)*(1-IF($M192="نعم",0,N($J192))))</f>
        <v>0</v>
      </c>
      <c r="AE192" s="65" t="n">
        <f aca="false">IF(OR($B192="",$E192="",$F192=""),0,MAX(0,MIN($F192,EOMONTH(DATE(cfg_FY,10,1),0))-MAX($E192,DATE(cfg_FY,10,1))+1)*(1-IF($M192="نعم",0,N($J192))))</f>
        <v>0</v>
      </c>
      <c r="AF192" s="65" t="n">
        <f aca="false">IF(OR($B192="",$E192="",$F192=""),0,MAX(0,MIN($F192,EOMONTH(DATE(cfg_FY,11,1),0))-MAX($E192,DATE(cfg_FY,11,1))+1)*(1-IF($M192="نعم",0,N($J192))))</f>
        <v>0</v>
      </c>
      <c r="AG192" s="65" t="n">
        <f aca="false">IF(OR($B192="",$E192="",$F192=""),0,MAX(0,MIN($F192,EOMONTH(DATE(cfg_FY,12,1),0))-MAX($E192,DATE(cfg_FY,12,1))+1)*(1-IF($M192="نعم",0,N($J192))))</f>
        <v>0</v>
      </c>
      <c r="AH192" s="65" t="n">
        <f aca="false">IF(OR(OR($B192="",$E192="",$F192=""),$L192&lt;&gt;"لا"),0,MAX(0,MIN($F192,EOMONTH(DATE(cfg_FY,1,1),0))-$E192+1))</f>
        <v>0</v>
      </c>
      <c r="AI192" s="65" t="n">
        <f aca="false">IF(OR(OR($B192="",$E192="",$F192=""),$L192&lt;&gt;"لا"),0,MAX(0,MIN($F192,EOMONTH(DATE(cfg_FY,2,1),0))-$E192+1))</f>
        <v>0</v>
      </c>
      <c r="AJ192" s="65" t="n">
        <f aca="false">IF(OR(OR($B192="",$E192="",$F192=""),$L192&lt;&gt;"لا"),0,MAX(0,MIN($F192,EOMONTH(DATE(cfg_FY,3,1),0))-$E192+1))</f>
        <v>0</v>
      </c>
      <c r="AK192" s="65" t="n">
        <f aca="false">IF(OR(OR($B192="",$E192="",$F192=""),$L192&lt;&gt;"لا"),0,MAX(0,MIN($F192,EOMONTH(DATE(cfg_FY,4,1),0))-$E192+1))</f>
        <v>0</v>
      </c>
      <c r="AL192" s="65" t="n">
        <f aca="false">IF(OR(OR($B192="",$E192="",$F192=""),$L192&lt;&gt;"لا"),0,MAX(0,MIN($F192,EOMONTH(DATE(cfg_FY,5,1),0))-$E192+1))</f>
        <v>0</v>
      </c>
      <c r="AM192" s="65" t="n">
        <f aca="false">IF(OR(OR($B192="",$E192="",$F192=""),$L192&lt;&gt;"لا"),0,MAX(0,MIN($F192,EOMONTH(DATE(cfg_FY,6,1),0))-$E192+1))</f>
        <v>0</v>
      </c>
      <c r="AN192" s="65" t="n">
        <f aca="false">IF(OR(OR($B192="",$E192="",$F192=""),$L192&lt;&gt;"لا"),0,MAX(0,MIN($F192,EOMONTH(DATE(cfg_FY,7,1),0))-$E192+1))</f>
        <v>0</v>
      </c>
      <c r="AO192" s="65" t="n">
        <f aca="false">IF(OR(OR($B192="",$E192="",$F192=""),$L192&lt;&gt;"لا"),0,MAX(0,MIN($F192,EOMONTH(DATE(cfg_FY,8,1),0))-$E192+1))</f>
        <v>0</v>
      </c>
      <c r="AP192" s="65" t="n">
        <f aca="false">IF(OR(OR($B192="",$E192="",$F192=""),$L192&lt;&gt;"لا"),0,MAX(0,MIN($F192,EOMONTH(DATE(cfg_FY,9,1),0))-$E192+1))</f>
        <v>0</v>
      </c>
      <c r="AQ192" s="65" t="n">
        <f aca="false">IF(OR(OR($B192="",$E192="",$F192=""),$L192&lt;&gt;"لا"),0,MAX(0,MIN($F192,EOMONTH(DATE(cfg_FY,10,1),0))-$E192+1))</f>
        <v>0</v>
      </c>
      <c r="AR192" s="65" t="n">
        <f aca="false">IF(OR(OR($B192="",$E192="",$F192=""),$L192&lt;&gt;"لا"),0,MAX(0,MIN($F192,EOMONTH(DATE(cfg_FY,11,1),0))-$E192+1))</f>
        <v>0</v>
      </c>
      <c r="AS192" s="65" t="n">
        <f aca="false">IF(OR(OR($B192="",$E192="",$F192=""),$L192&lt;&gt;"لا"),0,MAX(0,MIN($F192,EOMONTH(DATE(cfg_FY,12,1),0))-$E192+1))</f>
        <v>0</v>
      </c>
      <c r="AT192" s="65" t="n">
        <f aca="false">IF(OR(OR($B192="",$E192="",$F192=""),$K192&lt;&gt;"نعم",$M192="نعم"),0,MAX(0,MIN($F192,EOMONTH(DATE(cfg_FY,1,1),0))-MAX($E192,DATE(cfg_FY,1,1))+1))</f>
        <v>0</v>
      </c>
      <c r="AU192" s="65" t="n">
        <f aca="false">IF(OR(OR($B192="",$E192="",$F192=""),$K192&lt;&gt;"نعم",$M192="نعم"),0,MAX(0,MIN($F192,EOMONTH(DATE(cfg_FY,2,1),0))-MAX($E192,DATE(cfg_FY,2,1))+1))</f>
        <v>0</v>
      </c>
      <c r="AV192" s="65" t="n">
        <f aca="false">IF(OR(OR($B192="",$E192="",$F192=""),$K192&lt;&gt;"نعم",$M192="نعم"),0,MAX(0,MIN($F192,EOMONTH(DATE(cfg_FY,3,1),0))-MAX($E192,DATE(cfg_FY,3,1))+1))</f>
        <v>0</v>
      </c>
      <c r="AW192" s="65" t="n">
        <f aca="false">IF(OR(OR($B192="",$E192="",$F192=""),$K192&lt;&gt;"نعم",$M192="نعم"),0,MAX(0,MIN($F192,EOMONTH(DATE(cfg_FY,4,1),0))-MAX($E192,DATE(cfg_FY,4,1))+1))</f>
        <v>0</v>
      </c>
      <c r="AX192" s="65" t="n">
        <f aca="false">IF(OR(OR($B192="",$E192="",$F192=""),$K192&lt;&gt;"نعم",$M192="نعم"),0,MAX(0,MIN($F192,EOMONTH(DATE(cfg_FY,5,1),0))-MAX($E192,DATE(cfg_FY,5,1))+1))</f>
        <v>0</v>
      </c>
      <c r="AY192" s="65" t="n">
        <f aca="false">IF(OR(OR($B192="",$E192="",$F192=""),$K192&lt;&gt;"نعم",$M192="نعم"),0,MAX(0,MIN($F192,EOMONTH(DATE(cfg_FY,6,1),0))-MAX($E192,DATE(cfg_FY,6,1))+1))</f>
        <v>0</v>
      </c>
      <c r="AZ192" s="65" t="n">
        <f aca="false">IF(OR(OR($B192="",$E192="",$F192=""),$K192&lt;&gt;"نعم",$M192="نعم"),0,MAX(0,MIN($F192,EOMONTH(DATE(cfg_FY,7,1),0))-MAX($E192,DATE(cfg_FY,7,1))+1))</f>
        <v>0</v>
      </c>
      <c r="BA192" s="65" t="n">
        <f aca="false">IF(OR(OR($B192="",$E192="",$F192=""),$K192&lt;&gt;"نعم",$M192="نعم"),0,MAX(0,MIN($F192,EOMONTH(DATE(cfg_FY,8,1),0))-MAX($E192,DATE(cfg_FY,8,1))+1))</f>
        <v>0</v>
      </c>
      <c r="BB192" s="65" t="n">
        <f aca="false">IF(OR(OR($B192="",$E192="",$F192=""),$K192&lt;&gt;"نعم",$M192="نعم"),0,MAX(0,MIN($F192,EOMONTH(DATE(cfg_FY,9,1),0))-MAX($E192,DATE(cfg_FY,9,1))+1))</f>
        <v>0</v>
      </c>
      <c r="BC192" s="65" t="n">
        <f aca="false">IF(OR(OR($B192="",$E192="",$F192=""),$K192&lt;&gt;"نعم",$M192="نعم"),0,MAX(0,MIN($F192,EOMONTH(DATE(cfg_FY,10,1),0))-MAX($E192,DATE(cfg_FY,10,1))+1))</f>
        <v>0</v>
      </c>
      <c r="BD192" s="65" t="n">
        <f aca="false">IF(OR(OR($B192="",$E192="",$F192=""),$K192&lt;&gt;"نعم",$M192="نعم"),0,MAX(0,MIN($F192,EOMONTH(DATE(cfg_FY,11,1),0))-MAX($E192,DATE(cfg_FY,11,1))+1))</f>
        <v>0</v>
      </c>
      <c r="BE192" s="65" t="n">
        <f aca="false">IF(OR(OR($B192="",$E192="",$F192=""),$K192&lt;&gt;"نعم",$M192="نعم"),0,MAX(0,MIN($F192,EOMONTH(DATE(cfg_FY,12,1),0))-MAX($E192,DATE(cfg_FY,12,1))+1))</f>
        <v>0</v>
      </c>
    </row>
    <row r="193" customFormat="false" ht="15" hidden="false" customHeight="false" outlineLevel="0" collapsed="false">
      <c r="A193" s="115" t="str">
        <f aca="false">IF(B193="","",ROW()-5)</f>
        <v/>
      </c>
      <c r="B193" s="118"/>
      <c r="C193" s="117" t="str">
        <f aca="false">IF(B193="","",IFERROR(INDEX(الموظفون!$C$6:$C$105,MATCH(B193,الموظفون!$B$6:$B$105,0)),"✖ رقم غير موجود"))</f>
        <v/>
      </c>
      <c r="D193" s="118"/>
      <c r="E193" s="119"/>
      <c r="F193" s="119"/>
      <c r="G193" s="133" t="str">
        <f aca="false">IF(OR($B193="",$E193="",$F193=""),"",MAX(0,F193-E193+1))</f>
        <v/>
      </c>
      <c r="H193" s="134" t="str">
        <f aca="false">IF(D193="","",IFERROR(VLOOKUP(D193,cfg_LT,2,FALSE()),1))</f>
        <v/>
      </c>
      <c r="I193" s="135"/>
      <c r="J193" s="134" t="str">
        <f aca="false">IF(D193="","",IF(I193&lt;&gt;"",I193,H193))</f>
        <v/>
      </c>
      <c r="K193" s="117" t="str">
        <f aca="false">IF(D193="","",IFERROR(VLOOKUP($D193,cfg_LT,3,FALSE()),""))</f>
        <v/>
      </c>
      <c r="L193" s="117" t="str">
        <f aca="false">IF(D193="","",IFERROR(VLOOKUP($D193,cfg_LT,4,FALSE()),""))</f>
        <v/>
      </c>
      <c r="M193" s="117" t="str">
        <f aca="false">IF(D193="","",IFERROR(VLOOKUP($D193,cfg_LT,5,FALSE()),""))</f>
        <v/>
      </c>
      <c r="N193" s="116" t="n">
        <f aca="false">IF(OR(OR($B193="",$E193="",$F193=""),M193&lt;&gt;"نعم"),0,G193*J193*IFERROR(INDEX(الموظفون!$R$6:$R$105,MATCH(B193,الموظفون!$B$6:$B$105,0)),0)/cfg_DAYS_M)</f>
        <v>0</v>
      </c>
      <c r="O193" s="115" t="str">
        <f aca="false">IF(OR(OR($B193="",$E193="",$F193=""),M193&lt;&gt;"نعم"),"",IF(YEAR(E193)=cfg_FY,MONTH(E193),""))</f>
        <v/>
      </c>
      <c r="P193" s="117" t="str">
        <f aca="false">IF(B193="","",IF(OR(D193="",E193="",F193=""),"⚠ أكمل النوع والتواريخ",IF(F193&lt;E193,"✖ النهاية قبل البداية",IF(COUNTIFS($B$6:$B$505,B193,$E$6:$E$505,"&lt;="&amp;F193,$F$6:$F$505,"&gt;="&amp;E193)&gt;1,"⚠ تداخل مع سجل آخر",IF(E193&gt;cfg_VAL_DATE,"⏳ قادمة",IF(F193&lt;cfg_VAL_DATE,"✔ منتهية","✈ جارية في تاريخ التقرير"))))))</f>
        <v/>
      </c>
      <c r="Q193" s="118"/>
      <c r="R193" s="133" t="n">
        <f aca="false">IF(OR(OR($B193="",$E193="",$F193=""),L193&lt;&gt;"لا"),0,MAX(0,MIN(F193,cfg_Y_START-1)-E193+1))</f>
        <v>0</v>
      </c>
      <c r="S193" s="133" t="n">
        <f aca="false">IF(OR(OR($B193="",$E193="",$F193=""),L193&lt;&gt;"لا"),0,MAX(0,MIN(F193,cfg_VAL_DATE)-E193+1))</f>
        <v>0</v>
      </c>
      <c r="T193" s="133" t="n">
        <f aca="false">IF(OR(OR($B193="",$E193="",$F193=""),K193&lt;&gt;"نعم"),0,IF(M193="نعم",IF(AND(ISNUMBER(O193),N(O193)&lt;=cfg_VAL_M),G193,0),MAX(0,MIN(F193,cfg_VAL_DATE)-MAX(E193,cfg_Y_START)+1)))</f>
        <v>0</v>
      </c>
      <c r="V193" s="133" t="n">
        <f aca="false">IF(OR($B193="",$E193="",$F193=""),0,MAX(0,MIN($F193,EOMONTH(DATE(cfg_FY,1,1),0))-MAX($E193,DATE(cfg_FY,1,1))+1)*(1-IF($M193="نعم",0,N($J193))))</f>
        <v>0</v>
      </c>
      <c r="W193" s="133" t="n">
        <f aca="false">IF(OR($B193="",$E193="",$F193=""),0,MAX(0,MIN($F193,EOMONTH(DATE(cfg_FY,2,1),0))-MAX($E193,DATE(cfg_FY,2,1))+1)*(1-IF($M193="نعم",0,N($J193))))</f>
        <v>0</v>
      </c>
      <c r="X193" s="133" t="n">
        <f aca="false">IF(OR($B193="",$E193="",$F193=""),0,MAX(0,MIN($F193,EOMONTH(DATE(cfg_FY,3,1),0))-MAX($E193,DATE(cfg_FY,3,1))+1)*(1-IF($M193="نعم",0,N($J193))))</f>
        <v>0</v>
      </c>
      <c r="Y193" s="133" t="n">
        <f aca="false">IF(OR($B193="",$E193="",$F193=""),0,MAX(0,MIN($F193,EOMONTH(DATE(cfg_FY,4,1),0))-MAX($E193,DATE(cfg_FY,4,1))+1)*(1-IF($M193="نعم",0,N($J193))))</f>
        <v>0</v>
      </c>
      <c r="Z193" s="133" t="n">
        <f aca="false">IF(OR($B193="",$E193="",$F193=""),0,MAX(0,MIN($F193,EOMONTH(DATE(cfg_FY,5,1),0))-MAX($E193,DATE(cfg_FY,5,1))+1)*(1-IF($M193="نعم",0,N($J193))))</f>
        <v>0</v>
      </c>
      <c r="AA193" s="133" t="n">
        <f aca="false">IF(OR($B193="",$E193="",$F193=""),0,MAX(0,MIN($F193,EOMONTH(DATE(cfg_FY,6,1),0))-MAX($E193,DATE(cfg_FY,6,1))+1)*(1-IF($M193="نعم",0,N($J193))))</f>
        <v>0</v>
      </c>
      <c r="AB193" s="133" t="n">
        <f aca="false">IF(OR($B193="",$E193="",$F193=""),0,MAX(0,MIN($F193,EOMONTH(DATE(cfg_FY,7,1),0))-MAX($E193,DATE(cfg_FY,7,1))+1)*(1-IF($M193="نعم",0,N($J193))))</f>
        <v>0</v>
      </c>
      <c r="AC193" s="133" t="n">
        <f aca="false">IF(OR($B193="",$E193="",$F193=""),0,MAX(0,MIN($F193,EOMONTH(DATE(cfg_FY,8,1),0))-MAX($E193,DATE(cfg_FY,8,1))+1)*(1-IF($M193="نعم",0,N($J193))))</f>
        <v>0</v>
      </c>
      <c r="AD193" s="133" t="n">
        <f aca="false">IF(OR($B193="",$E193="",$F193=""),0,MAX(0,MIN($F193,EOMONTH(DATE(cfg_FY,9,1),0))-MAX($E193,DATE(cfg_FY,9,1))+1)*(1-IF($M193="نعم",0,N($J193))))</f>
        <v>0</v>
      </c>
      <c r="AE193" s="133" t="n">
        <f aca="false">IF(OR($B193="",$E193="",$F193=""),0,MAX(0,MIN($F193,EOMONTH(DATE(cfg_FY,10,1),0))-MAX($E193,DATE(cfg_FY,10,1))+1)*(1-IF($M193="نعم",0,N($J193))))</f>
        <v>0</v>
      </c>
      <c r="AF193" s="133" t="n">
        <f aca="false">IF(OR($B193="",$E193="",$F193=""),0,MAX(0,MIN($F193,EOMONTH(DATE(cfg_FY,11,1),0))-MAX($E193,DATE(cfg_FY,11,1))+1)*(1-IF($M193="نعم",0,N($J193))))</f>
        <v>0</v>
      </c>
      <c r="AG193" s="133" t="n">
        <f aca="false">IF(OR($B193="",$E193="",$F193=""),0,MAX(0,MIN($F193,EOMONTH(DATE(cfg_FY,12,1),0))-MAX($E193,DATE(cfg_FY,12,1))+1)*(1-IF($M193="نعم",0,N($J193))))</f>
        <v>0</v>
      </c>
      <c r="AH193" s="133" t="n">
        <f aca="false">IF(OR(OR($B193="",$E193="",$F193=""),$L193&lt;&gt;"لا"),0,MAX(0,MIN($F193,EOMONTH(DATE(cfg_FY,1,1),0))-$E193+1))</f>
        <v>0</v>
      </c>
      <c r="AI193" s="133" t="n">
        <f aca="false">IF(OR(OR($B193="",$E193="",$F193=""),$L193&lt;&gt;"لا"),0,MAX(0,MIN($F193,EOMONTH(DATE(cfg_FY,2,1),0))-$E193+1))</f>
        <v>0</v>
      </c>
      <c r="AJ193" s="133" t="n">
        <f aca="false">IF(OR(OR($B193="",$E193="",$F193=""),$L193&lt;&gt;"لا"),0,MAX(0,MIN($F193,EOMONTH(DATE(cfg_FY,3,1),0))-$E193+1))</f>
        <v>0</v>
      </c>
      <c r="AK193" s="133" t="n">
        <f aca="false">IF(OR(OR($B193="",$E193="",$F193=""),$L193&lt;&gt;"لا"),0,MAX(0,MIN($F193,EOMONTH(DATE(cfg_FY,4,1),0))-$E193+1))</f>
        <v>0</v>
      </c>
      <c r="AL193" s="133" t="n">
        <f aca="false">IF(OR(OR($B193="",$E193="",$F193=""),$L193&lt;&gt;"لا"),0,MAX(0,MIN($F193,EOMONTH(DATE(cfg_FY,5,1),0))-$E193+1))</f>
        <v>0</v>
      </c>
      <c r="AM193" s="133" t="n">
        <f aca="false">IF(OR(OR($B193="",$E193="",$F193=""),$L193&lt;&gt;"لا"),0,MAX(0,MIN($F193,EOMONTH(DATE(cfg_FY,6,1),0))-$E193+1))</f>
        <v>0</v>
      </c>
      <c r="AN193" s="133" t="n">
        <f aca="false">IF(OR(OR($B193="",$E193="",$F193=""),$L193&lt;&gt;"لا"),0,MAX(0,MIN($F193,EOMONTH(DATE(cfg_FY,7,1),0))-$E193+1))</f>
        <v>0</v>
      </c>
      <c r="AO193" s="133" t="n">
        <f aca="false">IF(OR(OR($B193="",$E193="",$F193=""),$L193&lt;&gt;"لا"),0,MAX(0,MIN($F193,EOMONTH(DATE(cfg_FY,8,1),0))-$E193+1))</f>
        <v>0</v>
      </c>
      <c r="AP193" s="133" t="n">
        <f aca="false">IF(OR(OR($B193="",$E193="",$F193=""),$L193&lt;&gt;"لا"),0,MAX(0,MIN($F193,EOMONTH(DATE(cfg_FY,9,1),0))-$E193+1))</f>
        <v>0</v>
      </c>
      <c r="AQ193" s="133" t="n">
        <f aca="false">IF(OR(OR($B193="",$E193="",$F193=""),$L193&lt;&gt;"لا"),0,MAX(0,MIN($F193,EOMONTH(DATE(cfg_FY,10,1),0))-$E193+1))</f>
        <v>0</v>
      </c>
      <c r="AR193" s="133" t="n">
        <f aca="false">IF(OR(OR($B193="",$E193="",$F193=""),$L193&lt;&gt;"لا"),0,MAX(0,MIN($F193,EOMONTH(DATE(cfg_FY,11,1),0))-$E193+1))</f>
        <v>0</v>
      </c>
      <c r="AS193" s="133" t="n">
        <f aca="false">IF(OR(OR($B193="",$E193="",$F193=""),$L193&lt;&gt;"لا"),0,MAX(0,MIN($F193,EOMONTH(DATE(cfg_FY,12,1),0))-$E193+1))</f>
        <v>0</v>
      </c>
      <c r="AT193" s="133" t="n">
        <f aca="false">IF(OR(OR($B193="",$E193="",$F193=""),$K193&lt;&gt;"نعم",$M193="نعم"),0,MAX(0,MIN($F193,EOMONTH(DATE(cfg_FY,1,1),0))-MAX($E193,DATE(cfg_FY,1,1))+1))</f>
        <v>0</v>
      </c>
      <c r="AU193" s="133" t="n">
        <f aca="false">IF(OR(OR($B193="",$E193="",$F193=""),$K193&lt;&gt;"نعم",$M193="نعم"),0,MAX(0,MIN($F193,EOMONTH(DATE(cfg_FY,2,1),0))-MAX($E193,DATE(cfg_FY,2,1))+1))</f>
        <v>0</v>
      </c>
      <c r="AV193" s="133" t="n">
        <f aca="false">IF(OR(OR($B193="",$E193="",$F193=""),$K193&lt;&gt;"نعم",$M193="نعم"),0,MAX(0,MIN($F193,EOMONTH(DATE(cfg_FY,3,1),0))-MAX($E193,DATE(cfg_FY,3,1))+1))</f>
        <v>0</v>
      </c>
      <c r="AW193" s="133" t="n">
        <f aca="false">IF(OR(OR($B193="",$E193="",$F193=""),$K193&lt;&gt;"نعم",$M193="نعم"),0,MAX(0,MIN($F193,EOMONTH(DATE(cfg_FY,4,1),0))-MAX($E193,DATE(cfg_FY,4,1))+1))</f>
        <v>0</v>
      </c>
      <c r="AX193" s="133" t="n">
        <f aca="false">IF(OR(OR($B193="",$E193="",$F193=""),$K193&lt;&gt;"نعم",$M193="نعم"),0,MAX(0,MIN($F193,EOMONTH(DATE(cfg_FY,5,1),0))-MAX($E193,DATE(cfg_FY,5,1))+1))</f>
        <v>0</v>
      </c>
      <c r="AY193" s="133" t="n">
        <f aca="false">IF(OR(OR($B193="",$E193="",$F193=""),$K193&lt;&gt;"نعم",$M193="نعم"),0,MAX(0,MIN($F193,EOMONTH(DATE(cfg_FY,6,1),0))-MAX($E193,DATE(cfg_FY,6,1))+1))</f>
        <v>0</v>
      </c>
      <c r="AZ193" s="133" t="n">
        <f aca="false">IF(OR(OR($B193="",$E193="",$F193=""),$K193&lt;&gt;"نعم",$M193="نعم"),0,MAX(0,MIN($F193,EOMONTH(DATE(cfg_FY,7,1),0))-MAX($E193,DATE(cfg_FY,7,1))+1))</f>
        <v>0</v>
      </c>
      <c r="BA193" s="133" t="n">
        <f aca="false">IF(OR(OR($B193="",$E193="",$F193=""),$K193&lt;&gt;"نعم",$M193="نعم"),0,MAX(0,MIN($F193,EOMONTH(DATE(cfg_FY,8,1),0))-MAX($E193,DATE(cfg_FY,8,1))+1))</f>
        <v>0</v>
      </c>
      <c r="BB193" s="133" t="n">
        <f aca="false">IF(OR(OR($B193="",$E193="",$F193=""),$K193&lt;&gt;"نعم",$M193="نعم"),0,MAX(0,MIN($F193,EOMONTH(DATE(cfg_FY,9,1),0))-MAX($E193,DATE(cfg_FY,9,1))+1))</f>
        <v>0</v>
      </c>
      <c r="BC193" s="133" t="n">
        <f aca="false">IF(OR(OR($B193="",$E193="",$F193=""),$K193&lt;&gt;"نعم",$M193="نعم"),0,MAX(0,MIN($F193,EOMONTH(DATE(cfg_FY,10,1),0))-MAX($E193,DATE(cfg_FY,10,1))+1))</f>
        <v>0</v>
      </c>
      <c r="BD193" s="133" t="n">
        <f aca="false">IF(OR(OR($B193="",$E193="",$F193=""),$K193&lt;&gt;"نعم",$M193="نعم"),0,MAX(0,MIN($F193,EOMONTH(DATE(cfg_FY,11,1),0))-MAX($E193,DATE(cfg_FY,11,1))+1))</f>
        <v>0</v>
      </c>
      <c r="BE193" s="133" t="n">
        <f aca="false">IF(OR(OR($B193="",$E193="",$F193=""),$K193&lt;&gt;"نعم",$M193="نعم"),0,MAX(0,MIN($F193,EOMONTH(DATE(cfg_FY,12,1),0))-MAX($E193,DATE(cfg_FY,12,1))+1))</f>
        <v>0</v>
      </c>
    </row>
    <row r="194" customFormat="false" ht="15" hidden="false" customHeight="false" outlineLevel="0" collapsed="false">
      <c r="A194" s="106" t="str">
        <f aca="false">IF(B194="","",ROW()-5)</f>
        <v/>
      </c>
      <c r="B194" s="118"/>
      <c r="C194" s="114" t="str">
        <f aca="false">IF(B194="","",IFERROR(INDEX(الموظفون!$C$6:$C$105,MATCH(B194,الموظفون!$B$6:$B$105,0)),"✖ رقم غير موجود"))</f>
        <v/>
      </c>
      <c r="D194" s="118"/>
      <c r="E194" s="119"/>
      <c r="F194" s="119"/>
      <c r="G194" s="65" t="str">
        <f aca="false">IF(OR($B194="",$E194="",$F194=""),"",MAX(0,F194-E194+1))</f>
        <v/>
      </c>
      <c r="H194" s="66" t="str">
        <f aca="false">IF(D194="","",IFERROR(VLOOKUP(D194,cfg_LT,2,FALSE()),1))</f>
        <v/>
      </c>
      <c r="I194" s="135"/>
      <c r="J194" s="66" t="str">
        <f aca="false">IF(D194="","",IF(I194&lt;&gt;"",I194,H194))</f>
        <v/>
      </c>
      <c r="K194" s="114" t="str">
        <f aca="false">IF(D194="","",IFERROR(VLOOKUP($D194,cfg_LT,3,FALSE()),""))</f>
        <v/>
      </c>
      <c r="L194" s="114" t="str">
        <f aca="false">IF(D194="","",IFERROR(VLOOKUP($D194,cfg_LT,4,FALSE()),""))</f>
        <v/>
      </c>
      <c r="M194" s="114" t="str">
        <f aca="false">IF(D194="","",IFERROR(VLOOKUP($D194,cfg_LT,5,FALSE()),""))</f>
        <v/>
      </c>
      <c r="N194" s="111" t="n">
        <f aca="false">IF(OR(OR($B194="",$E194="",$F194=""),M194&lt;&gt;"نعم"),0,G194*J194*IFERROR(INDEX(الموظفون!$R$6:$R$105,MATCH(B194,الموظفون!$B$6:$B$105,0)),0)/cfg_DAYS_M)</f>
        <v>0</v>
      </c>
      <c r="O194" s="106" t="str">
        <f aca="false">IF(OR(OR($B194="",$E194="",$F194=""),M194&lt;&gt;"نعم"),"",IF(YEAR(E194)=cfg_FY,MONTH(E194),""))</f>
        <v/>
      </c>
      <c r="P194" s="114" t="str">
        <f aca="false">IF(B194="","",IF(OR(D194="",E194="",F194=""),"⚠ أكمل النوع والتواريخ",IF(F194&lt;E194,"✖ النهاية قبل البداية",IF(COUNTIFS($B$6:$B$505,B194,$E$6:$E$505,"&lt;="&amp;F194,$F$6:$F$505,"&gt;="&amp;E194)&gt;1,"⚠ تداخل مع سجل آخر",IF(E194&gt;cfg_VAL_DATE,"⏳ قادمة",IF(F194&lt;cfg_VAL_DATE,"✔ منتهية","✈ جارية في تاريخ التقرير"))))))</f>
        <v/>
      </c>
      <c r="Q194" s="118"/>
      <c r="R194" s="65" t="n">
        <f aca="false">IF(OR(OR($B194="",$E194="",$F194=""),L194&lt;&gt;"لا"),0,MAX(0,MIN(F194,cfg_Y_START-1)-E194+1))</f>
        <v>0</v>
      </c>
      <c r="S194" s="65" t="n">
        <f aca="false">IF(OR(OR($B194="",$E194="",$F194=""),L194&lt;&gt;"لا"),0,MAX(0,MIN(F194,cfg_VAL_DATE)-E194+1))</f>
        <v>0</v>
      </c>
      <c r="T194" s="65" t="n">
        <f aca="false">IF(OR(OR($B194="",$E194="",$F194=""),K194&lt;&gt;"نعم"),0,IF(M194="نعم",IF(AND(ISNUMBER(O194),N(O194)&lt;=cfg_VAL_M),G194,0),MAX(0,MIN(F194,cfg_VAL_DATE)-MAX(E194,cfg_Y_START)+1)))</f>
        <v>0</v>
      </c>
      <c r="V194" s="65" t="n">
        <f aca="false">IF(OR($B194="",$E194="",$F194=""),0,MAX(0,MIN($F194,EOMONTH(DATE(cfg_FY,1,1),0))-MAX($E194,DATE(cfg_FY,1,1))+1)*(1-IF($M194="نعم",0,N($J194))))</f>
        <v>0</v>
      </c>
      <c r="W194" s="65" t="n">
        <f aca="false">IF(OR($B194="",$E194="",$F194=""),0,MAX(0,MIN($F194,EOMONTH(DATE(cfg_FY,2,1),0))-MAX($E194,DATE(cfg_FY,2,1))+1)*(1-IF($M194="نعم",0,N($J194))))</f>
        <v>0</v>
      </c>
      <c r="X194" s="65" t="n">
        <f aca="false">IF(OR($B194="",$E194="",$F194=""),0,MAX(0,MIN($F194,EOMONTH(DATE(cfg_FY,3,1),0))-MAX($E194,DATE(cfg_FY,3,1))+1)*(1-IF($M194="نعم",0,N($J194))))</f>
        <v>0</v>
      </c>
      <c r="Y194" s="65" t="n">
        <f aca="false">IF(OR($B194="",$E194="",$F194=""),0,MAX(0,MIN($F194,EOMONTH(DATE(cfg_FY,4,1),0))-MAX($E194,DATE(cfg_FY,4,1))+1)*(1-IF($M194="نعم",0,N($J194))))</f>
        <v>0</v>
      </c>
      <c r="Z194" s="65" t="n">
        <f aca="false">IF(OR($B194="",$E194="",$F194=""),0,MAX(0,MIN($F194,EOMONTH(DATE(cfg_FY,5,1),0))-MAX($E194,DATE(cfg_FY,5,1))+1)*(1-IF($M194="نعم",0,N($J194))))</f>
        <v>0</v>
      </c>
      <c r="AA194" s="65" t="n">
        <f aca="false">IF(OR($B194="",$E194="",$F194=""),0,MAX(0,MIN($F194,EOMONTH(DATE(cfg_FY,6,1),0))-MAX($E194,DATE(cfg_FY,6,1))+1)*(1-IF($M194="نعم",0,N($J194))))</f>
        <v>0</v>
      </c>
      <c r="AB194" s="65" t="n">
        <f aca="false">IF(OR($B194="",$E194="",$F194=""),0,MAX(0,MIN($F194,EOMONTH(DATE(cfg_FY,7,1),0))-MAX($E194,DATE(cfg_FY,7,1))+1)*(1-IF($M194="نعم",0,N($J194))))</f>
        <v>0</v>
      </c>
      <c r="AC194" s="65" t="n">
        <f aca="false">IF(OR($B194="",$E194="",$F194=""),0,MAX(0,MIN($F194,EOMONTH(DATE(cfg_FY,8,1),0))-MAX($E194,DATE(cfg_FY,8,1))+1)*(1-IF($M194="نعم",0,N($J194))))</f>
        <v>0</v>
      </c>
      <c r="AD194" s="65" t="n">
        <f aca="false">IF(OR($B194="",$E194="",$F194=""),0,MAX(0,MIN($F194,EOMONTH(DATE(cfg_FY,9,1),0))-MAX($E194,DATE(cfg_FY,9,1))+1)*(1-IF($M194="نعم",0,N($J194))))</f>
        <v>0</v>
      </c>
      <c r="AE194" s="65" t="n">
        <f aca="false">IF(OR($B194="",$E194="",$F194=""),0,MAX(0,MIN($F194,EOMONTH(DATE(cfg_FY,10,1),0))-MAX($E194,DATE(cfg_FY,10,1))+1)*(1-IF($M194="نعم",0,N($J194))))</f>
        <v>0</v>
      </c>
      <c r="AF194" s="65" t="n">
        <f aca="false">IF(OR($B194="",$E194="",$F194=""),0,MAX(0,MIN($F194,EOMONTH(DATE(cfg_FY,11,1),0))-MAX($E194,DATE(cfg_FY,11,1))+1)*(1-IF($M194="نعم",0,N($J194))))</f>
        <v>0</v>
      </c>
      <c r="AG194" s="65" t="n">
        <f aca="false">IF(OR($B194="",$E194="",$F194=""),0,MAX(0,MIN($F194,EOMONTH(DATE(cfg_FY,12,1),0))-MAX($E194,DATE(cfg_FY,12,1))+1)*(1-IF($M194="نعم",0,N($J194))))</f>
        <v>0</v>
      </c>
      <c r="AH194" s="65" t="n">
        <f aca="false">IF(OR(OR($B194="",$E194="",$F194=""),$L194&lt;&gt;"لا"),0,MAX(0,MIN($F194,EOMONTH(DATE(cfg_FY,1,1),0))-$E194+1))</f>
        <v>0</v>
      </c>
      <c r="AI194" s="65" t="n">
        <f aca="false">IF(OR(OR($B194="",$E194="",$F194=""),$L194&lt;&gt;"لا"),0,MAX(0,MIN($F194,EOMONTH(DATE(cfg_FY,2,1),0))-$E194+1))</f>
        <v>0</v>
      </c>
      <c r="AJ194" s="65" t="n">
        <f aca="false">IF(OR(OR($B194="",$E194="",$F194=""),$L194&lt;&gt;"لا"),0,MAX(0,MIN($F194,EOMONTH(DATE(cfg_FY,3,1),0))-$E194+1))</f>
        <v>0</v>
      </c>
      <c r="AK194" s="65" t="n">
        <f aca="false">IF(OR(OR($B194="",$E194="",$F194=""),$L194&lt;&gt;"لا"),0,MAX(0,MIN($F194,EOMONTH(DATE(cfg_FY,4,1),0))-$E194+1))</f>
        <v>0</v>
      </c>
      <c r="AL194" s="65" t="n">
        <f aca="false">IF(OR(OR($B194="",$E194="",$F194=""),$L194&lt;&gt;"لا"),0,MAX(0,MIN($F194,EOMONTH(DATE(cfg_FY,5,1),0))-$E194+1))</f>
        <v>0</v>
      </c>
      <c r="AM194" s="65" t="n">
        <f aca="false">IF(OR(OR($B194="",$E194="",$F194=""),$L194&lt;&gt;"لا"),0,MAX(0,MIN($F194,EOMONTH(DATE(cfg_FY,6,1),0))-$E194+1))</f>
        <v>0</v>
      </c>
      <c r="AN194" s="65" t="n">
        <f aca="false">IF(OR(OR($B194="",$E194="",$F194=""),$L194&lt;&gt;"لا"),0,MAX(0,MIN($F194,EOMONTH(DATE(cfg_FY,7,1),0))-$E194+1))</f>
        <v>0</v>
      </c>
      <c r="AO194" s="65" t="n">
        <f aca="false">IF(OR(OR($B194="",$E194="",$F194=""),$L194&lt;&gt;"لا"),0,MAX(0,MIN($F194,EOMONTH(DATE(cfg_FY,8,1),0))-$E194+1))</f>
        <v>0</v>
      </c>
      <c r="AP194" s="65" t="n">
        <f aca="false">IF(OR(OR($B194="",$E194="",$F194=""),$L194&lt;&gt;"لا"),0,MAX(0,MIN($F194,EOMONTH(DATE(cfg_FY,9,1),0))-$E194+1))</f>
        <v>0</v>
      </c>
      <c r="AQ194" s="65" t="n">
        <f aca="false">IF(OR(OR($B194="",$E194="",$F194=""),$L194&lt;&gt;"لا"),0,MAX(0,MIN($F194,EOMONTH(DATE(cfg_FY,10,1),0))-$E194+1))</f>
        <v>0</v>
      </c>
      <c r="AR194" s="65" t="n">
        <f aca="false">IF(OR(OR($B194="",$E194="",$F194=""),$L194&lt;&gt;"لا"),0,MAX(0,MIN($F194,EOMONTH(DATE(cfg_FY,11,1),0))-$E194+1))</f>
        <v>0</v>
      </c>
      <c r="AS194" s="65" t="n">
        <f aca="false">IF(OR(OR($B194="",$E194="",$F194=""),$L194&lt;&gt;"لا"),0,MAX(0,MIN($F194,EOMONTH(DATE(cfg_FY,12,1),0))-$E194+1))</f>
        <v>0</v>
      </c>
      <c r="AT194" s="65" t="n">
        <f aca="false">IF(OR(OR($B194="",$E194="",$F194=""),$K194&lt;&gt;"نعم",$M194="نعم"),0,MAX(0,MIN($F194,EOMONTH(DATE(cfg_FY,1,1),0))-MAX($E194,DATE(cfg_FY,1,1))+1))</f>
        <v>0</v>
      </c>
      <c r="AU194" s="65" t="n">
        <f aca="false">IF(OR(OR($B194="",$E194="",$F194=""),$K194&lt;&gt;"نعم",$M194="نعم"),0,MAX(0,MIN($F194,EOMONTH(DATE(cfg_FY,2,1),0))-MAX($E194,DATE(cfg_FY,2,1))+1))</f>
        <v>0</v>
      </c>
      <c r="AV194" s="65" t="n">
        <f aca="false">IF(OR(OR($B194="",$E194="",$F194=""),$K194&lt;&gt;"نعم",$M194="نعم"),0,MAX(0,MIN($F194,EOMONTH(DATE(cfg_FY,3,1),0))-MAX($E194,DATE(cfg_FY,3,1))+1))</f>
        <v>0</v>
      </c>
      <c r="AW194" s="65" t="n">
        <f aca="false">IF(OR(OR($B194="",$E194="",$F194=""),$K194&lt;&gt;"نعم",$M194="نعم"),0,MAX(0,MIN($F194,EOMONTH(DATE(cfg_FY,4,1),0))-MAX($E194,DATE(cfg_FY,4,1))+1))</f>
        <v>0</v>
      </c>
      <c r="AX194" s="65" t="n">
        <f aca="false">IF(OR(OR($B194="",$E194="",$F194=""),$K194&lt;&gt;"نعم",$M194="نعم"),0,MAX(0,MIN($F194,EOMONTH(DATE(cfg_FY,5,1),0))-MAX($E194,DATE(cfg_FY,5,1))+1))</f>
        <v>0</v>
      </c>
      <c r="AY194" s="65" t="n">
        <f aca="false">IF(OR(OR($B194="",$E194="",$F194=""),$K194&lt;&gt;"نعم",$M194="نعم"),0,MAX(0,MIN($F194,EOMONTH(DATE(cfg_FY,6,1),0))-MAX($E194,DATE(cfg_FY,6,1))+1))</f>
        <v>0</v>
      </c>
      <c r="AZ194" s="65" t="n">
        <f aca="false">IF(OR(OR($B194="",$E194="",$F194=""),$K194&lt;&gt;"نعم",$M194="نعم"),0,MAX(0,MIN($F194,EOMONTH(DATE(cfg_FY,7,1),0))-MAX($E194,DATE(cfg_FY,7,1))+1))</f>
        <v>0</v>
      </c>
      <c r="BA194" s="65" t="n">
        <f aca="false">IF(OR(OR($B194="",$E194="",$F194=""),$K194&lt;&gt;"نعم",$M194="نعم"),0,MAX(0,MIN($F194,EOMONTH(DATE(cfg_FY,8,1),0))-MAX($E194,DATE(cfg_FY,8,1))+1))</f>
        <v>0</v>
      </c>
      <c r="BB194" s="65" t="n">
        <f aca="false">IF(OR(OR($B194="",$E194="",$F194=""),$K194&lt;&gt;"نعم",$M194="نعم"),0,MAX(0,MIN($F194,EOMONTH(DATE(cfg_FY,9,1),0))-MAX($E194,DATE(cfg_FY,9,1))+1))</f>
        <v>0</v>
      </c>
      <c r="BC194" s="65" t="n">
        <f aca="false">IF(OR(OR($B194="",$E194="",$F194=""),$K194&lt;&gt;"نعم",$M194="نعم"),0,MAX(0,MIN($F194,EOMONTH(DATE(cfg_FY,10,1),0))-MAX($E194,DATE(cfg_FY,10,1))+1))</f>
        <v>0</v>
      </c>
      <c r="BD194" s="65" t="n">
        <f aca="false">IF(OR(OR($B194="",$E194="",$F194=""),$K194&lt;&gt;"نعم",$M194="نعم"),0,MAX(0,MIN($F194,EOMONTH(DATE(cfg_FY,11,1),0))-MAX($E194,DATE(cfg_FY,11,1))+1))</f>
        <v>0</v>
      </c>
      <c r="BE194" s="65" t="n">
        <f aca="false">IF(OR(OR($B194="",$E194="",$F194=""),$K194&lt;&gt;"نعم",$M194="نعم"),0,MAX(0,MIN($F194,EOMONTH(DATE(cfg_FY,12,1),0))-MAX($E194,DATE(cfg_FY,12,1))+1))</f>
        <v>0</v>
      </c>
    </row>
    <row r="195" customFormat="false" ht="15" hidden="false" customHeight="false" outlineLevel="0" collapsed="false">
      <c r="A195" s="115" t="str">
        <f aca="false">IF(B195="","",ROW()-5)</f>
        <v/>
      </c>
      <c r="B195" s="118"/>
      <c r="C195" s="117" t="str">
        <f aca="false">IF(B195="","",IFERROR(INDEX(الموظفون!$C$6:$C$105,MATCH(B195,الموظفون!$B$6:$B$105,0)),"✖ رقم غير موجود"))</f>
        <v/>
      </c>
      <c r="D195" s="118"/>
      <c r="E195" s="119"/>
      <c r="F195" s="119"/>
      <c r="G195" s="133" t="str">
        <f aca="false">IF(OR($B195="",$E195="",$F195=""),"",MAX(0,F195-E195+1))</f>
        <v/>
      </c>
      <c r="H195" s="134" t="str">
        <f aca="false">IF(D195="","",IFERROR(VLOOKUP(D195,cfg_LT,2,FALSE()),1))</f>
        <v/>
      </c>
      <c r="I195" s="135"/>
      <c r="J195" s="134" t="str">
        <f aca="false">IF(D195="","",IF(I195&lt;&gt;"",I195,H195))</f>
        <v/>
      </c>
      <c r="K195" s="117" t="str">
        <f aca="false">IF(D195="","",IFERROR(VLOOKUP($D195,cfg_LT,3,FALSE()),""))</f>
        <v/>
      </c>
      <c r="L195" s="117" t="str">
        <f aca="false">IF(D195="","",IFERROR(VLOOKUP($D195,cfg_LT,4,FALSE()),""))</f>
        <v/>
      </c>
      <c r="M195" s="117" t="str">
        <f aca="false">IF(D195="","",IFERROR(VLOOKUP($D195,cfg_LT,5,FALSE()),""))</f>
        <v/>
      </c>
      <c r="N195" s="116" t="n">
        <f aca="false">IF(OR(OR($B195="",$E195="",$F195=""),M195&lt;&gt;"نعم"),0,G195*J195*IFERROR(INDEX(الموظفون!$R$6:$R$105,MATCH(B195,الموظفون!$B$6:$B$105,0)),0)/cfg_DAYS_M)</f>
        <v>0</v>
      </c>
      <c r="O195" s="115" t="str">
        <f aca="false">IF(OR(OR($B195="",$E195="",$F195=""),M195&lt;&gt;"نعم"),"",IF(YEAR(E195)=cfg_FY,MONTH(E195),""))</f>
        <v/>
      </c>
      <c r="P195" s="117" t="str">
        <f aca="false">IF(B195="","",IF(OR(D195="",E195="",F195=""),"⚠ أكمل النوع والتواريخ",IF(F195&lt;E195,"✖ النهاية قبل البداية",IF(COUNTIFS($B$6:$B$505,B195,$E$6:$E$505,"&lt;="&amp;F195,$F$6:$F$505,"&gt;="&amp;E195)&gt;1,"⚠ تداخل مع سجل آخر",IF(E195&gt;cfg_VAL_DATE,"⏳ قادمة",IF(F195&lt;cfg_VAL_DATE,"✔ منتهية","✈ جارية في تاريخ التقرير"))))))</f>
        <v/>
      </c>
      <c r="Q195" s="118"/>
      <c r="R195" s="133" t="n">
        <f aca="false">IF(OR(OR($B195="",$E195="",$F195=""),L195&lt;&gt;"لا"),0,MAX(0,MIN(F195,cfg_Y_START-1)-E195+1))</f>
        <v>0</v>
      </c>
      <c r="S195" s="133" t="n">
        <f aca="false">IF(OR(OR($B195="",$E195="",$F195=""),L195&lt;&gt;"لا"),0,MAX(0,MIN(F195,cfg_VAL_DATE)-E195+1))</f>
        <v>0</v>
      </c>
      <c r="T195" s="133" t="n">
        <f aca="false">IF(OR(OR($B195="",$E195="",$F195=""),K195&lt;&gt;"نعم"),0,IF(M195="نعم",IF(AND(ISNUMBER(O195),N(O195)&lt;=cfg_VAL_M),G195,0),MAX(0,MIN(F195,cfg_VAL_DATE)-MAX(E195,cfg_Y_START)+1)))</f>
        <v>0</v>
      </c>
      <c r="V195" s="133" t="n">
        <f aca="false">IF(OR($B195="",$E195="",$F195=""),0,MAX(0,MIN($F195,EOMONTH(DATE(cfg_FY,1,1),0))-MAX($E195,DATE(cfg_FY,1,1))+1)*(1-IF($M195="نعم",0,N($J195))))</f>
        <v>0</v>
      </c>
      <c r="W195" s="133" t="n">
        <f aca="false">IF(OR($B195="",$E195="",$F195=""),0,MAX(0,MIN($F195,EOMONTH(DATE(cfg_FY,2,1),0))-MAX($E195,DATE(cfg_FY,2,1))+1)*(1-IF($M195="نعم",0,N($J195))))</f>
        <v>0</v>
      </c>
      <c r="X195" s="133" t="n">
        <f aca="false">IF(OR($B195="",$E195="",$F195=""),0,MAX(0,MIN($F195,EOMONTH(DATE(cfg_FY,3,1),0))-MAX($E195,DATE(cfg_FY,3,1))+1)*(1-IF($M195="نعم",0,N($J195))))</f>
        <v>0</v>
      </c>
      <c r="Y195" s="133" t="n">
        <f aca="false">IF(OR($B195="",$E195="",$F195=""),0,MAX(0,MIN($F195,EOMONTH(DATE(cfg_FY,4,1),0))-MAX($E195,DATE(cfg_FY,4,1))+1)*(1-IF($M195="نعم",0,N($J195))))</f>
        <v>0</v>
      </c>
      <c r="Z195" s="133" t="n">
        <f aca="false">IF(OR($B195="",$E195="",$F195=""),0,MAX(0,MIN($F195,EOMONTH(DATE(cfg_FY,5,1),0))-MAX($E195,DATE(cfg_FY,5,1))+1)*(1-IF($M195="نعم",0,N($J195))))</f>
        <v>0</v>
      </c>
      <c r="AA195" s="133" t="n">
        <f aca="false">IF(OR($B195="",$E195="",$F195=""),0,MAX(0,MIN($F195,EOMONTH(DATE(cfg_FY,6,1),0))-MAX($E195,DATE(cfg_FY,6,1))+1)*(1-IF($M195="نعم",0,N($J195))))</f>
        <v>0</v>
      </c>
      <c r="AB195" s="133" t="n">
        <f aca="false">IF(OR($B195="",$E195="",$F195=""),0,MAX(0,MIN($F195,EOMONTH(DATE(cfg_FY,7,1),0))-MAX($E195,DATE(cfg_FY,7,1))+1)*(1-IF($M195="نعم",0,N($J195))))</f>
        <v>0</v>
      </c>
      <c r="AC195" s="133" t="n">
        <f aca="false">IF(OR($B195="",$E195="",$F195=""),0,MAX(0,MIN($F195,EOMONTH(DATE(cfg_FY,8,1),0))-MAX($E195,DATE(cfg_FY,8,1))+1)*(1-IF($M195="نعم",0,N($J195))))</f>
        <v>0</v>
      </c>
      <c r="AD195" s="133" t="n">
        <f aca="false">IF(OR($B195="",$E195="",$F195=""),0,MAX(0,MIN($F195,EOMONTH(DATE(cfg_FY,9,1),0))-MAX($E195,DATE(cfg_FY,9,1))+1)*(1-IF($M195="نعم",0,N($J195))))</f>
        <v>0</v>
      </c>
      <c r="AE195" s="133" t="n">
        <f aca="false">IF(OR($B195="",$E195="",$F195=""),0,MAX(0,MIN($F195,EOMONTH(DATE(cfg_FY,10,1),0))-MAX($E195,DATE(cfg_FY,10,1))+1)*(1-IF($M195="نعم",0,N($J195))))</f>
        <v>0</v>
      </c>
      <c r="AF195" s="133" t="n">
        <f aca="false">IF(OR($B195="",$E195="",$F195=""),0,MAX(0,MIN($F195,EOMONTH(DATE(cfg_FY,11,1),0))-MAX($E195,DATE(cfg_FY,11,1))+1)*(1-IF($M195="نعم",0,N($J195))))</f>
        <v>0</v>
      </c>
      <c r="AG195" s="133" t="n">
        <f aca="false">IF(OR($B195="",$E195="",$F195=""),0,MAX(0,MIN($F195,EOMONTH(DATE(cfg_FY,12,1),0))-MAX($E195,DATE(cfg_FY,12,1))+1)*(1-IF($M195="نعم",0,N($J195))))</f>
        <v>0</v>
      </c>
      <c r="AH195" s="133" t="n">
        <f aca="false">IF(OR(OR($B195="",$E195="",$F195=""),$L195&lt;&gt;"لا"),0,MAX(0,MIN($F195,EOMONTH(DATE(cfg_FY,1,1),0))-$E195+1))</f>
        <v>0</v>
      </c>
      <c r="AI195" s="133" t="n">
        <f aca="false">IF(OR(OR($B195="",$E195="",$F195=""),$L195&lt;&gt;"لا"),0,MAX(0,MIN($F195,EOMONTH(DATE(cfg_FY,2,1),0))-$E195+1))</f>
        <v>0</v>
      </c>
      <c r="AJ195" s="133" t="n">
        <f aca="false">IF(OR(OR($B195="",$E195="",$F195=""),$L195&lt;&gt;"لا"),0,MAX(0,MIN($F195,EOMONTH(DATE(cfg_FY,3,1),0))-$E195+1))</f>
        <v>0</v>
      </c>
      <c r="AK195" s="133" t="n">
        <f aca="false">IF(OR(OR($B195="",$E195="",$F195=""),$L195&lt;&gt;"لا"),0,MAX(0,MIN($F195,EOMONTH(DATE(cfg_FY,4,1),0))-$E195+1))</f>
        <v>0</v>
      </c>
      <c r="AL195" s="133" t="n">
        <f aca="false">IF(OR(OR($B195="",$E195="",$F195=""),$L195&lt;&gt;"لا"),0,MAX(0,MIN($F195,EOMONTH(DATE(cfg_FY,5,1),0))-$E195+1))</f>
        <v>0</v>
      </c>
      <c r="AM195" s="133" t="n">
        <f aca="false">IF(OR(OR($B195="",$E195="",$F195=""),$L195&lt;&gt;"لا"),0,MAX(0,MIN($F195,EOMONTH(DATE(cfg_FY,6,1),0))-$E195+1))</f>
        <v>0</v>
      </c>
      <c r="AN195" s="133" t="n">
        <f aca="false">IF(OR(OR($B195="",$E195="",$F195=""),$L195&lt;&gt;"لا"),0,MAX(0,MIN($F195,EOMONTH(DATE(cfg_FY,7,1),0))-$E195+1))</f>
        <v>0</v>
      </c>
      <c r="AO195" s="133" t="n">
        <f aca="false">IF(OR(OR($B195="",$E195="",$F195=""),$L195&lt;&gt;"لا"),0,MAX(0,MIN($F195,EOMONTH(DATE(cfg_FY,8,1),0))-$E195+1))</f>
        <v>0</v>
      </c>
      <c r="AP195" s="133" t="n">
        <f aca="false">IF(OR(OR($B195="",$E195="",$F195=""),$L195&lt;&gt;"لا"),0,MAX(0,MIN($F195,EOMONTH(DATE(cfg_FY,9,1),0))-$E195+1))</f>
        <v>0</v>
      </c>
      <c r="AQ195" s="133" t="n">
        <f aca="false">IF(OR(OR($B195="",$E195="",$F195=""),$L195&lt;&gt;"لا"),0,MAX(0,MIN($F195,EOMONTH(DATE(cfg_FY,10,1),0))-$E195+1))</f>
        <v>0</v>
      </c>
      <c r="AR195" s="133" t="n">
        <f aca="false">IF(OR(OR($B195="",$E195="",$F195=""),$L195&lt;&gt;"لا"),0,MAX(0,MIN($F195,EOMONTH(DATE(cfg_FY,11,1),0))-$E195+1))</f>
        <v>0</v>
      </c>
      <c r="AS195" s="133" t="n">
        <f aca="false">IF(OR(OR($B195="",$E195="",$F195=""),$L195&lt;&gt;"لا"),0,MAX(0,MIN($F195,EOMONTH(DATE(cfg_FY,12,1),0))-$E195+1))</f>
        <v>0</v>
      </c>
      <c r="AT195" s="133" t="n">
        <f aca="false">IF(OR(OR($B195="",$E195="",$F195=""),$K195&lt;&gt;"نعم",$M195="نعم"),0,MAX(0,MIN($F195,EOMONTH(DATE(cfg_FY,1,1),0))-MAX($E195,DATE(cfg_FY,1,1))+1))</f>
        <v>0</v>
      </c>
      <c r="AU195" s="133" t="n">
        <f aca="false">IF(OR(OR($B195="",$E195="",$F195=""),$K195&lt;&gt;"نعم",$M195="نعم"),0,MAX(0,MIN($F195,EOMONTH(DATE(cfg_FY,2,1),0))-MAX($E195,DATE(cfg_FY,2,1))+1))</f>
        <v>0</v>
      </c>
      <c r="AV195" s="133" t="n">
        <f aca="false">IF(OR(OR($B195="",$E195="",$F195=""),$K195&lt;&gt;"نعم",$M195="نعم"),0,MAX(0,MIN($F195,EOMONTH(DATE(cfg_FY,3,1),0))-MAX($E195,DATE(cfg_FY,3,1))+1))</f>
        <v>0</v>
      </c>
      <c r="AW195" s="133" t="n">
        <f aca="false">IF(OR(OR($B195="",$E195="",$F195=""),$K195&lt;&gt;"نعم",$M195="نعم"),0,MAX(0,MIN($F195,EOMONTH(DATE(cfg_FY,4,1),0))-MAX($E195,DATE(cfg_FY,4,1))+1))</f>
        <v>0</v>
      </c>
      <c r="AX195" s="133" t="n">
        <f aca="false">IF(OR(OR($B195="",$E195="",$F195=""),$K195&lt;&gt;"نعم",$M195="نعم"),0,MAX(0,MIN($F195,EOMONTH(DATE(cfg_FY,5,1),0))-MAX($E195,DATE(cfg_FY,5,1))+1))</f>
        <v>0</v>
      </c>
      <c r="AY195" s="133" t="n">
        <f aca="false">IF(OR(OR($B195="",$E195="",$F195=""),$K195&lt;&gt;"نعم",$M195="نعم"),0,MAX(0,MIN($F195,EOMONTH(DATE(cfg_FY,6,1),0))-MAX($E195,DATE(cfg_FY,6,1))+1))</f>
        <v>0</v>
      </c>
      <c r="AZ195" s="133" t="n">
        <f aca="false">IF(OR(OR($B195="",$E195="",$F195=""),$K195&lt;&gt;"نعم",$M195="نعم"),0,MAX(0,MIN($F195,EOMONTH(DATE(cfg_FY,7,1),0))-MAX($E195,DATE(cfg_FY,7,1))+1))</f>
        <v>0</v>
      </c>
      <c r="BA195" s="133" t="n">
        <f aca="false">IF(OR(OR($B195="",$E195="",$F195=""),$K195&lt;&gt;"نعم",$M195="نعم"),0,MAX(0,MIN($F195,EOMONTH(DATE(cfg_FY,8,1),0))-MAX($E195,DATE(cfg_FY,8,1))+1))</f>
        <v>0</v>
      </c>
      <c r="BB195" s="133" t="n">
        <f aca="false">IF(OR(OR($B195="",$E195="",$F195=""),$K195&lt;&gt;"نعم",$M195="نعم"),0,MAX(0,MIN($F195,EOMONTH(DATE(cfg_FY,9,1),0))-MAX($E195,DATE(cfg_FY,9,1))+1))</f>
        <v>0</v>
      </c>
      <c r="BC195" s="133" t="n">
        <f aca="false">IF(OR(OR($B195="",$E195="",$F195=""),$K195&lt;&gt;"نعم",$M195="نعم"),0,MAX(0,MIN($F195,EOMONTH(DATE(cfg_FY,10,1),0))-MAX($E195,DATE(cfg_FY,10,1))+1))</f>
        <v>0</v>
      </c>
      <c r="BD195" s="133" t="n">
        <f aca="false">IF(OR(OR($B195="",$E195="",$F195=""),$K195&lt;&gt;"نعم",$M195="نعم"),0,MAX(0,MIN($F195,EOMONTH(DATE(cfg_FY,11,1),0))-MAX($E195,DATE(cfg_FY,11,1))+1))</f>
        <v>0</v>
      </c>
      <c r="BE195" s="133" t="n">
        <f aca="false">IF(OR(OR($B195="",$E195="",$F195=""),$K195&lt;&gt;"نعم",$M195="نعم"),0,MAX(0,MIN($F195,EOMONTH(DATE(cfg_FY,12,1),0))-MAX($E195,DATE(cfg_FY,12,1))+1))</f>
        <v>0</v>
      </c>
    </row>
    <row r="196" customFormat="false" ht="15" hidden="false" customHeight="false" outlineLevel="0" collapsed="false">
      <c r="A196" s="106" t="str">
        <f aca="false">IF(B196="","",ROW()-5)</f>
        <v/>
      </c>
      <c r="B196" s="118"/>
      <c r="C196" s="114" t="str">
        <f aca="false">IF(B196="","",IFERROR(INDEX(الموظفون!$C$6:$C$105,MATCH(B196,الموظفون!$B$6:$B$105,0)),"✖ رقم غير موجود"))</f>
        <v/>
      </c>
      <c r="D196" s="118"/>
      <c r="E196" s="119"/>
      <c r="F196" s="119"/>
      <c r="G196" s="65" t="str">
        <f aca="false">IF(OR($B196="",$E196="",$F196=""),"",MAX(0,F196-E196+1))</f>
        <v/>
      </c>
      <c r="H196" s="66" t="str">
        <f aca="false">IF(D196="","",IFERROR(VLOOKUP(D196,cfg_LT,2,FALSE()),1))</f>
        <v/>
      </c>
      <c r="I196" s="135"/>
      <c r="J196" s="66" t="str">
        <f aca="false">IF(D196="","",IF(I196&lt;&gt;"",I196,H196))</f>
        <v/>
      </c>
      <c r="K196" s="114" t="str">
        <f aca="false">IF(D196="","",IFERROR(VLOOKUP($D196,cfg_LT,3,FALSE()),""))</f>
        <v/>
      </c>
      <c r="L196" s="114" t="str">
        <f aca="false">IF(D196="","",IFERROR(VLOOKUP($D196,cfg_LT,4,FALSE()),""))</f>
        <v/>
      </c>
      <c r="M196" s="114" t="str">
        <f aca="false">IF(D196="","",IFERROR(VLOOKUP($D196,cfg_LT,5,FALSE()),""))</f>
        <v/>
      </c>
      <c r="N196" s="111" t="n">
        <f aca="false">IF(OR(OR($B196="",$E196="",$F196=""),M196&lt;&gt;"نعم"),0,G196*J196*IFERROR(INDEX(الموظفون!$R$6:$R$105,MATCH(B196,الموظفون!$B$6:$B$105,0)),0)/cfg_DAYS_M)</f>
        <v>0</v>
      </c>
      <c r="O196" s="106" t="str">
        <f aca="false">IF(OR(OR($B196="",$E196="",$F196=""),M196&lt;&gt;"نعم"),"",IF(YEAR(E196)=cfg_FY,MONTH(E196),""))</f>
        <v/>
      </c>
      <c r="P196" s="114" t="str">
        <f aca="false">IF(B196="","",IF(OR(D196="",E196="",F196=""),"⚠ أكمل النوع والتواريخ",IF(F196&lt;E196,"✖ النهاية قبل البداية",IF(COUNTIFS($B$6:$B$505,B196,$E$6:$E$505,"&lt;="&amp;F196,$F$6:$F$505,"&gt;="&amp;E196)&gt;1,"⚠ تداخل مع سجل آخر",IF(E196&gt;cfg_VAL_DATE,"⏳ قادمة",IF(F196&lt;cfg_VAL_DATE,"✔ منتهية","✈ جارية في تاريخ التقرير"))))))</f>
        <v/>
      </c>
      <c r="Q196" s="118"/>
      <c r="R196" s="65" t="n">
        <f aca="false">IF(OR(OR($B196="",$E196="",$F196=""),L196&lt;&gt;"لا"),0,MAX(0,MIN(F196,cfg_Y_START-1)-E196+1))</f>
        <v>0</v>
      </c>
      <c r="S196" s="65" t="n">
        <f aca="false">IF(OR(OR($B196="",$E196="",$F196=""),L196&lt;&gt;"لا"),0,MAX(0,MIN(F196,cfg_VAL_DATE)-E196+1))</f>
        <v>0</v>
      </c>
      <c r="T196" s="65" t="n">
        <f aca="false">IF(OR(OR($B196="",$E196="",$F196=""),K196&lt;&gt;"نعم"),0,IF(M196="نعم",IF(AND(ISNUMBER(O196),N(O196)&lt;=cfg_VAL_M),G196,0),MAX(0,MIN(F196,cfg_VAL_DATE)-MAX(E196,cfg_Y_START)+1)))</f>
        <v>0</v>
      </c>
      <c r="V196" s="65" t="n">
        <f aca="false">IF(OR($B196="",$E196="",$F196=""),0,MAX(0,MIN($F196,EOMONTH(DATE(cfg_FY,1,1),0))-MAX($E196,DATE(cfg_FY,1,1))+1)*(1-IF($M196="نعم",0,N($J196))))</f>
        <v>0</v>
      </c>
      <c r="W196" s="65" t="n">
        <f aca="false">IF(OR($B196="",$E196="",$F196=""),0,MAX(0,MIN($F196,EOMONTH(DATE(cfg_FY,2,1),0))-MAX($E196,DATE(cfg_FY,2,1))+1)*(1-IF($M196="نعم",0,N($J196))))</f>
        <v>0</v>
      </c>
      <c r="X196" s="65" t="n">
        <f aca="false">IF(OR($B196="",$E196="",$F196=""),0,MAX(0,MIN($F196,EOMONTH(DATE(cfg_FY,3,1),0))-MAX($E196,DATE(cfg_FY,3,1))+1)*(1-IF($M196="نعم",0,N($J196))))</f>
        <v>0</v>
      </c>
      <c r="Y196" s="65" t="n">
        <f aca="false">IF(OR($B196="",$E196="",$F196=""),0,MAX(0,MIN($F196,EOMONTH(DATE(cfg_FY,4,1),0))-MAX($E196,DATE(cfg_FY,4,1))+1)*(1-IF($M196="نعم",0,N($J196))))</f>
        <v>0</v>
      </c>
      <c r="Z196" s="65" t="n">
        <f aca="false">IF(OR($B196="",$E196="",$F196=""),0,MAX(0,MIN($F196,EOMONTH(DATE(cfg_FY,5,1),0))-MAX($E196,DATE(cfg_FY,5,1))+1)*(1-IF($M196="نعم",0,N($J196))))</f>
        <v>0</v>
      </c>
      <c r="AA196" s="65" t="n">
        <f aca="false">IF(OR($B196="",$E196="",$F196=""),0,MAX(0,MIN($F196,EOMONTH(DATE(cfg_FY,6,1),0))-MAX($E196,DATE(cfg_FY,6,1))+1)*(1-IF($M196="نعم",0,N($J196))))</f>
        <v>0</v>
      </c>
      <c r="AB196" s="65" t="n">
        <f aca="false">IF(OR($B196="",$E196="",$F196=""),0,MAX(0,MIN($F196,EOMONTH(DATE(cfg_FY,7,1),0))-MAX($E196,DATE(cfg_FY,7,1))+1)*(1-IF($M196="نعم",0,N($J196))))</f>
        <v>0</v>
      </c>
      <c r="AC196" s="65" t="n">
        <f aca="false">IF(OR($B196="",$E196="",$F196=""),0,MAX(0,MIN($F196,EOMONTH(DATE(cfg_FY,8,1),0))-MAX($E196,DATE(cfg_FY,8,1))+1)*(1-IF($M196="نعم",0,N($J196))))</f>
        <v>0</v>
      </c>
      <c r="AD196" s="65" t="n">
        <f aca="false">IF(OR($B196="",$E196="",$F196=""),0,MAX(0,MIN($F196,EOMONTH(DATE(cfg_FY,9,1),0))-MAX($E196,DATE(cfg_FY,9,1))+1)*(1-IF($M196="نعم",0,N($J196))))</f>
        <v>0</v>
      </c>
      <c r="AE196" s="65" t="n">
        <f aca="false">IF(OR($B196="",$E196="",$F196=""),0,MAX(0,MIN($F196,EOMONTH(DATE(cfg_FY,10,1),0))-MAX($E196,DATE(cfg_FY,10,1))+1)*(1-IF($M196="نعم",0,N($J196))))</f>
        <v>0</v>
      </c>
      <c r="AF196" s="65" t="n">
        <f aca="false">IF(OR($B196="",$E196="",$F196=""),0,MAX(0,MIN($F196,EOMONTH(DATE(cfg_FY,11,1),0))-MAX($E196,DATE(cfg_FY,11,1))+1)*(1-IF($M196="نعم",0,N($J196))))</f>
        <v>0</v>
      </c>
      <c r="AG196" s="65" t="n">
        <f aca="false">IF(OR($B196="",$E196="",$F196=""),0,MAX(0,MIN($F196,EOMONTH(DATE(cfg_FY,12,1),0))-MAX($E196,DATE(cfg_FY,12,1))+1)*(1-IF($M196="نعم",0,N($J196))))</f>
        <v>0</v>
      </c>
      <c r="AH196" s="65" t="n">
        <f aca="false">IF(OR(OR($B196="",$E196="",$F196=""),$L196&lt;&gt;"لا"),0,MAX(0,MIN($F196,EOMONTH(DATE(cfg_FY,1,1),0))-$E196+1))</f>
        <v>0</v>
      </c>
      <c r="AI196" s="65" t="n">
        <f aca="false">IF(OR(OR($B196="",$E196="",$F196=""),$L196&lt;&gt;"لا"),0,MAX(0,MIN($F196,EOMONTH(DATE(cfg_FY,2,1),0))-$E196+1))</f>
        <v>0</v>
      </c>
      <c r="AJ196" s="65" t="n">
        <f aca="false">IF(OR(OR($B196="",$E196="",$F196=""),$L196&lt;&gt;"لا"),0,MAX(0,MIN($F196,EOMONTH(DATE(cfg_FY,3,1),0))-$E196+1))</f>
        <v>0</v>
      </c>
      <c r="AK196" s="65" t="n">
        <f aca="false">IF(OR(OR($B196="",$E196="",$F196=""),$L196&lt;&gt;"لا"),0,MAX(0,MIN($F196,EOMONTH(DATE(cfg_FY,4,1),0))-$E196+1))</f>
        <v>0</v>
      </c>
      <c r="AL196" s="65" t="n">
        <f aca="false">IF(OR(OR($B196="",$E196="",$F196=""),$L196&lt;&gt;"لا"),0,MAX(0,MIN($F196,EOMONTH(DATE(cfg_FY,5,1),0))-$E196+1))</f>
        <v>0</v>
      </c>
      <c r="AM196" s="65" t="n">
        <f aca="false">IF(OR(OR($B196="",$E196="",$F196=""),$L196&lt;&gt;"لا"),0,MAX(0,MIN($F196,EOMONTH(DATE(cfg_FY,6,1),0))-$E196+1))</f>
        <v>0</v>
      </c>
      <c r="AN196" s="65" t="n">
        <f aca="false">IF(OR(OR($B196="",$E196="",$F196=""),$L196&lt;&gt;"لا"),0,MAX(0,MIN($F196,EOMONTH(DATE(cfg_FY,7,1),0))-$E196+1))</f>
        <v>0</v>
      </c>
      <c r="AO196" s="65" t="n">
        <f aca="false">IF(OR(OR($B196="",$E196="",$F196=""),$L196&lt;&gt;"لا"),0,MAX(0,MIN($F196,EOMONTH(DATE(cfg_FY,8,1),0))-$E196+1))</f>
        <v>0</v>
      </c>
      <c r="AP196" s="65" t="n">
        <f aca="false">IF(OR(OR($B196="",$E196="",$F196=""),$L196&lt;&gt;"لا"),0,MAX(0,MIN($F196,EOMONTH(DATE(cfg_FY,9,1),0))-$E196+1))</f>
        <v>0</v>
      </c>
      <c r="AQ196" s="65" t="n">
        <f aca="false">IF(OR(OR($B196="",$E196="",$F196=""),$L196&lt;&gt;"لا"),0,MAX(0,MIN($F196,EOMONTH(DATE(cfg_FY,10,1),0))-$E196+1))</f>
        <v>0</v>
      </c>
      <c r="AR196" s="65" t="n">
        <f aca="false">IF(OR(OR($B196="",$E196="",$F196=""),$L196&lt;&gt;"لا"),0,MAX(0,MIN($F196,EOMONTH(DATE(cfg_FY,11,1),0))-$E196+1))</f>
        <v>0</v>
      </c>
      <c r="AS196" s="65" t="n">
        <f aca="false">IF(OR(OR($B196="",$E196="",$F196=""),$L196&lt;&gt;"لا"),0,MAX(0,MIN($F196,EOMONTH(DATE(cfg_FY,12,1),0))-$E196+1))</f>
        <v>0</v>
      </c>
      <c r="AT196" s="65" t="n">
        <f aca="false">IF(OR(OR($B196="",$E196="",$F196=""),$K196&lt;&gt;"نعم",$M196="نعم"),0,MAX(0,MIN($F196,EOMONTH(DATE(cfg_FY,1,1),0))-MAX($E196,DATE(cfg_FY,1,1))+1))</f>
        <v>0</v>
      </c>
      <c r="AU196" s="65" t="n">
        <f aca="false">IF(OR(OR($B196="",$E196="",$F196=""),$K196&lt;&gt;"نعم",$M196="نعم"),0,MAX(0,MIN($F196,EOMONTH(DATE(cfg_FY,2,1),0))-MAX($E196,DATE(cfg_FY,2,1))+1))</f>
        <v>0</v>
      </c>
      <c r="AV196" s="65" t="n">
        <f aca="false">IF(OR(OR($B196="",$E196="",$F196=""),$K196&lt;&gt;"نعم",$M196="نعم"),0,MAX(0,MIN($F196,EOMONTH(DATE(cfg_FY,3,1),0))-MAX($E196,DATE(cfg_FY,3,1))+1))</f>
        <v>0</v>
      </c>
      <c r="AW196" s="65" t="n">
        <f aca="false">IF(OR(OR($B196="",$E196="",$F196=""),$K196&lt;&gt;"نعم",$M196="نعم"),0,MAX(0,MIN($F196,EOMONTH(DATE(cfg_FY,4,1),0))-MAX($E196,DATE(cfg_FY,4,1))+1))</f>
        <v>0</v>
      </c>
      <c r="AX196" s="65" t="n">
        <f aca="false">IF(OR(OR($B196="",$E196="",$F196=""),$K196&lt;&gt;"نعم",$M196="نعم"),0,MAX(0,MIN($F196,EOMONTH(DATE(cfg_FY,5,1),0))-MAX($E196,DATE(cfg_FY,5,1))+1))</f>
        <v>0</v>
      </c>
      <c r="AY196" s="65" t="n">
        <f aca="false">IF(OR(OR($B196="",$E196="",$F196=""),$K196&lt;&gt;"نعم",$M196="نعم"),0,MAX(0,MIN($F196,EOMONTH(DATE(cfg_FY,6,1),0))-MAX($E196,DATE(cfg_FY,6,1))+1))</f>
        <v>0</v>
      </c>
      <c r="AZ196" s="65" t="n">
        <f aca="false">IF(OR(OR($B196="",$E196="",$F196=""),$K196&lt;&gt;"نعم",$M196="نعم"),0,MAX(0,MIN($F196,EOMONTH(DATE(cfg_FY,7,1),0))-MAX($E196,DATE(cfg_FY,7,1))+1))</f>
        <v>0</v>
      </c>
      <c r="BA196" s="65" t="n">
        <f aca="false">IF(OR(OR($B196="",$E196="",$F196=""),$K196&lt;&gt;"نعم",$M196="نعم"),0,MAX(0,MIN($F196,EOMONTH(DATE(cfg_FY,8,1),0))-MAX($E196,DATE(cfg_FY,8,1))+1))</f>
        <v>0</v>
      </c>
      <c r="BB196" s="65" t="n">
        <f aca="false">IF(OR(OR($B196="",$E196="",$F196=""),$K196&lt;&gt;"نعم",$M196="نعم"),0,MAX(0,MIN($F196,EOMONTH(DATE(cfg_FY,9,1),0))-MAX($E196,DATE(cfg_FY,9,1))+1))</f>
        <v>0</v>
      </c>
      <c r="BC196" s="65" t="n">
        <f aca="false">IF(OR(OR($B196="",$E196="",$F196=""),$K196&lt;&gt;"نعم",$M196="نعم"),0,MAX(0,MIN($F196,EOMONTH(DATE(cfg_FY,10,1),0))-MAX($E196,DATE(cfg_FY,10,1))+1))</f>
        <v>0</v>
      </c>
      <c r="BD196" s="65" t="n">
        <f aca="false">IF(OR(OR($B196="",$E196="",$F196=""),$K196&lt;&gt;"نعم",$M196="نعم"),0,MAX(0,MIN($F196,EOMONTH(DATE(cfg_FY,11,1),0))-MAX($E196,DATE(cfg_FY,11,1))+1))</f>
        <v>0</v>
      </c>
      <c r="BE196" s="65" t="n">
        <f aca="false">IF(OR(OR($B196="",$E196="",$F196=""),$K196&lt;&gt;"نعم",$M196="نعم"),0,MAX(0,MIN($F196,EOMONTH(DATE(cfg_FY,12,1),0))-MAX($E196,DATE(cfg_FY,12,1))+1))</f>
        <v>0</v>
      </c>
    </row>
    <row r="197" customFormat="false" ht="15" hidden="false" customHeight="false" outlineLevel="0" collapsed="false">
      <c r="A197" s="115" t="str">
        <f aca="false">IF(B197="","",ROW()-5)</f>
        <v/>
      </c>
      <c r="B197" s="118"/>
      <c r="C197" s="117" t="str">
        <f aca="false">IF(B197="","",IFERROR(INDEX(الموظفون!$C$6:$C$105,MATCH(B197,الموظفون!$B$6:$B$105,0)),"✖ رقم غير موجود"))</f>
        <v/>
      </c>
      <c r="D197" s="118"/>
      <c r="E197" s="119"/>
      <c r="F197" s="119"/>
      <c r="G197" s="133" t="str">
        <f aca="false">IF(OR($B197="",$E197="",$F197=""),"",MAX(0,F197-E197+1))</f>
        <v/>
      </c>
      <c r="H197" s="134" t="str">
        <f aca="false">IF(D197="","",IFERROR(VLOOKUP(D197,cfg_LT,2,FALSE()),1))</f>
        <v/>
      </c>
      <c r="I197" s="135"/>
      <c r="J197" s="134" t="str">
        <f aca="false">IF(D197="","",IF(I197&lt;&gt;"",I197,H197))</f>
        <v/>
      </c>
      <c r="K197" s="117" t="str">
        <f aca="false">IF(D197="","",IFERROR(VLOOKUP($D197,cfg_LT,3,FALSE()),""))</f>
        <v/>
      </c>
      <c r="L197" s="117" t="str">
        <f aca="false">IF(D197="","",IFERROR(VLOOKUP($D197,cfg_LT,4,FALSE()),""))</f>
        <v/>
      </c>
      <c r="M197" s="117" t="str">
        <f aca="false">IF(D197="","",IFERROR(VLOOKUP($D197,cfg_LT,5,FALSE()),""))</f>
        <v/>
      </c>
      <c r="N197" s="116" t="n">
        <f aca="false">IF(OR(OR($B197="",$E197="",$F197=""),M197&lt;&gt;"نعم"),0,G197*J197*IFERROR(INDEX(الموظفون!$R$6:$R$105,MATCH(B197,الموظفون!$B$6:$B$105,0)),0)/cfg_DAYS_M)</f>
        <v>0</v>
      </c>
      <c r="O197" s="115" t="str">
        <f aca="false">IF(OR(OR($B197="",$E197="",$F197=""),M197&lt;&gt;"نعم"),"",IF(YEAR(E197)=cfg_FY,MONTH(E197),""))</f>
        <v/>
      </c>
      <c r="P197" s="117" t="str">
        <f aca="false">IF(B197="","",IF(OR(D197="",E197="",F197=""),"⚠ أكمل النوع والتواريخ",IF(F197&lt;E197,"✖ النهاية قبل البداية",IF(COUNTIFS($B$6:$B$505,B197,$E$6:$E$505,"&lt;="&amp;F197,$F$6:$F$505,"&gt;="&amp;E197)&gt;1,"⚠ تداخل مع سجل آخر",IF(E197&gt;cfg_VAL_DATE,"⏳ قادمة",IF(F197&lt;cfg_VAL_DATE,"✔ منتهية","✈ جارية في تاريخ التقرير"))))))</f>
        <v/>
      </c>
      <c r="Q197" s="118"/>
      <c r="R197" s="133" t="n">
        <f aca="false">IF(OR(OR($B197="",$E197="",$F197=""),L197&lt;&gt;"لا"),0,MAX(0,MIN(F197,cfg_Y_START-1)-E197+1))</f>
        <v>0</v>
      </c>
      <c r="S197" s="133" t="n">
        <f aca="false">IF(OR(OR($B197="",$E197="",$F197=""),L197&lt;&gt;"لا"),0,MAX(0,MIN(F197,cfg_VAL_DATE)-E197+1))</f>
        <v>0</v>
      </c>
      <c r="T197" s="133" t="n">
        <f aca="false">IF(OR(OR($B197="",$E197="",$F197=""),K197&lt;&gt;"نعم"),0,IF(M197="نعم",IF(AND(ISNUMBER(O197),N(O197)&lt;=cfg_VAL_M),G197,0),MAX(0,MIN(F197,cfg_VAL_DATE)-MAX(E197,cfg_Y_START)+1)))</f>
        <v>0</v>
      </c>
      <c r="V197" s="133" t="n">
        <f aca="false">IF(OR($B197="",$E197="",$F197=""),0,MAX(0,MIN($F197,EOMONTH(DATE(cfg_FY,1,1),0))-MAX($E197,DATE(cfg_FY,1,1))+1)*(1-IF($M197="نعم",0,N($J197))))</f>
        <v>0</v>
      </c>
      <c r="W197" s="133" t="n">
        <f aca="false">IF(OR($B197="",$E197="",$F197=""),0,MAX(0,MIN($F197,EOMONTH(DATE(cfg_FY,2,1),0))-MAX($E197,DATE(cfg_FY,2,1))+1)*(1-IF($M197="نعم",0,N($J197))))</f>
        <v>0</v>
      </c>
      <c r="X197" s="133" t="n">
        <f aca="false">IF(OR($B197="",$E197="",$F197=""),0,MAX(0,MIN($F197,EOMONTH(DATE(cfg_FY,3,1),0))-MAX($E197,DATE(cfg_FY,3,1))+1)*(1-IF($M197="نعم",0,N($J197))))</f>
        <v>0</v>
      </c>
      <c r="Y197" s="133" t="n">
        <f aca="false">IF(OR($B197="",$E197="",$F197=""),0,MAX(0,MIN($F197,EOMONTH(DATE(cfg_FY,4,1),0))-MAX($E197,DATE(cfg_FY,4,1))+1)*(1-IF($M197="نعم",0,N($J197))))</f>
        <v>0</v>
      </c>
      <c r="Z197" s="133" t="n">
        <f aca="false">IF(OR($B197="",$E197="",$F197=""),0,MAX(0,MIN($F197,EOMONTH(DATE(cfg_FY,5,1),0))-MAX($E197,DATE(cfg_FY,5,1))+1)*(1-IF($M197="نعم",0,N($J197))))</f>
        <v>0</v>
      </c>
      <c r="AA197" s="133" t="n">
        <f aca="false">IF(OR($B197="",$E197="",$F197=""),0,MAX(0,MIN($F197,EOMONTH(DATE(cfg_FY,6,1),0))-MAX($E197,DATE(cfg_FY,6,1))+1)*(1-IF($M197="نعم",0,N($J197))))</f>
        <v>0</v>
      </c>
      <c r="AB197" s="133" t="n">
        <f aca="false">IF(OR($B197="",$E197="",$F197=""),0,MAX(0,MIN($F197,EOMONTH(DATE(cfg_FY,7,1),0))-MAX($E197,DATE(cfg_FY,7,1))+1)*(1-IF($M197="نعم",0,N($J197))))</f>
        <v>0</v>
      </c>
      <c r="AC197" s="133" t="n">
        <f aca="false">IF(OR($B197="",$E197="",$F197=""),0,MAX(0,MIN($F197,EOMONTH(DATE(cfg_FY,8,1),0))-MAX($E197,DATE(cfg_FY,8,1))+1)*(1-IF($M197="نعم",0,N($J197))))</f>
        <v>0</v>
      </c>
      <c r="AD197" s="133" t="n">
        <f aca="false">IF(OR($B197="",$E197="",$F197=""),0,MAX(0,MIN($F197,EOMONTH(DATE(cfg_FY,9,1),0))-MAX($E197,DATE(cfg_FY,9,1))+1)*(1-IF($M197="نعم",0,N($J197))))</f>
        <v>0</v>
      </c>
      <c r="AE197" s="133" t="n">
        <f aca="false">IF(OR($B197="",$E197="",$F197=""),0,MAX(0,MIN($F197,EOMONTH(DATE(cfg_FY,10,1),0))-MAX($E197,DATE(cfg_FY,10,1))+1)*(1-IF($M197="نعم",0,N($J197))))</f>
        <v>0</v>
      </c>
      <c r="AF197" s="133" t="n">
        <f aca="false">IF(OR($B197="",$E197="",$F197=""),0,MAX(0,MIN($F197,EOMONTH(DATE(cfg_FY,11,1),0))-MAX($E197,DATE(cfg_FY,11,1))+1)*(1-IF($M197="نعم",0,N($J197))))</f>
        <v>0</v>
      </c>
      <c r="AG197" s="133" t="n">
        <f aca="false">IF(OR($B197="",$E197="",$F197=""),0,MAX(0,MIN($F197,EOMONTH(DATE(cfg_FY,12,1),0))-MAX($E197,DATE(cfg_FY,12,1))+1)*(1-IF($M197="نعم",0,N($J197))))</f>
        <v>0</v>
      </c>
      <c r="AH197" s="133" t="n">
        <f aca="false">IF(OR(OR($B197="",$E197="",$F197=""),$L197&lt;&gt;"لا"),0,MAX(0,MIN($F197,EOMONTH(DATE(cfg_FY,1,1),0))-$E197+1))</f>
        <v>0</v>
      </c>
      <c r="AI197" s="133" t="n">
        <f aca="false">IF(OR(OR($B197="",$E197="",$F197=""),$L197&lt;&gt;"لا"),0,MAX(0,MIN($F197,EOMONTH(DATE(cfg_FY,2,1),0))-$E197+1))</f>
        <v>0</v>
      </c>
      <c r="AJ197" s="133" t="n">
        <f aca="false">IF(OR(OR($B197="",$E197="",$F197=""),$L197&lt;&gt;"لا"),0,MAX(0,MIN($F197,EOMONTH(DATE(cfg_FY,3,1),0))-$E197+1))</f>
        <v>0</v>
      </c>
      <c r="AK197" s="133" t="n">
        <f aca="false">IF(OR(OR($B197="",$E197="",$F197=""),$L197&lt;&gt;"لا"),0,MAX(0,MIN($F197,EOMONTH(DATE(cfg_FY,4,1),0))-$E197+1))</f>
        <v>0</v>
      </c>
      <c r="AL197" s="133" t="n">
        <f aca="false">IF(OR(OR($B197="",$E197="",$F197=""),$L197&lt;&gt;"لا"),0,MAX(0,MIN($F197,EOMONTH(DATE(cfg_FY,5,1),0))-$E197+1))</f>
        <v>0</v>
      </c>
      <c r="AM197" s="133" t="n">
        <f aca="false">IF(OR(OR($B197="",$E197="",$F197=""),$L197&lt;&gt;"لا"),0,MAX(0,MIN($F197,EOMONTH(DATE(cfg_FY,6,1),0))-$E197+1))</f>
        <v>0</v>
      </c>
      <c r="AN197" s="133" t="n">
        <f aca="false">IF(OR(OR($B197="",$E197="",$F197=""),$L197&lt;&gt;"لا"),0,MAX(0,MIN($F197,EOMONTH(DATE(cfg_FY,7,1),0))-$E197+1))</f>
        <v>0</v>
      </c>
      <c r="AO197" s="133" t="n">
        <f aca="false">IF(OR(OR($B197="",$E197="",$F197=""),$L197&lt;&gt;"لا"),0,MAX(0,MIN($F197,EOMONTH(DATE(cfg_FY,8,1),0))-$E197+1))</f>
        <v>0</v>
      </c>
      <c r="AP197" s="133" t="n">
        <f aca="false">IF(OR(OR($B197="",$E197="",$F197=""),$L197&lt;&gt;"لا"),0,MAX(0,MIN($F197,EOMONTH(DATE(cfg_FY,9,1),0))-$E197+1))</f>
        <v>0</v>
      </c>
      <c r="AQ197" s="133" t="n">
        <f aca="false">IF(OR(OR($B197="",$E197="",$F197=""),$L197&lt;&gt;"لا"),0,MAX(0,MIN($F197,EOMONTH(DATE(cfg_FY,10,1),0))-$E197+1))</f>
        <v>0</v>
      </c>
      <c r="AR197" s="133" t="n">
        <f aca="false">IF(OR(OR($B197="",$E197="",$F197=""),$L197&lt;&gt;"لا"),0,MAX(0,MIN($F197,EOMONTH(DATE(cfg_FY,11,1),0))-$E197+1))</f>
        <v>0</v>
      </c>
      <c r="AS197" s="133" t="n">
        <f aca="false">IF(OR(OR($B197="",$E197="",$F197=""),$L197&lt;&gt;"لا"),0,MAX(0,MIN($F197,EOMONTH(DATE(cfg_FY,12,1),0))-$E197+1))</f>
        <v>0</v>
      </c>
      <c r="AT197" s="133" t="n">
        <f aca="false">IF(OR(OR($B197="",$E197="",$F197=""),$K197&lt;&gt;"نعم",$M197="نعم"),0,MAX(0,MIN($F197,EOMONTH(DATE(cfg_FY,1,1),0))-MAX($E197,DATE(cfg_FY,1,1))+1))</f>
        <v>0</v>
      </c>
      <c r="AU197" s="133" t="n">
        <f aca="false">IF(OR(OR($B197="",$E197="",$F197=""),$K197&lt;&gt;"نعم",$M197="نعم"),0,MAX(0,MIN($F197,EOMONTH(DATE(cfg_FY,2,1),0))-MAX($E197,DATE(cfg_FY,2,1))+1))</f>
        <v>0</v>
      </c>
      <c r="AV197" s="133" t="n">
        <f aca="false">IF(OR(OR($B197="",$E197="",$F197=""),$K197&lt;&gt;"نعم",$M197="نعم"),0,MAX(0,MIN($F197,EOMONTH(DATE(cfg_FY,3,1),0))-MAX($E197,DATE(cfg_FY,3,1))+1))</f>
        <v>0</v>
      </c>
      <c r="AW197" s="133" t="n">
        <f aca="false">IF(OR(OR($B197="",$E197="",$F197=""),$K197&lt;&gt;"نعم",$M197="نعم"),0,MAX(0,MIN($F197,EOMONTH(DATE(cfg_FY,4,1),0))-MAX($E197,DATE(cfg_FY,4,1))+1))</f>
        <v>0</v>
      </c>
      <c r="AX197" s="133" t="n">
        <f aca="false">IF(OR(OR($B197="",$E197="",$F197=""),$K197&lt;&gt;"نعم",$M197="نعم"),0,MAX(0,MIN($F197,EOMONTH(DATE(cfg_FY,5,1),0))-MAX($E197,DATE(cfg_FY,5,1))+1))</f>
        <v>0</v>
      </c>
      <c r="AY197" s="133" t="n">
        <f aca="false">IF(OR(OR($B197="",$E197="",$F197=""),$K197&lt;&gt;"نعم",$M197="نعم"),0,MAX(0,MIN($F197,EOMONTH(DATE(cfg_FY,6,1),0))-MAX($E197,DATE(cfg_FY,6,1))+1))</f>
        <v>0</v>
      </c>
      <c r="AZ197" s="133" t="n">
        <f aca="false">IF(OR(OR($B197="",$E197="",$F197=""),$K197&lt;&gt;"نعم",$M197="نعم"),0,MAX(0,MIN($F197,EOMONTH(DATE(cfg_FY,7,1),0))-MAX($E197,DATE(cfg_FY,7,1))+1))</f>
        <v>0</v>
      </c>
      <c r="BA197" s="133" t="n">
        <f aca="false">IF(OR(OR($B197="",$E197="",$F197=""),$K197&lt;&gt;"نعم",$M197="نعم"),0,MAX(0,MIN($F197,EOMONTH(DATE(cfg_FY,8,1),0))-MAX($E197,DATE(cfg_FY,8,1))+1))</f>
        <v>0</v>
      </c>
      <c r="BB197" s="133" t="n">
        <f aca="false">IF(OR(OR($B197="",$E197="",$F197=""),$K197&lt;&gt;"نعم",$M197="نعم"),0,MAX(0,MIN($F197,EOMONTH(DATE(cfg_FY,9,1),0))-MAX($E197,DATE(cfg_FY,9,1))+1))</f>
        <v>0</v>
      </c>
      <c r="BC197" s="133" t="n">
        <f aca="false">IF(OR(OR($B197="",$E197="",$F197=""),$K197&lt;&gt;"نعم",$M197="نعم"),0,MAX(0,MIN($F197,EOMONTH(DATE(cfg_FY,10,1),0))-MAX($E197,DATE(cfg_FY,10,1))+1))</f>
        <v>0</v>
      </c>
      <c r="BD197" s="133" t="n">
        <f aca="false">IF(OR(OR($B197="",$E197="",$F197=""),$K197&lt;&gt;"نعم",$M197="نعم"),0,MAX(0,MIN($F197,EOMONTH(DATE(cfg_FY,11,1),0))-MAX($E197,DATE(cfg_FY,11,1))+1))</f>
        <v>0</v>
      </c>
      <c r="BE197" s="133" t="n">
        <f aca="false">IF(OR(OR($B197="",$E197="",$F197=""),$K197&lt;&gt;"نعم",$M197="نعم"),0,MAX(0,MIN($F197,EOMONTH(DATE(cfg_FY,12,1),0))-MAX($E197,DATE(cfg_FY,12,1))+1))</f>
        <v>0</v>
      </c>
    </row>
    <row r="198" customFormat="false" ht="15" hidden="false" customHeight="false" outlineLevel="0" collapsed="false">
      <c r="A198" s="106" t="str">
        <f aca="false">IF(B198="","",ROW()-5)</f>
        <v/>
      </c>
      <c r="B198" s="118"/>
      <c r="C198" s="114" t="str">
        <f aca="false">IF(B198="","",IFERROR(INDEX(الموظفون!$C$6:$C$105,MATCH(B198,الموظفون!$B$6:$B$105,0)),"✖ رقم غير موجود"))</f>
        <v/>
      </c>
      <c r="D198" s="118"/>
      <c r="E198" s="119"/>
      <c r="F198" s="119"/>
      <c r="G198" s="65" t="str">
        <f aca="false">IF(OR($B198="",$E198="",$F198=""),"",MAX(0,F198-E198+1))</f>
        <v/>
      </c>
      <c r="H198" s="66" t="str">
        <f aca="false">IF(D198="","",IFERROR(VLOOKUP(D198,cfg_LT,2,FALSE()),1))</f>
        <v/>
      </c>
      <c r="I198" s="135"/>
      <c r="J198" s="66" t="str">
        <f aca="false">IF(D198="","",IF(I198&lt;&gt;"",I198,H198))</f>
        <v/>
      </c>
      <c r="K198" s="114" t="str">
        <f aca="false">IF(D198="","",IFERROR(VLOOKUP($D198,cfg_LT,3,FALSE()),""))</f>
        <v/>
      </c>
      <c r="L198" s="114" t="str">
        <f aca="false">IF(D198="","",IFERROR(VLOOKUP($D198,cfg_LT,4,FALSE()),""))</f>
        <v/>
      </c>
      <c r="M198" s="114" t="str">
        <f aca="false">IF(D198="","",IFERROR(VLOOKUP($D198,cfg_LT,5,FALSE()),""))</f>
        <v/>
      </c>
      <c r="N198" s="111" t="n">
        <f aca="false">IF(OR(OR($B198="",$E198="",$F198=""),M198&lt;&gt;"نعم"),0,G198*J198*IFERROR(INDEX(الموظفون!$R$6:$R$105,MATCH(B198,الموظفون!$B$6:$B$105,0)),0)/cfg_DAYS_M)</f>
        <v>0</v>
      </c>
      <c r="O198" s="106" t="str">
        <f aca="false">IF(OR(OR($B198="",$E198="",$F198=""),M198&lt;&gt;"نعم"),"",IF(YEAR(E198)=cfg_FY,MONTH(E198),""))</f>
        <v/>
      </c>
      <c r="P198" s="114" t="str">
        <f aca="false">IF(B198="","",IF(OR(D198="",E198="",F198=""),"⚠ أكمل النوع والتواريخ",IF(F198&lt;E198,"✖ النهاية قبل البداية",IF(COUNTIFS($B$6:$B$505,B198,$E$6:$E$505,"&lt;="&amp;F198,$F$6:$F$505,"&gt;="&amp;E198)&gt;1,"⚠ تداخل مع سجل آخر",IF(E198&gt;cfg_VAL_DATE,"⏳ قادمة",IF(F198&lt;cfg_VAL_DATE,"✔ منتهية","✈ جارية في تاريخ التقرير"))))))</f>
        <v/>
      </c>
      <c r="Q198" s="118"/>
      <c r="R198" s="65" t="n">
        <f aca="false">IF(OR(OR($B198="",$E198="",$F198=""),L198&lt;&gt;"لا"),0,MAX(0,MIN(F198,cfg_Y_START-1)-E198+1))</f>
        <v>0</v>
      </c>
      <c r="S198" s="65" t="n">
        <f aca="false">IF(OR(OR($B198="",$E198="",$F198=""),L198&lt;&gt;"لا"),0,MAX(0,MIN(F198,cfg_VAL_DATE)-E198+1))</f>
        <v>0</v>
      </c>
      <c r="T198" s="65" t="n">
        <f aca="false">IF(OR(OR($B198="",$E198="",$F198=""),K198&lt;&gt;"نعم"),0,IF(M198="نعم",IF(AND(ISNUMBER(O198),N(O198)&lt;=cfg_VAL_M),G198,0),MAX(0,MIN(F198,cfg_VAL_DATE)-MAX(E198,cfg_Y_START)+1)))</f>
        <v>0</v>
      </c>
      <c r="V198" s="65" t="n">
        <f aca="false">IF(OR($B198="",$E198="",$F198=""),0,MAX(0,MIN($F198,EOMONTH(DATE(cfg_FY,1,1),0))-MAX($E198,DATE(cfg_FY,1,1))+1)*(1-IF($M198="نعم",0,N($J198))))</f>
        <v>0</v>
      </c>
      <c r="W198" s="65" t="n">
        <f aca="false">IF(OR($B198="",$E198="",$F198=""),0,MAX(0,MIN($F198,EOMONTH(DATE(cfg_FY,2,1),0))-MAX($E198,DATE(cfg_FY,2,1))+1)*(1-IF($M198="نعم",0,N($J198))))</f>
        <v>0</v>
      </c>
      <c r="X198" s="65" t="n">
        <f aca="false">IF(OR($B198="",$E198="",$F198=""),0,MAX(0,MIN($F198,EOMONTH(DATE(cfg_FY,3,1),0))-MAX($E198,DATE(cfg_FY,3,1))+1)*(1-IF($M198="نعم",0,N($J198))))</f>
        <v>0</v>
      </c>
      <c r="Y198" s="65" t="n">
        <f aca="false">IF(OR($B198="",$E198="",$F198=""),0,MAX(0,MIN($F198,EOMONTH(DATE(cfg_FY,4,1),0))-MAX($E198,DATE(cfg_FY,4,1))+1)*(1-IF($M198="نعم",0,N($J198))))</f>
        <v>0</v>
      </c>
      <c r="Z198" s="65" t="n">
        <f aca="false">IF(OR($B198="",$E198="",$F198=""),0,MAX(0,MIN($F198,EOMONTH(DATE(cfg_FY,5,1),0))-MAX($E198,DATE(cfg_FY,5,1))+1)*(1-IF($M198="نعم",0,N($J198))))</f>
        <v>0</v>
      </c>
      <c r="AA198" s="65" t="n">
        <f aca="false">IF(OR($B198="",$E198="",$F198=""),0,MAX(0,MIN($F198,EOMONTH(DATE(cfg_FY,6,1),0))-MAX($E198,DATE(cfg_FY,6,1))+1)*(1-IF($M198="نعم",0,N($J198))))</f>
        <v>0</v>
      </c>
      <c r="AB198" s="65" t="n">
        <f aca="false">IF(OR($B198="",$E198="",$F198=""),0,MAX(0,MIN($F198,EOMONTH(DATE(cfg_FY,7,1),0))-MAX($E198,DATE(cfg_FY,7,1))+1)*(1-IF($M198="نعم",0,N($J198))))</f>
        <v>0</v>
      </c>
      <c r="AC198" s="65" t="n">
        <f aca="false">IF(OR($B198="",$E198="",$F198=""),0,MAX(0,MIN($F198,EOMONTH(DATE(cfg_FY,8,1),0))-MAX($E198,DATE(cfg_FY,8,1))+1)*(1-IF($M198="نعم",0,N($J198))))</f>
        <v>0</v>
      </c>
      <c r="AD198" s="65" t="n">
        <f aca="false">IF(OR($B198="",$E198="",$F198=""),0,MAX(0,MIN($F198,EOMONTH(DATE(cfg_FY,9,1),0))-MAX($E198,DATE(cfg_FY,9,1))+1)*(1-IF($M198="نعم",0,N($J198))))</f>
        <v>0</v>
      </c>
      <c r="AE198" s="65" t="n">
        <f aca="false">IF(OR($B198="",$E198="",$F198=""),0,MAX(0,MIN($F198,EOMONTH(DATE(cfg_FY,10,1),0))-MAX($E198,DATE(cfg_FY,10,1))+1)*(1-IF($M198="نعم",0,N($J198))))</f>
        <v>0</v>
      </c>
      <c r="AF198" s="65" t="n">
        <f aca="false">IF(OR($B198="",$E198="",$F198=""),0,MAX(0,MIN($F198,EOMONTH(DATE(cfg_FY,11,1),0))-MAX($E198,DATE(cfg_FY,11,1))+1)*(1-IF($M198="نعم",0,N($J198))))</f>
        <v>0</v>
      </c>
      <c r="AG198" s="65" t="n">
        <f aca="false">IF(OR($B198="",$E198="",$F198=""),0,MAX(0,MIN($F198,EOMONTH(DATE(cfg_FY,12,1),0))-MAX($E198,DATE(cfg_FY,12,1))+1)*(1-IF($M198="نعم",0,N($J198))))</f>
        <v>0</v>
      </c>
      <c r="AH198" s="65" t="n">
        <f aca="false">IF(OR(OR($B198="",$E198="",$F198=""),$L198&lt;&gt;"لا"),0,MAX(0,MIN($F198,EOMONTH(DATE(cfg_FY,1,1),0))-$E198+1))</f>
        <v>0</v>
      </c>
      <c r="AI198" s="65" t="n">
        <f aca="false">IF(OR(OR($B198="",$E198="",$F198=""),$L198&lt;&gt;"لا"),0,MAX(0,MIN($F198,EOMONTH(DATE(cfg_FY,2,1),0))-$E198+1))</f>
        <v>0</v>
      </c>
      <c r="AJ198" s="65" t="n">
        <f aca="false">IF(OR(OR($B198="",$E198="",$F198=""),$L198&lt;&gt;"لا"),0,MAX(0,MIN($F198,EOMONTH(DATE(cfg_FY,3,1),0))-$E198+1))</f>
        <v>0</v>
      </c>
      <c r="AK198" s="65" t="n">
        <f aca="false">IF(OR(OR($B198="",$E198="",$F198=""),$L198&lt;&gt;"لا"),0,MAX(0,MIN($F198,EOMONTH(DATE(cfg_FY,4,1),0))-$E198+1))</f>
        <v>0</v>
      </c>
      <c r="AL198" s="65" t="n">
        <f aca="false">IF(OR(OR($B198="",$E198="",$F198=""),$L198&lt;&gt;"لا"),0,MAX(0,MIN($F198,EOMONTH(DATE(cfg_FY,5,1),0))-$E198+1))</f>
        <v>0</v>
      </c>
      <c r="AM198" s="65" t="n">
        <f aca="false">IF(OR(OR($B198="",$E198="",$F198=""),$L198&lt;&gt;"لا"),0,MAX(0,MIN($F198,EOMONTH(DATE(cfg_FY,6,1),0))-$E198+1))</f>
        <v>0</v>
      </c>
      <c r="AN198" s="65" t="n">
        <f aca="false">IF(OR(OR($B198="",$E198="",$F198=""),$L198&lt;&gt;"لا"),0,MAX(0,MIN($F198,EOMONTH(DATE(cfg_FY,7,1),0))-$E198+1))</f>
        <v>0</v>
      </c>
      <c r="AO198" s="65" t="n">
        <f aca="false">IF(OR(OR($B198="",$E198="",$F198=""),$L198&lt;&gt;"لا"),0,MAX(0,MIN($F198,EOMONTH(DATE(cfg_FY,8,1),0))-$E198+1))</f>
        <v>0</v>
      </c>
      <c r="AP198" s="65" t="n">
        <f aca="false">IF(OR(OR($B198="",$E198="",$F198=""),$L198&lt;&gt;"لا"),0,MAX(0,MIN($F198,EOMONTH(DATE(cfg_FY,9,1),0))-$E198+1))</f>
        <v>0</v>
      </c>
      <c r="AQ198" s="65" t="n">
        <f aca="false">IF(OR(OR($B198="",$E198="",$F198=""),$L198&lt;&gt;"لا"),0,MAX(0,MIN($F198,EOMONTH(DATE(cfg_FY,10,1),0))-$E198+1))</f>
        <v>0</v>
      </c>
      <c r="AR198" s="65" t="n">
        <f aca="false">IF(OR(OR($B198="",$E198="",$F198=""),$L198&lt;&gt;"لا"),0,MAX(0,MIN($F198,EOMONTH(DATE(cfg_FY,11,1),0))-$E198+1))</f>
        <v>0</v>
      </c>
      <c r="AS198" s="65" t="n">
        <f aca="false">IF(OR(OR($B198="",$E198="",$F198=""),$L198&lt;&gt;"لا"),0,MAX(0,MIN($F198,EOMONTH(DATE(cfg_FY,12,1),0))-$E198+1))</f>
        <v>0</v>
      </c>
      <c r="AT198" s="65" t="n">
        <f aca="false">IF(OR(OR($B198="",$E198="",$F198=""),$K198&lt;&gt;"نعم",$M198="نعم"),0,MAX(0,MIN($F198,EOMONTH(DATE(cfg_FY,1,1),0))-MAX($E198,DATE(cfg_FY,1,1))+1))</f>
        <v>0</v>
      </c>
      <c r="AU198" s="65" t="n">
        <f aca="false">IF(OR(OR($B198="",$E198="",$F198=""),$K198&lt;&gt;"نعم",$M198="نعم"),0,MAX(0,MIN($F198,EOMONTH(DATE(cfg_FY,2,1),0))-MAX($E198,DATE(cfg_FY,2,1))+1))</f>
        <v>0</v>
      </c>
      <c r="AV198" s="65" t="n">
        <f aca="false">IF(OR(OR($B198="",$E198="",$F198=""),$K198&lt;&gt;"نعم",$M198="نعم"),0,MAX(0,MIN($F198,EOMONTH(DATE(cfg_FY,3,1),0))-MAX($E198,DATE(cfg_FY,3,1))+1))</f>
        <v>0</v>
      </c>
      <c r="AW198" s="65" t="n">
        <f aca="false">IF(OR(OR($B198="",$E198="",$F198=""),$K198&lt;&gt;"نعم",$M198="نعم"),0,MAX(0,MIN($F198,EOMONTH(DATE(cfg_FY,4,1),0))-MAX($E198,DATE(cfg_FY,4,1))+1))</f>
        <v>0</v>
      </c>
      <c r="AX198" s="65" t="n">
        <f aca="false">IF(OR(OR($B198="",$E198="",$F198=""),$K198&lt;&gt;"نعم",$M198="نعم"),0,MAX(0,MIN($F198,EOMONTH(DATE(cfg_FY,5,1),0))-MAX($E198,DATE(cfg_FY,5,1))+1))</f>
        <v>0</v>
      </c>
      <c r="AY198" s="65" t="n">
        <f aca="false">IF(OR(OR($B198="",$E198="",$F198=""),$K198&lt;&gt;"نعم",$M198="نعم"),0,MAX(0,MIN($F198,EOMONTH(DATE(cfg_FY,6,1),0))-MAX($E198,DATE(cfg_FY,6,1))+1))</f>
        <v>0</v>
      </c>
      <c r="AZ198" s="65" t="n">
        <f aca="false">IF(OR(OR($B198="",$E198="",$F198=""),$K198&lt;&gt;"نعم",$M198="نعم"),0,MAX(0,MIN($F198,EOMONTH(DATE(cfg_FY,7,1),0))-MAX($E198,DATE(cfg_FY,7,1))+1))</f>
        <v>0</v>
      </c>
      <c r="BA198" s="65" t="n">
        <f aca="false">IF(OR(OR($B198="",$E198="",$F198=""),$K198&lt;&gt;"نعم",$M198="نعم"),0,MAX(0,MIN($F198,EOMONTH(DATE(cfg_FY,8,1),0))-MAX($E198,DATE(cfg_FY,8,1))+1))</f>
        <v>0</v>
      </c>
      <c r="BB198" s="65" t="n">
        <f aca="false">IF(OR(OR($B198="",$E198="",$F198=""),$K198&lt;&gt;"نعم",$M198="نعم"),0,MAX(0,MIN($F198,EOMONTH(DATE(cfg_FY,9,1),0))-MAX($E198,DATE(cfg_FY,9,1))+1))</f>
        <v>0</v>
      </c>
      <c r="BC198" s="65" t="n">
        <f aca="false">IF(OR(OR($B198="",$E198="",$F198=""),$K198&lt;&gt;"نعم",$M198="نعم"),0,MAX(0,MIN($F198,EOMONTH(DATE(cfg_FY,10,1),0))-MAX($E198,DATE(cfg_FY,10,1))+1))</f>
        <v>0</v>
      </c>
      <c r="BD198" s="65" t="n">
        <f aca="false">IF(OR(OR($B198="",$E198="",$F198=""),$K198&lt;&gt;"نعم",$M198="نعم"),0,MAX(0,MIN($F198,EOMONTH(DATE(cfg_FY,11,1),0))-MAX($E198,DATE(cfg_FY,11,1))+1))</f>
        <v>0</v>
      </c>
      <c r="BE198" s="65" t="n">
        <f aca="false">IF(OR(OR($B198="",$E198="",$F198=""),$K198&lt;&gt;"نعم",$M198="نعم"),0,MAX(0,MIN($F198,EOMONTH(DATE(cfg_FY,12,1),0))-MAX($E198,DATE(cfg_FY,12,1))+1))</f>
        <v>0</v>
      </c>
    </row>
    <row r="199" customFormat="false" ht="15" hidden="false" customHeight="false" outlineLevel="0" collapsed="false">
      <c r="A199" s="115" t="str">
        <f aca="false">IF(B199="","",ROW()-5)</f>
        <v/>
      </c>
      <c r="B199" s="118"/>
      <c r="C199" s="117" t="str">
        <f aca="false">IF(B199="","",IFERROR(INDEX(الموظفون!$C$6:$C$105,MATCH(B199,الموظفون!$B$6:$B$105,0)),"✖ رقم غير موجود"))</f>
        <v/>
      </c>
      <c r="D199" s="118"/>
      <c r="E199" s="119"/>
      <c r="F199" s="119"/>
      <c r="G199" s="133" t="str">
        <f aca="false">IF(OR($B199="",$E199="",$F199=""),"",MAX(0,F199-E199+1))</f>
        <v/>
      </c>
      <c r="H199" s="134" t="str">
        <f aca="false">IF(D199="","",IFERROR(VLOOKUP(D199,cfg_LT,2,FALSE()),1))</f>
        <v/>
      </c>
      <c r="I199" s="135"/>
      <c r="J199" s="134" t="str">
        <f aca="false">IF(D199="","",IF(I199&lt;&gt;"",I199,H199))</f>
        <v/>
      </c>
      <c r="K199" s="117" t="str">
        <f aca="false">IF(D199="","",IFERROR(VLOOKUP($D199,cfg_LT,3,FALSE()),""))</f>
        <v/>
      </c>
      <c r="L199" s="117" t="str">
        <f aca="false">IF(D199="","",IFERROR(VLOOKUP($D199,cfg_LT,4,FALSE()),""))</f>
        <v/>
      </c>
      <c r="M199" s="117" t="str">
        <f aca="false">IF(D199="","",IFERROR(VLOOKUP($D199,cfg_LT,5,FALSE()),""))</f>
        <v/>
      </c>
      <c r="N199" s="116" t="n">
        <f aca="false">IF(OR(OR($B199="",$E199="",$F199=""),M199&lt;&gt;"نعم"),0,G199*J199*IFERROR(INDEX(الموظفون!$R$6:$R$105,MATCH(B199,الموظفون!$B$6:$B$105,0)),0)/cfg_DAYS_M)</f>
        <v>0</v>
      </c>
      <c r="O199" s="115" t="str">
        <f aca="false">IF(OR(OR($B199="",$E199="",$F199=""),M199&lt;&gt;"نعم"),"",IF(YEAR(E199)=cfg_FY,MONTH(E199),""))</f>
        <v/>
      </c>
      <c r="P199" s="117" t="str">
        <f aca="false">IF(B199="","",IF(OR(D199="",E199="",F199=""),"⚠ أكمل النوع والتواريخ",IF(F199&lt;E199,"✖ النهاية قبل البداية",IF(COUNTIFS($B$6:$B$505,B199,$E$6:$E$505,"&lt;="&amp;F199,$F$6:$F$505,"&gt;="&amp;E199)&gt;1,"⚠ تداخل مع سجل آخر",IF(E199&gt;cfg_VAL_DATE,"⏳ قادمة",IF(F199&lt;cfg_VAL_DATE,"✔ منتهية","✈ جارية في تاريخ التقرير"))))))</f>
        <v/>
      </c>
      <c r="Q199" s="118"/>
      <c r="R199" s="133" t="n">
        <f aca="false">IF(OR(OR($B199="",$E199="",$F199=""),L199&lt;&gt;"لا"),0,MAX(0,MIN(F199,cfg_Y_START-1)-E199+1))</f>
        <v>0</v>
      </c>
      <c r="S199" s="133" t="n">
        <f aca="false">IF(OR(OR($B199="",$E199="",$F199=""),L199&lt;&gt;"لا"),0,MAX(0,MIN(F199,cfg_VAL_DATE)-E199+1))</f>
        <v>0</v>
      </c>
      <c r="T199" s="133" t="n">
        <f aca="false">IF(OR(OR($B199="",$E199="",$F199=""),K199&lt;&gt;"نعم"),0,IF(M199="نعم",IF(AND(ISNUMBER(O199),N(O199)&lt;=cfg_VAL_M),G199,0),MAX(0,MIN(F199,cfg_VAL_DATE)-MAX(E199,cfg_Y_START)+1)))</f>
        <v>0</v>
      </c>
      <c r="V199" s="133" t="n">
        <f aca="false">IF(OR($B199="",$E199="",$F199=""),0,MAX(0,MIN($F199,EOMONTH(DATE(cfg_FY,1,1),0))-MAX($E199,DATE(cfg_FY,1,1))+1)*(1-IF($M199="نعم",0,N($J199))))</f>
        <v>0</v>
      </c>
      <c r="W199" s="133" t="n">
        <f aca="false">IF(OR($B199="",$E199="",$F199=""),0,MAX(0,MIN($F199,EOMONTH(DATE(cfg_FY,2,1),0))-MAX($E199,DATE(cfg_FY,2,1))+1)*(1-IF($M199="نعم",0,N($J199))))</f>
        <v>0</v>
      </c>
      <c r="X199" s="133" t="n">
        <f aca="false">IF(OR($B199="",$E199="",$F199=""),0,MAX(0,MIN($F199,EOMONTH(DATE(cfg_FY,3,1),0))-MAX($E199,DATE(cfg_FY,3,1))+1)*(1-IF($M199="نعم",0,N($J199))))</f>
        <v>0</v>
      </c>
      <c r="Y199" s="133" t="n">
        <f aca="false">IF(OR($B199="",$E199="",$F199=""),0,MAX(0,MIN($F199,EOMONTH(DATE(cfg_FY,4,1),0))-MAX($E199,DATE(cfg_FY,4,1))+1)*(1-IF($M199="نعم",0,N($J199))))</f>
        <v>0</v>
      </c>
      <c r="Z199" s="133" t="n">
        <f aca="false">IF(OR($B199="",$E199="",$F199=""),0,MAX(0,MIN($F199,EOMONTH(DATE(cfg_FY,5,1),0))-MAX($E199,DATE(cfg_FY,5,1))+1)*(1-IF($M199="نعم",0,N($J199))))</f>
        <v>0</v>
      </c>
      <c r="AA199" s="133" t="n">
        <f aca="false">IF(OR($B199="",$E199="",$F199=""),0,MAX(0,MIN($F199,EOMONTH(DATE(cfg_FY,6,1),0))-MAX($E199,DATE(cfg_FY,6,1))+1)*(1-IF($M199="نعم",0,N($J199))))</f>
        <v>0</v>
      </c>
      <c r="AB199" s="133" t="n">
        <f aca="false">IF(OR($B199="",$E199="",$F199=""),0,MAX(0,MIN($F199,EOMONTH(DATE(cfg_FY,7,1),0))-MAX($E199,DATE(cfg_FY,7,1))+1)*(1-IF($M199="نعم",0,N($J199))))</f>
        <v>0</v>
      </c>
      <c r="AC199" s="133" t="n">
        <f aca="false">IF(OR($B199="",$E199="",$F199=""),0,MAX(0,MIN($F199,EOMONTH(DATE(cfg_FY,8,1),0))-MAX($E199,DATE(cfg_FY,8,1))+1)*(1-IF($M199="نعم",0,N($J199))))</f>
        <v>0</v>
      </c>
      <c r="AD199" s="133" t="n">
        <f aca="false">IF(OR($B199="",$E199="",$F199=""),0,MAX(0,MIN($F199,EOMONTH(DATE(cfg_FY,9,1),0))-MAX($E199,DATE(cfg_FY,9,1))+1)*(1-IF($M199="نعم",0,N($J199))))</f>
        <v>0</v>
      </c>
      <c r="AE199" s="133" t="n">
        <f aca="false">IF(OR($B199="",$E199="",$F199=""),0,MAX(0,MIN($F199,EOMONTH(DATE(cfg_FY,10,1),0))-MAX($E199,DATE(cfg_FY,10,1))+1)*(1-IF($M199="نعم",0,N($J199))))</f>
        <v>0</v>
      </c>
      <c r="AF199" s="133" t="n">
        <f aca="false">IF(OR($B199="",$E199="",$F199=""),0,MAX(0,MIN($F199,EOMONTH(DATE(cfg_FY,11,1),0))-MAX($E199,DATE(cfg_FY,11,1))+1)*(1-IF($M199="نعم",0,N($J199))))</f>
        <v>0</v>
      </c>
      <c r="AG199" s="133" t="n">
        <f aca="false">IF(OR($B199="",$E199="",$F199=""),0,MAX(0,MIN($F199,EOMONTH(DATE(cfg_FY,12,1),0))-MAX($E199,DATE(cfg_FY,12,1))+1)*(1-IF($M199="نعم",0,N($J199))))</f>
        <v>0</v>
      </c>
      <c r="AH199" s="133" t="n">
        <f aca="false">IF(OR(OR($B199="",$E199="",$F199=""),$L199&lt;&gt;"لا"),0,MAX(0,MIN($F199,EOMONTH(DATE(cfg_FY,1,1),0))-$E199+1))</f>
        <v>0</v>
      </c>
      <c r="AI199" s="133" t="n">
        <f aca="false">IF(OR(OR($B199="",$E199="",$F199=""),$L199&lt;&gt;"لا"),0,MAX(0,MIN($F199,EOMONTH(DATE(cfg_FY,2,1),0))-$E199+1))</f>
        <v>0</v>
      </c>
      <c r="AJ199" s="133" t="n">
        <f aca="false">IF(OR(OR($B199="",$E199="",$F199=""),$L199&lt;&gt;"لا"),0,MAX(0,MIN($F199,EOMONTH(DATE(cfg_FY,3,1),0))-$E199+1))</f>
        <v>0</v>
      </c>
      <c r="AK199" s="133" t="n">
        <f aca="false">IF(OR(OR($B199="",$E199="",$F199=""),$L199&lt;&gt;"لا"),0,MAX(0,MIN($F199,EOMONTH(DATE(cfg_FY,4,1),0))-$E199+1))</f>
        <v>0</v>
      </c>
      <c r="AL199" s="133" t="n">
        <f aca="false">IF(OR(OR($B199="",$E199="",$F199=""),$L199&lt;&gt;"لا"),0,MAX(0,MIN($F199,EOMONTH(DATE(cfg_FY,5,1),0))-$E199+1))</f>
        <v>0</v>
      </c>
      <c r="AM199" s="133" t="n">
        <f aca="false">IF(OR(OR($B199="",$E199="",$F199=""),$L199&lt;&gt;"لا"),0,MAX(0,MIN($F199,EOMONTH(DATE(cfg_FY,6,1),0))-$E199+1))</f>
        <v>0</v>
      </c>
      <c r="AN199" s="133" t="n">
        <f aca="false">IF(OR(OR($B199="",$E199="",$F199=""),$L199&lt;&gt;"لا"),0,MAX(0,MIN($F199,EOMONTH(DATE(cfg_FY,7,1),0))-$E199+1))</f>
        <v>0</v>
      </c>
      <c r="AO199" s="133" t="n">
        <f aca="false">IF(OR(OR($B199="",$E199="",$F199=""),$L199&lt;&gt;"لا"),0,MAX(0,MIN($F199,EOMONTH(DATE(cfg_FY,8,1),0))-$E199+1))</f>
        <v>0</v>
      </c>
      <c r="AP199" s="133" t="n">
        <f aca="false">IF(OR(OR($B199="",$E199="",$F199=""),$L199&lt;&gt;"لا"),0,MAX(0,MIN($F199,EOMONTH(DATE(cfg_FY,9,1),0))-$E199+1))</f>
        <v>0</v>
      </c>
      <c r="AQ199" s="133" t="n">
        <f aca="false">IF(OR(OR($B199="",$E199="",$F199=""),$L199&lt;&gt;"لا"),0,MAX(0,MIN($F199,EOMONTH(DATE(cfg_FY,10,1),0))-$E199+1))</f>
        <v>0</v>
      </c>
      <c r="AR199" s="133" t="n">
        <f aca="false">IF(OR(OR($B199="",$E199="",$F199=""),$L199&lt;&gt;"لا"),0,MAX(0,MIN($F199,EOMONTH(DATE(cfg_FY,11,1),0))-$E199+1))</f>
        <v>0</v>
      </c>
      <c r="AS199" s="133" t="n">
        <f aca="false">IF(OR(OR($B199="",$E199="",$F199=""),$L199&lt;&gt;"لا"),0,MAX(0,MIN($F199,EOMONTH(DATE(cfg_FY,12,1),0))-$E199+1))</f>
        <v>0</v>
      </c>
      <c r="AT199" s="133" t="n">
        <f aca="false">IF(OR(OR($B199="",$E199="",$F199=""),$K199&lt;&gt;"نعم",$M199="نعم"),0,MAX(0,MIN($F199,EOMONTH(DATE(cfg_FY,1,1),0))-MAX($E199,DATE(cfg_FY,1,1))+1))</f>
        <v>0</v>
      </c>
      <c r="AU199" s="133" t="n">
        <f aca="false">IF(OR(OR($B199="",$E199="",$F199=""),$K199&lt;&gt;"نعم",$M199="نعم"),0,MAX(0,MIN($F199,EOMONTH(DATE(cfg_FY,2,1),0))-MAX($E199,DATE(cfg_FY,2,1))+1))</f>
        <v>0</v>
      </c>
      <c r="AV199" s="133" t="n">
        <f aca="false">IF(OR(OR($B199="",$E199="",$F199=""),$K199&lt;&gt;"نعم",$M199="نعم"),0,MAX(0,MIN($F199,EOMONTH(DATE(cfg_FY,3,1),0))-MAX($E199,DATE(cfg_FY,3,1))+1))</f>
        <v>0</v>
      </c>
      <c r="AW199" s="133" t="n">
        <f aca="false">IF(OR(OR($B199="",$E199="",$F199=""),$K199&lt;&gt;"نعم",$M199="نعم"),0,MAX(0,MIN($F199,EOMONTH(DATE(cfg_FY,4,1),0))-MAX($E199,DATE(cfg_FY,4,1))+1))</f>
        <v>0</v>
      </c>
      <c r="AX199" s="133" t="n">
        <f aca="false">IF(OR(OR($B199="",$E199="",$F199=""),$K199&lt;&gt;"نعم",$M199="نعم"),0,MAX(0,MIN($F199,EOMONTH(DATE(cfg_FY,5,1),0))-MAX($E199,DATE(cfg_FY,5,1))+1))</f>
        <v>0</v>
      </c>
      <c r="AY199" s="133" t="n">
        <f aca="false">IF(OR(OR($B199="",$E199="",$F199=""),$K199&lt;&gt;"نعم",$M199="نعم"),0,MAX(0,MIN($F199,EOMONTH(DATE(cfg_FY,6,1),0))-MAX($E199,DATE(cfg_FY,6,1))+1))</f>
        <v>0</v>
      </c>
      <c r="AZ199" s="133" t="n">
        <f aca="false">IF(OR(OR($B199="",$E199="",$F199=""),$K199&lt;&gt;"نعم",$M199="نعم"),0,MAX(0,MIN($F199,EOMONTH(DATE(cfg_FY,7,1),0))-MAX($E199,DATE(cfg_FY,7,1))+1))</f>
        <v>0</v>
      </c>
      <c r="BA199" s="133" t="n">
        <f aca="false">IF(OR(OR($B199="",$E199="",$F199=""),$K199&lt;&gt;"نعم",$M199="نعم"),0,MAX(0,MIN($F199,EOMONTH(DATE(cfg_FY,8,1),0))-MAX($E199,DATE(cfg_FY,8,1))+1))</f>
        <v>0</v>
      </c>
      <c r="BB199" s="133" t="n">
        <f aca="false">IF(OR(OR($B199="",$E199="",$F199=""),$K199&lt;&gt;"نعم",$M199="نعم"),0,MAX(0,MIN($F199,EOMONTH(DATE(cfg_FY,9,1),0))-MAX($E199,DATE(cfg_FY,9,1))+1))</f>
        <v>0</v>
      </c>
      <c r="BC199" s="133" t="n">
        <f aca="false">IF(OR(OR($B199="",$E199="",$F199=""),$K199&lt;&gt;"نعم",$M199="نعم"),0,MAX(0,MIN($F199,EOMONTH(DATE(cfg_FY,10,1),0))-MAX($E199,DATE(cfg_FY,10,1))+1))</f>
        <v>0</v>
      </c>
      <c r="BD199" s="133" t="n">
        <f aca="false">IF(OR(OR($B199="",$E199="",$F199=""),$K199&lt;&gt;"نعم",$M199="نعم"),0,MAX(0,MIN($F199,EOMONTH(DATE(cfg_FY,11,1),0))-MAX($E199,DATE(cfg_FY,11,1))+1))</f>
        <v>0</v>
      </c>
      <c r="BE199" s="133" t="n">
        <f aca="false">IF(OR(OR($B199="",$E199="",$F199=""),$K199&lt;&gt;"نعم",$M199="نعم"),0,MAX(0,MIN($F199,EOMONTH(DATE(cfg_FY,12,1),0))-MAX($E199,DATE(cfg_FY,12,1))+1))</f>
        <v>0</v>
      </c>
    </row>
    <row r="200" customFormat="false" ht="15" hidden="false" customHeight="false" outlineLevel="0" collapsed="false">
      <c r="A200" s="106" t="str">
        <f aca="false">IF(B200="","",ROW()-5)</f>
        <v/>
      </c>
      <c r="B200" s="118"/>
      <c r="C200" s="114" t="str">
        <f aca="false">IF(B200="","",IFERROR(INDEX(الموظفون!$C$6:$C$105,MATCH(B200,الموظفون!$B$6:$B$105,0)),"✖ رقم غير موجود"))</f>
        <v/>
      </c>
      <c r="D200" s="118"/>
      <c r="E200" s="119"/>
      <c r="F200" s="119"/>
      <c r="G200" s="65" t="str">
        <f aca="false">IF(OR($B200="",$E200="",$F200=""),"",MAX(0,F200-E200+1))</f>
        <v/>
      </c>
      <c r="H200" s="66" t="str">
        <f aca="false">IF(D200="","",IFERROR(VLOOKUP(D200,cfg_LT,2,FALSE()),1))</f>
        <v/>
      </c>
      <c r="I200" s="135"/>
      <c r="J200" s="66" t="str">
        <f aca="false">IF(D200="","",IF(I200&lt;&gt;"",I200,H200))</f>
        <v/>
      </c>
      <c r="K200" s="114" t="str">
        <f aca="false">IF(D200="","",IFERROR(VLOOKUP($D200,cfg_LT,3,FALSE()),""))</f>
        <v/>
      </c>
      <c r="L200" s="114" t="str">
        <f aca="false">IF(D200="","",IFERROR(VLOOKUP($D200,cfg_LT,4,FALSE()),""))</f>
        <v/>
      </c>
      <c r="M200" s="114" t="str">
        <f aca="false">IF(D200="","",IFERROR(VLOOKUP($D200,cfg_LT,5,FALSE()),""))</f>
        <v/>
      </c>
      <c r="N200" s="111" t="n">
        <f aca="false">IF(OR(OR($B200="",$E200="",$F200=""),M200&lt;&gt;"نعم"),0,G200*J200*IFERROR(INDEX(الموظفون!$R$6:$R$105,MATCH(B200,الموظفون!$B$6:$B$105,0)),0)/cfg_DAYS_M)</f>
        <v>0</v>
      </c>
      <c r="O200" s="106" t="str">
        <f aca="false">IF(OR(OR($B200="",$E200="",$F200=""),M200&lt;&gt;"نعم"),"",IF(YEAR(E200)=cfg_FY,MONTH(E200),""))</f>
        <v/>
      </c>
      <c r="P200" s="114" t="str">
        <f aca="false">IF(B200="","",IF(OR(D200="",E200="",F200=""),"⚠ أكمل النوع والتواريخ",IF(F200&lt;E200,"✖ النهاية قبل البداية",IF(COUNTIFS($B$6:$B$505,B200,$E$6:$E$505,"&lt;="&amp;F200,$F$6:$F$505,"&gt;="&amp;E200)&gt;1,"⚠ تداخل مع سجل آخر",IF(E200&gt;cfg_VAL_DATE,"⏳ قادمة",IF(F200&lt;cfg_VAL_DATE,"✔ منتهية","✈ جارية في تاريخ التقرير"))))))</f>
        <v/>
      </c>
      <c r="Q200" s="118"/>
      <c r="R200" s="65" t="n">
        <f aca="false">IF(OR(OR($B200="",$E200="",$F200=""),L200&lt;&gt;"لا"),0,MAX(0,MIN(F200,cfg_Y_START-1)-E200+1))</f>
        <v>0</v>
      </c>
      <c r="S200" s="65" t="n">
        <f aca="false">IF(OR(OR($B200="",$E200="",$F200=""),L200&lt;&gt;"لا"),0,MAX(0,MIN(F200,cfg_VAL_DATE)-E200+1))</f>
        <v>0</v>
      </c>
      <c r="T200" s="65" t="n">
        <f aca="false">IF(OR(OR($B200="",$E200="",$F200=""),K200&lt;&gt;"نعم"),0,IF(M200="نعم",IF(AND(ISNUMBER(O200),N(O200)&lt;=cfg_VAL_M),G200,0),MAX(0,MIN(F200,cfg_VAL_DATE)-MAX(E200,cfg_Y_START)+1)))</f>
        <v>0</v>
      </c>
      <c r="V200" s="65" t="n">
        <f aca="false">IF(OR($B200="",$E200="",$F200=""),0,MAX(0,MIN($F200,EOMONTH(DATE(cfg_FY,1,1),0))-MAX($E200,DATE(cfg_FY,1,1))+1)*(1-IF($M200="نعم",0,N($J200))))</f>
        <v>0</v>
      </c>
      <c r="W200" s="65" t="n">
        <f aca="false">IF(OR($B200="",$E200="",$F200=""),0,MAX(0,MIN($F200,EOMONTH(DATE(cfg_FY,2,1),0))-MAX($E200,DATE(cfg_FY,2,1))+1)*(1-IF($M200="نعم",0,N($J200))))</f>
        <v>0</v>
      </c>
      <c r="X200" s="65" t="n">
        <f aca="false">IF(OR($B200="",$E200="",$F200=""),0,MAX(0,MIN($F200,EOMONTH(DATE(cfg_FY,3,1),0))-MAX($E200,DATE(cfg_FY,3,1))+1)*(1-IF($M200="نعم",0,N($J200))))</f>
        <v>0</v>
      </c>
      <c r="Y200" s="65" t="n">
        <f aca="false">IF(OR($B200="",$E200="",$F200=""),0,MAX(0,MIN($F200,EOMONTH(DATE(cfg_FY,4,1),0))-MAX($E200,DATE(cfg_FY,4,1))+1)*(1-IF($M200="نعم",0,N($J200))))</f>
        <v>0</v>
      </c>
      <c r="Z200" s="65" t="n">
        <f aca="false">IF(OR($B200="",$E200="",$F200=""),0,MAX(0,MIN($F200,EOMONTH(DATE(cfg_FY,5,1),0))-MAX($E200,DATE(cfg_FY,5,1))+1)*(1-IF($M200="نعم",0,N($J200))))</f>
        <v>0</v>
      </c>
      <c r="AA200" s="65" t="n">
        <f aca="false">IF(OR($B200="",$E200="",$F200=""),0,MAX(0,MIN($F200,EOMONTH(DATE(cfg_FY,6,1),0))-MAX($E200,DATE(cfg_FY,6,1))+1)*(1-IF($M200="نعم",0,N($J200))))</f>
        <v>0</v>
      </c>
      <c r="AB200" s="65" t="n">
        <f aca="false">IF(OR($B200="",$E200="",$F200=""),0,MAX(0,MIN($F200,EOMONTH(DATE(cfg_FY,7,1),0))-MAX($E200,DATE(cfg_FY,7,1))+1)*(1-IF($M200="نعم",0,N($J200))))</f>
        <v>0</v>
      </c>
      <c r="AC200" s="65" t="n">
        <f aca="false">IF(OR($B200="",$E200="",$F200=""),0,MAX(0,MIN($F200,EOMONTH(DATE(cfg_FY,8,1),0))-MAX($E200,DATE(cfg_FY,8,1))+1)*(1-IF($M200="نعم",0,N($J200))))</f>
        <v>0</v>
      </c>
      <c r="AD200" s="65" t="n">
        <f aca="false">IF(OR($B200="",$E200="",$F200=""),0,MAX(0,MIN($F200,EOMONTH(DATE(cfg_FY,9,1),0))-MAX($E200,DATE(cfg_FY,9,1))+1)*(1-IF($M200="نعم",0,N($J200))))</f>
        <v>0</v>
      </c>
      <c r="AE200" s="65" t="n">
        <f aca="false">IF(OR($B200="",$E200="",$F200=""),0,MAX(0,MIN($F200,EOMONTH(DATE(cfg_FY,10,1),0))-MAX($E200,DATE(cfg_FY,10,1))+1)*(1-IF($M200="نعم",0,N($J200))))</f>
        <v>0</v>
      </c>
      <c r="AF200" s="65" t="n">
        <f aca="false">IF(OR($B200="",$E200="",$F200=""),0,MAX(0,MIN($F200,EOMONTH(DATE(cfg_FY,11,1),0))-MAX($E200,DATE(cfg_FY,11,1))+1)*(1-IF($M200="نعم",0,N($J200))))</f>
        <v>0</v>
      </c>
      <c r="AG200" s="65" t="n">
        <f aca="false">IF(OR($B200="",$E200="",$F200=""),0,MAX(0,MIN($F200,EOMONTH(DATE(cfg_FY,12,1),0))-MAX($E200,DATE(cfg_FY,12,1))+1)*(1-IF($M200="نعم",0,N($J200))))</f>
        <v>0</v>
      </c>
      <c r="AH200" s="65" t="n">
        <f aca="false">IF(OR(OR($B200="",$E200="",$F200=""),$L200&lt;&gt;"لا"),0,MAX(0,MIN($F200,EOMONTH(DATE(cfg_FY,1,1),0))-$E200+1))</f>
        <v>0</v>
      </c>
      <c r="AI200" s="65" t="n">
        <f aca="false">IF(OR(OR($B200="",$E200="",$F200=""),$L200&lt;&gt;"لا"),0,MAX(0,MIN($F200,EOMONTH(DATE(cfg_FY,2,1),0))-$E200+1))</f>
        <v>0</v>
      </c>
      <c r="AJ200" s="65" t="n">
        <f aca="false">IF(OR(OR($B200="",$E200="",$F200=""),$L200&lt;&gt;"لا"),0,MAX(0,MIN($F200,EOMONTH(DATE(cfg_FY,3,1),0))-$E200+1))</f>
        <v>0</v>
      </c>
      <c r="AK200" s="65" t="n">
        <f aca="false">IF(OR(OR($B200="",$E200="",$F200=""),$L200&lt;&gt;"لا"),0,MAX(0,MIN($F200,EOMONTH(DATE(cfg_FY,4,1),0))-$E200+1))</f>
        <v>0</v>
      </c>
      <c r="AL200" s="65" t="n">
        <f aca="false">IF(OR(OR($B200="",$E200="",$F200=""),$L200&lt;&gt;"لا"),0,MAX(0,MIN($F200,EOMONTH(DATE(cfg_FY,5,1),0))-$E200+1))</f>
        <v>0</v>
      </c>
      <c r="AM200" s="65" t="n">
        <f aca="false">IF(OR(OR($B200="",$E200="",$F200=""),$L200&lt;&gt;"لا"),0,MAX(0,MIN($F200,EOMONTH(DATE(cfg_FY,6,1),0))-$E200+1))</f>
        <v>0</v>
      </c>
      <c r="AN200" s="65" t="n">
        <f aca="false">IF(OR(OR($B200="",$E200="",$F200=""),$L200&lt;&gt;"لا"),0,MAX(0,MIN($F200,EOMONTH(DATE(cfg_FY,7,1),0))-$E200+1))</f>
        <v>0</v>
      </c>
      <c r="AO200" s="65" t="n">
        <f aca="false">IF(OR(OR($B200="",$E200="",$F200=""),$L200&lt;&gt;"لا"),0,MAX(0,MIN($F200,EOMONTH(DATE(cfg_FY,8,1),0))-$E200+1))</f>
        <v>0</v>
      </c>
      <c r="AP200" s="65" t="n">
        <f aca="false">IF(OR(OR($B200="",$E200="",$F200=""),$L200&lt;&gt;"لا"),0,MAX(0,MIN($F200,EOMONTH(DATE(cfg_FY,9,1),0))-$E200+1))</f>
        <v>0</v>
      </c>
      <c r="AQ200" s="65" t="n">
        <f aca="false">IF(OR(OR($B200="",$E200="",$F200=""),$L200&lt;&gt;"لا"),0,MAX(0,MIN($F200,EOMONTH(DATE(cfg_FY,10,1),0))-$E200+1))</f>
        <v>0</v>
      </c>
      <c r="AR200" s="65" t="n">
        <f aca="false">IF(OR(OR($B200="",$E200="",$F200=""),$L200&lt;&gt;"لا"),0,MAX(0,MIN($F200,EOMONTH(DATE(cfg_FY,11,1),0))-$E200+1))</f>
        <v>0</v>
      </c>
      <c r="AS200" s="65" t="n">
        <f aca="false">IF(OR(OR($B200="",$E200="",$F200=""),$L200&lt;&gt;"لا"),0,MAX(0,MIN($F200,EOMONTH(DATE(cfg_FY,12,1),0))-$E200+1))</f>
        <v>0</v>
      </c>
      <c r="AT200" s="65" t="n">
        <f aca="false">IF(OR(OR($B200="",$E200="",$F200=""),$K200&lt;&gt;"نعم",$M200="نعم"),0,MAX(0,MIN($F200,EOMONTH(DATE(cfg_FY,1,1),0))-MAX($E200,DATE(cfg_FY,1,1))+1))</f>
        <v>0</v>
      </c>
      <c r="AU200" s="65" t="n">
        <f aca="false">IF(OR(OR($B200="",$E200="",$F200=""),$K200&lt;&gt;"نعم",$M200="نعم"),0,MAX(0,MIN($F200,EOMONTH(DATE(cfg_FY,2,1),0))-MAX($E200,DATE(cfg_FY,2,1))+1))</f>
        <v>0</v>
      </c>
      <c r="AV200" s="65" t="n">
        <f aca="false">IF(OR(OR($B200="",$E200="",$F200=""),$K200&lt;&gt;"نعم",$M200="نعم"),0,MAX(0,MIN($F200,EOMONTH(DATE(cfg_FY,3,1),0))-MAX($E200,DATE(cfg_FY,3,1))+1))</f>
        <v>0</v>
      </c>
      <c r="AW200" s="65" t="n">
        <f aca="false">IF(OR(OR($B200="",$E200="",$F200=""),$K200&lt;&gt;"نعم",$M200="نعم"),0,MAX(0,MIN($F200,EOMONTH(DATE(cfg_FY,4,1),0))-MAX($E200,DATE(cfg_FY,4,1))+1))</f>
        <v>0</v>
      </c>
      <c r="AX200" s="65" t="n">
        <f aca="false">IF(OR(OR($B200="",$E200="",$F200=""),$K200&lt;&gt;"نعم",$M200="نعم"),0,MAX(0,MIN($F200,EOMONTH(DATE(cfg_FY,5,1),0))-MAX($E200,DATE(cfg_FY,5,1))+1))</f>
        <v>0</v>
      </c>
      <c r="AY200" s="65" t="n">
        <f aca="false">IF(OR(OR($B200="",$E200="",$F200=""),$K200&lt;&gt;"نعم",$M200="نعم"),0,MAX(0,MIN($F200,EOMONTH(DATE(cfg_FY,6,1),0))-MAX($E200,DATE(cfg_FY,6,1))+1))</f>
        <v>0</v>
      </c>
      <c r="AZ200" s="65" t="n">
        <f aca="false">IF(OR(OR($B200="",$E200="",$F200=""),$K200&lt;&gt;"نعم",$M200="نعم"),0,MAX(0,MIN($F200,EOMONTH(DATE(cfg_FY,7,1),0))-MAX($E200,DATE(cfg_FY,7,1))+1))</f>
        <v>0</v>
      </c>
      <c r="BA200" s="65" t="n">
        <f aca="false">IF(OR(OR($B200="",$E200="",$F200=""),$K200&lt;&gt;"نعم",$M200="نعم"),0,MAX(0,MIN($F200,EOMONTH(DATE(cfg_FY,8,1),0))-MAX($E200,DATE(cfg_FY,8,1))+1))</f>
        <v>0</v>
      </c>
      <c r="BB200" s="65" t="n">
        <f aca="false">IF(OR(OR($B200="",$E200="",$F200=""),$K200&lt;&gt;"نعم",$M200="نعم"),0,MAX(0,MIN($F200,EOMONTH(DATE(cfg_FY,9,1),0))-MAX($E200,DATE(cfg_FY,9,1))+1))</f>
        <v>0</v>
      </c>
      <c r="BC200" s="65" t="n">
        <f aca="false">IF(OR(OR($B200="",$E200="",$F200=""),$K200&lt;&gt;"نعم",$M200="نعم"),0,MAX(0,MIN($F200,EOMONTH(DATE(cfg_FY,10,1),0))-MAX($E200,DATE(cfg_FY,10,1))+1))</f>
        <v>0</v>
      </c>
      <c r="BD200" s="65" t="n">
        <f aca="false">IF(OR(OR($B200="",$E200="",$F200=""),$K200&lt;&gt;"نعم",$M200="نعم"),0,MAX(0,MIN($F200,EOMONTH(DATE(cfg_FY,11,1),0))-MAX($E200,DATE(cfg_FY,11,1))+1))</f>
        <v>0</v>
      </c>
      <c r="BE200" s="65" t="n">
        <f aca="false">IF(OR(OR($B200="",$E200="",$F200=""),$K200&lt;&gt;"نعم",$M200="نعم"),0,MAX(0,MIN($F200,EOMONTH(DATE(cfg_FY,12,1),0))-MAX($E200,DATE(cfg_FY,12,1))+1))</f>
        <v>0</v>
      </c>
    </row>
    <row r="201" customFormat="false" ht="15" hidden="false" customHeight="false" outlineLevel="0" collapsed="false">
      <c r="A201" s="115" t="str">
        <f aca="false">IF(B201="","",ROW()-5)</f>
        <v/>
      </c>
      <c r="B201" s="118"/>
      <c r="C201" s="117" t="str">
        <f aca="false">IF(B201="","",IFERROR(INDEX(الموظفون!$C$6:$C$105,MATCH(B201,الموظفون!$B$6:$B$105,0)),"✖ رقم غير موجود"))</f>
        <v/>
      </c>
      <c r="D201" s="118"/>
      <c r="E201" s="119"/>
      <c r="F201" s="119"/>
      <c r="G201" s="133" t="str">
        <f aca="false">IF(OR($B201="",$E201="",$F201=""),"",MAX(0,F201-E201+1))</f>
        <v/>
      </c>
      <c r="H201" s="134" t="str">
        <f aca="false">IF(D201="","",IFERROR(VLOOKUP(D201,cfg_LT,2,FALSE()),1))</f>
        <v/>
      </c>
      <c r="I201" s="135"/>
      <c r="J201" s="134" t="str">
        <f aca="false">IF(D201="","",IF(I201&lt;&gt;"",I201,H201))</f>
        <v/>
      </c>
      <c r="K201" s="117" t="str">
        <f aca="false">IF(D201="","",IFERROR(VLOOKUP($D201,cfg_LT,3,FALSE()),""))</f>
        <v/>
      </c>
      <c r="L201" s="117" t="str">
        <f aca="false">IF(D201="","",IFERROR(VLOOKUP($D201,cfg_LT,4,FALSE()),""))</f>
        <v/>
      </c>
      <c r="M201" s="117" t="str">
        <f aca="false">IF(D201="","",IFERROR(VLOOKUP($D201,cfg_LT,5,FALSE()),""))</f>
        <v/>
      </c>
      <c r="N201" s="116" t="n">
        <f aca="false">IF(OR(OR($B201="",$E201="",$F201=""),M201&lt;&gt;"نعم"),0,G201*J201*IFERROR(INDEX(الموظفون!$R$6:$R$105,MATCH(B201,الموظفون!$B$6:$B$105,0)),0)/cfg_DAYS_M)</f>
        <v>0</v>
      </c>
      <c r="O201" s="115" t="str">
        <f aca="false">IF(OR(OR($B201="",$E201="",$F201=""),M201&lt;&gt;"نعم"),"",IF(YEAR(E201)=cfg_FY,MONTH(E201),""))</f>
        <v/>
      </c>
      <c r="P201" s="117" t="str">
        <f aca="false">IF(B201="","",IF(OR(D201="",E201="",F201=""),"⚠ أكمل النوع والتواريخ",IF(F201&lt;E201,"✖ النهاية قبل البداية",IF(COUNTIFS($B$6:$B$505,B201,$E$6:$E$505,"&lt;="&amp;F201,$F$6:$F$505,"&gt;="&amp;E201)&gt;1,"⚠ تداخل مع سجل آخر",IF(E201&gt;cfg_VAL_DATE,"⏳ قادمة",IF(F201&lt;cfg_VAL_DATE,"✔ منتهية","✈ جارية في تاريخ التقرير"))))))</f>
        <v/>
      </c>
      <c r="Q201" s="118"/>
      <c r="R201" s="133" t="n">
        <f aca="false">IF(OR(OR($B201="",$E201="",$F201=""),L201&lt;&gt;"لا"),0,MAX(0,MIN(F201,cfg_Y_START-1)-E201+1))</f>
        <v>0</v>
      </c>
      <c r="S201" s="133" t="n">
        <f aca="false">IF(OR(OR($B201="",$E201="",$F201=""),L201&lt;&gt;"لا"),0,MAX(0,MIN(F201,cfg_VAL_DATE)-E201+1))</f>
        <v>0</v>
      </c>
      <c r="T201" s="133" t="n">
        <f aca="false">IF(OR(OR($B201="",$E201="",$F201=""),K201&lt;&gt;"نعم"),0,IF(M201="نعم",IF(AND(ISNUMBER(O201),N(O201)&lt;=cfg_VAL_M),G201,0),MAX(0,MIN(F201,cfg_VAL_DATE)-MAX(E201,cfg_Y_START)+1)))</f>
        <v>0</v>
      </c>
      <c r="V201" s="133" t="n">
        <f aca="false">IF(OR($B201="",$E201="",$F201=""),0,MAX(0,MIN($F201,EOMONTH(DATE(cfg_FY,1,1),0))-MAX($E201,DATE(cfg_FY,1,1))+1)*(1-IF($M201="نعم",0,N($J201))))</f>
        <v>0</v>
      </c>
      <c r="W201" s="133" t="n">
        <f aca="false">IF(OR($B201="",$E201="",$F201=""),0,MAX(0,MIN($F201,EOMONTH(DATE(cfg_FY,2,1),0))-MAX($E201,DATE(cfg_FY,2,1))+1)*(1-IF($M201="نعم",0,N($J201))))</f>
        <v>0</v>
      </c>
      <c r="X201" s="133" t="n">
        <f aca="false">IF(OR($B201="",$E201="",$F201=""),0,MAX(0,MIN($F201,EOMONTH(DATE(cfg_FY,3,1),0))-MAX($E201,DATE(cfg_FY,3,1))+1)*(1-IF($M201="نعم",0,N($J201))))</f>
        <v>0</v>
      </c>
      <c r="Y201" s="133" t="n">
        <f aca="false">IF(OR($B201="",$E201="",$F201=""),0,MAX(0,MIN($F201,EOMONTH(DATE(cfg_FY,4,1),0))-MAX($E201,DATE(cfg_FY,4,1))+1)*(1-IF($M201="نعم",0,N($J201))))</f>
        <v>0</v>
      </c>
      <c r="Z201" s="133" t="n">
        <f aca="false">IF(OR($B201="",$E201="",$F201=""),0,MAX(0,MIN($F201,EOMONTH(DATE(cfg_FY,5,1),0))-MAX($E201,DATE(cfg_FY,5,1))+1)*(1-IF($M201="نعم",0,N($J201))))</f>
        <v>0</v>
      </c>
      <c r="AA201" s="133" t="n">
        <f aca="false">IF(OR($B201="",$E201="",$F201=""),0,MAX(0,MIN($F201,EOMONTH(DATE(cfg_FY,6,1),0))-MAX($E201,DATE(cfg_FY,6,1))+1)*(1-IF($M201="نعم",0,N($J201))))</f>
        <v>0</v>
      </c>
      <c r="AB201" s="133" t="n">
        <f aca="false">IF(OR($B201="",$E201="",$F201=""),0,MAX(0,MIN($F201,EOMONTH(DATE(cfg_FY,7,1),0))-MAX($E201,DATE(cfg_FY,7,1))+1)*(1-IF($M201="نعم",0,N($J201))))</f>
        <v>0</v>
      </c>
      <c r="AC201" s="133" t="n">
        <f aca="false">IF(OR($B201="",$E201="",$F201=""),0,MAX(0,MIN($F201,EOMONTH(DATE(cfg_FY,8,1),0))-MAX($E201,DATE(cfg_FY,8,1))+1)*(1-IF($M201="نعم",0,N($J201))))</f>
        <v>0</v>
      </c>
      <c r="AD201" s="133" t="n">
        <f aca="false">IF(OR($B201="",$E201="",$F201=""),0,MAX(0,MIN($F201,EOMONTH(DATE(cfg_FY,9,1),0))-MAX($E201,DATE(cfg_FY,9,1))+1)*(1-IF($M201="نعم",0,N($J201))))</f>
        <v>0</v>
      </c>
      <c r="AE201" s="133" t="n">
        <f aca="false">IF(OR($B201="",$E201="",$F201=""),0,MAX(0,MIN($F201,EOMONTH(DATE(cfg_FY,10,1),0))-MAX($E201,DATE(cfg_FY,10,1))+1)*(1-IF($M201="نعم",0,N($J201))))</f>
        <v>0</v>
      </c>
      <c r="AF201" s="133" t="n">
        <f aca="false">IF(OR($B201="",$E201="",$F201=""),0,MAX(0,MIN($F201,EOMONTH(DATE(cfg_FY,11,1),0))-MAX($E201,DATE(cfg_FY,11,1))+1)*(1-IF($M201="نعم",0,N($J201))))</f>
        <v>0</v>
      </c>
      <c r="AG201" s="133" t="n">
        <f aca="false">IF(OR($B201="",$E201="",$F201=""),0,MAX(0,MIN($F201,EOMONTH(DATE(cfg_FY,12,1),0))-MAX($E201,DATE(cfg_FY,12,1))+1)*(1-IF($M201="نعم",0,N($J201))))</f>
        <v>0</v>
      </c>
      <c r="AH201" s="133" t="n">
        <f aca="false">IF(OR(OR($B201="",$E201="",$F201=""),$L201&lt;&gt;"لا"),0,MAX(0,MIN($F201,EOMONTH(DATE(cfg_FY,1,1),0))-$E201+1))</f>
        <v>0</v>
      </c>
      <c r="AI201" s="133" t="n">
        <f aca="false">IF(OR(OR($B201="",$E201="",$F201=""),$L201&lt;&gt;"لا"),0,MAX(0,MIN($F201,EOMONTH(DATE(cfg_FY,2,1),0))-$E201+1))</f>
        <v>0</v>
      </c>
      <c r="AJ201" s="133" t="n">
        <f aca="false">IF(OR(OR($B201="",$E201="",$F201=""),$L201&lt;&gt;"لا"),0,MAX(0,MIN($F201,EOMONTH(DATE(cfg_FY,3,1),0))-$E201+1))</f>
        <v>0</v>
      </c>
      <c r="AK201" s="133" t="n">
        <f aca="false">IF(OR(OR($B201="",$E201="",$F201=""),$L201&lt;&gt;"لا"),0,MAX(0,MIN($F201,EOMONTH(DATE(cfg_FY,4,1),0))-$E201+1))</f>
        <v>0</v>
      </c>
      <c r="AL201" s="133" t="n">
        <f aca="false">IF(OR(OR($B201="",$E201="",$F201=""),$L201&lt;&gt;"لا"),0,MAX(0,MIN($F201,EOMONTH(DATE(cfg_FY,5,1),0))-$E201+1))</f>
        <v>0</v>
      </c>
      <c r="AM201" s="133" t="n">
        <f aca="false">IF(OR(OR($B201="",$E201="",$F201=""),$L201&lt;&gt;"لا"),0,MAX(0,MIN($F201,EOMONTH(DATE(cfg_FY,6,1),0))-$E201+1))</f>
        <v>0</v>
      </c>
      <c r="AN201" s="133" t="n">
        <f aca="false">IF(OR(OR($B201="",$E201="",$F201=""),$L201&lt;&gt;"لا"),0,MAX(0,MIN($F201,EOMONTH(DATE(cfg_FY,7,1),0))-$E201+1))</f>
        <v>0</v>
      </c>
      <c r="AO201" s="133" t="n">
        <f aca="false">IF(OR(OR($B201="",$E201="",$F201=""),$L201&lt;&gt;"لا"),0,MAX(0,MIN($F201,EOMONTH(DATE(cfg_FY,8,1),0))-$E201+1))</f>
        <v>0</v>
      </c>
      <c r="AP201" s="133" t="n">
        <f aca="false">IF(OR(OR($B201="",$E201="",$F201=""),$L201&lt;&gt;"لا"),0,MAX(0,MIN($F201,EOMONTH(DATE(cfg_FY,9,1),0))-$E201+1))</f>
        <v>0</v>
      </c>
      <c r="AQ201" s="133" t="n">
        <f aca="false">IF(OR(OR($B201="",$E201="",$F201=""),$L201&lt;&gt;"لا"),0,MAX(0,MIN($F201,EOMONTH(DATE(cfg_FY,10,1),0))-$E201+1))</f>
        <v>0</v>
      </c>
      <c r="AR201" s="133" t="n">
        <f aca="false">IF(OR(OR($B201="",$E201="",$F201=""),$L201&lt;&gt;"لا"),0,MAX(0,MIN($F201,EOMONTH(DATE(cfg_FY,11,1),0))-$E201+1))</f>
        <v>0</v>
      </c>
      <c r="AS201" s="133" t="n">
        <f aca="false">IF(OR(OR($B201="",$E201="",$F201=""),$L201&lt;&gt;"لا"),0,MAX(0,MIN($F201,EOMONTH(DATE(cfg_FY,12,1),0))-$E201+1))</f>
        <v>0</v>
      </c>
      <c r="AT201" s="133" t="n">
        <f aca="false">IF(OR(OR($B201="",$E201="",$F201=""),$K201&lt;&gt;"نعم",$M201="نعم"),0,MAX(0,MIN($F201,EOMONTH(DATE(cfg_FY,1,1),0))-MAX($E201,DATE(cfg_FY,1,1))+1))</f>
        <v>0</v>
      </c>
      <c r="AU201" s="133" t="n">
        <f aca="false">IF(OR(OR($B201="",$E201="",$F201=""),$K201&lt;&gt;"نعم",$M201="نعم"),0,MAX(0,MIN($F201,EOMONTH(DATE(cfg_FY,2,1),0))-MAX($E201,DATE(cfg_FY,2,1))+1))</f>
        <v>0</v>
      </c>
      <c r="AV201" s="133" t="n">
        <f aca="false">IF(OR(OR($B201="",$E201="",$F201=""),$K201&lt;&gt;"نعم",$M201="نعم"),0,MAX(0,MIN($F201,EOMONTH(DATE(cfg_FY,3,1),0))-MAX($E201,DATE(cfg_FY,3,1))+1))</f>
        <v>0</v>
      </c>
      <c r="AW201" s="133" t="n">
        <f aca="false">IF(OR(OR($B201="",$E201="",$F201=""),$K201&lt;&gt;"نعم",$M201="نعم"),0,MAX(0,MIN($F201,EOMONTH(DATE(cfg_FY,4,1),0))-MAX($E201,DATE(cfg_FY,4,1))+1))</f>
        <v>0</v>
      </c>
      <c r="AX201" s="133" t="n">
        <f aca="false">IF(OR(OR($B201="",$E201="",$F201=""),$K201&lt;&gt;"نعم",$M201="نعم"),0,MAX(0,MIN($F201,EOMONTH(DATE(cfg_FY,5,1),0))-MAX($E201,DATE(cfg_FY,5,1))+1))</f>
        <v>0</v>
      </c>
      <c r="AY201" s="133" t="n">
        <f aca="false">IF(OR(OR($B201="",$E201="",$F201=""),$K201&lt;&gt;"نعم",$M201="نعم"),0,MAX(0,MIN($F201,EOMONTH(DATE(cfg_FY,6,1),0))-MAX($E201,DATE(cfg_FY,6,1))+1))</f>
        <v>0</v>
      </c>
      <c r="AZ201" s="133" t="n">
        <f aca="false">IF(OR(OR($B201="",$E201="",$F201=""),$K201&lt;&gt;"نعم",$M201="نعم"),0,MAX(0,MIN($F201,EOMONTH(DATE(cfg_FY,7,1),0))-MAX($E201,DATE(cfg_FY,7,1))+1))</f>
        <v>0</v>
      </c>
      <c r="BA201" s="133" t="n">
        <f aca="false">IF(OR(OR($B201="",$E201="",$F201=""),$K201&lt;&gt;"نعم",$M201="نعم"),0,MAX(0,MIN($F201,EOMONTH(DATE(cfg_FY,8,1),0))-MAX($E201,DATE(cfg_FY,8,1))+1))</f>
        <v>0</v>
      </c>
      <c r="BB201" s="133" t="n">
        <f aca="false">IF(OR(OR($B201="",$E201="",$F201=""),$K201&lt;&gt;"نعم",$M201="نعم"),0,MAX(0,MIN($F201,EOMONTH(DATE(cfg_FY,9,1),0))-MAX($E201,DATE(cfg_FY,9,1))+1))</f>
        <v>0</v>
      </c>
      <c r="BC201" s="133" t="n">
        <f aca="false">IF(OR(OR($B201="",$E201="",$F201=""),$K201&lt;&gt;"نعم",$M201="نعم"),0,MAX(0,MIN($F201,EOMONTH(DATE(cfg_FY,10,1),0))-MAX($E201,DATE(cfg_FY,10,1))+1))</f>
        <v>0</v>
      </c>
      <c r="BD201" s="133" t="n">
        <f aca="false">IF(OR(OR($B201="",$E201="",$F201=""),$K201&lt;&gt;"نعم",$M201="نعم"),0,MAX(0,MIN($F201,EOMONTH(DATE(cfg_FY,11,1),0))-MAX($E201,DATE(cfg_FY,11,1))+1))</f>
        <v>0</v>
      </c>
      <c r="BE201" s="133" t="n">
        <f aca="false">IF(OR(OR($B201="",$E201="",$F201=""),$K201&lt;&gt;"نعم",$M201="نعم"),0,MAX(0,MIN($F201,EOMONTH(DATE(cfg_FY,12,1),0))-MAX($E201,DATE(cfg_FY,12,1))+1))</f>
        <v>0</v>
      </c>
    </row>
    <row r="202" customFormat="false" ht="15" hidden="false" customHeight="false" outlineLevel="0" collapsed="false">
      <c r="A202" s="106" t="str">
        <f aca="false">IF(B202="","",ROW()-5)</f>
        <v/>
      </c>
      <c r="B202" s="118"/>
      <c r="C202" s="114" t="str">
        <f aca="false">IF(B202="","",IFERROR(INDEX(الموظفون!$C$6:$C$105,MATCH(B202,الموظفون!$B$6:$B$105,0)),"✖ رقم غير موجود"))</f>
        <v/>
      </c>
      <c r="D202" s="118"/>
      <c r="E202" s="119"/>
      <c r="F202" s="119"/>
      <c r="G202" s="65" t="str">
        <f aca="false">IF(OR($B202="",$E202="",$F202=""),"",MAX(0,F202-E202+1))</f>
        <v/>
      </c>
      <c r="H202" s="66" t="str">
        <f aca="false">IF(D202="","",IFERROR(VLOOKUP(D202,cfg_LT,2,FALSE()),1))</f>
        <v/>
      </c>
      <c r="I202" s="135"/>
      <c r="J202" s="66" t="str">
        <f aca="false">IF(D202="","",IF(I202&lt;&gt;"",I202,H202))</f>
        <v/>
      </c>
      <c r="K202" s="114" t="str">
        <f aca="false">IF(D202="","",IFERROR(VLOOKUP($D202,cfg_LT,3,FALSE()),""))</f>
        <v/>
      </c>
      <c r="L202" s="114" t="str">
        <f aca="false">IF(D202="","",IFERROR(VLOOKUP($D202,cfg_LT,4,FALSE()),""))</f>
        <v/>
      </c>
      <c r="M202" s="114" t="str">
        <f aca="false">IF(D202="","",IFERROR(VLOOKUP($D202,cfg_LT,5,FALSE()),""))</f>
        <v/>
      </c>
      <c r="N202" s="111" t="n">
        <f aca="false">IF(OR(OR($B202="",$E202="",$F202=""),M202&lt;&gt;"نعم"),0,G202*J202*IFERROR(INDEX(الموظفون!$R$6:$R$105,MATCH(B202,الموظفون!$B$6:$B$105,0)),0)/cfg_DAYS_M)</f>
        <v>0</v>
      </c>
      <c r="O202" s="106" t="str">
        <f aca="false">IF(OR(OR($B202="",$E202="",$F202=""),M202&lt;&gt;"نعم"),"",IF(YEAR(E202)=cfg_FY,MONTH(E202),""))</f>
        <v/>
      </c>
      <c r="P202" s="114" t="str">
        <f aca="false">IF(B202="","",IF(OR(D202="",E202="",F202=""),"⚠ أكمل النوع والتواريخ",IF(F202&lt;E202,"✖ النهاية قبل البداية",IF(COUNTIFS($B$6:$B$505,B202,$E$6:$E$505,"&lt;="&amp;F202,$F$6:$F$505,"&gt;="&amp;E202)&gt;1,"⚠ تداخل مع سجل آخر",IF(E202&gt;cfg_VAL_DATE,"⏳ قادمة",IF(F202&lt;cfg_VAL_DATE,"✔ منتهية","✈ جارية في تاريخ التقرير"))))))</f>
        <v/>
      </c>
      <c r="Q202" s="118"/>
      <c r="R202" s="65" t="n">
        <f aca="false">IF(OR(OR($B202="",$E202="",$F202=""),L202&lt;&gt;"لا"),0,MAX(0,MIN(F202,cfg_Y_START-1)-E202+1))</f>
        <v>0</v>
      </c>
      <c r="S202" s="65" t="n">
        <f aca="false">IF(OR(OR($B202="",$E202="",$F202=""),L202&lt;&gt;"لا"),0,MAX(0,MIN(F202,cfg_VAL_DATE)-E202+1))</f>
        <v>0</v>
      </c>
      <c r="T202" s="65" t="n">
        <f aca="false">IF(OR(OR($B202="",$E202="",$F202=""),K202&lt;&gt;"نعم"),0,IF(M202="نعم",IF(AND(ISNUMBER(O202),N(O202)&lt;=cfg_VAL_M),G202,0),MAX(0,MIN(F202,cfg_VAL_DATE)-MAX(E202,cfg_Y_START)+1)))</f>
        <v>0</v>
      </c>
      <c r="V202" s="65" t="n">
        <f aca="false">IF(OR($B202="",$E202="",$F202=""),0,MAX(0,MIN($F202,EOMONTH(DATE(cfg_FY,1,1),0))-MAX($E202,DATE(cfg_FY,1,1))+1)*(1-IF($M202="نعم",0,N($J202))))</f>
        <v>0</v>
      </c>
      <c r="W202" s="65" t="n">
        <f aca="false">IF(OR($B202="",$E202="",$F202=""),0,MAX(0,MIN($F202,EOMONTH(DATE(cfg_FY,2,1),0))-MAX($E202,DATE(cfg_FY,2,1))+1)*(1-IF($M202="نعم",0,N($J202))))</f>
        <v>0</v>
      </c>
      <c r="X202" s="65" t="n">
        <f aca="false">IF(OR($B202="",$E202="",$F202=""),0,MAX(0,MIN($F202,EOMONTH(DATE(cfg_FY,3,1),0))-MAX($E202,DATE(cfg_FY,3,1))+1)*(1-IF($M202="نعم",0,N($J202))))</f>
        <v>0</v>
      </c>
      <c r="Y202" s="65" t="n">
        <f aca="false">IF(OR($B202="",$E202="",$F202=""),0,MAX(0,MIN($F202,EOMONTH(DATE(cfg_FY,4,1),0))-MAX($E202,DATE(cfg_FY,4,1))+1)*(1-IF($M202="نعم",0,N($J202))))</f>
        <v>0</v>
      </c>
      <c r="Z202" s="65" t="n">
        <f aca="false">IF(OR($B202="",$E202="",$F202=""),0,MAX(0,MIN($F202,EOMONTH(DATE(cfg_FY,5,1),0))-MAX($E202,DATE(cfg_FY,5,1))+1)*(1-IF($M202="نعم",0,N($J202))))</f>
        <v>0</v>
      </c>
      <c r="AA202" s="65" t="n">
        <f aca="false">IF(OR($B202="",$E202="",$F202=""),0,MAX(0,MIN($F202,EOMONTH(DATE(cfg_FY,6,1),0))-MAX($E202,DATE(cfg_FY,6,1))+1)*(1-IF($M202="نعم",0,N($J202))))</f>
        <v>0</v>
      </c>
      <c r="AB202" s="65" t="n">
        <f aca="false">IF(OR($B202="",$E202="",$F202=""),0,MAX(0,MIN($F202,EOMONTH(DATE(cfg_FY,7,1),0))-MAX($E202,DATE(cfg_FY,7,1))+1)*(1-IF($M202="نعم",0,N($J202))))</f>
        <v>0</v>
      </c>
      <c r="AC202" s="65" t="n">
        <f aca="false">IF(OR($B202="",$E202="",$F202=""),0,MAX(0,MIN($F202,EOMONTH(DATE(cfg_FY,8,1),0))-MAX($E202,DATE(cfg_FY,8,1))+1)*(1-IF($M202="نعم",0,N($J202))))</f>
        <v>0</v>
      </c>
      <c r="AD202" s="65" t="n">
        <f aca="false">IF(OR($B202="",$E202="",$F202=""),0,MAX(0,MIN($F202,EOMONTH(DATE(cfg_FY,9,1),0))-MAX($E202,DATE(cfg_FY,9,1))+1)*(1-IF($M202="نعم",0,N($J202))))</f>
        <v>0</v>
      </c>
      <c r="AE202" s="65" t="n">
        <f aca="false">IF(OR($B202="",$E202="",$F202=""),0,MAX(0,MIN($F202,EOMONTH(DATE(cfg_FY,10,1),0))-MAX($E202,DATE(cfg_FY,10,1))+1)*(1-IF($M202="نعم",0,N($J202))))</f>
        <v>0</v>
      </c>
      <c r="AF202" s="65" t="n">
        <f aca="false">IF(OR($B202="",$E202="",$F202=""),0,MAX(0,MIN($F202,EOMONTH(DATE(cfg_FY,11,1),0))-MAX($E202,DATE(cfg_FY,11,1))+1)*(1-IF($M202="نعم",0,N($J202))))</f>
        <v>0</v>
      </c>
      <c r="AG202" s="65" t="n">
        <f aca="false">IF(OR($B202="",$E202="",$F202=""),0,MAX(0,MIN($F202,EOMONTH(DATE(cfg_FY,12,1),0))-MAX($E202,DATE(cfg_FY,12,1))+1)*(1-IF($M202="نعم",0,N($J202))))</f>
        <v>0</v>
      </c>
      <c r="AH202" s="65" t="n">
        <f aca="false">IF(OR(OR($B202="",$E202="",$F202=""),$L202&lt;&gt;"لا"),0,MAX(0,MIN($F202,EOMONTH(DATE(cfg_FY,1,1),0))-$E202+1))</f>
        <v>0</v>
      </c>
      <c r="AI202" s="65" t="n">
        <f aca="false">IF(OR(OR($B202="",$E202="",$F202=""),$L202&lt;&gt;"لا"),0,MAX(0,MIN($F202,EOMONTH(DATE(cfg_FY,2,1),0))-$E202+1))</f>
        <v>0</v>
      </c>
      <c r="AJ202" s="65" t="n">
        <f aca="false">IF(OR(OR($B202="",$E202="",$F202=""),$L202&lt;&gt;"لا"),0,MAX(0,MIN($F202,EOMONTH(DATE(cfg_FY,3,1),0))-$E202+1))</f>
        <v>0</v>
      </c>
      <c r="AK202" s="65" t="n">
        <f aca="false">IF(OR(OR($B202="",$E202="",$F202=""),$L202&lt;&gt;"لا"),0,MAX(0,MIN($F202,EOMONTH(DATE(cfg_FY,4,1),0))-$E202+1))</f>
        <v>0</v>
      </c>
      <c r="AL202" s="65" t="n">
        <f aca="false">IF(OR(OR($B202="",$E202="",$F202=""),$L202&lt;&gt;"لا"),0,MAX(0,MIN($F202,EOMONTH(DATE(cfg_FY,5,1),0))-$E202+1))</f>
        <v>0</v>
      </c>
      <c r="AM202" s="65" t="n">
        <f aca="false">IF(OR(OR($B202="",$E202="",$F202=""),$L202&lt;&gt;"لا"),0,MAX(0,MIN($F202,EOMONTH(DATE(cfg_FY,6,1),0))-$E202+1))</f>
        <v>0</v>
      </c>
      <c r="AN202" s="65" t="n">
        <f aca="false">IF(OR(OR($B202="",$E202="",$F202=""),$L202&lt;&gt;"لا"),0,MAX(0,MIN($F202,EOMONTH(DATE(cfg_FY,7,1),0))-$E202+1))</f>
        <v>0</v>
      </c>
      <c r="AO202" s="65" t="n">
        <f aca="false">IF(OR(OR($B202="",$E202="",$F202=""),$L202&lt;&gt;"لا"),0,MAX(0,MIN($F202,EOMONTH(DATE(cfg_FY,8,1),0))-$E202+1))</f>
        <v>0</v>
      </c>
      <c r="AP202" s="65" t="n">
        <f aca="false">IF(OR(OR($B202="",$E202="",$F202=""),$L202&lt;&gt;"لا"),0,MAX(0,MIN($F202,EOMONTH(DATE(cfg_FY,9,1),0))-$E202+1))</f>
        <v>0</v>
      </c>
      <c r="AQ202" s="65" t="n">
        <f aca="false">IF(OR(OR($B202="",$E202="",$F202=""),$L202&lt;&gt;"لا"),0,MAX(0,MIN($F202,EOMONTH(DATE(cfg_FY,10,1),0))-$E202+1))</f>
        <v>0</v>
      </c>
      <c r="AR202" s="65" t="n">
        <f aca="false">IF(OR(OR($B202="",$E202="",$F202=""),$L202&lt;&gt;"لا"),0,MAX(0,MIN($F202,EOMONTH(DATE(cfg_FY,11,1),0))-$E202+1))</f>
        <v>0</v>
      </c>
      <c r="AS202" s="65" t="n">
        <f aca="false">IF(OR(OR($B202="",$E202="",$F202=""),$L202&lt;&gt;"لا"),0,MAX(0,MIN($F202,EOMONTH(DATE(cfg_FY,12,1),0))-$E202+1))</f>
        <v>0</v>
      </c>
      <c r="AT202" s="65" t="n">
        <f aca="false">IF(OR(OR($B202="",$E202="",$F202=""),$K202&lt;&gt;"نعم",$M202="نعم"),0,MAX(0,MIN($F202,EOMONTH(DATE(cfg_FY,1,1),0))-MAX($E202,DATE(cfg_FY,1,1))+1))</f>
        <v>0</v>
      </c>
      <c r="AU202" s="65" t="n">
        <f aca="false">IF(OR(OR($B202="",$E202="",$F202=""),$K202&lt;&gt;"نعم",$M202="نعم"),0,MAX(0,MIN($F202,EOMONTH(DATE(cfg_FY,2,1),0))-MAX($E202,DATE(cfg_FY,2,1))+1))</f>
        <v>0</v>
      </c>
      <c r="AV202" s="65" t="n">
        <f aca="false">IF(OR(OR($B202="",$E202="",$F202=""),$K202&lt;&gt;"نعم",$M202="نعم"),0,MAX(0,MIN($F202,EOMONTH(DATE(cfg_FY,3,1),0))-MAX($E202,DATE(cfg_FY,3,1))+1))</f>
        <v>0</v>
      </c>
      <c r="AW202" s="65" t="n">
        <f aca="false">IF(OR(OR($B202="",$E202="",$F202=""),$K202&lt;&gt;"نعم",$M202="نعم"),0,MAX(0,MIN($F202,EOMONTH(DATE(cfg_FY,4,1),0))-MAX($E202,DATE(cfg_FY,4,1))+1))</f>
        <v>0</v>
      </c>
      <c r="AX202" s="65" t="n">
        <f aca="false">IF(OR(OR($B202="",$E202="",$F202=""),$K202&lt;&gt;"نعم",$M202="نعم"),0,MAX(0,MIN($F202,EOMONTH(DATE(cfg_FY,5,1),0))-MAX($E202,DATE(cfg_FY,5,1))+1))</f>
        <v>0</v>
      </c>
      <c r="AY202" s="65" t="n">
        <f aca="false">IF(OR(OR($B202="",$E202="",$F202=""),$K202&lt;&gt;"نعم",$M202="نعم"),0,MAX(0,MIN($F202,EOMONTH(DATE(cfg_FY,6,1),0))-MAX($E202,DATE(cfg_FY,6,1))+1))</f>
        <v>0</v>
      </c>
      <c r="AZ202" s="65" t="n">
        <f aca="false">IF(OR(OR($B202="",$E202="",$F202=""),$K202&lt;&gt;"نعم",$M202="نعم"),0,MAX(0,MIN($F202,EOMONTH(DATE(cfg_FY,7,1),0))-MAX($E202,DATE(cfg_FY,7,1))+1))</f>
        <v>0</v>
      </c>
      <c r="BA202" s="65" t="n">
        <f aca="false">IF(OR(OR($B202="",$E202="",$F202=""),$K202&lt;&gt;"نعم",$M202="نعم"),0,MAX(0,MIN($F202,EOMONTH(DATE(cfg_FY,8,1),0))-MAX($E202,DATE(cfg_FY,8,1))+1))</f>
        <v>0</v>
      </c>
      <c r="BB202" s="65" t="n">
        <f aca="false">IF(OR(OR($B202="",$E202="",$F202=""),$K202&lt;&gt;"نعم",$M202="نعم"),0,MAX(0,MIN($F202,EOMONTH(DATE(cfg_FY,9,1),0))-MAX($E202,DATE(cfg_FY,9,1))+1))</f>
        <v>0</v>
      </c>
      <c r="BC202" s="65" t="n">
        <f aca="false">IF(OR(OR($B202="",$E202="",$F202=""),$K202&lt;&gt;"نعم",$M202="نعم"),0,MAX(0,MIN($F202,EOMONTH(DATE(cfg_FY,10,1),0))-MAX($E202,DATE(cfg_FY,10,1))+1))</f>
        <v>0</v>
      </c>
      <c r="BD202" s="65" t="n">
        <f aca="false">IF(OR(OR($B202="",$E202="",$F202=""),$K202&lt;&gt;"نعم",$M202="نعم"),0,MAX(0,MIN($F202,EOMONTH(DATE(cfg_FY,11,1),0))-MAX($E202,DATE(cfg_FY,11,1))+1))</f>
        <v>0</v>
      </c>
      <c r="BE202" s="65" t="n">
        <f aca="false">IF(OR(OR($B202="",$E202="",$F202=""),$K202&lt;&gt;"نعم",$M202="نعم"),0,MAX(0,MIN($F202,EOMONTH(DATE(cfg_FY,12,1),0))-MAX($E202,DATE(cfg_FY,12,1))+1))</f>
        <v>0</v>
      </c>
    </row>
    <row r="203" customFormat="false" ht="15" hidden="false" customHeight="false" outlineLevel="0" collapsed="false">
      <c r="A203" s="115" t="str">
        <f aca="false">IF(B203="","",ROW()-5)</f>
        <v/>
      </c>
      <c r="B203" s="118"/>
      <c r="C203" s="117" t="str">
        <f aca="false">IF(B203="","",IFERROR(INDEX(الموظفون!$C$6:$C$105,MATCH(B203,الموظفون!$B$6:$B$105,0)),"✖ رقم غير موجود"))</f>
        <v/>
      </c>
      <c r="D203" s="118"/>
      <c r="E203" s="119"/>
      <c r="F203" s="119"/>
      <c r="G203" s="133" t="str">
        <f aca="false">IF(OR($B203="",$E203="",$F203=""),"",MAX(0,F203-E203+1))</f>
        <v/>
      </c>
      <c r="H203" s="134" t="str">
        <f aca="false">IF(D203="","",IFERROR(VLOOKUP(D203,cfg_LT,2,FALSE()),1))</f>
        <v/>
      </c>
      <c r="I203" s="135"/>
      <c r="J203" s="134" t="str">
        <f aca="false">IF(D203="","",IF(I203&lt;&gt;"",I203,H203))</f>
        <v/>
      </c>
      <c r="K203" s="117" t="str">
        <f aca="false">IF(D203="","",IFERROR(VLOOKUP($D203,cfg_LT,3,FALSE()),""))</f>
        <v/>
      </c>
      <c r="L203" s="117" t="str">
        <f aca="false">IF(D203="","",IFERROR(VLOOKUP($D203,cfg_LT,4,FALSE()),""))</f>
        <v/>
      </c>
      <c r="M203" s="117" t="str">
        <f aca="false">IF(D203="","",IFERROR(VLOOKUP($D203,cfg_LT,5,FALSE()),""))</f>
        <v/>
      </c>
      <c r="N203" s="116" t="n">
        <f aca="false">IF(OR(OR($B203="",$E203="",$F203=""),M203&lt;&gt;"نعم"),0,G203*J203*IFERROR(INDEX(الموظفون!$R$6:$R$105,MATCH(B203,الموظفون!$B$6:$B$105,0)),0)/cfg_DAYS_M)</f>
        <v>0</v>
      </c>
      <c r="O203" s="115" t="str">
        <f aca="false">IF(OR(OR($B203="",$E203="",$F203=""),M203&lt;&gt;"نعم"),"",IF(YEAR(E203)=cfg_FY,MONTH(E203),""))</f>
        <v/>
      </c>
      <c r="P203" s="117" t="str">
        <f aca="false">IF(B203="","",IF(OR(D203="",E203="",F203=""),"⚠ أكمل النوع والتواريخ",IF(F203&lt;E203,"✖ النهاية قبل البداية",IF(COUNTIFS($B$6:$B$505,B203,$E$6:$E$505,"&lt;="&amp;F203,$F$6:$F$505,"&gt;="&amp;E203)&gt;1,"⚠ تداخل مع سجل آخر",IF(E203&gt;cfg_VAL_DATE,"⏳ قادمة",IF(F203&lt;cfg_VAL_DATE,"✔ منتهية","✈ جارية في تاريخ التقرير"))))))</f>
        <v/>
      </c>
      <c r="Q203" s="118"/>
      <c r="R203" s="133" t="n">
        <f aca="false">IF(OR(OR($B203="",$E203="",$F203=""),L203&lt;&gt;"لا"),0,MAX(0,MIN(F203,cfg_Y_START-1)-E203+1))</f>
        <v>0</v>
      </c>
      <c r="S203" s="133" t="n">
        <f aca="false">IF(OR(OR($B203="",$E203="",$F203=""),L203&lt;&gt;"لا"),0,MAX(0,MIN(F203,cfg_VAL_DATE)-E203+1))</f>
        <v>0</v>
      </c>
      <c r="T203" s="133" t="n">
        <f aca="false">IF(OR(OR($B203="",$E203="",$F203=""),K203&lt;&gt;"نعم"),0,IF(M203="نعم",IF(AND(ISNUMBER(O203),N(O203)&lt;=cfg_VAL_M),G203,0),MAX(0,MIN(F203,cfg_VAL_DATE)-MAX(E203,cfg_Y_START)+1)))</f>
        <v>0</v>
      </c>
      <c r="V203" s="133" t="n">
        <f aca="false">IF(OR($B203="",$E203="",$F203=""),0,MAX(0,MIN($F203,EOMONTH(DATE(cfg_FY,1,1),0))-MAX($E203,DATE(cfg_FY,1,1))+1)*(1-IF($M203="نعم",0,N($J203))))</f>
        <v>0</v>
      </c>
      <c r="W203" s="133" t="n">
        <f aca="false">IF(OR($B203="",$E203="",$F203=""),0,MAX(0,MIN($F203,EOMONTH(DATE(cfg_FY,2,1),0))-MAX($E203,DATE(cfg_FY,2,1))+1)*(1-IF($M203="نعم",0,N($J203))))</f>
        <v>0</v>
      </c>
      <c r="X203" s="133" t="n">
        <f aca="false">IF(OR($B203="",$E203="",$F203=""),0,MAX(0,MIN($F203,EOMONTH(DATE(cfg_FY,3,1),0))-MAX($E203,DATE(cfg_FY,3,1))+1)*(1-IF($M203="نعم",0,N($J203))))</f>
        <v>0</v>
      </c>
      <c r="Y203" s="133" t="n">
        <f aca="false">IF(OR($B203="",$E203="",$F203=""),0,MAX(0,MIN($F203,EOMONTH(DATE(cfg_FY,4,1),0))-MAX($E203,DATE(cfg_FY,4,1))+1)*(1-IF($M203="نعم",0,N($J203))))</f>
        <v>0</v>
      </c>
      <c r="Z203" s="133" t="n">
        <f aca="false">IF(OR($B203="",$E203="",$F203=""),0,MAX(0,MIN($F203,EOMONTH(DATE(cfg_FY,5,1),0))-MAX($E203,DATE(cfg_FY,5,1))+1)*(1-IF($M203="نعم",0,N($J203))))</f>
        <v>0</v>
      </c>
      <c r="AA203" s="133" t="n">
        <f aca="false">IF(OR($B203="",$E203="",$F203=""),0,MAX(0,MIN($F203,EOMONTH(DATE(cfg_FY,6,1),0))-MAX($E203,DATE(cfg_FY,6,1))+1)*(1-IF($M203="نعم",0,N($J203))))</f>
        <v>0</v>
      </c>
      <c r="AB203" s="133" t="n">
        <f aca="false">IF(OR($B203="",$E203="",$F203=""),0,MAX(0,MIN($F203,EOMONTH(DATE(cfg_FY,7,1),0))-MAX($E203,DATE(cfg_FY,7,1))+1)*(1-IF($M203="نعم",0,N($J203))))</f>
        <v>0</v>
      </c>
      <c r="AC203" s="133" t="n">
        <f aca="false">IF(OR($B203="",$E203="",$F203=""),0,MAX(0,MIN($F203,EOMONTH(DATE(cfg_FY,8,1),0))-MAX($E203,DATE(cfg_FY,8,1))+1)*(1-IF($M203="نعم",0,N($J203))))</f>
        <v>0</v>
      </c>
      <c r="AD203" s="133" t="n">
        <f aca="false">IF(OR($B203="",$E203="",$F203=""),0,MAX(0,MIN($F203,EOMONTH(DATE(cfg_FY,9,1),0))-MAX($E203,DATE(cfg_FY,9,1))+1)*(1-IF($M203="نعم",0,N($J203))))</f>
        <v>0</v>
      </c>
      <c r="AE203" s="133" t="n">
        <f aca="false">IF(OR($B203="",$E203="",$F203=""),0,MAX(0,MIN($F203,EOMONTH(DATE(cfg_FY,10,1),0))-MAX($E203,DATE(cfg_FY,10,1))+1)*(1-IF($M203="نعم",0,N($J203))))</f>
        <v>0</v>
      </c>
      <c r="AF203" s="133" t="n">
        <f aca="false">IF(OR($B203="",$E203="",$F203=""),0,MAX(0,MIN($F203,EOMONTH(DATE(cfg_FY,11,1),0))-MAX($E203,DATE(cfg_FY,11,1))+1)*(1-IF($M203="نعم",0,N($J203))))</f>
        <v>0</v>
      </c>
      <c r="AG203" s="133" t="n">
        <f aca="false">IF(OR($B203="",$E203="",$F203=""),0,MAX(0,MIN($F203,EOMONTH(DATE(cfg_FY,12,1),0))-MAX($E203,DATE(cfg_FY,12,1))+1)*(1-IF($M203="نعم",0,N($J203))))</f>
        <v>0</v>
      </c>
      <c r="AH203" s="133" t="n">
        <f aca="false">IF(OR(OR($B203="",$E203="",$F203=""),$L203&lt;&gt;"لا"),0,MAX(0,MIN($F203,EOMONTH(DATE(cfg_FY,1,1),0))-$E203+1))</f>
        <v>0</v>
      </c>
      <c r="AI203" s="133" t="n">
        <f aca="false">IF(OR(OR($B203="",$E203="",$F203=""),$L203&lt;&gt;"لا"),0,MAX(0,MIN($F203,EOMONTH(DATE(cfg_FY,2,1),0))-$E203+1))</f>
        <v>0</v>
      </c>
      <c r="AJ203" s="133" t="n">
        <f aca="false">IF(OR(OR($B203="",$E203="",$F203=""),$L203&lt;&gt;"لا"),0,MAX(0,MIN($F203,EOMONTH(DATE(cfg_FY,3,1),0))-$E203+1))</f>
        <v>0</v>
      </c>
      <c r="AK203" s="133" t="n">
        <f aca="false">IF(OR(OR($B203="",$E203="",$F203=""),$L203&lt;&gt;"لا"),0,MAX(0,MIN($F203,EOMONTH(DATE(cfg_FY,4,1),0))-$E203+1))</f>
        <v>0</v>
      </c>
      <c r="AL203" s="133" t="n">
        <f aca="false">IF(OR(OR($B203="",$E203="",$F203=""),$L203&lt;&gt;"لا"),0,MAX(0,MIN($F203,EOMONTH(DATE(cfg_FY,5,1),0))-$E203+1))</f>
        <v>0</v>
      </c>
      <c r="AM203" s="133" t="n">
        <f aca="false">IF(OR(OR($B203="",$E203="",$F203=""),$L203&lt;&gt;"لا"),0,MAX(0,MIN($F203,EOMONTH(DATE(cfg_FY,6,1),0))-$E203+1))</f>
        <v>0</v>
      </c>
      <c r="AN203" s="133" t="n">
        <f aca="false">IF(OR(OR($B203="",$E203="",$F203=""),$L203&lt;&gt;"لا"),0,MAX(0,MIN($F203,EOMONTH(DATE(cfg_FY,7,1),0))-$E203+1))</f>
        <v>0</v>
      </c>
      <c r="AO203" s="133" t="n">
        <f aca="false">IF(OR(OR($B203="",$E203="",$F203=""),$L203&lt;&gt;"لا"),0,MAX(0,MIN($F203,EOMONTH(DATE(cfg_FY,8,1),0))-$E203+1))</f>
        <v>0</v>
      </c>
      <c r="AP203" s="133" t="n">
        <f aca="false">IF(OR(OR($B203="",$E203="",$F203=""),$L203&lt;&gt;"لا"),0,MAX(0,MIN($F203,EOMONTH(DATE(cfg_FY,9,1),0))-$E203+1))</f>
        <v>0</v>
      </c>
      <c r="AQ203" s="133" t="n">
        <f aca="false">IF(OR(OR($B203="",$E203="",$F203=""),$L203&lt;&gt;"لا"),0,MAX(0,MIN($F203,EOMONTH(DATE(cfg_FY,10,1),0))-$E203+1))</f>
        <v>0</v>
      </c>
      <c r="AR203" s="133" t="n">
        <f aca="false">IF(OR(OR($B203="",$E203="",$F203=""),$L203&lt;&gt;"لا"),0,MAX(0,MIN($F203,EOMONTH(DATE(cfg_FY,11,1),0))-$E203+1))</f>
        <v>0</v>
      </c>
      <c r="AS203" s="133" t="n">
        <f aca="false">IF(OR(OR($B203="",$E203="",$F203=""),$L203&lt;&gt;"لا"),0,MAX(0,MIN($F203,EOMONTH(DATE(cfg_FY,12,1),0))-$E203+1))</f>
        <v>0</v>
      </c>
      <c r="AT203" s="133" t="n">
        <f aca="false">IF(OR(OR($B203="",$E203="",$F203=""),$K203&lt;&gt;"نعم",$M203="نعم"),0,MAX(0,MIN($F203,EOMONTH(DATE(cfg_FY,1,1),0))-MAX($E203,DATE(cfg_FY,1,1))+1))</f>
        <v>0</v>
      </c>
      <c r="AU203" s="133" t="n">
        <f aca="false">IF(OR(OR($B203="",$E203="",$F203=""),$K203&lt;&gt;"نعم",$M203="نعم"),0,MAX(0,MIN($F203,EOMONTH(DATE(cfg_FY,2,1),0))-MAX($E203,DATE(cfg_FY,2,1))+1))</f>
        <v>0</v>
      </c>
      <c r="AV203" s="133" t="n">
        <f aca="false">IF(OR(OR($B203="",$E203="",$F203=""),$K203&lt;&gt;"نعم",$M203="نعم"),0,MAX(0,MIN($F203,EOMONTH(DATE(cfg_FY,3,1),0))-MAX($E203,DATE(cfg_FY,3,1))+1))</f>
        <v>0</v>
      </c>
      <c r="AW203" s="133" t="n">
        <f aca="false">IF(OR(OR($B203="",$E203="",$F203=""),$K203&lt;&gt;"نعم",$M203="نعم"),0,MAX(0,MIN($F203,EOMONTH(DATE(cfg_FY,4,1),0))-MAX($E203,DATE(cfg_FY,4,1))+1))</f>
        <v>0</v>
      </c>
      <c r="AX203" s="133" t="n">
        <f aca="false">IF(OR(OR($B203="",$E203="",$F203=""),$K203&lt;&gt;"نعم",$M203="نعم"),0,MAX(0,MIN($F203,EOMONTH(DATE(cfg_FY,5,1),0))-MAX($E203,DATE(cfg_FY,5,1))+1))</f>
        <v>0</v>
      </c>
      <c r="AY203" s="133" t="n">
        <f aca="false">IF(OR(OR($B203="",$E203="",$F203=""),$K203&lt;&gt;"نعم",$M203="نعم"),0,MAX(0,MIN($F203,EOMONTH(DATE(cfg_FY,6,1),0))-MAX($E203,DATE(cfg_FY,6,1))+1))</f>
        <v>0</v>
      </c>
      <c r="AZ203" s="133" t="n">
        <f aca="false">IF(OR(OR($B203="",$E203="",$F203=""),$K203&lt;&gt;"نعم",$M203="نعم"),0,MAX(0,MIN($F203,EOMONTH(DATE(cfg_FY,7,1),0))-MAX($E203,DATE(cfg_FY,7,1))+1))</f>
        <v>0</v>
      </c>
      <c r="BA203" s="133" t="n">
        <f aca="false">IF(OR(OR($B203="",$E203="",$F203=""),$K203&lt;&gt;"نعم",$M203="نعم"),0,MAX(0,MIN($F203,EOMONTH(DATE(cfg_FY,8,1),0))-MAX($E203,DATE(cfg_FY,8,1))+1))</f>
        <v>0</v>
      </c>
      <c r="BB203" s="133" t="n">
        <f aca="false">IF(OR(OR($B203="",$E203="",$F203=""),$K203&lt;&gt;"نعم",$M203="نعم"),0,MAX(0,MIN($F203,EOMONTH(DATE(cfg_FY,9,1),0))-MAX($E203,DATE(cfg_FY,9,1))+1))</f>
        <v>0</v>
      </c>
      <c r="BC203" s="133" t="n">
        <f aca="false">IF(OR(OR($B203="",$E203="",$F203=""),$K203&lt;&gt;"نعم",$M203="نعم"),0,MAX(0,MIN($F203,EOMONTH(DATE(cfg_FY,10,1),0))-MAX($E203,DATE(cfg_FY,10,1))+1))</f>
        <v>0</v>
      </c>
      <c r="BD203" s="133" t="n">
        <f aca="false">IF(OR(OR($B203="",$E203="",$F203=""),$K203&lt;&gt;"نعم",$M203="نعم"),0,MAX(0,MIN($F203,EOMONTH(DATE(cfg_FY,11,1),0))-MAX($E203,DATE(cfg_FY,11,1))+1))</f>
        <v>0</v>
      </c>
      <c r="BE203" s="133" t="n">
        <f aca="false">IF(OR(OR($B203="",$E203="",$F203=""),$K203&lt;&gt;"نعم",$M203="نعم"),0,MAX(0,MIN($F203,EOMONTH(DATE(cfg_FY,12,1),0))-MAX($E203,DATE(cfg_FY,12,1))+1))</f>
        <v>0</v>
      </c>
    </row>
    <row r="204" customFormat="false" ht="15" hidden="false" customHeight="false" outlineLevel="0" collapsed="false">
      <c r="A204" s="106" t="str">
        <f aca="false">IF(B204="","",ROW()-5)</f>
        <v/>
      </c>
      <c r="B204" s="118"/>
      <c r="C204" s="114" t="str">
        <f aca="false">IF(B204="","",IFERROR(INDEX(الموظفون!$C$6:$C$105,MATCH(B204,الموظفون!$B$6:$B$105,0)),"✖ رقم غير موجود"))</f>
        <v/>
      </c>
      <c r="D204" s="118"/>
      <c r="E204" s="119"/>
      <c r="F204" s="119"/>
      <c r="G204" s="65" t="str">
        <f aca="false">IF(OR($B204="",$E204="",$F204=""),"",MAX(0,F204-E204+1))</f>
        <v/>
      </c>
      <c r="H204" s="66" t="str">
        <f aca="false">IF(D204="","",IFERROR(VLOOKUP(D204,cfg_LT,2,FALSE()),1))</f>
        <v/>
      </c>
      <c r="I204" s="135"/>
      <c r="J204" s="66" t="str">
        <f aca="false">IF(D204="","",IF(I204&lt;&gt;"",I204,H204))</f>
        <v/>
      </c>
      <c r="K204" s="114" t="str">
        <f aca="false">IF(D204="","",IFERROR(VLOOKUP($D204,cfg_LT,3,FALSE()),""))</f>
        <v/>
      </c>
      <c r="L204" s="114" t="str">
        <f aca="false">IF(D204="","",IFERROR(VLOOKUP($D204,cfg_LT,4,FALSE()),""))</f>
        <v/>
      </c>
      <c r="M204" s="114" t="str">
        <f aca="false">IF(D204="","",IFERROR(VLOOKUP($D204,cfg_LT,5,FALSE()),""))</f>
        <v/>
      </c>
      <c r="N204" s="111" t="n">
        <f aca="false">IF(OR(OR($B204="",$E204="",$F204=""),M204&lt;&gt;"نعم"),0,G204*J204*IFERROR(INDEX(الموظفون!$R$6:$R$105,MATCH(B204,الموظفون!$B$6:$B$105,0)),0)/cfg_DAYS_M)</f>
        <v>0</v>
      </c>
      <c r="O204" s="106" t="str">
        <f aca="false">IF(OR(OR($B204="",$E204="",$F204=""),M204&lt;&gt;"نعم"),"",IF(YEAR(E204)=cfg_FY,MONTH(E204),""))</f>
        <v/>
      </c>
      <c r="P204" s="114" t="str">
        <f aca="false">IF(B204="","",IF(OR(D204="",E204="",F204=""),"⚠ أكمل النوع والتواريخ",IF(F204&lt;E204,"✖ النهاية قبل البداية",IF(COUNTIFS($B$6:$B$505,B204,$E$6:$E$505,"&lt;="&amp;F204,$F$6:$F$505,"&gt;="&amp;E204)&gt;1,"⚠ تداخل مع سجل آخر",IF(E204&gt;cfg_VAL_DATE,"⏳ قادمة",IF(F204&lt;cfg_VAL_DATE,"✔ منتهية","✈ جارية في تاريخ التقرير"))))))</f>
        <v/>
      </c>
      <c r="Q204" s="118"/>
      <c r="R204" s="65" t="n">
        <f aca="false">IF(OR(OR($B204="",$E204="",$F204=""),L204&lt;&gt;"لا"),0,MAX(0,MIN(F204,cfg_Y_START-1)-E204+1))</f>
        <v>0</v>
      </c>
      <c r="S204" s="65" t="n">
        <f aca="false">IF(OR(OR($B204="",$E204="",$F204=""),L204&lt;&gt;"لا"),0,MAX(0,MIN(F204,cfg_VAL_DATE)-E204+1))</f>
        <v>0</v>
      </c>
      <c r="T204" s="65" t="n">
        <f aca="false">IF(OR(OR($B204="",$E204="",$F204=""),K204&lt;&gt;"نعم"),0,IF(M204="نعم",IF(AND(ISNUMBER(O204),N(O204)&lt;=cfg_VAL_M),G204,0),MAX(0,MIN(F204,cfg_VAL_DATE)-MAX(E204,cfg_Y_START)+1)))</f>
        <v>0</v>
      </c>
      <c r="V204" s="65" t="n">
        <f aca="false">IF(OR($B204="",$E204="",$F204=""),0,MAX(0,MIN($F204,EOMONTH(DATE(cfg_FY,1,1),0))-MAX($E204,DATE(cfg_FY,1,1))+1)*(1-IF($M204="نعم",0,N($J204))))</f>
        <v>0</v>
      </c>
      <c r="W204" s="65" t="n">
        <f aca="false">IF(OR($B204="",$E204="",$F204=""),0,MAX(0,MIN($F204,EOMONTH(DATE(cfg_FY,2,1),0))-MAX($E204,DATE(cfg_FY,2,1))+1)*(1-IF($M204="نعم",0,N($J204))))</f>
        <v>0</v>
      </c>
      <c r="X204" s="65" t="n">
        <f aca="false">IF(OR($B204="",$E204="",$F204=""),0,MAX(0,MIN($F204,EOMONTH(DATE(cfg_FY,3,1),0))-MAX($E204,DATE(cfg_FY,3,1))+1)*(1-IF($M204="نعم",0,N($J204))))</f>
        <v>0</v>
      </c>
      <c r="Y204" s="65" t="n">
        <f aca="false">IF(OR($B204="",$E204="",$F204=""),0,MAX(0,MIN($F204,EOMONTH(DATE(cfg_FY,4,1),0))-MAX($E204,DATE(cfg_FY,4,1))+1)*(1-IF($M204="نعم",0,N($J204))))</f>
        <v>0</v>
      </c>
      <c r="Z204" s="65" t="n">
        <f aca="false">IF(OR($B204="",$E204="",$F204=""),0,MAX(0,MIN($F204,EOMONTH(DATE(cfg_FY,5,1),0))-MAX($E204,DATE(cfg_FY,5,1))+1)*(1-IF($M204="نعم",0,N($J204))))</f>
        <v>0</v>
      </c>
      <c r="AA204" s="65" t="n">
        <f aca="false">IF(OR($B204="",$E204="",$F204=""),0,MAX(0,MIN($F204,EOMONTH(DATE(cfg_FY,6,1),0))-MAX($E204,DATE(cfg_FY,6,1))+1)*(1-IF($M204="نعم",0,N($J204))))</f>
        <v>0</v>
      </c>
      <c r="AB204" s="65" t="n">
        <f aca="false">IF(OR($B204="",$E204="",$F204=""),0,MAX(0,MIN($F204,EOMONTH(DATE(cfg_FY,7,1),0))-MAX($E204,DATE(cfg_FY,7,1))+1)*(1-IF($M204="نعم",0,N($J204))))</f>
        <v>0</v>
      </c>
      <c r="AC204" s="65" t="n">
        <f aca="false">IF(OR($B204="",$E204="",$F204=""),0,MAX(0,MIN($F204,EOMONTH(DATE(cfg_FY,8,1),0))-MAX($E204,DATE(cfg_FY,8,1))+1)*(1-IF($M204="نعم",0,N($J204))))</f>
        <v>0</v>
      </c>
      <c r="AD204" s="65" t="n">
        <f aca="false">IF(OR($B204="",$E204="",$F204=""),0,MAX(0,MIN($F204,EOMONTH(DATE(cfg_FY,9,1),0))-MAX($E204,DATE(cfg_FY,9,1))+1)*(1-IF($M204="نعم",0,N($J204))))</f>
        <v>0</v>
      </c>
      <c r="AE204" s="65" t="n">
        <f aca="false">IF(OR($B204="",$E204="",$F204=""),0,MAX(0,MIN($F204,EOMONTH(DATE(cfg_FY,10,1),0))-MAX($E204,DATE(cfg_FY,10,1))+1)*(1-IF($M204="نعم",0,N($J204))))</f>
        <v>0</v>
      </c>
      <c r="AF204" s="65" t="n">
        <f aca="false">IF(OR($B204="",$E204="",$F204=""),0,MAX(0,MIN($F204,EOMONTH(DATE(cfg_FY,11,1),0))-MAX($E204,DATE(cfg_FY,11,1))+1)*(1-IF($M204="نعم",0,N($J204))))</f>
        <v>0</v>
      </c>
      <c r="AG204" s="65" t="n">
        <f aca="false">IF(OR($B204="",$E204="",$F204=""),0,MAX(0,MIN($F204,EOMONTH(DATE(cfg_FY,12,1),0))-MAX($E204,DATE(cfg_FY,12,1))+1)*(1-IF($M204="نعم",0,N($J204))))</f>
        <v>0</v>
      </c>
      <c r="AH204" s="65" t="n">
        <f aca="false">IF(OR(OR($B204="",$E204="",$F204=""),$L204&lt;&gt;"لا"),0,MAX(0,MIN($F204,EOMONTH(DATE(cfg_FY,1,1),0))-$E204+1))</f>
        <v>0</v>
      </c>
      <c r="AI204" s="65" t="n">
        <f aca="false">IF(OR(OR($B204="",$E204="",$F204=""),$L204&lt;&gt;"لا"),0,MAX(0,MIN($F204,EOMONTH(DATE(cfg_FY,2,1),0))-$E204+1))</f>
        <v>0</v>
      </c>
      <c r="AJ204" s="65" t="n">
        <f aca="false">IF(OR(OR($B204="",$E204="",$F204=""),$L204&lt;&gt;"لا"),0,MAX(0,MIN($F204,EOMONTH(DATE(cfg_FY,3,1),0))-$E204+1))</f>
        <v>0</v>
      </c>
      <c r="AK204" s="65" t="n">
        <f aca="false">IF(OR(OR($B204="",$E204="",$F204=""),$L204&lt;&gt;"لا"),0,MAX(0,MIN($F204,EOMONTH(DATE(cfg_FY,4,1),0))-$E204+1))</f>
        <v>0</v>
      </c>
      <c r="AL204" s="65" t="n">
        <f aca="false">IF(OR(OR($B204="",$E204="",$F204=""),$L204&lt;&gt;"لا"),0,MAX(0,MIN($F204,EOMONTH(DATE(cfg_FY,5,1),0))-$E204+1))</f>
        <v>0</v>
      </c>
      <c r="AM204" s="65" t="n">
        <f aca="false">IF(OR(OR($B204="",$E204="",$F204=""),$L204&lt;&gt;"لا"),0,MAX(0,MIN($F204,EOMONTH(DATE(cfg_FY,6,1),0))-$E204+1))</f>
        <v>0</v>
      </c>
      <c r="AN204" s="65" t="n">
        <f aca="false">IF(OR(OR($B204="",$E204="",$F204=""),$L204&lt;&gt;"لا"),0,MAX(0,MIN($F204,EOMONTH(DATE(cfg_FY,7,1),0))-$E204+1))</f>
        <v>0</v>
      </c>
      <c r="AO204" s="65" t="n">
        <f aca="false">IF(OR(OR($B204="",$E204="",$F204=""),$L204&lt;&gt;"لا"),0,MAX(0,MIN($F204,EOMONTH(DATE(cfg_FY,8,1),0))-$E204+1))</f>
        <v>0</v>
      </c>
      <c r="AP204" s="65" t="n">
        <f aca="false">IF(OR(OR($B204="",$E204="",$F204=""),$L204&lt;&gt;"لا"),0,MAX(0,MIN($F204,EOMONTH(DATE(cfg_FY,9,1),0))-$E204+1))</f>
        <v>0</v>
      </c>
      <c r="AQ204" s="65" t="n">
        <f aca="false">IF(OR(OR($B204="",$E204="",$F204=""),$L204&lt;&gt;"لا"),0,MAX(0,MIN($F204,EOMONTH(DATE(cfg_FY,10,1),0))-$E204+1))</f>
        <v>0</v>
      </c>
      <c r="AR204" s="65" t="n">
        <f aca="false">IF(OR(OR($B204="",$E204="",$F204=""),$L204&lt;&gt;"لا"),0,MAX(0,MIN($F204,EOMONTH(DATE(cfg_FY,11,1),0))-$E204+1))</f>
        <v>0</v>
      </c>
      <c r="AS204" s="65" t="n">
        <f aca="false">IF(OR(OR($B204="",$E204="",$F204=""),$L204&lt;&gt;"لا"),0,MAX(0,MIN($F204,EOMONTH(DATE(cfg_FY,12,1),0))-$E204+1))</f>
        <v>0</v>
      </c>
      <c r="AT204" s="65" t="n">
        <f aca="false">IF(OR(OR($B204="",$E204="",$F204=""),$K204&lt;&gt;"نعم",$M204="نعم"),0,MAX(0,MIN($F204,EOMONTH(DATE(cfg_FY,1,1),0))-MAX($E204,DATE(cfg_FY,1,1))+1))</f>
        <v>0</v>
      </c>
      <c r="AU204" s="65" t="n">
        <f aca="false">IF(OR(OR($B204="",$E204="",$F204=""),$K204&lt;&gt;"نعم",$M204="نعم"),0,MAX(0,MIN($F204,EOMONTH(DATE(cfg_FY,2,1),0))-MAX($E204,DATE(cfg_FY,2,1))+1))</f>
        <v>0</v>
      </c>
      <c r="AV204" s="65" t="n">
        <f aca="false">IF(OR(OR($B204="",$E204="",$F204=""),$K204&lt;&gt;"نعم",$M204="نعم"),0,MAX(0,MIN($F204,EOMONTH(DATE(cfg_FY,3,1),0))-MAX($E204,DATE(cfg_FY,3,1))+1))</f>
        <v>0</v>
      </c>
      <c r="AW204" s="65" t="n">
        <f aca="false">IF(OR(OR($B204="",$E204="",$F204=""),$K204&lt;&gt;"نعم",$M204="نعم"),0,MAX(0,MIN($F204,EOMONTH(DATE(cfg_FY,4,1),0))-MAX($E204,DATE(cfg_FY,4,1))+1))</f>
        <v>0</v>
      </c>
      <c r="AX204" s="65" t="n">
        <f aca="false">IF(OR(OR($B204="",$E204="",$F204=""),$K204&lt;&gt;"نعم",$M204="نعم"),0,MAX(0,MIN($F204,EOMONTH(DATE(cfg_FY,5,1),0))-MAX($E204,DATE(cfg_FY,5,1))+1))</f>
        <v>0</v>
      </c>
      <c r="AY204" s="65" t="n">
        <f aca="false">IF(OR(OR($B204="",$E204="",$F204=""),$K204&lt;&gt;"نعم",$M204="نعم"),0,MAX(0,MIN($F204,EOMONTH(DATE(cfg_FY,6,1),0))-MAX($E204,DATE(cfg_FY,6,1))+1))</f>
        <v>0</v>
      </c>
      <c r="AZ204" s="65" t="n">
        <f aca="false">IF(OR(OR($B204="",$E204="",$F204=""),$K204&lt;&gt;"نعم",$M204="نعم"),0,MAX(0,MIN($F204,EOMONTH(DATE(cfg_FY,7,1),0))-MAX($E204,DATE(cfg_FY,7,1))+1))</f>
        <v>0</v>
      </c>
      <c r="BA204" s="65" t="n">
        <f aca="false">IF(OR(OR($B204="",$E204="",$F204=""),$K204&lt;&gt;"نعم",$M204="نعم"),0,MAX(0,MIN($F204,EOMONTH(DATE(cfg_FY,8,1),0))-MAX($E204,DATE(cfg_FY,8,1))+1))</f>
        <v>0</v>
      </c>
      <c r="BB204" s="65" t="n">
        <f aca="false">IF(OR(OR($B204="",$E204="",$F204=""),$K204&lt;&gt;"نعم",$M204="نعم"),0,MAX(0,MIN($F204,EOMONTH(DATE(cfg_FY,9,1),0))-MAX($E204,DATE(cfg_FY,9,1))+1))</f>
        <v>0</v>
      </c>
      <c r="BC204" s="65" t="n">
        <f aca="false">IF(OR(OR($B204="",$E204="",$F204=""),$K204&lt;&gt;"نعم",$M204="نعم"),0,MAX(0,MIN($F204,EOMONTH(DATE(cfg_FY,10,1),0))-MAX($E204,DATE(cfg_FY,10,1))+1))</f>
        <v>0</v>
      </c>
      <c r="BD204" s="65" t="n">
        <f aca="false">IF(OR(OR($B204="",$E204="",$F204=""),$K204&lt;&gt;"نعم",$M204="نعم"),0,MAX(0,MIN($F204,EOMONTH(DATE(cfg_FY,11,1),0))-MAX($E204,DATE(cfg_FY,11,1))+1))</f>
        <v>0</v>
      </c>
      <c r="BE204" s="65" t="n">
        <f aca="false">IF(OR(OR($B204="",$E204="",$F204=""),$K204&lt;&gt;"نعم",$M204="نعم"),0,MAX(0,MIN($F204,EOMONTH(DATE(cfg_FY,12,1),0))-MAX($E204,DATE(cfg_FY,12,1))+1))</f>
        <v>0</v>
      </c>
    </row>
    <row r="205" customFormat="false" ht="15" hidden="false" customHeight="false" outlineLevel="0" collapsed="false">
      <c r="A205" s="115" t="str">
        <f aca="false">IF(B205="","",ROW()-5)</f>
        <v/>
      </c>
      <c r="B205" s="118"/>
      <c r="C205" s="117" t="str">
        <f aca="false">IF(B205="","",IFERROR(INDEX(الموظفون!$C$6:$C$105,MATCH(B205,الموظفون!$B$6:$B$105,0)),"✖ رقم غير موجود"))</f>
        <v/>
      </c>
      <c r="D205" s="118"/>
      <c r="E205" s="119"/>
      <c r="F205" s="119"/>
      <c r="G205" s="133" t="str">
        <f aca="false">IF(OR($B205="",$E205="",$F205=""),"",MAX(0,F205-E205+1))</f>
        <v/>
      </c>
      <c r="H205" s="134" t="str">
        <f aca="false">IF(D205="","",IFERROR(VLOOKUP(D205,cfg_LT,2,FALSE()),1))</f>
        <v/>
      </c>
      <c r="I205" s="135"/>
      <c r="J205" s="134" t="str">
        <f aca="false">IF(D205="","",IF(I205&lt;&gt;"",I205,H205))</f>
        <v/>
      </c>
      <c r="K205" s="117" t="str">
        <f aca="false">IF(D205="","",IFERROR(VLOOKUP($D205,cfg_LT,3,FALSE()),""))</f>
        <v/>
      </c>
      <c r="L205" s="117" t="str">
        <f aca="false">IF(D205="","",IFERROR(VLOOKUP($D205,cfg_LT,4,FALSE()),""))</f>
        <v/>
      </c>
      <c r="M205" s="117" t="str">
        <f aca="false">IF(D205="","",IFERROR(VLOOKUP($D205,cfg_LT,5,FALSE()),""))</f>
        <v/>
      </c>
      <c r="N205" s="116" t="n">
        <f aca="false">IF(OR(OR($B205="",$E205="",$F205=""),M205&lt;&gt;"نعم"),0,G205*J205*IFERROR(INDEX(الموظفون!$R$6:$R$105,MATCH(B205,الموظفون!$B$6:$B$105,0)),0)/cfg_DAYS_M)</f>
        <v>0</v>
      </c>
      <c r="O205" s="115" t="str">
        <f aca="false">IF(OR(OR($B205="",$E205="",$F205=""),M205&lt;&gt;"نعم"),"",IF(YEAR(E205)=cfg_FY,MONTH(E205),""))</f>
        <v/>
      </c>
      <c r="P205" s="117" t="str">
        <f aca="false">IF(B205="","",IF(OR(D205="",E205="",F205=""),"⚠ أكمل النوع والتواريخ",IF(F205&lt;E205,"✖ النهاية قبل البداية",IF(COUNTIFS($B$6:$B$505,B205,$E$6:$E$505,"&lt;="&amp;F205,$F$6:$F$505,"&gt;="&amp;E205)&gt;1,"⚠ تداخل مع سجل آخر",IF(E205&gt;cfg_VAL_DATE,"⏳ قادمة",IF(F205&lt;cfg_VAL_DATE,"✔ منتهية","✈ جارية في تاريخ التقرير"))))))</f>
        <v/>
      </c>
      <c r="Q205" s="118"/>
      <c r="R205" s="133" t="n">
        <f aca="false">IF(OR(OR($B205="",$E205="",$F205=""),L205&lt;&gt;"لا"),0,MAX(0,MIN(F205,cfg_Y_START-1)-E205+1))</f>
        <v>0</v>
      </c>
      <c r="S205" s="133" t="n">
        <f aca="false">IF(OR(OR($B205="",$E205="",$F205=""),L205&lt;&gt;"لا"),0,MAX(0,MIN(F205,cfg_VAL_DATE)-E205+1))</f>
        <v>0</v>
      </c>
      <c r="T205" s="133" t="n">
        <f aca="false">IF(OR(OR($B205="",$E205="",$F205=""),K205&lt;&gt;"نعم"),0,IF(M205="نعم",IF(AND(ISNUMBER(O205),N(O205)&lt;=cfg_VAL_M),G205,0),MAX(0,MIN(F205,cfg_VAL_DATE)-MAX(E205,cfg_Y_START)+1)))</f>
        <v>0</v>
      </c>
      <c r="V205" s="133" t="n">
        <f aca="false">IF(OR($B205="",$E205="",$F205=""),0,MAX(0,MIN($F205,EOMONTH(DATE(cfg_FY,1,1),0))-MAX($E205,DATE(cfg_FY,1,1))+1)*(1-IF($M205="نعم",0,N($J205))))</f>
        <v>0</v>
      </c>
      <c r="W205" s="133" t="n">
        <f aca="false">IF(OR($B205="",$E205="",$F205=""),0,MAX(0,MIN($F205,EOMONTH(DATE(cfg_FY,2,1),0))-MAX($E205,DATE(cfg_FY,2,1))+1)*(1-IF($M205="نعم",0,N($J205))))</f>
        <v>0</v>
      </c>
      <c r="X205" s="133" t="n">
        <f aca="false">IF(OR($B205="",$E205="",$F205=""),0,MAX(0,MIN($F205,EOMONTH(DATE(cfg_FY,3,1),0))-MAX($E205,DATE(cfg_FY,3,1))+1)*(1-IF($M205="نعم",0,N($J205))))</f>
        <v>0</v>
      </c>
      <c r="Y205" s="133" t="n">
        <f aca="false">IF(OR($B205="",$E205="",$F205=""),0,MAX(0,MIN($F205,EOMONTH(DATE(cfg_FY,4,1),0))-MAX($E205,DATE(cfg_FY,4,1))+1)*(1-IF($M205="نعم",0,N($J205))))</f>
        <v>0</v>
      </c>
      <c r="Z205" s="133" t="n">
        <f aca="false">IF(OR($B205="",$E205="",$F205=""),0,MAX(0,MIN($F205,EOMONTH(DATE(cfg_FY,5,1),0))-MAX($E205,DATE(cfg_FY,5,1))+1)*(1-IF($M205="نعم",0,N($J205))))</f>
        <v>0</v>
      </c>
      <c r="AA205" s="133" t="n">
        <f aca="false">IF(OR($B205="",$E205="",$F205=""),0,MAX(0,MIN($F205,EOMONTH(DATE(cfg_FY,6,1),0))-MAX($E205,DATE(cfg_FY,6,1))+1)*(1-IF($M205="نعم",0,N($J205))))</f>
        <v>0</v>
      </c>
      <c r="AB205" s="133" t="n">
        <f aca="false">IF(OR($B205="",$E205="",$F205=""),0,MAX(0,MIN($F205,EOMONTH(DATE(cfg_FY,7,1),0))-MAX($E205,DATE(cfg_FY,7,1))+1)*(1-IF($M205="نعم",0,N($J205))))</f>
        <v>0</v>
      </c>
      <c r="AC205" s="133" t="n">
        <f aca="false">IF(OR($B205="",$E205="",$F205=""),0,MAX(0,MIN($F205,EOMONTH(DATE(cfg_FY,8,1),0))-MAX($E205,DATE(cfg_FY,8,1))+1)*(1-IF($M205="نعم",0,N($J205))))</f>
        <v>0</v>
      </c>
      <c r="AD205" s="133" t="n">
        <f aca="false">IF(OR($B205="",$E205="",$F205=""),0,MAX(0,MIN($F205,EOMONTH(DATE(cfg_FY,9,1),0))-MAX($E205,DATE(cfg_FY,9,1))+1)*(1-IF($M205="نعم",0,N($J205))))</f>
        <v>0</v>
      </c>
      <c r="AE205" s="133" t="n">
        <f aca="false">IF(OR($B205="",$E205="",$F205=""),0,MAX(0,MIN($F205,EOMONTH(DATE(cfg_FY,10,1),0))-MAX($E205,DATE(cfg_FY,10,1))+1)*(1-IF($M205="نعم",0,N($J205))))</f>
        <v>0</v>
      </c>
      <c r="AF205" s="133" t="n">
        <f aca="false">IF(OR($B205="",$E205="",$F205=""),0,MAX(0,MIN($F205,EOMONTH(DATE(cfg_FY,11,1),0))-MAX($E205,DATE(cfg_FY,11,1))+1)*(1-IF($M205="نعم",0,N($J205))))</f>
        <v>0</v>
      </c>
      <c r="AG205" s="133" t="n">
        <f aca="false">IF(OR($B205="",$E205="",$F205=""),0,MAX(0,MIN($F205,EOMONTH(DATE(cfg_FY,12,1),0))-MAX($E205,DATE(cfg_FY,12,1))+1)*(1-IF($M205="نعم",0,N($J205))))</f>
        <v>0</v>
      </c>
      <c r="AH205" s="133" t="n">
        <f aca="false">IF(OR(OR($B205="",$E205="",$F205=""),$L205&lt;&gt;"لا"),0,MAX(0,MIN($F205,EOMONTH(DATE(cfg_FY,1,1),0))-$E205+1))</f>
        <v>0</v>
      </c>
      <c r="AI205" s="133" t="n">
        <f aca="false">IF(OR(OR($B205="",$E205="",$F205=""),$L205&lt;&gt;"لا"),0,MAX(0,MIN($F205,EOMONTH(DATE(cfg_FY,2,1),0))-$E205+1))</f>
        <v>0</v>
      </c>
      <c r="AJ205" s="133" t="n">
        <f aca="false">IF(OR(OR($B205="",$E205="",$F205=""),$L205&lt;&gt;"لا"),0,MAX(0,MIN($F205,EOMONTH(DATE(cfg_FY,3,1),0))-$E205+1))</f>
        <v>0</v>
      </c>
      <c r="AK205" s="133" t="n">
        <f aca="false">IF(OR(OR($B205="",$E205="",$F205=""),$L205&lt;&gt;"لا"),0,MAX(0,MIN($F205,EOMONTH(DATE(cfg_FY,4,1),0))-$E205+1))</f>
        <v>0</v>
      </c>
      <c r="AL205" s="133" t="n">
        <f aca="false">IF(OR(OR($B205="",$E205="",$F205=""),$L205&lt;&gt;"لا"),0,MAX(0,MIN($F205,EOMONTH(DATE(cfg_FY,5,1),0))-$E205+1))</f>
        <v>0</v>
      </c>
      <c r="AM205" s="133" t="n">
        <f aca="false">IF(OR(OR($B205="",$E205="",$F205=""),$L205&lt;&gt;"لا"),0,MAX(0,MIN($F205,EOMONTH(DATE(cfg_FY,6,1),0))-$E205+1))</f>
        <v>0</v>
      </c>
      <c r="AN205" s="133" t="n">
        <f aca="false">IF(OR(OR($B205="",$E205="",$F205=""),$L205&lt;&gt;"لا"),0,MAX(0,MIN($F205,EOMONTH(DATE(cfg_FY,7,1),0))-$E205+1))</f>
        <v>0</v>
      </c>
      <c r="AO205" s="133" t="n">
        <f aca="false">IF(OR(OR($B205="",$E205="",$F205=""),$L205&lt;&gt;"لا"),0,MAX(0,MIN($F205,EOMONTH(DATE(cfg_FY,8,1),0))-$E205+1))</f>
        <v>0</v>
      </c>
      <c r="AP205" s="133" t="n">
        <f aca="false">IF(OR(OR($B205="",$E205="",$F205=""),$L205&lt;&gt;"لا"),0,MAX(0,MIN($F205,EOMONTH(DATE(cfg_FY,9,1),0))-$E205+1))</f>
        <v>0</v>
      </c>
      <c r="AQ205" s="133" t="n">
        <f aca="false">IF(OR(OR($B205="",$E205="",$F205=""),$L205&lt;&gt;"لا"),0,MAX(0,MIN($F205,EOMONTH(DATE(cfg_FY,10,1),0))-$E205+1))</f>
        <v>0</v>
      </c>
      <c r="AR205" s="133" t="n">
        <f aca="false">IF(OR(OR($B205="",$E205="",$F205=""),$L205&lt;&gt;"لا"),0,MAX(0,MIN($F205,EOMONTH(DATE(cfg_FY,11,1),0))-$E205+1))</f>
        <v>0</v>
      </c>
      <c r="AS205" s="133" t="n">
        <f aca="false">IF(OR(OR($B205="",$E205="",$F205=""),$L205&lt;&gt;"لا"),0,MAX(0,MIN($F205,EOMONTH(DATE(cfg_FY,12,1),0))-$E205+1))</f>
        <v>0</v>
      </c>
      <c r="AT205" s="133" t="n">
        <f aca="false">IF(OR(OR($B205="",$E205="",$F205=""),$K205&lt;&gt;"نعم",$M205="نعم"),0,MAX(0,MIN($F205,EOMONTH(DATE(cfg_FY,1,1),0))-MAX($E205,DATE(cfg_FY,1,1))+1))</f>
        <v>0</v>
      </c>
      <c r="AU205" s="133" t="n">
        <f aca="false">IF(OR(OR($B205="",$E205="",$F205=""),$K205&lt;&gt;"نعم",$M205="نعم"),0,MAX(0,MIN($F205,EOMONTH(DATE(cfg_FY,2,1),0))-MAX($E205,DATE(cfg_FY,2,1))+1))</f>
        <v>0</v>
      </c>
      <c r="AV205" s="133" t="n">
        <f aca="false">IF(OR(OR($B205="",$E205="",$F205=""),$K205&lt;&gt;"نعم",$M205="نعم"),0,MAX(0,MIN($F205,EOMONTH(DATE(cfg_FY,3,1),0))-MAX($E205,DATE(cfg_FY,3,1))+1))</f>
        <v>0</v>
      </c>
      <c r="AW205" s="133" t="n">
        <f aca="false">IF(OR(OR($B205="",$E205="",$F205=""),$K205&lt;&gt;"نعم",$M205="نعم"),0,MAX(0,MIN($F205,EOMONTH(DATE(cfg_FY,4,1),0))-MAX($E205,DATE(cfg_FY,4,1))+1))</f>
        <v>0</v>
      </c>
      <c r="AX205" s="133" t="n">
        <f aca="false">IF(OR(OR($B205="",$E205="",$F205=""),$K205&lt;&gt;"نعم",$M205="نعم"),0,MAX(0,MIN($F205,EOMONTH(DATE(cfg_FY,5,1),0))-MAX($E205,DATE(cfg_FY,5,1))+1))</f>
        <v>0</v>
      </c>
      <c r="AY205" s="133" t="n">
        <f aca="false">IF(OR(OR($B205="",$E205="",$F205=""),$K205&lt;&gt;"نعم",$M205="نعم"),0,MAX(0,MIN($F205,EOMONTH(DATE(cfg_FY,6,1),0))-MAX($E205,DATE(cfg_FY,6,1))+1))</f>
        <v>0</v>
      </c>
      <c r="AZ205" s="133" t="n">
        <f aca="false">IF(OR(OR($B205="",$E205="",$F205=""),$K205&lt;&gt;"نعم",$M205="نعم"),0,MAX(0,MIN($F205,EOMONTH(DATE(cfg_FY,7,1),0))-MAX($E205,DATE(cfg_FY,7,1))+1))</f>
        <v>0</v>
      </c>
      <c r="BA205" s="133" t="n">
        <f aca="false">IF(OR(OR($B205="",$E205="",$F205=""),$K205&lt;&gt;"نعم",$M205="نعم"),0,MAX(0,MIN($F205,EOMONTH(DATE(cfg_FY,8,1),0))-MAX($E205,DATE(cfg_FY,8,1))+1))</f>
        <v>0</v>
      </c>
      <c r="BB205" s="133" t="n">
        <f aca="false">IF(OR(OR($B205="",$E205="",$F205=""),$K205&lt;&gt;"نعم",$M205="نعم"),0,MAX(0,MIN($F205,EOMONTH(DATE(cfg_FY,9,1),0))-MAX($E205,DATE(cfg_FY,9,1))+1))</f>
        <v>0</v>
      </c>
      <c r="BC205" s="133" t="n">
        <f aca="false">IF(OR(OR($B205="",$E205="",$F205=""),$K205&lt;&gt;"نعم",$M205="نعم"),0,MAX(0,MIN($F205,EOMONTH(DATE(cfg_FY,10,1),0))-MAX($E205,DATE(cfg_FY,10,1))+1))</f>
        <v>0</v>
      </c>
      <c r="BD205" s="133" t="n">
        <f aca="false">IF(OR(OR($B205="",$E205="",$F205=""),$K205&lt;&gt;"نعم",$M205="نعم"),0,MAX(0,MIN($F205,EOMONTH(DATE(cfg_FY,11,1),0))-MAX($E205,DATE(cfg_FY,11,1))+1))</f>
        <v>0</v>
      </c>
      <c r="BE205" s="133" t="n">
        <f aca="false">IF(OR(OR($B205="",$E205="",$F205=""),$K205&lt;&gt;"نعم",$M205="نعم"),0,MAX(0,MIN($F205,EOMONTH(DATE(cfg_FY,12,1),0))-MAX($E205,DATE(cfg_FY,12,1))+1))</f>
        <v>0</v>
      </c>
    </row>
    <row r="206" customFormat="false" ht="15" hidden="false" customHeight="false" outlineLevel="0" collapsed="false">
      <c r="A206" s="106" t="str">
        <f aca="false">IF(B206="","",ROW()-5)</f>
        <v/>
      </c>
      <c r="B206" s="118"/>
      <c r="C206" s="114" t="str">
        <f aca="false">IF(B206="","",IFERROR(INDEX(الموظفون!$C$6:$C$105,MATCH(B206,الموظفون!$B$6:$B$105,0)),"✖ رقم غير موجود"))</f>
        <v/>
      </c>
      <c r="D206" s="118"/>
      <c r="E206" s="119"/>
      <c r="F206" s="119"/>
      <c r="G206" s="65" t="str">
        <f aca="false">IF(OR($B206="",$E206="",$F206=""),"",MAX(0,F206-E206+1))</f>
        <v/>
      </c>
      <c r="H206" s="66" t="str">
        <f aca="false">IF(D206="","",IFERROR(VLOOKUP(D206,cfg_LT,2,FALSE()),1))</f>
        <v/>
      </c>
      <c r="I206" s="135"/>
      <c r="J206" s="66" t="str">
        <f aca="false">IF(D206="","",IF(I206&lt;&gt;"",I206,H206))</f>
        <v/>
      </c>
      <c r="K206" s="114" t="str">
        <f aca="false">IF(D206="","",IFERROR(VLOOKUP($D206,cfg_LT,3,FALSE()),""))</f>
        <v/>
      </c>
      <c r="L206" s="114" t="str">
        <f aca="false">IF(D206="","",IFERROR(VLOOKUP($D206,cfg_LT,4,FALSE()),""))</f>
        <v/>
      </c>
      <c r="M206" s="114" t="str">
        <f aca="false">IF(D206="","",IFERROR(VLOOKUP($D206,cfg_LT,5,FALSE()),""))</f>
        <v/>
      </c>
      <c r="N206" s="111" t="n">
        <f aca="false">IF(OR(OR($B206="",$E206="",$F206=""),M206&lt;&gt;"نعم"),0,G206*J206*IFERROR(INDEX(الموظفون!$R$6:$R$105,MATCH(B206,الموظفون!$B$6:$B$105,0)),0)/cfg_DAYS_M)</f>
        <v>0</v>
      </c>
      <c r="O206" s="106" t="str">
        <f aca="false">IF(OR(OR($B206="",$E206="",$F206=""),M206&lt;&gt;"نعم"),"",IF(YEAR(E206)=cfg_FY,MONTH(E206),""))</f>
        <v/>
      </c>
      <c r="P206" s="114" t="str">
        <f aca="false">IF(B206="","",IF(OR(D206="",E206="",F206=""),"⚠ أكمل النوع والتواريخ",IF(F206&lt;E206,"✖ النهاية قبل البداية",IF(COUNTIFS($B$6:$B$505,B206,$E$6:$E$505,"&lt;="&amp;F206,$F$6:$F$505,"&gt;="&amp;E206)&gt;1,"⚠ تداخل مع سجل آخر",IF(E206&gt;cfg_VAL_DATE,"⏳ قادمة",IF(F206&lt;cfg_VAL_DATE,"✔ منتهية","✈ جارية في تاريخ التقرير"))))))</f>
        <v/>
      </c>
      <c r="Q206" s="118"/>
      <c r="R206" s="65" t="n">
        <f aca="false">IF(OR(OR($B206="",$E206="",$F206=""),L206&lt;&gt;"لا"),0,MAX(0,MIN(F206,cfg_Y_START-1)-E206+1))</f>
        <v>0</v>
      </c>
      <c r="S206" s="65" t="n">
        <f aca="false">IF(OR(OR($B206="",$E206="",$F206=""),L206&lt;&gt;"لا"),0,MAX(0,MIN(F206,cfg_VAL_DATE)-E206+1))</f>
        <v>0</v>
      </c>
      <c r="T206" s="65" t="n">
        <f aca="false">IF(OR(OR($B206="",$E206="",$F206=""),K206&lt;&gt;"نعم"),0,IF(M206="نعم",IF(AND(ISNUMBER(O206),N(O206)&lt;=cfg_VAL_M),G206,0),MAX(0,MIN(F206,cfg_VAL_DATE)-MAX(E206,cfg_Y_START)+1)))</f>
        <v>0</v>
      </c>
      <c r="V206" s="65" t="n">
        <f aca="false">IF(OR($B206="",$E206="",$F206=""),0,MAX(0,MIN($F206,EOMONTH(DATE(cfg_FY,1,1),0))-MAX($E206,DATE(cfg_FY,1,1))+1)*(1-IF($M206="نعم",0,N($J206))))</f>
        <v>0</v>
      </c>
      <c r="W206" s="65" t="n">
        <f aca="false">IF(OR($B206="",$E206="",$F206=""),0,MAX(0,MIN($F206,EOMONTH(DATE(cfg_FY,2,1),0))-MAX($E206,DATE(cfg_FY,2,1))+1)*(1-IF($M206="نعم",0,N($J206))))</f>
        <v>0</v>
      </c>
      <c r="X206" s="65" t="n">
        <f aca="false">IF(OR($B206="",$E206="",$F206=""),0,MAX(0,MIN($F206,EOMONTH(DATE(cfg_FY,3,1),0))-MAX($E206,DATE(cfg_FY,3,1))+1)*(1-IF($M206="نعم",0,N($J206))))</f>
        <v>0</v>
      </c>
      <c r="Y206" s="65" t="n">
        <f aca="false">IF(OR($B206="",$E206="",$F206=""),0,MAX(0,MIN($F206,EOMONTH(DATE(cfg_FY,4,1),0))-MAX($E206,DATE(cfg_FY,4,1))+1)*(1-IF($M206="نعم",0,N($J206))))</f>
        <v>0</v>
      </c>
      <c r="Z206" s="65" t="n">
        <f aca="false">IF(OR($B206="",$E206="",$F206=""),0,MAX(0,MIN($F206,EOMONTH(DATE(cfg_FY,5,1),0))-MAX($E206,DATE(cfg_FY,5,1))+1)*(1-IF($M206="نعم",0,N($J206))))</f>
        <v>0</v>
      </c>
      <c r="AA206" s="65" t="n">
        <f aca="false">IF(OR($B206="",$E206="",$F206=""),0,MAX(0,MIN($F206,EOMONTH(DATE(cfg_FY,6,1),0))-MAX($E206,DATE(cfg_FY,6,1))+1)*(1-IF($M206="نعم",0,N($J206))))</f>
        <v>0</v>
      </c>
      <c r="AB206" s="65" t="n">
        <f aca="false">IF(OR($B206="",$E206="",$F206=""),0,MAX(0,MIN($F206,EOMONTH(DATE(cfg_FY,7,1),0))-MAX($E206,DATE(cfg_FY,7,1))+1)*(1-IF($M206="نعم",0,N($J206))))</f>
        <v>0</v>
      </c>
      <c r="AC206" s="65" t="n">
        <f aca="false">IF(OR($B206="",$E206="",$F206=""),0,MAX(0,MIN($F206,EOMONTH(DATE(cfg_FY,8,1),0))-MAX($E206,DATE(cfg_FY,8,1))+1)*(1-IF($M206="نعم",0,N($J206))))</f>
        <v>0</v>
      </c>
      <c r="AD206" s="65" t="n">
        <f aca="false">IF(OR($B206="",$E206="",$F206=""),0,MAX(0,MIN($F206,EOMONTH(DATE(cfg_FY,9,1),0))-MAX($E206,DATE(cfg_FY,9,1))+1)*(1-IF($M206="نعم",0,N($J206))))</f>
        <v>0</v>
      </c>
      <c r="AE206" s="65" t="n">
        <f aca="false">IF(OR($B206="",$E206="",$F206=""),0,MAX(0,MIN($F206,EOMONTH(DATE(cfg_FY,10,1),0))-MAX($E206,DATE(cfg_FY,10,1))+1)*(1-IF($M206="نعم",0,N($J206))))</f>
        <v>0</v>
      </c>
      <c r="AF206" s="65" t="n">
        <f aca="false">IF(OR($B206="",$E206="",$F206=""),0,MAX(0,MIN($F206,EOMONTH(DATE(cfg_FY,11,1),0))-MAX($E206,DATE(cfg_FY,11,1))+1)*(1-IF($M206="نعم",0,N($J206))))</f>
        <v>0</v>
      </c>
      <c r="AG206" s="65" t="n">
        <f aca="false">IF(OR($B206="",$E206="",$F206=""),0,MAX(0,MIN($F206,EOMONTH(DATE(cfg_FY,12,1),0))-MAX($E206,DATE(cfg_FY,12,1))+1)*(1-IF($M206="نعم",0,N($J206))))</f>
        <v>0</v>
      </c>
      <c r="AH206" s="65" t="n">
        <f aca="false">IF(OR(OR($B206="",$E206="",$F206=""),$L206&lt;&gt;"لا"),0,MAX(0,MIN($F206,EOMONTH(DATE(cfg_FY,1,1),0))-$E206+1))</f>
        <v>0</v>
      </c>
      <c r="AI206" s="65" t="n">
        <f aca="false">IF(OR(OR($B206="",$E206="",$F206=""),$L206&lt;&gt;"لا"),0,MAX(0,MIN($F206,EOMONTH(DATE(cfg_FY,2,1),0))-$E206+1))</f>
        <v>0</v>
      </c>
      <c r="AJ206" s="65" t="n">
        <f aca="false">IF(OR(OR($B206="",$E206="",$F206=""),$L206&lt;&gt;"لا"),0,MAX(0,MIN($F206,EOMONTH(DATE(cfg_FY,3,1),0))-$E206+1))</f>
        <v>0</v>
      </c>
      <c r="AK206" s="65" t="n">
        <f aca="false">IF(OR(OR($B206="",$E206="",$F206=""),$L206&lt;&gt;"لا"),0,MAX(0,MIN($F206,EOMONTH(DATE(cfg_FY,4,1),0))-$E206+1))</f>
        <v>0</v>
      </c>
      <c r="AL206" s="65" t="n">
        <f aca="false">IF(OR(OR($B206="",$E206="",$F206=""),$L206&lt;&gt;"لا"),0,MAX(0,MIN($F206,EOMONTH(DATE(cfg_FY,5,1),0))-$E206+1))</f>
        <v>0</v>
      </c>
      <c r="AM206" s="65" t="n">
        <f aca="false">IF(OR(OR($B206="",$E206="",$F206=""),$L206&lt;&gt;"لا"),0,MAX(0,MIN($F206,EOMONTH(DATE(cfg_FY,6,1),0))-$E206+1))</f>
        <v>0</v>
      </c>
      <c r="AN206" s="65" t="n">
        <f aca="false">IF(OR(OR($B206="",$E206="",$F206=""),$L206&lt;&gt;"لا"),0,MAX(0,MIN($F206,EOMONTH(DATE(cfg_FY,7,1),0))-$E206+1))</f>
        <v>0</v>
      </c>
      <c r="AO206" s="65" t="n">
        <f aca="false">IF(OR(OR($B206="",$E206="",$F206=""),$L206&lt;&gt;"لا"),0,MAX(0,MIN($F206,EOMONTH(DATE(cfg_FY,8,1),0))-$E206+1))</f>
        <v>0</v>
      </c>
      <c r="AP206" s="65" t="n">
        <f aca="false">IF(OR(OR($B206="",$E206="",$F206=""),$L206&lt;&gt;"لا"),0,MAX(0,MIN($F206,EOMONTH(DATE(cfg_FY,9,1),0))-$E206+1))</f>
        <v>0</v>
      </c>
      <c r="AQ206" s="65" t="n">
        <f aca="false">IF(OR(OR($B206="",$E206="",$F206=""),$L206&lt;&gt;"لا"),0,MAX(0,MIN($F206,EOMONTH(DATE(cfg_FY,10,1),0))-$E206+1))</f>
        <v>0</v>
      </c>
      <c r="AR206" s="65" t="n">
        <f aca="false">IF(OR(OR($B206="",$E206="",$F206=""),$L206&lt;&gt;"لا"),0,MAX(0,MIN($F206,EOMONTH(DATE(cfg_FY,11,1),0))-$E206+1))</f>
        <v>0</v>
      </c>
      <c r="AS206" s="65" t="n">
        <f aca="false">IF(OR(OR($B206="",$E206="",$F206=""),$L206&lt;&gt;"لا"),0,MAX(0,MIN($F206,EOMONTH(DATE(cfg_FY,12,1),0))-$E206+1))</f>
        <v>0</v>
      </c>
      <c r="AT206" s="65" t="n">
        <f aca="false">IF(OR(OR($B206="",$E206="",$F206=""),$K206&lt;&gt;"نعم",$M206="نعم"),0,MAX(0,MIN($F206,EOMONTH(DATE(cfg_FY,1,1),0))-MAX($E206,DATE(cfg_FY,1,1))+1))</f>
        <v>0</v>
      </c>
      <c r="AU206" s="65" t="n">
        <f aca="false">IF(OR(OR($B206="",$E206="",$F206=""),$K206&lt;&gt;"نعم",$M206="نعم"),0,MAX(0,MIN($F206,EOMONTH(DATE(cfg_FY,2,1),0))-MAX($E206,DATE(cfg_FY,2,1))+1))</f>
        <v>0</v>
      </c>
      <c r="AV206" s="65" t="n">
        <f aca="false">IF(OR(OR($B206="",$E206="",$F206=""),$K206&lt;&gt;"نعم",$M206="نعم"),0,MAX(0,MIN($F206,EOMONTH(DATE(cfg_FY,3,1),0))-MAX($E206,DATE(cfg_FY,3,1))+1))</f>
        <v>0</v>
      </c>
      <c r="AW206" s="65" t="n">
        <f aca="false">IF(OR(OR($B206="",$E206="",$F206=""),$K206&lt;&gt;"نعم",$M206="نعم"),0,MAX(0,MIN($F206,EOMONTH(DATE(cfg_FY,4,1),0))-MAX($E206,DATE(cfg_FY,4,1))+1))</f>
        <v>0</v>
      </c>
      <c r="AX206" s="65" t="n">
        <f aca="false">IF(OR(OR($B206="",$E206="",$F206=""),$K206&lt;&gt;"نعم",$M206="نعم"),0,MAX(0,MIN($F206,EOMONTH(DATE(cfg_FY,5,1),0))-MAX($E206,DATE(cfg_FY,5,1))+1))</f>
        <v>0</v>
      </c>
      <c r="AY206" s="65" t="n">
        <f aca="false">IF(OR(OR($B206="",$E206="",$F206=""),$K206&lt;&gt;"نعم",$M206="نعم"),0,MAX(0,MIN($F206,EOMONTH(DATE(cfg_FY,6,1),0))-MAX($E206,DATE(cfg_FY,6,1))+1))</f>
        <v>0</v>
      </c>
      <c r="AZ206" s="65" t="n">
        <f aca="false">IF(OR(OR($B206="",$E206="",$F206=""),$K206&lt;&gt;"نعم",$M206="نعم"),0,MAX(0,MIN($F206,EOMONTH(DATE(cfg_FY,7,1),0))-MAX($E206,DATE(cfg_FY,7,1))+1))</f>
        <v>0</v>
      </c>
      <c r="BA206" s="65" t="n">
        <f aca="false">IF(OR(OR($B206="",$E206="",$F206=""),$K206&lt;&gt;"نعم",$M206="نعم"),0,MAX(0,MIN($F206,EOMONTH(DATE(cfg_FY,8,1),0))-MAX($E206,DATE(cfg_FY,8,1))+1))</f>
        <v>0</v>
      </c>
      <c r="BB206" s="65" t="n">
        <f aca="false">IF(OR(OR($B206="",$E206="",$F206=""),$K206&lt;&gt;"نعم",$M206="نعم"),0,MAX(0,MIN($F206,EOMONTH(DATE(cfg_FY,9,1),0))-MAX($E206,DATE(cfg_FY,9,1))+1))</f>
        <v>0</v>
      </c>
      <c r="BC206" s="65" t="n">
        <f aca="false">IF(OR(OR($B206="",$E206="",$F206=""),$K206&lt;&gt;"نعم",$M206="نعم"),0,MAX(0,MIN($F206,EOMONTH(DATE(cfg_FY,10,1),0))-MAX($E206,DATE(cfg_FY,10,1))+1))</f>
        <v>0</v>
      </c>
      <c r="BD206" s="65" t="n">
        <f aca="false">IF(OR(OR($B206="",$E206="",$F206=""),$K206&lt;&gt;"نعم",$M206="نعم"),0,MAX(0,MIN($F206,EOMONTH(DATE(cfg_FY,11,1),0))-MAX($E206,DATE(cfg_FY,11,1))+1))</f>
        <v>0</v>
      </c>
      <c r="BE206" s="65" t="n">
        <f aca="false">IF(OR(OR($B206="",$E206="",$F206=""),$K206&lt;&gt;"نعم",$M206="نعم"),0,MAX(0,MIN($F206,EOMONTH(DATE(cfg_FY,12,1),0))-MAX($E206,DATE(cfg_FY,12,1))+1))</f>
        <v>0</v>
      </c>
    </row>
    <row r="207" customFormat="false" ht="15" hidden="false" customHeight="false" outlineLevel="0" collapsed="false">
      <c r="A207" s="115" t="str">
        <f aca="false">IF(B207="","",ROW()-5)</f>
        <v/>
      </c>
      <c r="B207" s="118"/>
      <c r="C207" s="117" t="str">
        <f aca="false">IF(B207="","",IFERROR(INDEX(الموظفون!$C$6:$C$105,MATCH(B207,الموظفون!$B$6:$B$105,0)),"✖ رقم غير موجود"))</f>
        <v/>
      </c>
      <c r="D207" s="118"/>
      <c r="E207" s="119"/>
      <c r="F207" s="119"/>
      <c r="G207" s="133" t="str">
        <f aca="false">IF(OR($B207="",$E207="",$F207=""),"",MAX(0,F207-E207+1))</f>
        <v/>
      </c>
      <c r="H207" s="134" t="str">
        <f aca="false">IF(D207="","",IFERROR(VLOOKUP(D207,cfg_LT,2,FALSE()),1))</f>
        <v/>
      </c>
      <c r="I207" s="135"/>
      <c r="J207" s="134" t="str">
        <f aca="false">IF(D207="","",IF(I207&lt;&gt;"",I207,H207))</f>
        <v/>
      </c>
      <c r="K207" s="117" t="str">
        <f aca="false">IF(D207="","",IFERROR(VLOOKUP($D207,cfg_LT,3,FALSE()),""))</f>
        <v/>
      </c>
      <c r="L207" s="117" t="str">
        <f aca="false">IF(D207="","",IFERROR(VLOOKUP($D207,cfg_LT,4,FALSE()),""))</f>
        <v/>
      </c>
      <c r="M207" s="117" t="str">
        <f aca="false">IF(D207="","",IFERROR(VLOOKUP($D207,cfg_LT,5,FALSE()),""))</f>
        <v/>
      </c>
      <c r="N207" s="116" t="n">
        <f aca="false">IF(OR(OR($B207="",$E207="",$F207=""),M207&lt;&gt;"نعم"),0,G207*J207*IFERROR(INDEX(الموظفون!$R$6:$R$105,MATCH(B207,الموظفون!$B$6:$B$105,0)),0)/cfg_DAYS_M)</f>
        <v>0</v>
      </c>
      <c r="O207" s="115" t="str">
        <f aca="false">IF(OR(OR($B207="",$E207="",$F207=""),M207&lt;&gt;"نعم"),"",IF(YEAR(E207)=cfg_FY,MONTH(E207),""))</f>
        <v/>
      </c>
      <c r="P207" s="117" t="str">
        <f aca="false">IF(B207="","",IF(OR(D207="",E207="",F207=""),"⚠ أكمل النوع والتواريخ",IF(F207&lt;E207,"✖ النهاية قبل البداية",IF(COUNTIFS($B$6:$B$505,B207,$E$6:$E$505,"&lt;="&amp;F207,$F$6:$F$505,"&gt;="&amp;E207)&gt;1,"⚠ تداخل مع سجل آخر",IF(E207&gt;cfg_VAL_DATE,"⏳ قادمة",IF(F207&lt;cfg_VAL_DATE,"✔ منتهية","✈ جارية في تاريخ التقرير"))))))</f>
        <v/>
      </c>
      <c r="Q207" s="118"/>
      <c r="R207" s="133" t="n">
        <f aca="false">IF(OR(OR($B207="",$E207="",$F207=""),L207&lt;&gt;"لا"),0,MAX(0,MIN(F207,cfg_Y_START-1)-E207+1))</f>
        <v>0</v>
      </c>
      <c r="S207" s="133" t="n">
        <f aca="false">IF(OR(OR($B207="",$E207="",$F207=""),L207&lt;&gt;"لا"),0,MAX(0,MIN(F207,cfg_VAL_DATE)-E207+1))</f>
        <v>0</v>
      </c>
      <c r="T207" s="133" t="n">
        <f aca="false">IF(OR(OR($B207="",$E207="",$F207=""),K207&lt;&gt;"نعم"),0,IF(M207="نعم",IF(AND(ISNUMBER(O207),N(O207)&lt;=cfg_VAL_M),G207,0),MAX(0,MIN(F207,cfg_VAL_DATE)-MAX(E207,cfg_Y_START)+1)))</f>
        <v>0</v>
      </c>
      <c r="V207" s="133" t="n">
        <f aca="false">IF(OR($B207="",$E207="",$F207=""),0,MAX(0,MIN($F207,EOMONTH(DATE(cfg_FY,1,1),0))-MAX($E207,DATE(cfg_FY,1,1))+1)*(1-IF($M207="نعم",0,N($J207))))</f>
        <v>0</v>
      </c>
      <c r="W207" s="133" t="n">
        <f aca="false">IF(OR($B207="",$E207="",$F207=""),0,MAX(0,MIN($F207,EOMONTH(DATE(cfg_FY,2,1),0))-MAX($E207,DATE(cfg_FY,2,1))+1)*(1-IF($M207="نعم",0,N($J207))))</f>
        <v>0</v>
      </c>
      <c r="X207" s="133" t="n">
        <f aca="false">IF(OR($B207="",$E207="",$F207=""),0,MAX(0,MIN($F207,EOMONTH(DATE(cfg_FY,3,1),0))-MAX($E207,DATE(cfg_FY,3,1))+1)*(1-IF($M207="نعم",0,N($J207))))</f>
        <v>0</v>
      </c>
      <c r="Y207" s="133" t="n">
        <f aca="false">IF(OR($B207="",$E207="",$F207=""),0,MAX(0,MIN($F207,EOMONTH(DATE(cfg_FY,4,1),0))-MAX($E207,DATE(cfg_FY,4,1))+1)*(1-IF($M207="نعم",0,N($J207))))</f>
        <v>0</v>
      </c>
      <c r="Z207" s="133" t="n">
        <f aca="false">IF(OR($B207="",$E207="",$F207=""),0,MAX(0,MIN($F207,EOMONTH(DATE(cfg_FY,5,1),0))-MAX($E207,DATE(cfg_FY,5,1))+1)*(1-IF($M207="نعم",0,N($J207))))</f>
        <v>0</v>
      </c>
      <c r="AA207" s="133" t="n">
        <f aca="false">IF(OR($B207="",$E207="",$F207=""),0,MAX(0,MIN($F207,EOMONTH(DATE(cfg_FY,6,1),0))-MAX($E207,DATE(cfg_FY,6,1))+1)*(1-IF($M207="نعم",0,N($J207))))</f>
        <v>0</v>
      </c>
      <c r="AB207" s="133" t="n">
        <f aca="false">IF(OR($B207="",$E207="",$F207=""),0,MAX(0,MIN($F207,EOMONTH(DATE(cfg_FY,7,1),0))-MAX($E207,DATE(cfg_FY,7,1))+1)*(1-IF($M207="نعم",0,N($J207))))</f>
        <v>0</v>
      </c>
      <c r="AC207" s="133" t="n">
        <f aca="false">IF(OR($B207="",$E207="",$F207=""),0,MAX(0,MIN($F207,EOMONTH(DATE(cfg_FY,8,1),0))-MAX($E207,DATE(cfg_FY,8,1))+1)*(1-IF($M207="نعم",0,N($J207))))</f>
        <v>0</v>
      </c>
      <c r="AD207" s="133" t="n">
        <f aca="false">IF(OR($B207="",$E207="",$F207=""),0,MAX(0,MIN($F207,EOMONTH(DATE(cfg_FY,9,1),0))-MAX($E207,DATE(cfg_FY,9,1))+1)*(1-IF($M207="نعم",0,N($J207))))</f>
        <v>0</v>
      </c>
      <c r="AE207" s="133" t="n">
        <f aca="false">IF(OR($B207="",$E207="",$F207=""),0,MAX(0,MIN($F207,EOMONTH(DATE(cfg_FY,10,1),0))-MAX($E207,DATE(cfg_FY,10,1))+1)*(1-IF($M207="نعم",0,N($J207))))</f>
        <v>0</v>
      </c>
      <c r="AF207" s="133" t="n">
        <f aca="false">IF(OR($B207="",$E207="",$F207=""),0,MAX(0,MIN($F207,EOMONTH(DATE(cfg_FY,11,1),0))-MAX($E207,DATE(cfg_FY,11,1))+1)*(1-IF($M207="نعم",0,N($J207))))</f>
        <v>0</v>
      </c>
      <c r="AG207" s="133" t="n">
        <f aca="false">IF(OR($B207="",$E207="",$F207=""),0,MAX(0,MIN($F207,EOMONTH(DATE(cfg_FY,12,1),0))-MAX($E207,DATE(cfg_FY,12,1))+1)*(1-IF($M207="نعم",0,N($J207))))</f>
        <v>0</v>
      </c>
      <c r="AH207" s="133" t="n">
        <f aca="false">IF(OR(OR($B207="",$E207="",$F207=""),$L207&lt;&gt;"لا"),0,MAX(0,MIN($F207,EOMONTH(DATE(cfg_FY,1,1),0))-$E207+1))</f>
        <v>0</v>
      </c>
      <c r="AI207" s="133" t="n">
        <f aca="false">IF(OR(OR($B207="",$E207="",$F207=""),$L207&lt;&gt;"لا"),0,MAX(0,MIN($F207,EOMONTH(DATE(cfg_FY,2,1),0))-$E207+1))</f>
        <v>0</v>
      </c>
      <c r="AJ207" s="133" t="n">
        <f aca="false">IF(OR(OR($B207="",$E207="",$F207=""),$L207&lt;&gt;"لا"),0,MAX(0,MIN($F207,EOMONTH(DATE(cfg_FY,3,1),0))-$E207+1))</f>
        <v>0</v>
      </c>
      <c r="AK207" s="133" t="n">
        <f aca="false">IF(OR(OR($B207="",$E207="",$F207=""),$L207&lt;&gt;"لا"),0,MAX(0,MIN($F207,EOMONTH(DATE(cfg_FY,4,1),0))-$E207+1))</f>
        <v>0</v>
      </c>
      <c r="AL207" s="133" t="n">
        <f aca="false">IF(OR(OR($B207="",$E207="",$F207=""),$L207&lt;&gt;"لا"),0,MAX(0,MIN($F207,EOMONTH(DATE(cfg_FY,5,1),0))-$E207+1))</f>
        <v>0</v>
      </c>
      <c r="AM207" s="133" t="n">
        <f aca="false">IF(OR(OR($B207="",$E207="",$F207=""),$L207&lt;&gt;"لا"),0,MAX(0,MIN($F207,EOMONTH(DATE(cfg_FY,6,1),0))-$E207+1))</f>
        <v>0</v>
      </c>
      <c r="AN207" s="133" t="n">
        <f aca="false">IF(OR(OR($B207="",$E207="",$F207=""),$L207&lt;&gt;"لا"),0,MAX(0,MIN($F207,EOMONTH(DATE(cfg_FY,7,1),0))-$E207+1))</f>
        <v>0</v>
      </c>
      <c r="AO207" s="133" t="n">
        <f aca="false">IF(OR(OR($B207="",$E207="",$F207=""),$L207&lt;&gt;"لا"),0,MAX(0,MIN($F207,EOMONTH(DATE(cfg_FY,8,1),0))-$E207+1))</f>
        <v>0</v>
      </c>
      <c r="AP207" s="133" t="n">
        <f aca="false">IF(OR(OR($B207="",$E207="",$F207=""),$L207&lt;&gt;"لا"),0,MAX(0,MIN($F207,EOMONTH(DATE(cfg_FY,9,1),0))-$E207+1))</f>
        <v>0</v>
      </c>
      <c r="AQ207" s="133" t="n">
        <f aca="false">IF(OR(OR($B207="",$E207="",$F207=""),$L207&lt;&gt;"لا"),0,MAX(0,MIN($F207,EOMONTH(DATE(cfg_FY,10,1),0))-$E207+1))</f>
        <v>0</v>
      </c>
      <c r="AR207" s="133" t="n">
        <f aca="false">IF(OR(OR($B207="",$E207="",$F207=""),$L207&lt;&gt;"لا"),0,MAX(0,MIN($F207,EOMONTH(DATE(cfg_FY,11,1),0))-$E207+1))</f>
        <v>0</v>
      </c>
      <c r="AS207" s="133" t="n">
        <f aca="false">IF(OR(OR($B207="",$E207="",$F207=""),$L207&lt;&gt;"لا"),0,MAX(0,MIN($F207,EOMONTH(DATE(cfg_FY,12,1),0))-$E207+1))</f>
        <v>0</v>
      </c>
      <c r="AT207" s="133" t="n">
        <f aca="false">IF(OR(OR($B207="",$E207="",$F207=""),$K207&lt;&gt;"نعم",$M207="نعم"),0,MAX(0,MIN($F207,EOMONTH(DATE(cfg_FY,1,1),0))-MAX($E207,DATE(cfg_FY,1,1))+1))</f>
        <v>0</v>
      </c>
      <c r="AU207" s="133" t="n">
        <f aca="false">IF(OR(OR($B207="",$E207="",$F207=""),$K207&lt;&gt;"نعم",$M207="نعم"),0,MAX(0,MIN($F207,EOMONTH(DATE(cfg_FY,2,1),0))-MAX($E207,DATE(cfg_FY,2,1))+1))</f>
        <v>0</v>
      </c>
      <c r="AV207" s="133" t="n">
        <f aca="false">IF(OR(OR($B207="",$E207="",$F207=""),$K207&lt;&gt;"نعم",$M207="نعم"),0,MAX(0,MIN($F207,EOMONTH(DATE(cfg_FY,3,1),0))-MAX($E207,DATE(cfg_FY,3,1))+1))</f>
        <v>0</v>
      </c>
      <c r="AW207" s="133" t="n">
        <f aca="false">IF(OR(OR($B207="",$E207="",$F207=""),$K207&lt;&gt;"نعم",$M207="نعم"),0,MAX(0,MIN($F207,EOMONTH(DATE(cfg_FY,4,1),0))-MAX($E207,DATE(cfg_FY,4,1))+1))</f>
        <v>0</v>
      </c>
      <c r="AX207" s="133" t="n">
        <f aca="false">IF(OR(OR($B207="",$E207="",$F207=""),$K207&lt;&gt;"نعم",$M207="نعم"),0,MAX(0,MIN($F207,EOMONTH(DATE(cfg_FY,5,1),0))-MAX($E207,DATE(cfg_FY,5,1))+1))</f>
        <v>0</v>
      </c>
      <c r="AY207" s="133" t="n">
        <f aca="false">IF(OR(OR($B207="",$E207="",$F207=""),$K207&lt;&gt;"نعم",$M207="نعم"),0,MAX(0,MIN($F207,EOMONTH(DATE(cfg_FY,6,1),0))-MAX($E207,DATE(cfg_FY,6,1))+1))</f>
        <v>0</v>
      </c>
      <c r="AZ207" s="133" t="n">
        <f aca="false">IF(OR(OR($B207="",$E207="",$F207=""),$K207&lt;&gt;"نعم",$M207="نعم"),0,MAX(0,MIN($F207,EOMONTH(DATE(cfg_FY,7,1),0))-MAX($E207,DATE(cfg_FY,7,1))+1))</f>
        <v>0</v>
      </c>
      <c r="BA207" s="133" t="n">
        <f aca="false">IF(OR(OR($B207="",$E207="",$F207=""),$K207&lt;&gt;"نعم",$M207="نعم"),0,MAX(0,MIN($F207,EOMONTH(DATE(cfg_FY,8,1),0))-MAX($E207,DATE(cfg_FY,8,1))+1))</f>
        <v>0</v>
      </c>
      <c r="BB207" s="133" t="n">
        <f aca="false">IF(OR(OR($B207="",$E207="",$F207=""),$K207&lt;&gt;"نعم",$M207="نعم"),0,MAX(0,MIN($F207,EOMONTH(DATE(cfg_FY,9,1),0))-MAX($E207,DATE(cfg_FY,9,1))+1))</f>
        <v>0</v>
      </c>
      <c r="BC207" s="133" t="n">
        <f aca="false">IF(OR(OR($B207="",$E207="",$F207=""),$K207&lt;&gt;"نعم",$M207="نعم"),0,MAX(0,MIN($F207,EOMONTH(DATE(cfg_FY,10,1),0))-MAX($E207,DATE(cfg_FY,10,1))+1))</f>
        <v>0</v>
      </c>
      <c r="BD207" s="133" t="n">
        <f aca="false">IF(OR(OR($B207="",$E207="",$F207=""),$K207&lt;&gt;"نعم",$M207="نعم"),0,MAX(0,MIN($F207,EOMONTH(DATE(cfg_FY,11,1),0))-MAX($E207,DATE(cfg_FY,11,1))+1))</f>
        <v>0</v>
      </c>
      <c r="BE207" s="133" t="n">
        <f aca="false">IF(OR(OR($B207="",$E207="",$F207=""),$K207&lt;&gt;"نعم",$M207="نعم"),0,MAX(0,MIN($F207,EOMONTH(DATE(cfg_FY,12,1),0))-MAX($E207,DATE(cfg_FY,12,1))+1))</f>
        <v>0</v>
      </c>
    </row>
    <row r="208" customFormat="false" ht="15" hidden="false" customHeight="false" outlineLevel="0" collapsed="false">
      <c r="A208" s="106" t="str">
        <f aca="false">IF(B208="","",ROW()-5)</f>
        <v/>
      </c>
      <c r="B208" s="118"/>
      <c r="C208" s="114" t="str">
        <f aca="false">IF(B208="","",IFERROR(INDEX(الموظفون!$C$6:$C$105,MATCH(B208,الموظفون!$B$6:$B$105,0)),"✖ رقم غير موجود"))</f>
        <v/>
      </c>
      <c r="D208" s="118"/>
      <c r="E208" s="119"/>
      <c r="F208" s="119"/>
      <c r="G208" s="65" t="str">
        <f aca="false">IF(OR($B208="",$E208="",$F208=""),"",MAX(0,F208-E208+1))</f>
        <v/>
      </c>
      <c r="H208" s="66" t="str">
        <f aca="false">IF(D208="","",IFERROR(VLOOKUP(D208,cfg_LT,2,FALSE()),1))</f>
        <v/>
      </c>
      <c r="I208" s="135"/>
      <c r="J208" s="66" t="str">
        <f aca="false">IF(D208="","",IF(I208&lt;&gt;"",I208,H208))</f>
        <v/>
      </c>
      <c r="K208" s="114" t="str">
        <f aca="false">IF(D208="","",IFERROR(VLOOKUP($D208,cfg_LT,3,FALSE()),""))</f>
        <v/>
      </c>
      <c r="L208" s="114" t="str">
        <f aca="false">IF(D208="","",IFERROR(VLOOKUP($D208,cfg_LT,4,FALSE()),""))</f>
        <v/>
      </c>
      <c r="M208" s="114" t="str">
        <f aca="false">IF(D208="","",IFERROR(VLOOKUP($D208,cfg_LT,5,FALSE()),""))</f>
        <v/>
      </c>
      <c r="N208" s="111" t="n">
        <f aca="false">IF(OR(OR($B208="",$E208="",$F208=""),M208&lt;&gt;"نعم"),0,G208*J208*IFERROR(INDEX(الموظفون!$R$6:$R$105,MATCH(B208,الموظفون!$B$6:$B$105,0)),0)/cfg_DAYS_M)</f>
        <v>0</v>
      </c>
      <c r="O208" s="106" t="str">
        <f aca="false">IF(OR(OR($B208="",$E208="",$F208=""),M208&lt;&gt;"نعم"),"",IF(YEAR(E208)=cfg_FY,MONTH(E208),""))</f>
        <v/>
      </c>
      <c r="P208" s="114" t="str">
        <f aca="false">IF(B208="","",IF(OR(D208="",E208="",F208=""),"⚠ أكمل النوع والتواريخ",IF(F208&lt;E208,"✖ النهاية قبل البداية",IF(COUNTIFS($B$6:$B$505,B208,$E$6:$E$505,"&lt;="&amp;F208,$F$6:$F$505,"&gt;="&amp;E208)&gt;1,"⚠ تداخل مع سجل آخر",IF(E208&gt;cfg_VAL_DATE,"⏳ قادمة",IF(F208&lt;cfg_VAL_DATE,"✔ منتهية","✈ جارية في تاريخ التقرير"))))))</f>
        <v/>
      </c>
      <c r="Q208" s="118"/>
      <c r="R208" s="65" t="n">
        <f aca="false">IF(OR(OR($B208="",$E208="",$F208=""),L208&lt;&gt;"لا"),0,MAX(0,MIN(F208,cfg_Y_START-1)-E208+1))</f>
        <v>0</v>
      </c>
      <c r="S208" s="65" t="n">
        <f aca="false">IF(OR(OR($B208="",$E208="",$F208=""),L208&lt;&gt;"لا"),0,MAX(0,MIN(F208,cfg_VAL_DATE)-E208+1))</f>
        <v>0</v>
      </c>
      <c r="T208" s="65" t="n">
        <f aca="false">IF(OR(OR($B208="",$E208="",$F208=""),K208&lt;&gt;"نعم"),0,IF(M208="نعم",IF(AND(ISNUMBER(O208),N(O208)&lt;=cfg_VAL_M),G208,0),MAX(0,MIN(F208,cfg_VAL_DATE)-MAX(E208,cfg_Y_START)+1)))</f>
        <v>0</v>
      </c>
      <c r="V208" s="65" t="n">
        <f aca="false">IF(OR($B208="",$E208="",$F208=""),0,MAX(0,MIN($F208,EOMONTH(DATE(cfg_FY,1,1),0))-MAX($E208,DATE(cfg_FY,1,1))+1)*(1-IF($M208="نعم",0,N($J208))))</f>
        <v>0</v>
      </c>
      <c r="W208" s="65" t="n">
        <f aca="false">IF(OR($B208="",$E208="",$F208=""),0,MAX(0,MIN($F208,EOMONTH(DATE(cfg_FY,2,1),0))-MAX($E208,DATE(cfg_FY,2,1))+1)*(1-IF($M208="نعم",0,N($J208))))</f>
        <v>0</v>
      </c>
      <c r="X208" s="65" t="n">
        <f aca="false">IF(OR($B208="",$E208="",$F208=""),0,MAX(0,MIN($F208,EOMONTH(DATE(cfg_FY,3,1),0))-MAX($E208,DATE(cfg_FY,3,1))+1)*(1-IF($M208="نعم",0,N($J208))))</f>
        <v>0</v>
      </c>
      <c r="Y208" s="65" t="n">
        <f aca="false">IF(OR($B208="",$E208="",$F208=""),0,MAX(0,MIN($F208,EOMONTH(DATE(cfg_FY,4,1),0))-MAX($E208,DATE(cfg_FY,4,1))+1)*(1-IF($M208="نعم",0,N($J208))))</f>
        <v>0</v>
      </c>
      <c r="Z208" s="65" t="n">
        <f aca="false">IF(OR($B208="",$E208="",$F208=""),0,MAX(0,MIN($F208,EOMONTH(DATE(cfg_FY,5,1),0))-MAX($E208,DATE(cfg_FY,5,1))+1)*(1-IF($M208="نعم",0,N($J208))))</f>
        <v>0</v>
      </c>
      <c r="AA208" s="65" t="n">
        <f aca="false">IF(OR($B208="",$E208="",$F208=""),0,MAX(0,MIN($F208,EOMONTH(DATE(cfg_FY,6,1),0))-MAX($E208,DATE(cfg_FY,6,1))+1)*(1-IF($M208="نعم",0,N($J208))))</f>
        <v>0</v>
      </c>
      <c r="AB208" s="65" t="n">
        <f aca="false">IF(OR($B208="",$E208="",$F208=""),0,MAX(0,MIN($F208,EOMONTH(DATE(cfg_FY,7,1),0))-MAX($E208,DATE(cfg_FY,7,1))+1)*(1-IF($M208="نعم",0,N($J208))))</f>
        <v>0</v>
      </c>
      <c r="AC208" s="65" t="n">
        <f aca="false">IF(OR($B208="",$E208="",$F208=""),0,MAX(0,MIN($F208,EOMONTH(DATE(cfg_FY,8,1),0))-MAX($E208,DATE(cfg_FY,8,1))+1)*(1-IF($M208="نعم",0,N($J208))))</f>
        <v>0</v>
      </c>
      <c r="AD208" s="65" t="n">
        <f aca="false">IF(OR($B208="",$E208="",$F208=""),0,MAX(0,MIN($F208,EOMONTH(DATE(cfg_FY,9,1),0))-MAX($E208,DATE(cfg_FY,9,1))+1)*(1-IF($M208="نعم",0,N($J208))))</f>
        <v>0</v>
      </c>
      <c r="AE208" s="65" t="n">
        <f aca="false">IF(OR($B208="",$E208="",$F208=""),0,MAX(0,MIN($F208,EOMONTH(DATE(cfg_FY,10,1),0))-MAX($E208,DATE(cfg_FY,10,1))+1)*(1-IF($M208="نعم",0,N($J208))))</f>
        <v>0</v>
      </c>
      <c r="AF208" s="65" t="n">
        <f aca="false">IF(OR($B208="",$E208="",$F208=""),0,MAX(0,MIN($F208,EOMONTH(DATE(cfg_FY,11,1),0))-MAX($E208,DATE(cfg_FY,11,1))+1)*(1-IF($M208="نعم",0,N($J208))))</f>
        <v>0</v>
      </c>
      <c r="AG208" s="65" t="n">
        <f aca="false">IF(OR($B208="",$E208="",$F208=""),0,MAX(0,MIN($F208,EOMONTH(DATE(cfg_FY,12,1),0))-MAX($E208,DATE(cfg_FY,12,1))+1)*(1-IF($M208="نعم",0,N($J208))))</f>
        <v>0</v>
      </c>
      <c r="AH208" s="65" t="n">
        <f aca="false">IF(OR(OR($B208="",$E208="",$F208=""),$L208&lt;&gt;"لا"),0,MAX(0,MIN($F208,EOMONTH(DATE(cfg_FY,1,1),0))-$E208+1))</f>
        <v>0</v>
      </c>
      <c r="AI208" s="65" t="n">
        <f aca="false">IF(OR(OR($B208="",$E208="",$F208=""),$L208&lt;&gt;"لا"),0,MAX(0,MIN($F208,EOMONTH(DATE(cfg_FY,2,1),0))-$E208+1))</f>
        <v>0</v>
      </c>
      <c r="AJ208" s="65" t="n">
        <f aca="false">IF(OR(OR($B208="",$E208="",$F208=""),$L208&lt;&gt;"لا"),0,MAX(0,MIN($F208,EOMONTH(DATE(cfg_FY,3,1),0))-$E208+1))</f>
        <v>0</v>
      </c>
      <c r="AK208" s="65" t="n">
        <f aca="false">IF(OR(OR($B208="",$E208="",$F208=""),$L208&lt;&gt;"لا"),0,MAX(0,MIN($F208,EOMONTH(DATE(cfg_FY,4,1),0))-$E208+1))</f>
        <v>0</v>
      </c>
      <c r="AL208" s="65" t="n">
        <f aca="false">IF(OR(OR($B208="",$E208="",$F208=""),$L208&lt;&gt;"لا"),0,MAX(0,MIN($F208,EOMONTH(DATE(cfg_FY,5,1),0))-$E208+1))</f>
        <v>0</v>
      </c>
      <c r="AM208" s="65" t="n">
        <f aca="false">IF(OR(OR($B208="",$E208="",$F208=""),$L208&lt;&gt;"لا"),0,MAX(0,MIN($F208,EOMONTH(DATE(cfg_FY,6,1),0))-$E208+1))</f>
        <v>0</v>
      </c>
      <c r="AN208" s="65" t="n">
        <f aca="false">IF(OR(OR($B208="",$E208="",$F208=""),$L208&lt;&gt;"لا"),0,MAX(0,MIN($F208,EOMONTH(DATE(cfg_FY,7,1),0))-$E208+1))</f>
        <v>0</v>
      </c>
      <c r="AO208" s="65" t="n">
        <f aca="false">IF(OR(OR($B208="",$E208="",$F208=""),$L208&lt;&gt;"لا"),0,MAX(0,MIN($F208,EOMONTH(DATE(cfg_FY,8,1),0))-$E208+1))</f>
        <v>0</v>
      </c>
      <c r="AP208" s="65" t="n">
        <f aca="false">IF(OR(OR($B208="",$E208="",$F208=""),$L208&lt;&gt;"لا"),0,MAX(0,MIN($F208,EOMONTH(DATE(cfg_FY,9,1),0))-$E208+1))</f>
        <v>0</v>
      </c>
      <c r="AQ208" s="65" t="n">
        <f aca="false">IF(OR(OR($B208="",$E208="",$F208=""),$L208&lt;&gt;"لا"),0,MAX(0,MIN($F208,EOMONTH(DATE(cfg_FY,10,1),0))-$E208+1))</f>
        <v>0</v>
      </c>
      <c r="AR208" s="65" t="n">
        <f aca="false">IF(OR(OR($B208="",$E208="",$F208=""),$L208&lt;&gt;"لا"),0,MAX(0,MIN($F208,EOMONTH(DATE(cfg_FY,11,1),0))-$E208+1))</f>
        <v>0</v>
      </c>
      <c r="AS208" s="65" t="n">
        <f aca="false">IF(OR(OR($B208="",$E208="",$F208=""),$L208&lt;&gt;"لا"),0,MAX(0,MIN($F208,EOMONTH(DATE(cfg_FY,12,1),0))-$E208+1))</f>
        <v>0</v>
      </c>
      <c r="AT208" s="65" t="n">
        <f aca="false">IF(OR(OR($B208="",$E208="",$F208=""),$K208&lt;&gt;"نعم",$M208="نعم"),0,MAX(0,MIN($F208,EOMONTH(DATE(cfg_FY,1,1),0))-MAX($E208,DATE(cfg_FY,1,1))+1))</f>
        <v>0</v>
      </c>
      <c r="AU208" s="65" t="n">
        <f aca="false">IF(OR(OR($B208="",$E208="",$F208=""),$K208&lt;&gt;"نعم",$M208="نعم"),0,MAX(0,MIN($F208,EOMONTH(DATE(cfg_FY,2,1),0))-MAX($E208,DATE(cfg_FY,2,1))+1))</f>
        <v>0</v>
      </c>
      <c r="AV208" s="65" t="n">
        <f aca="false">IF(OR(OR($B208="",$E208="",$F208=""),$K208&lt;&gt;"نعم",$M208="نعم"),0,MAX(0,MIN($F208,EOMONTH(DATE(cfg_FY,3,1),0))-MAX($E208,DATE(cfg_FY,3,1))+1))</f>
        <v>0</v>
      </c>
      <c r="AW208" s="65" t="n">
        <f aca="false">IF(OR(OR($B208="",$E208="",$F208=""),$K208&lt;&gt;"نعم",$M208="نعم"),0,MAX(0,MIN($F208,EOMONTH(DATE(cfg_FY,4,1),0))-MAX($E208,DATE(cfg_FY,4,1))+1))</f>
        <v>0</v>
      </c>
      <c r="AX208" s="65" t="n">
        <f aca="false">IF(OR(OR($B208="",$E208="",$F208=""),$K208&lt;&gt;"نعم",$M208="نعم"),0,MAX(0,MIN($F208,EOMONTH(DATE(cfg_FY,5,1),0))-MAX($E208,DATE(cfg_FY,5,1))+1))</f>
        <v>0</v>
      </c>
      <c r="AY208" s="65" t="n">
        <f aca="false">IF(OR(OR($B208="",$E208="",$F208=""),$K208&lt;&gt;"نعم",$M208="نعم"),0,MAX(0,MIN($F208,EOMONTH(DATE(cfg_FY,6,1),0))-MAX($E208,DATE(cfg_FY,6,1))+1))</f>
        <v>0</v>
      </c>
      <c r="AZ208" s="65" t="n">
        <f aca="false">IF(OR(OR($B208="",$E208="",$F208=""),$K208&lt;&gt;"نعم",$M208="نعم"),0,MAX(0,MIN($F208,EOMONTH(DATE(cfg_FY,7,1),0))-MAX($E208,DATE(cfg_FY,7,1))+1))</f>
        <v>0</v>
      </c>
      <c r="BA208" s="65" t="n">
        <f aca="false">IF(OR(OR($B208="",$E208="",$F208=""),$K208&lt;&gt;"نعم",$M208="نعم"),0,MAX(0,MIN($F208,EOMONTH(DATE(cfg_FY,8,1),0))-MAX($E208,DATE(cfg_FY,8,1))+1))</f>
        <v>0</v>
      </c>
      <c r="BB208" s="65" t="n">
        <f aca="false">IF(OR(OR($B208="",$E208="",$F208=""),$K208&lt;&gt;"نعم",$M208="نعم"),0,MAX(0,MIN($F208,EOMONTH(DATE(cfg_FY,9,1),0))-MAX($E208,DATE(cfg_FY,9,1))+1))</f>
        <v>0</v>
      </c>
      <c r="BC208" s="65" t="n">
        <f aca="false">IF(OR(OR($B208="",$E208="",$F208=""),$K208&lt;&gt;"نعم",$M208="نعم"),0,MAX(0,MIN($F208,EOMONTH(DATE(cfg_FY,10,1),0))-MAX($E208,DATE(cfg_FY,10,1))+1))</f>
        <v>0</v>
      </c>
      <c r="BD208" s="65" t="n">
        <f aca="false">IF(OR(OR($B208="",$E208="",$F208=""),$K208&lt;&gt;"نعم",$M208="نعم"),0,MAX(0,MIN($F208,EOMONTH(DATE(cfg_FY,11,1),0))-MAX($E208,DATE(cfg_FY,11,1))+1))</f>
        <v>0</v>
      </c>
      <c r="BE208" s="65" t="n">
        <f aca="false">IF(OR(OR($B208="",$E208="",$F208=""),$K208&lt;&gt;"نعم",$M208="نعم"),0,MAX(0,MIN($F208,EOMONTH(DATE(cfg_FY,12,1),0))-MAX($E208,DATE(cfg_FY,12,1))+1))</f>
        <v>0</v>
      </c>
    </row>
    <row r="209" customFormat="false" ht="15" hidden="false" customHeight="false" outlineLevel="0" collapsed="false">
      <c r="A209" s="115" t="str">
        <f aca="false">IF(B209="","",ROW()-5)</f>
        <v/>
      </c>
      <c r="B209" s="118"/>
      <c r="C209" s="117" t="str">
        <f aca="false">IF(B209="","",IFERROR(INDEX(الموظفون!$C$6:$C$105,MATCH(B209,الموظفون!$B$6:$B$105,0)),"✖ رقم غير موجود"))</f>
        <v/>
      </c>
      <c r="D209" s="118"/>
      <c r="E209" s="119"/>
      <c r="F209" s="119"/>
      <c r="G209" s="133" t="str">
        <f aca="false">IF(OR($B209="",$E209="",$F209=""),"",MAX(0,F209-E209+1))</f>
        <v/>
      </c>
      <c r="H209" s="134" t="str">
        <f aca="false">IF(D209="","",IFERROR(VLOOKUP(D209,cfg_LT,2,FALSE()),1))</f>
        <v/>
      </c>
      <c r="I209" s="135"/>
      <c r="J209" s="134" t="str">
        <f aca="false">IF(D209="","",IF(I209&lt;&gt;"",I209,H209))</f>
        <v/>
      </c>
      <c r="K209" s="117" t="str">
        <f aca="false">IF(D209="","",IFERROR(VLOOKUP($D209,cfg_LT,3,FALSE()),""))</f>
        <v/>
      </c>
      <c r="L209" s="117" t="str">
        <f aca="false">IF(D209="","",IFERROR(VLOOKUP($D209,cfg_LT,4,FALSE()),""))</f>
        <v/>
      </c>
      <c r="M209" s="117" t="str">
        <f aca="false">IF(D209="","",IFERROR(VLOOKUP($D209,cfg_LT,5,FALSE()),""))</f>
        <v/>
      </c>
      <c r="N209" s="116" t="n">
        <f aca="false">IF(OR(OR($B209="",$E209="",$F209=""),M209&lt;&gt;"نعم"),0,G209*J209*IFERROR(INDEX(الموظفون!$R$6:$R$105,MATCH(B209,الموظفون!$B$6:$B$105,0)),0)/cfg_DAYS_M)</f>
        <v>0</v>
      </c>
      <c r="O209" s="115" t="str">
        <f aca="false">IF(OR(OR($B209="",$E209="",$F209=""),M209&lt;&gt;"نعم"),"",IF(YEAR(E209)=cfg_FY,MONTH(E209),""))</f>
        <v/>
      </c>
      <c r="P209" s="117" t="str">
        <f aca="false">IF(B209="","",IF(OR(D209="",E209="",F209=""),"⚠ أكمل النوع والتواريخ",IF(F209&lt;E209,"✖ النهاية قبل البداية",IF(COUNTIFS($B$6:$B$505,B209,$E$6:$E$505,"&lt;="&amp;F209,$F$6:$F$505,"&gt;="&amp;E209)&gt;1,"⚠ تداخل مع سجل آخر",IF(E209&gt;cfg_VAL_DATE,"⏳ قادمة",IF(F209&lt;cfg_VAL_DATE,"✔ منتهية","✈ جارية في تاريخ التقرير"))))))</f>
        <v/>
      </c>
      <c r="Q209" s="118"/>
      <c r="R209" s="133" t="n">
        <f aca="false">IF(OR(OR($B209="",$E209="",$F209=""),L209&lt;&gt;"لا"),0,MAX(0,MIN(F209,cfg_Y_START-1)-E209+1))</f>
        <v>0</v>
      </c>
      <c r="S209" s="133" t="n">
        <f aca="false">IF(OR(OR($B209="",$E209="",$F209=""),L209&lt;&gt;"لا"),0,MAX(0,MIN(F209,cfg_VAL_DATE)-E209+1))</f>
        <v>0</v>
      </c>
      <c r="T209" s="133" t="n">
        <f aca="false">IF(OR(OR($B209="",$E209="",$F209=""),K209&lt;&gt;"نعم"),0,IF(M209="نعم",IF(AND(ISNUMBER(O209),N(O209)&lt;=cfg_VAL_M),G209,0),MAX(0,MIN(F209,cfg_VAL_DATE)-MAX(E209,cfg_Y_START)+1)))</f>
        <v>0</v>
      </c>
      <c r="V209" s="133" t="n">
        <f aca="false">IF(OR($B209="",$E209="",$F209=""),0,MAX(0,MIN($F209,EOMONTH(DATE(cfg_FY,1,1),0))-MAX($E209,DATE(cfg_FY,1,1))+1)*(1-IF($M209="نعم",0,N($J209))))</f>
        <v>0</v>
      </c>
      <c r="W209" s="133" t="n">
        <f aca="false">IF(OR($B209="",$E209="",$F209=""),0,MAX(0,MIN($F209,EOMONTH(DATE(cfg_FY,2,1),0))-MAX($E209,DATE(cfg_FY,2,1))+1)*(1-IF($M209="نعم",0,N($J209))))</f>
        <v>0</v>
      </c>
      <c r="X209" s="133" t="n">
        <f aca="false">IF(OR($B209="",$E209="",$F209=""),0,MAX(0,MIN($F209,EOMONTH(DATE(cfg_FY,3,1),0))-MAX($E209,DATE(cfg_FY,3,1))+1)*(1-IF($M209="نعم",0,N($J209))))</f>
        <v>0</v>
      </c>
      <c r="Y209" s="133" t="n">
        <f aca="false">IF(OR($B209="",$E209="",$F209=""),0,MAX(0,MIN($F209,EOMONTH(DATE(cfg_FY,4,1),0))-MAX($E209,DATE(cfg_FY,4,1))+1)*(1-IF($M209="نعم",0,N($J209))))</f>
        <v>0</v>
      </c>
      <c r="Z209" s="133" t="n">
        <f aca="false">IF(OR($B209="",$E209="",$F209=""),0,MAX(0,MIN($F209,EOMONTH(DATE(cfg_FY,5,1),0))-MAX($E209,DATE(cfg_FY,5,1))+1)*(1-IF($M209="نعم",0,N($J209))))</f>
        <v>0</v>
      </c>
      <c r="AA209" s="133" t="n">
        <f aca="false">IF(OR($B209="",$E209="",$F209=""),0,MAX(0,MIN($F209,EOMONTH(DATE(cfg_FY,6,1),0))-MAX($E209,DATE(cfg_FY,6,1))+1)*(1-IF($M209="نعم",0,N($J209))))</f>
        <v>0</v>
      </c>
      <c r="AB209" s="133" t="n">
        <f aca="false">IF(OR($B209="",$E209="",$F209=""),0,MAX(0,MIN($F209,EOMONTH(DATE(cfg_FY,7,1),0))-MAX($E209,DATE(cfg_FY,7,1))+1)*(1-IF($M209="نعم",0,N($J209))))</f>
        <v>0</v>
      </c>
      <c r="AC209" s="133" t="n">
        <f aca="false">IF(OR($B209="",$E209="",$F209=""),0,MAX(0,MIN($F209,EOMONTH(DATE(cfg_FY,8,1),0))-MAX($E209,DATE(cfg_FY,8,1))+1)*(1-IF($M209="نعم",0,N($J209))))</f>
        <v>0</v>
      </c>
      <c r="AD209" s="133" t="n">
        <f aca="false">IF(OR($B209="",$E209="",$F209=""),0,MAX(0,MIN($F209,EOMONTH(DATE(cfg_FY,9,1),0))-MAX($E209,DATE(cfg_FY,9,1))+1)*(1-IF($M209="نعم",0,N($J209))))</f>
        <v>0</v>
      </c>
      <c r="AE209" s="133" t="n">
        <f aca="false">IF(OR($B209="",$E209="",$F209=""),0,MAX(0,MIN($F209,EOMONTH(DATE(cfg_FY,10,1),0))-MAX($E209,DATE(cfg_FY,10,1))+1)*(1-IF($M209="نعم",0,N($J209))))</f>
        <v>0</v>
      </c>
      <c r="AF209" s="133" t="n">
        <f aca="false">IF(OR($B209="",$E209="",$F209=""),0,MAX(0,MIN($F209,EOMONTH(DATE(cfg_FY,11,1),0))-MAX($E209,DATE(cfg_FY,11,1))+1)*(1-IF($M209="نعم",0,N($J209))))</f>
        <v>0</v>
      </c>
      <c r="AG209" s="133" t="n">
        <f aca="false">IF(OR($B209="",$E209="",$F209=""),0,MAX(0,MIN($F209,EOMONTH(DATE(cfg_FY,12,1),0))-MAX($E209,DATE(cfg_FY,12,1))+1)*(1-IF($M209="نعم",0,N($J209))))</f>
        <v>0</v>
      </c>
      <c r="AH209" s="133" t="n">
        <f aca="false">IF(OR(OR($B209="",$E209="",$F209=""),$L209&lt;&gt;"لا"),0,MAX(0,MIN($F209,EOMONTH(DATE(cfg_FY,1,1),0))-$E209+1))</f>
        <v>0</v>
      </c>
      <c r="AI209" s="133" t="n">
        <f aca="false">IF(OR(OR($B209="",$E209="",$F209=""),$L209&lt;&gt;"لا"),0,MAX(0,MIN($F209,EOMONTH(DATE(cfg_FY,2,1),0))-$E209+1))</f>
        <v>0</v>
      </c>
      <c r="AJ209" s="133" t="n">
        <f aca="false">IF(OR(OR($B209="",$E209="",$F209=""),$L209&lt;&gt;"لا"),0,MAX(0,MIN($F209,EOMONTH(DATE(cfg_FY,3,1),0))-$E209+1))</f>
        <v>0</v>
      </c>
      <c r="AK209" s="133" t="n">
        <f aca="false">IF(OR(OR($B209="",$E209="",$F209=""),$L209&lt;&gt;"لا"),0,MAX(0,MIN($F209,EOMONTH(DATE(cfg_FY,4,1),0))-$E209+1))</f>
        <v>0</v>
      </c>
      <c r="AL209" s="133" t="n">
        <f aca="false">IF(OR(OR($B209="",$E209="",$F209=""),$L209&lt;&gt;"لا"),0,MAX(0,MIN($F209,EOMONTH(DATE(cfg_FY,5,1),0))-$E209+1))</f>
        <v>0</v>
      </c>
      <c r="AM209" s="133" t="n">
        <f aca="false">IF(OR(OR($B209="",$E209="",$F209=""),$L209&lt;&gt;"لا"),0,MAX(0,MIN($F209,EOMONTH(DATE(cfg_FY,6,1),0))-$E209+1))</f>
        <v>0</v>
      </c>
      <c r="AN209" s="133" t="n">
        <f aca="false">IF(OR(OR($B209="",$E209="",$F209=""),$L209&lt;&gt;"لا"),0,MAX(0,MIN($F209,EOMONTH(DATE(cfg_FY,7,1),0))-$E209+1))</f>
        <v>0</v>
      </c>
      <c r="AO209" s="133" t="n">
        <f aca="false">IF(OR(OR($B209="",$E209="",$F209=""),$L209&lt;&gt;"لا"),0,MAX(0,MIN($F209,EOMONTH(DATE(cfg_FY,8,1),0))-$E209+1))</f>
        <v>0</v>
      </c>
      <c r="AP209" s="133" t="n">
        <f aca="false">IF(OR(OR($B209="",$E209="",$F209=""),$L209&lt;&gt;"لا"),0,MAX(0,MIN($F209,EOMONTH(DATE(cfg_FY,9,1),0))-$E209+1))</f>
        <v>0</v>
      </c>
      <c r="AQ209" s="133" t="n">
        <f aca="false">IF(OR(OR($B209="",$E209="",$F209=""),$L209&lt;&gt;"لا"),0,MAX(0,MIN($F209,EOMONTH(DATE(cfg_FY,10,1),0))-$E209+1))</f>
        <v>0</v>
      </c>
      <c r="AR209" s="133" t="n">
        <f aca="false">IF(OR(OR($B209="",$E209="",$F209=""),$L209&lt;&gt;"لا"),0,MAX(0,MIN($F209,EOMONTH(DATE(cfg_FY,11,1),0))-$E209+1))</f>
        <v>0</v>
      </c>
      <c r="AS209" s="133" t="n">
        <f aca="false">IF(OR(OR($B209="",$E209="",$F209=""),$L209&lt;&gt;"لا"),0,MAX(0,MIN($F209,EOMONTH(DATE(cfg_FY,12,1),0))-$E209+1))</f>
        <v>0</v>
      </c>
      <c r="AT209" s="133" t="n">
        <f aca="false">IF(OR(OR($B209="",$E209="",$F209=""),$K209&lt;&gt;"نعم",$M209="نعم"),0,MAX(0,MIN($F209,EOMONTH(DATE(cfg_FY,1,1),0))-MAX($E209,DATE(cfg_FY,1,1))+1))</f>
        <v>0</v>
      </c>
      <c r="AU209" s="133" t="n">
        <f aca="false">IF(OR(OR($B209="",$E209="",$F209=""),$K209&lt;&gt;"نعم",$M209="نعم"),0,MAX(0,MIN($F209,EOMONTH(DATE(cfg_FY,2,1),0))-MAX($E209,DATE(cfg_FY,2,1))+1))</f>
        <v>0</v>
      </c>
      <c r="AV209" s="133" t="n">
        <f aca="false">IF(OR(OR($B209="",$E209="",$F209=""),$K209&lt;&gt;"نعم",$M209="نعم"),0,MAX(0,MIN($F209,EOMONTH(DATE(cfg_FY,3,1),0))-MAX($E209,DATE(cfg_FY,3,1))+1))</f>
        <v>0</v>
      </c>
      <c r="AW209" s="133" t="n">
        <f aca="false">IF(OR(OR($B209="",$E209="",$F209=""),$K209&lt;&gt;"نعم",$M209="نعم"),0,MAX(0,MIN($F209,EOMONTH(DATE(cfg_FY,4,1),0))-MAX($E209,DATE(cfg_FY,4,1))+1))</f>
        <v>0</v>
      </c>
      <c r="AX209" s="133" t="n">
        <f aca="false">IF(OR(OR($B209="",$E209="",$F209=""),$K209&lt;&gt;"نعم",$M209="نعم"),0,MAX(0,MIN($F209,EOMONTH(DATE(cfg_FY,5,1),0))-MAX($E209,DATE(cfg_FY,5,1))+1))</f>
        <v>0</v>
      </c>
      <c r="AY209" s="133" t="n">
        <f aca="false">IF(OR(OR($B209="",$E209="",$F209=""),$K209&lt;&gt;"نعم",$M209="نعم"),0,MAX(0,MIN($F209,EOMONTH(DATE(cfg_FY,6,1),0))-MAX($E209,DATE(cfg_FY,6,1))+1))</f>
        <v>0</v>
      </c>
      <c r="AZ209" s="133" t="n">
        <f aca="false">IF(OR(OR($B209="",$E209="",$F209=""),$K209&lt;&gt;"نعم",$M209="نعم"),0,MAX(0,MIN($F209,EOMONTH(DATE(cfg_FY,7,1),0))-MAX($E209,DATE(cfg_FY,7,1))+1))</f>
        <v>0</v>
      </c>
      <c r="BA209" s="133" t="n">
        <f aca="false">IF(OR(OR($B209="",$E209="",$F209=""),$K209&lt;&gt;"نعم",$M209="نعم"),0,MAX(0,MIN($F209,EOMONTH(DATE(cfg_FY,8,1),0))-MAX($E209,DATE(cfg_FY,8,1))+1))</f>
        <v>0</v>
      </c>
      <c r="BB209" s="133" t="n">
        <f aca="false">IF(OR(OR($B209="",$E209="",$F209=""),$K209&lt;&gt;"نعم",$M209="نعم"),0,MAX(0,MIN($F209,EOMONTH(DATE(cfg_FY,9,1),0))-MAX($E209,DATE(cfg_FY,9,1))+1))</f>
        <v>0</v>
      </c>
      <c r="BC209" s="133" t="n">
        <f aca="false">IF(OR(OR($B209="",$E209="",$F209=""),$K209&lt;&gt;"نعم",$M209="نعم"),0,MAX(0,MIN($F209,EOMONTH(DATE(cfg_FY,10,1),0))-MAX($E209,DATE(cfg_FY,10,1))+1))</f>
        <v>0</v>
      </c>
      <c r="BD209" s="133" t="n">
        <f aca="false">IF(OR(OR($B209="",$E209="",$F209=""),$K209&lt;&gt;"نعم",$M209="نعم"),0,MAX(0,MIN($F209,EOMONTH(DATE(cfg_FY,11,1),0))-MAX($E209,DATE(cfg_FY,11,1))+1))</f>
        <v>0</v>
      </c>
      <c r="BE209" s="133" t="n">
        <f aca="false">IF(OR(OR($B209="",$E209="",$F209=""),$K209&lt;&gt;"نعم",$M209="نعم"),0,MAX(0,MIN($F209,EOMONTH(DATE(cfg_FY,12,1),0))-MAX($E209,DATE(cfg_FY,12,1))+1))</f>
        <v>0</v>
      </c>
    </row>
    <row r="210" customFormat="false" ht="15" hidden="false" customHeight="false" outlineLevel="0" collapsed="false">
      <c r="A210" s="106" t="str">
        <f aca="false">IF(B210="","",ROW()-5)</f>
        <v/>
      </c>
      <c r="B210" s="118"/>
      <c r="C210" s="114" t="str">
        <f aca="false">IF(B210="","",IFERROR(INDEX(الموظفون!$C$6:$C$105,MATCH(B210,الموظفون!$B$6:$B$105,0)),"✖ رقم غير موجود"))</f>
        <v/>
      </c>
      <c r="D210" s="118"/>
      <c r="E210" s="119"/>
      <c r="F210" s="119"/>
      <c r="G210" s="65" t="str">
        <f aca="false">IF(OR($B210="",$E210="",$F210=""),"",MAX(0,F210-E210+1))</f>
        <v/>
      </c>
      <c r="H210" s="66" t="str">
        <f aca="false">IF(D210="","",IFERROR(VLOOKUP(D210,cfg_LT,2,FALSE()),1))</f>
        <v/>
      </c>
      <c r="I210" s="135"/>
      <c r="J210" s="66" t="str">
        <f aca="false">IF(D210="","",IF(I210&lt;&gt;"",I210,H210))</f>
        <v/>
      </c>
      <c r="K210" s="114" t="str">
        <f aca="false">IF(D210="","",IFERROR(VLOOKUP($D210,cfg_LT,3,FALSE()),""))</f>
        <v/>
      </c>
      <c r="L210" s="114" t="str">
        <f aca="false">IF(D210="","",IFERROR(VLOOKUP($D210,cfg_LT,4,FALSE()),""))</f>
        <v/>
      </c>
      <c r="M210" s="114" t="str">
        <f aca="false">IF(D210="","",IFERROR(VLOOKUP($D210,cfg_LT,5,FALSE()),""))</f>
        <v/>
      </c>
      <c r="N210" s="111" t="n">
        <f aca="false">IF(OR(OR($B210="",$E210="",$F210=""),M210&lt;&gt;"نعم"),0,G210*J210*IFERROR(INDEX(الموظفون!$R$6:$R$105,MATCH(B210,الموظفون!$B$6:$B$105,0)),0)/cfg_DAYS_M)</f>
        <v>0</v>
      </c>
      <c r="O210" s="106" t="str">
        <f aca="false">IF(OR(OR($B210="",$E210="",$F210=""),M210&lt;&gt;"نعم"),"",IF(YEAR(E210)=cfg_FY,MONTH(E210),""))</f>
        <v/>
      </c>
      <c r="P210" s="114" t="str">
        <f aca="false">IF(B210="","",IF(OR(D210="",E210="",F210=""),"⚠ أكمل النوع والتواريخ",IF(F210&lt;E210,"✖ النهاية قبل البداية",IF(COUNTIFS($B$6:$B$505,B210,$E$6:$E$505,"&lt;="&amp;F210,$F$6:$F$505,"&gt;="&amp;E210)&gt;1,"⚠ تداخل مع سجل آخر",IF(E210&gt;cfg_VAL_DATE,"⏳ قادمة",IF(F210&lt;cfg_VAL_DATE,"✔ منتهية","✈ جارية في تاريخ التقرير"))))))</f>
        <v/>
      </c>
      <c r="Q210" s="118"/>
      <c r="R210" s="65" t="n">
        <f aca="false">IF(OR(OR($B210="",$E210="",$F210=""),L210&lt;&gt;"لا"),0,MAX(0,MIN(F210,cfg_Y_START-1)-E210+1))</f>
        <v>0</v>
      </c>
      <c r="S210" s="65" t="n">
        <f aca="false">IF(OR(OR($B210="",$E210="",$F210=""),L210&lt;&gt;"لا"),0,MAX(0,MIN(F210,cfg_VAL_DATE)-E210+1))</f>
        <v>0</v>
      </c>
      <c r="T210" s="65" t="n">
        <f aca="false">IF(OR(OR($B210="",$E210="",$F210=""),K210&lt;&gt;"نعم"),0,IF(M210="نعم",IF(AND(ISNUMBER(O210),N(O210)&lt;=cfg_VAL_M),G210,0),MAX(0,MIN(F210,cfg_VAL_DATE)-MAX(E210,cfg_Y_START)+1)))</f>
        <v>0</v>
      </c>
      <c r="V210" s="65" t="n">
        <f aca="false">IF(OR($B210="",$E210="",$F210=""),0,MAX(0,MIN($F210,EOMONTH(DATE(cfg_FY,1,1),0))-MAX($E210,DATE(cfg_FY,1,1))+1)*(1-IF($M210="نعم",0,N($J210))))</f>
        <v>0</v>
      </c>
      <c r="W210" s="65" t="n">
        <f aca="false">IF(OR($B210="",$E210="",$F210=""),0,MAX(0,MIN($F210,EOMONTH(DATE(cfg_FY,2,1),0))-MAX($E210,DATE(cfg_FY,2,1))+1)*(1-IF($M210="نعم",0,N($J210))))</f>
        <v>0</v>
      </c>
      <c r="X210" s="65" t="n">
        <f aca="false">IF(OR($B210="",$E210="",$F210=""),0,MAX(0,MIN($F210,EOMONTH(DATE(cfg_FY,3,1),0))-MAX($E210,DATE(cfg_FY,3,1))+1)*(1-IF($M210="نعم",0,N($J210))))</f>
        <v>0</v>
      </c>
      <c r="Y210" s="65" t="n">
        <f aca="false">IF(OR($B210="",$E210="",$F210=""),0,MAX(0,MIN($F210,EOMONTH(DATE(cfg_FY,4,1),0))-MAX($E210,DATE(cfg_FY,4,1))+1)*(1-IF($M210="نعم",0,N($J210))))</f>
        <v>0</v>
      </c>
      <c r="Z210" s="65" t="n">
        <f aca="false">IF(OR($B210="",$E210="",$F210=""),0,MAX(0,MIN($F210,EOMONTH(DATE(cfg_FY,5,1),0))-MAX($E210,DATE(cfg_FY,5,1))+1)*(1-IF($M210="نعم",0,N($J210))))</f>
        <v>0</v>
      </c>
      <c r="AA210" s="65" t="n">
        <f aca="false">IF(OR($B210="",$E210="",$F210=""),0,MAX(0,MIN($F210,EOMONTH(DATE(cfg_FY,6,1),0))-MAX($E210,DATE(cfg_FY,6,1))+1)*(1-IF($M210="نعم",0,N($J210))))</f>
        <v>0</v>
      </c>
      <c r="AB210" s="65" t="n">
        <f aca="false">IF(OR($B210="",$E210="",$F210=""),0,MAX(0,MIN($F210,EOMONTH(DATE(cfg_FY,7,1),0))-MAX($E210,DATE(cfg_FY,7,1))+1)*(1-IF($M210="نعم",0,N($J210))))</f>
        <v>0</v>
      </c>
      <c r="AC210" s="65" t="n">
        <f aca="false">IF(OR($B210="",$E210="",$F210=""),0,MAX(0,MIN($F210,EOMONTH(DATE(cfg_FY,8,1),0))-MAX($E210,DATE(cfg_FY,8,1))+1)*(1-IF($M210="نعم",0,N($J210))))</f>
        <v>0</v>
      </c>
      <c r="AD210" s="65" t="n">
        <f aca="false">IF(OR($B210="",$E210="",$F210=""),0,MAX(0,MIN($F210,EOMONTH(DATE(cfg_FY,9,1),0))-MAX($E210,DATE(cfg_FY,9,1))+1)*(1-IF($M210="نعم",0,N($J210))))</f>
        <v>0</v>
      </c>
      <c r="AE210" s="65" t="n">
        <f aca="false">IF(OR($B210="",$E210="",$F210=""),0,MAX(0,MIN($F210,EOMONTH(DATE(cfg_FY,10,1),0))-MAX($E210,DATE(cfg_FY,10,1))+1)*(1-IF($M210="نعم",0,N($J210))))</f>
        <v>0</v>
      </c>
      <c r="AF210" s="65" t="n">
        <f aca="false">IF(OR($B210="",$E210="",$F210=""),0,MAX(0,MIN($F210,EOMONTH(DATE(cfg_FY,11,1),0))-MAX($E210,DATE(cfg_FY,11,1))+1)*(1-IF($M210="نعم",0,N($J210))))</f>
        <v>0</v>
      </c>
      <c r="AG210" s="65" t="n">
        <f aca="false">IF(OR($B210="",$E210="",$F210=""),0,MAX(0,MIN($F210,EOMONTH(DATE(cfg_FY,12,1),0))-MAX($E210,DATE(cfg_FY,12,1))+1)*(1-IF($M210="نعم",0,N($J210))))</f>
        <v>0</v>
      </c>
      <c r="AH210" s="65" t="n">
        <f aca="false">IF(OR(OR($B210="",$E210="",$F210=""),$L210&lt;&gt;"لا"),0,MAX(0,MIN($F210,EOMONTH(DATE(cfg_FY,1,1),0))-$E210+1))</f>
        <v>0</v>
      </c>
      <c r="AI210" s="65" t="n">
        <f aca="false">IF(OR(OR($B210="",$E210="",$F210=""),$L210&lt;&gt;"لا"),0,MAX(0,MIN($F210,EOMONTH(DATE(cfg_FY,2,1),0))-$E210+1))</f>
        <v>0</v>
      </c>
      <c r="AJ210" s="65" t="n">
        <f aca="false">IF(OR(OR($B210="",$E210="",$F210=""),$L210&lt;&gt;"لا"),0,MAX(0,MIN($F210,EOMONTH(DATE(cfg_FY,3,1),0))-$E210+1))</f>
        <v>0</v>
      </c>
      <c r="AK210" s="65" t="n">
        <f aca="false">IF(OR(OR($B210="",$E210="",$F210=""),$L210&lt;&gt;"لا"),0,MAX(0,MIN($F210,EOMONTH(DATE(cfg_FY,4,1),0))-$E210+1))</f>
        <v>0</v>
      </c>
      <c r="AL210" s="65" t="n">
        <f aca="false">IF(OR(OR($B210="",$E210="",$F210=""),$L210&lt;&gt;"لا"),0,MAX(0,MIN($F210,EOMONTH(DATE(cfg_FY,5,1),0))-$E210+1))</f>
        <v>0</v>
      </c>
      <c r="AM210" s="65" t="n">
        <f aca="false">IF(OR(OR($B210="",$E210="",$F210=""),$L210&lt;&gt;"لا"),0,MAX(0,MIN($F210,EOMONTH(DATE(cfg_FY,6,1),0))-$E210+1))</f>
        <v>0</v>
      </c>
      <c r="AN210" s="65" t="n">
        <f aca="false">IF(OR(OR($B210="",$E210="",$F210=""),$L210&lt;&gt;"لا"),0,MAX(0,MIN($F210,EOMONTH(DATE(cfg_FY,7,1),0))-$E210+1))</f>
        <v>0</v>
      </c>
      <c r="AO210" s="65" t="n">
        <f aca="false">IF(OR(OR($B210="",$E210="",$F210=""),$L210&lt;&gt;"لا"),0,MAX(0,MIN($F210,EOMONTH(DATE(cfg_FY,8,1),0))-$E210+1))</f>
        <v>0</v>
      </c>
      <c r="AP210" s="65" t="n">
        <f aca="false">IF(OR(OR($B210="",$E210="",$F210=""),$L210&lt;&gt;"لا"),0,MAX(0,MIN($F210,EOMONTH(DATE(cfg_FY,9,1),0))-$E210+1))</f>
        <v>0</v>
      </c>
      <c r="AQ210" s="65" t="n">
        <f aca="false">IF(OR(OR($B210="",$E210="",$F210=""),$L210&lt;&gt;"لا"),0,MAX(0,MIN($F210,EOMONTH(DATE(cfg_FY,10,1),0))-$E210+1))</f>
        <v>0</v>
      </c>
      <c r="AR210" s="65" t="n">
        <f aca="false">IF(OR(OR($B210="",$E210="",$F210=""),$L210&lt;&gt;"لا"),0,MAX(0,MIN($F210,EOMONTH(DATE(cfg_FY,11,1),0))-$E210+1))</f>
        <v>0</v>
      </c>
      <c r="AS210" s="65" t="n">
        <f aca="false">IF(OR(OR($B210="",$E210="",$F210=""),$L210&lt;&gt;"لا"),0,MAX(0,MIN($F210,EOMONTH(DATE(cfg_FY,12,1),0))-$E210+1))</f>
        <v>0</v>
      </c>
      <c r="AT210" s="65" t="n">
        <f aca="false">IF(OR(OR($B210="",$E210="",$F210=""),$K210&lt;&gt;"نعم",$M210="نعم"),0,MAX(0,MIN($F210,EOMONTH(DATE(cfg_FY,1,1),0))-MAX($E210,DATE(cfg_FY,1,1))+1))</f>
        <v>0</v>
      </c>
      <c r="AU210" s="65" t="n">
        <f aca="false">IF(OR(OR($B210="",$E210="",$F210=""),$K210&lt;&gt;"نعم",$M210="نعم"),0,MAX(0,MIN($F210,EOMONTH(DATE(cfg_FY,2,1),0))-MAX($E210,DATE(cfg_FY,2,1))+1))</f>
        <v>0</v>
      </c>
      <c r="AV210" s="65" t="n">
        <f aca="false">IF(OR(OR($B210="",$E210="",$F210=""),$K210&lt;&gt;"نعم",$M210="نعم"),0,MAX(0,MIN($F210,EOMONTH(DATE(cfg_FY,3,1),0))-MAX($E210,DATE(cfg_FY,3,1))+1))</f>
        <v>0</v>
      </c>
      <c r="AW210" s="65" t="n">
        <f aca="false">IF(OR(OR($B210="",$E210="",$F210=""),$K210&lt;&gt;"نعم",$M210="نعم"),0,MAX(0,MIN($F210,EOMONTH(DATE(cfg_FY,4,1),0))-MAX($E210,DATE(cfg_FY,4,1))+1))</f>
        <v>0</v>
      </c>
      <c r="AX210" s="65" t="n">
        <f aca="false">IF(OR(OR($B210="",$E210="",$F210=""),$K210&lt;&gt;"نعم",$M210="نعم"),0,MAX(0,MIN($F210,EOMONTH(DATE(cfg_FY,5,1),0))-MAX($E210,DATE(cfg_FY,5,1))+1))</f>
        <v>0</v>
      </c>
      <c r="AY210" s="65" t="n">
        <f aca="false">IF(OR(OR($B210="",$E210="",$F210=""),$K210&lt;&gt;"نعم",$M210="نعم"),0,MAX(0,MIN($F210,EOMONTH(DATE(cfg_FY,6,1),0))-MAX($E210,DATE(cfg_FY,6,1))+1))</f>
        <v>0</v>
      </c>
      <c r="AZ210" s="65" t="n">
        <f aca="false">IF(OR(OR($B210="",$E210="",$F210=""),$K210&lt;&gt;"نعم",$M210="نعم"),0,MAX(0,MIN($F210,EOMONTH(DATE(cfg_FY,7,1),0))-MAX($E210,DATE(cfg_FY,7,1))+1))</f>
        <v>0</v>
      </c>
      <c r="BA210" s="65" t="n">
        <f aca="false">IF(OR(OR($B210="",$E210="",$F210=""),$K210&lt;&gt;"نعم",$M210="نعم"),0,MAX(0,MIN($F210,EOMONTH(DATE(cfg_FY,8,1),0))-MAX($E210,DATE(cfg_FY,8,1))+1))</f>
        <v>0</v>
      </c>
      <c r="BB210" s="65" t="n">
        <f aca="false">IF(OR(OR($B210="",$E210="",$F210=""),$K210&lt;&gt;"نعم",$M210="نعم"),0,MAX(0,MIN($F210,EOMONTH(DATE(cfg_FY,9,1),0))-MAX($E210,DATE(cfg_FY,9,1))+1))</f>
        <v>0</v>
      </c>
      <c r="BC210" s="65" t="n">
        <f aca="false">IF(OR(OR($B210="",$E210="",$F210=""),$K210&lt;&gt;"نعم",$M210="نعم"),0,MAX(0,MIN($F210,EOMONTH(DATE(cfg_FY,10,1),0))-MAX($E210,DATE(cfg_FY,10,1))+1))</f>
        <v>0</v>
      </c>
      <c r="BD210" s="65" t="n">
        <f aca="false">IF(OR(OR($B210="",$E210="",$F210=""),$K210&lt;&gt;"نعم",$M210="نعم"),0,MAX(0,MIN($F210,EOMONTH(DATE(cfg_FY,11,1),0))-MAX($E210,DATE(cfg_FY,11,1))+1))</f>
        <v>0</v>
      </c>
      <c r="BE210" s="65" t="n">
        <f aca="false">IF(OR(OR($B210="",$E210="",$F210=""),$K210&lt;&gt;"نعم",$M210="نعم"),0,MAX(0,MIN($F210,EOMONTH(DATE(cfg_FY,12,1),0))-MAX($E210,DATE(cfg_FY,12,1))+1))</f>
        <v>0</v>
      </c>
    </row>
    <row r="211" customFormat="false" ht="15" hidden="false" customHeight="false" outlineLevel="0" collapsed="false">
      <c r="A211" s="115" t="str">
        <f aca="false">IF(B211="","",ROW()-5)</f>
        <v/>
      </c>
      <c r="B211" s="118"/>
      <c r="C211" s="117" t="str">
        <f aca="false">IF(B211="","",IFERROR(INDEX(الموظفون!$C$6:$C$105,MATCH(B211,الموظفون!$B$6:$B$105,0)),"✖ رقم غير موجود"))</f>
        <v/>
      </c>
      <c r="D211" s="118"/>
      <c r="E211" s="119"/>
      <c r="F211" s="119"/>
      <c r="G211" s="133" t="str">
        <f aca="false">IF(OR($B211="",$E211="",$F211=""),"",MAX(0,F211-E211+1))</f>
        <v/>
      </c>
      <c r="H211" s="134" t="str">
        <f aca="false">IF(D211="","",IFERROR(VLOOKUP(D211,cfg_LT,2,FALSE()),1))</f>
        <v/>
      </c>
      <c r="I211" s="135"/>
      <c r="J211" s="134" t="str">
        <f aca="false">IF(D211="","",IF(I211&lt;&gt;"",I211,H211))</f>
        <v/>
      </c>
      <c r="K211" s="117" t="str">
        <f aca="false">IF(D211="","",IFERROR(VLOOKUP($D211,cfg_LT,3,FALSE()),""))</f>
        <v/>
      </c>
      <c r="L211" s="117" t="str">
        <f aca="false">IF(D211="","",IFERROR(VLOOKUP($D211,cfg_LT,4,FALSE()),""))</f>
        <v/>
      </c>
      <c r="M211" s="117" t="str">
        <f aca="false">IF(D211="","",IFERROR(VLOOKUP($D211,cfg_LT,5,FALSE()),""))</f>
        <v/>
      </c>
      <c r="N211" s="116" t="n">
        <f aca="false">IF(OR(OR($B211="",$E211="",$F211=""),M211&lt;&gt;"نعم"),0,G211*J211*IFERROR(INDEX(الموظفون!$R$6:$R$105,MATCH(B211,الموظفون!$B$6:$B$105,0)),0)/cfg_DAYS_M)</f>
        <v>0</v>
      </c>
      <c r="O211" s="115" t="str">
        <f aca="false">IF(OR(OR($B211="",$E211="",$F211=""),M211&lt;&gt;"نعم"),"",IF(YEAR(E211)=cfg_FY,MONTH(E211),""))</f>
        <v/>
      </c>
      <c r="P211" s="117" t="str">
        <f aca="false">IF(B211="","",IF(OR(D211="",E211="",F211=""),"⚠ أكمل النوع والتواريخ",IF(F211&lt;E211,"✖ النهاية قبل البداية",IF(COUNTIFS($B$6:$B$505,B211,$E$6:$E$505,"&lt;="&amp;F211,$F$6:$F$505,"&gt;="&amp;E211)&gt;1,"⚠ تداخل مع سجل آخر",IF(E211&gt;cfg_VAL_DATE,"⏳ قادمة",IF(F211&lt;cfg_VAL_DATE,"✔ منتهية","✈ جارية في تاريخ التقرير"))))))</f>
        <v/>
      </c>
      <c r="Q211" s="118"/>
      <c r="R211" s="133" t="n">
        <f aca="false">IF(OR(OR($B211="",$E211="",$F211=""),L211&lt;&gt;"لا"),0,MAX(0,MIN(F211,cfg_Y_START-1)-E211+1))</f>
        <v>0</v>
      </c>
      <c r="S211" s="133" t="n">
        <f aca="false">IF(OR(OR($B211="",$E211="",$F211=""),L211&lt;&gt;"لا"),0,MAX(0,MIN(F211,cfg_VAL_DATE)-E211+1))</f>
        <v>0</v>
      </c>
      <c r="T211" s="133" t="n">
        <f aca="false">IF(OR(OR($B211="",$E211="",$F211=""),K211&lt;&gt;"نعم"),0,IF(M211="نعم",IF(AND(ISNUMBER(O211),N(O211)&lt;=cfg_VAL_M),G211,0),MAX(0,MIN(F211,cfg_VAL_DATE)-MAX(E211,cfg_Y_START)+1)))</f>
        <v>0</v>
      </c>
      <c r="V211" s="133" t="n">
        <f aca="false">IF(OR($B211="",$E211="",$F211=""),0,MAX(0,MIN($F211,EOMONTH(DATE(cfg_FY,1,1),0))-MAX($E211,DATE(cfg_FY,1,1))+1)*(1-IF($M211="نعم",0,N($J211))))</f>
        <v>0</v>
      </c>
      <c r="W211" s="133" t="n">
        <f aca="false">IF(OR($B211="",$E211="",$F211=""),0,MAX(0,MIN($F211,EOMONTH(DATE(cfg_FY,2,1),0))-MAX($E211,DATE(cfg_FY,2,1))+1)*(1-IF($M211="نعم",0,N($J211))))</f>
        <v>0</v>
      </c>
      <c r="X211" s="133" t="n">
        <f aca="false">IF(OR($B211="",$E211="",$F211=""),0,MAX(0,MIN($F211,EOMONTH(DATE(cfg_FY,3,1),0))-MAX($E211,DATE(cfg_FY,3,1))+1)*(1-IF($M211="نعم",0,N($J211))))</f>
        <v>0</v>
      </c>
      <c r="Y211" s="133" t="n">
        <f aca="false">IF(OR($B211="",$E211="",$F211=""),0,MAX(0,MIN($F211,EOMONTH(DATE(cfg_FY,4,1),0))-MAX($E211,DATE(cfg_FY,4,1))+1)*(1-IF($M211="نعم",0,N($J211))))</f>
        <v>0</v>
      </c>
      <c r="Z211" s="133" t="n">
        <f aca="false">IF(OR($B211="",$E211="",$F211=""),0,MAX(0,MIN($F211,EOMONTH(DATE(cfg_FY,5,1),0))-MAX($E211,DATE(cfg_FY,5,1))+1)*(1-IF($M211="نعم",0,N($J211))))</f>
        <v>0</v>
      </c>
      <c r="AA211" s="133" t="n">
        <f aca="false">IF(OR($B211="",$E211="",$F211=""),0,MAX(0,MIN($F211,EOMONTH(DATE(cfg_FY,6,1),0))-MAX($E211,DATE(cfg_FY,6,1))+1)*(1-IF($M211="نعم",0,N($J211))))</f>
        <v>0</v>
      </c>
      <c r="AB211" s="133" t="n">
        <f aca="false">IF(OR($B211="",$E211="",$F211=""),0,MAX(0,MIN($F211,EOMONTH(DATE(cfg_FY,7,1),0))-MAX($E211,DATE(cfg_FY,7,1))+1)*(1-IF($M211="نعم",0,N($J211))))</f>
        <v>0</v>
      </c>
      <c r="AC211" s="133" t="n">
        <f aca="false">IF(OR($B211="",$E211="",$F211=""),0,MAX(0,MIN($F211,EOMONTH(DATE(cfg_FY,8,1),0))-MAX($E211,DATE(cfg_FY,8,1))+1)*(1-IF($M211="نعم",0,N($J211))))</f>
        <v>0</v>
      </c>
      <c r="AD211" s="133" t="n">
        <f aca="false">IF(OR($B211="",$E211="",$F211=""),0,MAX(0,MIN($F211,EOMONTH(DATE(cfg_FY,9,1),0))-MAX($E211,DATE(cfg_FY,9,1))+1)*(1-IF($M211="نعم",0,N($J211))))</f>
        <v>0</v>
      </c>
      <c r="AE211" s="133" t="n">
        <f aca="false">IF(OR($B211="",$E211="",$F211=""),0,MAX(0,MIN($F211,EOMONTH(DATE(cfg_FY,10,1),0))-MAX($E211,DATE(cfg_FY,10,1))+1)*(1-IF($M211="نعم",0,N($J211))))</f>
        <v>0</v>
      </c>
      <c r="AF211" s="133" t="n">
        <f aca="false">IF(OR($B211="",$E211="",$F211=""),0,MAX(0,MIN($F211,EOMONTH(DATE(cfg_FY,11,1),0))-MAX($E211,DATE(cfg_FY,11,1))+1)*(1-IF($M211="نعم",0,N($J211))))</f>
        <v>0</v>
      </c>
      <c r="AG211" s="133" t="n">
        <f aca="false">IF(OR($B211="",$E211="",$F211=""),0,MAX(0,MIN($F211,EOMONTH(DATE(cfg_FY,12,1),0))-MAX($E211,DATE(cfg_FY,12,1))+1)*(1-IF($M211="نعم",0,N($J211))))</f>
        <v>0</v>
      </c>
      <c r="AH211" s="133" t="n">
        <f aca="false">IF(OR(OR($B211="",$E211="",$F211=""),$L211&lt;&gt;"لا"),0,MAX(0,MIN($F211,EOMONTH(DATE(cfg_FY,1,1),0))-$E211+1))</f>
        <v>0</v>
      </c>
      <c r="AI211" s="133" t="n">
        <f aca="false">IF(OR(OR($B211="",$E211="",$F211=""),$L211&lt;&gt;"لا"),0,MAX(0,MIN($F211,EOMONTH(DATE(cfg_FY,2,1),0))-$E211+1))</f>
        <v>0</v>
      </c>
      <c r="AJ211" s="133" t="n">
        <f aca="false">IF(OR(OR($B211="",$E211="",$F211=""),$L211&lt;&gt;"لا"),0,MAX(0,MIN($F211,EOMONTH(DATE(cfg_FY,3,1),0))-$E211+1))</f>
        <v>0</v>
      </c>
      <c r="AK211" s="133" t="n">
        <f aca="false">IF(OR(OR($B211="",$E211="",$F211=""),$L211&lt;&gt;"لا"),0,MAX(0,MIN($F211,EOMONTH(DATE(cfg_FY,4,1),0))-$E211+1))</f>
        <v>0</v>
      </c>
      <c r="AL211" s="133" t="n">
        <f aca="false">IF(OR(OR($B211="",$E211="",$F211=""),$L211&lt;&gt;"لا"),0,MAX(0,MIN($F211,EOMONTH(DATE(cfg_FY,5,1),0))-$E211+1))</f>
        <v>0</v>
      </c>
      <c r="AM211" s="133" t="n">
        <f aca="false">IF(OR(OR($B211="",$E211="",$F211=""),$L211&lt;&gt;"لا"),0,MAX(0,MIN($F211,EOMONTH(DATE(cfg_FY,6,1),0))-$E211+1))</f>
        <v>0</v>
      </c>
      <c r="AN211" s="133" t="n">
        <f aca="false">IF(OR(OR($B211="",$E211="",$F211=""),$L211&lt;&gt;"لا"),0,MAX(0,MIN($F211,EOMONTH(DATE(cfg_FY,7,1),0))-$E211+1))</f>
        <v>0</v>
      </c>
      <c r="AO211" s="133" t="n">
        <f aca="false">IF(OR(OR($B211="",$E211="",$F211=""),$L211&lt;&gt;"لا"),0,MAX(0,MIN($F211,EOMONTH(DATE(cfg_FY,8,1),0))-$E211+1))</f>
        <v>0</v>
      </c>
      <c r="AP211" s="133" t="n">
        <f aca="false">IF(OR(OR($B211="",$E211="",$F211=""),$L211&lt;&gt;"لا"),0,MAX(0,MIN($F211,EOMONTH(DATE(cfg_FY,9,1),0))-$E211+1))</f>
        <v>0</v>
      </c>
      <c r="AQ211" s="133" t="n">
        <f aca="false">IF(OR(OR($B211="",$E211="",$F211=""),$L211&lt;&gt;"لا"),0,MAX(0,MIN($F211,EOMONTH(DATE(cfg_FY,10,1),0))-$E211+1))</f>
        <v>0</v>
      </c>
      <c r="AR211" s="133" t="n">
        <f aca="false">IF(OR(OR($B211="",$E211="",$F211=""),$L211&lt;&gt;"لا"),0,MAX(0,MIN($F211,EOMONTH(DATE(cfg_FY,11,1),0))-$E211+1))</f>
        <v>0</v>
      </c>
      <c r="AS211" s="133" t="n">
        <f aca="false">IF(OR(OR($B211="",$E211="",$F211=""),$L211&lt;&gt;"لا"),0,MAX(0,MIN($F211,EOMONTH(DATE(cfg_FY,12,1),0))-$E211+1))</f>
        <v>0</v>
      </c>
      <c r="AT211" s="133" t="n">
        <f aca="false">IF(OR(OR($B211="",$E211="",$F211=""),$K211&lt;&gt;"نعم",$M211="نعم"),0,MAX(0,MIN($F211,EOMONTH(DATE(cfg_FY,1,1),0))-MAX($E211,DATE(cfg_FY,1,1))+1))</f>
        <v>0</v>
      </c>
      <c r="AU211" s="133" t="n">
        <f aca="false">IF(OR(OR($B211="",$E211="",$F211=""),$K211&lt;&gt;"نعم",$M211="نعم"),0,MAX(0,MIN($F211,EOMONTH(DATE(cfg_FY,2,1),0))-MAX($E211,DATE(cfg_FY,2,1))+1))</f>
        <v>0</v>
      </c>
      <c r="AV211" s="133" t="n">
        <f aca="false">IF(OR(OR($B211="",$E211="",$F211=""),$K211&lt;&gt;"نعم",$M211="نعم"),0,MAX(0,MIN($F211,EOMONTH(DATE(cfg_FY,3,1),0))-MAX($E211,DATE(cfg_FY,3,1))+1))</f>
        <v>0</v>
      </c>
      <c r="AW211" s="133" t="n">
        <f aca="false">IF(OR(OR($B211="",$E211="",$F211=""),$K211&lt;&gt;"نعم",$M211="نعم"),0,MAX(0,MIN($F211,EOMONTH(DATE(cfg_FY,4,1),0))-MAX($E211,DATE(cfg_FY,4,1))+1))</f>
        <v>0</v>
      </c>
      <c r="AX211" s="133" t="n">
        <f aca="false">IF(OR(OR($B211="",$E211="",$F211=""),$K211&lt;&gt;"نعم",$M211="نعم"),0,MAX(0,MIN($F211,EOMONTH(DATE(cfg_FY,5,1),0))-MAX($E211,DATE(cfg_FY,5,1))+1))</f>
        <v>0</v>
      </c>
      <c r="AY211" s="133" t="n">
        <f aca="false">IF(OR(OR($B211="",$E211="",$F211=""),$K211&lt;&gt;"نعم",$M211="نعم"),0,MAX(0,MIN($F211,EOMONTH(DATE(cfg_FY,6,1),0))-MAX($E211,DATE(cfg_FY,6,1))+1))</f>
        <v>0</v>
      </c>
      <c r="AZ211" s="133" t="n">
        <f aca="false">IF(OR(OR($B211="",$E211="",$F211=""),$K211&lt;&gt;"نعم",$M211="نعم"),0,MAX(0,MIN($F211,EOMONTH(DATE(cfg_FY,7,1),0))-MAX($E211,DATE(cfg_FY,7,1))+1))</f>
        <v>0</v>
      </c>
      <c r="BA211" s="133" t="n">
        <f aca="false">IF(OR(OR($B211="",$E211="",$F211=""),$K211&lt;&gt;"نعم",$M211="نعم"),0,MAX(0,MIN($F211,EOMONTH(DATE(cfg_FY,8,1),0))-MAX($E211,DATE(cfg_FY,8,1))+1))</f>
        <v>0</v>
      </c>
      <c r="BB211" s="133" t="n">
        <f aca="false">IF(OR(OR($B211="",$E211="",$F211=""),$K211&lt;&gt;"نعم",$M211="نعم"),0,MAX(0,MIN($F211,EOMONTH(DATE(cfg_FY,9,1),0))-MAX($E211,DATE(cfg_FY,9,1))+1))</f>
        <v>0</v>
      </c>
      <c r="BC211" s="133" t="n">
        <f aca="false">IF(OR(OR($B211="",$E211="",$F211=""),$K211&lt;&gt;"نعم",$M211="نعم"),0,MAX(0,MIN($F211,EOMONTH(DATE(cfg_FY,10,1),0))-MAX($E211,DATE(cfg_FY,10,1))+1))</f>
        <v>0</v>
      </c>
      <c r="BD211" s="133" t="n">
        <f aca="false">IF(OR(OR($B211="",$E211="",$F211=""),$K211&lt;&gt;"نعم",$M211="نعم"),0,MAX(0,MIN($F211,EOMONTH(DATE(cfg_FY,11,1),0))-MAX($E211,DATE(cfg_FY,11,1))+1))</f>
        <v>0</v>
      </c>
      <c r="BE211" s="133" t="n">
        <f aca="false">IF(OR(OR($B211="",$E211="",$F211=""),$K211&lt;&gt;"نعم",$M211="نعم"),0,MAX(0,MIN($F211,EOMONTH(DATE(cfg_FY,12,1),0))-MAX($E211,DATE(cfg_FY,12,1))+1))</f>
        <v>0</v>
      </c>
    </row>
    <row r="212" customFormat="false" ht="15" hidden="false" customHeight="false" outlineLevel="0" collapsed="false">
      <c r="A212" s="106" t="str">
        <f aca="false">IF(B212="","",ROW()-5)</f>
        <v/>
      </c>
      <c r="B212" s="118"/>
      <c r="C212" s="114" t="str">
        <f aca="false">IF(B212="","",IFERROR(INDEX(الموظفون!$C$6:$C$105,MATCH(B212,الموظفون!$B$6:$B$105,0)),"✖ رقم غير موجود"))</f>
        <v/>
      </c>
      <c r="D212" s="118"/>
      <c r="E212" s="119"/>
      <c r="F212" s="119"/>
      <c r="G212" s="65" t="str">
        <f aca="false">IF(OR($B212="",$E212="",$F212=""),"",MAX(0,F212-E212+1))</f>
        <v/>
      </c>
      <c r="H212" s="66" t="str">
        <f aca="false">IF(D212="","",IFERROR(VLOOKUP(D212,cfg_LT,2,FALSE()),1))</f>
        <v/>
      </c>
      <c r="I212" s="135"/>
      <c r="J212" s="66" t="str">
        <f aca="false">IF(D212="","",IF(I212&lt;&gt;"",I212,H212))</f>
        <v/>
      </c>
      <c r="K212" s="114" t="str">
        <f aca="false">IF(D212="","",IFERROR(VLOOKUP($D212,cfg_LT,3,FALSE()),""))</f>
        <v/>
      </c>
      <c r="L212" s="114" t="str">
        <f aca="false">IF(D212="","",IFERROR(VLOOKUP($D212,cfg_LT,4,FALSE()),""))</f>
        <v/>
      </c>
      <c r="M212" s="114" t="str">
        <f aca="false">IF(D212="","",IFERROR(VLOOKUP($D212,cfg_LT,5,FALSE()),""))</f>
        <v/>
      </c>
      <c r="N212" s="111" t="n">
        <f aca="false">IF(OR(OR($B212="",$E212="",$F212=""),M212&lt;&gt;"نعم"),0,G212*J212*IFERROR(INDEX(الموظفون!$R$6:$R$105,MATCH(B212,الموظفون!$B$6:$B$105,0)),0)/cfg_DAYS_M)</f>
        <v>0</v>
      </c>
      <c r="O212" s="106" t="str">
        <f aca="false">IF(OR(OR($B212="",$E212="",$F212=""),M212&lt;&gt;"نعم"),"",IF(YEAR(E212)=cfg_FY,MONTH(E212),""))</f>
        <v/>
      </c>
      <c r="P212" s="114" t="str">
        <f aca="false">IF(B212="","",IF(OR(D212="",E212="",F212=""),"⚠ أكمل النوع والتواريخ",IF(F212&lt;E212,"✖ النهاية قبل البداية",IF(COUNTIFS($B$6:$B$505,B212,$E$6:$E$505,"&lt;="&amp;F212,$F$6:$F$505,"&gt;="&amp;E212)&gt;1,"⚠ تداخل مع سجل آخر",IF(E212&gt;cfg_VAL_DATE,"⏳ قادمة",IF(F212&lt;cfg_VAL_DATE,"✔ منتهية","✈ جارية في تاريخ التقرير"))))))</f>
        <v/>
      </c>
      <c r="Q212" s="118"/>
      <c r="R212" s="65" t="n">
        <f aca="false">IF(OR(OR($B212="",$E212="",$F212=""),L212&lt;&gt;"لا"),0,MAX(0,MIN(F212,cfg_Y_START-1)-E212+1))</f>
        <v>0</v>
      </c>
      <c r="S212" s="65" t="n">
        <f aca="false">IF(OR(OR($B212="",$E212="",$F212=""),L212&lt;&gt;"لا"),0,MAX(0,MIN(F212,cfg_VAL_DATE)-E212+1))</f>
        <v>0</v>
      </c>
      <c r="T212" s="65" t="n">
        <f aca="false">IF(OR(OR($B212="",$E212="",$F212=""),K212&lt;&gt;"نعم"),0,IF(M212="نعم",IF(AND(ISNUMBER(O212),N(O212)&lt;=cfg_VAL_M),G212,0),MAX(0,MIN(F212,cfg_VAL_DATE)-MAX(E212,cfg_Y_START)+1)))</f>
        <v>0</v>
      </c>
      <c r="V212" s="65" t="n">
        <f aca="false">IF(OR($B212="",$E212="",$F212=""),0,MAX(0,MIN($F212,EOMONTH(DATE(cfg_FY,1,1),0))-MAX($E212,DATE(cfg_FY,1,1))+1)*(1-IF($M212="نعم",0,N($J212))))</f>
        <v>0</v>
      </c>
      <c r="W212" s="65" t="n">
        <f aca="false">IF(OR($B212="",$E212="",$F212=""),0,MAX(0,MIN($F212,EOMONTH(DATE(cfg_FY,2,1),0))-MAX($E212,DATE(cfg_FY,2,1))+1)*(1-IF($M212="نعم",0,N($J212))))</f>
        <v>0</v>
      </c>
      <c r="X212" s="65" t="n">
        <f aca="false">IF(OR($B212="",$E212="",$F212=""),0,MAX(0,MIN($F212,EOMONTH(DATE(cfg_FY,3,1),0))-MAX($E212,DATE(cfg_FY,3,1))+1)*(1-IF($M212="نعم",0,N($J212))))</f>
        <v>0</v>
      </c>
      <c r="Y212" s="65" t="n">
        <f aca="false">IF(OR($B212="",$E212="",$F212=""),0,MAX(0,MIN($F212,EOMONTH(DATE(cfg_FY,4,1),0))-MAX($E212,DATE(cfg_FY,4,1))+1)*(1-IF($M212="نعم",0,N($J212))))</f>
        <v>0</v>
      </c>
      <c r="Z212" s="65" t="n">
        <f aca="false">IF(OR($B212="",$E212="",$F212=""),0,MAX(0,MIN($F212,EOMONTH(DATE(cfg_FY,5,1),0))-MAX($E212,DATE(cfg_FY,5,1))+1)*(1-IF($M212="نعم",0,N($J212))))</f>
        <v>0</v>
      </c>
      <c r="AA212" s="65" t="n">
        <f aca="false">IF(OR($B212="",$E212="",$F212=""),0,MAX(0,MIN($F212,EOMONTH(DATE(cfg_FY,6,1),0))-MAX($E212,DATE(cfg_FY,6,1))+1)*(1-IF($M212="نعم",0,N($J212))))</f>
        <v>0</v>
      </c>
      <c r="AB212" s="65" t="n">
        <f aca="false">IF(OR($B212="",$E212="",$F212=""),0,MAX(0,MIN($F212,EOMONTH(DATE(cfg_FY,7,1),0))-MAX($E212,DATE(cfg_FY,7,1))+1)*(1-IF($M212="نعم",0,N($J212))))</f>
        <v>0</v>
      </c>
      <c r="AC212" s="65" t="n">
        <f aca="false">IF(OR($B212="",$E212="",$F212=""),0,MAX(0,MIN($F212,EOMONTH(DATE(cfg_FY,8,1),0))-MAX($E212,DATE(cfg_FY,8,1))+1)*(1-IF($M212="نعم",0,N($J212))))</f>
        <v>0</v>
      </c>
      <c r="AD212" s="65" t="n">
        <f aca="false">IF(OR($B212="",$E212="",$F212=""),0,MAX(0,MIN($F212,EOMONTH(DATE(cfg_FY,9,1),0))-MAX($E212,DATE(cfg_FY,9,1))+1)*(1-IF($M212="نعم",0,N($J212))))</f>
        <v>0</v>
      </c>
      <c r="AE212" s="65" t="n">
        <f aca="false">IF(OR($B212="",$E212="",$F212=""),0,MAX(0,MIN($F212,EOMONTH(DATE(cfg_FY,10,1),0))-MAX($E212,DATE(cfg_FY,10,1))+1)*(1-IF($M212="نعم",0,N($J212))))</f>
        <v>0</v>
      </c>
      <c r="AF212" s="65" t="n">
        <f aca="false">IF(OR($B212="",$E212="",$F212=""),0,MAX(0,MIN($F212,EOMONTH(DATE(cfg_FY,11,1),0))-MAX($E212,DATE(cfg_FY,11,1))+1)*(1-IF($M212="نعم",0,N($J212))))</f>
        <v>0</v>
      </c>
      <c r="AG212" s="65" t="n">
        <f aca="false">IF(OR($B212="",$E212="",$F212=""),0,MAX(0,MIN($F212,EOMONTH(DATE(cfg_FY,12,1),0))-MAX($E212,DATE(cfg_FY,12,1))+1)*(1-IF($M212="نعم",0,N($J212))))</f>
        <v>0</v>
      </c>
      <c r="AH212" s="65" t="n">
        <f aca="false">IF(OR(OR($B212="",$E212="",$F212=""),$L212&lt;&gt;"لا"),0,MAX(0,MIN($F212,EOMONTH(DATE(cfg_FY,1,1),0))-$E212+1))</f>
        <v>0</v>
      </c>
      <c r="AI212" s="65" t="n">
        <f aca="false">IF(OR(OR($B212="",$E212="",$F212=""),$L212&lt;&gt;"لا"),0,MAX(0,MIN($F212,EOMONTH(DATE(cfg_FY,2,1),0))-$E212+1))</f>
        <v>0</v>
      </c>
      <c r="AJ212" s="65" t="n">
        <f aca="false">IF(OR(OR($B212="",$E212="",$F212=""),$L212&lt;&gt;"لا"),0,MAX(0,MIN($F212,EOMONTH(DATE(cfg_FY,3,1),0))-$E212+1))</f>
        <v>0</v>
      </c>
      <c r="AK212" s="65" t="n">
        <f aca="false">IF(OR(OR($B212="",$E212="",$F212=""),$L212&lt;&gt;"لا"),0,MAX(0,MIN($F212,EOMONTH(DATE(cfg_FY,4,1),0))-$E212+1))</f>
        <v>0</v>
      </c>
      <c r="AL212" s="65" t="n">
        <f aca="false">IF(OR(OR($B212="",$E212="",$F212=""),$L212&lt;&gt;"لا"),0,MAX(0,MIN($F212,EOMONTH(DATE(cfg_FY,5,1),0))-$E212+1))</f>
        <v>0</v>
      </c>
      <c r="AM212" s="65" t="n">
        <f aca="false">IF(OR(OR($B212="",$E212="",$F212=""),$L212&lt;&gt;"لا"),0,MAX(0,MIN($F212,EOMONTH(DATE(cfg_FY,6,1),0))-$E212+1))</f>
        <v>0</v>
      </c>
      <c r="AN212" s="65" t="n">
        <f aca="false">IF(OR(OR($B212="",$E212="",$F212=""),$L212&lt;&gt;"لا"),0,MAX(0,MIN($F212,EOMONTH(DATE(cfg_FY,7,1),0))-$E212+1))</f>
        <v>0</v>
      </c>
      <c r="AO212" s="65" t="n">
        <f aca="false">IF(OR(OR($B212="",$E212="",$F212=""),$L212&lt;&gt;"لا"),0,MAX(0,MIN($F212,EOMONTH(DATE(cfg_FY,8,1),0))-$E212+1))</f>
        <v>0</v>
      </c>
      <c r="AP212" s="65" t="n">
        <f aca="false">IF(OR(OR($B212="",$E212="",$F212=""),$L212&lt;&gt;"لا"),0,MAX(0,MIN($F212,EOMONTH(DATE(cfg_FY,9,1),0))-$E212+1))</f>
        <v>0</v>
      </c>
      <c r="AQ212" s="65" t="n">
        <f aca="false">IF(OR(OR($B212="",$E212="",$F212=""),$L212&lt;&gt;"لا"),0,MAX(0,MIN($F212,EOMONTH(DATE(cfg_FY,10,1),0))-$E212+1))</f>
        <v>0</v>
      </c>
      <c r="AR212" s="65" t="n">
        <f aca="false">IF(OR(OR($B212="",$E212="",$F212=""),$L212&lt;&gt;"لا"),0,MAX(0,MIN($F212,EOMONTH(DATE(cfg_FY,11,1),0))-$E212+1))</f>
        <v>0</v>
      </c>
      <c r="AS212" s="65" t="n">
        <f aca="false">IF(OR(OR($B212="",$E212="",$F212=""),$L212&lt;&gt;"لا"),0,MAX(0,MIN($F212,EOMONTH(DATE(cfg_FY,12,1),0))-$E212+1))</f>
        <v>0</v>
      </c>
      <c r="AT212" s="65" t="n">
        <f aca="false">IF(OR(OR($B212="",$E212="",$F212=""),$K212&lt;&gt;"نعم",$M212="نعم"),0,MAX(0,MIN($F212,EOMONTH(DATE(cfg_FY,1,1),0))-MAX($E212,DATE(cfg_FY,1,1))+1))</f>
        <v>0</v>
      </c>
      <c r="AU212" s="65" t="n">
        <f aca="false">IF(OR(OR($B212="",$E212="",$F212=""),$K212&lt;&gt;"نعم",$M212="نعم"),0,MAX(0,MIN($F212,EOMONTH(DATE(cfg_FY,2,1),0))-MAX($E212,DATE(cfg_FY,2,1))+1))</f>
        <v>0</v>
      </c>
      <c r="AV212" s="65" t="n">
        <f aca="false">IF(OR(OR($B212="",$E212="",$F212=""),$K212&lt;&gt;"نعم",$M212="نعم"),0,MAX(0,MIN($F212,EOMONTH(DATE(cfg_FY,3,1),0))-MAX($E212,DATE(cfg_FY,3,1))+1))</f>
        <v>0</v>
      </c>
      <c r="AW212" s="65" t="n">
        <f aca="false">IF(OR(OR($B212="",$E212="",$F212=""),$K212&lt;&gt;"نعم",$M212="نعم"),0,MAX(0,MIN($F212,EOMONTH(DATE(cfg_FY,4,1),0))-MAX($E212,DATE(cfg_FY,4,1))+1))</f>
        <v>0</v>
      </c>
      <c r="AX212" s="65" t="n">
        <f aca="false">IF(OR(OR($B212="",$E212="",$F212=""),$K212&lt;&gt;"نعم",$M212="نعم"),0,MAX(0,MIN($F212,EOMONTH(DATE(cfg_FY,5,1),0))-MAX($E212,DATE(cfg_FY,5,1))+1))</f>
        <v>0</v>
      </c>
      <c r="AY212" s="65" t="n">
        <f aca="false">IF(OR(OR($B212="",$E212="",$F212=""),$K212&lt;&gt;"نعم",$M212="نعم"),0,MAX(0,MIN($F212,EOMONTH(DATE(cfg_FY,6,1),0))-MAX($E212,DATE(cfg_FY,6,1))+1))</f>
        <v>0</v>
      </c>
      <c r="AZ212" s="65" t="n">
        <f aca="false">IF(OR(OR($B212="",$E212="",$F212=""),$K212&lt;&gt;"نعم",$M212="نعم"),0,MAX(0,MIN($F212,EOMONTH(DATE(cfg_FY,7,1),0))-MAX($E212,DATE(cfg_FY,7,1))+1))</f>
        <v>0</v>
      </c>
      <c r="BA212" s="65" t="n">
        <f aca="false">IF(OR(OR($B212="",$E212="",$F212=""),$K212&lt;&gt;"نعم",$M212="نعم"),0,MAX(0,MIN($F212,EOMONTH(DATE(cfg_FY,8,1),0))-MAX($E212,DATE(cfg_FY,8,1))+1))</f>
        <v>0</v>
      </c>
      <c r="BB212" s="65" t="n">
        <f aca="false">IF(OR(OR($B212="",$E212="",$F212=""),$K212&lt;&gt;"نعم",$M212="نعم"),0,MAX(0,MIN($F212,EOMONTH(DATE(cfg_FY,9,1),0))-MAX($E212,DATE(cfg_FY,9,1))+1))</f>
        <v>0</v>
      </c>
      <c r="BC212" s="65" t="n">
        <f aca="false">IF(OR(OR($B212="",$E212="",$F212=""),$K212&lt;&gt;"نعم",$M212="نعم"),0,MAX(0,MIN($F212,EOMONTH(DATE(cfg_FY,10,1),0))-MAX($E212,DATE(cfg_FY,10,1))+1))</f>
        <v>0</v>
      </c>
      <c r="BD212" s="65" t="n">
        <f aca="false">IF(OR(OR($B212="",$E212="",$F212=""),$K212&lt;&gt;"نعم",$M212="نعم"),0,MAX(0,MIN($F212,EOMONTH(DATE(cfg_FY,11,1),0))-MAX($E212,DATE(cfg_FY,11,1))+1))</f>
        <v>0</v>
      </c>
      <c r="BE212" s="65" t="n">
        <f aca="false">IF(OR(OR($B212="",$E212="",$F212=""),$K212&lt;&gt;"نعم",$M212="نعم"),0,MAX(0,MIN($F212,EOMONTH(DATE(cfg_FY,12,1),0))-MAX($E212,DATE(cfg_FY,12,1))+1))</f>
        <v>0</v>
      </c>
    </row>
    <row r="213" customFormat="false" ht="15" hidden="false" customHeight="false" outlineLevel="0" collapsed="false">
      <c r="A213" s="115" t="str">
        <f aca="false">IF(B213="","",ROW()-5)</f>
        <v/>
      </c>
      <c r="B213" s="118"/>
      <c r="C213" s="117" t="str">
        <f aca="false">IF(B213="","",IFERROR(INDEX(الموظفون!$C$6:$C$105,MATCH(B213,الموظفون!$B$6:$B$105,0)),"✖ رقم غير موجود"))</f>
        <v/>
      </c>
      <c r="D213" s="118"/>
      <c r="E213" s="119"/>
      <c r="F213" s="119"/>
      <c r="G213" s="133" t="str">
        <f aca="false">IF(OR($B213="",$E213="",$F213=""),"",MAX(0,F213-E213+1))</f>
        <v/>
      </c>
      <c r="H213" s="134" t="str">
        <f aca="false">IF(D213="","",IFERROR(VLOOKUP(D213,cfg_LT,2,FALSE()),1))</f>
        <v/>
      </c>
      <c r="I213" s="135"/>
      <c r="J213" s="134" t="str">
        <f aca="false">IF(D213="","",IF(I213&lt;&gt;"",I213,H213))</f>
        <v/>
      </c>
      <c r="K213" s="117" t="str">
        <f aca="false">IF(D213="","",IFERROR(VLOOKUP($D213,cfg_LT,3,FALSE()),""))</f>
        <v/>
      </c>
      <c r="L213" s="117" t="str">
        <f aca="false">IF(D213="","",IFERROR(VLOOKUP($D213,cfg_LT,4,FALSE()),""))</f>
        <v/>
      </c>
      <c r="M213" s="117" t="str">
        <f aca="false">IF(D213="","",IFERROR(VLOOKUP($D213,cfg_LT,5,FALSE()),""))</f>
        <v/>
      </c>
      <c r="N213" s="116" t="n">
        <f aca="false">IF(OR(OR($B213="",$E213="",$F213=""),M213&lt;&gt;"نعم"),0,G213*J213*IFERROR(INDEX(الموظفون!$R$6:$R$105,MATCH(B213,الموظفون!$B$6:$B$105,0)),0)/cfg_DAYS_M)</f>
        <v>0</v>
      </c>
      <c r="O213" s="115" t="str">
        <f aca="false">IF(OR(OR($B213="",$E213="",$F213=""),M213&lt;&gt;"نعم"),"",IF(YEAR(E213)=cfg_FY,MONTH(E213),""))</f>
        <v/>
      </c>
      <c r="P213" s="117" t="str">
        <f aca="false">IF(B213="","",IF(OR(D213="",E213="",F213=""),"⚠ أكمل النوع والتواريخ",IF(F213&lt;E213,"✖ النهاية قبل البداية",IF(COUNTIFS($B$6:$B$505,B213,$E$6:$E$505,"&lt;="&amp;F213,$F$6:$F$505,"&gt;="&amp;E213)&gt;1,"⚠ تداخل مع سجل آخر",IF(E213&gt;cfg_VAL_DATE,"⏳ قادمة",IF(F213&lt;cfg_VAL_DATE,"✔ منتهية","✈ جارية في تاريخ التقرير"))))))</f>
        <v/>
      </c>
      <c r="Q213" s="118"/>
      <c r="R213" s="133" t="n">
        <f aca="false">IF(OR(OR($B213="",$E213="",$F213=""),L213&lt;&gt;"لا"),0,MAX(0,MIN(F213,cfg_Y_START-1)-E213+1))</f>
        <v>0</v>
      </c>
      <c r="S213" s="133" t="n">
        <f aca="false">IF(OR(OR($B213="",$E213="",$F213=""),L213&lt;&gt;"لا"),0,MAX(0,MIN(F213,cfg_VAL_DATE)-E213+1))</f>
        <v>0</v>
      </c>
      <c r="T213" s="133" t="n">
        <f aca="false">IF(OR(OR($B213="",$E213="",$F213=""),K213&lt;&gt;"نعم"),0,IF(M213="نعم",IF(AND(ISNUMBER(O213),N(O213)&lt;=cfg_VAL_M),G213,0),MAX(0,MIN(F213,cfg_VAL_DATE)-MAX(E213,cfg_Y_START)+1)))</f>
        <v>0</v>
      </c>
      <c r="V213" s="133" t="n">
        <f aca="false">IF(OR($B213="",$E213="",$F213=""),0,MAX(0,MIN($F213,EOMONTH(DATE(cfg_FY,1,1),0))-MAX($E213,DATE(cfg_FY,1,1))+1)*(1-IF($M213="نعم",0,N($J213))))</f>
        <v>0</v>
      </c>
      <c r="W213" s="133" t="n">
        <f aca="false">IF(OR($B213="",$E213="",$F213=""),0,MAX(0,MIN($F213,EOMONTH(DATE(cfg_FY,2,1),0))-MAX($E213,DATE(cfg_FY,2,1))+1)*(1-IF($M213="نعم",0,N($J213))))</f>
        <v>0</v>
      </c>
      <c r="X213" s="133" t="n">
        <f aca="false">IF(OR($B213="",$E213="",$F213=""),0,MAX(0,MIN($F213,EOMONTH(DATE(cfg_FY,3,1),0))-MAX($E213,DATE(cfg_FY,3,1))+1)*(1-IF($M213="نعم",0,N($J213))))</f>
        <v>0</v>
      </c>
      <c r="Y213" s="133" t="n">
        <f aca="false">IF(OR($B213="",$E213="",$F213=""),0,MAX(0,MIN($F213,EOMONTH(DATE(cfg_FY,4,1),0))-MAX($E213,DATE(cfg_FY,4,1))+1)*(1-IF($M213="نعم",0,N($J213))))</f>
        <v>0</v>
      </c>
      <c r="Z213" s="133" t="n">
        <f aca="false">IF(OR($B213="",$E213="",$F213=""),0,MAX(0,MIN($F213,EOMONTH(DATE(cfg_FY,5,1),0))-MAX($E213,DATE(cfg_FY,5,1))+1)*(1-IF($M213="نعم",0,N($J213))))</f>
        <v>0</v>
      </c>
      <c r="AA213" s="133" t="n">
        <f aca="false">IF(OR($B213="",$E213="",$F213=""),0,MAX(0,MIN($F213,EOMONTH(DATE(cfg_FY,6,1),0))-MAX($E213,DATE(cfg_FY,6,1))+1)*(1-IF($M213="نعم",0,N($J213))))</f>
        <v>0</v>
      </c>
      <c r="AB213" s="133" t="n">
        <f aca="false">IF(OR($B213="",$E213="",$F213=""),0,MAX(0,MIN($F213,EOMONTH(DATE(cfg_FY,7,1),0))-MAX($E213,DATE(cfg_FY,7,1))+1)*(1-IF($M213="نعم",0,N($J213))))</f>
        <v>0</v>
      </c>
      <c r="AC213" s="133" t="n">
        <f aca="false">IF(OR($B213="",$E213="",$F213=""),0,MAX(0,MIN($F213,EOMONTH(DATE(cfg_FY,8,1),0))-MAX($E213,DATE(cfg_FY,8,1))+1)*(1-IF($M213="نعم",0,N($J213))))</f>
        <v>0</v>
      </c>
      <c r="AD213" s="133" t="n">
        <f aca="false">IF(OR($B213="",$E213="",$F213=""),0,MAX(0,MIN($F213,EOMONTH(DATE(cfg_FY,9,1),0))-MAX($E213,DATE(cfg_FY,9,1))+1)*(1-IF($M213="نعم",0,N($J213))))</f>
        <v>0</v>
      </c>
      <c r="AE213" s="133" t="n">
        <f aca="false">IF(OR($B213="",$E213="",$F213=""),0,MAX(0,MIN($F213,EOMONTH(DATE(cfg_FY,10,1),0))-MAX($E213,DATE(cfg_FY,10,1))+1)*(1-IF($M213="نعم",0,N($J213))))</f>
        <v>0</v>
      </c>
      <c r="AF213" s="133" t="n">
        <f aca="false">IF(OR($B213="",$E213="",$F213=""),0,MAX(0,MIN($F213,EOMONTH(DATE(cfg_FY,11,1),0))-MAX($E213,DATE(cfg_FY,11,1))+1)*(1-IF($M213="نعم",0,N($J213))))</f>
        <v>0</v>
      </c>
      <c r="AG213" s="133" t="n">
        <f aca="false">IF(OR($B213="",$E213="",$F213=""),0,MAX(0,MIN($F213,EOMONTH(DATE(cfg_FY,12,1),0))-MAX($E213,DATE(cfg_FY,12,1))+1)*(1-IF($M213="نعم",0,N($J213))))</f>
        <v>0</v>
      </c>
      <c r="AH213" s="133" t="n">
        <f aca="false">IF(OR(OR($B213="",$E213="",$F213=""),$L213&lt;&gt;"لا"),0,MAX(0,MIN($F213,EOMONTH(DATE(cfg_FY,1,1),0))-$E213+1))</f>
        <v>0</v>
      </c>
      <c r="AI213" s="133" t="n">
        <f aca="false">IF(OR(OR($B213="",$E213="",$F213=""),$L213&lt;&gt;"لا"),0,MAX(0,MIN($F213,EOMONTH(DATE(cfg_FY,2,1),0))-$E213+1))</f>
        <v>0</v>
      </c>
      <c r="AJ213" s="133" t="n">
        <f aca="false">IF(OR(OR($B213="",$E213="",$F213=""),$L213&lt;&gt;"لا"),0,MAX(0,MIN($F213,EOMONTH(DATE(cfg_FY,3,1),0))-$E213+1))</f>
        <v>0</v>
      </c>
      <c r="AK213" s="133" t="n">
        <f aca="false">IF(OR(OR($B213="",$E213="",$F213=""),$L213&lt;&gt;"لا"),0,MAX(0,MIN($F213,EOMONTH(DATE(cfg_FY,4,1),0))-$E213+1))</f>
        <v>0</v>
      </c>
      <c r="AL213" s="133" t="n">
        <f aca="false">IF(OR(OR($B213="",$E213="",$F213=""),$L213&lt;&gt;"لا"),0,MAX(0,MIN($F213,EOMONTH(DATE(cfg_FY,5,1),0))-$E213+1))</f>
        <v>0</v>
      </c>
      <c r="AM213" s="133" t="n">
        <f aca="false">IF(OR(OR($B213="",$E213="",$F213=""),$L213&lt;&gt;"لا"),0,MAX(0,MIN($F213,EOMONTH(DATE(cfg_FY,6,1),0))-$E213+1))</f>
        <v>0</v>
      </c>
      <c r="AN213" s="133" t="n">
        <f aca="false">IF(OR(OR($B213="",$E213="",$F213=""),$L213&lt;&gt;"لا"),0,MAX(0,MIN($F213,EOMONTH(DATE(cfg_FY,7,1),0))-$E213+1))</f>
        <v>0</v>
      </c>
      <c r="AO213" s="133" t="n">
        <f aca="false">IF(OR(OR($B213="",$E213="",$F213=""),$L213&lt;&gt;"لا"),0,MAX(0,MIN($F213,EOMONTH(DATE(cfg_FY,8,1),0))-$E213+1))</f>
        <v>0</v>
      </c>
      <c r="AP213" s="133" t="n">
        <f aca="false">IF(OR(OR($B213="",$E213="",$F213=""),$L213&lt;&gt;"لا"),0,MAX(0,MIN($F213,EOMONTH(DATE(cfg_FY,9,1),0))-$E213+1))</f>
        <v>0</v>
      </c>
      <c r="AQ213" s="133" t="n">
        <f aca="false">IF(OR(OR($B213="",$E213="",$F213=""),$L213&lt;&gt;"لا"),0,MAX(0,MIN($F213,EOMONTH(DATE(cfg_FY,10,1),0))-$E213+1))</f>
        <v>0</v>
      </c>
      <c r="AR213" s="133" t="n">
        <f aca="false">IF(OR(OR($B213="",$E213="",$F213=""),$L213&lt;&gt;"لا"),0,MAX(0,MIN($F213,EOMONTH(DATE(cfg_FY,11,1),0))-$E213+1))</f>
        <v>0</v>
      </c>
      <c r="AS213" s="133" t="n">
        <f aca="false">IF(OR(OR($B213="",$E213="",$F213=""),$L213&lt;&gt;"لا"),0,MAX(0,MIN($F213,EOMONTH(DATE(cfg_FY,12,1),0))-$E213+1))</f>
        <v>0</v>
      </c>
      <c r="AT213" s="133" t="n">
        <f aca="false">IF(OR(OR($B213="",$E213="",$F213=""),$K213&lt;&gt;"نعم",$M213="نعم"),0,MAX(0,MIN($F213,EOMONTH(DATE(cfg_FY,1,1),0))-MAX($E213,DATE(cfg_FY,1,1))+1))</f>
        <v>0</v>
      </c>
      <c r="AU213" s="133" t="n">
        <f aca="false">IF(OR(OR($B213="",$E213="",$F213=""),$K213&lt;&gt;"نعم",$M213="نعم"),0,MAX(0,MIN($F213,EOMONTH(DATE(cfg_FY,2,1),0))-MAX($E213,DATE(cfg_FY,2,1))+1))</f>
        <v>0</v>
      </c>
      <c r="AV213" s="133" t="n">
        <f aca="false">IF(OR(OR($B213="",$E213="",$F213=""),$K213&lt;&gt;"نعم",$M213="نعم"),0,MAX(0,MIN($F213,EOMONTH(DATE(cfg_FY,3,1),0))-MAX($E213,DATE(cfg_FY,3,1))+1))</f>
        <v>0</v>
      </c>
      <c r="AW213" s="133" t="n">
        <f aca="false">IF(OR(OR($B213="",$E213="",$F213=""),$K213&lt;&gt;"نعم",$M213="نعم"),0,MAX(0,MIN($F213,EOMONTH(DATE(cfg_FY,4,1),0))-MAX($E213,DATE(cfg_FY,4,1))+1))</f>
        <v>0</v>
      </c>
      <c r="AX213" s="133" t="n">
        <f aca="false">IF(OR(OR($B213="",$E213="",$F213=""),$K213&lt;&gt;"نعم",$M213="نعم"),0,MAX(0,MIN($F213,EOMONTH(DATE(cfg_FY,5,1),0))-MAX($E213,DATE(cfg_FY,5,1))+1))</f>
        <v>0</v>
      </c>
      <c r="AY213" s="133" t="n">
        <f aca="false">IF(OR(OR($B213="",$E213="",$F213=""),$K213&lt;&gt;"نعم",$M213="نعم"),0,MAX(0,MIN($F213,EOMONTH(DATE(cfg_FY,6,1),0))-MAX($E213,DATE(cfg_FY,6,1))+1))</f>
        <v>0</v>
      </c>
      <c r="AZ213" s="133" t="n">
        <f aca="false">IF(OR(OR($B213="",$E213="",$F213=""),$K213&lt;&gt;"نعم",$M213="نعم"),0,MAX(0,MIN($F213,EOMONTH(DATE(cfg_FY,7,1),0))-MAX($E213,DATE(cfg_FY,7,1))+1))</f>
        <v>0</v>
      </c>
      <c r="BA213" s="133" t="n">
        <f aca="false">IF(OR(OR($B213="",$E213="",$F213=""),$K213&lt;&gt;"نعم",$M213="نعم"),0,MAX(0,MIN($F213,EOMONTH(DATE(cfg_FY,8,1),0))-MAX($E213,DATE(cfg_FY,8,1))+1))</f>
        <v>0</v>
      </c>
      <c r="BB213" s="133" t="n">
        <f aca="false">IF(OR(OR($B213="",$E213="",$F213=""),$K213&lt;&gt;"نعم",$M213="نعم"),0,MAX(0,MIN($F213,EOMONTH(DATE(cfg_FY,9,1),0))-MAX($E213,DATE(cfg_FY,9,1))+1))</f>
        <v>0</v>
      </c>
      <c r="BC213" s="133" t="n">
        <f aca="false">IF(OR(OR($B213="",$E213="",$F213=""),$K213&lt;&gt;"نعم",$M213="نعم"),0,MAX(0,MIN($F213,EOMONTH(DATE(cfg_FY,10,1),0))-MAX($E213,DATE(cfg_FY,10,1))+1))</f>
        <v>0</v>
      </c>
      <c r="BD213" s="133" t="n">
        <f aca="false">IF(OR(OR($B213="",$E213="",$F213=""),$K213&lt;&gt;"نعم",$M213="نعم"),0,MAX(0,MIN($F213,EOMONTH(DATE(cfg_FY,11,1),0))-MAX($E213,DATE(cfg_FY,11,1))+1))</f>
        <v>0</v>
      </c>
      <c r="BE213" s="133" t="n">
        <f aca="false">IF(OR(OR($B213="",$E213="",$F213=""),$K213&lt;&gt;"نعم",$M213="نعم"),0,MAX(0,MIN($F213,EOMONTH(DATE(cfg_FY,12,1),0))-MAX($E213,DATE(cfg_FY,12,1))+1))</f>
        <v>0</v>
      </c>
    </row>
    <row r="214" customFormat="false" ht="15" hidden="false" customHeight="false" outlineLevel="0" collapsed="false">
      <c r="A214" s="106" t="str">
        <f aca="false">IF(B214="","",ROW()-5)</f>
        <v/>
      </c>
      <c r="B214" s="118"/>
      <c r="C214" s="114" t="str">
        <f aca="false">IF(B214="","",IFERROR(INDEX(الموظفون!$C$6:$C$105,MATCH(B214,الموظفون!$B$6:$B$105,0)),"✖ رقم غير موجود"))</f>
        <v/>
      </c>
      <c r="D214" s="118"/>
      <c r="E214" s="119"/>
      <c r="F214" s="119"/>
      <c r="G214" s="65" t="str">
        <f aca="false">IF(OR($B214="",$E214="",$F214=""),"",MAX(0,F214-E214+1))</f>
        <v/>
      </c>
      <c r="H214" s="66" t="str">
        <f aca="false">IF(D214="","",IFERROR(VLOOKUP(D214,cfg_LT,2,FALSE()),1))</f>
        <v/>
      </c>
      <c r="I214" s="135"/>
      <c r="J214" s="66" t="str">
        <f aca="false">IF(D214="","",IF(I214&lt;&gt;"",I214,H214))</f>
        <v/>
      </c>
      <c r="K214" s="114" t="str">
        <f aca="false">IF(D214="","",IFERROR(VLOOKUP($D214,cfg_LT,3,FALSE()),""))</f>
        <v/>
      </c>
      <c r="L214" s="114" t="str">
        <f aca="false">IF(D214="","",IFERROR(VLOOKUP($D214,cfg_LT,4,FALSE()),""))</f>
        <v/>
      </c>
      <c r="M214" s="114" t="str">
        <f aca="false">IF(D214="","",IFERROR(VLOOKUP($D214,cfg_LT,5,FALSE()),""))</f>
        <v/>
      </c>
      <c r="N214" s="111" t="n">
        <f aca="false">IF(OR(OR($B214="",$E214="",$F214=""),M214&lt;&gt;"نعم"),0,G214*J214*IFERROR(INDEX(الموظفون!$R$6:$R$105,MATCH(B214,الموظفون!$B$6:$B$105,0)),0)/cfg_DAYS_M)</f>
        <v>0</v>
      </c>
      <c r="O214" s="106" t="str">
        <f aca="false">IF(OR(OR($B214="",$E214="",$F214=""),M214&lt;&gt;"نعم"),"",IF(YEAR(E214)=cfg_FY,MONTH(E214),""))</f>
        <v/>
      </c>
      <c r="P214" s="114" t="str">
        <f aca="false">IF(B214="","",IF(OR(D214="",E214="",F214=""),"⚠ أكمل النوع والتواريخ",IF(F214&lt;E214,"✖ النهاية قبل البداية",IF(COUNTIFS($B$6:$B$505,B214,$E$6:$E$505,"&lt;="&amp;F214,$F$6:$F$505,"&gt;="&amp;E214)&gt;1,"⚠ تداخل مع سجل آخر",IF(E214&gt;cfg_VAL_DATE,"⏳ قادمة",IF(F214&lt;cfg_VAL_DATE,"✔ منتهية","✈ جارية في تاريخ التقرير"))))))</f>
        <v/>
      </c>
      <c r="Q214" s="118"/>
      <c r="R214" s="65" t="n">
        <f aca="false">IF(OR(OR($B214="",$E214="",$F214=""),L214&lt;&gt;"لا"),0,MAX(0,MIN(F214,cfg_Y_START-1)-E214+1))</f>
        <v>0</v>
      </c>
      <c r="S214" s="65" t="n">
        <f aca="false">IF(OR(OR($B214="",$E214="",$F214=""),L214&lt;&gt;"لا"),0,MAX(0,MIN(F214,cfg_VAL_DATE)-E214+1))</f>
        <v>0</v>
      </c>
      <c r="T214" s="65" t="n">
        <f aca="false">IF(OR(OR($B214="",$E214="",$F214=""),K214&lt;&gt;"نعم"),0,IF(M214="نعم",IF(AND(ISNUMBER(O214),N(O214)&lt;=cfg_VAL_M),G214,0),MAX(0,MIN(F214,cfg_VAL_DATE)-MAX(E214,cfg_Y_START)+1)))</f>
        <v>0</v>
      </c>
      <c r="V214" s="65" t="n">
        <f aca="false">IF(OR($B214="",$E214="",$F214=""),0,MAX(0,MIN($F214,EOMONTH(DATE(cfg_FY,1,1),0))-MAX($E214,DATE(cfg_FY,1,1))+1)*(1-IF($M214="نعم",0,N($J214))))</f>
        <v>0</v>
      </c>
      <c r="W214" s="65" t="n">
        <f aca="false">IF(OR($B214="",$E214="",$F214=""),0,MAX(0,MIN($F214,EOMONTH(DATE(cfg_FY,2,1),0))-MAX($E214,DATE(cfg_FY,2,1))+1)*(1-IF($M214="نعم",0,N($J214))))</f>
        <v>0</v>
      </c>
      <c r="X214" s="65" t="n">
        <f aca="false">IF(OR($B214="",$E214="",$F214=""),0,MAX(0,MIN($F214,EOMONTH(DATE(cfg_FY,3,1),0))-MAX($E214,DATE(cfg_FY,3,1))+1)*(1-IF($M214="نعم",0,N($J214))))</f>
        <v>0</v>
      </c>
      <c r="Y214" s="65" t="n">
        <f aca="false">IF(OR($B214="",$E214="",$F214=""),0,MAX(0,MIN($F214,EOMONTH(DATE(cfg_FY,4,1),0))-MAX($E214,DATE(cfg_FY,4,1))+1)*(1-IF($M214="نعم",0,N($J214))))</f>
        <v>0</v>
      </c>
      <c r="Z214" s="65" t="n">
        <f aca="false">IF(OR($B214="",$E214="",$F214=""),0,MAX(0,MIN($F214,EOMONTH(DATE(cfg_FY,5,1),0))-MAX($E214,DATE(cfg_FY,5,1))+1)*(1-IF($M214="نعم",0,N($J214))))</f>
        <v>0</v>
      </c>
      <c r="AA214" s="65" t="n">
        <f aca="false">IF(OR($B214="",$E214="",$F214=""),0,MAX(0,MIN($F214,EOMONTH(DATE(cfg_FY,6,1),0))-MAX($E214,DATE(cfg_FY,6,1))+1)*(1-IF($M214="نعم",0,N($J214))))</f>
        <v>0</v>
      </c>
      <c r="AB214" s="65" t="n">
        <f aca="false">IF(OR($B214="",$E214="",$F214=""),0,MAX(0,MIN($F214,EOMONTH(DATE(cfg_FY,7,1),0))-MAX($E214,DATE(cfg_FY,7,1))+1)*(1-IF($M214="نعم",0,N($J214))))</f>
        <v>0</v>
      </c>
      <c r="AC214" s="65" t="n">
        <f aca="false">IF(OR($B214="",$E214="",$F214=""),0,MAX(0,MIN($F214,EOMONTH(DATE(cfg_FY,8,1),0))-MAX($E214,DATE(cfg_FY,8,1))+1)*(1-IF($M214="نعم",0,N($J214))))</f>
        <v>0</v>
      </c>
      <c r="AD214" s="65" t="n">
        <f aca="false">IF(OR($B214="",$E214="",$F214=""),0,MAX(0,MIN($F214,EOMONTH(DATE(cfg_FY,9,1),0))-MAX($E214,DATE(cfg_FY,9,1))+1)*(1-IF($M214="نعم",0,N($J214))))</f>
        <v>0</v>
      </c>
      <c r="AE214" s="65" t="n">
        <f aca="false">IF(OR($B214="",$E214="",$F214=""),0,MAX(0,MIN($F214,EOMONTH(DATE(cfg_FY,10,1),0))-MAX($E214,DATE(cfg_FY,10,1))+1)*(1-IF($M214="نعم",0,N($J214))))</f>
        <v>0</v>
      </c>
      <c r="AF214" s="65" t="n">
        <f aca="false">IF(OR($B214="",$E214="",$F214=""),0,MAX(0,MIN($F214,EOMONTH(DATE(cfg_FY,11,1),0))-MAX($E214,DATE(cfg_FY,11,1))+1)*(1-IF($M214="نعم",0,N($J214))))</f>
        <v>0</v>
      </c>
      <c r="AG214" s="65" t="n">
        <f aca="false">IF(OR($B214="",$E214="",$F214=""),0,MAX(0,MIN($F214,EOMONTH(DATE(cfg_FY,12,1),0))-MAX($E214,DATE(cfg_FY,12,1))+1)*(1-IF($M214="نعم",0,N($J214))))</f>
        <v>0</v>
      </c>
      <c r="AH214" s="65" t="n">
        <f aca="false">IF(OR(OR($B214="",$E214="",$F214=""),$L214&lt;&gt;"لا"),0,MAX(0,MIN($F214,EOMONTH(DATE(cfg_FY,1,1),0))-$E214+1))</f>
        <v>0</v>
      </c>
      <c r="AI214" s="65" t="n">
        <f aca="false">IF(OR(OR($B214="",$E214="",$F214=""),$L214&lt;&gt;"لا"),0,MAX(0,MIN($F214,EOMONTH(DATE(cfg_FY,2,1),0))-$E214+1))</f>
        <v>0</v>
      </c>
      <c r="AJ214" s="65" t="n">
        <f aca="false">IF(OR(OR($B214="",$E214="",$F214=""),$L214&lt;&gt;"لا"),0,MAX(0,MIN($F214,EOMONTH(DATE(cfg_FY,3,1),0))-$E214+1))</f>
        <v>0</v>
      </c>
      <c r="AK214" s="65" t="n">
        <f aca="false">IF(OR(OR($B214="",$E214="",$F214=""),$L214&lt;&gt;"لا"),0,MAX(0,MIN($F214,EOMONTH(DATE(cfg_FY,4,1),0))-$E214+1))</f>
        <v>0</v>
      </c>
      <c r="AL214" s="65" t="n">
        <f aca="false">IF(OR(OR($B214="",$E214="",$F214=""),$L214&lt;&gt;"لا"),0,MAX(0,MIN($F214,EOMONTH(DATE(cfg_FY,5,1),0))-$E214+1))</f>
        <v>0</v>
      </c>
      <c r="AM214" s="65" t="n">
        <f aca="false">IF(OR(OR($B214="",$E214="",$F214=""),$L214&lt;&gt;"لا"),0,MAX(0,MIN($F214,EOMONTH(DATE(cfg_FY,6,1),0))-$E214+1))</f>
        <v>0</v>
      </c>
      <c r="AN214" s="65" t="n">
        <f aca="false">IF(OR(OR($B214="",$E214="",$F214=""),$L214&lt;&gt;"لا"),0,MAX(0,MIN($F214,EOMONTH(DATE(cfg_FY,7,1),0))-$E214+1))</f>
        <v>0</v>
      </c>
      <c r="AO214" s="65" t="n">
        <f aca="false">IF(OR(OR($B214="",$E214="",$F214=""),$L214&lt;&gt;"لا"),0,MAX(0,MIN($F214,EOMONTH(DATE(cfg_FY,8,1),0))-$E214+1))</f>
        <v>0</v>
      </c>
      <c r="AP214" s="65" t="n">
        <f aca="false">IF(OR(OR($B214="",$E214="",$F214=""),$L214&lt;&gt;"لا"),0,MAX(0,MIN($F214,EOMONTH(DATE(cfg_FY,9,1),0))-$E214+1))</f>
        <v>0</v>
      </c>
      <c r="AQ214" s="65" t="n">
        <f aca="false">IF(OR(OR($B214="",$E214="",$F214=""),$L214&lt;&gt;"لا"),0,MAX(0,MIN($F214,EOMONTH(DATE(cfg_FY,10,1),0))-$E214+1))</f>
        <v>0</v>
      </c>
      <c r="AR214" s="65" t="n">
        <f aca="false">IF(OR(OR($B214="",$E214="",$F214=""),$L214&lt;&gt;"لا"),0,MAX(0,MIN($F214,EOMONTH(DATE(cfg_FY,11,1),0))-$E214+1))</f>
        <v>0</v>
      </c>
      <c r="AS214" s="65" t="n">
        <f aca="false">IF(OR(OR($B214="",$E214="",$F214=""),$L214&lt;&gt;"لا"),0,MAX(0,MIN($F214,EOMONTH(DATE(cfg_FY,12,1),0))-$E214+1))</f>
        <v>0</v>
      </c>
      <c r="AT214" s="65" t="n">
        <f aca="false">IF(OR(OR($B214="",$E214="",$F214=""),$K214&lt;&gt;"نعم",$M214="نعم"),0,MAX(0,MIN($F214,EOMONTH(DATE(cfg_FY,1,1),0))-MAX($E214,DATE(cfg_FY,1,1))+1))</f>
        <v>0</v>
      </c>
      <c r="AU214" s="65" t="n">
        <f aca="false">IF(OR(OR($B214="",$E214="",$F214=""),$K214&lt;&gt;"نعم",$M214="نعم"),0,MAX(0,MIN($F214,EOMONTH(DATE(cfg_FY,2,1),0))-MAX($E214,DATE(cfg_FY,2,1))+1))</f>
        <v>0</v>
      </c>
      <c r="AV214" s="65" t="n">
        <f aca="false">IF(OR(OR($B214="",$E214="",$F214=""),$K214&lt;&gt;"نعم",$M214="نعم"),0,MAX(0,MIN($F214,EOMONTH(DATE(cfg_FY,3,1),0))-MAX($E214,DATE(cfg_FY,3,1))+1))</f>
        <v>0</v>
      </c>
      <c r="AW214" s="65" t="n">
        <f aca="false">IF(OR(OR($B214="",$E214="",$F214=""),$K214&lt;&gt;"نعم",$M214="نعم"),0,MAX(0,MIN($F214,EOMONTH(DATE(cfg_FY,4,1),0))-MAX($E214,DATE(cfg_FY,4,1))+1))</f>
        <v>0</v>
      </c>
      <c r="AX214" s="65" t="n">
        <f aca="false">IF(OR(OR($B214="",$E214="",$F214=""),$K214&lt;&gt;"نعم",$M214="نعم"),0,MAX(0,MIN($F214,EOMONTH(DATE(cfg_FY,5,1),0))-MAX($E214,DATE(cfg_FY,5,1))+1))</f>
        <v>0</v>
      </c>
      <c r="AY214" s="65" t="n">
        <f aca="false">IF(OR(OR($B214="",$E214="",$F214=""),$K214&lt;&gt;"نعم",$M214="نعم"),0,MAX(0,MIN($F214,EOMONTH(DATE(cfg_FY,6,1),0))-MAX($E214,DATE(cfg_FY,6,1))+1))</f>
        <v>0</v>
      </c>
      <c r="AZ214" s="65" t="n">
        <f aca="false">IF(OR(OR($B214="",$E214="",$F214=""),$K214&lt;&gt;"نعم",$M214="نعم"),0,MAX(0,MIN($F214,EOMONTH(DATE(cfg_FY,7,1),0))-MAX($E214,DATE(cfg_FY,7,1))+1))</f>
        <v>0</v>
      </c>
      <c r="BA214" s="65" t="n">
        <f aca="false">IF(OR(OR($B214="",$E214="",$F214=""),$K214&lt;&gt;"نعم",$M214="نعم"),0,MAX(0,MIN($F214,EOMONTH(DATE(cfg_FY,8,1),0))-MAX($E214,DATE(cfg_FY,8,1))+1))</f>
        <v>0</v>
      </c>
      <c r="BB214" s="65" t="n">
        <f aca="false">IF(OR(OR($B214="",$E214="",$F214=""),$K214&lt;&gt;"نعم",$M214="نعم"),0,MAX(0,MIN($F214,EOMONTH(DATE(cfg_FY,9,1),0))-MAX($E214,DATE(cfg_FY,9,1))+1))</f>
        <v>0</v>
      </c>
      <c r="BC214" s="65" t="n">
        <f aca="false">IF(OR(OR($B214="",$E214="",$F214=""),$K214&lt;&gt;"نعم",$M214="نعم"),0,MAX(0,MIN($F214,EOMONTH(DATE(cfg_FY,10,1),0))-MAX($E214,DATE(cfg_FY,10,1))+1))</f>
        <v>0</v>
      </c>
      <c r="BD214" s="65" t="n">
        <f aca="false">IF(OR(OR($B214="",$E214="",$F214=""),$K214&lt;&gt;"نعم",$M214="نعم"),0,MAX(0,MIN($F214,EOMONTH(DATE(cfg_FY,11,1),0))-MAX($E214,DATE(cfg_FY,11,1))+1))</f>
        <v>0</v>
      </c>
      <c r="BE214" s="65" t="n">
        <f aca="false">IF(OR(OR($B214="",$E214="",$F214=""),$K214&lt;&gt;"نعم",$M214="نعم"),0,MAX(0,MIN($F214,EOMONTH(DATE(cfg_FY,12,1),0))-MAX($E214,DATE(cfg_FY,12,1))+1))</f>
        <v>0</v>
      </c>
    </row>
    <row r="215" customFormat="false" ht="15" hidden="false" customHeight="false" outlineLevel="0" collapsed="false">
      <c r="A215" s="115" t="str">
        <f aca="false">IF(B215="","",ROW()-5)</f>
        <v/>
      </c>
      <c r="B215" s="118"/>
      <c r="C215" s="117" t="str">
        <f aca="false">IF(B215="","",IFERROR(INDEX(الموظفون!$C$6:$C$105,MATCH(B215,الموظفون!$B$6:$B$105,0)),"✖ رقم غير موجود"))</f>
        <v/>
      </c>
      <c r="D215" s="118"/>
      <c r="E215" s="119"/>
      <c r="F215" s="119"/>
      <c r="G215" s="133" t="str">
        <f aca="false">IF(OR($B215="",$E215="",$F215=""),"",MAX(0,F215-E215+1))</f>
        <v/>
      </c>
      <c r="H215" s="134" t="str">
        <f aca="false">IF(D215="","",IFERROR(VLOOKUP(D215,cfg_LT,2,FALSE()),1))</f>
        <v/>
      </c>
      <c r="I215" s="135"/>
      <c r="J215" s="134" t="str">
        <f aca="false">IF(D215="","",IF(I215&lt;&gt;"",I215,H215))</f>
        <v/>
      </c>
      <c r="K215" s="117" t="str">
        <f aca="false">IF(D215="","",IFERROR(VLOOKUP($D215,cfg_LT,3,FALSE()),""))</f>
        <v/>
      </c>
      <c r="L215" s="117" t="str">
        <f aca="false">IF(D215="","",IFERROR(VLOOKUP($D215,cfg_LT,4,FALSE()),""))</f>
        <v/>
      </c>
      <c r="M215" s="117" t="str">
        <f aca="false">IF(D215="","",IFERROR(VLOOKUP($D215,cfg_LT,5,FALSE()),""))</f>
        <v/>
      </c>
      <c r="N215" s="116" t="n">
        <f aca="false">IF(OR(OR($B215="",$E215="",$F215=""),M215&lt;&gt;"نعم"),0,G215*J215*IFERROR(INDEX(الموظفون!$R$6:$R$105,MATCH(B215,الموظفون!$B$6:$B$105,0)),0)/cfg_DAYS_M)</f>
        <v>0</v>
      </c>
      <c r="O215" s="115" t="str">
        <f aca="false">IF(OR(OR($B215="",$E215="",$F215=""),M215&lt;&gt;"نعم"),"",IF(YEAR(E215)=cfg_FY,MONTH(E215),""))</f>
        <v/>
      </c>
      <c r="P215" s="117" t="str">
        <f aca="false">IF(B215="","",IF(OR(D215="",E215="",F215=""),"⚠ أكمل النوع والتواريخ",IF(F215&lt;E215,"✖ النهاية قبل البداية",IF(COUNTIFS($B$6:$B$505,B215,$E$6:$E$505,"&lt;="&amp;F215,$F$6:$F$505,"&gt;="&amp;E215)&gt;1,"⚠ تداخل مع سجل آخر",IF(E215&gt;cfg_VAL_DATE,"⏳ قادمة",IF(F215&lt;cfg_VAL_DATE,"✔ منتهية","✈ جارية في تاريخ التقرير"))))))</f>
        <v/>
      </c>
      <c r="Q215" s="118"/>
      <c r="R215" s="133" t="n">
        <f aca="false">IF(OR(OR($B215="",$E215="",$F215=""),L215&lt;&gt;"لا"),0,MAX(0,MIN(F215,cfg_Y_START-1)-E215+1))</f>
        <v>0</v>
      </c>
      <c r="S215" s="133" t="n">
        <f aca="false">IF(OR(OR($B215="",$E215="",$F215=""),L215&lt;&gt;"لا"),0,MAX(0,MIN(F215,cfg_VAL_DATE)-E215+1))</f>
        <v>0</v>
      </c>
      <c r="T215" s="133" t="n">
        <f aca="false">IF(OR(OR($B215="",$E215="",$F215=""),K215&lt;&gt;"نعم"),0,IF(M215="نعم",IF(AND(ISNUMBER(O215),N(O215)&lt;=cfg_VAL_M),G215,0),MAX(0,MIN(F215,cfg_VAL_DATE)-MAX(E215,cfg_Y_START)+1)))</f>
        <v>0</v>
      </c>
      <c r="V215" s="133" t="n">
        <f aca="false">IF(OR($B215="",$E215="",$F215=""),0,MAX(0,MIN($F215,EOMONTH(DATE(cfg_FY,1,1),0))-MAX($E215,DATE(cfg_FY,1,1))+1)*(1-IF($M215="نعم",0,N($J215))))</f>
        <v>0</v>
      </c>
      <c r="W215" s="133" t="n">
        <f aca="false">IF(OR($B215="",$E215="",$F215=""),0,MAX(0,MIN($F215,EOMONTH(DATE(cfg_FY,2,1),0))-MAX($E215,DATE(cfg_FY,2,1))+1)*(1-IF($M215="نعم",0,N($J215))))</f>
        <v>0</v>
      </c>
      <c r="X215" s="133" t="n">
        <f aca="false">IF(OR($B215="",$E215="",$F215=""),0,MAX(0,MIN($F215,EOMONTH(DATE(cfg_FY,3,1),0))-MAX($E215,DATE(cfg_FY,3,1))+1)*(1-IF($M215="نعم",0,N($J215))))</f>
        <v>0</v>
      </c>
      <c r="Y215" s="133" t="n">
        <f aca="false">IF(OR($B215="",$E215="",$F215=""),0,MAX(0,MIN($F215,EOMONTH(DATE(cfg_FY,4,1),0))-MAX($E215,DATE(cfg_FY,4,1))+1)*(1-IF($M215="نعم",0,N($J215))))</f>
        <v>0</v>
      </c>
      <c r="Z215" s="133" t="n">
        <f aca="false">IF(OR($B215="",$E215="",$F215=""),0,MAX(0,MIN($F215,EOMONTH(DATE(cfg_FY,5,1),0))-MAX($E215,DATE(cfg_FY,5,1))+1)*(1-IF($M215="نعم",0,N($J215))))</f>
        <v>0</v>
      </c>
      <c r="AA215" s="133" t="n">
        <f aca="false">IF(OR($B215="",$E215="",$F215=""),0,MAX(0,MIN($F215,EOMONTH(DATE(cfg_FY,6,1),0))-MAX($E215,DATE(cfg_FY,6,1))+1)*(1-IF($M215="نعم",0,N($J215))))</f>
        <v>0</v>
      </c>
      <c r="AB215" s="133" t="n">
        <f aca="false">IF(OR($B215="",$E215="",$F215=""),0,MAX(0,MIN($F215,EOMONTH(DATE(cfg_FY,7,1),0))-MAX($E215,DATE(cfg_FY,7,1))+1)*(1-IF($M215="نعم",0,N($J215))))</f>
        <v>0</v>
      </c>
      <c r="AC215" s="133" t="n">
        <f aca="false">IF(OR($B215="",$E215="",$F215=""),0,MAX(0,MIN($F215,EOMONTH(DATE(cfg_FY,8,1),0))-MAX($E215,DATE(cfg_FY,8,1))+1)*(1-IF($M215="نعم",0,N($J215))))</f>
        <v>0</v>
      </c>
      <c r="AD215" s="133" t="n">
        <f aca="false">IF(OR($B215="",$E215="",$F215=""),0,MAX(0,MIN($F215,EOMONTH(DATE(cfg_FY,9,1),0))-MAX($E215,DATE(cfg_FY,9,1))+1)*(1-IF($M215="نعم",0,N($J215))))</f>
        <v>0</v>
      </c>
      <c r="AE215" s="133" t="n">
        <f aca="false">IF(OR($B215="",$E215="",$F215=""),0,MAX(0,MIN($F215,EOMONTH(DATE(cfg_FY,10,1),0))-MAX($E215,DATE(cfg_FY,10,1))+1)*(1-IF($M215="نعم",0,N($J215))))</f>
        <v>0</v>
      </c>
      <c r="AF215" s="133" t="n">
        <f aca="false">IF(OR($B215="",$E215="",$F215=""),0,MAX(0,MIN($F215,EOMONTH(DATE(cfg_FY,11,1),0))-MAX($E215,DATE(cfg_FY,11,1))+1)*(1-IF($M215="نعم",0,N($J215))))</f>
        <v>0</v>
      </c>
      <c r="AG215" s="133" t="n">
        <f aca="false">IF(OR($B215="",$E215="",$F215=""),0,MAX(0,MIN($F215,EOMONTH(DATE(cfg_FY,12,1),0))-MAX($E215,DATE(cfg_FY,12,1))+1)*(1-IF($M215="نعم",0,N($J215))))</f>
        <v>0</v>
      </c>
      <c r="AH215" s="133" t="n">
        <f aca="false">IF(OR(OR($B215="",$E215="",$F215=""),$L215&lt;&gt;"لا"),0,MAX(0,MIN($F215,EOMONTH(DATE(cfg_FY,1,1),0))-$E215+1))</f>
        <v>0</v>
      </c>
      <c r="AI215" s="133" t="n">
        <f aca="false">IF(OR(OR($B215="",$E215="",$F215=""),$L215&lt;&gt;"لا"),0,MAX(0,MIN($F215,EOMONTH(DATE(cfg_FY,2,1),0))-$E215+1))</f>
        <v>0</v>
      </c>
      <c r="AJ215" s="133" t="n">
        <f aca="false">IF(OR(OR($B215="",$E215="",$F215=""),$L215&lt;&gt;"لا"),0,MAX(0,MIN($F215,EOMONTH(DATE(cfg_FY,3,1),0))-$E215+1))</f>
        <v>0</v>
      </c>
      <c r="AK215" s="133" t="n">
        <f aca="false">IF(OR(OR($B215="",$E215="",$F215=""),$L215&lt;&gt;"لا"),0,MAX(0,MIN($F215,EOMONTH(DATE(cfg_FY,4,1),0))-$E215+1))</f>
        <v>0</v>
      </c>
      <c r="AL215" s="133" t="n">
        <f aca="false">IF(OR(OR($B215="",$E215="",$F215=""),$L215&lt;&gt;"لا"),0,MAX(0,MIN($F215,EOMONTH(DATE(cfg_FY,5,1),0))-$E215+1))</f>
        <v>0</v>
      </c>
      <c r="AM215" s="133" t="n">
        <f aca="false">IF(OR(OR($B215="",$E215="",$F215=""),$L215&lt;&gt;"لا"),0,MAX(0,MIN($F215,EOMONTH(DATE(cfg_FY,6,1),0))-$E215+1))</f>
        <v>0</v>
      </c>
      <c r="AN215" s="133" t="n">
        <f aca="false">IF(OR(OR($B215="",$E215="",$F215=""),$L215&lt;&gt;"لا"),0,MAX(0,MIN($F215,EOMONTH(DATE(cfg_FY,7,1),0))-$E215+1))</f>
        <v>0</v>
      </c>
      <c r="AO215" s="133" t="n">
        <f aca="false">IF(OR(OR($B215="",$E215="",$F215=""),$L215&lt;&gt;"لا"),0,MAX(0,MIN($F215,EOMONTH(DATE(cfg_FY,8,1),0))-$E215+1))</f>
        <v>0</v>
      </c>
      <c r="AP215" s="133" t="n">
        <f aca="false">IF(OR(OR($B215="",$E215="",$F215=""),$L215&lt;&gt;"لا"),0,MAX(0,MIN($F215,EOMONTH(DATE(cfg_FY,9,1),0))-$E215+1))</f>
        <v>0</v>
      </c>
      <c r="AQ215" s="133" t="n">
        <f aca="false">IF(OR(OR($B215="",$E215="",$F215=""),$L215&lt;&gt;"لا"),0,MAX(0,MIN($F215,EOMONTH(DATE(cfg_FY,10,1),0))-$E215+1))</f>
        <v>0</v>
      </c>
      <c r="AR215" s="133" t="n">
        <f aca="false">IF(OR(OR($B215="",$E215="",$F215=""),$L215&lt;&gt;"لا"),0,MAX(0,MIN($F215,EOMONTH(DATE(cfg_FY,11,1),0))-$E215+1))</f>
        <v>0</v>
      </c>
      <c r="AS215" s="133" t="n">
        <f aca="false">IF(OR(OR($B215="",$E215="",$F215=""),$L215&lt;&gt;"لا"),0,MAX(0,MIN($F215,EOMONTH(DATE(cfg_FY,12,1),0))-$E215+1))</f>
        <v>0</v>
      </c>
      <c r="AT215" s="133" t="n">
        <f aca="false">IF(OR(OR($B215="",$E215="",$F215=""),$K215&lt;&gt;"نعم",$M215="نعم"),0,MAX(0,MIN($F215,EOMONTH(DATE(cfg_FY,1,1),0))-MAX($E215,DATE(cfg_FY,1,1))+1))</f>
        <v>0</v>
      </c>
      <c r="AU215" s="133" t="n">
        <f aca="false">IF(OR(OR($B215="",$E215="",$F215=""),$K215&lt;&gt;"نعم",$M215="نعم"),0,MAX(0,MIN($F215,EOMONTH(DATE(cfg_FY,2,1),0))-MAX($E215,DATE(cfg_FY,2,1))+1))</f>
        <v>0</v>
      </c>
      <c r="AV215" s="133" t="n">
        <f aca="false">IF(OR(OR($B215="",$E215="",$F215=""),$K215&lt;&gt;"نعم",$M215="نعم"),0,MAX(0,MIN($F215,EOMONTH(DATE(cfg_FY,3,1),0))-MAX($E215,DATE(cfg_FY,3,1))+1))</f>
        <v>0</v>
      </c>
      <c r="AW215" s="133" t="n">
        <f aca="false">IF(OR(OR($B215="",$E215="",$F215=""),$K215&lt;&gt;"نعم",$M215="نعم"),0,MAX(0,MIN($F215,EOMONTH(DATE(cfg_FY,4,1),0))-MAX($E215,DATE(cfg_FY,4,1))+1))</f>
        <v>0</v>
      </c>
      <c r="AX215" s="133" t="n">
        <f aca="false">IF(OR(OR($B215="",$E215="",$F215=""),$K215&lt;&gt;"نعم",$M215="نعم"),0,MAX(0,MIN($F215,EOMONTH(DATE(cfg_FY,5,1),0))-MAX($E215,DATE(cfg_FY,5,1))+1))</f>
        <v>0</v>
      </c>
      <c r="AY215" s="133" t="n">
        <f aca="false">IF(OR(OR($B215="",$E215="",$F215=""),$K215&lt;&gt;"نعم",$M215="نعم"),0,MAX(0,MIN($F215,EOMONTH(DATE(cfg_FY,6,1),0))-MAX($E215,DATE(cfg_FY,6,1))+1))</f>
        <v>0</v>
      </c>
      <c r="AZ215" s="133" t="n">
        <f aca="false">IF(OR(OR($B215="",$E215="",$F215=""),$K215&lt;&gt;"نعم",$M215="نعم"),0,MAX(0,MIN($F215,EOMONTH(DATE(cfg_FY,7,1),0))-MAX($E215,DATE(cfg_FY,7,1))+1))</f>
        <v>0</v>
      </c>
      <c r="BA215" s="133" t="n">
        <f aca="false">IF(OR(OR($B215="",$E215="",$F215=""),$K215&lt;&gt;"نعم",$M215="نعم"),0,MAX(0,MIN($F215,EOMONTH(DATE(cfg_FY,8,1),0))-MAX($E215,DATE(cfg_FY,8,1))+1))</f>
        <v>0</v>
      </c>
      <c r="BB215" s="133" t="n">
        <f aca="false">IF(OR(OR($B215="",$E215="",$F215=""),$K215&lt;&gt;"نعم",$M215="نعم"),0,MAX(0,MIN($F215,EOMONTH(DATE(cfg_FY,9,1),0))-MAX($E215,DATE(cfg_FY,9,1))+1))</f>
        <v>0</v>
      </c>
      <c r="BC215" s="133" t="n">
        <f aca="false">IF(OR(OR($B215="",$E215="",$F215=""),$K215&lt;&gt;"نعم",$M215="نعم"),0,MAX(0,MIN($F215,EOMONTH(DATE(cfg_FY,10,1),0))-MAX($E215,DATE(cfg_FY,10,1))+1))</f>
        <v>0</v>
      </c>
      <c r="BD215" s="133" t="n">
        <f aca="false">IF(OR(OR($B215="",$E215="",$F215=""),$K215&lt;&gt;"نعم",$M215="نعم"),0,MAX(0,MIN($F215,EOMONTH(DATE(cfg_FY,11,1),0))-MAX($E215,DATE(cfg_FY,11,1))+1))</f>
        <v>0</v>
      </c>
      <c r="BE215" s="133" t="n">
        <f aca="false">IF(OR(OR($B215="",$E215="",$F215=""),$K215&lt;&gt;"نعم",$M215="نعم"),0,MAX(0,MIN($F215,EOMONTH(DATE(cfg_FY,12,1),0))-MAX($E215,DATE(cfg_FY,12,1))+1))</f>
        <v>0</v>
      </c>
    </row>
    <row r="216" customFormat="false" ht="15" hidden="false" customHeight="false" outlineLevel="0" collapsed="false">
      <c r="A216" s="106" t="str">
        <f aca="false">IF(B216="","",ROW()-5)</f>
        <v/>
      </c>
      <c r="B216" s="118"/>
      <c r="C216" s="114" t="str">
        <f aca="false">IF(B216="","",IFERROR(INDEX(الموظفون!$C$6:$C$105,MATCH(B216,الموظفون!$B$6:$B$105,0)),"✖ رقم غير موجود"))</f>
        <v/>
      </c>
      <c r="D216" s="118"/>
      <c r="E216" s="119"/>
      <c r="F216" s="119"/>
      <c r="G216" s="65" t="str">
        <f aca="false">IF(OR($B216="",$E216="",$F216=""),"",MAX(0,F216-E216+1))</f>
        <v/>
      </c>
      <c r="H216" s="66" t="str">
        <f aca="false">IF(D216="","",IFERROR(VLOOKUP(D216,cfg_LT,2,FALSE()),1))</f>
        <v/>
      </c>
      <c r="I216" s="135"/>
      <c r="J216" s="66" t="str">
        <f aca="false">IF(D216="","",IF(I216&lt;&gt;"",I216,H216))</f>
        <v/>
      </c>
      <c r="K216" s="114" t="str">
        <f aca="false">IF(D216="","",IFERROR(VLOOKUP($D216,cfg_LT,3,FALSE()),""))</f>
        <v/>
      </c>
      <c r="L216" s="114" t="str">
        <f aca="false">IF(D216="","",IFERROR(VLOOKUP($D216,cfg_LT,4,FALSE()),""))</f>
        <v/>
      </c>
      <c r="M216" s="114" t="str">
        <f aca="false">IF(D216="","",IFERROR(VLOOKUP($D216,cfg_LT,5,FALSE()),""))</f>
        <v/>
      </c>
      <c r="N216" s="111" t="n">
        <f aca="false">IF(OR(OR($B216="",$E216="",$F216=""),M216&lt;&gt;"نعم"),0,G216*J216*IFERROR(INDEX(الموظفون!$R$6:$R$105,MATCH(B216,الموظفون!$B$6:$B$105,0)),0)/cfg_DAYS_M)</f>
        <v>0</v>
      </c>
      <c r="O216" s="106" t="str">
        <f aca="false">IF(OR(OR($B216="",$E216="",$F216=""),M216&lt;&gt;"نعم"),"",IF(YEAR(E216)=cfg_FY,MONTH(E216),""))</f>
        <v/>
      </c>
      <c r="P216" s="114" t="str">
        <f aca="false">IF(B216="","",IF(OR(D216="",E216="",F216=""),"⚠ أكمل النوع والتواريخ",IF(F216&lt;E216,"✖ النهاية قبل البداية",IF(COUNTIFS($B$6:$B$505,B216,$E$6:$E$505,"&lt;="&amp;F216,$F$6:$F$505,"&gt;="&amp;E216)&gt;1,"⚠ تداخل مع سجل آخر",IF(E216&gt;cfg_VAL_DATE,"⏳ قادمة",IF(F216&lt;cfg_VAL_DATE,"✔ منتهية","✈ جارية في تاريخ التقرير"))))))</f>
        <v/>
      </c>
      <c r="Q216" s="118"/>
      <c r="R216" s="65" t="n">
        <f aca="false">IF(OR(OR($B216="",$E216="",$F216=""),L216&lt;&gt;"لا"),0,MAX(0,MIN(F216,cfg_Y_START-1)-E216+1))</f>
        <v>0</v>
      </c>
      <c r="S216" s="65" t="n">
        <f aca="false">IF(OR(OR($B216="",$E216="",$F216=""),L216&lt;&gt;"لا"),0,MAX(0,MIN(F216,cfg_VAL_DATE)-E216+1))</f>
        <v>0</v>
      </c>
      <c r="T216" s="65" t="n">
        <f aca="false">IF(OR(OR($B216="",$E216="",$F216=""),K216&lt;&gt;"نعم"),0,IF(M216="نعم",IF(AND(ISNUMBER(O216),N(O216)&lt;=cfg_VAL_M),G216,0),MAX(0,MIN(F216,cfg_VAL_DATE)-MAX(E216,cfg_Y_START)+1)))</f>
        <v>0</v>
      </c>
      <c r="V216" s="65" t="n">
        <f aca="false">IF(OR($B216="",$E216="",$F216=""),0,MAX(0,MIN($F216,EOMONTH(DATE(cfg_FY,1,1),0))-MAX($E216,DATE(cfg_FY,1,1))+1)*(1-IF($M216="نعم",0,N($J216))))</f>
        <v>0</v>
      </c>
      <c r="W216" s="65" t="n">
        <f aca="false">IF(OR($B216="",$E216="",$F216=""),0,MAX(0,MIN($F216,EOMONTH(DATE(cfg_FY,2,1),0))-MAX($E216,DATE(cfg_FY,2,1))+1)*(1-IF($M216="نعم",0,N($J216))))</f>
        <v>0</v>
      </c>
      <c r="X216" s="65" t="n">
        <f aca="false">IF(OR($B216="",$E216="",$F216=""),0,MAX(0,MIN($F216,EOMONTH(DATE(cfg_FY,3,1),0))-MAX($E216,DATE(cfg_FY,3,1))+1)*(1-IF($M216="نعم",0,N($J216))))</f>
        <v>0</v>
      </c>
      <c r="Y216" s="65" t="n">
        <f aca="false">IF(OR($B216="",$E216="",$F216=""),0,MAX(0,MIN($F216,EOMONTH(DATE(cfg_FY,4,1),0))-MAX($E216,DATE(cfg_FY,4,1))+1)*(1-IF($M216="نعم",0,N($J216))))</f>
        <v>0</v>
      </c>
      <c r="Z216" s="65" t="n">
        <f aca="false">IF(OR($B216="",$E216="",$F216=""),0,MAX(0,MIN($F216,EOMONTH(DATE(cfg_FY,5,1),0))-MAX($E216,DATE(cfg_FY,5,1))+1)*(1-IF($M216="نعم",0,N($J216))))</f>
        <v>0</v>
      </c>
      <c r="AA216" s="65" t="n">
        <f aca="false">IF(OR($B216="",$E216="",$F216=""),0,MAX(0,MIN($F216,EOMONTH(DATE(cfg_FY,6,1),0))-MAX($E216,DATE(cfg_FY,6,1))+1)*(1-IF($M216="نعم",0,N($J216))))</f>
        <v>0</v>
      </c>
      <c r="AB216" s="65" t="n">
        <f aca="false">IF(OR($B216="",$E216="",$F216=""),0,MAX(0,MIN($F216,EOMONTH(DATE(cfg_FY,7,1),0))-MAX($E216,DATE(cfg_FY,7,1))+1)*(1-IF($M216="نعم",0,N($J216))))</f>
        <v>0</v>
      </c>
      <c r="AC216" s="65" t="n">
        <f aca="false">IF(OR($B216="",$E216="",$F216=""),0,MAX(0,MIN($F216,EOMONTH(DATE(cfg_FY,8,1),0))-MAX($E216,DATE(cfg_FY,8,1))+1)*(1-IF($M216="نعم",0,N($J216))))</f>
        <v>0</v>
      </c>
      <c r="AD216" s="65" t="n">
        <f aca="false">IF(OR($B216="",$E216="",$F216=""),0,MAX(0,MIN($F216,EOMONTH(DATE(cfg_FY,9,1),0))-MAX($E216,DATE(cfg_FY,9,1))+1)*(1-IF($M216="نعم",0,N($J216))))</f>
        <v>0</v>
      </c>
      <c r="AE216" s="65" t="n">
        <f aca="false">IF(OR($B216="",$E216="",$F216=""),0,MAX(0,MIN($F216,EOMONTH(DATE(cfg_FY,10,1),0))-MAX($E216,DATE(cfg_FY,10,1))+1)*(1-IF($M216="نعم",0,N($J216))))</f>
        <v>0</v>
      </c>
      <c r="AF216" s="65" t="n">
        <f aca="false">IF(OR($B216="",$E216="",$F216=""),0,MAX(0,MIN($F216,EOMONTH(DATE(cfg_FY,11,1),0))-MAX($E216,DATE(cfg_FY,11,1))+1)*(1-IF($M216="نعم",0,N($J216))))</f>
        <v>0</v>
      </c>
      <c r="AG216" s="65" t="n">
        <f aca="false">IF(OR($B216="",$E216="",$F216=""),0,MAX(0,MIN($F216,EOMONTH(DATE(cfg_FY,12,1),0))-MAX($E216,DATE(cfg_FY,12,1))+1)*(1-IF($M216="نعم",0,N($J216))))</f>
        <v>0</v>
      </c>
      <c r="AH216" s="65" t="n">
        <f aca="false">IF(OR(OR($B216="",$E216="",$F216=""),$L216&lt;&gt;"لا"),0,MAX(0,MIN($F216,EOMONTH(DATE(cfg_FY,1,1),0))-$E216+1))</f>
        <v>0</v>
      </c>
      <c r="AI216" s="65" t="n">
        <f aca="false">IF(OR(OR($B216="",$E216="",$F216=""),$L216&lt;&gt;"لا"),0,MAX(0,MIN($F216,EOMONTH(DATE(cfg_FY,2,1),0))-$E216+1))</f>
        <v>0</v>
      </c>
      <c r="AJ216" s="65" t="n">
        <f aca="false">IF(OR(OR($B216="",$E216="",$F216=""),$L216&lt;&gt;"لا"),0,MAX(0,MIN($F216,EOMONTH(DATE(cfg_FY,3,1),0))-$E216+1))</f>
        <v>0</v>
      </c>
      <c r="AK216" s="65" t="n">
        <f aca="false">IF(OR(OR($B216="",$E216="",$F216=""),$L216&lt;&gt;"لا"),0,MAX(0,MIN($F216,EOMONTH(DATE(cfg_FY,4,1),0))-$E216+1))</f>
        <v>0</v>
      </c>
      <c r="AL216" s="65" t="n">
        <f aca="false">IF(OR(OR($B216="",$E216="",$F216=""),$L216&lt;&gt;"لا"),0,MAX(0,MIN($F216,EOMONTH(DATE(cfg_FY,5,1),0))-$E216+1))</f>
        <v>0</v>
      </c>
      <c r="AM216" s="65" t="n">
        <f aca="false">IF(OR(OR($B216="",$E216="",$F216=""),$L216&lt;&gt;"لا"),0,MAX(0,MIN($F216,EOMONTH(DATE(cfg_FY,6,1),0))-$E216+1))</f>
        <v>0</v>
      </c>
      <c r="AN216" s="65" t="n">
        <f aca="false">IF(OR(OR($B216="",$E216="",$F216=""),$L216&lt;&gt;"لا"),0,MAX(0,MIN($F216,EOMONTH(DATE(cfg_FY,7,1),0))-$E216+1))</f>
        <v>0</v>
      </c>
      <c r="AO216" s="65" t="n">
        <f aca="false">IF(OR(OR($B216="",$E216="",$F216=""),$L216&lt;&gt;"لا"),0,MAX(0,MIN($F216,EOMONTH(DATE(cfg_FY,8,1),0))-$E216+1))</f>
        <v>0</v>
      </c>
      <c r="AP216" s="65" t="n">
        <f aca="false">IF(OR(OR($B216="",$E216="",$F216=""),$L216&lt;&gt;"لا"),0,MAX(0,MIN($F216,EOMONTH(DATE(cfg_FY,9,1),0))-$E216+1))</f>
        <v>0</v>
      </c>
      <c r="AQ216" s="65" t="n">
        <f aca="false">IF(OR(OR($B216="",$E216="",$F216=""),$L216&lt;&gt;"لا"),0,MAX(0,MIN($F216,EOMONTH(DATE(cfg_FY,10,1),0))-$E216+1))</f>
        <v>0</v>
      </c>
      <c r="AR216" s="65" t="n">
        <f aca="false">IF(OR(OR($B216="",$E216="",$F216=""),$L216&lt;&gt;"لا"),0,MAX(0,MIN($F216,EOMONTH(DATE(cfg_FY,11,1),0))-$E216+1))</f>
        <v>0</v>
      </c>
      <c r="AS216" s="65" t="n">
        <f aca="false">IF(OR(OR($B216="",$E216="",$F216=""),$L216&lt;&gt;"لا"),0,MAX(0,MIN($F216,EOMONTH(DATE(cfg_FY,12,1),0))-$E216+1))</f>
        <v>0</v>
      </c>
      <c r="AT216" s="65" t="n">
        <f aca="false">IF(OR(OR($B216="",$E216="",$F216=""),$K216&lt;&gt;"نعم",$M216="نعم"),0,MAX(0,MIN($F216,EOMONTH(DATE(cfg_FY,1,1),0))-MAX($E216,DATE(cfg_FY,1,1))+1))</f>
        <v>0</v>
      </c>
      <c r="AU216" s="65" t="n">
        <f aca="false">IF(OR(OR($B216="",$E216="",$F216=""),$K216&lt;&gt;"نعم",$M216="نعم"),0,MAX(0,MIN($F216,EOMONTH(DATE(cfg_FY,2,1),0))-MAX($E216,DATE(cfg_FY,2,1))+1))</f>
        <v>0</v>
      </c>
      <c r="AV216" s="65" t="n">
        <f aca="false">IF(OR(OR($B216="",$E216="",$F216=""),$K216&lt;&gt;"نعم",$M216="نعم"),0,MAX(0,MIN($F216,EOMONTH(DATE(cfg_FY,3,1),0))-MAX($E216,DATE(cfg_FY,3,1))+1))</f>
        <v>0</v>
      </c>
      <c r="AW216" s="65" t="n">
        <f aca="false">IF(OR(OR($B216="",$E216="",$F216=""),$K216&lt;&gt;"نعم",$M216="نعم"),0,MAX(0,MIN($F216,EOMONTH(DATE(cfg_FY,4,1),0))-MAX($E216,DATE(cfg_FY,4,1))+1))</f>
        <v>0</v>
      </c>
      <c r="AX216" s="65" t="n">
        <f aca="false">IF(OR(OR($B216="",$E216="",$F216=""),$K216&lt;&gt;"نعم",$M216="نعم"),0,MAX(0,MIN($F216,EOMONTH(DATE(cfg_FY,5,1),0))-MAX($E216,DATE(cfg_FY,5,1))+1))</f>
        <v>0</v>
      </c>
      <c r="AY216" s="65" t="n">
        <f aca="false">IF(OR(OR($B216="",$E216="",$F216=""),$K216&lt;&gt;"نعم",$M216="نعم"),0,MAX(0,MIN($F216,EOMONTH(DATE(cfg_FY,6,1),0))-MAX($E216,DATE(cfg_FY,6,1))+1))</f>
        <v>0</v>
      </c>
      <c r="AZ216" s="65" t="n">
        <f aca="false">IF(OR(OR($B216="",$E216="",$F216=""),$K216&lt;&gt;"نعم",$M216="نعم"),0,MAX(0,MIN($F216,EOMONTH(DATE(cfg_FY,7,1),0))-MAX($E216,DATE(cfg_FY,7,1))+1))</f>
        <v>0</v>
      </c>
      <c r="BA216" s="65" t="n">
        <f aca="false">IF(OR(OR($B216="",$E216="",$F216=""),$K216&lt;&gt;"نعم",$M216="نعم"),0,MAX(0,MIN($F216,EOMONTH(DATE(cfg_FY,8,1),0))-MAX($E216,DATE(cfg_FY,8,1))+1))</f>
        <v>0</v>
      </c>
      <c r="BB216" s="65" t="n">
        <f aca="false">IF(OR(OR($B216="",$E216="",$F216=""),$K216&lt;&gt;"نعم",$M216="نعم"),0,MAX(0,MIN($F216,EOMONTH(DATE(cfg_FY,9,1),0))-MAX($E216,DATE(cfg_FY,9,1))+1))</f>
        <v>0</v>
      </c>
      <c r="BC216" s="65" t="n">
        <f aca="false">IF(OR(OR($B216="",$E216="",$F216=""),$K216&lt;&gt;"نعم",$M216="نعم"),0,MAX(0,MIN($F216,EOMONTH(DATE(cfg_FY,10,1),0))-MAX($E216,DATE(cfg_FY,10,1))+1))</f>
        <v>0</v>
      </c>
      <c r="BD216" s="65" t="n">
        <f aca="false">IF(OR(OR($B216="",$E216="",$F216=""),$K216&lt;&gt;"نعم",$M216="نعم"),0,MAX(0,MIN($F216,EOMONTH(DATE(cfg_FY,11,1),0))-MAX($E216,DATE(cfg_FY,11,1))+1))</f>
        <v>0</v>
      </c>
      <c r="BE216" s="65" t="n">
        <f aca="false">IF(OR(OR($B216="",$E216="",$F216=""),$K216&lt;&gt;"نعم",$M216="نعم"),0,MAX(0,MIN($F216,EOMONTH(DATE(cfg_FY,12,1),0))-MAX($E216,DATE(cfg_FY,12,1))+1))</f>
        <v>0</v>
      </c>
    </row>
    <row r="217" customFormat="false" ht="15" hidden="false" customHeight="false" outlineLevel="0" collapsed="false">
      <c r="A217" s="115" t="str">
        <f aca="false">IF(B217="","",ROW()-5)</f>
        <v/>
      </c>
      <c r="B217" s="118"/>
      <c r="C217" s="117" t="str">
        <f aca="false">IF(B217="","",IFERROR(INDEX(الموظفون!$C$6:$C$105,MATCH(B217,الموظفون!$B$6:$B$105,0)),"✖ رقم غير موجود"))</f>
        <v/>
      </c>
      <c r="D217" s="118"/>
      <c r="E217" s="119"/>
      <c r="F217" s="119"/>
      <c r="G217" s="133" t="str">
        <f aca="false">IF(OR($B217="",$E217="",$F217=""),"",MAX(0,F217-E217+1))</f>
        <v/>
      </c>
      <c r="H217" s="134" t="str">
        <f aca="false">IF(D217="","",IFERROR(VLOOKUP(D217,cfg_LT,2,FALSE()),1))</f>
        <v/>
      </c>
      <c r="I217" s="135"/>
      <c r="J217" s="134" t="str">
        <f aca="false">IF(D217="","",IF(I217&lt;&gt;"",I217,H217))</f>
        <v/>
      </c>
      <c r="K217" s="117" t="str">
        <f aca="false">IF(D217="","",IFERROR(VLOOKUP($D217,cfg_LT,3,FALSE()),""))</f>
        <v/>
      </c>
      <c r="L217" s="117" t="str">
        <f aca="false">IF(D217="","",IFERROR(VLOOKUP($D217,cfg_LT,4,FALSE()),""))</f>
        <v/>
      </c>
      <c r="M217" s="117" t="str">
        <f aca="false">IF(D217="","",IFERROR(VLOOKUP($D217,cfg_LT,5,FALSE()),""))</f>
        <v/>
      </c>
      <c r="N217" s="116" t="n">
        <f aca="false">IF(OR(OR($B217="",$E217="",$F217=""),M217&lt;&gt;"نعم"),0,G217*J217*IFERROR(INDEX(الموظفون!$R$6:$R$105,MATCH(B217,الموظفون!$B$6:$B$105,0)),0)/cfg_DAYS_M)</f>
        <v>0</v>
      </c>
      <c r="O217" s="115" t="str">
        <f aca="false">IF(OR(OR($B217="",$E217="",$F217=""),M217&lt;&gt;"نعم"),"",IF(YEAR(E217)=cfg_FY,MONTH(E217),""))</f>
        <v/>
      </c>
      <c r="P217" s="117" t="str">
        <f aca="false">IF(B217="","",IF(OR(D217="",E217="",F217=""),"⚠ أكمل النوع والتواريخ",IF(F217&lt;E217,"✖ النهاية قبل البداية",IF(COUNTIFS($B$6:$B$505,B217,$E$6:$E$505,"&lt;="&amp;F217,$F$6:$F$505,"&gt;="&amp;E217)&gt;1,"⚠ تداخل مع سجل آخر",IF(E217&gt;cfg_VAL_DATE,"⏳ قادمة",IF(F217&lt;cfg_VAL_DATE,"✔ منتهية","✈ جارية في تاريخ التقرير"))))))</f>
        <v/>
      </c>
      <c r="Q217" s="118"/>
      <c r="R217" s="133" t="n">
        <f aca="false">IF(OR(OR($B217="",$E217="",$F217=""),L217&lt;&gt;"لا"),0,MAX(0,MIN(F217,cfg_Y_START-1)-E217+1))</f>
        <v>0</v>
      </c>
      <c r="S217" s="133" t="n">
        <f aca="false">IF(OR(OR($B217="",$E217="",$F217=""),L217&lt;&gt;"لا"),0,MAX(0,MIN(F217,cfg_VAL_DATE)-E217+1))</f>
        <v>0</v>
      </c>
      <c r="T217" s="133" t="n">
        <f aca="false">IF(OR(OR($B217="",$E217="",$F217=""),K217&lt;&gt;"نعم"),0,IF(M217="نعم",IF(AND(ISNUMBER(O217),N(O217)&lt;=cfg_VAL_M),G217,0),MAX(0,MIN(F217,cfg_VAL_DATE)-MAX(E217,cfg_Y_START)+1)))</f>
        <v>0</v>
      </c>
      <c r="V217" s="133" t="n">
        <f aca="false">IF(OR($B217="",$E217="",$F217=""),0,MAX(0,MIN($F217,EOMONTH(DATE(cfg_FY,1,1),0))-MAX($E217,DATE(cfg_FY,1,1))+1)*(1-IF($M217="نعم",0,N($J217))))</f>
        <v>0</v>
      </c>
      <c r="W217" s="133" t="n">
        <f aca="false">IF(OR($B217="",$E217="",$F217=""),0,MAX(0,MIN($F217,EOMONTH(DATE(cfg_FY,2,1),0))-MAX($E217,DATE(cfg_FY,2,1))+1)*(1-IF($M217="نعم",0,N($J217))))</f>
        <v>0</v>
      </c>
      <c r="X217" s="133" t="n">
        <f aca="false">IF(OR($B217="",$E217="",$F217=""),0,MAX(0,MIN($F217,EOMONTH(DATE(cfg_FY,3,1),0))-MAX($E217,DATE(cfg_FY,3,1))+1)*(1-IF($M217="نعم",0,N($J217))))</f>
        <v>0</v>
      </c>
      <c r="Y217" s="133" t="n">
        <f aca="false">IF(OR($B217="",$E217="",$F217=""),0,MAX(0,MIN($F217,EOMONTH(DATE(cfg_FY,4,1),0))-MAX($E217,DATE(cfg_FY,4,1))+1)*(1-IF($M217="نعم",0,N($J217))))</f>
        <v>0</v>
      </c>
      <c r="Z217" s="133" t="n">
        <f aca="false">IF(OR($B217="",$E217="",$F217=""),0,MAX(0,MIN($F217,EOMONTH(DATE(cfg_FY,5,1),0))-MAX($E217,DATE(cfg_FY,5,1))+1)*(1-IF($M217="نعم",0,N($J217))))</f>
        <v>0</v>
      </c>
      <c r="AA217" s="133" t="n">
        <f aca="false">IF(OR($B217="",$E217="",$F217=""),0,MAX(0,MIN($F217,EOMONTH(DATE(cfg_FY,6,1),0))-MAX($E217,DATE(cfg_FY,6,1))+1)*(1-IF($M217="نعم",0,N($J217))))</f>
        <v>0</v>
      </c>
      <c r="AB217" s="133" t="n">
        <f aca="false">IF(OR($B217="",$E217="",$F217=""),0,MAX(0,MIN($F217,EOMONTH(DATE(cfg_FY,7,1),0))-MAX($E217,DATE(cfg_FY,7,1))+1)*(1-IF($M217="نعم",0,N($J217))))</f>
        <v>0</v>
      </c>
      <c r="AC217" s="133" t="n">
        <f aca="false">IF(OR($B217="",$E217="",$F217=""),0,MAX(0,MIN($F217,EOMONTH(DATE(cfg_FY,8,1),0))-MAX($E217,DATE(cfg_FY,8,1))+1)*(1-IF($M217="نعم",0,N($J217))))</f>
        <v>0</v>
      </c>
      <c r="AD217" s="133" t="n">
        <f aca="false">IF(OR($B217="",$E217="",$F217=""),0,MAX(0,MIN($F217,EOMONTH(DATE(cfg_FY,9,1),0))-MAX($E217,DATE(cfg_FY,9,1))+1)*(1-IF($M217="نعم",0,N($J217))))</f>
        <v>0</v>
      </c>
      <c r="AE217" s="133" t="n">
        <f aca="false">IF(OR($B217="",$E217="",$F217=""),0,MAX(0,MIN($F217,EOMONTH(DATE(cfg_FY,10,1),0))-MAX($E217,DATE(cfg_FY,10,1))+1)*(1-IF($M217="نعم",0,N($J217))))</f>
        <v>0</v>
      </c>
      <c r="AF217" s="133" t="n">
        <f aca="false">IF(OR($B217="",$E217="",$F217=""),0,MAX(0,MIN($F217,EOMONTH(DATE(cfg_FY,11,1),0))-MAX($E217,DATE(cfg_FY,11,1))+1)*(1-IF($M217="نعم",0,N($J217))))</f>
        <v>0</v>
      </c>
      <c r="AG217" s="133" t="n">
        <f aca="false">IF(OR($B217="",$E217="",$F217=""),0,MAX(0,MIN($F217,EOMONTH(DATE(cfg_FY,12,1),0))-MAX($E217,DATE(cfg_FY,12,1))+1)*(1-IF($M217="نعم",0,N($J217))))</f>
        <v>0</v>
      </c>
      <c r="AH217" s="133" t="n">
        <f aca="false">IF(OR(OR($B217="",$E217="",$F217=""),$L217&lt;&gt;"لا"),0,MAX(0,MIN($F217,EOMONTH(DATE(cfg_FY,1,1),0))-$E217+1))</f>
        <v>0</v>
      </c>
      <c r="AI217" s="133" t="n">
        <f aca="false">IF(OR(OR($B217="",$E217="",$F217=""),$L217&lt;&gt;"لا"),0,MAX(0,MIN($F217,EOMONTH(DATE(cfg_FY,2,1),0))-$E217+1))</f>
        <v>0</v>
      </c>
      <c r="AJ217" s="133" t="n">
        <f aca="false">IF(OR(OR($B217="",$E217="",$F217=""),$L217&lt;&gt;"لا"),0,MAX(0,MIN($F217,EOMONTH(DATE(cfg_FY,3,1),0))-$E217+1))</f>
        <v>0</v>
      </c>
      <c r="AK217" s="133" t="n">
        <f aca="false">IF(OR(OR($B217="",$E217="",$F217=""),$L217&lt;&gt;"لا"),0,MAX(0,MIN($F217,EOMONTH(DATE(cfg_FY,4,1),0))-$E217+1))</f>
        <v>0</v>
      </c>
      <c r="AL217" s="133" t="n">
        <f aca="false">IF(OR(OR($B217="",$E217="",$F217=""),$L217&lt;&gt;"لا"),0,MAX(0,MIN($F217,EOMONTH(DATE(cfg_FY,5,1),0))-$E217+1))</f>
        <v>0</v>
      </c>
      <c r="AM217" s="133" t="n">
        <f aca="false">IF(OR(OR($B217="",$E217="",$F217=""),$L217&lt;&gt;"لا"),0,MAX(0,MIN($F217,EOMONTH(DATE(cfg_FY,6,1),0))-$E217+1))</f>
        <v>0</v>
      </c>
      <c r="AN217" s="133" t="n">
        <f aca="false">IF(OR(OR($B217="",$E217="",$F217=""),$L217&lt;&gt;"لا"),0,MAX(0,MIN($F217,EOMONTH(DATE(cfg_FY,7,1),0))-$E217+1))</f>
        <v>0</v>
      </c>
      <c r="AO217" s="133" t="n">
        <f aca="false">IF(OR(OR($B217="",$E217="",$F217=""),$L217&lt;&gt;"لا"),0,MAX(0,MIN($F217,EOMONTH(DATE(cfg_FY,8,1),0))-$E217+1))</f>
        <v>0</v>
      </c>
      <c r="AP217" s="133" t="n">
        <f aca="false">IF(OR(OR($B217="",$E217="",$F217=""),$L217&lt;&gt;"لا"),0,MAX(0,MIN($F217,EOMONTH(DATE(cfg_FY,9,1),0))-$E217+1))</f>
        <v>0</v>
      </c>
      <c r="AQ217" s="133" t="n">
        <f aca="false">IF(OR(OR($B217="",$E217="",$F217=""),$L217&lt;&gt;"لا"),0,MAX(0,MIN($F217,EOMONTH(DATE(cfg_FY,10,1),0))-$E217+1))</f>
        <v>0</v>
      </c>
      <c r="AR217" s="133" t="n">
        <f aca="false">IF(OR(OR($B217="",$E217="",$F217=""),$L217&lt;&gt;"لا"),0,MAX(0,MIN($F217,EOMONTH(DATE(cfg_FY,11,1),0))-$E217+1))</f>
        <v>0</v>
      </c>
      <c r="AS217" s="133" t="n">
        <f aca="false">IF(OR(OR($B217="",$E217="",$F217=""),$L217&lt;&gt;"لا"),0,MAX(0,MIN($F217,EOMONTH(DATE(cfg_FY,12,1),0))-$E217+1))</f>
        <v>0</v>
      </c>
      <c r="AT217" s="133" t="n">
        <f aca="false">IF(OR(OR($B217="",$E217="",$F217=""),$K217&lt;&gt;"نعم",$M217="نعم"),0,MAX(0,MIN($F217,EOMONTH(DATE(cfg_FY,1,1),0))-MAX($E217,DATE(cfg_FY,1,1))+1))</f>
        <v>0</v>
      </c>
      <c r="AU217" s="133" t="n">
        <f aca="false">IF(OR(OR($B217="",$E217="",$F217=""),$K217&lt;&gt;"نعم",$M217="نعم"),0,MAX(0,MIN($F217,EOMONTH(DATE(cfg_FY,2,1),0))-MAX($E217,DATE(cfg_FY,2,1))+1))</f>
        <v>0</v>
      </c>
      <c r="AV217" s="133" t="n">
        <f aca="false">IF(OR(OR($B217="",$E217="",$F217=""),$K217&lt;&gt;"نعم",$M217="نعم"),0,MAX(0,MIN($F217,EOMONTH(DATE(cfg_FY,3,1),0))-MAX($E217,DATE(cfg_FY,3,1))+1))</f>
        <v>0</v>
      </c>
      <c r="AW217" s="133" t="n">
        <f aca="false">IF(OR(OR($B217="",$E217="",$F217=""),$K217&lt;&gt;"نعم",$M217="نعم"),0,MAX(0,MIN($F217,EOMONTH(DATE(cfg_FY,4,1),0))-MAX($E217,DATE(cfg_FY,4,1))+1))</f>
        <v>0</v>
      </c>
      <c r="AX217" s="133" t="n">
        <f aca="false">IF(OR(OR($B217="",$E217="",$F217=""),$K217&lt;&gt;"نعم",$M217="نعم"),0,MAX(0,MIN($F217,EOMONTH(DATE(cfg_FY,5,1),0))-MAX($E217,DATE(cfg_FY,5,1))+1))</f>
        <v>0</v>
      </c>
      <c r="AY217" s="133" t="n">
        <f aca="false">IF(OR(OR($B217="",$E217="",$F217=""),$K217&lt;&gt;"نعم",$M217="نعم"),0,MAX(0,MIN($F217,EOMONTH(DATE(cfg_FY,6,1),0))-MAX($E217,DATE(cfg_FY,6,1))+1))</f>
        <v>0</v>
      </c>
      <c r="AZ217" s="133" t="n">
        <f aca="false">IF(OR(OR($B217="",$E217="",$F217=""),$K217&lt;&gt;"نعم",$M217="نعم"),0,MAX(0,MIN($F217,EOMONTH(DATE(cfg_FY,7,1),0))-MAX($E217,DATE(cfg_FY,7,1))+1))</f>
        <v>0</v>
      </c>
      <c r="BA217" s="133" t="n">
        <f aca="false">IF(OR(OR($B217="",$E217="",$F217=""),$K217&lt;&gt;"نعم",$M217="نعم"),0,MAX(0,MIN($F217,EOMONTH(DATE(cfg_FY,8,1),0))-MAX($E217,DATE(cfg_FY,8,1))+1))</f>
        <v>0</v>
      </c>
      <c r="BB217" s="133" t="n">
        <f aca="false">IF(OR(OR($B217="",$E217="",$F217=""),$K217&lt;&gt;"نعم",$M217="نعم"),0,MAX(0,MIN($F217,EOMONTH(DATE(cfg_FY,9,1),0))-MAX($E217,DATE(cfg_FY,9,1))+1))</f>
        <v>0</v>
      </c>
      <c r="BC217" s="133" t="n">
        <f aca="false">IF(OR(OR($B217="",$E217="",$F217=""),$K217&lt;&gt;"نعم",$M217="نعم"),0,MAX(0,MIN($F217,EOMONTH(DATE(cfg_FY,10,1),0))-MAX($E217,DATE(cfg_FY,10,1))+1))</f>
        <v>0</v>
      </c>
      <c r="BD217" s="133" t="n">
        <f aca="false">IF(OR(OR($B217="",$E217="",$F217=""),$K217&lt;&gt;"نعم",$M217="نعم"),0,MAX(0,MIN($F217,EOMONTH(DATE(cfg_FY,11,1),0))-MAX($E217,DATE(cfg_FY,11,1))+1))</f>
        <v>0</v>
      </c>
      <c r="BE217" s="133" t="n">
        <f aca="false">IF(OR(OR($B217="",$E217="",$F217=""),$K217&lt;&gt;"نعم",$M217="نعم"),0,MAX(0,MIN($F217,EOMONTH(DATE(cfg_FY,12,1),0))-MAX($E217,DATE(cfg_FY,12,1))+1))</f>
        <v>0</v>
      </c>
    </row>
    <row r="218" customFormat="false" ht="15" hidden="false" customHeight="false" outlineLevel="0" collapsed="false">
      <c r="A218" s="106" t="str">
        <f aca="false">IF(B218="","",ROW()-5)</f>
        <v/>
      </c>
      <c r="B218" s="118"/>
      <c r="C218" s="114" t="str">
        <f aca="false">IF(B218="","",IFERROR(INDEX(الموظفون!$C$6:$C$105,MATCH(B218,الموظفون!$B$6:$B$105,0)),"✖ رقم غير موجود"))</f>
        <v/>
      </c>
      <c r="D218" s="118"/>
      <c r="E218" s="119"/>
      <c r="F218" s="119"/>
      <c r="G218" s="65" t="str">
        <f aca="false">IF(OR($B218="",$E218="",$F218=""),"",MAX(0,F218-E218+1))</f>
        <v/>
      </c>
      <c r="H218" s="66" t="str">
        <f aca="false">IF(D218="","",IFERROR(VLOOKUP(D218,cfg_LT,2,FALSE()),1))</f>
        <v/>
      </c>
      <c r="I218" s="135"/>
      <c r="J218" s="66" t="str">
        <f aca="false">IF(D218="","",IF(I218&lt;&gt;"",I218,H218))</f>
        <v/>
      </c>
      <c r="K218" s="114" t="str">
        <f aca="false">IF(D218="","",IFERROR(VLOOKUP($D218,cfg_LT,3,FALSE()),""))</f>
        <v/>
      </c>
      <c r="L218" s="114" t="str">
        <f aca="false">IF(D218="","",IFERROR(VLOOKUP($D218,cfg_LT,4,FALSE()),""))</f>
        <v/>
      </c>
      <c r="M218" s="114" t="str">
        <f aca="false">IF(D218="","",IFERROR(VLOOKUP($D218,cfg_LT,5,FALSE()),""))</f>
        <v/>
      </c>
      <c r="N218" s="111" t="n">
        <f aca="false">IF(OR(OR($B218="",$E218="",$F218=""),M218&lt;&gt;"نعم"),0,G218*J218*IFERROR(INDEX(الموظفون!$R$6:$R$105,MATCH(B218,الموظفون!$B$6:$B$105,0)),0)/cfg_DAYS_M)</f>
        <v>0</v>
      </c>
      <c r="O218" s="106" t="str">
        <f aca="false">IF(OR(OR($B218="",$E218="",$F218=""),M218&lt;&gt;"نعم"),"",IF(YEAR(E218)=cfg_FY,MONTH(E218),""))</f>
        <v/>
      </c>
      <c r="P218" s="114" t="str">
        <f aca="false">IF(B218="","",IF(OR(D218="",E218="",F218=""),"⚠ أكمل النوع والتواريخ",IF(F218&lt;E218,"✖ النهاية قبل البداية",IF(COUNTIFS($B$6:$B$505,B218,$E$6:$E$505,"&lt;="&amp;F218,$F$6:$F$505,"&gt;="&amp;E218)&gt;1,"⚠ تداخل مع سجل آخر",IF(E218&gt;cfg_VAL_DATE,"⏳ قادمة",IF(F218&lt;cfg_VAL_DATE,"✔ منتهية","✈ جارية في تاريخ التقرير"))))))</f>
        <v/>
      </c>
      <c r="Q218" s="118"/>
      <c r="R218" s="65" t="n">
        <f aca="false">IF(OR(OR($B218="",$E218="",$F218=""),L218&lt;&gt;"لا"),0,MAX(0,MIN(F218,cfg_Y_START-1)-E218+1))</f>
        <v>0</v>
      </c>
      <c r="S218" s="65" t="n">
        <f aca="false">IF(OR(OR($B218="",$E218="",$F218=""),L218&lt;&gt;"لا"),0,MAX(0,MIN(F218,cfg_VAL_DATE)-E218+1))</f>
        <v>0</v>
      </c>
      <c r="T218" s="65" t="n">
        <f aca="false">IF(OR(OR($B218="",$E218="",$F218=""),K218&lt;&gt;"نعم"),0,IF(M218="نعم",IF(AND(ISNUMBER(O218),N(O218)&lt;=cfg_VAL_M),G218,0),MAX(0,MIN(F218,cfg_VAL_DATE)-MAX(E218,cfg_Y_START)+1)))</f>
        <v>0</v>
      </c>
      <c r="V218" s="65" t="n">
        <f aca="false">IF(OR($B218="",$E218="",$F218=""),0,MAX(0,MIN($F218,EOMONTH(DATE(cfg_FY,1,1),0))-MAX($E218,DATE(cfg_FY,1,1))+1)*(1-IF($M218="نعم",0,N($J218))))</f>
        <v>0</v>
      </c>
      <c r="W218" s="65" t="n">
        <f aca="false">IF(OR($B218="",$E218="",$F218=""),0,MAX(0,MIN($F218,EOMONTH(DATE(cfg_FY,2,1),0))-MAX($E218,DATE(cfg_FY,2,1))+1)*(1-IF($M218="نعم",0,N($J218))))</f>
        <v>0</v>
      </c>
      <c r="X218" s="65" t="n">
        <f aca="false">IF(OR($B218="",$E218="",$F218=""),0,MAX(0,MIN($F218,EOMONTH(DATE(cfg_FY,3,1),0))-MAX($E218,DATE(cfg_FY,3,1))+1)*(1-IF($M218="نعم",0,N($J218))))</f>
        <v>0</v>
      </c>
      <c r="Y218" s="65" t="n">
        <f aca="false">IF(OR($B218="",$E218="",$F218=""),0,MAX(0,MIN($F218,EOMONTH(DATE(cfg_FY,4,1),0))-MAX($E218,DATE(cfg_FY,4,1))+1)*(1-IF($M218="نعم",0,N($J218))))</f>
        <v>0</v>
      </c>
      <c r="Z218" s="65" t="n">
        <f aca="false">IF(OR($B218="",$E218="",$F218=""),0,MAX(0,MIN($F218,EOMONTH(DATE(cfg_FY,5,1),0))-MAX($E218,DATE(cfg_FY,5,1))+1)*(1-IF($M218="نعم",0,N($J218))))</f>
        <v>0</v>
      </c>
      <c r="AA218" s="65" t="n">
        <f aca="false">IF(OR($B218="",$E218="",$F218=""),0,MAX(0,MIN($F218,EOMONTH(DATE(cfg_FY,6,1),0))-MAX($E218,DATE(cfg_FY,6,1))+1)*(1-IF($M218="نعم",0,N($J218))))</f>
        <v>0</v>
      </c>
      <c r="AB218" s="65" t="n">
        <f aca="false">IF(OR($B218="",$E218="",$F218=""),0,MAX(0,MIN($F218,EOMONTH(DATE(cfg_FY,7,1),0))-MAX($E218,DATE(cfg_FY,7,1))+1)*(1-IF($M218="نعم",0,N($J218))))</f>
        <v>0</v>
      </c>
      <c r="AC218" s="65" t="n">
        <f aca="false">IF(OR($B218="",$E218="",$F218=""),0,MAX(0,MIN($F218,EOMONTH(DATE(cfg_FY,8,1),0))-MAX($E218,DATE(cfg_FY,8,1))+1)*(1-IF($M218="نعم",0,N($J218))))</f>
        <v>0</v>
      </c>
      <c r="AD218" s="65" t="n">
        <f aca="false">IF(OR($B218="",$E218="",$F218=""),0,MAX(0,MIN($F218,EOMONTH(DATE(cfg_FY,9,1),0))-MAX($E218,DATE(cfg_FY,9,1))+1)*(1-IF($M218="نعم",0,N($J218))))</f>
        <v>0</v>
      </c>
      <c r="AE218" s="65" t="n">
        <f aca="false">IF(OR($B218="",$E218="",$F218=""),0,MAX(0,MIN($F218,EOMONTH(DATE(cfg_FY,10,1),0))-MAX($E218,DATE(cfg_FY,10,1))+1)*(1-IF($M218="نعم",0,N($J218))))</f>
        <v>0</v>
      </c>
      <c r="AF218" s="65" t="n">
        <f aca="false">IF(OR($B218="",$E218="",$F218=""),0,MAX(0,MIN($F218,EOMONTH(DATE(cfg_FY,11,1),0))-MAX($E218,DATE(cfg_FY,11,1))+1)*(1-IF($M218="نعم",0,N($J218))))</f>
        <v>0</v>
      </c>
      <c r="AG218" s="65" t="n">
        <f aca="false">IF(OR($B218="",$E218="",$F218=""),0,MAX(0,MIN($F218,EOMONTH(DATE(cfg_FY,12,1),0))-MAX($E218,DATE(cfg_FY,12,1))+1)*(1-IF($M218="نعم",0,N($J218))))</f>
        <v>0</v>
      </c>
      <c r="AH218" s="65" t="n">
        <f aca="false">IF(OR(OR($B218="",$E218="",$F218=""),$L218&lt;&gt;"لا"),0,MAX(0,MIN($F218,EOMONTH(DATE(cfg_FY,1,1),0))-$E218+1))</f>
        <v>0</v>
      </c>
      <c r="AI218" s="65" t="n">
        <f aca="false">IF(OR(OR($B218="",$E218="",$F218=""),$L218&lt;&gt;"لا"),0,MAX(0,MIN($F218,EOMONTH(DATE(cfg_FY,2,1),0))-$E218+1))</f>
        <v>0</v>
      </c>
      <c r="AJ218" s="65" t="n">
        <f aca="false">IF(OR(OR($B218="",$E218="",$F218=""),$L218&lt;&gt;"لا"),0,MAX(0,MIN($F218,EOMONTH(DATE(cfg_FY,3,1),0))-$E218+1))</f>
        <v>0</v>
      </c>
      <c r="AK218" s="65" t="n">
        <f aca="false">IF(OR(OR($B218="",$E218="",$F218=""),$L218&lt;&gt;"لا"),0,MAX(0,MIN($F218,EOMONTH(DATE(cfg_FY,4,1),0))-$E218+1))</f>
        <v>0</v>
      </c>
      <c r="AL218" s="65" t="n">
        <f aca="false">IF(OR(OR($B218="",$E218="",$F218=""),$L218&lt;&gt;"لا"),0,MAX(0,MIN($F218,EOMONTH(DATE(cfg_FY,5,1),0))-$E218+1))</f>
        <v>0</v>
      </c>
      <c r="AM218" s="65" t="n">
        <f aca="false">IF(OR(OR($B218="",$E218="",$F218=""),$L218&lt;&gt;"لا"),0,MAX(0,MIN($F218,EOMONTH(DATE(cfg_FY,6,1),0))-$E218+1))</f>
        <v>0</v>
      </c>
      <c r="AN218" s="65" t="n">
        <f aca="false">IF(OR(OR($B218="",$E218="",$F218=""),$L218&lt;&gt;"لا"),0,MAX(0,MIN($F218,EOMONTH(DATE(cfg_FY,7,1),0))-$E218+1))</f>
        <v>0</v>
      </c>
      <c r="AO218" s="65" t="n">
        <f aca="false">IF(OR(OR($B218="",$E218="",$F218=""),$L218&lt;&gt;"لا"),0,MAX(0,MIN($F218,EOMONTH(DATE(cfg_FY,8,1),0))-$E218+1))</f>
        <v>0</v>
      </c>
      <c r="AP218" s="65" t="n">
        <f aca="false">IF(OR(OR($B218="",$E218="",$F218=""),$L218&lt;&gt;"لا"),0,MAX(0,MIN($F218,EOMONTH(DATE(cfg_FY,9,1),0))-$E218+1))</f>
        <v>0</v>
      </c>
      <c r="AQ218" s="65" t="n">
        <f aca="false">IF(OR(OR($B218="",$E218="",$F218=""),$L218&lt;&gt;"لا"),0,MAX(0,MIN($F218,EOMONTH(DATE(cfg_FY,10,1),0))-$E218+1))</f>
        <v>0</v>
      </c>
      <c r="AR218" s="65" t="n">
        <f aca="false">IF(OR(OR($B218="",$E218="",$F218=""),$L218&lt;&gt;"لا"),0,MAX(0,MIN($F218,EOMONTH(DATE(cfg_FY,11,1),0))-$E218+1))</f>
        <v>0</v>
      </c>
      <c r="AS218" s="65" t="n">
        <f aca="false">IF(OR(OR($B218="",$E218="",$F218=""),$L218&lt;&gt;"لا"),0,MAX(0,MIN($F218,EOMONTH(DATE(cfg_FY,12,1),0))-$E218+1))</f>
        <v>0</v>
      </c>
      <c r="AT218" s="65" t="n">
        <f aca="false">IF(OR(OR($B218="",$E218="",$F218=""),$K218&lt;&gt;"نعم",$M218="نعم"),0,MAX(0,MIN($F218,EOMONTH(DATE(cfg_FY,1,1),0))-MAX($E218,DATE(cfg_FY,1,1))+1))</f>
        <v>0</v>
      </c>
      <c r="AU218" s="65" t="n">
        <f aca="false">IF(OR(OR($B218="",$E218="",$F218=""),$K218&lt;&gt;"نعم",$M218="نعم"),0,MAX(0,MIN($F218,EOMONTH(DATE(cfg_FY,2,1),0))-MAX($E218,DATE(cfg_FY,2,1))+1))</f>
        <v>0</v>
      </c>
      <c r="AV218" s="65" t="n">
        <f aca="false">IF(OR(OR($B218="",$E218="",$F218=""),$K218&lt;&gt;"نعم",$M218="نعم"),0,MAX(0,MIN($F218,EOMONTH(DATE(cfg_FY,3,1),0))-MAX($E218,DATE(cfg_FY,3,1))+1))</f>
        <v>0</v>
      </c>
      <c r="AW218" s="65" t="n">
        <f aca="false">IF(OR(OR($B218="",$E218="",$F218=""),$K218&lt;&gt;"نعم",$M218="نعم"),0,MAX(0,MIN($F218,EOMONTH(DATE(cfg_FY,4,1),0))-MAX($E218,DATE(cfg_FY,4,1))+1))</f>
        <v>0</v>
      </c>
      <c r="AX218" s="65" t="n">
        <f aca="false">IF(OR(OR($B218="",$E218="",$F218=""),$K218&lt;&gt;"نعم",$M218="نعم"),0,MAX(0,MIN($F218,EOMONTH(DATE(cfg_FY,5,1),0))-MAX($E218,DATE(cfg_FY,5,1))+1))</f>
        <v>0</v>
      </c>
      <c r="AY218" s="65" t="n">
        <f aca="false">IF(OR(OR($B218="",$E218="",$F218=""),$K218&lt;&gt;"نعم",$M218="نعم"),0,MAX(0,MIN($F218,EOMONTH(DATE(cfg_FY,6,1),0))-MAX($E218,DATE(cfg_FY,6,1))+1))</f>
        <v>0</v>
      </c>
      <c r="AZ218" s="65" t="n">
        <f aca="false">IF(OR(OR($B218="",$E218="",$F218=""),$K218&lt;&gt;"نعم",$M218="نعم"),0,MAX(0,MIN($F218,EOMONTH(DATE(cfg_FY,7,1),0))-MAX($E218,DATE(cfg_FY,7,1))+1))</f>
        <v>0</v>
      </c>
      <c r="BA218" s="65" t="n">
        <f aca="false">IF(OR(OR($B218="",$E218="",$F218=""),$K218&lt;&gt;"نعم",$M218="نعم"),0,MAX(0,MIN($F218,EOMONTH(DATE(cfg_FY,8,1),0))-MAX($E218,DATE(cfg_FY,8,1))+1))</f>
        <v>0</v>
      </c>
      <c r="BB218" s="65" t="n">
        <f aca="false">IF(OR(OR($B218="",$E218="",$F218=""),$K218&lt;&gt;"نعم",$M218="نعم"),0,MAX(0,MIN($F218,EOMONTH(DATE(cfg_FY,9,1),0))-MAX($E218,DATE(cfg_FY,9,1))+1))</f>
        <v>0</v>
      </c>
      <c r="BC218" s="65" t="n">
        <f aca="false">IF(OR(OR($B218="",$E218="",$F218=""),$K218&lt;&gt;"نعم",$M218="نعم"),0,MAX(0,MIN($F218,EOMONTH(DATE(cfg_FY,10,1),0))-MAX($E218,DATE(cfg_FY,10,1))+1))</f>
        <v>0</v>
      </c>
      <c r="BD218" s="65" t="n">
        <f aca="false">IF(OR(OR($B218="",$E218="",$F218=""),$K218&lt;&gt;"نعم",$M218="نعم"),0,MAX(0,MIN($F218,EOMONTH(DATE(cfg_FY,11,1),0))-MAX($E218,DATE(cfg_FY,11,1))+1))</f>
        <v>0</v>
      </c>
      <c r="BE218" s="65" t="n">
        <f aca="false">IF(OR(OR($B218="",$E218="",$F218=""),$K218&lt;&gt;"نعم",$M218="نعم"),0,MAX(0,MIN($F218,EOMONTH(DATE(cfg_FY,12,1),0))-MAX($E218,DATE(cfg_FY,12,1))+1))</f>
        <v>0</v>
      </c>
    </row>
    <row r="219" customFormat="false" ht="15" hidden="false" customHeight="false" outlineLevel="0" collapsed="false">
      <c r="A219" s="115" t="str">
        <f aca="false">IF(B219="","",ROW()-5)</f>
        <v/>
      </c>
      <c r="B219" s="118"/>
      <c r="C219" s="117" t="str">
        <f aca="false">IF(B219="","",IFERROR(INDEX(الموظفون!$C$6:$C$105,MATCH(B219,الموظفون!$B$6:$B$105,0)),"✖ رقم غير موجود"))</f>
        <v/>
      </c>
      <c r="D219" s="118"/>
      <c r="E219" s="119"/>
      <c r="F219" s="119"/>
      <c r="G219" s="133" t="str">
        <f aca="false">IF(OR($B219="",$E219="",$F219=""),"",MAX(0,F219-E219+1))</f>
        <v/>
      </c>
      <c r="H219" s="134" t="str">
        <f aca="false">IF(D219="","",IFERROR(VLOOKUP(D219,cfg_LT,2,FALSE()),1))</f>
        <v/>
      </c>
      <c r="I219" s="135"/>
      <c r="J219" s="134" t="str">
        <f aca="false">IF(D219="","",IF(I219&lt;&gt;"",I219,H219))</f>
        <v/>
      </c>
      <c r="K219" s="117" t="str">
        <f aca="false">IF(D219="","",IFERROR(VLOOKUP($D219,cfg_LT,3,FALSE()),""))</f>
        <v/>
      </c>
      <c r="L219" s="117" t="str">
        <f aca="false">IF(D219="","",IFERROR(VLOOKUP($D219,cfg_LT,4,FALSE()),""))</f>
        <v/>
      </c>
      <c r="M219" s="117" t="str">
        <f aca="false">IF(D219="","",IFERROR(VLOOKUP($D219,cfg_LT,5,FALSE()),""))</f>
        <v/>
      </c>
      <c r="N219" s="116" t="n">
        <f aca="false">IF(OR(OR($B219="",$E219="",$F219=""),M219&lt;&gt;"نعم"),0,G219*J219*IFERROR(INDEX(الموظفون!$R$6:$R$105,MATCH(B219,الموظفون!$B$6:$B$105,0)),0)/cfg_DAYS_M)</f>
        <v>0</v>
      </c>
      <c r="O219" s="115" t="str">
        <f aca="false">IF(OR(OR($B219="",$E219="",$F219=""),M219&lt;&gt;"نعم"),"",IF(YEAR(E219)=cfg_FY,MONTH(E219),""))</f>
        <v/>
      </c>
      <c r="P219" s="117" t="str">
        <f aca="false">IF(B219="","",IF(OR(D219="",E219="",F219=""),"⚠ أكمل النوع والتواريخ",IF(F219&lt;E219,"✖ النهاية قبل البداية",IF(COUNTIFS($B$6:$B$505,B219,$E$6:$E$505,"&lt;="&amp;F219,$F$6:$F$505,"&gt;="&amp;E219)&gt;1,"⚠ تداخل مع سجل آخر",IF(E219&gt;cfg_VAL_DATE,"⏳ قادمة",IF(F219&lt;cfg_VAL_DATE,"✔ منتهية","✈ جارية في تاريخ التقرير"))))))</f>
        <v/>
      </c>
      <c r="Q219" s="118"/>
      <c r="R219" s="133" t="n">
        <f aca="false">IF(OR(OR($B219="",$E219="",$F219=""),L219&lt;&gt;"لا"),0,MAX(0,MIN(F219,cfg_Y_START-1)-E219+1))</f>
        <v>0</v>
      </c>
      <c r="S219" s="133" t="n">
        <f aca="false">IF(OR(OR($B219="",$E219="",$F219=""),L219&lt;&gt;"لا"),0,MAX(0,MIN(F219,cfg_VAL_DATE)-E219+1))</f>
        <v>0</v>
      </c>
      <c r="T219" s="133" t="n">
        <f aca="false">IF(OR(OR($B219="",$E219="",$F219=""),K219&lt;&gt;"نعم"),0,IF(M219="نعم",IF(AND(ISNUMBER(O219),N(O219)&lt;=cfg_VAL_M),G219,0),MAX(0,MIN(F219,cfg_VAL_DATE)-MAX(E219,cfg_Y_START)+1)))</f>
        <v>0</v>
      </c>
      <c r="V219" s="133" t="n">
        <f aca="false">IF(OR($B219="",$E219="",$F219=""),0,MAX(0,MIN($F219,EOMONTH(DATE(cfg_FY,1,1),0))-MAX($E219,DATE(cfg_FY,1,1))+1)*(1-IF($M219="نعم",0,N($J219))))</f>
        <v>0</v>
      </c>
      <c r="W219" s="133" t="n">
        <f aca="false">IF(OR($B219="",$E219="",$F219=""),0,MAX(0,MIN($F219,EOMONTH(DATE(cfg_FY,2,1),0))-MAX($E219,DATE(cfg_FY,2,1))+1)*(1-IF($M219="نعم",0,N($J219))))</f>
        <v>0</v>
      </c>
      <c r="X219" s="133" t="n">
        <f aca="false">IF(OR($B219="",$E219="",$F219=""),0,MAX(0,MIN($F219,EOMONTH(DATE(cfg_FY,3,1),0))-MAX($E219,DATE(cfg_FY,3,1))+1)*(1-IF($M219="نعم",0,N($J219))))</f>
        <v>0</v>
      </c>
      <c r="Y219" s="133" t="n">
        <f aca="false">IF(OR($B219="",$E219="",$F219=""),0,MAX(0,MIN($F219,EOMONTH(DATE(cfg_FY,4,1),0))-MAX($E219,DATE(cfg_FY,4,1))+1)*(1-IF($M219="نعم",0,N($J219))))</f>
        <v>0</v>
      </c>
      <c r="Z219" s="133" t="n">
        <f aca="false">IF(OR($B219="",$E219="",$F219=""),0,MAX(0,MIN($F219,EOMONTH(DATE(cfg_FY,5,1),0))-MAX($E219,DATE(cfg_FY,5,1))+1)*(1-IF($M219="نعم",0,N($J219))))</f>
        <v>0</v>
      </c>
      <c r="AA219" s="133" t="n">
        <f aca="false">IF(OR($B219="",$E219="",$F219=""),0,MAX(0,MIN($F219,EOMONTH(DATE(cfg_FY,6,1),0))-MAX($E219,DATE(cfg_FY,6,1))+1)*(1-IF($M219="نعم",0,N($J219))))</f>
        <v>0</v>
      </c>
      <c r="AB219" s="133" t="n">
        <f aca="false">IF(OR($B219="",$E219="",$F219=""),0,MAX(0,MIN($F219,EOMONTH(DATE(cfg_FY,7,1),0))-MAX($E219,DATE(cfg_FY,7,1))+1)*(1-IF($M219="نعم",0,N($J219))))</f>
        <v>0</v>
      </c>
      <c r="AC219" s="133" t="n">
        <f aca="false">IF(OR($B219="",$E219="",$F219=""),0,MAX(0,MIN($F219,EOMONTH(DATE(cfg_FY,8,1),0))-MAX($E219,DATE(cfg_FY,8,1))+1)*(1-IF($M219="نعم",0,N($J219))))</f>
        <v>0</v>
      </c>
      <c r="AD219" s="133" t="n">
        <f aca="false">IF(OR($B219="",$E219="",$F219=""),0,MAX(0,MIN($F219,EOMONTH(DATE(cfg_FY,9,1),0))-MAX($E219,DATE(cfg_FY,9,1))+1)*(1-IF($M219="نعم",0,N($J219))))</f>
        <v>0</v>
      </c>
      <c r="AE219" s="133" t="n">
        <f aca="false">IF(OR($B219="",$E219="",$F219=""),0,MAX(0,MIN($F219,EOMONTH(DATE(cfg_FY,10,1),0))-MAX($E219,DATE(cfg_FY,10,1))+1)*(1-IF($M219="نعم",0,N($J219))))</f>
        <v>0</v>
      </c>
      <c r="AF219" s="133" t="n">
        <f aca="false">IF(OR($B219="",$E219="",$F219=""),0,MAX(0,MIN($F219,EOMONTH(DATE(cfg_FY,11,1),0))-MAX($E219,DATE(cfg_FY,11,1))+1)*(1-IF($M219="نعم",0,N($J219))))</f>
        <v>0</v>
      </c>
      <c r="AG219" s="133" t="n">
        <f aca="false">IF(OR($B219="",$E219="",$F219=""),0,MAX(0,MIN($F219,EOMONTH(DATE(cfg_FY,12,1),0))-MAX($E219,DATE(cfg_FY,12,1))+1)*(1-IF($M219="نعم",0,N($J219))))</f>
        <v>0</v>
      </c>
      <c r="AH219" s="133" t="n">
        <f aca="false">IF(OR(OR($B219="",$E219="",$F219=""),$L219&lt;&gt;"لا"),0,MAX(0,MIN($F219,EOMONTH(DATE(cfg_FY,1,1),0))-$E219+1))</f>
        <v>0</v>
      </c>
      <c r="AI219" s="133" t="n">
        <f aca="false">IF(OR(OR($B219="",$E219="",$F219=""),$L219&lt;&gt;"لا"),0,MAX(0,MIN($F219,EOMONTH(DATE(cfg_FY,2,1),0))-$E219+1))</f>
        <v>0</v>
      </c>
      <c r="AJ219" s="133" t="n">
        <f aca="false">IF(OR(OR($B219="",$E219="",$F219=""),$L219&lt;&gt;"لا"),0,MAX(0,MIN($F219,EOMONTH(DATE(cfg_FY,3,1),0))-$E219+1))</f>
        <v>0</v>
      </c>
      <c r="AK219" s="133" t="n">
        <f aca="false">IF(OR(OR($B219="",$E219="",$F219=""),$L219&lt;&gt;"لا"),0,MAX(0,MIN($F219,EOMONTH(DATE(cfg_FY,4,1),0))-$E219+1))</f>
        <v>0</v>
      </c>
      <c r="AL219" s="133" t="n">
        <f aca="false">IF(OR(OR($B219="",$E219="",$F219=""),$L219&lt;&gt;"لا"),0,MAX(0,MIN($F219,EOMONTH(DATE(cfg_FY,5,1),0))-$E219+1))</f>
        <v>0</v>
      </c>
      <c r="AM219" s="133" t="n">
        <f aca="false">IF(OR(OR($B219="",$E219="",$F219=""),$L219&lt;&gt;"لا"),0,MAX(0,MIN($F219,EOMONTH(DATE(cfg_FY,6,1),0))-$E219+1))</f>
        <v>0</v>
      </c>
      <c r="AN219" s="133" t="n">
        <f aca="false">IF(OR(OR($B219="",$E219="",$F219=""),$L219&lt;&gt;"لا"),0,MAX(0,MIN($F219,EOMONTH(DATE(cfg_FY,7,1),0))-$E219+1))</f>
        <v>0</v>
      </c>
      <c r="AO219" s="133" t="n">
        <f aca="false">IF(OR(OR($B219="",$E219="",$F219=""),$L219&lt;&gt;"لا"),0,MAX(0,MIN($F219,EOMONTH(DATE(cfg_FY,8,1),0))-$E219+1))</f>
        <v>0</v>
      </c>
      <c r="AP219" s="133" t="n">
        <f aca="false">IF(OR(OR($B219="",$E219="",$F219=""),$L219&lt;&gt;"لا"),0,MAX(0,MIN($F219,EOMONTH(DATE(cfg_FY,9,1),0))-$E219+1))</f>
        <v>0</v>
      </c>
      <c r="AQ219" s="133" t="n">
        <f aca="false">IF(OR(OR($B219="",$E219="",$F219=""),$L219&lt;&gt;"لا"),0,MAX(0,MIN($F219,EOMONTH(DATE(cfg_FY,10,1),0))-$E219+1))</f>
        <v>0</v>
      </c>
      <c r="AR219" s="133" t="n">
        <f aca="false">IF(OR(OR($B219="",$E219="",$F219=""),$L219&lt;&gt;"لا"),0,MAX(0,MIN($F219,EOMONTH(DATE(cfg_FY,11,1),0))-$E219+1))</f>
        <v>0</v>
      </c>
      <c r="AS219" s="133" t="n">
        <f aca="false">IF(OR(OR($B219="",$E219="",$F219=""),$L219&lt;&gt;"لا"),0,MAX(0,MIN($F219,EOMONTH(DATE(cfg_FY,12,1),0))-$E219+1))</f>
        <v>0</v>
      </c>
      <c r="AT219" s="133" t="n">
        <f aca="false">IF(OR(OR($B219="",$E219="",$F219=""),$K219&lt;&gt;"نعم",$M219="نعم"),0,MAX(0,MIN($F219,EOMONTH(DATE(cfg_FY,1,1),0))-MAX($E219,DATE(cfg_FY,1,1))+1))</f>
        <v>0</v>
      </c>
      <c r="AU219" s="133" t="n">
        <f aca="false">IF(OR(OR($B219="",$E219="",$F219=""),$K219&lt;&gt;"نعم",$M219="نعم"),0,MAX(0,MIN($F219,EOMONTH(DATE(cfg_FY,2,1),0))-MAX($E219,DATE(cfg_FY,2,1))+1))</f>
        <v>0</v>
      </c>
      <c r="AV219" s="133" t="n">
        <f aca="false">IF(OR(OR($B219="",$E219="",$F219=""),$K219&lt;&gt;"نعم",$M219="نعم"),0,MAX(0,MIN($F219,EOMONTH(DATE(cfg_FY,3,1),0))-MAX($E219,DATE(cfg_FY,3,1))+1))</f>
        <v>0</v>
      </c>
      <c r="AW219" s="133" t="n">
        <f aca="false">IF(OR(OR($B219="",$E219="",$F219=""),$K219&lt;&gt;"نعم",$M219="نعم"),0,MAX(0,MIN($F219,EOMONTH(DATE(cfg_FY,4,1),0))-MAX($E219,DATE(cfg_FY,4,1))+1))</f>
        <v>0</v>
      </c>
      <c r="AX219" s="133" t="n">
        <f aca="false">IF(OR(OR($B219="",$E219="",$F219=""),$K219&lt;&gt;"نعم",$M219="نعم"),0,MAX(0,MIN($F219,EOMONTH(DATE(cfg_FY,5,1),0))-MAX($E219,DATE(cfg_FY,5,1))+1))</f>
        <v>0</v>
      </c>
      <c r="AY219" s="133" t="n">
        <f aca="false">IF(OR(OR($B219="",$E219="",$F219=""),$K219&lt;&gt;"نعم",$M219="نعم"),0,MAX(0,MIN($F219,EOMONTH(DATE(cfg_FY,6,1),0))-MAX($E219,DATE(cfg_FY,6,1))+1))</f>
        <v>0</v>
      </c>
      <c r="AZ219" s="133" t="n">
        <f aca="false">IF(OR(OR($B219="",$E219="",$F219=""),$K219&lt;&gt;"نعم",$M219="نعم"),0,MAX(0,MIN($F219,EOMONTH(DATE(cfg_FY,7,1),0))-MAX($E219,DATE(cfg_FY,7,1))+1))</f>
        <v>0</v>
      </c>
      <c r="BA219" s="133" t="n">
        <f aca="false">IF(OR(OR($B219="",$E219="",$F219=""),$K219&lt;&gt;"نعم",$M219="نعم"),0,MAX(0,MIN($F219,EOMONTH(DATE(cfg_FY,8,1),0))-MAX($E219,DATE(cfg_FY,8,1))+1))</f>
        <v>0</v>
      </c>
      <c r="BB219" s="133" t="n">
        <f aca="false">IF(OR(OR($B219="",$E219="",$F219=""),$K219&lt;&gt;"نعم",$M219="نعم"),0,MAX(0,MIN($F219,EOMONTH(DATE(cfg_FY,9,1),0))-MAX($E219,DATE(cfg_FY,9,1))+1))</f>
        <v>0</v>
      </c>
      <c r="BC219" s="133" t="n">
        <f aca="false">IF(OR(OR($B219="",$E219="",$F219=""),$K219&lt;&gt;"نعم",$M219="نعم"),0,MAX(0,MIN($F219,EOMONTH(DATE(cfg_FY,10,1),0))-MAX($E219,DATE(cfg_FY,10,1))+1))</f>
        <v>0</v>
      </c>
      <c r="BD219" s="133" t="n">
        <f aca="false">IF(OR(OR($B219="",$E219="",$F219=""),$K219&lt;&gt;"نعم",$M219="نعم"),0,MAX(0,MIN($F219,EOMONTH(DATE(cfg_FY,11,1),0))-MAX($E219,DATE(cfg_FY,11,1))+1))</f>
        <v>0</v>
      </c>
      <c r="BE219" s="133" t="n">
        <f aca="false">IF(OR(OR($B219="",$E219="",$F219=""),$K219&lt;&gt;"نعم",$M219="نعم"),0,MAX(0,MIN($F219,EOMONTH(DATE(cfg_FY,12,1),0))-MAX($E219,DATE(cfg_FY,12,1))+1))</f>
        <v>0</v>
      </c>
    </row>
    <row r="220" customFormat="false" ht="15" hidden="false" customHeight="false" outlineLevel="0" collapsed="false">
      <c r="A220" s="106" t="str">
        <f aca="false">IF(B220="","",ROW()-5)</f>
        <v/>
      </c>
      <c r="B220" s="118"/>
      <c r="C220" s="114" t="str">
        <f aca="false">IF(B220="","",IFERROR(INDEX(الموظفون!$C$6:$C$105,MATCH(B220,الموظفون!$B$6:$B$105,0)),"✖ رقم غير موجود"))</f>
        <v/>
      </c>
      <c r="D220" s="118"/>
      <c r="E220" s="119"/>
      <c r="F220" s="119"/>
      <c r="G220" s="65" t="str">
        <f aca="false">IF(OR($B220="",$E220="",$F220=""),"",MAX(0,F220-E220+1))</f>
        <v/>
      </c>
      <c r="H220" s="66" t="str">
        <f aca="false">IF(D220="","",IFERROR(VLOOKUP(D220,cfg_LT,2,FALSE()),1))</f>
        <v/>
      </c>
      <c r="I220" s="135"/>
      <c r="J220" s="66" t="str">
        <f aca="false">IF(D220="","",IF(I220&lt;&gt;"",I220,H220))</f>
        <v/>
      </c>
      <c r="K220" s="114" t="str">
        <f aca="false">IF(D220="","",IFERROR(VLOOKUP($D220,cfg_LT,3,FALSE()),""))</f>
        <v/>
      </c>
      <c r="L220" s="114" t="str">
        <f aca="false">IF(D220="","",IFERROR(VLOOKUP($D220,cfg_LT,4,FALSE()),""))</f>
        <v/>
      </c>
      <c r="M220" s="114" t="str">
        <f aca="false">IF(D220="","",IFERROR(VLOOKUP($D220,cfg_LT,5,FALSE()),""))</f>
        <v/>
      </c>
      <c r="N220" s="111" t="n">
        <f aca="false">IF(OR(OR($B220="",$E220="",$F220=""),M220&lt;&gt;"نعم"),0,G220*J220*IFERROR(INDEX(الموظفون!$R$6:$R$105,MATCH(B220,الموظفون!$B$6:$B$105,0)),0)/cfg_DAYS_M)</f>
        <v>0</v>
      </c>
      <c r="O220" s="106" t="str">
        <f aca="false">IF(OR(OR($B220="",$E220="",$F220=""),M220&lt;&gt;"نعم"),"",IF(YEAR(E220)=cfg_FY,MONTH(E220),""))</f>
        <v/>
      </c>
      <c r="P220" s="114" t="str">
        <f aca="false">IF(B220="","",IF(OR(D220="",E220="",F220=""),"⚠ أكمل النوع والتواريخ",IF(F220&lt;E220,"✖ النهاية قبل البداية",IF(COUNTIFS($B$6:$B$505,B220,$E$6:$E$505,"&lt;="&amp;F220,$F$6:$F$505,"&gt;="&amp;E220)&gt;1,"⚠ تداخل مع سجل آخر",IF(E220&gt;cfg_VAL_DATE,"⏳ قادمة",IF(F220&lt;cfg_VAL_DATE,"✔ منتهية","✈ جارية في تاريخ التقرير"))))))</f>
        <v/>
      </c>
      <c r="Q220" s="118"/>
      <c r="R220" s="65" t="n">
        <f aca="false">IF(OR(OR($B220="",$E220="",$F220=""),L220&lt;&gt;"لا"),0,MAX(0,MIN(F220,cfg_Y_START-1)-E220+1))</f>
        <v>0</v>
      </c>
      <c r="S220" s="65" t="n">
        <f aca="false">IF(OR(OR($B220="",$E220="",$F220=""),L220&lt;&gt;"لا"),0,MAX(0,MIN(F220,cfg_VAL_DATE)-E220+1))</f>
        <v>0</v>
      </c>
      <c r="T220" s="65" t="n">
        <f aca="false">IF(OR(OR($B220="",$E220="",$F220=""),K220&lt;&gt;"نعم"),0,IF(M220="نعم",IF(AND(ISNUMBER(O220),N(O220)&lt;=cfg_VAL_M),G220,0),MAX(0,MIN(F220,cfg_VAL_DATE)-MAX(E220,cfg_Y_START)+1)))</f>
        <v>0</v>
      </c>
      <c r="V220" s="65" t="n">
        <f aca="false">IF(OR($B220="",$E220="",$F220=""),0,MAX(0,MIN($F220,EOMONTH(DATE(cfg_FY,1,1),0))-MAX($E220,DATE(cfg_FY,1,1))+1)*(1-IF($M220="نعم",0,N($J220))))</f>
        <v>0</v>
      </c>
      <c r="W220" s="65" t="n">
        <f aca="false">IF(OR($B220="",$E220="",$F220=""),0,MAX(0,MIN($F220,EOMONTH(DATE(cfg_FY,2,1),0))-MAX($E220,DATE(cfg_FY,2,1))+1)*(1-IF($M220="نعم",0,N($J220))))</f>
        <v>0</v>
      </c>
      <c r="X220" s="65" t="n">
        <f aca="false">IF(OR($B220="",$E220="",$F220=""),0,MAX(0,MIN($F220,EOMONTH(DATE(cfg_FY,3,1),0))-MAX($E220,DATE(cfg_FY,3,1))+1)*(1-IF($M220="نعم",0,N($J220))))</f>
        <v>0</v>
      </c>
      <c r="Y220" s="65" t="n">
        <f aca="false">IF(OR($B220="",$E220="",$F220=""),0,MAX(0,MIN($F220,EOMONTH(DATE(cfg_FY,4,1),0))-MAX($E220,DATE(cfg_FY,4,1))+1)*(1-IF($M220="نعم",0,N($J220))))</f>
        <v>0</v>
      </c>
      <c r="Z220" s="65" t="n">
        <f aca="false">IF(OR($B220="",$E220="",$F220=""),0,MAX(0,MIN($F220,EOMONTH(DATE(cfg_FY,5,1),0))-MAX($E220,DATE(cfg_FY,5,1))+1)*(1-IF($M220="نعم",0,N($J220))))</f>
        <v>0</v>
      </c>
      <c r="AA220" s="65" t="n">
        <f aca="false">IF(OR($B220="",$E220="",$F220=""),0,MAX(0,MIN($F220,EOMONTH(DATE(cfg_FY,6,1),0))-MAX($E220,DATE(cfg_FY,6,1))+1)*(1-IF($M220="نعم",0,N($J220))))</f>
        <v>0</v>
      </c>
      <c r="AB220" s="65" t="n">
        <f aca="false">IF(OR($B220="",$E220="",$F220=""),0,MAX(0,MIN($F220,EOMONTH(DATE(cfg_FY,7,1),0))-MAX($E220,DATE(cfg_FY,7,1))+1)*(1-IF($M220="نعم",0,N($J220))))</f>
        <v>0</v>
      </c>
      <c r="AC220" s="65" t="n">
        <f aca="false">IF(OR($B220="",$E220="",$F220=""),0,MAX(0,MIN($F220,EOMONTH(DATE(cfg_FY,8,1),0))-MAX($E220,DATE(cfg_FY,8,1))+1)*(1-IF($M220="نعم",0,N($J220))))</f>
        <v>0</v>
      </c>
      <c r="AD220" s="65" t="n">
        <f aca="false">IF(OR($B220="",$E220="",$F220=""),0,MAX(0,MIN($F220,EOMONTH(DATE(cfg_FY,9,1),0))-MAX($E220,DATE(cfg_FY,9,1))+1)*(1-IF($M220="نعم",0,N($J220))))</f>
        <v>0</v>
      </c>
      <c r="AE220" s="65" t="n">
        <f aca="false">IF(OR($B220="",$E220="",$F220=""),0,MAX(0,MIN($F220,EOMONTH(DATE(cfg_FY,10,1),0))-MAX($E220,DATE(cfg_FY,10,1))+1)*(1-IF($M220="نعم",0,N($J220))))</f>
        <v>0</v>
      </c>
      <c r="AF220" s="65" t="n">
        <f aca="false">IF(OR($B220="",$E220="",$F220=""),0,MAX(0,MIN($F220,EOMONTH(DATE(cfg_FY,11,1),0))-MAX($E220,DATE(cfg_FY,11,1))+1)*(1-IF($M220="نعم",0,N($J220))))</f>
        <v>0</v>
      </c>
      <c r="AG220" s="65" t="n">
        <f aca="false">IF(OR($B220="",$E220="",$F220=""),0,MAX(0,MIN($F220,EOMONTH(DATE(cfg_FY,12,1),0))-MAX($E220,DATE(cfg_FY,12,1))+1)*(1-IF($M220="نعم",0,N($J220))))</f>
        <v>0</v>
      </c>
      <c r="AH220" s="65" t="n">
        <f aca="false">IF(OR(OR($B220="",$E220="",$F220=""),$L220&lt;&gt;"لا"),0,MAX(0,MIN($F220,EOMONTH(DATE(cfg_FY,1,1),0))-$E220+1))</f>
        <v>0</v>
      </c>
      <c r="AI220" s="65" t="n">
        <f aca="false">IF(OR(OR($B220="",$E220="",$F220=""),$L220&lt;&gt;"لا"),0,MAX(0,MIN($F220,EOMONTH(DATE(cfg_FY,2,1),0))-$E220+1))</f>
        <v>0</v>
      </c>
      <c r="AJ220" s="65" t="n">
        <f aca="false">IF(OR(OR($B220="",$E220="",$F220=""),$L220&lt;&gt;"لا"),0,MAX(0,MIN($F220,EOMONTH(DATE(cfg_FY,3,1),0))-$E220+1))</f>
        <v>0</v>
      </c>
      <c r="AK220" s="65" t="n">
        <f aca="false">IF(OR(OR($B220="",$E220="",$F220=""),$L220&lt;&gt;"لا"),0,MAX(0,MIN($F220,EOMONTH(DATE(cfg_FY,4,1),0))-$E220+1))</f>
        <v>0</v>
      </c>
      <c r="AL220" s="65" t="n">
        <f aca="false">IF(OR(OR($B220="",$E220="",$F220=""),$L220&lt;&gt;"لا"),0,MAX(0,MIN($F220,EOMONTH(DATE(cfg_FY,5,1),0))-$E220+1))</f>
        <v>0</v>
      </c>
      <c r="AM220" s="65" t="n">
        <f aca="false">IF(OR(OR($B220="",$E220="",$F220=""),$L220&lt;&gt;"لا"),0,MAX(0,MIN($F220,EOMONTH(DATE(cfg_FY,6,1),0))-$E220+1))</f>
        <v>0</v>
      </c>
      <c r="AN220" s="65" t="n">
        <f aca="false">IF(OR(OR($B220="",$E220="",$F220=""),$L220&lt;&gt;"لا"),0,MAX(0,MIN($F220,EOMONTH(DATE(cfg_FY,7,1),0))-$E220+1))</f>
        <v>0</v>
      </c>
      <c r="AO220" s="65" t="n">
        <f aca="false">IF(OR(OR($B220="",$E220="",$F220=""),$L220&lt;&gt;"لا"),0,MAX(0,MIN($F220,EOMONTH(DATE(cfg_FY,8,1),0))-$E220+1))</f>
        <v>0</v>
      </c>
      <c r="AP220" s="65" t="n">
        <f aca="false">IF(OR(OR($B220="",$E220="",$F220=""),$L220&lt;&gt;"لا"),0,MAX(0,MIN($F220,EOMONTH(DATE(cfg_FY,9,1),0))-$E220+1))</f>
        <v>0</v>
      </c>
      <c r="AQ220" s="65" t="n">
        <f aca="false">IF(OR(OR($B220="",$E220="",$F220=""),$L220&lt;&gt;"لا"),0,MAX(0,MIN($F220,EOMONTH(DATE(cfg_FY,10,1),0))-$E220+1))</f>
        <v>0</v>
      </c>
      <c r="AR220" s="65" t="n">
        <f aca="false">IF(OR(OR($B220="",$E220="",$F220=""),$L220&lt;&gt;"لا"),0,MAX(0,MIN($F220,EOMONTH(DATE(cfg_FY,11,1),0))-$E220+1))</f>
        <v>0</v>
      </c>
      <c r="AS220" s="65" t="n">
        <f aca="false">IF(OR(OR($B220="",$E220="",$F220=""),$L220&lt;&gt;"لا"),0,MAX(0,MIN($F220,EOMONTH(DATE(cfg_FY,12,1),0))-$E220+1))</f>
        <v>0</v>
      </c>
      <c r="AT220" s="65" t="n">
        <f aca="false">IF(OR(OR($B220="",$E220="",$F220=""),$K220&lt;&gt;"نعم",$M220="نعم"),0,MAX(0,MIN($F220,EOMONTH(DATE(cfg_FY,1,1),0))-MAX($E220,DATE(cfg_FY,1,1))+1))</f>
        <v>0</v>
      </c>
      <c r="AU220" s="65" t="n">
        <f aca="false">IF(OR(OR($B220="",$E220="",$F220=""),$K220&lt;&gt;"نعم",$M220="نعم"),0,MAX(0,MIN($F220,EOMONTH(DATE(cfg_FY,2,1),0))-MAX($E220,DATE(cfg_FY,2,1))+1))</f>
        <v>0</v>
      </c>
      <c r="AV220" s="65" t="n">
        <f aca="false">IF(OR(OR($B220="",$E220="",$F220=""),$K220&lt;&gt;"نعم",$M220="نعم"),0,MAX(0,MIN($F220,EOMONTH(DATE(cfg_FY,3,1),0))-MAX($E220,DATE(cfg_FY,3,1))+1))</f>
        <v>0</v>
      </c>
      <c r="AW220" s="65" t="n">
        <f aca="false">IF(OR(OR($B220="",$E220="",$F220=""),$K220&lt;&gt;"نعم",$M220="نعم"),0,MAX(0,MIN($F220,EOMONTH(DATE(cfg_FY,4,1),0))-MAX($E220,DATE(cfg_FY,4,1))+1))</f>
        <v>0</v>
      </c>
      <c r="AX220" s="65" t="n">
        <f aca="false">IF(OR(OR($B220="",$E220="",$F220=""),$K220&lt;&gt;"نعم",$M220="نعم"),0,MAX(0,MIN($F220,EOMONTH(DATE(cfg_FY,5,1),0))-MAX($E220,DATE(cfg_FY,5,1))+1))</f>
        <v>0</v>
      </c>
      <c r="AY220" s="65" t="n">
        <f aca="false">IF(OR(OR($B220="",$E220="",$F220=""),$K220&lt;&gt;"نعم",$M220="نعم"),0,MAX(0,MIN($F220,EOMONTH(DATE(cfg_FY,6,1),0))-MAX($E220,DATE(cfg_FY,6,1))+1))</f>
        <v>0</v>
      </c>
      <c r="AZ220" s="65" t="n">
        <f aca="false">IF(OR(OR($B220="",$E220="",$F220=""),$K220&lt;&gt;"نعم",$M220="نعم"),0,MAX(0,MIN($F220,EOMONTH(DATE(cfg_FY,7,1),0))-MAX($E220,DATE(cfg_FY,7,1))+1))</f>
        <v>0</v>
      </c>
      <c r="BA220" s="65" t="n">
        <f aca="false">IF(OR(OR($B220="",$E220="",$F220=""),$K220&lt;&gt;"نعم",$M220="نعم"),0,MAX(0,MIN($F220,EOMONTH(DATE(cfg_FY,8,1),0))-MAX($E220,DATE(cfg_FY,8,1))+1))</f>
        <v>0</v>
      </c>
      <c r="BB220" s="65" t="n">
        <f aca="false">IF(OR(OR($B220="",$E220="",$F220=""),$K220&lt;&gt;"نعم",$M220="نعم"),0,MAX(0,MIN($F220,EOMONTH(DATE(cfg_FY,9,1),0))-MAX($E220,DATE(cfg_FY,9,1))+1))</f>
        <v>0</v>
      </c>
      <c r="BC220" s="65" t="n">
        <f aca="false">IF(OR(OR($B220="",$E220="",$F220=""),$K220&lt;&gt;"نعم",$M220="نعم"),0,MAX(0,MIN($F220,EOMONTH(DATE(cfg_FY,10,1),0))-MAX($E220,DATE(cfg_FY,10,1))+1))</f>
        <v>0</v>
      </c>
      <c r="BD220" s="65" t="n">
        <f aca="false">IF(OR(OR($B220="",$E220="",$F220=""),$K220&lt;&gt;"نعم",$M220="نعم"),0,MAX(0,MIN($F220,EOMONTH(DATE(cfg_FY,11,1),0))-MAX($E220,DATE(cfg_FY,11,1))+1))</f>
        <v>0</v>
      </c>
      <c r="BE220" s="65" t="n">
        <f aca="false">IF(OR(OR($B220="",$E220="",$F220=""),$K220&lt;&gt;"نعم",$M220="نعم"),0,MAX(0,MIN($F220,EOMONTH(DATE(cfg_FY,12,1),0))-MAX($E220,DATE(cfg_FY,12,1))+1))</f>
        <v>0</v>
      </c>
    </row>
    <row r="221" customFormat="false" ht="15" hidden="false" customHeight="false" outlineLevel="0" collapsed="false">
      <c r="A221" s="115" t="str">
        <f aca="false">IF(B221="","",ROW()-5)</f>
        <v/>
      </c>
      <c r="B221" s="118"/>
      <c r="C221" s="117" t="str">
        <f aca="false">IF(B221="","",IFERROR(INDEX(الموظفون!$C$6:$C$105,MATCH(B221,الموظفون!$B$6:$B$105,0)),"✖ رقم غير موجود"))</f>
        <v/>
      </c>
      <c r="D221" s="118"/>
      <c r="E221" s="119"/>
      <c r="F221" s="119"/>
      <c r="G221" s="133" t="str">
        <f aca="false">IF(OR($B221="",$E221="",$F221=""),"",MAX(0,F221-E221+1))</f>
        <v/>
      </c>
      <c r="H221" s="134" t="str">
        <f aca="false">IF(D221="","",IFERROR(VLOOKUP(D221,cfg_LT,2,FALSE()),1))</f>
        <v/>
      </c>
      <c r="I221" s="135"/>
      <c r="J221" s="134" t="str">
        <f aca="false">IF(D221="","",IF(I221&lt;&gt;"",I221,H221))</f>
        <v/>
      </c>
      <c r="K221" s="117" t="str">
        <f aca="false">IF(D221="","",IFERROR(VLOOKUP($D221,cfg_LT,3,FALSE()),""))</f>
        <v/>
      </c>
      <c r="L221" s="117" t="str">
        <f aca="false">IF(D221="","",IFERROR(VLOOKUP($D221,cfg_LT,4,FALSE()),""))</f>
        <v/>
      </c>
      <c r="M221" s="117" t="str">
        <f aca="false">IF(D221="","",IFERROR(VLOOKUP($D221,cfg_LT,5,FALSE()),""))</f>
        <v/>
      </c>
      <c r="N221" s="116" t="n">
        <f aca="false">IF(OR(OR($B221="",$E221="",$F221=""),M221&lt;&gt;"نعم"),0,G221*J221*IFERROR(INDEX(الموظفون!$R$6:$R$105,MATCH(B221,الموظفون!$B$6:$B$105,0)),0)/cfg_DAYS_M)</f>
        <v>0</v>
      </c>
      <c r="O221" s="115" t="str">
        <f aca="false">IF(OR(OR($B221="",$E221="",$F221=""),M221&lt;&gt;"نعم"),"",IF(YEAR(E221)=cfg_FY,MONTH(E221),""))</f>
        <v/>
      </c>
      <c r="P221" s="117" t="str">
        <f aca="false">IF(B221="","",IF(OR(D221="",E221="",F221=""),"⚠ أكمل النوع والتواريخ",IF(F221&lt;E221,"✖ النهاية قبل البداية",IF(COUNTIFS($B$6:$B$505,B221,$E$6:$E$505,"&lt;="&amp;F221,$F$6:$F$505,"&gt;="&amp;E221)&gt;1,"⚠ تداخل مع سجل آخر",IF(E221&gt;cfg_VAL_DATE,"⏳ قادمة",IF(F221&lt;cfg_VAL_DATE,"✔ منتهية","✈ جارية في تاريخ التقرير"))))))</f>
        <v/>
      </c>
      <c r="Q221" s="118"/>
      <c r="R221" s="133" t="n">
        <f aca="false">IF(OR(OR($B221="",$E221="",$F221=""),L221&lt;&gt;"لا"),0,MAX(0,MIN(F221,cfg_Y_START-1)-E221+1))</f>
        <v>0</v>
      </c>
      <c r="S221" s="133" t="n">
        <f aca="false">IF(OR(OR($B221="",$E221="",$F221=""),L221&lt;&gt;"لا"),0,MAX(0,MIN(F221,cfg_VAL_DATE)-E221+1))</f>
        <v>0</v>
      </c>
      <c r="T221" s="133" t="n">
        <f aca="false">IF(OR(OR($B221="",$E221="",$F221=""),K221&lt;&gt;"نعم"),0,IF(M221="نعم",IF(AND(ISNUMBER(O221),N(O221)&lt;=cfg_VAL_M),G221,0),MAX(0,MIN(F221,cfg_VAL_DATE)-MAX(E221,cfg_Y_START)+1)))</f>
        <v>0</v>
      </c>
      <c r="V221" s="133" t="n">
        <f aca="false">IF(OR($B221="",$E221="",$F221=""),0,MAX(0,MIN($F221,EOMONTH(DATE(cfg_FY,1,1),0))-MAX($E221,DATE(cfg_FY,1,1))+1)*(1-IF($M221="نعم",0,N($J221))))</f>
        <v>0</v>
      </c>
      <c r="W221" s="133" t="n">
        <f aca="false">IF(OR($B221="",$E221="",$F221=""),0,MAX(0,MIN($F221,EOMONTH(DATE(cfg_FY,2,1),0))-MAX($E221,DATE(cfg_FY,2,1))+1)*(1-IF($M221="نعم",0,N($J221))))</f>
        <v>0</v>
      </c>
      <c r="X221" s="133" t="n">
        <f aca="false">IF(OR($B221="",$E221="",$F221=""),0,MAX(0,MIN($F221,EOMONTH(DATE(cfg_FY,3,1),0))-MAX($E221,DATE(cfg_FY,3,1))+1)*(1-IF($M221="نعم",0,N($J221))))</f>
        <v>0</v>
      </c>
      <c r="Y221" s="133" t="n">
        <f aca="false">IF(OR($B221="",$E221="",$F221=""),0,MAX(0,MIN($F221,EOMONTH(DATE(cfg_FY,4,1),0))-MAX($E221,DATE(cfg_FY,4,1))+1)*(1-IF($M221="نعم",0,N($J221))))</f>
        <v>0</v>
      </c>
      <c r="Z221" s="133" t="n">
        <f aca="false">IF(OR($B221="",$E221="",$F221=""),0,MAX(0,MIN($F221,EOMONTH(DATE(cfg_FY,5,1),0))-MAX($E221,DATE(cfg_FY,5,1))+1)*(1-IF($M221="نعم",0,N($J221))))</f>
        <v>0</v>
      </c>
      <c r="AA221" s="133" t="n">
        <f aca="false">IF(OR($B221="",$E221="",$F221=""),0,MAX(0,MIN($F221,EOMONTH(DATE(cfg_FY,6,1),0))-MAX($E221,DATE(cfg_FY,6,1))+1)*(1-IF($M221="نعم",0,N($J221))))</f>
        <v>0</v>
      </c>
      <c r="AB221" s="133" t="n">
        <f aca="false">IF(OR($B221="",$E221="",$F221=""),0,MAX(0,MIN($F221,EOMONTH(DATE(cfg_FY,7,1),0))-MAX($E221,DATE(cfg_FY,7,1))+1)*(1-IF($M221="نعم",0,N($J221))))</f>
        <v>0</v>
      </c>
      <c r="AC221" s="133" t="n">
        <f aca="false">IF(OR($B221="",$E221="",$F221=""),0,MAX(0,MIN($F221,EOMONTH(DATE(cfg_FY,8,1),0))-MAX($E221,DATE(cfg_FY,8,1))+1)*(1-IF($M221="نعم",0,N($J221))))</f>
        <v>0</v>
      </c>
      <c r="AD221" s="133" t="n">
        <f aca="false">IF(OR($B221="",$E221="",$F221=""),0,MAX(0,MIN($F221,EOMONTH(DATE(cfg_FY,9,1),0))-MAX($E221,DATE(cfg_FY,9,1))+1)*(1-IF($M221="نعم",0,N($J221))))</f>
        <v>0</v>
      </c>
      <c r="AE221" s="133" t="n">
        <f aca="false">IF(OR($B221="",$E221="",$F221=""),0,MAX(0,MIN($F221,EOMONTH(DATE(cfg_FY,10,1),0))-MAX($E221,DATE(cfg_FY,10,1))+1)*(1-IF($M221="نعم",0,N($J221))))</f>
        <v>0</v>
      </c>
      <c r="AF221" s="133" t="n">
        <f aca="false">IF(OR($B221="",$E221="",$F221=""),0,MAX(0,MIN($F221,EOMONTH(DATE(cfg_FY,11,1),0))-MAX($E221,DATE(cfg_FY,11,1))+1)*(1-IF($M221="نعم",0,N($J221))))</f>
        <v>0</v>
      </c>
      <c r="AG221" s="133" t="n">
        <f aca="false">IF(OR($B221="",$E221="",$F221=""),0,MAX(0,MIN($F221,EOMONTH(DATE(cfg_FY,12,1),0))-MAX($E221,DATE(cfg_FY,12,1))+1)*(1-IF($M221="نعم",0,N($J221))))</f>
        <v>0</v>
      </c>
      <c r="AH221" s="133" t="n">
        <f aca="false">IF(OR(OR($B221="",$E221="",$F221=""),$L221&lt;&gt;"لا"),0,MAX(0,MIN($F221,EOMONTH(DATE(cfg_FY,1,1),0))-$E221+1))</f>
        <v>0</v>
      </c>
      <c r="AI221" s="133" t="n">
        <f aca="false">IF(OR(OR($B221="",$E221="",$F221=""),$L221&lt;&gt;"لا"),0,MAX(0,MIN($F221,EOMONTH(DATE(cfg_FY,2,1),0))-$E221+1))</f>
        <v>0</v>
      </c>
      <c r="AJ221" s="133" t="n">
        <f aca="false">IF(OR(OR($B221="",$E221="",$F221=""),$L221&lt;&gt;"لا"),0,MAX(0,MIN($F221,EOMONTH(DATE(cfg_FY,3,1),0))-$E221+1))</f>
        <v>0</v>
      </c>
      <c r="AK221" s="133" t="n">
        <f aca="false">IF(OR(OR($B221="",$E221="",$F221=""),$L221&lt;&gt;"لا"),0,MAX(0,MIN($F221,EOMONTH(DATE(cfg_FY,4,1),0))-$E221+1))</f>
        <v>0</v>
      </c>
      <c r="AL221" s="133" t="n">
        <f aca="false">IF(OR(OR($B221="",$E221="",$F221=""),$L221&lt;&gt;"لا"),0,MAX(0,MIN($F221,EOMONTH(DATE(cfg_FY,5,1),0))-$E221+1))</f>
        <v>0</v>
      </c>
      <c r="AM221" s="133" t="n">
        <f aca="false">IF(OR(OR($B221="",$E221="",$F221=""),$L221&lt;&gt;"لا"),0,MAX(0,MIN($F221,EOMONTH(DATE(cfg_FY,6,1),0))-$E221+1))</f>
        <v>0</v>
      </c>
      <c r="AN221" s="133" t="n">
        <f aca="false">IF(OR(OR($B221="",$E221="",$F221=""),$L221&lt;&gt;"لا"),0,MAX(0,MIN($F221,EOMONTH(DATE(cfg_FY,7,1),0))-$E221+1))</f>
        <v>0</v>
      </c>
      <c r="AO221" s="133" t="n">
        <f aca="false">IF(OR(OR($B221="",$E221="",$F221=""),$L221&lt;&gt;"لا"),0,MAX(0,MIN($F221,EOMONTH(DATE(cfg_FY,8,1),0))-$E221+1))</f>
        <v>0</v>
      </c>
      <c r="AP221" s="133" t="n">
        <f aca="false">IF(OR(OR($B221="",$E221="",$F221=""),$L221&lt;&gt;"لا"),0,MAX(0,MIN($F221,EOMONTH(DATE(cfg_FY,9,1),0))-$E221+1))</f>
        <v>0</v>
      </c>
      <c r="AQ221" s="133" t="n">
        <f aca="false">IF(OR(OR($B221="",$E221="",$F221=""),$L221&lt;&gt;"لا"),0,MAX(0,MIN($F221,EOMONTH(DATE(cfg_FY,10,1),0))-$E221+1))</f>
        <v>0</v>
      </c>
      <c r="AR221" s="133" t="n">
        <f aca="false">IF(OR(OR($B221="",$E221="",$F221=""),$L221&lt;&gt;"لا"),0,MAX(0,MIN($F221,EOMONTH(DATE(cfg_FY,11,1),0))-$E221+1))</f>
        <v>0</v>
      </c>
      <c r="AS221" s="133" t="n">
        <f aca="false">IF(OR(OR($B221="",$E221="",$F221=""),$L221&lt;&gt;"لا"),0,MAX(0,MIN($F221,EOMONTH(DATE(cfg_FY,12,1),0))-$E221+1))</f>
        <v>0</v>
      </c>
      <c r="AT221" s="133" t="n">
        <f aca="false">IF(OR(OR($B221="",$E221="",$F221=""),$K221&lt;&gt;"نعم",$M221="نعم"),0,MAX(0,MIN($F221,EOMONTH(DATE(cfg_FY,1,1),0))-MAX($E221,DATE(cfg_FY,1,1))+1))</f>
        <v>0</v>
      </c>
      <c r="AU221" s="133" t="n">
        <f aca="false">IF(OR(OR($B221="",$E221="",$F221=""),$K221&lt;&gt;"نعم",$M221="نعم"),0,MAX(0,MIN($F221,EOMONTH(DATE(cfg_FY,2,1),0))-MAX($E221,DATE(cfg_FY,2,1))+1))</f>
        <v>0</v>
      </c>
      <c r="AV221" s="133" t="n">
        <f aca="false">IF(OR(OR($B221="",$E221="",$F221=""),$K221&lt;&gt;"نعم",$M221="نعم"),0,MAX(0,MIN($F221,EOMONTH(DATE(cfg_FY,3,1),0))-MAX($E221,DATE(cfg_FY,3,1))+1))</f>
        <v>0</v>
      </c>
      <c r="AW221" s="133" t="n">
        <f aca="false">IF(OR(OR($B221="",$E221="",$F221=""),$K221&lt;&gt;"نعم",$M221="نعم"),0,MAX(0,MIN($F221,EOMONTH(DATE(cfg_FY,4,1),0))-MAX($E221,DATE(cfg_FY,4,1))+1))</f>
        <v>0</v>
      </c>
      <c r="AX221" s="133" t="n">
        <f aca="false">IF(OR(OR($B221="",$E221="",$F221=""),$K221&lt;&gt;"نعم",$M221="نعم"),0,MAX(0,MIN($F221,EOMONTH(DATE(cfg_FY,5,1),0))-MAX($E221,DATE(cfg_FY,5,1))+1))</f>
        <v>0</v>
      </c>
      <c r="AY221" s="133" t="n">
        <f aca="false">IF(OR(OR($B221="",$E221="",$F221=""),$K221&lt;&gt;"نعم",$M221="نعم"),0,MAX(0,MIN($F221,EOMONTH(DATE(cfg_FY,6,1),0))-MAX($E221,DATE(cfg_FY,6,1))+1))</f>
        <v>0</v>
      </c>
      <c r="AZ221" s="133" t="n">
        <f aca="false">IF(OR(OR($B221="",$E221="",$F221=""),$K221&lt;&gt;"نعم",$M221="نعم"),0,MAX(0,MIN($F221,EOMONTH(DATE(cfg_FY,7,1),0))-MAX($E221,DATE(cfg_FY,7,1))+1))</f>
        <v>0</v>
      </c>
      <c r="BA221" s="133" t="n">
        <f aca="false">IF(OR(OR($B221="",$E221="",$F221=""),$K221&lt;&gt;"نعم",$M221="نعم"),0,MAX(0,MIN($F221,EOMONTH(DATE(cfg_FY,8,1),0))-MAX($E221,DATE(cfg_FY,8,1))+1))</f>
        <v>0</v>
      </c>
      <c r="BB221" s="133" t="n">
        <f aca="false">IF(OR(OR($B221="",$E221="",$F221=""),$K221&lt;&gt;"نعم",$M221="نعم"),0,MAX(0,MIN($F221,EOMONTH(DATE(cfg_FY,9,1),0))-MAX($E221,DATE(cfg_FY,9,1))+1))</f>
        <v>0</v>
      </c>
      <c r="BC221" s="133" t="n">
        <f aca="false">IF(OR(OR($B221="",$E221="",$F221=""),$K221&lt;&gt;"نعم",$M221="نعم"),0,MAX(0,MIN($F221,EOMONTH(DATE(cfg_FY,10,1),0))-MAX($E221,DATE(cfg_FY,10,1))+1))</f>
        <v>0</v>
      </c>
      <c r="BD221" s="133" t="n">
        <f aca="false">IF(OR(OR($B221="",$E221="",$F221=""),$K221&lt;&gt;"نعم",$M221="نعم"),0,MAX(0,MIN($F221,EOMONTH(DATE(cfg_FY,11,1),0))-MAX($E221,DATE(cfg_FY,11,1))+1))</f>
        <v>0</v>
      </c>
      <c r="BE221" s="133" t="n">
        <f aca="false">IF(OR(OR($B221="",$E221="",$F221=""),$K221&lt;&gt;"نعم",$M221="نعم"),0,MAX(0,MIN($F221,EOMONTH(DATE(cfg_FY,12,1),0))-MAX($E221,DATE(cfg_FY,12,1))+1))</f>
        <v>0</v>
      </c>
    </row>
    <row r="222" customFormat="false" ht="15" hidden="false" customHeight="false" outlineLevel="0" collapsed="false">
      <c r="A222" s="106" t="str">
        <f aca="false">IF(B222="","",ROW()-5)</f>
        <v/>
      </c>
      <c r="B222" s="118"/>
      <c r="C222" s="114" t="str">
        <f aca="false">IF(B222="","",IFERROR(INDEX(الموظفون!$C$6:$C$105,MATCH(B222,الموظفون!$B$6:$B$105,0)),"✖ رقم غير موجود"))</f>
        <v/>
      </c>
      <c r="D222" s="118"/>
      <c r="E222" s="119"/>
      <c r="F222" s="119"/>
      <c r="G222" s="65" t="str">
        <f aca="false">IF(OR($B222="",$E222="",$F222=""),"",MAX(0,F222-E222+1))</f>
        <v/>
      </c>
      <c r="H222" s="66" t="str">
        <f aca="false">IF(D222="","",IFERROR(VLOOKUP(D222,cfg_LT,2,FALSE()),1))</f>
        <v/>
      </c>
      <c r="I222" s="135"/>
      <c r="J222" s="66" t="str">
        <f aca="false">IF(D222="","",IF(I222&lt;&gt;"",I222,H222))</f>
        <v/>
      </c>
      <c r="K222" s="114" t="str">
        <f aca="false">IF(D222="","",IFERROR(VLOOKUP($D222,cfg_LT,3,FALSE()),""))</f>
        <v/>
      </c>
      <c r="L222" s="114" t="str">
        <f aca="false">IF(D222="","",IFERROR(VLOOKUP($D222,cfg_LT,4,FALSE()),""))</f>
        <v/>
      </c>
      <c r="M222" s="114" t="str">
        <f aca="false">IF(D222="","",IFERROR(VLOOKUP($D222,cfg_LT,5,FALSE()),""))</f>
        <v/>
      </c>
      <c r="N222" s="111" t="n">
        <f aca="false">IF(OR(OR($B222="",$E222="",$F222=""),M222&lt;&gt;"نعم"),0,G222*J222*IFERROR(INDEX(الموظفون!$R$6:$R$105,MATCH(B222,الموظفون!$B$6:$B$105,0)),0)/cfg_DAYS_M)</f>
        <v>0</v>
      </c>
      <c r="O222" s="106" t="str">
        <f aca="false">IF(OR(OR($B222="",$E222="",$F222=""),M222&lt;&gt;"نعم"),"",IF(YEAR(E222)=cfg_FY,MONTH(E222),""))</f>
        <v/>
      </c>
      <c r="P222" s="114" t="str">
        <f aca="false">IF(B222="","",IF(OR(D222="",E222="",F222=""),"⚠ أكمل النوع والتواريخ",IF(F222&lt;E222,"✖ النهاية قبل البداية",IF(COUNTIFS($B$6:$B$505,B222,$E$6:$E$505,"&lt;="&amp;F222,$F$6:$F$505,"&gt;="&amp;E222)&gt;1,"⚠ تداخل مع سجل آخر",IF(E222&gt;cfg_VAL_DATE,"⏳ قادمة",IF(F222&lt;cfg_VAL_DATE,"✔ منتهية","✈ جارية في تاريخ التقرير"))))))</f>
        <v/>
      </c>
      <c r="Q222" s="118"/>
      <c r="R222" s="65" t="n">
        <f aca="false">IF(OR(OR($B222="",$E222="",$F222=""),L222&lt;&gt;"لا"),0,MAX(0,MIN(F222,cfg_Y_START-1)-E222+1))</f>
        <v>0</v>
      </c>
      <c r="S222" s="65" t="n">
        <f aca="false">IF(OR(OR($B222="",$E222="",$F222=""),L222&lt;&gt;"لا"),0,MAX(0,MIN(F222,cfg_VAL_DATE)-E222+1))</f>
        <v>0</v>
      </c>
      <c r="T222" s="65" t="n">
        <f aca="false">IF(OR(OR($B222="",$E222="",$F222=""),K222&lt;&gt;"نعم"),0,IF(M222="نعم",IF(AND(ISNUMBER(O222),N(O222)&lt;=cfg_VAL_M),G222,0),MAX(0,MIN(F222,cfg_VAL_DATE)-MAX(E222,cfg_Y_START)+1)))</f>
        <v>0</v>
      </c>
      <c r="V222" s="65" t="n">
        <f aca="false">IF(OR($B222="",$E222="",$F222=""),0,MAX(0,MIN($F222,EOMONTH(DATE(cfg_FY,1,1),0))-MAX($E222,DATE(cfg_FY,1,1))+1)*(1-IF($M222="نعم",0,N($J222))))</f>
        <v>0</v>
      </c>
      <c r="W222" s="65" t="n">
        <f aca="false">IF(OR($B222="",$E222="",$F222=""),0,MAX(0,MIN($F222,EOMONTH(DATE(cfg_FY,2,1),0))-MAX($E222,DATE(cfg_FY,2,1))+1)*(1-IF($M222="نعم",0,N($J222))))</f>
        <v>0</v>
      </c>
      <c r="X222" s="65" t="n">
        <f aca="false">IF(OR($B222="",$E222="",$F222=""),0,MAX(0,MIN($F222,EOMONTH(DATE(cfg_FY,3,1),0))-MAX($E222,DATE(cfg_FY,3,1))+1)*(1-IF($M222="نعم",0,N($J222))))</f>
        <v>0</v>
      </c>
      <c r="Y222" s="65" t="n">
        <f aca="false">IF(OR($B222="",$E222="",$F222=""),0,MAX(0,MIN($F222,EOMONTH(DATE(cfg_FY,4,1),0))-MAX($E222,DATE(cfg_FY,4,1))+1)*(1-IF($M222="نعم",0,N($J222))))</f>
        <v>0</v>
      </c>
      <c r="Z222" s="65" t="n">
        <f aca="false">IF(OR($B222="",$E222="",$F222=""),0,MAX(0,MIN($F222,EOMONTH(DATE(cfg_FY,5,1),0))-MAX($E222,DATE(cfg_FY,5,1))+1)*(1-IF($M222="نعم",0,N($J222))))</f>
        <v>0</v>
      </c>
      <c r="AA222" s="65" t="n">
        <f aca="false">IF(OR($B222="",$E222="",$F222=""),0,MAX(0,MIN($F222,EOMONTH(DATE(cfg_FY,6,1),0))-MAX($E222,DATE(cfg_FY,6,1))+1)*(1-IF($M222="نعم",0,N($J222))))</f>
        <v>0</v>
      </c>
      <c r="AB222" s="65" t="n">
        <f aca="false">IF(OR($B222="",$E222="",$F222=""),0,MAX(0,MIN($F222,EOMONTH(DATE(cfg_FY,7,1),0))-MAX($E222,DATE(cfg_FY,7,1))+1)*(1-IF($M222="نعم",0,N($J222))))</f>
        <v>0</v>
      </c>
      <c r="AC222" s="65" t="n">
        <f aca="false">IF(OR($B222="",$E222="",$F222=""),0,MAX(0,MIN($F222,EOMONTH(DATE(cfg_FY,8,1),0))-MAX($E222,DATE(cfg_FY,8,1))+1)*(1-IF($M222="نعم",0,N($J222))))</f>
        <v>0</v>
      </c>
      <c r="AD222" s="65" t="n">
        <f aca="false">IF(OR($B222="",$E222="",$F222=""),0,MAX(0,MIN($F222,EOMONTH(DATE(cfg_FY,9,1),0))-MAX($E222,DATE(cfg_FY,9,1))+1)*(1-IF($M222="نعم",0,N($J222))))</f>
        <v>0</v>
      </c>
      <c r="AE222" s="65" t="n">
        <f aca="false">IF(OR($B222="",$E222="",$F222=""),0,MAX(0,MIN($F222,EOMONTH(DATE(cfg_FY,10,1),0))-MAX($E222,DATE(cfg_FY,10,1))+1)*(1-IF($M222="نعم",0,N($J222))))</f>
        <v>0</v>
      </c>
      <c r="AF222" s="65" t="n">
        <f aca="false">IF(OR($B222="",$E222="",$F222=""),0,MAX(0,MIN($F222,EOMONTH(DATE(cfg_FY,11,1),0))-MAX($E222,DATE(cfg_FY,11,1))+1)*(1-IF($M222="نعم",0,N($J222))))</f>
        <v>0</v>
      </c>
      <c r="AG222" s="65" t="n">
        <f aca="false">IF(OR($B222="",$E222="",$F222=""),0,MAX(0,MIN($F222,EOMONTH(DATE(cfg_FY,12,1),0))-MAX($E222,DATE(cfg_FY,12,1))+1)*(1-IF($M222="نعم",0,N($J222))))</f>
        <v>0</v>
      </c>
      <c r="AH222" s="65" t="n">
        <f aca="false">IF(OR(OR($B222="",$E222="",$F222=""),$L222&lt;&gt;"لا"),0,MAX(0,MIN($F222,EOMONTH(DATE(cfg_FY,1,1),0))-$E222+1))</f>
        <v>0</v>
      </c>
      <c r="AI222" s="65" t="n">
        <f aca="false">IF(OR(OR($B222="",$E222="",$F222=""),$L222&lt;&gt;"لا"),0,MAX(0,MIN($F222,EOMONTH(DATE(cfg_FY,2,1),0))-$E222+1))</f>
        <v>0</v>
      </c>
      <c r="AJ222" s="65" t="n">
        <f aca="false">IF(OR(OR($B222="",$E222="",$F222=""),$L222&lt;&gt;"لا"),0,MAX(0,MIN($F222,EOMONTH(DATE(cfg_FY,3,1),0))-$E222+1))</f>
        <v>0</v>
      </c>
      <c r="AK222" s="65" t="n">
        <f aca="false">IF(OR(OR($B222="",$E222="",$F222=""),$L222&lt;&gt;"لا"),0,MAX(0,MIN($F222,EOMONTH(DATE(cfg_FY,4,1),0))-$E222+1))</f>
        <v>0</v>
      </c>
      <c r="AL222" s="65" t="n">
        <f aca="false">IF(OR(OR($B222="",$E222="",$F222=""),$L222&lt;&gt;"لا"),0,MAX(0,MIN($F222,EOMONTH(DATE(cfg_FY,5,1),0))-$E222+1))</f>
        <v>0</v>
      </c>
      <c r="AM222" s="65" t="n">
        <f aca="false">IF(OR(OR($B222="",$E222="",$F222=""),$L222&lt;&gt;"لا"),0,MAX(0,MIN($F222,EOMONTH(DATE(cfg_FY,6,1),0))-$E222+1))</f>
        <v>0</v>
      </c>
      <c r="AN222" s="65" t="n">
        <f aca="false">IF(OR(OR($B222="",$E222="",$F222=""),$L222&lt;&gt;"لا"),0,MAX(0,MIN($F222,EOMONTH(DATE(cfg_FY,7,1),0))-$E222+1))</f>
        <v>0</v>
      </c>
      <c r="AO222" s="65" t="n">
        <f aca="false">IF(OR(OR($B222="",$E222="",$F222=""),$L222&lt;&gt;"لا"),0,MAX(0,MIN($F222,EOMONTH(DATE(cfg_FY,8,1),0))-$E222+1))</f>
        <v>0</v>
      </c>
      <c r="AP222" s="65" t="n">
        <f aca="false">IF(OR(OR($B222="",$E222="",$F222=""),$L222&lt;&gt;"لا"),0,MAX(0,MIN($F222,EOMONTH(DATE(cfg_FY,9,1),0))-$E222+1))</f>
        <v>0</v>
      </c>
      <c r="AQ222" s="65" t="n">
        <f aca="false">IF(OR(OR($B222="",$E222="",$F222=""),$L222&lt;&gt;"لا"),0,MAX(0,MIN($F222,EOMONTH(DATE(cfg_FY,10,1),0))-$E222+1))</f>
        <v>0</v>
      </c>
      <c r="AR222" s="65" t="n">
        <f aca="false">IF(OR(OR($B222="",$E222="",$F222=""),$L222&lt;&gt;"لا"),0,MAX(0,MIN($F222,EOMONTH(DATE(cfg_FY,11,1),0))-$E222+1))</f>
        <v>0</v>
      </c>
      <c r="AS222" s="65" t="n">
        <f aca="false">IF(OR(OR($B222="",$E222="",$F222=""),$L222&lt;&gt;"لا"),0,MAX(0,MIN($F222,EOMONTH(DATE(cfg_FY,12,1),0))-$E222+1))</f>
        <v>0</v>
      </c>
      <c r="AT222" s="65" t="n">
        <f aca="false">IF(OR(OR($B222="",$E222="",$F222=""),$K222&lt;&gt;"نعم",$M222="نعم"),0,MAX(0,MIN($F222,EOMONTH(DATE(cfg_FY,1,1),0))-MAX($E222,DATE(cfg_FY,1,1))+1))</f>
        <v>0</v>
      </c>
      <c r="AU222" s="65" t="n">
        <f aca="false">IF(OR(OR($B222="",$E222="",$F222=""),$K222&lt;&gt;"نعم",$M222="نعم"),0,MAX(0,MIN($F222,EOMONTH(DATE(cfg_FY,2,1),0))-MAX($E222,DATE(cfg_FY,2,1))+1))</f>
        <v>0</v>
      </c>
      <c r="AV222" s="65" t="n">
        <f aca="false">IF(OR(OR($B222="",$E222="",$F222=""),$K222&lt;&gt;"نعم",$M222="نعم"),0,MAX(0,MIN($F222,EOMONTH(DATE(cfg_FY,3,1),0))-MAX($E222,DATE(cfg_FY,3,1))+1))</f>
        <v>0</v>
      </c>
      <c r="AW222" s="65" t="n">
        <f aca="false">IF(OR(OR($B222="",$E222="",$F222=""),$K222&lt;&gt;"نعم",$M222="نعم"),0,MAX(0,MIN($F222,EOMONTH(DATE(cfg_FY,4,1),0))-MAX($E222,DATE(cfg_FY,4,1))+1))</f>
        <v>0</v>
      </c>
      <c r="AX222" s="65" t="n">
        <f aca="false">IF(OR(OR($B222="",$E222="",$F222=""),$K222&lt;&gt;"نعم",$M222="نعم"),0,MAX(0,MIN($F222,EOMONTH(DATE(cfg_FY,5,1),0))-MAX($E222,DATE(cfg_FY,5,1))+1))</f>
        <v>0</v>
      </c>
      <c r="AY222" s="65" t="n">
        <f aca="false">IF(OR(OR($B222="",$E222="",$F222=""),$K222&lt;&gt;"نعم",$M222="نعم"),0,MAX(0,MIN($F222,EOMONTH(DATE(cfg_FY,6,1),0))-MAX($E222,DATE(cfg_FY,6,1))+1))</f>
        <v>0</v>
      </c>
      <c r="AZ222" s="65" t="n">
        <f aca="false">IF(OR(OR($B222="",$E222="",$F222=""),$K222&lt;&gt;"نعم",$M222="نعم"),0,MAX(0,MIN($F222,EOMONTH(DATE(cfg_FY,7,1),0))-MAX($E222,DATE(cfg_FY,7,1))+1))</f>
        <v>0</v>
      </c>
      <c r="BA222" s="65" t="n">
        <f aca="false">IF(OR(OR($B222="",$E222="",$F222=""),$K222&lt;&gt;"نعم",$M222="نعم"),0,MAX(0,MIN($F222,EOMONTH(DATE(cfg_FY,8,1),0))-MAX($E222,DATE(cfg_FY,8,1))+1))</f>
        <v>0</v>
      </c>
      <c r="BB222" s="65" t="n">
        <f aca="false">IF(OR(OR($B222="",$E222="",$F222=""),$K222&lt;&gt;"نعم",$M222="نعم"),0,MAX(0,MIN($F222,EOMONTH(DATE(cfg_FY,9,1),0))-MAX($E222,DATE(cfg_FY,9,1))+1))</f>
        <v>0</v>
      </c>
      <c r="BC222" s="65" t="n">
        <f aca="false">IF(OR(OR($B222="",$E222="",$F222=""),$K222&lt;&gt;"نعم",$M222="نعم"),0,MAX(0,MIN($F222,EOMONTH(DATE(cfg_FY,10,1),0))-MAX($E222,DATE(cfg_FY,10,1))+1))</f>
        <v>0</v>
      </c>
      <c r="BD222" s="65" t="n">
        <f aca="false">IF(OR(OR($B222="",$E222="",$F222=""),$K222&lt;&gt;"نعم",$M222="نعم"),0,MAX(0,MIN($F222,EOMONTH(DATE(cfg_FY,11,1),0))-MAX($E222,DATE(cfg_FY,11,1))+1))</f>
        <v>0</v>
      </c>
      <c r="BE222" s="65" t="n">
        <f aca="false">IF(OR(OR($B222="",$E222="",$F222=""),$K222&lt;&gt;"نعم",$M222="نعم"),0,MAX(0,MIN($F222,EOMONTH(DATE(cfg_FY,12,1),0))-MAX($E222,DATE(cfg_FY,12,1))+1))</f>
        <v>0</v>
      </c>
    </row>
    <row r="223" customFormat="false" ht="15" hidden="false" customHeight="false" outlineLevel="0" collapsed="false">
      <c r="A223" s="115" t="str">
        <f aca="false">IF(B223="","",ROW()-5)</f>
        <v/>
      </c>
      <c r="B223" s="118"/>
      <c r="C223" s="117" t="str">
        <f aca="false">IF(B223="","",IFERROR(INDEX(الموظفون!$C$6:$C$105,MATCH(B223,الموظفون!$B$6:$B$105,0)),"✖ رقم غير موجود"))</f>
        <v/>
      </c>
      <c r="D223" s="118"/>
      <c r="E223" s="119"/>
      <c r="F223" s="119"/>
      <c r="G223" s="133" t="str">
        <f aca="false">IF(OR($B223="",$E223="",$F223=""),"",MAX(0,F223-E223+1))</f>
        <v/>
      </c>
      <c r="H223" s="134" t="str">
        <f aca="false">IF(D223="","",IFERROR(VLOOKUP(D223,cfg_LT,2,FALSE()),1))</f>
        <v/>
      </c>
      <c r="I223" s="135"/>
      <c r="J223" s="134" t="str">
        <f aca="false">IF(D223="","",IF(I223&lt;&gt;"",I223,H223))</f>
        <v/>
      </c>
      <c r="K223" s="117" t="str">
        <f aca="false">IF(D223="","",IFERROR(VLOOKUP($D223,cfg_LT,3,FALSE()),""))</f>
        <v/>
      </c>
      <c r="L223" s="117" t="str">
        <f aca="false">IF(D223="","",IFERROR(VLOOKUP($D223,cfg_LT,4,FALSE()),""))</f>
        <v/>
      </c>
      <c r="M223" s="117" t="str">
        <f aca="false">IF(D223="","",IFERROR(VLOOKUP($D223,cfg_LT,5,FALSE()),""))</f>
        <v/>
      </c>
      <c r="N223" s="116" t="n">
        <f aca="false">IF(OR(OR($B223="",$E223="",$F223=""),M223&lt;&gt;"نعم"),0,G223*J223*IFERROR(INDEX(الموظفون!$R$6:$R$105,MATCH(B223,الموظفون!$B$6:$B$105,0)),0)/cfg_DAYS_M)</f>
        <v>0</v>
      </c>
      <c r="O223" s="115" t="str">
        <f aca="false">IF(OR(OR($B223="",$E223="",$F223=""),M223&lt;&gt;"نعم"),"",IF(YEAR(E223)=cfg_FY,MONTH(E223),""))</f>
        <v/>
      </c>
      <c r="P223" s="117" t="str">
        <f aca="false">IF(B223="","",IF(OR(D223="",E223="",F223=""),"⚠ أكمل النوع والتواريخ",IF(F223&lt;E223,"✖ النهاية قبل البداية",IF(COUNTIFS($B$6:$B$505,B223,$E$6:$E$505,"&lt;="&amp;F223,$F$6:$F$505,"&gt;="&amp;E223)&gt;1,"⚠ تداخل مع سجل آخر",IF(E223&gt;cfg_VAL_DATE,"⏳ قادمة",IF(F223&lt;cfg_VAL_DATE,"✔ منتهية","✈ جارية في تاريخ التقرير"))))))</f>
        <v/>
      </c>
      <c r="Q223" s="118"/>
      <c r="R223" s="133" t="n">
        <f aca="false">IF(OR(OR($B223="",$E223="",$F223=""),L223&lt;&gt;"لا"),0,MAX(0,MIN(F223,cfg_Y_START-1)-E223+1))</f>
        <v>0</v>
      </c>
      <c r="S223" s="133" t="n">
        <f aca="false">IF(OR(OR($B223="",$E223="",$F223=""),L223&lt;&gt;"لا"),0,MAX(0,MIN(F223,cfg_VAL_DATE)-E223+1))</f>
        <v>0</v>
      </c>
      <c r="T223" s="133" t="n">
        <f aca="false">IF(OR(OR($B223="",$E223="",$F223=""),K223&lt;&gt;"نعم"),0,IF(M223="نعم",IF(AND(ISNUMBER(O223),N(O223)&lt;=cfg_VAL_M),G223,0),MAX(0,MIN(F223,cfg_VAL_DATE)-MAX(E223,cfg_Y_START)+1)))</f>
        <v>0</v>
      </c>
      <c r="V223" s="133" t="n">
        <f aca="false">IF(OR($B223="",$E223="",$F223=""),0,MAX(0,MIN($F223,EOMONTH(DATE(cfg_FY,1,1),0))-MAX($E223,DATE(cfg_FY,1,1))+1)*(1-IF($M223="نعم",0,N($J223))))</f>
        <v>0</v>
      </c>
      <c r="W223" s="133" t="n">
        <f aca="false">IF(OR($B223="",$E223="",$F223=""),0,MAX(0,MIN($F223,EOMONTH(DATE(cfg_FY,2,1),0))-MAX($E223,DATE(cfg_FY,2,1))+1)*(1-IF($M223="نعم",0,N($J223))))</f>
        <v>0</v>
      </c>
      <c r="X223" s="133" t="n">
        <f aca="false">IF(OR($B223="",$E223="",$F223=""),0,MAX(0,MIN($F223,EOMONTH(DATE(cfg_FY,3,1),0))-MAX($E223,DATE(cfg_FY,3,1))+1)*(1-IF($M223="نعم",0,N($J223))))</f>
        <v>0</v>
      </c>
      <c r="Y223" s="133" t="n">
        <f aca="false">IF(OR($B223="",$E223="",$F223=""),0,MAX(0,MIN($F223,EOMONTH(DATE(cfg_FY,4,1),0))-MAX($E223,DATE(cfg_FY,4,1))+1)*(1-IF($M223="نعم",0,N($J223))))</f>
        <v>0</v>
      </c>
      <c r="Z223" s="133" t="n">
        <f aca="false">IF(OR($B223="",$E223="",$F223=""),0,MAX(0,MIN($F223,EOMONTH(DATE(cfg_FY,5,1),0))-MAX($E223,DATE(cfg_FY,5,1))+1)*(1-IF($M223="نعم",0,N($J223))))</f>
        <v>0</v>
      </c>
      <c r="AA223" s="133" t="n">
        <f aca="false">IF(OR($B223="",$E223="",$F223=""),0,MAX(0,MIN($F223,EOMONTH(DATE(cfg_FY,6,1),0))-MAX($E223,DATE(cfg_FY,6,1))+1)*(1-IF($M223="نعم",0,N($J223))))</f>
        <v>0</v>
      </c>
      <c r="AB223" s="133" t="n">
        <f aca="false">IF(OR($B223="",$E223="",$F223=""),0,MAX(0,MIN($F223,EOMONTH(DATE(cfg_FY,7,1),0))-MAX($E223,DATE(cfg_FY,7,1))+1)*(1-IF($M223="نعم",0,N($J223))))</f>
        <v>0</v>
      </c>
      <c r="AC223" s="133" t="n">
        <f aca="false">IF(OR($B223="",$E223="",$F223=""),0,MAX(0,MIN($F223,EOMONTH(DATE(cfg_FY,8,1),0))-MAX($E223,DATE(cfg_FY,8,1))+1)*(1-IF($M223="نعم",0,N($J223))))</f>
        <v>0</v>
      </c>
      <c r="AD223" s="133" t="n">
        <f aca="false">IF(OR($B223="",$E223="",$F223=""),0,MAX(0,MIN($F223,EOMONTH(DATE(cfg_FY,9,1),0))-MAX($E223,DATE(cfg_FY,9,1))+1)*(1-IF($M223="نعم",0,N($J223))))</f>
        <v>0</v>
      </c>
      <c r="AE223" s="133" t="n">
        <f aca="false">IF(OR($B223="",$E223="",$F223=""),0,MAX(0,MIN($F223,EOMONTH(DATE(cfg_FY,10,1),0))-MAX($E223,DATE(cfg_FY,10,1))+1)*(1-IF($M223="نعم",0,N($J223))))</f>
        <v>0</v>
      </c>
      <c r="AF223" s="133" t="n">
        <f aca="false">IF(OR($B223="",$E223="",$F223=""),0,MAX(0,MIN($F223,EOMONTH(DATE(cfg_FY,11,1),0))-MAX($E223,DATE(cfg_FY,11,1))+1)*(1-IF($M223="نعم",0,N($J223))))</f>
        <v>0</v>
      </c>
      <c r="AG223" s="133" t="n">
        <f aca="false">IF(OR($B223="",$E223="",$F223=""),0,MAX(0,MIN($F223,EOMONTH(DATE(cfg_FY,12,1),0))-MAX($E223,DATE(cfg_FY,12,1))+1)*(1-IF($M223="نعم",0,N($J223))))</f>
        <v>0</v>
      </c>
      <c r="AH223" s="133" t="n">
        <f aca="false">IF(OR(OR($B223="",$E223="",$F223=""),$L223&lt;&gt;"لا"),0,MAX(0,MIN($F223,EOMONTH(DATE(cfg_FY,1,1),0))-$E223+1))</f>
        <v>0</v>
      </c>
      <c r="AI223" s="133" t="n">
        <f aca="false">IF(OR(OR($B223="",$E223="",$F223=""),$L223&lt;&gt;"لا"),0,MAX(0,MIN($F223,EOMONTH(DATE(cfg_FY,2,1),0))-$E223+1))</f>
        <v>0</v>
      </c>
      <c r="AJ223" s="133" t="n">
        <f aca="false">IF(OR(OR($B223="",$E223="",$F223=""),$L223&lt;&gt;"لا"),0,MAX(0,MIN($F223,EOMONTH(DATE(cfg_FY,3,1),0))-$E223+1))</f>
        <v>0</v>
      </c>
      <c r="AK223" s="133" t="n">
        <f aca="false">IF(OR(OR($B223="",$E223="",$F223=""),$L223&lt;&gt;"لا"),0,MAX(0,MIN($F223,EOMONTH(DATE(cfg_FY,4,1),0))-$E223+1))</f>
        <v>0</v>
      </c>
      <c r="AL223" s="133" t="n">
        <f aca="false">IF(OR(OR($B223="",$E223="",$F223=""),$L223&lt;&gt;"لا"),0,MAX(0,MIN($F223,EOMONTH(DATE(cfg_FY,5,1),0))-$E223+1))</f>
        <v>0</v>
      </c>
      <c r="AM223" s="133" t="n">
        <f aca="false">IF(OR(OR($B223="",$E223="",$F223=""),$L223&lt;&gt;"لا"),0,MAX(0,MIN($F223,EOMONTH(DATE(cfg_FY,6,1),0))-$E223+1))</f>
        <v>0</v>
      </c>
      <c r="AN223" s="133" t="n">
        <f aca="false">IF(OR(OR($B223="",$E223="",$F223=""),$L223&lt;&gt;"لا"),0,MAX(0,MIN($F223,EOMONTH(DATE(cfg_FY,7,1),0))-$E223+1))</f>
        <v>0</v>
      </c>
      <c r="AO223" s="133" t="n">
        <f aca="false">IF(OR(OR($B223="",$E223="",$F223=""),$L223&lt;&gt;"لا"),0,MAX(0,MIN($F223,EOMONTH(DATE(cfg_FY,8,1),0))-$E223+1))</f>
        <v>0</v>
      </c>
      <c r="AP223" s="133" t="n">
        <f aca="false">IF(OR(OR($B223="",$E223="",$F223=""),$L223&lt;&gt;"لا"),0,MAX(0,MIN($F223,EOMONTH(DATE(cfg_FY,9,1),0))-$E223+1))</f>
        <v>0</v>
      </c>
      <c r="AQ223" s="133" t="n">
        <f aca="false">IF(OR(OR($B223="",$E223="",$F223=""),$L223&lt;&gt;"لا"),0,MAX(0,MIN($F223,EOMONTH(DATE(cfg_FY,10,1),0))-$E223+1))</f>
        <v>0</v>
      </c>
      <c r="AR223" s="133" t="n">
        <f aca="false">IF(OR(OR($B223="",$E223="",$F223=""),$L223&lt;&gt;"لا"),0,MAX(0,MIN($F223,EOMONTH(DATE(cfg_FY,11,1),0))-$E223+1))</f>
        <v>0</v>
      </c>
      <c r="AS223" s="133" t="n">
        <f aca="false">IF(OR(OR($B223="",$E223="",$F223=""),$L223&lt;&gt;"لا"),0,MAX(0,MIN($F223,EOMONTH(DATE(cfg_FY,12,1),0))-$E223+1))</f>
        <v>0</v>
      </c>
      <c r="AT223" s="133" t="n">
        <f aca="false">IF(OR(OR($B223="",$E223="",$F223=""),$K223&lt;&gt;"نعم",$M223="نعم"),0,MAX(0,MIN($F223,EOMONTH(DATE(cfg_FY,1,1),0))-MAX($E223,DATE(cfg_FY,1,1))+1))</f>
        <v>0</v>
      </c>
      <c r="AU223" s="133" t="n">
        <f aca="false">IF(OR(OR($B223="",$E223="",$F223=""),$K223&lt;&gt;"نعم",$M223="نعم"),0,MAX(0,MIN($F223,EOMONTH(DATE(cfg_FY,2,1),0))-MAX($E223,DATE(cfg_FY,2,1))+1))</f>
        <v>0</v>
      </c>
      <c r="AV223" s="133" t="n">
        <f aca="false">IF(OR(OR($B223="",$E223="",$F223=""),$K223&lt;&gt;"نعم",$M223="نعم"),0,MAX(0,MIN($F223,EOMONTH(DATE(cfg_FY,3,1),0))-MAX($E223,DATE(cfg_FY,3,1))+1))</f>
        <v>0</v>
      </c>
      <c r="AW223" s="133" t="n">
        <f aca="false">IF(OR(OR($B223="",$E223="",$F223=""),$K223&lt;&gt;"نعم",$M223="نعم"),0,MAX(0,MIN($F223,EOMONTH(DATE(cfg_FY,4,1),0))-MAX($E223,DATE(cfg_FY,4,1))+1))</f>
        <v>0</v>
      </c>
      <c r="AX223" s="133" t="n">
        <f aca="false">IF(OR(OR($B223="",$E223="",$F223=""),$K223&lt;&gt;"نعم",$M223="نعم"),0,MAX(0,MIN($F223,EOMONTH(DATE(cfg_FY,5,1),0))-MAX($E223,DATE(cfg_FY,5,1))+1))</f>
        <v>0</v>
      </c>
      <c r="AY223" s="133" t="n">
        <f aca="false">IF(OR(OR($B223="",$E223="",$F223=""),$K223&lt;&gt;"نعم",$M223="نعم"),0,MAX(0,MIN($F223,EOMONTH(DATE(cfg_FY,6,1),0))-MAX($E223,DATE(cfg_FY,6,1))+1))</f>
        <v>0</v>
      </c>
      <c r="AZ223" s="133" t="n">
        <f aca="false">IF(OR(OR($B223="",$E223="",$F223=""),$K223&lt;&gt;"نعم",$M223="نعم"),0,MAX(0,MIN($F223,EOMONTH(DATE(cfg_FY,7,1),0))-MAX($E223,DATE(cfg_FY,7,1))+1))</f>
        <v>0</v>
      </c>
      <c r="BA223" s="133" t="n">
        <f aca="false">IF(OR(OR($B223="",$E223="",$F223=""),$K223&lt;&gt;"نعم",$M223="نعم"),0,MAX(0,MIN($F223,EOMONTH(DATE(cfg_FY,8,1),0))-MAX($E223,DATE(cfg_FY,8,1))+1))</f>
        <v>0</v>
      </c>
      <c r="BB223" s="133" t="n">
        <f aca="false">IF(OR(OR($B223="",$E223="",$F223=""),$K223&lt;&gt;"نعم",$M223="نعم"),0,MAX(0,MIN($F223,EOMONTH(DATE(cfg_FY,9,1),0))-MAX($E223,DATE(cfg_FY,9,1))+1))</f>
        <v>0</v>
      </c>
      <c r="BC223" s="133" t="n">
        <f aca="false">IF(OR(OR($B223="",$E223="",$F223=""),$K223&lt;&gt;"نعم",$M223="نعم"),0,MAX(0,MIN($F223,EOMONTH(DATE(cfg_FY,10,1),0))-MAX($E223,DATE(cfg_FY,10,1))+1))</f>
        <v>0</v>
      </c>
      <c r="BD223" s="133" t="n">
        <f aca="false">IF(OR(OR($B223="",$E223="",$F223=""),$K223&lt;&gt;"نعم",$M223="نعم"),0,MAX(0,MIN($F223,EOMONTH(DATE(cfg_FY,11,1),0))-MAX($E223,DATE(cfg_FY,11,1))+1))</f>
        <v>0</v>
      </c>
      <c r="BE223" s="133" t="n">
        <f aca="false">IF(OR(OR($B223="",$E223="",$F223=""),$K223&lt;&gt;"نعم",$M223="نعم"),0,MAX(0,MIN($F223,EOMONTH(DATE(cfg_FY,12,1),0))-MAX($E223,DATE(cfg_FY,12,1))+1))</f>
        <v>0</v>
      </c>
    </row>
    <row r="224" customFormat="false" ht="15" hidden="false" customHeight="false" outlineLevel="0" collapsed="false">
      <c r="A224" s="106" t="str">
        <f aca="false">IF(B224="","",ROW()-5)</f>
        <v/>
      </c>
      <c r="B224" s="118"/>
      <c r="C224" s="114" t="str">
        <f aca="false">IF(B224="","",IFERROR(INDEX(الموظفون!$C$6:$C$105,MATCH(B224,الموظفون!$B$6:$B$105,0)),"✖ رقم غير موجود"))</f>
        <v/>
      </c>
      <c r="D224" s="118"/>
      <c r="E224" s="119"/>
      <c r="F224" s="119"/>
      <c r="G224" s="65" t="str">
        <f aca="false">IF(OR($B224="",$E224="",$F224=""),"",MAX(0,F224-E224+1))</f>
        <v/>
      </c>
      <c r="H224" s="66" t="str">
        <f aca="false">IF(D224="","",IFERROR(VLOOKUP(D224,cfg_LT,2,FALSE()),1))</f>
        <v/>
      </c>
      <c r="I224" s="135"/>
      <c r="J224" s="66" t="str">
        <f aca="false">IF(D224="","",IF(I224&lt;&gt;"",I224,H224))</f>
        <v/>
      </c>
      <c r="K224" s="114" t="str">
        <f aca="false">IF(D224="","",IFERROR(VLOOKUP($D224,cfg_LT,3,FALSE()),""))</f>
        <v/>
      </c>
      <c r="L224" s="114" t="str">
        <f aca="false">IF(D224="","",IFERROR(VLOOKUP($D224,cfg_LT,4,FALSE()),""))</f>
        <v/>
      </c>
      <c r="M224" s="114" t="str">
        <f aca="false">IF(D224="","",IFERROR(VLOOKUP($D224,cfg_LT,5,FALSE()),""))</f>
        <v/>
      </c>
      <c r="N224" s="111" t="n">
        <f aca="false">IF(OR(OR($B224="",$E224="",$F224=""),M224&lt;&gt;"نعم"),0,G224*J224*IFERROR(INDEX(الموظفون!$R$6:$R$105,MATCH(B224,الموظفون!$B$6:$B$105,0)),0)/cfg_DAYS_M)</f>
        <v>0</v>
      </c>
      <c r="O224" s="106" t="str">
        <f aca="false">IF(OR(OR($B224="",$E224="",$F224=""),M224&lt;&gt;"نعم"),"",IF(YEAR(E224)=cfg_FY,MONTH(E224),""))</f>
        <v/>
      </c>
      <c r="P224" s="114" t="str">
        <f aca="false">IF(B224="","",IF(OR(D224="",E224="",F224=""),"⚠ أكمل النوع والتواريخ",IF(F224&lt;E224,"✖ النهاية قبل البداية",IF(COUNTIFS($B$6:$B$505,B224,$E$6:$E$505,"&lt;="&amp;F224,$F$6:$F$505,"&gt;="&amp;E224)&gt;1,"⚠ تداخل مع سجل آخر",IF(E224&gt;cfg_VAL_DATE,"⏳ قادمة",IF(F224&lt;cfg_VAL_DATE,"✔ منتهية","✈ جارية في تاريخ التقرير"))))))</f>
        <v/>
      </c>
      <c r="Q224" s="118"/>
      <c r="R224" s="65" t="n">
        <f aca="false">IF(OR(OR($B224="",$E224="",$F224=""),L224&lt;&gt;"لا"),0,MAX(0,MIN(F224,cfg_Y_START-1)-E224+1))</f>
        <v>0</v>
      </c>
      <c r="S224" s="65" t="n">
        <f aca="false">IF(OR(OR($B224="",$E224="",$F224=""),L224&lt;&gt;"لا"),0,MAX(0,MIN(F224,cfg_VAL_DATE)-E224+1))</f>
        <v>0</v>
      </c>
      <c r="T224" s="65" t="n">
        <f aca="false">IF(OR(OR($B224="",$E224="",$F224=""),K224&lt;&gt;"نعم"),0,IF(M224="نعم",IF(AND(ISNUMBER(O224),N(O224)&lt;=cfg_VAL_M),G224,0),MAX(0,MIN(F224,cfg_VAL_DATE)-MAX(E224,cfg_Y_START)+1)))</f>
        <v>0</v>
      </c>
      <c r="V224" s="65" t="n">
        <f aca="false">IF(OR($B224="",$E224="",$F224=""),0,MAX(0,MIN($F224,EOMONTH(DATE(cfg_FY,1,1),0))-MAX($E224,DATE(cfg_FY,1,1))+1)*(1-IF($M224="نعم",0,N($J224))))</f>
        <v>0</v>
      </c>
      <c r="W224" s="65" t="n">
        <f aca="false">IF(OR($B224="",$E224="",$F224=""),0,MAX(0,MIN($F224,EOMONTH(DATE(cfg_FY,2,1),0))-MAX($E224,DATE(cfg_FY,2,1))+1)*(1-IF($M224="نعم",0,N($J224))))</f>
        <v>0</v>
      </c>
      <c r="X224" s="65" t="n">
        <f aca="false">IF(OR($B224="",$E224="",$F224=""),0,MAX(0,MIN($F224,EOMONTH(DATE(cfg_FY,3,1),0))-MAX($E224,DATE(cfg_FY,3,1))+1)*(1-IF($M224="نعم",0,N($J224))))</f>
        <v>0</v>
      </c>
      <c r="Y224" s="65" t="n">
        <f aca="false">IF(OR($B224="",$E224="",$F224=""),0,MAX(0,MIN($F224,EOMONTH(DATE(cfg_FY,4,1),0))-MAX($E224,DATE(cfg_FY,4,1))+1)*(1-IF($M224="نعم",0,N($J224))))</f>
        <v>0</v>
      </c>
      <c r="Z224" s="65" t="n">
        <f aca="false">IF(OR($B224="",$E224="",$F224=""),0,MAX(0,MIN($F224,EOMONTH(DATE(cfg_FY,5,1),0))-MAX($E224,DATE(cfg_FY,5,1))+1)*(1-IF($M224="نعم",0,N($J224))))</f>
        <v>0</v>
      </c>
      <c r="AA224" s="65" t="n">
        <f aca="false">IF(OR($B224="",$E224="",$F224=""),0,MAX(0,MIN($F224,EOMONTH(DATE(cfg_FY,6,1),0))-MAX($E224,DATE(cfg_FY,6,1))+1)*(1-IF($M224="نعم",0,N($J224))))</f>
        <v>0</v>
      </c>
      <c r="AB224" s="65" t="n">
        <f aca="false">IF(OR($B224="",$E224="",$F224=""),0,MAX(0,MIN($F224,EOMONTH(DATE(cfg_FY,7,1),0))-MAX($E224,DATE(cfg_FY,7,1))+1)*(1-IF($M224="نعم",0,N($J224))))</f>
        <v>0</v>
      </c>
      <c r="AC224" s="65" t="n">
        <f aca="false">IF(OR($B224="",$E224="",$F224=""),0,MAX(0,MIN($F224,EOMONTH(DATE(cfg_FY,8,1),0))-MAX($E224,DATE(cfg_FY,8,1))+1)*(1-IF($M224="نعم",0,N($J224))))</f>
        <v>0</v>
      </c>
      <c r="AD224" s="65" t="n">
        <f aca="false">IF(OR($B224="",$E224="",$F224=""),0,MAX(0,MIN($F224,EOMONTH(DATE(cfg_FY,9,1),0))-MAX($E224,DATE(cfg_FY,9,1))+1)*(1-IF($M224="نعم",0,N($J224))))</f>
        <v>0</v>
      </c>
      <c r="AE224" s="65" t="n">
        <f aca="false">IF(OR($B224="",$E224="",$F224=""),0,MAX(0,MIN($F224,EOMONTH(DATE(cfg_FY,10,1),0))-MAX($E224,DATE(cfg_FY,10,1))+1)*(1-IF($M224="نعم",0,N($J224))))</f>
        <v>0</v>
      </c>
      <c r="AF224" s="65" t="n">
        <f aca="false">IF(OR($B224="",$E224="",$F224=""),0,MAX(0,MIN($F224,EOMONTH(DATE(cfg_FY,11,1),0))-MAX($E224,DATE(cfg_FY,11,1))+1)*(1-IF($M224="نعم",0,N($J224))))</f>
        <v>0</v>
      </c>
      <c r="AG224" s="65" t="n">
        <f aca="false">IF(OR($B224="",$E224="",$F224=""),0,MAX(0,MIN($F224,EOMONTH(DATE(cfg_FY,12,1),0))-MAX($E224,DATE(cfg_FY,12,1))+1)*(1-IF($M224="نعم",0,N($J224))))</f>
        <v>0</v>
      </c>
      <c r="AH224" s="65" t="n">
        <f aca="false">IF(OR(OR($B224="",$E224="",$F224=""),$L224&lt;&gt;"لا"),0,MAX(0,MIN($F224,EOMONTH(DATE(cfg_FY,1,1),0))-$E224+1))</f>
        <v>0</v>
      </c>
      <c r="AI224" s="65" t="n">
        <f aca="false">IF(OR(OR($B224="",$E224="",$F224=""),$L224&lt;&gt;"لا"),0,MAX(0,MIN($F224,EOMONTH(DATE(cfg_FY,2,1),0))-$E224+1))</f>
        <v>0</v>
      </c>
      <c r="AJ224" s="65" t="n">
        <f aca="false">IF(OR(OR($B224="",$E224="",$F224=""),$L224&lt;&gt;"لا"),0,MAX(0,MIN($F224,EOMONTH(DATE(cfg_FY,3,1),0))-$E224+1))</f>
        <v>0</v>
      </c>
      <c r="AK224" s="65" t="n">
        <f aca="false">IF(OR(OR($B224="",$E224="",$F224=""),$L224&lt;&gt;"لا"),0,MAX(0,MIN($F224,EOMONTH(DATE(cfg_FY,4,1),0))-$E224+1))</f>
        <v>0</v>
      </c>
      <c r="AL224" s="65" t="n">
        <f aca="false">IF(OR(OR($B224="",$E224="",$F224=""),$L224&lt;&gt;"لا"),0,MAX(0,MIN($F224,EOMONTH(DATE(cfg_FY,5,1),0))-$E224+1))</f>
        <v>0</v>
      </c>
      <c r="AM224" s="65" t="n">
        <f aca="false">IF(OR(OR($B224="",$E224="",$F224=""),$L224&lt;&gt;"لا"),0,MAX(0,MIN($F224,EOMONTH(DATE(cfg_FY,6,1),0))-$E224+1))</f>
        <v>0</v>
      </c>
      <c r="AN224" s="65" t="n">
        <f aca="false">IF(OR(OR($B224="",$E224="",$F224=""),$L224&lt;&gt;"لا"),0,MAX(0,MIN($F224,EOMONTH(DATE(cfg_FY,7,1),0))-$E224+1))</f>
        <v>0</v>
      </c>
      <c r="AO224" s="65" t="n">
        <f aca="false">IF(OR(OR($B224="",$E224="",$F224=""),$L224&lt;&gt;"لا"),0,MAX(0,MIN($F224,EOMONTH(DATE(cfg_FY,8,1),0))-$E224+1))</f>
        <v>0</v>
      </c>
      <c r="AP224" s="65" t="n">
        <f aca="false">IF(OR(OR($B224="",$E224="",$F224=""),$L224&lt;&gt;"لا"),0,MAX(0,MIN($F224,EOMONTH(DATE(cfg_FY,9,1),0))-$E224+1))</f>
        <v>0</v>
      </c>
      <c r="AQ224" s="65" t="n">
        <f aca="false">IF(OR(OR($B224="",$E224="",$F224=""),$L224&lt;&gt;"لا"),0,MAX(0,MIN($F224,EOMONTH(DATE(cfg_FY,10,1),0))-$E224+1))</f>
        <v>0</v>
      </c>
      <c r="AR224" s="65" t="n">
        <f aca="false">IF(OR(OR($B224="",$E224="",$F224=""),$L224&lt;&gt;"لا"),0,MAX(0,MIN($F224,EOMONTH(DATE(cfg_FY,11,1),0))-$E224+1))</f>
        <v>0</v>
      </c>
      <c r="AS224" s="65" t="n">
        <f aca="false">IF(OR(OR($B224="",$E224="",$F224=""),$L224&lt;&gt;"لا"),0,MAX(0,MIN($F224,EOMONTH(DATE(cfg_FY,12,1),0))-$E224+1))</f>
        <v>0</v>
      </c>
      <c r="AT224" s="65" t="n">
        <f aca="false">IF(OR(OR($B224="",$E224="",$F224=""),$K224&lt;&gt;"نعم",$M224="نعم"),0,MAX(0,MIN($F224,EOMONTH(DATE(cfg_FY,1,1),0))-MAX($E224,DATE(cfg_FY,1,1))+1))</f>
        <v>0</v>
      </c>
      <c r="AU224" s="65" t="n">
        <f aca="false">IF(OR(OR($B224="",$E224="",$F224=""),$K224&lt;&gt;"نعم",$M224="نعم"),0,MAX(0,MIN($F224,EOMONTH(DATE(cfg_FY,2,1),0))-MAX($E224,DATE(cfg_FY,2,1))+1))</f>
        <v>0</v>
      </c>
      <c r="AV224" s="65" t="n">
        <f aca="false">IF(OR(OR($B224="",$E224="",$F224=""),$K224&lt;&gt;"نعم",$M224="نعم"),0,MAX(0,MIN($F224,EOMONTH(DATE(cfg_FY,3,1),0))-MAX($E224,DATE(cfg_FY,3,1))+1))</f>
        <v>0</v>
      </c>
      <c r="AW224" s="65" t="n">
        <f aca="false">IF(OR(OR($B224="",$E224="",$F224=""),$K224&lt;&gt;"نعم",$M224="نعم"),0,MAX(0,MIN($F224,EOMONTH(DATE(cfg_FY,4,1),0))-MAX($E224,DATE(cfg_FY,4,1))+1))</f>
        <v>0</v>
      </c>
      <c r="AX224" s="65" t="n">
        <f aca="false">IF(OR(OR($B224="",$E224="",$F224=""),$K224&lt;&gt;"نعم",$M224="نعم"),0,MAX(0,MIN($F224,EOMONTH(DATE(cfg_FY,5,1),0))-MAX($E224,DATE(cfg_FY,5,1))+1))</f>
        <v>0</v>
      </c>
      <c r="AY224" s="65" t="n">
        <f aca="false">IF(OR(OR($B224="",$E224="",$F224=""),$K224&lt;&gt;"نعم",$M224="نعم"),0,MAX(0,MIN($F224,EOMONTH(DATE(cfg_FY,6,1),0))-MAX($E224,DATE(cfg_FY,6,1))+1))</f>
        <v>0</v>
      </c>
      <c r="AZ224" s="65" t="n">
        <f aca="false">IF(OR(OR($B224="",$E224="",$F224=""),$K224&lt;&gt;"نعم",$M224="نعم"),0,MAX(0,MIN($F224,EOMONTH(DATE(cfg_FY,7,1),0))-MAX($E224,DATE(cfg_FY,7,1))+1))</f>
        <v>0</v>
      </c>
      <c r="BA224" s="65" t="n">
        <f aca="false">IF(OR(OR($B224="",$E224="",$F224=""),$K224&lt;&gt;"نعم",$M224="نعم"),0,MAX(0,MIN($F224,EOMONTH(DATE(cfg_FY,8,1),0))-MAX($E224,DATE(cfg_FY,8,1))+1))</f>
        <v>0</v>
      </c>
      <c r="BB224" s="65" t="n">
        <f aca="false">IF(OR(OR($B224="",$E224="",$F224=""),$K224&lt;&gt;"نعم",$M224="نعم"),0,MAX(0,MIN($F224,EOMONTH(DATE(cfg_FY,9,1),0))-MAX($E224,DATE(cfg_FY,9,1))+1))</f>
        <v>0</v>
      </c>
      <c r="BC224" s="65" t="n">
        <f aca="false">IF(OR(OR($B224="",$E224="",$F224=""),$K224&lt;&gt;"نعم",$M224="نعم"),0,MAX(0,MIN($F224,EOMONTH(DATE(cfg_FY,10,1),0))-MAX($E224,DATE(cfg_FY,10,1))+1))</f>
        <v>0</v>
      </c>
      <c r="BD224" s="65" t="n">
        <f aca="false">IF(OR(OR($B224="",$E224="",$F224=""),$K224&lt;&gt;"نعم",$M224="نعم"),0,MAX(0,MIN($F224,EOMONTH(DATE(cfg_FY,11,1),0))-MAX($E224,DATE(cfg_FY,11,1))+1))</f>
        <v>0</v>
      </c>
      <c r="BE224" s="65" t="n">
        <f aca="false">IF(OR(OR($B224="",$E224="",$F224=""),$K224&lt;&gt;"نعم",$M224="نعم"),0,MAX(0,MIN($F224,EOMONTH(DATE(cfg_FY,12,1),0))-MAX($E224,DATE(cfg_FY,12,1))+1))</f>
        <v>0</v>
      </c>
    </row>
    <row r="225" customFormat="false" ht="15" hidden="false" customHeight="false" outlineLevel="0" collapsed="false">
      <c r="A225" s="115" t="str">
        <f aca="false">IF(B225="","",ROW()-5)</f>
        <v/>
      </c>
      <c r="B225" s="118"/>
      <c r="C225" s="117" t="str">
        <f aca="false">IF(B225="","",IFERROR(INDEX(الموظفون!$C$6:$C$105,MATCH(B225,الموظفون!$B$6:$B$105,0)),"✖ رقم غير موجود"))</f>
        <v/>
      </c>
      <c r="D225" s="118"/>
      <c r="E225" s="119"/>
      <c r="F225" s="119"/>
      <c r="G225" s="133" t="str">
        <f aca="false">IF(OR($B225="",$E225="",$F225=""),"",MAX(0,F225-E225+1))</f>
        <v/>
      </c>
      <c r="H225" s="134" t="str">
        <f aca="false">IF(D225="","",IFERROR(VLOOKUP(D225,cfg_LT,2,FALSE()),1))</f>
        <v/>
      </c>
      <c r="I225" s="135"/>
      <c r="J225" s="134" t="str">
        <f aca="false">IF(D225="","",IF(I225&lt;&gt;"",I225,H225))</f>
        <v/>
      </c>
      <c r="K225" s="117" t="str">
        <f aca="false">IF(D225="","",IFERROR(VLOOKUP($D225,cfg_LT,3,FALSE()),""))</f>
        <v/>
      </c>
      <c r="L225" s="117" t="str">
        <f aca="false">IF(D225="","",IFERROR(VLOOKUP($D225,cfg_LT,4,FALSE()),""))</f>
        <v/>
      </c>
      <c r="M225" s="117" t="str">
        <f aca="false">IF(D225="","",IFERROR(VLOOKUP($D225,cfg_LT,5,FALSE()),""))</f>
        <v/>
      </c>
      <c r="N225" s="116" t="n">
        <f aca="false">IF(OR(OR($B225="",$E225="",$F225=""),M225&lt;&gt;"نعم"),0,G225*J225*IFERROR(INDEX(الموظفون!$R$6:$R$105,MATCH(B225,الموظفون!$B$6:$B$105,0)),0)/cfg_DAYS_M)</f>
        <v>0</v>
      </c>
      <c r="O225" s="115" t="str">
        <f aca="false">IF(OR(OR($B225="",$E225="",$F225=""),M225&lt;&gt;"نعم"),"",IF(YEAR(E225)=cfg_FY,MONTH(E225),""))</f>
        <v/>
      </c>
      <c r="P225" s="117" t="str">
        <f aca="false">IF(B225="","",IF(OR(D225="",E225="",F225=""),"⚠ أكمل النوع والتواريخ",IF(F225&lt;E225,"✖ النهاية قبل البداية",IF(COUNTIFS($B$6:$B$505,B225,$E$6:$E$505,"&lt;="&amp;F225,$F$6:$F$505,"&gt;="&amp;E225)&gt;1,"⚠ تداخل مع سجل آخر",IF(E225&gt;cfg_VAL_DATE,"⏳ قادمة",IF(F225&lt;cfg_VAL_DATE,"✔ منتهية","✈ جارية في تاريخ التقرير"))))))</f>
        <v/>
      </c>
      <c r="Q225" s="118"/>
      <c r="R225" s="133" t="n">
        <f aca="false">IF(OR(OR($B225="",$E225="",$F225=""),L225&lt;&gt;"لا"),0,MAX(0,MIN(F225,cfg_Y_START-1)-E225+1))</f>
        <v>0</v>
      </c>
      <c r="S225" s="133" t="n">
        <f aca="false">IF(OR(OR($B225="",$E225="",$F225=""),L225&lt;&gt;"لا"),0,MAX(0,MIN(F225,cfg_VAL_DATE)-E225+1))</f>
        <v>0</v>
      </c>
      <c r="T225" s="133" t="n">
        <f aca="false">IF(OR(OR($B225="",$E225="",$F225=""),K225&lt;&gt;"نعم"),0,IF(M225="نعم",IF(AND(ISNUMBER(O225),N(O225)&lt;=cfg_VAL_M),G225,0),MAX(0,MIN(F225,cfg_VAL_DATE)-MAX(E225,cfg_Y_START)+1)))</f>
        <v>0</v>
      </c>
      <c r="V225" s="133" t="n">
        <f aca="false">IF(OR($B225="",$E225="",$F225=""),0,MAX(0,MIN($F225,EOMONTH(DATE(cfg_FY,1,1),0))-MAX($E225,DATE(cfg_FY,1,1))+1)*(1-IF($M225="نعم",0,N($J225))))</f>
        <v>0</v>
      </c>
      <c r="W225" s="133" t="n">
        <f aca="false">IF(OR($B225="",$E225="",$F225=""),0,MAX(0,MIN($F225,EOMONTH(DATE(cfg_FY,2,1),0))-MAX($E225,DATE(cfg_FY,2,1))+1)*(1-IF($M225="نعم",0,N($J225))))</f>
        <v>0</v>
      </c>
      <c r="X225" s="133" t="n">
        <f aca="false">IF(OR($B225="",$E225="",$F225=""),0,MAX(0,MIN($F225,EOMONTH(DATE(cfg_FY,3,1),0))-MAX($E225,DATE(cfg_FY,3,1))+1)*(1-IF($M225="نعم",0,N($J225))))</f>
        <v>0</v>
      </c>
      <c r="Y225" s="133" t="n">
        <f aca="false">IF(OR($B225="",$E225="",$F225=""),0,MAX(0,MIN($F225,EOMONTH(DATE(cfg_FY,4,1),0))-MAX($E225,DATE(cfg_FY,4,1))+1)*(1-IF($M225="نعم",0,N($J225))))</f>
        <v>0</v>
      </c>
      <c r="Z225" s="133" t="n">
        <f aca="false">IF(OR($B225="",$E225="",$F225=""),0,MAX(0,MIN($F225,EOMONTH(DATE(cfg_FY,5,1),0))-MAX($E225,DATE(cfg_FY,5,1))+1)*(1-IF($M225="نعم",0,N($J225))))</f>
        <v>0</v>
      </c>
      <c r="AA225" s="133" t="n">
        <f aca="false">IF(OR($B225="",$E225="",$F225=""),0,MAX(0,MIN($F225,EOMONTH(DATE(cfg_FY,6,1),0))-MAX($E225,DATE(cfg_FY,6,1))+1)*(1-IF($M225="نعم",0,N($J225))))</f>
        <v>0</v>
      </c>
      <c r="AB225" s="133" t="n">
        <f aca="false">IF(OR($B225="",$E225="",$F225=""),0,MAX(0,MIN($F225,EOMONTH(DATE(cfg_FY,7,1),0))-MAX($E225,DATE(cfg_FY,7,1))+1)*(1-IF($M225="نعم",0,N($J225))))</f>
        <v>0</v>
      </c>
      <c r="AC225" s="133" t="n">
        <f aca="false">IF(OR($B225="",$E225="",$F225=""),0,MAX(0,MIN($F225,EOMONTH(DATE(cfg_FY,8,1),0))-MAX($E225,DATE(cfg_FY,8,1))+1)*(1-IF($M225="نعم",0,N($J225))))</f>
        <v>0</v>
      </c>
      <c r="AD225" s="133" t="n">
        <f aca="false">IF(OR($B225="",$E225="",$F225=""),0,MAX(0,MIN($F225,EOMONTH(DATE(cfg_FY,9,1),0))-MAX($E225,DATE(cfg_FY,9,1))+1)*(1-IF($M225="نعم",0,N($J225))))</f>
        <v>0</v>
      </c>
      <c r="AE225" s="133" t="n">
        <f aca="false">IF(OR($B225="",$E225="",$F225=""),0,MAX(0,MIN($F225,EOMONTH(DATE(cfg_FY,10,1),0))-MAX($E225,DATE(cfg_FY,10,1))+1)*(1-IF($M225="نعم",0,N($J225))))</f>
        <v>0</v>
      </c>
      <c r="AF225" s="133" t="n">
        <f aca="false">IF(OR($B225="",$E225="",$F225=""),0,MAX(0,MIN($F225,EOMONTH(DATE(cfg_FY,11,1),0))-MAX($E225,DATE(cfg_FY,11,1))+1)*(1-IF($M225="نعم",0,N($J225))))</f>
        <v>0</v>
      </c>
      <c r="AG225" s="133" t="n">
        <f aca="false">IF(OR($B225="",$E225="",$F225=""),0,MAX(0,MIN($F225,EOMONTH(DATE(cfg_FY,12,1),0))-MAX($E225,DATE(cfg_FY,12,1))+1)*(1-IF($M225="نعم",0,N($J225))))</f>
        <v>0</v>
      </c>
      <c r="AH225" s="133" t="n">
        <f aca="false">IF(OR(OR($B225="",$E225="",$F225=""),$L225&lt;&gt;"لا"),0,MAX(0,MIN($F225,EOMONTH(DATE(cfg_FY,1,1),0))-$E225+1))</f>
        <v>0</v>
      </c>
      <c r="AI225" s="133" t="n">
        <f aca="false">IF(OR(OR($B225="",$E225="",$F225=""),$L225&lt;&gt;"لا"),0,MAX(0,MIN($F225,EOMONTH(DATE(cfg_FY,2,1),0))-$E225+1))</f>
        <v>0</v>
      </c>
      <c r="AJ225" s="133" t="n">
        <f aca="false">IF(OR(OR($B225="",$E225="",$F225=""),$L225&lt;&gt;"لا"),0,MAX(0,MIN($F225,EOMONTH(DATE(cfg_FY,3,1),0))-$E225+1))</f>
        <v>0</v>
      </c>
      <c r="AK225" s="133" t="n">
        <f aca="false">IF(OR(OR($B225="",$E225="",$F225=""),$L225&lt;&gt;"لا"),0,MAX(0,MIN($F225,EOMONTH(DATE(cfg_FY,4,1),0))-$E225+1))</f>
        <v>0</v>
      </c>
      <c r="AL225" s="133" t="n">
        <f aca="false">IF(OR(OR($B225="",$E225="",$F225=""),$L225&lt;&gt;"لا"),0,MAX(0,MIN($F225,EOMONTH(DATE(cfg_FY,5,1),0))-$E225+1))</f>
        <v>0</v>
      </c>
      <c r="AM225" s="133" t="n">
        <f aca="false">IF(OR(OR($B225="",$E225="",$F225=""),$L225&lt;&gt;"لا"),0,MAX(0,MIN($F225,EOMONTH(DATE(cfg_FY,6,1),0))-$E225+1))</f>
        <v>0</v>
      </c>
      <c r="AN225" s="133" t="n">
        <f aca="false">IF(OR(OR($B225="",$E225="",$F225=""),$L225&lt;&gt;"لا"),0,MAX(0,MIN($F225,EOMONTH(DATE(cfg_FY,7,1),0))-$E225+1))</f>
        <v>0</v>
      </c>
      <c r="AO225" s="133" t="n">
        <f aca="false">IF(OR(OR($B225="",$E225="",$F225=""),$L225&lt;&gt;"لا"),0,MAX(0,MIN($F225,EOMONTH(DATE(cfg_FY,8,1),0))-$E225+1))</f>
        <v>0</v>
      </c>
      <c r="AP225" s="133" t="n">
        <f aca="false">IF(OR(OR($B225="",$E225="",$F225=""),$L225&lt;&gt;"لا"),0,MAX(0,MIN($F225,EOMONTH(DATE(cfg_FY,9,1),0))-$E225+1))</f>
        <v>0</v>
      </c>
      <c r="AQ225" s="133" t="n">
        <f aca="false">IF(OR(OR($B225="",$E225="",$F225=""),$L225&lt;&gt;"لا"),0,MAX(0,MIN($F225,EOMONTH(DATE(cfg_FY,10,1),0))-$E225+1))</f>
        <v>0</v>
      </c>
      <c r="AR225" s="133" t="n">
        <f aca="false">IF(OR(OR($B225="",$E225="",$F225=""),$L225&lt;&gt;"لا"),0,MAX(0,MIN($F225,EOMONTH(DATE(cfg_FY,11,1),0))-$E225+1))</f>
        <v>0</v>
      </c>
      <c r="AS225" s="133" t="n">
        <f aca="false">IF(OR(OR($B225="",$E225="",$F225=""),$L225&lt;&gt;"لا"),0,MAX(0,MIN($F225,EOMONTH(DATE(cfg_FY,12,1),0))-$E225+1))</f>
        <v>0</v>
      </c>
      <c r="AT225" s="133" t="n">
        <f aca="false">IF(OR(OR($B225="",$E225="",$F225=""),$K225&lt;&gt;"نعم",$M225="نعم"),0,MAX(0,MIN($F225,EOMONTH(DATE(cfg_FY,1,1),0))-MAX($E225,DATE(cfg_FY,1,1))+1))</f>
        <v>0</v>
      </c>
      <c r="AU225" s="133" t="n">
        <f aca="false">IF(OR(OR($B225="",$E225="",$F225=""),$K225&lt;&gt;"نعم",$M225="نعم"),0,MAX(0,MIN($F225,EOMONTH(DATE(cfg_FY,2,1),0))-MAX($E225,DATE(cfg_FY,2,1))+1))</f>
        <v>0</v>
      </c>
      <c r="AV225" s="133" t="n">
        <f aca="false">IF(OR(OR($B225="",$E225="",$F225=""),$K225&lt;&gt;"نعم",$M225="نعم"),0,MAX(0,MIN($F225,EOMONTH(DATE(cfg_FY,3,1),0))-MAX($E225,DATE(cfg_FY,3,1))+1))</f>
        <v>0</v>
      </c>
      <c r="AW225" s="133" t="n">
        <f aca="false">IF(OR(OR($B225="",$E225="",$F225=""),$K225&lt;&gt;"نعم",$M225="نعم"),0,MAX(0,MIN($F225,EOMONTH(DATE(cfg_FY,4,1),0))-MAX($E225,DATE(cfg_FY,4,1))+1))</f>
        <v>0</v>
      </c>
      <c r="AX225" s="133" t="n">
        <f aca="false">IF(OR(OR($B225="",$E225="",$F225=""),$K225&lt;&gt;"نعم",$M225="نعم"),0,MAX(0,MIN($F225,EOMONTH(DATE(cfg_FY,5,1),0))-MAX($E225,DATE(cfg_FY,5,1))+1))</f>
        <v>0</v>
      </c>
      <c r="AY225" s="133" t="n">
        <f aca="false">IF(OR(OR($B225="",$E225="",$F225=""),$K225&lt;&gt;"نعم",$M225="نعم"),0,MAX(0,MIN($F225,EOMONTH(DATE(cfg_FY,6,1),0))-MAX($E225,DATE(cfg_FY,6,1))+1))</f>
        <v>0</v>
      </c>
      <c r="AZ225" s="133" t="n">
        <f aca="false">IF(OR(OR($B225="",$E225="",$F225=""),$K225&lt;&gt;"نعم",$M225="نعم"),0,MAX(0,MIN($F225,EOMONTH(DATE(cfg_FY,7,1),0))-MAX($E225,DATE(cfg_FY,7,1))+1))</f>
        <v>0</v>
      </c>
      <c r="BA225" s="133" t="n">
        <f aca="false">IF(OR(OR($B225="",$E225="",$F225=""),$K225&lt;&gt;"نعم",$M225="نعم"),0,MAX(0,MIN($F225,EOMONTH(DATE(cfg_FY,8,1),0))-MAX($E225,DATE(cfg_FY,8,1))+1))</f>
        <v>0</v>
      </c>
      <c r="BB225" s="133" t="n">
        <f aca="false">IF(OR(OR($B225="",$E225="",$F225=""),$K225&lt;&gt;"نعم",$M225="نعم"),0,MAX(0,MIN($F225,EOMONTH(DATE(cfg_FY,9,1),0))-MAX($E225,DATE(cfg_FY,9,1))+1))</f>
        <v>0</v>
      </c>
      <c r="BC225" s="133" t="n">
        <f aca="false">IF(OR(OR($B225="",$E225="",$F225=""),$K225&lt;&gt;"نعم",$M225="نعم"),0,MAX(0,MIN($F225,EOMONTH(DATE(cfg_FY,10,1),0))-MAX($E225,DATE(cfg_FY,10,1))+1))</f>
        <v>0</v>
      </c>
      <c r="BD225" s="133" t="n">
        <f aca="false">IF(OR(OR($B225="",$E225="",$F225=""),$K225&lt;&gt;"نعم",$M225="نعم"),0,MAX(0,MIN($F225,EOMONTH(DATE(cfg_FY,11,1),0))-MAX($E225,DATE(cfg_FY,11,1))+1))</f>
        <v>0</v>
      </c>
      <c r="BE225" s="133" t="n">
        <f aca="false">IF(OR(OR($B225="",$E225="",$F225=""),$K225&lt;&gt;"نعم",$M225="نعم"),0,MAX(0,MIN($F225,EOMONTH(DATE(cfg_FY,12,1),0))-MAX($E225,DATE(cfg_FY,12,1))+1))</f>
        <v>0</v>
      </c>
    </row>
    <row r="226" customFormat="false" ht="15" hidden="false" customHeight="false" outlineLevel="0" collapsed="false">
      <c r="A226" s="106" t="str">
        <f aca="false">IF(B226="","",ROW()-5)</f>
        <v/>
      </c>
      <c r="B226" s="118"/>
      <c r="C226" s="114" t="str">
        <f aca="false">IF(B226="","",IFERROR(INDEX(الموظفون!$C$6:$C$105,MATCH(B226,الموظفون!$B$6:$B$105,0)),"✖ رقم غير موجود"))</f>
        <v/>
      </c>
      <c r="D226" s="118"/>
      <c r="E226" s="119"/>
      <c r="F226" s="119"/>
      <c r="G226" s="65" t="str">
        <f aca="false">IF(OR($B226="",$E226="",$F226=""),"",MAX(0,F226-E226+1))</f>
        <v/>
      </c>
      <c r="H226" s="66" t="str">
        <f aca="false">IF(D226="","",IFERROR(VLOOKUP(D226,cfg_LT,2,FALSE()),1))</f>
        <v/>
      </c>
      <c r="I226" s="135"/>
      <c r="J226" s="66" t="str">
        <f aca="false">IF(D226="","",IF(I226&lt;&gt;"",I226,H226))</f>
        <v/>
      </c>
      <c r="K226" s="114" t="str">
        <f aca="false">IF(D226="","",IFERROR(VLOOKUP($D226,cfg_LT,3,FALSE()),""))</f>
        <v/>
      </c>
      <c r="L226" s="114" t="str">
        <f aca="false">IF(D226="","",IFERROR(VLOOKUP($D226,cfg_LT,4,FALSE()),""))</f>
        <v/>
      </c>
      <c r="M226" s="114" t="str">
        <f aca="false">IF(D226="","",IFERROR(VLOOKUP($D226,cfg_LT,5,FALSE()),""))</f>
        <v/>
      </c>
      <c r="N226" s="111" t="n">
        <f aca="false">IF(OR(OR($B226="",$E226="",$F226=""),M226&lt;&gt;"نعم"),0,G226*J226*IFERROR(INDEX(الموظفون!$R$6:$R$105,MATCH(B226,الموظفون!$B$6:$B$105,0)),0)/cfg_DAYS_M)</f>
        <v>0</v>
      </c>
      <c r="O226" s="106" t="str">
        <f aca="false">IF(OR(OR($B226="",$E226="",$F226=""),M226&lt;&gt;"نعم"),"",IF(YEAR(E226)=cfg_FY,MONTH(E226),""))</f>
        <v/>
      </c>
      <c r="P226" s="114" t="str">
        <f aca="false">IF(B226="","",IF(OR(D226="",E226="",F226=""),"⚠ أكمل النوع والتواريخ",IF(F226&lt;E226,"✖ النهاية قبل البداية",IF(COUNTIFS($B$6:$B$505,B226,$E$6:$E$505,"&lt;="&amp;F226,$F$6:$F$505,"&gt;="&amp;E226)&gt;1,"⚠ تداخل مع سجل آخر",IF(E226&gt;cfg_VAL_DATE,"⏳ قادمة",IF(F226&lt;cfg_VAL_DATE,"✔ منتهية","✈ جارية في تاريخ التقرير"))))))</f>
        <v/>
      </c>
      <c r="Q226" s="118"/>
      <c r="R226" s="65" t="n">
        <f aca="false">IF(OR(OR($B226="",$E226="",$F226=""),L226&lt;&gt;"لا"),0,MAX(0,MIN(F226,cfg_Y_START-1)-E226+1))</f>
        <v>0</v>
      </c>
      <c r="S226" s="65" t="n">
        <f aca="false">IF(OR(OR($B226="",$E226="",$F226=""),L226&lt;&gt;"لا"),0,MAX(0,MIN(F226,cfg_VAL_DATE)-E226+1))</f>
        <v>0</v>
      </c>
      <c r="T226" s="65" t="n">
        <f aca="false">IF(OR(OR($B226="",$E226="",$F226=""),K226&lt;&gt;"نعم"),0,IF(M226="نعم",IF(AND(ISNUMBER(O226),N(O226)&lt;=cfg_VAL_M),G226,0),MAX(0,MIN(F226,cfg_VAL_DATE)-MAX(E226,cfg_Y_START)+1)))</f>
        <v>0</v>
      </c>
      <c r="V226" s="65" t="n">
        <f aca="false">IF(OR($B226="",$E226="",$F226=""),0,MAX(0,MIN($F226,EOMONTH(DATE(cfg_FY,1,1),0))-MAX($E226,DATE(cfg_FY,1,1))+1)*(1-IF($M226="نعم",0,N($J226))))</f>
        <v>0</v>
      </c>
      <c r="W226" s="65" t="n">
        <f aca="false">IF(OR($B226="",$E226="",$F226=""),0,MAX(0,MIN($F226,EOMONTH(DATE(cfg_FY,2,1),0))-MAX($E226,DATE(cfg_FY,2,1))+1)*(1-IF($M226="نعم",0,N($J226))))</f>
        <v>0</v>
      </c>
      <c r="X226" s="65" t="n">
        <f aca="false">IF(OR($B226="",$E226="",$F226=""),0,MAX(0,MIN($F226,EOMONTH(DATE(cfg_FY,3,1),0))-MAX($E226,DATE(cfg_FY,3,1))+1)*(1-IF($M226="نعم",0,N($J226))))</f>
        <v>0</v>
      </c>
      <c r="Y226" s="65" t="n">
        <f aca="false">IF(OR($B226="",$E226="",$F226=""),0,MAX(0,MIN($F226,EOMONTH(DATE(cfg_FY,4,1),0))-MAX($E226,DATE(cfg_FY,4,1))+1)*(1-IF($M226="نعم",0,N($J226))))</f>
        <v>0</v>
      </c>
      <c r="Z226" s="65" t="n">
        <f aca="false">IF(OR($B226="",$E226="",$F226=""),0,MAX(0,MIN($F226,EOMONTH(DATE(cfg_FY,5,1),0))-MAX($E226,DATE(cfg_FY,5,1))+1)*(1-IF($M226="نعم",0,N($J226))))</f>
        <v>0</v>
      </c>
      <c r="AA226" s="65" t="n">
        <f aca="false">IF(OR($B226="",$E226="",$F226=""),0,MAX(0,MIN($F226,EOMONTH(DATE(cfg_FY,6,1),0))-MAX($E226,DATE(cfg_FY,6,1))+1)*(1-IF($M226="نعم",0,N($J226))))</f>
        <v>0</v>
      </c>
      <c r="AB226" s="65" t="n">
        <f aca="false">IF(OR($B226="",$E226="",$F226=""),0,MAX(0,MIN($F226,EOMONTH(DATE(cfg_FY,7,1),0))-MAX($E226,DATE(cfg_FY,7,1))+1)*(1-IF($M226="نعم",0,N($J226))))</f>
        <v>0</v>
      </c>
      <c r="AC226" s="65" t="n">
        <f aca="false">IF(OR($B226="",$E226="",$F226=""),0,MAX(0,MIN($F226,EOMONTH(DATE(cfg_FY,8,1),0))-MAX($E226,DATE(cfg_FY,8,1))+1)*(1-IF($M226="نعم",0,N($J226))))</f>
        <v>0</v>
      </c>
      <c r="AD226" s="65" t="n">
        <f aca="false">IF(OR($B226="",$E226="",$F226=""),0,MAX(0,MIN($F226,EOMONTH(DATE(cfg_FY,9,1),0))-MAX($E226,DATE(cfg_FY,9,1))+1)*(1-IF($M226="نعم",0,N($J226))))</f>
        <v>0</v>
      </c>
      <c r="AE226" s="65" t="n">
        <f aca="false">IF(OR($B226="",$E226="",$F226=""),0,MAX(0,MIN($F226,EOMONTH(DATE(cfg_FY,10,1),0))-MAX($E226,DATE(cfg_FY,10,1))+1)*(1-IF($M226="نعم",0,N($J226))))</f>
        <v>0</v>
      </c>
      <c r="AF226" s="65" t="n">
        <f aca="false">IF(OR($B226="",$E226="",$F226=""),0,MAX(0,MIN($F226,EOMONTH(DATE(cfg_FY,11,1),0))-MAX($E226,DATE(cfg_FY,11,1))+1)*(1-IF($M226="نعم",0,N($J226))))</f>
        <v>0</v>
      </c>
      <c r="AG226" s="65" t="n">
        <f aca="false">IF(OR($B226="",$E226="",$F226=""),0,MAX(0,MIN($F226,EOMONTH(DATE(cfg_FY,12,1),0))-MAX($E226,DATE(cfg_FY,12,1))+1)*(1-IF($M226="نعم",0,N($J226))))</f>
        <v>0</v>
      </c>
      <c r="AH226" s="65" t="n">
        <f aca="false">IF(OR(OR($B226="",$E226="",$F226=""),$L226&lt;&gt;"لا"),0,MAX(0,MIN($F226,EOMONTH(DATE(cfg_FY,1,1),0))-$E226+1))</f>
        <v>0</v>
      </c>
      <c r="AI226" s="65" t="n">
        <f aca="false">IF(OR(OR($B226="",$E226="",$F226=""),$L226&lt;&gt;"لا"),0,MAX(0,MIN($F226,EOMONTH(DATE(cfg_FY,2,1),0))-$E226+1))</f>
        <v>0</v>
      </c>
      <c r="AJ226" s="65" t="n">
        <f aca="false">IF(OR(OR($B226="",$E226="",$F226=""),$L226&lt;&gt;"لا"),0,MAX(0,MIN($F226,EOMONTH(DATE(cfg_FY,3,1),0))-$E226+1))</f>
        <v>0</v>
      </c>
      <c r="AK226" s="65" t="n">
        <f aca="false">IF(OR(OR($B226="",$E226="",$F226=""),$L226&lt;&gt;"لا"),0,MAX(0,MIN($F226,EOMONTH(DATE(cfg_FY,4,1),0))-$E226+1))</f>
        <v>0</v>
      </c>
      <c r="AL226" s="65" t="n">
        <f aca="false">IF(OR(OR($B226="",$E226="",$F226=""),$L226&lt;&gt;"لا"),0,MAX(0,MIN($F226,EOMONTH(DATE(cfg_FY,5,1),0))-$E226+1))</f>
        <v>0</v>
      </c>
      <c r="AM226" s="65" t="n">
        <f aca="false">IF(OR(OR($B226="",$E226="",$F226=""),$L226&lt;&gt;"لا"),0,MAX(0,MIN($F226,EOMONTH(DATE(cfg_FY,6,1),0))-$E226+1))</f>
        <v>0</v>
      </c>
      <c r="AN226" s="65" t="n">
        <f aca="false">IF(OR(OR($B226="",$E226="",$F226=""),$L226&lt;&gt;"لا"),0,MAX(0,MIN($F226,EOMONTH(DATE(cfg_FY,7,1),0))-$E226+1))</f>
        <v>0</v>
      </c>
      <c r="AO226" s="65" t="n">
        <f aca="false">IF(OR(OR($B226="",$E226="",$F226=""),$L226&lt;&gt;"لا"),0,MAX(0,MIN($F226,EOMONTH(DATE(cfg_FY,8,1),0))-$E226+1))</f>
        <v>0</v>
      </c>
      <c r="AP226" s="65" t="n">
        <f aca="false">IF(OR(OR($B226="",$E226="",$F226=""),$L226&lt;&gt;"لا"),0,MAX(0,MIN($F226,EOMONTH(DATE(cfg_FY,9,1),0))-$E226+1))</f>
        <v>0</v>
      </c>
      <c r="AQ226" s="65" t="n">
        <f aca="false">IF(OR(OR($B226="",$E226="",$F226=""),$L226&lt;&gt;"لا"),0,MAX(0,MIN($F226,EOMONTH(DATE(cfg_FY,10,1),0))-$E226+1))</f>
        <v>0</v>
      </c>
      <c r="AR226" s="65" t="n">
        <f aca="false">IF(OR(OR($B226="",$E226="",$F226=""),$L226&lt;&gt;"لا"),0,MAX(0,MIN($F226,EOMONTH(DATE(cfg_FY,11,1),0))-$E226+1))</f>
        <v>0</v>
      </c>
      <c r="AS226" s="65" t="n">
        <f aca="false">IF(OR(OR($B226="",$E226="",$F226=""),$L226&lt;&gt;"لا"),0,MAX(0,MIN($F226,EOMONTH(DATE(cfg_FY,12,1),0))-$E226+1))</f>
        <v>0</v>
      </c>
      <c r="AT226" s="65" t="n">
        <f aca="false">IF(OR(OR($B226="",$E226="",$F226=""),$K226&lt;&gt;"نعم",$M226="نعم"),0,MAX(0,MIN($F226,EOMONTH(DATE(cfg_FY,1,1),0))-MAX($E226,DATE(cfg_FY,1,1))+1))</f>
        <v>0</v>
      </c>
      <c r="AU226" s="65" t="n">
        <f aca="false">IF(OR(OR($B226="",$E226="",$F226=""),$K226&lt;&gt;"نعم",$M226="نعم"),0,MAX(0,MIN($F226,EOMONTH(DATE(cfg_FY,2,1),0))-MAX($E226,DATE(cfg_FY,2,1))+1))</f>
        <v>0</v>
      </c>
      <c r="AV226" s="65" t="n">
        <f aca="false">IF(OR(OR($B226="",$E226="",$F226=""),$K226&lt;&gt;"نعم",$M226="نعم"),0,MAX(0,MIN($F226,EOMONTH(DATE(cfg_FY,3,1),0))-MAX($E226,DATE(cfg_FY,3,1))+1))</f>
        <v>0</v>
      </c>
      <c r="AW226" s="65" t="n">
        <f aca="false">IF(OR(OR($B226="",$E226="",$F226=""),$K226&lt;&gt;"نعم",$M226="نعم"),0,MAX(0,MIN($F226,EOMONTH(DATE(cfg_FY,4,1),0))-MAX($E226,DATE(cfg_FY,4,1))+1))</f>
        <v>0</v>
      </c>
      <c r="AX226" s="65" t="n">
        <f aca="false">IF(OR(OR($B226="",$E226="",$F226=""),$K226&lt;&gt;"نعم",$M226="نعم"),0,MAX(0,MIN($F226,EOMONTH(DATE(cfg_FY,5,1),0))-MAX($E226,DATE(cfg_FY,5,1))+1))</f>
        <v>0</v>
      </c>
      <c r="AY226" s="65" t="n">
        <f aca="false">IF(OR(OR($B226="",$E226="",$F226=""),$K226&lt;&gt;"نعم",$M226="نعم"),0,MAX(0,MIN($F226,EOMONTH(DATE(cfg_FY,6,1),0))-MAX($E226,DATE(cfg_FY,6,1))+1))</f>
        <v>0</v>
      </c>
      <c r="AZ226" s="65" t="n">
        <f aca="false">IF(OR(OR($B226="",$E226="",$F226=""),$K226&lt;&gt;"نعم",$M226="نعم"),0,MAX(0,MIN($F226,EOMONTH(DATE(cfg_FY,7,1),0))-MAX($E226,DATE(cfg_FY,7,1))+1))</f>
        <v>0</v>
      </c>
      <c r="BA226" s="65" t="n">
        <f aca="false">IF(OR(OR($B226="",$E226="",$F226=""),$K226&lt;&gt;"نعم",$M226="نعم"),0,MAX(0,MIN($F226,EOMONTH(DATE(cfg_FY,8,1),0))-MAX($E226,DATE(cfg_FY,8,1))+1))</f>
        <v>0</v>
      </c>
      <c r="BB226" s="65" t="n">
        <f aca="false">IF(OR(OR($B226="",$E226="",$F226=""),$K226&lt;&gt;"نعم",$M226="نعم"),0,MAX(0,MIN($F226,EOMONTH(DATE(cfg_FY,9,1),0))-MAX($E226,DATE(cfg_FY,9,1))+1))</f>
        <v>0</v>
      </c>
      <c r="BC226" s="65" t="n">
        <f aca="false">IF(OR(OR($B226="",$E226="",$F226=""),$K226&lt;&gt;"نعم",$M226="نعم"),0,MAX(0,MIN($F226,EOMONTH(DATE(cfg_FY,10,1),0))-MAX($E226,DATE(cfg_FY,10,1))+1))</f>
        <v>0</v>
      </c>
      <c r="BD226" s="65" t="n">
        <f aca="false">IF(OR(OR($B226="",$E226="",$F226=""),$K226&lt;&gt;"نعم",$M226="نعم"),0,MAX(0,MIN($F226,EOMONTH(DATE(cfg_FY,11,1),0))-MAX($E226,DATE(cfg_FY,11,1))+1))</f>
        <v>0</v>
      </c>
      <c r="BE226" s="65" t="n">
        <f aca="false">IF(OR(OR($B226="",$E226="",$F226=""),$K226&lt;&gt;"نعم",$M226="نعم"),0,MAX(0,MIN($F226,EOMONTH(DATE(cfg_FY,12,1),0))-MAX($E226,DATE(cfg_FY,12,1))+1))</f>
        <v>0</v>
      </c>
    </row>
    <row r="227" customFormat="false" ht="15" hidden="false" customHeight="false" outlineLevel="0" collapsed="false">
      <c r="A227" s="115" t="str">
        <f aca="false">IF(B227="","",ROW()-5)</f>
        <v/>
      </c>
      <c r="B227" s="118"/>
      <c r="C227" s="117" t="str">
        <f aca="false">IF(B227="","",IFERROR(INDEX(الموظفون!$C$6:$C$105,MATCH(B227,الموظفون!$B$6:$B$105,0)),"✖ رقم غير موجود"))</f>
        <v/>
      </c>
      <c r="D227" s="118"/>
      <c r="E227" s="119"/>
      <c r="F227" s="119"/>
      <c r="G227" s="133" t="str">
        <f aca="false">IF(OR($B227="",$E227="",$F227=""),"",MAX(0,F227-E227+1))</f>
        <v/>
      </c>
      <c r="H227" s="134" t="str">
        <f aca="false">IF(D227="","",IFERROR(VLOOKUP(D227,cfg_LT,2,FALSE()),1))</f>
        <v/>
      </c>
      <c r="I227" s="135"/>
      <c r="J227" s="134" t="str">
        <f aca="false">IF(D227="","",IF(I227&lt;&gt;"",I227,H227))</f>
        <v/>
      </c>
      <c r="K227" s="117" t="str">
        <f aca="false">IF(D227="","",IFERROR(VLOOKUP($D227,cfg_LT,3,FALSE()),""))</f>
        <v/>
      </c>
      <c r="L227" s="117" t="str">
        <f aca="false">IF(D227="","",IFERROR(VLOOKUP($D227,cfg_LT,4,FALSE()),""))</f>
        <v/>
      </c>
      <c r="M227" s="117" t="str">
        <f aca="false">IF(D227="","",IFERROR(VLOOKUP($D227,cfg_LT,5,FALSE()),""))</f>
        <v/>
      </c>
      <c r="N227" s="116" t="n">
        <f aca="false">IF(OR(OR($B227="",$E227="",$F227=""),M227&lt;&gt;"نعم"),0,G227*J227*IFERROR(INDEX(الموظفون!$R$6:$R$105,MATCH(B227,الموظفون!$B$6:$B$105,0)),0)/cfg_DAYS_M)</f>
        <v>0</v>
      </c>
      <c r="O227" s="115" t="str">
        <f aca="false">IF(OR(OR($B227="",$E227="",$F227=""),M227&lt;&gt;"نعم"),"",IF(YEAR(E227)=cfg_FY,MONTH(E227),""))</f>
        <v/>
      </c>
      <c r="P227" s="117" t="str">
        <f aca="false">IF(B227="","",IF(OR(D227="",E227="",F227=""),"⚠ أكمل النوع والتواريخ",IF(F227&lt;E227,"✖ النهاية قبل البداية",IF(COUNTIFS($B$6:$B$505,B227,$E$6:$E$505,"&lt;="&amp;F227,$F$6:$F$505,"&gt;="&amp;E227)&gt;1,"⚠ تداخل مع سجل آخر",IF(E227&gt;cfg_VAL_DATE,"⏳ قادمة",IF(F227&lt;cfg_VAL_DATE,"✔ منتهية","✈ جارية في تاريخ التقرير"))))))</f>
        <v/>
      </c>
      <c r="Q227" s="118"/>
      <c r="R227" s="133" t="n">
        <f aca="false">IF(OR(OR($B227="",$E227="",$F227=""),L227&lt;&gt;"لا"),0,MAX(0,MIN(F227,cfg_Y_START-1)-E227+1))</f>
        <v>0</v>
      </c>
      <c r="S227" s="133" t="n">
        <f aca="false">IF(OR(OR($B227="",$E227="",$F227=""),L227&lt;&gt;"لا"),0,MAX(0,MIN(F227,cfg_VAL_DATE)-E227+1))</f>
        <v>0</v>
      </c>
      <c r="T227" s="133" t="n">
        <f aca="false">IF(OR(OR($B227="",$E227="",$F227=""),K227&lt;&gt;"نعم"),0,IF(M227="نعم",IF(AND(ISNUMBER(O227),N(O227)&lt;=cfg_VAL_M),G227,0),MAX(0,MIN(F227,cfg_VAL_DATE)-MAX(E227,cfg_Y_START)+1)))</f>
        <v>0</v>
      </c>
      <c r="V227" s="133" t="n">
        <f aca="false">IF(OR($B227="",$E227="",$F227=""),0,MAX(0,MIN($F227,EOMONTH(DATE(cfg_FY,1,1),0))-MAX($E227,DATE(cfg_FY,1,1))+1)*(1-IF($M227="نعم",0,N($J227))))</f>
        <v>0</v>
      </c>
      <c r="W227" s="133" t="n">
        <f aca="false">IF(OR($B227="",$E227="",$F227=""),0,MAX(0,MIN($F227,EOMONTH(DATE(cfg_FY,2,1),0))-MAX($E227,DATE(cfg_FY,2,1))+1)*(1-IF($M227="نعم",0,N($J227))))</f>
        <v>0</v>
      </c>
      <c r="X227" s="133" t="n">
        <f aca="false">IF(OR($B227="",$E227="",$F227=""),0,MAX(0,MIN($F227,EOMONTH(DATE(cfg_FY,3,1),0))-MAX($E227,DATE(cfg_FY,3,1))+1)*(1-IF($M227="نعم",0,N($J227))))</f>
        <v>0</v>
      </c>
      <c r="Y227" s="133" t="n">
        <f aca="false">IF(OR($B227="",$E227="",$F227=""),0,MAX(0,MIN($F227,EOMONTH(DATE(cfg_FY,4,1),0))-MAX($E227,DATE(cfg_FY,4,1))+1)*(1-IF($M227="نعم",0,N($J227))))</f>
        <v>0</v>
      </c>
      <c r="Z227" s="133" t="n">
        <f aca="false">IF(OR($B227="",$E227="",$F227=""),0,MAX(0,MIN($F227,EOMONTH(DATE(cfg_FY,5,1),0))-MAX($E227,DATE(cfg_FY,5,1))+1)*(1-IF($M227="نعم",0,N($J227))))</f>
        <v>0</v>
      </c>
      <c r="AA227" s="133" t="n">
        <f aca="false">IF(OR($B227="",$E227="",$F227=""),0,MAX(0,MIN($F227,EOMONTH(DATE(cfg_FY,6,1),0))-MAX($E227,DATE(cfg_FY,6,1))+1)*(1-IF($M227="نعم",0,N($J227))))</f>
        <v>0</v>
      </c>
      <c r="AB227" s="133" t="n">
        <f aca="false">IF(OR($B227="",$E227="",$F227=""),0,MAX(0,MIN($F227,EOMONTH(DATE(cfg_FY,7,1),0))-MAX($E227,DATE(cfg_FY,7,1))+1)*(1-IF($M227="نعم",0,N($J227))))</f>
        <v>0</v>
      </c>
      <c r="AC227" s="133" t="n">
        <f aca="false">IF(OR($B227="",$E227="",$F227=""),0,MAX(0,MIN($F227,EOMONTH(DATE(cfg_FY,8,1),0))-MAX($E227,DATE(cfg_FY,8,1))+1)*(1-IF($M227="نعم",0,N($J227))))</f>
        <v>0</v>
      </c>
      <c r="AD227" s="133" t="n">
        <f aca="false">IF(OR($B227="",$E227="",$F227=""),0,MAX(0,MIN($F227,EOMONTH(DATE(cfg_FY,9,1),0))-MAX($E227,DATE(cfg_FY,9,1))+1)*(1-IF($M227="نعم",0,N($J227))))</f>
        <v>0</v>
      </c>
      <c r="AE227" s="133" t="n">
        <f aca="false">IF(OR($B227="",$E227="",$F227=""),0,MAX(0,MIN($F227,EOMONTH(DATE(cfg_FY,10,1),0))-MAX($E227,DATE(cfg_FY,10,1))+1)*(1-IF($M227="نعم",0,N($J227))))</f>
        <v>0</v>
      </c>
      <c r="AF227" s="133" t="n">
        <f aca="false">IF(OR($B227="",$E227="",$F227=""),0,MAX(0,MIN($F227,EOMONTH(DATE(cfg_FY,11,1),0))-MAX($E227,DATE(cfg_FY,11,1))+1)*(1-IF($M227="نعم",0,N($J227))))</f>
        <v>0</v>
      </c>
      <c r="AG227" s="133" t="n">
        <f aca="false">IF(OR($B227="",$E227="",$F227=""),0,MAX(0,MIN($F227,EOMONTH(DATE(cfg_FY,12,1),0))-MAX($E227,DATE(cfg_FY,12,1))+1)*(1-IF($M227="نعم",0,N($J227))))</f>
        <v>0</v>
      </c>
      <c r="AH227" s="133" t="n">
        <f aca="false">IF(OR(OR($B227="",$E227="",$F227=""),$L227&lt;&gt;"لا"),0,MAX(0,MIN($F227,EOMONTH(DATE(cfg_FY,1,1),0))-$E227+1))</f>
        <v>0</v>
      </c>
      <c r="AI227" s="133" t="n">
        <f aca="false">IF(OR(OR($B227="",$E227="",$F227=""),$L227&lt;&gt;"لا"),0,MAX(0,MIN($F227,EOMONTH(DATE(cfg_FY,2,1),0))-$E227+1))</f>
        <v>0</v>
      </c>
      <c r="AJ227" s="133" t="n">
        <f aca="false">IF(OR(OR($B227="",$E227="",$F227=""),$L227&lt;&gt;"لا"),0,MAX(0,MIN($F227,EOMONTH(DATE(cfg_FY,3,1),0))-$E227+1))</f>
        <v>0</v>
      </c>
      <c r="AK227" s="133" t="n">
        <f aca="false">IF(OR(OR($B227="",$E227="",$F227=""),$L227&lt;&gt;"لا"),0,MAX(0,MIN($F227,EOMONTH(DATE(cfg_FY,4,1),0))-$E227+1))</f>
        <v>0</v>
      </c>
      <c r="AL227" s="133" t="n">
        <f aca="false">IF(OR(OR($B227="",$E227="",$F227=""),$L227&lt;&gt;"لا"),0,MAX(0,MIN($F227,EOMONTH(DATE(cfg_FY,5,1),0))-$E227+1))</f>
        <v>0</v>
      </c>
      <c r="AM227" s="133" t="n">
        <f aca="false">IF(OR(OR($B227="",$E227="",$F227=""),$L227&lt;&gt;"لا"),0,MAX(0,MIN($F227,EOMONTH(DATE(cfg_FY,6,1),0))-$E227+1))</f>
        <v>0</v>
      </c>
      <c r="AN227" s="133" t="n">
        <f aca="false">IF(OR(OR($B227="",$E227="",$F227=""),$L227&lt;&gt;"لا"),0,MAX(0,MIN($F227,EOMONTH(DATE(cfg_FY,7,1),0))-$E227+1))</f>
        <v>0</v>
      </c>
      <c r="AO227" s="133" t="n">
        <f aca="false">IF(OR(OR($B227="",$E227="",$F227=""),$L227&lt;&gt;"لا"),0,MAX(0,MIN($F227,EOMONTH(DATE(cfg_FY,8,1),0))-$E227+1))</f>
        <v>0</v>
      </c>
      <c r="AP227" s="133" t="n">
        <f aca="false">IF(OR(OR($B227="",$E227="",$F227=""),$L227&lt;&gt;"لا"),0,MAX(0,MIN($F227,EOMONTH(DATE(cfg_FY,9,1),0))-$E227+1))</f>
        <v>0</v>
      </c>
      <c r="AQ227" s="133" t="n">
        <f aca="false">IF(OR(OR($B227="",$E227="",$F227=""),$L227&lt;&gt;"لا"),0,MAX(0,MIN($F227,EOMONTH(DATE(cfg_FY,10,1),0))-$E227+1))</f>
        <v>0</v>
      </c>
      <c r="AR227" s="133" t="n">
        <f aca="false">IF(OR(OR($B227="",$E227="",$F227=""),$L227&lt;&gt;"لا"),0,MAX(0,MIN($F227,EOMONTH(DATE(cfg_FY,11,1),0))-$E227+1))</f>
        <v>0</v>
      </c>
      <c r="AS227" s="133" t="n">
        <f aca="false">IF(OR(OR($B227="",$E227="",$F227=""),$L227&lt;&gt;"لا"),0,MAX(0,MIN($F227,EOMONTH(DATE(cfg_FY,12,1),0))-$E227+1))</f>
        <v>0</v>
      </c>
      <c r="AT227" s="133" t="n">
        <f aca="false">IF(OR(OR($B227="",$E227="",$F227=""),$K227&lt;&gt;"نعم",$M227="نعم"),0,MAX(0,MIN($F227,EOMONTH(DATE(cfg_FY,1,1),0))-MAX($E227,DATE(cfg_FY,1,1))+1))</f>
        <v>0</v>
      </c>
      <c r="AU227" s="133" t="n">
        <f aca="false">IF(OR(OR($B227="",$E227="",$F227=""),$K227&lt;&gt;"نعم",$M227="نعم"),0,MAX(0,MIN($F227,EOMONTH(DATE(cfg_FY,2,1),0))-MAX($E227,DATE(cfg_FY,2,1))+1))</f>
        <v>0</v>
      </c>
      <c r="AV227" s="133" t="n">
        <f aca="false">IF(OR(OR($B227="",$E227="",$F227=""),$K227&lt;&gt;"نعم",$M227="نعم"),0,MAX(0,MIN($F227,EOMONTH(DATE(cfg_FY,3,1),0))-MAX($E227,DATE(cfg_FY,3,1))+1))</f>
        <v>0</v>
      </c>
      <c r="AW227" s="133" t="n">
        <f aca="false">IF(OR(OR($B227="",$E227="",$F227=""),$K227&lt;&gt;"نعم",$M227="نعم"),0,MAX(0,MIN($F227,EOMONTH(DATE(cfg_FY,4,1),0))-MAX($E227,DATE(cfg_FY,4,1))+1))</f>
        <v>0</v>
      </c>
      <c r="AX227" s="133" t="n">
        <f aca="false">IF(OR(OR($B227="",$E227="",$F227=""),$K227&lt;&gt;"نعم",$M227="نعم"),0,MAX(0,MIN($F227,EOMONTH(DATE(cfg_FY,5,1),0))-MAX($E227,DATE(cfg_FY,5,1))+1))</f>
        <v>0</v>
      </c>
      <c r="AY227" s="133" t="n">
        <f aca="false">IF(OR(OR($B227="",$E227="",$F227=""),$K227&lt;&gt;"نعم",$M227="نعم"),0,MAX(0,MIN($F227,EOMONTH(DATE(cfg_FY,6,1),0))-MAX($E227,DATE(cfg_FY,6,1))+1))</f>
        <v>0</v>
      </c>
      <c r="AZ227" s="133" t="n">
        <f aca="false">IF(OR(OR($B227="",$E227="",$F227=""),$K227&lt;&gt;"نعم",$M227="نعم"),0,MAX(0,MIN($F227,EOMONTH(DATE(cfg_FY,7,1),0))-MAX($E227,DATE(cfg_FY,7,1))+1))</f>
        <v>0</v>
      </c>
      <c r="BA227" s="133" t="n">
        <f aca="false">IF(OR(OR($B227="",$E227="",$F227=""),$K227&lt;&gt;"نعم",$M227="نعم"),0,MAX(0,MIN($F227,EOMONTH(DATE(cfg_FY,8,1),0))-MAX($E227,DATE(cfg_FY,8,1))+1))</f>
        <v>0</v>
      </c>
      <c r="BB227" s="133" t="n">
        <f aca="false">IF(OR(OR($B227="",$E227="",$F227=""),$K227&lt;&gt;"نعم",$M227="نعم"),0,MAX(0,MIN($F227,EOMONTH(DATE(cfg_FY,9,1),0))-MAX($E227,DATE(cfg_FY,9,1))+1))</f>
        <v>0</v>
      </c>
      <c r="BC227" s="133" t="n">
        <f aca="false">IF(OR(OR($B227="",$E227="",$F227=""),$K227&lt;&gt;"نعم",$M227="نعم"),0,MAX(0,MIN($F227,EOMONTH(DATE(cfg_FY,10,1),0))-MAX($E227,DATE(cfg_FY,10,1))+1))</f>
        <v>0</v>
      </c>
      <c r="BD227" s="133" t="n">
        <f aca="false">IF(OR(OR($B227="",$E227="",$F227=""),$K227&lt;&gt;"نعم",$M227="نعم"),0,MAX(0,MIN($F227,EOMONTH(DATE(cfg_FY,11,1),0))-MAX($E227,DATE(cfg_FY,11,1))+1))</f>
        <v>0</v>
      </c>
      <c r="BE227" s="133" t="n">
        <f aca="false">IF(OR(OR($B227="",$E227="",$F227=""),$K227&lt;&gt;"نعم",$M227="نعم"),0,MAX(0,MIN($F227,EOMONTH(DATE(cfg_FY,12,1),0))-MAX($E227,DATE(cfg_FY,12,1))+1))</f>
        <v>0</v>
      </c>
    </row>
    <row r="228" customFormat="false" ht="15" hidden="false" customHeight="false" outlineLevel="0" collapsed="false">
      <c r="A228" s="106" t="str">
        <f aca="false">IF(B228="","",ROW()-5)</f>
        <v/>
      </c>
      <c r="B228" s="118"/>
      <c r="C228" s="114" t="str">
        <f aca="false">IF(B228="","",IFERROR(INDEX(الموظفون!$C$6:$C$105,MATCH(B228,الموظفون!$B$6:$B$105,0)),"✖ رقم غير موجود"))</f>
        <v/>
      </c>
      <c r="D228" s="118"/>
      <c r="E228" s="119"/>
      <c r="F228" s="119"/>
      <c r="G228" s="65" t="str">
        <f aca="false">IF(OR($B228="",$E228="",$F228=""),"",MAX(0,F228-E228+1))</f>
        <v/>
      </c>
      <c r="H228" s="66" t="str">
        <f aca="false">IF(D228="","",IFERROR(VLOOKUP(D228,cfg_LT,2,FALSE()),1))</f>
        <v/>
      </c>
      <c r="I228" s="135"/>
      <c r="J228" s="66" t="str">
        <f aca="false">IF(D228="","",IF(I228&lt;&gt;"",I228,H228))</f>
        <v/>
      </c>
      <c r="K228" s="114" t="str">
        <f aca="false">IF(D228="","",IFERROR(VLOOKUP($D228,cfg_LT,3,FALSE()),""))</f>
        <v/>
      </c>
      <c r="L228" s="114" t="str">
        <f aca="false">IF(D228="","",IFERROR(VLOOKUP($D228,cfg_LT,4,FALSE()),""))</f>
        <v/>
      </c>
      <c r="M228" s="114" t="str">
        <f aca="false">IF(D228="","",IFERROR(VLOOKUP($D228,cfg_LT,5,FALSE()),""))</f>
        <v/>
      </c>
      <c r="N228" s="111" t="n">
        <f aca="false">IF(OR(OR($B228="",$E228="",$F228=""),M228&lt;&gt;"نعم"),0,G228*J228*IFERROR(INDEX(الموظفون!$R$6:$R$105,MATCH(B228,الموظفون!$B$6:$B$105,0)),0)/cfg_DAYS_M)</f>
        <v>0</v>
      </c>
      <c r="O228" s="106" t="str">
        <f aca="false">IF(OR(OR($B228="",$E228="",$F228=""),M228&lt;&gt;"نعم"),"",IF(YEAR(E228)=cfg_FY,MONTH(E228),""))</f>
        <v/>
      </c>
      <c r="P228" s="114" t="str">
        <f aca="false">IF(B228="","",IF(OR(D228="",E228="",F228=""),"⚠ أكمل النوع والتواريخ",IF(F228&lt;E228,"✖ النهاية قبل البداية",IF(COUNTIFS($B$6:$B$505,B228,$E$6:$E$505,"&lt;="&amp;F228,$F$6:$F$505,"&gt;="&amp;E228)&gt;1,"⚠ تداخل مع سجل آخر",IF(E228&gt;cfg_VAL_DATE,"⏳ قادمة",IF(F228&lt;cfg_VAL_DATE,"✔ منتهية","✈ جارية في تاريخ التقرير"))))))</f>
        <v/>
      </c>
      <c r="Q228" s="118"/>
      <c r="R228" s="65" t="n">
        <f aca="false">IF(OR(OR($B228="",$E228="",$F228=""),L228&lt;&gt;"لا"),0,MAX(0,MIN(F228,cfg_Y_START-1)-E228+1))</f>
        <v>0</v>
      </c>
      <c r="S228" s="65" t="n">
        <f aca="false">IF(OR(OR($B228="",$E228="",$F228=""),L228&lt;&gt;"لا"),0,MAX(0,MIN(F228,cfg_VAL_DATE)-E228+1))</f>
        <v>0</v>
      </c>
      <c r="T228" s="65" t="n">
        <f aca="false">IF(OR(OR($B228="",$E228="",$F228=""),K228&lt;&gt;"نعم"),0,IF(M228="نعم",IF(AND(ISNUMBER(O228),N(O228)&lt;=cfg_VAL_M),G228,0),MAX(0,MIN(F228,cfg_VAL_DATE)-MAX(E228,cfg_Y_START)+1)))</f>
        <v>0</v>
      </c>
      <c r="V228" s="65" t="n">
        <f aca="false">IF(OR($B228="",$E228="",$F228=""),0,MAX(0,MIN($F228,EOMONTH(DATE(cfg_FY,1,1),0))-MAX($E228,DATE(cfg_FY,1,1))+1)*(1-IF($M228="نعم",0,N($J228))))</f>
        <v>0</v>
      </c>
      <c r="W228" s="65" t="n">
        <f aca="false">IF(OR($B228="",$E228="",$F228=""),0,MAX(0,MIN($F228,EOMONTH(DATE(cfg_FY,2,1),0))-MAX($E228,DATE(cfg_FY,2,1))+1)*(1-IF($M228="نعم",0,N($J228))))</f>
        <v>0</v>
      </c>
      <c r="X228" s="65" t="n">
        <f aca="false">IF(OR($B228="",$E228="",$F228=""),0,MAX(0,MIN($F228,EOMONTH(DATE(cfg_FY,3,1),0))-MAX($E228,DATE(cfg_FY,3,1))+1)*(1-IF($M228="نعم",0,N($J228))))</f>
        <v>0</v>
      </c>
      <c r="Y228" s="65" t="n">
        <f aca="false">IF(OR($B228="",$E228="",$F228=""),0,MAX(0,MIN($F228,EOMONTH(DATE(cfg_FY,4,1),0))-MAX($E228,DATE(cfg_FY,4,1))+1)*(1-IF($M228="نعم",0,N($J228))))</f>
        <v>0</v>
      </c>
      <c r="Z228" s="65" t="n">
        <f aca="false">IF(OR($B228="",$E228="",$F228=""),0,MAX(0,MIN($F228,EOMONTH(DATE(cfg_FY,5,1),0))-MAX($E228,DATE(cfg_FY,5,1))+1)*(1-IF($M228="نعم",0,N($J228))))</f>
        <v>0</v>
      </c>
      <c r="AA228" s="65" t="n">
        <f aca="false">IF(OR($B228="",$E228="",$F228=""),0,MAX(0,MIN($F228,EOMONTH(DATE(cfg_FY,6,1),0))-MAX($E228,DATE(cfg_FY,6,1))+1)*(1-IF($M228="نعم",0,N($J228))))</f>
        <v>0</v>
      </c>
      <c r="AB228" s="65" t="n">
        <f aca="false">IF(OR($B228="",$E228="",$F228=""),0,MAX(0,MIN($F228,EOMONTH(DATE(cfg_FY,7,1),0))-MAX($E228,DATE(cfg_FY,7,1))+1)*(1-IF($M228="نعم",0,N($J228))))</f>
        <v>0</v>
      </c>
      <c r="AC228" s="65" t="n">
        <f aca="false">IF(OR($B228="",$E228="",$F228=""),0,MAX(0,MIN($F228,EOMONTH(DATE(cfg_FY,8,1),0))-MAX($E228,DATE(cfg_FY,8,1))+1)*(1-IF($M228="نعم",0,N($J228))))</f>
        <v>0</v>
      </c>
      <c r="AD228" s="65" t="n">
        <f aca="false">IF(OR($B228="",$E228="",$F228=""),0,MAX(0,MIN($F228,EOMONTH(DATE(cfg_FY,9,1),0))-MAX($E228,DATE(cfg_FY,9,1))+1)*(1-IF($M228="نعم",0,N($J228))))</f>
        <v>0</v>
      </c>
      <c r="AE228" s="65" t="n">
        <f aca="false">IF(OR($B228="",$E228="",$F228=""),0,MAX(0,MIN($F228,EOMONTH(DATE(cfg_FY,10,1),0))-MAX($E228,DATE(cfg_FY,10,1))+1)*(1-IF($M228="نعم",0,N($J228))))</f>
        <v>0</v>
      </c>
      <c r="AF228" s="65" t="n">
        <f aca="false">IF(OR($B228="",$E228="",$F228=""),0,MAX(0,MIN($F228,EOMONTH(DATE(cfg_FY,11,1),0))-MAX($E228,DATE(cfg_FY,11,1))+1)*(1-IF($M228="نعم",0,N($J228))))</f>
        <v>0</v>
      </c>
      <c r="AG228" s="65" t="n">
        <f aca="false">IF(OR($B228="",$E228="",$F228=""),0,MAX(0,MIN($F228,EOMONTH(DATE(cfg_FY,12,1),0))-MAX($E228,DATE(cfg_FY,12,1))+1)*(1-IF($M228="نعم",0,N($J228))))</f>
        <v>0</v>
      </c>
      <c r="AH228" s="65" t="n">
        <f aca="false">IF(OR(OR($B228="",$E228="",$F228=""),$L228&lt;&gt;"لا"),0,MAX(0,MIN($F228,EOMONTH(DATE(cfg_FY,1,1),0))-$E228+1))</f>
        <v>0</v>
      </c>
      <c r="AI228" s="65" t="n">
        <f aca="false">IF(OR(OR($B228="",$E228="",$F228=""),$L228&lt;&gt;"لا"),0,MAX(0,MIN($F228,EOMONTH(DATE(cfg_FY,2,1),0))-$E228+1))</f>
        <v>0</v>
      </c>
      <c r="AJ228" s="65" t="n">
        <f aca="false">IF(OR(OR($B228="",$E228="",$F228=""),$L228&lt;&gt;"لا"),0,MAX(0,MIN($F228,EOMONTH(DATE(cfg_FY,3,1),0))-$E228+1))</f>
        <v>0</v>
      </c>
      <c r="AK228" s="65" t="n">
        <f aca="false">IF(OR(OR($B228="",$E228="",$F228=""),$L228&lt;&gt;"لا"),0,MAX(0,MIN($F228,EOMONTH(DATE(cfg_FY,4,1),0))-$E228+1))</f>
        <v>0</v>
      </c>
      <c r="AL228" s="65" t="n">
        <f aca="false">IF(OR(OR($B228="",$E228="",$F228=""),$L228&lt;&gt;"لا"),0,MAX(0,MIN($F228,EOMONTH(DATE(cfg_FY,5,1),0))-$E228+1))</f>
        <v>0</v>
      </c>
      <c r="AM228" s="65" t="n">
        <f aca="false">IF(OR(OR($B228="",$E228="",$F228=""),$L228&lt;&gt;"لا"),0,MAX(0,MIN($F228,EOMONTH(DATE(cfg_FY,6,1),0))-$E228+1))</f>
        <v>0</v>
      </c>
      <c r="AN228" s="65" t="n">
        <f aca="false">IF(OR(OR($B228="",$E228="",$F228=""),$L228&lt;&gt;"لا"),0,MAX(0,MIN($F228,EOMONTH(DATE(cfg_FY,7,1),0))-$E228+1))</f>
        <v>0</v>
      </c>
      <c r="AO228" s="65" t="n">
        <f aca="false">IF(OR(OR($B228="",$E228="",$F228=""),$L228&lt;&gt;"لا"),0,MAX(0,MIN($F228,EOMONTH(DATE(cfg_FY,8,1),0))-$E228+1))</f>
        <v>0</v>
      </c>
      <c r="AP228" s="65" t="n">
        <f aca="false">IF(OR(OR($B228="",$E228="",$F228=""),$L228&lt;&gt;"لا"),0,MAX(0,MIN($F228,EOMONTH(DATE(cfg_FY,9,1),0))-$E228+1))</f>
        <v>0</v>
      </c>
      <c r="AQ228" s="65" t="n">
        <f aca="false">IF(OR(OR($B228="",$E228="",$F228=""),$L228&lt;&gt;"لا"),0,MAX(0,MIN($F228,EOMONTH(DATE(cfg_FY,10,1),0))-$E228+1))</f>
        <v>0</v>
      </c>
      <c r="AR228" s="65" t="n">
        <f aca="false">IF(OR(OR($B228="",$E228="",$F228=""),$L228&lt;&gt;"لا"),0,MAX(0,MIN($F228,EOMONTH(DATE(cfg_FY,11,1),0))-$E228+1))</f>
        <v>0</v>
      </c>
      <c r="AS228" s="65" t="n">
        <f aca="false">IF(OR(OR($B228="",$E228="",$F228=""),$L228&lt;&gt;"لا"),0,MAX(0,MIN($F228,EOMONTH(DATE(cfg_FY,12,1),0))-$E228+1))</f>
        <v>0</v>
      </c>
      <c r="AT228" s="65" t="n">
        <f aca="false">IF(OR(OR($B228="",$E228="",$F228=""),$K228&lt;&gt;"نعم",$M228="نعم"),0,MAX(0,MIN($F228,EOMONTH(DATE(cfg_FY,1,1),0))-MAX($E228,DATE(cfg_FY,1,1))+1))</f>
        <v>0</v>
      </c>
      <c r="AU228" s="65" t="n">
        <f aca="false">IF(OR(OR($B228="",$E228="",$F228=""),$K228&lt;&gt;"نعم",$M228="نعم"),0,MAX(0,MIN($F228,EOMONTH(DATE(cfg_FY,2,1),0))-MAX($E228,DATE(cfg_FY,2,1))+1))</f>
        <v>0</v>
      </c>
      <c r="AV228" s="65" t="n">
        <f aca="false">IF(OR(OR($B228="",$E228="",$F228=""),$K228&lt;&gt;"نعم",$M228="نعم"),0,MAX(0,MIN($F228,EOMONTH(DATE(cfg_FY,3,1),0))-MAX($E228,DATE(cfg_FY,3,1))+1))</f>
        <v>0</v>
      </c>
      <c r="AW228" s="65" t="n">
        <f aca="false">IF(OR(OR($B228="",$E228="",$F228=""),$K228&lt;&gt;"نعم",$M228="نعم"),0,MAX(0,MIN($F228,EOMONTH(DATE(cfg_FY,4,1),0))-MAX($E228,DATE(cfg_FY,4,1))+1))</f>
        <v>0</v>
      </c>
      <c r="AX228" s="65" t="n">
        <f aca="false">IF(OR(OR($B228="",$E228="",$F228=""),$K228&lt;&gt;"نعم",$M228="نعم"),0,MAX(0,MIN($F228,EOMONTH(DATE(cfg_FY,5,1),0))-MAX($E228,DATE(cfg_FY,5,1))+1))</f>
        <v>0</v>
      </c>
      <c r="AY228" s="65" t="n">
        <f aca="false">IF(OR(OR($B228="",$E228="",$F228=""),$K228&lt;&gt;"نعم",$M228="نعم"),0,MAX(0,MIN($F228,EOMONTH(DATE(cfg_FY,6,1),0))-MAX($E228,DATE(cfg_FY,6,1))+1))</f>
        <v>0</v>
      </c>
      <c r="AZ228" s="65" t="n">
        <f aca="false">IF(OR(OR($B228="",$E228="",$F228=""),$K228&lt;&gt;"نعم",$M228="نعم"),0,MAX(0,MIN($F228,EOMONTH(DATE(cfg_FY,7,1),0))-MAX($E228,DATE(cfg_FY,7,1))+1))</f>
        <v>0</v>
      </c>
      <c r="BA228" s="65" t="n">
        <f aca="false">IF(OR(OR($B228="",$E228="",$F228=""),$K228&lt;&gt;"نعم",$M228="نعم"),0,MAX(0,MIN($F228,EOMONTH(DATE(cfg_FY,8,1),0))-MAX($E228,DATE(cfg_FY,8,1))+1))</f>
        <v>0</v>
      </c>
      <c r="BB228" s="65" t="n">
        <f aca="false">IF(OR(OR($B228="",$E228="",$F228=""),$K228&lt;&gt;"نعم",$M228="نعم"),0,MAX(0,MIN($F228,EOMONTH(DATE(cfg_FY,9,1),0))-MAX($E228,DATE(cfg_FY,9,1))+1))</f>
        <v>0</v>
      </c>
      <c r="BC228" s="65" t="n">
        <f aca="false">IF(OR(OR($B228="",$E228="",$F228=""),$K228&lt;&gt;"نعم",$M228="نعم"),0,MAX(0,MIN($F228,EOMONTH(DATE(cfg_FY,10,1),0))-MAX($E228,DATE(cfg_FY,10,1))+1))</f>
        <v>0</v>
      </c>
      <c r="BD228" s="65" t="n">
        <f aca="false">IF(OR(OR($B228="",$E228="",$F228=""),$K228&lt;&gt;"نعم",$M228="نعم"),0,MAX(0,MIN($F228,EOMONTH(DATE(cfg_FY,11,1),0))-MAX($E228,DATE(cfg_FY,11,1))+1))</f>
        <v>0</v>
      </c>
      <c r="BE228" s="65" t="n">
        <f aca="false">IF(OR(OR($B228="",$E228="",$F228=""),$K228&lt;&gt;"نعم",$M228="نعم"),0,MAX(0,MIN($F228,EOMONTH(DATE(cfg_FY,12,1),0))-MAX($E228,DATE(cfg_FY,12,1))+1))</f>
        <v>0</v>
      </c>
    </row>
    <row r="229" customFormat="false" ht="15" hidden="false" customHeight="false" outlineLevel="0" collapsed="false">
      <c r="A229" s="115" t="str">
        <f aca="false">IF(B229="","",ROW()-5)</f>
        <v/>
      </c>
      <c r="B229" s="118"/>
      <c r="C229" s="117" t="str">
        <f aca="false">IF(B229="","",IFERROR(INDEX(الموظفون!$C$6:$C$105,MATCH(B229,الموظفون!$B$6:$B$105,0)),"✖ رقم غير موجود"))</f>
        <v/>
      </c>
      <c r="D229" s="118"/>
      <c r="E229" s="119"/>
      <c r="F229" s="119"/>
      <c r="G229" s="133" t="str">
        <f aca="false">IF(OR($B229="",$E229="",$F229=""),"",MAX(0,F229-E229+1))</f>
        <v/>
      </c>
      <c r="H229" s="134" t="str">
        <f aca="false">IF(D229="","",IFERROR(VLOOKUP(D229,cfg_LT,2,FALSE()),1))</f>
        <v/>
      </c>
      <c r="I229" s="135"/>
      <c r="J229" s="134" t="str">
        <f aca="false">IF(D229="","",IF(I229&lt;&gt;"",I229,H229))</f>
        <v/>
      </c>
      <c r="K229" s="117" t="str">
        <f aca="false">IF(D229="","",IFERROR(VLOOKUP($D229,cfg_LT,3,FALSE()),""))</f>
        <v/>
      </c>
      <c r="L229" s="117" t="str">
        <f aca="false">IF(D229="","",IFERROR(VLOOKUP($D229,cfg_LT,4,FALSE()),""))</f>
        <v/>
      </c>
      <c r="M229" s="117" t="str">
        <f aca="false">IF(D229="","",IFERROR(VLOOKUP($D229,cfg_LT,5,FALSE()),""))</f>
        <v/>
      </c>
      <c r="N229" s="116" t="n">
        <f aca="false">IF(OR(OR($B229="",$E229="",$F229=""),M229&lt;&gt;"نعم"),0,G229*J229*IFERROR(INDEX(الموظفون!$R$6:$R$105,MATCH(B229,الموظفون!$B$6:$B$105,0)),0)/cfg_DAYS_M)</f>
        <v>0</v>
      </c>
      <c r="O229" s="115" t="str">
        <f aca="false">IF(OR(OR($B229="",$E229="",$F229=""),M229&lt;&gt;"نعم"),"",IF(YEAR(E229)=cfg_FY,MONTH(E229),""))</f>
        <v/>
      </c>
      <c r="P229" s="117" t="str">
        <f aca="false">IF(B229="","",IF(OR(D229="",E229="",F229=""),"⚠ أكمل النوع والتواريخ",IF(F229&lt;E229,"✖ النهاية قبل البداية",IF(COUNTIFS($B$6:$B$505,B229,$E$6:$E$505,"&lt;="&amp;F229,$F$6:$F$505,"&gt;="&amp;E229)&gt;1,"⚠ تداخل مع سجل آخر",IF(E229&gt;cfg_VAL_DATE,"⏳ قادمة",IF(F229&lt;cfg_VAL_DATE,"✔ منتهية","✈ جارية في تاريخ التقرير"))))))</f>
        <v/>
      </c>
      <c r="Q229" s="118"/>
      <c r="R229" s="133" t="n">
        <f aca="false">IF(OR(OR($B229="",$E229="",$F229=""),L229&lt;&gt;"لا"),0,MAX(0,MIN(F229,cfg_Y_START-1)-E229+1))</f>
        <v>0</v>
      </c>
      <c r="S229" s="133" t="n">
        <f aca="false">IF(OR(OR($B229="",$E229="",$F229=""),L229&lt;&gt;"لا"),0,MAX(0,MIN(F229,cfg_VAL_DATE)-E229+1))</f>
        <v>0</v>
      </c>
      <c r="T229" s="133" t="n">
        <f aca="false">IF(OR(OR($B229="",$E229="",$F229=""),K229&lt;&gt;"نعم"),0,IF(M229="نعم",IF(AND(ISNUMBER(O229),N(O229)&lt;=cfg_VAL_M),G229,0),MAX(0,MIN(F229,cfg_VAL_DATE)-MAX(E229,cfg_Y_START)+1)))</f>
        <v>0</v>
      </c>
      <c r="V229" s="133" t="n">
        <f aca="false">IF(OR($B229="",$E229="",$F229=""),0,MAX(0,MIN($F229,EOMONTH(DATE(cfg_FY,1,1),0))-MAX($E229,DATE(cfg_FY,1,1))+1)*(1-IF($M229="نعم",0,N($J229))))</f>
        <v>0</v>
      </c>
      <c r="W229" s="133" t="n">
        <f aca="false">IF(OR($B229="",$E229="",$F229=""),0,MAX(0,MIN($F229,EOMONTH(DATE(cfg_FY,2,1),0))-MAX($E229,DATE(cfg_FY,2,1))+1)*(1-IF($M229="نعم",0,N($J229))))</f>
        <v>0</v>
      </c>
      <c r="X229" s="133" t="n">
        <f aca="false">IF(OR($B229="",$E229="",$F229=""),0,MAX(0,MIN($F229,EOMONTH(DATE(cfg_FY,3,1),0))-MAX($E229,DATE(cfg_FY,3,1))+1)*(1-IF($M229="نعم",0,N($J229))))</f>
        <v>0</v>
      </c>
      <c r="Y229" s="133" t="n">
        <f aca="false">IF(OR($B229="",$E229="",$F229=""),0,MAX(0,MIN($F229,EOMONTH(DATE(cfg_FY,4,1),0))-MAX($E229,DATE(cfg_FY,4,1))+1)*(1-IF($M229="نعم",0,N($J229))))</f>
        <v>0</v>
      </c>
      <c r="Z229" s="133" t="n">
        <f aca="false">IF(OR($B229="",$E229="",$F229=""),0,MAX(0,MIN($F229,EOMONTH(DATE(cfg_FY,5,1),0))-MAX($E229,DATE(cfg_FY,5,1))+1)*(1-IF($M229="نعم",0,N($J229))))</f>
        <v>0</v>
      </c>
      <c r="AA229" s="133" t="n">
        <f aca="false">IF(OR($B229="",$E229="",$F229=""),0,MAX(0,MIN($F229,EOMONTH(DATE(cfg_FY,6,1),0))-MAX($E229,DATE(cfg_FY,6,1))+1)*(1-IF($M229="نعم",0,N($J229))))</f>
        <v>0</v>
      </c>
      <c r="AB229" s="133" t="n">
        <f aca="false">IF(OR($B229="",$E229="",$F229=""),0,MAX(0,MIN($F229,EOMONTH(DATE(cfg_FY,7,1),0))-MAX($E229,DATE(cfg_FY,7,1))+1)*(1-IF($M229="نعم",0,N($J229))))</f>
        <v>0</v>
      </c>
      <c r="AC229" s="133" t="n">
        <f aca="false">IF(OR($B229="",$E229="",$F229=""),0,MAX(0,MIN($F229,EOMONTH(DATE(cfg_FY,8,1),0))-MAX($E229,DATE(cfg_FY,8,1))+1)*(1-IF($M229="نعم",0,N($J229))))</f>
        <v>0</v>
      </c>
      <c r="AD229" s="133" t="n">
        <f aca="false">IF(OR($B229="",$E229="",$F229=""),0,MAX(0,MIN($F229,EOMONTH(DATE(cfg_FY,9,1),0))-MAX($E229,DATE(cfg_FY,9,1))+1)*(1-IF($M229="نعم",0,N($J229))))</f>
        <v>0</v>
      </c>
      <c r="AE229" s="133" t="n">
        <f aca="false">IF(OR($B229="",$E229="",$F229=""),0,MAX(0,MIN($F229,EOMONTH(DATE(cfg_FY,10,1),0))-MAX($E229,DATE(cfg_FY,10,1))+1)*(1-IF($M229="نعم",0,N($J229))))</f>
        <v>0</v>
      </c>
      <c r="AF229" s="133" t="n">
        <f aca="false">IF(OR($B229="",$E229="",$F229=""),0,MAX(0,MIN($F229,EOMONTH(DATE(cfg_FY,11,1),0))-MAX($E229,DATE(cfg_FY,11,1))+1)*(1-IF($M229="نعم",0,N($J229))))</f>
        <v>0</v>
      </c>
      <c r="AG229" s="133" t="n">
        <f aca="false">IF(OR($B229="",$E229="",$F229=""),0,MAX(0,MIN($F229,EOMONTH(DATE(cfg_FY,12,1),0))-MAX($E229,DATE(cfg_FY,12,1))+1)*(1-IF($M229="نعم",0,N($J229))))</f>
        <v>0</v>
      </c>
      <c r="AH229" s="133" t="n">
        <f aca="false">IF(OR(OR($B229="",$E229="",$F229=""),$L229&lt;&gt;"لا"),0,MAX(0,MIN($F229,EOMONTH(DATE(cfg_FY,1,1),0))-$E229+1))</f>
        <v>0</v>
      </c>
      <c r="AI229" s="133" t="n">
        <f aca="false">IF(OR(OR($B229="",$E229="",$F229=""),$L229&lt;&gt;"لا"),0,MAX(0,MIN($F229,EOMONTH(DATE(cfg_FY,2,1),0))-$E229+1))</f>
        <v>0</v>
      </c>
      <c r="AJ229" s="133" t="n">
        <f aca="false">IF(OR(OR($B229="",$E229="",$F229=""),$L229&lt;&gt;"لا"),0,MAX(0,MIN($F229,EOMONTH(DATE(cfg_FY,3,1),0))-$E229+1))</f>
        <v>0</v>
      </c>
      <c r="AK229" s="133" t="n">
        <f aca="false">IF(OR(OR($B229="",$E229="",$F229=""),$L229&lt;&gt;"لا"),0,MAX(0,MIN($F229,EOMONTH(DATE(cfg_FY,4,1),0))-$E229+1))</f>
        <v>0</v>
      </c>
      <c r="AL229" s="133" t="n">
        <f aca="false">IF(OR(OR($B229="",$E229="",$F229=""),$L229&lt;&gt;"لا"),0,MAX(0,MIN($F229,EOMONTH(DATE(cfg_FY,5,1),0))-$E229+1))</f>
        <v>0</v>
      </c>
      <c r="AM229" s="133" t="n">
        <f aca="false">IF(OR(OR($B229="",$E229="",$F229=""),$L229&lt;&gt;"لا"),0,MAX(0,MIN($F229,EOMONTH(DATE(cfg_FY,6,1),0))-$E229+1))</f>
        <v>0</v>
      </c>
      <c r="AN229" s="133" t="n">
        <f aca="false">IF(OR(OR($B229="",$E229="",$F229=""),$L229&lt;&gt;"لا"),0,MAX(0,MIN($F229,EOMONTH(DATE(cfg_FY,7,1),0))-$E229+1))</f>
        <v>0</v>
      </c>
      <c r="AO229" s="133" t="n">
        <f aca="false">IF(OR(OR($B229="",$E229="",$F229=""),$L229&lt;&gt;"لا"),0,MAX(0,MIN($F229,EOMONTH(DATE(cfg_FY,8,1),0))-$E229+1))</f>
        <v>0</v>
      </c>
      <c r="AP229" s="133" t="n">
        <f aca="false">IF(OR(OR($B229="",$E229="",$F229=""),$L229&lt;&gt;"لا"),0,MAX(0,MIN($F229,EOMONTH(DATE(cfg_FY,9,1),0))-$E229+1))</f>
        <v>0</v>
      </c>
      <c r="AQ229" s="133" t="n">
        <f aca="false">IF(OR(OR($B229="",$E229="",$F229=""),$L229&lt;&gt;"لا"),0,MAX(0,MIN($F229,EOMONTH(DATE(cfg_FY,10,1),0))-$E229+1))</f>
        <v>0</v>
      </c>
      <c r="AR229" s="133" t="n">
        <f aca="false">IF(OR(OR($B229="",$E229="",$F229=""),$L229&lt;&gt;"لا"),0,MAX(0,MIN($F229,EOMONTH(DATE(cfg_FY,11,1),0))-$E229+1))</f>
        <v>0</v>
      </c>
      <c r="AS229" s="133" t="n">
        <f aca="false">IF(OR(OR($B229="",$E229="",$F229=""),$L229&lt;&gt;"لا"),0,MAX(0,MIN($F229,EOMONTH(DATE(cfg_FY,12,1),0))-$E229+1))</f>
        <v>0</v>
      </c>
      <c r="AT229" s="133" t="n">
        <f aca="false">IF(OR(OR($B229="",$E229="",$F229=""),$K229&lt;&gt;"نعم",$M229="نعم"),0,MAX(0,MIN($F229,EOMONTH(DATE(cfg_FY,1,1),0))-MAX($E229,DATE(cfg_FY,1,1))+1))</f>
        <v>0</v>
      </c>
      <c r="AU229" s="133" t="n">
        <f aca="false">IF(OR(OR($B229="",$E229="",$F229=""),$K229&lt;&gt;"نعم",$M229="نعم"),0,MAX(0,MIN($F229,EOMONTH(DATE(cfg_FY,2,1),0))-MAX($E229,DATE(cfg_FY,2,1))+1))</f>
        <v>0</v>
      </c>
      <c r="AV229" s="133" t="n">
        <f aca="false">IF(OR(OR($B229="",$E229="",$F229=""),$K229&lt;&gt;"نعم",$M229="نعم"),0,MAX(0,MIN($F229,EOMONTH(DATE(cfg_FY,3,1),0))-MAX($E229,DATE(cfg_FY,3,1))+1))</f>
        <v>0</v>
      </c>
      <c r="AW229" s="133" t="n">
        <f aca="false">IF(OR(OR($B229="",$E229="",$F229=""),$K229&lt;&gt;"نعم",$M229="نعم"),0,MAX(0,MIN($F229,EOMONTH(DATE(cfg_FY,4,1),0))-MAX($E229,DATE(cfg_FY,4,1))+1))</f>
        <v>0</v>
      </c>
      <c r="AX229" s="133" t="n">
        <f aca="false">IF(OR(OR($B229="",$E229="",$F229=""),$K229&lt;&gt;"نعم",$M229="نعم"),0,MAX(0,MIN($F229,EOMONTH(DATE(cfg_FY,5,1),0))-MAX($E229,DATE(cfg_FY,5,1))+1))</f>
        <v>0</v>
      </c>
      <c r="AY229" s="133" t="n">
        <f aca="false">IF(OR(OR($B229="",$E229="",$F229=""),$K229&lt;&gt;"نعم",$M229="نعم"),0,MAX(0,MIN($F229,EOMONTH(DATE(cfg_FY,6,1),0))-MAX($E229,DATE(cfg_FY,6,1))+1))</f>
        <v>0</v>
      </c>
      <c r="AZ229" s="133" t="n">
        <f aca="false">IF(OR(OR($B229="",$E229="",$F229=""),$K229&lt;&gt;"نعم",$M229="نعم"),0,MAX(0,MIN($F229,EOMONTH(DATE(cfg_FY,7,1),0))-MAX($E229,DATE(cfg_FY,7,1))+1))</f>
        <v>0</v>
      </c>
      <c r="BA229" s="133" t="n">
        <f aca="false">IF(OR(OR($B229="",$E229="",$F229=""),$K229&lt;&gt;"نعم",$M229="نعم"),0,MAX(0,MIN($F229,EOMONTH(DATE(cfg_FY,8,1),0))-MAX($E229,DATE(cfg_FY,8,1))+1))</f>
        <v>0</v>
      </c>
      <c r="BB229" s="133" t="n">
        <f aca="false">IF(OR(OR($B229="",$E229="",$F229=""),$K229&lt;&gt;"نعم",$M229="نعم"),0,MAX(0,MIN($F229,EOMONTH(DATE(cfg_FY,9,1),0))-MAX($E229,DATE(cfg_FY,9,1))+1))</f>
        <v>0</v>
      </c>
      <c r="BC229" s="133" t="n">
        <f aca="false">IF(OR(OR($B229="",$E229="",$F229=""),$K229&lt;&gt;"نعم",$M229="نعم"),0,MAX(0,MIN($F229,EOMONTH(DATE(cfg_FY,10,1),0))-MAX($E229,DATE(cfg_FY,10,1))+1))</f>
        <v>0</v>
      </c>
      <c r="BD229" s="133" t="n">
        <f aca="false">IF(OR(OR($B229="",$E229="",$F229=""),$K229&lt;&gt;"نعم",$M229="نعم"),0,MAX(0,MIN($F229,EOMONTH(DATE(cfg_FY,11,1),0))-MAX($E229,DATE(cfg_FY,11,1))+1))</f>
        <v>0</v>
      </c>
      <c r="BE229" s="133" t="n">
        <f aca="false">IF(OR(OR($B229="",$E229="",$F229=""),$K229&lt;&gt;"نعم",$M229="نعم"),0,MAX(0,MIN($F229,EOMONTH(DATE(cfg_FY,12,1),0))-MAX($E229,DATE(cfg_FY,12,1))+1))</f>
        <v>0</v>
      </c>
    </row>
    <row r="230" customFormat="false" ht="15" hidden="false" customHeight="false" outlineLevel="0" collapsed="false">
      <c r="A230" s="106" t="str">
        <f aca="false">IF(B230="","",ROW()-5)</f>
        <v/>
      </c>
      <c r="B230" s="118"/>
      <c r="C230" s="114" t="str">
        <f aca="false">IF(B230="","",IFERROR(INDEX(الموظفون!$C$6:$C$105,MATCH(B230,الموظفون!$B$6:$B$105,0)),"✖ رقم غير موجود"))</f>
        <v/>
      </c>
      <c r="D230" s="118"/>
      <c r="E230" s="119"/>
      <c r="F230" s="119"/>
      <c r="G230" s="65" t="str">
        <f aca="false">IF(OR($B230="",$E230="",$F230=""),"",MAX(0,F230-E230+1))</f>
        <v/>
      </c>
      <c r="H230" s="66" t="str">
        <f aca="false">IF(D230="","",IFERROR(VLOOKUP(D230,cfg_LT,2,FALSE()),1))</f>
        <v/>
      </c>
      <c r="I230" s="135"/>
      <c r="J230" s="66" t="str">
        <f aca="false">IF(D230="","",IF(I230&lt;&gt;"",I230,H230))</f>
        <v/>
      </c>
      <c r="K230" s="114" t="str">
        <f aca="false">IF(D230="","",IFERROR(VLOOKUP($D230,cfg_LT,3,FALSE()),""))</f>
        <v/>
      </c>
      <c r="L230" s="114" t="str">
        <f aca="false">IF(D230="","",IFERROR(VLOOKUP($D230,cfg_LT,4,FALSE()),""))</f>
        <v/>
      </c>
      <c r="M230" s="114" t="str">
        <f aca="false">IF(D230="","",IFERROR(VLOOKUP($D230,cfg_LT,5,FALSE()),""))</f>
        <v/>
      </c>
      <c r="N230" s="111" t="n">
        <f aca="false">IF(OR(OR($B230="",$E230="",$F230=""),M230&lt;&gt;"نعم"),0,G230*J230*IFERROR(INDEX(الموظفون!$R$6:$R$105,MATCH(B230,الموظفون!$B$6:$B$105,0)),0)/cfg_DAYS_M)</f>
        <v>0</v>
      </c>
      <c r="O230" s="106" t="str">
        <f aca="false">IF(OR(OR($B230="",$E230="",$F230=""),M230&lt;&gt;"نعم"),"",IF(YEAR(E230)=cfg_FY,MONTH(E230),""))</f>
        <v/>
      </c>
      <c r="P230" s="114" t="str">
        <f aca="false">IF(B230="","",IF(OR(D230="",E230="",F230=""),"⚠ أكمل النوع والتواريخ",IF(F230&lt;E230,"✖ النهاية قبل البداية",IF(COUNTIFS($B$6:$B$505,B230,$E$6:$E$505,"&lt;="&amp;F230,$F$6:$F$505,"&gt;="&amp;E230)&gt;1,"⚠ تداخل مع سجل آخر",IF(E230&gt;cfg_VAL_DATE,"⏳ قادمة",IF(F230&lt;cfg_VAL_DATE,"✔ منتهية","✈ جارية في تاريخ التقرير"))))))</f>
        <v/>
      </c>
      <c r="Q230" s="118"/>
      <c r="R230" s="65" t="n">
        <f aca="false">IF(OR(OR($B230="",$E230="",$F230=""),L230&lt;&gt;"لا"),0,MAX(0,MIN(F230,cfg_Y_START-1)-E230+1))</f>
        <v>0</v>
      </c>
      <c r="S230" s="65" t="n">
        <f aca="false">IF(OR(OR($B230="",$E230="",$F230=""),L230&lt;&gt;"لا"),0,MAX(0,MIN(F230,cfg_VAL_DATE)-E230+1))</f>
        <v>0</v>
      </c>
      <c r="T230" s="65" t="n">
        <f aca="false">IF(OR(OR($B230="",$E230="",$F230=""),K230&lt;&gt;"نعم"),0,IF(M230="نعم",IF(AND(ISNUMBER(O230),N(O230)&lt;=cfg_VAL_M),G230,0),MAX(0,MIN(F230,cfg_VAL_DATE)-MAX(E230,cfg_Y_START)+1)))</f>
        <v>0</v>
      </c>
      <c r="V230" s="65" t="n">
        <f aca="false">IF(OR($B230="",$E230="",$F230=""),0,MAX(0,MIN($F230,EOMONTH(DATE(cfg_FY,1,1),0))-MAX($E230,DATE(cfg_FY,1,1))+1)*(1-IF($M230="نعم",0,N($J230))))</f>
        <v>0</v>
      </c>
      <c r="W230" s="65" t="n">
        <f aca="false">IF(OR($B230="",$E230="",$F230=""),0,MAX(0,MIN($F230,EOMONTH(DATE(cfg_FY,2,1),0))-MAX($E230,DATE(cfg_FY,2,1))+1)*(1-IF($M230="نعم",0,N($J230))))</f>
        <v>0</v>
      </c>
      <c r="X230" s="65" t="n">
        <f aca="false">IF(OR($B230="",$E230="",$F230=""),0,MAX(0,MIN($F230,EOMONTH(DATE(cfg_FY,3,1),0))-MAX($E230,DATE(cfg_FY,3,1))+1)*(1-IF($M230="نعم",0,N($J230))))</f>
        <v>0</v>
      </c>
      <c r="Y230" s="65" t="n">
        <f aca="false">IF(OR($B230="",$E230="",$F230=""),0,MAX(0,MIN($F230,EOMONTH(DATE(cfg_FY,4,1),0))-MAX($E230,DATE(cfg_FY,4,1))+1)*(1-IF($M230="نعم",0,N($J230))))</f>
        <v>0</v>
      </c>
      <c r="Z230" s="65" t="n">
        <f aca="false">IF(OR($B230="",$E230="",$F230=""),0,MAX(0,MIN($F230,EOMONTH(DATE(cfg_FY,5,1),0))-MAX($E230,DATE(cfg_FY,5,1))+1)*(1-IF($M230="نعم",0,N($J230))))</f>
        <v>0</v>
      </c>
      <c r="AA230" s="65" t="n">
        <f aca="false">IF(OR($B230="",$E230="",$F230=""),0,MAX(0,MIN($F230,EOMONTH(DATE(cfg_FY,6,1),0))-MAX($E230,DATE(cfg_FY,6,1))+1)*(1-IF($M230="نعم",0,N($J230))))</f>
        <v>0</v>
      </c>
      <c r="AB230" s="65" t="n">
        <f aca="false">IF(OR($B230="",$E230="",$F230=""),0,MAX(0,MIN($F230,EOMONTH(DATE(cfg_FY,7,1),0))-MAX($E230,DATE(cfg_FY,7,1))+1)*(1-IF($M230="نعم",0,N($J230))))</f>
        <v>0</v>
      </c>
      <c r="AC230" s="65" t="n">
        <f aca="false">IF(OR($B230="",$E230="",$F230=""),0,MAX(0,MIN($F230,EOMONTH(DATE(cfg_FY,8,1),0))-MAX($E230,DATE(cfg_FY,8,1))+1)*(1-IF($M230="نعم",0,N($J230))))</f>
        <v>0</v>
      </c>
      <c r="AD230" s="65" t="n">
        <f aca="false">IF(OR($B230="",$E230="",$F230=""),0,MAX(0,MIN($F230,EOMONTH(DATE(cfg_FY,9,1),0))-MAX($E230,DATE(cfg_FY,9,1))+1)*(1-IF($M230="نعم",0,N($J230))))</f>
        <v>0</v>
      </c>
      <c r="AE230" s="65" t="n">
        <f aca="false">IF(OR($B230="",$E230="",$F230=""),0,MAX(0,MIN($F230,EOMONTH(DATE(cfg_FY,10,1),0))-MAX($E230,DATE(cfg_FY,10,1))+1)*(1-IF($M230="نعم",0,N($J230))))</f>
        <v>0</v>
      </c>
      <c r="AF230" s="65" t="n">
        <f aca="false">IF(OR($B230="",$E230="",$F230=""),0,MAX(0,MIN($F230,EOMONTH(DATE(cfg_FY,11,1),0))-MAX($E230,DATE(cfg_FY,11,1))+1)*(1-IF($M230="نعم",0,N($J230))))</f>
        <v>0</v>
      </c>
      <c r="AG230" s="65" t="n">
        <f aca="false">IF(OR($B230="",$E230="",$F230=""),0,MAX(0,MIN($F230,EOMONTH(DATE(cfg_FY,12,1),0))-MAX($E230,DATE(cfg_FY,12,1))+1)*(1-IF($M230="نعم",0,N($J230))))</f>
        <v>0</v>
      </c>
      <c r="AH230" s="65" t="n">
        <f aca="false">IF(OR(OR($B230="",$E230="",$F230=""),$L230&lt;&gt;"لا"),0,MAX(0,MIN($F230,EOMONTH(DATE(cfg_FY,1,1),0))-$E230+1))</f>
        <v>0</v>
      </c>
      <c r="AI230" s="65" t="n">
        <f aca="false">IF(OR(OR($B230="",$E230="",$F230=""),$L230&lt;&gt;"لا"),0,MAX(0,MIN($F230,EOMONTH(DATE(cfg_FY,2,1),0))-$E230+1))</f>
        <v>0</v>
      </c>
      <c r="AJ230" s="65" t="n">
        <f aca="false">IF(OR(OR($B230="",$E230="",$F230=""),$L230&lt;&gt;"لا"),0,MAX(0,MIN($F230,EOMONTH(DATE(cfg_FY,3,1),0))-$E230+1))</f>
        <v>0</v>
      </c>
      <c r="AK230" s="65" t="n">
        <f aca="false">IF(OR(OR($B230="",$E230="",$F230=""),$L230&lt;&gt;"لا"),0,MAX(0,MIN($F230,EOMONTH(DATE(cfg_FY,4,1),0))-$E230+1))</f>
        <v>0</v>
      </c>
      <c r="AL230" s="65" t="n">
        <f aca="false">IF(OR(OR($B230="",$E230="",$F230=""),$L230&lt;&gt;"لا"),0,MAX(0,MIN($F230,EOMONTH(DATE(cfg_FY,5,1),0))-$E230+1))</f>
        <v>0</v>
      </c>
      <c r="AM230" s="65" t="n">
        <f aca="false">IF(OR(OR($B230="",$E230="",$F230=""),$L230&lt;&gt;"لا"),0,MAX(0,MIN($F230,EOMONTH(DATE(cfg_FY,6,1),0))-$E230+1))</f>
        <v>0</v>
      </c>
      <c r="AN230" s="65" t="n">
        <f aca="false">IF(OR(OR($B230="",$E230="",$F230=""),$L230&lt;&gt;"لا"),0,MAX(0,MIN($F230,EOMONTH(DATE(cfg_FY,7,1),0))-$E230+1))</f>
        <v>0</v>
      </c>
      <c r="AO230" s="65" t="n">
        <f aca="false">IF(OR(OR($B230="",$E230="",$F230=""),$L230&lt;&gt;"لا"),0,MAX(0,MIN($F230,EOMONTH(DATE(cfg_FY,8,1),0))-$E230+1))</f>
        <v>0</v>
      </c>
      <c r="AP230" s="65" t="n">
        <f aca="false">IF(OR(OR($B230="",$E230="",$F230=""),$L230&lt;&gt;"لا"),0,MAX(0,MIN($F230,EOMONTH(DATE(cfg_FY,9,1),0))-$E230+1))</f>
        <v>0</v>
      </c>
      <c r="AQ230" s="65" t="n">
        <f aca="false">IF(OR(OR($B230="",$E230="",$F230=""),$L230&lt;&gt;"لا"),0,MAX(0,MIN($F230,EOMONTH(DATE(cfg_FY,10,1),0))-$E230+1))</f>
        <v>0</v>
      </c>
      <c r="AR230" s="65" t="n">
        <f aca="false">IF(OR(OR($B230="",$E230="",$F230=""),$L230&lt;&gt;"لا"),0,MAX(0,MIN($F230,EOMONTH(DATE(cfg_FY,11,1),0))-$E230+1))</f>
        <v>0</v>
      </c>
      <c r="AS230" s="65" t="n">
        <f aca="false">IF(OR(OR($B230="",$E230="",$F230=""),$L230&lt;&gt;"لا"),0,MAX(0,MIN($F230,EOMONTH(DATE(cfg_FY,12,1),0))-$E230+1))</f>
        <v>0</v>
      </c>
      <c r="AT230" s="65" t="n">
        <f aca="false">IF(OR(OR($B230="",$E230="",$F230=""),$K230&lt;&gt;"نعم",$M230="نعم"),0,MAX(0,MIN($F230,EOMONTH(DATE(cfg_FY,1,1),0))-MAX($E230,DATE(cfg_FY,1,1))+1))</f>
        <v>0</v>
      </c>
      <c r="AU230" s="65" t="n">
        <f aca="false">IF(OR(OR($B230="",$E230="",$F230=""),$K230&lt;&gt;"نعم",$M230="نعم"),0,MAX(0,MIN($F230,EOMONTH(DATE(cfg_FY,2,1),0))-MAX($E230,DATE(cfg_FY,2,1))+1))</f>
        <v>0</v>
      </c>
      <c r="AV230" s="65" t="n">
        <f aca="false">IF(OR(OR($B230="",$E230="",$F230=""),$K230&lt;&gt;"نعم",$M230="نعم"),0,MAX(0,MIN($F230,EOMONTH(DATE(cfg_FY,3,1),0))-MAX($E230,DATE(cfg_FY,3,1))+1))</f>
        <v>0</v>
      </c>
      <c r="AW230" s="65" t="n">
        <f aca="false">IF(OR(OR($B230="",$E230="",$F230=""),$K230&lt;&gt;"نعم",$M230="نعم"),0,MAX(0,MIN($F230,EOMONTH(DATE(cfg_FY,4,1),0))-MAX($E230,DATE(cfg_FY,4,1))+1))</f>
        <v>0</v>
      </c>
      <c r="AX230" s="65" t="n">
        <f aca="false">IF(OR(OR($B230="",$E230="",$F230=""),$K230&lt;&gt;"نعم",$M230="نعم"),0,MAX(0,MIN($F230,EOMONTH(DATE(cfg_FY,5,1),0))-MAX($E230,DATE(cfg_FY,5,1))+1))</f>
        <v>0</v>
      </c>
      <c r="AY230" s="65" t="n">
        <f aca="false">IF(OR(OR($B230="",$E230="",$F230=""),$K230&lt;&gt;"نعم",$M230="نعم"),0,MAX(0,MIN($F230,EOMONTH(DATE(cfg_FY,6,1),0))-MAX($E230,DATE(cfg_FY,6,1))+1))</f>
        <v>0</v>
      </c>
      <c r="AZ230" s="65" t="n">
        <f aca="false">IF(OR(OR($B230="",$E230="",$F230=""),$K230&lt;&gt;"نعم",$M230="نعم"),0,MAX(0,MIN($F230,EOMONTH(DATE(cfg_FY,7,1),0))-MAX($E230,DATE(cfg_FY,7,1))+1))</f>
        <v>0</v>
      </c>
      <c r="BA230" s="65" t="n">
        <f aca="false">IF(OR(OR($B230="",$E230="",$F230=""),$K230&lt;&gt;"نعم",$M230="نعم"),0,MAX(0,MIN($F230,EOMONTH(DATE(cfg_FY,8,1),0))-MAX($E230,DATE(cfg_FY,8,1))+1))</f>
        <v>0</v>
      </c>
      <c r="BB230" s="65" t="n">
        <f aca="false">IF(OR(OR($B230="",$E230="",$F230=""),$K230&lt;&gt;"نعم",$M230="نعم"),0,MAX(0,MIN($F230,EOMONTH(DATE(cfg_FY,9,1),0))-MAX($E230,DATE(cfg_FY,9,1))+1))</f>
        <v>0</v>
      </c>
      <c r="BC230" s="65" t="n">
        <f aca="false">IF(OR(OR($B230="",$E230="",$F230=""),$K230&lt;&gt;"نعم",$M230="نعم"),0,MAX(0,MIN($F230,EOMONTH(DATE(cfg_FY,10,1),0))-MAX($E230,DATE(cfg_FY,10,1))+1))</f>
        <v>0</v>
      </c>
      <c r="BD230" s="65" t="n">
        <f aca="false">IF(OR(OR($B230="",$E230="",$F230=""),$K230&lt;&gt;"نعم",$M230="نعم"),0,MAX(0,MIN($F230,EOMONTH(DATE(cfg_FY,11,1),0))-MAX($E230,DATE(cfg_FY,11,1))+1))</f>
        <v>0</v>
      </c>
      <c r="BE230" s="65" t="n">
        <f aca="false">IF(OR(OR($B230="",$E230="",$F230=""),$K230&lt;&gt;"نعم",$M230="نعم"),0,MAX(0,MIN($F230,EOMONTH(DATE(cfg_FY,12,1),0))-MAX($E230,DATE(cfg_FY,12,1))+1))</f>
        <v>0</v>
      </c>
    </row>
    <row r="231" customFormat="false" ht="15" hidden="false" customHeight="false" outlineLevel="0" collapsed="false">
      <c r="A231" s="115" t="str">
        <f aca="false">IF(B231="","",ROW()-5)</f>
        <v/>
      </c>
      <c r="B231" s="118"/>
      <c r="C231" s="117" t="str">
        <f aca="false">IF(B231="","",IFERROR(INDEX(الموظفون!$C$6:$C$105,MATCH(B231,الموظفون!$B$6:$B$105,0)),"✖ رقم غير موجود"))</f>
        <v/>
      </c>
      <c r="D231" s="118"/>
      <c r="E231" s="119"/>
      <c r="F231" s="119"/>
      <c r="G231" s="133" t="str">
        <f aca="false">IF(OR($B231="",$E231="",$F231=""),"",MAX(0,F231-E231+1))</f>
        <v/>
      </c>
      <c r="H231" s="134" t="str">
        <f aca="false">IF(D231="","",IFERROR(VLOOKUP(D231,cfg_LT,2,FALSE()),1))</f>
        <v/>
      </c>
      <c r="I231" s="135"/>
      <c r="J231" s="134" t="str">
        <f aca="false">IF(D231="","",IF(I231&lt;&gt;"",I231,H231))</f>
        <v/>
      </c>
      <c r="K231" s="117" t="str">
        <f aca="false">IF(D231="","",IFERROR(VLOOKUP($D231,cfg_LT,3,FALSE()),""))</f>
        <v/>
      </c>
      <c r="L231" s="117" t="str">
        <f aca="false">IF(D231="","",IFERROR(VLOOKUP($D231,cfg_LT,4,FALSE()),""))</f>
        <v/>
      </c>
      <c r="M231" s="117" t="str">
        <f aca="false">IF(D231="","",IFERROR(VLOOKUP($D231,cfg_LT,5,FALSE()),""))</f>
        <v/>
      </c>
      <c r="N231" s="116" t="n">
        <f aca="false">IF(OR(OR($B231="",$E231="",$F231=""),M231&lt;&gt;"نعم"),0,G231*J231*IFERROR(INDEX(الموظفون!$R$6:$R$105,MATCH(B231,الموظفون!$B$6:$B$105,0)),0)/cfg_DAYS_M)</f>
        <v>0</v>
      </c>
      <c r="O231" s="115" t="str">
        <f aca="false">IF(OR(OR($B231="",$E231="",$F231=""),M231&lt;&gt;"نعم"),"",IF(YEAR(E231)=cfg_FY,MONTH(E231),""))</f>
        <v/>
      </c>
      <c r="P231" s="117" t="str">
        <f aca="false">IF(B231="","",IF(OR(D231="",E231="",F231=""),"⚠ أكمل النوع والتواريخ",IF(F231&lt;E231,"✖ النهاية قبل البداية",IF(COUNTIFS($B$6:$B$505,B231,$E$6:$E$505,"&lt;="&amp;F231,$F$6:$F$505,"&gt;="&amp;E231)&gt;1,"⚠ تداخل مع سجل آخر",IF(E231&gt;cfg_VAL_DATE,"⏳ قادمة",IF(F231&lt;cfg_VAL_DATE,"✔ منتهية","✈ جارية في تاريخ التقرير"))))))</f>
        <v/>
      </c>
      <c r="Q231" s="118"/>
      <c r="R231" s="133" t="n">
        <f aca="false">IF(OR(OR($B231="",$E231="",$F231=""),L231&lt;&gt;"لا"),0,MAX(0,MIN(F231,cfg_Y_START-1)-E231+1))</f>
        <v>0</v>
      </c>
      <c r="S231" s="133" t="n">
        <f aca="false">IF(OR(OR($B231="",$E231="",$F231=""),L231&lt;&gt;"لا"),0,MAX(0,MIN(F231,cfg_VAL_DATE)-E231+1))</f>
        <v>0</v>
      </c>
      <c r="T231" s="133" t="n">
        <f aca="false">IF(OR(OR($B231="",$E231="",$F231=""),K231&lt;&gt;"نعم"),0,IF(M231="نعم",IF(AND(ISNUMBER(O231),N(O231)&lt;=cfg_VAL_M),G231,0),MAX(0,MIN(F231,cfg_VAL_DATE)-MAX(E231,cfg_Y_START)+1)))</f>
        <v>0</v>
      </c>
      <c r="V231" s="133" t="n">
        <f aca="false">IF(OR($B231="",$E231="",$F231=""),0,MAX(0,MIN($F231,EOMONTH(DATE(cfg_FY,1,1),0))-MAX($E231,DATE(cfg_FY,1,1))+1)*(1-IF($M231="نعم",0,N($J231))))</f>
        <v>0</v>
      </c>
      <c r="W231" s="133" t="n">
        <f aca="false">IF(OR($B231="",$E231="",$F231=""),0,MAX(0,MIN($F231,EOMONTH(DATE(cfg_FY,2,1),0))-MAX($E231,DATE(cfg_FY,2,1))+1)*(1-IF($M231="نعم",0,N($J231))))</f>
        <v>0</v>
      </c>
      <c r="X231" s="133" t="n">
        <f aca="false">IF(OR($B231="",$E231="",$F231=""),0,MAX(0,MIN($F231,EOMONTH(DATE(cfg_FY,3,1),0))-MAX($E231,DATE(cfg_FY,3,1))+1)*(1-IF($M231="نعم",0,N($J231))))</f>
        <v>0</v>
      </c>
      <c r="Y231" s="133" t="n">
        <f aca="false">IF(OR($B231="",$E231="",$F231=""),0,MAX(0,MIN($F231,EOMONTH(DATE(cfg_FY,4,1),0))-MAX($E231,DATE(cfg_FY,4,1))+1)*(1-IF($M231="نعم",0,N($J231))))</f>
        <v>0</v>
      </c>
      <c r="Z231" s="133" t="n">
        <f aca="false">IF(OR($B231="",$E231="",$F231=""),0,MAX(0,MIN($F231,EOMONTH(DATE(cfg_FY,5,1),0))-MAX($E231,DATE(cfg_FY,5,1))+1)*(1-IF($M231="نعم",0,N($J231))))</f>
        <v>0</v>
      </c>
      <c r="AA231" s="133" t="n">
        <f aca="false">IF(OR($B231="",$E231="",$F231=""),0,MAX(0,MIN($F231,EOMONTH(DATE(cfg_FY,6,1),0))-MAX($E231,DATE(cfg_FY,6,1))+1)*(1-IF($M231="نعم",0,N($J231))))</f>
        <v>0</v>
      </c>
      <c r="AB231" s="133" t="n">
        <f aca="false">IF(OR($B231="",$E231="",$F231=""),0,MAX(0,MIN($F231,EOMONTH(DATE(cfg_FY,7,1),0))-MAX($E231,DATE(cfg_FY,7,1))+1)*(1-IF($M231="نعم",0,N($J231))))</f>
        <v>0</v>
      </c>
      <c r="AC231" s="133" t="n">
        <f aca="false">IF(OR($B231="",$E231="",$F231=""),0,MAX(0,MIN($F231,EOMONTH(DATE(cfg_FY,8,1),0))-MAX($E231,DATE(cfg_FY,8,1))+1)*(1-IF($M231="نعم",0,N($J231))))</f>
        <v>0</v>
      </c>
      <c r="AD231" s="133" t="n">
        <f aca="false">IF(OR($B231="",$E231="",$F231=""),0,MAX(0,MIN($F231,EOMONTH(DATE(cfg_FY,9,1),0))-MAX($E231,DATE(cfg_FY,9,1))+1)*(1-IF($M231="نعم",0,N($J231))))</f>
        <v>0</v>
      </c>
      <c r="AE231" s="133" t="n">
        <f aca="false">IF(OR($B231="",$E231="",$F231=""),0,MAX(0,MIN($F231,EOMONTH(DATE(cfg_FY,10,1),0))-MAX($E231,DATE(cfg_FY,10,1))+1)*(1-IF($M231="نعم",0,N($J231))))</f>
        <v>0</v>
      </c>
      <c r="AF231" s="133" t="n">
        <f aca="false">IF(OR($B231="",$E231="",$F231=""),0,MAX(0,MIN($F231,EOMONTH(DATE(cfg_FY,11,1),0))-MAX($E231,DATE(cfg_FY,11,1))+1)*(1-IF($M231="نعم",0,N($J231))))</f>
        <v>0</v>
      </c>
      <c r="AG231" s="133" t="n">
        <f aca="false">IF(OR($B231="",$E231="",$F231=""),0,MAX(0,MIN($F231,EOMONTH(DATE(cfg_FY,12,1),0))-MAX($E231,DATE(cfg_FY,12,1))+1)*(1-IF($M231="نعم",0,N($J231))))</f>
        <v>0</v>
      </c>
      <c r="AH231" s="133" t="n">
        <f aca="false">IF(OR(OR($B231="",$E231="",$F231=""),$L231&lt;&gt;"لا"),0,MAX(0,MIN($F231,EOMONTH(DATE(cfg_FY,1,1),0))-$E231+1))</f>
        <v>0</v>
      </c>
      <c r="AI231" s="133" t="n">
        <f aca="false">IF(OR(OR($B231="",$E231="",$F231=""),$L231&lt;&gt;"لا"),0,MAX(0,MIN($F231,EOMONTH(DATE(cfg_FY,2,1),0))-$E231+1))</f>
        <v>0</v>
      </c>
      <c r="AJ231" s="133" t="n">
        <f aca="false">IF(OR(OR($B231="",$E231="",$F231=""),$L231&lt;&gt;"لا"),0,MAX(0,MIN($F231,EOMONTH(DATE(cfg_FY,3,1),0))-$E231+1))</f>
        <v>0</v>
      </c>
      <c r="AK231" s="133" t="n">
        <f aca="false">IF(OR(OR($B231="",$E231="",$F231=""),$L231&lt;&gt;"لا"),0,MAX(0,MIN($F231,EOMONTH(DATE(cfg_FY,4,1),0))-$E231+1))</f>
        <v>0</v>
      </c>
      <c r="AL231" s="133" t="n">
        <f aca="false">IF(OR(OR($B231="",$E231="",$F231=""),$L231&lt;&gt;"لا"),0,MAX(0,MIN($F231,EOMONTH(DATE(cfg_FY,5,1),0))-$E231+1))</f>
        <v>0</v>
      </c>
      <c r="AM231" s="133" t="n">
        <f aca="false">IF(OR(OR($B231="",$E231="",$F231=""),$L231&lt;&gt;"لا"),0,MAX(0,MIN($F231,EOMONTH(DATE(cfg_FY,6,1),0))-$E231+1))</f>
        <v>0</v>
      </c>
      <c r="AN231" s="133" t="n">
        <f aca="false">IF(OR(OR($B231="",$E231="",$F231=""),$L231&lt;&gt;"لا"),0,MAX(0,MIN($F231,EOMONTH(DATE(cfg_FY,7,1),0))-$E231+1))</f>
        <v>0</v>
      </c>
      <c r="AO231" s="133" t="n">
        <f aca="false">IF(OR(OR($B231="",$E231="",$F231=""),$L231&lt;&gt;"لا"),0,MAX(0,MIN($F231,EOMONTH(DATE(cfg_FY,8,1),0))-$E231+1))</f>
        <v>0</v>
      </c>
      <c r="AP231" s="133" t="n">
        <f aca="false">IF(OR(OR($B231="",$E231="",$F231=""),$L231&lt;&gt;"لا"),0,MAX(0,MIN($F231,EOMONTH(DATE(cfg_FY,9,1),0))-$E231+1))</f>
        <v>0</v>
      </c>
      <c r="AQ231" s="133" t="n">
        <f aca="false">IF(OR(OR($B231="",$E231="",$F231=""),$L231&lt;&gt;"لا"),0,MAX(0,MIN($F231,EOMONTH(DATE(cfg_FY,10,1),0))-$E231+1))</f>
        <v>0</v>
      </c>
      <c r="AR231" s="133" t="n">
        <f aca="false">IF(OR(OR($B231="",$E231="",$F231=""),$L231&lt;&gt;"لا"),0,MAX(0,MIN($F231,EOMONTH(DATE(cfg_FY,11,1),0))-$E231+1))</f>
        <v>0</v>
      </c>
      <c r="AS231" s="133" t="n">
        <f aca="false">IF(OR(OR($B231="",$E231="",$F231=""),$L231&lt;&gt;"لا"),0,MAX(0,MIN($F231,EOMONTH(DATE(cfg_FY,12,1),0))-$E231+1))</f>
        <v>0</v>
      </c>
      <c r="AT231" s="133" t="n">
        <f aca="false">IF(OR(OR($B231="",$E231="",$F231=""),$K231&lt;&gt;"نعم",$M231="نعم"),0,MAX(0,MIN($F231,EOMONTH(DATE(cfg_FY,1,1),0))-MAX($E231,DATE(cfg_FY,1,1))+1))</f>
        <v>0</v>
      </c>
      <c r="AU231" s="133" t="n">
        <f aca="false">IF(OR(OR($B231="",$E231="",$F231=""),$K231&lt;&gt;"نعم",$M231="نعم"),0,MAX(0,MIN($F231,EOMONTH(DATE(cfg_FY,2,1),0))-MAX($E231,DATE(cfg_FY,2,1))+1))</f>
        <v>0</v>
      </c>
      <c r="AV231" s="133" t="n">
        <f aca="false">IF(OR(OR($B231="",$E231="",$F231=""),$K231&lt;&gt;"نعم",$M231="نعم"),0,MAX(0,MIN($F231,EOMONTH(DATE(cfg_FY,3,1),0))-MAX($E231,DATE(cfg_FY,3,1))+1))</f>
        <v>0</v>
      </c>
      <c r="AW231" s="133" t="n">
        <f aca="false">IF(OR(OR($B231="",$E231="",$F231=""),$K231&lt;&gt;"نعم",$M231="نعم"),0,MAX(0,MIN($F231,EOMONTH(DATE(cfg_FY,4,1),0))-MAX($E231,DATE(cfg_FY,4,1))+1))</f>
        <v>0</v>
      </c>
      <c r="AX231" s="133" t="n">
        <f aca="false">IF(OR(OR($B231="",$E231="",$F231=""),$K231&lt;&gt;"نعم",$M231="نعم"),0,MAX(0,MIN($F231,EOMONTH(DATE(cfg_FY,5,1),0))-MAX($E231,DATE(cfg_FY,5,1))+1))</f>
        <v>0</v>
      </c>
      <c r="AY231" s="133" t="n">
        <f aca="false">IF(OR(OR($B231="",$E231="",$F231=""),$K231&lt;&gt;"نعم",$M231="نعم"),0,MAX(0,MIN($F231,EOMONTH(DATE(cfg_FY,6,1),0))-MAX($E231,DATE(cfg_FY,6,1))+1))</f>
        <v>0</v>
      </c>
      <c r="AZ231" s="133" t="n">
        <f aca="false">IF(OR(OR($B231="",$E231="",$F231=""),$K231&lt;&gt;"نعم",$M231="نعم"),0,MAX(0,MIN($F231,EOMONTH(DATE(cfg_FY,7,1),0))-MAX($E231,DATE(cfg_FY,7,1))+1))</f>
        <v>0</v>
      </c>
      <c r="BA231" s="133" t="n">
        <f aca="false">IF(OR(OR($B231="",$E231="",$F231=""),$K231&lt;&gt;"نعم",$M231="نعم"),0,MAX(0,MIN($F231,EOMONTH(DATE(cfg_FY,8,1),0))-MAX($E231,DATE(cfg_FY,8,1))+1))</f>
        <v>0</v>
      </c>
      <c r="BB231" s="133" t="n">
        <f aca="false">IF(OR(OR($B231="",$E231="",$F231=""),$K231&lt;&gt;"نعم",$M231="نعم"),0,MAX(0,MIN($F231,EOMONTH(DATE(cfg_FY,9,1),0))-MAX($E231,DATE(cfg_FY,9,1))+1))</f>
        <v>0</v>
      </c>
      <c r="BC231" s="133" t="n">
        <f aca="false">IF(OR(OR($B231="",$E231="",$F231=""),$K231&lt;&gt;"نعم",$M231="نعم"),0,MAX(0,MIN($F231,EOMONTH(DATE(cfg_FY,10,1),0))-MAX($E231,DATE(cfg_FY,10,1))+1))</f>
        <v>0</v>
      </c>
      <c r="BD231" s="133" t="n">
        <f aca="false">IF(OR(OR($B231="",$E231="",$F231=""),$K231&lt;&gt;"نعم",$M231="نعم"),0,MAX(0,MIN($F231,EOMONTH(DATE(cfg_FY,11,1),0))-MAX($E231,DATE(cfg_FY,11,1))+1))</f>
        <v>0</v>
      </c>
      <c r="BE231" s="133" t="n">
        <f aca="false">IF(OR(OR($B231="",$E231="",$F231=""),$K231&lt;&gt;"نعم",$M231="نعم"),0,MAX(0,MIN($F231,EOMONTH(DATE(cfg_FY,12,1),0))-MAX($E231,DATE(cfg_FY,12,1))+1))</f>
        <v>0</v>
      </c>
    </row>
    <row r="232" customFormat="false" ht="15" hidden="false" customHeight="false" outlineLevel="0" collapsed="false">
      <c r="A232" s="106" t="str">
        <f aca="false">IF(B232="","",ROW()-5)</f>
        <v/>
      </c>
      <c r="B232" s="118"/>
      <c r="C232" s="114" t="str">
        <f aca="false">IF(B232="","",IFERROR(INDEX(الموظفون!$C$6:$C$105,MATCH(B232,الموظفون!$B$6:$B$105,0)),"✖ رقم غير موجود"))</f>
        <v/>
      </c>
      <c r="D232" s="118"/>
      <c r="E232" s="119"/>
      <c r="F232" s="119"/>
      <c r="G232" s="65" t="str">
        <f aca="false">IF(OR($B232="",$E232="",$F232=""),"",MAX(0,F232-E232+1))</f>
        <v/>
      </c>
      <c r="H232" s="66" t="str">
        <f aca="false">IF(D232="","",IFERROR(VLOOKUP(D232,cfg_LT,2,FALSE()),1))</f>
        <v/>
      </c>
      <c r="I232" s="135"/>
      <c r="J232" s="66" t="str">
        <f aca="false">IF(D232="","",IF(I232&lt;&gt;"",I232,H232))</f>
        <v/>
      </c>
      <c r="K232" s="114" t="str">
        <f aca="false">IF(D232="","",IFERROR(VLOOKUP($D232,cfg_LT,3,FALSE()),""))</f>
        <v/>
      </c>
      <c r="L232" s="114" t="str">
        <f aca="false">IF(D232="","",IFERROR(VLOOKUP($D232,cfg_LT,4,FALSE()),""))</f>
        <v/>
      </c>
      <c r="M232" s="114" t="str">
        <f aca="false">IF(D232="","",IFERROR(VLOOKUP($D232,cfg_LT,5,FALSE()),""))</f>
        <v/>
      </c>
      <c r="N232" s="111" t="n">
        <f aca="false">IF(OR(OR($B232="",$E232="",$F232=""),M232&lt;&gt;"نعم"),0,G232*J232*IFERROR(INDEX(الموظفون!$R$6:$R$105,MATCH(B232,الموظفون!$B$6:$B$105,0)),0)/cfg_DAYS_M)</f>
        <v>0</v>
      </c>
      <c r="O232" s="106" t="str">
        <f aca="false">IF(OR(OR($B232="",$E232="",$F232=""),M232&lt;&gt;"نعم"),"",IF(YEAR(E232)=cfg_FY,MONTH(E232),""))</f>
        <v/>
      </c>
      <c r="P232" s="114" t="str">
        <f aca="false">IF(B232="","",IF(OR(D232="",E232="",F232=""),"⚠ أكمل النوع والتواريخ",IF(F232&lt;E232,"✖ النهاية قبل البداية",IF(COUNTIFS($B$6:$B$505,B232,$E$6:$E$505,"&lt;="&amp;F232,$F$6:$F$505,"&gt;="&amp;E232)&gt;1,"⚠ تداخل مع سجل آخر",IF(E232&gt;cfg_VAL_DATE,"⏳ قادمة",IF(F232&lt;cfg_VAL_DATE,"✔ منتهية","✈ جارية في تاريخ التقرير"))))))</f>
        <v/>
      </c>
      <c r="Q232" s="118"/>
      <c r="R232" s="65" t="n">
        <f aca="false">IF(OR(OR($B232="",$E232="",$F232=""),L232&lt;&gt;"لا"),0,MAX(0,MIN(F232,cfg_Y_START-1)-E232+1))</f>
        <v>0</v>
      </c>
      <c r="S232" s="65" t="n">
        <f aca="false">IF(OR(OR($B232="",$E232="",$F232=""),L232&lt;&gt;"لا"),0,MAX(0,MIN(F232,cfg_VAL_DATE)-E232+1))</f>
        <v>0</v>
      </c>
      <c r="T232" s="65" t="n">
        <f aca="false">IF(OR(OR($B232="",$E232="",$F232=""),K232&lt;&gt;"نعم"),0,IF(M232="نعم",IF(AND(ISNUMBER(O232),N(O232)&lt;=cfg_VAL_M),G232,0),MAX(0,MIN(F232,cfg_VAL_DATE)-MAX(E232,cfg_Y_START)+1)))</f>
        <v>0</v>
      </c>
      <c r="V232" s="65" t="n">
        <f aca="false">IF(OR($B232="",$E232="",$F232=""),0,MAX(0,MIN($F232,EOMONTH(DATE(cfg_FY,1,1),0))-MAX($E232,DATE(cfg_FY,1,1))+1)*(1-IF($M232="نعم",0,N($J232))))</f>
        <v>0</v>
      </c>
      <c r="W232" s="65" t="n">
        <f aca="false">IF(OR($B232="",$E232="",$F232=""),0,MAX(0,MIN($F232,EOMONTH(DATE(cfg_FY,2,1),0))-MAX($E232,DATE(cfg_FY,2,1))+1)*(1-IF($M232="نعم",0,N($J232))))</f>
        <v>0</v>
      </c>
      <c r="X232" s="65" t="n">
        <f aca="false">IF(OR($B232="",$E232="",$F232=""),0,MAX(0,MIN($F232,EOMONTH(DATE(cfg_FY,3,1),0))-MAX($E232,DATE(cfg_FY,3,1))+1)*(1-IF($M232="نعم",0,N($J232))))</f>
        <v>0</v>
      </c>
      <c r="Y232" s="65" t="n">
        <f aca="false">IF(OR($B232="",$E232="",$F232=""),0,MAX(0,MIN($F232,EOMONTH(DATE(cfg_FY,4,1),0))-MAX($E232,DATE(cfg_FY,4,1))+1)*(1-IF($M232="نعم",0,N($J232))))</f>
        <v>0</v>
      </c>
      <c r="Z232" s="65" t="n">
        <f aca="false">IF(OR($B232="",$E232="",$F232=""),0,MAX(0,MIN($F232,EOMONTH(DATE(cfg_FY,5,1),0))-MAX($E232,DATE(cfg_FY,5,1))+1)*(1-IF($M232="نعم",0,N($J232))))</f>
        <v>0</v>
      </c>
      <c r="AA232" s="65" t="n">
        <f aca="false">IF(OR($B232="",$E232="",$F232=""),0,MAX(0,MIN($F232,EOMONTH(DATE(cfg_FY,6,1),0))-MAX($E232,DATE(cfg_FY,6,1))+1)*(1-IF($M232="نعم",0,N($J232))))</f>
        <v>0</v>
      </c>
      <c r="AB232" s="65" t="n">
        <f aca="false">IF(OR($B232="",$E232="",$F232=""),0,MAX(0,MIN($F232,EOMONTH(DATE(cfg_FY,7,1),0))-MAX($E232,DATE(cfg_FY,7,1))+1)*(1-IF($M232="نعم",0,N($J232))))</f>
        <v>0</v>
      </c>
      <c r="AC232" s="65" t="n">
        <f aca="false">IF(OR($B232="",$E232="",$F232=""),0,MAX(0,MIN($F232,EOMONTH(DATE(cfg_FY,8,1),0))-MAX($E232,DATE(cfg_FY,8,1))+1)*(1-IF($M232="نعم",0,N($J232))))</f>
        <v>0</v>
      </c>
      <c r="AD232" s="65" t="n">
        <f aca="false">IF(OR($B232="",$E232="",$F232=""),0,MAX(0,MIN($F232,EOMONTH(DATE(cfg_FY,9,1),0))-MAX($E232,DATE(cfg_FY,9,1))+1)*(1-IF($M232="نعم",0,N($J232))))</f>
        <v>0</v>
      </c>
      <c r="AE232" s="65" t="n">
        <f aca="false">IF(OR($B232="",$E232="",$F232=""),0,MAX(0,MIN($F232,EOMONTH(DATE(cfg_FY,10,1),0))-MAX($E232,DATE(cfg_FY,10,1))+1)*(1-IF($M232="نعم",0,N($J232))))</f>
        <v>0</v>
      </c>
      <c r="AF232" s="65" t="n">
        <f aca="false">IF(OR($B232="",$E232="",$F232=""),0,MAX(0,MIN($F232,EOMONTH(DATE(cfg_FY,11,1),0))-MAX($E232,DATE(cfg_FY,11,1))+1)*(1-IF($M232="نعم",0,N($J232))))</f>
        <v>0</v>
      </c>
      <c r="AG232" s="65" t="n">
        <f aca="false">IF(OR($B232="",$E232="",$F232=""),0,MAX(0,MIN($F232,EOMONTH(DATE(cfg_FY,12,1),0))-MAX($E232,DATE(cfg_FY,12,1))+1)*(1-IF($M232="نعم",0,N($J232))))</f>
        <v>0</v>
      </c>
      <c r="AH232" s="65" t="n">
        <f aca="false">IF(OR(OR($B232="",$E232="",$F232=""),$L232&lt;&gt;"لا"),0,MAX(0,MIN($F232,EOMONTH(DATE(cfg_FY,1,1),0))-$E232+1))</f>
        <v>0</v>
      </c>
      <c r="AI232" s="65" t="n">
        <f aca="false">IF(OR(OR($B232="",$E232="",$F232=""),$L232&lt;&gt;"لا"),0,MAX(0,MIN($F232,EOMONTH(DATE(cfg_FY,2,1),0))-$E232+1))</f>
        <v>0</v>
      </c>
      <c r="AJ232" s="65" t="n">
        <f aca="false">IF(OR(OR($B232="",$E232="",$F232=""),$L232&lt;&gt;"لا"),0,MAX(0,MIN($F232,EOMONTH(DATE(cfg_FY,3,1),0))-$E232+1))</f>
        <v>0</v>
      </c>
      <c r="AK232" s="65" t="n">
        <f aca="false">IF(OR(OR($B232="",$E232="",$F232=""),$L232&lt;&gt;"لا"),0,MAX(0,MIN($F232,EOMONTH(DATE(cfg_FY,4,1),0))-$E232+1))</f>
        <v>0</v>
      </c>
      <c r="AL232" s="65" t="n">
        <f aca="false">IF(OR(OR($B232="",$E232="",$F232=""),$L232&lt;&gt;"لا"),0,MAX(0,MIN($F232,EOMONTH(DATE(cfg_FY,5,1),0))-$E232+1))</f>
        <v>0</v>
      </c>
      <c r="AM232" s="65" t="n">
        <f aca="false">IF(OR(OR($B232="",$E232="",$F232=""),$L232&lt;&gt;"لا"),0,MAX(0,MIN($F232,EOMONTH(DATE(cfg_FY,6,1),0))-$E232+1))</f>
        <v>0</v>
      </c>
      <c r="AN232" s="65" t="n">
        <f aca="false">IF(OR(OR($B232="",$E232="",$F232=""),$L232&lt;&gt;"لا"),0,MAX(0,MIN($F232,EOMONTH(DATE(cfg_FY,7,1),0))-$E232+1))</f>
        <v>0</v>
      </c>
      <c r="AO232" s="65" t="n">
        <f aca="false">IF(OR(OR($B232="",$E232="",$F232=""),$L232&lt;&gt;"لا"),0,MAX(0,MIN($F232,EOMONTH(DATE(cfg_FY,8,1),0))-$E232+1))</f>
        <v>0</v>
      </c>
      <c r="AP232" s="65" t="n">
        <f aca="false">IF(OR(OR($B232="",$E232="",$F232=""),$L232&lt;&gt;"لا"),0,MAX(0,MIN($F232,EOMONTH(DATE(cfg_FY,9,1),0))-$E232+1))</f>
        <v>0</v>
      </c>
      <c r="AQ232" s="65" t="n">
        <f aca="false">IF(OR(OR($B232="",$E232="",$F232=""),$L232&lt;&gt;"لا"),0,MAX(0,MIN($F232,EOMONTH(DATE(cfg_FY,10,1),0))-$E232+1))</f>
        <v>0</v>
      </c>
      <c r="AR232" s="65" t="n">
        <f aca="false">IF(OR(OR($B232="",$E232="",$F232=""),$L232&lt;&gt;"لا"),0,MAX(0,MIN($F232,EOMONTH(DATE(cfg_FY,11,1),0))-$E232+1))</f>
        <v>0</v>
      </c>
      <c r="AS232" s="65" t="n">
        <f aca="false">IF(OR(OR($B232="",$E232="",$F232=""),$L232&lt;&gt;"لا"),0,MAX(0,MIN($F232,EOMONTH(DATE(cfg_FY,12,1),0))-$E232+1))</f>
        <v>0</v>
      </c>
      <c r="AT232" s="65" t="n">
        <f aca="false">IF(OR(OR($B232="",$E232="",$F232=""),$K232&lt;&gt;"نعم",$M232="نعم"),0,MAX(0,MIN($F232,EOMONTH(DATE(cfg_FY,1,1),0))-MAX($E232,DATE(cfg_FY,1,1))+1))</f>
        <v>0</v>
      </c>
      <c r="AU232" s="65" t="n">
        <f aca="false">IF(OR(OR($B232="",$E232="",$F232=""),$K232&lt;&gt;"نعم",$M232="نعم"),0,MAX(0,MIN($F232,EOMONTH(DATE(cfg_FY,2,1),0))-MAX($E232,DATE(cfg_FY,2,1))+1))</f>
        <v>0</v>
      </c>
      <c r="AV232" s="65" t="n">
        <f aca="false">IF(OR(OR($B232="",$E232="",$F232=""),$K232&lt;&gt;"نعم",$M232="نعم"),0,MAX(0,MIN($F232,EOMONTH(DATE(cfg_FY,3,1),0))-MAX($E232,DATE(cfg_FY,3,1))+1))</f>
        <v>0</v>
      </c>
      <c r="AW232" s="65" t="n">
        <f aca="false">IF(OR(OR($B232="",$E232="",$F232=""),$K232&lt;&gt;"نعم",$M232="نعم"),0,MAX(0,MIN($F232,EOMONTH(DATE(cfg_FY,4,1),0))-MAX($E232,DATE(cfg_FY,4,1))+1))</f>
        <v>0</v>
      </c>
      <c r="AX232" s="65" t="n">
        <f aca="false">IF(OR(OR($B232="",$E232="",$F232=""),$K232&lt;&gt;"نعم",$M232="نعم"),0,MAX(0,MIN($F232,EOMONTH(DATE(cfg_FY,5,1),0))-MAX($E232,DATE(cfg_FY,5,1))+1))</f>
        <v>0</v>
      </c>
      <c r="AY232" s="65" t="n">
        <f aca="false">IF(OR(OR($B232="",$E232="",$F232=""),$K232&lt;&gt;"نعم",$M232="نعم"),0,MAX(0,MIN($F232,EOMONTH(DATE(cfg_FY,6,1),0))-MAX($E232,DATE(cfg_FY,6,1))+1))</f>
        <v>0</v>
      </c>
      <c r="AZ232" s="65" t="n">
        <f aca="false">IF(OR(OR($B232="",$E232="",$F232=""),$K232&lt;&gt;"نعم",$M232="نعم"),0,MAX(0,MIN($F232,EOMONTH(DATE(cfg_FY,7,1),0))-MAX($E232,DATE(cfg_FY,7,1))+1))</f>
        <v>0</v>
      </c>
      <c r="BA232" s="65" t="n">
        <f aca="false">IF(OR(OR($B232="",$E232="",$F232=""),$K232&lt;&gt;"نعم",$M232="نعم"),0,MAX(0,MIN($F232,EOMONTH(DATE(cfg_FY,8,1),0))-MAX($E232,DATE(cfg_FY,8,1))+1))</f>
        <v>0</v>
      </c>
      <c r="BB232" s="65" t="n">
        <f aca="false">IF(OR(OR($B232="",$E232="",$F232=""),$K232&lt;&gt;"نعم",$M232="نعم"),0,MAX(0,MIN($F232,EOMONTH(DATE(cfg_FY,9,1),0))-MAX($E232,DATE(cfg_FY,9,1))+1))</f>
        <v>0</v>
      </c>
      <c r="BC232" s="65" t="n">
        <f aca="false">IF(OR(OR($B232="",$E232="",$F232=""),$K232&lt;&gt;"نعم",$M232="نعم"),0,MAX(0,MIN($F232,EOMONTH(DATE(cfg_FY,10,1),0))-MAX($E232,DATE(cfg_FY,10,1))+1))</f>
        <v>0</v>
      </c>
      <c r="BD232" s="65" t="n">
        <f aca="false">IF(OR(OR($B232="",$E232="",$F232=""),$K232&lt;&gt;"نعم",$M232="نعم"),0,MAX(0,MIN($F232,EOMONTH(DATE(cfg_FY,11,1),0))-MAX($E232,DATE(cfg_FY,11,1))+1))</f>
        <v>0</v>
      </c>
      <c r="BE232" s="65" t="n">
        <f aca="false">IF(OR(OR($B232="",$E232="",$F232=""),$K232&lt;&gt;"نعم",$M232="نعم"),0,MAX(0,MIN($F232,EOMONTH(DATE(cfg_FY,12,1),0))-MAX($E232,DATE(cfg_FY,12,1))+1))</f>
        <v>0</v>
      </c>
    </row>
    <row r="233" customFormat="false" ht="15" hidden="false" customHeight="false" outlineLevel="0" collapsed="false">
      <c r="A233" s="115" t="str">
        <f aca="false">IF(B233="","",ROW()-5)</f>
        <v/>
      </c>
      <c r="B233" s="118"/>
      <c r="C233" s="117" t="str">
        <f aca="false">IF(B233="","",IFERROR(INDEX(الموظفون!$C$6:$C$105,MATCH(B233,الموظفون!$B$6:$B$105,0)),"✖ رقم غير موجود"))</f>
        <v/>
      </c>
      <c r="D233" s="118"/>
      <c r="E233" s="119"/>
      <c r="F233" s="119"/>
      <c r="G233" s="133" t="str">
        <f aca="false">IF(OR($B233="",$E233="",$F233=""),"",MAX(0,F233-E233+1))</f>
        <v/>
      </c>
      <c r="H233" s="134" t="str">
        <f aca="false">IF(D233="","",IFERROR(VLOOKUP(D233,cfg_LT,2,FALSE()),1))</f>
        <v/>
      </c>
      <c r="I233" s="135"/>
      <c r="J233" s="134" t="str">
        <f aca="false">IF(D233="","",IF(I233&lt;&gt;"",I233,H233))</f>
        <v/>
      </c>
      <c r="K233" s="117" t="str">
        <f aca="false">IF(D233="","",IFERROR(VLOOKUP($D233,cfg_LT,3,FALSE()),""))</f>
        <v/>
      </c>
      <c r="L233" s="117" t="str">
        <f aca="false">IF(D233="","",IFERROR(VLOOKUP($D233,cfg_LT,4,FALSE()),""))</f>
        <v/>
      </c>
      <c r="M233" s="117" t="str">
        <f aca="false">IF(D233="","",IFERROR(VLOOKUP($D233,cfg_LT,5,FALSE()),""))</f>
        <v/>
      </c>
      <c r="N233" s="116" t="n">
        <f aca="false">IF(OR(OR($B233="",$E233="",$F233=""),M233&lt;&gt;"نعم"),0,G233*J233*IFERROR(INDEX(الموظفون!$R$6:$R$105,MATCH(B233,الموظفون!$B$6:$B$105,0)),0)/cfg_DAYS_M)</f>
        <v>0</v>
      </c>
      <c r="O233" s="115" t="str">
        <f aca="false">IF(OR(OR($B233="",$E233="",$F233=""),M233&lt;&gt;"نعم"),"",IF(YEAR(E233)=cfg_FY,MONTH(E233),""))</f>
        <v/>
      </c>
      <c r="P233" s="117" t="str">
        <f aca="false">IF(B233="","",IF(OR(D233="",E233="",F233=""),"⚠ أكمل النوع والتواريخ",IF(F233&lt;E233,"✖ النهاية قبل البداية",IF(COUNTIFS($B$6:$B$505,B233,$E$6:$E$505,"&lt;="&amp;F233,$F$6:$F$505,"&gt;="&amp;E233)&gt;1,"⚠ تداخل مع سجل آخر",IF(E233&gt;cfg_VAL_DATE,"⏳ قادمة",IF(F233&lt;cfg_VAL_DATE,"✔ منتهية","✈ جارية في تاريخ التقرير"))))))</f>
        <v/>
      </c>
      <c r="Q233" s="118"/>
      <c r="R233" s="133" t="n">
        <f aca="false">IF(OR(OR($B233="",$E233="",$F233=""),L233&lt;&gt;"لا"),0,MAX(0,MIN(F233,cfg_Y_START-1)-E233+1))</f>
        <v>0</v>
      </c>
      <c r="S233" s="133" t="n">
        <f aca="false">IF(OR(OR($B233="",$E233="",$F233=""),L233&lt;&gt;"لا"),0,MAX(0,MIN(F233,cfg_VAL_DATE)-E233+1))</f>
        <v>0</v>
      </c>
      <c r="T233" s="133" t="n">
        <f aca="false">IF(OR(OR($B233="",$E233="",$F233=""),K233&lt;&gt;"نعم"),0,IF(M233="نعم",IF(AND(ISNUMBER(O233),N(O233)&lt;=cfg_VAL_M),G233,0),MAX(0,MIN(F233,cfg_VAL_DATE)-MAX(E233,cfg_Y_START)+1)))</f>
        <v>0</v>
      </c>
      <c r="V233" s="133" t="n">
        <f aca="false">IF(OR($B233="",$E233="",$F233=""),0,MAX(0,MIN($F233,EOMONTH(DATE(cfg_FY,1,1),0))-MAX($E233,DATE(cfg_FY,1,1))+1)*(1-IF($M233="نعم",0,N($J233))))</f>
        <v>0</v>
      </c>
      <c r="W233" s="133" t="n">
        <f aca="false">IF(OR($B233="",$E233="",$F233=""),0,MAX(0,MIN($F233,EOMONTH(DATE(cfg_FY,2,1),0))-MAX($E233,DATE(cfg_FY,2,1))+1)*(1-IF($M233="نعم",0,N($J233))))</f>
        <v>0</v>
      </c>
      <c r="X233" s="133" t="n">
        <f aca="false">IF(OR($B233="",$E233="",$F233=""),0,MAX(0,MIN($F233,EOMONTH(DATE(cfg_FY,3,1),0))-MAX($E233,DATE(cfg_FY,3,1))+1)*(1-IF($M233="نعم",0,N($J233))))</f>
        <v>0</v>
      </c>
      <c r="Y233" s="133" t="n">
        <f aca="false">IF(OR($B233="",$E233="",$F233=""),0,MAX(0,MIN($F233,EOMONTH(DATE(cfg_FY,4,1),0))-MAX($E233,DATE(cfg_FY,4,1))+1)*(1-IF($M233="نعم",0,N($J233))))</f>
        <v>0</v>
      </c>
      <c r="Z233" s="133" t="n">
        <f aca="false">IF(OR($B233="",$E233="",$F233=""),0,MAX(0,MIN($F233,EOMONTH(DATE(cfg_FY,5,1),0))-MAX($E233,DATE(cfg_FY,5,1))+1)*(1-IF($M233="نعم",0,N($J233))))</f>
        <v>0</v>
      </c>
      <c r="AA233" s="133" t="n">
        <f aca="false">IF(OR($B233="",$E233="",$F233=""),0,MAX(0,MIN($F233,EOMONTH(DATE(cfg_FY,6,1),0))-MAX($E233,DATE(cfg_FY,6,1))+1)*(1-IF($M233="نعم",0,N($J233))))</f>
        <v>0</v>
      </c>
      <c r="AB233" s="133" t="n">
        <f aca="false">IF(OR($B233="",$E233="",$F233=""),0,MAX(0,MIN($F233,EOMONTH(DATE(cfg_FY,7,1),0))-MAX($E233,DATE(cfg_FY,7,1))+1)*(1-IF($M233="نعم",0,N($J233))))</f>
        <v>0</v>
      </c>
      <c r="AC233" s="133" t="n">
        <f aca="false">IF(OR($B233="",$E233="",$F233=""),0,MAX(0,MIN($F233,EOMONTH(DATE(cfg_FY,8,1),0))-MAX($E233,DATE(cfg_FY,8,1))+1)*(1-IF($M233="نعم",0,N($J233))))</f>
        <v>0</v>
      </c>
      <c r="AD233" s="133" t="n">
        <f aca="false">IF(OR($B233="",$E233="",$F233=""),0,MAX(0,MIN($F233,EOMONTH(DATE(cfg_FY,9,1),0))-MAX($E233,DATE(cfg_FY,9,1))+1)*(1-IF($M233="نعم",0,N($J233))))</f>
        <v>0</v>
      </c>
      <c r="AE233" s="133" t="n">
        <f aca="false">IF(OR($B233="",$E233="",$F233=""),0,MAX(0,MIN($F233,EOMONTH(DATE(cfg_FY,10,1),0))-MAX($E233,DATE(cfg_FY,10,1))+1)*(1-IF($M233="نعم",0,N($J233))))</f>
        <v>0</v>
      </c>
      <c r="AF233" s="133" t="n">
        <f aca="false">IF(OR($B233="",$E233="",$F233=""),0,MAX(0,MIN($F233,EOMONTH(DATE(cfg_FY,11,1),0))-MAX($E233,DATE(cfg_FY,11,1))+1)*(1-IF($M233="نعم",0,N($J233))))</f>
        <v>0</v>
      </c>
      <c r="AG233" s="133" t="n">
        <f aca="false">IF(OR($B233="",$E233="",$F233=""),0,MAX(0,MIN($F233,EOMONTH(DATE(cfg_FY,12,1),0))-MAX($E233,DATE(cfg_FY,12,1))+1)*(1-IF($M233="نعم",0,N($J233))))</f>
        <v>0</v>
      </c>
      <c r="AH233" s="133" t="n">
        <f aca="false">IF(OR(OR($B233="",$E233="",$F233=""),$L233&lt;&gt;"لا"),0,MAX(0,MIN($F233,EOMONTH(DATE(cfg_FY,1,1),0))-$E233+1))</f>
        <v>0</v>
      </c>
      <c r="AI233" s="133" t="n">
        <f aca="false">IF(OR(OR($B233="",$E233="",$F233=""),$L233&lt;&gt;"لا"),0,MAX(0,MIN($F233,EOMONTH(DATE(cfg_FY,2,1),0))-$E233+1))</f>
        <v>0</v>
      </c>
      <c r="AJ233" s="133" t="n">
        <f aca="false">IF(OR(OR($B233="",$E233="",$F233=""),$L233&lt;&gt;"لا"),0,MAX(0,MIN($F233,EOMONTH(DATE(cfg_FY,3,1),0))-$E233+1))</f>
        <v>0</v>
      </c>
      <c r="AK233" s="133" t="n">
        <f aca="false">IF(OR(OR($B233="",$E233="",$F233=""),$L233&lt;&gt;"لا"),0,MAX(0,MIN($F233,EOMONTH(DATE(cfg_FY,4,1),0))-$E233+1))</f>
        <v>0</v>
      </c>
      <c r="AL233" s="133" t="n">
        <f aca="false">IF(OR(OR($B233="",$E233="",$F233=""),$L233&lt;&gt;"لا"),0,MAX(0,MIN($F233,EOMONTH(DATE(cfg_FY,5,1),0))-$E233+1))</f>
        <v>0</v>
      </c>
      <c r="AM233" s="133" t="n">
        <f aca="false">IF(OR(OR($B233="",$E233="",$F233=""),$L233&lt;&gt;"لا"),0,MAX(0,MIN($F233,EOMONTH(DATE(cfg_FY,6,1),0))-$E233+1))</f>
        <v>0</v>
      </c>
      <c r="AN233" s="133" t="n">
        <f aca="false">IF(OR(OR($B233="",$E233="",$F233=""),$L233&lt;&gt;"لا"),0,MAX(0,MIN($F233,EOMONTH(DATE(cfg_FY,7,1),0))-$E233+1))</f>
        <v>0</v>
      </c>
      <c r="AO233" s="133" t="n">
        <f aca="false">IF(OR(OR($B233="",$E233="",$F233=""),$L233&lt;&gt;"لا"),0,MAX(0,MIN($F233,EOMONTH(DATE(cfg_FY,8,1),0))-$E233+1))</f>
        <v>0</v>
      </c>
      <c r="AP233" s="133" t="n">
        <f aca="false">IF(OR(OR($B233="",$E233="",$F233=""),$L233&lt;&gt;"لا"),0,MAX(0,MIN($F233,EOMONTH(DATE(cfg_FY,9,1),0))-$E233+1))</f>
        <v>0</v>
      </c>
      <c r="AQ233" s="133" t="n">
        <f aca="false">IF(OR(OR($B233="",$E233="",$F233=""),$L233&lt;&gt;"لا"),0,MAX(0,MIN($F233,EOMONTH(DATE(cfg_FY,10,1),0))-$E233+1))</f>
        <v>0</v>
      </c>
      <c r="AR233" s="133" t="n">
        <f aca="false">IF(OR(OR($B233="",$E233="",$F233=""),$L233&lt;&gt;"لا"),0,MAX(0,MIN($F233,EOMONTH(DATE(cfg_FY,11,1),0))-$E233+1))</f>
        <v>0</v>
      </c>
      <c r="AS233" s="133" t="n">
        <f aca="false">IF(OR(OR($B233="",$E233="",$F233=""),$L233&lt;&gt;"لا"),0,MAX(0,MIN($F233,EOMONTH(DATE(cfg_FY,12,1),0))-$E233+1))</f>
        <v>0</v>
      </c>
      <c r="AT233" s="133" t="n">
        <f aca="false">IF(OR(OR($B233="",$E233="",$F233=""),$K233&lt;&gt;"نعم",$M233="نعم"),0,MAX(0,MIN($F233,EOMONTH(DATE(cfg_FY,1,1),0))-MAX($E233,DATE(cfg_FY,1,1))+1))</f>
        <v>0</v>
      </c>
      <c r="AU233" s="133" t="n">
        <f aca="false">IF(OR(OR($B233="",$E233="",$F233=""),$K233&lt;&gt;"نعم",$M233="نعم"),0,MAX(0,MIN($F233,EOMONTH(DATE(cfg_FY,2,1),0))-MAX($E233,DATE(cfg_FY,2,1))+1))</f>
        <v>0</v>
      </c>
      <c r="AV233" s="133" t="n">
        <f aca="false">IF(OR(OR($B233="",$E233="",$F233=""),$K233&lt;&gt;"نعم",$M233="نعم"),0,MAX(0,MIN($F233,EOMONTH(DATE(cfg_FY,3,1),0))-MAX($E233,DATE(cfg_FY,3,1))+1))</f>
        <v>0</v>
      </c>
      <c r="AW233" s="133" t="n">
        <f aca="false">IF(OR(OR($B233="",$E233="",$F233=""),$K233&lt;&gt;"نعم",$M233="نعم"),0,MAX(0,MIN($F233,EOMONTH(DATE(cfg_FY,4,1),0))-MAX($E233,DATE(cfg_FY,4,1))+1))</f>
        <v>0</v>
      </c>
      <c r="AX233" s="133" t="n">
        <f aca="false">IF(OR(OR($B233="",$E233="",$F233=""),$K233&lt;&gt;"نعم",$M233="نعم"),0,MAX(0,MIN($F233,EOMONTH(DATE(cfg_FY,5,1),0))-MAX($E233,DATE(cfg_FY,5,1))+1))</f>
        <v>0</v>
      </c>
      <c r="AY233" s="133" t="n">
        <f aca="false">IF(OR(OR($B233="",$E233="",$F233=""),$K233&lt;&gt;"نعم",$M233="نعم"),0,MAX(0,MIN($F233,EOMONTH(DATE(cfg_FY,6,1),0))-MAX($E233,DATE(cfg_FY,6,1))+1))</f>
        <v>0</v>
      </c>
      <c r="AZ233" s="133" t="n">
        <f aca="false">IF(OR(OR($B233="",$E233="",$F233=""),$K233&lt;&gt;"نعم",$M233="نعم"),0,MAX(0,MIN($F233,EOMONTH(DATE(cfg_FY,7,1),0))-MAX($E233,DATE(cfg_FY,7,1))+1))</f>
        <v>0</v>
      </c>
      <c r="BA233" s="133" t="n">
        <f aca="false">IF(OR(OR($B233="",$E233="",$F233=""),$K233&lt;&gt;"نعم",$M233="نعم"),0,MAX(0,MIN($F233,EOMONTH(DATE(cfg_FY,8,1),0))-MAX($E233,DATE(cfg_FY,8,1))+1))</f>
        <v>0</v>
      </c>
      <c r="BB233" s="133" t="n">
        <f aca="false">IF(OR(OR($B233="",$E233="",$F233=""),$K233&lt;&gt;"نعم",$M233="نعم"),0,MAX(0,MIN($F233,EOMONTH(DATE(cfg_FY,9,1),0))-MAX($E233,DATE(cfg_FY,9,1))+1))</f>
        <v>0</v>
      </c>
      <c r="BC233" s="133" t="n">
        <f aca="false">IF(OR(OR($B233="",$E233="",$F233=""),$K233&lt;&gt;"نعم",$M233="نعم"),0,MAX(0,MIN($F233,EOMONTH(DATE(cfg_FY,10,1),0))-MAX($E233,DATE(cfg_FY,10,1))+1))</f>
        <v>0</v>
      </c>
      <c r="BD233" s="133" t="n">
        <f aca="false">IF(OR(OR($B233="",$E233="",$F233=""),$K233&lt;&gt;"نعم",$M233="نعم"),0,MAX(0,MIN($F233,EOMONTH(DATE(cfg_FY,11,1),0))-MAX($E233,DATE(cfg_FY,11,1))+1))</f>
        <v>0</v>
      </c>
      <c r="BE233" s="133" t="n">
        <f aca="false">IF(OR(OR($B233="",$E233="",$F233=""),$K233&lt;&gt;"نعم",$M233="نعم"),0,MAX(0,MIN($F233,EOMONTH(DATE(cfg_FY,12,1),0))-MAX($E233,DATE(cfg_FY,12,1))+1))</f>
        <v>0</v>
      </c>
    </row>
    <row r="234" customFormat="false" ht="15" hidden="false" customHeight="false" outlineLevel="0" collapsed="false">
      <c r="A234" s="106" t="str">
        <f aca="false">IF(B234="","",ROW()-5)</f>
        <v/>
      </c>
      <c r="B234" s="118"/>
      <c r="C234" s="114" t="str">
        <f aca="false">IF(B234="","",IFERROR(INDEX(الموظفون!$C$6:$C$105,MATCH(B234,الموظفون!$B$6:$B$105,0)),"✖ رقم غير موجود"))</f>
        <v/>
      </c>
      <c r="D234" s="118"/>
      <c r="E234" s="119"/>
      <c r="F234" s="119"/>
      <c r="G234" s="65" t="str">
        <f aca="false">IF(OR($B234="",$E234="",$F234=""),"",MAX(0,F234-E234+1))</f>
        <v/>
      </c>
      <c r="H234" s="66" t="str">
        <f aca="false">IF(D234="","",IFERROR(VLOOKUP(D234,cfg_LT,2,FALSE()),1))</f>
        <v/>
      </c>
      <c r="I234" s="135"/>
      <c r="J234" s="66" t="str">
        <f aca="false">IF(D234="","",IF(I234&lt;&gt;"",I234,H234))</f>
        <v/>
      </c>
      <c r="K234" s="114" t="str">
        <f aca="false">IF(D234="","",IFERROR(VLOOKUP($D234,cfg_LT,3,FALSE()),""))</f>
        <v/>
      </c>
      <c r="L234" s="114" t="str">
        <f aca="false">IF(D234="","",IFERROR(VLOOKUP($D234,cfg_LT,4,FALSE()),""))</f>
        <v/>
      </c>
      <c r="M234" s="114" t="str">
        <f aca="false">IF(D234="","",IFERROR(VLOOKUP($D234,cfg_LT,5,FALSE()),""))</f>
        <v/>
      </c>
      <c r="N234" s="111" t="n">
        <f aca="false">IF(OR(OR($B234="",$E234="",$F234=""),M234&lt;&gt;"نعم"),0,G234*J234*IFERROR(INDEX(الموظفون!$R$6:$R$105,MATCH(B234,الموظفون!$B$6:$B$105,0)),0)/cfg_DAYS_M)</f>
        <v>0</v>
      </c>
      <c r="O234" s="106" t="str">
        <f aca="false">IF(OR(OR($B234="",$E234="",$F234=""),M234&lt;&gt;"نعم"),"",IF(YEAR(E234)=cfg_FY,MONTH(E234),""))</f>
        <v/>
      </c>
      <c r="P234" s="114" t="str">
        <f aca="false">IF(B234="","",IF(OR(D234="",E234="",F234=""),"⚠ أكمل النوع والتواريخ",IF(F234&lt;E234,"✖ النهاية قبل البداية",IF(COUNTIFS($B$6:$B$505,B234,$E$6:$E$505,"&lt;="&amp;F234,$F$6:$F$505,"&gt;="&amp;E234)&gt;1,"⚠ تداخل مع سجل آخر",IF(E234&gt;cfg_VAL_DATE,"⏳ قادمة",IF(F234&lt;cfg_VAL_DATE,"✔ منتهية","✈ جارية في تاريخ التقرير"))))))</f>
        <v/>
      </c>
      <c r="Q234" s="118"/>
      <c r="R234" s="65" t="n">
        <f aca="false">IF(OR(OR($B234="",$E234="",$F234=""),L234&lt;&gt;"لا"),0,MAX(0,MIN(F234,cfg_Y_START-1)-E234+1))</f>
        <v>0</v>
      </c>
      <c r="S234" s="65" t="n">
        <f aca="false">IF(OR(OR($B234="",$E234="",$F234=""),L234&lt;&gt;"لا"),0,MAX(0,MIN(F234,cfg_VAL_DATE)-E234+1))</f>
        <v>0</v>
      </c>
      <c r="T234" s="65" t="n">
        <f aca="false">IF(OR(OR($B234="",$E234="",$F234=""),K234&lt;&gt;"نعم"),0,IF(M234="نعم",IF(AND(ISNUMBER(O234),N(O234)&lt;=cfg_VAL_M),G234,0),MAX(0,MIN(F234,cfg_VAL_DATE)-MAX(E234,cfg_Y_START)+1)))</f>
        <v>0</v>
      </c>
      <c r="V234" s="65" t="n">
        <f aca="false">IF(OR($B234="",$E234="",$F234=""),0,MAX(0,MIN($F234,EOMONTH(DATE(cfg_FY,1,1),0))-MAX($E234,DATE(cfg_FY,1,1))+1)*(1-IF($M234="نعم",0,N($J234))))</f>
        <v>0</v>
      </c>
      <c r="W234" s="65" t="n">
        <f aca="false">IF(OR($B234="",$E234="",$F234=""),0,MAX(0,MIN($F234,EOMONTH(DATE(cfg_FY,2,1),0))-MAX($E234,DATE(cfg_FY,2,1))+1)*(1-IF($M234="نعم",0,N($J234))))</f>
        <v>0</v>
      </c>
      <c r="X234" s="65" t="n">
        <f aca="false">IF(OR($B234="",$E234="",$F234=""),0,MAX(0,MIN($F234,EOMONTH(DATE(cfg_FY,3,1),0))-MAX($E234,DATE(cfg_FY,3,1))+1)*(1-IF($M234="نعم",0,N($J234))))</f>
        <v>0</v>
      </c>
      <c r="Y234" s="65" t="n">
        <f aca="false">IF(OR($B234="",$E234="",$F234=""),0,MAX(0,MIN($F234,EOMONTH(DATE(cfg_FY,4,1),0))-MAX($E234,DATE(cfg_FY,4,1))+1)*(1-IF($M234="نعم",0,N($J234))))</f>
        <v>0</v>
      </c>
      <c r="Z234" s="65" t="n">
        <f aca="false">IF(OR($B234="",$E234="",$F234=""),0,MAX(0,MIN($F234,EOMONTH(DATE(cfg_FY,5,1),0))-MAX($E234,DATE(cfg_FY,5,1))+1)*(1-IF($M234="نعم",0,N($J234))))</f>
        <v>0</v>
      </c>
      <c r="AA234" s="65" t="n">
        <f aca="false">IF(OR($B234="",$E234="",$F234=""),0,MAX(0,MIN($F234,EOMONTH(DATE(cfg_FY,6,1),0))-MAX($E234,DATE(cfg_FY,6,1))+1)*(1-IF($M234="نعم",0,N($J234))))</f>
        <v>0</v>
      </c>
      <c r="AB234" s="65" t="n">
        <f aca="false">IF(OR($B234="",$E234="",$F234=""),0,MAX(0,MIN($F234,EOMONTH(DATE(cfg_FY,7,1),0))-MAX($E234,DATE(cfg_FY,7,1))+1)*(1-IF($M234="نعم",0,N($J234))))</f>
        <v>0</v>
      </c>
      <c r="AC234" s="65" t="n">
        <f aca="false">IF(OR($B234="",$E234="",$F234=""),0,MAX(0,MIN($F234,EOMONTH(DATE(cfg_FY,8,1),0))-MAX($E234,DATE(cfg_FY,8,1))+1)*(1-IF($M234="نعم",0,N($J234))))</f>
        <v>0</v>
      </c>
      <c r="AD234" s="65" t="n">
        <f aca="false">IF(OR($B234="",$E234="",$F234=""),0,MAX(0,MIN($F234,EOMONTH(DATE(cfg_FY,9,1),0))-MAX($E234,DATE(cfg_FY,9,1))+1)*(1-IF($M234="نعم",0,N($J234))))</f>
        <v>0</v>
      </c>
      <c r="AE234" s="65" t="n">
        <f aca="false">IF(OR($B234="",$E234="",$F234=""),0,MAX(0,MIN($F234,EOMONTH(DATE(cfg_FY,10,1),0))-MAX($E234,DATE(cfg_FY,10,1))+1)*(1-IF($M234="نعم",0,N($J234))))</f>
        <v>0</v>
      </c>
      <c r="AF234" s="65" t="n">
        <f aca="false">IF(OR($B234="",$E234="",$F234=""),0,MAX(0,MIN($F234,EOMONTH(DATE(cfg_FY,11,1),0))-MAX($E234,DATE(cfg_FY,11,1))+1)*(1-IF($M234="نعم",0,N($J234))))</f>
        <v>0</v>
      </c>
      <c r="AG234" s="65" t="n">
        <f aca="false">IF(OR($B234="",$E234="",$F234=""),0,MAX(0,MIN($F234,EOMONTH(DATE(cfg_FY,12,1),0))-MAX($E234,DATE(cfg_FY,12,1))+1)*(1-IF($M234="نعم",0,N($J234))))</f>
        <v>0</v>
      </c>
      <c r="AH234" s="65" t="n">
        <f aca="false">IF(OR(OR($B234="",$E234="",$F234=""),$L234&lt;&gt;"لا"),0,MAX(0,MIN($F234,EOMONTH(DATE(cfg_FY,1,1),0))-$E234+1))</f>
        <v>0</v>
      </c>
      <c r="AI234" s="65" t="n">
        <f aca="false">IF(OR(OR($B234="",$E234="",$F234=""),$L234&lt;&gt;"لا"),0,MAX(0,MIN($F234,EOMONTH(DATE(cfg_FY,2,1),0))-$E234+1))</f>
        <v>0</v>
      </c>
      <c r="AJ234" s="65" t="n">
        <f aca="false">IF(OR(OR($B234="",$E234="",$F234=""),$L234&lt;&gt;"لا"),0,MAX(0,MIN($F234,EOMONTH(DATE(cfg_FY,3,1),0))-$E234+1))</f>
        <v>0</v>
      </c>
      <c r="AK234" s="65" t="n">
        <f aca="false">IF(OR(OR($B234="",$E234="",$F234=""),$L234&lt;&gt;"لا"),0,MAX(0,MIN($F234,EOMONTH(DATE(cfg_FY,4,1),0))-$E234+1))</f>
        <v>0</v>
      </c>
      <c r="AL234" s="65" t="n">
        <f aca="false">IF(OR(OR($B234="",$E234="",$F234=""),$L234&lt;&gt;"لا"),0,MAX(0,MIN($F234,EOMONTH(DATE(cfg_FY,5,1),0))-$E234+1))</f>
        <v>0</v>
      </c>
      <c r="AM234" s="65" t="n">
        <f aca="false">IF(OR(OR($B234="",$E234="",$F234=""),$L234&lt;&gt;"لا"),0,MAX(0,MIN($F234,EOMONTH(DATE(cfg_FY,6,1),0))-$E234+1))</f>
        <v>0</v>
      </c>
      <c r="AN234" s="65" t="n">
        <f aca="false">IF(OR(OR($B234="",$E234="",$F234=""),$L234&lt;&gt;"لا"),0,MAX(0,MIN($F234,EOMONTH(DATE(cfg_FY,7,1),0))-$E234+1))</f>
        <v>0</v>
      </c>
      <c r="AO234" s="65" t="n">
        <f aca="false">IF(OR(OR($B234="",$E234="",$F234=""),$L234&lt;&gt;"لا"),0,MAX(0,MIN($F234,EOMONTH(DATE(cfg_FY,8,1),0))-$E234+1))</f>
        <v>0</v>
      </c>
      <c r="AP234" s="65" t="n">
        <f aca="false">IF(OR(OR($B234="",$E234="",$F234=""),$L234&lt;&gt;"لا"),0,MAX(0,MIN($F234,EOMONTH(DATE(cfg_FY,9,1),0))-$E234+1))</f>
        <v>0</v>
      </c>
      <c r="AQ234" s="65" t="n">
        <f aca="false">IF(OR(OR($B234="",$E234="",$F234=""),$L234&lt;&gt;"لا"),0,MAX(0,MIN($F234,EOMONTH(DATE(cfg_FY,10,1),0))-$E234+1))</f>
        <v>0</v>
      </c>
      <c r="AR234" s="65" t="n">
        <f aca="false">IF(OR(OR($B234="",$E234="",$F234=""),$L234&lt;&gt;"لا"),0,MAX(0,MIN($F234,EOMONTH(DATE(cfg_FY,11,1),0))-$E234+1))</f>
        <v>0</v>
      </c>
      <c r="AS234" s="65" t="n">
        <f aca="false">IF(OR(OR($B234="",$E234="",$F234=""),$L234&lt;&gt;"لا"),0,MAX(0,MIN($F234,EOMONTH(DATE(cfg_FY,12,1),0))-$E234+1))</f>
        <v>0</v>
      </c>
      <c r="AT234" s="65" t="n">
        <f aca="false">IF(OR(OR($B234="",$E234="",$F234=""),$K234&lt;&gt;"نعم",$M234="نعم"),0,MAX(0,MIN($F234,EOMONTH(DATE(cfg_FY,1,1),0))-MAX($E234,DATE(cfg_FY,1,1))+1))</f>
        <v>0</v>
      </c>
      <c r="AU234" s="65" t="n">
        <f aca="false">IF(OR(OR($B234="",$E234="",$F234=""),$K234&lt;&gt;"نعم",$M234="نعم"),0,MAX(0,MIN($F234,EOMONTH(DATE(cfg_FY,2,1),0))-MAX($E234,DATE(cfg_FY,2,1))+1))</f>
        <v>0</v>
      </c>
      <c r="AV234" s="65" t="n">
        <f aca="false">IF(OR(OR($B234="",$E234="",$F234=""),$K234&lt;&gt;"نعم",$M234="نعم"),0,MAX(0,MIN($F234,EOMONTH(DATE(cfg_FY,3,1),0))-MAX($E234,DATE(cfg_FY,3,1))+1))</f>
        <v>0</v>
      </c>
      <c r="AW234" s="65" t="n">
        <f aca="false">IF(OR(OR($B234="",$E234="",$F234=""),$K234&lt;&gt;"نعم",$M234="نعم"),0,MAX(0,MIN($F234,EOMONTH(DATE(cfg_FY,4,1),0))-MAX($E234,DATE(cfg_FY,4,1))+1))</f>
        <v>0</v>
      </c>
      <c r="AX234" s="65" t="n">
        <f aca="false">IF(OR(OR($B234="",$E234="",$F234=""),$K234&lt;&gt;"نعم",$M234="نعم"),0,MAX(0,MIN($F234,EOMONTH(DATE(cfg_FY,5,1),0))-MAX($E234,DATE(cfg_FY,5,1))+1))</f>
        <v>0</v>
      </c>
      <c r="AY234" s="65" t="n">
        <f aca="false">IF(OR(OR($B234="",$E234="",$F234=""),$K234&lt;&gt;"نعم",$M234="نعم"),0,MAX(0,MIN($F234,EOMONTH(DATE(cfg_FY,6,1),0))-MAX($E234,DATE(cfg_FY,6,1))+1))</f>
        <v>0</v>
      </c>
      <c r="AZ234" s="65" t="n">
        <f aca="false">IF(OR(OR($B234="",$E234="",$F234=""),$K234&lt;&gt;"نعم",$M234="نعم"),0,MAX(0,MIN($F234,EOMONTH(DATE(cfg_FY,7,1),0))-MAX($E234,DATE(cfg_FY,7,1))+1))</f>
        <v>0</v>
      </c>
      <c r="BA234" s="65" t="n">
        <f aca="false">IF(OR(OR($B234="",$E234="",$F234=""),$K234&lt;&gt;"نعم",$M234="نعم"),0,MAX(0,MIN($F234,EOMONTH(DATE(cfg_FY,8,1),0))-MAX($E234,DATE(cfg_FY,8,1))+1))</f>
        <v>0</v>
      </c>
      <c r="BB234" s="65" t="n">
        <f aca="false">IF(OR(OR($B234="",$E234="",$F234=""),$K234&lt;&gt;"نعم",$M234="نعم"),0,MAX(0,MIN($F234,EOMONTH(DATE(cfg_FY,9,1),0))-MAX($E234,DATE(cfg_FY,9,1))+1))</f>
        <v>0</v>
      </c>
      <c r="BC234" s="65" t="n">
        <f aca="false">IF(OR(OR($B234="",$E234="",$F234=""),$K234&lt;&gt;"نعم",$M234="نعم"),0,MAX(0,MIN($F234,EOMONTH(DATE(cfg_FY,10,1),0))-MAX($E234,DATE(cfg_FY,10,1))+1))</f>
        <v>0</v>
      </c>
      <c r="BD234" s="65" t="n">
        <f aca="false">IF(OR(OR($B234="",$E234="",$F234=""),$K234&lt;&gt;"نعم",$M234="نعم"),0,MAX(0,MIN($F234,EOMONTH(DATE(cfg_FY,11,1),0))-MAX($E234,DATE(cfg_FY,11,1))+1))</f>
        <v>0</v>
      </c>
      <c r="BE234" s="65" t="n">
        <f aca="false">IF(OR(OR($B234="",$E234="",$F234=""),$K234&lt;&gt;"نعم",$M234="نعم"),0,MAX(0,MIN($F234,EOMONTH(DATE(cfg_FY,12,1),0))-MAX($E234,DATE(cfg_FY,12,1))+1))</f>
        <v>0</v>
      </c>
    </row>
    <row r="235" customFormat="false" ht="15" hidden="false" customHeight="false" outlineLevel="0" collapsed="false">
      <c r="A235" s="115" t="str">
        <f aca="false">IF(B235="","",ROW()-5)</f>
        <v/>
      </c>
      <c r="B235" s="118"/>
      <c r="C235" s="117" t="str">
        <f aca="false">IF(B235="","",IFERROR(INDEX(الموظفون!$C$6:$C$105,MATCH(B235,الموظفون!$B$6:$B$105,0)),"✖ رقم غير موجود"))</f>
        <v/>
      </c>
      <c r="D235" s="118"/>
      <c r="E235" s="119"/>
      <c r="F235" s="119"/>
      <c r="G235" s="133" t="str">
        <f aca="false">IF(OR($B235="",$E235="",$F235=""),"",MAX(0,F235-E235+1))</f>
        <v/>
      </c>
      <c r="H235" s="134" t="str">
        <f aca="false">IF(D235="","",IFERROR(VLOOKUP(D235,cfg_LT,2,FALSE()),1))</f>
        <v/>
      </c>
      <c r="I235" s="135"/>
      <c r="J235" s="134" t="str">
        <f aca="false">IF(D235="","",IF(I235&lt;&gt;"",I235,H235))</f>
        <v/>
      </c>
      <c r="K235" s="117" t="str">
        <f aca="false">IF(D235="","",IFERROR(VLOOKUP($D235,cfg_LT,3,FALSE()),""))</f>
        <v/>
      </c>
      <c r="L235" s="117" t="str">
        <f aca="false">IF(D235="","",IFERROR(VLOOKUP($D235,cfg_LT,4,FALSE()),""))</f>
        <v/>
      </c>
      <c r="M235" s="117" t="str">
        <f aca="false">IF(D235="","",IFERROR(VLOOKUP($D235,cfg_LT,5,FALSE()),""))</f>
        <v/>
      </c>
      <c r="N235" s="116" t="n">
        <f aca="false">IF(OR(OR($B235="",$E235="",$F235=""),M235&lt;&gt;"نعم"),0,G235*J235*IFERROR(INDEX(الموظفون!$R$6:$R$105,MATCH(B235,الموظفون!$B$6:$B$105,0)),0)/cfg_DAYS_M)</f>
        <v>0</v>
      </c>
      <c r="O235" s="115" t="str">
        <f aca="false">IF(OR(OR($B235="",$E235="",$F235=""),M235&lt;&gt;"نعم"),"",IF(YEAR(E235)=cfg_FY,MONTH(E235),""))</f>
        <v/>
      </c>
      <c r="P235" s="117" t="str">
        <f aca="false">IF(B235="","",IF(OR(D235="",E235="",F235=""),"⚠ أكمل النوع والتواريخ",IF(F235&lt;E235,"✖ النهاية قبل البداية",IF(COUNTIFS($B$6:$B$505,B235,$E$6:$E$505,"&lt;="&amp;F235,$F$6:$F$505,"&gt;="&amp;E235)&gt;1,"⚠ تداخل مع سجل آخر",IF(E235&gt;cfg_VAL_DATE,"⏳ قادمة",IF(F235&lt;cfg_VAL_DATE,"✔ منتهية","✈ جارية في تاريخ التقرير"))))))</f>
        <v/>
      </c>
      <c r="Q235" s="118"/>
      <c r="R235" s="133" t="n">
        <f aca="false">IF(OR(OR($B235="",$E235="",$F235=""),L235&lt;&gt;"لا"),0,MAX(0,MIN(F235,cfg_Y_START-1)-E235+1))</f>
        <v>0</v>
      </c>
      <c r="S235" s="133" t="n">
        <f aca="false">IF(OR(OR($B235="",$E235="",$F235=""),L235&lt;&gt;"لا"),0,MAX(0,MIN(F235,cfg_VAL_DATE)-E235+1))</f>
        <v>0</v>
      </c>
      <c r="T235" s="133" t="n">
        <f aca="false">IF(OR(OR($B235="",$E235="",$F235=""),K235&lt;&gt;"نعم"),0,IF(M235="نعم",IF(AND(ISNUMBER(O235),N(O235)&lt;=cfg_VAL_M),G235,0),MAX(0,MIN(F235,cfg_VAL_DATE)-MAX(E235,cfg_Y_START)+1)))</f>
        <v>0</v>
      </c>
      <c r="V235" s="133" t="n">
        <f aca="false">IF(OR($B235="",$E235="",$F235=""),0,MAX(0,MIN($F235,EOMONTH(DATE(cfg_FY,1,1),0))-MAX($E235,DATE(cfg_FY,1,1))+1)*(1-IF($M235="نعم",0,N($J235))))</f>
        <v>0</v>
      </c>
      <c r="W235" s="133" t="n">
        <f aca="false">IF(OR($B235="",$E235="",$F235=""),0,MAX(0,MIN($F235,EOMONTH(DATE(cfg_FY,2,1),0))-MAX($E235,DATE(cfg_FY,2,1))+1)*(1-IF($M235="نعم",0,N($J235))))</f>
        <v>0</v>
      </c>
      <c r="X235" s="133" t="n">
        <f aca="false">IF(OR($B235="",$E235="",$F235=""),0,MAX(0,MIN($F235,EOMONTH(DATE(cfg_FY,3,1),0))-MAX($E235,DATE(cfg_FY,3,1))+1)*(1-IF($M235="نعم",0,N($J235))))</f>
        <v>0</v>
      </c>
      <c r="Y235" s="133" t="n">
        <f aca="false">IF(OR($B235="",$E235="",$F235=""),0,MAX(0,MIN($F235,EOMONTH(DATE(cfg_FY,4,1),0))-MAX($E235,DATE(cfg_FY,4,1))+1)*(1-IF($M235="نعم",0,N($J235))))</f>
        <v>0</v>
      </c>
      <c r="Z235" s="133" t="n">
        <f aca="false">IF(OR($B235="",$E235="",$F235=""),0,MAX(0,MIN($F235,EOMONTH(DATE(cfg_FY,5,1),0))-MAX($E235,DATE(cfg_FY,5,1))+1)*(1-IF($M235="نعم",0,N($J235))))</f>
        <v>0</v>
      </c>
      <c r="AA235" s="133" t="n">
        <f aca="false">IF(OR($B235="",$E235="",$F235=""),0,MAX(0,MIN($F235,EOMONTH(DATE(cfg_FY,6,1),0))-MAX($E235,DATE(cfg_FY,6,1))+1)*(1-IF($M235="نعم",0,N($J235))))</f>
        <v>0</v>
      </c>
      <c r="AB235" s="133" t="n">
        <f aca="false">IF(OR($B235="",$E235="",$F235=""),0,MAX(0,MIN($F235,EOMONTH(DATE(cfg_FY,7,1),0))-MAX($E235,DATE(cfg_FY,7,1))+1)*(1-IF($M235="نعم",0,N($J235))))</f>
        <v>0</v>
      </c>
      <c r="AC235" s="133" t="n">
        <f aca="false">IF(OR($B235="",$E235="",$F235=""),0,MAX(0,MIN($F235,EOMONTH(DATE(cfg_FY,8,1),0))-MAX($E235,DATE(cfg_FY,8,1))+1)*(1-IF($M235="نعم",0,N($J235))))</f>
        <v>0</v>
      </c>
      <c r="AD235" s="133" t="n">
        <f aca="false">IF(OR($B235="",$E235="",$F235=""),0,MAX(0,MIN($F235,EOMONTH(DATE(cfg_FY,9,1),0))-MAX($E235,DATE(cfg_FY,9,1))+1)*(1-IF($M235="نعم",0,N($J235))))</f>
        <v>0</v>
      </c>
      <c r="AE235" s="133" t="n">
        <f aca="false">IF(OR($B235="",$E235="",$F235=""),0,MAX(0,MIN($F235,EOMONTH(DATE(cfg_FY,10,1),0))-MAX($E235,DATE(cfg_FY,10,1))+1)*(1-IF($M235="نعم",0,N($J235))))</f>
        <v>0</v>
      </c>
      <c r="AF235" s="133" t="n">
        <f aca="false">IF(OR($B235="",$E235="",$F235=""),0,MAX(0,MIN($F235,EOMONTH(DATE(cfg_FY,11,1),0))-MAX($E235,DATE(cfg_FY,11,1))+1)*(1-IF($M235="نعم",0,N($J235))))</f>
        <v>0</v>
      </c>
      <c r="AG235" s="133" t="n">
        <f aca="false">IF(OR($B235="",$E235="",$F235=""),0,MAX(0,MIN($F235,EOMONTH(DATE(cfg_FY,12,1),0))-MAX($E235,DATE(cfg_FY,12,1))+1)*(1-IF($M235="نعم",0,N($J235))))</f>
        <v>0</v>
      </c>
      <c r="AH235" s="133" t="n">
        <f aca="false">IF(OR(OR($B235="",$E235="",$F235=""),$L235&lt;&gt;"لا"),0,MAX(0,MIN($F235,EOMONTH(DATE(cfg_FY,1,1),0))-$E235+1))</f>
        <v>0</v>
      </c>
      <c r="AI235" s="133" t="n">
        <f aca="false">IF(OR(OR($B235="",$E235="",$F235=""),$L235&lt;&gt;"لا"),0,MAX(0,MIN($F235,EOMONTH(DATE(cfg_FY,2,1),0))-$E235+1))</f>
        <v>0</v>
      </c>
      <c r="AJ235" s="133" t="n">
        <f aca="false">IF(OR(OR($B235="",$E235="",$F235=""),$L235&lt;&gt;"لا"),0,MAX(0,MIN($F235,EOMONTH(DATE(cfg_FY,3,1),0))-$E235+1))</f>
        <v>0</v>
      </c>
      <c r="AK235" s="133" t="n">
        <f aca="false">IF(OR(OR($B235="",$E235="",$F235=""),$L235&lt;&gt;"لا"),0,MAX(0,MIN($F235,EOMONTH(DATE(cfg_FY,4,1),0))-$E235+1))</f>
        <v>0</v>
      </c>
      <c r="AL235" s="133" t="n">
        <f aca="false">IF(OR(OR($B235="",$E235="",$F235=""),$L235&lt;&gt;"لا"),0,MAX(0,MIN($F235,EOMONTH(DATE(cfg_FY,5,1),0))-$E235+1))</f>
        <v>0</v>
      </c>
      <c r="AM235" s="133" t="n">
        <f aca="false">IF(OR(OR($B235="",$E235="",$F235=""),$L235&lt;&gt;"لا"),0,MAX(0,MIN($F235,EOMONTH(DATE(cfg_FY,6,1),0))-$E235+1))</f>
        <v>0</v>
      </c>
      <c r="AN235" s="133" t="n">
        <f aca="false">IF(OR(OR($B235="",$E235="",$F235=""),$L235&lt;&gt;"لا"),0,MAX(0,MIN($F235,EOMONTH(DATE(cfg_FY,7,1),0))-$E235+1))</f>
        <v>0</v>
      </c>
      <c r="AO235" s="133" t="n">
        <f aca="false">IF(OR(OR($B235="",$E235="",$F235=""),$L235&lt;&gt;"لا"),0,MAX(0,MIN($F235,EOMONTH(DATE(cfg_FY,8,1),0))-$E235+1))</f>
        <v>0</v>
      </c>
      <c r="AP235" s="133" t="n">
        <f aca="false">IF(OR(OR($B235="",$E235="",$F235=""),$L235&lt;&gt;"لا"),0,MAX(0,MIN($F235,EOMONTH(DATE(cfg_FY,9,1),0))-$E235+1))</f>
        <v>0</v>
      </c>
      <c r="AQ235" s="133" t="n">
        <f aca="false">IF(OR(OR($B235="",$E235="",$F235=""),$L235&lt;&gt;"لا"),0,MAX(0,MIN($F235,EOMONTH(DATE(cfg_FY,10,1),0))-$E235+1))</f>
        <v>0</v>
      </c>
      <c r="AR235" s="133" t="n">
        <f aca="false">IF(OR(OR($B235="",$E235="",$F235=""),$L235&lt;&gt;"لا"),0,MAX(0,MIN($F235,EOMONTH(DATE(cfg_FY,11,1),0))-$E235+1))</f>
        <v>0</v>
      </c>
      <c r="AS235" s="133" t="n">
        <f aca="false">IF(OR(OR($B235="",$E235="",$F235=""),$L235&lt;&gt;"لا"),0,MAX(0,MIN($F235,EOMONTH(DATE(cfg_FY,12,1),0))-$E235+1))</f>
        <v>0</v>
      </c>
      <c r="AT235" s="133" t="n">
        <f aca="false">IF(OR(OR($B235="",$E235="",$F235=""),$K235&lt;&gt;"نعم",$M235="نعم"),0,MAX(0,MIN($F235,EOMONTH(DATE(cfg_FY,1,1),0))-MAX($E235,DATE(cfg_FY,1,1))+1))</f>
        <v>0</v>
      </c>
      <c r="AU235" s="133" t="n">
        <f aca="false">IF(OR(OR($B235="",$E235="",$F235=""),$K235&lt;&gt;"نعم",$M235="نعم"),0,MAX(0,MIN($F235,EOMONTH(DATE(cfg_FY,2,1),0))-MAX($E235,DATE(cfg_FY,2,1))+1))</f>
        <v>0</v>
      </c>
      <c r="AV235" s="133" t="n">
        <f aca="false">IF(OR(OR($B235="",$E235="",$F235=""),$K235&lt;&gt;"نعم",$M235="نعم"),0,MAX(0,MIN($F235,EOMONTH(DATE(cfg_FY,3,1),0))-MAX($E235,DATE(cfg_FY,3,1))+1))</f>
        <v>0</v>
      </c>
      <c r="AW235" s="133" t="n">
        <f aca="false">IF(OR(OR($B235="",$E235="",$F235=""),$K235&lt;&gt;"نعم",$M235="نعم"),0,MAX(0,MIN($F235,EOMONTH(DATE(cfg_FY,4,1),0))-MAX($E235,DATE(cfg_FY,4,1))+1))</f>
        <v>0</v>
      </c>
      <c r="AX235" s="133" t="n">
        <f aca="false">IF(OR(OR($B235="",$E235="",$F235=""),$K235&lt;&gt;"نعم",$M235="نعم"),0,MAX(0,MIN($F235,EOMONTH(DATE(cfg_FY,5,1),0))-MAX($E235,DATE(cfg_FY,5,1))+1))</f>
        <v>0</v>
      </c>
      <c r="AY235" s="133" t="n">
        <f aca="false">IF(OR(OR($B235="",$E235="",$F235=""),$K235&lt;&gt;"نعم",$M235="نعم"),0,MAX(0,MIN($F235,EOMONTH(DATE(cfg_FY,6,1),0))-MAX($E235,DATE(cfg_FY,6,1))+1))</f>
        <v>0</v>
      </c>
      <c r="AZ235" s="133" t="n">
        <f aca="false">IF(OR(OR($B235="",$E235="",$F235=""),$K235&lt;&gt;"نعم",$M235="نعم"),0,MAX(0,MIN($F235,EOMONTH(DATE(cfg_FY,7,1),0))-MAX($E235,DATE(cfg_FY,7,1))+1))</f>
        <v>0</v>
      </c>
      <c r="BA235" s="133" t="n">
        <f aca="false">IF(OR(OR($B235="",$E235="",$F235=""),$K235&lt;&gt;"نعم",$M235="نعم"),0,MAX(0,MIN($F235,EOMONTH(DATE(cfg_FY,8,1),0))-MAX($E235,DATE(cfg_FY,8,1))+1))</f>
        <v>0</v>
      </c>
      <c r="BB235" s="133" t="n">
        <f aca="false">IF(OR(OR($B235="",$E235="",$F235=""),$K235&lt;&gt;"نعم",$M235="نعم"),0,MAX(0,MIN($F235,EOMONTH(DATE(cfg_FY,9,1),0))-MAX($E235,DATE(cfg_FY,9,1))+1))</f>
        <v>0</v>
      </c>
      <c r="BC235" s="133" t="n">
        <f aca="false">IF(OR(OR($B235="",$E235="",$F235=""),$K235&lt;&gt;"نعم",$M235="نعم"),0,MAX(0,MIN($F235,EOMONTH(DATE(cfg_FY,10,1),0))-MAX($E235,DATE(cfg_FY,10,1))+1))</f>
        <v>0</v>
      </c>
      <c r="BD235" s="133" t="n">
        <f aca="false">IF(OR(OR($B235="",$E235="",$F235=""),$K235&lt;&gt;"نعم",$M235="نعم"),0,MAX(0,MIN($F235,EOMONTH(DATE(cfg_FY,11,1),0))-MAX($E235,DATE(cfg_FY,11,1))+1))</f>
        <v>0</v>
      </c>
      <c r="BE235" s="133" t="n">
        <f aca="false">IF(OR(OR($B235="",$E235="",$F235=""),$K235&lt;&gt;"نعم",$M235="نعم"),0,MAX(0,MIN($F235,EOMONTH(DATE(cfg_FY,12,1),0))-MAX($E235,DATE(cfg_FY,12,1))+1))</f>
        <v>0</v>
      </c>
    </row>
    <row r="236" customFormat="false" ht="15" hidden="false" customHeight="false" outlineLevel="0" collapsed="false">
      <c r="A236" s="106" t="str">
        <f aca="false">IF(B236="","",ROW()-5)</f>
        <v/>
      </c>
      <c r="B236" s="118"/>
      <c r="C236" s="114" t="str">
        <f aca="false">IF(B236="","",IFERROR(INDEX(الموظفون!$C$6:$C$105,MATCH(B236,الموظفون!$B$6:$B$105,0)),"✖ رقم غير موجود"))</f>
        <v/>
      </c>
      <c r="D236" s="118"/>
      <c r="E236" s="119"/>
      <c r="F236" s="119"/>
      <c r="G236" s="65" t="str">
        <f aca="false">IF(OR($B236="",$E236="",$F236=""),"",MAX(0,F236-E236+1))</f>
        <v/>
      </c>
      <c r="H236" s="66" t="str">
        <f aca="false">IF(D236="","",IFERROR(VLOOKUP(D236,cfg_LT,2,FALSE()),1))</f>
        <v/>
      </c>
      <c r="I236" s="135"/>
      <c r="J236" s="66" t="str">
        <f aca="false">IF(D236="","",IF(I236&lt;&gt;"",I236,H236))</f>
        <v/>
      </c>
      <c r="K236" s="114" t="str">
        <f aca="false">IF(D236="","",IFERROR(VLOOKUP($D236,cfg_LT,3,FALSE()),""))</f>
        <v/>
      </c>
      <c r="L236" s="114" t="str">
        <f aca="false">IF(D236="","",IFERROR(VLOOKUP($D236,cfg_LT,4,FALSE()),""))</f>
        <v/>
      </c>
      <c r="M236" s="114" t="str">
        <f aca="false">IF(D236="","",IFERROR(VLOOKUP($D236,cfg_LT,5,FALSE()),""))</f>
        <v/>
      </c>
      <c r="N236" s="111" t="n">
        <f aca="false">IF(OR(OR($B236="",$E236="",$F236=""),M236&lt;&gt;"نعم"),0,G236*J236*IFERROR(INDEX(الموظفون!$R$6:$R$105,MATCH(B236,الموظفون!$B$6:$B$105,0)),0)/cfg_DAYS_M)</f>
        <v>0</v>
      </c>
      <c r="O236" s="106" t="str">
        <f aca="false">IF(OR(OR($B236="",$E236="",$F236=""),M236&lt;&gt;"نعم"),"",IF(YEAR(E236)=cfg_FY,MONTH(E236),""))</f>
        <v/>
      </c>
      <c r="P236" s="114" t="str">
        <f aca="false">IF(B236="","",IF(OR(D236="",E236="",F236=""),"⚠ أكمل النوع والتواريخ",IF(F236&lt;E236,"✖ النهاية قبل البداية",IF(COUNTIFS($B$6:$B$505,B236,$E$6:$E$505,"&lt;="&amp;F236,$F$6:$F$505,"&gt;="&amp;E236)&gt;1,"⚠ تداخل مع سجل آخر",IF(E236&gt;cfg_VAL_DATE,"⏳ قادمة",IF(F236&lt;cfg_VAL_DATE,"✔ منتهية","✈ جارية في تاريخ التقرير"))))))</f>
        <v/>
      </c>
      <c r="Q236" s="118"/>
      <c r="R236" s="65" t="n">
        <f aca="false">IF(OR(OR($B236="",$E236="",$F236=""),L236&lt;&gt;"لا"),0,MAX(0,MIN(F236,cfg_Y_START-1)-E236+1))</f>
        <v>0</v>
      </c>
      <c r="S236" s="65" t="n">
        <f aca="false">IF(OR(OR($B236="",$E236="",$F236=""),L236&lt;&gt;"لا"),0,MAX(0,MIN(F236,cfg_VAL_DATE)-E236+1))</f>
        <v>0</v>
      </c>
      <c r="T236" s="65" t="n">
        <f aca="false">IF(OR(OR($B236="",$E236="",$F236=""),K236&lt;&gt;"نعم"),0,IF(M236="نعم",IF(AND(ISNUMBER(O236),N(O236)&lt;=cfg_VAL_M),G236,0),MAX(0,MIN(F236,cfg_VAL_DATE)-MAX(E236,cfg_Y_START)+1)))</f>
        <v>0</v>
      </c>
      <c r="V236" s="65" t="n">
        <f aca="false">IF(OR($B236="",$E236="",$F236=""),0,MAX(0,MIN($F236,EOMONTH(DATE(cfg_FY,1,1),0))-MAX($E236,DATE(cfg_FY,1,1))+1)*(1-IF($M236="نعم",0,N($J236))))</f>
        <v>0</v>
      </c>
      <c r="W236" s="65" t="n">
        <f aca="false">IF(OR($B236="",$E236="",$F236=""),0,MAX(0,MIN($F236,EOMONTH(DATE(cfg_FY,2,1),0))-MAX($E236,DATE(cfg_FY,2,1))+1)*(1-IF($M236="نعم",0,N($J236))))</f>
        <v>0</v>
      </c>
      <c r="X236" s="65" t="n">
        <f aca="false">IF(OR($B236="",$E236="",$F236=""),0,MAX(0,MIN($F236,EOMONTH(DATE(cfg_FY,3,1),0))-MAX($E236,DATE(cfg_FY,3,1))+1)*(1-IF($M236="نعم",0,N($J236))))</f>
        <v>0</v>
      </c>
      <c r="Y236" s="65" t="n">
        <f aca="false">IF(OR($B236="",$E236="",$F236=""),0,MAX(0,MIN($F236,EOMONTH(DATE(cfg_FY,4,1),0))-MAX($E236,DATE(cfg_FY,4,1))+1)*(1-IF($M236="نعم",0,N($J236))))</f>
        <v>0</v>
      </c>
      <c r="Z236" s="65" t="n">
        <f aca="false">IF(OR($B236="",$E236="",$F236=""),0,MAX(0,MIN($F236,EOMONTH(DATE(cfg_FY,5,1),0))-MAX($E236,DATE(cfg_FY,5,1))+1)*(1-IF($M236="نعم",0,N($J236))))</f>
        <v>0</v>
      </c>
      <c r="AA236" s="65" t="n">
        <f aca="false">IF(OR($B236="",$E236="",$F236=""),0,MAX(0,MIN($F236,EOMONTH(DATE(cfg_FY,6,1),0))-MAX($E236,DATE(cfg_FY,6,1))+1)*(1-IF($M236="نعم",0,N($J236))))</f>
        <v>0</v>
      </c>
      <c r="AB236" s="65" t="n">
        <f aca="false">IF(OR($B236="",$E236="",$F236=""),0,MAX(0,MIN($F236,EOMONTH(DATE(cfg_FY,7,1),0))-MAX($E236,DATE(cfg_FY,7,1))+1)*(1-IF($M236="نعم",0,N($J236))))</f>
        <v>0</v>
      </c>
      <c r="AC236" s="65" t="n">
        <f aca="false">IF(OR($B236="",$E236="",$F236=""),0,MAX(0,MIN($F236,EOMONTH(DATE(cfg_FY,8,1),0))-MAX($E236,DATE(cfg_FY,8,1))+1)*(1-IF($M236="نعم",0,N($J236))))</f>
        <v>0</v>
      </c>
      <c r="AD236" s="65" t="n">
        <f aca="false">IF(OR($B236="",$E236="",$F236=""),0,MAX(0,MIN($F236,EOMONTH(DATE(cfg_FY,9,1),0))-MAX($E236,DATE(cfg_FY,9,1))+1)*(1-IF($M236="نعم",0,N($J236))))</f>
        <v>0</v>
      </c>
      <c r="AE236" s="65" t="n">
        <f aca="false">IF(OR($B236="",$E236="",$F236=""),0,MAX(0,MIN($F236,EOMONTH(DATE(cfg_FY,10,1),0))-MAX($E236,DATE(cfg_FY,10,1))+1)*(1-IF($M236="نعم",0,N($J236))))</f>
        <v>0</v>
      </c>
      <c r="AF236" s="65" t="n">
        <f aca="false">IF(OR($B236="",$E236="",$F236=""),0,MAX(0,MIN($F236,EOMONTH(DATE(cfg_FY,11,1),0))-MAX($E236,DATE(cfg_FY,11,1))+1)*(1-IF($M236="نعم",0,N($J236))))</f>
        <v>0</v>
      </c>
      <c r="AG236" s="65" t="n">
        <f aca="false">IF(OR($B236="",$E236="",$F236=""),0,MAX(0,MIN($F236,EOMONTH(DATE(cfg_FY,12,1),0))-MAX($E236,DATE(cfg_FY,12,1))+1)*(1-IF($M236="نعم",0,N($J236))))</f>
        <v>0</v>
      </c>
      <c r="AH236" s="65" t="n">
        <f aca="false">IF(OR(OR($B236="",$E236="",$F236=""),$L236&lt;&gt;"لا"),0,MAX(0,MIN($F236,EOMONTH(DATE(cfg_FY,1,1),0))-$E236+1))</f>
        <v>0</v>
      </c>
      <c r="AI236" s="65" t="n">
        <f aca="false">IF(OR(OR($B236="",$E236="",$F236=""),$L236&lt;&gt;"لا"),0,MAX(0,MIN($F236,EOMONTH(DATE(cfg_FY,2,1),0))-$E236+1))</f>
        <v>0</v>
      </c>
      <c r="AJ236" s="65" t="n">
        <f aca="false">IF(OR(OR($B236="",$E236="",$F236=""),$L236&lt;&gt;"لا"),0,MAX(0,MIN($F236,EOMONTH(DATE(cfg_FY,3,1),0))-$E236+1))</f>
        <v>0</v>
      </c>
      <c r="AK236" s="65" t="n">
        <f aca="false">IF(OR(OR($B236="",$E236="",$F236=""),$L236&lt;&gt;"لا"),0,MAX(0,MIN($F236,EOMONTH(DATE(cfg_FY,4,1),0))-$E236+1))</f>
        <v>0</v>
      </c>
      <c r="AL236" s="65" t="n">
        <f aca="false">IF(OR(OR($B236="",$E236="",$F236=""),$L236&lt;&gt;"لا"),0,MAX(0,MIN($F236,EOMONTH(DATE(cfg_FY,5,1),0))-$E236+1))</f>
        <v>0</v>
      </c>
      <c r="AM236" s="65" t="n">
        <f aca="false">IF(OR(OR($B236="",$E236="",$F236=""),$L236&lt;&gt;"لا"),0,MAX(0,MIN($F236,EOMONTH(DATE(cfg_FY,6,1),0))-$E236+1))</f>
        <v>0</v>
      </c>
      <c r="AN236" s="65" t="n">
        <f aca="false">IF(OR(OR($B236="",$E236="",$F236=""),$L236&lt;&gt;"لا"),0,MAX(0,MIN($F236,EOMONTH(DATE(cfg_FY,7,1),0))-$E236+1))</f>
        <v>0</v>
      </c>
      <c r="AO236" s="65" t="n">
        <f aca="false">IF(OR(OR($B236="",$E236="",$F236=""),$L236&lt;&gt;"لا"),0,MAX(0,MIN($F236,EOMONTH(DATE(cfg_FY,8,1),0))-$E236+1))</f>
        <v>0</v>
      </c>
      <c r="AP236" s="65" t="n">
        <f aca="false">IF(OR(OR($B236="",$E236="",$F236=""),$L236&lt;&gt;"لا"),0,MAX(0,MIN($F236,EOMONTH(DATE(cfg_FY,9,1),0))-$E236+1))</f>
        <v>0</v>
      </c>
      <c r="AQ236" s="65" t="n">
        <f aca="false">IF(OR(OR($B236="",$E236="",$F236=""),$L236&lt;&gt;"لا"),0,MAX(0,MIN($F236,EOMONTH(DATE(cfg_FY,10,1),0))-$E236+1))</f>
        <v>0</v>
      </c>
      <c r="AR236" s="65" t="n">
        <f aca="false">IF(OR(OR($B236="",$E236="",$F236=""),$L236&lt;&gt;"لا"),0,MAX(0,MIN($F236,EOMONTH(DATE(cfg_FY,11,1),0))-$E236+1))</f>
        <v>0</v>
      </c>
      <c r="AS236" s="65" t="n">
        <f aca="false">IF(OR(OR($B236="",$E236="",$F236=""),$L236&lt;&gt;"لا"),0,MAX(0,MIN($F236,EOMONTH(DATE(cfg_FY,12,1),0))-$E236+1))</f>
        <v>0</v>
      </c>
      <c r="AT236" s="65" t="n">
        <f aca="false">IF(OR(OR($B236="",$E236="",$F236=""),$K236&lt;&gt;"نعم",$M236="نعم"),0,MAX(0,MIN($F236,EOMONTH(DATE(cfg_FY,1,1),0))-MAX($E236,DATE(cfg_FY,1,1))+1))</f>
        <v>0</v>
      </c>
      <c r="AU236" s="65" t="n">
        <f aca="false">IF(OR(OR($B236="",$E236="",$F236=""),$K236&lt;&gt;"نعم",$M236="نعم"),0,MAX(0,MIN($F236,EOMONTH(DATE(cfg_FY,2,1),0))-MAX($E236,DATE(cfg_FY,2,1))+1))</f>
        <v>0</v>
      </c>
      <c r="AV236" s="65" t="n">
        <f aca="false">IF(OR(OR($B236="",$E236="",$F236=""),$K236&lt;&gt;"نعم",$M236="نعم"),0,MAX(0,MIN($F236,EOMONTH(DATE(cfg_FY,3,1),0))-MAX($E236,DATE(cfg_FY,3,1))+1))</f>
        <v>0</v>
      </c>
      <c r="AW236" s="65" t="n">
        <f aca="false">IF(OR(OR($B236="",$E236="",$F236=""),$K236&lt;&gt;"نعم",$M236="نعم"),0,MAX(0,MIN($F236,EOMONTH(DATE(cfg_FY,4,1),0))-MAX($E236,DATE(cfg_FY,4,1))+1))</f>
        <v>0</v>
      </c>
      <c r="AX236" s="65" t="n">
        <f aca="false">IF(OR(OR($B236="",$E236="",$F236=""),$K236&lt;&gt;"نعم",$M236="نعم"),0,MAX(0,MIN($F236,EOMONTH(DATE(cfg_FY,5,1),0))-MAX($E236,DATE(cfg_FY,5,1))+1))</f>
        <v>0</v>
      </c>
      <c r="AY236" s="65" t="n">
        <f aca="false">IF(OR(OR($B236="",$E236="",$F236=""),$K236&lt;&gt;"نعم",$M236="نعم"),0,MAX(0,MIN($F236,EOMONTH(DATE(cfg_FY,6,1),0))-MAX($E236,DATE(cfg_FY,6,1))+1))</f>
        <v>0</v>
      </c>
      <c r="AZ236" s="65" t="n">
        <f aca="false">IF(OR(OR($B236="",$E236="",$F236=""),$K236&lt;&gt;"نعم",$M236="نعم"),0,MAX(0,MIN($F236,EOMONTH(DATE(cfg_FY,7,1),0))-MAX($E236,DATE(cfg_FY,7,1))+1))</f>
        <v>0</v>
      </c>
      <c r="BA236" s="65" t="n">
        <f aca="false">IF(OR(OR($B236="",$E236="",$F236=""),$K236&lt;&gt;"نعم",$M236="نعم"),0,MAX(0,MIN($F236,EOMONTH(DATE(cfg_FY,8,1),0))-MAX($E236,DATE(cfg_FY,8,1))+1))</f>
        <v>0</v>
      </c>
      <c r="BB236" s="65" t="n">
        <f aca="false">IF(OR(OR($B236="",$E236="",$F236=""),$K236&lt;&gt;"نعم",$M236="نعم"),0,MAX(0,MIN($F236,EOMONTH(DATE(cfg_FY,9,1),0))-MAX($E236,DATE(cfg_FY,9,1))+1))</f>
        <v>0</v>
      </c>
      <c r="BC236" s="65" t="n">
        <f aca="false">IF(OR(OR($B236="",$E236="",$F236=""),$K236&lt;&gt;"نعم",$M236="نعم"),0,MAX(0,MIN($F236,EOMONTH(DATE(cfg_FY,10,1),0))-MAX($E236,DATE(cfg_FY,10,1))+1))</f>
        <v>0</v>
      </c>
      <c r="BD236" s="65" t="n">
        <f aca="false">IF(OR(OR($B236="",$E236="",$F236=""),$K236&lt;&gt;"نعم",$M236="نعم"),0,MAX(0,MIN($F236,EOMONTH(DATE(cfg_FY,11,1),0))-MAX($E236,DATE(cfg_FY,11,1))+1))</f>
        <v>0</v>
      </c>
      <c r="BE236" s="65" t="n">
        <f aca="false">IF(OR(OR($B236="",$E236="",$F236=""),$K236&lt;&gt;"نعم",$M236="نعم"),0,MAX(0,MIN($F236,EOMONTH(DATE(cfg_FY,12,1),0))-MAX($E236,DATE(cfg_FY,12,1))+1))</f>
        <v>0</v>
      </c>
    </row>
    <row r="237" customFormat="false" ht="15" hidden="false" customHeight="false" outlineLevel="0" collapsed="false">
      <c r="A237" s="115" t="str">
        <f aca="false">IF(B237="","",ROW()-5)</f>
        <v/>
      </c>
      <c r="B237" s="118"/>
      <c r="C237" s="117" t="str">
        <f aca="false">IF(B237="","",IFERROR(INDEX(الموظفون!$C$6:$C$105,MATCH(B237,الموظفون!$B$6:$B$105,0)),"✖ رقم غير موجود"))</f>
        <v/>
      </c>
      <c r="D237" s="118"/>
      <c r="E237" s="119"/>
      <c r="F237" s="119"/>
      <c r="G237" s="133" t="str">
        <f aca="false">IF(OR($B237="",$E237="",$F237=""),"",MAX(0,F237-E237+1))</f>
        <v/>
      </c>
      <c r="H237" s="134" t="str">
        <f aca="false">IF(D237="","",IFERROR(VLOOKUP(D237,cfg_LT,2,FALSE()),1))</f>
        <v/>
      </c>
      <c r="I237" s="135"/>
      <c r="J237" s="134" t="str">
        <f aca="false">IF(D237="","",IF(I237&lt;&gt;"",I237,H237))</f>
        <v/>
      </c>
      <c r="K237" s="117" t="str">
        <f aca="false">IF(D237="","",IFERROR(VLOOKUP($D237,cfg_LT,3,FALSE()),""))</f>
        <v/>
      </c>
      <c r="L237" s="117" t="str">
        <f aca="false">IF(D237="","",IFERROR(VLOOKUP($D237,cfg_LT,4,FALSE()),""))</f>
        <v/>
      </c>
      <c r="M237" s="117" t="str">
        <f aca="false">IF(D237="","",IFERROR(VLOOKUP($D237,cfg_LT,5,FALSE()),""))</f>
        <v/>
      </c>
      <c r="N237" s="116" t="n">
        <f aca="false">IF(OR(OR($B237="",$E237="",$F237=""),M237&lt;&gt;"نعم"),0,G237*J237*IFERROR(INDEX(الموظفون!$R$6:$R$105,MATCH(B237,الموظفون!$B$6:$B$105,0)),0)/cfg_DAYS_M)</f>
        <v>0</v>
      </c>
      <c r="O237" s="115" t="str">
        <f aca="false">IF(OR(OR($B237="",$E237="",$F237=""),M237&lt;&gt;"نعم"),"",IF(YEAR(E237)=cfg_FY,MONTH(E237),""))</f>
        <v/>
      </c>
      <c r="P237" s="117" t="str">
        <f aca="false">IF(B237="","",IF(OR(D237="",E237="",F237=""),"⚠ أكمل النوع والتواريخ",IF(F237&lt;E237,"✖ النهاية قبل البداية",IF(COUNTIFS($B$6:$B$505,B237,$E$6:$E$505,"&lt;="&amp;F237,$F$6:$F$505,"&gt;="&amp;E237)&gt;1,"⚠ تداخل مع سجل آخر",IF(E237&gt;cfg_VAL_DATE,"⏳ قادمة",IF(F237&lt;cfg_VAL_DATE,"✔ منتهية","✈ جارية في تاريخ التقرير"))))))</f>
        <v/>
      </c>
      <c r="Q237" s="118"/>
      <c r="R237" s="133" t="n">
        <f aca="false">IF(OR(OR($B237="",$E237="",$F237=""),L237&lt;&gt;"لا"),0,MAX(0,MIN(F237,cfg_Y_START-1)-E237+1))</f>
        <v>0</v>
      </c>
      <c r="S237" s="133" t="n">
        <f aca="false">IF(OR(OR($B237="",$E237="",$F237=""),L237&lt;&gt;"لا"),0,MAX(0,MIN(F237,cfg_VAL_DATE)-E237+1))</f>
        <v>0</v>
      </c>
      <c r="T237" s="133" t="n">
        <f aca="false">IF(OR(OR($B237="",$E237="",$F237=""),K237&lt;&gt;"نعم"),0,IF(M237="نعم",IF(AND(ISNUMBER(O237),N(O237)&lt;=cfg_VAL_M),G237,0),MAX(0,MIN(F237,cfg_VAL_DATE)-MAX(E237,cfg_Y_START)+1)))</f>
        <v>0</v>
      </c>
      <c r="V237" s="133" t="n">
        <f aca="false">IF(OR($B237="",$E237="",$F237=""),0,MAX(0,MIN($F237,EOMONTH(DATE(cfg_FY,1,1),0))-MAX($E237,DATE(cfg_FY,1,1))+1)*(1-IF($M237="نعم",0,N($J237))))</f>
        <v>0</v>
      </c>
      <c r="W237" s="133" t="n">
        <f aca="false">IF(OR($B237="",$E237="",$F237=""),0,MAX(0,MIN($F237,EOMONTH(DATE(cfg_FY,2,1),0))-MAX($E237,DATE(cfg_FY,2,1))+1)*(1-IF($M237="نعم",0,N($J237))))</f>
        <v>0</v>
      </c>
      <c r="X237" s="133" t="n">
        <f aca="false">IF(OR($B237="",$E237="",$F237=""),0,MAX(0,MIN($F237,EOMONTH(DATE(cfg_FY,3,1),0))-MAX($E237,DATE(cfg_FY,3,1))+1)*(1-IF($M237="نعم",0,N($J237))))</f>
        <v>0</v>
      </c>
      <c r="Y237" s="133" t="n">
        <f aca="false">IF(OR($B237="",$E237="",$F237=""),0,MAX(0,MIN($F237,EOMONTH(DATE(cfg_FY,4,1),0))-MAX($E237,DATE(cfg_FY,4,1))+1)*(1-IF($M237="نعم",0,N($J237))))</f>
        <v>0</v>
      </c>
      <c r="Z237" s="133" t="n">
        <f aca="false">IF(OR($B237="",$E237="",$F237=""),0,MAX(0,MIN($F237,EOMONTH(DATE(cfg_FY,5,1),0))-MAX($E237,DATE(cfg_FY,5,1))+1)*(1-IF($M237="نعم",0,N($J237))))</f>
        <v>0</v>
      </c>
      <c r="AA237" s="133" t="n">
        <f aca="false">IF(OR($B237="",$E237="",$F237=""),0,MAX(0,MIN($F237,EOMONTH(DATE(cfg_FY,6,1),0))-MAX($E237,DATE(cfg_FY,6,1))+1)*(1-IF($M237="نعم",0,N($J237))))</f>
        <v>0</v>
      </c>
      <c r="AB237" s="133" t="n">
        <f aca="false">IF(OR($B237="",$E237="",$F237=""),0,MAX(0,MIN($F237,EOMONTH(DATE(cfg_FY,7,1),0))-MAX($E237,DATE(cfg_FY,7,1))+1)*(1-IF($M237="نعم",0,N($J237))))</f>
        <v>0</v>
      </c>
      <c r="AC237" s="133" t="n">
        <f aca="false">IF(OR($B237="",$E237="",$F237=""),0,MAX(0,MIN($F237,EOMONTH(DATE(cfg_FY,8,1),0))-MAX($E237,DATE(cfg_FY,8,1))+1)*(1-IF($M237="نعم",0,N($J237))))</f>
        <v>0</v>
      </c>
      <c r="AD237" s="133" t="n">
        <f aca="false">IF(OR($B237="",$E237="",$F237=""),0,MAX(0,MIN($F237,EOMONTH(DATE(cfg_FY,9,1),0))-MAX($E237,DATE(cfg_FY,9,1))+1)*(1-IF($M237="نعم",0,N($J237))))</f>
        <v>0</v>
      </c>
      <c r="AE237" s="133" t="n">
        <f aca="false">IF(OR($B237="",$E237="",$F237=""),0,MAX(0,MIN($F237,EOMONTH(DATE(cfg_FY,10,1),0))-MAX($E237,DATE(cfg_FY,10,1))+1)*(1-IF($M237="نعم",0,N($J237))))</f>
        <v>0</v>
      </c>
      <c r="AF237" s="133" t="n">
        <f aca="false">IF(OR($B237="",$E237="",$F237=""),0,MAX(0,MIN($F237,EOMONTH(DATE(cfg_FY,11,1),0))-MAX($E237,DATE(cfg_FY,11,1))+1)*(1-IF($M237="نعم",0,N($J237))))</f>
        <v>0</v>
      </c>
      <c r="AG237" s="133" t="n">
        <f aca="false">IF(OR($B237="",$E237="",$F237=""),0,MAX(0,MIN($F237,EOMONTH(DATE(cfg_FY,12,1),0))-MAX($E237,DATE(cfg_FY,12,1))+1)*(1-IF($M237="نعم",0,N($J237))))</f>
        <v>0</v>
      </c>
      <c r="AH237" s="133" t="n">
        <f aca="false">IF(OR(OR($B237="",$E237="",$F237=""),$L237&lt;&gt;"لا"),0,MAX(0,MIN($F237,EOMONTH(DATE(cfg_FY,1,1),0))-$E237+1))</f>
        <v>0</v>
      </c>
      <c r="AI237" s="133" t="n">
        <f aca="false">IF(OR(OR($B237="",$E237="",$F237=""),$L237&lt;&gt;"لا"),0,MAX(0,MIN($F237,EOMONTH(DATE(cfg_FY,2,1),0))-$E237+1))</f>
        <v>0</v>
      </c>
      <c r="AJ237" s="133" t="n">
        <f aca="false">IF(OR(OR($B237="",$E237="",$F237=""),$L237&lt;&gt;"لا"),0,MAX(0,MIN($F237,EOMONTH(DATE(cfg_FY,3,1),0))-$E237+1))</f>
        <v>0</v>
      </c>
      <c r="AK237" s="133" t="n">
        <f aca="false">IF(OR(OR($B237="",$E237="",$F237=""),$L237&lt;&gt;"لا"),0,MAX(0,MIN($F237,EOMONTH(DATE(cfg_FY,4,1),0))-$E237+1))</f>
        <v>0</v>
      </c>
      <c r="AL237" s="133" t="n">
        <f aca="false">IF(OR(OR($B237="",$E237="",$F237=""),$L237&lt;&gt;"لا"),0,MAX(0,MIN($F237,EOMONTH(DATE(cfg_FY,5,1),0))-$E237+1))</f>
        <v>0</v>
      </c>
      <c r="AM237" s="133" t="n">
        <f aca="false">IF(OR(OR($B237="",$E237="",$F237=""),$L237&lt;&gt;"لا"),0,MAX(0,MIN($F237,EOMONTH(DATE(cfg_FY,6,1),0))-$E237+1))</f>
        <v>0</v>
      </c>
      <c r="AN237" s="133" t="n">
        <f aca="false">IF(OR(OR($B237="",$E237="",$F237=""),$L237&lt;&gt;"لا"),0,MAX(0,MIN($F237,EOMONTH(DATE(cfg_FY,7,1),0))-$E237+1))</f>
        <v>0</v>
      </c>
      <c r="AO237" s="133" t="n">
        <f aca="false">IF(OR(OR($B237="",$E237="",$F237=""),$L237&lt;&gt;"لا"),0,MAX(0,MIN($F237,EOMONTH(DATE(cfg_FY,8,1),0))-$E237+1))</f>
        <v>0</v>
      </c>
      <c r="AP237" s="133" t="n">
        <f aca="false">IF(OR(OR($B237="",$E237="",$F237=""),$L237&lt;&gt;"لا"),0,MAX(0,MIN($F237,EOMONTH(DATE(cfg_FY,9,1),0))-$E237+1))</f>
        <v>0</v>
      </c>
      <c r="AQ237" s="133" t="n">
        <f aca="false">IF(OR(OR($B237="",$E237="",$F237=""),$L237&lt;&gt;"لا"),0,MAX(0,MIN($F237,EOMONTH(DATE(cfg_FY,10,1),0))-$E237+1))</f>
        <v>0</v>
      </c>
      <c r="AR237" s="133" t="n">
        <f aca="false">IF(OR(OR($B237="",$E237="",$F237=""),$L237&lt;&gt;"لا"),0,MAX(0,MIN($F237,EOMONTH(DATE(cfg_FY,11,1),0))-$E237+1))</f>
        <v>0</v>
      </c>
      <c r="AS237" s="133" t="n">
        <f aca="false">IF(OR(OR($B237="",$E237="",$F237=""),$L237&lt;&gt;"لا"),0,MAX(0,MIN($F237,EOMONTH(DATE(cfg_FY,12,1),0))-$E237+1))</f>
        <v>0</v>
      </c>
      <c r="AT237" s="133" t="n">
        <f aca="false">IF(OR(OR($B237="",$E237="",$F237=""),$K237&lt;&gt;"نعم",$M237="نعم"),0,MAX(0,MIN($F237,EOMONTH(DATE(cfg_FY,1,1),0))-MAX($E237,DATE(cfg_FY,1,1))+1))</f>
        <v>0</v>
      </c>
      <c r="AU237" s="133" t="n">
        <f aca="false">IF(OR(OR($B237="",$E237="",$F237=""),$K237&lt;&gt;"نعم",$M237="نعم"),0,MAX(0,MIN($F237,EOMONTH(DATE(cfg_FY,2,1),0))-MAX($E237,DATE(cfg_FY,2,1))+1))</f>
        <v>0</v>
      </c>
      <c r="AV237" s="133" t="n">
        <f aca="false">IF(OR(OR($B237="",$E237="",$F237=""),$K237&lt;&gt;"نعم",$M237="نعم"),0,MAX(0,MIN($F237,EOMONTH(DATE(cfg_FY,3,1),0))-MAX($E237,DATE(cfg_FY,3,1))+1))</f>
        <v>0</v>
      </c>
      <c r="AW237" s="133" t="n">
        <f aca="false">IF(OR(OR($B237="",$E237="",$F237=""),$K237&lt;&gt;"نعم",$M237="نعم"),0,MAX(0,MIN($F237,EOMONTH(DATE(cfg_FY,4,1),0))-MAX($E237,DATE(cfg_FY,4,1))+1))</f>
        <v>0</v>
      </c>
      <c r="AX237" s="133" t="n">
        <f aca="false">IF(OR(OR($B237="",$E237="",$F237=""),$K237&lt;&gt;"نعم",$M237="نعم"),0,MAX(0,MIN($F237,EOMONTH(DATE(cfg_FY,5,1),0))-MAX($E237,DATE(cfg_FY,5,1))+1))</f>
        <v>0</v>
      </c>
      <c r="AY237" s="133" t="n">
        <f aca="false">IF(OR(OR($B237="",$E237="",$F237=""),$K237&lt;&gt;"نعم",$M237="نعم"),0,MAX(0,MIN($F237,EOMONTH(DATE(cfg_FY,6,1),0))-MAX($E237,DATE(cfg_FY,6,1))+1))</f>
        <v>0</v>
      </c>
      <c r="AZ237" s="133" t="n">
        <f aca="false">IF(OR(OR($B237="",$E237="",$F237=""),$K237&lt;&gt;"نعم",$M237="نعم"),0,MAX(0,MIN($F237,EOMONTH(DATE(cfg_FY,7,1),0))-MAX($E237,DATE(cfg_FY,7,1))+1))</f>
        <v>0</v>
      </c>
      <c r="BA237" s="133" t="n">
        <f aca="false">IF(OR(OR($B237="",$E237="",$F237=""),$K237&lt;&gt;"نعم",$M237="نعم"),0,MAX(0,MIN($F237,EOMONTH(DATE(cfg_FY,8,1),0))-MAX($E237,DATE(cfg_FY,8,1))+1))</f>
        <v>0</v>
      </c>
      <c r="BB237" s="133" t="n">
        <f aca="false">IF(OR(OR($B237="",$E237="",$F237=""),$K237&lt;&gt;"نعم",$M237="نعم"),0,MAX(0,MIN($F237,EOMONTH(DATE(cfg_FY,9,1),0))-MAX($E237,DATE(cfg_FY,9,1))+1))</f>
        <v>0</v>
      </c>
      <c r="BC237" s="133" t="n">
        <f aca="false">IF(OR(OR($B237="",$E237="",$F237=""),$K237&lt;&gt;"نعم",$M237="نعم"),0,MAX(0,MIN($F237,EOMONTH(DATE(cfg_FY,10,1),0))-MAX($E237,DATE(cfg_FY,10,1))+1))</f>
        <v>0</v>
      </c>
      <c r="BD237" s="133" t="n">
        <f aca="false">IF(OR(OR($B237="",$E237="",$F237=""),$K237&lt;&gt;"نعم",$M237="نعم"),0,MAX(0,MIN($F237,EOMONTH(DATE(cfg_FY,11,1),0))-MAX($E237,DATE(cfg_FY,11,1))+1))</f>
        <v>0</v>
      </c>
      <c r="BE237" s="133" t="n">
        <f aca="false">IF(OR(OR($B237="",$E237="",$F237=""),$K237&lt;&gt;"نعم",$M237="نعم"),0,MAX(0,MIN($F237,EOMONTH(DATE(cfg_FY,12,1),0))-MAX($E237,DATE(cfg_FY,12,1))+1))</f>
        <v>0</v>
      </c>
    </row>
    <row r="238" customFormat="false" ht="15" hidden="false" customHeight="false" outlineLevel="0" collapsed="false">
      <c r="A238" s="106" t="str">
        <f aca="false">IF(B238="","",ROW()-5)</f>
        <v/>
      </c>
      <c r="B238" s="118"/>
      <c r="C238" s="114" t="str">
        <f aca="false">IF(B238="","",IFERROR(INDEX(الموظفون!$C$6:$C$105,MATCH(B238,الموظفون!$B$6:$B$105,0)),"✖ رقم غير موجود"))</f>
        <v/>
      </c>
      <c r="D238" s="118"/>
      <c r="E238" s="119"/>
      <c r="F238" s="119"/>
      <c r="G238" s="65" t="str">
        <f aca="false">IF(OR($B238="",$E238="",$F238=""),"",MAX(0,F238-E238+1))</f>
        <v/>
      </c>
      <c r="H238" s="66" t="str">
        <f aca="false">IF(D238="","",IFERROR(VLOOKUP(D238,cfg_LT,2,FALSE()),1))</f>
        <v/>
      </c>
      <c r="I238" s="135"/>
      <c r="J238" s="66" t="str">
        <f aca="false">IF(D238="","",IF(I238&lt;&gt;"",I238,H238))</f>
        <v/>
      </c>
      <c r="K238" s="114" t="str">
        <f aca="false">IF(D238="","",IFERROR(VLOOKUP($D238,cfg_LT,3,FALSE()),""))</f>
        <v/>
      </c>
      <c r="L238" s="114" t="str">
        <f aca="false">IF(D238="","",IFERROR(VLOOKUP($D238,cfg_LT,4,FALSE()),""))</f>
        <v/>
      </c>
      <c r="M238" s="114" t="str">
        <f aca="false">IF(D238="","",IFERROR(VLOOKUP($D238,cfg_LT,5,FALSE()),""))</f>
        <v/>
      </c>
      <c r="N238" s="111" t="n">
        <f aca="false">IF(OR(OR($B238="",$E238="",$F238=""),M238&lt;&gt;"نعم"),0,G238*J238*IFERROR(INDEX(الموظفون!$R$6:$R$105,MATCH(B238,الموظفون!$B$6:$B$105,0)),0)/cfg_DAYS_M)</f>
        <v>0</v>
      </c>
      <c r="O238" s="106" t="str">
        <f aca="false">IF(OR(OR($B238="",$E238="",$F238=""),M238&lt;&gt;"نعم"),"",IF(YEAR(E238)=cfg_FY,MONTH(E238),""))</f>
        <v/>
      </c>
      <c r="P238" s="114" t="str">
        <f aca="false">IF(B238="","",IF(OR(D238="",E238="",F238=""),"⚠ أكمل النوع والتواريخ",IF(F238&lt;E238,"✖ النهاية قبل البداية",IF(COUNTIFS($B$6:$B$505,B238,$E$6:$E$505,"&lt;="&amp;F238,$F$6:$F$505,"&gt;="&amp;E238)&gt;1,"⚠ تداخل مع سجل آخر",IF(E238&gt;cfg_VAL_DATE,"⏳ قادمة",IF(F238&lt;cfg_VAL_DATE,"✔ منتهية","✈ جارية في تاريخ التقرير"))))))</f>
        <v/>
      </c>
      <c r="Q238" s="118"/>
      <c r="R238" s="65" t="n">
        <f aca="false">IF(OR(OR($B238="",$E238="",$F238=""),L238&lt;&gt;"لا"),0,MAX(0,MIN(F238,cfg_Y_START-1)-E238+1))</f>
        <v>0</v>
      </c>
      <c r="S238" s="65" t="n">
        <f aca="false">IF(OR(OR($B238="",$E238="",$F238=""),L238&lt;&gt;"لا"),0,MAX(0,MIN(F238,cfg_VAL_DATE)-E238+1))</f>
        <v>0</v>
      </c>
      <c r="T238" s="65" t="n">
        <f aca="false">IF(OR(OR($B238="",$E238="",$F238=""),K238&lt;&gt;"نعم"),0,IF(M238="نعم",IF(AND(ISNUMBER(O238),N(O238)&lt;=cfg_VAL_M),G238,0),MAX(0,MIN(F238,cfg_VAL_DATE)-MAX(E238,cfg_Y_START)+1)))</f>
        <v>0</v>
      </c>
      <c r="V238" s="65" t="n">
        <f aca="false">IF(OR($B238="",$E238="",$F238=""),0,MAX(0,MIN($F238,EOMONTH(DATE(cfg_FY,1,1),0))-MAX($E238,DATE(cfg_FY,1,1))+1)*(1-IF($M238="نعم",0,N($J238))))</f>
        <v>0</v>
      </c>
      <c r="W238" s="65" t="n">
        <f aca="false">IF(OR($B238="",$E238="",$F238=""),0,MAX(0,MIN($F238,EOMONTH(DATE(cfg_FY,2,1),0))-MAX($E238,DATE(cfg_FY,2,1))+1)*(1-IF($M238="نعم",0,N($J238))))</f>
        <v>0</v>
      </c>
      <c r="X238" s="65" t="n">
        <f aca="false">IF(OR($B238="",$E238="",$F238=""),0,MAX(0,MIN($F238,EOMONTH(DATE(cfg_FY,3,1),0))-MAX($E238,DATE(cfg_FY,3,1))+1)*(1-IF($M238="نعم",0,N($J238))))</f>
        <v>0</v>
      </c>
      <c r="Y238" s="65" t="n">
        <f aca="false">IF(OR($B238="",$E238="",$F238=""),0,MAX(0,MIN($F238,EOMONTH(DATE(cfg_FY,4,1),0))-MAX($E238,DATE(cfg_FY,4,1))+1)*(1-IF($M238="نعم",0,N($J238))))</f>
        <v>0</v>
      </c>
      <c r="Z238" s="65" t="n">
        <f aca="false">IF(OR($B238="",$E238="",$F238=""),0,MAX(0,MIN($F238,EOMONTH(DATE(cfg_FY,5,1),0))-MAX($E238,DATE(cfg_FY,5,1))+1)*(1-IF($M238="نعم",0,N($J238))))</f>
        <v>0</v>
      </c>
      <c r="AA238" s="65" t="n">
        <f aca="false">IF(OR($B238="",$E238="",$F238=""),0,MAX(0,MIN($F238,EOMONTH(DATE(cfg_FY,6,1),0))-MAX($E238,DATE(cfg_FY,6,1))+1)*(1-IF($M238="نعم",0,N($J238))))</f>
        <v>0</v>
      </c>
      <c r="AB238" s="65" t="n">
        <f aca="false">IF(OR($B238="",$E238="",$F238=""),0,MAX(0,MIN($F238,EOMONTH(DATE(cfg_FY,7,1),0))-MAX($E238,DATE(cfg_FY,7,1))+1)*(1-IF($M238="نعم",0,N($J238))))</f>
        <v>0</v>
      </c>
      <c r="AC238" s="65" t="n">
        <f aca="false">IF(OR($B238="",$E238="",$F238=""),0,MAX(0,MIN($F238,EOMONTH(DATE(cfg_FY,8,1),0))-MAX($E238,DATE(cfg_FY,8,1))+1)*(1-IF($M238="نعم",0,N($J238))))</f>
        <v>0</v>
      </c>
      <c r="AD238" s="65" t="n">
        <f aca="false">IF(OR($B238="",$E238="",$F238=""),0,MAX(0,MIN($F238,EOMONTH(DATE(cfg_FY,9,1),0))-MAX($E238,DATE(cfg_FY,9,1))+1)*(1-IF($M238="نعم",0,N($J238))))</f>
        <v>0</v>
      </c>
      <c r="AE238" s="65" t="n">
        <f aca="false">IF(OR($B238="",$E238="",$F238=""),0,MAX(0,MIN($F238,EOMONTH(DATE(cfg_FY,10,1),0))-MAX($E238,DATE(cfg_FY,10,1))+1)*(1-IF($M238="نعم",0,N($J238))))</f>
        <v>0</v>
      </c>
      <c r="AF238" s="65" t="n">
        <f aca="false">IF(OR($B238="",$E238="",$F238=""),0,MAX(0,MIN($F238,EOMONTH(DATE(cfg_FY,11,1),0))-MAX($E238,DATE(cfg_FY,11,1))+1)*(1-IF($M238="نعم",0,N($J238))))</f>
        <v>0</v>
      </c>
      <c r="AG238" s="65" t="n">
        <f aca="false">IF(OR($B238="",$E238="",$F238=""),0,MAX(0,MIN($F238,EOMONTH(DATE(cfg_FY,12,1),0))-MAX($E238,DATE(cfg_FY,12,1))+1)*(1-IF($M238="نعم",0,N($J238))))</f>
        <v>0</v>
      </c>
      <c r="AH238" s="65" t="n">
        <f aca="false">IF(OR(OR($B238="",$E238="",$F238=""),$L238&lt;&gt;"لا"),0,MAX(0,MIN($F238,EOMONTH(DATE(cfg_FY,1,1),0))-$E238+1))</f>
        <v>0</v>
      </c>
      <c r="AI238" s="65" t="n">
        <f aca="false">IF(OR(OR($B238="",$E238="",$F238=""),$L238&lt;&gt;"لا"),0,MAX(0,MIN($F238,EOMONTH(DATE(cfg_FY,2,1),0))-$E238+1))</f>
        <v>0</v>
      </c>
      <c r="AJ238" s="65" t="n">
        <f aca="false">IF(OR(OR($B238="",$E238="",$F238=""),$L238&lt;&gt;"لا"),0,MAX(0,MIN($F238,EOMONTH(DATE(cfg_FY,3,1),0))-$E238+1))</f>
        <v>0</v>
      </c>
      <c r="AK238" s="65" t="n">
        <f aca="false">IF(OR(OR($B238="",$E238="",$F238=""),$L238&lt;&gt;"لا"),0,MAX(0,MIN($F238,EOMONTH(DATE(cfg_FY,4,1),0))-$E238+1))</f>
        <v>0</v>
      </c>
      <c r="AL238" s="65" t="n">
        <f aca="false">IF(OR(OR($B238="",$E238="",$F238=""),$L238&lt;&gt;"لا"),0,MAX(0,MIN($F238,EOMONTH(DATE(cfg_FY,5,1),0))-$E238+1))</f>
        <v>0</v>
      </c>
      <c r="AM238" s="65" t="n">
        <f aca="false">IF(OR(OR($B238="",$E238="",$F238=""),$L238&lt;&gt;"لا"),0,MAX(0,MIN($F238,EOMONTH(DATE(cfg_FY,6,1),0))-$E238+1))</f>
        <v>0</v>
      </c>
      <c r="AN238" s="65" t="n">
        <f aca="false">IF(OR(OR($B238="",$E238="",$F238=""),$L238&lt;&gt;"لا"),0,MAX(0,MIN($F238,EOMONTH(DATE(cfg_FY,7,1),0))-$E238+1))</f>
        <v>0</v>
      </c>
      <c r="AO238" s="65" t="n">
        <f aca="false">IF(OR(OR($B238="",$E238="",$F238=""),$L238&lt;&gt;"لا"),0,MAX(0,MIN($F238,EOMONTH(DATE(cfg_FY,8,1),0))-$E238+1))</f>
        <v>0</v>
      </c>
      <c r="AP238" s="65" t="n">
        <f aca="false">IF(OR(OR($B238="",$E238="",$F238=""),$L238&lt;&gt;"لا"),0,MAX(0,MIN($F238,EOMONTH(DATE(cfg_FY,9,1),0))-$E238+1))</f>
        <v>0</v>
      </c>
      <c r="AQ238" s="65" t="n">
        <f aca="false">IF(OR(OR($B238="",$E238="",$F238=""),$L238&lt;&gt;"لا"),0,MAX(0,MIN($F238,EOMONTH(DATE(cfg_FY,10,1),0))-$E238+1))</f>
        <v>0</v>
      </c>
      <c r="AR238" s="65" t="n">
        <f aca="false">IF(OR(OR($B238="",$E238="",$F238=""),$L238&lt;&gt;"لا"),0,MAX(0,MIN($F238,EOMONTH(DATE(cfg_FY,11,1),0))-$E238+1))</f>
        <v>0</v>
      </c>
      <c r="AS238" s="65" t="n">
        <f aca="false">IF(OR(OR($B238="",$E238="",$F238=""),$L238&lt;&gt;"لا"),0,MAX(0,MIN($F238,EOMONTH(DATE(cfg_FY,12,1),0))-$E238+1))</f>
        <v>0</v>
      </c>
      <c r="AT238" s="65" t="n">
        <f aca="false">IF(OR(OR($B238="",$E238="",$F238=""),$K238&lt;&gt;"نعم",$M238="نعم"),0,MAX(0,MIN($F238,EOMONTH(DATE(cfg_FY,1,1),0))-MAX($E238,DATE(cfg_FY,1,1))+1))</f>
        <v>0</v>
      </c>
      <c r="AU238" s="65" t="n">
        <f aca="false">IF(OR(OR($B238="",$E238="",$F238=""),$K238&lt;&gt;"نعم",$M238="نعم"),0,MAX(0,MIN($F238,EOMONTH(DATE(cfg_FY,2,1),0))-MAX($E238,DATE(cfg_FY,2,1))+1))</f>
        <v>0</v>
      </c>
      <c r="AV238" s="65" t="n">
        <f aca="false">IF(OR(OR($B238="",$E238="",$F238=""),$K238&lt;&gt;"نعم",$M238="نعم"),0,MAX(0,MIN($F238,EOMONTH(DATE(cfg_FY,3,1),0))-MAX($E238,DATE(cfg_FY,3,1))+1))</f>
        <v>0</v>
      </c>
      <c r="AW238" s="65" t="n">
        <f aca="false">IF(OR(OR($B238="",$E238="",$F238=""),$K238&lt;&gt;"نعم",$M238="نعم"),0,MAX(0,MIN($F238,EOMONTH(DATE(cfg_FY,4,1),0))-MAX($E238,DATE(cfg_FY,4,1))+1))</f>
        <v>0</v>
      </c>
      <c r="AX238" s="65" t="n">
        <f aca="false">IF(OR(OR($B238="",$E238="",$F238=""),$K238&lt;&gt;"نعم",$M238="نعم"),0,MAX(0,MIN($F238,EOMONTH(DATE(cfg_FY,5,1),0))-MAX($E238,DATE(cfg_FY,5,1))+1))</f>
        <v>0</v>
      </c>
      <c r="AY238" s="65" t="n">
        <f aca="false">IF(OR(OR($B238="",$E238="",$F238=""),$K238&lt;&gt;"نعم",$M238="نعم"),0,MAX(0,MIN($F238,EOMONTH(DATE(cfg_FY,6,1),0))-MAX($E238,DATE(cfg_FY,6,1))+1))</f>
        <v>0</v>
      </c>
      <c r="AZ238" s="65" t="n">
        <f aca="false">IF(OR(OR($B238="",$E238="",$F238=""),$K238&lt;&gt;"نعم",$M238="نعم"),0,MAX(0,MIN($F238,EOMONTH(DATE(cfg_FY,7,1),0))-MAX($E238,DATE(cfg_FY,7,1))+1))</f>
        <v>0</v>
      </c>
      <c r="BA238" s="65" t="n">
        <f aca="false">IF(OR(OR($B238="",$E238="",$F238=""),$K238&lt;&gt;"نعم",$M238="نعم"),0,MAX(0,MIN($F238,EOMONTH(DATE(cfg_FY,8,1),0))-MAX($E238,DATE(cfg_FY,8,1))+1))</f>
        <v>0</v>
      </c>
      <c r="BB238" s="65" t="n">
        <f aca="false">IF(OR(OR($B238="",$E238="",$F238=""),$K238&lt;&gt;"نعم",$M238="نعم"),0,MAX(0,MIN($F238,EOMONTH(DATE(cfg_FY,9,1),0))-MAX($E238,DATE(cfg_FY,9,1))+1))</f>
        <v>0</v>
      </c>
      <c r="BC238" s="65" t="n">
        <f aca="false">IF(OR(OR($B238="",$E238="",$F238=""),$K238&lt;&gt;"نعم",$M238="نعم"),0,MAX(0,MIN($F238,EOMONTH(DATE(cfg_FY,10,1),0))-MAX($E238,DATE(cfg_FY,10,1))+1))</f>
        <v>0</v>
      </c>
      <c r="BD238" s="65" t="n">
        <f aca="false">IF(OR(OR($B238="",$E238="",$F238=""),$K238&lt;&gt;"نعم",$M238="نعم"),0,MAX(0,MIN($F238,EOMONTH(DATE(cfg_FY,11,1),0))-MAX($E238,DATE(cfg_FY,11,1))+1))</f>
        <v>0</v>
      </c>
      <c r="BE238" s="65" t="n">
        <f aca="false">IF(OR(OR($B238="",$E238="",$F238=""),$K238&lt;&gt;"نعم",$M238="نعم"),0,MAX(0,MIN($F238,EOMONTH(DATE(cfg_FY,12,1),0))-MAX($E238,DATE(cfg_FY,12,1))+1))</f>
        <v>0</v>
      </c>
    </row>
    <row r="239" customFormat="false" ht="15" hidden="false" customHeight="false" outlineLevel="0" collapsed="false">
      <c r="A239" s="115" t="str">
        <f aca="false">IF(B239="","",ROW()-5)</f>
        <v/>
      </c>
      <c r="B239" s="118"/>
      <c r="C239" s="117" t="str">
        <f aca="false">IF(B239="","",IFERROR(INDEX(الموظفون!$C$6:$C$105,MATCH(B239,الموظفون!$B$6:$B$105,0)),"✖ رقم غير موجود"))</f>
        <v/>
      </c>
      <c r="D239" s="118"/>
      <c r="E239" s="119"/>
      <c r="F239" s="119"/>
      <c r="G239" s="133" t="str">
        <f aca="false">IF(OR($B239="",$E239="",$F239=""),"",MAX(0,F239-E239+1))</f>
        <v/>
      </c>
      <c r="H239" s="134" t="str">
        <f aca="false">IF(D239="","",IFERROR(VLOOKUP(D239,cfg_LT,2,FALSE()),1))</f>
        <v/>
      </c>
      <c r="I239" s="135"/>
      <c r="J239" s="134" t="str">
        <f aca="false">IF(D239="","",IF(I239&lt;&gt;"",I239,H239))</f>
        <v/>
      </c>
      <c r="K239" s="117" t="str">
        <f aca="false">IF(D239="","",IFERROR(VLOOKUP($D239,cfg_LT,3,FALSE()),""))</f>
        <v/>
      </c>
      <c r="L239" s="117" t="str">
        <f aca="false">IF(D239="","",IFERROR(VLOOKUP($D239,cfg_LT,4,FALSE()),""))</f>
        <v/>
      </c>
      <c r="M239" s="117" t="str">
        <f aca="false">IF(D239="","",IFERROR(VLOOKUP($D239,cfg_LT,5,FALSE()),""))</f>
        <v/>
      </c>
      <c r="N239" s="116" t="n">
        <f aca="false">IF(OR(OR($B239="",$E239="",$F239=""),M239&lt;&gt;"نعم"),0,G239*J239*IFERROR(INDEX(الموظفون!$R$6:$R$105,MATCH(B239,الموظفون!$B$6:$B$105,0)),0)/cfg_DAYS_M)</f>
        <v>0</v>
      </c>
      <c r="O239" s="115" t="str">
        <f aca="false">IF(OR(OR($B239="",$E239="",$F239=""),M239&lt;&gt;"نعم"),"",IF(YEAR(E239)=cfg_FY,MONTH(E239),""))</f>
        <v/>
      </c>
      <c r="P239" s="117" t="str">
        <f aca="false">IF(B239="","",IF(OR(D239="",E239="",F239=""),"⚠ أكمل النوع والتواريخ",IF(F239&lt;E239,"✖ النهاية قبل البداية",IF(COUNTIFS($B$6:$B$505,B239,$E$6:$E$505,"&lt;="&amp;F239,$F$6:$F$505,"&gt;="&amp;E239)&gt;1,"⚠ تداخل مع سجل آخر",IF(E239&gt;cfg_VAL_DATE,"⏳ قادمة",IF(F239&lt;cfg_VAL_DATE,"✔ منتهية","✈ جارية في تاريخ التقرير"))))))</f>
        <v/>
      </c>
      <c r="Q239" s="118"/>
      <c r="R239" s="133" t="n">
        <f aca="false">IF(OR(OR($B239="",$E239="",$F239=""),L239&lt;&gt;"لا"),0,MAX(0,MIN(F239,cfg_Y_START-1)-E239+1))</f>
        <v>0</v>
      </c>
      <c r="S239" s="133" t="n">
        <f aca="false">IF(OR(OR($B239="",$E239="",$F239=""),L239&lt;&gt;"لا"),0,MAX(0,MIN(F239,cfg_VAL_DATE)-E239+1))</f>
        <v>0</v>
      </c>
      <c r="T239" s="133" t="n">
        <f aca="false">IF(OR(OR($B239="",$E239="",$F239=""),K239&lt;&gt;"نعم"),0,IF(M239="نعم",IF(AND(ISNUMBER(O239),N(O239)&lt;=cfg_VAL_M),G239,0),MAX(0,MIN(F239,cfg_VAL_DATE)-MAX(E239,cfg_Y_START)+1)))</f>
        <v>0</v>
      </c>
      <c r="V239" s="133" t="n">
        <f aca="false">IF(OR($B239="",$E239="",$F239=""),0,MAX(0,MIN($F239,EOMONTH(DATE(cfg_FY,1,1),0))-MAX($E239,DATE(cfg_FY,1,1))+1)*(1-IF($M239="نعم",0,N($J239))))</f>
        <v>0</v>
      </c>
      <c r="W239" s="133" t="n">
        <f aca="false">IF(OR($B239="",$E239="",$F239=""),0,MAX(0,MIN($F239,EOMONTH(DATE(cfg_FY,2,1),0))-MAX($E239,DATE(cfg_FY,2,1))+1)*(1-IF($M239="نعم",0,N($J239))))</f>
        <v>0</v>
      </c>
      <c r="X239" s="133" t="n">
        <f aca="false">IF(OR($B239="",$E239="",$F239=""),0,MAX(0,MIN($F239,EOMONTH(DATE(cfg_FY,3,1),0))-MAX($E239,DATE(cfg_FY,3,1))+1)*(1-IF($M239="نعم",0,N($J239))))</f>
        <v>0</v>
      </c>
      <c r="Y239" s="133" t="n">
        <f aca="false">IF(OR($B239="",$E239="",$F239=""),0,MAX(0,MIN($F239,EOMONTH(DATE(cfg_FY,4,1),0))-MAX($E239,DATE(cfg_FY,4,1))+1)*(1-IF($M239="نعم",0,N($J239))))</f>
        <v>0</v>
      </c>
      <c r="Z239" s="133" t="n">
        <f aca="false">IF(OR($B239="",$E239="",$F239=""),0,MAX(0,MIN($F239,EOMONTH(DATE(cfg_FY,5,1),0))-MAX($E239,DATE(cfg_FY,5,1))+1)*(1-IF($M239="نعم",0,N($J239))))</f>
        <v>0</v>
      </c>
      <c r="AA239" s="133" t="n">
        <f aca="false">IF(OR($B239="",$E239="",$F239=""),0,MAX(0,MIN($F239,EOMONTH(DATE(cfg_FY,6,1),0))-MAX($E239,DATE(cfg_FY,6,1))+1)*(1-IF($M239="نعم",0,N($J239))))</f>
        <v>0</v>
      </c>
      <c r="AB239" s="133" t="n">
        <f aca="false">IF(OR($B239="",$E239="",$F239=""),0,MAX(0,MIN($F239,EOMONTH(DATE(cfg_FY,7,1),0))-MAX($E239,DATE(cfg_FY,7,1))+1)*(1-IF($M239="نعم",0,N($J239))))</f>
        <v>0</v>
      </c>
      <c r="AC239" s="133" t="n">
        <f aca="false">IF(OR($B239="",$E239="",$F239=""),0,MAX(0,MIN($F239,EOMONTH(DATE(cfg_FY,8,1),0))-MAX($E239,DATE(cfg_FY,8,1))+1)*(1-IF($M239="نعم",0,N($J239))))</f>
        <v>0</v>
      </c>
      <c r="AD239" s="133" t="n">
        <f aca="false">IF(OR($B239="",$E239="",$F239=""),0,MAX(0,MIN($F239,EOMONTH(DATE(cfg_FY,9,1),0))-MAX($E239,DATE(cfg_FY,9,1))+1)*(1-IF($M239="نعم",0,N($J239))))</f>
        <v>0</v>
      </c>
      <c r="AE239" s="133" t="n">
        <f aca="false">IF(OR($B239="",$E239="",$F239=""),0,MAX(0,MIN($F239,EOMONTH(DATE(cfg_FY,10,1),0))-MAX($E239,DATE(cfg_FY,10,1))+1)*(1-IF($M239="نعم",0,N($J239))))</f>
        <v>0</v>
      </c>
      <c r="AF239" s="133" t="n">
        <f aca="false">IF(OR($B239="",$E239="",$F239=""),0,MAX(0,MIN($F239,EOMONTH(DATE(cfg_FY,11,1),0))-MAX($E239,DATE(cfg_FY,11,1))+1)*(1-IF($M239="نعم",0,N($J239))))</f>
        <v>0</v>
      </c>
      <c r="AG239" s="133" t="n">
        <f aca="false">IF(OR($B239="",$E239="",$F239=""),0,MAX(0,MIN($F239,EOMONTH(DATE(cfg_FY,12,1),0))-MAX($E239,DATE(cfg_FY,12,1))+1)*(1-IF($M239="نعم",0,N($J239))))</f>
        <v>0</v>
      </c>
      <c r="AH239" s="133" t="n">
        <f aca="false">IF(OR(OR($B239="",$E239="",$F239=""),$L239&lt;&gt;"لا"),0,MAX(0,MIN($F239,EOMONTH(DATE(cfg_FY,1,1),0))-$E239+1))</f>
        <v>0</v>
      </c>
      <c r="AI239" s="133" t="n">
        <f aca="false">IF(OR(OR($B239="",$E239="",$F239=""),$L239&lt;&gt;"لا"),0,MAX(0,MIN($F239,EOMONTH(DATE(cfg_FY,2,1),0))-$E239+1))</f>
        <v>0</v>
      </c>
      <c r="AJ239" s="133" t="n">
        <f aca="false">IF(OR(OR($B239="",$E239="",$F239=""),$L239&lt;&gt;"لا"),0,MAX(0,MIN($F239,EOMONTH(DATE(cfg_FY,3,1),0))-$E239+1))</f>
        <v>0</v>
      </c>
      <c r="AK239" s="133" t="n">
        <f aca="false">IF(OR(OR($B239="",$E239="",$F239=""),$L239&lt;&gt;"لا"),0,MAX(0,MIN($F239,EOMONTH(DATE(cfg_FY,4,1),0))-$E239+1))</f>
        <v>0</v>
      </c>
      <c r="AL239" s="133" t="n">
        <f aca="false">IF(OR(OR($B239="",$E239="",$F239=""),$L239&lt;&gt;"لا"),0,MAX(0,MIN($F239,EOMONTH(DATE(cfg_FY,5,1),0))-$E239+1))</f>
        <v>0</v>
      </c>
      <c r="AM239" s="133" t="n">
        <f aca="false">IF(OR(OR($B239="",$E239="",$F239=""),$L239&lt;&gt;"لا"),0,MAX(0,MIN($F239,EOMONTH(DATE(cfg_FY,6,1),0))-$E239+1))</f>
        <v>0</v>
      </c>
      <c r="AN239" s="133" t="n">
        <f aca="false">IF(OR(OR($B239="",$E239="",$F239=""),$L239&lt;&gt;"لا"),0,MAX(0,MIN($F239,EOMONTH(DATE(cfg_FY,7,1),0))-$E239+1))</f>
        <v>0</v>
      </c>
      <c r="AO239" s="133" t="n">
        <f aca="false">IF(OR(OR($B239="",$E239="",$F239=""),$L239&lt;&gt;"لا"),0,MAX(0,MIN($F239,EOMONTH(DATE(cfg_FY,8,1),0))-$E239+1))</f>
        <v>0</v>
      </c>
      <c r="AP239" s="133" t="n">
        <f aca="false">IF(OR(OR($B239="",$E239="",$F239=""),$L239&lt;&gt;"لا"),0,MAX(0,MIN($F239,EOMONTH(DATE(cfg_FY,9,1),0))-$E239+1))</f>
        <v>0</v>
      </c>
      <c r="AQ239" s="133" t="n">
        <f aca="false">IF(OR(OR($B239="",$E239="",$F239=""),$L239&lt;&gt;"لا"),0,MAX(0,MIN($F239,EOMONTH(DATE(cfg_FY,10,1),0))-$E239+1))</f>
        <v>0</v>
      </c>
      <c r="AR239" s="133" t="n">
        <f aca="false">IF(OR(OR($B239="",$E239="",$F239=""),$L239&lt;&gt;"لا"),0,MAX(0,MIN($F239,EOMONTH(DATE(cfg_FY,11,1),0))-$E239+1))</f>
        <v>0</v>
      </c>
      <c r="AS239" s="133" t="n">
        <f aca="false">IF(OR(OR($B239="",$E239="",$F239=""),$L239&lt;&gt;"لا"),0,MAX(0,MIN($F239,EOMONTH(DATE(cfg_FY,12,1),0))-$E239+1))</f>
        <v>0</v>
      </c>
      <c r="AT239" s="133" t="n">
        <f aca="false">IF(OR(OR($B239="",$E239="",$F239=""),$K239&lt;&gt;"نعم",$M239="نعم"),0,MAX(0,MIN($F239,EOMONTH(DATE(cfg_FY,1,1),0))-MAX($E239,DATE(cfg_FY,1,1))+1))</f>
        <v>0</v>
      </c>
      <c r="AU239" s="133" t="n">
        <f aca="false">IF(OR(OR($B239="",$E239="",$F239=""),$K239&lt;&gt;"نعم",$M239="نعم"),0,MAX(0,MIN($F239,EOMONTH(DATE(cfg_FY,2,1),0))-MAX($E239,DATE(cfg_FY,2,1))+1))</f>
        <v>0</v>
      </c>
      <c r="AV239" s="133" t="n">
        <f aca="false">IF(OR(OR($B239="",$E239="",$F239=""),$K239&lt;&gt;"نعم",$M239="نعم"),0,MAX(0,MIN($F239,EOMONTH(DATE(cfg_FY,3,1),0))-MAX($E239,DATE(cfg_FY,3,1))+1))</f>
        <v>0</v>
      </c>
      <c r="AW239" s="133" t="n">
        <f aca="false">IF(OR(OR($B239="",$E239="",$F239=""),$K239&lt;&gt;"نعم",$M239="نعم"),0,MAX(0,MIN($F239,EOMONTH(DATE(cfg_FY,4,1),0))-MAX($E239,DATE(cfg_FY,4,1))+1))</f>
        <v>0</v>
      </c>
      <c r="AX239" s="133" t="n">
        <f aca="false">IF(OR(OR($B239="",$E239="",$F239=""),$K239&lt;&gt;"نعم",$M239="نعم"),0,MAX(0,MIN($F239,EOMONTH(DATE(cfg_FY,5,1),0))-MAX($E239,DATE(cfg_FY,5,1))+1))</f>
        <v>0</v>
      </c>
      <c r="AY239" s="133" t="n">
        <f aca="false">IF(OR(OR($B239="",$E239="",$F239=""),$K239&lt;&gt;"نعم",$M239="نعم"),0,MAX(0,MIN($F239,EOMONTH(DATE(cfg_FY,6,1),0))-MAX($E239,DATE(cfg_FY,6,1))+1))</f>
        <v>0</v>
      </c>
      <c r="AZ239" s="133" t="n">
        <f aca="false">IF(OR(OR($B239="",$E239="",$F239=""),$K239&lt;&gt;"نعم",$M239="نعم"),0,MAX(0,MIN($F239,EOMONTH(DATE(cfg_FY,7,1),0))-MAX($E239,DATE(cfg_FY,7,1))+1))</f>
        <v>0</v>
      </c>
      <c r="BA239" s="133" t="n">
        <f aca="false">IF(OR(OR($B239="",$E239="",$F239=""),$K239&lt;&gt;"نعم",$M239="نعم"),0,MAX(0,MIN($F239,EOMONTH(DATE(cfg_FY,8,1),0))-MAX($E239,DATE(cfg_FY,8,1))+1))</f>
        <v>0</v>
      </c>
      <c r="BB239" s="133" t="n">
        <f aca="false">IF(OR(OR($B239="",$E239="",$F239=""),$K239&lt;&gt;"نعم",$M239="نعم"),0,MAX(0,MIN($F239,EOMONTH(DATE(cfg_FY,9,1),0))-MAX($E239,DATE(cfg_FY,9,1))+1))</f>
        <v>0</v>
      </c>
      <c r="BC239" s="133" t="n">
        <f aca="false">IF(OR(OR($B239="",$E239="",$F239=""),$K239&lt;&gt;"نعم",$M239="نعم"),0,MAX(0,MIN($F239,EOMONTH(DATE(cfg_FY,10,1),0))-MAX($E239,DATE(cfg_FY,10,1))+1))</f>
        <v>0</v>
      </c>
      <c r="BD239" s="133" t="n">
        <f aca="false">IF(OR(OR($B239="",$E239="",$F239=""),$K239&lt;&gt;"نعم",$M239="نعم"),0,MAX(0,MIN($F239,EOMONTH(DATE(cfg_FY,11,1),0))-MAX($E239,DATE(cfg_FY,11,1))+1))</f>
        <v>0</v>
      </c>
      <c r="BE239" s="133" t="n">
        <f aca="false">IF(OR(OR($B239="",$E239="",$F239=""),$K239&lt;&gt;"نعم",$M239="نعم"),0,MAX(0,MIN($F239,EOMONTH(DATE(cfg_FY,12,1),0))-MAX($E239,DATE(cfg_FY,12,1))+1))</f>
        <v>0</v>
      </c>
    </row>
    <row r="240" customFormat="false" ht="15" hidden="false" customHeight="false" outlineLevel="0" collapsed="false">
      <c r="A240" s="106" t="str">
        <f aca="false">IF(B240="","",ROW()-5)</f>
        <v/>
      </c>
      <c r="B240" s="118"/>
      <c r="C240" s="114" t="str">
        <f aca="false">IF(B240="","",IFERROR(INDEX(الموظفون!$C$6:$C$105,MATCH(B240,الموظفون!$B$6:$B$105,0)),"✖ رقم غير موجود"))</f>
        <v/>
      </c>
      <c r="D240" s="118"/>
      <c r="E240" s="119"/>
      <c r="F240" s="119"/>
      <c r="G240" s="65" t="str">
        <f aca="false">IF(OR($B240="",$E240="",$F240=""),"",MAX(0,F240-E240+1))</f>
        <v/>
      </c>
      <c r="H240" s="66" t="str">
        <f aca="false">IF(D240="","",IFERROR(VLOOKUP(D240,cfg_LT,2,FALSE()),1))</f>
        <v/>
      </c>
      <c r="I240" s="135"/>
      <c r="J240" s="66" t="str">
        <f aca="false">IF(D240="","",IF(I240&lt;&gt;"",I240,H240))</f>
        <v/>
      </c>
      <c r="K240" s="114" t="str">
        <f aca="false">IF(D240="","",IFERROR(VLOOKUP($D240,cfg_LT,3,FALSE()),""))</f>
        <v/>
      </c>
      <c r="L240" s="114" t="str">
        <f aca="false">IF(D240="","",IFERROR(VLOOKUP($D240,cfg_LT,4,FALSE()),""))</f>
        <v/>
      </c>
      <c r="M240" s="114" t="str">
        <f aca="false">IF(D240="","",IFERROR(VLOOKUP($D240,cfg_LT,5,FALSE()),""))</f>
        <v/>
      </c>
      <c r="N240" s="111" t="n">
        <f aca="false">IF(OR(OR($B240="",$E240="",$F240=""),M240&lt;&gt;"نعم"),0,G240*J240*IFERROR(INDEX(الموظفون!$R$6:$R$105,MATCH(B240,الموظفون!$B$6:$B$105,0)),0)/cfg_DAYS_M)</f>
        <v>0</v>
      </c>
      <c r="O240" s="106" t="str">
        <f aca="false">IF(OR(OR($B240="",$E240="",$F240=""),M240&lt;&gt;"نعم"),"",IF(YEAR(E240)=cfg_FY,MONTH(E240),""))</f>
        <v/>
      </c>
      <c r="P240" s="114" t="str">
        <f aca="false">IF(B240="","",IF(OR(D240="",E240="",F240=""),"⚠ أكمل النوع والتواريخ",IF(F240&lt;E240,"✖ النهاية قبل البداية",IF(COUNTIFS($B$6:$B$505,B240,$E$6:$E$505,"&lt;="&amp;F240,$F$6:$F$505,"&gt;="&amp;E240)&gt;1,"⚠ تداخل مع سجل آخر",IF(E240&gt;cfg_VAL_DATE,"⏳ قادمة",IF(F240&lt;cfg_VAL_DATE,"✔ منتهية","✈ جارية في تاريخ التقرير"))))))</f>
        <v/>
      </c>
      <c r="Q240" s="118"/>
      <c r="R240" s="65" t="n">
        <f aca="false">IF(OR(OR($B240="",$E240="",$F240=""),L240&lt;&gt;"لا"),0,MAX(0,MIN(F240,cfg_Y_START-1)-E240+1))</f>
        <v>0</v>
      </c>
      <c r="S240" s="65" t="n">
        <f aca="false">IF(OR(OR($B240="",$E240="",$F240=""),L240&lt;&gt;"لا"),0,MAX(0,MIN(F240,cfg_VAL_DATE)-E240+1))</f>
        <v>0</v>
      </c>
      <c r="T240" s="65" t="n">
        <f aca="false">IF(OR(OR($B240="",$E240="",$F240=""),K240&lt;&gt;"نعم"),0,IF(M240="نعم",IF(AND(ISNUMBER(O240),N(O240)&lt;=cfg_VAL_M),G240,0),MAX(0,MIN(F240,cfg_VAL_DATE)-MAX(E240,cfg_Y_START)+1)))</f>
        <v>0</v>
      </c>
      <c r="V240" s="65" t="n">
        <f aca="false">IF(OR($B240="",$E240="",$F240=""),0,MAX(0,MIN($F240,EOMONTH(DATE(cfg_FY,1,1),0))-MAX($E240,DATE(cfg_FY,1,1))+1)*(1-IF($M240="نعم",0,N($J240))))</f>
        <v>0</v>
      </c>
      <c r="W240" s="65" t="n">
        <f aca="false">IF(OR($B240="",$E240="",$F240=""),0,MAX(0,MIN($F240,EOMONTH(DATE(cfg_FY,2,1),0))-MAX($E240,DATE(cfg_FY,2,1))+1)*(1-IF($M240="نعم",0,N($J240))))</f>
        <v>0</v>
      </c>
      <c r="X240" s="65" t="n">
        <f aca="false">IF(OR($B240="",$E240="",$F240=""),0,MAX(0,MIN($F240,EOMONTH(DATE(cfg_FY,3,1),0))-MAX($E240,DATE(cfg_FY,3,1))+1)*(1-IF($M240="نعم",0,N($J240))))</f>
        <v>0</v>
      </c>
      <c r="Y240" s="65" t="n">
        <f aca="false">IF(OR($B240="",$E240="",$F240=""),0,MAX(0,MIN($F240,EOMONTH(DATE(cfg_FY,4,1),0))-MAX($E240,DATE(cfg_FY,4,1))+1)*(1-IF($M240="نعم",0,N($J240))))</f>
        <v>0</v>
      </c>
      <c r="Z240" s="65" t="n">
        <f aca="false">IF(OR($B240="",$E240="",$F240=""),0,MAX(0,MIN($F240,EOMONTH(DATE(cfg_FY,5,1),0))-MAX($E240,DATE(cfg_FY,5,1))+1)*(1-IF($M240="نعم",0,N($J240))))</f>
        <v>0</v>
      </c>
      <c r="AA240" s="65" t="n">
        <f aca="false">IF(OR($B240="",$E240="",$F240=""),0,MAX(0,MIN($F240,EOMONTH(DATE(cfg_FY,6,1),0))-MAX($E240,DATE(cfg_FY,6,1))+1)*(1-IF($M240="نعم",0,N($J240))))</f>
        <v>0</v>
      </c>
      <c r="AB240" s="65" t="n">
        <f aca="false">IF(OR($B240="",$E240="",$F240=""),0,MAX(0,MIN($F240,EOMONTH(DATE(cfg_FY,7,1),0))-MAX($E240,DATE(cfg_FY,7,1))+1)*(1-IF($M240="نعم",0,N($J240))))</f>
        <v>0</v>
      </c>
      <c r="AC240" s="65" t="n">
        <f aca="false">IF(OR($B240="",$E240="",$F240=""),0,MAX(0,MIN($F240,EOMONTH(DATE(cfg_FY,8,1),0))-MAX($E240,DATE(cfg_FY,8,1))+1)*(1-IF($M240="نعم",0,N($J240))))</f>
        <v>0</v>
      </c>
      <c r="AD240" s="65" t="n">
        <f aca="false">IF(OR($B240="",$E240="",$F240=""),0,MAX(0,MIN($F240,EOMONTH(DATE(cfg_FY,9,1),0))-MAX($E240,DATE(cfg_FY,9,1))+1)*(1-IF($M240="نعم",0,N($J240))))</f>
        <v>0</v>
      </c>
      <c r="AE240" s="65" t="n">
        <f aca="false">IF(OR($B240="",$E240="",$F240=""),0,MAX(0,MIN($F240,EOMONTH(DATE(cfg_FY,10,1),0))-MAX($E240,DATE(cfg_FY,10,1))+1)*(1-IF($M240="نعم",0,N($J240))))</f>
        <v>0</v>
      </c>
      <c r="AF240" s="65" t="n">
        <f aca="false">IF(OR($B240="",$E240="",$F240=""),0,MAX(0,MIN($F240,EOMONTH(DATE(cfg_FY,11,1),0))-MAX($E240,DATE(cfg_FY,11,1))+1)*(1-IF($M240="نعم",0,N($J240))))</f>
        <v>0</v>
      </c>
      <c r="AG240" s="65" t="n">
        <f aca="false">IF(OR($B240="",$E240="",$F240=""),0,MAX(0,MIN($F240,EOMONTH(DATE(cfg_FY,12,1),0))-MAX($E240,DATE(cfg_FY,12,1))+1)*(1-IF($M240="نعم",0,N($J240))))</f>
        <v>0</v>
      </c>
      <c r="AH240" s="65" t="n">
        <f aca="false">IF(OR(OR($B240="",$E240="",$F240=""),$L240&lt;&gt;"لا"),0,MAX(0,MIN($F240,EOMONTH(DATE(cfg_FY,1,1),0))-$E240+1))</f>
        <v>0</v>
      </c>
      <c r="AI240" s="65" t="n">
        <f aca="false">IF(OR(OR($B240="",$E240="",$F240=""),$L240&lt;&gt;"لا"),0,MAX(0,MIN($F240,EOMONTH(DATE(cfg_FY,2,1),0))-$E240+1))</f>
        <v>0</v>
      </c>
      <c r="AJ240" s="65" t="n">
        <f aca="false">IF(OR(OR($B240="",$E240="",$F240=""),$L240&lt;&gt;"لا"),0,MAX(0,MIN($F240,EOMONTH(DATE(cfg_FY,3,1),0))-$E240+1))</f>
        <v>0</v>
      </c>
      <c r="AK240" s="65" t="n">
        <f aca="false">IF(OR(OR($B240="",$E240="",$F240=""),$L240&lt;&gt;"لا"),0,MAX(0,MIN($F240,EOMONTH(DATE(cfg_FY,4,1),0))-$E240+1))</f>
        <v>0</v>
      </c>
      <c r="AL240" s="65" t="n">
        <f aca="false">IF(OR(OR($B240="",$E240="",$F240=""),$L240&lt;&gt;"لا"),0,MAX(0,MIN($F240,EOMONTH(DATE(cfg_FY,5,1),0))-$E240+1))</f>
        <v>0</v>
      </c>
      <c r="AM240" s="65" t="n">
        <f aca="false">IF(OR(OR($B240="",$E240="",$F240=""),$L240&lt;&gt;"لا"),0,MAX(0,MIN($F240,EOMONTH(DATE(cfg_FY,6,1),0))-$E240+1))</f>
        <v>0</v>
      </c>
      <c r="AN240" s="65" t="n">
        <f aca="false">IF(OR(OR($B240="",$E240="",$F240=""),$L240&lt;&gt;"لا"),0,MAX(0,MIN($F240,EOMONTH(DATE(cfg_FY,7,1),0))-$E240+1))</f>
        <v>0</v>
      </c>
      <c r="AO240" s="65" t="n">
        <f aca="false">IF(OR(OR($B240="",$E240="",$F240=""),$L240&lt;&gt;"لا"),0,MAX(0,MIN($F240,EOMONTH(DATE(cfg_FY,8,1),0))-$E240+1))</f>
        <v>0</v>
      </c>
      <c r="AP240" s="65" t="n">
        <f aca="false">IF(OR(OR($B240="",$E240="",$F240=""),$L240&lt;&gt;"لا"),0,MAX(0,MIN($F240,EOMONTH(DATE(cfg_FY,9,1),0))-$E240+1))</f>
        <v>0</v>
      </c>
      <c r="AQ240" s="65" t="n">
        <f aca="false">IF(OR(OR($B240="",$E240="",$F240=""),$L240&lt;&gt;"لا"),0,MAX(0,MIN($F240,EOMONTH(DATE(cfg_FY,10,1),0))-$E240+1))</f>
        <v>0</v>
      </c>
      <c r="AR240" s="65" t="n">
        <f aca="false">IF(OR(OR($B240="",$E240="",$F240=""),$L240&lt;&gt;"لا"),0,MAX(0,MIN($F240,EOMONTH(DATE(cfg_FY,11,1),0))-$E240+1))</f>
        <v>0</v>
      </c>
      <c r="AS240" s="65" t="n">
        <f aca="false">IF(OR(OR($B240="",$E240="",$F240=""),$L240&lt;&gt;"لا"),0,MAX(0,MIN($F240,EOMONTH(DATE(cfg_FY,12,1),0))-$E240+1))</f>
        <v>0</v>
      </c>
      <c r="AT240" s="65" t="n">
        <f aca="false">IF(OR(OR($B240="",$E240="",$F240=""),$K240&lt;&gt;"نعم",$M240="نعم"),0,MAX(0,MIN($F240,EOMONTH(DATE(cfg_FY,1,1),0))-MAX($E240,DATE(cfg_FY,1,1))+1))</f>
        <v>0</v>
      </c>
      <c r="AU240" s="65" t="n">
        <f aca="false">IF(OR(OR($B240="",$E240="",$F240=""),$K240&lt;&gt;"نعم",$M240="نعم"),0,MAX(0,MIN($F240,EOMONTH(DATE(cfg_FY,2,1),0))-MAX($E240,DATE(cfg_FY,2,1))+1))</f>
        <v>0</v>
      </c>
      <c r="AV240" s="65" t="n">
        <f aca="false">IF(OR(OR($B240="",$E240="",$F240=""),$K240&lt;&gt;"نعم",$M240="نعم"),0,MAX(0,MIN($F240,EOMONTH(DATE(cfg_FY,3,1),0))-MAX($E240,DATE(cfg_FY,3,1))+1))</f>
        <v>0</v>
      </c>
      <c r="AW240" s="65" t="n">
        <f aca="false">IF(OR(OR($B240="",$E240="",$F240=""),$K240&lt;&gt;"نعم",$M240="نعم"),0,MAX(0,MIN($F240,EOMONTH(DATE(cfg_FY,4,1),0))-MAX($E240,DATE(cfg_FY,4,1))+1))</f>
        <v>0</v>
      </c>
      <c r="AX240" s="65" t="n">
        <f aca="false">IF(OR(OR($B240="",$E240="",$F240=""),$K240&lt;&gt;"نعم",$M240="نعم"),0,MAX(0,MIN($F240,EOMONTH(DATE(cfg_FY,5,1),0))-MAX($E240,DATE(cfg_FY,5,1))+1))</f>
        <v>0</v>
      </c>
      <c r="AY240" s="65" t="n">
        <f aca="false">IF(OR(OR($B240="",$E240="",$F240=""),$K240&lt;&gt;"نعم",$M240="نعم"),0,MAX(0,MIN($F240,EOMONTH(DATE(cfg_FY,6,1),0))-MAX($E240,DATE(cfg_FY,6,1))+1))</f>
        <v>0</v>
      </c>
      <c r="AZ240" s="65" t="n">
        <f aca="false">IF(OR(OR($B240="",$E240="",$F240=""),$K240&lt;&gt;"نعم",$M240="نعم"),0,MAX(0,MIN($F240,EOMONTH(DATE(cfg_FY,7,1),0))-MAX($E240,DATE(cfg_FY,7,1))+1))</f>
        <v>0</v>
      </c>
      <c r="BA240" s="65" t="n">
        <f aca="false">IF(OR(OR($B240="",$E240="",$F240=""),$K240&lt;&gt;"نعم",$M240="نعم"),0,MAX(0,MIN($F240,EOMONTH(DATE(cfg_FY,8,1),0))-MAX($E240,DATE(cfg_FY,8,1))+1))</f>
        <v>0</v>
      </c>
      <c r="BB240" s="65" t="n">
        <f aca="false">IF(OR(OR($B240="",$E240="",$F240=""),$K240&lt;&gt;"نعم",$M240="نعم"),0,MAX(0,MIN($F240,EOMONTH(DATE(cfg_FY,9,1),0))-MAX($E240,DATE(cfg_FY,9,1))+1))</f>
        <v>0</v>
      </c>
      <c r="BC240" s="65" t="n">
        <f aca="false">IF(OR(OR($B240="",$E240="",$F240=""),$K240&lt;&gt;"نعم",$M240="نعم"),0,MAX(0,MIN($F240,EOMONTH(DATE(cfg_FY,10,1),0))-MAX($E240,DATE(cfg_FY,10,1))+1))</f>
        <v>0</v>
      </c>
      <c r="BD240" s="65" t="n">
        <f aca="false">IF(OR(OR($B240="",$E240="",$F240=""),$K240&lt;&gt;"نعم",$M240="نعم"),0,MAX(0,MIN($F240,EOMONTH(DATE(cfg_FY,11,1),0))-MAX($E240,DATE(cfg_FY,11,1))+1))</f>
        <v>0</v>
      </c>
      <c r="BE240" s="65" t="n">
        <f aca="false">IF(OR(OR($B240="",$E240="",$F240=""),$K240&lt;&gt;"نعم",$M240="نعم"),0,MAX(0,MIN($F240,EOMONTH(DATE(cfg_FY,12,1),0))-MAX($E240,DATE(cfg_FY,12,1))+1))</f>
        <v>0</v>
      </c>
    </row>
    <row r="241" customFormat="false" ht="15" hidden="false" customHeight="false" outlineLevel="0" collapsed="false">
      <c r="A241" s="115" t="str">
        <f aca="false">IF(B241="","",ROW()-5)</f>
        <v/>
      </c>
      <c r="B241" s="118"/>
      <c r="C241" s="117" t="str">
        <f aca="false">IF(B241="","",IFERROR(INDEX(الموظفون!$C$6:$C$105,MATCH(B241,الموظفون!$B$6:$B$105,0)),"✖ رقم غير موجود"))</f>
        <v/>
      </c>
      <c r="D241" s="118"/>
      <c r="E241" s="119"/>
      <c r="F241" s="119"/>
      <c r="G241" s="133" t="str">
        <f aca="false">IF(OR($B241="",$E241="",$F241=""),"",MAX(0,F241-E241+1))</f>
        <v/>
      </c>
      <c r="H241" s="134" t="str">
        <f aca="false">IF(D241="","",IFERROR(VLOOKUP(D241,cfg_LT,2,FALSE()),1))</f>
        <v/>
      </c>
      <c r="I241" s="135"/>
      <c r="J241" s="134" t="str">
        <f aca="false">IF(D241="","",IF(I241&lt;&gt;"",I241,H241))</f>
        <v/>
      </c>
      <c r="K241" s="117" t="str">
        <f aca="false">IF(D241="","",IFERROR(VLOOKUP($D241,cfg_LT,3,FALSE()),""))</f>
        <v/>
      </c>
      <c r="L241" s="117" t="str">
        <f aca="false">IF(D241="","",IFERROR(VLOOKUP($D241,cfg_LT,4,FALSE()),""))</f>
        <v/>
      </c>
      <c r="M241" s="117" t="str">
        <f aca="false">IF(D241="","",IFERROR(VLOOKUP($D241,cfg_LT,5,FALSE()),""))</f>
        <v/>
      </c>
      <c r="N241" s="116" t="n">
        <f aca="false">IF(OR(OR($B241="",$E241="",$F241=""),M241&lt;&gt;"نعم"),0,G241*J241*IFERROR(INDEX(الموظفون!$R$6:$R$105,MATCH(B241,الموظفون!$B$6:$B$105,0)),0)/cfg_DAYS_M)</f>
        <v>0</v>
      </c>
      <c r="O241" s="115" t="str">
        <f aca="false">IF(OR(OR($B241="",$E241="",$F241=""),M241&lt;&gt;"نعم"),"",IF(YEAR(E241)=cfg_FY,MONTH(E241),""))</f>
        <v/>
      </c>
      <c r="P241" s="117" t="str">
        <f aca="false">IF(B241="","",IF(OR(D241="",E241="",F241=""),"⚠ أكمل النوع والتواريخ",IF(F241&lt;E241,"✖ النهاية قبل البداية",IF(COUNTIFS($B$6:$B$505,B241,$E$6:$E$505,"&lt;="&amp;F241,$F$6:$F$505,"&gt;="&amp;E241)&gt;1,"⚠ تداخل مع سجل آخر",IF(E241&gt;cfg_VAL_DATE,"⏳ قادمة",IF(F241&lt;cfg_VAL_DATE,"✔ منتهية","✈ جارية في تاريخ التقرير"))))))</f>
        <v/>
      </c>
      <c r="Q241" s="118"/>
      <c r="R241" s="133" t="n">
        <f aca="false">IF(OR(OR($B241="",$E241="",$F241=""),L241&lt;&gt;"لا"),0,MAX(0,MIN(F241,cfg_Y_START-1)-E241+1))</f>
        <v>0</v>
      </c>
      <c r="S241" s="133" t="n">
        <f aca="false">IF(OR(OR($B241="",$E241="",$F241=""),L241&lt;&gt;"لا"),0,MAX(0,MIN(F241,cfg_VAL_DATE)-E241+1))</f>
        <v>0</v>
      </c>
      <c r="T241" s="133" t="n">
        <f aca="false">IF(OR(OR($B241="",$E241="",$F241=""),K241&lt;&gt;"نعم"),0,IF(M241="نعم",IF(AND(ISNUMBER(O241),N(O241)&lt;=cfg_VAL_M),G241,0),MAX(0,MIN(F241,cfg_VAL_DATE)-MAX(E241,cfg_Y_START)+1)))</f>
        <v>0</v>
      </c>
      <c r="V241" s="133" t="n">
        <f aca="false">IF(OR($B241="",$E241="",$F241=""),0,MAX(0,MIN($F241,EOMONTH(DATE(cfg_FY,1,1),0))-MAX($E241,DATE(cfg_FY,1,1))+1)*(1-IF($M241="نعم",0,N($J241))))</f>
        <v>0</v>
      </c>
      <c r="W241" s="133" t="n">
        <f aca="false">IF(OR($B241="",$E241="",$F241=""),0,MAX(0,MIN($F241,EOMONTH(DATE(cfg_FY,2,1),0))-MAX($E241,DATE(cfg_FY,2,1))+1)*(1-IF($M241="نعم",0,N($J241))))</f>
        <v>0</v>
      </c>
      <c r="X241" s="133" t="n">
        <f aca="false">IF(OR($B241="",$E241="",$F241=""),0,MAX(0,MIN($F241,EOMONTH(DATE(cfg_FY,3,1),0))-MAX($E241,DATE(cfg_FY,3,1))+1)*(1-IF($M241="نعم",0,N($J241))))</f>
        <v>0</v>
      </c>
      <c r="Y241" s="133" t="n">
        <f aca="false">IF(OR($B241="",$E241="",$F241=""),0,MAX(0,MIN($F241,EOMONTH(DATE(cfg_FY,4,1),0))-MAX($E241,DATE(cfg_FY,4,1))+1)*(1-IF($M241="نعم",0,N($J241))))</f>
        <v>0</v>
      </c>
      <c r="Z241" s="133" t="n">
        <f aca="false">IF(OR($B241="",$E241="",$F241=""),0,MAX(0,MIN($F241,EOMONTH(DATE(cfg_FY,5,1),0))-MAX($E241,DATE(cfg_FY,5,1))+1)*(1-IF($M241="نعم",0,N($J241))))</f>
        <v>0</v>
      </c>
      <c r="AA241" s="133" t="n">
        <f aca="false">IF(OR($B241="",$E241="",$F241=""),0,MAX(0,MIN($F241,EOMONTH(DATE(cfg_FY,6,1),0))-MAX($E241,DATE(cfg_FY,6,1))+1)*(1-IF($M241="نعم",0,N($J241))))</f>
        <v>0</v>
      </c>
      <c r="AB241" s="133" t="n">
        <f aca="false">IF(OR($B241="",$E241="",$F241=""),0,MAX(0,MIN($F241,EOMONTH(DATE(cfg_FY,7,1),0))-MAX($E241,DATE(cfg_FY,7,1))+1)*(1-IF($M241="نعم",0,N($J241))))</f>
        <v>0</v>
      </c>
      <c r="AC241" s="133" t="n">
        <f aca="false">IF(OR($B241="",$E241="",$F241=""),0,MAX(0,MIN($F241,EOMONTH(DATE(cfg_FY,8,1),0))-MAX($E241,DATE(cfg_FY,8,1))+1)*(1-IF($M241="نعم",0,N($J241))))</f>
        <v>0</v>
      </c>
      <c r="AD241" s="133" t="n">
        <f aca="false">IF(OR($B241="",$E241="",$F241=""),0,MAX(0,MIN($F241,EOMONTH(DATE(cfg_FY,9,1),0))-MAX($E241,DATE(cfg_FY,9,1))+1)*(1-IF($M241="نعم",0,N($J241))))</f>
        <v>0</v>
      </c>
      <c r="AE241" s="133" t="n">
        <f aca="false">IF(OR($B241="",$E241="",$F241=""),0,MAX(0,MIN($F241,EOMONTH(DATE(cfg_FY,10,1),0))-MAX($E241,DATE(cfg_FY,10,1))+1)*(1-IF($M241="نعم",0,N($J241))))</f>
        <v>0</v>
      </c>
      <c r="AF241" s="133" t="n">
        <f aca="false">IF(OR($B241="",$E241="",$F241=""),0,MAX(0,MIN($F241,EOMONTH(DATE(cfg_FY,11,1),0))-MAX($E241,DATE(cfg_FY,11,1))+1)*(1-IF($M241="نعم",0,N($J241))))</f>
        <v>0</v>
      </c>
      <c r="AG241" s="133" t="n">
        <f aca="false">IF(OR($B241="",$E241="",$F241=""),0,MAX(0,MIN($F241,EOMONTH(DATE(cfg_FY,12,1),0))-MAX($E241,DATE(cfg_FY,12,1))+1)*(1-IF($M241="نعم",0,N($J241))))</f>
        <v>0</v>
      </c>
      <c r="AH241" s="133" t="n">
        <f aca="false">IF(OR(OR($B241="",$E241="",$F241=""),$L241&lt;&gt;"لا"),0,MAX(0,MIN($F241,EOMONTH(DATE(cfg_FY,1,1),0))-$E241+1))</f>
        <v>0</v>
      </c>
      <c r="AI241" s="133" t="n">
        <f aca="false">IF(OR(OR($B241="",$E241="",$F241=""),$L241&lt;&gt;"لا"),0,MAX(0,MIN($F241,EOMONTH(DATE(cfg_FY,2,1),0))-$E241+1))</f>
        <v>0</v>
      </c>
      <c r="AJ241" s="133" t="n">
        <f aca="false">IF(OR(OR($B241="",$E241="",$F241=""),$L241&lt;&gt;"لا"),0,MAX(0,MIN($F241,EOMONTH(DATE(cfg_FY,3,1),0))-$E241+1))</f>
        <v>0</v>
      </c>
      <c r="AK241" s="133" t="n">
        <f aca="false">IF(OR(OR($B241="",$E241="",$F241=""),$L241&lt;&gt;"لا"),0,MAX(0,MIN($F241,EOMONTH(DATE(cfg_FY,4,1),0))-$E241+1))</f>
        <v>0</v>
      </c>
      <c r="AL241" s="133" t="n">
        <f aca="false">IF(OR(OR($B241="",$E241="",$F241=""),$L241&lt;&gt;"لا"),0,MAX(0,MIN($F241,EOMONTH(DATE(cfg_FY,5,1),0))-$E241+1))</f>
        <v>0</v>
      </c>
      <c r="AM241" s="133" t="n">
        <f aca="false">IF(OR(OR($B241="",$E241="",$F241=""),$L241&lt;&gt;"لا"),0,MAX(0,MIN($F241,EOMONTH(DATE(cfg_FY,6,1),0))-$E241+1))</f>
        <v>0</v>
      </c>
      <c r="AN241" s="133" t="n">
        <f aca="false">IF(OR(OR($B241="",$E241="",$F241=""),$L241&lt;&gt;"لا"),0,MAX(0,MIN($F241,EOMONTH(DATE(cfg_FY,7,1),0))-$E241+1))</f>
        <v>0</v>
      </c>
      <c r="AO241" s="133" t="n">
        <f aca="false">IF(OR(OR($B241="",$E241="",$F241=""),$L241&lt;&gt;"لا"),0,MAX(0,MIN($F241,EOMONTH(DATE(cfg_FY,8,1),0))-$E241+1))</f>
        <v>0</v>
      </c>
      <c r="AP241" s="133" t="n">
        <f aca="false">IF(OR(OR($B241="",$E241="",$F241=""),$L241&lt;&gt;"لا"),0,MAX(0,MIN($F241,EOMONTH(DATE(cfg_FY,9,1),0))-$E241+1))</f>
        <v>0</v>
      </c>
      <c r="AQ241" s="133" t="n">
        <f aca="false">IF(OR(OR($B241="",$E241="",$F241=""),$L241&lt;&gt;"لا"),0,MAX(0,MIN($F241,EOMONTH(DATE(cfg_FY,10,1),0))-$E241+1))</f>
        <v>0</v>
      </c>
      <c r="AR241" s="133" t="n">
        <f aca="false">IF(OR(OR($B241="",$E241="",$F241=""),$L241&lt;&gt;"لا"),0,MAX(0,MIN($F241,EOMONTH(DATE(cfg_FY,11,1),0))-$E241+1))</f>
        <v>0</v>
      </c>
      <c r="AS241" s="133" t="n">
        <f aca="false">IF(OR(OR($B241="",$E241="",$F241=""),$L241&lt;&gt;"لا"),0,MAX(0,MIN($F241,EOMONTH(DATE(cfg_FY,12,1),0))-$E241+1))</f>
        <v>0</v>
      </c>
      <c r="AT241" s="133" t="n">
        <f aca="false">IF(OR(OR($B241="",$E241="",$F241=""),$K241&lt;&gt;"نعم",$M241="نعم"),0,MAX(0,MIN($F241,EOMONTH(DATE(cfg_FY,1,1),0))-MAX($E241,DATE(cfg_FY,1,1))+1))</f>
        <v>0</v>
      </c>
      <c r="AU241" s="133" t="n">
        <f aca="false">IF(OR(OR($B241="",$E241="",$F241=""),$K241&lt;&gt;"نعم",$M241="نعم"),0,MAX(0,MIN($F241,EOMONTH(DATE(cfg_FY,2,1),0))-MAX($E241,DATE(cfg_FY,2,1))+1))</f>
        <v>0</v>
      </c>
      <c r="AV241" s="133" t="n">
        <f aca="false">IF(OR(OR($B241="",$E241="",$F241=""),$K241&lt;&gt;"نعم",$M241="نعم"),0,MAX(0,MIN($F241,EOMONTH(DATE(cfg_FY,3,1),0))-MAX($E241,DATE(cfg_FY,3,1))+1))</f>
        <v>0</v>
      </c>
      <c r="AW241" s="133" t="n">
        <f aca="false">IF(OR(OR($B241="",$E241="",$F241=""),$K241&lt;&gt;"نعم",$M241="نعم"),0,MAX(0,MIN($F241,EOMONTH(DATE(cfg_FY,4,1),0))-MAX($E241,DATE(cfg_FY,4,1))+1))</f>
        <v>0</v>
      </c>
      <c r="AX241" s="133" t="n">
        <f aca="false">IF(OR(OR($B241="",$E241="",$F241=""),$K241&lt;&gt;"نعم",$M241="نعم"),0,MAX(0,MIN($F241,EOMONTH(DATE(cfg_FY,5,1),0))-MAX($E241,DATE(cfg_FY,5,1))+1))</f>
        <v>0</v>
      </c>
      <c r="AY241" s="133" t="n">
        <f aca="false">IF(OR(OR($B241="",$E241="",$F241=""),$K241&lt;&gt;"نعم",$M241="نعم"),0,MAX(0,MIN($F241,EOMONTH(DATE(cfg_FY,6,1),0))-MAX($E241,DATE(cfg_FY,6,1))+1))</f>
        <v>0</v>
      </c>
      <c r="AZ241" s="133" t="n">
        <f aca="false">IF(OR(OR($B241="",$E241="",$F241=""),$K241&lt;&gt;"نعم",$M241="نعم"),0,MAX(0,MIN($F241,EOMONTH(DATE(cfg_FY,7,1),0))-MAX($E241,DATE(cfg_FY,7,1))+1))</f>
        <v>0</v>
      </c>
      <c r="BA241" s="133" t="n">
        <f aca="false">IF(OR(OR($B241="",$E241="",$F241=""),$K241&lt;&gt;"نعم",$M241="نعم"),0,MAX(0,MIN($F241,EOMONTH(DATE(cfg_FY,8,1),0))-MAX($E241,DATE(cfg_FY,8,1))+1))</f>
        <v>0</v>
      </c>
      <c r="BB241" s="133" t="n">
        <f aca="false">IF(OR(OR($B241="",$E241="",$F241=""),$K241&lt;&gt;"نعم",$M241="نعم"),0,MAX(0,MIN($F241,EOMONTH(DATE(cfg_FY,9,1),0))-MAX($E241,DATE(cfg_FY,9,1))+1))</f>
        <v>0</v>
      </c>
      <c r="BC241" s="133" t="n">
        <f aca="false">IF(OR(OR($B241="",$E241="",$F241=""),$K241&lt;&gt;"نعم",$M241="نعم"),0,MAX(0,MIN($F241,EOMONTH(DATE(cfg_FY,10,1),0))-MAX($E241,DATE(cfg_FY,10,1))+1))</f>
        <v>0</v>
      </c>
      <c r="BD241" s="133" t="n">
        <f aca="false">IF(OR(OR($B241="",$E241="",$F241=""),$K241&lt;&gt;"نعم",$M241="نعم"),0,MAX(0,MIN($F241,EOMONTH(DATE(cfg_FY,11,1),0))-MAX($E241,DATE(cfg_FY,11,1))+1))</f>
        <v>0</v>
      </c>
      <c r="BE241" s="133" t="n">
        <f aca="false">IF(OR(OR($B241="",$E241="",$F241=""),$K241&lt;&gt;"نعم",$M241="نعم"),0,MAX(0,MIN($F241,EOMONTH(DATE(cfg_FY,12,1),0))-MAX($E241,DATE(cfg_FY,12,1))+1))</f>
        <v>0</v>
      </c>
    </row>
    <row r="242" customFormat="false" ht="15" hidden="false" customHeight="false" outlineLevel="0" collapsed="false">
      <c r="A242" s="106" t="str">
        <f aca="false">IF(B242="","",ROW()-5)</f>
        <v/>
      </c>
      <c r="B242" s="118"/>
      <c r="C242" s="114" t="str">
        <f aca="false">IF(B242="","",IFERROR(INDEX(الموظفون!$C$6:$C$105,MATCH(B242,الموظفون!$B$6:$B$105,0)),"✖ رقم غير موجود"))</f>
        <v/>
      </c>
      <c r="D242" s="118"/>
      <c r="E242" s="119"/>
      <c r="F242" s="119"/>
      <c r="G242" s="65" t="str">
        <f aca="false">IF(OR($B242="",$E242="",$F242=""),"",MAX(0,F242-E242+1))</f>
        <v/>
      </c>
      <c r="H242" s="66" t="str">
        <f aca="false">IF(D242="","",IFERROR(VLOOKUP(D242,cfg_LT,2,FALSE()),1))</f>
        <v/>
      </c>
      <c r="I242" s="135"/>
      <c r="J242" s="66" t="str">
        <f aca="false">IF(D242="","",IF(I242&lt;&gt;"",I242,H242))</f>
        <v/>
      </c>
      <c r="K242" s="114" t="str">
        <f aca="false">IF(D242="","",IFERROR(VLOOKUP($D242,cfg_LT,3,FALSE()),""))</f>
        <v/>
      </c>
      <c r="L242" s="114" t="str">
        <f aca="false">IF(D242="","",IFERROR(VLOOKUP($D242,cfg_LT,4,FALSE()),""))</f>
        <v/>
      </c>
      <c r="M242" s="114" t="str">
        <f aca="false">IF(D242="","",IFERROR(VLOOKUP($D242,cfg_LT,5,FALSE()),""))</f>
        <v/>
      </c>
      <c r="N242" s="111" t="n">
        <f aca="false">IF(OR(OR($B242="",$E242="",$F242=""),M242&lt;&gt;"نعم"),0,G242*J242*IFERROR(INDEX(الموظفون!$R$6:$R$105,MATCH(B242,الموظفون!$B$6:$B$105,0)),0)/cfg_DAYS_M)</f>
        <v>0</v>
      </c>
      <c r="O242" s="106" t="str">
        <f aca="false">IF(OR(OR($B242="",$E242="",$F242=""),M242&lt;&gt;"نعم"),"",IF(YEAR(E242)=cfg_FY,MONTH(E242),""))</f>
        <v/>
      </c>
      <c r="P242" s="114" t="str">
        <f aca="false">IF(B242="","",IF(OR(D242="",E242="",F242=""),"⚠ أكمل النوع والتواريخ",IF(F242&lt;E242,"✖ النهاية قبل البداية",IF(COUNTIFS($B$6:$B$505,B242,$E$6:$E$505,"&lt;="&amp;F242,$F$6:$F$505,"&gt;="&amp;E242)&gt;1,"⚠ تداخل مع سجل آخر",IF(E242&gt;cfg_VAL_DATE,"⏳ قادمة",IF(F242&lt;cfg_VAL_DATE,"✔ منتهية","✈ جارية في تاريخ التقرير"))))))</f>
        <v/>
      </c>
      <c r="Q242" s="118"/>
      <c r="R242" s="65" t="n">
        <f aca="false">IF(OR(OR($B242="",$E242="",$F242=""),L242&lt;&gt;"لا"),0,MAX(0,MIN(F242,cfg_Y_START-1)-E242+1))</f>
        <v>0</v>
      </c>
      <c r="S242" s="65" t="n">
        <f aca="false">IF(OR(OR($B242="",$E242="",$F242=""),L242&lt;&gt;"لا"),0,MAX(0,MIN(F242,cfg_VAL_DATE)-E242+1))</f>
        <v>0</v>
      </c>
      <c r="T242" s="65" t="n">
        <f aca="false">IF(OR(OR($B242="",$E242="",$F242=""),K242&lt;&gt;"نعم"),0,IF(M242="نعم",IF(AND(ISNUMBER(O242),N(O242)&lt;=cfg_VAL_M),G242,0),MAX(0,MIN(F242,cfg_VAL_DATE)-MAX(E242,cfg_Y_START)+1)))</f>
        <v>0</v>
      </c>
      <c r="V242" s="65" t="n">
        <f aca="false">IF(OR($B242="",$E242="",$F242=""),0,MAX(0,MIN($F242,EOMONTH(DATE(cfg_FY,1,1),0))-MAX($E242,DATE(cfg_FY,1,1))+1)*(1-IF($M242="نعم",0,N($J242))))</f>
        <v>0</v>
      </c>
      <c r="W242" s="65" t="n">
        <f aca="false">IF(OR($B242="",$E242="",$F242=""),0,MAX(0,MIN($F242,EOMONTH(DATE(cfg_FY,2,1),0))-MAX($E242,DATE(cfg_FY,2,1))+1)*(1-IF($M242="نعم",0,N($J242))))</f>
        <v>0</v>
      </c>
      <c r="X242" s="65" t="n">
        <f aca="false">IF(OR($B242="",$E242="",$F242=""),0,MAX(0,MIN($F242,EOMONTH(DATE(cfg_FY,3,1),0))-MAX($E242,DATE(cfg_FY,3,1))+1)*(1-IF($M242="نعم",0,N($J242))))</f>
        <v>0</v>
      </c>
      <c r="Y242" s="65" t="n">
        <f aca="false">IF(OR($B242="",$E242="",$F242=""),0,MAX(0,MIN($F242,EOMONTH(DATE(cfg_FY,4,1),0))-MAX($E242,DATE(cfg_FY,4,1))+1)*(1-IF($M242="نعم",0,N($J242))))</f>
        <v>0</v>
      </c>
      <c r="Z242" s="65" t="n">
        <f aca="false">IF(OR($B242="",$E242="",$F242=""),0,MAX(0,MIN($F242,EOMONTH(DATE(cfg_FY,5,1),0))-MAX($E242,DATE(cfg_FY,5,1))+1)*(1-IF($M242="نعم",0,N($J242))))</f>
        <v>0</v>
      </c>
      <c r="AA242" s="65" t="n">
        <f aca="false">IF(OR($B242="",$E242="",$F242=""),0,MAX(0,MIN($F242,EOMONTH(DATE(cfg_FY,6,1),0))-MAX($E242,DATE(cfg_FY,6,1))+1)*(1-IF($M242="نعم",0,N($J242))))</f>
        <v>0</v>
      </c>
      <c r="AB242" s="65" t="n">
        <f aca="false">IF(OR($B242="",$E242="",$F242=""),0,MAX(0,MIN($F242,EOMONTH(DATE(cfg_FY,7,1),0))-MAX($E242,DATE(cfg_FY,7,1))+1)*(1-IF($M242="نعم",0,N($J242))))</f>
        <v>0</v>
      </c>
      <c r="AC242" s="65" t="n">
        <f aca="false">IF(OR($B242="",$E242="",$F242=""),0,MAX(0,MIN($F242,EOMONTH(DATE(cfg_FY,8,1),0))-MAX($E242,DATE(cfg_FY,8,1))+1)*(1-IF($M242="نعم",0,N($J242))))</f>
        <v>0</v>
      </c>
      <c r="AD242" s="65" t="n">
        <f aca="false">IF(OR($B242="",$E242="",$F242=""),0,MAX(0,MIN($F242,EOMONTH(DATE(cfg_FY,9,1),0))-MAX($E242,DATE(cfg_FY,9,1))+1)*(1-IF($M242="نعم",0,N($J242))))</f>
        <v>0</v>
      </c>
      <c r="AE242" s="65" t="n">
        <f aca="false">IF(OR($B242="",$E242="",$F242=""),0,MAX(0,MIN($F242,EOMONTH(DATE(cfg_FY,10,1),0))-MAX($E242,DATE(cfg_FY,10,1))+1)*(1-IF($M242="نعم",0,N($J242))))</f>
        <v>0</v>
      </c>
      <c r="AF242" s="65" t="n">
        <f aca="false">IF(OR($B242="",$E242="",$F242=""),0,MAX(0,MIN($F242,EOMONTH(DATE(cfg_FY,11,1),0))-MAX($E242,DATE(cfg_FY,11,1))+1)*(1-IF($M242="نعم",0,N($J242))))</f>
        <v>0</v>
      </c>
      <c r="AG242" s="65" t="n">
        <f aca="false">IF(OR($B242="",$E242="",$F242=""),0,MAX(0,MIN($F242,EOMONTH(DATE(cfg_FY,12,1),0))-MAX($E242,DATE(cfg_FY,12,1))+1)*(1-IF($M242="نعم",0,N($J242))))</f>
        <v>0</v>
      </c>
      <c r="AH242" s="65" t="n">
        <f aca="false">IF(OR(OR($B242="",$E242="",$F242=""),$L242&lt;&gt;"لا"),0,MAX(0,MIN($F242,EOMONTH(DATE(cfg_FY,1,1),0))-$E242+1))</f>
        <v>0</v>
      </c>
      <c r="AI242" s="65" t="n">
        <f aca="false">IF(OR(OR($B242="",$E242="",$F242=""),$L242&lt;&gt;"لا"),0,MAX(0,MIN($F242,EOMONTH(DATE(cfg_FY,2,1),0))-$E242+1))</f>
        <v>0</v>
      </c>
      <c r="AJ242" s="65" t="n">
        <f aca="false">IF(OR(OR($B242="",$E242="",$F242=""),$L242&lt;&gt;"لا"),0,MAX(0,MIN($F242,EOMONTH(DATE(cfg_FY,3,1),0))-$E242+1))</f>
        <v>0</v>
      </c>
      <c r="AK242" s="65" t="n">
        <f aca="false">IF(OR(OR($B242="",$E242="",$F242=""),$L242&lt;&gt;"لا"),0,MAX(0,MIN($F242,EOMONTH(DATE(cfg_FY,4,1),0))-$E242+1))</f>
        <v>0</v>
      </c>
      <c r="AL242" s="65" t="n">
        <f aca="false">IF(OR(OR($B242="",$E242="",$F242=""),$L242&lt;&gt;"لا"),0,MAX(0,MIN($F242,EOMONTH(DATE(cfg_FY,5,1),0))-$E242+1))</f>
        <v>0</v>
      </c>
      <c r="AM242" s="65" t="n">
        <f aca="false">IF(OR(OR($B242="",$E242="",$F242=""),$L242&lt;&gt;"لا"),0,MAX(0,MIN($F242,EOMONTH(DATE(cfg_FY,6,1),0))-$E242+1))</f>
        <v>0</v>
      </c>
      <c r="AN242" s="65" t="n">
        <f aca="false">IF(OR(OR($B242="",$E242="",$F242=""),$L242&lt;&gt;"لا"),0,MAX(0,MIN($F242,EOMONTH(DATE(cfg_FY,7,1),0))-$E242+1))</f>
        <v>0</v>
      </c>
      <c r="AO242" s="65" t="n">
        <f aca="false">IF(OR(OR($B242="",$E242="",$F242=""),$L242&lt;&gt;"لا"),0,MAX(0,MIN($F242,EOMONTH(DATE(cfg_FY,8,1),0))-$E242+1))</f>
        <v>0</v>
      </c>
      <c r="AP242" s="65" t="n">
        <f aca="false">IF(OR(OR($B242="",$E242="",$F242=""),$L242&lt;&gt;"لا"),0,MAX(0,MIN($F242,EOMONTH(DATE(cfg_FY,9,1),0))-$E242+1))</f>
        <v>0</v>
      </c>
      <c r="AQ242" s="65" t="n">
        <f aca="false">IF(OR(OR($B242="",$E242="",$F242=""),$L242&lt;&gt;"لا"),0,MAX(0,MIN($F242,EOMONTH(DATE(cfg_FY,10,1),0))-$E242+1))</f>
        <v>0</v>
      </c>
      <c r="AR242" s="65" t="n">
        <f aca="false">IF(OR(OR($B242="",$E242="",$F242=""),$L242&lt;&gt;"لا"),0,MAX(0,MIN($F242,EOMONTH(DATE(cfg_FY,11,1),0))-$E242+1))</f>
        <v>0</v>
      </c>
      <c r="AS242" s="65" t="n">
        <f aca="false">IF(OR(OR($B242="",$E242="",$F242=""),$L242&lt;&gt;"لا"),0,MAX(0,MIN($F242,EOMONTH(DATE(cfg_FY,12,1),0))-$E242+1))</f>
        <v>0</v>
      </c>
      <c r="AT242" s="65" t="n">
        <f aca="false">IF(OR(OR($B242="",$E242="",$F242=""),$K242&lt;&gt;"نعم",$M242="نعم"),0,MAX(0,MIN($F242,EOMONTH(DATE(cfg_FY,1,1),0))-MAX($E242,DATE(cfg_FY,1,1))+1))</f>
        <v>0</v>
      </c>
      <c r="AU242" s="65" t="n">
        <f aca="false">IF(OR(OR($B242="",$E242="",$F242=""),$K242&lt;&gt;"نعم",$M242="نعم"),0,MAX(0,MIN($F242,EOMONTH(DATE(cfg_FY,2,1),0))-MAX($E242,DATE(cfg_FY,2,1))+1))</f>
        <v>0</v>
      </c>
      <c r="AV242" s="65" t="n">
        <f aca="false">IF(OR(OR($B242="",$E242="",$F242=""),$K242&lt;&gt;"نعم",$M242="نعم"),0,MAX(0,MIN($F242,EOMONTH(DATE(cfg_FY,3,1),0))-MAX($E242,DATE(cfg_FY,3,1))+1))</f>
        <v>0</v>
      </c>
      <c r="AW242" s="65" t="n">
        <f aca="false">IF(OR(OR($B242="",$E242="",$F242=""),$K242&lt;&gt;"نعم",$M242="نعم"),0,MAX(0,MIN($F242,EOMONTH(DATE(cfg_FY,4,1),0))-MAX($E242,DATE(cfg_FY,4,1))+1))</f>
        <v>0</v>
      </c>
      <c r="AX242" s="65" t="n">
        <f aca="false">IF(OR(OR($B242="",$E242="",$F242=""),$K242&lt;&gt;"نعم",$M242="نعم"),0,MAX(0,MIN($F242,EOMONTH(DATE(cfg_FY,5,1),0))-MAX($E242,DATE(cfg_FY,5,1))+1))</f>
        <v>0</v>
      </c>
      <c r="AY242" s="65" t="n">
        <f aca="false">IF(OR(OR($B242="",$E242="",$F242=""),$K242&lt;&gt;"نعم",$M242="نعم"),0,MAX(0,MIN($F242,EOMONTH(DATE(cfg_FY,6,1),0))-MAX($E242,DATE(cfg_FY,6,1))+1))</f>
        <v>0</v>
      </c>
      <c r="AZ242" s="65" t="n">
        <f aca="false">IF(OR(OR($B242="",$E242="",$F242=""),$K242&lt;&gt;"نعم",$M242="نعم"),0,MAX(0,MIN($F242,EOMONTH(DATE(cfg_FY,7,1),0))-MAX($E242,DATE(cfg_FY,7,1))+1))</f>
        <v>0</v>
      </c>
      <c r="BA242" s="65" t="n">
        <f aca="false">IF(OR(OR($B242="",$E242="",$F242=""),$K242&lt;&gt;"نعم",$M242="نعم"),0,MAX(0,MIN($F242,EOMONTH(DATE(cfg_FY,8,1),0))-MAX($E242,DATE(cfg_FY,8,1))+1))</f>
        <v>0</v>
      </c>
      <c r="BB242" s="65" t="n">
        <f aca="false">IF(OR(OR($B242="",$E242="",$F242=""),$K242&lt;&gt;"نعم",$M242="نعم"),0,MAX(0,MIN($F242,EOMONTH(DATE(cfg_FY,9,1),0))-MAX($E242,DATE(cfg_FY,9,1))+1))</f>
        <v>0</v>
      </c>
      <c r="BC242" s="65" t="n">
        <f aca="false">IF(OR(OR($B242="",$E242="",$F242=""),$K242&lt;&gt;"نعم",$M242="نعم"),0,MAX(0,MIN($F242,EOMONTH(DATE(cfg_FY,10,1),0))-MAX($E242,DATE(cfg_FY,10,1))+1))</f>
        <v>0</v>
      </c>
      <c r="BD242" s="65" t="n">
        <f aca="false">IF(OR(OR($B242="",$E242="",$F242=""),$K242&lt;&gt;"نعم",$M242="نعم"),0,MAX(0,MIN($F242,EOMONTH(DATE(cfg_FY,11,1),0))-MAX($E242,DATE(cfg_FY,11,1))+1))</f>
        <v>0</v>
      </c>
      <c r="BE242" s="65" t="n">
        <f aca="false">IF(OR(OR($B242="",$E242="",$F242=""),$K242&lt;&gt;"نعم",$M242="نعم"),0,MAX(0,MIN($F242,EOMONTH(DATE(cfg_FY,12,1),0))-MAX($E242,DATE(cfg_FY,12,1))+1))</f>
        <v>0</v>
      </c>
    </row>
    <row r="243" customFormat="false" ht="15" hidden="false" customHeight="false" outlineLevel="0" collapsed="false">
      <c r="A243" s="115" t="str">
        <f aca="false">IF(B243="","",ROW()-5)</f>
        <v/>
      </c>
      <c r="B243" s="118"/>
      <c r="C243" s="117" t="str">
        <f aca="false">IF(B243="","",IFERROR(INDEX(الموظفون!$C$6:$C$105,MATCH(B243,الموظفون!$B$6:$B$105,0)),"✖ رقم غير موجود"))</f>
        <v/>
      </c>
      <c r="D243" s="118"/>
      <c r="E243" s="119"/>
      <c r="F243" s="119"/>
      <c r="G243" s="133" t="str">
        <f aca="false">IF(OR($B243="",$E243="",$F243=""),"",MAX(0,F243-E243+1))</f>
        <v/>
      </c>
      <c r="H243" s="134" t="str">
        <f aca="false">IF(D243="","",IFERROR(VLOOKUP(D243,cfg_LT,2,FALSE()),1))</f>
        <v/>
      </c>
      <c r="I243" s="135"/>
      <c r="J243" s="134" t="str">
        <f aca="false">IF(D243="","",IF(I243&lt;&gt;"",I243,H243))</f>
        <v/>
      </c>
      <c r="K243" s="117" t="str">
        <f aca="false">IF(D243="","",IFERROR(VLOOKUP($D243,cfg_LT,3,FALSE()),""))</f>
        <v/>
      </c>
      <c r="L243" s="117" t="str">
        <f aca="false">IF(D243="","",IFERROR(VLOOKUP($D243,cfg_LT,4,FALSE()),""))</f>
        <v/>
      </c>
      <c r="M243" s="117" t="str">
        <f aca="false">IF(D243="","",IFERROR(VLOOKUP($D243,cfg_LT,5,FALSE()),""))</f>
        <v/>
      </c>
      <c r="N243" s="116" t="n">
        <f aca="false">IF(OR(OR($B243="",$E243="",$F243=""),M243&lt;&gt;"نعم"),0,G243*J243*IFERROR(INDEX(الموظفون!$R$6:$R$105,MATCH(B243,الموظفون!$B$6:$B$105,0)),0)/cfg_DAYS_M)</f>
        <v>0</v>
      </c>
      <c r="O243" s="115" t="str">
        <f aca="false">IF(OR(OR($B243="",$E243="",$F243=""),M243&lt;&gt;"نعم"),"",IF(YEAR(E243)=cfg_FY,MONTH(E243),""))</f>
        <v/>
      </c>
      <c r="P243" s="117" t="str">
        <f aca="false">IF(B243="","",IF(OR(D243="",E243="",F243=""),"⚠ أكمل النوع والتواريخ",IF(F243&lt;E243,"✖ النهاية قبل البداية",IF(COUNTIFS($B$6:$B$505,B243,$E$6:$E$505,"&lt;="&amp;F243,$F$6:$F$505,"&gt;="&amp;E243)&gt;1,"⚠ تداخل مع سجل آخر",IF(E243&gt;cfg_VAL_DATE,"⏳ قادمة",IF(F243&lt;cfg_VAL_DATE,"✔ منتهية","✈ جارية في تاريخ التقرير"))))))</f>
        <v/>
      </c>
      <c r="Q243" s="118"/>
      <c r="R243" s="133" t="n">
        <f aca="false">IF(OR(OR($B243="",$E243="",$F243=""),L243&lt;&gt;"لا"),0,MAX(0,MIN(F243,cfg_Y_START-1)-E243+1))</f>
        <v>0</v>
      </c>
      <c r="S243" s="133" t="n">
        <f aca="false">IF(OR(OR($B243="",$E243="",$F243=""),L243&lt;&gt;"لا"),0,MAX(0,MIN(F243,cfg_VAL_DATE)-E243+1))</f>
        <v>0</v>
      </c>
      <c r="T243" s="133" t="n">
        <f aca="false">IF(OR(OR($B243="",$E243="",$F243=""),K243&lt;&gt;"نعم"),0,IF(M243="نعم",IF(AND(ISNUMBER(O243),N(O243)&lt;=cfg_VAL_M),G243,0),MAX(0,MIN(F243,cfg_VAL_DATE)-MAX(E243,cfg_Y_START)+1)))</f>
        <v>0</v>
      </c>
      <c r="V243" s="133" t="n">
        <f aca="false">IF(OR($B243="",$E243="",$F243=""),0,MAX(0,MIN($F243,EOMONTH(DATE(cfg_FY,1,1),0))-MAX($E243,DATE(cfg_FY,1,1))+1)*(1-IF($M243="نعم",0,N($J243))))</f>
        <v>0</v>
      </c>
      <c r="W243" s="133" t="n">
        <f aca="false">IF(OR($B243="",$E243="",$F243=""),0,MAX(0,MIN($F243,EOMONTH(DATE(cfg_FY,2,1),0))-MAX($E243,DATE(cfg_FY,2,1))+1)*(1-IF($M243="نعم",0,N($J243))))</f>
        <v>0</v>
      </c>
      <c r="X243" s="133" t="n">
        <f aca="false">IF(OR($B243="",$E243="",$F243=""),0,MAX(0,MIN($F243,EOMONTH(DATE(cfg_FY,3,1),0))-MAX($E243,DATE(cfg_FY,3,1))+1)*(1-IF($M243="نعم",0,N($J243))))</f>
        <v>0</v>
      </c>
      <c r="Y243" s="133" t="n">
        <f aca="false">IF(OR($B243="",$E243="",$F243=""),0,MAX(0,MIN($F243,EOMONTH(DATE(cfg_FY,4,1),0))-MAX($E243,DATE(cfg_FY,4,1))+1)*(1-IF($M243="نعم",0,N($J243))))</f>
        <v>0</v>
      </c>
      <c r="Z243" s="133" t="n">
        <f aca="false">IF(OR($B243="",$E243="",$F243=""),0,MAX(0,MIN($F243,EOMONTH(DATE(cfg_FY,5,1),0))-MAX($E243,DATE(cfg_FY,5,1))+1)*(1-IF($M243="نعم",0,N($J243))))</f>
        <v>0</v>
      </c>
      <c r="AA243" s="133" t="n">
        <f aca="false">IF(OR($B243="",$E243="",$F243=""),0,MAX(0,MIN($F243,EOMONTH(DATE(cfg_FY,6,1),0))-MAX($E243,DATE(cfg_FY,6,1))+1)*(1-IF($M243="نعم",0,N($J243))))</f>
        <v>0</v>
      </c>
      <c r="AB243" s="133" t="n">
        <f aca="false">IF(OR($B243="",$E243="",$F243=""),0,MAX(0,MIN($F243,EOMONTH(DATE(cfg_FY,7,1),0))-MAX($E243,DATE(cfg_FY,7,1))+1)*(1-IF($M243="نعم",0,N($J243))))</f>
        <v>0</v>
      </c>
      <c r="AC243" s="133" t="n">
        <f aca="false">IF(OR($B243="",$E243="",$F243=""),0,MAX(0,MIN($F243,EOMONTH(DATE(cfg_FY,8,1),0))-MAX($E243,DATE(cfg_FY,8,1))+1)*(1-IF($M243="نعم",0,N($J243))))</f>
        <v>0</v>
      </c>
      <c r="AD243" s="133" t="n">
        <f aca="false">IF(OR($B243="",$E243="",$F243=""),0,MAX(0,MIN($F243,EOMONTH(DATE(cfg_FY,9,1),0))-MAX($E243,DATE(cfg_FY,9,1))+1)*(1-IF($M243="نعم",0,N($J243))))</f>
        <v>0</v>
      </c>
      <c r="AE243" s="133" t="n">
        <f aca="false">IF(OR($B243="",$E243="",$F243=""),0,MAX(0,MIN($F243,EOMONTH(DATE(cfg_FY,10,1),0))-MAX($E243,DATE(cfg_FY,10,1))+1)*(1-IF($M243="نعم",0,N($J243))))</f>
        <v>0</v>
      </c>
      <c r="AF243" s="133" t="n">
        <f aca="false">IF(OR($B243="",$E243="",$F243=""),0,MAX(0,MIN($F243,EOMONTH(DATE(cfg_FY,11,1),0))-MAX($E243,DATE(cfg_FY,11,1))+1)*(1-IF($M243="نعم",0,N($J243))))</f>
        <v>0</v>
      </c>
      <c r="AG243" s="133" t="n">
        <f aca="false">IF(OR($B243="",$E243="",$F243=""),0,MAX(0,MIN($F243,EOMONTH(DATE(cfg_FY,12,1),0))-MAX($E243,DATE(cfg_FY,12,1))+1)*(1-IF($M243="نعم",0,N($J243))))</f>
        <v>0</v>
      </c>
      <c r="AH243" s="133" t="n">
        <f aca="false">IF(OR(OR($B243="",$E243="",$F243=""),$L243&lt;&gt;"لا"),0,MAX(0,MIN($F243,EOMONTH(DATE(cfg_FY,1,1),0))-$E243+1))</f>
        <v>0</v>
      </c>
      <c r="AI243" s="133" t="n">
        <f aca="false">IF(OR(OR($B243="",$E243="",$F243=""),$L243&lt;&gt;"لا"),0,MAX(0,MIN($F243,EOMONTH(DATE(cfg_FY,2,1),0))-$E243+1))</f>
        <v>0</v>
      </c>
      <c r="AJ243" s="133" t="n">
        <f aca="false">IF(OR(OR($B243="",$E243="",$F243=""),$L243&lt;&gt;"لا"),0,MAX(0,MIN($F243,EOMONTH(DATE(cfg_FY,3,1),0))-$E243+1))</f>
        <v>0</v>
      </c>
      <c r="AK243" s="133" t="n">
        <f aca="false">IF(OR(OR($B243="",$E243="",$F243=""),$L243&lt;&gt;"لا"),0,MAX(0,MIN($F243,EOMONTH(DATE(cfg_FY,4,1),0))-$E243+1))</f>
        <v>0</v>
      </c>
      <c r="AL243" s="133" t="n">
        <f aca="false">IF(OR(OR($B243="",$E243="",$F243=""),$L243&lt;&gt;"لا"),0,MAX(0,MIN($F243,EOMONTH(DATE(cfg_FY,5,1),0))-$E243+1))</f>
        <v>0</v>
      </c>
      <c r="AM243" s="133" t="n">
        <f aca="false">IF(OR(OR($B243="",$E243="",$F243=""),$L243&lt;&gt;"لا"),0,MAX(0,MIN($F243,EOMONTH(DATE(cfg_FY,6,1),0))-$E243+1))</f>
        <v>0</v>
      </c>
      <c r="AN243" s="133" t="n">
        <f aca="false">IF(OR(OR($B243="",$E243="",$F243=""),$L243&lt;&gt;"لا"),0,MAX(0,MIN($F243,EOMONTH(DATE(cfg_FY,7,1),0))-$E243+1))</f>
        <v>0</v>
      </c>
      <c r="AO243" s="133" t="n">
        <f aca="false">IF(OR(OR($B243="",$E243="",$F243=""),$L243&lt;&gt;"لا"),0,MAX(0,MIN($F243,EOMONTH(DATE(cfg_FY,8,1),0))-$E243+1))</f>
        <v>0</v>
      </c>
      <c r="AP243" s="133" t="n">
        <f aca="false">IF(OR(OR($B243="",$E243="",$F243=""),$L243&lt;&gt;"لا"),0,MAX(0,MIN($F243,EOMONTH(DATE(cfg_FY,9,1),0))-$E243+1))</f>
        <v>0</v>
      </c>
      <c r="AQ243" s="133" t="n">
        <f aca="false">IF(OR(OR($B243="",$E243="",$F243=""),$L243&lt;&gt;"لا"),0,MAX(0,MIN($F243,EOMONTH(DATE(cfg_FY,10,1),0))-$E243+1))</f>
        <v>0</v>
      </c>
      <c r="AR243" s="133" t="n">
        <f aca="false">IF(OR(OR($B243="",$E243="",$F243=""),$L243&lt;&gt;"لا"),0,MAX(0,MIN($F243,EOMONTH(DATE(cfg_FY,11,1),0))-$E243+1))</f>
        <v>0</v>
      </c>
      <c r="AS243" s="133" t="n">
        <f aca="false">IF(OR(OR($B243="",$E243="",$F243=""),$L243&lt;&gt;"لا"),0,MAX(0,MIN($F243,EOMONTH(DATE(cfg_FY,12,1),0))-$E243+1))</f>
        <v>0</v>
      </c>
      <c r="AT243" s="133" t="n">
        <f aca="false">IF(OR(OR($B243="",$E243="",$F243=""),$K243&lt;&gt;"نعم",$M243="نعم"),0,MAX(0,MIN($F243,EOMONTH(DATE(cfg_FY,1,1),0))-MAX($E243,DATE(cfg_FY,1,1))+1))</f>
        <v>0</v>
      </c>
      <c r="AU243" s="133" t="n">
        <f aca="false">IF(OR(OR($B243="",$E243="",$F243=""),$K243&lt;&gt;"نعم",$M243="نعم"),0,MAX(0,MIN($F243,EOMONTH(DATE(cfg_FY,2,1),0))-MAX($E243,DATE(cfg_FY,2,1))+1))</f>
        <v>0</v>
      </c>
      <c r="AV243" s="133" t="n">
        <f aca="false">IF(OR(OR($B243="",$E243="",$F243=""),$K243&lt;&gt;"نعم",$M243="نعم"),0,MAX(0,MIN($F243,EOMONTH(DATE(cfg_FY,3,1),0))-MAX($E243,DATE(cfg_FY,3,1))+1))</f>
        <v>0</v>
      </c>
      <c r="AW243" s="133" t="n">
        <f aca="false">IF(OR(OR($B243="",$E243="",$F243=""),$K243&lt;&gt;"نعم",$M243="نعم"),0,MAX(0,MIN($F243,EOMONTH(DATE(cfg_FY,4,1),0))-MAX($E243,DATE(cfg_FY,4,1))+1))</f>
        <v>0</v>
      </c>
      <c r="AX243" s="133" t="n">
        <f aca="false">IF(OR(OR($B243="",$E243="",$F243=""),$K243&lt;&gt;"نعم",$M243="نعم"),0,MAX(0,MIN($F243,EOMONTH(DATE(cfg_FY,5,1),0))-MAX($E243,DATE(cfg_FY,5,1))+1))</f>
        <v>0</v>
      </c>
      <c r="AY243" s="133" t="n">
        <f aca="false">IF(OR(OR($B243="",$E243="",$F243=""),$K243&lt;&gt;"نعم",$M243="نعم"),0,MAX(0,MIN($F243,EOMONTH(DATE(cfg_FY,6,1),0))-MAX($E243,DATE(cfg_FY,6,1))+1))</f>
        <v>0</v>
      </c>
      <c r="AZ243" s="133" t="n">
        <f aca="false">IF(OR(OR($B243="",$E243="",$F243=""),$K243&lt;&gt;"نعم",$M243="نعم"),0,MAX(0,MIN($F243,EOMONTH(DATE(cfg_FY,7,1),0))-MAX($E243,DATE(cfg_FY,7,1))+1))</f>
        <v>0</v>
      </c>
      <c r="BA243" s="133" t="n">
        <f aca="false">IF(OR(OR($B243="",$E243="",$F243=""),$K243&lt;&gt;"نعم",$M243="نعم"),0,MAX(0,MIN($F243,EOMONTH(DATE(cfg_FY,8,1),0))-MAX($E243,DATE(cfg_FY,8,1))+1))</f>
        <v>0</v>
      </c>
      <c r="BB243" s="133" t="n">
        <f aca="false">IF(OR(OR($B243="",$E243="",$F243=""),$K243&lt;&gt;"نعم",$M243="نعم"),0,MAX(0,MIN($F243,EOMONTH(DATE(cfg_FY,9,1),0))-MAX($E243,DATE(cfg_FY,9,1))+1))</f>
        <v>0</v>
      </c>
      <c r="BC243" s="133" t="n">
        <f aca="false">IF(OR(OR($B243="",$E243="",$F243=""),$K243&lt;&gt;"نعم",$M243="نعم"),0,MAX(0,MIN($F243,EOMONTH(DATE(cfg_FY,10,1),0))-MAX($E243,DATE(cfg_FY,10,1))+1))</f>
        <v>0</v>
      </c>
      <c r="BD243" s="133" t="n">
        <f aca="false">IF(OR(OR($B243="",$E243="",$F243=""),$K243&lt;&gt;"نعم",$M243="نعم"),0,MAX(0,MIN($F243,EOMONTH(DATE(cfg_FY,11,1),0))-MAX($E243,DATE(cfg_FY,11,1))+1))</f>
        <v>0</v>
      </c>
      <c r="BE243" s="133" t="n">
        <f aca="false">IF(OR(OR($B243="",$E243="",$F243=""),$K243&lt;&gt;"نعم",$M243="نعم"),0,MAX(0,MIN($F243,EOMONTH(DATE(cfg_FY,12,1),0))-MAX($E243,DATE(cfg_FY,12,1))+1))</f>
        <v>0</v>
      </c>
    </row>
    <row r="244" customFormat="false" ht="15" hidden="false" customHeight="false" outlineLevel="0" collapsed="false">
      <c r="A244" s="106" t="str">
        <f aca="false">IF(B244="","",ROW()-5)</f>
        <v/>
      </c>
      <c r="B244" s="118"/>
      <c r="C244" s="114" t="str">
        <f aca="false">IF(B244="","",IFERROR(INDEX(الموظفون!$C$6:$C$105,MATCH(B244,الموظفون!$B$6:$B$105,0)),"✖ رقم غير موجود"))</f>
        <v/>
      </c>
      <c r="D244" s="118"/>
      <c r="E244" s="119"/>
      <c r="F244" s="119"/>
      <c r="G244" s="65" t="str">
        <f aca="false">IF(OR($B244="",$E244="",$F244=""),"",MAX(0,F244-E244+1))</f>
        <v/>
      </c>
      <c r="H244" s="66" t="str">
        <f aca="false">IF(D244="","",IFERROR(VLOOKUP(D244,cfg_LT,2,FALSE()),1))</f>
        <v/>
      </c>
      <c r="I244" s="135"/>
      <c r="J244" s="66" t="str">
        <f aca="false">IF(D244="","",IF(I244&lt;&gt;"",I244,H244))</f>
        <v/>
      </c>
      <c r="K244" s="114" t="str">
        <f aca="false">IF(D244="","",IFERROR(VLOOKUP($D244,cfg_LT,3,FALSE()),""))</f>
        <v/>
      </c>
      <c r="L244" s="114" t="str">
        <f aca="false">IF(D244="","",IFERROR(VLOOKUP($D244,cfg_LT,4,FALSE()),""))</f>
        <v/>
      </c>
      <c r="M244" s="114" t="str">
        <f aca="false">IF(D244="","",IFERROR(VLOOKUP($D244,cfg_LT,5,FALSE()),""))</f>
        <v/>
      </c>
      <c r="N244" s="111" t="n">
        <f aca="false">IF(OR(OR($B244="",$E244="",$F244=""),M244&lt;&gt;"نعم"),0,G244*J244*IFERROR(INDEX(الموظفون!$R$6:$R$105,MATCH(B244,الموظفون!$B$6:$B$105,0)),0)/cfg_DAYS_M)</f>
        <v>0</v>
      </c>
      <c r="O244" s="106" t="str">
        <f aca="false">IF(OR(OR($B244="",$E244="",$F244=""),M244&lt;&gt;"نعم"),"",IF(YEAR(E244)=cfg_FY,MONTH(E244),""))</f>
        <v/>
      </c>
      <c r="P244" s="114" t="str">
        <f aca="false">IF(B244="","",IF(OR(D244="",E244="",F244=""),"⚠ أكمل النوع والتواريخ",IF(F244&lt;E244,"✖ النهاية قبل البداية",IF(COUNTIFS($B$6:$B$505,B244,$E$6:$E$505,"&lt;="&amp;F244,$F$6:$F$505,"&gt;="&amp;E244)&gt;1,"⚠ تداخل مع سجل آخر",IF(E244&gt;cfg_VAL_DATE,"⏳ قادمة",IF(F244&lt;cfg_VAL_DATE,"✔ منتهية","✈ جارية في تاريخ التقرير"))))))</f>
        <v/>
      </c>
      <c r="Q244" s="118"/>
      <c r="R244" s="65" t="n">
        <f aca="false">IF(OR(OR($B244="",$E244="",$F244=""),L244&lt;&gt;"لا"),0,MAX(0,MIN(F244,cfg_Y_START-1)-E244+1))</f>
        <v>0</v>
      </c>
      <c r="S244" s="65" t="n">
        <f aca="false">IF(OR(OR($B244="",$E244="",$F244=""),L244&lt;&gt;"لا"),0,MAX(0,MIN(F244,cfg_VAL_DATE)-E244+1))</f>
        <v>0</v>
      </c>
      <c r="T244" s="65" t="n">
        <f aca="false">IF(OR(OR($B244="",$E244="",$F244=""),K244&lt;&gt;"نعم"),0,IF(M244="نعم",IF(AND(ISNUMBER(O244),N(O244)&lt;=cfg_VAL_M),G244,0),MAX(0,MIN(F244,cfg_VAL_DATE)-MAX(E244,cfg_Y_START)+1)))</f>
        <v>0</v>
      </c>
      <c r="V244" s="65" t="n">
        <f aca="false">IF(OR($B244="",$E244="",$F244=""),0,MAX(0,MIN($F244,EOMONTH(DATE(cfg_FY,1,1),0))-MAX($E244,DATE(cfg_FY,1,1))+1)*(1-IF($M244="نعم",0,N($J244))))</f>
        <v>0</v>
      </c>
      <c r="W244" s="65" t="n">
        <f aca="false">IF(OR($B244="",$E244="",$F244=""),0,MAX(0,MIN($F244,EOMONTH(DATE(cfg_FY,2,1),0))-MAX($E244,DATE(cfg_FY,2,1))+1)*(1-IF($M244="نعم",0,N($J244))))</f>
        <v>0</v>
      </c>
      <c r="X244" s="65" t="n">
        <f aca="false">IF(OR($B244="",$E244="",$F244=""),0,MAX(0,MIN($F244,EOMONTH(DATE(cfg_FY,3,1),0))-MAX($E244,DATE(cfg_FY,3,1))+1)*(1-IF($M244="نعم",0,N($J244))))</f>
        <v>0</v>
      </c>
      <c r="Y244" s="65" t="n">
        <f aca="false">IF(OR($B244="",$E244="",$F244=""),0,MAX(0,MIN($F244,EOMONTH(DATE(cfg_FY,4,1),0))-MAX($E244,DATE(cfg_FY,4,1))+1)*(1-IF($M244="نعم",0,N($J244))))</f>
        <v>0</v>
      </c>
      <c r="Z244" s="65" t="n">
        <f aca="false">IF(OR($B244="",$E244="",$F244=""),0,MAX(0,MIN($F244,EOMONTH(DATE(cfg_FY,5,1),0))-MAX($E244,DATE(cfg_FY,5,1))+1)*(1-IF($M244="نعم",0,N($J244))))</f>
        <v>0</v>
      </c>
      <c r="AA244" s="65" t="n">
        <f aca="false">IF(OR($B244="",$E244="",$F244=""),0,MAX(0,MIN($F244,EOMONTH(DATE(cfg_FY,6,1),0))-MAX($E244,DATE(cfg_FY,6,1))+1)*(1-IF($M244="نعم",0,N($J244))))</f>
        <v>0</v>
      </c>
      <c r="AB244" s="65" t="n">
        <f aca="false">IF(OR($B244="",$E244="",$F244=""),0,MAX(0,MIN($F244,EOMONTH(DATE(cfg_FY,7,1),0))-MAX($E244,DATE(cfg_FY,7,1))+1)*(1-IF($M244="نعم",0,N($J244))))</f>
        <v>0</v>
      </c>
      <c r="AC244" s="65" t="n">
        <f aca="false">IF(OR($B244="",$E244="",$F244=""),0,MAX(0,MIN($F244,EOMONTH(DATE(cfg_FY,8,1),0))-MAX($E244,DATE(cfg_FY,8,1))+1)*(1-IF($M244="نعم",0,N($J244))))</f>
        <v>0</v>
      </c>
      <c r="AD244" s="65" t="n">
        <f aca="false">IF(OR($B244="",$E244="",$F244=""),0,MAX(0,MIN($F244,EOMONTH(DATE(cfg_FY,9,1),0))-MAX($E244,DATE(cfg_FY,9,1))+1)*(1-IF($M244="نعم",0,N($J244))))</f>
        <v>0</v>
      </c>
      <c r="AE244" s="65" t="n">
        <f aca="false">IF(OR($B244="",$E244="",$F244=""),0,MAX(0,MIN($F244,EOMONTH(DATE(cfg_FY,10,1),0))-MAX($E244,DATE(cfg_FY,10,1))+1)*(1-IF($M244="نعم",0,N($J244))))</f>
        <v>0</v>
      </c>
      <c r="AF244" s="65" t="n">
        <f aca="false">IF(OR($B244="",$E244="",$F244=""),0,MAX(0,MIN($F244,EOMONTH(DATE(cfg_FY,11,1),0))-MAX($E244,DATE(cfg_FY,11,1))+1)*(1-IF($M244="نعم",0,N($J244))))</f>
        <v>0</v>
      </c>
      <c r="AG244" s="65" t="n">
        <f aca="false">IF(OR($B244="",$E244="",$F244=""),0,MAX(0,MIN($F244,EOMONTH(DATE(cfg_FY,12,1),0))-MAX($E244,DATE(cfg_FY,12,1))+1)*(1-IF($M244="نعم",0,N($J244))))</f>
        <v>0</v>
      </c>
      <c r="AH244" s="65" t="n">
        <f aca="false">IF(OR(OR($B244="",$E244="",$F244=""),$L244&lt;&gt;"لا"),0,MAX(0,MIN($F244,EOMONTH(DATE(cfg_FY,1,1),0))-$E244+1))</f>
        <v>0</v>
      </c>
      <c r="AI244" s="65" t="n">
        <f aca="false">IF(OR(OR($B244="",$E244="",$F244=""),$L244&lt;&gt;"لا"),0,MAX(0,MIN($F244,EOMONTH(DATE(cfg_FY,2,1),0))-$E244+1))</f>
        <v>0</v>
      </c>
      <c r="AJ244" s="65" t="n">
        <f aca="false">IF(OR(OR($B244="",$E244="",$F244=""),$L244&lt;&gt;"لا"),0,MAX(0,MIN($F244,EOMONTH(DATE(cfg_FY,3,1),0))-$E244+1))</f>
        <v>0</v>
      </c>
      <c r="AK244" s="65" t="n">
        <f aca="false">IF(OR(OR($B244="",$E244="",$F244=""),$L244&lt;&gt;"لا"),0,MAX(0,MIN($F244,EOMONTH(DATE(cfg_FY,4,1),0))-$E244+1))</f>
        <v>0</v>
      </c>
      <c r="AL244" s="65" t="n">
        <f aca="false">IF(OR(OR($B244="",$E244="",$F244=""),$L244&lt;&gt;"لا"),0,MAX(0,MIN($F244,EOMONTH(DATE(cfg_FY,5,1),0))-$E244+1))</f>
        <v>0</v>
      </c>
      <c r="AM244" s="65" t="n">
        <f aca="false">IF(OR(OR($B244="",$E244="",$F244=""),$L244&lt;&gt;"لا"),0,MAX(0,MIN($F244,EOMONTH(DATE(cfg_FY,6,1),0))-$E244+1))</f>
        <v>0</v>
      </c>
      <c r="AN244" s="65" t="n">
        <f aca="false">IF(OR(OR($B244="",$E244="",$F244=""),$L244&lt;&gt;"لا"),0,MAX(0,MIN($F244,EOMONTH(DATE(cfg_FY,7,1),0))-$E244+1))</f>
        <v>0</v>
      </c>
      <c r="AO244" s="65" t="n">
        <f aca="false">IF(OR(OR($B244="",$E244="",$F244=""),$L244&lt;&gt;"لا"),0,MAX(0,MIN($F244,EOMONTH(DATE(cfg_FY,8,1),0))-$E244+1))</f>
        <v>0</v>
      </c>
      <c r="AP244" s="65" t="n">
        <f aca="false">IF(OR(OR($B244="",$E244="",$F244=""),$L244&lt;&gt;"لا"),0,MAX(0,MIN($F244,EOMONTH(DATE(cfg_FY,9,1),0))-$E244+1))</f>
        <v>0</v>
      </c>
      <c r="AQ244" s="65" t="n">
        <f aca="false">IF(OR(OR($B244="",$E244="",$F244=""),$L244&lt;&gt;"لا"),0,MAX(0,MIN($F244,EOMONTH(DATE(cfg_FY,10,1),0))-$E244+1))</f>
        <v>0</v>
      </c>
      <c r="AR244" s="65" t="n">
        <f aca="false">IF(OR(OR($B244="",$E244="",$F244=""),$L244&lt;&gt;"لا"),0,MAX(0,MIN($F244,EOMONTH(DATE(cfg_FY,11,1),0))-$E244+1))</f>
        <v>0</v>
      </c>
      <c r="AS244" s="65" t="n">
        <f aca="false">IF(OR(OR($B244="",$E244="",$F244=""),$L244&lt;&gt;"لا"),0,MAX(0,MIN($F244,EOMONTH(DATE(cfg_FY,12,1),0))-$E244+1))</f>
        <v>0</v>
      </c>
      <c r="AT244" s="65" t="n">
        <f aca="false">IF(OR(OR($B244="",$E244="",$F244=""),$K244&lt;&gt;"نعم",$M244="نعم"),0,MAX(0,MIN($F244,EOMONTH(DATE(cfg_FY,1,1),0))-MAX($E244,DATE(cfg_FY,1,1))+1))</f>
        <v>0</v>
      </c>
      <c r="AU244" s="65" t="n">
        <f aca="false">IF(OR(OR($B244="",$E244="",$F244=""),$K244&lt;&gt;"نعم",$M244="نعم"),0,MAX(0,MIN($F244,EOMONTH(DATE(cfg_FY,2,1),0))-MAX($E244,DATE(cfg_FY,2,1))+1))</f>
        <v>0</v>
      </c>
      <c r="AV244" s="65" t="n">
        <f aca="false">IF(OR(OR($B244="",$E244="",$F244=""),$K244&lt;&gt;"نعم",$M244="نعم"),0,MAX(0,MIN($F244,EOMONTH(DATE(cfg_FY,3,1),0))-MAX($E244,DATE(cfg_FY,3,1))+1))</f>
        <v>0</v>
      </c>
      <c r="AW244" s="65" t="n">
        <f aca="false">IF(OR(OR($B244="",$E244="",$F244=""),$K244&lt;&gt;"نعم",$M244="نعم"),0,MAX(0,MIN($F244,EOMONTH(DATE(cfg_FY,4,1),0))-MAX($E244,DATE(cfg_FY,4,1))+1))</f>
        <v>0</v>
      </c>
      <c r="AX244" s="65" t="n">
        <f aca="false">IF(OR(OR($B244="",$E244="",$F244=""),$K244&lt;&gt;"نعم",$M244="نعم"),0,MAX(0,MIN($F244,EOMONTH(DATE(cfg_FY,5,1),0))-MAX($E244,DATE(cfg_FY,5,1))+1))</f>
        <v>0</v>
      </c>
      <c r="AY244" s="65" t="n">
        <f aca="false">IF(OR(OR($B244="",$E244="",$F244=""),$K244&lt;&gt;"نعم",$M244="نعم"),0,MAX(0,MIN($F244,EOMONTH(DATE(cfg_FY,6,1),0))-MAX($E244,DATE(cfg_FY,6,1))+1))</f>
        <v>0</v>
      </c>
      <c r="AZ244" s="65" t="n">
        <f aca="false">IF(OR(OR($B244="",$E244="",$F244=""),$K244&lt;&gt;"نعم",$M244="نعم"),0,MAX(0,MIN($F244,EOMONTH(DATE(cfg_FY,7,1),0))-MAX($E244,DATE(cfg_FY,7,1))+1))</f>
        <v>0</v>
      </c>
      <c r="BA244" s="65" t="n">
        <f aca="false">IF(OR(OR($B244="",$E244="",$F244=""),$K244&lt;&gt;"نعم",$M244="نعم"),0,MAX(0,MIN($F244,EOMONTH(DATE(cfg_FY,8,1),0))-MAX($E244,DATE(cfg_FY,8,1))+1))</f>
        <v>0</v>
      </c>
      <c r="BB244" s="65" t="n">
        <f aca="false">IF(OR(OR($B244="",$E244="",$F244=""),$K244&lt;&gt;"نعم",$M244="نعم"),0,MAX(0,MIN($F244,EOMONTH(DATE(cfg_FY,9,1),0))-MAX($E244,DATE(cfg_FY,9,1))+1))</f>
        <v>0</v>
      </c>
      <c r="BC244" s="65" t="n">
        <f aca="false">IF(OR(OR($B244="",$E244="",$F244=""),$K244&lt;&gt;"نعم",$M244="نعم"),0,MAX(0,MIN($F244,EOMONTH(DATE(cfg_FY,10,1),0))-MAX($E244,DATE(cfg_FY,10,1))+1))</f>
        <v>0</v>
      </c>
      <c r="BD244" s="65" t="n">
        <f aca="false">IF(OR(OR($B244="",$E244="",$F244=""),$K244&lt;&gt;"نعم",$M244="نعم"),0,MAX(0,MIN($F244,EOMONTH(DATE(cfg_FY,11,1),0))-MAX($E244,DATE(cfg_FY,11,1))+1))</f>
        <v>0</v>
      </c>
      <c r="BE244" s="65" t="n">
        <f aca="false">IF(OR(OR($B244="",$E244="",$F244=""),$K244&lt;&gt;"نعم",$M244="نعم"),0,MAX(0,MIN($F244,EOMONTH(DATE(cfg_FY,12,1),0))-MAX($E244,DATE(cfg_FY,12,1))+1))</f>
        <v>0</v>
      </c>
    </row>
    <row r="245" customFormat="false" ht="15" hidden="false" customHeight="false" outlineLevel="0" collapsed="false">
      <c r="A245" s="115" t="str">
        <f aca="false">IF(B245="","",ROW()-5)</f>
        <v/>
      </c>
      <c r="B245" s="118"/>
      <c r="C245" s="117" t="str">
        <f aca="false">IF(B245="","",IFERROR(INDEX(الموظفون!$C$6:$C$105,MATCH(B245,الموظفون!$B$6:$B$105,0)),"✖ رقم غير موجود"))</f>
        <v/>
      </c>
      <c r="D245" s="118"/>
      <c r="E245" s="119"/>
      <c r="F245" s="119"/>
      <c r="G245" s="133" t="str">
        <f aca="false">IF(OR($B245="",$E245="",$F245=""),"",MAX(0,F245-E245+1))</f>
        <v/>
      </c>
      <c r="H245" s="134" t="str">
        <f aca="false">IF(D245="","",IFERROR(VLOOKUP(D245,cfg_LT,2,FALSE()),1))</f>
        <v/>
      </c>
      <c r="I245" s="135"/>
      <c r="J245" s="134" t="str">
        <f aca="false">IF(D245="","",IF(I245&lt;&gt;"",I245,H245))</f>
        <v/>
      </c>
      <c r="K245" s="117" t="str">
        <f aca="false">IF(D245="","",IFERROR(VLOOKUP($D245,cfg_LT,3,FALSE()),""))</f>
        <v/>
      </c>
      <c r="L245" s="117" t="str">
        <f aca="false">IF(D245="","",IFERROR(VLOOKUP($D245,cfg_LT,4,FALSE()),""))</f>
        <v/>
      </c>
      <c r="M245" s="117" t="str">
        <f aca="false">IF(D245="","",IFERROR(VLOOKUP($D245,cfg_LT,5,FALSE()),""))</f>
        <v/>
      </c>
      <c r="N245" s="116" t="n">
        <f aca="false">IF(OR(OR($B245="",$E245="",$F245=""),M245&lt;&gt;"نعم"),0,G245*J245*IFERROR(INDEX(الموظفون!$R$6:$R$105,MATCH(B245,الموظفون!$B$6:$B$105,0)),0)/cfg_DAYS_M)</f>
        <v>0</v>
      </c>
      <c r="O245" s="115" t="str">
        <f aca="false">IF(OR(OR($B245="",$E245="",$F245=""),M245&lt;&gt;"نعم"),"",IF(YEAR(E245)=cfg_FY,MONTH(E245),""))</f>
        <v/>
      </c>
      <c r="P245" s="117" t="str">
        <f aca="false">IF(B245="","",IF(OR(D245="",E245="",F245=""),"⚠ أكمل النوع والتواريخ",IF(F245&lt;E245,"✖ النهاية قبل البداية",IF(COUNTIFS($B$6:$B$505,B245,$E$6:$E$505,"&lt;="&amp;F245,$F$6:$F$505,"&gt;="&amp;E245)&gt;1,"⚠ تداخل مع سجل آخر",IF(E245&gt;cfg_VAL_DATE,"⏳ قادمة",IF(F245&lt;cfg_VAL_DATE,"✔ منتهية","✈ جارية في تاريخ التقرير"))))))</f>
        <v/>
      </c>
      <c r="Q245" s="118"/>
      <c r="R245" s="133" t="n">
        <f aca="false">IF(OR(OR($B245="",$E245="",$F245=""),L245&lt;&gt;"لا"),0,MAX(0,MIN(F245,cfg_Y_START-1)-E245+1))</f>
        <v>0</v>
      </c>
      <c r="S245" s="133" t="n">
        <f aca="false">IF(OR(OR($B245="",$E245="",$F245=""),L245&lt;&gt;"لا"),0,MAX(0,MIN(F245,cfg_VAL_DATE)-E245+1))</f>
        <v>0</v>
      </c>
      <c r="T245" s="133" t="n">
        <f aca="false">IF(OR(OR($B245="",$E245="",$F245=""),K245&lt;&gt;"نعم"),0,IF(M245="نعم",IF(AND(ISNUMBER(O245),N(O245)&lt;=cfg_VAL_M),G245,0),MAX(0,MIN(F245,cfg_VAL_DATE)-MAX(E245,cfg_Y_START)+1)))</f>
        <v>0</v>
      </c>
      <c r="V245" s="133" t="n">
        <f aca="false">IF(OR($B245="",$E245="",$F245=""),0,MAX(0,MIN($F245,EOMONTH(DATE(cfg_FY,1,1),0))-MAX($E245,DATE(cfg_FY,1,1))+1)*(1-IF($M245="نعم",0,N($J245))))</f>
        <v>0</v>
      </c>
      <c r="W245" s="133" t="n">
        <f aca="false">IF(OR($B245="",$E245="",$F245=""),0,MAX(0,MIN($F245,EOMONTH(DATE(cfg_FY,2,1),0))-MAX($E245,DATE(cfg_FY,2,1))+1)*(1-IF($M245="نعم",0,N($J245))))</f>
        <v>0</v>
      </c>
      <c r="X245" s="133" t="n">
        <f aca="false">IF(OR($B245="",$E245="",$F245=""),0,MAX(0,MIN($F245,EOMONTH(DATE(cfg_FY,3,1),0))-MAX($E245,DATE(cfg_FY,3,1))+1)*(1-IF($M245="نعم",0,N($J245))))</f>
        <v>0</v>
      </c>
      <c r="Y245" s="133" t="n">
        <f aca="false">IF(OR($B245="",$E245="",$F245=""),0,MAX(0,MIN($F245,EOMONTH(DATE(cfg_FY,4,1),0))-MAX($E245,DATE(cfg_FY,4,1))+1)*(1-IF($M245="نعم",0,N($J245))))</f>
        <v>0</v>
      </c>
      <c r="Z245" s="133" t="n">
        <f aca="false">IF(OR($B245="",$E245="",$F245=""),0,MAX(0,MIN($F245,EOMONTH(DATE(cfg_FY,5,1),0))-MAX($E245,DATE(cfg_FY,5,1))+1)*(1-IF($M245="نعم",0,N($J245))))</f>
        <v>0</v>
      </c>
      <c r="AA245" s="133" t="n">
        <f aca="false">IF(OR($B245="",$E245="",$F245=""),0,MAX(0,MIN($F245,EOMONTH(DATE(cfg_FY,6,1),0))-MAX($E245,DATE(cfg_FY,6,1))+1)*(1-IF($M245="نعم",0,N($J245))))</f>
        <v>0</v>
      </c>
      <c r="AB245" s="133" t="n">
        <f aca="false">IF(OR($B245="",$E245="",$F245=""),0,MAX(0,MIN($F245,EOMONTH(DATE(cfg_FY,7,1),0))-MAX($E245,DATE(cfg_FY,7,1))+1)*(1-IF($M245="نعم",0,N($J245))))</f>
        <v>0</v>
      </c>
      <c r="AC245" s="133" t="n">
        <f aca="false">IF(OR($B245="",$E245="",$F245=""),0,MAX(0,MIN($F245,EOMONTH(DATE(cfg_FY,8,1),0))-MAX($E245,DATE(cfg_FY,8,1))+1)*(1-IF($M245="نعم",0,N($J245))))</f>
        <v>0</v>
      </c>
      <c r="AD245" s="133" t="n">
        <f aca="false">IF(OR($B245="",$E245="",$F245=""),0,MAX(0,MIN($F245,EOMONTH(DATE(cfg_FY,9,1),0))-MAX($E245,DATE(cfg_FY,9,1))+1)*(1-IF($M245="نعم",0,N($J245))))</f>
        <v>0</v>
      </c>
      <c r="AE245" s="133" t="n">
        <f aca="false">IF(OR($B245="",$E245="",$F245=""),0,MAX(0,MIN($F245,EOMONTH(DATE(cfg_FY,10,1),0))-MAX($E245,DATE(cfg_FY,10,1))+1)*(1-IF($M245="نعم",0,N($J245))))</f>
        <v>0</v>
      </c>
      <c r="AF245" s="133" t="n">
        <f aca="false">IF(OR($B245="",$E245="",$F245=""),0,MAX(0,MIN($F245,EOMONTH(DATE(cfg_FY,11,1),0))-MAX($E245,DATE(cfg_FY,11,1))+1)*(1-IF($M245="نعم",0,N($J245))))</f>
        <v>0</v>
      </c>
      <c r="AG245" s="133" t="n">
        <f aca="false">IF(OR($B245="",$E245="",$F245=""),0,MAX(0,MIN($F245,EOMONTH(DATE(cfg_FY,12,1),0))-MAX($E245,DATE(cfg_FY,12,1))+1)*(1-IF($M245="نعم",0,N($J245))))</f>
        <v>0</v>
      </c>
      <c r="AH245" s="133" t="n">
        <f aca="false">IF(OR(OR($B245="",$E245="",$F245=""),$L245&lt;&gt;"لا"),0,MAX(0,MIN($F245,EOMONTH(DATE(cfg_FY,1,1),0))-$E245+1))</f>
        <v>0</v>
      </c>
      <c r="AI245" s="133" t="n">
        <f aca="false">IF(OR(OR($B245="",$E245="",$F245=""),$L245&lt;&gt;"لا"),0,MAX(0,MIN($F245,EOMONTH(DATE(cfg_FY,2,1),0))-$E245+1))</f>
        <v>0</v>
      </c>
      <c r="AJ245" s="133" t="n">
        <f aca="false">IF(OR(OR($B245="",$E245="",$F245=""),$L245&lt;&gt;"لا"),0,MAX(0,MIN($F245,EOMONTH(DATE(cfg_FY,3,1),0))-$E245+1))</f>
        <v>0</v>
      </c>
      <c r="AK245" s="133" t="n">
        <f aca="false">IF(OR(OR($B245="",$E245="",$F245=""),$L245&lt;&gt;"لا"),0,MAX(0,MIN($F245,EOMONTH(DATE(cfg_FY,4,1),0))-$E245+1))</f>
        <v>0</v>
      </c>
      <c r="AL245" s="133" t="n">
        <f aca="false">IF(OR(OR($B245="",$E245="",$F245=""),$L245&lt;&gt;"لا"),0,MAX(0,MIN($F245,EOMONTH(DATE(cfg_FY,5,1),0))-$E245+1))</f>
        <v>0</v>
      </c>
      <c r="AM245" s="133" t="n">
        <f aca="false">IF(OR(OR($B245="",$E245="",$F245=""),$L245&lt;&gt;"لا"),0,MAX(0,MIN($F245,EOMONTH(DATE(cfg_FY,6,1),0))-$E245+1))</f>
        <v>0</v>
      </c>
      <c r="AN245" s="133" t="n">
        <f aca="false">IF(OR(OR($B245="",$E245="",$F245=""),$L245&lt;&gt;"لا"),0,MAX(0,MIN($F245,EOMONTH(DATE(cfg_FY,7,1),0))-$E245+1))</f>
        <v>0</v>
      </c>
      <c r="AO245" s="133" t="n">
        <f aca="false">IF(OR(OR($B245="",$E245="",$F245=""),$L245&lt;&gt;"لا"),0,MAX(0,MIN($F245,EOMONTH(DATE(cfg_FY,8,1),0))-$E245+1))</f>
        <v>0</v>
      </c>
      <c r="AP245" s="133" t="n">
        <f aca="false">IF(OR(OR($B245="",$E245="",$F245=""),$L245&lt;&gt;"لا"),0,MAX(0,MIN($F245,EOMONTH(DATE(cfg_FY,9,1),0))-$E245+1))</f>
        <v>0</v>
      </c>
      <c r="AQ245" s="133" t="n">
        <f aca="false">IF(OR(OR($B245="",$E245="",$F245=""),$L245&lt;&gt;"لا"),0,MAX(0,MIN($F245,EOMONTH(DATE(cfg_FY,10,1),0))-$E245+1))</f>
        <v>0</v>
      </c>
      <c r="AR245" s="133" t="n">
        <f aca="false">IF(OR(OR($B245="",$E245="",$F245=""),$L245&lt;&gt;"لا"),0,MAX(0,MIN($F245,EOMONTH(DATE(cfg_FY,11,1),0))-$E245+1))</f>
        <v>0</v>
      </c>
      <c r="AS245" s="133" t="n">
        <f aca="false">IF(OR(OR($B245="",$E245="",$F245=""),$L245&lt;&gt;"لا"),0,MAX(0,MIN($F245,EOMONTH(DATE(cfg_FY,12,1),0))-$E245+1))</f>
        <v>0</v>
      </c>
      <c r="AT245" s="133" t="n">
        <f aca="false">IF(OR(OR($B245="",$E245="",$F245=""),$K245&lt;&gt;"نعم",$M245="نعم"),0,MAX(0,MIN($F245,EOMONTH(DATE(cfg_FY,1,1),0))-MAX($E245,DATE(cfg_FY,1,1))+1))</f>
        <v>0</v>
      </c>
      <c r="AU245" s="133" t="n">
        <f aca="false">IF(OR(OR($B245="",$E245="",$F245=""),$K245&lt;&gt;"نعم",$M245="نعم"),0,MAX(0,MIN($F245,EOMONTH(DATE(cfg_FY,2,1),0))-MAX($E245,DATE(cfg_FY,2,1))+1))</f>
        <v>0</v>
      </c>
      <c r="AV245" s="133" t="n">
        <f aca="false">IF(OR(OR($B245="",$E245="",$F245=""),$K245&lt;&gt;"نعم",$M245="نعم"),0,MAX(0,MIN($F245,EOMONTH(DATE(cfg_FY,3,1),0))-MAX($E245,DATE(cfg_FY,3,1))+1))</f>
        <v>0</v>
      </c>
      <c r="AW245" s="133" t="n">
        <f aca="false">IF(OR(OR($B245="",$E245="",$F245=""),$K245&lt;&gt;"نعم",$M245="نعم"),0,MAX(0,MIN($F245,EOMONTH(DATE(cfg_FY,4,1),0))-MAX($E245,DATE(cfg_FY,4,1))+1))</f>
        <v>0</v>
      </c>
      <c r="AX245" s="133" t="n">
        <f aca="false">IF(OR(OR($B245="",$E245="",$F245=""),$K245&lt;&gt;"نعم",$M245="نعم"),0,MAX(0,MIN($F245,EOMONTH(DATE(cfg_FY,5,1),0))-MAX($E245,DATE(cfg_FY,5,1))+1))</f>
        <v>0</v>
      </c>
      <c r="AY245" s="133" t="n">
        <f aca="false">IF(OR(OR($B245="",$E245="",$F245=""),$K245&lt;&gt;"نعم",$M245="نعم"),0,MAX(0,MIN($F245,EOMONTH(DATE(cfg_FY,6,1),0))-MAX($E245,DATE(cfg_FY,6,1))+1))</f>
        <v>0</v>
      </c>
      <c r="AZ245" s="133" t="n">
        <f aca="false">IF(OR(OR($B245="",$E245="",$F245=""),$K245&lt;&gt;"نعم",$M245="نعم"),0,MAX(0,MIN($F245,EOMONTH(DATE(cfg_FY,7,1),0))-MAX($E245,DATE(cfg_FY,7,1))+1))</f>
        <v>0</v>
      </c>
      <c r="BA245" s="133" t="n">
        <f aca="false">IF(OR(OR($B245="",$E245="",$F245=""),$K245&lt;&gt;"نعم",$M245="نعم"),0,MAX(0,MIN($F245,EOMONTH(DATE(cfg_FY,8,1),0))-MAX($E245,DATE(cfg_FY,8,1))+1))</f>
        <v>0</v>
      </c>
      <c r="BB245" s="133" t="n">
        <f aca="false">IF(OR(OR($B245="",$E245="",$F245=""),$K245&lt;&gt;"نعم",$M245="نعم"),0,MAX(0,MIN($F245,EOMONTH(DATE(cfg_FY,9,1),0))-MAX($E245,DATE(cfg_FY,9,1))+1))</f>
        <v>0</v>
      </c>
      <c r="BC245" s="133" t="n">
        <f aca="false">IF(OR(OR($B245="",$E245="",$F245=""),$K245&lt;&gt;"نعم",$M245="نعم"),0,MAX(0,MIN($F245,EOMONTH(DATE(cfg_FY,10,1),0))-MAX($E245,DATE(cfg_FY,10,1))+1))</f>
        <v>0</v>
      </c>
      <c r="BD245" s="133" t="n">
        <f aca="false">IF(OR(OR($B245="",$E245="",$F245=""),$K245&lt;&gt;"نعم",$M245="نعم"),0,MAX(0,MIN($F245,EOMONTH(DATE(cfg_FY,11,1),0))-MAX($E245,DATE(cfg_FY,11,1))+1))</f>
        <v>0</v>
      </c>
      <c r="BE245" s="133" t="n">
        <f aca="false">IF(OR(OR($B245="",$E245="",$F245=""),$K245&lt;&gt;"نعم",$M245="نعم"),0,MAX(0,MIN($F245,EOMONTH(DATE(cfg_FY,12,1),0))-MAX($E245,DATE(cfg_FY,12,1))+1))</f>
        <v>0</v>
      </c>
    </row>
    <row r="246" customFormat="false" ht="15" hidden="false" customHeight="false" outlineLevel="0" collapsed="false">
      <c r="A246" s="106" t="str">
        <f aca="false">IF(B246="","",ROW()-5)</f>
        <v/>
      </c>
      <c r="B246" s="118"/>
      <c r="C246" s="114" t="str">
        <f aca="false">IF(B246="","",IFERROR(INDEX(الموظفون!$C$6:$C$105,MATCH(B246,الموظفون!$B$6:$B$105,0)),"✖ رقم غير موجود"))</f>
        <v/>
      </c>
      <c r="D246" s="118"/>
      <c r="E246" s="119"/>
      <c r="F246" s="119"/>
      <c r="G246" s="65" t="str">
        <f aca="false">IF(OR($B246="",$E246="",$F246=""),"",MAX(0,F246-E246+1))</f>
        <v/>
      </c>
      <c r="H246" s="66" t="str">
        <f aca="false">IF(D246="","",IFERROR(VLOOKUP(D246,cfg_LT,2,FALSE()),1))</f>
        <v/>
      </c>
      <c r="I246" s="135"/>
      <c r="J246" s="66" t="str">
        <f aca="false">IF(D246="","",IF(I246&lt;&gt;"",I246,H246))</f>
        <v/>
      </c>
      <c r="K246" s="114" t="str">
        <f aca="false">IF(D246="","",IFERROR(VLOOKUP($D246,cfg_LT,3,FALSE()),""))</f>
        <v/>
      </c>
      <c r="L246" s="114" t="str">
        <f aca="false">IF(D246="","",IFERROR(VLOOKUP($D246,cfg_LT,4,FALSE()),""))</f>
        <v/>
      </c>
      <c r="M246" s="114" t="str">
        <f aca="false">IF(D246="","",IFERROR(VLOOKUP($D246,cfg_LT,5,FALSE()),""))</f>
        <v/>
      </c>
      <c r="N246" s="111" t="n">
        <f aca="false">IF(OR(OR($B246="",$E246="",$F246=""),M246&lt;&gt;"نعم"),0,G246*J246*IFERROR(INDEX(الموظفون!$R$6:$R$105,MATCH(B246,الموظفون!$B$6:$B$105,0)),0)/cfg_DAYS_M)</f>
        <v>0</v>
      </c>
      <c r="O246" s="106" t="str">
        <f aca="false">IF(OR(OR($B246="",$E246="",$F246=""),M246&lt;&gt;"نعم"),"",IF(YEAR(E246)=cfg_FY,MONTH(E246),""))</f>
        <v/>
      </c>
      <c r="P246" s="114" t="str">
        <f aca="false">IF(B246="","",IF(OR(D246="",E246="",F246=""),"⚠ أكمل النوع والتواريخ",IF(F246&lt;E246,"✖ النهاية قبل البداية",IF(COUNTIFS($B$6:$B$505,B246,$E$6:$E$505,"&lt;="&amp;F246,$F$6:$F$505,"&gt;="&amp;E246)&gt;1,"⚠ تداخل مع سجل آخر",IF(E246&gt;cfg_VAL_DATE,"⏳ قادمة",IF(F246&lt;cfg_VAL_DATE,"✔ منتهية","✈ جارية في تاريخ التقرير"))))))</f>
        <v/>
      </c>
      <c r="Q246" s="118"/>
      <c r="R246" s="65" t="n">
        <f aca="false">IF(OR(OR($B246="",$E246="",$F246=""),L246&lt;&gt;"لا"),0,MAX(0,MIN(F246,cfg_Y_START-1)-E246+1))</f>
        <v>0</v>
      </c>
      <c r="S246" s="65" t="n">
        <f aca="false">IF(OR(OR($B246="",$E246="",$F246=""),L246&lt;&gt;"لا"),0,MAX(0,MIN(F246,cfg_VAL_DATE)-E246+1))</f>
        <v>0</v>
      </c>
      <c r="T246" s="65" t="n">
        <f aca="false">IF(OR(OR($B246="",$E246="",$F246=""),K246&lt;&gt;"نعم"),0,IF(M246="نعم",IF(AND(ISNUMBER(O246),N(O246)&lt;=cfg_VAL_M),G246,0),MAX(0,MIN(F246,cfg_VAL_DATE)-MAX(E246,cfg_Y_START)+1)))</f>
        <v>0</v>
      </c>
      <c r="V246" s="65" t="n">
        <f aca="false">IF(OR($B246="",$E246="",$F246=""),0,MAX(0,MIN($F246,EOMONTH(DATE(cfg_FY,1,1),0))-MAX($E246,DATE(cfg_FY,1,1))+1)*(1-IF($M246="نعم",0,N($J246))))</f>
        <v>0</v>
      </c>
      <c r="W246" s="65" t="n">
        <f aca="false">IF(OR($B246="",$E246="",$F246=""),0,MAX(0,MIN($F246,EOMONTH(DATE(cfg_FY,2,1),0))-MAX($E246,DATE(cfg_FY,2,1))+1)*(1-IF($M246="نعم",0,N($J246))))</f>
        <v>0</v>
      </c>
      <c r="X246" s="65" t="n">
        <f aca="false">IF(OR($B246="",$E246="",$F246=""),0,MAX(0,MIN($F246,EOMONTH(DATE(cfg_FY,3,1),0))-MAX($E246,DATE(cfg_FY,3,1))+1)*(1-IF($M246="نعم",0,N($J246))))</f>
        <v>0</v>
      </c>
      <c r="Y246" s="65" t="n">
        <f aca="false">IF(OR($B246="",$E246="",$F246=""),0,MAX(0,MIN($F246,EOMONTH(DATE(cfg_FY,4,1),0))-MAX($E246,DATE(cfg_FY,4,1))+1)*(1-IF($M246="نعم",0,N($J246))))</f>
        <v>0</v>
      </c>
      <c r="Z246" s="65" t="n">
        <f aca="false">IF(OR($B246="",$E246="",$F246=""),0,MAX(0,MIN($F246,EOMONTH(DATE(cfg_FY,5,1),0))-MAX($E246,DATE(cfg_FY,5,1))+1)*(1-IF($M246="نعم",0,N($J246))))</f>
        <v>0</v>
      </c>
      <c r="AA246" s="65" t="n">
        <f aca="false">IF(OR($B246="",$E246="",$F246=""),0,MAX(0,MIN($F246,EOMONTH(DATE(cfg_FY,6,1),0))-MAX($E246,DATE(cfg_FY,6,1))+1)*(1-IF($M246="نعم",0,N($J246))))</f>
        <v>0</v>
      </c>
      <c r="AB246" s="65" t="n">
        <f aca="false">IF(OR($B246="",$E246="",$F246=""),0,MAX(0,MIN($F246,EOMONTH(DATE(cfg_FY,7,1),0))-MAX($E246,DATE(cfg_FY,7,1))+1)*(1-IF($M246="نعم",0,N($J246))))</f>
        <v>0</v>
      </c>
      <c r="AC246" s="65" t="n">
        <f aca="false">IF(OR($B246="",$E246="",$F246=""),0,MAX(0,MIN($F246,EOMONTH(DATE(cfg_FY,8,1),0))-MAX($E246,DATE(cfg_FY,8,1))+1)*(1-IF($M246="نعم",0,N($J246))))</f>
        <v>0</v>
      </c>
      <c r="AD246" s="65" t="n">
        <f aca="false">IF(OR($B246="",$E246="",$F246=""),0,MAX(0,MIN($F246,EOMONTH(DATE(cfg_FY,9,1),0))-MAX($E246,DATE(cfg_FY,9,1))+1)*(1-IF($M246="نعم",0,N($J246))))</f>
        <v>0</v>
      </c>
      <c r="AE246" s="65" t="n">
        <f aca="false">IF(OR($B246="",$E246="",$F246=""),0,MAX(0,MIN($F246,EOMONTH(DATE(cfg_FY,10,1),0))-MAX($E246,DATE(cfg_FY,10,1))+1)*(1-IF($M246="نعم",0,N($J246))))</f>
        <v>0</v>
      </c>
      <c r="AF246" s="65" t="n">
        <f aca="false">IF(OR($B246="",$E246="",$F246=""),0,MAX(0,MIN($F246,EOMONTH(DATE(cfg_FY,11,1),0))-MAX($E246,DATE(cfg_FY,11,1))+1)*(1-IF($M246="نعم",0,N($J246))))</f>
        <v>0</v>
      </c>
      <c r="AG246" s="65" t="n">
        <f aca="false">IF(OR($B246="",$E246="",$F246=""),0,MAX(0,MIN($F246,EOMONTH(DATE(cfg_FY,12,1),0))-MAX($E246,DATE(cfg_FY,12,1))+1)*(1-IF($M246="نعم",0,N($J246))))</f>
        <v>0</v>
      </c>
      <c r="AH246" s="65" t="n">
        <f aca="false">IF(OR(OR($B246="",$E246="",$F246=""),$L246&lt;&gt;"لا"),0,MAX(0,MIN($F246,EOMONTH(DATE(cfg_FY,1,1),0))-$E246+1))</f>
        <v>0</v>
      </c>
      <c r="AI246" s="65" t="n">
        <f aca="false">IF(OR(OR($B246="",$E246="",$F246=""),$L246&lt;&gt;"لا"),0,MAX(0,MIN($F246,EOMONTH(DATE(cfg_FY,2,1),0))-$E246+1))</f>
        <v>0</v>
      </c>
      <c r="AJ246" s="65" t="n">
        <f aca="false">IF(OR(OR($B246="",$E246="",$F246=""),$L246&lt;&gt;"لا"),0,MAX(0,MIN($F246,EOMONTH(DATE(cfg_FY,3,1),0))-$E246+1))</f>
        <v>0</v>
      </c>
      <c r="AK246" s="65" t="n">
        <f aca="false">IF(OR(OR($B246="",$E246="",$F246=""),$L246&lt;&gt;"لا"),0,MAX(0,MIN($F246,EOMONTH(DATE(cfg_FY,4,1),0))-$E246+1))</f>
        <v>0</v>
      </c>
      <c r="AL246" s="65" t="n">
        <f aca="false">IF(OR(OR($B246="",$E246="",$F246=""),$L246&lt;&gt;"لا"),0,MAX(0,MIN($F246,EOMONTH(DATE(cfg_FY,5,1),0))-$E246+1))</f>
        <v>0</v>
      </c>
      <c r="AM246" s="65" t="n">
        <f aca="false">IF(OR(OR($B246="",$E246="",$F246=""),$L246&lt;&gt;"لا"),0,MAX(0,MIN($F246,EOMONTH(DATE(cfg_FY,6,1),0))-$E246+1))</f>
        <v>0</v>
      </c>
      <c r="AN246" s="65" t="n">
        <f aca="false">IF(OR(OR($B246="",$E246="",$F246=""),$L246&lt;&gt;"لا"),0,MAX(0,MIN($F246,EOMONTH(DATE(cfg_FY,7,1),0))-$E246+1))</f>
        <v>0</v>
      </c>
      <c r="AO246" s="65" t="n">
        <f aca="false">IF(OR(OR($B246="",$E246="",$F246=""),$L246&lt;&gt;"لا"),0,MAX(0,MIN($F246,EOMONTH(DATE(cfg_FY,8,1),0))-$E246+1))</f>
        <v>0</v>
      </c>
      <c r="AP246" s="65" t="n">
        <f aca="false">IF(OR(OR($B246="",$E246="",$F246=""),$L246&lt;&gt;"لا"),0,MAX(0,MIN($F246,EOMONTH(DATE(cfg_FY,9,1),0))-$E246+1))</f>
        <v>0</v>
      </c>
      <c r="AQ246" s="65" t="n">
        <f aca="false">IF(OR(OR($B246="",$E246="",$F246=""),$L246&lt;&gt;"لا"),0,MAX(0,MIN($F246,EOMONTH(DATE(cfg_FY,10,1),0))-$E246+1))</f>
        <v>0</v>
      </c>
      <c r="AR246" s="65" t="n">
        <f aca="false">IF(OR(OR($B246="",$E246="",$F246=""),$L246&lt;&gt;"لا"),0,MAX(0,MIN($F246,EOMONTH(DATE(cfg_FY,11,1),0))-$E246+1))</f>
        <v>0</v>
      </c>
      <c r="AS246" s="65" t="n">
        <f aca="false">IF(OR(OR($B246="",$E246="",$F246=""),$L246&lt;&gt;"لا"),0,MAX(0,MIN($F246,EOMONTH(DATE(cfg_FY,12,1),0))-$E246+1))</f>
        <v>0</v>
      </c>
      <c r="AT246" s="65" t="n">
        <f aca="false">IF(OR(OR($B246="",$E246="",$F246=""),$K246&lt;&gt;"نعم",$M246="نعم"),0,MAX(0,MIN($F246,EOMONTH(DATE(cfg_FY,1,1),0))-MAX($E246,DATE(cfg_FY,1,1))+1))</f>
        <v>0</v>
      </c>
      <c r="AU246" s="65" t="n">
        <f aca="false">IF(OR(OR($B246="",$E246="",$F246=""),$K246&lt;&gt;"نعم",$M246="نعم"),0,MAX(0,MIN($F246,EOMONTH(DATE(cfg_FY,2,1),0))-MAX($E246,DATE(cfg_FY,2,1))+1))</f>
        <v>0</v>
      </c>
      <c r="AV246" s="65" t="n">
        <f aca="false">IF(OR(OR($B246="",$E246="",$F246=""),$K246&lt;&gt;"نعم",$M246="نعم"),0,MAX(0,MIN($F246,EOMONTH(DATE(cfg_FY,3,1),0))-MAX($E246,DATE(cfg_FY,3,1))+1))</f>
        <v>0</v>
      </c>
      <c r="AW246" s="65" t="n">
        <f aca="false">IF(OR(OR($B246="",$E246="",$F246=""),$K246&lt;&gt;"نعم",$M246="نعم"),0,MAX(0,MIN($F246,EOMONTH(DATE(cfg_FY,4,1),0))-MAX($E246,DATE(cfg_FY,4,1))+1))</f>
        <v>0</v>
      </c>
      <c r="AX246" s="65" t="n">
        <f aca="false">IF(OR(OR($B246="",$E246="",$F246=""),$K246&lt;&gt;"نعم",$M246="نعم"),0,MAX(0,MIN($F246,EOMONTH(DATE(cfg_FY,5,1),0))-MAX($E246,DATE(cfg_FY,5,1))+1))</f>
        <v>0</v>
      </c>
      <c r="AY246" s="65" t="n">
        <f aca="false">IF(OR(OR($B246="",$E246="",$F246=""),$K246&lt;&gt;"نعم",$M246="نعم"),0,MAX(0,MIN($F246,EOMONTH(DATE(cfg_FY,6,1),0))-MAX($E246,DATE(cfg_FY,6,1))+1))</f>
        <v>0</v>
      </c>
      <c r="AZ246" s="65" t="n">
        <f aca="false">IF(OR(OR($B246="",$E246="",$F246=""),$K246&lt;&gt;"نعم",$M246="نعم"),0,MAX(0,MIN($F246,EOMONTH(DATE(cfg_FY,7,1),0))-MAX($E246,DATE(cfg_FY,7,1))+1))</f>
        <v>0</v>
      </c>
      <c r="BA246" s="65" t="n">
        <f aca="false">IF(OR(OR($B246="",$E246="",$F246=""),$K246&lt;&gt;"نعم",$M246="نعم"),0,MAX(0,MIN($F246,EOMONTH(DATE(cfg_FY,8,1),0))-MAX($E246,DATE(cfg_FY,8,1))+1))</f>
        <v>0</v>
      </c>
      <c r="BB246" s="65" t="n">
        <f aca="false">IF(OR(OR($B246="",$E246="",$F246=""),$K246&lt;&gt;"نعم",$M246="نعم"),0,MAX(0,MIN($F246,EOMONTH(DATE(cfg_FY,9,1),0))-MAX($E246,DATE(cfg_FY,9,1))+1))</f>
        <v>0</v>
      </c>
      <c r="BC246" s="65" t="n">
        <f aca="false">IF(OR(OR($B246="",$E246="",$F246=""),$K246&lt;&gt;"نعم",$M246="نعم"),0,MAX(0,MIN($F246,EOMONTH(DATE(cfg_FY,10,1),0))-MAX($E246,DATE(cfg_FY,10,1))+1))</f>
        <v>0</v>
      </c>
      <c r="BD246" s="65" t="n">
        <f aca="false">IF(OR(OR($B246="",$E246="",$F246=""),$K246&lt;&gt;"نعم",$M246="نعم"),0,MAX(0,MIN($F246,EOMONTH(DATE(cfg_FY,11,1),0))-MAX($E246,DATE(cfg_FY,11,1))+1))</f>
        <v>0</v>
      </c>
      <c r="BE246" s="65" t="n">
        <f aca="false">IF(OR(OR($B246="",$E246="",$F246=""),$K246&lt;&gt;"نعم",$M246="نعم"),0,MAX(0,MIN($F246,EOMONTH(DATE(cfg_FY,12,1),0))-MAX($E246,DATE(cfg_FY,12,1))+1))</f>
        <v>0</v>
      </c>
    </row>
    <row r="247" customFormat="false" ht="15" hidden="false" customHeight="false" outlineLevel="0" collapsed="false">
      <c r="A247" s="115" t="str">
        <f aca="false">IF(B247="","",ROW()-5)</f>
        <v/>
      </c>
      <c r="B247" s="118"/>
      <c r="C247" s="117" t="str">
        <f aca="false">IF(B247="","",IFERROR(INDEX(الموظفون!$C$6:$C$105,MATCH(B247,الموظفون!$B$6:$B$105,0)),"✖ رقم غير موجود"))</f>
        <v/>
      </c>
      <c r="D247" s="118"/>
      <c r="E247" s="119"/>
      <c r="F247" s="119"/>
      <c r="G247" s="133" t="str">
        <f aca="false">IF(OR($B247="",$E247="",$F247=""),"",MAX(0,F247-E247+1))</f>
        <v/>
      </c>
      <c r="H247" s="134" t="str">
        <f aca="false">IF(D247="","",IFERROR(VLOOKUP(D247,cfg_LT,2,FALSE()),1))</f>
        <v/>
      </c>
      <c r="I247" s="135"/>
      <c r="J247" s="134" t="str">
        <f aca="false">IF(D247="","",IF(I247&lt;&gt;"",I247,H247))</f>
        <v/>
      </c>
      <c r="K247" s="117" t="str">
        <f aca="false">IF(D247="","",IFERROR(VLOOKUP($D247,cfg_LT,3,FALSE()),""))</f>
        <v/>
      </c>
      <c r="L247" s="117" t="str">
        <f aca="false">IF(D247="","",IFERROR(VLOOKUP($D247,cfg_LT,4,FALSE()),""))</f>
        <v/>
      </c>
      <c r="M247" s="117" t="str">
        <f aca="false">IF(D247="","",IFERROR(VLOOKUP($D247,cfg_LT,5,FALSE()),""))</f>
        <v/>
      </c>
      <c r="N247" s="116" t="n">
        <f aca="false">IF(OR(OR($B247="",$E247="",$F247=""),M247&lt;&gt;"نعم"),0,G247*J247*IFERROR(INDEX(الموظفون!$R$6:$R$105,MATCH(B247,الموظفون!$B$6:$B$105,0)),0)/cfg_DAYS_M)</f>
        <v>0</v>
      </c>
      <c r="O247" s="115" t="str">
        <f aca="false">IF(OR(OR($B247="",$E247="",$F247=""),M247&lt;&gt;"نعم"),"",IF(YEAR(E247)=cfg_FY,MONTH(E247),""))</f>
        <v/>
      </c>
      <c r="P247" s="117" t="str">
        <f aca="false">IF(B247="","",IF(OR(D247="",E247="",F247=""),"⚠ أكمل النوع والتواريخ",IF(F247&lt;E247,"✖ النهاية قبل البداية",IF(COUNTIFS($B$6:$B$505,B247,$E$6:$E$505,"&lt;="&amp;F247,$F$6:$F$505,"&gt;="&amp;E247)&gt;1,"⚠ تداخل مع سجل آخر",IF(E247&gt;cfg_VAL_DATE,"⏳ قادمة",IF(F247&lt;cfg_VAL_DATE,"✔ منتهية","✈ جارية في تاريخ التقرير"))))))</f>
        <v/>
      </c>
      <c r="Q247" s="118"/>
      <c r="R247" s="133" t="n">
        <f aca="false">IF(OR(OR($B247="",$E247="",$F247=""),L247&lt;&gt;"لا"),0,MAX(0,MIN(F247,cfg_Y_START-1)-E247+1))</f>
        <v>0</v>
      </c>
      <c r="S247" s="133" t="n">
        <f aca="false">IF(OR(OR($B247="",$E247="",$F247=""),L247&lt;&gt;"لا"),0,MAX(0,MIN(F247,cfg_VAL_DATE)-E247+1))</f>
        <v>0</v>
      </c>
      <c r="T247" s="133" t="n">
        <f aca="false">IF(OR(OR($B247="",$E247="",$F247=""),K247&lt;&gt;"نعم"),0,IF(M247="نعم",IF(AND(ISNUMBER(O247),N(O247)&lt;=cfg_VAL_M),G247,0),MAX(0,MIN(F247,cfg_VAL_DATE)-MAX(E247,cfg_Y_START)+1)))</f>
        <v>0</v>
      </c>
      <c r="V247" s="133" t="n">
        <f aca="false">IF(OR($B247="",$E247="",$F247=""),0,MAX(0,MIN($F247,EOMONTH(DATE(cfg_FY,1,1),0))-MAX($E247,DATE(cfg_FY,1,1))+1)*(1-IF($M247="نعم",0,N($J247))))</f>
        <v>0</v>
      </c>
      <c r="W247" s="133" t="n">
        <f aca="false">IF(OR($B247="",$E247="",$F247=""),0,MAX(0,MIN($F247,EOMONTH(DATE(cfg_FY,2,1),0))-MAX($E247,DATE(cfg_FY,2,1))+1)*(1-IF($M247="نعم",0,N($J247))))</f>
        <v>0</v>
      </c>
      <c r="X247" s="133" t="n">
        <f aca="false">IF(OR($B247="",$E247="",$F247=""),0,MAX(0,MIN($F247,EOMONTH(DATE(cfg_FY,3,1),0))-MAX($E247,DATE(cfg_FY,3,1))+1)*(1-IF($M247="نعم",0,N($J247))))</f>
        <v>0</v>
      </c>
      <c r="Y247" s="133" t="n">
        <f aca="false">IF(OR($B247="",$E247="",$F247=""),0,MAX(0,MIN($F247,EOMONTH(DATE(cfg_FY,4,1),0))-MAX($E247,DATE(cfg_FY,4,1))+1)*(1-IF($M247="نعم",0,N($J247))))</f>
        <v>0</v>
      </c>
      <c r="Z247" s="133" t="n">
        <f aca="false">IF(OR($B247="",$E247="",$F247=""),0,MAX(0,MIN($F247,EOMONTH(DATE(cfg_FY,5,1),0))-MAX($E247,DATE(cfg_FY,5,1))+1)*(1-IF($M247="نعم",0,N($J247))))</f>
        <v>0</v>
      </c>
      <c r="AA247" s="133" t="n">
        <f aca="false">IF(OR($B247="",$E247="",$F247=""),0,MAX(0,MIN($F247,EOMONTH(DATE(cfg_FY,6,1),0))-MAX($E247,DATE(cfg_FY,6,1))+1)*(1-IF($M247="نعم",0,N($J247))))</f>
        <v>0</v>
      </c>
      <c r="AB247" s="133" t="n">
        <f aca="false">IF(OR($B247="",$E247="",$F247=""),0,MAX(0,MIN($F247,EOMONTH(DATE(cfg_FY,7,1),0))-MAX($E247,DATE(cfg_FY,7,1))+1)*(1-IF($M247="نعم",0,N($J247))))</f>
        <v>0</v>
      </c>
      <c r="AC247" s="133" t="n">
        <f aca="false">IF(OR($B247="",$E247="",$F247=""),0,MAX(0,MIN($F247,EOMONTH(DATE(cfg_FY,8,1),0))-MAX($E247,DATE(cfg_FY,8,1))+1)*(1-IF($M247="نعم",0,N($J247))))</f>
        <v>0</v>
      </c>
      <c r="AD247" s="133" t="n">
        <f aca="false">IF(OR($B247="",$E247="",$F247=""),0,MAX(0,MIN($F247,EOMONTH(DATE(cfg_FY,9,1),0))-MAX($E247,DATE(cfg_FY,9,1))+1)*(1-IF($M247="نعم",0,N($J247))))</f>
        <v>0</v>
      </c>
      <c r="AE247" s="133" t="n">
        <f aca="false">IF(OR($B247="",$E247="",$F247=""),0,MAX(0,MIN($F247,EOMONTH(DATE(cfg_FY,10,1),0))-MAX($E247,DATE(cfg_FY,10,1))+1)*(1-IF($M247="نعم",0,N($J247))))</f>
        <v>0</v>
      </c>
      <c r="AF247" s="133" t="n">
        <f aca="false">IF(OR($B247="",$E247="",$F247=""),0,MAX(0,MIN($F247,EOMONTH(DATE(cfg_FY,11,1),0))-MAX($E247,DATE(cfg_FY,11,1))+1)*(1-IF($M247="نعم",0,N($J247))))</f>
        <v>0</v>
      </c>
      <c r="AG247" s="133" t="n">
        <f aca="false">IF(OR($B247="",$E247="",$F247=""),0,MAX(0,MIN($F247,EOMONTH(DATE(cfg_FY,12,1),0))-MAX($E247,DATE(cfg_FY,12,1))+1)*(1-IF($M247="نعم",0,N($J247))))</f>
        <v>0</v>
      </c>
      <c r="AH247" s="133" t="n">
        <f aca="false">IF(OR(OR($B247="",$E247="",$F247=""),$L247&lt;&gt;"لا"),0,MAX(0,MIN($F247,EOMONTH(DATE(cfg_FY,1,1),0))-$E247+1))</f>
        <v>0</v>
      </c>
      <c r="AI247" s="133" t="n">
        <f aca="false">IF(OR(OR($B247="",$E247="",$F247=""),$L247&lt;&gt;"لا"),0,MAX(0,MIN($F247,EOMONTH(DATE(cfg_FY,2,1),0))-$E247+1))</f>
        <v>0</v>
      </c>
      <c r="AJ247" s="133" t="n">
        <f aca="false">IF(OR(OR($B247="",$E247="",$F247=""),$L247&lt;&gt;"لا"),0,MAX(0,MIN($F247,EOMONTH(DATE(cfg_FY,3,1),0))-$E247+1))</f>
        <v>0</v>
      </c>
      <c r="AK247" s="133" t="n">
        <f aca="false">IF(OR(OR($B247="",$E247="",$F247=""),$L247&lt;&gt;"لا"),0,MAX(0,MIN($F247,EOMONTH(DATE(cfg_FY,4,1),0))-$E247+1))</f>
        <v>0</v>
      </c>
      <c r="AL247" s="133" t="n">
        <f aca="false">IF(OR(OR($B247="",$E247="",$F247=""),$L247&lt;&gt;"لا"),0,MAX(0,MIN($F247,EOMONTH(DATE(cfg_FY,5,1),0))-$E247+1))</f>
        <v>0</v>
      </c>
      <c r="AM247" s="133" t="n">
        <f aca="false">IF(OR(OR($B247="",$E247="",$F247=""),$L247&lt;&gt;"لا"),0,MAX(0,MIN($F247,EOMONTH(DATE(cfg_FY,6,1),0))-$E247+1))</f>
        <v>0</v>
      </c>
      <c r="AN247" s="133" t="n">
        <f aca="false">IF(OR(OR($B247="",$E247="",$F247=""),$L247&lt;&gt;"لا"),0,MAX(0,MIN($F247,EOMONTH(DATE(cfg_FY,7,1),0))-$E247+1))</f>
        <v>0</v>
      </c>
      <c r="AO247" s="133" t="n">
        <f aca="false">IF(OR(OR($B247="",$E247="",$F247=""),$L247&lt;&gt;"لا"),0,MAX(0,MIN($F247,EOMONTH(DATE(cfg_FY,8,1),0))-$E247+1))</f>
        <v>0</v>
      </c>
      <c r="AP247" s="133" t="n">
        <f aca="false">IF(OR(OR($B247="",$E247="",$F247=""),$L247&lt;&gt;"لا"),0,MAX(0,MIN($F247,EOMONTH(DATE(cfg_FY,9,1),0))-$E247+1))</f>
        <v>0</v>
      </c>
      <c r="AQ247" s="133" t="n">
        <f aca="false">IF(OR(OR($B247="",$E247="",$F247=""),$L247&lt;&gt;"لا"),0,MAX(0,MIN($F247,EOMONTH(DATE(cfg_FY,10,1),0))-$E247+1))</f>
        <v>0</v>
      </c>
      <c r="AR247" s="133" t="n">
        <f aca="false">IF(OR(OR($B247="",$E247="",$F247=""),$L247&lt;&gt;"لا"),0,MAX(0,MIN($F247,EOMONTH(DATE(cfg_FY,11,1),0))-$E247+1))</f>
        <v>0</v>
      </c>
      <c r="AS247" s="133" t="n">
        <f aca="false">IF(OR(OR($B247="",$E247="",$F247=""),$L247&lt;&gt;"لا"),0,MAX(0,MIN($F247,EOMONTH(DATE(cfg_FY,12,1),0))-$E247+1))</f>
        <v>0</v>
      </c>
      <c r="AT247" s="133" t="n">
        <f aca="false">IF(OR(OR($B247="",$E247="",$F247=""),$K247&lt;&gt;"نعم",$M247="نعم"),0,MAX(0,MIN($F247,EOMONTH(DATE(cfg_FY,1,1),0))-MAX($E247,DATE(cfg_FY,1,1))+1))</f>
        <v>0</v>
      </c>
      <c r="AU247" s="133" t="n">
        <f aca="false">IF(OR(OR($B247="",$E247="",$F247=""),$K247&lt;&gt;"نعم",$M247="نعم"),0,MAX(0,MIN($F247,EOMONTH(DATE(cfg_FY,2,1),0))-MAX($E247,DATE(cfg_FY,2,1))+1))</f>
        <v>0</v>
      </c>
      <c r="AV247" s="133" t="n">
        <f aca="false">IF(OR(OR($B247="",$E247="",$F247=""),$K247&lt;&gt;"نعم",$M247="نعم"),0,MAX(0,MIN($F247,EOMONTH(DATE(cfg_FY,3,1),0))-MAX($E247,DATE(cfg_FY,3,1))+1))</f>
        <v>0</v>
      </c>
      <c r="AW247" s="133" t="n">
        <f aca="false">IF(OR(OR($B247="",$E247="",$F247=""),$K247&lt;&gt;"نعم",$M247="نعم"),0,MAX(0,MIN($F247,EOMONTH(DATE(cfg_FY,4,1),0))-MAX($E247,DATE(cfg_FY,4,1))+1))</f>
        <v>0</v>
      </c>
      <c r="AX247" s="133" t="n">
        <f aca="false">IF(OR(OR($B247="",$E247="",$F247=""),$K247&lt;&gt;"نعم",$M247="نعم"),0,MAX(0,MIN($F247,EOMONTH(DATE(cfg_FY,5,1),0))-MAX($E247,DATE(cfg_FY,5,1))+1))</f>
        <v>0</v>
      </c>
      <c r="AY247" s="133" t="n">
        <f aca="false">IF(OR(OR($B247="",$E247="",$F247=""),$K247&lt;&gt;"نعم",$M247="نعم"),0,MAX(0,MIN($F247,EOMONTH(DATE(cfg_FY,6,1),0))-MAX($E247,DATE(cfg_FY,6,1))+1))</f>
        <v>0</v>
      </c>
      <c r="AZ247" s="133" t="n">
        <f aca="false">IF(OR(OR($B247="",$E247="",$F247=""),$K247&lt;&gt;"نعم",$M247="نعم"),0,MAX(0,MIN($F247,EOMONTH(DATE(cfg_FY,7,1),0))-MAX($E247,DATE(cfg_FY,7,1))+1))</f>
        <v>0</v>
      </c>
      <c r="BA247" s="133" t="n">
        <f aca="false">IF(OR(OR($B247="",$E247="",$F247=""),$K247&lt;&gt;"نعم",$M247="نعم"),0,MAX(0,MIN($F247,EOMONTH(DATE(cfg_FY,8,1),0))-MAX($E247,DATE(cfg_FY,8,1))+1))</f>
        <v>0</v>
      </c>
      <c r="BB247" s="133" t="n">
        <f aca="false">IF(OR(OR($B247="",$E247="",$F247=""),$K247&lt;&gt;"نعم",$M247="نعم"),0,MAX(0,MIN($F247,EOMONTH(DATE(cfg_FY,9,1),0))-MAX($E247,DATE(cfg_FY,9,1))+1))</f>
        <v>0</v>
      </c>
      <c r="BC247" s="133" t="n">
        <f aca="false">IF(OR(OR($B247="",$E247="",$F247=""),$K247&lt;&gt;"نعم",$M247="نعم"),0,MAX(0,MIN($F247,EOMONTH(DATE(cfg_FY,10,1),0))-MAX($E247,DATE(cfg_FY,10,1))+1))</f>
        <v>0</v>
      </c>
      <c r="BD247" s="133" t="n">
        <f aca="false">IF(OR(OR($B247="",$E247="",$F247=""),$K247&lt;&gt;"نعم",$M247="نعم"),0,MAX(0,MIN($F247,EOMONTH(DATE(cfg_FY,11,1),0))-MAX($E247,DATE(cfg_FY,11,1))+1))</f>
        <v>0</v>
      </c>
      <c r="BE247" s="133" t="n">
        <f aca="false">IF(OR(OR($B247="",$E247="",$F247=""),$K247&lt;&gt;"نعم",$M247="نعم"),0,MAX(0,MIN($F247,EOMONTH(DATE(cfg_FY,12,1),0))-MAX($E247,DATE(cfg_FY,12,1))+1))</f>
        <v>0</v>
      </c>
    </row>
    <row r="248" customFormat="false" ht="15" hidden="false" customHeight="false" outlineLevel="0" collapsed="false">
      <c r="A248" s="106" t="str">
        <f aca="false">IF(B248="","",ROW()-5)</f>
        <v/>
      </c>
      <c r="B248" s="118"/>
      <c r="C248" s="114" t="str">
        <f aca="false">IF(B248="","",IFERROR(INDEX(الموظفون!$C$6:$C$105,MATCH(B248,الموظفون!$B$6:$B$105,0)),"✖ رقم غير موجود"))</f>
        <v/>
      </c>
      <c r="D248" s="118"/>
      <c r="E248" s="119"/>
      <c r="F248" s="119"/>
      <c r="G248" s="65" t="str">
        <f aca="false">IF(OR($B248="",$E248="",$F248=""),"",MAX(0,F248-E248+1))</f>
        <v/>
      </c>
      <c r="H248" s="66" t="str">
        <f aca="false">IF(D248="","",IFERROR(VLOOKUP(D248,cfg_LT,2,FALSE()),1))</f>
        <v/>
      </c>
      <c r="I248" s="135"/>
      <c r="J248" s="66" t="str">
        <f aca="false">IF(D248="","",IF(I248&lt;&gt;"",I248,H248))</f>
        <v/>
      </c>
      <c r="K248" s="114" t="str">
        <f aca="false">IF(D248="","",IFERROR(VLOOKUP($D248,cfg_LT,3,FALSE()),""))</f>
        <v/>
      </c>
      <c r="L248" s="114" t="str">
        <f aca="false">IF(D248="","",IFERROR(VLOOKUP($D248,cfg_LT,4,FALSE()),""))</f>
        <v/>
      </c>
      <c r="M248" s="114" t="str">
        <f aca="false">IF(D248="","",IFERROR(VLOOKUP($D248,cfg_LT,5,FALSE()),""))</f>
        <v/>
      </c>
      <c r="N248" s="111" t="n">
        <f aca="false">IF(OR(OR($B248="",$E248="",$F248=""),M248&lt;&gt;"نعم"),0,G248*J248*IFERROR(INDEX(الموظفون!$R$6:$R$105,MATCH(B248,الموظفون!$B$6:$B$105,0)),0)/cfg_DAYS_M)</f>
        <v>0</v>
      </c>
      <c r="O248" s="106" t="str">
        <f aca="false">IF(OR(OR($B248="",$E248="",$F248=""),M248&lt;&gt;"نعم"),"",IF(YEAR(E248)=cfg_FY,MONTH(E248),""))</f>
        <v/>
      </c>
      <c r="P248" s="114" t="str">
        <f aca="false">IF(B248="","",IF(OR(D248="",E248="",F248=""),"⚠ أكمل النوع والتواريخ",IF(F248&lt;E248,"✖ النهاية قبل البداية",IF(COUNTIFS($B$6:$B$505,B248,$E$6:$E$505,"&lt;="&amp;F248,$F$6:$F$505,"&gt;="&amp;E248)&gt;1,"⚠ تداخل مع سجل آخر",IF(E248&gt;cfg_VAL_DATE,"⏳ قادمة",IF(F248&lt;cfg_VAL_DATE,"✔ منتهية","✈ جارية في تاريخ التقرير"))))))</f>
        <v/>
      </c>
      <c r="Q248" s="118"/>
      <c r="R248" s="65" t="n">
        <f aca="false">IF(OR(OR($B248="",$E248="",$F248=""),L248&lt;&gt;"لا"),0,MAX(0,MIN(F248,cfg_Y_START-1)-E248+1))</f>
        <v>0</v>
      </c>
      <c r="S248" s="65" t="n">
        <f aca="false">IF(OR(OR($B248="",$E248="",$F248=""),L248&lt;&gt;"لا"),0,MAX(0,MIN(F248,cfg_VAL_DATE)-E248+1))</f>
        <v>0</v>
      </c>
      <c r="T248" s="65" t="n">
        <f aca="false">IF(OR(OR($B248="",$E248="",$F248=""),K248&lt;&gt;"نعم"),0,IF(M248="نعم",IF(AND(ISNUMBER(O248),N(O248)&lt;=cfg_VAL_M),G248,0),MAX(0,MIN(F248,cfg_VAL_DATE)-MAX(E248,cfg_Y_START)+1)))</f>
        <v>0</v>
      </c>
      <c r="V248" s="65" t="n">
        <f aca="false">IF(OR($B248="",$E248="",$F248=""),0,MAX(0,MIN($F248,EOMONTH(DATE(cfg_FY,1,1),0))-MAX($E248,DATE(cfg_FY,1,1))+1)*(1-IF($M248="نعم",0,N($J248))))</f>
        <v>0</v>
      </c>
      <c r="W248" s="65" t="n">
        <f aca="false">IF(OR($B248="",$E248="",$F248=""),0,MAX(0,MIN($F248,EOMONTH(DATE(cfg_FY,2,1),0))-MAX($E248,DATE(cfg_FY,2,1))+1)*(1-IF($M248="نعم",0,N($J248))))</f>
        <v>0</v>
      </c>
      <c r="X248" s="65" t="n">
        <f aca="false">IF(OR($B248="",$E248="",$F248=""),0,MAX(0,MIN($F248,EOMONTH(DATE(cfg_FY,3,1),0))-MAX($E248,DATE(cfg_FY,3,1))+1)*(1-IF($M248="نعم",0,N($J248))))</f>
        <v>0</v>
      </c>
      <c r="Y248" s="65" t="n">
        <f aca="false">IF(OR($B248="",$E248="",$F248=""),0,MAX(0,MIN($F248,EOMONTH(DATE(cfg_FY,4,1),0))-MAX($E248,DATE(cfg_FY,4,1))+1)*(1-IF($M248="نعم",0,N($J248))))</f>
        <v>0</v>
      </c>
      <c r="Z248" s="65" t="n">
        <f aca="false">IF(OR($B248="",$E248="",$F248=""),0,MAX(0,MIN($F248,EOMONTH(DATE(cfg_FY,5,1),0))-MAX($E248,DATE(cfg_FY,5,1))+1)*(1-IF($M248="نعم",0,N($J248))))</f>
        <v>0</v>
      </c>
      <c r="AA248" s="65" t="n">
        <f aca="false">IF(OR($B248="",$E248="",$F248=""),0,MAX(0,MIN($F248,EOMONTH(DATE(cfg_FY,6,1),0))-MAX($E248,DATE(cfg_FY,6,1))+1)*(1-IF($M248="نعم",0,N($J248))))</f>
        <v>0</v>
      </c>
      <c r="AB248" s="65" t="n">
        <f aca="false">IF(OR($B248="",$E248="",$F248=""),0,MAX(0,MIN($F248,EOMONTH(DATE(cfg_FY,7,1),0))-MAX($E248,DATE(cfg_FY,7,1))+1)*(1-IF($M248="نعم",0,N($J248))))</f>
        <v>0</v>
      </c>
      <c r="AC248" s="65" t="n">
        <f aca="false">IF(OR($B248="",$E248="",$F248=""),0,MAX(0,MIN($F248,EOMONTH(DATE(cfg_FY,8,1),0))-MAX($E248,DATE(cfg_FY,8,1))+1)*(1-IF($M248="نعم",0,N($J248))))</f>
        <v>0</v>
      </c>
      <c r="AD248" s="65" t="n">
        <f aca="false">IF(OR($B248="",$E248="",$F248=""),0,MAX(0,MIN($F248,EOMONTH(DATE(cfg_FY,9,1),0))-MAX($E248,DATE(cfg_FY,9,1))+1)*(1-IF($M248="نعم",0,N($J248))))</f>
        <v>0</v>
      </c>
      <c r="AE248" s="65" t="n">
        <f aca="false">IF(OR($B248="",$E248="",$F248=""),0,MAX(0,MIN($F248,EOMONTH(DATE(cfg_FY,10,1),0))-MAX($E248,DATE(cfg_FY,10,1))+1)*(1-IF($M248="نعم",0,N($J248))))</f>
        <v>0</v>
      </c>
      <c r="AF248" s="65" t="n">
        <f aca="false">IF(OR($B248="",$E248="",$F248=""),0,MAX(0,MIN($F248,EOMONTH(DATE(cfg_FY,11,1),0))-MAX($E248,DATE(cfg_FY,11,1))+1)*(1-IF($M248="نعم",0,N($J248))))</f>
        <v>0</v>
      </c>
      <c r="AG248" s="65" t="n">
        <f aca="false">IF(OR($B248="",$E248="",$F248=""),0,MAX(0,MIN($F248,EOMONTH(DATE(cfg_FY,12,1),0))-MAX($E248,DATE(cfg_FY,12,1))+1)*(1-IF($M248="نعم",0,N($J248))))</f>
        <v>0</v>
      </c>
      <c r="AH248" s="65" t="n">
        <f aca="false">IF(OR(OR($B248="",$E248="",$F248=""),$L248&lt;&gt;"لا"),0,MAX(0,MIN($F248,EOMONTH(DATE(cfg_FY,1,1),0))-$E248+1))</f>
        <v>0</v>
      </c>
      <c r="AI248" s="65" t="n">
        <f aca="false">IF(OR(OR($B248="",$E248="",$F248=""),$L248&lt;&gt;"لا"),0,MAX(0,MIN($F248,EOMONTH(DATE(cfg_FY,2,1),0))-$E248+1))</f>
        <v>0</v>
      </c>
      <c r="AJ248" s="65" t="n">
        <f aca="false">IF(OR(OR($B248="",$E248="",$F248=""),$L248&lt;&gt;"لا"),0,MAX(0,MIN($F248,EOMONTH(DATE(cfg_FY,3,1),0))-$E248+1))</f>
        <v>0</v>
      </c>
      <c r="AK248" s="65" t="n">
        <f aca="false">IF(OR(OR($B248="",$E248="",$F248=""),$L248&lt;&gt;"لا"),0,MAX(0,MIN($F248,EOMONTH(DATE(cfg_FY,4,1),0))-$E248+1))</f>
        <v>0</v>
      </c>
      <c r="AL248" s="65" t="n">
        <f aca="false">IF(OR(OR($B248="",$E248="",$F248=""),$L248&lt;&gt;"لا"),0,MAX(0,MIN($F248,EOMONTH(DATE(cfg_FY,5,1),0))-$E248+1))</f>
        <v>0</v>
      </c>
      <c r="AM248" s="65" t="n">
        <f aca="false">IF(OR(OR($B248="",$E248="",$F248=""),$L248&lt;&gt;"لا"),0,MAX(0,MIN($F248,EOMONTH(DATE(cfg_FY,6,1),0))-$E248+1))</f>
        <v>0</v>
      </c>
      <c r="AN248" s="65" t="n">
        <f aca="false">IF(OR(OR($B248="",$E248="",$F248=""),$L248&lt;&gt;"لا"),0,MAX(0,MIN($F248,EOMONTH(DATE(cfg_FY,7,1),0))-$E248+1))</f>
        <v>0</v>
      </c>
      <c r="AO248" s="65" t="n">
        <f aca="false">IF(OR(OR($B248="",$E248="",$F248=""),$L248&lt;&gt;"لا"),0,MAX(0,MIN($F248,EOMONTH(DATE(cfg_FY,8,1),0))-$E248+1))</f>
        <v>0</v>
      </c>
      <c r="AP248" s="65" t="n">
        <f aca="false">IF(OR(OR($B248="",$E248="",$F248=""),$L248&lt;&gt;"لا"),0,MAX(0,MIN($F248,EOMONTH(DATE(cfg_FY,9,1),0))-$E248+1))</f>
        <v>0</v>
      </c>
      <c r="AQ248" s="65" t="n">
        <f aca="false">IF(OR(OR($B248="",$E248="",$F248=""),$L248&lt;&gt;"لا"),0,MAX(0,MIN($F248,EOMONTH(DATE(cfg_FY,10,1),0))-$E248+1))</f>
        <v>0</v>
      </c>
      <c r="AR248" s="65" t="n">
        <f aca="false">IF(OR(OR($B248="",$E248="",$F248=""),$L248&lt;&gt;"لا"),0,MAX(0,MIN($F248,EOMONTH(DATE(cfg_FY,11,1),0))-$E248+1))</f>
        <v>0</v>
      </c>
      <c r="AS248" s="65" t="n">
        <f aca="false">IF(OR(OR($B248="",$E248="",$F248=""),$L248&lt;&gt;"لا"),0,MAX(0,MIN($F248,EOMONTH(DATE(cfg_FY,12,1),0))-$E248+1))</f>
        <v>0</v>
      </c>
      <c r="AT248" s="65" t="n">
        <f aca="false">IF(OR(OR($B248="",$E248="",$F248=""),$K248&lt;&gt;"نعم",$M248="نعم"),0,MAX(0,MIN($F248,EOMONTH(DATE(cfg_FY,1,1),0))-MAX($E248,DATE(cfg_FY,1,1))+1))</f>
        <v>0</v>
      </c>
      <c r="AU248" s="65" t="n">
        <f aca="false">IF(OR(OR($B248="",$E248="",$F248=""),$K248&lt;&gt;"نعم",$M248="نعم"),0,MAX(0,MIN($F248,EOMONTH(DATE(cfg_FY,2,1),0))-MAX($E248,DATE(cfg_FY,2,1))+1))</f>
        <v>0</v>
      </c>
      <c r="AV248" s="65" t="n">
        <f aca="false">IF(OR(OR($B248="",$E248="",$F248=""),$K248&lt;&gt;"نعم",$M248="نعم"),0,MAX(0,MIN($F248,EOMONTH(DATE(cfg_FY,3,1),0))-MAX($E248,DATE(cfg_FY,3,1))+1))</f>
        <v>0</v>
      </c>
      <c r="AW248" s="65" t="n">
        <f aca="false">IF(OR(OR($B248="",$E248="",$F248=""),$K248&lt;&gt;"نعم",$M248="نعم"),0,MAX(0,MIN($F248,EOMONTH(DATE(cfg_FY,4,1),0))-MAX($E248,DATE(cfg_FY,4,1))+1))</f>
        <v>0</v>
      </c>
      <c r="AX248" s="65" t="n">
        <f aca="false">IF(OR(OR($B248="",$E248="",$F248=""),$K248&lt;&gt;"نعم",$M248="نعم"),0,MAX(0,MIN($F248,EOMONTH(DATE(cfg_FY,5,1),0))-MAX($E248,DATE(cfg_FY,5,1))+1))</f>
        <v>0</v>
      </c>
      <c r="AY248" s="65" t="n">
        <f aca="false">IF(OR(OR($B248="",$E248="",$F248=""),$K248&lt;&gt;"نعم",$M248="نعم"),0,MAX(0,MIN($F248,EOMONTH(DATE(cfg_FY,6,1),0))-MAX($E248,DATE(cfg_FY,6,1))+1))</f>
        <v>0</v>
      </c>
      <c r="AZ248" s="65" t="n">
        <f aca="false">IF(OR(OR($B248="",$E248="",$F248=""),$K248&lt;&gt;"نعم",$M248="نعم"),0,MAX(0,MIN($F248,EOMONTH(DATE(cfg_FY,7,1),0))-MAX($E248,DATE(cfg_FY,7,1))+1))</f>
        <v>0</v>
      </c>
      <c r="BA248" s="65" t="n">
        <f aca="false">IF(OR(OR($B248="",$E248="",$F248=""),$K248&lt;&gt;"نعم",$M248="نعم"),0,MAX(0,MIN($F248,EOMONTH(DATE(cfg_FY,8,1),0))-MAX($E248,DATE(cfg_FY,8,1))+1))</f>
        <v>0</v>
      </c>
      <c r="BB248" s="65" t="n">
        <f aca="false">IF(OR(OR($B248="",$E248="",$F248=""),$K248&lt;&gt;"نعم",$M248="نعم"),0,MAX(0,MIN($F248,EOMONTH(DATE(cfg_FY,9,1),0))-MAX($E248,DATE(cfg_FY,9,1))+1))</f>
        <v>0</v>
      </c>
      <c r="BC248" s="65" t="n">
        <f aca="false">IF(OR(OR($B248="",$E248="",$F248=""),$K248&lt;&gt;"نعم",$M248="نعم"),0,MAX(0,MIN($F248,EOMONTH(DATE(cfg_FY,10,1),0))-MAX($E248,DATE(cfg_FY,10,1))+1))</f>
        <v>0</v>
      </c>
      <c r="BD248" s="65" t="n">
        <f aca="false">IF(OR(OR($B248="",$E248="",$F248=""),$K248&lt;&gt;"نعم",$M248="نعم"),0,MAX(0,MIN($F248,EOMONTH(DATE(cfg_FY,11,1),0))-MAX($E248,DATE(cfg_FY,11,1))+1))</f>
        <v>0</v>
      </c>
      <c r="BE248" s="65" t="n">
        <f aca="false">IF(OR(OR($B248="",$E248="",$F248=""),$K248&lt;&gt;"نعم",$M248="نعم"),0,MAX(0,MIN($F248,EOMONTH(DATE(cfg_FY,12,1),0))-MAX($E248,DATE(cfg_FY,12,1))+1))</f>
        <v>0</v>
      </c>
    </row>
    <row r="249" customFormat="false" ht="15" hidden="false" customHeight="false" outlineLevel="0" collapsed="false">
      <c r="A249" s="115" t="str">
        <f aca="false">IF(B249="","",ROW()-5)</f>
        <v/>
      </c>
      <c r="B249" s="118"/>
      <c r="C249" s="117" t="str">
        <f aca="false">IF(B249="","",IFERROR(INDEX(الموظفون!$C$6:$C$105,MATCH(B249,الموظفون!$B$6:$B$105,0)),"✖ رقم غير موجود"))</f>
        <v/>
      </c>
      <c r="D249" s="118"/>
      <c r="E249" s="119"/>
      <c r="F249" s="119"/>
      <c r="G249" s="133" t="str">
        <f aca="false">IF(OR($B249="",$E249="",$F249=""),"",MAX(0,F249-E249+1))</f>
        <v/>
      </c>
      <c r="H249" s="134" t="str">
        <f aca="false">IF(D249="","",IFERROR(VLOOKUP(D249,cfg_LT,2,FALSE()),1))</f>
        <v/>
      </c>
      <c r="I249" s="135"/>
      <c r="J249" s="134" t="str">
        <f aca="false">IF(D249="","",IF(I249&lt;&gt;"",I249,H249))</f>
        <v/>
      </c>
      <c r="K249" s="117" t="str">
        <f aca="false">IF(D249="","",IFERROR(VLOOKUP($D249,cfg_LT,3,FALSE()),""))</f>
        <v/>
      </c>
      <c r="L249" s="117" t="str">
        <f aca="false">IF(D249="","",IFERROR(VLOOKUP($D249,cfg_LT,4,FALSE()),""))</f>
        <v/>
      </c>
      <c r="M249" s="117" t="str">
        <f aca="false">IF(D249="","",IFERROR(VLOOKUP($D249,cfg_LT,5,FALSE()),""))</f>
        <v/>
      </c>
      <c r="N249" s="116" t="n">
        <f aca="false">IF(OR(OR($B249="",$E249="",$F249=""),M249&lt;&gt;"نعم"),0,G249*J249*IFERROR(INDEX(الموظفون!$R$6:$R$105,MATCH(B249,الموظفون!$B$6:$B$105,0)),0)/cfg_DAYS_M)</f>
        <v>0</v>
      </c>
      <c r="O249" s="115" t="str">
        <f aca="false">IF(OR(OR($B249="",$E249="",$F249=""),M249&lt;&gt;"نعم"),"",IF(YEAR(E249)=cfg_FY,MONTH(E249),""))</f>
        <v/>
      </c>
      <c r="P249" s="117" t="str">
        <f aca="false">IF(B249="","",IF(OR(D249="",E249="",F249=""),"⚠ أكمل النوع والتواريخ",IF(F249&lt;E249,"✖ النهاية قبل البداية",IF(COUNTIFS($B$6:$B$505,B249,$E$6:$E$505,"&lt;="&amp;F249,$F$6:$F$505,"&gt;="&amp;E249)&gt;1,"⚠ تداخل مع سجل آخر",IF(E249&gt;cfg_VAL_DATE,"⏳ قادمة",IF(F249&lt;cfg_VAL_DATE,"✔ منتهية","✈ جارية في تاريخ التقرير"))))))</f>
        <v/>
      </c>
      <c r="Q249" s="118"/>
      <c r="R249" s="133" t="n">
        <f aca="false">IF(OR(OR($B249="",$E249="",$F249=""),L249&lt;&gt;"لا"),0,MAX(0,MIN(F249,cfg_Y_START-1)-E249+1))</f>
        <v>0</v>
      </c>
      <c r="S249" s="133" t="n">
        <f aca="false">IF(OR(OR($B249="",$E249="",$F249=""),L249&lt;&gt;"لا"),0,MAX(0,MIN(F249,cfg_VAL_DATE)-E249+1))</f>
        <v>0</v>
      </c>
      <c r="T249" s="133" t="n">
        <f aca="false">IF(OR(OR($B249="",$E249="",$F249=""),K249&lt;&gt;"نعم"),0,IF(M249="نعم",IF(AND(ISNUMBER(O249),N(O249)&lt;=cfg_VAL_M),G249,0),MAX(0,MIN(F249,cfg_VAL_DATE)-MAX(E249,cfg_Y_START)+1)))</f>
        <v>0</v>
      </c>
      <c r="V249" s="133" t="n">
        <f aca="false">IF(OR($B249="",$E249="",$F249=""),0,MAX(0,MIN($F249,EOMONTH(DATE(cfg_FY,1,1),0))-MAX($E249,DATE(cfg_FY,1,1))+1)*(1-IF($M249="نعم",0,N($J249))))</f>
        <v>0</v>
      </c>
      <c r="W249" s="133" t="n">
        <f aca="false">IF(OR($B249="",$E249="",$F249=""),0,MAX(0,MIN($F249,EOMONTH(DATE(cfg_FY,2,1),0))-MAX($E249,DATE(cfg_FY,2,1))+1)*(1-IF($M249="نعم",0,N($J249))))</f>
        <v>0</v>
      </c>
      <c r="X249" s="133" t="n">
        <f aca="false">IF(OR($B249="",$E249="",$F249=""),0,MAX(0,MIN($F249,EOMONTH(DATE(cfg_FY,3,1),0))-MAX($E249,DATE(cfg_FY,3,1))+1)*(1-IF($M249="نعم",0,N($J249))))</f>
        <v>0</v>
      </c>
      <c r="Y249" s="133" t="n">
        <f aca="false">IF(OR($B249="",$E249="",$F249=""),0,MAX(0,MIN($F249,EOMONTH(DATE(cfg_FY,4,1),0))-MAX($E249,DATE(cfg_FY,4,1))+1)*(1-IF($M249="نعم",0,N($J249))))</f>
        <v>0</v>
      </c>
      <c r="Z249" s="133" t="n">
        <f aca="false">IF(OR($B249="",$E249="",$F249=""),0,MAX(0,MIN($F249,EOMONTH(DATE(cfg_FY,5,1),0))-MAX($E249,DATE(cfg_FY,5,1))+1)*(1-IF($M249="نعم",0,N($J249))))</f>
        <v>0</v>
      </c>
      <c r="AA249" s="133" t="n">
        <f aca="false">IF(OR($B249="",$E249="",$F249=""),0,MAX(0,MIN($F249,EOMONTH(DATE(cfg_FY,6,1),0))-MAX($E249,DATE(cfg_FY,6,1))+1)*(1-IF($M249="نعم",0,N($J249))))</f>
        <v>0</v>
      </c>
      <c r="AB249" s="133" t="n">
        <f aca="false">IF(OR($B249="",$E249="",$F249=""),0,MAX(0,MIN($F249,EOMONTH(DATE(cfg_FY,7,1),0))-MAX($E249,DATE(cfg_FY,7,1))+1)*(1-IF($M249="نعم",0,N($J249))))</f>
        <v>0</v>
      </c>
      <c r="AC249" s="133" t="n">
        <f aca="false">IF(OR($B249="",$E249="",$F249=""),0,MAX(0,MIN($F249,EOMONTH(DATE(cfg_FY,8,1),0))-MAX($E249,DATE(cfg_FY,8,1))+1)*(1-IF($M249="نعم",0,N($J249))))</f>
        <v>0</v>
      </c>
      <c r="AD249" s="133" t="n">
        <f aca="false">IF(OR($B249="",$E249="",$F249=""),0,MAX(0,MIN($F249,EOMONTH(DATE(cfg_FY,9,1),0))-MAX($E249,DATE(cfg_FY,9,1))+1)*(1-IF($M249="نعم",0,N($J249))))</f>
        <v>0</v>
      </c>
      <c r="AE249" s="133" t="n">
        <f aca="false">IF(OR($B249="",$E249="",$F249=""),0,MAX(0,MIN($F249,EOMONTH(DATE(cfg_FY,10,1),0))-MAX($E249,DATE(cfg_FY,10,1))+1)*(1-IF($M249="نعم",0,N($J249))))</f>
        <v>0</v>
      </c>
      <c r="AF249" s="133" t="n">
        <f aca="false">IF(OR($B249="",$E249="",$F249=""),0,MAX(0,MIN($F249,EOMONTH(DATE(cfg_FY,11,1),0))-MAX($E249,DATE(cfg_FY,11,1))+1)*(1-IF($M249="نعم",0,N($J249))))</f>
        <v>0</v>
      </c>
      <c r="AG249" s="133" t="n">
        <f aca="false">IF(OR($B249="",$E249="",$F249=""),0,MAX(0,MIN($F249,EOMONTH(DATE(cfg_FY,12,1),0))-MAX($E249,DATE(cfg_FY,12,1))+1)*(1-IF($M249="نعم",0,N($J249))))</f>
        <v>0</v>
      </c>
      <c r="AH249" s="133" t="n">
        <f aca="false">IF(OR(OR($B249="",$E249="",$F249=""),$L249&lt;&gt;"لا"),0,MAX(0,MIN($F249,EOMONTH(DATE(cfg_FY,1,1),0))-$E249+1))</f>
        <v>0</v>
      </c>
      <c r="AI249" s="133" t="n">
        <f aca="false">IF(OR(OR($B249="",$E249="",$F249=""),$L249&lt;&gt;"لا"),0,MAX(0,MIN($F249,EOMONTH(DATE(cfg_FY,2,1),0))-$E249+1))</f>
        <v>0</v>
      </c>
      <c r="AJ249" s="133" t="n">
        <f aca="false">IF(OR(OR($B249="",$E249="",$F249=""),$L249&lt;&gt;"لا"),0,MAX(0,MIN($F249,EOMONTH(DATE(cfg_FY,3,1),0))-$E249+1))</f>
        <v>0</v>
      </c>
      <c r="AK249" s="133" t="n">
        <f aca="false">IF(OR(OR($B249="",$E249="",$F249=""),$L249&lt;&gt;"لا"),0,MAX(0,MIN($F249,EOMONTH(DATE(cfg_FY,4,1),0))-$E249+1))</f>
        <v>0</v>
      </c>
      <c r="AL249" s="133" t="n">
        <f aca="false">IF(OR(OR($B249="",$E249="",$F249=""),$L249&lt;&gt;"لا"),0,MAX(0,MIN($F249,EOMONTH(DATE(cfg_FY,5,1),0))-$E249+1))</f>
        <v>0</v>
      </c>
      <c r="AM249" s="133" t="n">
        <f aca="false">IF(OR(OR($B249="",$E249="",$F249=""),$L249&lt;&gt;"لا"),0,MAX(0,MIN($F249,EOMONTH(DATE(cfg_FY,6,1),0))-$E249+1))</f>
        <v>0</v>
      </c>
      <c r="AN249" s="133" t="n">
        <f aca="false">IF(OR(OR($B249="",$E249="",$F249=""),$L249&lt;&gt;"لا"),0,MAX(0,MIN($F249,EOMONTH(DATE(cfg_FY,7,1),0))-$E249+1))</f>
        <v>0</v>
      </c>
      <c r="AO249" s="133" t="n">
        <f aca="false">IF(OR(OR($B249="",$E249="",$F249=""),$L249&lt;&gt;"لا"),0,MAX(0,MIN($F249,EOMONTH(DATE(cfg_FY,8,1),0))-$E249+1))</f>
        <v>0</v>
      </c>
      <c r="AP249" s="133" t="n">
        <f aca="false">IF(OR(OR($B249="",$E249="",$F249=""),$L249&lt;&gt;"لا"),0,MAX(0,MIN($F249,EOMONTH(DATE(cfg_FY,9,1),0))-$E249+1))</f>
        <v>0</v>
      </c>
      <c r="AQ249" s="133" t="n">
        <f aca="false">IF(OR(OR($B249="",$E249="",$F249=""),$L249&lt;&gt;"لا"),0,MAX(0,MIN($F249,EOMONTH(DATE(cfg_FY,10,1),0))-$E249+1))</f>
        <v>0</v>
      </c>
      <c r="AR249" s="133" t="n">
        <f aca="false">IF(OR(OR($B249="",$E249="",$F249=""),$L249&lt;&gt;"لا"),0,MAX(0,MIN($F249,EOMONTH(DATE(cfg_FY,11,1),0))-$E249+1))</f>
        <v>0</v>
      </c>
      <c r="AS249" s="133" t="n">
        <f aca="false">IF(OR(OR($B249="",$E249="",$F249=""),$L249&lt;&gt;"لا"),0,MAX(0,MIN($F249,EOMONTH(DATE(cfg_FY,12,1),0))-$E249+1))</f>
        <v>0</v>
      </c>
      <c r="AT249" s="133" t="n">
        <f aca="false">IF(OR(OR($B249="",$E249="",$F249=""),$K249&lt;&gt;"نعم",$M249="نعم"),0,MAX(0,MIN($F249,EOMONTH(DATE(cfg_FY,1,1),0))-MAX($E249,DATE(cfg_FY,1,1))+1))</f>
        <v>0</v>
      </c>
      <c r="AU249" s="133" t="n">
        <f aca="false">IF(OR(OR($B249="",$E249="",$F249=""),$K249&lt;&gt;"نعم",$M249="نعم"),0,MAX(0,MIN($F249,EOMONTH(DATE(cfg_FY,2,1),0))-MAX($E249,DATE(cfg_FY,2,1))+1))</f>
        <v>0</v>
      </c>
      <c r="AV249" s="133" t="n">
        <f aca="false">IF(OR(OR($B249="",$E249="",$F249=""),$K249&lt;&gt;"نعم",$M249="نعم"),0,MAX(0,MIN($F249,EOMONTH(DATE(cfg_FY,3,1),0))-MAX($E249,DATE(cfg_FY,3,1))+1))</f>
        <v>0</v>
      </c>
      <c r="AW249" s="133" t="n">
        <f aca="false">IF(OR(OR($B249="",$E249="",$F249=""),$K249&lt;&gt;"نعم",$M249="نعم"),0,MAX(0,MIN($F249,EOMONTH(DATE(cfg_FY,4,1),0))-MAX($E249,DATE(cfg_FY,4,1))+1))</f>
        <v>0</v>
      </c>
      <c r="AX249" s="133" t="n">
        <f aca="false">IF(OR(OR($B249="",$E249="",$F249=""),$K249&lt;&gt;"نعم",$M249="نعم"),0,MAX(0,MIN($F249,EOMONTH(DATE(cfg_FY,5,1),0))-MAX($E249,DATE(cfg_FY,5,1))+1))</f>
        <v>0</v>
      </c>
      <c r="AY249" s="133" t="n">
        <f aca="false">IF(OR(OR($B249="",$E249="",$F249=""),$K249&lt;&gt;"نعم",$M249="نعم"),0,MAX(0,MIN($F249,EOMONTH(DATE(cfg_FY,6,1),0))-MAX($E249,DATE(cfg_FY,6,1))+1))</f>
        <v>0</v>
      </c>
      <c r="AZ249" s="133" t="n">
        <f aca="false">IF(OR(OR($B249="",$E249="",$F249=""),$K249&lt;&gt;"نعم",$M249="نعم"),0,MAX(0,MIN($F249,EOMONTH(DATE(cfg_FY,7,1),0))-MAX($E249,DATE(cfg_FY,7,1))+1))</f>
        <v>0</v>
      </c>
      <c r="BA249" s="133" t="n">
        <f aca="false">IF(OR(OR($B249="",$E249="",$F249=""),$K249&lt;&gt;"نعم",$M249="نعم"),0,MAX(0,MIN($F249,EOMONTH(DATE(cfg_FY,8,1),0))-MAX($E249,DATE(cfg_FY,8,1))+1))</f>
        <v>0</v>
      </c>
      <c r="BB249" s="133" t="n">
        <f aca="false">IF(OR(OR($B249="",$E249="",$F249=""),$K249&lt;&gt;"نعم",$M249="نعم"),0,MAX(0,MIN($F249,EOMONTH(DATE(cfg_FY,9,1),0))-MAX($E249,DATE(cfg_FY,9,1))+1))</f>
        <v>0</v>
      </c>
      <c r="BC249" s="133" t="n">
        <f aca="false">IF(OR(OR($B249="",$E249="",$F249=""),$K249&lt;&gt;"نعم",$M249="نعم"),0,MAX(0,MIN($F249,EOMONTH(DATE(cfg_FY,10,1),0))-MAX($E249,DATE(cfg_FY,10,1))+1))</f>
        <v>0</v>
      </c>
      <c r="BD249" s="133" t="n">
        <f aca="false">IF(OR(OR($B249="",$E249="",$F249=""),$K249&lt;&gt;"نعم",$M249="نعم"),0,MAX(0,MIN($F249,EOMONTH(DATE(cfg_FY,11,1),0))-MAX($E249,DATE(cfg_FY,11,1))+1))</f>
        <v>0</v>
      </c>
      <c r="BE249" s="133" t="n">
        <f aca="false">IF(OR(OR($B249="",$E249="",$F249=""),$K249&lt;&gt;"نعم",$M249="نعم"),0,MAX(0,MIN($F249,EOMONTH(DATE(cfg_FY,12,1),0))-MAX($E249,DATE(cfg_FY,12,1))+1))</f>
        <v>0</v>
      </c>
    </row>
    <row r="250" customFormat="false" ht="15" hidden="false" customHeight="false" outlineLevel="0" collapsed="false">
      <c r="A250" s="106" t="str">
        <f aca="false">IF(B250="","",ROW()-5)</f>
        <v/>
      </c>
      <c r="B250" s="118"/>
      <c r="C250" s="114" t="str">
        <f aca="false">IF(B250="","",IFERROR(INDEX(الموظفون!$C$6:$C$105,MATCH(B250,الموظفون!$B$6:$B$105,0)),"✖ رقم غير موجود"))</f>
        <v/>
      </c>
      <c r="D250" s="118"/>
      <c r="E250" s="119"/>
      <c r="F250" s="119"/>
      <c r="G250" s="65" t="str">
        <f aca="false">IF(OR($B250="",$E250="",$F250=""),"",MAX(0,F250-E250+1))</f>
        <v/>
      </c>
      <c r="H250" s="66" t="str">
        <f aca="false">IF(D250="","",IFERROR(VLOOKUP(D250,cfg_LT,2,FALSE()),1))</f>
        <v/>
      </c>
      <c r="I250" s="135"/>
      <c r="J250" s="66" t="str">
        <f aca="false">IF(D250="","",IF(I250&lt;&gt;"",I250,H250))</f>
        <v/>
      </c>
      <c r="K250" s="114" t="str">
        <f aca="false">IF(D250="","",IFERROR(VLOOKUP($D250,cfg_LT,3,FALSE()),""))</f>
        <v/>
      </c>
      <c r="L250" s="114" t="str">
        <f aca="false">IF(D250="","",IFERROR(VLOOKUP($D250,cfg_LT,4,FALSE()),""))</f>
        <v/>
      </c>
      <c r="M250" s="114" t="str">
        <f aca="false">IF(D250="","",IFERROR(VLOOKUP($D250,cfg_LT,5,FALSE()),""))</f>
        <v/>
      </c>
      <c r="N250" s="111" t="n">
        <f aca="false">IF(OR(OR($B250="",$E250="",$F250=""),M250&lt;&gt;"نعم"),0,G250*J250*IFERROR(INDEX(الموظفون!$R$6:$R$105,MATCH(B250,الموظفون!$B$6:$B$105,0)),0)/cfg_DAYS_M)</f>
        <v>0</v>
      </c>
      <c r="O250" s="106" t="str">
        <f aca="false">IF(OR(OR($B250="",$E250="",$F250=""),M250&lt;&gt;"نعم"),"",IF(YEAR(E250)=cfg_FY,MONTH(E250),""))</f>
        <v/>
      </c>
      <c r="P250" s="114" t="str">
        <f aca="false">IF(B250="","",IF(OR(D250="",E250="",F250=""),"⚠ أكمل النوع والتواريخ",IF(F250&lt;E250,"✖ النهاية قبل البداية",IF(COUNTIFS($B$6:$B$505,B250,$E$6:$E$505,"&lt;="&amp;F250,$F$6:$F$505,"&gt;="&amp;E250)&gt;1,"⚠ تداخل مع سجل آخر",IF(E250&gt;cfg_VAL_DATE,"⏳ قادمة",IF(F250&lt;cfg_VAL_DATE,"✔ منتهية","✈ جارية في تاريخ التقرير"))))))</f>
        <v/>
      </c>
      <c r="Q250" s="118"/>
      <c r="R250" s="65" t="n">
        <f aca="false">IF(OR(OR($B250="",$E250="",$F250=""),L250&lt;&gt;"لا"),0,MAX(0,MIN(F250,cfg_Y_START-1)-E250+1))</f>
        <v>0</v>
      </c>
      <c r="S250" s="65" t="n">
        <f aca="false">IF(OR(OR($B250="",$E250="",$F250=""),L250&lt;&gt;"لا"),0,MAX(0,MIN(F250,cfg_VAL_DATE)-E250+1))</f>
        <v>0</v>
      </c>
      <c r="T250" s="65" t="n">
        <f aca="false">IF(OR(OR($B250="",$E250="",$F250=""),K250&lt;&gt;"نعم"),0,IF(M250="نعم",IF(AND(ISNUMBER(O250),N(O250)&lt;=cfg_VAL_M),G250,0),MAX(0,MIN(F250,cfg_VAL_DATE)-MAX(E250,cfg_Y_START)+1)))</f>
        <v>0</v>
      </c>
      <c r="V250" s="65" t="n">
        <f aca="false">IF(OR($B250="",$E250="",$F250=""),0,MAX(0,MIN($F250,EOMONTH(DATE(cfg_FY,1,1),0))-MAX($E250,DATE(cfg_FY,1,1))+1)*(1-IF($M250="نعم",0,N($J250))))</f>
        <v>0</v>
      </c>
      <c r="W250" s="65" t="n">
        <f aca="false">IF(OR($B250="",$E250="",$F250=""),0,MAX(0,MIN($F250,EOMONTH(DATE(cfg_FY,2,1),0))-MAX($E250,DATE(cfg_FY,2,1))+1)*(1-IF($M250="نعم",0,N($J250))))</f>
        <v>0</v>
      </c>
      <c r="X250" s="65" t="n">
        <f aca="false">IF(OR($B250="",$E250="",$F250=""),0,MAX(0,MIN($F250,EOMONTH(DATE(cfg_FY,3,1),0))-MAX($E250,DATE(cfg_FY,3,1))+1)*(1-IF($M250="نعم",0,N($J250))))</f>
        <v>0</v>
      </c>
      <c r="Y250" s="65" t="n">
        <f aca="false">IF(OR($B250="",$E250="",$F250=""),0,MAX(0,MIN($F250,EOMONTH(DATE(cfg_FY,4,1),0))-MAX($E250,DATE(cfg_FY,4,1))+1)*(1-IF($M250="نعم",0,N($J250))))</f>
        <v>0</v>
      </c>
      <c r="Z250" s="65" t="n">
        <f aca="false">IF(OR($B250="",$E250="",$F250=""),0,MAX(0,MIN($F250,EOMONTH(DATE(cfg_FY,5,1),0))-MAX($E250,DATE(cfg_FY,5,1))+1)*(1-IF($M250="نعم",0,N($J250))))</f>
        <v>0</v>
      </c>
      <c r="AA250" s="65" t="n">
        <f aca="false">IF(OR($B250="",$E250="",$F250=""),0,MAX(0,MIN($F250,EOMONTH(DATE(cfg_FY,6,1),0))-MAX($E250,DATE(cfg_FY,6,1))+1)*(1-IF($M250="نعم",0,N($J250))))</f>
        <v>0</v>
      </c>
      <c r="AB250" s="65" t="n">
        <f aca="false">IF(OR($B250="",$E250="",$F250=""),0,MAX(0,MIN($F250,EOMONTH(DATE(cfg_FY,7,1),0))-MAX($E250,DATE(cfg_FY,7,1))+1)*(1-IF($M250="نعم",0,N($J250))))</f>
        <v>0</v>
      </c>
      <c r="AC250" s="65" t="n">
        <f aca="false">IF(OR($B250="",$E250="",$F250=""),0,MAX(0,MIN($F250,EOMONTH(DATE(cfg_FY,8,1),0))-MAX($E250,DATE(cfg_FY,8,1))+1)*(1-IF($M250="نعم",0,N($J250))))</f>
        <v>0</v>
      </c>
      <c r="AD250" s="65" t="n">
        <f aca="false">IF(OR($B250="",$E250="",$F250=""),0,MAX(0,MIN($F250,EOMONTH(DATE(cfg_FY,9,1),0))-MAX($E250,DATE(cfg_FY,9,1))+1)*(1-IF($M250="نعم",0,N($J250))))</f>
        <v>0</v>
      </c>
      <c r="AE250" s="65" t="n">
        <f aca="false">IF(OR($B250="",$E250="",$F250=""),0,MAX(0,MIN($F250,EOMONTH(DATE(cfg_FY,10,1),0))-MAX($E250,DATE(cfg_FY,10,1))+1)*(1-IF($M250="نعم",0,N($J250))))</f>
        <v>0</v>
      </c>
      <c r="AF250" s="65" t="n">
        <f aca="false">IF(OR($B250="",$E250="",$F250=""),0,MAX(0,MIN($F250,EOMONTH(DATE(cfg_FY,11,1),0))-MAX($E250,DATE(cfg_FY,11,1))+1)*(1-IF($M250="نعم",0,N($J250))))</f>
        <v>0</v>
      </c>
      <c r="AG250" s="65" t="n">
        <f aca="false">IF(OR($B250="",$E250="",$F250=""),0,MAX(0,MIN($F250,EOMONTH(DATE(cfg_FY,12,1),0))-MAX($E250,DATE(cfg_FY,12,1))+1)*(1-IF($M250="نعم",0,N($J250))))</f>
        <v>0</v>
      </c>
      <c r="AH250" s="65" t="n">
        <f aca="false">IF(OR(OR($B250="",$E250="",$F250=""),$L250&lt;&gt;"لا"),0,MAX(0,MIN($F250,EOMONTH(DATE(cfg_FY,1,1),0))-$E250+1))</f>
        <v>0</v>
      </c>
      <c r="AI250" s="65" t="n">
        <f aca="false">IF(OR(OR($B250="",$E250="",$F250=""),$L250&lt;&gt;"لا"),0,MAX(0,MIN($F250,EOMONTH(DATE(cfg_FY,2,1),0))-$E250+1))</f>
        <v>0</v>
      </c>
      <c r="AJ250" s="65" t="n">
        <f aca="false">IF(OR(OR($B250="",$E250="",$F250=""),$L250&lt;&gt;"لا"),0,MAX(0,MIN($F250,EOMONTH(DATE(cfg_FY,3,1),0))-$E250+1))</f>
        <v>0</v>
      </c>
      <c r="AK250" s="65" t="n">
        <f aca="false">IF(OR(OR($B250="",$E250="",$F250=""),$L250&lt;&gt;"لا"),0,MAX(0,MIN($F250,EOMONTH(DATE(cfg_FY,4,1),0))-$E250+1))</f>
        <v>0</v>
      </c>
      <c r="AL250" s="65" t="n">
        <f aca="false">IF(OR(OR($B250="",$E250="",$F250=""),$L250&lt;&gt;"لا"),0,MAX(0,MIN($F250,EOMONTH(DATE(cfg_FY,5,1),0))-$E250+1))</f>
        <v>0</v>
      </c>
      <c r="AM250" s="65" t="n">
        <f aca="false">IF(OR(OR($B250="",$E250="",$F250=""),$L250&lt;&gt;"لا"),0,MAX(0,MIN($F250,EOMONTH(DATE(cfg_FY,6,1),0))-$E250+1))</f>
        <v>0</v>
      </c>
      <c r="AN250" s="65" t="n">
        <f aca="false">IF(OR(OR($B250="",$E250="",$F250=""),$L250&lt;&gt;"لا"),0,MAX(0,MIN($F250,EOMONTH(DATE(cfg_FY,7,1),0))-$E250+1))</f>
        <v>0</v>
      </c>
      <c r="AO250" s="65" t="n">
        <f aca="false">IF(OR(OR($B250="",$E250="",$F250=""),$L250&lt;&gt;"لا"),0,MAX(0,MIN($F250,EOMONTH(DATE(cfg_FY,8,1),0))-$E250+1))</f>
        <v>0</v>
      </c>
      <c r="AP250" s="65" t="n">
        <f aca="false">IF(OR(OR($B250="",$E250="",$F250=""),$L250&lt;&gt;"لا"),0,MAX(0,MIN($F250,EOMONTH(DATE(cfg_FY,9,1),0))-$E250+1))</f>
        <v>0</v>
      </c>
      <c r="AQ250" s="65" t="n">
        <f aca="false">IF(OR(OR($B250="",$E250="",$F250=""),$L250&lt;&gt;"لا"),0,MAX(0,MIN($F250,EOMONTH(DATE(cfg_FY,10,1),0))-$E250+1))</f>
        <v>0</v>
      </c>
      <c r="AR250" s="65" t="n">
        <f aca="false">IF(OR(OR($B250="",$E250="",$F250=""),$L250&lt;&gt;"لا"),0,MAX(0,MIN($F250,EOMONTH(DATE(cfg_FY,11,1),0))-$E250+1))</f>
        <v>0</v>
      </c>
      <c r="AS250" s="65" t="n">
        <f aca="false">IF(OR(OR($B250="",$E250="",$F250=""),$L250&lt;&gt;"لا"),0,MAX(0,MIN($F250,EOMONTH(DATE(cfg_FY,12,1),0))-$E250+1))</f>
        <v>0</v>
      </c>
      <c r="AT250" s="65" t="n">
        <f aca="false">IF(OR(OR($B250="",$E250="",$F250=""),$K250&lt;&gt;"نعم",$M250="نعم"),0,MAX(0,MIN($F250,EOMONTH(DATE(cfg_FY,1,1),0))-MAX($E250,DATE(cfg_FY,1,1))+1))</f>
        <v>0</v>
      </c>
      <c r="AU250" s="65" t="n">
        <f aca="false">IF(OR(OR($B250="",$E250="",$F250=""),$K250&lt;&gt;"نعم",$M250="نعم"),0,MAX(0,MIN($F250,EOMONTH(DATE(cfg_FY,2,1),0))-MAX($E250,DATE(cfg_FY,2,1))+1))</f>
        <v>0</v>
      </c>
      <c r="AV250" s="65" t="n">
        <f aca="false">IF(OR(OR($B250="",$E250="",$F250=""),$K250&lt;&gt;"نعم",$M250="نعم"),0,MAX(0,MIN($F250,EOMONTH(DATE(cfg_FY,3,1),0))-MAX($E250,DATE(cfg_FY,3,1))+1))</f>
        <v>0</v>
      </c>
      <c r="AW250" s="65" t="n">
        <f aca="false">IF(OR(OR($B250="",$E250="",$F250=""),$K250&lt;&gt;"نعم",$M250="نعم"),0,MAX(0,MIN($F250,EOMONTH(DATE(cfg_FY,4,1),0))-MAX($E250,DATE(cfg_FY,4,1))+1))</f>
        <v>0</v>
      </c>
      <c r="AX250" s="65" t="n">
        <f aca="false">IF(OR(OR($B250="",$E250="",$F250=""),$K250&lt;&gt;"نعم",$M250="نعم"),0,MAX(0,MIN($F250,EOMONTH(DATE(cfg_FY,5,1),0))-MAX($E250,DATE(cfg_FY,5,1))+1))</f>
        <v>0</v>
      </c>
      <c r="AY250" s="65" t="n">
        <f aca="false">IF(OR(OR($B250="",$E250="",$F250=""),$K250&lt;&gt;"نعم",$M250="نعم"),0,MAX(0,MIN($F250,EOMONTH(DATE(cfg_FY,6,1),0))-MAX($E250,DATE(cfg_FY,6,1))+1))</f>
        <v>0</v>
      </c>
      <c r="AZ250" s="65" t="n">
        <f aca="false">IF(OR(OR($B250="",$E250="",$F250=""),$K250&lt;&gt;"نعم",$M250="نعم"),0,MAX(0,MIN($F250,EOMONTH(DATE(cfg_FY,7,1),0))-MAX($E250,DATE(cfg_FY,7,1))+1))</f>
        <v>0</v>
      </c>
      <c r="BA250" s="65" t="n">
        <f aca="false">IF(OR(OR($B250="",$E250="",$F250=""),$K250&lt;&gt;"نعم",$M250="نعم"),0,MAX(0,MIN($F250,EOMONTH(DATE(cfg_FY,8,1),0))-MAX($E250,DATE(cfg_FY,8,1))+1))</f>
        <v>0</v>
      </c>
      <c r="BB250" s="65" t="n">
        <f aca="false">IF(OR(OR($B250="",$E250="",$F250=""),$K250&lt;&gt;"نعم",$M250="نعم"),0,MAX(0,MIN($F250,EOMONTH(DATE(cfg_FY,9,1),0))-MAX($E250,DATE(cfg_FY,9,1))+1))</f>
        <v>0</v>
      </c>
      <c r="BC250" s="65" t="n">
        <f aca="false">IF(OR(OR($B250="",$E250="",$F250=""),$K250&lt;&gt;"نعم",$M250="نعم"),0,MAX(0,MIN($F250,EOMONTH(DATE(cfg_FY,10,1),0))-MAX($E250,DATE(cfg_FY,10,1))+1))</f>
        <v>0</v>
      </c>
      <c r="BD250" s="65" t="n">
        <f aca="false">IF(OR(OR($B250="",$E250="",$F250=""),$K250&lt;&gt;"نعم",$M250="نعم"),0,MAX(0,MIN($F250,EOMONTH(DATE(cfg_FY,11,1),0))-MAX($E250,DATE(cfg_FY,11,1))+1))</f>
        <v>0</v>
      </c>
      <c r="BE250" s="65" t="n">
        <f aca="false">IF(OR(OR($B250="",$E250="",$F250=""),$K250&lt;&gt;"نعم",$M250="نعم"),0,MAX(0,MIN($F250,EOMONTH(DATE(cfg_FY,12,1),0))-MAX($E250,DATE(cfg_FY,12,1))+1))</f>
        <v>0</v>
      </c>
    </row>
    <row r="251" customFormat="false" ht="15" hidden="false" customHeight="false" outlineLevel="0" collapsed="false">
      <c r="A251" s="115" t="str">
        <f aca="false">IF(B251="","",ROW()-5)</f>
        <v/>
      </c>
      <c r="B251" s="118"/>
      <c r="C251" s="117" t="str">
        <f aca="false">IF(B251="","",IFERROR(INDEX(الموظفون!$C$6:$C$105,MATCH(B251,الموظفون!$B$6:$B$105,0)),"✖ رقم غير موجود"))</f>
        <v/>
      </c>
      <c r="D251" s="118"/>
      <c r="E251" s="119"/>
      <c r="F251" s="119"/>
      <c r="G251" s="133" t="str">
        <f aca="false">IF(OR($B251="",$E251="",$F251=""),"",MAX(0,F251-E251+1))</f>
        <v/>
      </c>
      <c r="H251" s="134" t="str">
        <f aca="false">IF(D251="","",IFERROR(VLOOKUP(D251,cfg_LT,2,FALSE()),1))</f>
        <v/>
      </c>
      <c r="I251" s="135"/>
      <c r="J251" s="134" t="str">
        <f aca="false">IF(D251="","",IF(I251&lt;&gt;"",I251,H251))</f>
        <v/>
      </c>
      <c r="K251" s="117" t="str">
        <f aca="false">IF(D251="","",IFERROR(VLOOKUP($D251,cfg_LT,3,FALSE()),""))</f>
        <v/>
      </c>
      <c r="L251" s="117" t="str">
        <f aca="false">IF(D251="","",IFERROR(VLOOKUP($D251,cfg_LT,4,FALSE()),""))</f>
        <v/>
      </c>
      <c r="M251" s="117" t="str">
        <f aca="false">IF(D251="","",IFERROR(VLOOKUP($D251,cfg_LT,5,FALSE()),""))</f>
        <v/>
      </c>
      <c r="N251" s="116" t="n">
        <f aca="false">IF(OR(OR($B251="",$E251="",$F251=""),M251&lt;&gt;"نعم"),0,G251*J251*IFERROR(INDEX(الموظفون!$R$6:$R$105,MATCH(B251,الموظفون!$B$6:$B$105,0)),0)/cfg_DAYS_M)</f>
        <v>0</v>
      </c>
      <c r="O251" s="115" t="str">
        <f aca="false">IF(OR(OR($B251="",$E251="",$F251=""),M251&lt;&gt;"نعم"),"",IF(YEAR(E251)=cfg_FY,MONTH(E251),""))</f>
        <v/>
      </c>
      <c r="P251" s="117" t="str">
        <f aca="false">IF(B251="","",IF(OR(D251="",E251="",F251=""),"⚠ أكمل النوع والتواريخ",IF(F251&lt;E251,"✖ النهاية قبل البداية",IF(COUNTIFS($B$6:$B$505,B251,$E$6:$E$505,"&lt;="&amp;F251,$F$6:$F$505,"&gt;="&amp;E251)&gt;1,"⚠ تداخل مع سجل آخر",IF(E251&gt;cfg_VAL_DATE,"⏳ قادمة",IF(F251&lt;cfg_VAL_DATE,"✔ منتهية","✈ جارية في تاريخ التقرير"))))))</f>
        <v/>
      </c>
      <c r="Q251" s="118"/>
      <c r="R251" s="133" t="n">
        <f aca="false">IF(OR(OR($B251="",$E251="",$F251=""),L251&lt;&gt;"لا"),0,MAX(0,MIN(F251,cfg_Y_START-1)-E251+1))</f>
        <v>0</v>
      </c>
      <c r="S251" s="133" t="n">
        <f aca="false">IF(OR(OR($B251="",$E251="",$F251=""),L251&lt;&gt;"لا"),0,MAX(0,MIN(F251,cfg_VAL_DATE)-E251+1))</f>
        <v>0</v>
      </c>
      <c r="T251" s="133" t="n">
        <f aca="false">IF(OR(OR($B251="",$E251="",$F251=""),K251&lt;&gt;"نعم"),0,IF(M251="نعم",IF(AND(ISNUMBER(O251),N(O251)&lt;=cfg_VAL_M),G251,0),MAX(0,MIN(F251,cfg_VAL_DATE)-MAX(E251,cfg_Y_START)+1)))</f>
        <v>0</v>
      </c>
      <c r="V251" s="133" t="n">
        <f aca="false">IF(OR($B251="",$E251="",$F251=""),0,MAX(0,MIN($F251,EOMONTH(DATE(cfg_FY,1,1),0))-MAX($E251,DATE(cfg_FY,1,1))+1)*(1-IF($M251="نعم",0,N($J251))))</f>
        <v>0</v>
      </c>
      <c r="W251" s="133" t="n">
        <f aca="false">IF(OR($B251="",$E251="",$F251=""),0,MAX(0,MIN($F251,EOMONTH(DATE(cfg_FY,2,1),0))-MAX($E251,DATE(cfg_FY,2,1))+1)*(1-IF($M251="نعم",0,N($J251))))</f>
        <v>0</v>
      </c>
      <c r="X251" s="133" t="n">
        <f aca="false">IF(OR($B251="",$E251="",$F251=""),0,MAX(0,MIN($F251,EOMONTH(DATE(cfg_FY,3,1),0))-MAX($E251,DATE(cfg_FY,3,1))+1)*(1-IF($M251="نعم",0,N($J251))))</f>
        <v>0</v>
      </c>
      <c r="Y251" s="133" t="n">
        <f aca="false">IF(OR($B251="",$E251="",$F251=""),0,MAX(0,MIN($F251,EOMONTH(DATE(cfg_FY,4,1),0))-MAX($E251,DATE(cfg_FY,4,1))+1)*(1-IF($M251="نعم",0,N($J251))))</f>
        <v>0</v>
      </c>
      <c r="Z251" s="133" t="n">
        <f aca="false">IF(OR($B251="",$E251="",$F251=""),0,MAX(0,MIN($F251,EOMONTH(DATE(cfg_FY,5,1),0))-MAX($E251,DATE(cfg_FY,5,1))+1)*(1-IF($M251="نعم",0,N($J251))))</f>
        <v>0</v>
      </c>
      <c r="AA251" s="133" t="n">
        <f aca="false">IF(OR($B251="",$E251="",$F251=""),0,MAX(0,MIN($F251,EOMONTH(DATE(cfg_FY,6,1),0))-MAX($E251,DATE(cfg_FY,6,1))+1)*(1-IF($M251="نعم",0,N($J251))))</f>
        <v>0</v>
      </c>
      <c r="AB251" s="133" t="n">
        <f aca="false">IF(OR($B251="",$E251="",$F251=""),0,MAX(0,MIN($F251,EOMONTH(DATE(cfg_FY,7,1),0))-MAX($E251,DATE(cfg_FY,7,1))+1)*(1-IF($M251="نعم",0,N($J251))))</f>
        <v>0</v>
      </c>
      <c r="AC251" s="133" t="n">
        <f aca="false">IF(OR($B251="",$E251="",$F251=""),0,MAX(0,MIN($F251,EOMONTH(DATE(cfg_FY,8,1),0))-MAX($E251,DATE(cfg_FY,8,1))+1)*(1-IF($M251="نعم",0,N($J251))))</f>
        <v>0</v>
      </c>
      <c r="AD251" s="133" t="n">
        <f aca="false">IF(OR($B251="",$E251="",$F251=""),0,MAX(0,MIN($F251,EOMONTH(DATE(cfg_FY,9,1),0))-MAX($E251,DATE(cfg_FY,9,1))+1)*(1-IF($M251="نعم",0,N($J251))))</f>
        <v>0</v>
      </c>
      <c r="AE251" s="133" t="n">
        <f aca="false">IF(OR($B251="",$E251="",$F251=""),0,MAX(0,MIN($F251,EOMONTH(DATE(cfg_FY,10,1),0))-MAX($E251,DATE(cfg_FY,10,1))+1)*(1-IF($M251="نعم",0,N($J251))))</f>
        <v>0</v>
      </c>
      <c r="AF251" s="133" t="n">
        <f aca="false">IF(OR($B251="",$E251="",$F251=""),0,MAX(0,MIN($F251,EOMONTH(DATE(cfg_FY,11,1),0))-MAX($E251,DATE(cfg_FY,11,1))+1)*(1-IF($M251="نعم",0,N($J251))))</f>
        <v>0</v>
      </c>
      <c r="AG251" s="133" t="n">
        <f aca="false">IF(OR($B251="",$E251="",$F251=""),0,MAX(0,MIN($F251,EOMONTH(DATE(cfg_FY,12,1),0))-MAX($E251,DATE(cfg_FY,12,1))+1)*(1-IF($M251="نعم",0,N($J251))))</f>
        <v>0</v>
      </c>
      <c r="AH251" s="133" t="n">
        <f aca="false">IF(OR(OR($B251="",$E251="",$F251=""),$L251&lt;&gt;"لا"),0,MAX(0,MIN($F251,EOMONTH(DATE(cfg_FY,1,1),0))-$E251+1))</f>
        <v>0</v>
      </c>
      <c r="AI251" s="133" t="n">
        <f aca="false">IF(OR(OR($B251="",$E251="",$F251=""),$L251&lt;&gt;"لا"),0,MAX(0,MIN($F251,EOMONTH(DATE(cfg_FY,2,1),0))-$E251+1))</f>
        <v>0</v>
      </c>
      <c r="AJ251" s="133" t="n">
        <f aca="false">IF(OR(OR($B251="",$E251="",$F251=""),$L251&lt;&gt;"لا"),0,MAX(0,MIN($F251,EOMONTH(DATE(cfg_FY,3,1),0))-$E251+1))</f>
        <v>0</v>
      </c>
      <c r="AK251" s="133" t="n">
        <f aca="false">IF(OR(OR($B251="",$E251="",$F251=""),$L251&lt;&gt;"لا"),0,MAX(0,MIN($F251,EOMONTH(DATE(cfg_FY,4,1),0))-$E251+1))</f>
        <v>0</v>
      </c>
      <c r="AL251" s="133" t="n">
        <f aca="false">IF(OR(OR($B251="",$E251="",$F251=""),$L251&lt;&gt;"لا"),0,MAX(0,MIN($F251,EOMONTH(DATE(cfg_FY,5,1),0))-$E251+1))</f>
        <v>0</v>
      </c>
      <c r="AM251" s="133" t="n">
        <f aca="false">IF(OR(OR($B251="",$E251="",$F251=""),$L251&lt;&gt;"لا"),0,MAX(0,MIN($F251,EOMONTH(DATE(cfg_FY,6,1),0))-$E251+1))</f>
        <v>0</v>
      </c>
      <c r="AN251" s="133" t="n">
        <f aca="false">IF(OR(OR($B251="",$E251="",$F251=""),$L251&lt;&gt;"لا"),0,MAX(0,MIN($F251,EOMONTH(DATE(cfg_FY,7,1),0))-$E251+1))</f>
        <v>0</v>
      </c>
      <c r="AO251" s="133" t="n">
        <f aca="false">IF(OR(OR($B251="",$E251="",$F251=""),$L251&lt;&gt;"لا"),0,MAX(0,MIN($F251,EOMONTH(DATE(cfg_FY,8,1),0))-$E251+1))</f>
        <v>0</v>
      </c>
      <c r="AP251" s="133" t="n">
        <f aca="false">IF(OR(OR($B251="",$E251="",$F251=""),$L251&lt;&gt;"لا"),0,MAX(0,MIN($F251,EOMONTH(DATE(cfg_FY,9,1),0))-$E251+1))</f>
        <v>0</v>
      </c>
      <c r="AQ251" s="133" t="n">
        <f aca="false">IF(OR(OR($B251="",$E251="",$F251=""),$L251&lt;&gt;"لا"),0,MAX(0,MIN($F251,EOMONTH(DATE(cfg_FY,10,1),0))-$E251+1))</f>
        <v>0</v>
      </c>
      <c r="AR251" s="133" t="n">
        <f aca="false">IF(OR(OR($B251="",$E251="",$F251=""),$L251&lt;&gt;"لا"),0,MAX(0,MIN($F251,EOMONTH(DATE(cfg_FY,11,1),0))-$E251+1))</f>
        <v>0</v>
      </c>
      <c r="AS251" s="133" t="n">
        <f aca="false">IF(OR(OR($B251="",$E251="",$F251=""),$L251&lt;&gt;"لا"),0,MAX(0,MIN($F251,EOMONTH(DATE(cfg_FY,12,1),0))-$E251+1))</f>
        <v>0</v>
      </c>
      <c r="AT251" s="133" t="n">
        <f aca="false">IF(OR(OR($B251="",$E251="",$F251=""),$K251&lt;&gt;"نعم",$M251="نعم"),0,MAX(0,MIN($F251,EOMONTH(DATE(cfg_FY,1,1),0))-MAX($E251,DATE(cfg_FY,1,1))+1))</f>
        <v>0</v>
      </c>
      <c r="AU251" s="133" t="n">
        <f aca="false">IF(OR(OR($B251="",$E251="",$F251=""),$K251&lt;&gt;"نعم",$M251="نعم"),0,MAX(0,MIN($F251,EOMONTH(DATE(cfg_FY,2,1),0))-MAX($E251,DATE(cfg_FY,2,1))+1))</f>
        <v>0</v>
      </c>
      <c r="AV251" s="133" t="n">
        <f aca="false">IF(OR(OR($B251="",$E251="",$F251=""),$K251&lt;&gt;"نعم",$M251="نعم"),0,MAX(0,MIN($F251,EOMONTH(DATE(cfg_FY,3,1),0))-MAX($E251,DATE(cfg_FY,3,1))+1))</f>
        <v>0</v>
      </c>
      <c r="AW251" s="133" t="n">
        <f aca="false">IF(OR(OR($B251="",$E251="",$F251=""),$K251&lt;&gt;"نعم",$M251="نعم"),0,MAX(0,MIN($F251,EOMONTH(DATE(cfg_FY,4,1),0))-MAX($E251,DATE(cfg_FY,4,1))+1))</f>
        <v>0</v>
      </c>
      <c r="AX251" s="133" t="n">
        <f aca="false">IF(OR(OR($B251="",$E251="",$F251=""),$K251&lt;&gt;"نعم",$M251="نعم"),0,MAX(0,MIN($F251,EOMONTH(DATE(cfg_FY,5,1),0))-MAX($E251,DATE(cfg_FY,5,1))+1))</f>
        <v>0</v>
      </c>
      <c r="AY251" s="133" t="n">
        <f aca="false">IF(OR(OR($B251="",$E251="",$F251=""),$K251&lt;&gt;"نعم",$M251="نعم"),0,MAX(0,MIN($F251,EOMONTH(DATE(cfg_FY,6,1),0))-MAX($E251,DATE(cfg_FY,6,1))+1))</f>
        <v>0</v>
      </c>
      <c r="AZ251" s="133" t="n">
        <f aca="false">IF(OR(OR($B251="",$E251="",$F251=""),$K251&lt;&gt;"نعم",$M251="نعم"),0,MAX(0,MIN($F251,EOMONTH(DATE(cfg_FY,7,1),0))-MAX($E251,DATE(cfg_FY,7,1))+1))</f>
        <v>0</v>
      </c>
      <c r="BA251" s="133" t="n">
        <f aca="false">IF(OR(OR($B251="",$E251="",$F251=""),$K251&lt;&gt;"نعم",$M251="نعم"),0,MAX(0,MIN($F251,EOMONTH(DATE(cfg_FY,8,1),0))-MAX($E251,DATE(cfg_FY,8,1))+1))</f>
        <v>0</v>
      </c>
      <c r="BB251" s="133" t="n">
        <f aca="false">IF(OR(OR($B251="",$E251="",$F251=""),$K251&lt;&gt;"نعم",$M251="نعم"),0,MAX(0,MIN($F251,EOMONTH(DATE(cfg_FY,9,1),0))-MAX($E251,DATE(cfg_FY,9,1))+1))</f>
        <v>0</v>
      </c>
      <c r="BC251" s="133" t="n">
        <f aca="false">IF(OR(OR($B251="",$E251="",$F251=""),$K251&lt;&gt;"نعم",$M251="نعم"),0,MAX(0,MIN($F251,EOMONTH(DATE(cfg_FY,10,1),0))-MAX($E251,DATE(cfg_FY,10,1))+1))</f>
        <v>0</v>
      </c>
      <c r="BD251" s="133" t="n">
        <f aca="false">IF(OR(OR($B251="",$E251="",$F251=""),$K251&lt;&gt;"نعم",$M251="نعم"),0,MAX(0,MIN($F251,EOMONTH(DATE(cfg_FY,11,1),0))-MAX($E251,DATE(cfg_FY,11,1))+1))</f>
        <v>0</v>
      </c>
      <c r="BE251" s="133" t="n">
        <f aca="false">IF(OR(OR($B251="",$E251="",$F251=""),$K251&lt;&gt;"نعم",$M251="نعم"),0,MAX(0,MIN($F251,EOMONTH(DATE(cfg_FY,12,1),0))-MAX($E251,DATE(cfg_FY,12,1))+1))</f>
        <v>0</v>
      </c>
    </row>
    <row r="252" customFormat="false" ht="15" hidden="false" customHeight="false" outlineLevel="0" collapsed="false">
      <c r="A252" s="106" t="str">
        <f aca="false">IF(B252="","",ROW()-5)</f>
        <v/>
      </c>
      <c r="B252" s="118"/>
      <c r="C252" s="114" t="str">
        <f aca="false">IF(B252="","",IFERROR(INDEX(الموظفون!$C$6:$C$105,MATCH(B252,الموظفون!$B$6:$B$105,0)),"✖ رقم غير موجود"))</f>
        <v/>
      </c>
      <c r="D252" s="118"/>
      <c r="E252" s="119"/>
      <c r="F252" s="119"/>
      <c r="G252" s="65" t="str">
        <f aca="false">IF(OR($B252="",$E252="",$F252=""),"",MAX(0,F252-E252+1))</f>
        <v/>
      </c>
      <c r="H252" s="66" t="str">
        <f aca="false">IF(D252="","",IFERROR(VLOOKUP(D252,cfg_LT,2,FALSE()),1))</f>
        <v/>
      </c>
      <c r="I252" s="135"/>
      <c r="J252" s="66" t="str">
        <f aca="false">IF(D252="","",IF(I252&lt;&gt;"",I252,H252))</f>
        <v/>
      </c>
      <c r="K252" s="114" t="str">
        <f aca="false">IF(D252="","",IFERROR(VLOOKUP($D252,cfg_LT,3,FALSE()),""))</f>
        <v/>
      </c>
      <c r="L252" s="114" t="str">
        <f aca="false">IF(D252="","",IFERROR(VLOOKUP($D252,cfg_LT,4,FALSE()),""))</f>
        <v/>
      </c>
      <c r="M252" s="114" t="str">
        <f aca="false">IF(D252="","",IFERROR(VLOOKUP($D252,cfg_LT,5,FALSE()),""))</f>
        <v/>
      </c>
      <c r="N252" s="111" t="n">
        <f aca="false">IF(OR(OR($B252="",$E252="",$F252=""),M252&lt;&gt;"نعم"),0,G252*J252*IFERROR(INDEX(الموظفون!$R$6:$R$105,MATCH(B252,الموظفون!$B$6:$B$105,0)),0)/cfg_DAYS_M)</f>
        <v>0</v>
      </c>
      <c r="O252" s="106" t="str">
        <f aca="false">IF(OR(OR($B252="",$E252="",$F252=""),M252&lt;&gt;"نعم"),"",IF(YEAR(E252)=cfg_FY,MONTH(E252),""))</f>
        <v/>
      </c>
      <c r="P252" s="114" t="str">
        <f aca="false">IF(B252="","",IF(OR(D252="",E252="",F252=""),"⚠ أكمل النوع والتواريخ",IF(F252&lt;E252,"✖ النهاية قبل البداية",IF(COUNTIFS($B$6:$B$505,B252,$E$6:$E$505,"&lt;="&amp;F252,$F$6:$F$505,"&gt;="&amp;E252)&gt;1,"⚠ تداخل مع سجل آخر",IF(E252&gt;cfg_VAL_DATE,"⏳ قادمة",IF(F252&lt;cfg_VAL_DATE,"✔ منتهية","✈ جارية في تاريخ التقرير"))))))</f>
        <v/>
      </c>
      <c r="Q252" s="118"/>
      <c r="R252" s="65" t="n">
        <f aca="false">IF(OR(OR($B252="",$E252="",$F252=""),L252&lt;&gt;"لا"),0,MAX(0,MIN(F252,cfg_Y_START-1)-E252+1))</f>
        <v>0</v>
      </c>
      <c r="S252" s="65" t="n">
        <f aca="false">IF(OR(OR($B252="",$E252="",$F252=""),L252&lt;&gt;"لا"),0,MAX(0,MIN(F252,cfg_VAL_DATE)-E252+1))</f>
        <v>0</v>
      </c>
      <c r="T252" s="65" t="n">
        <f aca="false">IF(OR(OR($B252="",$E252="",$F252=""),K252&lt;&gt;"نعم"),0,IF(M252="نعم",IF(AND(ISNUMBER(O252),N(O252)&lt;=cfg_VAL_M),G252,0),MAX(0,MIN(F252,cfg_VAL_DATE)-MAX(E252,cfg_Y_START)+1)))</f>
        <v>0</v>
      </c>
      <c r="V252" s="65" t="n">
        <f aca="false">IF(OR($B252="",$E252="",$F252=""),0,MAX(0,MIN($F252,EOMONTH(DATE(cfg_FY,1,1),0))-MAX($E252,DATE(cfg_FY,1,1))+1)*(1-IF($M252="نعم",0,N($J252))))</f>
        <v>0</v>
      </c>
      <c r="W252" s="65" t="n">
        <f aca="false">IF(OR($B252="",$E252="",$F252=""),0,MAX(0,MIN($F252,EOMONTH(DATE(cfg_FY,2,1),0))-MAX($E252,DATE(cfg_FY,2,1))+1)*(1-IF($M252="نعم",0,N($J252))))</f>
        <v>0</v>
      </c>
      <c r="X252" s="65" t="n">
        <f aca="false">IF(OR($B252="",$E252="",$F252=""),0,MAX(0,MIN($F252,EOMONTH(DATE(cfg_FY,3,1),0))-MAX($E252,DATE(cfg_FY,3,1))+1)*(1-IF($M252="نعم",0,N($J252))))</f>
        <v>0</v>
      </c>
      <c r="Y252" s="65" t="n">
        <f aca="false">IF(OR($B252="",$E252="",$F252=""),0,MAX(0,MIN($F252,EOMONTH(DATE(cfg_FY,4,1),0))-MAX($E252,DATE(cfg_FY,4,1))+1)*(1-IF($M252="نعم",0,N($J252))))</f>
        <v>0</v>
      </c>
      <c r="Z252" s="65" t="n">
        <f aca="false">IF(OR($B252="",$E252="",$F252=""),0,MAX(0,MIN($F252,EOMONTH(DATE(cfg_FY,5,1),0))-MAX($E252,DATE(cfg_FY,5,1))+1)*(1-IF($M252="نعم",0,N($J252))))</f>
        <v>0</v>
      </c>
      <c r="AA252" s="65" t="n">
        <f aca="false">IF(OR($B252="",$E252="",$F252=""),0,MAX(0,MIN($F252,EOMONTH(DATE(cfg_FY,6,1),0))-MAX($E252,DATE(cfg_FY,6,1))+1)*(1-IF($M252="نعم",0,N($J252))))</f>
        <v>0</v>
      </c>
      <c r="AB252" s="65" t="n">
        <f aca="false">IF(OR($B252="",$E252="",$F252=""),0,MAX(0,MIN($F252,EOMONTH(DATE(cfg_FY,7,1),0))-MAX($E252,DATE(cfg_FY,7,1))+1)*(1-IF($M252="نعم",0,N($J252))))</f>
        <v>0</v>
      </c>
      <c r="AC252" s="65" t="n">
        <f aca="false">IF(OR($B252="",$E252="",$F252=""),0,MAX(0,MIN($F252,EOMONTH(DATE(cfg_FY,8,1),0))-MAX($E252,DATE(cfg_FY,8,1))+1)*(1-IF($M252="نعم",0,N($J252))))</f>
        <v>0</v>
      </c>
      <c r="AD252" s="65" t="n">
        <f aca="false">IF(OR($B252="",$E252="",$F252=""),0,MAX(0,MIN($F252,EOMONTH(DATE(cfg_FY,9,1),0))-MAX($E252,DATE(cfg_FY,9,1))+1)*(1-IF($M252="نعم",0,N($J252))))</f>
        <v>0</v>
      </c>
      <c r="AE252" s="65" t="n">
        <f aca="false">IF(OR($B252="",$E252="",$F252=""),0,MAX(0,MIN($F252,EOMONTH(DATE(cfg_FY,10,1),0))-MAX($E252,DATE(cfg_FY,10,1))+1)*(1-IF($M252="نعم",0,N($J252))))</f>
        <v>0</v>
      </c>
      <c r="AF252" s="65" t="n">
        <f aca="false">IF(OR($B252="",$E252="",$F252=""),0,MAX(0,MIN($F252,EOMONTH(DATE(cfg_FY,11,1),0))-MAX($E252,DATE(cfg_FY,11,1))+1)*(1-IF($M252="نعم",0,N($J252))))</f>
        <v>0</v>
      </c>
      <c r="AG252" s="65" t="n">
        <f aca="false">IF(OR($B252="",$E252="",$F252=""),0,MAX(0,MIN($F252,EOMONTH(DATE(cfg_FY,12,1),0))-MAX($E252,DATE(cfg_FY,12,1))+1)*(1-IF($M252="نعم",0,N($J252))))</f>
        <v>0</v>
      </c>
      <c r="AH252" s="65" t="n">
        <f aca="false">IF(OR(OR($B252="",$E252="",$F252=""),$L252&lt;&gt;"لا"),0,MAX(0,MIN($F252,EOMONTH(DATE(cfg_FY,1,1),0))-$E252+1))</f>
        <v>0</v>
      </c>
      <c r="AI252" s="65" t="n">
        <f aca="false">IF(OR(OR($B252="",$E252="",$F252=""),$L252&lt;&gt;"لا"),0,MAX(0,MIN($F252,EOMONTH(DATE(cfg_FY,2,1),0))-$E252+1))</f>
        <v>0</v>
      </c>
      <c r="AJ252" s="65" t="n">
        <f aca="false">IF(OR(OR($B252="",$E252="",$F252=""),$L252&lt;&gt;"لا"),0,MAX(0,MIN($F252,EOMONTH(DATE(cfg_FY,3,1),0))-$E252+1))</f>
        <v>0</v>
      </c>
      <c r="AK252" s="65" t="n">
        <f aca="false">IF(OR(OR($B252="",$E252="",$F252=""),$L252&lt;&gt;"لا"),0,MAX(0,MIN($F252,EOMONTH(DATE(cfg_FY,4,1),0))-$E252+1))</f>
        <v>0</v>
      </c>
      <c r="AL252" s="65" t="n">
        <f aca="false">IF(OR(OR($B252="",$E252="",$F252=""),$L252&lt;&gt;"لا"),0,MAX(0,MIN($F252,EOMONTH(DATE(cfg_FY,5,1),0))-$E252+1))</f>
        <v>0</v>
      </c>
      <c r="AM252" s="65" t="n">
        <f aca="false">IF(OR(OR($B252="",$E252="",$F252=""),$L252&lt;&gt;"لا"),0,MAX(0,MIN($F252,EOMONTH(DATE(cfg_FY,6,1),0))-$E252+1))</f>
        <v>0</v>
      </c>
      <c r="AN252" s="65" t="n">
        <f aca="false">IF(OR(OR($B252="",$E252="",$F252=""),$L252&lt;&gt;"لا"),0,MAX(0,MIN($F252,EOMONTH(DATE(cfg_FY,7,1),0))-$E252+1))</f>
        <v>0</v>
      </c>
      <c r="AO252" s="65" t="n">
        <f aca="false">IF(OR(OR($B252="",$E252="",$F252=""),$L252&lt;&gt;"لا"),0,MAX(0,MIN($F252,EOMONTH(DATE(cfg_FY,8,1),0))-$E252+1))</f>
        <v>0</v>
      </c>
      <c r="AP252" s="65" t="n">
        <f aca="false">IF(OR(OR($B252="",$E252="",$F252=""),$L252&lt;&gt;"لا"),0,MAX(0,MIN($F252,EOMONTH(DATE(cfg_FY,9,1),0))-$E252+1))</f>
        <v>0</v>
      </c>
      <c r="AQ252" s="65" t="n">
        <f aca="false">IF(OR(OR($B252="",$E252="",$F252=""),$L252&lt;&gt;"لا"),0,MAX(0,MIN($F252,EOMONTH(DATE(cfg_FY,10,1),0))-$E252+1))</f>
        <v>0</v>
      </c>
      <c r="AR252" s="65" t="n">
        <f aca="false">IF(OR(OR($B252="",$E252="",$F252=""),$L252&lt;&gt;"لا"),0,MAX(0,MIN($F252,EOMONTH(DATE(cfg_FY,11,1),0))-$E252+1))</f>
        <v>0</v>
      </c>
      <c r="AS252" s="65" t="n">
        <f aca="false">IF(OR(OR($B252="",$E252="",$F252=""),$L252&lt;&gt;"لا"),0,MAX(0,MIN($F252,EOMONTH(DATE(cfg_FY,12,1),0))-$E252+1))</f>
        <v>0</v>
      </c>
      <c r="AT252" s="65" t="n">
        <f aca="false">IF(OR(OR($B252="",$E252="",$F252=""),$K252&lt;&gt;"نعم",$M252="نعم"),0,MAX(0,MIN($F252,EOMONTH(DATE(cfg_FY,1,1),0))-MAX($E252,DATE(cfg_FY,1,1))+1))</f>
        <v>0</v>
      </c>
      <c r="AU252" s="65" t="n">
        <f aca="false">IF(OR(OR($B252="",$E252="",$F252=""),$K252&lt;&gt;"نعم",$M252="نعم"),0,MAX(0,MIN($F252,EOMONTH(DATE(cfg_FY,2,1),0))-MAX($E252,DATE(cfg_FY,2,1))+1))</f>
        <v>0</v>
      </c>
      <c r="AV252" s="65" t="n">
        <f aca="false">IF(OR(OR($B252="",$E252="",$F252=""),$K252&lt;&gt;"نعم",$M252="نعم"),0,MAX(0,MIN($F252,EOMONTH(DATE(cfg_FY,3,1),0))-MAX($E252,DATE(cfg_FY,3,1))+1))</f>
        <v>0</v>
      </c>
      <c r="AW252" s="65" t="n">
        <f aca="false">IF(OR(OR($B252="",$E252="",$F252=""),$K252&lt;&gt;"نعم",$M252="نعم"),0,MAX(0,MIN($F252,EOMONTH(DATE(cfg_FY,4,1),0))-MAX($E252,DATE(cfg_FY,4,1))+1))</f>
        <v>0</v>
      </c>
      <c r="AX252" s="65" t="n">
        <f aca="false">IF(OR(OR($B252="",$E252="",$F252=""),$K252&lt;&gt;"نعم",$M252="نعم"),0,MAX(0,MIN($F252,EOMONTH(DATE(cfg_FY,5,1),0))-MAX($E252,DATE(cfg_FY,5,1))+1))</f>
        <v>0</v>
      </c>
      <c r="AY252" s="65" t="n">
        <f aca="false">IF(OR(OR($B252="",$E252="",$F252=""),$K252&lt;&gt;"نعم",$M252="نعم"),0,MAX(0,MIN($F252,EOMONTH(DATE(cfg_FY,6,1),0))-MAX($E252,DATE(cfg_FY,6,1))+1))</f>
        <v>0</v>
      </c>
      <c r="AZ252" s="65" t="n">
        <f aca="false">IF(OR(OR($B252="",$E252="",$F252=""),$K252&lt;&gt;"نعم",$M252="نعم"),0,MAX(0,MIN($F252,EOMONTH(DATE(cfg_FY,7,1),0))-MAX($E252,DATE(cfg_FY,7,1))+1))</f>
        <v>0</v>
      </c>
      <c r="BA252" s="65" t="n">
        <f aca="false">IF(OR(OR($B252="",$E252="",$F252=""),$K252&lt;&gt;"نعم",$M252="نعم"),0,MAX(0,MIN($F252,EOMONTH(DATE(cfg_FY,8,1),0))-MAX($E252,DATE(cfg_FY,8,1))+1))</f>
        <v>0</v>
      </c>
      <c r="BB252" s="65" t="n">
        <f aca="false">IF(OR(OR($B252="",$E252="",$F252=""),$K252&lt;&gt;"نعم",$M252="نعم"),0,MAX(0,MIN($F252,EOMONTH(DATE(cfg_FY,9,1),0))-MAX($E252,DATE(cfg_FY,9,1))+1))</f>
        <v>0</v>
      </c>
      <c r="BC252" s="65" t="n">
        <f aca="false">IF(OR(OR($B252="",$E252="",$F252=""),$K252&lt;&gt;"نعم",$M252="نعم"),0,MAX(0,MIN($F252,EOMONTH(DATE(cfg_FY,10,1),0))-MAX($E252,DATE(cfg_FY,10,1))+1))</f>
        <v>0</v>
      </c>
      <c r="BD252" s="65" t="n">
        <f aca="false">IF(OR(OR($B252="",$E252="",$F252=""),$K252&lt;&gt;"نعم",$M252="نعم"),0,MAX(0,MIN($F252,EOMONTH(DATE(cfg_FY,11,1),0))-MAX($E252,DATE(cfg_FY,11,1))+1))</f>
        <v>0</v>
      </c>
      <c r="BE252" s="65" t="n">
        <f aca="false">IF(OR(OR($B252="",$E252="",$F252=""),$K252&lt;&gt;"نعم",$M252="نعم"),0,MAX(0,MIN($F252,EOMONTH(DATE(cfg_FY,12,1),0))-MAX($E252,DATE(cfg_FY,12,1))+1))</f>
        <v>0</v>
      </c>
    </row>
    <row r="253" customFormat="false" ht="15" hidden="false" customHeight="false" outlineLevel="0" collapsed="false">
      <c r="A253" s="115" t="str">
        <f aca="false">IF(B253="","",ROW()-5)</f>
        <v/>
      </c>
      <c r="B253" s="118"/>
      <c r="C253" s="117" t="str">
        <f aca="false">IF(B253="","",IFERROR(INDEX(الموظفون!$C$6:$C$105,MATCH(B253,الموظفون!$B$6:$B$105,0)),"✖ رقم غير موجود"))</f>
        <v/>
      </c>
      <c r="D253" s="118"/>
      <c r="E253" s="119"/>
      <c r="F253" s="119"/>
      <c r="G253" s="133" t="str">
        <f aca="false">IF(OR($B253="",$E253="",$F253=""),"",MAX(0,F253-E253+1))</f>
        <v/>
      </c>
      <c r="H253" s="134" t="str">
        <f aca="false">IF(D253="","",IFERROR(VLOOKUP(D253,cfg_LT,2,FALSE()),1))</f>
        <v/>
      </c>
      <c r="I253" s="135"/>
      <c r="J253" s="134" t="str">
        <f aca="false">IF(D253="","",IF(I253&lt;&gt;"",I253,H253))</f>
        <v/>
      </c>
      <c r="K253" s="117" t="str">
        <f aca="false">IF(D253="","",IFERROR(VLOOKUP($D253,cfg_LT,3,FALSE()),""))</f>
        <v/>
      </c>
      <c r="L253" s="117" t="str">
        <f aca="false">IF(D253="","",IFERROR(VLOOKUP($D253,cfg_LT,4,FALSE()),""))</f>
        <v/>
      </c>
      <c r="M253" s="117" t="str">
        <f aca="false">IF(D253="","",IFERROR(VLOOKUP($D253,cfg_LT,5,FALSE()),""))</f>
        <v/>
      </c>
      <c r="N253" s="116" t="n">
        <f aca="false">IF(OR(OR($B253="",$E253="",$F253=""),M253&lt;&gt;"نعم"),0,G253*J253*IFERROR(INDEX(الموظفون!$R$6:$R$105,MATCH(B253,الموظفون!$B$6:$B$105,0)),0)/cfg_DAYS_M)</f>
        <v>0</v>
      </c>
      <c r="O253" s="115" t="str">
        <f aca="false">IF(OR(OR($B253="",$E253="",$F253=""),M253&lt;&gt;"نعم"),"",IF(YEAR(E253)=cfg_FY,MONTH(E253),""))</f>
        <v/>
      </c>
      <c r="P253" s="117" t="str">
        <f aca="false">IF(B253="","",IF(OR(D253="",E253="",F253=""),"⚠ أكمل النوع والتواريخ",IF(F253&lt;E253,"✖ النهاية قبل البداية",IF(COUNTIFS($B$6:$B$505,B253,$E$6:$E$505,"&lt;="&amp;F253,$F$6:$F$505,"&gt;="&amp;E253)&gt;1,"⚠ تداخل مع سجل آخر",IF(E253&gt;cfg_VAL_DATE,"⏳ قادمة",IF(F253&lt;cfg_VAL_DATE,"✔ منتهية","✈ جارية في تاريخ التقرير"))))))</f>
        <v/>
      </c>
      <c r="Q253" s="118"/>
      <c r="R253" s="133" t="n">
        <f aca="false">IF(OR(OR($B253="",$E253="",$F253=""),L253&lt;&gt;"لا"),0,MAX(0,MIN(F253,cfg_Y_START-1)-E253+1))</f>
        <v>0</v>
      </c>
      <c r="S253" s="133" t="n">
        <f aca="false">IF(OR(OR($B253="",$E253="",$F253=""),L253&lt;&gt;"لا"),0,MAX(0,MIN(F253,cfg_VAL_DATE)-E253+1))</f>
        <v>0</v>
      </c>
      <c r="T253" s="133" t="n">
        <f aca="false">IF(OR(OR($B253="",$E253="",$F253=""),K253&lt;&gt;"نعم"),0,IF(M253="نعم",IF(AND(ISNUMBER(O253),N(O253)&lt;=cfg_VAL_M),G253,0),MAX(0,MIN(F253,cfg_VAL_DATE)-MAX(E253,cfg_Y_START)+1)))</f>
        <v>0</v>
      </c>
      <c r="V253" s="133" t="n">
        <f aca="false">IF(OR($B253="",$E253="",$F253=""),0,MAX(0,MIN($F253,EOMONTH(DATE(cfg_FY,1,1),0))-MAX($E253,DATE(cfg_FY,1,1))+1)*(1-IF($M253="نعم",0,N($J253))))</f>
        <v>0</v>
      </c>
      <c r="W253" s="133" t="n">
        <f aca="false">IF(OR($B253="",$E253="",$F253=""),0,MAX(0,MIN($F253,EOMONTH(DATE(cfg_FY,2,1),0))-MAX($E253,DATE(cfg_FY,2,1))+1)*(1-IF($M253="نعم",0,N($J253))))</f>
        <v>0</v>
      </c>
      <c r="X253" s="133" t="n">
        <f aca="false">IF(OR($B253="",$E253="",$F253=""),0,MAX(0,MIN($F253,EOMONTH(DATE(cfg_FY,3,1),0))-MAX($E253,DATE(cfg_FY,3,1))+1)*(1-IF($M253="نعم",0,N($J253))))</f>
        <v>0</v>
      </c>
      <c r="Y253" s="133" t="n">
        <f aca="false">IF(OR($B253="",$E253="",$F253=""),0,MAX(0,MIN($F253,EOMONTH(DATE(cfg_FY,4,1),0))-MAX($E253,DATE(cfg_FY,4,1))+1)*(1-IF($M253="نعم",0,N($J253))))</f>
        <v>0</v>
      </c>
      <c r="Z253" s="133" t="n">
        <f aca="false">IF(OR($B253="",$E253="",$F253=""),0,MAX(0,MIN($F253,EOMONTH(DATE(cfg_FY,5,1),0))-MAX($E253,DATE(cfg_FY,5,1))+1)*(1-IF($M253="نعم",0,N($J253))))</f>
        <v>0</v>
      </c>
      <c r="AA253" s="133" t="n">
        <f aca="false">IF(OR($B253="",$E253="",$F253=""),0,MAX(0,MIN($F253,EOMONTH(DATE(cfg_FY,6,1),0))-MAX($E253,DATE(cfg_FY,6,1))+1)*(1-IF($M253="نعم",0,N($J253))))</f>
        <v>0</v>
      </c>
      <c r="AB253" s="133" t="n">
        <f aca="false">IF(OR($B253="",$E253="",$F253=""),0,MAX(0,MIN($F253,EOMONTH(DATE(cfg_FY,7,1),0))-MAX($E253,DATE(cfg_FY,7,1))+1)*(1-IF($M253="نعم",0,N($J253))))</f>
        <v>0</v>
      </c>
      <c r="AC253" s="133" t="n">
        <f aca="false">IF(OR($B253="",$E253="",$F253=""),0,MAX(0,MIN($F253,EOMONTH(DATE(cfg_FY,8,1),0))-MAX($E253,DATE(cfg_FY,8,1))+1)*(1-IF($M253="نعم",0,N($J253))))</f>
        <v>0</v>
      </c>
      <c r="AD253" s="133" t="n">
        <f aca="false">IF(OR($B253="",$E253="",$F253=""),0,MAX(0,MIN($F253,EOMONTH(DATE(cfg_FY,9,1),0))-MAX($E253,DATE(cfg_FY,9,1))+1)*(1-IF($M253="نعم",0,N($J253))))</f>
        <v>0</v>
      </c>
      <c r="AE253" s="133" t="n">
        <f aca="false">IF(OR($B253="",$E253="",$F253=""),0,MAX(0,MIN($F253,EOMONTH(DATE(cfg_FY,10,1),0))-MAX($E253,DATE(cfg_FY,10,1))+1)*(1-IF($M253="نعم",0,N($J253))))</f>
        <v>0</v>
      </c>
      <c r="AF253" s="133" t="n">
        <f aca="false">IF(OR($B253="",$E253="",$F253=""),0,MAX(0,MIN($F253,EOMONTH(DATE(cfg_FY,11,1),0))-MAX($E253,DATE(cfg_FY,11,1))+1)*(1-IF($M253="نعم",0,N($J253))))</f>
        <v>0</v>
      </c>
      <c r="AG253" s="133" t="n">
        <f aca="false">IF(OR($B253="",$E253="",$F253=""),0,MAX(0,MIN($F253,EOMONTH(DATE(cfg_FY,12,1),0))-MAX($E253,DATE(cfg_FY,12,1))+1)*(1-IF($M253="نعم",0,N($J253))))</f>
        <v>0</v>
      </c>
      <c r="AH253" s="133" t="n">
        <f aca="false">IF(OR(OR($B253="",$E253="",$F253=""),$L253&lt;&gt;"لا"),0,MAX(0,MIN($F253,EOMONTH(DATE(cfg_FY,1,1),0))-$E253+1))</f>
        <v>0</v>
      </c>
      <c r="AI253" s="133" t="n">
        <f aca="false">IF(OR(OR($B253="",$E253="",$F253=""),$L253&lt;&gt;"لا"),0,MAX(0,MIN($F253,EOMONTH(DATE(cfg_FY,2,1),0))-$E253+1))</f>
        <v>0</v>
      </c>
      <c r="AJ253" s="133" t="n">
        <f aca="false">IF(OR(OR($B253="",$E253="",$F253=""),$L253&lt;&gt;"لا"),0,MAX(0,MIN($F253,EOMONTH(DATE(cfg_FY,3,1),0))-$E253+1))</f>
        <v>0</v>
      </c>
      <c r="AK253" s="133" t="n">
        <f aca="false">IF(OR(OR($B253="",$E253="",$F253=""),$L253&lt;&gt;"لا"),0,MAX(0,MIN($F253,EOMONTH(DATE(cfg_FY,4,1),0))-$E253+1))</f>
        <v>0</v>
      </c>
      <c r="AL253" s="133" t="n">
        <f aca="false">IF(OR(OR($B253="",$E253="",$F253=""),$L253&lt;&gt;"لا"),0,MAX(0,MIN($F253,EOMONTH(DATE(cfg_FY,5,1),0))-$E253+1))</f>
        <v>0</v>
      </c>
      <c r="AM253" s="133" t="n">
        <f aca="false">IF(OR(OR($B253="",$E253="",$F253=""),$L253&lt;&gt;"لا"),0,MAX(0,MIN($F253,EOMONTH(DATE(cfg_FY,6,1),0))-$E253+1))</f>
        <v>0</v>
      </c>
      <c r="AN253" s="133" t="n">
        <f aca="false">IF(OR(OR($B253="",$E253="",$F253=""),$L253&lt;&gt;"لا"),0,MAX(0,MIN($F253,EOMONTH(DATE(cfg_FY,7,1),0))-$E253+1))</f>
        <v>0</v>
      </c>
      <c r="AO253" s="133" t="n">
        <f aca="false">IF(OR(OR($B253="",$E253="",$F253=""),$L253&lt;&gt;"لا"),0,MAX(0,MIN($F253,EOMONTH(DATE(cfg_FY,8,1),0))-$E253+1))</f>
        <v>0</v>
      </c>
      <c r="AP253" s="133" t="n">
        <f aca="false">IF(OR(OR($B253="",$E253="",$F253=""),$L253&lt;&gt;"لا"),0,MAX(0,MIN($F253,EOMONTH(DATE(cfg_FY,9,1),0))-$E253+1))</f>
        <v>0</v>
      </c>
      <c r="AQ253" s="133" t="n">
        <f aca="false">IF(OR(OR($B253="",$E253="",$F253=""),$L253&lt;&gt;"لا"),0,MAX(0,MIN($F253,EOMONTH(DATE(cfg_FY,10,1),0))-$E253+1))</f>
        <v>0</v>
      </c>
      <c r="AR253" s="133" t="n">
        <f aca="false">IF(OR(OR($B253="",$E253="",$F253=""),$L253&lt;&gt;"لا"),0,MAX(0,MIN($F253,EOMONTH(DATE(cfg_FY,11,1),0))-$E253+1))</f>
        <v>0</v>
      </c>
      <c r="AS253" s="133" t="n">
        <f aca="false">IF(OR(OR($B253="",$E253="",$F253=""),$L253&lt;&gt;"لا"),0,MAX(0,MIN($F253,EOMONTH(DATE(cfg_FY,12,1),0))-$E253+1))</f>
        <v>0</v>
      </c>
      <c r="AT253" s="133" t="n">
        <f aca="false">IF(OR(OR($B253="",$E253="",$F253=""),$K253&lt;&gt;"نعم",$M253="نعم"),0,MAX(0,MIN($F253,EOMONTH(DATE(cfg_FY,1,1),0))-MAX($E253,DATE(cfg_FY,1,1))+1))</f>
        <v>0</v>
      </c>
      <c r="AU253" s="133" t="n">
        <f aca="false">IF(OR(OR($B253="",$E253="",$F253=""),$K253&lt;&gt;"نعم",$M253="نعم"),0,MAX(0,MIN($F253,EOMONTH(DATE(cfg_FY,2,1),0))-MAX($E253,DATE(cfg_FY,2,1))+1))</f>
        <v>0</v>
      </c>
      <c r="AV253" s="133" t="n">
        <f aca="false">IF(OR(OR($B253="",$E253="",$F253=""),$K253&lt;&gt;"نعم",$M253="نعم"),0,MAX(0,MIN($F253,EOMONTH(DATE(cfg_FY,3,1),0))-MAX($E253,DATE(cfg_FY,3,1))+1))</f>
        <v>0</v>
      </c>
      <c r="AW253" s="133" t="n">
        <f aca="false">IF(OR(OR($B253="",$E253="",$F253=""),$K253&lt;&gt;"نعم",$M253="نعم"),0,MAX(0,MIN($F253,EOMONTH(DATE(cfg_FY,4,1),0))-MAX($E253,DATE(cfg_FY,4,1))+1))</f>
        <v>0</v>
      </c>
      <c r="AX253" s="133" t="n">
        <f aca="false">IF(OR(OR($B253="",$E253="",$F253=""),$K253&lt;&gt;"نعم",$M253="نعم"),0,MAX(0,MIN($F253,EOMONTH(DATE(cfg_FY,5,1),0))-MAX($E253,DATE(cfg_FY,5,1))+1))</f>
        <v>0</v>
      </c>
      <c r="AY253" s="133" t="n">
        <f aca="false">IF(OR(OR($B253="",$E253="",$F253=""),$K253&lt;&gt;"نعم",$M253="نعم"),0,MAX(0,MIN($F253,EOMONTH(DATE(cfg_FY,6,1),0))-MAX($E253,DATE(cfg_FY,6,1))+1))</f>
        <v>0</v>
      </c>
      <c r="AZ253" s="133" t="n">
        <f aca="false">IF(OR(OR($B253="",$E253="",$F253=""),$K253&lt;&gt;"نعم",$M253="نعم"),0,MAX(0,MIN($F253,EOMONTH(DATE(cfg_FY,7,1),0))-MAX($E253,DATE(cfg_FY,7,1))+1))</f>
        <v>0</v>
      </c>
      <c r="BA253" s="133" t="n">
        <f aca="false">IF(OR(OR($B253="",$E253="",$F253=""),$K253&lt;&gt;"نعم",$M253="نعم"),0,MAX(0,MIN($F253,EOMONTH(DATE(cfg_FY,8,1),0))-MAX($E253,DATE(cfg_FY,8,1))+1))</f>
        <v>0</v>
      </c>
      <c r="BB253" s="133" t="n">
        <f aca="false">IF(OR(OR($B253="",$E253="",$F253=""),$K253&lt;&gt;"نعم",$M253="نعم"),0,MAX(0,MIN($F253,EOMONTH(DATE(cfg_FY,9,1),0))-MAX($E253,DATE(cfg_FY,9,1))+1))</f>
        <v>0</v>
      </c>
      <c r="BC253" s="133" t="n">
        <f aca="false">IF(OR(OR($B253="",$E253="",$F253=""),$K253&lt;&gt;"نعم",$M253="نعم"),0,MAX(0,MIN($F253,EOMONTH(DATE(cfg_FY,10,1),0))-MAX($E253,DATE(cfg_FY,10,1))+1))</f>
        <v>0</v>
      </c>
      <c r="BD253" s="133" t="n">
        <f aca="false">IF(OR(OR($B253="",$E253="",$F253=""),$K253&lt;&gt;"نعم",$M253="نعم"),0,MAX(0,MIN($F253,EOMONTH(DATE(cfg_FY,11,1),0))-MAX($E253,DATE(cfg_FY,11,1))+1))</f>
        <v>0</v>
      </c>
      <c r="BE253" s="133" t="n">
        <f aca="false">IF(OR(OR($B253="",$E253="",$F253=""),$K253&lt;&gt;"نعم",$M253="نعم"),0,MAX(0,MIN($F253,EOMONTH(DATE(cfg_FY,12,1),0))-MAX($E253,DATE(cfg_FY,12,1))+1))</f>
        <v>0</v>
      </c>
    </row>
    <row r="254" customFormat="false" ht="15" hidden="false" customHeight="false" outlineLevel="0" collapsed="false">
      <c r="A254" s="106" t="str">
        <f aca="false">IF(B254="","",ROW()-5)</f>
        <v/>
      </c>
      <c r="B254" s="118"/>
      <c r="C254" s="114" t="str">
        <f aca="false">IF(B254="","",IFERROR(INDEX(الموظفون!$C$6:$C$105,MATCH(B254,الموظفون!$B$6:$B$105,0)),"✖ رقم غير موجود"))</f>
        <v/>
      </c>
      <c r="D254" s="118"/>
      <c r="E254" s="119"/>
      <c r="F254" s="119"/>
      <c r="G254" s="65" t="str">
        <f aca="false">IF(OR($B254="",$E254="",$F254=""),"",MAX(0,F254-E254+1))</f>
        <v/>
      </c>
      <c r="H254" s="66" t="str">
        <f aca="false">IF(D254="","",IFERROR(VLOOKUP(D254,cfg_LT,2,FALSE()),1))</f>
        <v/>
      </c>
      <c r="I254" s="135"/>
      <c r="J254" s="66" t="str">
        <f aca="false">IF(D254="","",IF(I254&lt;&gt;"",I254,H254))</f>
        <v/>
      </c>
      <c r="K254" s="114" t="str">
        <f aca="false">IF(D254="","",IFERROR(VLOOKUP($D254,cfg_LT,3,FALSE()),""))</f>
        <v/>
      </c>
      <c r="L254" s="114" t="str">
        <f aca="false">IF(D254="","",IFERROR(VLOOKUP($D254,cfg_LT,4,FALSE()),""))</f>
        <v/>
      </c>
      <c r="M254" s="114" t="str">
        <f aca="false">IF(D254="","",IFERROR(VLOOKUP($D254,cfg_LT,5,FALSE()),""))</f>
        <v/>
      </c>
      <c r="N254" s="111" t="n">
        <f aca="false">IF(OR(OR($B254="",$E254="",$F254=""),M254&lt;&gt;"نعم"),0,G254*J254*IFERROR(INDEX(الموظفون!$R$6:$R$105,MATCH(B254,الموظفون!$B$6:$B$105,0)),0)/cfg_DAYS_M)</f>
        <v>0</v>
      </c>
      <c r="O254" s="106" t="str">
        <f aca="false">IF(OR(OR($B254="",$E254="",$F254=""),M254&lt;&gt;"نعم"),"",IF(YEAR(E254)=cfg_FY,MONTH(E254),""))</f>
        <v/>
      </c>
      <c r="P254" s="114" t="str">
        <f aca="false">IF(B254="","",IF(OR(D254="",E254="",F254=""),"⚠ أكمل النوع والتواريخ",IF(F254&lt;E254,"✖ النهاية قبل البداية",IF(COUNTIFS($B$6:$B$505,B254,$E$6:$E$505,"&lt;="&amp;F254,$F$6:$F$505,"&gt;="&amp;E254)&gt;1,"⚠ تداخل مع سجل آخر",IF(E254&gt;cfg_VAL_DATE,"⏳ قادمة",IF(F254&lt;cfg_VAL_DATE,"✔ منتهية","✈ جارية في تاريخ التقرير"))))))</f>
        <v/>
      </c>
      <c r="Q254" s="118"/>
      <c r="R254" s="65" t="n">
        <f aca="false">IF(OR(OR($B254="",$E254="",$F254=""),L254&lt;&gt;"لا"),0,MAX(0,MIN(F254,cfg_Y_START-1)-E254+1))</f>
        <v>0</v>
      </c>
      <c r="S254" s="65" t="n">
        <f aca="false">IF(OR(OR($B254="",$E254="",$F254=""),L254&lt;&gt;"لا"),0,MAX(0,MIN(F254,cfg_VAL_DATE)-E254+1))</f>
        <v>0</v>
      </c>
      <c r="T254" s="65" t="n">
        <f aca="false">IF(OR(OR($B254="",$E254="",$F254=""),K254&lt;&gt;"نعم"),0,IF(M254="نعم",IF(AND(ISNUMBER(O254),N(O254)&lt;=cfg_VAL_M),G254,0),MAX(0,MIN(F254,cfg_VAL_DATE)-MAX(E254,cfg_Y_START)+1)))</f>
        <v>0</v>
      </c>
      <c r="V254" s="65" t="n">
        <f aca="false">IF(OR($B254="",$E254="",$F254=""),0,MAX(0,MIN($F254,EOMONTH(DATE(cfg_FY,1,1),0))-MAX($E254,DATE(cfg_FY,1,1))+1)*(1-IF($M254="نعم",0,N($J254))))</f>
        <v>0</v>
      </c>
      <c r="W254" s="65" t="n">
        <f aca="false">IF(OR($B254="",$E254="",$F254=""),0,MAX(0,MIN($F254,EOMONTH(DATE(cfg_FY,2,1),0))-MAX($E254,DATE(cfg_FY,2,1))+1)*(1-IF($M254="نعم",0,N($J254))))</f>
        <v>0</v>
      </c>
      <c r="X254" s="65" t="n">
        <f aca="false">IF(OR($B254="",$E254="",$F254=""),0,MAX(0,MIN($F254,EOMONTH(DATE(cfg_FY,3,1),0))-MAX($E254,DATE(cfg_FY,3,1))+1)*(1-IF($M254="نعم",0,N($J254))))</f>
        <v>0</v>
      </c>
      <c r="Y254" s="65" t="n">
        <f aca="false">IF(OR($B254="",$E254="",$F254=""),0,MAX(0,MIN($F254,EOMONTH(DATE(cfg_FY,4,1),0))-MAX($E254,DATE(cfg_FY,4,1))+1)*(1-IF($M254="نعم",0,N($J254))))</f>
        <v>0</v>
      </c>
      <c r="Z254" s="65" t="n">
        <f aca="false">IF(OR($B254="",$E254="",$F254=""),0,MAX(0,MIN($F254,EOMONTH(DATE(cfg_FY,5,1),0))-MAX($E254,DATE(cfg_FY,5,1))+1)*(1-IF($M254="نعم",0,N($J254))))</f>
        <v>0</v>
      </c>
      <c r="AA254" s="65" t="n">
        <f aca="false">IF(OR($B254="",$E254="",$F254=""),0,MAX(0,MIN($F254,EOMONTH(DATE(cfg_FY,6,1),0))-MAX($E254,DATE(cfg_FY,6,1))+1)*(1-IF($M254="نعم",0,N($J254))))</f>
        <v>0</v>
      </c>
      <c r="AB254" s="65" t="n">
        <f aca="false">IF(OR($B254="",$E254="",$F254=""),0,MAX(0,MIN($F254,EOMONTH(DATE(cfg_FY,7,1),0))-MAX($E254,DATE(cfg_FY,7,1))+1)*(1-IF($M254="نعم",0,N($J254))))</f>
        <v>0</v>
      </c>
      <c r="AC254" s="65" t="n">
        <f aca="false">IF(OR($B254="",$E254="",$F254=""),0,MAX(0,MIN($F254,EOMONTH(DATE(cfg_FY,8,1),0))-MAX($E254,DATE(cfg_FY,8,1))+1)*(1-IF($M254="نعم",0,N($J254))))</f>
        <v>0</v>
      </c>
      <c r="AD254" s="65" t="n">
        <f aca="false">IF(OR($B254="",$E254="",$F254=""),0,MAX(0,MIN($F254,EOMONTH(DATE(cfg_FY,9,1),0))-MAX($E254,DATE(cfg_FY,9,1))+1)*(1-IF($M254="نعم",0,N($J254))))</f>
        <v>0</v>
      </c>
      <c r="AE254" s="65" t="n">
        <f aca="false">IF(OR($B254="",$E254="",$F254=""),0,MAX(0,MIN($F254,EOMONTH(DATE(cfg_FY,10,1),0))-MAX($E254,DATE(cfg_FY,10,1))+1)*(1-IF($M254="نعم",0,N($J254))))</f>
        <v>0</v>
      </c>
      <c r="AF254" s="65" t="n">
        <f aca="false">IF(OR($B254="",$E254="",$F254=""),0,MAX(0,MIN($F254,EOMONTH(DATE(cfg_FY,11,1),0))-MAX($E254,DATE(cfg_FY,11,1))+1)*(1-IF($M254="نعم",0,N($J254))))</f>
        <v>0</v>
      </c>
      <c r="AG254" s="65" t="n">
        <f aca="false">IF(OR($B254="",$E254="",$F254=""),0,MAX(0,MIN($F254,EOMONTH(DATE(cfg_FY,12,1),0))-MAX($E254,DATE(cfg_FY,12,1))+1)*(1-IF($M254="نعم",0,N($J254))))</f>
        <v>0</v>
      </c>
      <c r="AH254" s="65" t="n">
        <f aca="false">IF(OR(OR($B254="",$E254="",$F254=""),$L254&lt;&gt;"لا"),0,MAX(0,MIN($F254,EOMONTH(DATE(cfg_FY,1,1),0))-$E254+1))</f>
        <v>0</v>
      </c>
      <c r="AI254" s="65" t="n">
        <f aca="false">IF(OR(OR($B254="",$E254="",$F254=""),$L254&lt;&gt;"لا"),0,MAX(0,MIN($F254,EOMONTH(DATE(cfg_FY,2,1),0))-$E254+1))</f>
        <v>0</v>
      </c>
      <c r="AJ254" s="65" t="n">
        <f aca="false">IF(OR(OR($B254="",$E254="",$F254=""),$L254&lt;&gt;"لا"),0,MAX(0,MIN($F254,EOMONTH(DATE(cfg_FY,3,1),0))-$E254+1))</f>
        <v>0</v>
      </c>
      <c r="AK254" s="65" t="n">
        <f aca="false">IF(OR(OR($B254="",$E254="",$F254=""),$L254&lt;&gt;"لا"),0,MAX(0,MIN($F254,EOMONTH(DATE(cfg_FY,4,1),0))-$E254+1))</f>
        <v>0</v>
      </c>
      <c r="AL254" s="65" t="n">
        <f aca="false">IF(OR(OR($B254="",$E254="",$F254=""),$L254&lt;&gt;"لا"),0,MAX(0,MIN($F254,EOMONTH(DATE(cfg_FY,5,1),0))-$E254+1))</f>
        <v>0</v>
      </c>
      <c r="AM254" s="65" t="n">
        <f aca="false">IF(OR(OR($B254="",$E254="",$F254=""),$L254&lt;&gt;"لا"),0,MAX(0,MIN($F254,EOMONTH(DATE(cfg_FY,6,1),0))-$E254+1))</f>
        <v>0</v>
      </c>
      <c r="AN254" s="65" t="n">
        <f aca="false">IF(OR(OR($B254="",$E254="",$F254=""),$L254&lt;&gt;"لا"),0,MAX(0,MIN($F254,EOMONTH(DATE(cfg_FY,7,1),0))-$E254+1))</f>
        <v>0</v>
      </c>
      <c r="AO254" s="65" t="n">
        <f aca="false">IF(OR(OR($B254="",$E254="",$F254=""),$L254&lt;&gt;"لا"),0,MAX(0,MIN($F254,EOMONTH(DATE(cfg_FY,8,1),0))-$E254+1))</f>
        <v>0</v>
      </c>
      <c r="AP254" s="65" t="n">
        <f aca="false">IF(OR(OR($B254="",$E254="",$F254=""),$L254&lt;&gt;"لا"),0,MAX(0,MIN($F254,EOMONTH(DATE(cfg_FY,9,1),0))-$E254+1))</f>
        <v>0</v>
      </c>
      <c r="AQ254" s="65" t="n">
        <f aca="false">IF(OR(OR($B254="",$E254="",$F254=""),$L254&lt;&gt;"لا"),0,MAX(0,MIN($F254,EOMONTH(DATE(cfg_FY,10,1),0))-$E254+1))</f>
        <v>0</v>
      </c>
      <c r="AR254" s="65" t="n">
        <f aca="false">IF(OR(OR($B254="",$E254="",$F254=""),$L254&lt;&gt;"لا"),0,MAX(0,MIN($F254,EOMONTH(DATE(cfg_FY,11,1),0))-$E254+1))</f>
        <v>0</v>
      </c>
      <c r="AS254" s="65" t="n">
        <f aca="false">IF(OR(OR($B254="",$E254="",$F254=""),$L254&lt;&gt;"لا"),0,MAX(0,MIN($F254,EOMONTH(DATE(cfg_FY,12,1),0))-$E254+1))</f>
        <v>0</v>
      </c>
      <c r="AT254" s="65" t="n">
        <f aca="false">IF(OR(OR($B254="",$E254="",$F254=""),$K254&lt;&gt;"نعم",$M254="نعم"),0,MAX(0,MIN($F254,EOMONTH(DATE(cfg_FY,1,1),0))-MAX($E254,DATE(cfg_FY,1,1))+1))</f>
        <v>0</v>
      </c>
      <c r="AU254" s="65" t="n">
        <f aca="false">IF(OR(OR($B254="",$E254="",$F254=""),$K254&lt;&gt;"نعم",$M254="نعم"),0,MAX(0,MIN($F254,EOMONTH(DATE(cfg_FY,2,1),0))-MAX($E254,DATE(cfg_FY,2,1))+1))</f>
        <v>0</v>
      </c>
      <c r="AV254" s="65" t="n">
        <f aca="false">IF(OR(OR($B254="",$E254="",$F254=""),$K254&lt;&gt;"نعم",$M254="نعم"),0,MAX(0,MIN($F254,EOMONTH(DATE(cfg_FY,3,1),0))-MAX($E254,DATE(cfg_FY,3,1))+1))</f>
        <v>0</v>
      </c>
      <c r="AW254" s="65" t="n">
        <f aca="false">IF(OR(OR($B254="",$E254="",$F254=""),$K254&lt;&gt;"نعم",$M254="نعم"),0,MAX(0,MIN($F254,EOMONTH(DATE(cfg_FY,4,1),0))-MAX($E254,DATE(cfg_FY,4,1))+1))</f>
        <v>0</v>
      </c>
      <c r="AX254" s="65" t="n">
        <f aca="false">IF(OR(OR($B254="",$E254="",$F254=""),$K254&lt;&gt;"نعم",$M254="نعم"),0,MAX(0,MIN($F254,EOMONTH(DATE(cfg_FY,5,1),0))-MAX($E254,DATE(cfg_FY,5,1))+1))</f>
        <v>0</v>
      </c>
      <c r="AY254" s="65" t="n">
        <f aca="false">IF(OR(OR($B254="",$E254="",$F254=""),$K254&lt;&gt;"نعم",$M254="نعم"),0,MAX(0,MIN($F254,EOMONTH(DATE(cfg_FY,6,1),0))-MAX($E254,DATE(cfg_FY,6,1))+1))</f>
        <v>0</v>
      </c>
      <c r="AZ254" s="65" t="n">
        <f aca="false">IF(OR(OR($B254="",$E254="",$F254=""),$K254&lt;&gt;"نعم",$M254="نعم"),0,MAX(0,MIN($F254,EOMONTH(DATE(cfg_FY,7,1),0))-MAX($E254,DATE(cfg_FY,7,1))+1))</f>
        <v>0</v>
      </c>
      <c r="BA254" s="65" t="n">
        <f aca="false">IF(OR(OR($B254="",$E254="",$F254=""),$K254&lt;&gt;"نعم",$M254="نعم"),0,MAX(0,MIN($F254,EOMONTH(DATE(cfg_FY,8,1),0))-MAX($E254,DATE(cfg_FY,8,1))+1))</f>
        <v>0</v>
      </c>
      <c r="BB254" s="65" t="n">
        <f aca="false">IF(OR(OR($B254="",$E254="",$F254=""),$K254&lt;&gt;"نعم",$M254="نعم"),0,MAX(0,MIN($F254,EOMONTH(DATE(cfg_FY,9,1),0))-MAX($E254,DATE(cfg_FY,9,1))+1))</f>
        <v>0</v>
      </c>
      <c r="BC254" s="65" t="n">
        <f aca="false">IF(OR(OR($B254="",$E254="",$F254=""),$K254&lt;&gt;"نعم",$M254="نعم"),0,MAX(0,MIN($F254,EOMONTH(DATE(cfg_FY,10,1),0))-MAX($E254,DATE(cfg_FY,10,1))+1))</f>
        <v>0</v>
      </c>
      <c r="BD254" s="65" t="n">
        <f aca="false">IF(OR(OR($B254="",$E254="",$F254=""),$K254&lt;&gt;"نعم",$M254="نعم"),0,MAX(0,MIN($F254,EOMONTH(DATE(cfg_FY,11,1),0))-MAX($E254,DATE(cfg_FY,11,1))+1))</f>
        <v>0</v>
      </c>
      <c r="BE254" s="65" t="n">
        <f aca="false">IF(OR(OR($B254="",$E254="",$F254=""),$K254&lt;&gt;"نعم",$M254="نعم"),0,MAX(0,MIN($F254,EOMONTH(DATE(cfg_FY,12,1),0))-MAX($E254,DATE(cfg_FY,12,1))+1))</f>
        <v>0</v>
      </c>
    </row>
    <row r="255" customFormat="false" ht="15" hidden="false" customHeight="false" outlineLevel="0" collapsed="false">
      <c r="A255" s="115" t="str">
        <f aca="false">IF(B255="","",ROW()-5)</f>
        <v/>
      </c>
      <c r="B255" s="118"/>
      <c r="C255" s="117" t="str">
        <f aca="false">IF(B255="","",IFERROR(INDEX(الموظفون!$C$6:$C$105,MATCH(B255,الموظفون!$B$6:$B$105,0)),"✖ رقم غير موجود"))</f>
        <v/>
      </c>
      <c r="D255" s="118"/>
      <c r="E255" s="119"/>
      <c r="F255" s="119"/>
      <c r="G255" s="133" t="str">
        <f aca="false">IF(OR($B255="",$E255="",$F255=""),"",MAX(0,F255-E255+1))</f>
        <v/>
      </c>
      <c r="H255" s="134" t="str">
        <f aca="false">IF(D255="","",IFERROR(VLOOKUP(D255,cfg_LT,2,FALSE()),1))</f>
        <v/>
      </c>
      <c r="I255" s="135"/>
      <c r="J255" s="134" t="str">
        <f aca="false">IF(D255="","",IF(I255&lt;&gt;"",I255,H255))</f>
        <v/>
      </c>
      <c r="K255" s="117" t="str">
        <f aca="false">IF(D255="","",IFERROR(VLOOKUP($D255,cfg_LT,3,FALSE()),""))</f>
        <v/>
      </c>
      <c r="L255" s="117" t="str">
        <f aca="false">IF(D255="","",IFERROR(VLOOKUP($D255,cfg_LT,4,FALSE()),""))</f>
        <v/>
      </c>
      <c r="M255" s="117" t="str">
        <f aca="false">IF(D255="","",IFERROR(VLOOKUP($D255,cfg_LT,5,FALSE()),""))</f>
        <v/>
      </c>
      <c r="N255" s="116" t="n">
        <f aca="false">IF(OR(OR($B255="",$E255="",$F255=""),M255&lt;&gt;"نعم"),0,G255*J255*IFERROR(INDEX(الموظفون!$R$6:$R$105,MATCH(B255,الموظفون!$B$6:$B$105,0)),0)/cfg_DAYS_M)</f>
        <v>0</v>
      </c>
      <c r="O255" s="115" t="str">
        <f aca="false">IF(OR(OR($B255="",$E255="",$F255=""),M255&lt;&gt;"نعم"),"",IF(YEAR(E255)=cfg_FY,MONTH(E255),""))</f>
        <v/>
      </c>
      <c r="P255" s="117" t="str">
        <f aca="false">IF(B255="","",IF(OR(D255="",E255="",F255=""),"⚠ أكمل النوع والتواريخ",IF(F255&lt;E255,"✖ النهاية قبل البداية",IF(COUNTIFS($B$6:$B$505,B255,$E$6:$E$505,"&lt;="&amp;F255,$F$6:$F$505,"&gt;="&amp;E255)&gt;1,"⚠ تداخل مع سجل آخر",IF(E255&gt;cfg_VAL_DATE,"⏳ قادمة",IF(F255&lt;cfg_VAL_DATE,"✔ منتهية","✈ جارية في تاريخ التقرير"))))))</f>
        <v/>
      </c>
      <c r="Q255" s="118"/>
      <c r="R255" s="133" t="n">
        <f aca="false">IF(OR(OR($B255="",$E255="",$F255=""),L255&lt;&gt;"لا"),0,MAX(0,MIN(F255,cfg_Y_START-1)-E255+1))</f>
        <v>0</v>
      </c>
      <c r="S255" s="133" t="n">
        <f aca="false">IF(OR(OR($B255="",$E255="",$F255=""),L255&lt;&gt;"لا"),0,MAX(0,MIN(F255,cfg_VAL_DATE)-E255+1))</f>
        <v>0</v>
      </c>
      <c r="T255" s="133" t="n">
        <f aca="false">IF(OR(OR($B255="",$E255="",$F255=""),K255&lt;&gt;"نعم"),0,IF(M255="نعم",IF(AND(ISNUMBER(O255),N(O255)&lt;=cfg_VAL_M),G255,0),MAX(0,MIN(F255,cfg_VAL_DATE)-MAX(E255,cfg_Y_START)+1)))</f>
        <v>0</v>
      </c>
      <c r="V255" s="133" t="n">
        <f aca="false">IF(OR($B255="",$E255="",$F255=""),0,MAX(0,MIN($F255,EOMONTH(DATE(cfg_FY,1,1),0))-MAX($E255,DATE(cfg_FY,1,1))+1)*(1-IF($M255="نعم",0,N($J255))))</f>
        <v>0</v>
      </c>
      <c r="W255" s="133" t="n">
        <f aca="false">IF(OR($B255="",$E255="",$F255=""),0,MAX(0,MIN($F255,EOMONTH(DATE(cfg_FY,2,1),0))-MAX($E255,DATE(cfg_FY,2,1))+1)*(1-IF($M255="نعم",0,N($J255))))</f>
        <v>0</v>
      </c>
      <c r="X255" s="133" t="n">
        <f aca="false">IF(OR($B255="",$E255="",$F255=""),0,MAX(0,MIN($F255,EOMONTH(DATE(cfg_FY,3,1),0))-MAX($E255,DATE(cfg_FY,3,1))+1)*(1-IF($M255="نعم",0,N($J255))))</f>
        <v>0</v>
      </c>
      <c r="Y255" s="133" t="n">
        <f aca="false">IF(OR($B255="",$E255="",$F255=""),0,MAX(0,MIN($F255,EOMONTH(DATE(cfg_FY,4,1),0))-MAX($E255,DATE(cfg_FY,4,1))+1)*(1-IF($M255="نعم",0,N($J255))))</f>
        <v>0</v>
      </c>
      <c r="Z255" s="133" t="n">
        <f aca="false">IF(OR($B255="",$E255="",$F255=""),0,MAX(0,MIN($F255,EOMONTH(DATE(cfg_FY,5,1),0))-MAX($E255,DATE(cfg_FY,5,1))+1)*(1-IF($M255="نعم",0,N($J255))))</f>
        <v>0</v>
      </c>
      <c r="AA255" s="133" t="n">
        <f aca="false">IF(OR($B255="",$E255="",$F255=""),0,MAX(0,MIN($F255,EOMONTH(DATE(cfg_FY,6,1),0))-MAX($E255,DATE(cfg_FY,6,1))+1)*(1-IF($M255="نعم",0,N($J255))))</f>
        <v>0</v>
      </c>
      <c r="AB255" s="133" t="n">
        <f aca="false">IF(OR($B255="",$E255="",$F255=""),0,MAX(0,MIN($F255,EOMONTH(DATE(cfg_FY,7,1),0))-MAX($E255,DATE(cfg_FY,7,1))+1)*(1-IF($M255="نعم",0,N($J255))))</f>
        <v>0</v>
      </c>
      <c r="AC255" s="133" t="n">
        <f aca="false">IF(OR($B255="",$E255="",$F255=""),0,MAX(0,MIN($F255,EOMONTH(DATE(cfg_FY,8,1),0))-MAX($E255,DATE(cfg_FY,8,1))+1)*(1-IF($M255="نعم",0,N($J255))))</f>
        <v>0</v>
      </c>
      <c r="AD255" s="133" t="n">
        <f aca="false">IF(OR($B255="",$E255="",$F255=""),0,MAX(0,MIN($F255,EOMONTH(DATE(cfg_FY,9,1),0))-MAX($E255,DATE(cfg_FY,9,1))+1)*(1-IF($M255="نعم",0,N($J255))))</f>
        <v>0</v>
      </c>
      <c r="AE255" s="133" t="n">
        <f aca="false">IF(OR($B255="",$E255="",$F255=""),0,MAX(0,MIN($F255,EOMONTH(DATE(cfg_FY,10,1),0))-MAX($E255,DATE(cfg_FY,10,1))+1)*(1-IF($M255="نعم",0,N($J255))))</f>
        <v>0</v>
      </c>
      <c r="AF255" s="133" t="n">
        <f aca="false">IF(OR($B255="",$E255="",$F255=""),0,MAX(0,MIN($F255,EOMONTH(DATE(cfg_FY,11,1),0))-MAX($E255,DATE(cfg_FY,11,1))+1)*(1-IF($M255="نعم",0,N($J255))))</f>
        <v>0</v>
      </c>
      <c r="AG255" s="133" t="n">
        <f aca="false">IF(OR($B255="",$E255="",$F255=""),0,MAX(0,MIN($F255,EOMONTH(DATE(cfg_FY,12,1),0))-MAX($E255,DATE(cfg_FY,12,1))+1)*(1-IF($M255="نعم",0,N($J255))))</f>
        <v>0</v>
      </c>
      <c r="AH255" s="133" t="n">
        <f aca="false">IF(OR(OR($B255="",$E255="",$F255=""),$L255&lt;&gt;"لا"),0,MAX(0,MIN($F255,EOMONTH(DATE(cfg_FY,1,1),0))-$E255+1))</f>
        <v>0</v>
      </c>
      <c r="AI255" s="133" t="n">
        <f aca="false">IF(OR(OR($B255="",$E255="",$F255=""),$L255&lt;&gt;"لا"),0,MAX(0,MIN($F255,EOMONTH(DATE(cfg_FY,2,1),0))-$E255+1))</f>
        <v>0</v>
      </c>
      <c r="AJ255" s="133" t="n">
        <f aca="false">IF(OR(OR($B255="",$E255="",$F255=""),$L255&lt;&gt;"لا"),0,MAX(0,MIN($F255,EOMONTH(DATE(cfg_FY,3,1),0))-$E255+1))</f>
        <v>0</v>
      </c>
      <c r="AK255" s="133" t="n">
        <f aca="false">IF(OR(OR($B255="",$E255="",$F255=""),$L255&lt;&gt;"لا"),0,MAX(0,MIN($F255,EOMONTH(DATE(cfg_FY,4,1),0))-$E255+1))</f>
        <v>0</v>
      </c>
      <c r="AL255" s="133" t="n">
        <f aca="false">IF(OR(OR($B255="",$E255="",$F255=""),$L255&lt;&gt;"لا"),0,MAX(0,MIN($F255,EOMONTH(DATE(cfg_FY,5,1),0))-$E255+1))</f>
        <v>0</v>
      </c>
      <c r="AM255" s="133" t="n">
        <f aca="false">IF(OR(OR($B255="",$E255="",$F255=""),$L255&lt;&gt;"لا"),0,MAX(0,MIN($F255,EOMONTH(DATE(cfg_FY,6,1),0))-$E255+1))</f>
        <v>0</v>
      </c>
      <c r="AN255" s="133" t="n">
        <f aca="false">IF(OR(OR($B255="",$E255="",$F255=""),$L255&lt;&gt;"لا"),0,MAX(0,MIN($F255,EOMONTH(DATE(cfg_FY,7,1),0))-$E255+1))</f>
        <v>0</v>
      </c>
      <c r="AO255" s="133" t="n">
        <f aca="false">IF(OR(OR($B255="",$E255="",$F255=""),$L255&lt;&gt;"لا"),0,MAX(0,MIN($F255,EOMONTH(DATE(cfg_FY,8,1),0))-$E255+1))</f>
        <v>0</v>
      </c>
      <c r="AP255" s="133" t="n">
        <f aca="false">IF(OR(OR($B255="",$E255="",$F255=""),$L255&lt;&gt;"لا"),0,MAX(0,MIN($F255,EOMONTH(DATE(cfg_FY,9,1),0))-$E255+1))</f>
        <v>0</v>
      </c>
      <c r="AQ255" s="133" t="n">
        <f aca="false">IF(OR(OR($B255="",$E255="",$F255=""),$L255&lt;&gt;"لا"),0,MAX(0,MIN($F255,EOMONTH(DATE(cfg_FY,10,1),0))-$E255+1))</f>
        <v>0</v>
      </c>
      <c r="AR255" s="133" t="n">
        <f aca="false">IF(OR(OR($B255="",$E255="",$F255=""),$L255&lt;&gt;"لا"),0,MAX(0,MIN($F255,EOMONTH(DATE(cfg_FY,11,1),0))-$E255+1))</f>
        <v>0</v>
      </c>
      <c r="AS255" s="133" t="n">
        <f aca="false">IF(OR(OR($B255="",$E255="",$F255=""),$L255&lt;&gt;"لا"),0,MAX(0,MIN($F255,EOMONTH(DATE(cfg_FY,12,1),0))-$E255+1))</f>
        <v>0</v>
      </c>
      <c r="AT255" s="133" t="n">
        <f aca="false">IF(OR(OR($B255="",$E255="",$F255=""),$K255&lt;&gt;"نعم",$M255="نعم"),0,MAX(0,MIN($F255,EOMONTH(DATE(cfg_FY,1,1),0))-MAX($E255,DATE(cfg_FY,1,1))+1))</f>
        <v>0</v>
      </c>
      <c r="AU255" s="133" t="n">
        <f aca="false">IF(OR(OR($B255="",$E255="",$F255=""),$K255&lt;&gt;"نعم",$M255="نعم"),0,MAX(0,MIN($F255,EOMONTH(DATE(cfg_FY,2,1),0))-MAX($E255,DATE(cfg_FY,2,1))+1))</f>
        <v>0</v>
      </c>
      <c r="AV255" s="133" t="n">
        <f aca="false">IF(OR(OR($B255="",$E255="",$F255=""),$K255&lt;&gt;"نعم",$M255="نعم"),0,MAX(0,MIN($F255,EOMONTH(DATE(cfg_FY,3,1),0))-MAX($E255,DATE(cfg_FY,3,1))+1))</f>
        <v>0</v>
      </c>
      <c r="AW255" s="133" t="n">
        <f aca="false">IF(OR(OR($B255="",$E255="",$F255=""),$K255&lt;&gt;"نعم",$M255="نعم"),0,MAX(0,MIN($F255,EOMONTH(DATE(cfg_FY,4,1),0))-MAX($E255,DATE(cfg_FY,4,1))+1))</f>
        <v>0</v>
      </c>
      <c r="AX255" s="133" t="n">
        <f aca="false">IF(OR(OR($B255="",$E255="",$F255=""),$K255&lt;&gt;"نعم",$M255="نعم"),0,MAX(0,MIN($F255,EOMONTH(DATE(cfg_FY,5,1),0))-MAX($E255,DATE(cfg_FY,5,1))+1))</f>
        <v>0</v>
      </c>
      <c r="AY255" s="133" t="n">
        <f aca="false">IF(OR(OR($B255="",$E255="",$F255=""),$K255&lt;&gt;"نعم",$M255="نعم"),0,MAX(0,MIN($F255,EOMONTH(DATE(cfg_FY,6,1),0))-MAX($E255,DATE(cfg_FY,6,1))+1))</f>
        <v>0</v>
      </c>
      <c r="AZ255" s="133" t="n">
        <f aca="false">IF(OR(OR($B255="",$E255="",$F255=""),$K255&lt;&gt;"نعم",$M255="نعم"),0,MAX(0,MIN($F255,EOMONTH(DATE(cfg_FY,7,1),0))-MAX($E255,DATE(cfg_FY,7,1))+1))</f>
        <v>0</v>
      </c>
      <c r="BA255" s="133" t="n">
        <f aca="false">IF(OR(OR($B255="",$E255="",$F255=""),$K255&lt;&gt;"نعم",$M255="نعم"),0,MAX(0,MIN($F255,EOMONTH(DATE(cfg_FY,8,1),0))-MAX($E255,DATE(cfg_FY,8,1))+1))</f>
        <v>0</v>
      </c>
      <c r="BB255" s="133" t="n">
        <f aca="false">IF(OR(OR($B255="",$E255="",$F255=""),$K255&lt;&gt;"نعم",$M255="نعم"),0,MAX(0,MIN($F255,EOMONTH(DATE(cfg_FY,9,1),0))-MAX($E255,DATE(cfg_FY,9,1))+1))</f>
        <v>0</v>
      </c>
      <c r="BC255" s="133" t="n">
        <f aca="false">IF(OR(OR($B255="",$E255="",$F255=""),$K255&lt;&gt;"نعم",$M255="نعم"),0,MAX(0,MIN($F255,EOMONTH(DATE(cfg_FY,10,1),0))-MAX($E255,DATE(cfg_FY,10,1))+1))</f>
        <v>0</v>
      </c>
      <c r="BD255" s="133" t="n">
        <f aca="false">IF(OR(OR($B255="",$E255="",$F255=""),$K255&lt;&gt;"نعم",$M255="نعم"),0,MAX(0,MIN($F255,EOMONTH(DATE(cfg_FY,11,1),0))-MAX($E255,DATE(cfg_FY,11,1))+1))</f>
        <v>0</v>
      </c>
      <c r="BE255" s="133" t="n">
        <f aca="false">IF(OR(OR($B255="",$E255="",$F255=""),$K255&lt;&gt;"نعم",$M255="نعم"),0,MAX(0,MIN($F255,EOMONTH(DATE(cfg_FY,12,1),0))-MAX($E255,DATE(cfg_FY,12,1))+1))</f>
        <v>0</v>
      </c>
    </row>
    <row r="256" customFormat="false" ht="15" hidden="false" customHeight="false" outlineLevel="0" collapsed="false">
      <c r="A256" s="106" t="str">
        <f aca="false">IF(B256="","",ROW()-5)</f>
        <v/>
      </c>
      <c r="B256" s="118"/>
      <c r="C256" s="114" t="str">
        <f aca="false">IF(B256="","",IFERROR(INDEX(الموظفون!$C$6:$C$105,MATCH(B256,الموظفون!$B$6:$B$105,0)),"✖ رقم غير موجود"))</f>
        <v/>
      </c>
      <c r="D256" s="118"/>
      <c r="E256" s="119"/>
      <c r="F256" s="119"/>
      <c r="G256" s="65" t="str">
        <f aca="false">IF(OR($B256="",$E256="",$F256=""),"",MAX(0,F256-E256+1))</f>
        <v/>
      </c>
      <c r="H256" s="66" t="str">
        <f aca="false">IF(D256="","",IFERROR(VLOOKUP(D256,cfg_LT,2,FALSE()),1))</f>
        <v/>
      </c>
      <c r="I256" s="135"/>
      <c r="J256" s="66" t="str">
        <f aca="false">IF(D256="","",IF(I256&lt;&gt;"",I256,H256))</f>
        <v/>
      </c>
      <c r="K256" s="114" t="str">
        <f aca="false">IF(D256="","",IFERROR(VLOOKUP($D256,cfg_LT,3,FALSE()),""))</f>
        <v/>
      </c>
      <c r="L256" s="114" t="str">
        <f aca="false">IF(D256="","",IFERROR(VLOOKUP($D256,cfg_LT,4,FALSE()),""))</f>
        <v/>
      </c>
      <c r="M256" s="114" t="str">
        <f aca="false">IF(D256="","",IFERROR(VLOOKUP($D256,cfg_LT,5,FALSE()),""))</f>
        <v/>
      </c>
      <c r="N256" s="111" t="n">
        <f aca="false">IF(OR(OR($B256="",$E256="",$F256=""),M256&lt;&gt;"نعم"),0,G256*J256*IFERROR(INDEX(الموظفون!$R$6:$R$105,MATCH(B256,الموظفون!$B$6:$B$105,0)),0)/cfg_DAYS_M)</f>
        <v>0</v>
      </c>
      <c r="O256" s="106" t="str">
        <f aca="false">IF(OR(OR($B256="",$E256="",$F256=""),M256&lt;&gt;"نعم"),"",IF(YEAR(E256)=cfg_FY,MONTH(E256),""))</f>
        <v/>
      </c>
      <c r="P256" s="114" t="str">
        <f aca="false">IF(B256="","",IF(OR(D256="",E256="",F256=""),"⚠ أكمل النوع والتواريخ",IF(F256&lt;E256,"✖ النهاية قبل البداية",IF(COUNTIFS($B$6:$B$505,B256,$E$6:$E$505,"&lt;="&amp;F256,$F$6:$F$505,"&gt;="&amp;E256)&gt;1,"⚠ تداخل مع سجل آخر",IF(E256&gt;cfg_VAL_DATE,"⏳ قادمة",IF(F256&lt;cfg_VAL_DATE,"✔ منتهية","✈ جارية في تاريخ التقرير"))))))</f>
        <v/>
      </c>
      <c r="Q256" s="118"/>
      <c r="R256" s="65" t="n">
        <f aca="false">IF(OR(OR($B256="",$E256="",$F256=""),L256&lt;&gt;"لا"),0,MAX(0,MIN(F256,cfg_Y_START-1)-E256+1))</f>
        <v>0</v>
      </c>
      <c r="S256" s="65" t="n">
        <f aca="false">IF(OR(OR($B256="",$E256="",$F256=""),L256&lt;&gt;"لا"),0,MAX(0,MIN(F256,cfg_VAL_DATE)-E256+1))</f>
        <v>0</v>
      </c>
      <c r="T256" s="65" t="n">
        <f aca="false">IF(OR(OR($B256="",$E256="",$F256=""),K256&lt;&gt;"نعم"),0,IF(M256="نعم",IF(AND(ISNUMBER(O256),N(O256)&lt;=cfg_VAL_M),G256,0),MAX(0,MIN(F256,cfg_VAL_DATE)-MAX(E256,cfg_Y_START)+1)))</f>
        <v>0</v>
      </c>
      <c r="V256" s="65" t="n">
        <f aca="false">IF(OR($B256="",$E256="",$F256=""),0,MAX(0,MIN($F256,EOMONTH(DATE(cfg_FY,1,1),0))-MAX($E256,DATE(cfg_FY,1,1))+1)*(1-IF($M256="نعم",0,N($J256))))</f>
        <v>0</v>
      </c>
      <c r="W256" s="65" t="n">
        <f aca="false">IF(OR($B256="",$E256="",$F256=""),0,MAX(0,MIN($F256,EOMONTH(DATE(cfg_FY,2,1),0))-MAX($E256,DATE(cfg_FY,2,1))+1)*(1-IF($M256="نعم",0,N($J256))))</f>
        <v>0</v>
      </c>
      <c r="X256" s="65" t="n">
        <f aca="false">IF(OR($B256="",$E256="",$F256=""),0,MAX(0,MIN($F256,EOMONTH(DATE(cfg_FY,3,1),0))-MAX($E256,DATE(cfg_FY,3,1))+1)*(1-IF($M256="نعم",0,N($J256))))</f>
        <v>0</v>
      </c>
      <c r="Y256" s="65" t="n">
        <f aca="false">IF(OR($B256="",$E256="",$F256=""),0,MAX(0,MIN($F256,EOMONTH(DATE(cfg_FY,4,1),0))-MAX($E256,DATE(cfg_FY,4,1))+1)*(1-IF($M256="نعم",0,N($J256))))</f>
        <v>0</v>
      </c>
      <c r="Z256" s="65" t="n">
        <f aca="false">IF(OR($B256="",$E256="",$F256=""),0,MAX(0,MIN($F256,EOMONTH(DATE(cfg_FY,5,1),0))-MAX($E256,DATE(cfg_FY,5,1))+1)*(1-IF($M256="نعم",0,N($J256))))</f>
        <v>0</v>
      </c>
      <c r="AA256" s="65" t="n">
        <f aca="false">IF(OR($B256="",$E256="",$F256=""),0,MAX(0,MIN($F256,EOMONTH(DATE(cfg_FY,6,1),0))-MAX($E256,DATE(cfg_FY,6,1))+1)*(1-IF($M256="نعم",0,N($J256))))</f>
        <v>0</v>
      </c>
      <c r="AB256" s="65" t="n">
        <f aca="false">IF(OR($B256="",$E256="",$F256=""),0,MAX(0,MIN($F256,EOMONTH(DATE(cfg_FY,7,1),0))-MAX($E256,DATE(cfg_FY,7,1))+1)*(1-IF($M256="نعم",0,N($J256))))</f>
        <v>0</v>
      </c>
      <c r="AC256" s="65" t="n">
        <f aca="false">IF(OR($B256="",$E256="",$F256=""),0,MAX(0,MIN($F256,EOMONTH(DATE(cfg_FY,8,1),0))-MAX($E256,DATE(cfg_FY,8,1))+1)*(1-IF($M256="نعم",0,N($J256))))</f>
        <v>0</v>
      </c>
      <c r="AD256" s="65" t="n">
        <f aca="false">IF(OR($B256="",$E256="",$F256=""),0,MAX(0,MIN($F256,EOMONTH(DATE(cfg_FY,9,1),0))-MAX($E256,DATE(cfg_FY,9,1))+1)*(1-IF($M256="نعم",0,N($J256))))</f>
        <v>0</v>
      </c>
      <c r="AE256" s="65" t="n">
        <f aca="false">IF(OR($B256="",$E256="",$F256=""),0,MAX(0,MIN($F256,EOMONTH(DATE(cfg_FY,10,1),0))-MAX($E256,DATE(cfg_FY,10,1))+1)*(1-IF($M256="نعم",0,N($J256))))</f>
        <v>0</v>
      </c>
      <c r="AF256" s="65" t="n">
        <f aca="false">IF(OR($B256="",$E256="",$F256=""),0,MAX(0,MIN($F256,EOMONTH(DATE(cfg_FY,11,1),0))-MAX($E256,DATE(cfg_FY,11,1))+1)*(1-IF($M256="نعم",0,N($J256))))</f>
        <v>0</v>
      </c>
      <c r="AG256" s="65" t="n">
        <f aca="false">IF(OR($B256="",$E256="",$F256=""),0,MAX(0,MIN($F256,EOMONTH(DATE(cfg_FY,12,1),0))-MAX($E256,DATE(cfg_FY,12,1))+1)*(1-IF($M256="نعم",0,N($J256))))</f>
        <v>0</v>
      </c>
      <c r="AH256" s="65" t="n">
        <f aca="false">IF(OR(OR($B256="",$E256="",$F256=""),$L256&lt;&gt;"لا"),0,MAX(0,MIN($F256,EOMONTH(DATE(cfg_FY,1,1),0))-$E256+1))</f>
        <v>0</v>
      </c>
      <c r="AI256" s="65" t="n">
        <f aca="false">IF(OR(OR($B256="",$E256="",$F256=""),$L256&lt;&gt;"لا"),0,MAX(0,MIN($F256,EOMONTH(DATE(cfg_FY,2,1),0))-$E256+1))</f>
        <v>0</v>
      </c>
      <c r="AJ256" s="65" t="n">
        <f aca="false">IF(OR(OR($B256="",$E256="",$F256=""),$L256&lt;&gt;"لا"),0,MAX(0,MIN($F256,EOMONTH(DATE(cfg_FY,3,1),0))-$E256+1))</f>
        <v>0</v>
      </c>
      <c r="AK256" s="65" t="n">
        <f aca="false">IF(OR(OR($B256="",$E256="",$F256=""),$L256&lt;&gt;"لا"),0,MAX(0,MIN($F256,EOMONTH(DATE(cfg_FY,4,1),0))-$E256+1))</f>
        <v>0</v>
      </c>
      <c r="AL256" s="65" t="n">
        <f aca="false">IF(OR(OR($B256="",$E256="",$F256=""),$L256&lt;&gt;"لا"),0,MAX(0,MIN($F256,EOMONTH(DATE(cfg_FY,5,1),0))-$E256+1))</f>
        <v>0</v>
      </c>
      <c r="AM256" s="65" t="n">
        <f aca="false">IF(OR(OR($B256="",$E256="",$F256=""),$L256&lt;&gt;"لا"),0,MAX(0,MIN($F256,EOMONTH(DATE(cfg_FY,6,1),0))-$E256+1))</f>
        <v>0</v>
      </c>
      <c r="AN256" s="65" t="n">
        <f aca="false">IF(OR(OR($B256="",$E256="",$F256=""),$L256&lt;&gt;"لا"),0,MAX(0,MIN($F256,EOMONTH(DATE(cfg_FY,7,1),0))-$E256+1))</f>
        <v>0</v>
      </c>
      <c r="AO256" s="65" t="n">
        <f aca="false">IF(OR(OR($B256="",$E256="",$F256=""),$L256&lt;&gt;"لا"),0,MAX(0,MIN($F256,EOMONTH(DATE(cfg_FY,8,1),0))-$E256+1))</f>
        <v>0</v>
      </c>
      <c r="AP256" s="65" t="n">
        <f aca="false">IF(OR(OR($B256="",$E256="",$F256=""),$L256&lt;&gt;"لا"),0,MAX(0,MIN($F256,EOMONTH(DATE(cfg_FY,9,1),0))-$E256+1))</f>
        <v>0</v>
      </c>
      <c r="AQ256" s="65" t="n">
        <f aca="false">IF(OR(OR($B256="",$E256="",$F256=""),$L256&lt;&gt;"لا"),0,MAX(0,MIN($F256,EOMONTH(DATE(cfg_FY,10,1),0))-$E256+1))</f>
        <v>0</v>
      </c>
      <c r="AR256" s="65" t="n">
        <f aca="false">IF(OR(OR($B256="",$E256="",$F256=""),$L256&lt;&gt;"لا"),0,MAX(0,MIN($F256,EOMONTH(DATE(cfg_FY,11,1),0))-$E256+1))</f>
        <v>0</v>
      </c>
      <c r="AS256" s="65" t="n">
        <f aca="false">IF(OR(OR($B256="",$E256="",$F256=""),$L256&lt;&gt;"لا"),0,MAX(0,MIN($F256,EOMONTH(DATE(cfg_FY,12,1),0))-$E256+1))</f>
        <v>0</v>
      </c>
      <c r="AT256" s="65" t="n">
        <f aca="false">IF(OR(OR($B256="",$E256="",$F256=""),$K256&lt;&gt;"نعم",$M256="نعم"),0,MAX(0,MIN($F256,EOMONTH(DATE(cfg_FY,1,1),0))-MAX($E256,DATE(cfg_FY,1,1))+1))</f>
        <v>0</v>
      </c>
      <c r="AU256" s="65" t="n">
        <f aca="false">IF(OR(OR($B256="",$E256="",$F256=""),$K256&lt;&gt;"نعم",$M256="نعم"),0,MAX(0,MIN($F256,EOMONTH(DATE(cfg_FY,2,1),0))-MAX($E256,DATE(cfg_FY,2,1))+1))</f>
        <v>0</v>
      </c>
      <c r="AV256" s="65" t="n">
        <f aca="false">IF(OR(OR($B256="",$E256="",$F256=""),$K256&lt;&gt;"نعم",$M256="نعم"),0,MAX(0,MIN($F256,EOMONTH(DATE(cfg_FY,3,1),0))-MAX($E256,DATE(cfg_FY,3,1))+1))</f>
        <v>0</v>
      </c>
      <c r="AW256" s="65" t="n">
        <f aca="false">IF(OR(OR($B256="",$E256="",$F256=""),$K256&lt;&gt;"نعم",$M256="نعم"),0,MAX(0,MIN($F256,EOMONTH(DATE(cfg_FY,4,1),0))-MAX($E256,DATE(cfg_FY,4,1))+1))</f>
        <v>0</v>
      </c>
      <c r="AX256" s="65" t="n">
        <f aca="false">IF(OR(OR($B256="",$E256="",$F256=""),$K256&lt;&gt;"نعم",$M256="نعم"),0,MAX(0,MIN($F256,EOMONTH(DATE(cfg_FY,5,1),0))-MAX($E256,DATE(cfg_FY,5,1))+1))</f>
        <v>0</v>
      </c>
      <c r="AY256" s="65" t="n">
        <f aca="false">IF(OR(OR($B256="",$E256="",$F256=""),$K256&lt;&gt;"نعم",$M256="نعم"),0,MAX(0,MIN($F256,EOMONTH(DATE(cfg_FY,6,1),0))-MAX($E256,DATE(cfg_FY,6,1))+1))</f>
        <v>0</v>
      </c>
      <c r="AZ256" s="65" t="n">
        <f aca="false">IF(OR(OR($B256="",$E256="",$F256=""),$K256&lt;&gt;"نعم",$M256="نعم"),0,MAX(0,MIN($F256,EOMONTH(DATE(cfg_FY,7,1),0))-MAX($E256,DATE(cfg_FY,7,1))+1))</f>
        <v>0</v>
      </c>
      <c r="BA256" s="65" t="n">
        <f aca="false">IF(OR(OR($B256="",$E256="",$F256=""),$K256&lt;&gt;"نعم",$M256="نعم"),0,MAX(0,MIN($F256,EOMONTH(DATE(cfg_FY,8,1),0))-MAX($E256,DATE(cfg_FY,8,1))+1))</f>
        <v>0</v>
      </c>
      <c r="BB256" s="65" t="n">
        <f aca="false">IF(OR(OR($B256="",$E256="",$F256=""),$K256&lt;&gt;"نعم",$M256="نعم"),0,MAX(0,MIN($F256,EOMONTH(DATE(cfg_FY,9,1),0))-MAX($E256,DATE(cfg_FY,9,1))+1))</f>
        <v>0</v>
      </c>
      <c r="BC256" s="65" t="n">
        <f aca="false">IF(OR(OR($B256="",$E256="",$F256=""),$K256&lt;&gt;"نعم",$M256="نعم"),0,MAX(0,MIN($F256,EOMONTH(DATE(cfg_FY,10,1),0))-MAX($E256,DATE(cfg_FY,10,1))+1))</f>
        <v>0</v>
      </c>
      <c r="BD256" s="65" t="n">
        <f aca="false">IF(OR(OR($B256="",$E256="",$F256=""),$K256&lt;&gt;"نعم",$M256="نعم"),0,MAX(0,MIN($F256,EOMONTH(DATE(cfg_FY,11,1),0))-MAX($E256,DATE(cfg_FY,11,1))+1))</f>
        <v>0</v>
      </c>
      <c r="BE256" s="65" t="n">
        <f aca="false">IF(OR(OR($B256="",$E256="",$F256=""),$K256&lt;&gt;"نعم",$M256="نعم"),0,MAX(0,MIN($F256,EOMONTH(DATE(cfg_FY,12,1),0))-MAX($E256,DATE(cfg_FY,12,1))+1))</f>
        <v>0</v>
      </c>
    </row>
    <row r="257" customFormat="false" ht="15" hidden="false" customHeight="false" outlineLevel="0" collapsed="false">
      <c r="A257" s="115" t="str">
        <f aca="false">IF(B257="","",ROW()-5)</f>
        <v/>
      </c>
      <c r="B257" s="118"/>
      <c r="C257" s="117" t="str">
        <f aca="false">IF(B257="","",IFERROR(INDEX(الموظفون!$C$6:$C$105,MATCH(B257,الموظفون!$B$6:$B$105,0)),"✖ رقم غير موجود"))</f>
        <v/>
      </c>
      <c r="D257" s="118"/>
      <c r="E257" s="119"/>
      <c r="F257" s="119"/>
      <c r="G257" s="133" t="str">
        <f aca="false">IF(OR($B257="",$E257="",$F257=""),"",MAX(0,F257-E257+1))</f>
        <v/>
      </c>
      <c r="H257" s="134" t="str">
        <f aca="false">IF(D257="","",IFERROR(VLOOKUP(D257,cfg_LT,2,FALSE()),1))</f>
        <v/>
      </c>
      <c r="I257" s="135"/>
      <c r="J257" s="134" t="str">
        <f aca="false">IF(D257="","",IF(I257&lt;&gt;"",I257,H257))</f>
        <v/>
      </c>
      <c r="K257" s="117" t="str">
        <f aca="false">IF(D257="","",IFERROR(VLOOKUP($D257,cfg_LT,3,FALSE()),""))</f>
        <v/>
      </c>
      <c r="L257" s="117" t="str">
        <f aca="false">IF(D257="","",IFERROR(VLOOKUP($D257,cfg_LT,4,FALSE()),""))</f>
        <v/>
      </c>
      <c r="M257" s="117" t="str">
        <f aca="false">IF(D257="","",IFERROR(VLOOKUP($D257,cfg_LT,5,FALSE()),""))</f>
        <v/>
      </c>
      <c r="N257" s="116" t="n">
        <f aca="false">IF(OR(OR($B257="",$E257="",$F257=""),M257&lt;&gt;"نعم"),0,G257*J257*IFERROR(INDEX(الموظفون!$R$6:$R$105,MATCH(B257,الموظفون!$B$6:$B$105,0)),0)/cfg_DAYS_M)</f>
        <v>0</v>
      </c>
      <c r="O257" s="115" t="str">
        <f aca="false">IF(OR(OR($B257="",$E257="",$F257=""),M257&lt;&gt;"نعم"),"",IF(YEAR(E257)=cfg_FY,MONTH(E257),""))</f>
        <v/>
      </c>
      <c r="P257" s="117" t="str">
        <f aca="false">IF(B257="","",IF(OR(D257="",E257="",F257=""),"⚠ أكمل النوع والتواريخ",IF(F257&lt;E257,"✖ النهاية قبل البداية",IF(COUNTIFS($B$6:$B$505,B257,$E$6:$E$505,"&lt;="&amp;F257,$F$6:$F$505,"&gt;="&amp;E257)&gt;1,"⚠ تداخل مع سجل آخر",IF(E257&gt;cfg_VAL_DATE,"⏳ قادمة",IF(F257&lt;cfg_VAL_DATE,"✔ منتهية","✈ جارية في تاريخ التقرير"))))))</f>
        <v/>
      </c>
      <c r="Q257" s="118"/>
      <c r="R257" s="133" t="n">
        <f aca="false">IF(OR(OR($B257="",$E257="",$F257=""),L257&lt;&gt;"لا"),0,MAX(0,MIN(F257,cfg_Y_START-1)-E257+1))</f>
        <v>0</v>
      </c>
      <c r="S257" s="133" t="n">
        <f aca="false">IF(OR(OR($B257="",$E257="",$F257=""),L257&lt;&gt;"لا"),0,MAX(0,MIN(F257,cfg_VAL_DATE)-E257+1))</f>
        <v>0</v>
      </c>
      <c r="T257" s="133" t="n">
        <f aca="false">IF(OR(OR($B257="",$E257="",$F257=""),K257&lt;&gt;"نعم"),0,IF(M257="نعم",IF(AND(ISNUMBER(O257),N(O257)&lt;=cfg_VAL_M),G257,0),MAX(0,MIN(F257,cfg_VAL_DATE)-MAX(E257,cfg_Y_START)+1)))</f>
        <v>0</v>
      </c>
      <c r="V257" s="133" t="n">
        <f aca="false">IF(OR($B257="",$E257="",$F257=""),0,MAX(0,MIN($F257,EOMONTH(DATE(cfg_FY,1,1),0))-MAX($E257,DATE(cfg_FY,1,1))+1)*(1-IF($M257="نعم",0,N($J257))))</f>
        <v>0</v>
      </c>
      <c r="W257" s="133" t="n">
        <f aca="false">IF(OR($B257="",$E257="",$F257=""),0,MAX(0,MIN($F257,EOMONTH(DATE(cfg_FY,2,1),0))-MAX($E257,DATE(cfg_FY,2,1))+1)*(1-IF($M257="نعم",0,N($J257))))</f>
        <v>0</v>
      </c>
      <c r="X257" s="133" t="n">
        <f aca="false">IF(OR($B257="",$E257="",$F257=""),0,MAX(0,MIN($F257,EOMONTH(DATE(cfg_FY,3,1),0))-MAX($E257,DATE(cfg_FY,3,1))+1)*(1-IF($M257="نعم",0,N($J257))))</f>
        <v>0</v>
      </c>
      <c r="Y257" s="133" t="n">
        <f aca="false">IF(OR($B257="",$E257="",$F257=""),0,MAX(0,MIN($F257,EOMONTH(DATE(cfg_FY,4,1),0))-MAX($E257,DATE(cfg_FY,4,1))+1)*(1-IF($M257="نعم",0,N($J257))))</f>
        <v>0</v>
      </c>
      <c r="Z257" s="133" t="n">
        <f aca="false">IF(OR($B257="",$E257="",$F257=""),0,MAX(0,MIN($F257,EOMONTH(DATE(cfg_FY,5,1),0))-MAX($E257,DATE(cfg_FY,5,1))+1)*(1-IF($M257="نعم",0,N($J257))))</f>
        <v>0</v>
      </c>
      <c r="AA257" s="133" t="n">
        <f aca="false">IF(OR($B257="",$E257="",$F257=""),0,MAX(0,MIN($F257,EOMONTH(DATE(cfg_FY,6,1),0))-MAX($E257,DATE(cfg_FY,6,1))+1)*(1-IF($M257="نعم",0,N($J257))))</f>
        <v>0</v>
      </c>
      <c r="AB257" s="133" t="n">
        <f aca="false">IF(OR($B257="",$E257="",$F257=""),0,MAX(0,MIN($F257,EOMONTH(DATE(cfg_FY,7,1),0))-MAX($E257,DATE(cfg_FY,7,1))+1)*(1-IF($M257="نعم",0,N($J257))))</f>
        <v>0</v>
      </c>
      <c r="AC257" s="133" t="n">
        <f aca="false">IF(OR($B257="",$E257="",$F257=""),0,MAX(0,MIN($F257,EOMONTH(DATE(cfg_FY,8,1),0))-MAX($E257,DATE(cfg_FY,8,1))+1)*(1-IF($M257="نعم",0,N($J257))))</f>
        <v>0</v>
      </c>
      <c r="AD257" s="133" t="n">
        <f aca="false">IF(OR($B257="",$E257="",$F257=""),0,MAX(0,MIN($F257,EOMONTH(DATE(cfg_FY,9,1),0))-MAX($E257,DATE(cfg_FY,9,1))+1)*(1-IF($M257="نعم",0,N($J257))))</f>
        <v>0</v>
      </c>
      <c r="AE257" s="133" t="n">
        <f aca="false">IF(OR($B257="",$E257="",$F257=""),0,MAX(0,MIN($F257,EOMONTH(DATE(cfg_FY,10,1),0))-MAX($E257,DATE(cfg_FY,10,1))+1)*(1-IF($M257="نعم",0,N($J257))))</f>
        <v>0</v>
      </c>
      <c r="AF257" s="133" t="n">
        <f aca="false">IF(OR($B257="",$E257="",$F257=""),0,MAX(0,MIN($F257,EOMONTH(DATE(cfg_FY,11,1),0))-MAX($E257,DATE(cfg_FY,11,1))+1)*(1-IF($M257="نعم",0,N($J257))))</f>
        <v>0</v>
      </c>
      <c r="AG257" s="133" t="n">
        <f aca="false">IF(OR($B257="",$E257="",$F257=""),0,MAX(0,MIN($F257,EOMONTH(DATE(cfg_FY,12,1),0))-MAX($E257,DATE(cfg_FY,12,1))+1)*(1-IF($M257="نعم",0,N($J257))))</f>
        <v>0</v>
      </c>
      <c r="AH257" s="133" t="n">
        <f aca="false">IF(OR(OR($B257="",$E257="",$F257=""),$L257&lt;&gt;"لا"),0,MAX(0,MIN($F257,EOMONTH(DATE(cfg_FY,1,1),0))-$E257+1))</f>
        <v>0</v>
      </c>
      <c r="AI257" s="133" t="n">
        <f aca="false">IF(OR(OR($B257="",$E257="",$F257=""),$L257&lt;&gt;"لا"),0,MAX(0,MIN($F257,EOMONTH(DATE(cfg_FY,2,1),0))-$E257+1))</f>
        <v>0</v>
      </c>
      <c r="AJ257" s="133" t="n">
        <f aca="false">IF(OR(OR($B257="",$E257="",$F257=""),$L257&lt;&gt;"لا"),0,MAX(0,MIN($F257,EOMONTH(DATE(cfg_FY,3,1),0))-$E257+1))</f>
        <v>0</v>
      </c>
      <c r="AK257" s="133" t="n">
        <f aca="false">IF(OR(OR($B257="",$E257="",$F257=""),$L257&lt;&gt;"لا"),0,MAX(0,MIN($F257,EOMONTH(DATE(cfg_FY,4,1),0))-$E257+1))</f>
        <v>0</v>
      </c>
      <c r="AL257" s="133" t="n">
        <f aca="false">IF(OR(OR($B257="",$E257="",$F257=""),$L257&lt;&gt;"لا"),0,MAX(0,MIN($F257,EOMONTH(DATE(cfg_FY,5,1),0))-$E257+1))</f>
        <v>0</v>
      </c>
      <c r="AM257" s="133" t="n">
        <f aca="false">IF(OR(OR($B257="",$E257="",$F257=""),$L257&lt;&gt;"لا"),0,MAX(0,MIN($F257,EOMONTH(DATE(cfg_FY,6,1),0))-$E257+1))</f>
        <v>0</v>
      </c>
      <c r="AN257" s="133" t="n">
        <f aca="false">IF(OR(OR($B257="",$E257="",$F257=""),$L257&lt;&gt;"لا"),0,MAX(0,MIN($F257,EOMONTH(DATE(cfg_FY,7,1),0))-$E257+1))</f>
        <v>0</v>
      </c>
      <c r="AO257" s="133" t="n">
        <f aca="false">IF(OR(OR($B257="",$E257="",$F257=""),$L257&lt;&gt;"لا"),0,MAX(0,MIN($F257,EOMONTH(DATE(cfg_FY,8,1),0))-$E257+1))</f>
        <v>0</v>
      </c>
      <c r="AP257" s="133" t="n">
        <f aca="false">IF(OR(OR($B257="",$E257="",$F257=""),$L257&lt;&gt;"لا"),0,MAX(0,MIN($F257,EOMONTH(DATE(cfg_FY,9,1),0))-$E257+1))</f>
        <v>0</v>
      </c>
      <c r="AQ257" s="133" t="n">
        <f aca="false">IF(OR(OR($B257="",$E257="",$F257=""),$L257&lt;&gt;"لا"),0,MAX(0,MIN($F257,EOMONTH(DATE(cfg_FY,10,1),0))-$E257+1))</f>
        <v>0</v>
      </c>
      <c r="AR257" s="133" t="n">
        <f aca="false">IF(OR(OR($B257="",$E257="",$F257=""),$L257&lt;&gt;"لا"),0,MAX(0,MIN($F257,EOMONTH(DATE(cfg_FY,11,1),0))-$E257+1))</f>
        <v>0</v>
      </c>
      <c r="AS257" s="133" t="n">
        <f aca="false">IF(OR(OR($B257="",$E257="",$F257=""),$L257&lt;&gt;"لا"),0,MAX(0,MIN($F257,EOMONTH(DATE(cfg_FY,12,1),0))-$E257+1))</f>
        <v>0</v>
      </c>
      <c r="AT257" s="133" t="n">
        <f aca="false">IF(OR(OR($B257="",$E257="",$F257=""),$K257&lt;&gt;"نعم",$M257="نعم"),0,MAX(0,MIN($F257,EOMONTH(DATE(cfg_FY,1,1),0))-MAX($E257,DATE(cfg_FY,1,1))+1))</f>
        <v>0</v>
      </c>
      <c r="AU257" s="133" t="n">
        <f aca="false">IF(OR(OR($B257="",$E257="",$F257=""),$K257&lt;&gt;"نعم",$M257="نعم"),0,MAX(0,MIN($F257,EOMONTH(DATE(cfg_FY,2,1),0))-MAX($E257,DATE(cfg_FY,2,1))+1))</f>
        <v>0</v>
      </c>
      <c r="AV257" s="133" t="n">
        <f aca="false">IF(OR(OR($B257="",$E257="",$F257=""),$K257&lt;&gt;"نعم",$M257="نعم"),0,MAX(0,MIN($F257,EOMONTH(DATE(cfg_FY,3,1),0))-MAX($E257,DATE(cfg_FY,3,1))+1))</f>
        <v>0</v>
      </c>
      <c r="AW257" s="133" t="n">
        <f aca="false">IF(OR(OR($B257="",$E257="",$F257=""),$K257&lt;&gt;"نعم",$M257="نعم"),0,MAX(0,MIN($F257,EOMONTH(DATE(cfg_FY,4,1),0))-MAX($E257,DATE(cfg_FY,4,1))+1))</f>
        <v>0</v>
      </c>
      <c r="AX257" s="133" t="n">
        <f aca="false">IF(OR(OR($B257="",$E257="",$F257=""),$K257&lt;&gt;"نعم",$M257="نعم"),0,MAX(0,MIN($F257,EOMONTH(DATE(cfg_FY,5,1),0))-MAX($E257,DATE(cfg_FY,5,1))+1))</f>
        <v>0</v>
      </c>
      <c r="AY257" s="133" t="n">
        <f aca="false">IF(OR(OR($B257="",$E257="",$F257=""),$K257&lt;&gt;"نعم",$M257="نعم"),0,MAX(0,MIN($F257,EOMONTH(DATE(cfg_FY,6,1),0))-MAX($E257,DATE(cfg_FY,6,1))+1))</f>
        <v>0</v>
      </c>
      <c r="AZ257" s="133" t="n">
        <f aca="false">IF(OR(OR($B257="",$E257="",$F257=""),$K257&lt;&gt;"نعم",$M257="نعم"),0,MAX(0,MIN($F257,EOMONTH(DATE(cfg_FY,7,1),0))-MAX($E257,DATE(cfg_FY,7,1))+1))</f>
        <v>0</v>
      </c>
      <c r="BA257" s="133" t="n">
        <f aca="false">IF(OR(OR($B257="",$E257="",$F257=""),$K257&lt;&gt;"نعم",$M257="نعم"),0,MAX(0,MIN($F257,EOMONTH(DATE(cfg_FY,8,1),0))-MAX($E257,DATE(cfg_FY,8,1))+1))</f>
        <v>0</v>
      </c>
      <c r="BB257" s="133" t="n">
        <f aca="false">IF(OR(OR($B257="",$E257="",$F257=""),$K257&lt;&gt;"نعم",$M257="نعم"),0,MAX(0,MIN($F257,EOMONTH(DATE(cfg_FY,9,1),0))-MAX($E257,DATE(cfg_FY,9,1))+1))</f>
        <v>0</v>
      </c>
      <c r="BC257" s="133" t="n">
        <f aca="false">IF(OR(OR($B257="",$E257="",$F257=""),$K257&lt;&gt;"نعم",$M257="نعم"),0,MAX(0,MIN($F257,EOMONTH(DATE(cfg_FY,10,1),0))-MAX($E257,DATE(cfg_FY,10,1))+1))</f>
        <v>0</v>
      </c>
      <c r="BD257" s="133" t="n">
        <f aca="false">IF(OR(OR($B257="",$E257="",$F257=""),$K257&lt;&gt;"نعم",$M257="نعم"),0,MAX(0,MIN($F257,EOMONTH(DATE(cfg_FY,11,1),0))-MAX($E257,DATE(cfg_FY,11,1))+1))</f>
        <v>0</v>
      </c>
      <c r="BE257" s="133" t="n">
        <f aca="false">IF(OR(OR($B257="",$E257="",$F257=""),$K257&lt;&gt;"نعم",$M257="نعم"),0,MAX(0,MIN($F257,EOMONTH(DATE(cfg_FY,12,1),0))-MAX($E257,DATE(cfg_FY,12,1))+1))</f>
        <v>0</v>
      </c>
    </row>
    <row r="258" customFormat="false" ht="15" hidden="false" customHeight="false" outlineLevel="0" collapsed="false">
      <c r="A258" s="106" t="str">
        <f aca="false">IF(B258="","",ROW()-5)</f>
        <v/>
      </c>
      <c r="B258" s="118"/>
      <c r="C258" s="114" t="str">
        <f aca="false">IF(B258="","",IFERROR(INDEX(الموظفون!$C$6:$C$105,MATCH(B258,الموظفون!$B$6:$B$105,0)),"✖ رقم غير موجود"))</f>
        <v/>
      </c>
      <c r="D258" s="118"/>
      <c r="E258" s="119"/>
      <c r="F258" s="119"/>
      <c r="G258" s="65" t="str">
        <f aca="false">IF(OR($B258="",$E258="",$F258=""),"",MAX(0,F258-E258+1))</f>
        <v/>
      </c>
      <c r="H258" s="66" t="str">
        <f aca="false">IF(D258="","",IFERROR(VLOOKUP(D258,cfg_LT,2,FALSE()),1))</f>
        <v/>
      </c>
      <c r="I258" s="135"/>
      <c r="J258" s="66" t="str">
        <f aca="false">IF(D258="","",IF(I258&lt;&gt;"",I258,H258))</f>
        <v/>
      </c>
      <c r="K258" s="114" t="str">
        <f aca="false">IF(D258="","",IFERROR(VLOOKUP($D258,cfg_LT,3,FALSE()),""))</f>
        <v/>
      </c>
      <c r="L258" s="114" t="str">
        <f aca="false">IF(D258="","",IFERROR(VLOOKUP($D258,cfg_LT,4,FALSE()),""))</f>
        <v/>
      </c>
      <c r="M258" s="114" t="str">
        <f aca="false">IF(D258="","",IFERROR(VLOOKUP($D258,cfg_LT,5,FALSE()),""))</f>
        <v/>
      </c>
      <c r="N258" s="111" t="n">
        <f aca="false">IF(OR(OR($B258="",$E258="",$F258=""),M258&lt;&gt;"نعم"),0,G258*J258*IFERROR(INDEX(الموظفون!$R$6:$R$105,MATCH(B258,الموظفون!$B$6:$B$105,0)),0)/cfg_DAYS_M)</f>
        <v>0</v>
      </c>
      <c r="O258" s="106" t="str">
        <f aca="false">IF(OR(OR($B258="",$E258="",$F258=""),M258&lt;&gt;"نعم"),"",IF(YEAR(E258)=cfg_FY,MONTH(E258),""))</f>
        <v/>
      </c>
      <c r="P258" s="114" t="str">
        <f aca="false">IF(B258="","",IF(OR(D258="",E258="",F258=""),"⚠ أكمل النوع والتواريخ",IF(F258&lt;E258,"✖ النهاية قبل البداية",IF(COUNTIFS($B$6:$B$505,B258,$E$6:$E$505,"&lt;="&amp;F258,$F$6:$F$505,"&gt;="&amp;E258)&gt;1,"⚠ تداخل مع سجل آخر",IF(E258&gt;cfg_VAL_DATE,"⏳ قادمة",IF(F258&lt;cfg_VAL_DATE,"✔ منتهية","✈ جارية في تاريخ التقرير"))))))</f>
        <v/>
      </c>
      <c r="Q258" s="118"/>
      <c r="R258" s="65" t="n">
        <f aca="false">IF(OR(OR($B258="",$E258="",$F258=""),L258&lt;&gt;"لا"),0,MAX(0,MIN(F258,cfg_Y_START-1)-E258+1))</f>
        <v>0</v>
      </c>
      <c r="S258" s="65" t="n">
        <f aca="false">IF(OR(OR($B258="",$E258="",$F258=""),L258&lt;&gt;"لا"),0,MAX(0,MIN(F258,cfg_VAL_DATE)-E258+1))</f>
        <v>0</v>
      </c>
      <c r="T258" s="65" t="n">
        <f aca="false">IF(OR(OR($B258="",$E258="",$F258=""),K258&lt;&gt;"نعم"),0,IF(M258="نعم",IF(AND(ISNUMBER(O258),N(O258)&lt;=cfg_VAL_M),G258,0),MAX(0,MIN(F258,cfg_VAL_DATE)-MAX(E258,cfg_Y_START)+1)))</f>
        <v>0</v>
      </c>
      <c r="V258" s="65" t="n">
        <f aca="false">IF(OR($B258="",$E258="",$F258=""),0,MAX(0,MIN($F258,EOMONTH(DATE(cfg_FY,1,1),0))-MAX($E258,DATE(cfg_FY,1,1))+1)*(1-IF($M258="نعم",0,N($J258))))</f>
        <v>0</v>
      </c>
      <c r="W258" s="65" t="n">
        <f aca="false">IF(OR($B258="",$E258="",$F258=""),0,MAX(0,MIN($F258,EOMONTH(DATE(cfg_FY,2,1),0))-MAX($E258,DATE(cfg_FY,2,1))+1)*(1-IF($M258="نعم",0,N($J258))))</f>
        <v>0</v>
      </c>
      <c r="X258" s="65" t="n">
        <f aca="false">IF(OR($B258="",$E258="",$F258=""),0,MAX(0,MIN($F258,EOMONTH(DATE(cfg_FY,3,1),0))-MAX($E258,DATE(cfg_FY,3,1))+1)*(1-IF($M258="نعم",0,N($J258))))</f>
        <v>0</v>
      </c>
      <c r="Y258" s="65" t="n">
        <f aca="false">IF(OR($B258="",$E258="",$F258=""),0,MAX(0,MIN($F258,EOMONTH(DATE(cfg_FY,4,1),0))-MAX($E258,DATE(cfg_FY,4,1))+1)*(1-IF($M258="نعم",0,N($J258))))</f>
        <v>0</v>
      </c>
      <c r="Z258" s="65" t="n">
        <f aca="false">IF(OR($B258="",$E258="",$F258=""),0,MAX(0,MIN($F258,EOMONTH(DATE(cfg_FY,5,1),0))-MAX($E258,DATE(cfg_FY,5,1))+1)*(1-IF($M258="نعم",0,N($J258))))</f>
        <v>0</v>
      </c>
      <c r="AA258" s="65" t="n">
        <f aca="false">IF(OR($B258="",$E258="",$F258=""),0,MAX(0,MIN($F258,EOMONTH(DATE(cfg_FY,6,1),0))-MAX($E258,DATE(cfg_FY,6,1))+1)*(1-IF($M258="نعم",0,N($J258))))</f>
        <v>0</v>
      </c>
      <c r="AB258" s="65" t="n">
        <f aca="false">IF(OR($B258="",$E258="",$F258=""),0,MAX(0,MIN($F258,EOMONTH(DATE(cfg_FY,7,1),0))-MAX($E258,DATE(cfg_FY,7,1))+1)*(1-IF($M258="نعم",0,N($J258))))</f>
        <v>0</v>
      </c>
      <c r="AC258" s="65" t="n">
        <f aca="false">IF(OR($B258="",$E258="",$F258=""),0,MAX(0,MIN($F258,EOMONTH(DATE(cfg_FY,8,1),0))-MAX($E258,DATE(cfg_FY,8,1))+1)*(1-IF($M258="نعم",0,N($J258))))</f>
        <v>0</v>
      </c>
      <c r="AD258" s="65" t="n">
        <f aca="false">IF(OR($B258="",$E258="",$F258=""),0,MAX(0,MIN($F258,EOMONTH(DATE(cfg_FY,9,1),0))-MAX($E258,DATE(cfg_FY,9,1))+1)*(1-IF($M258="نعم",0,N($J258))))</f>
        <v>0</v>
      </c>
      <c r="AE258" s="65" t="n">
        <f aca="false">IF(OR($B258="",$E258="",$F258=""),0,MAX(0,MIN($F258,EOMONTH(DATE(cfg_FY,10,1),0))-MAX($E258,DATE(cfg_FY,10,1))+1)*(1-IF($M258="نعم",0,N($J258))))</f>
        <v>0</v>
      </c>
      <c r="AF258" s="65" t="n">
        <f aca="false">IF(OR($B258="",$E258="",$F258=""),0,MAX(0,MIN($F258,EOMONTH(DATE(cfg_FY,11,1),0))-MAX($E258,DATE(cfg_FY,11,1))+1)*(1-IF($M258="نعم",0,N($J258))))</f>
        <v>0</v>
      </c>
      <c r="AG258" s="65" t="n">
        <f aca="false">IF(OR($B258="",$E258="",$F258=""),0,MAX(0,MIN($F258,EOMONTH(DATE(cfg_FY,12,1),0))-MAX($E258,DATE(cfg_FY,12,1))+1)*(1-IF($M258="نعم",0,N($J258))))</f>
        <v>0</v>
      </c>
      <c r="AH258" s="65" t="n">
        <f aca="false">IF(OR(OR($B258="",$E258="",$F258=""),$L258&lt;&gt;"لا"),0,MAX(0,MIN($F258,EOMONTH(DATE(cfg_FY,1,1),0))-$E258+1))</f>
        <v>0</v>
      </c>
      <c r="AI258" s="65" t="n">
        <f aca="false">IF(OR(OR($B258="",$E258="",$F258=""),$L258&lt;&gt;"لا"),0,MAX(0,MIN($F258,EOMONTH(DATE(cfg_FY,2,1),0))-$E258+1))</f>
        <v>0</v>
      </c>
      <c r="AJ258" s="65" t="n">
        <f aca="false">IF(OR(OR($B258="",$E258="",$F258=""),$L258&lt;&gt;"لا"),0,MAX(0,MIN($F258,EOMONTH(DATE(cfg_FY,3,1),0))-$E258+1))</f>
        <v>0</v>
      </c>
      <c r="AK258" s="65" t="n">
        <f aca="false">IF(OR(OR($B258="",$E258="",$F258=""),$L258&lt;&gt;"لا"),0,MAX(0,MIN($F258,EOMONTH(DATE(cfg_FY,4,1),0))-$E258+1))</f>
        <v>0</v>
      </c>
      <c r="AL258" s="65" t="n">
        <f aca="false">IF(OR(OR($B258="",$E258="",$F258=""),$L258&lt;&gt;"لا"),0,MAX(0,MIN($F258,EOMONTH(DATE(cfg_FY,5,1),0))-$E258+1))</f>
        <v>0</v>
      </c>
      <c r="AM258" s="65" t="n">
        <f aca="false">IF(OR(OR($B258="",$E258="",$F258=""),$L258&lt;&gt;"لا"),0,MAX(0,MIN($F258,EOMONTH(DATE(cfg_FY,6,1),0))-$E258+1))</f>
        <v>0</v>
      </c>
      <c r="AN258" s="65" t="n">
        <f aca="false">IF(OR(OR($B258="",$E258="",$F258=""),$L258&lt;&gt;"لا"),0,MAX(0,MIN($F258,EOMONTH(DATE(cfg_FY,7,1),0))-$E258+1))</f>
        <v>0</v>
      </c>
      <c r="AO258" s="65" t="n">
        <f aca="false">IF(OR(OR($B258="",$E258="",$F258=""),$L258&lt;&gt;"لا"),0,MAX(0,MIN($F258,EOMONTH(DATE(cfg_FY,8,1),0))-$E258+1))</f>
        <v>0</v>
      </c>
      <c r="AP258" s="65" t="n">
        <f aca="false">IF(OR(OR($B258="",$E258="",$F258=""),$L258&lt;&gt;"لا"),0,MAX(0,MIN($F258,EOMONTH(DATE(cfg_FY,9,1),0))-$E258+1))</f>
        <v>0</v>
      </c>
      <c r="AQ258" s="65" t="n">
        <f aca="false">IF(OR(OR($B258="",$E258="",$F258=""),$L258&lt;&gt;"لا"),0,MAX(0,MIN($F258,EOMONTH(DATE(cfg_FY,10,1),0))-$E258+1))</f>
        <v>0</v>
      </c>
      <c r="AR258" s="65" t="n">
        <f aca="false">IF(OR(OR($B258="",$E258="",$F258=""),$L258&lt;&gt;"لا"),0,MAX(0,MIN($F258,EOMONTH(DATE(cfg_FY,11,1),0))-$E258+1))</f>
        <v>0</v>
      </c>
      <c r="AS258" s="65" t="n">
        <f aca="false">IF(OR(OR($B258="",$E258="",$F258=""),$L258&lt;&gt;"لا"),0,MAX(0,MIN($F258,EOMONTH(DATE(cfg_FY,12,1),0))-$E258+1))</f>
        <v>0</v>
      </c>
      <c r="AT258" s="65" t="n">
        <f aca="false">IF(OR(OR($B258="",$E258="",$F258=""),$K258&lt;&gt;"نعم",$M258="نعم"),0,MAX(0,MIN($F258,EOMONTH(DATE(cfg_FY,1,1),0))-MAX($E258,DATE(cfg_FY,1,1))+1))</f>
        <v>0</v>
      </c>
      <c r="AU258" s="65" t="n">
        <f aca="false">IF(OR(OR($B258="",$E258="",$F258=""),$K258&lt;&gt;"نعم",$M258="نعم"),0,MAX(0,MIN($F258,EOMONTH(DATE(cfg_FY,2,1),0))-MAX($E258,DATE(cfg_FY,2,1))+1))</f>
        <v>0</v>
      </c>
      <c r="AV258" s="65" t="n">
        <f aca="false">IF(OR(OR($B258="",$E258="",$F258=""),$K258&lt;&gt;"نعم",$M258="نعم"),0,MAX(0,MIN($F258,EOMONTH(DATE(cfg_FY,3,1),0))-MAX($E258,DATE(cfg_FY,3,1))+1))</f>
        <v>0</v>
      </c>
      <c r="AW258" s="65" t="n">
        <f aca="false">IF(OR(OR($B258="",$E258="",$F258=""),$K258&lt;&gt;"نعم",$M258="نعم"),0,MAX(0,MIN($F258,EOMONTH(DATE(cfg_FY,4,1),0))-MAX($E258,DATE(cfg_FY,4,1))+1))</f>
        <v>0</v>
      </c>
      <c r="AX258" s="65" t="n">
        <f aca="false">IF(OR(OR($B258="",$E258="",$F258=""),$K258&lt;&gt;"نعم",$M258="نعم"),0,MAX(0,MIN($F258,EOMONTH(DATE(cfg_FY,5,1),0))-MAX($E258,DATE(cfg_FY,5,1))+1))</f>
        <v>0</v>
      </c>
      <c r="AY258" s="65" t="n">
        <f aca="false">IF(OR(OR($B258="",$E258="",$F258=""),$K258&lt;&gt;"نعم",$M258="نعم"),0,MAX(0,MIN($F258,EOMONTH(DATE(cfg_FY,6,1),0))-MAX($E258,DATE(cfg_FY,6,1))+1))</f>
        <v>0</v>
      </c>
      <c r="AZ258" s="65" t="n">
        <f aca="false">IF(OR(OR($B258="",$E258="",$F258=""),$K258&lt;&gt;"نعم",$M258="نعم"),0,MAX(0,MIN($F258,EOMONTH(DATE(cfg_FY,7,1),0))-MAX($E258,DATE(cfg_FY,7,1))+1))</f>
        <v>0</v>
      </c>
      <c r="BA258" s="65" t="n">
        <f aca="false">IF(OR(OR($B258="",$E258="",$F258=""),$K258&lt;&gt;"نعم",$M258="نعم"),0,MAX(0,MIN($F258,EOMONTH(DATE(cfg_FY,8,1),0))-MAX($E258,DATE(cfg_FY,8,1))+1))</f>
        <v>0</v>
      </c>
      <c r="BB258" s="65" t="n">
        <f aca="false">IF(OR(OR($B258="",$E258="",$F258=""),$K258&lt;&gt;"نعم",$M258="نعم"),0,MAX(0,MIN($F258,EOMONTH(DATE(cfg_FY,9,1),0))-MAX($E258,DATE(cfg_FY,9,1))+1))</f>
        <v>0</v>
      </c>
      <c r="BC258" s="65" t="n">
        <f aca="false">IF(OR(OR($B258="",$E258="",$F258=""),$K258&lt;&gt;"نعم",$M258="نعم"),0,MAX(0,MIN($F258,EOMONTH(DATE(cfg_FY,10,1),0))-MAX($E258,DATE(cfg_FY,10,1))+1))</f>
        <v>0</v>
      </c>
      <c r="BD258" s="65" t="n">
        <f aca="false">IF(OR(OR($B258="",$E258="",$F258=""),$K258&lt;&gt;"نعم",$M258="نعم"),0,MAX(0,MIN($F258,EOMONTH(DATE(cfg_FY,11,1),0))-MAX($E258,DATE(cfg_FY,11,1))+1))</f>
        <v>0</v>
      </c>
      <c r="BE258" s="65" t="n">
        <f aca="false">IF(OR(OR($B258="",$E258="",$F258=""),$K258&lt;&gt;"نعم",$M258="نعم"),0,MAX(0,MIN($F258,EOMONTH(DATE(cfg_FY,12,1),0))-MAX($E258,DATE(cfg_FY,12,1))+1))</f>
        <v>0</v>
      </c>
    </row>
    <row r="259" customFormat="false" ht="15" hidden="false" customHeight="false" outlineLevel="0" collapsed="false">
      <c r="A259" s="115" t="str">
        <f aca="false">IF(B259="","",ROW()-5)</f>
        <v/>
      </c>
      <c r="B259" s="118"/>
      <c r="C259" s="117" t="str">
        <f aca="false">IF(B259="","",IFERROR(INDEX(الموظفون!$C$6:$C$105,MATCH(B259,الموظفون!$B$6:$B$105,0)),"✖ رقم غير موجود"))</f>
        <v/>
      </c>
      <c r="D259" s="118"/>
      <c r="E259" s="119"/>
      <c r="F259" s="119"/>
      <c r="G259" s="133" t="str">
        <f aca="false">IF(OR($B259="",$E259="",$F259=""),"",MAX(0,F259-E259+1))</f>
        <v/>
      </c>
      <c r="H259" s="134" t="str">
        <f aca="false">IF(D259="","",IFERROR(VLOOKUP(D259,cfg_LT,2,FALSE()),1))</f>
        <v/>
      </c>
      <c r="I259" s="135"/>
      <c r="J259" s="134" t="str">
        <f aca="false">IF(D259="","",IF(I259&lt;&gt;"",I259,H259))</f>
        <v/>
      </c>
      <c r="K259" s="117" t="str">
        <f aca="false">IF(D259="","",IFERROR(VLOOKUP($D259,cfg_LT,3,FALSE()),""))</f>
        <v/>
      </c>
      <c r="L259" s="117" t="str">
        <f aca="false">IF(D259="","",IFERROR(VLOOKUP($D259,cfg_LT,4,FALSE()),""))</f>
        <v/>
      </c>
      <c r="M259" s="117" t="str">
        <f aca="false">IF(D259="","",IFERROR(VLOOKUP($D259,cfg_LT,5,FALSE()),""))</f>
        <v/>
      </c>
      <c r="N259" s="116" t="n">
        <f aca="false">IF(OR(OR($B259="",$E259="",$F259=""),M259&lt;&gt;"نعم"),0,G259*J259*IFERROR(INDEX(الموظفون!$R$6:$R$105,MATCH(B259,الموظفون!$B$6:$B$105,0)),0)/cfg_DAYS_M)</f>
        <v>0</v>
      </c>
      <c r="O259" s="115" t="str">
        <f aca="false">IF(OR(OR($B259="",$E259="",$F259=""),M259&lt;&gt;"نعم"),"",IF(YEAR(E259)=cfg_FY,MONTH(E259),""))</f>
        <v/>
      </c>
      <c r="P259" s="117" t="str">
        <f aca="false">IF(B259="","",IF(OR(D259="",E259="",F259=""),"⚠ أكمل النوع والتواريخ",IF(F259&lt;E259,"✖ النهاية قبل البداية",IF(COUNTIFS($B$6:$B$505,B259,$E$6:$E$505,"&lt;="&amp;F259,$F$6:$F$505,"&gt;="&amp;E259)&gt;1,"⚠ تداخل مع سجل آخر",IF(E259&gt;cfg_VAL_DATE,"⏳ قادمة",IF(F259&lt;cfg_VAL_DATE,"✔ منتهية","✈ جارية في تاريخ التقرير"))))))</f>
        <v/>
      </c>
      <c r="Q259" s="118"/>
      <c r="R259" s="133" t="n">
        <f aca="false">IF(OR(OR($B259="",$E259="",$F259=""),L259&lt;&gt;"لا"),0,MAX(0,MIN(F259,cfg_Y_START-1)-E259+1))</f>
        <v>0</v>
      </c>
      <c r="S259" s="133" t="n">
        <f aca="false">IF(OR(OR($B259="",$E259="",$F259=""),L259&lt;&gt;"لا"),0,MAX(0,MIN(F259,cfg_VAL_DATE)-E259+1))</f>
        <v>0</v>
      </c>
      <c r="T259" s="133" t="n">
        <f aca="false">IF(OR(OR($B259="",$E259="",$F259=""),K259&lt;&gt;"نعم"),0,IF(M259="نعم",IF(AND(ISNUMBER(O259),N(O259)&lt;=cfg_VAL_M),G259,0),MAX(0,MIN(F259,cfg_VAL_DATE)-MAX(E259,cfg_Y_START)+1)))</f>
        <v>0</v>
      </c>
      <c r="V259" s="133" t="n">
        <f aca="false">IF(OR($B259="",$E259="",$F259=""),0,MAX(0,MIN($F259,EOMONTH(DATE(cfg_FY,1,1),0))-MAX($E259,DATE(cfg_FY,1,1))+1)*(1-IF($M259="نعم",0,N($J259))))</f>
        <v>0</v>
      </c>
      <c r="W259" s="133" t="n">
        <f aca="false">IF(OR($B259="",$E259="",$F259=""),0,MAX(0,MIN($F259,EOMONTH(DATE(cfg_FY,2,1),0))-MAX($E259,DATE(cfg_FY,2,1))+1)*(1-IF($M259="نعم",0,N($J259))))</f>
        <v>0</v>
      </c>
      <c r="X259" s="133" t="n">
        <f aca="false">IF(OR($B259="",$E259="",$F259=""),0,MAX(0,MIN($F259,EOMONTH(DATE(cfg_FY,3,1),0))-MAX($E259,DATE(cfg_FY,3,1))+1)*(1-IF($M259="نعم",0,N($J259))))</f>
        <v>0</v>
      </c>
      <c r="Y259" s="133" t="n">
        <f aca="false">IF(OR($B259="",$E259="",$F259=""),0,MAX(0,MIN($F259,EOMONTH(DATE(cfg_FY,4,1),0))-MAX($E259,DATE(cfg_FY,4,1))+1)*(1-IF($M259="نعم",0,N($J259))))</f>
        <v>0</v>
      </c>
      <c r="Z259" s="133" t="n">
        <f aca="false">IF(OR($B259="",$E259="",$F259=""),0,MAX(0,MIN($F259,EOMONTH(DATE(cfg_FY,5,1),0))-MAX($E259,DATE(cfg_FY,5,1))+1)*(1-IF($M259="نعم",0,N($J259))))</f>
        <v>0</v>
      </c>
      <c r="AA259" s="133" t="n">
        <f aca="false">IF(OR($B259="",$E259="",$F259=""),0,MAX(0,MIN($F259,EOMONTH(DATE(cfg_FY,6,1),0))-MAX($E259,DATE(cfg_FY,6,1))+1)*(1-IF($M259="نعم",0,N($J259))))</f>
        <v>0</v>
      </c>
      <c r="AB259" s="133" t="n">
        <f aca="false">IF(OR($B259="",$E259="",$F259=""),0,MAX(0,MIN($F259,EOMONTH(DATE(cfg_FY,7,1),0))-MAX($E259,DATE(cfg_FY,7,1))+1)*(1-IF($M259="نعم",0,N($J259))))</f>
        <v>0</v>
      </c>
      <c r="AC259" s="133" t="n">
        <f aca="false">IF(OR($B259="",$E259="",$F259=""),0,MAX(0,MIN($F259,EOMONTH(DATE(cfg_FY,8,1),0))-MAX($E259,DATE(cfg_FY,8,1))+1)*(1-IF($M259="نعم",0,N($J259))))</f>
        <v>0</v>
      </c>
      <c r="AD259" s="133" t="n">
        <f aca="false">IF(OR($B259="",$E259="",$F259=""),0,MAX(0,MIN($F259,EOMONTH(DATE(cfg_FY,9,1),0))-MAX($E259,DATE(cfg_FY,9,1))+1)*(1-IF($M259="نعم",0,N($J259))))</f>
        <v>0</v>
      </c>
      <c r="AE259" s="133" t="n">
        <f aca="false">IF(OR($B259="",$E259="",$F259=""),0,MAX(0,MIN($F259,EOMONTH(DATE(cfg_FY,10,1),0))-MAX($E259,DATE(cfg_FY,10,1))+1)*(1-IF($M259="نعم",0,N($J259))))</f>
        <v>0</v>
      </c>
      <c r="AF259" s="133" t="n">
        <f aca="false">IF(OR($B259="",$E259="",$F259=""),0,MAX(0,MIN($F259,EOMONTH(DATE(cfg_FY,11,1),0))-MAX($E259,DATE(cfg_FY,11,1))+1)*(1-IF($M259="نعم",0,N($J259))))</f>
        <v>0</v>
      </c>
      <c r="AG259" s="133" t="n">
        <f aca="false">IF(OR($B259="",$E259="",$F259=""),0,MAX(0,MIN($F259,EOMONTH(DATE(cfg_FY,12,1),0))-MAX($E259,DATE(cfg_FY,12,1))+1)*(1-IF($M259="نعم",0,N($J259))))</f>
        <v>0</v>
      </c>
      <c r="AH259" s="133" t="n">
        <f aca="false">IF(OR(OR($B259="",$E259="",$F259=""),$L259&lt;&gt;"لا"),0,MAX(0,MIN($F259,EOMONTH(DATE(cfg_FY,1,1),0))-$E259+1))</f>
        <v>0</v>
      </c>
      <c r="AI259" s="133" t="n">
        <f aca="false">IF(OR(OR($B259="",$E259="",$F259=""),$L259&lt;&gt;"لا"),0,MAX(0,MIN($F259,EOMONTH(DATE(cfg_FY,2,1),0))-$E259+1))</f>
        <v>0</v>
      </c>
      <c r="AJ259" s="133" t="n">
        <f aca="false">IF(OR(OR($B259="",$E259="",$F259=""),$L259&lt;&gt;"لا"),0,MAX(0,MIN($F259,EOMONTH(DATE(cfg_FY,3,1),0))-$E259+1))</f>
        <v>0</v>
      </c>
      <c r="AK259" s="133" t="n">
        <f aca="false">IF(OR(OR($B259="",$E259="",$F259=""),$L259&lt;&gt;"لا"),0,MAX(0,MIN($F259,EOMONTH(DATE(cfg_FY,4,1),0))-$E259+1))</f>
        <v>0</v>
      </c>
      <c r="AL259" s="133" t="n">
        <f aca="false">IF(OR(OR($B259="",$E259="",$F259=""),$L259&lt;&gt;"لا"),0,MAX(0,MIN($F259,EOMONTH(DATE(cfg_FY,5,1),0))-$E259+1))</f>
        <v>0</v>
      </c>
      <c r="AM259" s="133" t="n">
        <f aca="false">IF(OR(OR($B259="",$E259="",$F259=""),$L259&lt;&gt;"لا"),0,MAX(0,MIN($F259,EOMONTH(DATE(cfg_FY,6,1),0))-$E259+1))</f>
        <v>0</v>
      </c>
      <c r="AN259" s="133" t="n">
        <f aca="false">IF(OR(OR($B259="",$E259="",$F259=""),$L259&lt;&gt;"لا"),0,MAX(0,MIN($F259,EOMONTH(DATE(cfg_FY,7,1),0))-$E259+1))</f>
        <v>0</v>
      </c>
      <c r="AO259" s="133" t="n">
        <f aca="false">IF(OR(OR($B259="",$E259="",$F259=""),$L259&lt;&gt;"لا"),0,MAX(0,MIN($F259,EOMONTH(DATE(cfg_FY,8,1),0))-$E259+1))</f>
        <v>0</v>
      </c>
      <c r="AP259" s="133" t="n">
        <f aca="false">IF(OR(OR($B259="",$E259="",$F259=""),$L259&lt;&gt;"لا"),0,MAX(0,MIN($F259,EOMONTH(DATE(cfg_FY,9,1),0))-$E259+1))</f>
        <v>0</v>
      </c>
      <c r="AQ259" s="133" t="n">
        <f aca="false">IF(OR(OR($B259="",$E259="",$F259=""),$L259&lt;&gt;"لا"),0,MAX(0,MIN($F259,EOMONTH(DATE(cfg_FY,10,1),0))-$E259+1))</f>
        <v>0</v>
      </c>
      <c r="AR259" s="133" t="n">
        <f aca="false">IF(OR(OR($B259="",$E259="",$F259=""),$L259&lt;&gt;"لا"),0,MAX(0,MIN($F259,EOMONTH(DATE(cfg_FY,11,1),0))-$E259+1))</f>
        <v>0</v>
      </c>
      <c r="AS259" s="133" t="n">
        <f aca="false">IF(OR(OR($B259="",$E259="",$F259=""),$L259&lt;&gt;"لا"),0,MAX(0,MIN($F259,EOMONTH(DATE(cfg_FY,12,1),0))-$E259+1))</f>
        <v>0</v>
      </c>
      <c r="AT259" s="133" t="n">
        <f aca="false">IF(OR(OR($B259="",$E259="",$F259=""),$K259&lt;&gt;"نعم",$M259="نعم"),0,MAX(0,MIN($F259,EOMONTH(DATE(cfg_FY,1,1),0))-MAX($E259,DATE(cfg_FY,1,1))+1))</f>
        <v>0</v>
      </c>
      <c r="AU259" s="133" t="n">
        <f aca="false">IF(OR(OR($B259="",$E259="",$F259=""),$K259&lt;&gt;"نعم",$M259="نعم"),0,MAX(0,MIN($F259,EOMONTH(DATE(cfg_FY,2,1),0))-MAX($E259,DATE(cfg_FY,2,1))+1))</f>
        <v>0</v>
      </c>
      <c r="AV259" s="133" t="n">
        <f aca="false">IF(OR(OR($B259="",$E259="",$F259=""),$K259&lt;&gt;"نعم",$M259="نعم"),0,MAX(0,MIN($F259,EOMONTH(DATE(cfg_FY,3,1),0))-MAX($E259,DATE(cfg_FY,3,1))+1))</f>
        <v>0</v>
      </c>
      <c r="AW259" s="133" t="n">
        <f aca="false">IF(OR(OR($B259="",$E259="",$F259=""),$K259&lt;&gt;"نعم",$M259="نعم"),0,MAX(0,MIN($F259,EOMONTH(DATE(cfg_FY,4,1),0))-MAX($E259,DATE(cfg_FY,4,1))+1))</f>
        <v>0</v>
      </c>
      <c r="AX259" s="133" t="n">
        <f aca="false">IF(OR(OR($B259="",$E259="",$F259=""),$K259&lt;&gt;"نعم",$M259="نعم"),0,MAX(0,MIN($F259,EOMONTH(DATE(cfg_FY,5,1),0))-MAX($E259,DATE(cfg_FY,5,1))+1))</f>
        <v>0</v>
      </c>
      <c r="AY259" s="133" t="n">
        <f aca="false">IF(OR(OR($B259="",$E259="",$F259=""),$K259&lt;&gt;"نعم",$M259="نعم"),0,MAX(0,MIN($F259,EOMONTH(DATE(cfg_FY,6,1),0))-MAX($E259,DATE(cfg_FY,6,1))+1))</f>
        <v>0</v>
      </c>
      <c r="AZ259" s="133" t="n">
        <f aca="false">IF(OR(OR($B259="",$E259="",$F259=""),$K259&lt;&gt;"نعم",$M259="نعم"),0,MAX(0,MIN($F259,EOMONTH(DATE(cfg_FY,7,1),0))-MAX($E259,DATE(cfg_FY,7,1))+1))</f>
        <v>0</v>
      </c>
      <c r="BA259" s="133" t="n">
        <f aca="false">IF(OR(OR($B259="",$E259="",$F259=""),$K259&lt;&gt;"نعم",$M259="نعم"),0,MAX(0,MIN($F259,EOMONTH(DATE(cfg_FY,8,1),0))-MAX($E259,DATE(cfg_FY,8,1))+1))</f>
        <v>0</v>
      </c>
      <c r="BB259" s="133" t="n">
        <f aca="false">IF(OR(OR($B259="",$E259="",$F259=""),$K259&lt;&gt;"نعم",$M259="نعم"),0,MAX(0,MIN($F259,EOMONTH(DATE(cfg_FY,9,1),0))-MAX($E259,DATE(cfg_FY,9,1))+1))</f>
        <v>0</v>
      </c>
      <c r="BC259" s="133" t="n">
        <f aca="false">IF(OR(OR($B259="",$E259="",$F259=""),$K259&lt;&gt;"نعم",$M259="نعم"),0,MAX(0,MIN($F259,EOMONTH(DATE(cfg_FY,10,1),0))-MAX($E259,DATE(cfg_FY,10,1))+1))</f>
        <v>0</v>
      </c>
      <c r="BD259" s="133" t="n">
        <f aca="false">IF(OR(OR($B259="",$E259="",$F259=""),$K259&lt;&gt;"نعم",$M259="نعم"),0,MAX(0,MIN($F259,EOMONTH(DATE(cfg_FY,11,1),0))-MAX($E259,DATE(cfg_FY,11,1))+1))</f>
        <v>0</v>
      </c>
      <c r="BE259" s="133" t="n">
        <f aca="false">IF(OR(OR($B259="",$E259="",$F259=""),$K259&lt;&gt;"نعم",$M259="نعم"),0,MAX(0,MIN($F259,EOMONTH(DATE(cfg_FY,12,1),0))-MAX($E259,DATE(cfg_FY,12,1))+1))</f>
        <v>0</v>
      </c>
    </row>
    <row r="260" customFormat="false" ht="15" hidden="false" customHeight="false" outlineLevel="0" collapsed="false">
      <c r="A260" s="106" t="str">
        <f aca="false">IF(B260="","",ROW()-5)</f>
        <v/>
      </c>
      <c r="B260" s="118"/>
      <c r="C260" s="114" t="str">
        <f aca="false">IF(B260="","",IFERROR(INDEX(الموظفون!$C$6:$C$105,MATCH(B260,الموظفون!$B$6:$B$105,0)),"✖ رقم غير موجود"))</f>
        <v/>
      </c>
      <c r="D260" s="118"/>
      <c r="E260" s="119"/>
      <c r="F260" s="119"/>
      <c r="G260" s="65" t="str">
        <f aca="false">IF(OR($B260="",$E260="",$F260=""),"",MAX(0,F260-E260+1))</f>
        <v/>
      </c>
      <c r="H260" s="66" t="str">
        <f aca="false">IF(D260="","",IFERROR(VLOOKUP(D260,cfg_LT,2,FALSE()),1))</f>
        <v/>
      </c>
      <c r="I260" s="135"/>
      <c r="J260" s="66" t="str">
        <f aca="false">IF(D260="","",IF(I260&lt;&gt;"",I260,H260))</f>
        <v/>
      </c>
      <c r="K260" s="114" t="str">
        <f aca="false">IF(D260="","",IFERROR(VLOOKUP($D260,cfg_LT,3,FALSE()),""))</f>
        <v/>
      </c>
      <c r="L260" s="114" t="str">
        <f aca="false">IF(D260="","",IFERROR(VLOOKUP($D260,cfg_LT,4,FALSE()),""))</f>
        <v/>
      </c>
      <c r="M260" s="114" t="str">
        <f aca="false">IF(D260="","",IFERROR(VLOOKUP($D260,cfg_LT,5,FALSE()),""))</f>
        <v/>
      </c>
      <c r="N260" s="111" t="n">
        <f aca="false">IF(OR(OR($B260="",$E260="",$F260=""),M260&lt;&gt;"نعم"),0,G260*J260*IFERROR(INDEX(الموظفون!$R$6:$R$105,MATCH(B260,الموظفون!$B$6:$B$105,0)),0)/cfg_DAYS_M)</f>
        <v>0</v>
      </c>
      <c r="O260" s="106" t="str">
        <f aca="false">IF(OR(OR($B260="",$E260="",$F260=""),M260&lt;&gt;"نعم"),"",IF(YEAR(E260)=cfg_FY,MONTH(E260),""))</f>
        <v/>
      </c>
      <c r="P260" s="114" t="str">
        <f aca="false">IF(B260="","",IF(OR(D260="",E260="",F260=""),"⚠ أكمل النوع والتواريخ",IF(F260&lt;E260,"✖ النهاية قبل البداية",IF(COUNTIFS($B$6:$B$505,B260,$E$6:$E$505,"&lt;="&amp;F260,$F$6:$F$505,"&gt;="&amp;E260)&gt;1,"⚠ تداخل مع سجل آخر",IF(E260&gt;cfg_VAL_DATE,"⏳ قادمة",IF(F260&lt;cfg_VAL_DATE,"✔ منتهية","✈ جارية في تاريخ التقرير"))))))</f>
        <v/>
      </c>
      <c r="Q260" s="118"/>
      <c r="R260" s="65" t="n">
        <f aca="false">IF(OR(OR($B260="",$E260="",$F260=""),L260&lt;&gt;"لا"),0,MAX(0,MIN(F260,cfg_Y_START-1)-E260+1))</f>
        <v>0</v>
      </c>
      <c r="S260" s="65" t="n">
        <f aca="false">IF(OR(OR($B260="",$E260="",$F260=""),L260&lt;&gt;"لا"),0,MAX(0,MIN(F260,cfg_VAL_DATE)-E260+1))</f>
        <v>0</v>
      </c>
      <c r="T260" s="65" t="n">
        <f aca="false">IF(OR(OR($B260="",$E260="",$F260=""),K260&lt;&gt;"نعم"),0,IF(M260="نعم",IF(AND(ISNUMBER(O260),N(O260)&lt;=cfg_VAL_M),G260,0),MAX(0,MIN(F260,cfg_VAL_DATE)-MAX(E260,cfg_Y_START)+1)))</f>
        <v>0</v>
      </c>
      <c r="V260" s="65" t="n">
        <f aca="false">IF(OR($B260="",$E260="",$F260=""),0,MAX(0,MIN($F260,EOMONTH(DATE(cfg_FY,1,1),0))-MAX($E260,DATE(cfg_FY,1,1))+1)*(1-IF($M260="نعم",0,N($J260))))</f>
        <v>0</v>
      </c>
      <c r="W260" s="65" t="n">
        <f aca="false">IF(OR($B260="",$E260="",$F260=""),0,MAX(0,MIN($F260,EOMONTH(DATE(cfg_FY,2,1),0))-MAX($E260,DATE(cfg_FY,2,1))+1)*(1-IF($M260="نعم",0,N($J260))))</f>
        <v>0</v>
      </c>
      <c r="X260" s="65" t="n">
        <f aca="false">IF(OR($B260="",$E260="",$F260=""),0,MAX(0,MIN($F260,EOMONTH(DATE(cfg_FY,3,1),0))-MAX($E260,DATE(cfg_FY,3,1))+1)*(1-IF($M260="نعم",0,N($J260))))</f>
        <v>0</v>
      </c>
      <c r="Y260" s="65" t="n">
        <f aca="false">IF(OR($B260="",$E260="",$F260=""),0,MAX(0,MIN($F260,EOMONTH(DATE(cfg_FY,4,1),0))-MAX($E260,DATE(cfg_FY,4,1))+1)*(1-IF($M260="نعم",0,N($J260))))</f>
        <v>0</v>
      </c>
      <c r="Z260" s="65" t="n">
        <f aca="false">IF(OR($B260="",$E260="",$F260=""),0,MAX(0,MIN($F260,EOMONTH(DATE(cfg_FY,5,1),0))-MAX($E260,DATE(cfg_FY,5,1))+1)*(1-IF($M260="نعم",0,N($J260))))</f>
        <v>0</v>
      </c>
      <c r="AA260" s="65" t="n">
        <f aca="false">IF(OR($B260="",$E260="",$F260=""),0,MAX(0,MIN($F260,EOMONTH(DATE(cfg_FY,6,1),0))-MAX($E260,DATE(cfg_FY,6,1))+1)*(1-IF($M260="نعم",0,N($J260))))</f>
        <v>0</v>
      </c>
      <c r="AB260" s="65" t="n">
        <f aca="false">IF(OR($B260="",$E260="",$F260=""),0,MAX(0,MIN($F260,EOMONTH(DATE(cfg_FY,7,1),0))-MAX($E260,DATE(cfg_FY,7,1))+1)*(1-IF($M260="نعم",0,N($J260))))</f>
        <v>0</v>
      </c>
      <c r="AC260" s="65" t="n">
        <f aca="false">IF(OR($B260="",$E260="",$F260=""),0,MAX(0,MIN($F260,EOMONTH(DATE(cfg_FY,8,1),0))-MAX($E260,DATE(cfg_FY,8,1))+1)*(1-IF($M260="نعم",0,N($J260))))</f>
        <v>0</v>
      </c>
      <c r="AD260" s="65" t="n">
        <f aca="false">IF(OR($B260="",$E260="",$F260=""),0,MAX(0,MIN($F260,EOMONTH(DATE(cfg_FY,9,1),0))-MAX($E260,DATE(cfg_FY,9,1))+1)*(1-IF($M260="نعم",0,N($J260))))</f>
        <v>0</v>
      </c>
      <c r="AE260" s="65" t="n">
        <f aca="false">IF(OR($B260="",$E260="",$F260=""),0,MAX(0,MIN($F260,EOMONTH(DATE(cfg_FY,10,1),0))-MAX($E260,DATE(cfg_FY,10,1))+1)*(1-IF($M260="نعم",0,N($J260))))</f>
        <v>0</v>
      </c>
      <c r="AF260" s="65" t="n">
        <f aca="false">IF(OR($B260="",$E260="",$F260=""),0,MAX(0,MIN($F260,EOMONTH(DATE(cfg_FY,11,1),0))-MAX($E260,DATE(cfg_FY,11,1))+1)*(1-IF($M260="نعم",0,N($J260))))</f>
        <v>0</v>
      </c>
      <c r="AG260" s="65" t="n">
        <f aca="false">IF(OR($B260="",$E260="",$F260=""),0,MAX(0,MIN($F260,EOMONTH(DATE(cfg_FY,12,1),0))-MAX($E260,DATE(cfg_FY,12,1))+1)*(1-IF($M260="نعم",0,N($J260))))</f>
        <v>0</v>
      </c>
      <c r="AH260" s="65" t="n">
        <f aca="false">IF(OR(OR($B260="",$E260="",$F260=""),$L260&lt;&gt;"لا"),0,MAX(0,MIN($F260,EOMONTH(DATE(cfg_FY,1,1),0))-$E260+1))</f>
        <v>0</v>
      </c>
      <c r="AI260" s="65" t="n">
        <f aca="false">IF(OR(OR($B260="",$E260="",$F260=""),$L260&lt;&gt;"لا"),0,MAX(0,MIN($F260,EOMONTH(DATE(cfg_FY,2,1),0))-$E260+1))</f>
        <v>0</v>
      </c>
      <c r="AJ260" s="65" t="n">
        <f aca="false">IF(OR(OR($B260="",$E260="",$F260=""),$L260&lt;&gt;"لا"),0,MAX(0,MIN($F260,EOMONTH(DATE(cfg_FY,3,1),0))-$E260+1))</f>
        <v>0</v>
      </c>
      <c r="AK260" s="65" t="n">
        <f aca="false">IF(OR(OR($B260="",$E260="",$F260=""),$L260&lt;&gt;"لا"),0,MAX(0,MIN($F260,EOMONTH(DATE(cfg_FY,4,1),0))-$E260+1))</f>
        <v>0</v>
      </c>
      <c r="AL260" s="65" t="n">
        <f aca="false">IF(OR(OR($B260="",$E260="",$F260=""),$L260&lt;&gt;"لا"),0,MAX(0,MIN($F260,EOMONTH(DATE(cfg_FY,5,1),0))-$E260+1))</f>
        <v>0</v>
      </c>
      <c r="AM260" s="65" t="n">
        <f aca="false">IF(OR(OR($B260="",$E260="",$F260=""),$L260&lt;&gt;"لا"),0,MAX(0,MIN($F260,EOMONTH(DATE(cfg_FY,6,1),0))-$E260+1))</f>
        <v>0</v>
      </c>
      <c r="AN260" s="65" t="n">
        <f aca="false">IF(OR(OR($B260="",$E260="",$F260=""),$L260&lt;&gt;"لا"),0,MAX(0,MIN($F260,EOMONTH(DATE(cfg_FY,7,1),0))-$E260+1))</f>
        <v>0</v>
      </c>
      <c r="AO260" s="65" t="n">
        <f aca="false">IF(OR(OR($B260="",$E260="",$F260=""),$L260&lt;&gt;"لا"),0,MAX(0,MIN($F260,EOMONTH(DATE(cfg_FY,8,1),0))-$E260+1))</f>
        <v>0</v>
      </c>
      <c r="AP260" s="65" t="n">
        <f aca="false">IF(OR(OR($B260="",$E260="",$F260=""),$L260&lt;&gt;"لا"),0,MAX(0,MIN($F260,EOMONTH(DATE(cfg_FY,9,1),0))-$E260+1))</f>
        <v>0</v>
      </c>
      <c r="AQ260" s="65" t="n">
        <f aca="false">IF(OR(OR($B260="",$E260="",$F260=""),$L260&lt;&gt;"لا"),0,MAX(0,MIN($F260,EOMONTH(DATE(cfg_FY,10,1),0))-$E260+1))</f>
        <v>0</v>
      </c>
      <c r="AR260" s="65" t="n">
        <f aca="false">IF(OR(OR($B260="",$E260="",$F260=""),$L260&lt;&gt;"لا"),0,MAX(0,MIN($F260,EOMONTH(DATE(cfg_FY,11,1),0))-$E260+1))</f>
        <v>0</v>
      </c>
      <c r="AS260" s="65" t="n">
        <f aca="false">IF(OR(OR($B260="",$E260="",$F260=""),$L260&lt;&gt;"لا"),0,MAX(0,MIN($F260,EOMONTH(DATE(cfg_FY,12,1),0))-$E260+1))</f>
        <v>0</v>
      </c>
      <c r="AT260" s="65" t="n">
        <f aca="false">IF(OR(OR($B260="",$E260="",$F260=""),$K260&lt;&gt;"نعم",$M260="نعم"),0,MAX(0,MIN($F260,EOMONTH(DATE(cfg_FY,1,1),0))-MAX($E260,DATE(cfg_FY,1,1))+1))</f>
        <v>0</v>
      </c>
      <c r="AU260" s="65" t="n">
        <f aca="false">IF(OR(OR($B260="",$E260="",$F260=""),$K260&lt;&gt;"نعم",$M260="نعم"),0,MAX(0,MIN($F260,EOMONTH(DATE(cfg_FY,2,1),0))-MAX($E260,DATE(cfg_FY,2,1))+1))</f>
        <v>0</v>
      </c>
      <c r="AV260" s="65" t="n">
        <f aca="false">IF(OR(OR($B260="",$E260="",$F260=""),$K260&lt;&gt;"نعم",$M260="نعم"),0,MAX(0,MIN($F260,EOMONTH(DATE(cfg_FY,3,1),0))-MAX($E260,DATE(cfg_FY,3,1))+1))</f>
        <v>0</v>
      </c>
      <c r="AW260" s="65" t="n">
        <f aca="false">IF(OR(OR($B260="",$E260="",$F260=""),$K260&lt;&gt;"نعم",$M260="نعم"),0,MAX(0,MIN($F260,EOMONTH(DATE(cfg_FY,4,1),0))-MAX($E260,DATE(cfg_FY,4,1))+1))</f>
        <v>0</v>
      </c>
      <c r="AX260" s="65" t="n">
        <f aca="false">IF(OR(OR($B260="",$E260="",$F260=""),$K260&lt;&gt;"نعم",$M260="نعم"),0,MAX(0,MIN($F260,EOMONTH(DATE(cfg_FY,5,1),0))-MAX($E260,DATE(cfg_FY,5,1))+1))</f>
        <v>0</v>
      </c>
      <c r="AY260" s="65" t="n">
        <f aca="false">IF(OR(OR($B260="",$E260="",$F260=""),$K260&lt;&gt;"نعم",$M260="نعم"),0,MAX(0,MIN($F260,EOMONTH(DATE(cfg_FY,6,1),0))-MAX($E260,DATE(cfg_FY,6,1))+1))</f>
        <v>0</v>
      </c>
      <c r="AZ260" s="65" t="n">
        <f aca="false">IF(OR(OR($B260="",$E260="",$F260=""),$K260&lt;&gt;"نعم",$M260="نعم"),0,MAX(0,MIN($F260,EOMONTH(DATE(cfg_FY,7,1),0))-MAX($E260,DATE(cfg_FY,7,1))+1))</f>
        <v>0</v>
      </c>
      <c r="BA260" s="65" t="n">
        <f aca="false">IF(OR(OR($B260="",$E260="",$F260=""),$K260&lt;&gt;"نعم",$M260="نعم"),0,MAX(0,MIN($F260,EOMONTH(DATE(cfg_FY,8,1),0))-MAX($E260,DATE(cfg_FY,8,1))+1))</f>
        <v>0</v>
      </c>
      <c r="BB260" s="65" t="n">
        <f aca="false">IF(OR(OR($B260="",$E260="",$F260=""),$K260&lt;&gt;"نعم",$M260="نعم"),0,MAX(0,MIN($F260,EOMONTH(DATE(cfg_FY,9,1),0))-MAX($E260,DATE(cfg_FY,9,1))+1))</f>
        <v>0</v>
      </c>
      <c r="BC260" s="65" t="n">
        <f aca="false">IF(OR(OR($B260="",$E260="",$F260=""),$K260&lt;&gt;"نعم",$M260="نعم"),0,MAX(0,MIN($F260,EOMONTH(DATE(cfg_FY,10,1),0))-MAX($E260,DATE(cfg_FY,10,1))+1))</f>
        <v>0</v>
      </c>
      <c r="BD260" s="65" t="n">
        <f aca="false">IF(OR(OR($B260="",$E260="",$F260=""),$K260&lt;&gt;"نعم",$M260="نعم"),0,MAX(0,MIN($F260,EOMONTH(DATE(cfg_FY,11,1),0))-MAX($E260,DATE(cfg_FY,11,1))+1))</f>
        <v>0</v>
      </c>
      <c r="BE260" s="65" t="n">
        <f aca="false">IF(OR(OR($B260="",$E260="",$F260=""),$K260&lt;&gt;"نعم",$M260="نعم"),0,MAX(0,MIN($F260,EOMONTH(DATE(cfg_FY,12,1),0))-MAX($E260,DATE(cfg_FY,12,1))+1))</f>
        <v>0</v>
      </c>
    </row>
    <row r="261" customFormat="false" ht="15" hidden="false" customHeight="false" outlineLevel="0" collapsed="false">
      <c r="A261" s="115" t="str">
        <f aca="false">IF(B261="","",ROW()-5)</f>
        <v/>
      </c>
      <c r="B261" s="118"/>
      <c r="C261" s="117" t="str">
        <f aca="false">IF(B261="","",IFERROR(INDEX(الموظفون!$C$6:$C$105,MATCH(B261,الموظفون!$B$6:$B$105,0)),"✖ رقم غير موجود"))</f>
        <v/>
      </c>
      <c r="D261" s="118"/>
      <c r="E261" s="119"/>
      <c r="F261" s="119"/>
      <c r="G261" s="133" t="str">
        <f aca="false">IF(OR($B261="",$E261="",$F261=""),"",MAX(0,F261-E261+1))</f>
        <v/>
      </c>
      <c r="H261" s="134" t="str">
        <f aca="false">IF(D261="","",IFERROR(VLOOKUP(D261,cfg_LT,2,FALSE()),1))</f>
        <v/>
      </c>
      <c r="I261" s="135"/>
      <c r="J261" s="134" t="str">
        <f aca="false">IF(D261="","",IF(I261&lt;&gt;"",I261,H261))</f>
        <v/>
      </c>
      <c r="K261" s="117" t="str">
        <f aca="false">IF(D261="","",IFERROR(VLOOKUP($D261,cfg_LT,3,FALSE()),""))</f>
        <v/>
      </c>
      <c r="L261" s="117" t="str">
        <f aca="false">IF(D261="","",IFERROR(VLOOKUP($D261,cfg_LT,4,FALSE()),""))</f>
        <v/>
      </c>
      <c r="M261" s="117" t="str">
        <f aca="false">IF(D261="","",IFERROR(VLOOKUP($D261,cfg_LT,5,FALSE()),""))</f>
        <v/>
      </c>
      <c r="N261" s="116" t="n">
        <f aca="false">IF(OR(OR($B261="",$E261="",$F261=""),M261&lt;&gt;"نعم"),0,G261*J261*IFERROR(INDEX(الموظفون!$R$6:$R$105,MATCH(B261,الموظفون!$B$6:$B$105,0)),0)/cfg_DAYS_M)</f>
        <v>0</v>
      </c>
      <c r="O261" s="115" t="str">
        <f aca="false">IF(OR(OR($B261="",$E261="",$F261=""),M261&lt;&gt;"نعم"),"",IF(YEAR(E261)=cfg_FY,MONTH(E261),""))</f>
        <v/>
      </c>
      <c r="P261" s="117" t="str">
        <f aca="false">IF(B261="","",IF(OR(D261="",E261="",F261=""),"⚠ أكمل النوع والتواريخ",IF(F261&lt;E261,"✖ النهاية قبل البداية",IF(COUNTIFS($B$6:$B$505,B261,$E$6:$E$505,"&lt;="&amp;F261,$F$6:$F$505,"&gt;="&amp;E261)&gt;1,"⚠ تداخل مع سجل آخر",IF(E261&gt;cfg_VAL_DATE,"⏳ قادمة",IF(F261&lt;cfg_VAL_DATE,"✔ منتهية","✈ جارية في تاريخ التقرير"))))))</f>
        <v/>
      </c>
      <c r="Q261" s="118"/>
      <c r="R261" s="133" t="n">
        <f aca="false">IF(OR(OR($B261="",$E261="",$F261=""),L261&lt;&gt;"لا"),0,MAX(0,MIN(F261,cfg_Y_START-1)-E261+1))</f>
        <v>0</v>
      </c>
      <c r="S261" s="133" t="n">
        <f aca="false">IF(OR(OR($B261="",$E261="",$F261=""),L261&lt;&gt;"لا"),0,MAX(0,MIN(F261,cfg_VAL_DATE)-E261+1))</f>
        <v>0</v>
      </c>
      <c r="T261" s="133" t="n">
        <f aca="false">IF(OR(OR($B261="",$E261="",$F261=""),K261&lt;&gt;"نعم"),0,IF(M261="نعم",IF(AND(ISNUMBER(O261),N(O261)&lt;=cfg_VAL_M),G261,0),MAX(0,MIN(F261,cfg_VAL_DATE)-MAX(E261,cfg_Y_START)+1)))</f>
        <v>0</v>
      </c>
      <c r="V261" s="133" t="n">
        <f aca="false">IF(OR($B261="",$E261="",$F261=""),0,MAX(0,MIN($F261,EOMONTH(DATE(cfg_FY,1,1),0))-MAX($E261,DATE(cfg_FY,1,1))+1)*(1-IF($M261="نعم",0,N($J261))))</f>
        <v>0</v>
      </c>
      <c r="W261" s="133" t="n">
        <f aca="false">IF(OR($B261="",$E261="",$F261=""),0,MAX(0,MIN($F261,EOMONTH(DATE(cfg_FY,2,1),0))-MAX($E261,DATE(cfg_FY,2,1))+1)*(1-IF($M261="نعم",0,N($J261))))</f>
        <v>0</v>
      </c>
      <c r="X261" s="133" t="n">
        <f aca="false">IF(OR($B261="",$E261="",$F261=""),0,MAX(0,MIN($F261,EOMONTH(DATE(cfg_FY,3,1),0))-MAX($E261,DATE(cfg_FY,3,1))+1)*(1-IF($M261="نعم",0,N($J261))))</f>
        <v>0</v>
      </c>
      <c r="Y261" s="133" t="n">
        <f aca="false">IF(OR($B261="",$E261="",$F261=""),0,MAX(0,MIN($F261,EOMONTH(DATE(cfg_FY,4,1),0))-MAX($E261,DATE(cfg_FY,4,1))+1)*(1-IF($M261="نعم",0,N($J261))))</f>
        <v>0</v>
      </c>
      <c r="Z261" s="133" t="n">
        <f aca="false">IF(OR($B261="",$E261="",$F261=""),0,MAX(0,MIN($F261,EOMONTH(DATE(cfg_FY,5,1),0))-MAX($E261,DATE(cfg_FY,5,1))+1)*(1-IF($M261="نعم",0,N($J261))))</f>
        <v>0</v>
      </c>
      <c r="AA261" s="133" t="n">
        <f aca="false">IF(OR($B261="",$E261="",$F261=""),0,MAX(0,MIN($F261,EOMONTH(DATE(cfg_FY,6,1),0))-MAX($E261,DATE(cfg_FY,6,1))+1)*(1-IF($M261="نعم",0,N($J261))))</f>
        <v>0</v>
      </c>
      <c r="AB261" s="133" t="n">
        <f aca="false">IF(OR($B261="",$E261="",$F261=""),0,MAX(0,MIN($F261,EOMONTH(DATE(cfg_FY,7,1),0))-MAX($E261,DATE(cfg_FY,7,1))+1)*(1-IF($M261="نعم",0,N($J261))))</f>
        <v>0</v>
      </c>
      <c r="AC261" s="133" t="n">
        <f aca="false">IF(OR($B261="",$E261="",$F261=""),0,MAX(0,MIN($F261,EOMONTH(DATE(cfg_FY,8,1),0))-MAX($E261,DATE(cfg_FY,8,1))+1)*(1-IF($M261="نعم",0,N($J261))))</f>
        <v>0</v>
      </c>
      <c r="AD261" s="133" t="n">
        <f aca="false">IF(OR($B261="",$E261="",$F261=""),0,MAX(0,MIN($F261,EOMONTH(DATE(cfg_FY,9,1),0))-MAX($E261,DATE(cfg_FY,9,1))+1)*(1-IF($M261="نعم",0,N($J261))))</f>
        <v>0</v>
      </c>
      <c r="AE261" s="133" t="n">
        <f aca="false">IF(OR($B261="",$E261="",$F261=""),0,MAX(0,MIN($F261,EOMONTH(DATE(cfg_FY,10,1),0))-MAX($E261,DATE(cfg_FY,10,1))+1)*(1-IF($M261="نعم",0,N($J261))))</f>
        <v>0</v>
      </c>
      <c r="AF261" s="133" t="n">
        <f aca="false">IF(OR($B261="",$E261="",$F261=""),0,MAX(0,MIN($F261,EOMONTH(DATE(cfg_FY,11,1),0))-MAX($E261,DATE(cfg_FY,11,1))+1)*(1-IF($M261="نعم",0,N($J261))))</f>
        <v>0</v>
      </c>
      <c r="AG261" s="133" t="n">
        <f aca="false">IF(OR($B261="",$E261="",$F261=""),0,MAX(0,MIN($F261,EOMONTH(DATE(cfg_FY,12,1),0))-MAX($E261,DATE(cfg_FY,12,1))+1)*(1-IF($M261="نعم",0,N($J261))))</f>
        <v>0</v>
      </c>
      <c r="AH261" s="133" t="n">
        <f aca="false">IF(OR(OR($B261="",$E261="",$F261=""),$L261&lt;&gt;"لا"),0,MAX(0,MIN($F261,EOMONTH(DATE(cfg_FY,1,1),0))-$E261+1))</f>
        <v>0</v>
      </c>
      <c r="AI261" s="133" t="n">
        <f aca="false">IF(OR(OR($B261="",$E261="",$F261=""),$L261&lt;&gt;"لا"),0,MAX(0,MIN($F261,EOMONTH(DATE(cfg_FY,2,1),0))-$E261+1))</f>
        <v>0</v>
      </c>
      <c r="AJ261" s="133" t="n">
        <f aca="false">IF(OR(OR($B261="",$E261="",$F261=""),$L261&lt;&gt;"لا"),0,MAX(0,MIN($F261,EOMONTH(DATE(cfg_FY,3,1),0))-$E261+1))</f>
        <v>0</v>
      </c>
      <c r="AK261" s="133" t="n">
        <f aca="false">IF(OR(OR($B261="",$E261="",$F261=""),$L261&lt;&gt;"لا"),0,MAX(0,MIN($F261,EOMONTH(DATE(cfg_FY,4,1),0))-$E261+1))</f>
        <v>0</v>
      </c>
      <c r="AL261" s="133" t="n">
        <f aca="false">IF(OR(OR($B261="",$E261="",$F261=""),$L261&lt;&gt;"لا"),0,MAX(0,MIN($F261,EOMONTH(DATE(cfg_FY,5,1),0))-$E261+1))</f>
        <v>0</v>
      </c>
      <c r="AM261" s="133" t="n">
        <f aca="false">IF(OR(OR($B261="",$E261="",$F261=""),$L261&lt;&gt;"لا"),0,MAX(0,MIN($F261,EOMONTH(DATE(cfg_FY,6,1),0))-$E261+1))</f>
        <v>0</v>
      </c>
      <c r="AN261" s="133" t="n">
        <f aca="false">IF(OR(OR($B261="",$E261="",$F261=""),$L261&lt;&gt;"لا"),0,MAX(0,MIN($F261,EOMONTH(DATE(cfg_FY,7,1),0))-$E261+1))</f>
        <v>0</v>
      </c>
      <c r="AO261" s="133" t="n">
        <f aca="false">IF(OR(OR($B261="",$E261="",$F261=""),$L261&lt;&gt;"لا"),0,MAX(0,MIN($F261,EOMONTH(DATE(cfg_FY,8,1),0))-$E261+1))</f>
        <v>0</v>
      </c>
      <c r="AP261" s="133" t="n">
        <f aca="false">IF(OR(OR($B261="",$E261="",$F261=""),$L261&lt;&gt;"لا"),0,MAX(0,MIN($F261,EOMONTH(DATE(cfg_FY,9,1),0))-$E261+1))</f>
        <v>0</v>
      </c>
      <c r="AQ261" s="133" t="n">
        <f aca="false">IF(OR(OR($B261="",$E261="",$F261=""),$L261&lt;&gt;"لا"),0,MAX(0,MIN($F261,EOMONTH(DATE(cfg_FY,10,1),0))-$E261+1))</f>
        <v>0</v>
      </c>
      <c r="AR261" s="133" t="n">
        <f aca="false">IF(OR(OR($B261="",$E261="",$F261=""),$L261&lt;&gt;"لا"),0,MAX(0,MIN($F261,EOMONTH(DATE(cfg_FY,11,1),0))-$E261+1))</f>
        <v>0</v>
      </c>
      <c r="AS261" s="133" t="n">
        <f aca="false">IF(OR(OR($B261="",$E261="",$F261=""),$L261&lt;&gt;"لا"),0,MAX(0,MIN($F261,EOMONTH(DATE(cfg_FY,12,1),0))-$E261+1))</f>
        <v>0</v>
      </c>
      <c r="AT261" s="133" t="n">
        <f aca="false">IF(OR(OR($B261="",$E261="",$F261=""),$K261&lt;&gt;"نعم",$M261="نعم"),0,MAX(0,MIN($F261,EOMONTH(DATE(cfg_FY,1,1),0))-MAX($E261,DATE(cfg_FY,1,1))+1))</f>
        <v>0</v>
      </c>
      <c r="AU261" s="133" t="n">
        <f aca="false">IF(OR(OR($B261="",$E261="",$F261=""),$K261&lt;&gt;"نعم",$M261="نعم"),0,MAX(0,MIN($F261,EOMONTH(DATE(cfg_FY,2,1),0))-MAX($E261,DATE(cfg_FY,2,1))+1))</f>
        <v>0</v>
      </c>
      <c r="AV261" s="133" t="n">
        <f aca="false">IF(OR(OR($B261="",$E261="",$F261=""),$K261&lt;&gt;"نعم",$M261="نعم"),0,MAX(0,MIN($F261,EOMONTH(DATE(cfg_FY,3,1),0))-MAX($E261,DATE(cfg_FY,3,1))+1))</f>
        <v>0</v>
      </c>
      <c r="AW261" s="133" t="n">
        <f aca="false">IF(OR(OR($B261="",$E261="",$F261=""),$K261&lt;&gt;"نعم",$M261="نعم"),0,MAX(0,MIN($F261,EOMONTH(DATE(cfg_FY,4,1),0))-MAX($E261,DATE(cfg_FY,4,1))+1))</f>
        <v>0</v>
      </c>
      <c r="AX261" s="133" t="n">
        <f aca="false">IF(OR(OR($B261="",$E261="",$F261=""),$K261&lt;&gt;"نعم",$M261="نعم"),0,MAX(0,MIN($F261,EOMONTH(DATE(cfg_FY,5,1),0))-MAX($E261,DATE(cfg_FY,5,1))+1))</f>
        <v>0</v>
      </c>
      <c r="AY261" s="133" t="n">
        <f aca="false">IF(OR(OR($B261="",$E261="",$F261=""),$K261&lt;&gt;"نعم",$M261="نعم"),0,MAX(0,MIN($F261,EOMONTH(DATE(cfg_FY,6,1),0))-MAX($E261,DATE(cfg_FY,6,1))+1))</f>
        <v>0</v>
      </c>
      <c r="AZ261" s="133" t="n">
        <f aca="false">IF(OR(OR($B261="",$E261="",$F261=""),$K261&lt;&gt;"نعم",$M261="نعم"),0,MAX(0,MIN($F261,EOMONTH(DATE(cfg_FY,7,1),0))-MAX($E261,DATE(cfg_FY,7,1))+1))</f>
        <v>0</v>
      </c>
      <c r="BA261" s="133" t="n">
        <f aca="false">IF(OR(OR($B261="",$E261="",$F261=""),$K261&lt;&gt;"نعم",$M261="نعم"),0,MAX(0,MIN($F261,EOMONTH(DATE(cfg_FY,8,1),0))-MAX($E261,DATE(cfg_FY,8,1))+1))</f>
        <v>0</v>
      </c>
      <c r="BB261" s="133" t="n">
        <f aca="false">IF(OR(OR($B261="",$E261="",$F261=""),$K261&lt;&gt;"نعم",$M261="نعم"),0,MAX(0,MIN($F261,EOMONTH(DATE(cfg_FY,9,1),0))-MAX($E261,DATE(cfg_FY,9,1))+1))</f>
        <v>0</v>
      </c>
      <c r="BC261" s="133" t="n">
        <f aca="false">IF(OR(OR($B261="",$E261="",$F261=""),$K261&lt;&gt;"نعم",$M261="نعم"),0,MAX(0,MIN($F261,EOMONTH(DATE(cfg_FY,10,1),0))-MAX($E261,DATE(cfg_FY,10,1))+1))</f>
        <v>0</v>
      </c>
      <c r="BD261" s="133" t="n">
        <f aca="false">IF(OR(OR($B261="",$E261="",$F261=""),$K261&lt;&gt;"نعم",$M261="نعم"),0,MAX(0,MIN($F261,EOMONTH(DATE(cfg_FY,11,1),0))-MAX($E261,DATE(cfg_FY,11,1))+1))</f>
        <v>0</v>
      </c>
      <c r="BE261" s="133" t="n">
        <f aca="false">IF(OR(OR($B261="",$E261="",$F261=""),$K261&lt;&gt;"نعم",$M261="نعم"),0,MAX(0,MIN($F261,EOMONTH(DATE(cfg_FY,12,1),0))-MAX($E261,DATE(cfg_FY,12,1))+1))</f>
        <v>0</v>
      </c>
    </row>
    <row r="262" customFormat="false" ht="15" hidden="false" customHeight="false" outlineLevel="0" collapsed="false">
      <c r="A262" s="106" t="str">
        <f aca="false">IF(B262="","",ROW()-5)</f>
        <v/>
      </c>
      <c r="B262" s="118"/>
      <c r="C262" s="114" t="str">
        <f aca="false">IF(B262="","",IFERROR(INDEX(الموظفون!$C$6:$C$105,MATCH(B262,الموظفون!$B$6:$B$105,0)),"✖ رقم غير موجود"))</f>
        <v/>
      </c>
      <c r="D262" s="118"/>
      <c r="E262" s="119"/>
      <c r="F262" s="119"/>
      <c r="G262" s="65" t="str">
        <f aca="false">IF(OR($B262="",$E262="",$F262=""),"",MAX(0,F262-E262+1))</f>
        <v/>
      </c>
      <c r="H262" s="66" t="str">
        <f aca="false">IF(D262="","",IFERROR(VLOOKUP(D262,cfg_LT,2,FALSE()),1))</f>
        <v/>
      </c>
      <c r="I262" s="135"/>
      <c r="J262" s="66" t="str">
        <f aca="false">IF(D262="","",IF(I262&lt;&gt;"",I262,H262))</f>
        <v/>
      </c>
      <c r="K262" s="114" t="str">
        <f aca="false">IF(D262="","",IFERROR(VLOOKUP($D262,cfg_LT,3,FALSE()),""))</f>
        <v/>
      </c>
      <c r="L262" s="114" t="str">
        <f aca="false">IF(D262="","",IFERROR(VLOOKUP($D262,cfg_LT,4,FALSE()),""))</f>
        <v/>
      </c>
      <c r="M262" s="114" t="str">
        <f aca="false">IF(D262="","",IFERROR(VLOOKUP($D262,cfg_LT,5,FALSE()),""))</f>
        <v/>
      </c>
      <c r="N262" s="111" t="n">
        <f aca="false">IF(OR(OR($B262="",$E262="",$F262=""),M262&lt;&gt;"نعم"),0,G262*J262*IFERROR(INDEX(الموظفون!$R$6:$R$105,MATCH(B262,الموظفون!$B$6:$B$105,0)),0)/cfg_DAYS_M)</f>
        <v>0</v>
      </c>
      <c r="O262" s="106" t="str">
        <f aca="false">IF(OR(OR($B262="",$E262="",$F262=""),M262&lt;&gt;"نعم"),"",IF(YEAR(E262)=cfg_FY,MONTH(E262),""))</f>
        <v/>
      </c>
      <c r="P262" s="114" t="str">
        <f aca="false">IF(B262="","",IF(OR(D262="",E262="",F262=""),"⚠ أكمل النوع والتواريخ",IF(F262&lt;E262,"✖ النهاية قبل البداية",IF(COUNTIFS($B$6:$B$505,B262,$E$6:$E$505,"&lt;="&amp;F262,$F$6:$F$505,"&gt;="&amp;E262)&gt;1,"⚠ تداخل مع سجل آخر",IF(E262&gt;cfg_VAL_DATE,"⏳ قادمة",IF(F262&lt;cfg_VAL_DATE,"✔ منتهية","✈ جارية في تاريخ التقرير"))))))</f>
        <v/>
      </c>
      <c r="Q262" s="118"/>
      <c r="R262" s="65" t="n">
        <f aca="false">IF(OR(OR($B262="",$E262="",$F262=""),L262&lt;&gt;"لا"),0,MAX(0,MIN(F262,cfg_Y_START-1)-E262+1))</f>
        <v>0</v>
      </c>
      <c r="S262" s="65" t="n">
        <f aca="false">IF(OR(OR($B262="",$E262="",$F262=""),L262&lt;&gt;"لا"),0,MAX(0,MIN(F262,cfg_VAL_DATE)-E262+1))</f>
        <v>0</v>
      </c>
      <c r="T262" s="65" t="n">
        <f aca="false">IF(OR(OR($B262="",$E262="",$F262=""),K262&lt;&gt;"نعم"),0,IF(M262="نعم",IF(AND(ISNUMBER(O262),N(O262)&lt;=cfg_VAL_M),G262,0),MAX(0,MIN(F262,cfg_VAL_DATE)-MAX(E262,cfg_Y_START)+1)))</f>
        <v>0</v>
      </c>
      <c r="V262" s="65" t="n">
        <f aca="false">IF(OR($B262="",$E262="",$F262=""),0,MAX(0,MIN($F262,EOMONTH(DATE(cfg_FY,1,1),0))-MAX($E262,DATE(cfg_FY,1,1))+1)*(1-IF($M262="نعم",0,N($J262))))</f>
        <v>0</v>
      </c>
      <c r="W262" s="65" t="n">
        <f aca="false">IF(OR($B262="",$E262="",$F262=""),0,MAX(0,MIN($F262,EOMONTH(DATE(cfg_FY,2,1),0))-MAX($E262,DATE(cfg_FY,2,1))+1)*(1-IF($M262="نعم",0,N($J262))))</f>
        <v>0</v>
      </c>
      <c r="X262" s="65" t="n">
        <f aca="false">IF(OR($B262="",$E262="",$F262=""),0,MAX(0,MIN($F262,EOMONTH(DATE(cfg_FY,3,1),0))-MAX($E262,DATE(cfg_FY,3,1))+1)*(1-IF($M262="نعم",0,N($J262))))</f>
        <v>0</v>
      </c>
      <c r="Y262" s="65" t="n">
        <f aca="false">IF(OR($B262="",$E262="",$F262=""),0,MAX(0,MIN($F262,EOMONTH(DATE(cfg_FY,4,1),0))-MAX($E262,DATE(cfg_FY,4,1))+1)*(1-IF($M262="نعم",0,N($J262))))</f>
        <v>0</v>
      </c>
      <c r="Z262" s="65" t="n">
        <f aca="false">IF(OR($B262="",$E262="",$F262=""),0,MAX(0,MIN($F262,EOMONTH(DATE(cfg_FY,5,1),0))-MAX($E262,DATE(cfg_FY,5,1))+1)*(1-IF($M262="نعم",0,N($J262))))</f>
        <v>0</v>
      </c>
      <c r="AA262" s="65" t="n">
        <f aca="false">IF(OR($B262="",$E262="",$F262=""),0,MAX(0,MIN($F262,EOMONTH(DATE(cfg_FY,6,1),0))-MAX($E262,DATE(cfg_FY,6,1))+1)*(1-IF($M262="نعم",0,N($J262))))</f>
        <v>0</v>
      </c>
      <c r="AB262" s="65" t="n">
        <f aca="false">IF(OR($B262="",$E262="",$F262=""),0,MAX(0,MIN($F262,EOMONTH(DATE(cfg_FY,7,1),0))-MAX($E262,DATE(cfg_FY,7,1))+1)*(1-IF($M262="نعم",0,N($J262))))</f>
        <v>0</v>
      </c>
      <c r="AC262" s="65" t="n">
        <f aca="false">IF(OR($B262="",$E262="",$F262=""),0,MAX(0,MIN($F262,EOMONTH(DATE(cfg_FY,8,1),0))-MAX($E262,DATE(cfg_FY,8,1))+1)*(1-IF($M262="نعم",0,N($J262))))</f>
        <v>0</v>
      </c>
      <c r="AD262" s="65" t="n">
        <f aca="false">IF(OR($B262="",$E262="",$F262=""),0,MAX(0,MIN($F262,EOMONTH(DATE(cfg_FY,9,1),0))-MAX($E262,DATE(cfg_FY,9,1))+1)*(1-IF($M262="نعم",0,N($J262))))</f>
        <v>0</v>
      </c>
      <c r="AE262" s="65" t="n">
        <f aca="false">IF(OR($B262="",$E262="",$F262=""),0,MAX(0,MIN($F262,EOMONTH(DATE(cfg_FY,10,1),0))-MAX($E262,DATE(cfg_FY,10,1))+1)*(1-IF($M262="نعم",0,N($J262))))</f>
        <v>0</v>
      </c>
      <c r="AF262" s="65" t="n">
        <f aca="false">IF(OR($B262="",$E262="",$F262=""),0,MAX(0,MIN($F262,EOMONTH(DATE(cfg_FY,11,1),0))-MAX($E262,DATE(cfg_FY,11,1))+1)*(1-IF($M262="نعم",0,N($J262))))</f>
        <v>0</v>
      </c>
      <c r="AG262" s="65" t="n">
        <f aca="false">IF(OR($B262="",$E262="",$F262=""),0,MAX(0,MIN($F262,EOMONTH(DATE(cfg_FY,12,1),0))-MAX($E262,DATE(cfg_FY,12,1))+1)*(1-IF($M262="نعم",0,N($J262))))</f>
        <v>0</v>
      </c>
      <c r="AH262" s="65" t="n">
        <f aca="false">IF(OR(OR($B262="",$E262="",$F262=""),$L262&lt;&gt;"لا"),0,MAX(0,MIN($F262,EOMONTH(DATE(cfg_FY,1,1),0))-$E262+1))</f>
        <v>0</v>
      </c>
      <c r="AI262" s="65" t="n">
        <f aca="false">IF(OR(OR($B262="",$E262="",$F262=""),$L262&lt;&gt;"لا"),0,MAX(0,MIN($F262,EOMONTH(DATE(cfg_FY,2,1),0))-$E262+1))</f>
        <v>0</v>
      </c>
      <c r="AJ262" s="65" t="n">
        <f aca="false">IF(OR(OR($B262="",$E262="",$F262=""),$L262&lt;&gt;"لا"),0,MAX(0,MIN($F262,EOMONTH(DATE(cfg_FY,3,1),0))-$E262+1))</f>
        <v>0</v>
      </c>
      <c r="AK262" s="65" t="n">
        <f aca="false">IF(OR(OR($B262="",$E262="",$F262=""),$L262&lt;&gt;"لا"),0,MAX(0,MIN($F262,EOMONTH(DATE(cfg_FY,4,1),0))-$E262+1))</f>
        <v>0</v>
      </c>
      <c r="AL262" s="65" t="n">
        <f aca="false">IF(OR(OR($B262="",$E262="",$F262=""),$L262&lt;&gt;"لا"),0,MAX(0,MIN($F262,EOMONTH(DATE(cfg_FY,5,1),0))-$E262+1))</f>
        <v>0</v>
      </c>
      <c r="AM262" s="65" t="n">
        <f aca="false">IF(OR(OR($B262="",$E262="",$F262=""),$L262&lt;&gt;"لا"),0,MAX(0,MIN($F262,EOMONTH(DATE(cfg_FY,6,1),0))-$E262+1))</f>
        <v>0</v>
      </c>
      <c r="AN262" s="65" t="n">
        <f aca="false">IF(OR(OR($B262="",$E262="",$F262=""),$L262&lt;&gt;"لا"),0,MAX(0,MIN($F262,EOMONTH(DATE(cfg_FY,7,1),0))-$E262+1))</f>
        <v>0</v>
      </c>
      <c r="AO262" s="65" t="n">
        <f aca="false">IF(OR(OR($B262="",$E262="",$F262=""),$L262&lt;&gt;"لا"),0,MAX(0,MIN($F262,EOMONTH(DATE(cfg_FY,8,1),0))-$E262+1))</f>
        <v>0</v>
      </c>
      <c r="AP262" s="65" t="n">
        <f aca="false">IF(OR(OR($B262="",$E262="",$F262=""),$L262&lt;&gt;"لا"),0,MAX(0,MIN($F262,EOMONTH(DATE(cfg_FY,9,1),0))-$E262+1))</f>
        <v>0</v>
      </c>
      <c r="AQ262" s="65" t="n">
        <f aca="false">IF(OR(OR($B262="",$E262="",$F262=""),$L262&lt;&gt;"لا"),0,MAX(0,MIN($F262,EOMONTH(DATE(cfg_FY,10,1),0))-$E262+1))</f>
        <v>0</v>
      </c>
      <c r="AR262" s="65" t="n">
        <f aca="false">IF(OR(OR($B262="",$E262="",$F262=""),$L262&lt;&gt;"لا"),0,MAX(0,MIN($F262,EOMONTH(DATE(cfg_FY,11,1),0))-$E262+1))</f>
        <v>0</v>
      </c>
      <c r="AS262" s="65" t="n">
        <f aca="false">IF(OR(OR($B262="",$E262="",$F262=""),$L262&lt;&gt;"لا"),0,MAX(0,MIN($F262,EOMONTH(DATE(cfg_FY,12,1),0))-$E262+1))</f>
        <v>0</v>
      </c>
      <c r="AT262" s="65" t="n">
        <f aca="false">IF(OR(OR($B262="",$E262="",$F262=""),$K262&lt;&gt;"نعم",$M262="نعم"),0,MAX(0,MIN($F262,EOMONTH(DATE(cfg_FY,1,1),0))-MAX($E262,DATE(cfg_FY,1,1))+1))</f>
        <v>0</v>
      </c>
      <c r="AU262" s="65" t="n">
        <f aca="false">IF(OR(OR($B262="",$E262="",$F262=""),$K262&lt;&gt;"نعم",$M262="نعم"),0,MAX(0,MIN($F262,EOMONTH(DATE(cfg_FY,2,1),0))-MAX($E262,DATE(cfg_FY,2,1))+1))</f>
        <v>0</v>
      </c>
      <c r="AV262" s="65" t="n">
        <f aca="false">IF(OR(OR($B262="",$E262="",$F262=""),$K262&lt;&gt;"نعم",$M262="نعم"),0,MAX(0,MIN($F262,EOMONTH(DATE(cfg_FY,3,1),0))-MAX($E262,DATE(cfg_FY,3,1))+1))</f>
        <v>0</v>
      </c>
      <c r="AW262" s="65" t="n">
        <f aca="false">IF(OR(OR($B262="",$E262="",$F262=""),$K262&lt;&gt;"نعم",$M262="نعم"),0,MAX(0,MIN($F262,EOMONTH(DATE(cfg_FY,4,1),0))-MAX($E262,DATE(cfg_FY,4,1))+1))</f>
        <v>0</v>
      </c>
      <c r="AX262" s="65" t="n">
        <f aca="false">IF(OR(OR($B262="",$E262="",$F262=""),$K262&lt;&gt;"نعم",$M262="نعم"),0,MAX(0,MIN($F262,EOMONTH(DATE(cfg_FY,5,1),0))-MAX($E262,DATE(cfg_FY,5,1))+1))</f>
        <v>0</v>
      </c>
      <c r="AY262" s="65" t="n">
        <f aca="false">IF(OR(OR($B262="",$E262="",$F262=""),$K262&lt;&gt;"نعم",$M262="نعم"),0,MAX(0,MIN($F262,EOMONTH(DATE(cfg_FY,6,1),0))-MAX($E262,DATE(cfg_FY,6,1))+1))</f>
        <v>0</v>
      </c>
      <c r="AZ262" s="65" t="n">
        <f aca="false">IF(OR(OR($B262="",$E262="",$F262=""),$K262&lt;&gt;"نعم",$M262="نعم"),0,MAX(0,MIN($F262,EOMONTH(DATE(cfg_FY,7,1),0))-MAX($E262,DATE(cfg_FY,7,1))+1))</f>
        <v>0</v>
      </c>
      <c r="BA262" s="65" t="n">
        <f aca="false">IF(OR(OR($B262="",$E262="",$F262=""),$K262&lt;&gt;"نعم",$M262="نعم"),0,MAX(0,MIN($F262,EOMONTH(DATE(cfg_FY,8,1),0))-MAX($E262,DATE(cfg_FY,8,1))+1))</f>
        <v>0</v>
      </c>
      <c r="BB262" s="65" t="n">
        <f aca="false">IF(OR(OR($B262="",$E262="",$F262=""),$K262&lt;&gt;"نعم",$M262="نعم"),0,MAX(0,MIN($F262,EOMONTH(DATE(cfg_FY,9,1),0))-MAX($E262,DATE(cfg_FY,9,1))+1))</f>
        <v>0</v>
      </c>
      <c r="BC262" s="65" t="n">
        <f aca="false">IF(OR(OR($B262="",$E262="",$F262=""),$K262&lt;&gt;"نعم",$M262="نعم"),0,MAX(0,MIN($F262,EOMONTH(DATE(cfg_FY,10,1),0))-MAX($E262,DATE(cfg_FY,10,1))+1))</f>
        <v>0</v>
      </c>
      <c r="BD262" s="65" t="n">
        <f aca="false">IF(OR(OR($B262="",$E262="",$F262=""),$K262&lt;&gt;"نعم",$M262="نعم"),0,MAX(0,MIN($F262,EOMONTH(DATE(cfg_FY,11,1),0))-MAX($E262,DATE(cfg_FY,11,1))+1))</f>
        <v>0</v>
      </c>
      <c r="BE262" s="65" t="n">
        <f aca="false">IF(OR(OR($B262="",$E262="",$F262=""),$K262&lt;&gt;"نعم",$M262="نعم"),0,MAX(0,MIN($F262,EOMONTH(DATE(cfg_FY,12,1),0))-MAX($E262,DATE(cfg_FY,12,1))+1))</f>
        <v>0</v>
      </c>
    </row>
    <row r="263" customFormat="false" ht="15" hidden="false" customHeight="false" outlineLevel="0" collapsed="false">
      <c r="A263" s="115" t="str">
        <f aca="false">IF(B263="","",ROW()-5)</f>
        <v/>
      </c>
      <c r="B263" s="118"/>
      <c r="C263" s="117" t="str">
        <f aca="false">IF(B263="","",IFERROR(INDEX(الموظفون!$C$6:$C$105,MATCH(B263,الموظفون!$B$6:$B$105,0)),"✖ رقم غير موجود"))</f>
        <v/>
      </c>
      <c r="D263" s="118"/>
      <c r="E263" s="119"/>
      <c r="F263" s="119"/>
      <c r="G263" s="133" t="str">
        <f aca="false">IF(OR($B263="",$E263="",$F263=""),"",MAX(0,F263-E263+1))</f>
        <v/>
      </c>
      <c r="H263" s="134" t="str">
        <f aca="false">IF(D263="","",IFERROR(VLOOKUP(D263,cfg_LT,2,FALSE()),1))</f>
        <v/>
      </c>
      <c r="I263" s="135"/>
      <c r="J263" s="134" t="str">
        <f aca="false">IF(D263="","",IF(I263&lt;&gt;"",I263,H263))</f>
        <v/>
      </c>
      <c r="K263" s="117" t="str">
        <f aca="false">IF(D263="","",IFERROR(VLOOKUP($D263,cfg_LT,3,FALSE()),""))</f>
        <v/>
      </c>
      <c r="L263" s="117" t="str">
        <f aca="false">IF(D263="","",IFERROR(VLOOKUP($D263,cfg_LT,4,FALSE()),""))</f>
        <v/>
      </c>
      <c r="M263" s="117" t="str">
        <f aca="false">IF(D263="","",IFERROR(VLOOKUP($D263,cfg_LT,5,FALSE()),""))</f>
        <v/>
      </c>
      <c r="N263" s="116" t="n">
        <f aca="false">IF(OR(OR($B263="",$E263="",$F263=""),M263&lt;&gt;"نعم"),0,G263*J263*IFERROR(INDEX(الموظفون!$R$6:$R$105,MATCH(B263,الموظفون!$B$6:$B$105,0)),0)/cfg_DAYS_M)</f>
        <v>0</v>
      </c>
      <c r="O263" s="115" t="str">
        <f aca="false">IF(OR(OR($B263="",$E263="",$F263=""),M263&lt;&gt;"نعم"),"",IF(YEAR(E263)=cfg_FY,MONTH(E263),""))</f>
        <v/>
      </c>
      <c r="P263" s="117" t="str">
        <f aca="false">IF(B263="","",IF(OR(D263="",E263="",F263=""),"⚠ أكمل النوع والتواريخ",IF(F263&lt;E263,"✖ النهاية قبل البداية",IF(COUNTIFS($B$6:$B$505,B263,$E$6:$E$505,"&lt;="&amp;F263,$F$6:$F$505,"&gt;="&amp;E263)&gt;1,"⚠ تداخل مع سجل آخر",IF(E263&gt;cfg_VAL_DATE,"⏳ قادمة",IF(F263&lt;cfg_VAL_DATE,"✔ منتهية","✈ جارية في تاريخ التقرير"))))))</f>
        <v/>
      </c>
      <c r="Q263" s="118"/>
      <c r="R263" s="133" t="n">
        <f aca="false">IF(OR(OR($B263="",$E263="",$F263=""),L263&lt;&gt;"لا"),0,MAX(0,MIN(F263,cfg_Y_START-1)-E263+1))</f>
        <v>0</v>
      </c>
      <c r="S263" s="133" t="n">
        <f aca="false">IF(OR(OR($B263="",$E263="",$F263=""),L263&lt;&gt;"لا"),0,MAX(0,MIN(F263,cfg_VAL_DATE)-E263+1))</f>
        <v>0</v>
      </c>
      <c r="T263" s="133" t="n">
        <f aca="false">IF(OR(OR($B263="",$E263="",$F263=""),K263&lt;&gt;"نعم"),0,IF(M263="نعم",IF(AND(ISNUMBER(O263),N(O263)&lt;=cfg_VAL_M),G263,0),MAX(0,MIN(F263,cfg_VAL_DATE)-MAX(E263,cfg_Y_START)+1)))</f>
        <v>0</v>
      </c>
      <c r="V263" s="133" t="n">
        <f aca="false">IF(OR($B263="",$E263="",$F263=""),0,MAX(0,MIN($F263,EOMONTH(DATE(cfg_FY,1,1),0))-MAX($E263,DATE(cfg_FY,1,1))+1)*(1-IF($M263="نعم",0,N($J263))))</f>
        <v>0</v>
      </c>
      <c r="W263" s="133" t="n">
        <f aca="false">IF(OR($B263="",$E263="",$F263=""),0,MAX(0,MIN($F263,EOMONTH(DATE(cfg_FY,2,1),0))-MAX($E263,DATE(cfg_FY,2,1))+1)*(1-IF($M263="نعم",0,N($J263))))</f>
        <v>0</v>
      </c>
      <c r="X263" s="133" t="n">
        <f aca="false">IF(OR($B263="",$E263="",$F263=""),0,MAX(0,MIN($F263,EOMONTH(DATE(cfg_FY,3,1),0))-MAX($E263,DATE(cfg_FY,3,1))+1)*(1-IF($M263="نعم",0,N($J263))))</f>
        <v>0</v>
      </c>
      <c r="Y263" s="133" t="n">
        <f aca="false">IF(OR($B263="",$E263="",$F263=""),0,MAX(0,MIN($F263,EOMONTH(DATE(cfg_FY,4,1),0))-MAX($E263,DATE(cfg_FY,4,1))+1)*(1-IF($M263="نعم",0,N($J263))))</f>
        <v>0</v>
      </c>
      <c r="Z263" s="133" t="n">
        <f aca="false">IF(OR($B263="",$E263="",$F263=""),0,MAX(0,MIN($F263,EOMONTH(DATE(cfg_FY,5,1),0))-MAX($E263,DATE(cfg_FY,5,1))+1)*(1-IF($M263="نعم",0,N($J263))))</f>
        <v>0</v>
      </c>
      <c r="AA263" s="133" t="n">
        <f aca="false">IF(OR($B263="",$E263="",$F263=""),0,MAX(0,MIN($F263,EOMONTH(DATE(cfg_FY,6,1),0))-MAX($E263,DATE(cfg_FY,6,1))+1)*(1-IF($M263="نعم",0,N($J263))))</f>
        <v>0</v>
      </c>
      <c r="AB263" s="133" t="n">
        <f aca="false">IF(OR($B263="",$E263="",$F263=""),0,MAX(0,MIN($F263,EOMONTH(DATE(cfg_FY,7,1),0))-MAX($E263,DATE(cfg_FY,7,1))+1)*(1-IF($M263="نعم",0,N($J263))))</f>
        <v>0</v>
      </c>
      <c r="AC263" s="133" t="n">
        <f aca="false">IF(OR($B263="",$E263="",$F263=""),0,MAX(0,MIN($F263,EOMONTH(DATE(cfg_FY,8,1),0))-MAX($E263,DATE(cfg_FY,8,1))+1)*(1-IF($M263="نعم",0,N($J263))))</f>
        <v>0</v>
      </c>
      <c r="AD263" s="133" t="n">
        <f aca="false">IF(OR($B263="",$E263="",$F263=""),0,MAX(0,MIN($F263,EOMONTH(DATE(cfg_FY,9,1),0))-MAX($E263,DATE(cfg_FY,9,1))+1)*(1-IF($M263="نعم",0,N($J263))))</f>
        <v>0</v>
      </c>
      <c r="AE263" s="133" t="n">
        <f aca="false">IF(OR($B263="",$E263="",$F263=""),0,MAX(0,MIN($F263,EOMONTH(DATE(cfg_FY,10,1),0))-MAX($E263,DATE(cfg_FY,10,1))+1)*(1-IF($M263="نعم",0,N($J263))))</f>
        <v>0</v>
      </c>
      <c r="AF263" s="133" t="n">
        <f aca="false">IF(OR($B263="",$E263="",$F263=""),0,MAX(0,MIN($F263,EOMONTH(DATE(cfg_FY,11,1),0))-MAX($E263,DATE(cfg_FY,11,1))+1)*(1-IF($M263="نعم",0,N($J263))))</f>
        <v>0</v>
      </c>
      <c r="AG263" s="133" t="n">
        <f aca="false">IF(OR($B263="",$E263="",$F263=""),0,MAX(0,MIN($F263,EOMONTH(DATE(cfg_FY,12,1),0))-MAX($E263,DATE(cfg_FY,12,1))+1)*(1-IF($M263="نعم",0,N($J263))))</f>
        <v>0</v>
      </c>
      <c r="AH263" s="133" t="n">
        <f aca="false">IF(OR(OR($B263="",$E263="",$F263=""),$L263&lt;&gt;"لا"),0,MAX(0,MIN($F263,EOMONTH(DATE(cfg_FY,1,1),0))-$E263+1))</f>
        <v>0</v>
      </c>
      <c r="AI263" s="133" t="n">
        <f aca="false">IF(OR(OR($B263="",$E263="",$F263=""),$L263&lt;&gt;"لا"),0,MAX(0,MIN($F263,EOMONTH(DATE(cfg_FY,2,1),0))-$E263+1))</f>
        <v>0</v>
      </c>
      <c r="AJ263" s="133" t="n">
        <f aca="false">IF(OR(OR($B263="",$E263="",$F263=""),$L263&lt;&gt;"لا"),0,MAX(0,MIN($F263,EOMONTH(DATE(cfg_FY,3,1),0))-$E263+1))</f>
        <v>0</v>
      </c>
      <c r="AK263" s="133" t="n">
        <f aca="false">IF(OR(OR($B263="",$E263="",$F263=""),$L263&lt;&gt;"لا"),0,MAX(0,MIN($F263,EOMONTH(DATE(cfg_FY,4,1),0))-$E263+1))</f>
        <v>0</v>
      </c>
      <c r="AL263" s="133" t="n">
        <f aca="false">IF(OR(OR($B263="",$E263="",$F263=""),$L263&lt;&gt;"لا"),0,MAX(0,MIN($F263,EOMONTH(DATE(cfg_FY,5,1),0))-$E263+1))</f>
        <v>0</v>
      </c>
      <c r="AM263" s="133" t="n">
        <f aca="false">IF(OR(OR($B263="",$E263="",$F263=""),$L263&lt;&gt;"لا"),0,MAX(0,MIN($F263,EOMONTH(DATE(cfg_FY,6,1),0))-$E263+1))</f>
        <v>0</v>
      </c>
      <c r="AN263" s="133" t="n">
        <f aca="false">IF(OR(OR($B263="",$E263="",$F263=""),$L263&lt;&gt;"لا"),0,MAX(0,MIN($F263,EOMONTH(DATE(cfg_FY,7,1),0))-$E263+1))</f>
        <v>0</v>
      </c>
      <c r="AO263" s="133" t="n">
        <f aca="false">IF(OR(OR($B263="",$E263="",$F263=""),$L263&lt;&gt;"لا"),0,MAX(0,MIN($F263,EOMONTH(DATE(cfg_FY,8,1),0))-$E263+1))</f>
        <v>0</v>
      </c>
      <c r="AP263" s="133" t="n">
        <f aca="false">IF(OR(OR($B263="",$E263="",$F263=""),$L263&lt;&gt;"لا"),0,MAX(0,MIN($F263,EOMONTH(DATE(cfg_FY,9,1),0))-$E263+1))</f>
        <v>0</v>
      </c>
      <c r="AQ263" s="133" t="n">
        <f aca="false">IF(OR(OR($B263="",$E263="",$F263=""),$L263&lt;&gt;"لا"),0,MAX(0,MIN($F263,EOMONTH(DATE(cfg_FY,10,1),0))-$E263+1))</f>
        <v>0</v>
      </c>
      <c r="AR263" s="133" t="n">
        <f aca="false">IF(OR(OR($B263="",$E263="",$F263=""),$L263&lt;&gt;"لا"),0,MAX(0,MIN($F263,EOMONTH(DATE(cfg_FY,11,1),0))-$E263+1))</f>
        <v>0</v>
      </c>
      <c r="AS263" s="133" t="n">
        <f aca="false">IF(OR(OR($B263="",$E263="",$F263=""),$L263&lt;&gt;"لا"),0,MAX(0,MIN($F263,EOMONTH(DATE(cfg_FY,12,1),0))-$E263+1))</f>
        <v>0</v>
      </c>
      <c r="AT263" s="133" t="n">
        <f aca="false">IF(OR(OR($B263="",$E263="",$F263=""),$K263&lt;&gt;"نعم",$M263="نعم"),0,MAX(0,MIN($F263,EOMONTH(DATE(cfg_FY,1,1),0))-MAX($E263,DATE(cfg_FY,1,1))+1))</f>
        <v>0</v>
      </c>
      <c r="AU263" s="133" t="n">
        <f aca="false">IF(OR(OR($B263="",$E263="",$F263=""),$K263&lt;&gt;"نعم",$M263="نعم"),0,MAX(0,MIN($F263,EOMONTH(DATE(cfg_FY,2,1),0))-MAX($E263,DATE(cfg_FY,2,1))+1))</f>
        <v>0</v>
      </c>
      <c r="AV263" s="133" t="n">
        <f aca="false">IF(OR(OR($B263="",$E263="",$F263=""),$K263&lt;&gt;"نعم",$M263="نعم"),0,MAX(0,MIN($F263,EOMONTH(DATE(cfg_FY,3,1),0))-MAX($E263,DATE(cfg_FY,3,1))+1))</f>
        <v>0</v>
      </c>
      <c r="AW263" s="133" t="n">
        <f aca="false">IF(OR(OR($B263="",$E263="",$F263=""),$K263&lt;&gt;"نعم",$M263="نعم"),0,MAX(0,MIN($F263,EOMONTH(DATE(cfg_FY,4,1),0))-MAX($E263,DATE(cfg_FY,4,1))+1))</f>
        <v>0</v>
      </c>
      <c r="AX263" s="133" t="n">
        <f aca="false">IF(OR(OR($B263="",$E263="",$F263=""),$K263&lt;&gt;"نعم",$M263="نعم"),0,MAX(0,MIN($F263,EOMONTH(DATE(cfg_FY,5,1),0))-MAX($E263,DATE(cfg_FY,5,1))+1))</f>
        <v>0</v>
      </c>
      <c r="AY263" s="133" t="n">
        <f aca="false">IF(OR(OR($B263="",$E263="",$F263=""),$K263&lt;&gt;"نعم",$M263="نعم"),0,MAX(0,MIN($F263,EOMONTH(DATE(cfg_FY,6,1),0))-MAX($E263,DATE(cfg_FY,6,1))+1))</f>
        <v>0</v>
      </c>
      <c r="AZ263" s="133" t="n">
        <f aca="false">IF(OR(OR($B263="",$E263="",$F263=""),$K263&lt;&gt;"نعم",$M263="نعم"),0,MAX(0,MIN($F263,EOMONTH(DATE(cfg_FY,7,1),0))-MAX($E263,DATE(cfg_FY,7,1))+1))</f>
        <v>0</v>
      </c>
      <c r="BA263" s="133" t="n">
        <f aca="false">IF(OR(OR($B263="",$E263="",$F263=""),$K263&lt;&gt;"نعم",$M263="نعم"),0,MAX(0,MIN($F263,EOMONTH(DATE(cfg_FY,8,1),0))-MAX($E263,DATE(cfg_FY,8,1))+1))</f>
        <v>0</v>
      </c>
      <c r="BB263" s="133" t="n">
        <f aca="false">IF(OR(OR($B263="",$E263="",$F263=""),$K263&lt;&gt;"نعم",$M263="نعم"),0,MAX(0,MIN($F263,EOMONTH(DATE(cfg_FY,9,1),0))-MAX($E263,DATE(cfg_FY,9,1))+1))</f>
        <v>0</v>
      </c>
      <c r="BC263" s="133" t="n">
        <f aca="false">IF(OR(OR($B263="",$E263="",$F263=""),$K263&lt;&gt;"نعم",$M263="نعم"),0,MAX(0,MIN($F263,EOMONTH(DATE(cfg_FY,10,1),0))-MAX($E263,DATE(cfg_FY,10,1))+1))</f>
        <v>0</v>
      </c>
      <c r="BD263" s="133" t="n">
        <f aca="false">IF(OR(OR($B263="",$E263="",$F263=""),$K263&lt;&gt;"نعم",$M263="نعم"),0,MAX(0,MIN($F263,EOMONTH(DATE(cfg_FY,11,1),0))-MAX($E263,DATE(cfg_FY,11,1))+1))</f>
        <v>0</v>
      </c>
      <c r="BE263" s="133" t="n">
        <f aca="false">IF(OR(OR($B263="",$E263="",$F263=""),$K263&lt;&gt;"نعم",$M263="نعم"),0,MAX(0,MIN($F263,EOMONTH(DATE(cfg_FY,12,1),0))-MAX($E263,DATE(cfg_FY,12,1))+1))</f>
        <v>0</v>
      </c>
    </row>
    <row r="264" customFormat="false" ht="15" hidden="false" customHeight="false" outlineLevel="0" collapsed="false">
      <c r="A264" s="106" t="str">
        <f aca="false">IF(B264="","",ROW()-5)</f>
        <v/>
      </c>
      <c r="B264" s="118"/>
      <c r="C264" s="114" t="str">
        <f aca="false">IF(B264="","",IFERROR(INDEX(الموظفون!$C$6:$C$105,MATCH(B264,الموظفون!$B$6:$B$105,0)),"✖ رقم غير موجود"))</f>
        <v/>
      </c>
      <c r="D264" s="118"/>
      <c r="E264" s="119"/>
      <c r="F264" s="119"/>
      <c r="G264" s="65" t="str">
        <f aca="false">IF(OR($B264="",$E264="",$F264=""),"",MAX(0,F264-E264+1))</f>
        <v/>
      </c>
      <c r="H264" s="66" t="str">
        <f aca="false">IF(D264="","",IFERROR(VLOOKUP(D264,cfg_LT,2,FALSE()),1))</f>
        <v/>
      </c>
      <c r="I264" s="135"/>
      <c r="J264" s="66" t="str">
        <f aca="false">IF(D264="","",IF(I264&lt;&gt;"",I264,H264))</f>
        <v/>
      </c>
      <c r="K264" s="114" t="str">
        <f aca="false">IF(D264="","",IFERROR(VLOOKUP($D264,cfg_LT,3,FALSE()),""))</f>
        <v/>
      </c>
      <c r="L264" s="114" t="str">
        <f aca="false">IF(D264="","",IFERROR(VLOOKUP($D264,cfg_LT,4,FALSE()),""))</f>
        <v/>
      </c>
      <c r="M264" s="114" t="str">
        <f aca="false">IF(D264="","",IFERROR(VLOOKUP($D264,cfg_LT,5,FALSE()),""))</f>
        <v/>
      </c>
      <c r="N264" s="111" t="n">
        <f aca="false">IF(OR(OR($B264="",$E264="",$F264=""),M264&lt;&gt;"نعم"),0,G264*J264*IFERROR(INDEX(الموظفون!$R$6:$R$105,MATCH(B264,الموظفون!$B$6:$B$105,0)),0)/cfg_DAYS_M)</f>
        <v>0</v>
      </c>
      <c r="O264" s="106" t="str">
        <f aca="false">IF(OR(OR($B264="",$E264="",$F264=""),M264&lt;&gt;"نعم"),"",IF(YEAR(E264)=cfg_FY,MONTH(E264),""))</f>
        <v/>
      </c>
      <c r="P264" s="114" t="str">
        <f aca="false">IF(B264="","",IF(OR(D264="",E264="",F264=""),"⚠ أكمل النوع والتواريخ",IF(F264&lt;E264,"✖ النهاية قبل البداية",IF(COUNTIFS($B$6:$B$505,B264,$E$6:$E$505,"&lt;="&amp;F264,$F$6:$F$505,"&gt;="&amp;E264)&gt;1,"⚠ تداخل مع سجل آخر",IF(E264&gt;cfg_VAL_DATE,"⏳ قادمة",IF(F264&lt;cfg_VAL_DATE,"✔ منتهية","✈ جارية في تاريخ التقرير"))))))</f>
        <v/>
      </c>
      <c r="Q264" s="118"/>
      <c r="R264" s="65" t="n">
        <f aca="false">IF(OR(OR($B264="",$E264="",$F264=""),L264&lt;&gt;"لا"),0,MAX(0,MIN(F264,cfg_Y_START-1)-E264+1))</f>
        <v>0</v>
      </c>
      <c r="S264" s="65" t="n">
        <f aca="false">IF(OR(OR($B264="",$E264="",$F264=""),L264&lt;&gt;"لا"),0,MAX(0,MIN(F264,cfg_VAL_DATE)-E264+1))</f>
        <v>0</v>
      </c>
      <c r="T264" s="65" t="n">
        <f aca="false">IF(OR(OR($B264="",$E264="",$F264=""),K264&lt;&gt;"نعم"),0,IF(M264="نعم",IF(AND(ISNUMBER(O264),N(O264)&lt;=cfg_VAL_M),G264,0),MAX(0,MIN(F264,cfg_VAL_DATE)-MAX(E264,cfg_Y_START)+1)))</f>
        <v>0</v>
      </c>
      <c r="V264" s="65" t="n">
        <f aca="false">IF(OR($B264="",$E264="",$F264=""),0,MAX(0,MIN($F264,EOMONTH(DATE(cfg_FY,1,1),0))-MAX($E264,DATE(cfg_FY,1,1))+1)*(1-IF($M264="نعم",0,N($J264))))</f>
        <v>0</v>
      </c>
      <c r="W264" s="65" t="n">
        <f aca="false">IF(OR($B264="",$E264="",$F264=""),0,MAX(0,MIN($F264,EOMONTH(DATE(cfg_FY,2,1),0))-MAX($E264,DATE(cfg_FY,2,1))+1)*(1-IF($M264="نعم",0,N($J264))))</f>
        <v>0</v>
      </c>
      <c r="X264" s="65" t="n">
        <f aca="false">IF(OR($B264="",$E264="",$F264=""),0,MAX(0,MIN($F264,EOMONTH(DATE(cfg_FY,3,1),0))-MAX($E264,DATE(cfg_FY,3,1))+1)*(1-IF($M264="نعم",0,N($J264))))</f>
        <v>0</v>
      </c>
      <c r="Y264" s="65" t="n">
        <f aca="false">IF(OR($B264="",$E264="",$F264=""),0,MAX(0,MIN($F264,EOMONTH(DATE(cfg_FY,4,1),0))-MAX($E264,DATE(cfg_FY,4,1))+1)*(1-IF($M264="نعم",0,N($J264))))</f>
        <v>0</v>
      </c>
      <c r="Z264" s="65" t="n">
        <f aca="false">IF(OR($B264="",$E264="",$F264=""),0,MAX(0,MIN($F264,EOMONTH(DATE(cfg_FY,5,1),0))-MAX($E264,DATE(cfg_FY,5,1))+1)*(1-IF($M264="نعم",0,N($J264))))</f>
        <v>0</v>
      </c>
      <c r="AA264" s="65" t="n">
        <f aca="false">IF(OR($B264="",$E264="",$F264=""),0,MAX(0,MIN($F264,EOMONTH(DATE(cfg_FY,6,1),0))-MAX($E264,DATE(cfg_FY,6,1))+1)*(1-IF($M264="نعم",0,N($J264))))</f>
        <v>0</v>
      </c>
      <c r="AB264" s="65" t="n">
        <f aca="false">IF(OR($B264="",$E264="",$F264=""),0,MAX(0,MIN($F264,EOMONTH(DATE(cfg_FY,7,1),0))-MAX($E264,DATE(cfg_FY,7,1))+1)*(1-IF($M264="نعم",0,N($J264))))</f>
        <v>0</v>
      </c>
      <c r="AC264" s="65" t="n">
        <f aca="false">IF(OR($B264="",$E264="",$F264=""),0,MAX(0,MIN($F264,EOMONTH(DATE(cfg_FY,8,1),0))-MAX($E264,DATE(cfg_FY,8,1))+1)*(1-IF($M264="نعم",0,N($J264))))</f>
        <v>0</v>
      </c>
      <c r="AD264" s="65" t="n">
        <f aca="false">IF(OR($B264="",$E264="",$F264=""),0,MAX(0,MIN($F264,EOMONTH(DATE(cfg_FY,9,1),0))-MAX($E264,DATE(cfg_FY,9,1))+1)*(1-IF($M264="نعم",0,N($J264))))</f>
        <v>0</v>
      </c>
      <c r="AE264" s="65" t="n">
        <f aca="false">IF(OR($B264="",$E264="",$F264=""),0,MAX(0,MIN($F264,EOMONTH(DATE(cfg_FY,10,1),0))-MAX($E264,DATE(cfg_FY,10,1))+1)*(1-IF($M264="نعم",0,N($J264))))</f>
        <v>0</v>
      </c>
      <c r="AF264" s="65" t="n">
        <f aca="false">IF(OR($B264="",$E264="",$F264=""),0,MAX(0,MIN($F264,EOMONTH(DATE(cfg_FY,11,1),0))-MAX($E264,DATE(cfg_FY,11,1))+1)*(1-IF($M264="نعم",0,N($J264))))</f>
        <v>0</v>
      </c>
      <c r="AG264" s="65" t="n">
        <f aca="false">IF(OR($B264="",$E264="",$F264=""),0,MAX(0,MIN($F264,EOMONTH(DATE(cfg_FY,12,1),0))-MAX($E264,DATE(cfg_FY,12,1))+1)*(1-IF($M264="نعم",0,N($J264))))</f>
        <v>0</v>
      </c>
      <c r="AH264" s="65" t="n">
        <f aca="false">IF(OR(OR($B264="",$E264="",$F264=""),$L264&lt;&gt;"لا"),0,MAX(0,MIN($F264,EOMONTH(DATE(cfg_FY,1,1),0))-$E264+1))</f>
        <v>0</v>
      </c>
      <c r="AI264" s="65" t="n">
        <f aca="false">IF(OR(OR($B264="",$E264="",$F264=""),$L264&lt;&gt;"لا"),0,MAX(0,MIN($F264,EOMONTH(DATE(cfg_FY,2,1),0))-$E264+1))</f>
        <v>0</v>
      </c>
      <c r="AJ264" s="65" t="n">
        <f aca="false">IF(OR(OR($B264="",$E264="",$F264=""),$L264&lt;&gt;"لا"),0,MAX(0,MIN($F264,EOMONTH(DATE(cfg_FY,3,1),0))-$E264+1))</f>
        <v>0</v>
      </c>
      <c r="AK264" s="65" t="n">
        <f aca="false">IF(OR(OR($B264="",$E264="",$F264=""),$L264&lt;&gt;"لا"),0,MAX(0,MIN($F264,EOMONTH(DATE(cfg_FY,4,1),0))-$E264+1))</f>
        <v>0</v>
      </c>
      <c r="AL264" s="65" t="n">
        <f aca="false">IF(OR(OR($B264="",$E264="",$F264=""),$L264&lt;&gt;"لا"),0,MAX(0,MIN($F264,EOMONTH(DATE(cfg_FY,5,1),0))-$E264+1))</f>
        <v>0</v>
      </c>
      <c r="AM264" s="65" t="n">
        <f aca="false">IF(OR(OR($B264="",$E264="",$F264=""),$L264&lt;&gt;"لا"),0,MAX(0,MIN($F264,EOMONTH(DATE(cfg_FY,6,1),0))-$E264+1))</f>
        <v>0</v>
      </c>
      <c r="AN264" s="65" t="n">
        <f aca="false">IF(OR(OR($B264="",$E264="",$F264=""),$L264&lt;&gt;"لا"),0,MAX(0,MIN($F264,EOMONTH(DATE(cfg_FY,7,1),0))-$E264+1))</f>
        <v>0</v>
      </c>
      <c r="AO264" s="65" t="n">
        <f aca="false">IF(OR(OR($B264="",$E264="",$F264=""),$L264&lt;&gt;"لا"),0,MAX(0,MIN($F264,EOMONTH(DATE(cfg_FY,8,1),0))-$E264+1))</f>
        <v>0</v>
      </c>
      <c r="AP264" s="65" t="n">
        <f aca="false">IF(OR(OR($B264="",$E264="",$F264=""),$L264&lt;&gt;"لا"),0,MAX(0,MIN($F264,EOMONTH(DATE(cfg_FY,9,1),0))-$E264+1))</f>
        <v>0</v>
      </c>
      <c r="AQ264" s="65" t="n">
        <f aca="false">IF(OR(OR($B264="",$E264="",$F264=""),$L264&lt;&gt;"لا"),0,MAX(0,MIN($F264,EOMONTH(DATE(cfg_FY,10,1),0))-$E264+1))</f>
        <v>0</v>
      </c>
      <c r="AR264" s="65" t="n">
        <f aca="false">IF(OR(OR($B264="",$E264="",$F264=""),$L264&lt;&gt;"لا"),0,MAX(0,MIN($F264,EOMONTH(DATE(cfg_FY,11,1),0))-$E264+1))</f>
        <v>0</v>
      </c>
      <c r="AS264" s="65" t="n">
        <f aca="false">IF(OR(OR($B264="",$E264="",$F264=""),$L264&lt;&gt;"لا"),0,MAX(0,MIN($F264,EOMONTH(DATE(cfg_FY,12,1),0))-$E264+1))</f>
        <v>0</v>
      </c>
      <c r="AT264" s="65" t="n">
        <f aca="false">IF(OR(OR($B264="",$E264="",$F264=""),$K264&lt;&gt;"نعم",$M264="نعم"),0,MAX(0,MIN($F264,EOMONTH(DATE(cfg_FY,1,1),0))-MAX($E264,DATE(cfg_FY,1,1))+1))</f>
        <v>0</v>
      </c>
      <c r="AU264" s="65" t="n">
        <f aca="false">IF(OR(OR($B264="",$E264="",$F264=""),$K264&lt;&gt;"نعم",$M264="نعم"),0,MAX(0,MIN($F264,EOMONTH(DATE(cfg_FY,2,1),0))-MAX($E264,DATE(cfg_FY,2,1))+1))</f>
        <v>0</v>
      </c>
      <c r="AV264" s="65" t="n">
        <f aca="false">IF(OR(OR($B264="",$E264="",$F264=""),$K264&lt;&gt;"نعم",$M264="نعم"),0,MAX(0,MIN($F264,EOMONTH(DATE(cfg_FY,3,1),0))-MAX($E264,DATE(cfg_FY,3,1))+1))</f>
        <v>0</v>
      </c>
      <c r="AW264" s="65" t="n">
        <f aca="false">IF(OR(OR($B264="",$E264="",$F264=""),$K264&lt;&gt;"نعم",$M264="نعم"),0,MAX(0,MIN($F264,EOMONTH(DATE(cfg_FY,4,1),0))-MAX($E264,DATE(cfg_FY,4,1))+1))</f>
        <v>0</v>
      </c>
      <c r="AX264" s="65" t="n">
        <f aca="false">IF(OR(OR($B264="",$E264="",$F264=""),$K264&lt;&gt;"نعم",$M264="نعم"),0,MAX(0,MIN($F264,EOMONTH(DATE(cfg_FY,5,1),0))-MAX($E264,DATE(cfg_FY,5,1))+1))</f>
        <v>0</v>
      </c>
      <c r="AY264" s="65" t="n">
        <f aca="false">IF(OR(OR($B264="",$E264="",$F264=""),$K264&lt;&gt;"نعم",$M264="نعم"),0,MAX(0,MIN($F264,EOMONTH(DATE(cfg_FY,6,1),0))-MAX($E264,DATE(cfg_FY,6,1))+1))</f>
        <v>0</v>
      </c>
      <c r="AZ264" s="65" t="n">
        <f aca="false">IF(OR(OR($B264="",$E264="",$F264=""),$K264&lt;&gt;"نعم",$M264="نعم"),0,MAX(0,MIN($F264,EOMONTH(DATE(cfg_FY,7,1),0))-MAX($E264,DATE(cfg_FY,7,1))+1))</f>
        <v>0</v>
      </c>
      <c r="BA264" s="65" t="n">
        <f aca="false">IF(OR(OR($B264="",$E264="",$F264=""),$K264&lt;&gt;"نعم",$M264="نعم"),0,MAX(0,MIN($F264,EOMONTH(DATE(cfg_FY,8,1),0))-MAX($E264,DATE(cfg_FY,8,1))+1))</f>
        <v>0</v>
      </c>
      <c r="BB264" s="65" t="n">
        <f aca="false">IF(OR(OR($B264="",$E264="",$F264=""),$K264&lt;&gt;"نعم",$M264="نعم"),0,MAX(0,MIN($F264,EOMONTH(DATE(cfg_FY,9,1),0))-MAX($E264,DATE(cfg_FY,9,1))+1))</f>
        <v>0</v>
      </c>
      <c r="BC264" s="65" t="n">
        <f aca="false">IF(OR(OR($B264="",$E264="",$F264=""),$K264&lt;&gt;"نعم",$M264="نعم"),0,MAX(0,MIN($F264,EOMONTH(DATE(cfg_FY,10,1),0))-MAX($E264,DATE(cfg_FY,10,1))+1))</f>
        <v>0</v>
      </c>
      <c r="BD264" s="65" t="n">
        <f aca="false">IF(OR(OR($B264="",$E264="",$F264=""),$K264&lt;&gt;"نعم",$M264="نعم"),0,MAX(0,MIN($F264,EOMONTH(DATE(cfg_FY,11,1),0))-MAX($E264,DATE(cfg_FY,11,1))+1))</f>
        <v>0</v>
      </c>
      <c r="BE264" s="65" t="n">
        <f aca="false">IF(OR(OR($B264="",$E264="",$F264=""),$K264&lt;&gt;"نعم",$M264="نعم"),0,MAX(0,MIN($F264,EOMONTH(DATE(cfg_FY,12,1),0))-MAX($E264,DATE(cfg_FY,12,1))+1))</f>
        <v>0</v>
      </c>
    </row>
    <row r="265" customFormat="false" ht="15" hidden="false" customHeight="false" outlineLevel="0" collapsed="false">
      <c r="A265" s="115" t="str">
        <f aca="false">IF(B265="","",ROW()-5)</f>
        <v/>
      </c>
      <c r="B265" s="118"/>
      <c r="C265" s="117" t="str">
        <f aca="false">IF(B265="","",IFERROR(INDEX(الموظفون!$C$6:$C$105,MATCH(B265,الموظفون!$B$6:$B$105,0)),"✖ رقم غير موجود"))</f>
        <v/>
      </c>
      <c r="D265" s="118"/>
      <c r="E265" s="119"/>
      <c r="F265" s="119"/>
      <c r="G265" s="133" t="str">
        <f aca="false">IF(OR($B265="",$E265="",$F265=""),"",MAX(0,F265-E265+1))</f>
        <v/>
      </c>
      <c r="H265" s="134" t="str">
        <f aca="false">IF(D265="","",IFERROR(VLOOKUP(D265,cfg_LT,2,FALSE()),1))</f>
        <v/>
      </c>
      <c r="I265" s="135"/>
      <c r="J265" s="134" t="str">
        <f aca="false">IF(D265="","",IF(I265&lt;&gt;"",I265,H265))</f>
        <v/>
      </c>
      <c r="K265" s="117" t="str">
        <f aca="false">IF(D265="","",IFERROR(VLOOKUP($D265,cfg_LT,3,FALSE()),""))</f>
        <v/>
      </c>
      <c r="L265" s="117" t="str">
        <f aca="false">IF(D265="","",IFERROR(VLOOKUP($D265,cfg_LT,4,FALSE()),""))</f>
        <v/>
      </c>
      <c r="M265" s="117" t="str">
        <f aca="false">IF(D265="","",IFERROR(VLOOKUP($D265,cfg_LT,5,FALSE()),""))</f>
        <v/>
      </c>
      <c r="N265" s="116" t="n">
        <f aca="false">IF(OR(OR($B265="",$E265="",$F265=""),M265&lt;&gt;"نعم"),0,G265*J265*IFERROR(INDEX(الموظفون!$R$6:$R$105,MATCH(B265,الموظفون!$B$6:$B$105,0)),0)/cfg_DAYS_M)</f>
        <v>0</v>
      </c>
      <c r="O265" s="115" t="str">
        <f aca="false">IF(OR(OR($B265="",$E265="",$F265=""),M265&lt;&gt;"نعم"),"",IF(YEAR(E265)=cfg_FY,MONTH(E265),""))</f>
        <v/>
      </c>
      <c r="P265" s="117" t="str">
        <f aca="false">IF(B265="","",IF(OR(D265="",E265="",F265=""),"⚠ أكمل النوع والتواريخ",IF(F265&lt;E265,"✖ النهاية قبل البداية",IF(COUNTIFS($B$6:$B$505,B265,$E$6:$E$505,"&lt;="&amp;F265,$F$6:$F$505,"&gt;="&amp;E265)&gt;1,"⚠ تداخل مع سجل آخر",IF(E265&gt;cfg_VAL_DATE,"⏳ قادمة",IF(F265&lt;cfg_VAL_DATE,"✔ منتهية","✈ جارية في تاريخ التقرير"))))))</f>
        <v/>
      </c>
      <c r="Q265" s="118"/>
      <c r="R265" s="133" t="n">
        <f aca="false">IF(OR(OR($B265="",$E265="",$F265=""),L265&lt;&gt;"لا"),0,MAX(0,MIN(F265,cfg_Y_START-1)-E265+1))</f>
        <v>0</v>
      </c>
      <c r="S265" s="133" t="n">
        <f aca="false">IF(OR(OR($B265="",$E265="",$F265=""),L265&lt;&gt;"لا"),0,MAX(0,MIN(F265,cfg_VAL_DATE)-E265+1))</f>
        <v>0</v>
      </c>
      <c r="T265" s="133" t="n">
        <f aca="false">IF(OR(OR($B265="",$E265="",$F265=""),K265&lt;&gt;"نعم"),0,IF(M265="نعم",IF(AND(ISNUMBER(O265),N(O265)&lt;=cfg_VAL_M),G265,0),MAX(0,MIN(F265,cfg_VAL_DATE)-MAX(E265,cfg_Y_START)+1)))</f>
        <v>0</v>
      </c>
      <c r="V265" s="133" t="n">
        <f aca="false">IF(OR($B265="",$E265="",$F265=""),0,MAX(0,MIN($F265,EOMONTH(DATE(cfg_FY,1,1),0))-MAX($E265,DATE(cfg_FY,1,1))+1)*(1-IF($M265="نعم",0,N($J265))))</f>
        <v>0</v>
      </c>
      <c r="W265" s="133" t="n">
        <f aca="false">IF(OR($B265="",$E265="",$F265=""),0,MAX(0,MIN($F265,EOMONTH(DATE(cfg_FY,2,1),0))-MAX($E265,DATE(cfg_FY,2,1))+1)*(1-IF($M265="نعم",0,N($J265))))</f>
        <v>0</v>
      </c>
      <c r="X265" s="133" t="n">
        <f aca="false">IF(OR($B265="",$E265="",$F265=""),0,MAX(0,MIN($F265,EOMONTH(DATE(cfg_FY,3,1),0))-MAX($E265,DATE(cfg_FY,3,1))+1)*(1-IF($M265="نعم",0,N($J265))))</f>
        <v>0</v>
      </c>
      <c r="Y265" s="133" t="n">
        <f aca="false">IF(OR($B265="",$E265="",$F265=""),0,MAX(0,MIN($F265,EOMONTH(DATE(cfg_FY,4,1),0))-MAX($E265,DATE(cfg_FY,4,1))+1)*(1-IF($M265="نعم",0,N($J265))))</f>
        <v>0</v>
      </c>
      <c r="Z265" s="133" t="n">
        <f aca="false">IF(OR($B265="",$E265="",$F265=""),0,MAX(0,MIN($F265,EOMONTH(DATE(cfg_FY,5,1),0))-MAX($E265,DATE(cfg_FY,5,1))+1)*(1-IF($M265="نعم",0,N($J265))))</f>
        <v>0</v>
      </c>
      <c r="AA265" s="133" t="n">
        <f aca="false">IF(OR($B265="",$E265="",$F265=""),0,MAX(0,MIN($F265,EOMONTH(DATE(cfg_FY,6,1),0))-MAX($E265,DATE(cfg_FY,6,1))+1)*(1-IF($M265="نعم",0,N($J265))))</f>
        <v>0</v>
      </c>
      <c r="AB265" s="133" t="n">
        <f aca="false">IF(OR($B265="",$E265="",$F265=""),0,MAX(0,MIN($F265,EOMONTH(DATE(cfg_FY,7,1),0))-MAX($E265,DATE(cfg_FY,7,1))+1)*(1-IF($M265="نعم",0,N($J265))))</f>
        <v>0</v>
      </c>
      <c r="AC265" s="133" t="n">
        <f aca="false">IF(OR($B265="",$E265="",$F265=""),0,MAX(0,MIN($F265,EOMONTH(DATE(cfg_FY,8,1),0))-MAX($E265,DATE(cfg_FY,8,1))+1)*(1-IF($M265="نعم",0,N($J265))))</f>
        <v>0</v>
      </c>
      <c r="AD265" s="133" t="n">
        <f aca="false">IF(OR($B265="",$E265="",$F265=""),0,MAX(0,MIN($F265,EOMONTH(DATE(cfg_FY,9,1),0))-MAX($E265,DATE(cfg_FY,9,1))+1)*(1-IF($M265="نعم",0,N($J265))))</f>
        <v>0</v>
      </c>
      <c r="AE265" s="133" t="n">
        <f aca="false">IF(OR($B265="",$E265="",$F265=""),0,MAX(0,MIN($F265,EOMONTH(DATE(cfg_FY,10,1),0))-MAX($E265,DATE(cfg_FY,10,1))+1)*(1-IF($M265="نعم",0,N($J265))))</f>
        <v>0</v>
      </c>
      <c r="AF265" s="133" t="n">
        <f aca="false">IF(OR($B265="",$E265="",$F265=""),0,MAX(0,MIN($F265,EOMONTH(DATE(cfg_FY,11,1),0))-MAX($E265,DATE(cfg_FY,11,1))+1)*(1-IF($M265="نعم",0,N($J265))))</f>
        <v>0</v>
      </c>
      <c r="AG265" s="133" t="n">
        <f aca="false">IF(OR($B265="",$E265="",$F265=""),0,MAX(0,MIN($F265,EOMONTH(DATE(cfg_FY,12,1),0))-MAX($E265,DATE(cfg_FY,12,1))+1)*(1-IF($M265="نعم",0,N($J265))))</f>
        <v>0</v>
      </c>
      <c r="AH265" s="133" t="n">
        <f aca="false">IF(OR(OR($B265="",$E265="",$F265=""),$L265&lt;&gt;"لا"),0,MAX(0,MIN($F265,EOMONTH(DATE(cfg_FY,1,1),0))-$E265+1))</f>
        <v>0</v>
      </c>
      <c r="AI265" s="133" t="n">
        <f aca="false">IF(OR(OR($B265="",$E265="",$F265=""),$L265&lt;&gt;"لا"),0,MAX(0,MIN($F265,EOMONTH(DATE(cfg_FY,2,1),0))-$E265+1))</f>
        <v>0</v>
      </c>
      <c r="AJ265" s="133" t="n">
        <f aca="false">IF(OR(OR($B265="",$E265="",$F265=""),$L265&lt;&gt;"لا"),0,MAX(0,MIN($F265,EOMONTH(DATE(cfg_FY,3,1),0))-$E265+1))</f>
        <v>0</v>
      </c>
      <c r="AK265" s="133" t="n">
        <f aca="false">IF(OR(OR($B265="",$E265="",$F265=""),$L265&lt;&gt;"لا"),0,MAX(0,MIN($F265,EOMONTH(DATE(cfg_FY,4,1),0))-$E265+1))</f>
        <v>0</v>
      </c>
      <c r="AL265" s="133" t="n">
        <f aca="false">IF(OR(OR($B265="",$E265="",$F265=""),$L265&lt;&gt;"لا"),0,MAX(0,MIN($F265,EOMONTH(DATE(cfg_FY,5,1),0))-$E265+1))</f>
        <v>0</v>
      </c>
      <c r="AM265" s="133" t="n">
        <f aca="false">IF(OR(OR($B265="",$E265="",$F265=""),$L265&lt;&gt;"لا"),0,MAX(0,MIN($F265,EOMONTH(DATE(cfg_FY,6,1),0))-$E265+1))</f>
        <v>0</v>
      </c>
      <c r="AN265" s="133" t="n">
        <f aca="false">IF(OR(OR($B265="",$E265="",$F265=""),$L265&lt;&gt;"لا"),0,MAX(0,MIN($F265,EOMONTH(DATE(cfg_FY,7,1),0))-$E265+1))</f>
        <v>0</v>
      </c>
      <c r="AO265" s="133" t="n">
        <f aca="false">IF(OR(OR($B265="",$E265="",$F265=""),$L265&lt;&gt;"لا"),0,MAX(0,MIN($F265,EOMONTH(DATE(cfg_FY,8,1),0))-$E265+1))</f>
        <v>0</v>
      </c>
      <c r="AP265" s="133" t="n">
        <f aca="false">IF(OR(OR($B265="",$E265="",$F265=""),$L265&lt;&gt;"لا"),0,MAX(0,MIN($F265,EOMONTH(DATE(cfg_FY,9,1),0))-$E265+1))</f>
        <v>0</v>
      </c>
      <c r="AQ265" s="133" t="n">
        <f aca="false">IF(OR(OR($B265="",$E265="",$F265=""),$L265&lt;&gt;"لا"),0,MAX(0,MIN($F265,EOMONTH(DATE(cfg_FY,10,1),0))-$E265+1))</f>
        <v>0</v>
      </c>
      <c r="AR265" s="133" t="n">
        <f aca="false">IF(OR(OR($B265="",$E265="",$F265=""),$L265&lt;&gt;"لا"),0,MAX(0,MIN($F265,EOMONTH(DATE(cfg_FY,11,1),0))-$E265+1))</f>
        <v>0</v>
      </c>
      <c r="AS265" s="133" t="n">
        <f aca="false">IF(OR(OR($B265="",$E265="",$F265=""),$L265&lt;&gt;"لا"),0,MAX(0,MIN($F265,EOMONTH(DATE(cfg_FY,12,1),0))-$E265+1))</f>
        <v>0</v>
      </c>
      <c r="AT265" s="133" t="n">
        <f aca="false">IF(OR(OR($B265="",$E265="",$F265=""),$K265&lt;&gt;"نعم",$M265="نعم"),0,MAX(0,MIN($F265,EOMONTH(DATE(cfg_FY,1,1),0))-MAX($E265,DATE(cfg_FY,1,1))+1))</f>
        <v>0</v>
      </c>
      <c r="AU265" s="133" t="n">
        <f aca="false">IF(OR(OR($B265="",$E265="",$F265=""),$K265&lt;&gt;"نعم",$M265="نعم"),0,MAX(0,MIN($F265,EOMONTH(DATE(cfg_FY,2,1),0))-MAX($E265,DATE(cfg_FY,2,1))+1))</f>
        <v>0</v>
      </c>
      <c r="AV265" s="133" t="n">
        <f aca="false">IF(OR(OR($B265="",$E265="",$F265=""),$K265&lt;&gt;"نعم",$M265="نعم"),0,MAX(0,MIN($F265,EOMONTH(DATE(cfg_FY,3,1),0))-MAX($E265,DATE(cfg_FY,3,1))+1))</f>
        <v>0</v>
      </c>
      <c r="AW265" s="133" t="n">
        <f aca="false">IF(OR(OR($B265="",$E265="",$F265=""),$K265&lt;&gt;"نعم",$M265="نعم"),0,MAX(0,MIN($F265,EOMONTH(DATE(cfg_FY,4,1),0))-MAX($E265,DATE(cfg_FY,4,1))+1))</f>
        <v>0</v>
      </c>
      <c r="AX265" s="133" t="n">
        <f aca="false">IF(OR(OR($B265="",$E265="",$F265=""),$K265&lt;&gt;"نعم",$M265="نعم"),0,MAX(0,MIN($F265,EOMONTH(DATE(cfg_FY,5,1),0))-MAX($E265,DATE(cfg_FY,5,1))+1))</f>
        <v>0</v>
      </c>
      <c r="AY265" s="133" t="n">
        <f aca="false">IF(OR(OR($B265="",$E265="",$F265=""),$K265&lt;&gt;"نعم",$M265="نعم"),0,MAX(0,MIN($F265,EOMONTH(DATE(cfg_FY,6,1),0))-MAX($E265,DATE(cfg_FY,6,1))+1))</f>
        <v>0</v>
      </c>
      <c r="AZ265" s="133" t="n">
        <f aca="false">IF(OR(OR($B265="",$E265="",$F265=""),$K265&lt;&gt;"نعم",$M265="نعم"),0,MAX(0,MIN($F265,EOMONTH(DATE(cfg_FY,7,1),0))-MAX($E265,DATE(cfg_FY,7,1))+1))</f>
        <v>0</v>
      </c>
      <c r="BA265" s="133" t="n">
        <f aca="false">IF(OR(OR($B265="",$E265="",$F265=""),$K265&lt;&gt;"نعم",$M265="نعم"),0,MAX(0,MIN($F265,EOMONTH(DATE(cfg_FY,8,1),0))-MAX($E265,DATE(cfg_FY,8,1))+1))</f>
        <v>0</v>
      </c>
      <c r="BB265" s="133" t="n">
        <f aca="false">IF(OR(OR($B265="",$E265="",$F265=""),$K265&lt;&gt;"نعم",$M265="نعم"),0,MAX(0,MIN($F265,EOMONTH(DATE(cfg_FY,9,1),0))-MAX($E265,DATE(cfg_FY,9,1))+1))</f>
        <v>0</v>
      </c>
      <c r="BC265" s="133" t="n">
        <f aca="false">IF(OR(OR($B265="",$E265="",$F265=""),$K265&lt;&gt;"نعم",$M265="نعم"),0,MAX(0,MIN($F265,EOMONTH(DATE(cfg_FY,10,1),0))-MAX($E265,DATE(cfg_FY,10,1))+1))</f>
        <v>0</v>
      </c>
      <c r="BD265" s="133" t="n">
        <f aca="false">IF(OR(OR($B265="",$E265="",$F265=""),$K265&lt;&gt;"نعم",$M265="نعم"),0,MAX(0,MIN($F265,EOMONTH(DATE(cfg_FY,11,1),0))-MAX($E265,DATE(cfg_FY,11,1))+1))</f>
        <v>0</v>
      </c>
      <c r="BE265" s="133" t="n">
        <f aca="false">IF(OR(OR($B265="",$E265="",$F265=""),$K265&lt;&gt;"نعم",$M265="نعم"),0,MAX(0,MIN($F265,EOMONTH(DATE(cfg_FY,12,1),0))-MAX($E265,DATE(cfg_FY,12,1))+1))</f>
        <v>0</v>
      </c>
    </row>
    <row r="266" customFormat="false" ht="15" hidden="false" customHeight="false" outlineLevel="0" collapsed="false">
      <c r="A266" s="106" t="str">
        <f aca="false">IF(B266="","",ROW()-5)</f>
        <v/>
      </c>
      <c r="B266" s="118"/>
      <c r="C266" s="114" t="str">
        <f aca="false">IF(B266="","",IFERROR(INDEX(الموظفون!$C$6:$C$105,MATCH(B266,الموظفون!$B$6:$B$105,0)),"✖ رقم غير موجود"))</f>
        <v/>
      </c>
      <c r="D266" s="118"/>
      <c r="E266" s="119"/>
      <c r="F266" s="119"/>
      <c r="G266" s="65" t="str">
        <f aca="false">IF(OR($B266="",$E266="",$F266=""),"",MAX(0,F266-E266+1))</f>
        <v/>
      </c>
      <c r="H266" s="66" t="str">
        <f aca="false">IF(D266="","",IFERROR(VLOOKUP(D266,cfg_LT,2,FALSE()),1))</f>
        <v/>
      </c>
      <c r="I266" s="135"/>
      <c r="J266" s="66" t="str">
        <f aca="false">IF(D266="","",IF(I266&lt;&gt;"",I266,H266))</f>
        <v/>
      </c>
      <c r="K266" s="114" t="str">
        <f aca="false">IF(D266="","",IFERROR(VLOOKUP($D266,cfg_LT,3,FALSE()),""))</f>
        <v/>
      </c>
      <c r="L266" s="114" t="str">
        <f aca="false">IF(D266="","",IFERROR(VLOOKUP($D266,cfg_LT,4,FALSE()),""))</f>
        <v/>
      </c>
      <c r="M266" s="114" t="str">
        <f aca="false">IF(D266="","",IFERROR(VLOOKUP($D266,cfg_LT,5,FALSE()),""))</f>
        <v/>
      </c>
      <c r="N266" s="111" t="n">
        <f aca="false">IF(OR(OR($B266="",$E266="",$F266=""),M266&lt;&gt;"نعم"),0,G266*J266*IFERROR(INDEX(الموظفون!$R$6:$R$105,MATCH(B266,الموظفون!$B$6:$B$105,0)),0)/cfg_DAYS_M)</f>
        <v>0</v>
      </c>
      <c r="O266" s="106" t="str">
        <f aca="false">IF(OR(OR($B266="",$E266="",$F266=""),M266&lt;&gt;"نعم"),"",IF(YEAR(E266)=cfg_FY,MONTH(E266),""))</f>
        <v/>
      </c>
      <c r="P266" s="114" t="str">
        <f aca="false">IF(B266="","",IF(OR(D266="",E266="",F266=""),"⚠ أكمل النوع والتواريخ",IF(F266&lt;E266,"✖ النهاية قبل البداية",IF(COUNTIFS($B$6:$B$505,B266,$E$6:$E$505,"&lt;="&amp;F266,$F$6:$F$505,"&gt;="&amp;E266)&gt;1,"⚠ تداخل مع سجل آخر",IF(E266&gt;cfg_VAL_DATE,"⏳ قادمة",IF(F266&lt;cfg_VAL_DATE,"✔ منتهية","✈ جارية في تاريخ التقرير"))))))</f>
        <v/>
      </c>
      <c r="Q266" s="118"/>
      <c r="R266" s="65" t="n">
        <f aca="false">IF(OR(OR($B266="",$E266="",$F266=""),L266&lt;&gt;"لا"),0,MAX(0,MIN(F266,cfg_Y_START-1)-E266+1))</f>
        <v>0</v>
      </c>
      <c r="S266" s="65" t="n">
        <f aca="false">IF(OR(OR($B266="",$E266="",$F266=""),L266&lt;&gt;"لا"),0,MAX(0,MIN(F266,cfg_VAL_DATE)-E266+1))</f>
        <v>0</v>
      </c>
      <c r="T266" s="65" t="n">
        <f aca="false">IF(OR(OR($B266="",$E266="",$F266=""),K266&lt;&gt;"نعم"),0,IF(M266="نعم",IF(AND(ISNUMBER(O266),N(O266)&lt;=cfg_VAL_M),G266,0),MAX(0,MIN(F266,cfg_VAL_DATE)-MAX(E266,cfg_Y_START)+1)))</f>
        <v>0</v>
      </c>
      <c r="V266" s="65" t="n">
        <f aca="false">IF(OR($B266="",$E266="",$F266=""),0,MAX(0,MIN($F266,EOMONTH(DATE(cfg_FY,1,1),0))-MAX($E266,DATE(cfg_FY,1,1))+1)*(1-IF($M266="نعم",0,N($J266))))</f>
        <v>0</v>
      </c>
      <c r="W266" s="65" t="n">
        <f aca="false">IF(OR($B266="",$E266="",$F266=""),0,MAX(0,MIN($F266,EOMONTH(DATE(cfg_FY,2,1),0))-MAX($E266,DATE(cfg_FY,2,1))+1)*(1-IF($M266="نعم",0,N($J266))))</f>
        <v>0</v>
      </c>
      <c r="X266" s="65" t="n">
        <f aca="false">IF(OR($B266="",$E266="",$F266=""),0,MAX(0,MIN($F266,EOMONTH(DATE(cfg_FY,3,1),0))-MAX($E266,DATE(cfg_FY,3,1))+1)*(1-IF($M266="نعم",0,N($J266))))</f>
        <v>0</v>
      </c>
      <c r="Y266" s="65" t="n">
        <f aca="false">IF(OR($B266="",$E266="",$F266=""),0,MAX(0,MIN($F266,EOMONTH(DATE(cfg_FY,4,1),0))-MAX($E266,DATE(cfg_FY,4,1))+1)*(1-IF($M266="نعم",0,N($J266))))</f>
        <v>0</v>
      </c>
      <c r="Z266" s="65" t="n">
        <f aca="false">IF(OR($B266="",$E266="",$F266=""),0,MAX(0,MIN($F266,EOMONTH(DATE(cfg_FY,5,1),0))-MAX($E266,DATE(cfg_FY,5,1))+1)*(1-IF($M266="نعم",0,N($J266))))</f>
        <v>0</v>
      </c>
      <c r="AA266" s="65" t="n">
        <f aca="false">IF(OR($B266="",$E266="",$F266=""),0,MAX(0,MIN($F266,EOMONTH(DATE(cfg_FY,6,1),0))-MAX($E266,DATE(cfg_FY,6,1))+1)*(1-IF($M266="نعم",0,N($J266))))</f>
        <v>0</v>
      </c>
      <c r="AB266" s="65" t="n">
        <f aca="false">IF(OR($B266="",$E266="",$F266=""),0,MAX(0,MIN($F266,EOMONTH(DATE(cfg_FY,7,1),0))-MAX($E266,DATE(cfg_FY,7,1))+1)*(1-IF($M266="نعم",0,N($J266))))</f>
        <v>0</v>
      </c>
      <c r="AC266" s="65" t="n">
        <f aca="false">IF(OR($B266="",$E266="",$F266=""),0,MAX(0,MIN($F266,EOMONTH(DATE(cfg_FY,8,1),0))-MAX($E266,DATE(cfg_FY,8,1))+1)*(1-IF($M266="نعم",0,N($J266))))</f>
        <v>0</v>
      </c>
      <c r="AD266" s="65" t="n">
        <f aca="false">IF(OR($B266="",$E266="",$F266=""),0,MAX(0,MIN($F266,EOMONTH(DATE(cfg_FY,9,1),0))-MAX($E266,DATE(cfg_FY,9,1))+1)*(1-IF($M266="نعم",0,N($J266))))</f>
        <v>0</v>
      </c>
      <c r="AE266" s="65" t="n">
        <f aca="false">IF(OR($B266="",$E266="",$F266=""),0,MAX(0,MIN($F266,EOMONTH(DATE(cfg_FY,10,1),0))-MAX($E266,DATE(cfg_FY,10,1))+1)*(1-IF($M266="نعم",0,N($J266))))</f>
        <v>0</v>
      </c>
      <c r="AF266" s="65" t="n">
        <f aca="false">IF(OR($B266="",$E266="",$F266=""),0,MAX(0,MIN($F266,EOMONTH(DATE(cfg_FY,11,1),0))-MAX($E266,DATE(cfg_FY,11,1))+1)*(1-IF($M266="نعم",0,N($J266))))</f>
        <v>0</v>
      </c>
      <c r="AG266" s="65" t="n">
        <f aca="false">IF(OR($B266="",$E266="",$F266=""),0,MAX(0,MIN($F266,EOMONTH(DATE(cfg_FY,12,1),0))-MAX($E266,DATE(cfg_FY,12,1))+1)*(1-IF($M266="نعم",0,N($J266))))</f>
        <v>0</v>
      </c>
      <c r="AH266" s="65" t="n">
        <f aca="false">IF(OR(OR($B266="",$E266="",$F266=""),$L266&lt;&gt;"لا"),0,MAX(0,MIN($F266,EOMONTH(DATE(cfg_FY,1,1),0))-$E266+1))</f>
        <v>0</v>
      </c>
      <c r="AI266" s="65" t="n">
        <f aca="false">IF(OR(OR($B266="",$E266="",$F266=""),$L266&lt;&gt;"لا"),0,MAX(0,MIN($F266,EOMONTH(DATE(cfg_FY,2,1),0))-$E266+1))</f>
        <v>0</v>
      </c>
      <c r="AJ266" s="65" t="n">
        <f aca="false">IF(OR(OR($B266="",$E266="",$F266=""),$L266&lt;&gt;"لا"),0,MAX(0,MIN($F266,EOMONTH(DATE(cfg_FY,3,1),0))-$E266+1))</f>
        <v>0</v>
      </c>
      <c r="AK266" s="65" t="n">
        <f aca="false">IF(OR(OR($B266="",$E266="",$F266=""),$L266&lt;&gt;"لا"),0,MAX(0,MIN($F266,EOMONTH(DATE(cfg_FY,4,1),0))-$E266+1))</f>
        <v>0</v>
      </c>
      <c r="AL266" s="65" t="n">
        <f aca="false">IF(OR(OR($B266="",$E266="",$F266=""),$L266&lt;&gt;"لا"),0,MAX(0,MIN($F266,EOMONTH(DATE(cfg_FY,5,1),0))-$E266+1))</f>
        <v>0</v>
      </c>
      <c r="AM266" s="65" t="n">
        <f aca="false">IF(OR(OR($B266="",$E266="",$F266=""),$L266&lt;&gt;"لا"),0,MAX(0,MIN($F266,EOMONTH(DATE(cfg_FY,6,1),0))-$E266+1))</f>
        <v>0</v>
      </c>
      <c r="AN266" s="65" t="n">
        <f aca="false">IF(OR(OR($B266="",$E266="",$F266=""),$L266&lt;&gt;"لا"),0,MAX(0,MIN($F266,EOMONTH(DATE(cfg_FY,7,1),0))-$E266+1))</f>
        <v>0</v>
      </c>
      <c r="AO266" s="65" t="n">
        <f aca="false">IF(OR(OR($B266="",$E266="",$F266=""),$L266&lt;&gt;"لا"),0,MAX(0,MIN($F266,EOMONTH(DATE(cfg_FY,8,1),0))-$E266+1))</f>
        <v>0</v>
      </c>
      <c r="AP266" s="65" t="n">
        <f aca="false">IF(OR(OR($B266="",$E266="",$F266=""),$L266&lt;&gt;"لا"),0,MAX(0,MIN($F266,EOMONTH(DATE(cfg_FY,9,1),0))-$E266+1))</f>
        <v>0</v>
      </c>
      <c r="AQ266" s="65" t="n">
        <f aca="false">IF(OR(OR($B266="",$E266="",$F266=""),$L266&lt;&gt;"لا"),0,MAX(0,MIN($F266,EOMONTH(DATE(cfg_FY,10,1),0))-$E266+1))</f>
        <v>0</v>
      </c>
      <c r="AR266" s="65" t="n">
        <f aca="false">IF(OR(OR($B266="",$E266="",$F266=""),$L266&lt;&gt;"لا"),0,MAX(0,MIN($F266,EOMONTH(DATE(cfg_FY,11,1),0))-$E266+1))</f>
        <v>0</v>
      </c>
      <c r="AS266" s="65" t="n">
        <f aca="false">IF(OR(OR($B266="",$E266="",$F266=""),$L266&lt;&gt;"لا"),0,MAX(0,MIN($F266,EOMONTH(DATE(cfg_FY,12,1),0))-$E266+1))</f>
        <v>0</v>
      </c>
      <c r="AT266" s="65" t="n">
        <f aca="false">IF(OR(OR($B266="",$E266="",$F266=""),$K266&lt;&gt;"نعم",$M266="نعم"),0,MAX(0,MIN($F266,EOMONTH(DATE(cfg_FY,1,1),0))-MAX($E266,DATE(cfg_FY,1,1))+1))</f>
        <v>0</v>
      </c>
      <c r="AU266" s="65" t="n">
        <f aca="false">IF(OR(OR($B266="",$E266="",$F266=""),$K266&lt;&gt;"نعم",$M266="نعم"),0,MAX(0,MIN($F266,EOMONTH(DATE(cfg_FY,2,1),0))-MAX($E266,DATE(cfg_FY,2,1))+1))</f>
        <v>0</v>
      </c>
      <c r="AV266" s="65" t="n">
        <f aca="false">IF(OR(OR($B266="",$E266="",$F266=""),$K266&lt;&gt;"نعم",$M266="نعم"),0,MAX(0,MIN($F266,EOMONTH(DATE(cfg_FY,3,1),0))-MAX($E266,DATE(cfg_FY,3,1))+1))</f>
        <v>0</v>
      </c>
      <c r="AW266" s="65" t="n">
        <f aca="false">IF(OR(OR($B266="",$E266="",$F266=""),$K266&lt;&gt;"نعم",$M266="نعم"),0,MAX(0,MIN($F266,EOMONTH(DATE(cfg_FY,4,1),0))-MAX($E266,DATE(cfg_FY,4,1))+1))</f>
        <v>0</v>
      </c>
      <c r="AX266" s="65" t="n">
        <f aca="false">IF(OR(OR($B266="",$E266="",$F266=""),$K266&lt;&gt;"نعم",$M266="نعم"),0,MAX(0,MIN($F266,EOMONTH(DATE(cfg_FY,5,1),0))-MAX($E266,DATE(cfg_FY,5,1))+1))</f>
        <v>0</v>
      </c>
      <c r="AY266" s="65" t="n">
        <f aca="false">IF(OR(OR($B266="",$E266="",$F266=""),$K266&lt;&gt;"نعم",$M266="نعم"),0,MAX(0,MIN($F266,EOMONTH(DATE(cfg_FY,6,1),0))-MAX($E266,DATE(cfg_FY,6,1))+1))</f>
        <v>0</v>
      </c>
      <c r="AZ266" s="65" t="n">
        <f aca="false">IF(OR(OR($B266="",$E266="",$F266=""),$K266&lt;&gt;"نعم",$M266="نعم"),0,MAX(0,MIN($F266,EOMONTH(DATE(cfg_FY,7,1),0))-MAX($E266,DATE(cfg_FY,7,1))+1))</f>
        <v>0</v>
      </c>
      <c r="BA266" s="65" t="n">
        <f aca="false">IF(OR(OR($B266="",$E266="",$F266=""),$K266&lt;&gt;"نعم",$M266="نعم"),0,MAX(0,MIN($F266,EOMONTH(DATE(cfg_FY,8,1),0))-MAX($E266,DATE(cfg_FY,8,1))+1))</f>
        <v>0</v>
      </c>
      <c r="BB266" s="65" t="n">
        <f aca="false">IF(OR(OR($B266="",$E266="",$F266=""),$K266&lt;&gt;"نعم",$M266="نعم"),0,MAX(0,MIN($F266,EOMONTH(DATE(cfg_FY,9,1),0))-MAX($E266,DATE(cfg_FY,9,1))+1))</f>
        <v>0</v>
      </c>
      <c r="BC266" s="65" t="n">
        <f aca="false">IF(OR(OR($B266="",$E266="",$F266=""),$K266&lt;&gt;"نعم",$M266="نعم"),0,MAX(0,MIN($F266,EOMONTH(DATE(cfg_FY,10,1),0))-MAX($E266,DATE(cfg_FY,10,1))+1))</f>
        <v>0</v>
      </c>
      <c r="BD266" s="65" t="n">
        <f aca="false">IF(OR(OR($B266="",$E266="",$F266=""),$K266&lt;&gt;"نعم",$M266="نعم"),0,MAX(0,MIN($F266,EOMONTH(DATE(cfg_FY,11,1),0))-MAX($E266,DATE(cfg_FY,11,1))+1))</f>
        <v>0</v>
      </c>
      <c r="BE266" s="65" t="n">
        <f aca="false">IF(OR(OR($B266="",$E266="",$F266=""),$K266&lt;&gt;"نعم",$M266="نعم"),0,MAX(0,MIN($F266,EOMONTH(DATE(cfg_FY,12,1),0))-MAX($E266,DATE(cfg_FY,12,1))+1))</f>
        <v>0</v>
      </c>
    </row>
    <row r="267" customFormat="false" ht="15" hidden="false" customHeight="false" outlineLevel="0" collapsed="false">
      <c r="A267" s="115" t="str">
        <f aca="false">IF(B267="","",ROW()-5)</f>
        <v/>
      </c>
      <c r="B267" s="118"/>
      <c r="C267" s="117" t="str">
        <f aca="false">IF(B267="","",IFERROR(INDEX(الموظفون!$C$6:$C$105,MATCH(B267,الموظفون!$B$6:$B$105,0)),"✖ رقم غير موجود"))</f>
        <v/>
      </c>
      <c r="D267" s="118"/>
      <c r="E267" s="119"/>
      <c r="F267" s="119"/>
      <c r="G267" s="133" t="str">
        <f aca="false">IF(OR($B267="",$E267="",$F267=""),"",MAX(0,F267-E267+1))</f>
        <v/>
      </c>
      <c r="H267" s="134" t="str">
        <f aca="false">IF(D267="","",IFERROR(VLOOKUP(D267,cfg_LT,2,FALSE()),1))</f>
        <v/>
      </c>
      <c r="I267" s="135"/>
      <c r="J267" s="134" t="str">
        <f aca="false">IF(D267="","",IF(I267&lt;&gt;"",I267,H267))</f>
        <v/>
      </c>
      <c r="K267" s="117" t="str">
        <f aca="false">IF(D267="","",IFERROR(VLOOKUP($D267,cfg_LT,3,FALSE()),""))</f>
        <v/>
      </c>
      <c r="L267" s="117" t="str">
        <f aca="false">IF(D267="","",IFERROR(VLOOKUP($D267,cfg_LT,4,FALSE()),""))</f>
        <v/>
      </c>
      <c r="M267" s="117" t="str">
        <f aca="false">IF(D267="","",IFERROR(VLOOKUP($D267,cfg_LT,5,FALSE()),""))</f>
        <v/>
      </c>
      <c r="N267" s="116" t="n">
        <f aca="false">IF(OR(OR($B267="",$E267="",$F267=""),M267&lt;&gt;"نعم"),0,G267*J267*IFERROR(INDEX(الموظفون!$R$6:$R$105,MATCH(B267,الموظفون!$B$6:$B$105,0)),0)/cfg_DAYS_M)</f>
        <v>0</v>
      </c>
      <c r="O267" s="115" t="str">
        <f aca="false">IF(OR(OR($B267="",$E267="",$F267=""),M267&lt;&gt;"نعم"),"",IF(YEAR(E267)=cfg_FY,MONTH(E267),""))</f>
        <v/>
      </c>
      <c r="P267" s="117" t="str">
        <f aca="false">IF(B267="","",IF(OR(D267="",E267="",F267=""),"⚠ أكمل النوع والتواريخ",IF(F267&lt;E267,"✖ النهاية قبل البداية",IF(COUNTIFS($B$6:$B$505,B267,$E$6:$E$505,"&lt;="&amp;F267,$F$6:$F$505,"&gt;="&amp;E267)&gt;1,"⚠ تداخل مع سجل آخر",IF(E267&gt;cfg_VAL_DATE,"⏳ قادمة",IF(F267&lt;cfg_VAL_DATE,"✔ منتهية","✈ جارية في تاريخ التقرير"))))))</f>
        <v/>
      </c>
      <c r="Q267" s="118"/>
      <c r="R267" s="133" t="n">
        <f aca="false">IF(OR(OR($B267="",$E267="",$F267=""),L267&lt;&gt;"لا"),0,MAX(0,MIN(F267,cfg_Y_START-1)-E267+1))</f>
        <v>0</v>
      </c>
      <c r="S267" s="133" t="n">
        <f aca="false">IF(OR(OR($B267="",$E267="",$F267=""),L267&lt;&gt;"لا"),0,MAX(0,MIN(F267,cfg_VAL_DATE)-E267+1))</f>
        <v>0</v>
      </c>
      <c r="T267" s="133" t="n">
        <f aca="false">IF(OR(OR($B267="",$E267="",$F267=""),K267&lt;&gt;"نعم"),0,IF(M267="نعم",IF(AND(ISNUMBER(O267),N(O267)&lt;=cfg_VAL_M),G267,0),MAX(0,MIN(F267,cfg_VAL_DATE)-MAX(E267,cfg_Y_START)+1)))</f>
        <v>0</v>
      </c>
      <c r="V267" s="133" t="n">
        <f aca="false">IF(OR($B267="",$E267="",$F267=""),0,MAX(0,MIN($F267,EOMONTH(DATE(cfg_FY,1,1),0))-MAX($E267,DATE(cfg_FY,1,1))+1)*(1-IF($M267="نعم",0,N($J267))))</f>
        <v>0</v>
      </c>
      <c r="W267" s="133" t="n">
        <f aca="false">IF(OR($B267="",$E267="",$F267=""),0,MAX(0,MIN($F267,EOMONTH(DATE(cfg_FY,2,1),0))-MAX($E267,DATE(cfg_FY,2,1))+1)*(1-IF($M267="نعم",0,N($J267))))</f>
        <v>0</v>
      </c>
      <c r="X267" s="133" t="n">
        <f aca="false">IF(OR($B267="",$E267="",$F267=""),0,MAX(0,MIN($F267,EOMONTH(DATE(cfg_FY,3,1),0))-MAX($E267,DATE(cfg_FY,3,1))+1)*(1-IF($M267="نعم",0,N($J267))))</f>
        <v>0</v>
      </c>
      <c r="Y267" s="133" t="n">
        <f aca="false">IF(OR($B267="",$E267="",$F267=""),0,MAX(0,MIN($F267,EOMONTH(DATE(cfg_FY,4,1),0))-MAX($E267,DATE(cfg_FY,4,1))+1)*(1-IF($M267="نعم",0,N($J267))))</f>
        <v>0</v>
      </c>
      <c r="Z267" s="133" t="n">
        <f aca="false">IF(OR($B267="",$E267="",$F267=""),0,MAX(0,MIN($F267,EOMONTH(DATE(cfg_FY,5,1),0))-MAX($E267,DATE(cfg_FY,5,1))+1)*(1-IF($M267="نعم",0,N($J267))))</f>
        <v>0</v>
      </c>
      <c r="AA267" s="133" t="n">
        <f aca="false">IF(OR($B267="",$E267="",$F267=""),0,MAX(0,MIN($F267,EOMONTH(DATE(cfg_FY,6,1),0))-MAX($E267,DATE(cfg_FY,6,1))+1)*(1-IF($M267="نعم",0,N($J267))))</f>
        <v>0</v>
      </c>
      <c r="AB267" s="133" t="n">
        <f aca="false">IF(OR($B267="",$E267="",$F267=""),0,MAX(0,MIN($F267,EOMONTH(DATE(cfg_FY,7,1),0))-MAX($E267,DATE(cfg_FY,7,1))+1)*(1-IF($M267="نعم",0,N($J267))))</f>
        <v>0</v>
      </c>
      <c r="AC267" s="133" t="n">
        <f aca="false">IF(OR($B267="",$E267="",$F267=""),0,MAX(0,MIN($F267,EOMONTH(DATE(cfg_FY,8,1),0))-MAX($E267,DATE(cfg_FY,8,1))+1)*(1-IF($M267="نعم",0,N($J267))))</f>
        <v>0</v>
      </c>
      <c r="AD267" s="133" t="n">
        <f aca="false">IF(OR($B267="",$E267="",$F267=""),0,MAX(0,MIN($F267,EOMONTH(DATE(cfg_FY,9,1),0))-MAX($E267,DATE(cfg_FY,9,1))+1)*(1-IF($M267="نعم",0,N($J267))))</f>
        <v>0</v>
      </c>
      <c r="AE267" s="133" t="n">
        <f aca="false">IF(OR($B267="",$E267="",$F267=""),0,MAX(0,MIN($F267,EOMONTH(DATE(cfg_FY,10,1),0))-MAX($E267,DATE(cfg_FY,10,1))+1)*(1-IF($M267="نعم",0,N($J267))))</f>
        <v>0</v>
      </c>
      <c r="AF267" s="133" t="n">
        <f aca="false">IF(OR($B267="",$E267="",$F267=""),0,MAX(0,MIN($F267,EOMONTH(DATE(cfg_FY,11,1),0))-MAX($E267,DATE(cfg_FY,11,1))+1)*(1-IF($M267="نعم",0,N($J267))))</f>
        <v>0</v>
      </c>
      <c r="AG267" s="133" t="n">
        <f aca="false">IF(OR($B267="",$E267="",$F267=""),0,MAX(0,MIN($F267,EOMONTH(DATE(cfg_FY,12,1),0))-MAX($E267,DATE(cfg_FY,12,1))+1)*(1-IF($M267="نعم",0,N($J267))))</f>
        <v>0</v>
      </c>
      <c r="AH267" s="133" t="n">
        <f aca="false">IF(OR(OR($B267="",$E267="",$F267=""),$L267&lt;&gt;"لا"),0,MAX(0,MIN($F267,EOMONTH(DATE(cfg_FY,1,1),0))-$E267+1))</f>
        <v>0</v>
      </c>
      <c r="AI267" s="133" t="n">
        <f aca="false">IF(OR(OR($B267="",$E267="",$F267=""),$L267&lt;&gt;"لا"),0,MAX(0,MIN($F267,EOMONTH(DATE(cfg_FY,2,1),0))-$E267+1))</f>
        <v>0</v>
      </c>
      <c r="AJ267" s="133" t="n">
        <f aca="false">IF(OR(OR($B267="",$E267="",$F267=""),$L267&lt;&gt;"لا"),0,MAX(0,MIN($F267,EOMONTH(DATE(cfg_FY,3,1),0))-$E267+1))</f>
        <v>0</v>
      </c>
      <c r="AK267" s="133" t="n">
        <f aca="false">IF(OR(OR($B267="",$E267="",$F267=""),$L267&lt;&gt;"لا"),0,MAX(0,MIN($F267,EOMONTH(DATE(cfg_FY,4,1),0))-$E267+1))</f>
        <v>0</v>
      </c>
      <c r="AL267" s="133" t="n">
        <f aca="false">IF(OR(OR($B267="",$E267="",$F267=""),$L267&lt;&gt;"لا"),0,MAX(0,MIN($F267,EOMONTH(DATE(cfg_FY,5,1),0))-$E267+1))</f>
        <v>0</v>
      </c>
      <c r="AM267" s="133" t="n">
        <f aca="false">IF(OR(OR($B267="",$E267="",$F267=""),$L267&lt;&gt;"لا"),0,MAX(0,MIN($F267,EOMONTH(DATE(cfg_FY,6,1),0))-$E267+1))</f>
        <v>0</v>
      </c>
      <c r="AN267" s="133" t="n">
        <f aca="false">IF(OR(OR($B267="",$E267="",$F267=""),$L267&lt;&gt;"لا"),0,MAX(0,MIN($F267,EOMONTH(DATE(cfg_FY,7,1),0))-$E267+1))</f>
        <v>0</v>
      </c>
      <c r="AO267" s="133" t="n">
        <f aca="false">IF(OR(OR($B267="",$E267="",$F267=""),$L267&lt;&gt;"لا"),0,MAX(0,MIN($F267,EOMONTH(DATE(cfg_FY,8,1),0))-$E267+1))</f>
        <v>0</v>
      </c>
      <c r="AP267" s="133" t="n">
        <f aca="false">IF(OR(OR($B267="",$E267="",$F267=""),$L267&lt;&gt;"لا"),0,MAX(0,MIN($F267,EOMONTH(DATE(cfg_FY,9,1),0))-$E267+1))</f>
        <v>0</v>
      </c>
      <c r="AQ267" s="133" t="n">
        <f aca="false">IF(OR(OR($B267="",$E267="",$F267=""),$L267&lt;&gt;"لا"),0,MAX(0,MIN($F267,EOMONTH(DATE(cfg_FY,10,1),0))-$E267+1))</f>
        <v>0</v>
      </c>
      <c r="AR267" s="133" t="n">
        <f aca="false">IF(OR(OR($B267="",$E267="",$F267=""),$L267&lt;&gt;"لا"),0,MAX(0,MIN($F267,EOMONTH(DATE(cfg_FY,11,1),0))-$E267+1))</f>
        <v>0</v>
      </c>
      <c r="AS267" s="133" t="n">
        <f aca="false">IF(OR(OR($B267="",$E267="",$F267=""),$L267&lt;&gt;"لا"),0,MAX(0,MIN($F267,EOMONTH(DATE(cfg_FY,12,1),0))-$E267+1))</f>
        <v>0</v>
      </c>
      <c r="AT267" s="133" t="n">
        <f aca="false">IF(OR(OR($B267="",$E267="",$F267=""),$K267&lt;&gt;"نعم",$M267="نعم"),0,MAX(0,MIN($F267,EOMONTH(DATE(cfg_FY,1,1),0))-MAX($E267,DATE(cfg_FY,1,1))+1))</f>
        <v>0</v>
      </c>
      <c r="AU267" s="133" t="n">
        <f aca="false">IF(OR(OR($B267="",$E267="",$F267=""),$K267&lt;&gt;"نعم",$M267="نعم"),0,MAX(0,MIN($F267,EOMONTH(DATE(cfg_FY,2,1),0))-MAX($E267,DATE(cfg_FY,2,1))+1))</f>
        <v>0</v>
      </c>
      <c r="AV267" s="133" t="n">
        <f aca="false">IF(OR(OR($B267="",$E267="",$F267=""),$K267&lt;&gt;"نعم",$M267="نعم"),0,MAX(0,MIN($F267,EOMONTH(DATE(cfg_FY,3,1),0))-MAX($E267,DATE(cfg_FY,3,1))+1))</f>
        <v>0</v>
      </c>
      <c r="AW267" s="133" t="n">
        <f aca="false">IF(OR(OR($B267="",$E267="",$F267=""),$K267&lt;&gt;"نعم",$M267="نعم"),0,MAX(0,MIN($F267,EOMONTH(DATE(cfg_FY,4,1),0))-MAX($E267,DATE(cfg_FY,4,1))+1))</f>
        <v>0</v>
      </c>
      <c r="AX267" s="133" t="n">
        <f aca="false">IF(OR(OR($B267="",$E267="",$F267=""),$K267&lt;&gt;"نعم",$M267="نعم"),0,MAX(0,MIN($F267,EOMONTH(DATE(cfg_FY,5,1),0))-MAX($E267,DATE(cfg_FY,5,1))+1))</f>
        <v>0</v>
      </c>
      <c r="AY267" s="133" t="n">
        <f aca="false">IF(OR(OR($B267="",$E267="",$F267=""),$K267&lt;&gt;"نعم",$M267="نعم"),0,MAX(0,MIN($F267,EOMONTH(DATE(cfg_FY,6,1),0))-MAX($E267,DATE(cfg_FY,6,1))+1))</f>
        <v>0</v>
      </c>
      <c r="AZ267" s="133" t="n">
        <f aca="false">IF(OR(OR($B267="",$E267="",$F267=""),$K267&lt;&gt;"نعم",$M267="نعم"),0,MAX(0,MIN($F267,EOMONTH(DATE(cfg_FY,7,1),0))-MAX($E267,DATE(cfg_FY,7,1))+1))</f>
        <v>0</v>
      </c>
      <c r="BA267" s="133" t="n">
        <f aca="false">IF(OR(OR($B267="",$E267="",$F267=""),$K267&lt;&gt;"نعم",$M267="نعم"),0,MAX(0,MIN($F267,EOMONTH(DATE(cfg_FY,8,1),0))-MAX($E267,DATE(cfg_FY,8,1))+1))</f>
        <v>0</v>
      </c>
      <c r="BB267" s="133" t="n">
        <f aca="false">IF(OR(OR($B267="",$E267="",$F267=""),$K267&lt;&gt;"نعم",$M267="نعم"),0,MAX(0,MIN($F267,EOMONTH(DATE(cfg_FY,9,1),0))-MAX($E267,DATE(cfg_FY,9,1))+1))</f>
        <v>0</v>
      </c>
      <c r="BC267" s="133" t="n">
        <f aca="false">IF(OR(OR($B267="",$E267="",$F267=""),$K267&lt;&gt;"نعم",$M267="نعم"),0,MAX(0,MIN($F267,EOMONTH(DATE(cfg_FY,10,1),0))-MAX($E267,DATE(cfg_FY,10,1))+1))</f>
        <v>0</v>
      </c>
      <c r="BD267" s="133" t="n">
        <f aca="false">IF(OR(OR($B267="",$E267="",$F267=""),$K267&lt;&gt;"نعم",$M267="نعم"),0,MAX(0,MIN($F267,EOMONTH(DATE(cfg_FY,11,1),0))-MAX($E267,DATE(cfg_FY,11,1))+1))</f>
        <v>0</v>
      </c>
      <c r="BE267" s="133" t="n">
        <f aca="false">IF(OR(OR($B267="",$E267="",$F267=""),$K267&lt;&gt;"نعم",$M267="نعم"),0,MAX(0,MIN($F267,EOMONTH(DATE(cfg_FY,12,1),0))-MAX($E267,DATE(cfg_FY,12,1))+1))</f>
        <v>0</v>
      </c>
    </row>
    <row r="268" customFormat="false" ht="15" hidden="false" customHeight="false" outlineLevel="0" collapsed="false">
      <c r="A268" s="106" t="str">
        <f aca="false">IF(B268="","",ROW()-5)</f>
        <v/>
      </c>
      <c r="B268" s="118"/>
      <c r="C268" s="114" t="str">
        <f aca="false">IF(B268="","",IFERROR(INDEX(الموظفون!$C$6:$C$105,MATCH(B268,الموظفون!$B$6:$B$105,0)),"✖ رقم غير موجود"))</f>
        <v/>
      </c>
      <c r="D268" s="118"/>
      <c r="E268" s="119"/>
      <c r="F268" s="119"/>
      <c r="G268" s="65" t="str">
        <f aca="false">IF(OR($B268="",$E268="",$F268=""),"",MAX(0,F268-E268+1))</f>
        <v/>
      </c>
      <c r="H268" s="66" t="str">
        <f aca="false">IF(D268="","",IFERROR(VLOOKUP(D268,cfg_LT,2,FALSE()),1))</f>
        <v/>
      </c>
      <c r="I268" s="135"/>
      <c r="J268" s="66" t="str">
        <f aca="false">IF(D268="","",IF(I268&lt;&gt;"",I268,H268))</f>
        <v/>
      </c>
      <c r="K268" s="114" t="str">
        <f aca="false">IF(D268="","",IFERROR(VLOOKUP($D268,cfg_LT,3,FALSE()),""))</f>
        <v/>
      </c>
      <c r="L268" s="114" t="str">
        <f aca="false">IF(D268="","",IFERROR(VLOOKUP($D268,cfg_LT,4,FALSE()),""))</f>
        <v/>
      </c>
      <c r="M268" s="114" t="str">
        <f aca="false">IF(D268="","",IFERROR(VLOOKUP($D268,cfg_LT,5,FALSE()),""))</f>
        <v/>
      </c>
      <c r="N268" s="111" t="n">
        <f aca="false">IF(OR(OR($B268="",$E268="",$F268=""),M268&lt;&gt;"نعم"),0,G268*J268*IFERROR(INDEX(الموظفون!$R$6:$R$105,MATCH(B268,الموظفون!$B$6:$B$105,0)),0)/cfg_DAYS_M)</f>
        <v>0</v>
      </c>
      <c r="O268" s="106" t="str">
        <f aca="false">IF(OR(OR($B268="",$E268="",$F268=""),M268&lt;&gt;"نعم"),"",IF(YEAR(E268)=cfg_FY,MONTH(E268),""))</f>
        <v/>
      </c>
      <c r="P268" s="114" t="str">
        <f aca="false">IF(B268="","",IF(OR(D268="",E268="",F268=""),"⚠ أكمل النوع والتواريخ",IF(F268&lt;E268,"✖ النهاية قبل البداية",IF(COUNTIFS($B$6:$B$505,B268,$E$6:$E$505,"&lt;="&amp;F268,$F$6:$F$505,"&gt;="&amp;E268)&gt;1,"⚠ تداخل مع سجل آخر",IF(E268&gt;cfg_VAL_DATE,"⏳ قادمة",IF(F268&lt;cfg_VAL_DATE,"✔ منتهية","✈ جارية في تاريخ التقرير"))))))</f>
        <v/>
      </c>
      <c r="Q268" s="118"/>
      <c r="R268" s="65" t="n">
        <f aca="false">IF(OR(OR($B268="",$E268="",$F268=""),L268&lt;&gt;"لا"),0,MAX(0,MIN(F268,cfg_Y_START-1)-E268+1))</f>
        <v>0</v>
      </c>
      <c r="S268" s="65" t="n">
        <f aca="false">IF(OR(OR($B268="",$E268="",$F268=""),L268&lt;&gt;"لا"),0,MAX(0,MIN(F268,cfg_VAL_DATE)-E268+1))</f>
        <v>0</v>
      </c>
      <c r="T268" s="65" t="n">
        <f aca="false">IF(OR(OR($B268="",$E268="",$F268=""),K268&lt;&gt;"نعم"),0,IF(M268="نعم",IF(AND(ISNUMBER(O268),N(O268)&lt;=cfg_VAL_M),G268,0),MAX(0,MIN(F268,cfg_VAL_DATE)-MAX(E268,cfg_Y_START)+1)))</f>
        <v>0</v>
      </c>
      <c r="V268" s="65" t="n">
        <f aca="false">IF(OR($B268="",$E268="",$F268=""),0,MAX(0,MIN($F268,EOMONTH(DATE(cfg_FY,1,1),0))-MAX($E268,DATE(cfg_FY,1,1))+1)*(1-IF($M268="نعم",0,N($J268))))</f>
        <v>0</v>
      </c>
      <c r="W268" s="65" t="n">
        <f aca="false">IF(OR($B268="",$E268="",$F268=""),0,MAX(0,MIN($F268,EOMONTH(DATE(cfg_FY,2,1),0))-MAX($E268,DATE(cfg_FY,2,1))+1)*(1-IF($M268="نعم",0,N($J268))))</f>
        <v>0</v>
      </c>
      <c r="X268" s="65" t="n">
        <f aca="false">IF(OR($B268="",$E268="",$F268=""),0,MAX(0,MIN($F268,EOMONTH(DATE(cfg_FY,3,1),0))-MAX($E268,DATE(cfg_FY,3,1))+1)*(1-IF($M268="نعم",0,N($J268))))</f>
        <v>0</v>
      </c>
      <c r="Y268" s="65" t="n">
        <f aca="false">IF(OR($B268="",$E268="",$F268=""),0,MAX(0,MIN($F268,EOMONTH(DATE(cfg_FY,4,1),0))-MAX($E268,DATE(cfg_FY,4,1))+1)*(1-IF($M268="نعم",0,N($J268))))</f>
        <v>0</v>
      </c>
      <c r="Z268" s="65" t="n">
        <f aca="false">IF(OR($B268="",$E268="",$F268=""),0,MAX(0,MIN($F268,EOMONTH(DATE(cfg_FY,5,1),0))-MAX($E268,DATE(cfg_FY,5,1))+1)*(1-IF($M268="نعم",0,N($J268))))</f>
        <v>0</v>
      </c>
      <c r="AA268" s="65" t="n">
        <f aca="false">IF(OR($B268="",$E268="",$F268=""),0,MAX(0,MIN($F268,EOMONTH(DATE(cfg_FY,6,1),0))-MAX($E268,DATE(cfg_FY,6,1))+1)*(1-IF($M268="نعم",0,N($J268))))</f>
        <v>0</v>
      </c>
      <c r="AB268" s="65" t="n">
        <f aca="false">IF(OR($B268="",$E268="",$F268=""),0,MAX(0,MIN($F268,EOMONTH(DATE(cfg_FY,7,1),0))-MAX($E268,DATE(cfg_FY,7,1))+1)*(1-IF($M268="نعم",0,N($J268))))</f>
        <v>0</v>
      </c>
      <c r="AC268" s="65" t="n">
        <f aca="false">IF(OR($B268="",$E268="",$F268=""),0,MAX(0,MIN($F268,EOMONTH(DATE(cfg_FY,8,1),0))-MAX($E268,DATE(cfg_FY,8,1))+1)*(1-IF($M268="نعم",0,N($J268))))</f>
        <v>0</v>
      </c>
      <c r="AD268" s="65" t="n">
        <f aca="false">IF(OR($B268="",$E268="",$F268=""),0,MAX(0,MIN($F268,EOMONTH(DATE(cfg_FY,9,1),0))-MAX($E268,DATE(cfg_FY,9,1))+1)*(1-IF($M268="نعم",0,N($J268))))</f>
        <v>0</v>
      </c>
      <c r="AE268" s="65" t="n">
        <f aca="false">IF(OR($B268="",$E268="",$F268=""),0,MAX(0,MIN($F268,EOMONTH(DATE(cfg_FY,10,1),0))-MAX($E268,DATE(cfg_FY,10,1))+1)*(1-IF($M268="نعم",0,N($J268))))</f>
        <v>0</v>
      </c>
      <c r="AF268" s="65" t="n">
        <f aca="false">IF(OR($B268="",$E268="",$F268=""),0,MAX(0,MIN($F268,EOMONTH(DATE(cfg_FY,11,1),0))-MAX($E268,DATE(cfg_FY,11,1))+1)*(1-IF($M268="نعم",0,N($J268))))</f>
        <v>0</v>
      </c>
      <c r="AG268" s="65" t="n">
        <f aca="false">IF(OR($B268="",$E268="",$F268=""),0,MAX(0,MIN($F268,EOMONTH(DATE(cfg_FY,12,1),0))-MAX($E268,DATE(cfg_FY,12,1))+1)*(1-IF($M268="نعم",0,N($J268))))</f>
        <v>0</v>
      </c>
      <c r="AH268" s="65" t="n">
        <f aca="false">IF(OR(OR($B268="",$E268="",$F268=""),$L268&lt;&gt;"لا"),0,MAX(0,MIN($F268,EOMONTH(DATE(cfg_FY,1,1),0))-$E268+1))</f>
        <v>0</v>
      </c>
      <c r="AI268" s="65" t="n">
        <f aca="false">IF(OR(OR($B268="",$E268="",$F268=""),$L268&lt;&gt;"لا"),0,MAX(0,MIN($F268,EOMONTH(DATE(cfg_FY,2,1),0))-$E268+1))</f>
        <v>0</v>
      </c>
      <c r="AJ268" s="65" t="n">
        <f aca="false">IF(OR(OR($B268="",$E268="",$F268=""),$L268&lt;&gt;"لا"),0,MAX(0,MIN($F268,EOMONTH(DATE(cfg_FY,3,1),0))-$E268+1))</f>
        <v>0</v>
      </c>
      <c r="AK268" s="65" t="n">
        <f aca="false">IF(OR(OR($B268="",$E268="",$F268=""),$L268&lt;&gt;"لا"),0,MAX(0,MIN($F268,EOMONTH(DATE(cfg_FY,4,1),0))-$E268+1))</f>
        <v>0</v>
      </c>
      <c r="AL268" s="65" t="n">
        <f aca="false">IF(OR(OR($B268="",$E268="",$F268=""),$L268&lt;&gt;"لا"),0,MAX(0,MIN($F268,EOMONTH(DATE(cfg_FY,5,1),0))-$E268+1))</f>
        <v>0</v>
      </c>
      <c r="AM268" s="65" t="n">
        <f aca="false">IF(OR(OR($B268="",$E268="",$F268=""),$L268&lt;&gt;"لا"),0,MAX(0,MIN($F268,EOMONTH(DATE(cfg_FY,6,1),0))-$E268+1))</f>
        <v>0</v>
      </c>
      <c r="AN268" s="65" t="n">
        <f aca="false">IF(OR(OR($B268="",$E268="",$F268=""),$L268&lt;&gt;"لا"),0,MAX(0,MIN($F268,EOMONTH(DATE(cfg_FY,7,1),0))-$E268+1))</f>
        <v>0</v>
      </c>
      <c r="AO268" s="65" t="n">
        <f aca="false">IF(OR(OR($B268="",$E268="",$F268=""),$L268&lt;&gt;"لا"),0,MAX(0,MIN($F268,EOMONTH(DATE(cfg_FY,8,1),0))-$E268+1))</f>
        <v>0</v>
      </c>
      <c r="AP268" s="65" t="n">
        <f aca="false">IF(OR(OR($B268="",$E268="",$F268=""),$L268&lt;&gt;"لا"),0,MAX(0,MIN($F268,EOMONTH(DATE(cfg_FY,9,1),0))-$E268+1))</f>
        <v>0</v>
      </c>
      <c r="AQ268" s="65" t="n">
        <f aca="false">IF(OR(OR($B268="",$E268="",$F268=""),$L268&lt;&gt;"لا"),0,MAX(0,MIN($F268,EOMONTH(DATE(cfg_FY,10,1),0))-$E268+1))</f>
        <v>0</v>
      </c>
      <c r="AR268" s="65" t="n">
        <f aca="false">IF(OR(OR($B268="",$E268="",$F268=""),$L268&lt;&gt;"لا"),0,MAX(0,MIN($F268,EOMONTH(DATE(cfg_FY,11,1),0))-$E268+1))</f>
        <v>0</v>
      </c>
      <c r="AS268" s="65" t="n">
        <f aca="false">IF(OR(OR($B268="",$E268="",$F268=""),$L268&lt;&gt;"لا"),0,MAX(0,MIN($F268,EOMONTH(DATE(cfg_FY,12,1),0))-$E268+1))</f>
        <v>0</v>
      </c>
      <c r="AT268" s="65" t="n">
        <f aca="false">IF(OR(OR($B268="",$E268="",$F268=""),$K268&lt;&gt;"نعم",$M268="نعم"),0,MAX(0,MIN($F268,EOMONTH(DATE(cfg_FY,1,1),0))-MAX($E268,DATE(cfg_FY,1,1))+1))</f>
        <v>0</v>
      </c>
      <c r="AU268" s="65" t="n">
        <f aca="false">IF(OR(OR($B268="",$E268="",$F268=""),$K268&lt;&gt;"نعم",$M268="نعم"),0,MAX(0,MIN($F268,EOMONTH(DATE(cfg_FY,2,1),0))-MAX($E268,DATE(cfg_FY,2,1))+1))</f>
        <v>0</v>
      </c>
      <c r="AV268" s="65" t="n">
        <f aca="false">IF(OR(OR($B268="",$E268="",$F268=""),$K268&lt;&gt;"نعم",$M268="نعم"),0,MAX(0,MIN($F268,EOMONTH(DATE(cfg_FY,3,1),0))-MAX($E268,DATE(cfg_FY,3,1))+1))</f>
        <v>0</v>
      </c>
      <c r="AW268" s="65" t="n">
        <f aca="false">IF(OR(OR($B268="",$E268="",$F268=""),$K268&lt;&gt;"نعم",$M268="نعم"),0,MAX(0,MIN($F268,EOMONTH(DATE(cfg_FY,4,1),0))-MAX($E268,DATE(cfg_FY,4,1))+1))</f>
        <v>0</v>
      </c>
      <c r="AX268" s="65" t="n">
        <f aca="false">IF(OR(OR($B268="",$E268="",$F268=""),$K268&lt;&gt;"نعم",$M268="نعم"),0,MAX(0,MIN($F268,EOMONTH(DATE(cfg_FY,5,1),0))-MAX($E268,DATE(cfg_FY,5,1))+1))</f>
        <v>0</v>
      </c>
      <c r="AY268" s="65" t="n">
        <f aca="false">IF(OR(OR($B268="",$E268="",$F268=""),$K268&lt;&gt;"نعم",$M268="نعم"),0,MAX(0,MIN($F268,EOMONTH(DATE(cfg_FY,6,1),0))-MAX($E268,DATE(cfg_FY,6,1))+1))</f>
        <v>0</v>
      </c>
      <c r="AZ268" s="65" t="n">
        <f aca="false">IF(OR(OR($B268="",$E268="",$F268=""),$K268&lt;&gt;"نعم",$M268="نعم"),0,MAX(0,MIN($F268,EOMONTH(DATE(cfg_FY,7,1),0))-MAX($E268,DATE(cfg_FY,7,1))+1))</f>
        <v>0</v>
      </c>
      <c r="BA268" s="65" t="n">
        <f aca="false">IF(OR(OR($B268="",$E268="",$F268=""),$K268&lt;&gt;"نعم",$M268="نعم"),0,MAX(0,MIN($F268,EOMONTH(DATE(cfg_FY,8,1),0))-MAX($E268,DATE(cfg_FY,8,1))+1))</f>
        <v>0</v>
      </c>
      <c r="BB268" s="65" t="n">
        <f aca="false">IF(OR(OR($B268="",$E268="",$F268=""),$K268&lt;&gt;"نعم",$M268="نعم"),0,MAX(0,MIN($F268,EOMONTH(DATE(cfg_FY,9,1),0))-MAX($E268,DATE(cfg_FY,9,1))+1))</f>
        <v>0</v>
      </c>
      <c r="BC268" s="65" t="n">
        <f aca="false">IF(OR(OR($B268="",$E268="",$F268=""),$K268&lt;&gt;"نعم",$M268="نعم"),0,MAX(0,MIN($F268,EOMONTH(DATE(cfg_FY,10,1),0))-MAX($E268,DATE(cfg_FY,10,1))+1))</f>
        <v>0</v>
      </c>
      <c r="BD268" s="65" t="n">
        <f aca="false">IF(OR(OR($B268="",$E268="",$F268=""),$K268&lt;&gt;"نعم",$M268="نعم"),0,MAX(0,MIN($F268,EOMONTH(DATE(cfg_FY,11,1),0))-MAX($E268,DATE(cfg_FY,11,1))+1))</f>
        <v>0</v>
      </c>
      <c r="BE268" s="65" t="n">
        <f aca="false">IF(OR(OR($B268="",$E268="",$F268=""),$K268&lt;&gt;"نعم",$M268="نعم"),0,MAX(0,MIN($F268,EOMONTH(DATE(cfg_FY,12,1),0))-MAX($E268,DATE(cfg_FY,12,1))+1))</f>
        <v>0</v>
      </c>
    </row>
    <row r="269" customFormat="false" ht="15" hidden="false" customHeight="false" outlineLevel="0" collapsed="false">
      <c r="A269" s="115" t="str">
        <f aca="false">IF(B269="","",ROW()-5)</f>
        <v/>
      </c>
      <c r="B269" s="118"/>
      <c r="C269" s="117" t="str">
        <f aca="false">IF(B269="","",IFERROR(INDEX(الموظفون!$C$6:$C$105,MATCH(B269,الموظفون!$B$6:$B$105,0)),"✖ رقم غير موجود"))</f>
        <v/>
      </c>
      <c r="D269" s="118"/>
      <c r="E269" s="119"/>
      <c r="F269" s="119"/>
      <c r="G269" s="133" t="str">
        <f aca="false">IF(OR($B269="",$E269="",$F269=""),"",MAX(0,F269-E269+1))</f>
        <v/>
      </c>
      <c r="H269" s="134" t="str">
        <f aca="false">IF(D269="","",IFERROR(VLOOKUP(D269,cfg_LT,2,FALSE()),1))</f>
        <v/>
      </c>
      <c r="I269" s="135"/>
      <c r="J269" s="134" t="str">
        <f aca="false">IF(D269="","",IF(I269&lt;&gt;"",I269,H269))</f>
        <v/>
      </c>
      <c r="K269" s="117" t="str">
        <f aca="false">IF(D269="","",IFERROR(VLOOKUP($D269,cfg_LT,3,FALSE()),""))</f>
        <v/>
      </c>
      <c r="L269" s="117" t="str">
        <f aca="false">IF(D269="","",IFERROR(VLOOKUP($D269,cfg_LT,4,FALSE()),""))</f>
        <v/>
      </c>
      <c r="M269" s="117" t="str">
        <f aca="false">IF(D269="","",IFERROR(VLOOKUP($D269,cfg_LT,5,FALSE()),""))</f>
        <v/>
      </c>
      <c r="N269" s="116" t="n">
        <f aca="false">IF(OR(OR($B269="",$E269="",$F269=""),M269&lt;&gt;"نعم"),0,G269*J269*IFERROR(INDEX(الموظفون!$R$6:$R$105,MATCH(B269,الموظفون!$B$6:$B$105,0)),0)/cfg_DAYS_M)</f>
        <v>0</v>
      </c>
      <c r="O269" s="115" t="str">
        <f aca="false">IF(OR(OR($B269="",$E269="",$F269=""),M269&lt;&gt;"نعم"),"",IF(YEAR(E269)=cfg_FY,MONTH(E269),""))</f>
        <v/>
      </c>
      <c r="P269" s="117" t="str">
        <f aca="false">IF(B269="","",IF(OR(D269="",E269="",F269=""),"⚠ أكمل النوع والتواريخ",IF(F269&lt;E269,"✖ النهاية قبل البداية",IF(COUNTIFS($B$6:$B$505,B269,$E$6:$E$505,"&lt;="&amp;F269,$F$6:$F$505,"&gt;="&amp;E269)&gt;1,"⚠ تداخل مع سجل آخر",IF(E269&gt;cfg_VAL_DATE,"⏳ قادمة",IF(F269&lt;cfg_VAL_DATE,"✔ منتهية","✈ جارية في تاريخ التقرير"))))))</f>
        <v/>
      </c>
      <c r="Q269" s="118"/>
      <c r="R269" s="133" t="n">
        <f aca="false">IF(OR(OR($B269="",$E269="",$F269=""),L269&lt;&gt;"لا"),0,MAX(0,MIN(F269,cfg_Y_START-1)-E269+1))</f>
        <v>0</v>
      </c>
      <c r="S269" s="133" t="n">
        <f aca="false">IF(OR(OR($B269="",$E269="",$F269=""),L269&lt;&gt;"لا"),0,MAX(0,MIN(F269,cfg_VAL_DATE)-E269+1))</f>
        <v>0</v>
      </c>
      <c r="T269" s="133" t="n">
        <f aca="false">IF(OR(OR($B269="",$E269="",$F269=""),K269&lt;&gt;"نعم"),0,IF(M269="نعم",IF(AND(ISNUMBER(O269),N(O269)&lt;=cfg_VAL_M),G269,0),MAX(0,MIN(F269,cfg_VAL_DATE)-MAX(E269,cfg_Y_START)+1)))</f>
        <v>0</v>
      </c>
      <c r="V269" s="133" t="n">
        <f aca="false">IF(OR($B269="",$E269="",$F269=""),0,MAX(0,MIN($F269,EOMONTH(DATE(cfg_FY,1,1),0))-MAX($E269,DATE(cfg_FY,1,1))+1)*(1-IF($M269="نعم",0,N($J269))))</f>
        <v>0</v>
      </c>
      <c r="W269" s="133" t="n">
        <f aca="false">IF(OR($B269="",$E269="",$F269=""),0,MAX(0,MIN($F269,EOMONTH(DATE(cfg_FY,2,1),0))-MAX($E269,DATE(cfg_FY,2,1))+1)*(1-IF($M269="نعم",0,N($J269))))</f>
        <v>0</v>
      </c>
      <c r="X269" s="133" t="n">
        <f aca="false">IF(OR($B269="",$E269="",$F269=""),0,MAX(0,MIN($F269,EOMONTH(DATE(cfg_FY,3,1),0))-MAX($E269,DATE(cfg_FY,3,1))+1)*(1-IF($M269="نعم",0,N($J269))))</f>
        <v>0</v>
      </c>
      <c r="Y269" s="133" t="n">
        <f aca="false">IF(OR($B269="",$E269="",$F269=""),0,MAX(0,MIN($F269,EOMONTH(DATE(cfg_FY,4,1),0))-MAX($E269,DATE(cfg_FY,4,1))+1)*(1-IF($M269="نعم",0,N($J269))))</f>
        <v>0</v>
      </c>
      <c r="Z269" s="133" t="n">
        <f aca="false">IF(OR($B269="",$E269="",$F269=""),0,MAX(0,MIN($F269,EOMONTH(DATE(cfg_FY,5,1),0))-MAX($E269,DATE(cfg_FY,5,1))+1)*(1-IF($M269="نعم",0,N($J269))))</f>
        <v>0</v>
      </c>
      <c r="AA269" s="133" t="n">
        <f aca="false">IF(OR($B269="",$E269="",$F269=""),0,MAX(0,MIN($F269,EOMONTH(DATE(cfg_FY,6,1),0))-MAX($E269,DATE(cfg_FY,6,1))+1)*(1-IF($M269="نعم",0,N($J269))))</f>
        <v>0</v>
      </c>
      <c r="AB269" s="133" t="n">
        <f aca="false">IF(OR($B269="",$E269="",$F269=""),0,MAX(0,MIN($F269,EOMONTH(DATE(cfg_FY,7,1),0))-MAX($E269,DATE(cfg_FY,7,1))+1)*(1-IF($M269="نعم",0,N($J269))))</f>
        <v>0</v>
      </c>
      <c r="AC269" s="133" t="n">
        <f aca="false">IF(OR($B269="",$E269="",$F269=""),0,MAX(0,MIN($F269,EOMONTH(DATE(cfg_FY,8,1),0))-MAX($E269,DATE(cfg_FY,8,1))+1)*(1-IF($M269="نعم",0,N($J269))))</f>
        <v>0</v>
      </c>
      <c r="AD269" s="133" t="n">
        <f aca="false">IF(OR($B269="",$E269="",$F269=""),0,MAX(0,MIN($F269,EOMONTH(DATE(cfg_FY,9,1),0))-MAX($E269,DATE(cfg_FY,9,1))+1)*(1-IF($M269="نعم",0,N($J269))))</f>
        <v>0</v>
      </c>
      <c r="AE269" s="133" t="n">
        <f aca="false">IF(OR($B269="",$E269="",$F269=""),0,MAX(0,MIN($F269,EOMONTH(DATE(cfg_FY,10,1),0))-MAX($E269,DATE(cfg_FY,10,1))+1)*(1-IF($M269="نعم",0,N($J269))))</f>
        <v>0</v>
      </c>
      <c r="AF269" s="133" t="n">
        <f aca="false">IF(OR($B269="",$E269="",$F269=""),0,MAX(0,MIN($F269,EOMONTH(DATE(cfg_FY,11,1),0))-MAX($E269,DATE(cfg_FY,11,1))+1)*(1-IF($M269="نعم",0,N($J269))))</f>
        <v>0</v>
      </c>
      <c r="AG269" s="133" t="n">
        <f aca="false">IF(OR($B269="",$E269="",$F269=""),0,MAX(0,MIN($F269,EOMONTH(DATE(cfg_FY,12,1),0))-MAX($E269,DATE(cfg_FY,12,1))+1)*(1-IF($M269="نعم",0,N($J269))))</f>
        <v>0</v>
      </c>
      <c r="AH269" s="133" t="n">
        <f aca="false">IF(OR(OR($B269="",$E269="",$F269=""),$L269&lt;&gt;"لا"),0,MAX(0,MIN($F269,EOMONTH(DATE(cfg_FY,1,1),0))-$E269+1))</f>
        <v>0</v>
      </c>
      <c r="AI269" s="133" t="n">
        <f aca="false">IF(OR(OR($B269="",$E269="",$F269=""),$L269&lt;&gt;"لا"),0,MAX(0,MIN($F269,EOMONTH(DATE(cfg_FY,2,1),0))-$E269+1))</f>
        <v>0</v>
      </c>
      <c r="AJ269" s="133" t="n">
        <f aca="false">IF(OR(OR($B269="",$E269="",$F269=""),$L269&lt;&gt;"لا"),0,MAX(0,MIN($F269,EOMONTH(DATE(cfg_FY,3,1),0))-$E269+1))</f>
        <v>0</v>
      </c>
      <c r="AK269" s="133" t="n">
        <f aca="false">IF(OR(OR($B269="",$E269="",$F269=""),$L269&lt;&gt;"لا"),0,MAX(0,MIN($F269,EOMONTH(DATE(cfg_FY,4,1),0))-$E269+1))</f>
        <v>0</v>
      </c>
      <c r="AL269" s="133" t="n">
        <f aca="false">IF(OR(OR($B269="",$E269="",$F269=""),$L269&lt;&gt;"لا"),0,MAX(0,MIN($F269,EOMONTH(DATE(cfg_FY,5,1),0))-$E269+1))</f>
        <v>0</v>
      </c>
      <c r="AM269" s="133" t="n">
        <f aca="false">IF(OR(OR($B269="",$E269="",$F269=""),$L269&lt;&gt;"لا"),0,MAX(0,MIN($F269,EOMONTH(DATE(cfg_FY,6,1),0))-$E269+1))</f>
        <v>0</v>
      </c>
      <c r="AN269" s="133" t="n">
        <f aca="false">IF(OR(OR($B269="",$E269="",$F269=""),$L269&lt;&gt;"لا"),0,MAX(0,MIN($F269,EOMONTH(DATE(cfg_FY,7,1),0))-$E269+1))</f>
        <v>0</v>
      </c>
      <c r="AO269" s="133" t="n">
        <f aca="false">IF(OR(OR($B269="",$E269="",$F269=""),$L269&lt;&gt;"لا"),0,MAX(0,MIN($F269,EOMONTH(DATE(cfg_FY,8,1),0))-$E269+1))</f>
        <v>0</v>
      </c>
      <c r="AP269" s="133" t="n">
        <f aca="false">IF(OR(OR($B269="",$E269="",$F269=""),$L269&lt;&gt;"لا"),0,MAX(0,MIN($F269,EOMONTH(DATE(cfg_FY,9,1),0))-$E269+1))</f>
        <v>0</v>
      </c>
      <c r="AQ269" s="133" t="n">
        <f aca="false">IF(OR(OR($B269="",$E269="",$F269=""),$L269&lt;&gt;"لا"),0,MAX(0,MIN($F269,EOMONTH(DATE(cfg_FY,10,1),0))-$E269+1))</f>
        <v>0</v>
      </c>
      <c r="AR269" s="133" t="n">
        <f aca="false">IF(OR(OR($B269="",$E269="",$F269=""),$L269&lt;&gt;"لا"),0,MAX(0,MIN($F269,EOMONTH(DATE(cfg_FY,11,1),0))-$E269+1))</f>
        <v>0</v>
      </c>
      <c r="AS269" s="133" t="n">
        <f aca="false">IF(OR(OR($B269="",$E269="",$F269=""),$L269&lt;&gt;"لا"),0,MAX(0,MIN($F269,EOMONTH(DATE(cfg_FY,12,1),0))-$E269+1))</f>
        <v>0</v>
      </c>
      <c r="AT269" s="133" t="n">
        <f aca="false">IF(OR(OR($B269="",$E269="",$F269=""),$K269&lt;&gt;"نعم",$M269="نعم"),0,MAX(0,MIN($F269,EOMONTH(DATE(cfg_FY,1,1),0))-MAX($E269,DATE(cfg_FY,1,1))+1))</f>
        <v>0</v>
      </c>
      <c r="AU269" s="133" t="n">
        <f aca="false">IF(OR(OR($B269="",$E269="",$F269=""),$K269&lt;&gt;"نعم",$M269="نعم"),0,MAX(0,MIN($F269,EOMONTH(DATE(cfg_FY,2,1),0))-MAX($E269,DATE(cfg_FY,2,1))+1))</f>
        <v>0</v>
      </c>
      <c r="AV269" s="133" t="n">
        <f aca="false">IF(OR(OR($B269="",$E269="",$F269=""),$K269&lt;&gt;"نعم",$M269="نعم"),0,MAX(0,MIN($F269,EOMONTH(DATE(cfg_FY,3,1),0))-MAX($E269,DATE(cfg_FY,3,1))+1))</f>
        <v>0</v>
      </c>
      <c r="AW269" s="133" t="n">
        <f aca="false">IF(OR(OR($B269="",$E269="",$F269=""),$K269&lt;&gt;"نعم",$M269="نعم"),0,MAX(0,MIN($F269,EOMONTH(DATE(cfg_FY,4,1),0))-MAX($E269,DATE(cfg_FY,4,1))+1))</f>
        <v>0</v>
      </c>
      <c r="AX269" s="133" t="n">
        <f aca="false">IF(OR(OR($B269="",$E269="",$F269=""),$K269&lt;&gt;"نعم",$M269="نعم"),0,MAX(0,MIN($F269,EOMONTH(DATE(cfg_FY,5,1),0))-MAX($E269,DATE(cfg_FY,5,1))+1))</f>
        <v>0</v>
      </c>
      <c r="AY269" s="133" t="n">
        <f aca="false">IF(OR(OR($B269="",$E269="",$F269=""),$K269&lt;&gt;"نعم",$M269="نعم"),0,MAX(0,MIN($F269,EOMONTH(DATE(cfg_FY,6,1),0))-MAX($E269,DATE(cfg_FY,6,1))+1))</f>
        <v>0</v>
      </c>
      <c r="AZ269" s="133" t="n">
        <f aca="false">IF(OR(OR($B269="",$E269="",$F269=""),$K269&lt;&gt;"نعم",$M269="نعم"),0,MAX(0,MIN($F269,EOMONTH(DATE(cfg_FY,7,1),0))-MAX($E269,DATE(cfg_FY,7,1))+1))</f>
        <v>0</v>
      </c>
      <c r="BA269" s="133" t="n">
        <f aca="false">IF(OR(OR($B269="",$E269="",$F269=""),$K269&lt;&gt;"نعم",$M269="نعم"),0,MAX(0,MIN($F269,EOMONTH(DATE(cfg_FY,8,1),0))-MAX($E269,DATE(cfg_FY,8,1))+1))</f>
        <v>0</v>
      </c>
      <c r="BB269" s="133" t="n">
        <f aca="false">IF(OR(OR($B269="",$E269="",$F269=""),$K269&lt;&gt;"نعم",$M269="نعم"),0,MAX(0,MIN($F269,EOMONTH(DATE(cfg_FY,9,1),0))-MAX($E269,DATE(cfg_FY,9,1))+1))</f>
        <v>0</v>
      </c>
      <c r="BC269" s="133" t="n">
        <f aca="false">IF(OR(OR($B269="",$E269="",$F269=""),$K269&lt;&gt;"نعم",$M269="نعم"),0,MAX(0,MIN($F269,EOMONTH(DATE(cfg_FY,10,1),0))-MAX($E269,DATE(cfg_FY,10,1))+1))</f>
        <v>0</v>
      </c>
      <c r="BD269" s="133" t="n">
        <f aca="false">IF(OR(OR($B269="",$E269="",$F269=""),$K269&lt;&gt;"نعم",$M269="نعم"),0,MAX(0,MIN($F269,EOMONTH(DATE(cfg_FY,11,1),0))-MAX($E269,DATE(cfg_FY,11,1))+1))</f>
        <v>0</v>
      </c>
      <c r="BE269" s="133" t="n">
        <f aca="false">IF(OR(OR($B269="",$E269="",$F269=""),$K269&lt;&gt;"نعم",$M269="نعم"),0,MAX(0,MIN($F269,EOMONTH(DATE(cfg_FY,12,1),0))-MAX($E269,DATE(cfg_FY,12,1))+1))</f>
        <v>0</v>
      </c>
    </row>
    <row r="270" customFormat="false" ht="15" hidden="false" customHeight="false" outlineLevel="0" collapsed="false">
      <c r="A270" s="106" t="str">
        <f aca="false">IF(B270="","",ROW()-5)</f>
        <v/>
      </c>
      <c r="B270" s="118"/>
      <c r="C270" s="114" t="str">
        <f aca="false">IF(B270="","",IFERROR(INDEX(الموظفون!$C$6:$C$105,MATCH(B270,الموظفون!$B$6:$B$105,0)),"✖ رقم غير موجود"))</f>
        <v/>
      </c>
      <c r="D270" s="118"/>
      <c r="E270" s="119"/>
      <c r="F270" s="119"/>
      <c r="G270" s="65" t="str">
        <f aca="false">IF(OR($B270="",$E270="",$F270=""),"",MAX(0,F270-E270+1))</f>
        <v/>
      </c>
      <c r="H270" s="66" t="str">
        <f aca="false">IF(D270="","",IFERROR(VLOOKUP(D270,cfg_LT,2,FALSE()),1))</f>
        <v/>
      </c>
      <c r="I270" s="135"/>
      <c r="J270" s="66" t="str">
        <f aca="false">IF(D270="","",IF(I270&lt;&gt;"",I270,H270))</f>
        <v/>
      </c>
      <c r="K270" s="114" t="str">
        <f aca="false">IF(D270="","",IFERROR(VLOOKUP($D270,cfg_LT,3,FALSE()),""))</f>
        <v/>
      </c>
      <c r="L270" s="114" t="str">
        <f aca="false">IF(D270="","",IFERROR(VLOOKUP($D270,cfg_LT,4,FALSE()),""))</f>
        <v/>
      </c>
      <c r="M270" s="114" t="str">
        <f aca="false">IF(D270="","",IFERROR(VLOOKUP($D270,cfg_LT,5,FALSE()),""))</f>
        <v/>
      </c>
      <c r="N270" s="111" t="n">
        <f aca="false">IF(OR(OR($B270="",$E270="",$F270=""),M270&lt;&gt;"نعم"),0,G270*J270*IFERROR(INDEX(الموظفون!$R$6:$R$105,MATCH(B270,الموظفون!$B$6:$B$105,0)),0)/cfg_DAYS_M)</f>
        <v>0</v>
      </c>
      <c r="O270" s="106" t="str">
        <f aca="false">IF(OR(OR($B270="",$E270="",$F270=""),M270&lt;&gt;"نعم"),"",IF(YEAR(E270)=cfg_FY,MONTH(E270),""))</f>
        <v/>
      </c>
      <c r="P270" s="114" t="str">
        <f aca="false">IF(B270="","",IF(OR(D270="",E270="",F270=""),"⚠ أكمل النوع والتواريخ",IF(F270&lt;E270,"✖ النهاية قبل البداية",IF(COUNTIFS($B$6:$B$505,B270,$E$6:$E$505,"&lt;="&amp;F270,$F$6:$F$505,"&gt;="&amp;E270)&gt;1,"⚠ تداخل مع سجل آخر",IF(E270&gt;cfg_VAL_DATE,"⏳ قادمة",IF(F270&lt;cfg_VAL_DATE,"✔ منتهية","✈ جارية في تاريخ التقرير"))))))</f>
        <v/>
      </c>
      <c r="Q270" s="118"/>
      <c r="R270" s="65" t="n">
        <f aca="false">IF(OR(OR($B270="",$E270="",$F270=""),L270&lt;&gt;"لا"),0,MAX(0,MIN(F270,cfg_Y_START-1)-E270+1))</f>
        <v>0</v>
      </c>
      <c r="S270" s="65" t="n">
        <f aca="false">IF(OR(OR($B270="",$E270="",$F270=""),L270&lt;&gt;"لا"),0,MAX(0,MIN(F270,cfg_VAL_DATE)-E270+1))</f>
        <v>0</v>
      </c>
      <c r="T270" s="65" t="n">
        <f aca="false">IF(OR(OR($B270="",$E270="",$F270=""),K270&lt;&gt;"نعم"),0,IF(M270="نعم",IF(AND(ISNUMBER(O270),N(O270)&lt;=cfg_VAL_M),G270,0),MAX(0,MIN(F270,cfg_VAL_DATE)-MAX(E270,cfg_Y_START)+1)))</f>
        <v>0</v>
      </c>
      <c r="V270" s="65" t="n">
        <f aca="false">IF(OR($B270="",$E270="",$F270=""),0,MAX(0,MIN($F270,EOMONTH(DATE(cfg_FY,1,1),0))-MAX($E270,DATE(cfg_FY,1,1))+1)*(1-IF($M270="نعم",0,N($J270))))</f>
        <v>0</v>
      </c>
      <c r="W270" s="65" t="n">
        <f aca="false">IF(OR($B270="",$E270="",$F270=""),0,MAX(0,MIN($F270,EOMONTH(DATE(cfg_FY,2,1),0))-MAX($E270,DATE(cfg_FY,2,1))+1)*(1-IF($M270="نعم",0,N($J270))))</f>
        <v>0</v>
      </c>
      <c r="X270" s="65" t="n">
        <f aca="false">IF(OR($B270="",$E270="",$F270=""),0,MAX(0,MIN($F270,EOMONTH(DATE(cfg_FY,3,1),0))-MAX($E270,DATE(cfg_FY,3,1))+1)*(1-IF($M270="نعم",0,N($J270))))</f>
        <v>0</v>
      </c>
      <c r="Y270" s="65" t="n">
        <f aca="false">IF(OR($B270="",$E270="",$F270=""),0,MAX(0,MIN($F270,EOMONTH(DATE(cfg_FY,4,1),0))-MAX($E270,DATE(cfg_FY,4,1))+1)*(1-IF($M270="نعم",0,N($J270))))</f>
        <v>0</v>
      </c>
      <c r="Z270" s="65" t="n">
        <f aca="false">IF(OR($B270="",$E270="",$F270=""),0,MAX(0,MIN($F270,EOMONTH(DATE(cfg_FY,5,1),0))-MAX($E270,DATE(cfg_FY,5,1))+1)*(1-IF($M270="نعم",0,N($J270))))</f>
        <v>0</v>
      </c>
      <c r="AA270" s="65" t="n">
        <f aca="false">IF(OR($B270="",$E270="",$F270=""),0,MAX(0,MIN($F270,EOMONTH(DATE(cfg_FY,6,1),0))-MAX($E270,DATE(cfg_FY,6,1))+1)*(1-IF($M270="نعم",0,N($J270))))</f>
        <v>0</v>
      </c>
      <c r="AB270" s="65" t="n">
        <f aca="false">IF(OR($B270="",$E270="",$F270=""),0,MAX(0,MIN($F270,EOMONTH(DATE(cfg_FY,7,1),0))-MAX($E270,DATE(cfg_FY,7,1))+1)*(1-IF($M270="نعم",0,N($J270))))</f>
        <v>0</v>
      </c>
      <c r="AC270" s="65" t="n">
        <f aca="false">IF(OR($B270="",$E270="",$F270=""),0,MAX(0,MIN($F270,EOMONTH(DATE(cfg_FY,8,1),0))-MAX($E270,DATE(cfg_FY,8,1))+1)*(1-IF($M270="نعم",0,N($J270))))</f>
        <v>0</v>
      </c>
      <c r="AD270" s="65" t="n">
        <f aca="false">IF(OR($B270="",$E270="",$F270=""),0,MAX(0,MIN($F270,EOMONTH(DATE(cfg_FY,9,1),0))-MAX($E270,DATE(cfg_FY,9,1))+1)*(1-IF($M270="نعم",0,N($J270))))</f>
        <v>0</v>
      </c>
      <c r="AE270" s="65" t="n">
        <f aca="false">IF(OR($B270="",$E270="",$F270=""),0,MAX(0,MIN($F270,EOMONTH(DATE(cfg_FY,10,1),0))-MAX($E270,DATE(cfg_FY,10,1))+1)*(1-IF($M270="نعم",0,N($J270))))</f>
        <v>0</v>
      </c>
      <c r="AF270" s="65" t="n">
        <f aca="false">IF(OR($B270="",$E270="",$F270=""),0,MAX(0,MIN($F270,EOMONTH(DATE(cfg_FY,11,1),0))-MAX($E270,DATE(cfg_FY,11,1))+1)*(1-IF($M270="نعم",0,N($J270))))</f>
        <v>0</v>
      </c>
      <c r="AG270" s="65" t="n">
        <f aca="false">IF(OR($B270="",$E270="",$F270=""),0,MAX(0,MIN($F270,EOMONTH(DATE(cfg_FY,12,1),0))-MAX($E270,DATE(cfg_FY,12,1))+1)*(1-IF($M270="نعم",0,N($J270))))</f>
        <v>0</v>
      </c>
      <c r="AH270" s="65" t="n">
        <f aca="false">IF(OR(OR($B270="",$E270="",$F270=""),$L270&lt;&gt;"لا"),0,MAX(0,MIN($F270,EOMONTH(DATE(cfg_FY,1,1),0))-$E270+1))</f>
        <v>0</v>
      </c>
      <c r="AI270" s="65" t="n">
        <f aca="false">IF(OR(OR($B270="",$E270="",$F270=""),$L270&lt;&gt;"لا"),0,MAX(0,MIN($F270,EOMONTH(DATE(cfg_FY,2,1),0))-$E270+1))</f>
        <v>0</v>
      </c>
      <c r="AJ270" s="65" t="n">
        <f aca="false">IF(OR(OR($B270="",$E270="",$F270=""),$L270&lt;&gt;"لا"),0,MAX(0,MIN($F270,EOMONTH(DATE(cfg_FY,3,1),0))-$E270+1))</f>
        <v>0</v>
      </c>
      <c r="AK270" s="65" t="n">
        <f aca="false">IF(OR(OR($B270="",$E270="",$F270=""),$L270&lt;&gt;"لا"),0,MAX(0,MIN($F270,EOMONTH(DATE(cfg_FY,4,1),0))-$E270+1))</f>
        <v>0</v>
      </c>
      <c r="AL270" s="65" t="n">
        <f aca="false">IF(OR(OR($B270="",$E270="",$F270=""),$L270&lt;&gt;"لا"),0,MAX(0,MIN($F270,EOMONTH(DATE(cfg_FY,5,1),0))-$E270+1))</f>
        <v>0</v>
      </c>
      <c r="AM270" s="65" t="n">
        <f aca="false">IF(OR(OR($B270="",$E270="",$F270=""),$L270&lt;&gt;"لا"),0,MAX(0,MIN($F270,EOMONTH(DATE(cfg_FY,6,1),0))-$E270+1))</f>
        <v>0</v>
      </c>
      <c r="AN270" s="65" t="n">
        <f aca="false">IF(OR(OR($B270="",$E270="",$F270=""),$L270&lt;&gt;"لا"),0,MAX(0,MIN($F270,EOMONTH(DATE(cfg_FY,7,1),0))-$E270+1))</f>
        <v>0</v>
      </c>
      <c r="AO270" s="65" t="n">
        <f aca="false">IF(OR(OR($B270="",$E270="",$F270=""),$L270&lt;&gt;"لا"),0,MAX(0,MIN($F270,EOMONTH(DATE(cfg_FY,8,1),0))-$E270+1))</f>
        <v>0</v>
      </c>
      <c r="AP270" s="65" t="n">
        <f aca="false">IF(OR(OR($B270="",$E270="",$F270=""),$L270&lt;&gt;"لا"),0,MAX(0,MIN($F270,EOMONTH(DATE(cfg_FY,9,1),0))-$E270+1))</f>
        <v>0</v>
      </c>
      <c r="AQ270" s="65" t="n">
        <f aca="false">IF(OR(OR($B270="",$E270="",$F270=""),$L270&lt;&gt;"لا"),0,MAX(0,MIN($F270,EOMONTH(DATE(cfg_FY,10,1),0))-$E270+1))</f>
        <v>0</v>
      </c>
      <c r="AR270" s="65" t="n">
        <f aca="false">IF(OR(OR($B270="",$E270="",$F270=""),$L270&lt;&gt;"لا"),0,MAX(0,MIN($F270,EOMONTH(DATE(cfg_FY,11,1),0))-$E270+1))</f>
        <v>0</v>
      </c>
      <c r="AS270" s="65" t="n">
        <f aca="false">IF(OR(OR($B270="",$E270="",$F270=""),$L270&lt;&gt;"لا"),0,MAX(0,MIN($F270,EOMONTH(DATE(cfg_FY,12,1),0))-$E270+1))</f>
        <v>0</v>
      </c>
      <c r="AT270" s="65" t="n">
        <f aca="false">IF(OR(OR($B270="",$E270="",$F270=""),$K270&lt;&gt;"نعم",$M270="نعم"),0,MAX(0,MIN($F270,EOMONTH(DATE(cfg_FY,1,1),0))-MAX($E270,DATE(cfg_FY,1,1))+1))</f>
        <v>0</v>
      </c>
      <c r="AU270" s="65" t="n">
        <f aca="false">IF(OR(OR($B270="",$E270="",$F270=""),$K270&lt;&gt;"نعم",$M270="نعم"),0,MAX(0,MIN($F270,EOMONTH(DATE(cfg_FY,2,1),0))-MAX($E270,DATE(cfg_FY,2,1))+1))</f>
        <v>0</v>
      </c>
      <c r="AV270" s="65" t="n">
        <f aca="false">IF(OR(OR($B270="",$E270="",$F270=""),$K270&lt;&gt;"نعم",$M270="نعم"),0,MAX(0,MIN($F270,EOMONTH(DATE(cfg_FY,3,1),0))-MAX($E270,DATE(cfg_FY,3,1))+1))</f>
        <v>0</v>
      </c>
      <c r="AW270" s="65" t="n">
        <f aca="false">IF(OR(OR($B270="",$E270="",$F270=""),$K270&lt;&gt;"نعم",$M270="نعم"),0,MAX(0,MIN($F270,EOMONTH(DATE(cfg_FY,4,1),0))-MAX($E270,DATE(cfg_FY,4,1))+1))</f>
        <v>0</v>
      </c>
      <c r="AX270" s="65" t="n">
        <f aca="false">IF(OR(OR($B270="",$E270="",$F270=""),$K270&lt;&gt;"نعم",$M270="نعم"),0,MAX(0,MIN($F270,EOMONTH(DATE(cfg_FY,5,1),0))-MAX($E270,DATE(cfg_FY,5,1))+1))</f>
        <v>0</v>
      </c>
      <c r="AY270" s="65" t="n">
        <f aca="false">IF(OR(OR($B270="",$E270="",$F270=""),$K270&lt;&gt;"نعم",$M270="نعم"),0,MAX(0,MIN($F270,EOMONTH(DATE(cfg_FY,6,1),0))-MAX($E270,DATE(cfg_FY,6,1))+1))</f>
        <v>0</v>
      </c>
      <c r="AZ270" s="65" t="n">
        <f aca="false">IF(OR(OR($B270="",$E270="",$F270=""),$K270&lt;&gt;"نعم",$M270="نعم"),0,MAX(0,MIN($F270,EOMONTH(DATE(cfg_FY,7,1),0))-MAX($E270,DATE(cfg_FY,7,1))+1))</f>
        <v>0</v>
      </c>
      <c r="BA270" s="65" t="n">
        <f aca="false">IF(OR(OR($B270="",$E270="",$F270=""),$K270&lt;&gt;"نعم",$M270="نعم"),0,MAX(0,MIN($F270,EOMONTH(DATE(cfg_FY,8,1),0))-MAX($E270,DATE(cfg_FY,8,1))+1))</f>
        <v>0</v>
      </c>
      <c r="BB270" s="65" t="n">
        <f aca="false">IF(OR(OR($B270="",$E270="",$F270=""),$K270&lt;&gt;"نعم",$M270="نعم"),0,MAX(0,MIN($F270,EOMONTH(DATE(cfg_FY,9,1),0))-MAX($E270,DATE(cfg_FY,9,1))+1))</f>
        <v>0</v>
      </c>
      <c r="BC270" s="65" t="n">
        <f aca="false">IF(OR(OR($B270="",$E270="",$F270=""),$K270&lt;&gt;"نعم",$M270="نعم"),0,MAX(0,MIN($F270,EOMONTH(DATE(cfg_FY,10,1),0))-MAX($E270,DATE(cfg_FY,10,1))+1))</f>
        <v>0</v>
      </c>
      <c r="BD270" s="65" t="n">
        <f aca="false">IF(OR(OR($B270="",$E270="",$F270=""),$K270&lt;&gt;"نعم",$M270="نعم"),0,MAX(0,MIN($F270,EOMONTH(DATE(cfg_FY,11,1),0))-MAX($E270,DATE(cfg_FY,11,1))+1))</f>
        <v>0</v>
      </c>
      <c r="BE270" s="65" t="n">
        <f aca="false">IF(OR(OR($B270="",$E270="",$F270=""),$K270&lt;&gt;"نعم",$M270="نعم"),0,MAX(0,MIN($F270,EOMONTH(DATE(cfg_FY,12,1),0))-MAX($E270,DATE(cfg_FY,12,1))+1))</f>
        <v>0</v>
      </c>
    </row>
    <row r="271" customFormat="false" ht="15" hidden="false" customHeight="false" outlineLevel="0" collapsed="false">
      <c r="A271" s="115" t="str">
        <f aca="false">IF(B271="","",ROW()-5)</f>
        <v/>
      </c>
      <c r="B271" s="118"/>
      <c r="C271" s="117" t="str">
        <f aca="false">IF(B271="","",IFERROR(INDEX(الموظفون!$C$6:$C$105,MATCH(B271,الموظفون!$B$6:$B$105,0)),"✖ رقم غير موجود"))</f>
        <v/>
      </c>
      <c r="D271" s="118"/>
      <c r="E271" s="119"/>
      <c r="F271" s="119"/>
      <c r="G271" s="133" t="str">
        <f aca="false">IF(OR($B271="",$E271="",$F271=""),"",MAX(0,F271-E271+1))</f>
        <v/>
      </c>
      <c r="H271" s="134" t="str">
        <f aca="false">IF(D271="","",IFERROR(VLOOKUP(D271,cfg_LT,2,FALSE()),1))</f>
        <v/>
      </c>
      <c r="I271" s="135"/>
      <c r="J271" s="134" t="str">
        <f aca="false">IF(D271="","",IF(I271&lt;&gt;"",I271,H271))</f>
        <v/>
      </c>
      <c r="K271" s="117" t="str">
        <f aca="false">IF(D271="","",IFERROR(VLOOKUP($D271,cfg_LT,3,FALSE()),""))</f>
        <v/>
      </c>
      <c r="L271" s="117" t="str">
        <f aca="false">IF(D271="","",IFERROR(VLOOKUP($D271,cfg_LT,4,FALSE()),""))</f>
        <v/>
      </c>
      <c r="M271" s="117" t="str">
        <f aca="false">IF(D271="","",IFERROR(VLOOKUP($D271,cfg_LT,5,FALSE()),""))</f>
        <v/>
      </c>
      <c r="N271" s="116" t="n">
        <f aca="false">IF(OR(OR($B271="",$E271="",$F271=""),M271&lt;&gt;"نعم"),0,G271*J271*IFERROR(INDEX(الموظفون!$R$6:$R$105,MATCH(B271,الموظفون!$B$6:$B$105,0)),0)/cfg_DAYS_M)</f>
        <v>0</v>
      </c>
      <c r="O271" s="115" t="str">
        <f aca="false">IF(OR(OR($B271="",$E271="",$F271=""),M271&lt;&gt;"نعم"),"",IF(YEAR(E271)=cfg_FY,MONTH(E271),""))</f>
        <v/>
      </c>
      <c r="P271" s="117" t="str">
        <f aca="false">IF(B271="","",IF(OR(D271="",E271="",F271=""),"⚠ أكمل النوع والتواريخ",IF(F271&lt;E271,"✖ النهاية قبل البداية",IF(COUNTIFS($B$6:$B$505,B271,$E$6:$E$505,"&lt;="&amp;F271,$F$6:$F$505,"&gt;="&amp;E271)&gt;1,"⚠ تداخل مع سجل آخر",IF(E271&gt;cfg_VAL_DATE,"⏳ قادمة",IF(F271&lt;cfg_VAL_DATE,"✔ منتهية","✈ جارية في تاريخ التقرير"))))))</f>
        <v/>
      </c>
      <c r="Q271" s="118"/>
      <c r="R271" s="133" t="n">
        <f aca="false">IF(OR(OR($B271="",$E271="",$F271=""),L271&lt;&gt;"لا"),0,MAX(0,MIN(F271,cfg_Y_START-1)-E271+1))</f>
        <v>0</v>
      </c>
      <c r="S271" s="133" t="n">
        <f aca="false">IF(OR(OR($B271="",$E271="",$F271=""),L271&lt;&gt;"لا"),0,MAX(0,MIN(F271,cfg_VAL_DATE)-E271+1))</f>
        <v>0</v>
      </c>
      <c r="T271" s="133" t="n">
        <f aca="false">IF(OR(OR($B271="",$E271="",$F271=""),K271&lt;&gt;"نعم"),0,IF(M271="نعم",IF(AND(ISNUMBER(O271),N(O271)&lt;=cfg_VAL_M),G271,0),MAX(0,MIN(F271,cfg_VAL_DATE)-MAX(E271,cfg_Y_START)+1)))</f>
        <v>0</v>
      </c>
      <c r="V271" s="133" t="n">
        <f aca="false">IF(OR($B271="",$E271="",$F271=""),0,MAX(0,MIN($F271,EOMONTH(DATE(cfg_FY,1,1),0))-MAX($E271,DATE(cfg_FY,1,1))+1)*(1-IF($M271="نعم",0,N($J271))))</f>
        <v>0</v>
      </c>
      <c r="W271" s="133" t="n">
        <f aca="false">IF(OR($B271="",$E271="",$F271=""),0,MAX(0,MIN($F271,EOMONTH(DATE(cfg_FY,2,1),0))-MAX($E271,DATE(cfg_FY,2,1))+1)*(1-IF($M271="نعم",0,N($J271))))</f>
        <v>0</v>
      </c>
      <c r="X271" s="133" t="n">
        <f aca="false">IF(OR($B271="",$E271="",$F271=""),0,MAX(0,MIN($F271,EOMONTH(DATE(cfg_FY,3,1),0))-MAX($E271,DATE(cfg_FY,3,1))+1)*(1-IF($M271="نعم",0,N($J271))))</f>
        <v>0</v>
      </c>
      <c r="Y271" s="133" t="n">
        <f aca="false">IF(OR($B271="",$E271="",$F271=""),0,MAX(0,MIN($F271,EOMONTH(DATE(cfg_FY,4,1),0))-MAX($E271,DATE(cfg_FY,4,1))+1)*(1-IF($M271="نعم",0,N($J271))))</f>
        <v>0</v>
      </c>
      <c r="Z271" s="133" t="n">
        <f aca="false">IF(OR($B271="",$E271="",$F271=""),0,MAX(0,MIN($F271,EOMONTH(DATE(cfg_FY,5,1),0))-MAX($E271,DATE(cfg_FY,5,1))+1)*(1-IF($M271="نعم",0,N($J271))))</f>
        <v>0</v>
      </c>
      <c r="AA271" s="133" t="n">
        <f aca="false">IF(OR($B271="",$E271="",$F271=""),0,MAX(0,MIN($F271,EOMONTH(DATE(cfg_FY,6,1),0))-MAX($E271,DATE(cfg_FY,6,1))+1)*(1-IF($M271="نعم",0,N($J271))))</f>
        <v>0</v>
      </c>
      <c r="AB271" s="133" t="n">
        <f aca="false">IF(OR($B271="",$E271="",$F271=""),0,MAX(0,MIN($F271,EOMONTH(DATE(cfg_FY,7,1),0))-MAX($E271,DATE(cfg_FY,7,1))+1)*(1-IF($M271="نعم",0,N($J271))))</f>
        <v>0</v>
      </c>
      <c r="AC271" s="133" t="n">
        <f aca="false">IF(OR($B271="",$E271="",$F271=""),0,MAX(0,MIN($F271,EOMONTH(DATE(cfg_FY,8,1),0))-MAX($E271,DATE(cfg_FY,8,1))+1)*(1-IF($M271="نعم",0,N($J271))))</f>
        <v>0</v>
      </c>
      <c r="AD271" s="133" t="n">
        <f aca="false">IF(OR($B271="",$E271="",$F271=""),0,MAX(0,MIN($F271,EOMONTH(DATE(cfg_FY,9,1),0))-MAX($E271,DATE(cfg_FY,9,1))+1)*(1-IF($M271="نعم",0,N($J271))))</f>
        <v>0</v>
      </c>
      <c r="AE271" s="133" t="n">
        <f aca="false">IF(OR($B271="",$E271="",$F271=""),0,MAX(0,MIN($F271,EOMONTH(DATE(cfg_FY,10,1),0))-MAX($E271,DATE(cfg_FY,10,1))+1)*(1-IF($M271="نعم",0,N($J271))))</f>
        <v>0</v>
      </c>
      <c r="AF271" s="133" t="n">
        <f aca="false">IF(OR($B271="",$E271="",$F271=""),0,MAX(0,MIN($F271,EOMONTH(DATE(cfg_FY,11,1),0))-MAX($E271,DATE(cfg_FY,11,1))+1)*(1-IF($M271="نعم",0,N($J271))))</f>
        <v>0</v>
      </c>
      <c r="AG271" s="133" t="n">
        <f aca="false">IF(OR($B271="",$E271="",$F271=""),0,MAX(0,MIN($F271,EOMONTH(DATE(cfg_FY,12,1),0))-MAX($E271,DATE(cfg_FY,12,1))+1)*(1-IF($M271="نعم",0,N($J271))))</f>
        <v>0</v>
      </c>
      <c r="AH271" s="133" t="n">
        <f aca="false">IF(OR(OR($B271="",$E271="",$F271=""),$L271&lt;&gt;"لا"),0,MAX(0,MIN($F271,EOMONTH(DATE(cfg_FY,1,1),0))-$E271+1))</f>
        <v>0</v>
      </c>
      <c r="AI271" s="133" t="n">
        <f aca="false">IF(OR(OR($B271="",$E271="",$F271=""),$L271&lt;&gt;"لا"),0,MAX(0,MIN($F271,EOMONTH(DATE(cfg_FY,2,1),0))-$E271+1))</f>
        <v>0</v>
      </c>
      <c r="AJ271" s="133" t="n">
        <f aca="false">IF(OR(OR($B271="",$E271="",$F271=""),$L271&lt;&gt;"لا"),0,MAX(0,MIN($F271,EOMONTH(DATE(cfg_FY,3,1),0))-$E271+1))</f>
        <v>0</v>
      </c>
      <c r="AK271" s="133" t="n">
        <f aca="false">IF(OR(OR($B271="",$E271="",$F271=""),$L271&lt;&gt;"لا"),0,MAX(0,MIN($F271,EOMONTH(DATE(cfg_FY,4,1),0))-$E271+1))</f>
        <v>0</v>
      </c>
      <c r="AL271" s="133" t="n">
        <f aca="false">IF(OR(OR($B271="",$E271="",$F271=""),$L271&lt;&gt;"لا"),0,MAX(0,MIN($F271,EOMONTH(DATE(cfg_FY,5,1),0))-$E271+1))</f>
        <v>0</v>
      </c>
      <c r="AM271" s="133" t="n">
        <f aca="false">IF(OR(OR($B271="",$E271="",$F271=""),$L271&lt;&gt;"لا"),0,MAX(0,MIN($F271,EOMONTH(DATE(cfg_FY,6,1),0))-$E271+1))</f>
        <v>0</v>
      </c>
      <c r="AN271" s="133" t="n">
        <f aca="false">IF(OR(OR($B271="",$E271="",$F271=""),$L271&lt;&gt;"لا"),0,MAX(0,MIN($F271,EOMONTH(DATE(cfg_FY,7,1),0))-$E271+1))</f>
        <v>0</v>
      </c>
      <c r="AO271" s="133" t="n">
        <f aca="false">IF(OR(OR($B271="",$E271="",$F271=""),$L271&lt;&gt;"لا"),0,MAX(0,MIN($F271,EOMONTH(DATE(cfg_FY,8,1),0))-$E271+1))</f>
        <v>0</v>
      </c>
      <c r="AP271" s="133" t="n">
        <f aca="false">IF(OR(OR($B271="",$E271="",$F271=""),$L271&lt;&gt;"لا"),0,MAX(0,MIN($F271,EOMONTH(DATE(cfg_FY,9,1),0))-$E271+1))</f>
        <v>0</v>
      </c>
      <c r="AQ271" s="133" t="n">
        <f aca="false">IF(OR(OR($B271="",$E271="",$F271=""),$L271&lt;&gt;"لا"),0,MAX(0,MIN($F271,EOMONTH(DATE(cfg_FY,10,1),0))-$E271+1))</f>
        <v>0</v>
      </c>
      <c r="AR271" s="133" t="n">
        <f aca="false">IF(OR(OR($B271="",$E271="",$F271=""),$L271&lt;&gt;"لا"),0,MAX(0,MIN($F271,EOMONTH(DATE(cfg_FY,11,1),0))-$E271+1))</f>
        <v>0</v>
      </c>
      <c r="AS271" s="133" t="n">
        <f aca="false">IF(OR(OR($B271="",$E271="",$F271=""),$L271&lt;&gt;"لا"),0,MAX(0,MIN($F271,EOMONTH(DATE(cfg_FY,12,1),0))-$E271+1))</f>
        <v>0</v>
      </c>
      <c r="AT271" s="133" t="n">
        <f aca="false">IF(OR(OR($B271="",$E271="",$F271=""),$K271&lt;&gt;"نعم",$M271="نعم"),0,MAX(0,MIN($F271,EOMONTH(DATE(cfg_FY,1,1),0))-MAX($E271,DATE(cfg_FY,1,1))+1))</f>
        <v>0</v>
      </c>
      <c r="AU271" s="133" t="n">
        <f aca="false">IF(OR(OR($B271="",$E271="",$F271=""),$K271&lt;&gt;"نعم",$M271="نعم"),0,MAX(0,MIN($F271,EOMONTH(DATE(cfg_FY,2,1),0))-MAX($E271,DATE(cfg_FY,2,1))+1))</f>
        <v>0</v>
      </c>
      <c r="AV271" s="133" t="n">
        <f aca="false">IF(OR(OR($B271="",$E271="",$F271=""),$K271&lt;&gt;"نعم",$M271="نعم"),0,MAX(0,MIN($F271,EOMONTH(DATE(cfg_FY,3,1),0))-MAX($E271,DATE(cfg_FY,3,1))+1))</f>
        <v>0</v>
      </c>
      <c r="AW271" s="133" t="n">
        <f aca="false">IF(OR(OR($B271="",$E271="",$F271=""),$K271&lt;&gt;"نعم",$M271="نعم"),0,MAX(0,MIN($F271,EOMONTH(DATE(cfg_FY,4,1),0))-MAX($E271,DATE(cfg_FY,4,1))+1))</f>
        <v>0</v>
      </c>
      <c r="AX271" s="133" t="n">
        <f aca="false">IF(OR(OR($B271="",$E271="",$F271=""),$K271&lt;&gt;"نعم",$M271="نعم"),0,MAX(0,MIN($F271,EOMONTH(DATE(cfg_FY,5,1),0))-MAX($E271,DATE(cfg_FY,5,1))+1))</f>
        <v>0</v>
      </c>
      <c r="AY271" s="133" t="n">
        <f aca="false">IF(OR(OR($B271="",$E271="",$F271=""),$K271&lt;&gt;"نعم",$M271="نعم"),0,MAX(0,MIN($F271,EOMONTH(DATE(cfg_FY,6,1),0))-MAX($E271,DATE(cfg_FY,6,1))+1))</f>
        <v>0</v>
      </c>
      <c r="AZ271" s="133" t="n">
        <f aca="false">IF(OR(OR($B271="",$E271="",$F271=""),$K271&lt;&gt;"نعم",$M271="نعم"),0,MAX(0,MIN($F271,EOMONTH(DATE(cfg_FY,7,1),0))-MAX($E271,DATE(cfg_FY,7,1))+1))</f>
        <v>0</v>
      </c>
      <c r="BA271" s="133" t="n">
        <f aca="false">IF(OR(OR($B271="",$E271="",$F271=""),$K271&lt;&gt;"نعم",$M271="نعم"),0,MAX(0,MIN($F271,EOMONTH(DATE(cfg_FY,8,1),0))-MAX($E271,DATE(cfg_FY,8,1))+1))</f>
        <v>0</v>
      </c>
      <c r="BB271" s="133" t="n">
        <f aca="false">IF(OR(OR($B271="",$E271="",$F271=""),$K271&lt;&gt;"نعم",$M271="نعم"),0,MAX(0,MIN($F271,EOMONTH(DATE(cfg_FY,9,1),0))-MAX($E271,DATE(cfg_FY,9,1))+1))</f>
        <v>0</v>
      </c>
      <c r="BC271" s="133" t="n">
        <f aca="false">IF(OR(OR($B271="",$E271="",$F271=""),$K271&lt;&gt;"نعم",$M271="نعم"),0,MAX(0,MIN($F271,EOMONTH(DATE(cfg_FY,10,1),0))-MAX($E271,DATE(cfg_FY,10,1))+1))</f>
        <v>0</v>
      </c>
      <c r="BD271" s="133" t="n">
        <f aca="false">IF(OR(OR($B271="",$E271="",$F271=""),$K271&lt;&gt;"نعم",$M271="نعم"),0,MAX(0,MIN($F271,EOMONTH(DATE(cfg_FY,11,1),0))-MAX($E271,DATE(cfg_FY,11,1))+1))</f>
        <v>0</v>
      </c>
      <c r="BE271" s="133" t="n">
        <f aca="false">IF(OR(OR($B271="",$E271="",$F271=""),$K271&lt;&gt;"نعم",$M271="نعم"),0,MAX(0,MIN($F271,EOMONTH(DATE(cfg_FY,12,1),0))-MAX($E271,DATE(cfg_FY,12,1))+1))</f>
        <v>0</v>
      </c>
    </row>
    <row r="272" customFormat="false" ht="15" hidden="false" customHeight="false" outlineLevel="0" collapsed="false">
      <c r="A272" s="106" t="str">
        <f aca="false">IF(B272="","",ROW()-5)</f>
        <v/>
      </c>
      <c r="B272" s="118"/>
      <c r="C272" s="114" t="str">
        <f aca="false">IF(B272="","",IFERROR(INDEX(الموظفون!$C$6:$C$105,MATCH(B272,الموظفون!$B$6:$B$105,0)),"✖ رقم غير موجود"))</f>
        <v/>
      </c>
      <c r="D272" s="118"/>
      <c r="E272" s="119"/>
      <c r="F272" s="119"/>
      <c r="G272" s="65" t="str">
        <f aca="false">IF(OR($B272="",$E272="",$F272=""),"",MAX(0,F272-E272+1))</f>
        <v/>
      </c>
      <c r="H272" s="66" t="str">
        <f aca="false">IF(D272="","",IFERROR(VLOOKUP(D272,cfg_LT,2,FALSE()),1))</f>
        <v/>
      </c>
      <c r="I272" s="135"/>
      <c r="J272" s="66" t="str">
        <f aca="false">IF(D272="","",IF(I272&lt;&gt;"",I272,H272))</f>
        <v/>
      </c>
      <c r="K272" s="114" t="str">
        <f aca="false">IF(D272="","",IFERROR(VLOOKUP($D272,cfg_LT,3,FALSE()),""))</f>
        <v/>
      </c>
      <c r="L272" s="114" t="str">
        <f aca="false">IF(D272="","",IFERROR(VLOOKUP($D272,cfg_LT,4,FALSE()),""))</f>
        <v/>
      </c>
      <c r="M272" s="114" t="str">
        <f aca="false">IF(D272="","",IFERROR(VLOOKUP($D272,cfg_LT,5,FALSE()),""))</f>
        <v/>
      </c>
      <c r="N272" s="111" t="n">
        <f aca="false">IF(OR(OR($B272="",$E272="",$F272=""),M272&lt;&gt;"نعم"),0,G272*J272*IFERROR(INDEX(الموظفون!$R$6:$R$105,MATCH(B272,الموظفون!$B$6:$B$105,0)),0)/cfg_DAYS_M)</f>
        <v>0</v>
      </c>
      <c r="O272" s="106" t="str">
        <f aca="false">IF(OR(OR($B272="",$E272="",$F272=""),M272&lt;&gt;"نعم"),"",IF(YEAR(E272)=cfg_FY,MONTH(E272),""))</f>
        <v/>
      </c>
      <c r="P272" s="114" t="str">
        <f aca="false">IF(B272="","",IF(OR(D272="",E272="",F272=""),"⚠ أكمل النوع والتواريخ",IF(F272&lt;E272,"✖ النهاية قبل البداية",IF(COUNTIFS($B$6:$B$505,B272,$E$6:$E$505,"&lt;="&amp;F272,$F$6:$F$505,"&gt;="&amp;E272)&gt;1,"⚠ تداخل مع سجل آخر",IF(E272&gt;cfg_VAL_DATE,"⏳ قادمة",IF(F272&lt;cfg_VAL_DATE,"✔ منتهية","✈ جارية في تاريخ التقرير"))))))</f>
        <v/>
      </c>
      <c r="Q272" s="118"/>
      <c r="R272" s="65" t="n">
        <f aca="false">IF(OR(OR($B272="",$E272="",$F272=""),L272&lt;&gt;"لا"),0,MAX(0,MIN(F272,cfg_Y_START-1)-E272+1))</f>
        <v>0</v>
      </c>
      <c r="S272" s="65" t="n">
        <f aca="false">IF(OR(OR($B272="",$E272="",$F272=""),L272&lt;&gt;"لا"),0,MAX(0,MIN(F272,cfg_VAL_DATE)-E272+1))</f>
        <v>0</v>
      </c>
      <c r="T272" s="65" t="n">
        <f aca="false">IF(OR(OR($B272="",$E272="",$F272=""),K272&lt;&gt;"نعم"),0,IF(M272="نعم",IF(AND(ISNUMBER(O272),N(O272)&lt;=cfg_VAL_M),G272,0),MAX(0,MIN(F272,cfg_VAL_DATE)-MAX(E272,cfg_Y_START)+1)))</f>
        <v>0</v>
      </c>
      <c r="V272" s="65" t="n">
        <f aca="false">IF(OR($B272="",$E272="",$F272=""),0,MAX(0,MIN($F272,EOMONTH(DATE(cfg_FY,1,1),0))-MAX($E272,DATE(cfg_FY,1,1))+1)*(1-IF($M272="نعم",0,N($J272))))</f>
        <v>0</v>
      </c>
      <c r="W272" s="65" t="n">
        <f aca="false">IF(OR($B272="",$E272="",$F272=""),0,MAX(0,MIN($F272,EOMONTH(DATE(cfg_FY,2,1),0))-MAX($E272,DATE(cfg_FY,2,1))+1)*(1-IF($M272="نعم",0,N($J272))))</f>
        <v>0</v>
      </c>
      <c r="X272" s="65" t="n">
        <f aca="false">IF(OR($B272="",$E272="",$F272=""),0,MAX(0,MIN($F272,EOMONTH(DATE(cfg_FY,3,1),0))-MAX($E272,DATE(cfg_FY,3,1))+1)*(1-IF($M272="نعم",0,N($J272))))</f>
        <v>0</v>
      </c>
      <c r="Y272" s="65" t="n">
        <f aca="false">IF(OR($B272="",$E272="",$F272=""),0,MAX(0,MIN($F272,EOMONTH(DATE(cfg_FY,4,1),0))-MAX($E272,DATE(cfg_FY,4,1))+1)*(1-IF($M272="نعم",0,N($J272))))</f>
        <v>0</v>
      </c>
      <c r="Z272" s="65" t="n">
        <f aca="false">IF(OR($B272="",$E272="",$F272=""),0,MAX(0,MIN($F272,EOMONTH(DATE(cfg_FY,5,1),0))-MAX($E272,DATE(cfg_FY,5,1))+1)*(1-IF($M272="نعم",0,N($J272))))</f>
        <v>0</v>
      </c>
      <c r="AA272" s="65" t="n">
        <f aca="false">IF(OR($B272="",$E272="",$F272=""),0,MAX(0,MIN($F272,EOMONTH(DATE(cfg_FY,6,1),0))-MAX($E272,DATE(cfg_FY,6,1))+1)*(1-IF($M272="نعم",0,N($J272))))</f>
        <v>0</v>
      </c>
      <c r="AB272" s="65" t="n">
        <f aca="false">IF(OR($B272="",$E272="",$F272=""),0,MAX(0,MIN($F272,EOMONTH(DATE(cfg_FY,7,1),0))-MAX($E272,DATE(cfg_FY,7,1))+1)*(1-IF($M272="نعم",0,N($J272))))</f>
        <v>0</v>
      </c>
      <c r="AC272" s="65" t="n">
        <f aca="false">IF(OR($B272="",$E272="",$F272=""),0,MAX(0,MIN($F272,EOMONTH(DATE(cfg_FY,8,1),0))-MAX($E272,DATE(cfg_FY,8,1))+1)*(1-IF($M272="نعم",0,N($J272))))</f>
        <v>0</v>
      </c>
      <c r="AD272" s="65" t="n">
        <f aca="false">IF(OR($B272="",$E272="",$F272=""),0,MAX(0,MIN($F272,EOMONTH(DATE(cfg_FY,9,1),0))-MAX($E272,DATE(cfg_FY,9,1))+1)*(1-IF($M272="نعم",0,N($J272))))</f>
        <v>0</v>
      </c>
      <c r="AE272" s="65" t="n">
        <f aca="false">IF(OR($B272="",$E272="",$F272=""),0,MAX(0,MIN($F272,EOMONTH(DATE(cfg_FY,10,1),0))-MAX($E272,DATE(cfg_FY,10,1))+1)*(1-IF($M272="نعم",0,N($J272))))</f>
        <v>0</v>
      </c>
      <c r="AF272" s="65" t="n">
        <f aca="false">IF(OR($B272="",$E272="",$F272=""),0,MAX(0,MIN($F272,EOMONTH(DATE(cfg_FY,11,1),0))-MAX($E272,DATE(cfg_FY,11,1))+1)*(1-IF($M272="نعم",0,N($J272))))</f>
        <v>0</v>
      </c>
      <c r="AG272" s="65" t="n">
        <f aca="false">IF(OR($B272="",$E272="",$F272=""),0,MAX(0,MIN($F272,EOMONTH(DATE(cfg_FY,12,1),0))-MAX($E272,DATE(cfg_FY,12,1))+1)*(1-IF($M272="نعم",0,N($J272))))</f>
        <v>0</v>
      </c>
      <c r="AH272" s="65" t="n">
        <f aca="false">IF(OR(OR($B272="",$E272="",$F272=""),$L272&lt;&gt;"لا"),0,MAX(0,MIN($F272,EOMONTH(DATE(cfg_FY,1,1),0))-$E272+1))</f>
        <v>0</v>
      </c>
      <c r="AI272" s="65" t="n">
        <f aca="false">IF(OR(OR($B272="",$E272="",$F272=""),$L272&lt;&gt;"لا"),0,MAX(0,MIN($F272,EOMONTH(DATE(cfg_FY,2,1),0))-$E272+1))</f>
        <v>0</v>
      </c>
      <c r="AJ272" s="65" t="n">
        <f aca="false">IF(OR(OR($B272="",$E272="",$F272=""),$L272&lt;&gt;"لا"),0,MAX(0,MIN($F272,EOMONTH(DATE(cfg_FY,3,1),0))-$E272+1))</f>
        <v>0</v>
      </c>
      <c r="AK272" s="65" t="n">
        <f aca="false">IF(OR(OR($B272="",$E272="",$F272=""),$L272&lt;&gt;"لا"),0,MAX(0,MIN($F272,EOMONTH(DATE(cfg_FY,4,1),0))-$E272+1))</f>
        <v>0</v>
      </c>
      <c r="AL272" s="65" t="n">
        <f aca="false">IF(OR(OR($B272="",$E272="",$F272=""),$L272&lt;&gt;"لا"),0,MAX(0,MIN($F272,EOMONTH(DATE(cfg_FY,5,1),0))-$E272+1))</f>
        <v>0</v>
      </c>
      <c r="AM272" s="65" t="n">
        <f aca="false">IF(OR(OR($B272="",$E272="",$F272=""),$L272&lt;&gt;"لا"),0,MAX(0,MIN($F272,EOMONTH(DATE(cfg_FY,6,1),0))-$E272+1))</f>
        <v>0</v>
      </c>
      <c r="AN272" s="65" t="n">
        <f aca="false">IF(OR(OR($B272="",$E272="",$F272=""),$L272&lt;&gt;"لا"),0,MAX(0,MIN($F272,EOMONTH(DATE(cfg_FY,7,1),0))-$E272+1))</f>
        <v>0</v>
      </c>
      <c r="AO272" s="65" t="n">
        <f aca="false">IF(OR(OR($B272="",$E272="",$F272=""),$L272&lt;&gt;"لا"),0,MAX(0,MIN($F272,EOMONTH(DATE(cfg_FY,8,1),0))-$E272+1))</f>
        <v>0</v>
      </c>
      <c r="AP272" s="65" t="n">
        <f aca="false">IF(OR(OR($B272="",$E272="",$F272=""),$L272&lt;&gt;"لا"),0,MAX(0,MIN($F272,EOMONTH(DATE(cfg_FY,9,1),0))-$E272+1))</f>
        <v>0</v>
      </c>
      <c r="AQ272" s="65" t="n">
        <f aca="false">IF(OR(OR($B272="",$E272="",$F272=""),$L272&lt;&gt;"لا"),0,MAX(0,MIN($F272,EOMONTH(DATE(cfg_FY,10,1),0))-$E272+1))</f>
        <v>0</v>
      </c>
      <c r="AR272" s="65" t="n">
        <f aca="false">IF(OR(OR($B272="",$E272="",$F272=""),$L272&lt;&gt;"لا"),0,MAX(0,MIN($F272,EOMONTH(DATE(cfg_FY,11,1),0))-$E272+1))</f>
        <v>0</v>
      </c>
      <c r="AS272" s="65" t="n">
        <f aca="false">IF(OR(OR($B272="",$E272="",$F272=""),$L272&lt;&gt;"لا"),0,MAX(0,MIN($F272,EOMONTH(DATE(cfg_FY,12,1),0))-$E272+1))</f>
        <v>0</v>
      </c>
      <c r="AT272" s="65" t="n">
        <f aca="false">IF(OR(OR($B272="",$E272="",$F272=""),$K272&lt;&gt;"نعم",$M272="نعم"),0,MAX(0,MIN($F272,EOMONTH(DATE(cfg_FY,1,1),0))-MAX($E272,DATE(cfg_FY,1,1))+1))</f>
        <v>0</v>
      </c>
      <c r="AU272" s="65" t="n">
        <f aca="false">IF(OR(OR($B272="",$E272="",$F272=""),$K272&lt;&gt;"نعم",$M272="نعم"),0,MAX(0,MIN($F272,EOMONTH(DATE(cfg_FY,2,1),0))-MAX($E272,DATE(cfg_FY,2,1))+1))</f>
        <v>0</v>
      </c>
      <c r="AV272" s="65" t="n">
        <f aca="false">IF(OR(OR($B272="",$E272="",$F272=""),$K272&lt;&gt;"نعم",$M272="نعم"),0,MAX(0,MIN($F272,EOMONTH(DATE(cfg_FY,3,1),0))-MAX($E272,DATE(cfg_FY,3,1))+1))</f>
        <v>0</v>
      </c>
      <c r="AW272" s="65" t="n">
        <f aca="false">IF(OR(OR($B272="",$E272="",$F272=""),$K272&lt;&gt;"نعم",$M272="نعم"),0,MAX(0,MIN($F272,EOMONTH(DATE(cfg_FY,4,1),0))-MAX($E272,DATE(cfg_FY,4,1))+1))</f>
        <v>0</v>
      </c>
      <c r="AX272" s="65" t="n">
        <f aca="false">IF(OR(OR($B272="",$E272="",$F272=""),$K272&lt;&gt;"نعم",$M272="نعم"),0,MAX(0,MIN($F272,EOMONTH(DATE(cfg_FY,5,1),0))-MAX($E272,DATE(cfg_FY,5,1))+1))</f>
        <v>0</v>
      </c>
      <c r="AY272" s="65" t="n">
        <f aca="false">IF(OR(OR($B272="",$E272="",$F272=""),$K272&lt;&gt;"نعم",$M272="نعم"),0,MAX(0,MIN($F272,EOMONTH(DATE(cfg_FY,6,1),0))-MAX($E272,DATE(cfg_FY,6,1))+1))</f>
        <v>0</v>
      </c>
      <c r="AZ272" s="65" t="n">
        <f aca="false">IF(OR(OR($B272="",$E272="",$F272=""),$K272&lt;&gt;"نعم",$M272="نعم"),0,MAX(0,MIN($F272,EOMONTH(DATE(cfg_FY,7,1),0))-MAX($E272,DATE(cfg_FY,7,1))+1))</f>
        <v>0</v>
      </c>
      <c r="BA272" s="65" t="n">
        <f aca="false">IF(OR(OR($B272="",$E272="",$F272=""),$K272&lt;&gt;"نعم",$M272="نعم"),0,MAX(0,MIN($F272,EOMONTH(DATE(cfg_FY,8,1),0))-MAX($E272,DATE(cfg_FY,8,1))+1))</f>
        <v>0</v>
      </c>
      <c r="BB272" s="65" t="n">
        <f aca="false">IF(OR(OR($B272="",$E272="",$F272=""),$K272&lt;&gt;"نعم",$M272="نعم"),0,MAX(0,MIN($F272,EOMONTH(DATE(cfg_FY,9,1),0))-MAX($E272,DATE(cfg_FY,9,1))+1))</f>
        <v>0</v>
      </c>
      <c r="BC272" s="65" t="n">
        <f aca="false">IF(OR(OR($B272="",$E272="",$F272=""),$K272&lt;&gt;"نعم",$M272="نعم"),0,MAX(0,MIN($F272,EOMONTH(DATE(cfg_FY,10,1),0))-MAX($E272,DATE(cfg_FY,10,1))+1))</f>
        <v>0</v>
      </c>
      <c r="BD272" s="65" t="n">
        <f aca="false">IF(OR(OR($B272="",$E272="",$F272=""),$K272&lt;&gt;"نعم",$M272="نعم"),0,MAX(0,MIN($F272,EOMONTH(DATE(cfg_FY,11,1),0))-MAX($E272,DATE(cfg_FY,11,1))+1))</f>
        <v>0</v>
      </c>
      <c r="BE272" s="65" t="n">
        <f aca="false">IF(OR(OR($B272="",$E272="",$F272=""),$K272&lt;&gt;"نعم",$M272="نعم"),0,MAX(0,MIN($F272,EOMONTH(DATE(cfg_FY,12,1),0))-MAX($E272,DATE(cfg_FY,12,1))+1))</f>
        <v>0</v>
      </c>
    </row>
    <row r="273" customFormat="false" ht="15" hidden="false" customHeight="false" outlineLevel="0" collapsed="false">
      <c r="A273" s="115" t="str">
        <f aca="false">IF(B273="","",ROW()-5)</f>
        <v/>
      </c>
      <c r="B273" s="118"/>
      <c r="C273" s="117" t="str">
        <f aca="false">IF(B273="","",IFERROR(INDEX(الموظفون!$C$6:$C$105,MATCH(B273,الموظفون!$B$6:$B$105,0)),"✖ رقم غير موجود"))</f>
        <v/>
      </c>
      <c r="D273" s="118"/>
      <c r="E273" s="119"/>
      <c r="F273" s="119"/>
      <c r="G273" s="133" t="str">
        <f aca="false">IF(OR($B273="",$E273="",$F273=""),"",MAX(0,F273-E273+1))</f>
        <v/>
      </c>
      <c r="H273" s="134" t="str">
        <f aca="false">IF(D273="","",IFERROR(VLOOKUP(D273,cfg_LT,2,FALSE()),1))</f>
        <v/>
      </c>
      <c r="I273" s="135"/>
      <c r="J273" s="134" t="str">
        <f aca="false">IF(D273="","",IF(I273&lt;&gt;"",I273,H273))</f>
        <v/>
      </c>
      <c r="K273" s="117" t="str">
        <f aca="false">IF(D273="","",IFERROR(VLOOKUP($D273,cfg_LT,3,FALSE()),""))</f>
        <v/>
      </c>
      <c r="L273" s="117" t="str">
        <f aca="false">IF(D273="","",IFERROR(VLOOKUP($D273,cfg_LT,4,FALSE()),""))</f>
        <v/>
      </c>
      <c r="M273" s="117" t="str">
        <f aca="false">IF(D273="","",IFERROR(VLOOKUP($D273,cfg_LT,5,FALSE()),""))</f>
        <v/>
      </c>
      <c r="N273" s="116" t="n">
        <f aca="false">IF(OR(OR($B273="",$E273="",$F273=""),M273&lt;&gt;"نعم"),0,G273*J273*IFERROR(INDEX(الموظفون!$R$6:$R$105,MATCH(B273,الموظفون!$B$6:$B$105,0)),0)/cfg_DAYS_M)</f>
        <v>0</v>
      </c>
      <c r="O273" s="115" t="str">
        <f aca="false">IF(OR(OR($B273="",$E273="",$F273=""),M273&lt;&gt;"نعم"),"",IF(YEAR(E273)=cfg_FY,MONTH(E273),""))</f>
        <v/>
      </c>
      <c r="P273" s="117" t="str">
        <f aca="false">IF(B273="","",IF(OR(D273="",E273="",F273=""),"⚠ أكمل النوع والتواريخ",IF(F273&lt;E273,"✖ النهاية قبل البداية",IF(COUNTIFS($B$6:$B$505,B273,$E$6:$E$505,"&lt;="&amp;F273,$F$6:$F$505,"&gt;="&amp;E273)&gt;1,"⚠ تداخل مع سجل آخر",IF(E273&gt;cfg_VAL_DATE,"⏳ قادمة",IF(F273&lt;cfg_VAL_DATE,"✔ منتهية","✈ جارية في تاريخ التقرير"))))))</f>
        <v/>
      </c>
      <c r="Q273" s="118"/>
      <c r="R273" s="133" t="n">
        <f aca="false">IF(OR(OR($B273="",$E273="",$F273=""),L273&lt;&gt;"لا"),0,MAX(0,MIN(F273,cfg_Y_START-1)-E273+1))</f>
        <v>0</v>
      </c>
      <c r="S273" s="133" t="n">
        <f aca="false">IF(OR(OR($B273="",$E273="",$F273=""),L273&lt;&gt;"لا"),0,MAX(0,MIN(F273,cfg_VAL_DATE)-E273+1))</f>
        <v>0</v>
      </c>
      <c r="T273" s="133" t="n">
        <f aca="false">IF(OR(OR($B273="",$E273="",$F273=""),K273&lt;&gt;"نعم"),0,IF(M273="نعم",IF(AND(ISNUMBER(O273),N(O273)&lt;=cfg_VAL_M),G273,0),MAX(0,MIN(F273,cfg_VAL_DATE)-MAX(E273,cfg_Y_START)+1)))</f>
        <v>0</v>
      </c>
      <c r="V273" s="133" t="n">
        <f aca="false">IF(OR($B273="",$E273="",$F273=""),0,MAX(0,MIN($F273,EOMONTH(DATE(cfg_FY,1,1),0))-MAX($E273,DATE(cfg_FY,1,1))+1)*(1-IF($M273="نعم",0,N($J273))))</f>
        <v>0</v>
      </c>
      <c r="W273" s="133" t="n">
        <f aca="false">IF(OR($B273="",$E273="",$F273=""),0,MAX(0,MIN($F273,EOMONTH(DATE(cfg_FY,2,1),0))-MAX($E273,DATE(cfg_FY,2,1))+1)*(1-IF($M273="نعم",0,N($J273))))</f>
        <v>0</v>
      </c>
      <c r="X273" s="133" t="n">
        <f aca="false">IF(OR($B273="",$E273="",$F273=""),0,MAX(0,MIN($F273,EOMONTH(DATE(cfg_FY,3,1),0))-MAX($E273,DATE(cfg_FY,3,1))+1)*(1-IF($M273="نعم",0,N($J273))))</f>
        <v>0</v>
      </c>
      <c r="Y273" s="133" t="n">
        <f aca="false">IF(OR($B273="",$E273="",$F273=""),0,MAX(0,MIN($F273,EOMONTH(DATE(cfg_FY,4,1),0))-MAX($E273,DATE(cfg_FY,4,1))+1)*(1-IF($M273="نعم",0,N($J273))))</f>
        <v>0</v>
      </c>
      <c r="Z273" s="133" t="n">
        <f aca="false">IF(OR($B273="",$E273="",$F273=""),0,MAX(0,MIN($F273,EOMONTH(DATE(cfg_FY,5,1),0))-MAX($E273,DATE(cfg_FY,5,1))+1)*(1-IF($M273="نعم",0,N($J273))))</f>
        <v>0</v>
      </c>
      <c r="AA273" s="133" t="n">
        <f aca="false">IF(OR($B273="",$E273="",$F273=""),0,MAX(0,MIN($F273,EOMONTH(DATE(cfg_FY,6,1),0))-MAX($E273,DATE(cfg_FY,6,1))+1)*(1-IF($M273="نعم",0,N($J273))))</f>
        <v>0</v>
      </c>
      <c r="AB273" s="133" t="n">
        <f aca="false">IF(OR($B273="",$E273="",$F273=""),0,MAX(0,MIN($F273,EOMONTH(DATE(cfg_FY,7,1),0))-MAX($E273,DATE(cfg_FY,7,1))+1)*(1-IF($M273="نعم",0,N($J273))))</f>
        <v>0</v>
      </c>
      <c r="AC273" s="133" t="n">
        <f aca="false">IF(OR($B273="",$E273="",$F273=""),0,MAX(0,MIN($F273,EOMONTH(DATE(cfg_FY,8,1),0))-MAX($E273,DATE(cfg_FY,8,1))+1)*(1-IF($M273="نعم",0,N($J273))))</f>
        <v>0</v>
      </c>
      <c r="AD273" s="133" t="n">
        <f aca="false">IF(OR($B273="",$E273="",$F273=""),0,MAX(0,MIN($F273,EOMONTH(DATE(cfg_FY,9,1),0))-MAX($E273,DATE(cfg_FY,9,1))+1)*(1-IF($M273="نعم",0,N($J273))))</f>
        <v>0</v>
      </c>
      <c r="AE273" s="133" t="n">
        <f aca="false">IF(OR($B273="",$E273="",$F273=""),0,MAX(0,MIN($F273,EOMONTH(DATE(cfg_FY,10,1),0))-MAX($E273,DATE(cfg_FY,10,1))+1)*(1-IF($M273="نعم",0,N($J273))))</f>
        <v>0</v>
      </c>
      <c r="AF273" s="133" t="n">
        <f aca="false">IF(OR($B273="",$E273="",$F273=""),0,MAX(0,MIN($F273,EOMONTH(DATE(cfg_FY,11,1),0))-MAX($E273,DATE(cfg_FY,11,1))+1)*(1-IF($M273="نعم",0,N($J273))))</f>
        <v>0</v>
      </c>
      <c r="AG273" s="133" t="n">
        <f aca="false">IF(OR($B273="",$E273="",$F273=""),0,MAX(0,MIN($F273,EOMONTH(DATE(cfg_FY,12,1),0))-MAX($E273,DATE(cfg_FY,12,1))+1)*(1-IF($M273="نعم",0,N($J273))))</f>
        <v>0</v>
      </c>
      <c r="AH273" s="133" t="n">
        <f aca="false">IF(OR(OR($B273="",$E273="",$F273=""),$L273&lt;&gt;"لا"),0,MAX(0,MIN($F273,EOMONTH(DATE(cfg_FY,1,1),0))-$E273+1))</f>
        <v>0</v>
      </c>
      <c r="AI273" s="133" t="n">
        <f aca="false">IF(OR(OR($B273="",$E273="",$F273=""),$L273&lt;&gt;"لا"),0,MAX(0,MIN($F273,EOMONTH(DATE(cfg_FY,2,1),0))-$E273+1))</f>
        <v>0</v>
      </c>
      <c r="AJ273" s="133" t="n">
        <f aca="false">IF(OR(OR($B273="",$E273="",$F273=""),$L273&lt;&gt;"لا"),0,MAX(0,MIN($F273,EOMONTH(DATE(cfg_FY,3,1),0))-$E273+1))</f>
        <v>0</v>
      </c>
      <c r="AK273" s="133" t="n">
        <f aca="false">IF(OR(OR($B273="",$E273="",$F273=""),$L273&lt;&gt;"لا"),0,MAX(0,MIN($F273,EOMONTH(DATE(cfg_FY,4,1),0))-$E273+1))</f>
        <v>0</v>
      </c>
      <c r="AL273" s="133" t="n">
        <f aca="false">IF(OR(OR($B273="",$E273="",$F273=""),$L273&lt;&gt;"لا"),0,MAX(0,MIN($F273,EOMONTH(DATE(cfg_FY,5,1),0))-$E273+1))</f>
        <v>0</v>
      </c>
      <c r="AM273" s="133" t="n">
        <f aca="false">IF(OR(OR($B273="",$E273="",$F273=""),$L273&lt;&gt;"لا"),0,MAX(0,MIN($F273,EOMONTH(DATE(cfg_FY,6,1),0))-$E273+1))</f>
        <v>0</v>
      </c>
      <c r="AN273" s="133" t="n">
        <f aca="false">IF(OR(OR($B273="",$E273="",$F273=""),$L273&lt;&gt;"لا"),0,MAX(0,MIN($F273,EOMONTH(DATE(cfg_FY,7,1),0))-$E273+1))</f>
        <v>0</v>
      </c>
      <c r="AO273" s="133" t="n">
        <f aca="false">IF(OR(OR($B273="",$E273="",$F273=""),$L273&lt;&gt;"لا"),0,MAX(0,MIN($F273,EOMONTH(DATE(cfg_FY,8,1),0))-$E273+1))</f>
        <v>0</v>
      </c>
      <c r="AP273" s="133" t="n">
        <f aca="false">IF(OR(OR($B273="",$E273="",$F273=""),$L273&lt;&gt;"لا"),0,MAX(0,MIN($F273,EOMONTH(DATE(cfg_FY,9,1),0))-$E273+1))</f>
        <v>0</v>
      </c>
      <c r="AQ273" s="133" t="n">
        <f aca="false">IF(OR(OR($B273="",$E273="",$F273=""),$L273&lt;&gt;"لا"),0,MAX(0,MIN($F273,EOMONTH(DATE(cfg_FY,10,1),0))-$E273+1))</f>
        <v>0</v>
      </c>
      <c r="AR273" s="133" t="n">
        <f aca="false">IF(OR(OR($B273="",$E273="",$F273=""),$L273&lt;&gt;"لا"),0,MAX(0,MIN($F273,EOMONTH(DATE(cfg_FY,11,1),0))-$E273+1))</f>
        <v>0</v>
      </c>
      <c r="AS273" s="133" t="n">
        <f aca="false">IF(OR(OR($B273="",$E273="",$F273=""),$L273&lt;&gt;"لا"),0,MAX(0,MIN($F273,EOMONTH(DATE(cfg_FY,12,1),0))-$E273+1))</f>
        <v>0</v>
      </c>
      <c r="AT273" s="133" t="n">
        <f aca="false">IF(OR(OR($B273="",$E273="",$F273=""),$K273&lt;&gt;"نعم",$M273="نعم"),0,MAX(0,MIN($F273,EOMONTH(DATE(cfg_FY,1,1),0))-MAX($E273,DATE(cfg_FY,1,1))+1))</f>
        <v>0</v>
      </c>
      <c r="AU273" s="133" t="n">
        <f aca="false">IF(OR(OR($B273="",$E273="",$F273=""),$K273&lt;&gt;"نعم",$M273="نعم"),0,MAX(0,MIN($F273,EOMONTH(DATE(cfg_FY,2,1),0))-MAX($E273,DATE(cfg_FY,2,1))+1))</f>
        <v>0</v>
      </c>
      <c r="AV273" s="133" t="n">
        <f aca="false">IF(OR(OR($B273="",$E273="",$F273=""),$K273&lt;&gt;"نعم",$M273="نعم"),0,MAX(0,MIN($F273,EOMONTH(DATE(cfg_FY,3,1),0))-MAX($E273,DATE(cfg_FY,3,1))+1))</f>
        <v>0</v>
      </c>
      <c r="AW273" s="133" t="n">
        <f aca="false">IF(OR(OR($B273="",$E273="",$F273=""),$K273&lt;&gt;"نعم",$M273="نعم"),0,MAX(0,MIN($F273,EOMONTH(DATE(cfg_FY,4,1),0))-MAX($E273,DATE(cfg_FY,4,1))+1))</f>
        <v>0</v>
      </c>
      <c r="AX273" s="133" t="n">
        <f aca="false">IF(OR(OR($B273="",$E273="",$F273=""),$K273&lt;&gt;"نعم",$M273="نعم"),0,MAX(0,MIN($F273,EOMONTH(DATE(cfg_FY,5,1),0))-MAX($E273,DATE(cfg_FY,5,1))+1))</f>
        <v>0</v>
      </c>
      <c r="AY273" s="133" t="n">
        <f aca="false">IF(OR(OR($B273="",$E273="",$F273=""),$K273&lt;&gt;"نعم",$M273="نعم"),0,MAX(0,MIN($F273,EOMONTH(DATE(cfg_FY,6,1),0))-MAX($E273,DATE(cfg_FY,6,1))+1))</f>
        <v>0</v>
      </c>
      <c r="AZ273" s="133" t="n">
        <f aca="false">IF(OR(OR($B273="",$E273="",$F273=""),$K273&lt;&gt;"نعم",$M273="نعم"),0,MAX(0,MIN($F273,EOMONTH(DATE(cfg_FY,7,1),0))-MAX($E273,DATE(cfg_FY,7,1))+1))</f>
        <v>0</v>
      </c>
      <c r="BA273" s="133" t="n">
        <f aca="false">IF(OR(OR($B273="",$E273="",$F273=""),$K273&lt;&gt;"نعم",$M273="نعم"),0,MAX(0,MIN($F273,EOMONTH(DATE(cfg_FY,8,1),0))-MAX($E273,DATE(cfg_FY,8,1))+1))</f>
        <v>0</v>
      </c>
      <c r="BB273" s="133" t="n">
        <f aca="false">IF(OR(OR($B273="",$E273="",$F273=""),$K273&lt;&gt;"نعم",$M273="نعم"),0,MAX(0,MIN($F273,EOMONTH(DATE(cfg_FY,9,1),0))-MAX($E273,DATE(cfg_FY,9,1))+1))</f>
        <v>0</v>
      </c>
      <c r="BC273" s="133" t="n">
        <f aca="false">IF(OR(OR($B273="",$E273="",$F273=""),$K273&lt;&gt;"نعم",$M273="نعم"),0,MAX(0,MIN($F273,EOMONTH(DATE(cfg_FY,10,1),0))-MAX($E273,DATE(cfg_FY,10,1))+1))</f>
        <v>0</v>
      </c>
      <c r="BD273" s="133" t="n">
        <f aca="false">IF(OR(OR($B273="",$E273="",$F273=""),$K273&lt;&gt;"نعم",$M273="نعم"),0,MAX(0,MIN($F273,EOMONTH(DATE(cfg_FY,11,1),0))-MAX($E273,DATE(cfg_FY,11,1))+1))</f>
        <v>0</v>
      </c>
      <c r="BE273" s="133" t="n">
        <f aca="false">IF(OR(OR($B273="",$E273="",$F273=""),$K273&lt;&gt;"نعم",$M273="نعم"),0,MAX(0,MIN($F273,EOMONTH(DATE(cfg_FY,12,1),0))-MAX($E273,DATE(cfg_FY,12,1))+1))</f>
        <v>0</v>
      </c>
    </row>
    <row r="274" customFormat="false" ht="15" hidden="false" customHeight="false" outlineLevel="0" collapsed="false">
      <c r="A274" s="106" t="str">
        <f aca="false">IF(B274="","",ROW()-5)</f>
        <v/>
      </c>
      <c r="B274" s="118"/>
      <c r="C274" s="114" t="str">
        <f aca="false">IF(B274="","",IFERROR(INDEX(الموظفون!$C$6:$C$105,MATCH(B274,الموظفون!$B$6:$B$105,0)),"✖ رقم غير موجود"))</f>
        <v/>
      </c>
      <c r="D274" s="118"/>
      <c r="E274" s="119"/>
      <c r="F274" s="119"/>
      <c r="G274" s="65" t="str">
        <f aca="false">IF(OR($B274="",$E274="",$F274=""),"",MAX(0,F274-E274+1))</f>
        <v/>
      </c>
      <c r="H274" s="66" t="str">
        <f aca="false">IF(D274="","",IFERROR(VLOOKUP(D274,cfg_LT,2,FALSE()),1))</f>
        <v/>
      </c>
      <c r="I274" s="135"/>
      <c r="J274" s="66" t="str">
        <f aca="false">IF(D274="","",IF(I274&lt;&gt;"",I274,H274))</f>
        <v/>
      </c>
      <c r="K274" s="114" t="str">
        <f aca="false">IF(D274="","",IFERROR(VLOOKUP($D274,cfg_LT,3,FALSE()),""))</f>
        <v/>
      </c>
      <c r="L274" s="114" t="str">
        <f aca="false">IF(D274="","",IFERROR(VLOOKUP($D274,cfg_LT,4,FALSE()),""))</f>
        <v/>
      </c>
      <c r="M274" s="114" t="str">
        <f aca="false">IF(D274="","",IFERROR(VLOOKUP($D274,cfg_LT,5,FALSE()),""))</f>
        <v/>
      </c>
      <c r="N274" s="111" t="n">
        <f aca="false">IF(OR(OR($B274="",$E274="",$F274=""),M274&lt;&gt;"نعم"),0,G274*J274*IFERROR(INDEX(الموظفون!$R$6:$R$105,MATCH(B274,الموظفون!$B$6:$B$105,0)),0)/cfg_DAYS_M)</f>
        <v>0</v>
      </c>
      <c r="O274" s="106" t="str">
        <f aca="false">IF(OR(OR($B274="",$E274="",$F274=""),M274&lt;&gt;"نعم"),"",IF(YEAR(E274)=cfg_FY,MONTH(E274),""))</f>
        <v/>
      </c>
      <c r="P274" s="114" t="str">
        <f aca="false">IF(B274="","",IF(OR(D274="",E274="",F274=""),"⚠ أكمل النوع والتواريخ",IF(F274&lt;E274,"✖ النهاية قبل البداية",IF(COUNTIFS($B$6:$B$505,B274,$E$6:$E$505,"&lt;="&amp;F274,$F$6:$F$505,"&gt;="&amp;E274)&gt;1,"⚠ تداخل مع سجل آخر",IF(E274&gt;cfg_VAL_DATE,"⏳ قادمة",IF(F274&lt;cfg_VAL_DATE,"✔ منتهية","✈ جارية في تاريخ التقرير"))))))</f>
        <v/>
      </c>
      <c r="Q274" s="118"/>
      <c r="R274" s="65" t="n">
        <f aca="false">IF(OR(OR($B274="",$E274="",$F274=""),L274&lt;&gt;"لا"),0,MAX(0,MIN(F274,cfg_Y_START-1)-E274+1))</f>
        <v>0</v>
      </c>
      <c r="S274" s="65" t="n">
        <f aca="false">IF(OR(OR($B274="",$E274="",$F274=""),L274&lt;&gt;"لا"),0,MAX(0,MIN(F274,cfg_VAL_DATE)-E274+1))</f>
        <v>0</v>
      </c>
      <c r="T274" s="65" t="n">
        <f aca="false">IF(OR(OR($B274="",$E274="",$F274=""),K274&lt;&gt;"نعم"),0,IF(M274="نعم",IF(AND(ISNUMBER(O274),N(O274)&lt;=cfg_VAL_M),G274,0),MAX(0,MIN(F274,cfg_VAL_DATE)-MAX(E274,cfg_Y_START)+1)))</f>
        <v>0</v>
      </c>
      <c r="V274" s="65" t="n">
        <f aca="false">IF(OR($B274="",$E274="",$F274=""),0,MAX(0,MIN($F274,EOMONTH(DATE(cfg_FY,1,1),0))-MAX($E274,DATE(cfg_FY,1,1))+1)*(1-IF($M274="نعم",0,N($J274))))</f>
        <v>0</v>
      </c>
      <c r="W274" s="65" t="n">
        <f aca="false">IF(OR($B274="",$E274="",$F274=""),0,MAX(0,MIN($F274,EOMONTH(DATE(cfg_FY,2,1),0))-MAX($E274,DATE(cfg_FY,2,1))+1)*(1-IF($M274="نعم",0,N($J274))))</f>
        <v>0</v>
      </c>
      <c r="X274" s="65" t="n">
        <f aca="false">IF(OR($B274="",$E274="",$F274=""),0,MAX(0,MIN($F274,EOMONTH(DATE(cfg_FY,3,1),0))-MAX($E274,DATE(cfg_FY,3,1))+1)*(1-IF($M274="نعم",0,N($J274))))</f>
        <v>0</v>
      </c>
      <c r="Y274" s="65" t="n">
        <f aca="false">IF(OR($B274="",$E274="",$F274=""),0,MAX(0,MIN($F274,EOMONTH(DATE(cfg_FY,4,1),0))-MAX($E274,DATE(cfg_FY,4,1))+1)*(1-IF($M274="نعم",0,N($J274))))</f>
        <v>0</v>
      </c>
      <c r="Z274" s="65" t="n">
        <f aca="false">IF(OR($B274="",$E274="",$F274=""),0,MAX(0,MIN($F274,EOMONTH(DATE(cfg_FY,5,1),0))-MAX($E274,DATE(cfg_FY,5,1))+1)*(1-IF($M274="نعم",0,N($J274))))</f>
        <v>0</v>
      </c>
      <c r="AA274" s="65" t="n">
        <f aca="false">IF(OR($B274="",$E274="",$F274=""),0,MAX(0,MIN($F274,EOMONTH(DATE(cfg_FY,6,1),0))-MAX($E274,DATE(cfg_FY,6,1))+1)*(1-IF($M274="نعم",0,N($J274))))</f>
        <v>0</v>
      </c>
      <c r="AB274" s="65" t="n">
        <f aca="false">IF(OR($B274="",$E274="",$F274=""),0,MAX(0,MIN($F274,EOMONTH(DATE(cfg_FY,7,1),0))-MAX($E274,DATE(cfg_FY,7,1))+1)*(1-IF($M274="نعم",0,N($J274))))</f>
        <v>0</v>
      </c>
      <c r="AC274" s="65" t="n">
        <f aca="false">IF(OR($B274="",$E274="",$F274=""),0,MAX(0,MIN($F274,EOMONTH(DATE(cfg_FY,8,1),0))-MAX($E274,DATE(cfg_FY,8,1))+1)*(1-IF($M274="نعم",0,N($J274))))</f>
        <v>0</v>
      </c>
      <c r="AD274" s="65" t="n">
        <f aca="false">IF(OR($B274="",$E274="",$F274=""),0,MAX(0,MIN($F274,EOMONTH(DATE(cfg_FY,9,1),0))-MAX($E274,DATE(cfg_FY,9,1))+1)*(1-IF($M274="نعم",0,N($J274))))</f>
        <v>0</v>
      </c>
      <c r="AE274" s="65" t="n">
        <f aca="false">IF(OR($B274="",$E274="",$F274=""),0,MAX(0,MIN($F274,EOMONTH(DATE(cfg_FY,10,1),0))-MAX($E274,DATE(cfg_FY,10,1))+1)*(1-IF($M274="نعم",0,N($J274))))</f>
        <v>0</v>
      </c>
      <c r="AF274" s="65" t="n">
        <f aca="false">IF(OR($B274="",$E274="",$F274=""),0,MAX(0,MIN($F274,EOMONTH(DATE(cfg_FY,11,1),0))-MAX($E274,DATE(cfg_FY,11,1))+1)*(1-IF($M274="نعم",0,N($J274))))</f>
        <v>0</v>
      </c>
      <c r="AG274" s="65" t="n">
        <f aca="false">IF(OR($B274="",$E274="",$F274=""),0,MAX(0,MIN($F274,EOMONTH(DATE(cfg_FY,12,1),0))-MAX($E274,DATE(cfg_FY,12,1))+1)*(1-IF($M274="نعم",0,N($J274))))</f>
        <v>0</v>
      </c>
      <c r="AH274" s="65" t="n">
        <f aca="false">IF(OR(OR($B274="",$E274="",$F274=""),$L274&lt;&gt;"لا"),0,MAX(0,MIN($F274,EOMONTH(DATE(cfg_FY,1,1),0))-$E274+1))</f>
        <v>0</v>
      </c>
      <c r="AI274" s="65" t="n">
        <f aca="false">IF(OR(OR($B274="",$E274="",$F274=""),$L274&lt;&gt;"لا"),0,MAX(0,MIN($F274,EOMONTH(DATE(cfg_FY,2,1),0))-$E274+1))</f>
        <v>0</v>
      </c>
      <c r="AJ274" s="65" t="n">
        <f aca="false">IF(OR(OR($B274="",$E274="",$F274=""),$L274&lt;&gt;"لا"),0,MAX(0,MIN($F274,EOMONTH(DATE(cfg_FY,3,1),0))-$E274+1))</f>
        <v>0</v>
      </c>
      <c r="AK274" s="65" t="n">
        <f aca="false">IF(OR(OR($B274="",$E274="",$F274=""),$L274&lt;&gt;"لا"),0,MAX(0,MIN($F274,EOMONTH(DATE(cfg_FY,4,1),0))-$E274+1))</f>
        <v>0</v>
      </c>
      <c r="AL274" s="65" t="n">
        <f aca="false">IF(OR(OR($B274="",$E274="",$F274=""),$L274&lt;&gt;"لا"),0,MAX(0,MIN($F274,EOMONTH(DATE(cfg_FY,5,1),0))-$E274+1))</f>
        <v>0</v>
      </c>
      <c r="AM274" s="65" t="n">
        <f aca="false">IF(OR(OR($B274="",$E274="",$F274=""),$L274&lt;&gt;"لا"),0,MAX(0,MIN($F274,EOMONTH(DATE(cfg_FY,6,1),0))-$E274+1))</f>
        <v>0</v>
      </c>
      <c r="AN274" s="65" t="n">
        <f aca="false">IF(OR(OR($B274="",$E274="",$F274=""),$L274&lt;&gt;"لا"),0,MAX(0,MIN($F274,EOMONTH(DATE(cfg_FY,7,1),0))-$E274+1))</f>
        <v>0</v>
      </c>
      <c r="AO274" s="65" t="n">
        <f aca="false">IF(OR(OR($B274="",$E274="",$F274=""),$L274&lt;&gt;"لا"),0,MAX(0,MIN($F274,EOMONTH(DATE(cfg_FY,8,1),0))-$E274+1))</f>
        <v>0</v>
      </c>
      <c r="AP274" s="65" t="n">
        <f aca="false">IF(OR(OR($B274="",$E274="",$F274=""),$L274&lt;&gt;"لا"),0,MAX(0,MIN($F274,EOMONTH(DATE(cfg_FY,9,1),0))-$E274+1))</f>
        <v>0</v>
      </c>
      <c r="AQ274" s="65" t="n">
        <f aca="false">IF(OR(OR($B274="",$E274="",$F274=""),$L274&lt;&gt;"لا"),0,MAX(0,MIN($F274,EOMONTH(DATE(cfg_FY,10,1),0))-$E274+1))</f>
        <v>0</v>
      </c>
      <c r="AR274" s="65" t="n">
        <f aca="false">IF(OR(OR($B274="",$E274="",$F274=""),$L274&lt;&gt;"لا"),0,MAX(0,MIN($F274,EOMONTH(DATE(cfg_FY,11,1),0))-$E274+1))</f>
        <v>0</v>
      </c>
      <c r="AS274" s="65" t="n">
        <f aca="false">IF(OR(OR($B274="",$E274="",$F274=""),$L274&lt;&gt;"لا"),0,MAX(0,MIN($F274,EOMONTH(DATE(cfg_FY,12,1),0))-$E274+1))</f>
        <v>0</v>
      </c>
      <c r="AT274" s="65" t="n">
        <f aca="false">IF(OR(OR($B274="",$E274="",$F274=""),$K274&lt;&gt;"نعم",$M274="نعم"),0,MAX(0,MIN($F274,EOMONTH(DATE(cfg_FY,1,1),0))-MAX($E274,DATE(cfg_FY,1,1))+1))</f>
        <v>0</v>
      </c>
      <c r="AU274" s="65" t="n">
        <f aca="false">IF(OR(OR($B274="",$E274="",$F274=""),$K274&lt;&gt;"نعم",$M274="نعم"),0,MAX(0,MIN($F274,EOMONTH(DATE(cfg_FY,2,1),0))-MAX($E274,DATE(cfg_FY,2,1))+1))</f>
        <v>0</v>
      </c>
      <c r="AV274" s="65" t="n">
        <f aca="false">IF(OR(OR($B274="",$E274="",$F274=""),$K274&lt;&gt;"نعم",$M274="نعم"),0,MAX(0,MIN($F274,EOMONTH(DATE(cfg_FY,3,1),0))-MAX($E274,DATE(cfg_FY,3,1))+1))</f>
        <v>0</v>
      </c>
      <c r="AW274" s="65" t="n">
        <f aca="false">IF(OR(OR($B274="",$E274="",$F274=""),$K274&lt;&gt;"نعم",$M274="نعم"),0,MAX(0,MIN($F274,EOMONTH(DATE(cfg_FY,4,1),0))-MAX($E274,DATE(cfg_FY,4,1))+1))</f>
        <v>0</v>
      </c>
      <c r="AX274" s="65" t="n">
        <f aca="false">IF(OR(OR($B274="",$E274="",$F274=""),$K274&lt;&gt;"نعم",$M274="نعم"),0,MAX(0,MIN($F274,EOMONTH(DATE(cfg_FY,5,1),0))-MAX($E274,DATE(cfg_FY,5,1))+1))</f>
        <v>0</v>
      </c>
      <c r="AY274" s="65" t="n">
        <f aca="false">IF(OR(OR($B274="",$E274="",$F274=""),$K274&lt;&gt;"نعم",$M274="نعم"),0,MAX(0,MIN($F274,EOMONTH(DATE(cfg_FY,6,1),0))-MAX($E274,DATE(cfg_FY,6,1))+1))</f>
        <v>0</v>
      </c>
      <c r="AZ274" s="65" t="n">
        <f aca="false">IF(OR(OR($B274="",$E274="",$F274=""),$K274&lt;&gt;"نعم",$M274="نعم"),0,MAX(0,MIN($F274,EOMONTH(DATE(cfg_FY,7,1),0))-MAX($E274,DATE(cfg_FY,7,1))+1))</f>
        <v>0</v>
      </c>
      <c r="BA274" s="65" t="n">
        <f aca="false">IF(OR(OR($B274="",$E274="",$F274=""),$K274&lt;&gt;"نعم",$M274="نعم"),0,MAX(0,MIN($F274,EOMONTH(DATE(cfg_FY,8,1),0))-MAX($E274,DATE(cfg_FY,8,1))+1))</f>
        <v>0</v>
      </c>
      <c r="BB274" s="65" t="n">
        <f aca="false">IF(OR(OR($B274="",$E274="",$F274=""),$K274&lt;&gt;"نعم",$M274="نعم"),0,MAX(0,MIN($F274,EOMONTH(DATE(cfg_FY,9,1),0))-MAX($E274,DATE(cfg_FY,9,1))+1))</f>
        <v>0</v>
      </c>
      <c r="BC274" s="65" t="n">
        <f aca="false">IF(OR(OR($B274="",$E274="",$F274=""),$K274&lt;&gt;"نعم",$M274="نعم"),0,MAX(0,MIN($F274,EOMONTH(DATE(cfg_FY,10,1),0))-MAX($E274,DATE(cfg_FY,10,1))+1))</f>
        <v>0</v>
      </c>
      <c r="BD274" s="65" t="n">
        <f aca="false">IF(OR(OR($B274="",$E274="",$F274=""),$K274&lt;&gt;"نعم",$M274="نعم"),0,MAX(0,MIN($F274,EOMONTH(DATE(cfg_FY,11,1),0))-MAX($E274,DATE(cfg_FY,11,1))+1))</f>
        <v>0</v>
      </c>
      <c r="BE274" s="65" t="n">
        <f aca="false">IF(OR(OR($B274="",$E274="",$F274=""),$K274&lt;&gt;"نعم",$M274="نعم"),0,MAX(0,MIN($F274,EOMONTH(DATE(cfg_FY,12,1),0))-MAX($E274,DATE(cfg_FY,12,1))+1))</f>
        <v>0</v>
      </c>
    </row>
    <row r="275" customFormat="false" ht="15" hidden="false" customHeight="false" outlineLevel="0" collapsed="false">
      <c r="A275" s="115" t="str">
        <f aca="false">IF(B275="","",ROW()-5)</f>
        <v/>
      </c>
      <c r="B275" s="118"/>
      <c r="C275" s="117" t="str">
        <f aca="false">IF(B275="","",IFERROR(INDEX(الموظفون!$C$6:$C$105,MATCH(B275,الموظفون!$B$6:$B$105,0)),"✖ رقم غير موجود"))</f>
        <v/>
      </c>
      <c r="D275" s="118"/>
      <c r="E275" s="119"/>
      <c r="F275" s="119"/>
      <c r="G275" s="133" t="str">
        <f aca="false">IF(OR($B275="",$E275="",$F275=""),"",MAX(0,F275-E275+1))</f>
        <v/>
      </c>
      <c r="H275" s="134" t="str">
        <f aca="false">IF(D275="","",IFERROR(VLOOKUP(D275,cfg_LT,2,FALSE()),1))</f>
        <v/>
      </c>
      <c r="I275" s="135"/>
      <c r="J275" s="134" t="str">
        <f aca="false">IF(D275="","",IF(I275&lt;&gt;"",I275,H275))</f>
        <v/>
      </c>
      <c r="K275" s="117" t="str">
        <f aca="false">IF(D275="","",IFERROR(VLOOKUP($D275,cfg_LT,3,FALSE()),""))</f>
        <v/>
      </c>
      <c r="L275" s="117" t="str">
        <f aca="false">IF(D275="","",IFERROR(VLOOKUP($D275,cfg_LT,4,FALSE()),""))</f>
        <v/>
      </c>
      <c r="M275" s="117" t="str">
        <f aca="false">IF(D275="","",IFERROR(VLOOKUP($D275,cfg_LT,5,FALSE()),""))</f>
        <v/>
      </c>
      <c r="N275" s="116" t="n">
        <f aca="false">IF(OR(OR($B275="",$E275="",$F275=""),M275&lt;&gt;"نعم"),0,G275*J275*IFERROR(INDEX(الموظفون!$R$6:$R$105,MATCH(B275,الموظفون!$B$6:$B$105,0)),0)/cfg_DAYS_M)</f>
        <v>0</v>
      </c>
      <c r="O275" s="115" t="str">
        <f aca="false">IF(OR(OR($B275="",$E275="",$F275=""),M275&lt;&gt;"نعم"),"",IF(YEAR(E275)=cfg_FY,MONTH(E275),""))</f>
        <v/>
      </c>
      <c r="P275" s="117" t="str">
        <f aca="false">IF(B275="","",IF(OR(D275="",E275="",F275=""),"⚠ أكمل النوع والتواريخ",IF(F275&lt;E275,"✖ النهاية قبل البداية",IF(COUNTIFS($B$6:$B$505,B275,$E$6:$E$505,"&lt;="&amp;F275,$F$6:$F$505,"&gt;="&amp;E275)&gt;1,"⚠ تداخل مع سجل آخر",IF(E275&gt;cfg_VAL_DATE,"⏳ قادمة",IF(F275&lt;cfg_VAL_DATE,"✔ منتهية","✈ جارية في تاريخ التقرير"))))))</f>
        <v/>
      </c>
      <c r="Q275" s="118"/>
      <c r="R275" s="133" t="n">
        <f aca="false">IF(OR(OR($B275="",$E275="",$F275=""),L275&lt;&gt;"لا"),0,MAX(0,MIN(F275,cfg_Y_START-1)-E275+1))</f>
        <v>0</v>
      </c>
      <c r="S275" s="133" t="n">
        <f aca="false">IF(OR(OR($B275="",$E275="",$F275=""),L275&lt;&gt;"لا"),0,MAX(0,MIN(F275,cfg_VAL_DATE)-E275+1))</f>
        <v>0</v>
      </c>
      <c r="T275" s="133" t="n">
        <f aca="false">IF(OR(OR($B275="",$E275="",$F275=""),K275&lt;&gt;"نعم"),0,IF(M275="نعم",IF(AND(ISNUMBER(O275),N(O275)&lt;=cfg_VAL_M),G275,0),MAX(0,MIN(F275,cfg_VAL_DATE)-MAX(E275,cfg_Y_START)+1)))</f>
        <v>0</v>
      </c>
      <c r="V275" s="133" t="n">
        <f aca="false">IF(OR($B275="",$E275="",$F275=""),0,MAX(0,MIN($F275,EOMONTH(DATE(cfg_FY,1,1),0))-MAX($E275,DATE(cfg_FY,1,1))+1)*(1-IF($M275="نعم",0,N($J275))))</f>
        <v>0</v>
      </c>
      <c r="W275" s="133" t="n">
        <f aca="false">IF(OR($B275="",$E275="",$F275=""),0,MAX(0,MIN($F275,EOMONTH(DATE(cfg_FY,2,1),0))-MAX($E275,DATE(cfg_FY,2,1))+1)*(1-IF($M275="نعم",0,N($J275))))</f>
        <v>0</v>
      </c>
      <c r="X275" s="133" t="n">
        <f aca="false">IF(OR($B275="",$E275="",$F275=""),0,MAX(0,MIN($F275,EOMONTH(DATE(cfg_FY,3,1),0))-MAX($E275,DATE(cfg_FY,3,1))+1)*(1-IF($M275="نعم",0,N($J275))))</f>
        <v>0</v>
      </c>
      <c r="Y275" s="133" t="n">
        <f aca="false">IF(OR($B275="",$E275="",$F275=""),0,MAX(0,MIN($F275,EOMONTH(DATE(cfg_FY,4,1),0))-MAX($E275,DATE(cfg_FY,4,1))+1)*(1-IF($M275="نعم",0,N($J275))))</f>
        <v>0</v>
      </c>
      <c r="Z275" s="133" t="n">
        <f aca="false">IF(OR($B275="",$E275="",$F275=""),0,MAX(0,MIN($F275,EOMONTH(DATE(cfg_FY,5,1),0))-MAX($E275,DATE(cfg_FY,5,1))+1)*(1-IF($M275="نعم",0,N($J275))))</f>
        <v>0</v>
      </c>
      <c r="AA275" s="133" t="n">
        <f aca="false">IF(OR($B275="",$E275="",$F275=""),0,MAX(0,MIN($F275,EOMONTH(DATE(cfg_FY,6,1),0))-MAX($E275,DATE(cfg_FY,6,1))+1)*(1-IF($M275="نعم",0,N($J275))))</f>
        <v>0</v>
      </c>
      <c r="AB275" s="133" t="n">
        <f aca="false">IF(OR($B275="",$E275="",$F275=""),0,MAX(0,MIN($F275,EOMONTH(DATE(cfg_FY,7,1),0))-MAX($E275,DATE(cfg_FY,7,1))+1)*(1-IF($M275="نعم",0,N($J275))))</f>
        <v>0</v>
      </c>
      <c r="AC275" s="133" t="n">
        <f aca="false">IF(OR($B275="",$E275="",$F275=""),0,MAX(0,MIN($F275,EOMONTH(DATE(cfg_FY,8,1),0))-MAX($E275,DATE(cfg_FY,8,1))+1)*(1-IF($M275="نعم",0,N($J275))))</f>
        <v>0</v>
      </c>
      <c r="AD275" s="133" t="n">
        <f aca="false">IF(OR($B275="",$E275="",$F275=""),0,MAX(0,MIN($F275,EOMONTH(DATE(cfg_FY,9,1),0))-MAX($E275,DATE(cfg_FY,9,1))+1)*(1-IF($M275="نعم",0,N($J275))))</f>
        <v>0</v>
      </c>
      <c r="AE275" s="133" t="n">
        <f aca="false">IF(OR($B275="",$E275="",$F275=""),0,MAX(0,MIN($F275,EOMONTH(DATE(cfg_FY,10,1),0))-MAX($E275,DATE(cfg_FY,10,1))+1)*(1-IF($M275="نعم",0,N($J275))))</f>
        <v>0</v>
      </c>
      <c r="AF275" s="133" t="n">
        <f aca="false">IF(OR($B275="",$E275="",$F275=""),0,MAX(0,MIN($F275,EOMONTH(DATE(cfg_FY,11,1),0))-MAX($E275,DATE(cfg_FY,11,1))+1)*(1-IF($M275="نعم",0,N($J275))))</f>
        <v>0</v>
      </c>
      <c r="AG275" s="133" t="n">
        <f aca="false">IF(OR($B275="",$E275="",$F275=""),0,MAX(0,MIN($F275,EOMONTH(DATE(cfg_FY,12,1),0))-MAX($E275,DATE(cfg_FY,12,1))+1)*(1-IF($M275="نعم",0,N($J275))))</f>
        <v>0</v>
      </c>
      <c r="AH275" s="133" t="n">
        <f aca="false">IF(OR(OR($B275="",$E275="",$F275=""),$L275&lt;&gt;"لا"),0,MAX(0,MIN($F275,EOMONTH(DATE(cfg_FY,1,1),0))-$E275+1))</f>
        <v>0</v>
      </c>
      <c r="AI275" s="133" t="n">
        <f aca="false">IF(OR(OR($B275="",$E275="",$F275=""),$L275&lt;&gt;"لا"),0,MAX(0,MIN($F275,EOMONTH(DATE(cfg_FY,2,1),0))-$E275+1))</f>
        <v>0</v>
      </c>
      <c r="AJ275" s="133" t="n">
        <f aca="false">IF(OR(OR($B275="",$E275="",$F275=""),$L275&lt;&gt;"لا"),0,MAX(0,MIN($F275,EOMONTH(DATE(cfg_FY,3,1),0))-$E275+1))</f>
        <v>0</v>
      </c>
      <c r="AK275" s="133" t="n">
        <f aca="false">IF(OR(OR($B275="",$E275="",$F275=""),$L275&lt;&gt;"لا"),0,MAX(0,MIN($F275,EOMONTH(DATE(cfg_FY,4,1),0))-$E275+1))</f>
        <v>0</v>
      </c>
      <c r="AL275" s="133" t="n">
        <f aca="false">IF(OR(OR($B275="",$E275="",$F275=""),$L275&lt;&gt;"لا"),0,MAX(0,MIN($F275,EOMONTH(DATE(cfg_FY,5,1),0))-$E275+1))</f>
        <v>0</v>
      </c>
      <c r="AM275" s="133" t="n">
        <f aca="false">IF(OR(OR($B275="",$E275="",$F275=""),$L275&lt;&gt;"لا"),0,MAX(0,MIN($F275,EOMONTH(DATE(cfg_FY,6,1),0))-$E275+1))</f>
        <v>0</v>
      </c>
      <c r="AN275" s="133" t="n">
        <f aca="false">IF(OR(OR($B275="",$E275="",$F275=""),$L275&lt;&gt;"لا"),0,MAX(0,MIN($F275,EOMONTH(DATE(cfg_FY,7,1),0))-$E275+1))</f>
        <v>0</v>
      </c>
      <c r="AO275" s="133" t="n">
        <f aca="false">IF(OR(OR($B275="",$E275="",$F275=""),$L275&lt;&gt;"لا"),0,MAX(0,MIN($F275,EOMONTH(DATE(cfg_FY,8,1),0))-$E275+1))</f>
        <v>0</v>
      </c>
      <c r="AP275" s="133" t="n">
        <f aca="false">IF(OR(OR($B275="",$E275="",$F275=""),$L275&lt;&gt;"لا"),0,MAX(0,MIN($F275,EOMONTH(DATE(cfg_FY,9,1),0))-$E275+1))</f>
        <v>0</v>
      </c>
      <c r="AQ275" s="133" t="n">
        <f aca="false">IF(OR(OR($B275="",$E275="",$F275=""),$L275&lt;&gt;"لا"),0,MAX(0,MIN($F275,EOMONTH(DATE(cfg_FY,10,1),0))-$E275+1))</f>
        <v>0</v>
      </c>
      <c r="AR275" s="133" t="n">
        <f aca="false">IF(OR(OR($B275="",$E275="",$F275=""),$L275&lt;&gt;"لا"),0,MAX(0,MIN($F275,EOMONTH(DATE(cfg_FY,11,1),0))-$E275+1))</f>
        <v>0</v>
      </c>
      <c r="AS275" s="133" t="n">
        <f aca="false">IF(OR(OR($B275="",$E275="",$F275=""),$L275&lt;&gt;"لا"),0,MAX(0,MIN($F275,EOMONTH(DATE(cfg_FY,12,1),0))-$E275+1))</f>
        <v>0</v>
      </c>
      <c r="AT275" s="133" t="n">
        <f aca="false">IF(OR(OR($B275="",$E275="",$F275=""),$K275&lt;&gt;"نعم",$M275="نعم"),0,MAX(0,MIN($F275,EOMONTH(DATE(cfg_FY,1,1),0))-MAX($E275,DATE(cfg_FY,1,1))+1))</f>
        <v>0</v>
      </c>
      <c r="AU275" s="133" t="n">
        <f aca="false">IF(OR(OR($B275="",$E275="",$F275=""),$K275&lt;&gt;"نعم",$M275="نعم"),0,MAX(0,MIN($F275,EOMONTH(DATE(cfg_FY,2,1),0))-MAX($E275,DATE(cfg_FY,2,1))+1))</f>
        <v>0</v>
      </c>
      <c r="AV275" s="133" t="n">
        <f aca="false">IF(OR(OR($B275="",$E275="",$F275=""),$K275&lt;&gt;"نعم",$M275="نعم"),0,MAX(0,MIN($F275,EOMONTH(DATE(cfg_FY,3,1),0))-MAX($E275,DATE(cfg_FY,3,1))+1))</f>
        <v>0</v>
      </c>
      <c r="AW275" s="133" t="n">
        <f aca="false">IF(OR(OR($B275="",$E275="",$F275=""),$K275&lt;&gt;"نعم",$M275="نعم"),0,MAX(0,MIN($F275,EOMONTH(DATE(cfg_FY,4,1),0))-MAX($E275,DATE(cfg_FY,4,1))+1))</f>
        <v>0</v>
      </c>
      <c r="AX275" s="133" t="n">
        <f aca="false">IF(OR(OR($B275="",$E275="",$F275=""),$K275&lt;&gt;"نعم",$M275="نعم"),0,MAX(0,MIN($F275,EOMONTH(DATE(cfg_FY,5,1),0))-MAX($E275,DATE(cfg_FY,5,1))+1))</f>
        <v>0</v>
      </c>
      <c r="AY275" s="133" t="n">
        <f aca="false">IF(OR(OR($B275="",$E275="",$F275=""),$K275&lt;&gt;"نعم",$M275="نعم"),0,MAX(0,MIN($F275,EOMONTH(DATE(cfg_FY,6,1),0))-MAX($E275,DATE(cfg_FY,6,1))+1))</f>
        <v>0</v>
      </c>
      <c r="AZ275" s="133" t="n">
        <f aca="false">IF(OR(OR($B275="",$E275="",$F275=""),$K275&lt;&gt;"نعم",$M275="نعم"),0,MAX(0,MIN($F275,EOMONTH(DATE(cfg_FY,7,1),0))-MAX($E275,DATE(cfg_FY,7,1))+1))</f>
        <v>0</v>
      </c>
      <c r="BA275" s="133" t="n">
        <f aca="false">IF(OR(OR($B275="",$E275="",$F275=""),$K275&lt;&gt;"نعم",$M275="نعم"),0,MAX(0,MIN($F275,EOMONTH(DATE(cfg_FY,8,1),0))-MAX($E275,DATE(cfg_FY,8,1))+1))</f>
        <v>0</v>
      </c>
      <c r="BB275" s="133" t="n">
        <f aca="false">IF(OR(OR($B275="",$E275="",$F275=""),$K275&lt;&gt;"نعم",$M275="نعم"),0,MAX(0,MIN($F275,EOMONTH(DATE(cfg_FY,9,1),0))-MAX($E275,DATE(cfg_FY,9,1))+1))</f>
        <v>0</v>
      </c>
      <c r="BC275" s="133" t="n">
        <f aca="false">IF(OR(OR($B275="",$E275="",$F275=""),$K275&lt;&gt;"نعم",$M275="نعم"),0,MAX(0,MIN($F275,EOMONTH(DATE(cfg_FY,10,1),0))-MAX($E275,DATE(cfg_FY,10,1))+1))</f>
        <v>0</v>
      </c>
      <c r="BD275" s="133" t="n">
        <f aca="false">IF(OR(OR($B275="",$E275="",$F275=""),$K275&lt;&gt;"نعم",$M275="نعم"),0,MAX(0,MIN($F275,EOMONTH(DATE(cfg_FY,11,1),0))-MAX($E275,DATE(cfg_FY,11,1))+1))</f>
        <v>0</v>
      </c>
      <c r="BE275" s="133" t="n">
        <f aca="false">IF(OR(OR($B275="",$E275="",$F275=""),$K275&lt;&gt;"نعم",$M275="نعم"),0,MAX(0,MIN($F275,EOMONTH(DATE(cfg_FY,12,1),0))-MAX($E275,DATE(cfg_FY,12,1))+1))</f>
        <v>0</v>
      </c>
    </row>
    <row r="276" customFormat="false" ht="15" hidden="false" customHeight="false" outlineLevel="0" collapsed="false">
      <c r="A276" s="106" t="str">
        <f aca="false">IF(B276="","",ROW()-5)</f>
        <v/>
      </c>
      <c r="B276" s="118"/>
      <c r="C276" s="114" t="str">
        <f aca="false">IF(B276="","",IFERROR(INDEX(الموظفون!$C$6:$C$105,MATCH(B276,الموظفون!$B$6:$B$105,0)),"✖ رقم غير موجود"))</f>
        <v/>
      </c>
      <c r="D276" s="118"/>
      <c r="E276" s="119"/>
      <c r="F276" s="119"/>
      <c r="G276" s="65" t="str">
        <f aca="false">IF(OR($B276="",$E276="",$F276=""),"",MAX(0,F276-E276+1))</f>
        <v/>
      </c>
      <c r="H276" s="66" t="str">
        <f aca="false">IF(D276="","",IFERROR(VLOOKUP(D276,cfg_LT,2,FALSE()),1))</f>
        <v/>
      </c>
      <c r="I276" s="135"/>
      <c r="J276" s="66" t="str">
        <f aca="false">IF(D276="","",IF(I276&lt;&gt;"",I276,H276))</f>
        <v/>
      </c>
      <c r="K276" s="114" t="str">
        <f aca="false">IF(D276="","",IFERROR(VLOOKUP($D276,cfg_LT,3,FALSE()),""))</f>
        <v/>
      </c>
      <c r="L276" s="114" t="str">
        <f aca="false">IF(D276="","",IFERROR(VLOOKUP($D276,cfg_LT,4,FALSE()),""))</f>
        <v/>
      </c>
      <c r="M276" s="114" t="str">
        <f aca="false">IF(D276="","",IFERROR(VLOOKUP($D276,cfg_LT,5,FALSE()),""))</f>
        <v/>
      </c>
      <c r="N276" s="111" t="n">
        <f aca="false">IF(OR(OR($B276="",$E276="",$F276=""),M276&lt;&gt;"نعم"),0,G276*J276*IFERROR(INDEX(الموظفون!$R$6:$R$105,MATCH(B276,الموظفون!$B$6:$B$105,0)),0)/cfg_DAYS_M)</f>
        <v>0</v>
      </c>
      <c r="O276" s="106" t="str">
        <f aca="false">IF(OR(OR($B276="",$E276="",$F276=""),M276&lt;&gt;"نعم"),"",IF(YEAR(E276)=cfg_FY,MONTH(E276),""))</f>
        <v/>
      </c>
      <c r="P276" s="114" t="str">
        <f aca="false">IF(B276="","",IF(OR(D276="",E276="",F276=""),"⚠ أكمل النوع والتواريخ",IF(F276&lt;E276,"✖ النهاية قبل البداية",IF(COUNTIFS($B$6:$B$505,B276,$E$6:$E$505,"&lt;="&amp;F276,$F$6:$F$505,"&gt;="&amp;E276)&gt;1,"⚠ تداخل مع سجل آخر",IF(E276&gt;cfg_VAL_DATE,"⏳ قادمة",IF(F276&lt;cfg_VAL_DATE,"✔ منتهية","✈ جارية في تاريخ التقرير"))))))</f>
        <v/>
      </c>
      <c r="Q276" s="118"/>
      <c r="R276" s="65" t="n">
        <f aca="false">IF(OR(OR($B276="",$E276="",$F276=""),L276&lt;&gt;"لا"),0,MAX(0,MIN(F276,cfg_Y_START-1)-E276+1))</f>
        <v>0</v>
      </c>
      <c r="S276" s="65" t="n">
        <f aca="false">IF(OR(OR($B276="",$E276="",$F276=""),L276&lt;&gt;"لا"),0,MAX(0,MIN(F276,cfg_VAL_DATE)-E276+1))</f>
        <v>0</v>
      </c>
      <c r="T276" s="65" t="n">
        <f aca="false">IF(OR(OR($B276="",$E276="",$F276=""),K276&lt;&gt;"نعم"),0,IF(M276="نعم",IF(AND(ISNUMBER(O276),N(O276)&lt;=cfg_VAL_M),G276,0),MAX(0,MIN(F276,cfg_VAL_DATE)-MAX(E276,cfg_Y_START)+1)))</f>
        <v>0</v>
      </c>
      <c r="V276" s="65" t="n">
        <f aca="false">IF(OR($B276="",$E276="",$F276=""),0,MAX(0,MIN($F276,EOMONTH(DATE(cfg_FY,1,1),0))-MAX($E276,DATE(cfg_FY,1,1))+1)*(1-IF($M276="نعم",0,N($J276))))</f>
        <v>0</v>
      </c>
      <c r="W276" s="65" t="n">
        <f aca="false">IF(OR($B276="",$E276="",$F276=""),0,MAX(0,MIN($F276,EOMONTH(DATE(cfg_FY,2,1),0))-MAX($E276,DATE(cfg_FY,2,1))+1)*(1-IF($M276="نعم",0,N($J276))))</f>
        <v>0</v>
      </c>
      <c r="X276" s="65" t="n">
        <f aca="false">IF(OR($B276="",$E276="",$F276=""),0,MAX(0,MIN($F276,EOMONTH(DATE(cfg_FY,3,1),0))-MAX($E276,DATE(cfg_FY,3,1))+1)*(1-IF($M276="نعم",0,N($J276))))</f>
        <v>0</v>
      </c>
      <c r="Y276" s="65" t="n">
        <f aca="false">IF(OR($B276="",$E276="",$F276=""),0,MAX(0,MIN($F276,EOMONTH(DATE(cfg_FY,4,1),0))-MAX($E276,DATE(cfg_FY,4,1))+1)*(1-IF($M276="نعم",0,N($J276))))</f>
        <v>0</v>
      </c>
      <c r="Z276" s="65" t="n">
        <f aca="false">IF(OR($B276="",$E276="",$F276=""),0,MAX(0,MIN($F276,EOMONTH(DATE(cfg_FY,5,1),0))-MAX($E276,DATE(cfg_FY,5,1))+1)*(1-IF($M276="نعم",0,N($J276))))</f>
        <v>0</v>
      </c>
      <c r="AA276" s="65" t="n">
        <f aca="false">IF(OR($B276="",$E276="",$F276=""),0,MAX(0,MIN($F276,EOMONTH(DATE(cfg_FY,6,1),0))-MAX($E276,DATE(cfg_FY,6,1))+1)*(1-IF($M276="نعم",0,N($J276))))</f>
        <v>0</v>
      </c>
      <c r="AB276" s="65" t="n">
        <f aca="false">IF(OR($B276="",$E276="",$F276=""),0,MAX(0,MIN($F276,EOMONTH(DATE(cfg_FY,7,1),0))-MAX($E276,DATE(cfg_FY,7,1))+1)*(1-IF($M276="نعم",0,N($J276))))</f>
        <v>0</v>
      </c>
      <c r="AC276" s="65" t="n">
        <f aca="false">IF(OR($B276="",$E276="",$F276=""),0,MAX(0,MIN($F276,EOMONTH(DATE(cfg_FY,8,1),0))-MAX($E276,DATE(cfg_FY,8,1))+1)*(1-IF($M276="نعم",0,N($J276))))</f>
        <v>0</v>
      </c>
      <c r="AD276" s="65" t="n">
        <f aca="false">IF(OR($B276="",$E276="",$F276=""),0,MAX(0,MIN($F276,EOMONTH(DATE(cfg_FY,9,1),0))-MAX($E276,DATE(cfg_FY,9,1))+1)*(1-IF($M276="نعم",0,N($J276))))</f>
        <v>0</v>
      </c>
      <c r="AE276" s="65" t="n">
        <f aca="false">IF(OR($B276="",$E276="",$F276=""),0,MAX(0,MIN($F276,EOMONTH(DATE(cfg_FY,10,1),0))-MAX($E276,DATE(cfg_FY,10,1))+1)*(1-IF($M276="نعم",0,N($J276))))</f>
        <v>0</v>
      </c>
      <c r="AF276" s="65" t="n">
        <f aca="false">IF(OR($B276="",$E276="",$F276=""),0,MAX(0,MIN($F276,EOMONTH(DATE(cfg_FY,11,1),0))-MAX($E276,DATE(cfg_FY,11,1))+1)*(1-IF($M276="نعم",0,N($J276))))</f>
        <v>0</v>
      </c>
      <c r="AG276" s="65" t="n">
        <f aca="false">IF(OR($B276="",$E276="",$F276=""),0,MAX(0,MIN($F276,EOMONTH(DATE(cfg_FY,12,1),0))-MAX($E276,DATE(cfg_FY,12,1))+1)*(1-IF($M276="نعم",0,N($J276))))</f>
        <v>0</v>
      </c>
      <c r="AH276" s="65" t="n">
        <f aca="false">IF(OR(OR($B276="",$E276="",$F276=""),$L276&lt;&gt;"لا"),0,MAX(0,MIN($F276,EOMONTH(DATE(cfg_FY,1,1),0))-$E276+1))</f>
        <v>0</v>
      </c>
      <c r="AI276" s="65" t="n">
        <f aca="false">IF(OR(OR($B276="",$E276="",$F276=""),$L276&lt;&gt;"لا"),0,MAX(0,MIN($F276,EOMONTH(DATE(cfg_FY,2,1),0))-$E276+1))</f>
        <v>0</v>
      </c>
      <c r="AJ276" s="65" t="n">
        <f aca="false">IF(OR(OR($B276="",$E276="",$F276=""),$L276&lt;&gt;"لا"),0,MAX(0,MIN($F276,EOMONTH(DATE(cfg_FY,3,1),0))-$E276+1))</f>
        <v>0</v>
      </c>
      <c r="AK276" s="65" t="n">
        <f aca="false">IF(OR(OR($B276="",$E276="",$F276=""),$L276&lt;&gt;"لا"),0,MAX(0,MIN($F276,EOMONTH(DATE(cfg_FY,4,1),0))-$E276+1))</f>
        <v>0</v>
      </c>
      <c r="AL276" s="65" t="n">
        <f aca="false">IF(OR(OR($B276="",$E276="",$F276=""),$L276&lt;&gt;"لا"),0,MAX(0,MIN($F276,EOMONTH(DATE(cfg_FY,5,1),0))-$E276+1))</f>
        <v>0</v>
      </c>
      <c r="AM276" s="65" t="n">
        <f aca="false">IF(OR(OR($B276="",$E276="",$F276=""),$L276&lt;&gt;"لا"),0,MAX(0,MIN($F276,EOMONTH(DATE(cfg_FY,6,1),0))-$E276+1))</f>
        <v>0</v>
      </c>
      <c r="AN276" s="65" t="n">
        <f aca="false">IF(OR(OR($B276="",$E276="",$F276=""),$L276&lt;&gt;"لا"),0,MAX(0,MIN($F276,EOMONTH(DATE(cfg_FY,7,1),0))-$E276+1))</f>
        <v>0</v>
      </c>
      <c r="AO276" s="65" t="n">
        <f aca="false">IF(OR(OR($B276="",$E276="",$F276=""),$L276&lt;&gt;"لا"),0,MAX(0,MIN($F276,EOMONTH(DATE(cfg_FY,8,1),0))-$E276+1))</f>
        <v>0</v>
      </c>
      <c r="AP276" s="65" t="n">
        <f aca="false">IF(OR(OR($B276="",$E276="",$F276=""),$L276&lt;&gt;"لا"),0,MAX(0,MIN($F276,EOMONTH(DATE(cfg_FY,9,1),0))-$E276+1))</f>
        <v>0</v>
      </c>
      <c r="AQ276" s="65" t="n">
        <f aca="false">IF(OR(OR($B276="",$E276="",$F276=""),$L276&lt;&gt;"لا"),0,MAX(0,MIN($F276,EOMONTH(DATE(cfg_FY,10,1),0))-$E276+1))</f>
        <v>0</v>
      </c>
      <c r="AR276" s="65" t="n">
        <f aca="false">IF(OR(OR($B276="",$E276="",$F276=""),$L276&lt;&gt;"لا"),0,MAX(0,MIN($F276,EOMONTH(DATE(cfg_FY,11,1),0))-$E276+1))</f>
        <v>0</v>
      </c>
      <c r="AS276" s="65" t="n">
        <f aca="false">IF(OR(OR($B276="",$E276="",$F276=""),$L276&lt;&gt;"لا"),0,MAX(0,MIN($F276,EOMONTH(DATE(cfg_FY,12,1),0))-$E276+1))</f>
        <v>0</v>
      </c>
      <c r="AT276" s="65" t="n">
        <f aca="false">IF(OR(OR($B276="",$E276="",$F276=""),$K276&lt;&gt;"نعم",$M276="نعم"),0,MAX(0,MIN($F276,EOMONTH(DATE(cfg_FY,1,1),0))-MAX($E276,DATE(cfg_FY,1,1))+1))</f>
        <v>0</v>
      </c>
      <c r="AU276" s="65" t="n">
        <f aca="false">IF(OR(OR($B276="",$E276="",$F276=""),$K276&lt;&gt;"نعم",$M276="نعم"),0,MAX(0,MIN($F276,EOMONTH(DATE(cfg_FY,2,1),0))-MAX($E276,DATE(cfg_FY,2,1))+1))</f>
        <v>0</v>
      </c>
      <c r="AV276" s="65" t="n">
        <f aca="false">IF(OR(OR($B276="",$E276="",$F276=""),$K276&lt;&gt;"نعم",$M276="نعم"),0,MAX(0,MIN($F276,EOMONTH(DATE(cfg_FY,3,1),0))-MAX($E276,DATE(cfg_FY,3,1))+1))</f>
        <v>0</v>
      </c>
      <c r="AW276" s="65" t="n">
        <f aca="false">IF(OR(OR($B276="",$E276="",$F276=""),$K276&lt;&gt;"نعم",$M276="نعم"),0,MAX(0,MIN($F276,EOMONTH(DATE(cfg_FY,4,1),0))-MAX($E276,DATE(cfg_FY,4,1))+1))</f>
        <v>0</v>
      </c>
      <c r="AX276" s="65" t="n">
        <f aca="false">IF(OR(OR($B276="",$E276="",$F276=""),$K276&lt;&gt;"نعم",$M276="نعم"),0,MAX(0,MIN($F276,EOMONTH(DATE(cfg_FY,5,1),0))-MAX($E276,DATE(cfg_FY,5,1))+1))</f>
        <v>0</v>
      </c>
      <c r="AY276" s="65" t="n">
        <f aca="false">IF(OR(OR($B276="",$E276="",$F276=""),$K276&lt;&gt;"نعم",$M276="نعم"),0,MAX(0,MIN($F276,EOMONTH(DATE(cfg_FY,6,1),0))-MAX($E276,DATE(cfg_FY,6,1))+1))</f>
        <v>0</v>
      </c>
      <c r="AZ276" s="65" t="n">
        <f aca="false">IF(OR(OR($B276="",$E276="",$F276=""),$K276&lt;&gt;"نعم",$M276="نعم"),0,MAX(0,MIN($F276,EOMONTH(DATE(cfg_FY,7,1),0))-MAX($E276,DATE(cfg_FY,7,1))+1))</f>
        <v>0</v>
      </c>
      <c r="BA276" s="65" t="n">
        <f aca="false">IF(OR(OR($B276="",$E276="",$F276=""),$K276&lt;&gt;"نعم",$M276="نعم"),0,MAX(0,MIN($F276,EOMONTH(DATE(cfg_FY,8,1),0))-MAX($E276,DATE(cfg_FY,8,1))+1))</f>
        <v>0</v>
      </c>
      <c r="BB276" s="65" t="n">
        <f aca="false">IF(OR(OR($B276="",$E276="",$F276=""),$K276&lt;&gt;"نعم",$M276="نعم"),0,MAX(0,MIN($F276,EOMONTH(DATE(cfg_FY,9,1),0))-MAX($E276,DATE(cfg_FY,9,1))+1))</f>
        <v>0</v>
      </c>
      <c r="BC276" s="65" t="n">
        <f aca="false">IF(OR(OR($B276="",$E276="",$F276=""),$K276&lt;&gt;"نعم",$M276="نعم"),0,MAX(0,MIN($F276,EOMONTH(DATE(cfg_FY,10,1),0))-MAX($E276,DATE(cfg_FY,10,1))+1))</f>
        <v>0</v>
      </c>
      <c r="BD276" s="65" t="n">
        <f aca="false">IF(OR(OR($B276="",$E276="",$F276=""),$K276&lt;&gt;"نعم",$M276="نعم"),0,MAX(0,MIN($F276,EOMONTH(DATE(cfg_FY,11,1),0))-MAX($E276,DATE(cfg_FY,11,1))+1))</f>
        <v>0</v>
      </c>
      <c r="BE276" s="65" t="n">
        <f aca="false">IF(OR(OR($B276="",$E276="",$F276=""),$K276&lt;&gt;"نعم",$M276="نعم"),0,MAX(0,MIN($F276,EOMONTH(DATE(cfg_FY,12,1),0))-MAX($E276,DATE(cfg_FY,12,1))+1))</f>
        <v>0</v>
      </c>
    </row>
    <row r="277" customFormat="false" ht="15" hidden="false" customHeight="false" outlineLevel="0" collapsed="false">
      <c r="A277" s="115" t="str">
        <f aca="false">IF(B277="","",ROW()-5)</f>
        <v/>
      </c>
      <c r="B277" s="118"/>
      <c r="C277" s="117" t="str">
        <f aca="false">IF(B277="","",IFERROR(INDEX(الموظفون!$C$6:$C$105,MATCH(B277,الموظفون!$B$6:$B$105,0)),"✖ رقم غير موجود"))</f>
        <v/>
      </c>
      <c r="D277" s="118"/>
      <c r="E277" s="119"/>
      <c r="F277" s="119"/>
      <c r="G277" s="133" t="str">
        <f aca="false">IF(OR($B277="",$E277="",$F277=""),"",MAX(0,F277-E277+1))</f>
        <v/>
      </c>
      <c r="H277" s="134" t="str">
        <f aca="false">IF(D277="","",IFERROR(VLOOKUP(D277,cfg_LT,2,FALSE()),1))</f>
        <v/>
      </c>
      <c r="I277" s="135"/>
      <c r="J277" s="134" t="str">
        <f aca="false">IF(D277="","",IF(I277&lt;&gt;"",I277,H277))</f>
        <v/>
      </c>
      <c r="K277" s="117" t="str">
        <f aca="false">IF(D277="","",IFERROR(VLOOKUP($D277,cfg_LT,3,FALSE()),""))</f>
        <v/>
      </c>
      <c r="L277" s="117" t="str">
        <f aca="false">IF(D277="","",IFERROR(VLOOKUP($D277,cfg_LT,4,FALSE()),""))</f>
        <v/>
      </c>
      <c r="M277" s="117" t="str">
        <f aca="false">IF(D277="","",IFERROR(VLOOKUP($D277,cfg_LT,5,FALSE()),""))</f>
        <v/>
      </c>
      <c r="N277" s="116" t="n">
        <f aca="false">IF(OR(OR($B277="",$E277="",$F277=""),M277&lt;&gt;"نعم"),0,G277*J277*IFERROR(INDEX(الموظفون!$R$6:$R$105,MATCH(B277,الموظفون!$B$6:$B$105,0)),0)/cfg_DAYS_M)</f>
        <v>0</v>
      </c>
      <c r="O277" s="115" t="str">
        <f aca="false">IF(OR(OR($B277="",$E277="",$F277=""),M277&lt;&gt;"نعم"),"",IF(YEAR(E277)=cfg_FY,MONTH(E277),""))</f>
        <v/>
      </c>
      <c r="P277" s="117" t="str">
        <f aca="false">IF(B277="","",IF(OR(D277="",E277="",F277=""),"⚠ أكمل النوع والتواريخ",IF(F277&lt;E277,"✖ النهاية قبل البداية",IF(COUNTIFS($B$6:$B$505,B277,$E$6:$E$505,"&lt;="&amp;F277,$F$6:$F$505,"&gt;="&amp;E277)&gt;1,"⚠ تداخل مع سجل آخر",IF(E277&gt;cfg_VAL_DATE,"⏳ قادمة",IF(F277&lt;cfg_VAL_DATE,"✔ منتهية","✈ جارية في تاريخ التقرير"))))))</f>
        <v/>
      </c>
      <c r="Q277" s="118"/>
      <c r="R277" s="133" t="n">
        <f aca="false">IF(OR(OR($B277="",$E277="",$F277=""),L277&lt;&gt;"لا"),0,MAX(0,MIN(F277,cfg_Y_START-1)-E277+1))</f>
        <v>0</v>
      </c>
      <c r="S277" s="133" t="n">
        <f aca="false">IF(OR(OR($B277="",$E277="",$F277=""),L277&lt;&gt;"لا"),0,MAX(0,MIN(F277,cfg_VAL_DATE)-E277+1))</f>
        <v>0</v>
      </c>
      <c r="T277" s="133" t="n">
        <f aca="false">IF(OR(OR($B277="",$E277="",$F277=""),K277&lt;&gt;"نعم"),0,IF(M277="نعم",IF(AND(ISNUMBER(O277),N(O277)&lt;=cfg_VAL_M),G277,0),MAX(0,MIN(F277,cfg_VAL_DATE)-MAX(E277,cfg_Y_START)+1)))</f>
        <v>0</v>
      </c>
      <c r="V277" s="133" t="n">
        <f aca="false">IF(OR($B277="",$E277="",$F277=""),0,MAX(0,MIN($F277,EOMONTH(DATE(cfg_FY,1,1),0))-MAX($E277,DATE(cfg_FY,1,1))+1)*(1-IF($M277="نعم",0,N($J277))))</f>
        <v>0</v>
      </c>
      <c r="W277" s="133" t="n">
        <f aca="false">IF(OR($B277="",$E277="",$F277=""),0,MAX(0,MIN($F277,EOMONTH(DATE(cfg_FY,2,1),0))-MAX($E277,DATE(cfg_FY,2,1))+1)*(1-IF($M277="نعم",0,N($J277))))</f>
        <v>0</v>
      </c>
      <c r="X277" s="133" t="n">
        <f aca="false">IF(OR($B277="",$E277="",$F277=""),0,MAX(0,MIN($F277,EOMONTH(DATE(cfg_FY,3,1),0))-MAX($E277,DATE(cfg_FY,3,1))+1)*(1-IF($M277="نعم",0,N($J277))))</f>
        <v>0</v>
      </c>
      <c r="Y277" s="133" t="n">
        <f aca="false">IF(OR($B277="",$E277="",$F277=""),0,MAX(0,MIN($F277,EOMONTH(DATE(cfg_FY,4,1),0))-MAX($E277,DATE(cfg_FY,4,1))+1)*(1-IF($M277="نعم",0,N($J277))))</f>
        <v>0</v>
      </c>
      <c r="Z277" s="133" t="n">
        <f aca="false">IF(OR($B277="",$E277="",$F277=""),0,MAX(0,MIN($F277,EOMONTH(DATE(cfg_FY,5,1),0))-MAX($E277,DATE(cfg_FY,5,1))+1)*(1-IF($M277="نعم",0,N($J277))))</f>
        <v>0</v>
      </c>
      <c r="AA277" s="133" t="n">
        <f aca="false">IF(OR($B277="",$E277="",$F277=""),0,MAX(0,MIN($F277,EOMONTH(DATE(cfg_FY,6,1),0))-MAX($E277,DATE(cfg_FY,6,1))+1)*(1-IF($M277="نعم",0,N($J277))))</f>
        <v>0</v>
      </c>
      <c r="AB277" s="133" t="n">
        <f aca="false">IF(OR($B277="",$E277="",$F277=""),0,MAX(0,MIN($F277,EOMONTH(DATE(cfg_FY,7,1),0))-MAX($E277,DATE(cfg_FY,7,1))+1)*(1-IF($M277="نعم",0,N($J277))))</f>
        <v>0</v>
      </c>
      <c r="AC277" s="133" t="n">
        <f aca="false">IF(OR($B277="",$E277="",$F277=""),0,MAX(0,MIN($F277,EOMONTH(DATE(cfg_FY,8,1),0))-MAX($E277,DATE(cfg_FY,8,1))+1)*(1-IF($M277="نعم",0,N($J277))))</f>
        <v>0</v>
      </c>
      <c r="AD277" s="133" t="n">
        <f aca="false">IF(OR($B277="",$E277="",$F277=""),0,MAX(0,MIN($F277,EOMONTH(DATE(cfg_FY,9,1),0))-MAX($E277,DATE(cfg_FY,9,1))+1)*(1-IF($M277="نعم",0,N($J277))))</f>
        <v>0</v>
      </c>
      <c r="AE277" s="133" t="n">
        <f aca="false">IF(OR($B277="",$E277="",$F277=""),0,MAX(0,MIN($F277,EOMONTH(DATE(cfg_FY,10,1),0))-MAX($E277,DATE(cfg_FY,10,1))+1)*(1-IF($M277="نعم",0,N($J277))))</f>
        <v>0</v>
      </c>
      <c r="AF277" s="133" t="n">
        <f aca="false">IF(OR($B277="",$E277="",$F277=""),0,MAX(0,MIN($F277,EOMONTH(DATE(cfg_FY,11,1),0))-MAX($E277,DATE(cfg_FY,11,1))+1)*(1-IF($M277="نعم",0,N($J277))))</f>
        <v>0</v>
      </c>
      <c r="AG277" s="133" t="n">
        <f aca="false">IF(OR($B277="",$E277="",$F277=""),0,MAX(0,MIN($F277,EOMONTH(DATE(cfg_FY,12,1),0))-MAX($E277,DATE(cfg_FY,12,1))+1)*(1-IF($M277="نعم",0,N($J277))))</f>
        <v>0</v>
      </c>
      <c r="AH277" s="133" t="n">
        <f aca="false">IF(OR(OR($B277="",$E277="",$F277=""),$L277&lt;&gt;"لا"),0,MAX(0,MIN($F277,EOMONTH(DATE(cfg_FY,1,1),0))-$E277+1))</f>
        <v>0</v>
      </c>
      <c r="AI277" s="133" t="n">
        <f aca="false">IF(OR(OR($B277="",$E277="",$F277=""),$L277&lt;&gt;"لا"),0,MAX(0,MIN($F277,EOMONTH(DATE(cfg_FY,2,1),0))-$E277+1))</f>
        <v>0</v>
      </c>
      <c r="AJ277" s="133" t="n">
        <f aca="false">IF(OR(OR($B277="",$E277="",$F277=""),$L277&lt;&gt;"لا"),0,MAX(0,MIN($F277,EOMONTH(DATE(cfg_FY,3,1),0))-$E277+1))</f>
        <v>0</v>
      </c>
      <c r="AK277" s="133" t="n">
        <f aca="false">IF(OR(OR($B277="",$E277="",$F277=""),$L277&lt;&gt;"لا"),0,MAX(0,MIN($F277,EOMONTH(DATE(cfg_FY,4,1),0))-$E277+1))</f>
        <v>0</v>
      </c>
      <c r="AL277" s="133" t="n">
        <f aca="false">IF(OR(OR($B277="",$E277="",$F277=""),$L277&lt;&gt;"لا"),0,MAX(0,MIN($F277,EOMONTH(DATE(cfg_FY,5,1),0))-$E277+1))</f>
        <v>0</v>
      </c>
      <c r="AM277" s="133" t="n">
        <f aca="false">IF(OR(OR($B277="",$E277="",$F277=""),$L277&lt;&gt;"لا"),0,MAX(0,MIN($F277,EOMONTH(DATE(cfg_FY,6,1),0))-$E277+1))</f>
        <v>0</v>
      </c>
      <c r="AN277" s="133" t="n">
        <f aca="false">IF(OR(OR($B277="",$E277="",$F277=""),$L277&lt;&gt;"لا"),0,MAX(0,MIN($F277,EOMONTH(DATE(cfg_FY,7,1),0))-$E277+1))</f>
        <v>0</v>
      </c>
      <c r="AO277" s="133" t="n">
        <f aca="false">IF(OR(OR($B277="",$E277="",$F277=""),$L277&lt;&gt;"لا"),0,MAX(0,MIN($F277,EOMONTH(DATE(cfg_FY,8,1),0))-$E277+1))</f>
        <v>0</v>
      </c>
      <c r="AP277" s="133" t="n">
        <f aca="false">IF(OR(OR($B277="",$E277="",$F277=""),$L277&lt;&gt;"لا"),0,MAX(0,MIN($F277,EOMONTH(DATE(cfg_FY,9,1),0))-$E277+1))</f>
        <v>0</v>
      </c>
      <c r="AQ277" s="133" t="n">
        <f aca="false">IF(OR(OR($B277="",$E277="",$F277=""),$L277&lt;&gt;"لا"),0,MAX(0,MIN($F277,EOMONTH(DATE(cfg_FY,10,1),0))-$E277+1))</f>
        <v>0</v>
      </c>
      <c r="AR277" s="133" t="n">
        <f aca="false">IF(OR(OR($B277="",$E277="",$F277=""),$L277&lt;&gt;"لا"),0,MAX(0,MIN($F277,EOMONTH(DATE(cfg_FY,11,1),0))-$E277+1))</f>
        <v>0</v>
      </c>
      <c r="AS277" s="133" t="n">
        <f aca="false">IF(OR(OR($B277="",$E277="",$F277=""),$L277&lt;&gt;"لا"),0,MAX(0,MIN($F277,EOMONTH(DATE(cfg_FY,12,1),0))-$E277+1))</f>
        <v>0</v>
      </c>
      <c r="AT277" s="133" t="n">
        <f aca="false">IF(OR(OR($B277="",$E277="",$F277=""),$K277&lt;&gt;"نعم",$M277="نعم"),0,MAX(0,MIN($F277,EOMONTH(DATE(cfg_FY,1,1),0))-MAX($E277,DATE(cfg_FY,1,1))+1))</f>
        <v>0</v>
      </c>
      <c r="AU277" s="133" t="n">
        <f aca="false">IF(OR(OR($B277="",$E277="",$F277=""),$K277&lt;&gt;"نعم",$M277="نعم"),0,MAX(0,MIN($F277,EOMONTH(DATE(cfg_FY,2,1),0))-MAX($E277,DATE(cfg_FY,2,1))+1))</f>
        <v>0</v>
      </c>
      <c r="AV277" s="133" t="n">
        <f aca="false">IF(OR(OR($B277="",$E277="",$F277=""),$K277&lt;&gt;"نعم",$M277="نعم"),0,MAX(0,MIN($F277,EOMONTH(DATE(cfg_FY,3,1),0))-MAX($E277,DATE(cfg_FY,3,1))+1))</f>
        <v>0</v>
      </c>
      <c r="AW277" s="133" t="n">
        <f aca="false">IF(OR(OR($B277="",$E277="",$F277=""),$K277&lt;&gt;"نعم",$M277="نعم"),0,MAX(0,MIN($F277,EOMONTH(DATE(cfg_FY,4,1),0))-MAX($E277,DATE(cfg_FY,4,1))+1))</f>
        <v>0</v>
      </c>
      <c r="AX277" s="133" t="n">
        <f aca="false">IF(OR(OR($B277="",$E277="",$F277=""),$K277&lt;&gt;"نعم",$M277="نعم"),0,MAX(0,MIN($F277,EOMONTH(DATE(cfg_FY,5,1),0))-MAX($E277,DATE(cfg_FY,5,1))+1))</f>
        <v>0</v>
      </c>
      <c r="AY277" s="133" t="n">
        <f aca="false">IF(OR(OR($B277="",$E277="",$F277=""),$K277&lt;&gt;"نعم",$M277="نعم"),0,MAX(0,MIN($F277,EOMONTH(DATE(cfg_FY,6,1),0))-MAX($E277,DATE(cfg_FY,6,1))+1))</f>
        <v>0</v>
      </c>
      <c r="AZ277" s="133" t="n">
        <f aca="false">IF(OR(OR($B277="",$E277="",$F277=""),$K277&lt;&gt;"نعم",$M277="نعم"),0,MAX(0,MIN($F277,EOMONTH(DATE(cfg_FY,7,1),0))-MAX($E277,DATE(cfg_FY,7,1))+1))</f>
        <v>0</v>
      </c>
      <c r="BA277" s="133" t="n">
        <f aca="false">IF(OR(OR($B277="",$E277="",$F277=""),$K277&lt;&gt;"نعم",$M277="نعم"),0,MAX(0,MIN($F277,EOMONTH(DATE(cfg_FY,8,1),0))-MAX($E277,DATE(cfg_FY,8,1))+1))</f>
        <v>0</v>
      </c>
      <c r="BB277" s="133" t="n">
        <f aca="false">IF(OR(OR($B277="",$E277="",$F277=""),$K277&lt;&gt;"نعم",$M277="نعم"),0,MAX(0,MIN($F277,EOMONTH(DATE(cfg_FY,9,1),0))-MAX($E277,DATE(cfg_FY,9,1))+1))</f>
        <v>0</v>
      </c>
      <c r="BC277" s="133" t="n">
        <f aca="false">IF(OR(OR($B277="",$E277="",$F277=""),$K277&lt;&gt;"نعم",$M277="نعم"),0,MAX(0,MIN($F277,EOMONTH(DATE(cfg_FY,10,1),0))-MAX($E277,DATE(cfg_FY,10,1))+1))</f>
        <v>0</v>
      </c>
      <c r="BD277" s="133" t="n">
        <f aca="false">IF(OR(OR($B277="",$E277="",$F277=""),$K277&lt;&gt;"نعم",$M277="نعم"),0,MAX(0,MIN($F277,EOMONTH(DATE(cfg_FY,11,1),0))-MAX($E277,DATE(cfg_FY,11,1))+1))</f>
        <v>0</v>
      </c>
      <c r="BE277" s="133" t="n">
        <f aca="false">IF(OR(OR($B277="",$E277="",$F277=""),$K277&lt;&gt;"نعم",$M277="نعم"),0,MAX(0,MIN($F277,EOMONTH(DATE(cfg_FY,12,1),0))-MAX($E277,DATE(cfg_FY,12,1))+1))</f>
        <v>0</v>
      </c>
    </row>
    <row r="278" customFormat="false" ht="15" hidden="false" customHeight="false" outlineLevel="0" collapsed="false">
      <c r="A278" s="106" t="str">
        <f aca="false">IF(B278="","",ROW()-5)</f>
        <v/>
      </c>
      <c r="B278" s="118"/>
      <c r="C278" s="114" t="str">
        <f aca="false">IF(B278="","",IFERROR(INDEX(الموظفون!$C$6:$C$105,MATCH(B278,الموظفون!$B$6:$B$105,0)),"✖ رقم غير موجود"))</f>
        <v/>
      </c>
      <c r="D278" s="118"/>
      <c r="E278" s="119"/>
      <c r="F278" s="119"/>
      <c r="G278" s="65" t="str">
        <f aca="false">IF(OR($B278="",$E278="",$F278=""),"",MAX(0,F278-E278+1))</f>
        <v/>
      </c>
      <c r="H278" s="66" t="str">
        <f aca="false">IF(D278="","",IFERROR(VLOOKUP(D278,cfg_LT,2,FALSE()),1))</f>
        <v/>
      </c>
      <c r="I278" s="135"/>
      <c r="J278" s="66" t="str">
        <f aca="false">IF(D278="","",IF(I278&lt;&gt;"",I278,H278))</f>
        <v/>
      </c>
      <c r="K278" s="114" t="str">
        <f aca="false">IF(D278="","",IFERROR(VLOOKUP($D278,cfg_LT,3,FALSE()),""))</f>
        <v/>
      </c>
      <c r="L278" s="114" t="str">
        <f aca="false">IF(D278="","",IFERROR(VLOOKUP($D278,cfg_LT,4,FALSE()),""))</f>
        <v/>
      </c>
      <c r="M278" s="114" t="str">
        <f aca="false">IF(D278="","",IFERROR(VLOOKUP($D278,cfg_LT,5,FALSE()),""))</f>
        <v/>
      </c>
      <c r="N278" s="111" t="n">
        <f aca="false">IF(OR(OR($B278="",$E278="",$F278=""),M278&lt;&gt;"نعم"),0,G278*J278*IFERROR(INDEX(الموظفون!$R$6:$R$105,MATCH(B278,الموظفون!$B$6:$B$105,0)),0)/cfg_DAYS_M)</f>
        <v>0</v>
      </c>
      <c r="O278" s="106" t="str">
        <f aca="false">IF(OR(OR($B278="",$E278="",$F278=""),M278&lt;&gt;"نعم"),"",IF(YEAR(E278)=cfg_FY,MONTH(E278),""))</f>
        <v/>
      </c>
      <c r="P278" s="114" t="str">
        <f aca="false">IF(B278="","",IF(OR(D278="",E278="",F278=""),"⚠ أكمل النوع والتواريخ",IF(F278&lt;E278,"✖ النهاية قبل البداية",IF(COUNTIFS($B$6:$B$505,B278,$E$6:$E$505,"&lt;="&amp;F278,$F$6:$F$505,"&gt;="&amp;E278)&gt;1,"⚠ تداخل مع سجل آخر",IF(E278&gt;cfg_VAL_DATE,"⏳ قادمة",IF(F278&lt;cfg_VAL_DATE,"✔ منتهية","✈ جارية في تاريخ التقرير"))))))</f>
        <v/>
      </c>
      <c r="Q278" s="118"/>
      <c r="R278" s="65" t="n">
        <f aca="false">IF(OR(OR($B278="",$E278="",$F278=""),L278&lt;&gt;"لا"),0,MAX(0,MIN(F278,cfg_Y_START-1)-E278+1))</f>
        <v>0</v>
      </c>
      <c r="S278" s="65" t="n">
        <f aca="false">IF(OR(OR($B278="",$E278="",$F278=""),L278&lt;&gt;"لا"),0,MAX(0,MIN(F278,cfg_VAL_DATE)-E278+1))</f>
        <v>0</v>
      </c>
      <c r="T278" s="65" t="n">
        <f aca="false">IF(OR(OR($B278="",$E278="",$F278=""),K278&lt;&gt;"نعم"),0,IF(M278="نعم",IF(AND(ISNUMBER(O278),N(O278)&lt;=cfg_VAL_M),G278,0),MAX(0,MIN(F278,cfg_VAL_DATE)-MAX(E278,cfg_Y_START)+1)))</f>
        <v>0</v>
      </c>
      <c r="V278" s="65" t="n">
        <f aca="false">IF(OR($B278="",$E278="",$F278=""),0,MAX(0,MIN($F278,EOMONTH(DATE(cfg_FY,1,1),0))-MAX($E278,DATE(cfg_FY,1,1))+1)*(1-IF($M278="نعم",0,N($J278))))</f>
        <v>0</v>
      </c>
      <c r="W278" s="65" t="n">
        <f aca="false">IF(OR($B278="",$E278="",$F278=""),0,MAX(0,MIN($F278,EOMONTH(DATE(cfg_FY,2,1),0))-MAX($E278,DATE(cfg_FY,2,1))+1)*(1-IF($M278="نعم",0,N($J278))))</f>
        <v>0</v>
      </c>
      <c r="X278" s="65" t="n">
        <f aca="false">IF(OR($B278="",$E278="",$F278=""),0,MAX(0,MIN($F278,EOMONTH(DATE(cfg_FY,3,1),0))-MAX($E278,DATE(cfg_FY,3,1))+1)*(1-IF($M278="نعم",0,N($J278))))</f>
        <v>0</v>
      </c>
      <c r="Y278" s="65" t="n">
        <f aca="false">IF(OR($B278="",$E278="",$F278=""),0,MAX(0,MIN($F278,EOMONTH(DATE(cfg_FY,4,1),0))-MAX($E278,DATE(cfg_FY,4,1))+1)*(1-IF($M278="نعم",0,N($J278))))</f>
        <v>0</v>
      </c>
      <c r="Z278" s="65" t="n">
        <f aca="false">IF(OR($B278="",$E278="",$F278=""),0,MAX(0,MIN($F278,EOMONTH(DATE(cfg_FY,5,1),0))-MAX($E278,DATE(cfg_FY,5,1))+1)*(1-IF($M278="نعم",0,N($J278))))</f>
        <v>0</v>
      </c>
      <c r="AA278" s="65" t="n">
        <f aca="false">IF(OR($B278="",$E278="",$F278=""),0,MAX(0,MIN($F278,EOMONTH(DATE(cfg_FY,6,1),0))-MAX($E278,DATE(cfg_FY,6,1))+1)*(1-IF($M278="نعم",0,N($J278))))</f>
        <v>0</v>
      </c>
      <c r="AB278" s="65" t="n">
        <f aca="false">IF(OR($B278="",$E278="",$F278=""),0,MAX(0,MIN($F278,EOMONTH(DATE(cfg_FY,7,1),0))-MAX($E278,DATE(cfg_FY,7,1))+1)*(1-IF($M278="نعم",0,N($J278))))</f>
        <v>0</v>
      </c>
      <c r="AC278" s="65" t="n">
        <f aca="false">IF(OR($B278="",$E278="",$F278=""),0,MAX(0,MIN($F278,EOMONTH(DATE(cfg_FY,8,1),0))-MAX($E278,DATE(cfg_FY,8,1))+1)*(1-IF($M278="نعم",0,N($J278))))</f>
        <v>0</v>
      </c>
      <c r="AD278" s="65" t="n">
        <f aca="false">IF(OR($B278="",$E278="",$F278=""),0,MAX(0,MIN($F278,EOMONTH(DATE(cfg_FY,9,1),0))-MAX($E278,DATE(cfg_FY,9,1))+1)*(1-IF($M278="نعم",0,N($J278))))</f>
        <v>0</v>
      </c>
      <c r="AE278" s="65" t="n">
        <f aca="false">IF(OR($B278="",$E278="",$F278=""),0,MAX(0,MIN($F278,EOMONTH(DATE(cfg_FY,10,1),0))-MAX($E278,DATE(cfg_FY,10,1))+1)*(1-IF($M278="نعم",0,N($J278))))</f>
        <v>0</v>
      </c>
      <c r="AF278" s="65" t="n">
        <f aca="false">IF(OR($B278="",$E278="",$F278=""),0,MAX(0,MIN($F278,EOMONTH(DATE(cfg_FY,11,1),0))-MAX($E278,DATE(cfg_FY,11,1))+1)*(1-IF($M278="نعم",0,N($J278))))</f>
        <v>0</v>
      </c>
      <c r="AG278" s="65" t="n">
        <f aca="false">IF(OR($B278="",$E278="",$F278=""),0,MAX(0,MIN($F278,EOMONTH(DATE(cfg_FY,12,1),0))-MAX($E278,DATE(cfg_FY,12,1))+1)*(1-IF($M278="نعم",0,N($J278))))</f>
        <v>0</v>
      </c>
      <c r="AH278" s="65" t="n">
        <f aca="false">IF(OR(OR($B278="",$E278="",$F278=""),$L278&lt;&gt;"لا"),0,MAX(0,MIN($F278,EOMONTH(DATE(cfg_FY,1,1),0))-$E278+1))</f>
        <v>0</v>
      </c>
      <c r="AI278" s="65" t="n">
        <f aca="false">IF(OR(OR($B278="",$E278="",$F278=""),$L278&lt;&gt;"لا"),0,MAX(0,MIN($F278,EOMONTH(DATE(cfg_FY,2,1),0))-$E278+1))</f>
        <v>0</v>
      </c>
      <c r="AJ278" s="65" t="n">
        <f aca="false">IF(OR(OR($B278="",$E278="",$F278=""),$L278&lt;&gt;"لا"),0,MAX(0,MIN($F278,EOMONTH(DATE(cfg_FY,3,1),0))-$E278+1))</f>
        <v>0</v>
      </c>
      <c r="AK278" s="65" t="n">
        <f aca="false">IF(OR(OR($B278="",$E278="",$F278=""),$L278&lt;&gt;"لا"),0,MAX(0,MIN($F278,EOMONTH(DATE(cfg_FY,4,1),0))-$E278+1))</f>
        <v>0</v>
      </c>
      <c r="AL278" s="65" t="n">
        <f aca="false">IF(OR(OR($B278="",$E278="",$F278=""),$L278&lt;&gt;"لا"),0,MAX(0,MIN($F278,EOMONTH(DATE(cfg_FY,5,1),0))-$E278+1))</f>
        <v>0</v>
      </c>
      <c r="AM278" s="65" t="n">
        <f aca="false">IF(OR(OR($B278="",$E278="",$F278=""),$L278&lt;&gt;"لا"),0,MAX(0,MIN($F278,EOMONTH(DATE(cfg_FY,6,1),0))-$E278+1))</f>
        <v>0</v>
      </c>
      <c r="AN278" s="65" t="n">
        <f aca="false">IF(OR(OR($B278="",$E278="",$F278=""),$L278&lt;&gt;"لا"),0,MAX(0,MIN($F278,EOMONTH(DATE(cfg_FY,7,1),0))-$E278+1))</f>
        <v>0</v>
      </c>
      <c r="AO278" s="65" t="n">
        <f aca="false">IF(OR(OR($B278="",$E278="",$F278=""),$L278&lt;&gt;"لا"),0,MAX(0,MIN($F278,EOMONTH(DATE(cfg_FY,8,1),0))-$E278+1))</f>
        <v>0</v>
      </c>
      <c r="AP278" s="65" t="n">
        <f aca="false">IF(OR(OR($B278="",$E278="",$F278=""),$L278&lt;&gt;"لا"),0,MAX(0,MIN($F278,EOMONTH(DATE(cfg_FY,9,1),0))-$E278+1))</f>
        <v>0</v>
      </c>
      <c r="AQ278" s="65" t="n">
        <f aca="false">IF(OR(OR($B278="",$E278="",$F278=""),$L278&lt;&gt;"لا"),0,MAX(0,MIN($F278,EOMONTH(DATE(cfg_FY,10,1),0))-$E278+1))</f>
        <v>0</v>
      </c>
      <c r="AR278" s="65" t="n">
        <f aca="false">IF(OR(OR($B278="",$E278="",$F278=""),$L278&lt;&gt;"لا"),0,MAX(0,MIN($F278,EOMONTH(DATE(cfg_FY,11,1),0))-$E278+1))</f>
        <v>0</v>
      </c>
      <c r="AS278" s="65" t="n">
        <f aca="false">IF(OR(OR($B278="",$E278="",$F278=""),$L278&lt;&gt;"لا"),0,MAX(0,MIN($F278,EOMONTH(DATE(cfg_FY,12,1),0))-$E278+1))</f>
        <v>0</v>
      </c>
      <c r="AT278" s="65" t="n">
        <f aca="false">IF(OR(OR($B278="",$E278="",$F278=""),$K278&lt;&gt;"نعم",$M278="نعم"),0,MAX(0,MIN($F278,EOMONTH(DATE(cfg_FY,1,1),0))-MAX($E278,DATE(cfg_FY,1,1))+1))</f>
        <v>0</v>
      </c>
      <c r="AU278" s="65" t="n">
        <f aca="false">IF(OR(OR($B278="",$E278="",$F278=""),$K278&lt;&gt;"نعم",$M278="نعم"),0,MAX(0,MIN($F278,EOMONTH(DATE(cfg_FY,2,1),0))-MAX($E278,DATE(cfg_FY,2,1))+1))</f>
        <v>0</v>
      </c>
      <c r="AV278" s="65" t="n">
        <f aca="false">IF(OR(OR($B278="",$E278="",$F278=""),$K278&lt;&gt;"نعم",$M278="نعم"),0,MAX(0,MIN($F278,EOMONTH(DATE(cfg_FY,3,1),0))-MAX($E278,DATE(cfg_FY,3,1))+1))</f>
        <v>0</v>
      </c>
      <c r="AW278" s="65" t="n">
        <f aca="false">IF(OR(OR($B278="",$E278="",$F278=""),$K278&lt;&gt;"نعم",$M278="نعم"),0,MAX(0,MIN($F278,EOMONTH(DATE(cfg_FY,4,1),0))-MAX($E278,DATE(cfg_FY,4,1))+1))</f>
        <v>0</v>
      </c>
      <c r="AX278" s="65" t="n">
        <f aca="false">IF(OR(OR($B278="",$E278="",$F278=""),$K278&lt;&gt;"نعم",$M278="نعم"),0,MAX(0,MIN($F278,EOMONTH(DATE(cfg_FY,5,1),0))-MAX($E278,DATE(cfg_FY,5,1))+1))</f>
        <v>0</v>
      </c>
      <c r="AY278" s="65" t="n">
        <f aca="false">IF(OR(OR($B278="",$E278="",$F278=""),$K278&lt;&gt;"نعم",$M278="نعم"),0,MAX(0,MIN($F278,EOMONTH(DATE(cfg_FY,6,1),0))-MAX($E278,DATE(cfg_FY,6,1))+1))</f>
        <v>0</v>
      </c>
      <c r="AZ278" s="65" t="n">
        <f aca="false">IF(OR(OR($B278="",$E278="",$F278=""),$K278&lt;&gt;"نعم",$M278="نعم"),0,MAX(0,MIN($F278,EOMONTH(DATE(cfg_FY,7,1),0))-MAX($E278,DATE(cfg_FY,7,1))+1))</f>
        <v>0</v>
      </c>
      <c r="BA278" s="65" t="n">
        <f aca="false">IF(OR(OR($B278="",$E278="",$F278=""),$K278&lt;&gt;"نعم",$M278="نعم"),0,MAX(0,MIN($F278,EOMONTH(DATE(cfg_FY,8,1),0))-MAX($E278,DATE(cfg_FY,8,1))+1))</f>
        <v>0</v>
      </c>
      <c r="BB278" s="65" t="n">
        <f aca="false">IF(OR(OR($B278="",$E278="",$F278=""),$K278&lt;&gt;"نعم",$M278="نعم"),0,MAX(0,MIN($F278,EOMONTH(DATE(cfg_FY,9,1),0))-MAX($E278,DATE(cfg_FY,9,1))+1))</f>
        <v>0</v>
      </c>
      <c r="BC278" s="65" t="n">
        <f aca="false">IF(OR(OR($B278="",$E278="",$F278=""),$K278&lt;&gt;"نعم",$M278="نعم"),0,MAX(0,MIN($F278,EOMONTH(DATE(cfg_FY,10,1),0))-MAX($E278,DATE(cfg_FY,10,1))+1))</f>
        <v>0</v>
      </c>
      <c r="BD278" s="65" t="n">
        <f aca="false">IF(OR(OR($B278="",$E278="",$F278=""),$K278&lt;&gt;"نعم",$M278="نعم"),0,MAX(0,MIN($F278,EOMONTH(DATE(cfg_FY,11,1),0))-MAX($E278,DATE(cfg_FY,11,1))+1))</f>
        <v>0</v>
      </c>
      <c r="BE278" s="65" t="n">
        <f aca="false">IF(OR(OR($B278="",$E278="",$F278=""),$K278&lt;&gt;"نعم",$M278="نعم"),0,MAX(0,MIN($F278,EOMONTH(DATE(cfg_FY,12,1),0))-MAX($E278,DATE(cfg_FY,12,1))+1))</f>
        <v>0</v>
      </c>
    </row>
    <row r="279" customFormat="false" ht="15" hidden="false" customHeight="false" outlineLevel="0" collapsed="false">
      <c r="A279" s="115" t="str">
        <f aca="false">IF(B279="","",ROW()-5)</f>
        <v/>
      </c>
      <c r="B279" s="118"/>
      <c r="C279" s="117" t="str">
        <f aca="false">IF(B279="","",IFERROR(INDEX(الموظفون!$C$6:$C$105,MATCH(B279,الموظفون!$B$6:$B$105,0)),"✖ رقم غير موجود"))</f>
        <v/>
      </c>
      <c r="D279" s="118"/>
      <c r="E279" s="119"/>
      <c r="F279" s="119"/>
      <c r="G279" s="133" t="str">
        <f aca="false">IF(OR($B279="",$E279="",$F279=""),"",MAX(0,F279-E279+1))</f>
        <v/>
      </c>
      <c r="H279" s="134" t="str">
        <f aca="false">IF(D279="","",IFERROR(VLOOKUP(D279,cfg_LT,2,FALSE()),1))</f>
        <v/>
      </c>
      <c r="I279" s="135"/>
      <c r="J279" s="134" t="str">
        <f aca="false">IF(D279="","",IF(I279&lt;&gt;"",I279,H279))</f>
        <v/>
      </c>
      <c r="K279" s="117" t="str">
        <f aca="false">IF(D279="","",IFERROR(VLOOKUP($D279,cfg_LT,3,FALSE()),""))</f>
        <v/>
      </c>
      <c r="L279" s="117" t="str">
        <f aca="false">IF(D279="","",IFERROR(VLOOKUP($D279,cfg_LT,4,FALSE()),""))</f>
        <v/>
      </c>
      <c r="M279" s="117" t="str">
        <f aca="false">IF(D279="","",IFERROR(VLOOKUP($D279,cfg_LT,5,FALSE()),""))</f>
        <v/>
      </c>
      <c r="N279" s="116" t="n">
        <f aca="false">IF(OR(OR($B279="",$E279="",$F279=""),M279&lt;&gt;"نعم"),0,G279*J279*IFERROR(INDEX(الموظفون!$R$6:$R$105,MATCH(B279,الموظفون!$B$6:$B$105,0)),0)/cfg_DAYS_M)</f>
        <v>0</v>
      </c>
      <c r="O279" s="115" t="str">
        <f aca="false">IF(OR(OR($B279="",$E279="",$F279=""),M279&lt;&gt;"نعم"),"",IF(YEAR(E279)=cfg_FY,MONTH(E279),""))</f>
        <v/>
      </c>
      <c r="P279" s="117" t="str">
        <f aca="false">IF(B279="","",IF(OR(D279="",E279="",F279=""),"⚠ أكمل النوع والتواريخ",IF(F279&lt;E279,"✖ النهاية قبل البداية",IF(COUNTIFS($B$6:$B$505,B279,$E$6:$E$505,"&lt;="&amp;F279,$F$6:$F$505,"&gt;="&amp;E279)&gt;1,"⚠ تداخل مع سجل آخر",IF(E279&gt;cfg_VAL_DATE,"⏳ قادمة",IF(F279&lt;cfg_VAL_DATE,"✔ منتهية","✈ جارية في تاريخ التقرير"))))))</f>
        <v/>
      </c>
      <c r="Q279" s="118"/>
      <c r="R279" s="133" t="n">
        <f aca="false">IF(OR(OR($B279="",$E279="",$F279=""),L279&lt;&gt;"لا"),0,MAX(0,MIN(F279,cfg_Y_START-1)-E279+1))</f>
        <v>0</v>
      </c>
      <c r="S279" s="133" t="n">
        <f aca="false">IF(OR(OR($B279="",$E279="",$F279=""),L279&lt;&gt;"لا"),0,MAX(0,MIN(F279,cfg_VAL_DATE)-E279+1))</f>
        <v>0</v>
      </c>
      <c r="T279" s="133" t="n">
        <f aca="false">IF(OR(OR($B279="",$E279="",$F279=""),K279&lt;&gt;"نعم"),0,IF(M279="نعم",IF(AND(ISNUMBER(O279),N(O279)&lt;=cfg_VAL_M),G279,0),MAX(0,MIN(F279,cfg_VAL_DATE)-MAX(E279,cfg_Y_START)+1)))</f>
        <v>0</v>
      </c>
      <c r="V279" s="133" t="n">
        <f aca="false">IF(OR($B279="",$E279="",$F279=""),0,MAX(0,MIN($F279,EOMONTH(DATE(cfg_FY,1,1),0))-MAX($E279,DATE(cfg_FY,1,1))+1)*(1-IF($M279="نعم",0,N($J279))))</f>
        <v>0</v>
      </c>
      <c r="W279" s="133" t="n">
        <f aca="false">IF(OR($B279="",$E279="",$F279=""),0,MAX(0,MIN($F279,EOMONTH(DATE(cfg_FY,2,1),0))-MAX($E279,DATE(cfg_FY,2,1))+1)*(1-IF($M279="نعم",0,N($J279))))</f>
        <v>0</v>
      </c>
      <c r="X279" s="133" t="n">
        <f aca="false">IF(OR($B279="",$E279="",$F279=""),0,MAX(0,MIN($F279,EOMONTH(DATE(cfg_FY,3,1),0))-MAX($E279,DATE(cfg_FY,3,1))+1)*(1-IF($M279="نعم",0,N($J279))))</f>
        <v>0</v>
      </c>
      <c r="Y279" s="133" t="n">
        <f aca="false">IF(OR($B279="",$E279="",$F279=""),0,MAX(0,MIN($F279,EOMONTH(DATE(cfg_FY,4,1),0))-MAX($E279,DATE(cfg_FY,4,1))+1)*(1-IF($M279="نعم",0,N($J279))))</f>
        <v>0</v>
      </c>
      <c r="Z279" s="133" t="n">
        <f aca="false">IF(OR($B279="",$E279="",$F279=""),0,MAX(0,MIN($F279,EOMONTH(DATE(cfg_FY,5,1),0))-MAX($E279,DATE(cfg_FY,5,1))+1)*(1-IF($M279="نعم",0,N($J279))))</f>
        <v>0</v>
      </c>
      <c r="AA279" s="133" t="n">
        <f aca="false">IF(OR($B279="",$E279="",$F279=""),0,MAX(0,MIN($F279,EOMONTH(DATE(cfg_FY,6,1),0))-MAX($E279,DATE(cfg_FY,6,1))+1)*(1-IF($M279="نعم",0,N($J279))))</f>
        <v>0</v>
      </c>
      <c r="AB279" s="133" t="n">
        <f aca="false">IF(OR($B279="",$E279="",$F279=""),0,MAX(0,MIN($F279,EOMONTH(DATE(cfg_FY,7,1),0))-MAX($E279,DATE(cfg_FY,7,1))+1)*(1-IF($M279="نعم",0,N($J279))))</f>
        <v>0</v>
      </c>
      <c r="AC279" s="133" t="n">
        <f aca="false">IF(OR($B279="",$E279="",$F279=""),0,MAX(0,MIN($F279,EOMONTH(DATE(cfg_FY,8,1),0))-MAX($E279,DATE(cfg_FY,8,1))+1)*(1-IF($M279="نعم",0,N($J279))))</f>
        <v>0</v>
      </c>
      <c r="AD279" s="133" t="n">
        <f aca="false">IF(OR($B279="",$E279="",$F279=""),0,MAX(0,MIN($F279,EOMONTH(DATE(cfg_FY,9,1),0))-MAX($E279,DATE(cfg_FY,9,1))+1)*(1-IF($M279="نعم",0,N($J279))))</f>
        <v>0</v>
      </c>
      <c r="AE279" s="133" t="n">
        <f aca="false">IF(OR($B279="",$E279="",$F279=""),0,MAX(0,MIN($F279,EOMONTH(DATE(cfg_FY,10,1),0))-MAX($E279,DATE(cfg_FY,10,1))+1)*(1-IF($M279="نعم",0,N($J279))))</f>
        <v>0</v>
      </c>
      <c r="AF279" s="133" t="n">
        <f aca="false">IF(OR($B279="",$E279="",$F279=""),0,MAX(0,MIN($F279,EOMONTH(DATE(cfg_FY,11,1),0))-MAX($E279,DATE(cfg_FY,11,1))+1)*(1-IF($M279="نعم",0,N($J279))))</f>
        <v>0</v>
      </c>
      <c r="AG279" s="133" t="n">
        <f aca="false">IF(OR($B279="",$E279="",$F279=""),0,MAX(0,MIN($F279,EOMONTH(DATE(cfg_FY,12,1),0))-MAX($E279,DATE(cfg_FY,12,1))+1)*(1-IF($M279="نعم",0,N($J279))))</f>
        <v>0</v>
      </c>
      <c r="AH279" s="133" t="n">
        <f aca="false">IF(OR(OR($B279="",$E279="",$F279=""),$L279&lt;&gt;"لا"),0,MAX(0,MIN($F279,EOMONTH(DATE(cfg_FY,1,1),0))-$E279+1))</f>
        <v>0</v>
      </c>
      <c r="AI279" s="133" t="n">
        <f aca="false">IF(OR(OR($B279="",$E279="",$F279=""),$L279&lt;&gt;"لا"),0,MAX(0,MIN($F279,EOMONTH(DATE(cfg_FY,2,1),0))-$E279+1))</f>
        <v>0</v>
      </c>
      <c r="AJ279" s="133" t="n">
        <f aca="false">IF(OR(OR($B279="",$E279="",$F279=""),$L279&lt;&gt;"لا"),0,MAX(0,MIN($F279,EOMONTH(DATE(cfg_FY,3,1),0))-$E279+1))</f>
        <v>0</v>
      </c>
      <c r="AK279" s="133" t="n">
        <f aca="false">IF(OR(OR($B279="",$E279="",$F279=""),$L279&lt;&gt;"لا"),0,MAX(0,MIN($F279,EOMONTH(DATE(cfg_FY,4,1),0))-$E279+1))</f>
        <v>0</v>
      </c>
      <c r="AL279" s="133" t="n">
        <f aca="false">IF(OR(OR($B279="",$E279="",$F279=""),$L279&lt;&gt;"لا"),0,MAX(0,MIN($F279,EOMONTH(DATE(cfg_FY,5,1),0))-$E279+1))</f>
        <v>0</v>
      </c>
      <c r="AM279" s="133" t="n">
        <f aca="false">IF(OR(OR($B279="",$E279="",$F279=""),$L279&lt;&gt;"لا"),0,MAX(0,MIN($F279,EOMONTH(DATE(cfg_FY,6,1),0))-$E279+1))</f>
        <v>0</v>
      </c>
      <c r="AN279" s="133" t="n">
        <f aca="false">IF(OR(OR($B279="",$E279="",$F279=""),$L279&lt;&gt;"لا"),0,MAX(0,MIN($F279,EOMONTH(DATE(cfg_FY,7,1),0))-$E279+1))</f>
        <v>0</v>
      </c>
      <c r="AO279" s="133" t="n">
        <f aca="false">IF(OR(OR($B279="",$E279="",$F279=""),$L279&lt;&gt;"لا"),0,MAX(0,MIN($F279,EOMONTH(DATE(cfg_FY,8,1),0))-$E279+1))</f>
        <v>0</v>
      </c>
      <c r="AP279" s="133" t="n">
        <f aca="false">IF(OR(OR($B279="",$E279="",$F279=""),$L279&lt;&gt;"لا"),0,MAX(0,MIN($F279,EOMONTH(DATE(cfg_FY,9,1),0))-$E279+1))</f>
        <v>0</v>
      </c>
      <c r="AQ279" s="133" t="n">
        <f aca="false">IF(OR(OR($B279="",$E279="",$F279=""),$L279&lt;&gt;"لا"),0,MAX(0,MIN($F279,EOMONTH(DATE(cfg_FY,10,1),0))-$E279+1))</f>
        <v>0</v>
      </c>
      <c r="AR279" s="133" t="n">
        <f aca="false">IF(OR(OR($B279="",$E279="",$F279=""),$L279&lt;&gt;"لا"),0,MAX(0,MIN($F279,EOMONTH(DATE(cfg_FY,11,1),0))-$E279+1))</f>
        <v>0</v>
      </c>
      <c r="AS279" s="133" t="n">
        <f aca="false">IF(OR(OR($B279="",$E279="",$F279=""),$L279&lt;&gt;"لا"),0,MAX(0,MIN($F279,EOMONTH(DATE(cfg_FY,12,1),0))-$E279+1))</f>
        <v>0</v>
      </c>
      <c r="AT279" s="133" t="n">
        <f aca="false">IF(OR(OR($B279="",$E279="",$F279=""),$K279&lt;&gt;"نعم",$M279="نعم"),0,MAX(0,MIN($F279,EOMONTH(DATE(cfg_FY,1,1),0))-MAX($E279,DATE(cfg_FY,1,1))+1))</f>
        <v>0</v>
      </c>
      <c r="AU279" s="133" t="n">
        <f aca="false">IF(OR(OR($B279="",$E279="",$F279=""),$K279&lt;&gt;"نعم",$M279="نعم"),0,MAX(0,MIN($F279,EOMONTH(DATE(cfg_FY,2,1),0))-MAX($E279,DATE(cfg_FY,2,1))+1))</f>
        <v>0</v>
      </c>
      <c r="AV279" s="133" t="n">
        <f aca="false">IF(OR(OR($B279="",$E279="",$F279=""),$K279&lt;&gt;"نعم",$M279="نعم"),0,MAX(0,MIN($F279,EOMONTH(DATE(cfg_FY,3,1),0))-MAX($E279,DATE(cfg_FY,3,1))+1))</f>
        <v>0</v>
      </c>
      <c r="AW279" s="133" t="n">
        <f aca="false">IF(OR(OR($B279="",$E279="",$F279=""),$K279&lt;&gt;"نعم",$M279="نعم"),0,MAX(0,MIN($F279,EOMONTH(DATE(cfg_FY,4,1),0))-MAX($E279,DATE(cfg_FY,4,1))+1))</f>
        <v>0</v>
      </c>
      <c r="AX279" s="133" t="n">
        <f aca="false">IF(OR(OR($B279="",$E279="",$F279=""),$K279&lt;&gt;"نعم",$M279="نعم"),0,MAX(0,MIN($F279,EOMONTH(DATE(cfg_FY,5,1),0))-MAX($E279,DATE(cfg_FY,5,1))+1))</f>
        <v>0</v>
      </c>
      <c r="AY279" s="133" t="n">
        <f aca="false">IF(OR(OR($B279="",$E279="",$F279=""),$K279&lt;&gt;"نعم",$M279="نعم"),0,MAX(0,MIN($F279,EOMONTH(DATE(cfg_FY,6,1),0))-MAX($E279,DATE(cfg_FY,6,1))+1))</f>
        <v>0</v>
      </c>
      <c r="AZ279" s="133" t="n">
        <f aca="false">IF(OR(OR($B279="",$E279="",$F279=""),$K279&lt;&gt;"نعم",$M279="نعم"),0,MAX(0,MIN($F279,EOMONTH(DATE(cfg_FY,7,1),0))-MAX($E279,DATE(cfg_FY,7,1))+1))</f>
        <v>0</v>
      </c>
      <c r="BA279" s="133" t="n">
        <f aca="false">IF(OR(OR($B279="",$E279="",$F279=""),$K279&lt;&gt;"نعم",$M279="نعم"),0,MAX(0,MIN($F279,EOMONTH(DATE(cfg_FY,8,1),0))-MAX($E279,DATE(cfg_FY,8,1))+1))</f>
        <v>0</v>
      </c>
      <c r="BB279" s="133" t="n">
        <f aca="false">IF(OR(OR($B279="",$E279="",$F279=""),$K279&lt;&gt;"نعم",$M279="نعم"),0,MAX(0,MIN($F279,EOMONTH(DATE(cfg_FY,9,1),0))-MAX($E279,DATE(cfg_FY,9,1))+1))</f>
        <v>0</v>
      </c>
      <c r="BC279" s="133" t="n">
        <f aca="false">IF(OR(OR($B279="",$E279="",$F279=""),$K279&lt;&gt;"نعم",$M279="نعم"),0,MAX(0,MIN($F279,EOMONTH(DATE(cfg_FY,10,1),0))-MAX($E279,DATE(cfg_FY,10,1))+1))</f>
        <v>0</v>
      </c>
      <c r="BD279" s="133" t="n">
        <f aca="false">IF(OR(OR($B279="",$E279="",$F279=""),$K279&lt;&gt;"نعم",$M279="نعم"),0,MAX(0,MIN($F279,EOMONTH(DATE(cfg_FY,11,1),0))-MAX($E279,DATE(cfg_FY,11,1))+1))</f>
        <v>0</v>
      </c>
      <c r="BE279" s="133" t="n">
        <f aca="false">IF(OR(OR($B279="",$E279="",$F279=""),$K279&lt;&gt;"نعم",$M279="نعم"),0,MAX(0,MIN($F279,EOMONTH(DATE(cfg_FY,12,1),0))-MAX($E279,DATE(cfg_FY,12,1))+1))</f>
        <v>0</v>
      </c>
    </row>
    <row r="280" customFormat="false" ht="15" hidden="false" customHeight="false" outlineLevel="0" collapsed="false">
      <c r="A280" s="106" t="str">
        <f aca="false">IF(B280="","",ROW()-5)</f>
        <v/>
      </c>
      <c r="B280" s="118"/>
      <c r="C280" s="114" t="str">
        <f aca="false">IF(B280="","",IFERROR(INDEX(الموظفون!$C$6:$C$105,MATCH(B280,الموظفون!$B$6:$B$105,0)),"✖ رقم غير موجود"))</f>
        <v/>
      </c>
      <c r="D280" s="118"/>
      <c r="E280" s="119"/>
      <c r="F280" s="119"/>
      <c r="G280" s="65" t="str">
        <f aca="false">IF(OR($B280="",$E280="",$F280=""),"",MAX(0,F280-E280+1))</f>
        <v/>
      </c>
      <c r="H280" s="66" t="str">
        <f aca="false">IF(D280="","",IFERROR(VLOOKUP(D280,cfg_LT,2,FALSE()),1))</f>
        <v/>
      </c>
      <c r="I280" s="135"/>
      <c r="J280" s="66" t="str">
        <f aca="false">IF(D280="","",IF(I280&lt;&gt;"",I280,H280))</f>
        <v/>
      </c>
      <c r="K280" s="114" t="str">
        <f aca="false">IF(D280="","",IFERROR(VLOOKUP($D280,cfg_LT,3,FALSE()),""))</f>
        <v/>
      </c>
      <c r="L280" s="114" t="str">
        <f aca="false">IF(D280="","",IFERROR(VLOOKUP($D280,cfg_LT,4,FALSE()),""))</f>
        <v/>
      </c>
      <c r="M280" s="114" t="str">
        <f aca="false">IF(D280="","",IFERROR(VLOOKUP($D280,cfg_LT,5,FALSE()),""))</f>
        <v/>
      </c>
      <c r="N280" s="111" t="n">
        <f aca="false">IF(OR(OR($B280="",$E280="",$F280=""),M280&lt;&gt;"نعم"),0,G280*J280*IFERROR(INDEX(الموظفون!$R$6:$R$105,MATCH(B280,الموظفون!$B$6:$B$105,0)),0)/cfg_DAYS_M)</f>
        <v>0</v>
      </c>
      <c r="O280" s="106" t="str">
        <f aca="false">IF(OR(OR($B280="",$E280="",$F280=""),M280&lt;&gt;"نعم"),"",IF(YEAR(E280)=cfg_FY,MONTH(E280),""))</f>
        <v/>
      </c>
      <c r="P280" s="114" t="str">
        <f aca="false">IF(B280="","",IF(OR(D280="",E280="",F280=""),"⚠ أكمل النوع والتواريخ",IF(F280&lt;E280,"✖ النهاية قبل البداية",IF(COUNTIFS($B$6:$B$505,B280,$E$6:$E$505,"&lt;="&amp;F280,$F$6:$F$505,"&gt;="&amp;E280)&gt;1,"⚠ تداخل مع سجل آخر",IF(E280&gt;cfg_VAL_DATE,"⏳ قادمة",IF(F280&lt;cfg_VAL_DATE,"✔ منتهية","✈ جارية في تاريخ التقرير"))))))</f>
        <v/>
      </c>
      <c r="Q280" s="118"/>
      <c r="R280" s="65" t="n">
        <f aca="false">IF(OR(OR($B280="",$E280="",$F280=""),L280&lt;&gt;"لا"),0,MAX(0,MIN(F280,cfg_Y_START-1)-E280+1))</f>
        <v>0</v>
      </c>
      <c r="S280" s="65" t="n">
        <f aca="false">IF(OR(OR($B280="",$E280="",$F280=""),L280&lt;&gt;"لا"),0,MAX(0,MIN(F280,cfg_VAL_DATE)-E280+1))</f>
        <v>0</v>
      </c>
      <c r="T280" s="65" t="n">
        <f aca="false">IF(OR(OR($B280="",$E280="",$F280=""),K280&lt;&gt;"نعم"),0,IF(M280="نعم",IF(AND(ISNUMBER(O280),N(O280)&lt;=cfg_VAL_M),G280,0),MAX(0,MIN(F280,cfg_VAL_DATE)-MAX(E280,cfg_Y_START)+1)))</f>
        <v>0</v>
      </c>
      <c r="V280" s="65" t="n">
        <f aca="false">IF(OR($B280="",$E280="",$F280=""),0,MAX(0,MIN($F280,EOMONTH(DATE(cfg_FY,1,1),0))-MAX($E280,DATE(cfg_FY,1,1))+1)*(1-IF($M280="نعم",0,N($J280))))</f>
        <v>0</v>
      </c>
      <c r="W280" s="65" t="n">
        <f aca="false">IF(OR($B280="",$E280="",$F280=""),0,MAX(0,MIN($F280,EOMONTH(DATE(cfg_FY,2,1),0))-MAX($E280,DATE(cfg_FY,2,1))+1)*(1-IF($M280="نعم",0,N($J280))))</f>
        <v>0</v>
      </c>
      <c r="X280" s="65" t="n">
        <f aca="false">IF(OR($B280="",$E280="",$F280=""),0,MAX(0,MIN($F280,EOMONTH(DATE(cfg_FY,3,1),0))-MAX($E280,DATE(cfg_FY,3,1))+1)*(1-IF($M280="نعم",0,N($J280))))</f>
        <v>0</v>
      </c>
      <c r="Y280" s="65" t="n">
        <f aca="false">IF(OR($B280="",$E280="",$F280=""),0,MAX(0,MIN($F280,EOMONTH(DATE(cfg_FY,4,1),0))-MAX($E280,DATE(cfg_FY,4,1))+1)*(1-IF($M280="نعم",0,N($J280))))</f>
        <v>0</v>
      </c>
      <c r="Z280" s="65" t="n">
        <f aca="false">IF(OR($B280="",$E280="",$F280=""),0,MAX(0,MIN($F280,EOMONTH(DATE(cfg_FY,5,1),0))-MAX($E280,DATE(cfg_FY,5,1))+1)*(1-IF($M280="نعم",0,N($J280))))</f>
        <v>0</v>
      </c>
      <c r="AA280" s="65" t="n">
        <f aca="false">IF(OR($B280="",$E280="",$F280=""),0,MAX(0,MIN($F280,EOMONTH(DATE(cfg_FY,6,1),0))-MAX($E280,DATE(cfg_FY,6,1))+1)*(1-IF($M280="نعم",0,N($J280))))</f>
        <v>0</v>
      </c>
      <c r="AB280" s="65" t="n">
        <f aca="false">IF(OR($B280="",$E280="",$F280=""),0,MAX(0,MIN($F280,EOMONTH(DATE(cfg_FY,7,1),0))-MAX($E280,DATE(cfg_FY,7,1))+1)*(1-IF($M280="نعم",0,N($J280))))</f>
        <v>0</v>
      </c>
      <c r="AC280" s="65" t="n">
        <f aca="false">IF(OR($B280="",$E280="",$F280=""),0,MAX(0,MIN($F280,EOMONTH(DATE(cfg_FY,8,1),0))-MAX($E280,DATE(cfg_FY,8,1))+1)*(1-IF($M280="نعم",0,N($J280))))</f>
        <v>0</v>
      </c>
      <c r="AD280" s="65" t="n">
        <f aca="false">IF(OR($B280="",$E280="",$F280=""),0,MAX(0,MIN($F280,EOMONTH(DATE(cfg_FY,9,1),0))-MAX($E280,DATE(cfg_FY,9,1))+1)*(1-IF($M280="نعم",0,N($J280))))</f>
        <v>0</v>
      </c>
      <c r="AE280" s="65" t="n">
        <f aca="false">IF(OR($B280="",$E280="",$F280=""),0,MAX(0,MIN($F280,EOMONTH(DATE(cfg_FY,10,1),0))-MAX($E280,DATE(cfg_FY,10,1))+1)*(1-IF($M280="نعم",0,N($J280))))</f>
        <v>0</v>
      </c>
      <c r="AF280" s="65" t="n">
        <f aca="false">IF(OR($B280="",$E280="",$F280=""),0,MAX(0,MIN($F280,EOMONTH(DATE(cfg_FY,11,1),0))-MAX($E280,DATE(cfg_FY,11,1))+1)*(1-IF($M280="نعم",0,N($J280))))</f>
        <v>0</v>
      </c>
      <c r="AG280" s="65" t="n">
        <f aca="false">IF(OR($B280="",$E280="",$F280=""),0,MAX(0,MIN($F280,EOMONTH(DATE(cfg_FY,12,1),0))-MAX($E280,DATE(cfg_FY,12,1))+1)*(1-IF($M280="نعم",0,N($J280))))</f>
        <v>0</v>
      </c>
      <c r="AH280" s="65" t="n">
        <f aca="false">IF(OR(OR($B280="",$E280="",$F280=""),$L280&lt;&gt;"لا"),0,MAX(0,MIN($F280,EOMONTH(DATE(cfg_FY,1,1),0))-$E280+1))</f>
        <v>0</v>
      </c>
      <c r="AI280" s="65" t="n">
        <f aca="false">IF(OR(OR($B280="",$E280="",$F280=""),$L280&lt;&gt;"لا"),0,MAX(0,MIN($F280,EOMONTH(DATE(cfg_FY,2,1),0))-$E280+1))</f>
        <v>0</v>
      </c>
      <c r="AJ280" s="65" t="n">
        <f aca="false">IF(OR(OR($B280="",$E280="",$F280=""),$L280&lt;&gt;"لا"),0,MAX(0,MIN($F280,EOMONTH(DATE(cfg_FY,3,1),0))-$E280+1))</f>
        <v>0</v>
      </c>
      <c r="AK280" s="65" t="n">
        <f aca="false">IF(OR(OR($B280="",$E280="",$F280=""),$L280&lt;&gt;"لا"),0,MAX(0,MIN($F280,EOMONTH(DATE(cfg_FY,4,1),0))-$E280+1))</f>
        <v>0</v>
      </c>
      <c r="AL280" s="65" t="n">
        <f aca="false">IF(OR(OR($B280="",$E280="",$F280=""),$L280&lt;&gt;"لا"),0,MAX(0,MIN($F280,EOMONTH(DATE(cfg_FY,5,1),0))-$E280+1))</f>
        <v>0</v>
      </c>
      <c r="AM280" s="65" t="n">
        <f aca="false">IF(OR(OR($B280="",$E280="",$F280=""),$L280&lt;&gt;"لا"),0,MAX(0,MIN($F280,EOMONTH(DATE(cfg_FY,6,1),0))-$E280+1))</f>
        <v>0</v>
      </c>
      <c r="AN280" s="65" t="n">
        <f aca="false">IF(OR(OR($B280="",$E280="",$F280=""),$L280&lt;&gt;"لا"),0,MAX(0,MIN($F280,EOMONTH(DATE(cfg_FY,7,1),0))-$E280+1))</f>
        <v>0</v>
      </c>
      <c r="AO280" s="65" t="n">
        <f aca="false">IF(OR(OR($B280="",$E280="",$F280=""),$L280&lt;&gt;"لا"),0,MAX(0,MIN($F280,EOMONTH(DATE(cfg_FY,8,1),0))-$E280+1))</f>
        <v>0</v>
      </c>
      <c r="AP280" s="65" t="n">
        <f aca="false">IF(OR(OR($B280="",$E280="",$F280=""),$L280&lt;&gt;"لا"),0,MAX(0,MIN($F280,EOMONTH(DATE(cfg_FY,9,1),0))-$E280+1))</f>
        <v>0</v>
      </c>
      <c r="AQ280" s="65" t="n">
        <f aca="false">IF(OR(OR($B280="",$E280="",$F280=""),$L280&lt;&gt;"لا"),0,MAX(0,MIN($F280,EOMONTH(DATE(cfg_FY,10,1),0))-$E280+1))</f>
        <v>0</v>
      </c>
      <c r="AR280" s="65" t="n">
        <f aca="false">IF(OR(OR($B280="",$E280="",$F280=""),$L280&lt;&gt;"لا"),0,MAX(0,MIN($F280,EOMONTH(DATE(cfg_FY,11,1),0))-$E280+1))</f>
        <v>0</v>
      </c>
      <c r="AS280" s="65" t="n">
        <f aca="false">IF(OR(OR($B280="",$E280="",$F280=""),$L280&lt;&gt;"لا"),0,MAX(0,MIN($F280,EOMONTH(DATE(cfg_FY,12,1),0))-$E280+1))</f>
        <v>0</v>
      </c>
      <c r="AT280" s="65" t="n">
        <f aca="false">IF(OR(OR($B280="",$E280="",$F280=""),$K280&lt;&gt;"نعم",$M280="نعم"),0,MAX(0,MIN($F280,EOMONTH(DATE(cfg_FY,1,1),0))-MAX($E280,DATE(cfg_FY,1,1))+1))</f>
        <v>0</v>
      </c>
      <c r="AU280" s="65" t="n">
        <f aca="false">IF(OR(OR($B280="",$E280="",$F280=""),$K280&lt;&gt;"نعم",$M280="نعم"),0,MAX(0,MIN($F280,EOMONTH(DATE(cfg_FY,2,1),0))-MAX($E280,DATE(cfg_FY,2,1))+1))</f>
        <v>0</v>
      </c>
      <c r="AV280" s="65" t="n">
        <f aca="false">IF(OR(OR($B280="",$E280="",$F280=""),$K280&lt;&gt;"نعم",$M280="نعم"),0,MAX(0,MIN($F280,EOMONTH(DATE(cfg_FY,3,1),0))-MAX($E280,DATE(cfg_FY,3,1))+1))</f>
        <v>0</v>
      </c>
      <c r="AW280" s="65" t="n">
        <f aca="false">IF(OR(OR($B280="",$E280="",$F280=""),$K280&lt;&gt;"نعم",$M280="نعم"),0,MAX(0,MIN($F280,EOMONTH(DATE(cfg_FY,4,1),0))-MAX($E280,DATE(cfg_FY,4,1))+1))</f>
        <v>0</v>
      </c>
      <c r="AX280" s="65" t="n">
        <f aca="false">IF(OR(OR($B280="",$E280="",$F280=""),$K280&lt;&gt;"نعم",$M280="نعم"),0,MAX(0,MIN($F280,EOMONTH(DATE(cfg_FY,5,1),0))-MAX($E280,DATE(cfg_FY,5,1))+1))</f>
        <v>0</v>
      </c>
      <c r="AY280" s="65" t="n">
        <f aca="false">IF(OR(OR($B280="",$E280="",$F280=""),$K280&lt;&gt;"نعم",$M280="نعم"),0,MAX(0,MIN($F280,EOMONTH(DATE(cfg_FY,6,1),0))-MAX($E280,DATE(cfg_FY,6,1))+1))</f>
        <v>0</v>
      </c>
      <c r="AZ280" s="65" t="n">
        <f aca="false">IF(OR(OR($B280="",$E280="",$F280=""),$K280&lt;&gt;"نعم",$M280="نعم"),0,MAX(0,MIN($F280,EOMONTH(DATE(cfg_FY,7,1),0))-MAX($E280,DATE(cfg_FY,7,1))+1))</f>
        <v>0</v>
      </c>
      <c r="BA280" s="65" t="n">
        <f aca="false">IF(OR(OR($B280="",$E280="",$F280=""),$K280&lt;&gt;"نعم",$M280="نعم"),0,MAX(0,MIN($F280,EOMONTH(DATE(cfg_FY,8,1),0))-MAX($E280,DATE(cfg_FY,8,1))+1))</f>
        <v>0</v>
      </c>
      <c r="BB280" s="65" t="n">
        <f aca="false">IF(OR(OR($B280="",$E280="",$F280=""),$K280&lt;&gt;"نعم",$M280="نعم"),0,MAX(0,MIN($F280,EOMONTH(DATE(cfg_FY,9,1),0))-MAX($E280,DATE(cfg_FY,9,1))+1))</f>
        <v>0</v>
      </c>
      <c r="BC280" s="65" t="n">
        <f aca="false">IF(OR(OR($B280="",$E280="",$F280=""),$K280&lt;&gt;"نعم",$M280="نعم"),0,MAX(0,MIN($F280,EOMONTH(DATE(cfg_FY,10,1),0))-MAX($E280,DATE(cfg_FY,10,1))+1))</f>
        <v>0</v>
      </c>
      <c r="BD280" s="65" t="n">
        <f aca="false">IF(OR(OR($B280="",$E280="",$F280=""),$K280&lt;&gt;"نعم",$M280="نعم"),0,MAX(0,MIN($F280,EOMONTH(DATE(cfg_FY,11,1),0))-MAX($E280,DATE(cfg_FY,11,1))+1))</f>
        <v>0</v>
      </c>
      <c r="BE280" s="65" t="n">
        <f aca="false">IF(OR(OR($B280="",$E280="",$F280=""),$K280&lt;&gt;"نعم",$M280="نعم"),0,MAX(0,MIN($F280,EOMONTH(DATE(cfg_FY,12,1),0))-MAX($E280,DATE(cfg_FY,12,1))+1))</f>
        <v>0</v>
      </c>
    </row>
    <row r="281" customFormat="false" ht="15" hidden="false" customHeight="false" outlineLevel="0" collapsed="false">
      <c r="A281" s="115" t="str">
        <f aca="false">IF(B281="","",ROW()-5)</f>
        <v/>
      </c>
      <c r="B281" s="118"/>
      <c r="C281" s="117" t="str">
        <f aca="false">IF(B281="","",IFERROR(INDEX(الموظفون!$C$6:$C$105,MATCH(B281,الموظفون!$B$6:$B$105,0)),"✖ رقم غير موجود"))</f>
        <v/>
      </c>
      <c r="D281" s="118"/>
      <c r="E281" s="119"/>
      <c r="F281" s="119"/>
      <c r="G281" s="133" t="str">
        <f aca="false">IF(OR($B281="",$E281="",$F281=""),"",MAX(0,F281-E281+1))</f>
        <v/>
      </c>
      <c r="H281" s="134" t="str">
        <f aca="false">IF(D281="","",IFERROR(VLOOKUP(D281,cfg_LT,2,FALSE()),1))</f>
        <v/>
      </c>
      <c r="I281" s="135"/>
      <c r="J281" s="134" t="str">
        <f aca="false">IF(D281="","",IF(I281&lt;&gt;"",I281,H281))</f>
        <v/>
      </c>
      <c r="K281" s="117" t="str">
        <f aca="false">IF(D281="","",IFERROR(VLOOKUP($D281,cfg_LT,3,FALSE()),""))</f>
        <v/>
      </c>
      <c r="L281" s="117" t="str">
        <f aca="false">IF(D281="","",IFERROR(VLOOKUP($D281,cfg_LT,4,FALSE()),""))</f>
        <v/>
      </c>
      <c r="M281" s="117" t="str">
        <f aca="false">IF(D281="","",IFERROR(VLOOKUP($D281,cfg_LT,5,FALSE()),""))</f>
        <v/>
      </c>
      <c r="N281" s="116" t="n">
        <f aca="false">IF(OR(OR($B281="",$E281="",$F281=""),M281&lt;&gt;"نعم"),0,G281*J281*IFERROR(INDEX(الموظفون!$R$6:$R$105,MATCH(B281,الموظفون!$B$6:$B$105,0)),0)/cfg_DAYS_M)</f>
        <v>0</v>
      </c>
      <c r="O281" s="115" t="str">
        <f aca="false">IF(OR(OR($B281="",$E281="",$F281=""),M281&lt;&gt;"نعم"),"",IF(YEAR(E281)=cfg_FY,MONTH(E281),""))</f>
        <v/>
      </c>
      <c r="P281" s="117" t="str">
        <f aca="false">IF(B281="","",IF(OR(D281="",E281="",F281=""),"⚠ أكمل النوع والتواريخ",IF(F281&lt;E281,"✖ النهاية قبل البداية",IF(COUNTIFS($B$6:$B$505,B281,$E$6:$E$505,"&lt;="&amp;F281,$F$6:$F$505,"&gt;="&amp;E281)&gt;1,"⚠ تداخل مع سجل آخر",IF(E281&gt;cfg_VAL_DATE,"⏳ قادمة",IF(F281&lt;cfg_VAL_DATE,"✔ منتهية","✈ جارية في تاريخ التقرير"))))))</f>
        <v/>
      </c>
      <c r="Q281" s="118"/>
      <c r="R281" s="133" t="n">
        <f aca="false">IF(OR(OR($B281="",$E281="",$F281=""),L281&lt;&gt;"لا"),0,MAX(0,MIN(F281,cfg_Y_START-1)-E281+1))</f>
        <v>0</v>
      </c>
      <c r="S281" s="133" t="n">
        <f aca="false">IF(OR(OR($B281="",$E281="",$F281=""),L281&lt;&gt;"لا"),0,MAX(0,MIN(F281,cfg_VAL_DATE)-E281+1))</f>
        <v>0</v>
      </c>
      <c r="T281" s="133" t="n">
        <f aca="false">IF(OR(OR($B281="",$E281="",$F281=""),K281&lt;&gt;"نعم"),0,IF(M281="نعم",IF(AND(ISNUMBER(O281),N(O281)&lt;=cfg_VAL_M),G281,0),MAX(0,MIN(F281,cfg_VAL_DATE)-MAX(E281,cfg_Y_START)+1)))</f>
        <v>0</v>
      </c>
      <c r="V281" s="133" t="n">
        <f aca="false">IF(OR($B281="",$E281="",$F281=""),0,MAX(0,MIN($F281,EOMONTH(DATE(cfg_FY,1,1),0))-MAX($E281,DATE(cfg_FY,1,1))+1)*(1-IF($M281="نعم",0,N($J281))))</f>
        <v>0</v>
      </c>
      <c r="W281" s="133" t="n">
        <f aca="false">IF(OR($B281="",$E281="",$F281=""),0,MAX(0,MIN($F281,EOMONTH(DATE(cfg_FY,2,1),0))-MAX($E281,DATE(cfg_FY,2,1))+1)*(1-IF($M281="نعم",0,N($J281))))</f>
        <v>0</v>
      </c>
      <c r="X281" s="133" t="n">
        <f aca="false">IF(OR($B281="",$E281="",$F281=""),0,MAX(0,MIN($F281,EOMONTH(DATE(cfg_FY,3,1),0))-MAX($E281,DATE(cfg_FY,3,1))+1)*(1-IF($M281="نعم",0,N($J281))))</f>
        <v>0</v>
      </c>
      <c r="Y281" s="133" t="n">
        <f aca="false">IF(OR($B281="",$E281="",$F281=""),0,MAX(0,MIN($F281,EOMONTH(DATE(cfg_FY,4,1),0))-MAX($E281,DATE(cfg_FY,4,1))+1)*(1-IF($M281="نعم",0,N($J281))))</f>
        <v>0</v>
      </c>
      <c r="Z281" s="133" t="n">
        <f aca="false">IF(OR($B281="",$E281="",$F281=""),0,MAX(0,MIN($F281,EOMONTH(DATE(cfg_FY,5,1),0))-MAX($E281,DATE(cfg_FY,5,1))+1)*(1-IF($M281="نعم",0,N($J281))))</f>
        <v>0</v>
      </c>
      <c r="AA281" s="133" t="n">
        <f aca="false">IF(OR($B281="",$E281="",$F281=""),0,MAX(0,MIN($F281,EOMONTH(DATE(cfg_FY,6,1),0))-MAX($E281,DATE(cfg_FY,6,1))+1)*(1-IF($M281="نعم",0,N($J281))))</f>
        <v>0</v>
      </c>
      <c r="AB281" s="133" t="n">
        <f aca="false">IF(OR($B281="",$E281="",$F281=""),0,MAX(0,MIN($F281,EOMONTH(DATE(cfg_FY,7,1),0))-MAX($E281,DATE(cfg_FY,7,1))+1)*(1-IF($M281="نعم",0,N($J281))))</f>
        <v>0</v>
      </c>
      <c r="AC281" s="133" t="n">
        <f aca="false">IF(OR($B281="",$E281="",$F281=""),0,MAX(0,MIN($F281,EOMONTH(DATE(cfg_FY,8,1),0))-MAX($E281,DATE(cfg_FY,8,1))+1)*(1-IF($M281="نعم",0,N($J281))))</f>
        <v>0</v>
      </c>
      <c r="AD281" s="133" t="n">
        <f aca="false">IF(OR($B281="",$E281="",$F281=""),0,MAX(0,MIN($F281,EOMONTH(DATE(cfg_FY,9,1),0))-MAX($E281,DATE(cfg_FY,9,1))+1)*(1-IF($M281="نعم",0,N($J281))))</f>
        <v>0</v>
      </c>
      <c r="AE281" s="133" t="n">
        <f aca="false">IF(OR($B281="",$E281="",$F281=""),0,MAX(0,MIN($F281,EOMONTH(DATE(cfg_FY,10,1),0))-MAX($E281,DATE(cfg_FY,10,1))+1)*(1-IF($M281="نعم",0,N($J281))))</f>
        <v>0</v>
      </c>
      <c r="AF281" s="133" t="n">
        <f aca="false">IF(OR($B281="",$E281="",$F281=""),0,MAX(0,MIN($F281,EOMONTH(DATE(cfg_FY,11,1),0))-MAX($E281,DATE(cfg_FY,11,1))+1)*(1-IF($M281="نعم",0,N($J281))))</f>
        <v>0</v>
      </c>
      <c r="AG281" s="133" t="n">
        <f aca="false">IF(OR($B281="",$E281="",$F281=""),0,MAX(0,MIN($F281,EOMONTH(DATE(cfg_FY,12,1),0))-MAX($E281,DATE(cfg_FY,12,1))+1)*(1-IF($M281="نعم",0,N($J281))))</f>
        <v>0</v>
      </c>
      <c r="AH281" s="133" t="n">
        <f aca="false">IF(OR(OR($B281="",$E281="",$F281=""),$L281&lt;&gt;"لا"),0,MAX(0,MIN($F281,EOMONTH(DATE(cfg_FY,1,1),0))-$E281+1))</f>
        <v>0</v>
      </c>
      <c r="AI281" s="133" t="n">
        <f aca="false">IF(OR(OR($B281="",$E281="",$F281=""),$L281&lt;&gt;"لا"),0,MAX(0,MIN($F281,EOMONTH(DATE(cfg_FY,2,1),0))-$E281+1))</f>
        <v>0</v>
      </c>
      <c r="AJ281" s="133" t="n">
        <f aca="false">IF(OR(OR($B281="",$E281="",$F281=""),$L281&lt;&gt;"لا"),0,MAX(0,MIN($F281,EOMONTH(DATE(cfg_FY,3,1),0))-$E281+1))</f>
        <v>0</v>
      </c>
      <c r="AK281" s="133" t="n">
        <f aca="false">IF(OR(OR($B281="",$E281="",$F281=""),$L281&lt;&gt;"لا"),0,MAX(0,MIN($F281,EOMONTH(DATE(cfg_FY,4,1),0))-$E281+1))</f>
        <v>0</v>
      </c>
      <c r="AL281" s="133" t="n">
        <f aca="false">IF(OR(OR($B281="",$E281="",$F281=""),$L281&lt;&gt;"لا"),0,MAX(0,MIN($F281,EOMONTH(DATE(cfg_FY,5,1),0))-$E281+1))</f>
        <v>0</v>
      </c>
      <c r="AM281" s="133" t="n">
        <f aca="false">IF(OR(OR($B281="",$E281="",$F281=""),$L281&lt;&gt;"لا"),0,MAX(0,MIN($F281,EOMONTH(DATE(cfg_FY,6,1),0))-$E281+1))</f>
        <v>0</v>
      </c>
      <c r="AN281" s="133" t="n">
        <f aca="false">IF(OR(OR($B281="",$E281="",$F281=""),$L281&lt;&gt;"لا"),0,MAX(0,MIN($F281,EOMONTH(DATE(cfg_FY,7,1),0))-$E281+1))</f>
        <v>0</v>
      </c>
      <c r="AO281" s="133" t="n">
        <f aca="false">IF(OR(OR($B281="",$E281="",$F281=""),$L281&lt;&gt;"لا"),0,MAX(0,MIN($F281,EOMONTH(DATE(cfg_FY,8,1),0))-$E281+1))</f>
        <v>0</v>
      </c>
      <c r="AP281" s="133" t="n">
        <f aca="false">IF(OR(OR($B281="",$E281="",$F281=""),$L281&lt;&gt;"لا"),0,MAX(0,MIN($F281,EOMONTH(DATE(cfg_FY,9,1),0))-$E281+1))</f>
        <v>0</v>
      </c>
      <c r="AQ281" s="133" t="n">
        <f aca="false">IF(OR(OR($B281="",$E281="",$F281=""),$L281&lt;&gt;"لا"),0,MAX(0,MIN($F281,EOMONTH(DATE(cfg_FY,10,1),0))-$E281+1))</f>
        <v>0</v>
      </c>
      <c r="AR281" s="133" t="n">
        <f aca="false">IF(OR(OR($B281="",$E281="",$F281=""),$L281&lt;&gt;"لا"),0,MAX(0,MIN($F281,EOMONTH(DATE(cfg_FY,11,1),0))-$E281+1))</f>
        <v>0</v>
      </c>
      <c r="AS281" s="133" t="n">
        <f aca="false">IF(OR(OR($B281="",$E281="",$F281=""),$L281&lt;&gt;"لا"),0,MAX(0,MIN($F281,EOMONTH(DATE(cfg_FY,12,1),0))-$E281+1))</f>
        <v>0</v>
      </c>
      <c r="AT281" s="133" t="n">
        <f aca="false">IF(OR(OR($B281="",$E281="",$F281=""),$K281&lt;&gt;"نعم",$M281="نعم"),0,MAX(0,MIN($F281,EOMONTH(DATE(cfg_FY,1,1),0))-MAX($E281,DATE(cfg_FY,1,1))+1))</f>
        <v>0</v>
      </c>
      <c r="AU281" s="133" t="n">
        <f aca="false">IF(OR(OR($B281="",$E281="",$F281=""),$K281&lt;&gt;"نعم",$M281="نعم"),0,MAX(0,MIN($F281,EOMONTH(DATE(cfg_FY,2,1),0))-MAX($E281,DATE(cfg_FY,2,1))+1))</f>
        <v>0</v>
      </c>
      <c r="AV281" s="133" t="n">
        <f aca="false">IF(OR(OR($B281="",$E281="",$F281=""),$K281&lt;&gt;"نعم",$M281="نعم"),0,MAX(0,MIN($F281,EOMONTH(DATE(cfg_FY,3,1),0))-MAX($E281,DATE(cfg_FY,3,1))+1))</f>
        <v>0</v>
      </c>
      <c r="AW281" s="133" t="n">
        <f aca="false">IF(OR(OR($B281="",$E281="",$F281=""),$K281&lt;&gt;"نعم",$M281="نعم"),0,MAX(0,MIN($F281,EOMONTH(DATE(cfg_FY,4,1),0))-MAX($E281,DATE(cfg_FY,4,1))+1))</f>
        <v>0</v>
      </c>
      <c r="AX281" s="133" t="n">
        <f aca="false">IF(OR(OR($B281="",$E281="",$F281=""),$K281&lt;&gt;"نعم",$M281="نعم"),0,MAX(0,MIN($F281,EOMONTH(DATE(cfg_FY,5,1),0))-MAX($E281,DATE(cfg_FY,5,1))+1))</f>
        <v>0</v>
      </c>
      <c r="AY281" s="133" t="n">
        <f aca="false">IF(OR(OR($B281="",$E281="",$F281=""),$K281&lt;&gt;"نعم",$M281="نعم"),0,MAX(0,MIN($F281,EOMONTH(DATE(cfg_FY,6,1),0))-MAX($E281,DATE(cfg_FY,6,1))+1))</f>
        <v>0</v>
      </c>
      <c r="AZ281" s="133" t="n">
        <f aca="false">IF(OR(OR($B281="",$E281="",$F281=""),$K281&lt;&gt;"نعم",$M281="نعم"),0,MAX(0,MIN($F281,EOMONTH(DATE(cfg_FY,7,1),0))-MAX($E281,DATE(cfg_FY,7,1))+1))</f>
        <v>0</v>
      </c>
      <c r="BA281" s="133" t="n">
        <f aca="false">IF(OR(OR($B281="",$E281="",$F281=""),$K281&lt;&gt;"نعم",$M281="نعم"),0,MAX(0,MIN($F281,EOMONTH(DATE(cfg_FY,8,1),0))-MAX($E281,DATE(cfg_FY,8,1))+1))</f>
        <v>0</v>
      </c>
      <c r="BB281" s="133" t="n">
        <f aca="false">IF(OR(OR($B281="",$E281="",$F281=""),$K281&lt;&gt;"نعم",$M281="نعم"),0,MAX(0,MIN($F281,EOMONTH(DATE(cfg_FY,9,1),0))-MAX($E281,DATE(cfg_FY,9,1))+1))</f>
        <v>0</v>
      </c>
      <c r="BC281" s="133" t="n">
        <f aca="false">IF(OR(OR($B281="",$E281="",$F281=""),$K281&lt;&gt;"نعم",$M281="نعم"),0,MAX(0,MIN($F281,EOMONTH(DATE(cfg_FY,10,1),0))-MAX($E281,DATE(cfg_FY,10,1))+1))</f>
        <v>0</v>
      </c>
      <c r="BD281" s="133" t="n">
        <f aca="false">IF(OR(OR($B281="",$E281="",$F281=""),$K281&lt;&gt;"نعم",$M281="نعم"),0,MAX(0,MIN($F281,EOMONTH(DATE(cfg_FY,11,1),0))-MAX($E281,DATE(cfg_FY,11,1))+1))</f>
        <v>0</v>
      </c>
      <c r="BE281" s="133" t="n">
        <f aca="false">IF(OR(OR($B281="",$E281="",$F281=""),$K281&lt;&gt;"نعم",$M281="نعم"),0,MAX(0,MIN($F281,EOMONTH(DATE(cfg_FY,12,1),0))-MAX($E281,DATE(cfg_FY,12,1))+1))</f>
        <v>0</v>
      </c>
    </row>
    <row r="282" customFormat="false" ht="15" hidden="false" customHeight="false" outlineLevel="0" collapsed="false">
      <c r="A282" s="106" t="str">
        <f aca="false">IF(B282="","",ROW()-5)</f>
        <v/>
      </c>
      <c r="B282" s="118"/>
      <c r="C282" s="114" t="str">
        <f aca="false">IF(B282="","",IFERROR(INDEX(الموظفون!$C$6:$C$105,MATCH(B282,الموظفون!$B$6:$B$105,0)),"✖ رقم غير موجود"))</f>
        <v/>
      </c>
      <c r="D282" s="118"/>
      <c r="E282" s="119"/>
      <c r="F282" s="119"/>
      <c r="G282" s="65" t="str">
        <f aca="false">IF(OR($B282="",$E282="",$F282=""),"",MAX(0,F282-E282+1))</f>
        <v/>
      </c>
      <c r="H282" s="66" t="str">
        <f aca="false">IF(D282="","",IFERROR(VLOOKUP(D282,cfg_LT,2,FALSE()),1))</f>
        <v/>
      </c>
      <c r="I282" s="135"/>
      <c r="J282" s="66" t="str">
        <f aca="false">IF(D282="","",IF(I282&lt;&gt;"",I282,H282))</f>
        <v/>
      </c>
      <c r="K282" s="114" t="str">
        <f aca="false">IF(D282="","",IFERROR(VLOOKUP($D282,cfg_LT,3,FALSE()),""))</f>
        <v/>
      </c>
      <c r="L282" s="114" t="str">
        <f aca="false">IF(D282="","",IFERROR(VLOOKUP($D282,cfg_LT,4,FALSE()),""))</f>
        <v/>
      </c>
      <c r="M282" s="114" t="str">
        <f aca="false">IF(D282="","",IFERROR(VLOOKUP($D282,cfg_LT,5,FALSE()),""))</f>
        <v/>
      </c>
      <c r="N282" s="111" t="n">
        <f aca="false">IF(OR(OR($B282="",$E282="",$F282=""),M282&lt;&gt;"نعم"),0,G282*J282*IFERROR(INDEX(الموظفون!$R$6:$R$105,MATCH(B282,الموظفون!$B$6:$B$105,0)),0)/cfg_DAYS_M)</f>
        <v>0</v>
      </c>
      <c r="O282" s="106" t="str">
        <f aca="false">IF(OR(OR($B282="",$E282="",$F282=""),M282&lt;&gt;"نعم"),"",IF(YEAR(E282)=cfg_FY,MONTH(E282),""))</f>
        <v/>
      </c>
      <c r="P282" s="114" t="str">
        <f aca="false">IF(B282="","",IF(OR(D282="",E282="",F282=""),"⚠ أكمل النوع والتواريخ",IF(F282&lt;E282,"✖ النهاية قبل البداية",IF(COUNTIFS($B$6:$B$505,B282,$E$6:$E$505,"&lt;="&amp;F282,$F$6:$F$505,"&gt;="&amp;E282)&gt;1,"⚠ تداخل مع سجل آخر",IF(E282&gt;cfg_VAL_DATE,"⏳ قادمة",IF(F282&lt;cfg_VAL_DATE,"✔ منتهية","✈ جارية في تاريخ التقرير"))))))</f>
        <v/>
      </c>
      <c r="Q282" s="118"/>
      <c r="R282" s="65" t="n">
        <f aca="false">IF(OR(OR($B282="",$E282="",$F282=""),L282&lt;&gt;"لا"),0,MAX(0,MIN(F282,cfg_Y_START-1)-E282+1))</f>
        <v>0</v>
      </c>
      <c r="S282" s="65" t="n">
        <f aca="false">IF(OR(OR($B282="",$E282="",$F282=""),L282&lt;&gt;"لا"),0,MAX(0,MIN(F282,cfg_VAL_DATE)-E282+1))</f>
        <v>0</v>
      </c>
      <c r="T282" s="65" t="n">
        <f aca="false">IF(OR(OR($B282="",$E282="",$F282=""),K282&lt;&gt;"نعم"),0,IF(M282="نعم",IF(AND(ISNUMBER(O282),N(O282)&lt;=cfg_VAL_M),G282,0),MAX(0,MIN(F282,cfg_VAL_DATE)-MAX(E282,cfg_Y_START)+1)))</f>
        <v>0</v>
      </c>
      <c r="V282" s="65" t="n">
        <f aca="false">IF(OR($B282="",$E282="",$F282=""),0,MAX(0,MIN($F282,EOMONTH(DATE(cfg_FY,1,1),0))-MAX($E282,DATE(cfg_FY,1,1))+1)*(1-IF($M282="نعم",0,N($J282))))</f>
        <v>0</v>
      </c>
      <c r="W282" s="65" t="n">
        <f aca="false">IF(OR($B282="",$E282="",$F282=""),0,MAX(0,MIN($F282,EOMONTH(DATE(cfg_FY,2,1),0))-MAX($E282,DATE(cfg_FY,2,1))+1)*(1-IF($M282="نعم",0,N($J282))))</f>
        <v>0</v>
      </c>
      <c r="X282" s="65" t="n">
        <f aca="false">IF(OR($B282="",$E282="",$F282=""),0,MAX(0,MIN($F282,EOMONTH(DATE(cfg_FY,3,1),0))-MAX($E282,DATE(cfg_FY,3,1))+1)*(1-IF($M282="نعم",0,N($J282))))</f>
        <v>0</v>
      </c>
      <c r="Y282" s="65" t="n">
        <f aca="false">IF(OR($B282="",$E282="",$F282=""),0,MAX(0,MIN($F282,EOMONTH(DATE(cfg_FY,4,1),0))-MAX($E282,DATE(cfg_FY,4,1))+1)*(1-IF($M282="نعم",0,N($J282))))</f>
        <v>0</v>
      </c>
      <c r="Z282" s="65" t="n">
        <f aca="false">IF(OR($B282="",$E282="",$F282=""),0,MAX(0,MIN($F282,EOMONTH(DATE(cfg_FY,5,1),0))-MAX($E282,DATE(cfg_FY,5,1))+1)*(1-IF($M282="نعم",0,N($J282))))</f>
        <v>0</v>
      </c>
      <c r="AA282" s="65" t="n">
        <f aca="false">IF(OR($B282="",$E282="",$F282=""),0,MAX(0,MIN($F282,EOMONTH(DATE(cfg_FY,6,1),0))-MAX($E282,DATE(cfg_FY,6,1))+1)*(1-IF($M282="نعم",0,N($J282))))</f>
        <v>0</v>
      </c>
      <c r="AB282" s="65" t="n">
        <f aca="false">IF(OR($B282="",$E282="",$F282=""),0,MAX(0,MIN($F282,EOMONTH(DATE(cfg_FY,7,1),0))-MAX($E282,DATE(cfg_FY,7,1))+1)*(1-IF($M282="نعم",0,N($J282))))</f>
        <v>0</v>
      </c>
      <c r="AC282" s="65" t="n">
        <f aca="false">IF(OR($B282="",$E282="",$F282=""),0,MAX(0,MIN($F282,EOMONTH(DATE(cfg_FY,8,1),0))-MAX($E282,DATE(cfg_FY,8,1))+1)*(1-IF($M282="نعم",0,N($J282))))</f>
        <v>0</v>
      </c>
      <c r="AD282" s="65" t="n">
        <f aca="false">IF(OR($B282="",$E282="",$F282=""),0,MAX(0,MIN($F282,EOMONTH(DATE(cfg_FY,9,1),0))-MAX($E282,DATE(cfg_FY,9,1))+1)*(1-IF($M282="نعم",0,N($J282))))</f>
        <v>0</v>
      </c>
      <c r="AE282" s="65" t="n">
        <f aca="false">IF(OR($B282="",$E282="",$F282=""),0,MAX(0,MIN($F282,EOMONTH(DATE(cfg_FY,10,1),0))-MAX($E282,DATE(cfg_FY,10,1))+1)*(1-IF($M282="نعم",0,N($J282))))</f>
        <v>0</v>
      </c>
      <c r="AF282" s="65" t="n">
        <f aca="false">IF(OR($B282="",$E282="",$F282=""),0,MAX(0,MIN($F282,EOMONTH(DATE(cfg_FY,11,1),0))-MAX($E282,DATE(cfg_FY,11,1))+1)*(1-IF($M282="نعم",0,N($J282))))</f>
        <v>0</v>
      </c>
      <c r="AG282" s="65" t="n">
        <f aca="false">IF(OR($B282="",$E282="",$F282=""),0,MAX(0,MIN($F282,EOMONTH(DATE(cfg_FY,12,1),0))-MAX($E282,DATE(cfg_FY,12,1))+1)*(1-IF($M282="نعم",0,N($J282))))</f>
        <v>0</v>
      </c>
      <c r="AH282" s="65" t="n">
        <f aca="false">IF(OR(OR($B282="",$E282="",$F282=""),$L282&lt;&gt;"لا"),0,MAX(0,MIN($F282,EOMONTH(DATE(cfg_FY,1,1),0))-$E282+1))</f>
        <v>0</v>
      </c>
      <c r="AI282" s="65" t="n">
        <f aca="false">IF(OR(OR($B282="",$E282="",$F282=""),$L282&lt;&gt;"لا"),0,MAX(0,MIN($F282,EOMONTH(DATE(cfg_FY,2,1),0))-$E282+1))</f>
        <v>0</v>
      </c>
      <c r="AJ282" s="65" t="n">
        <f aca="false">IF(OR(OR($B282="",$E282="",$F282=""),$L282&lt;&gt;"لا"),0,MAX(0,MIN($F282,EOMONTH(DATE(cfg_FY,3,1),0))-$E282+1))</f>
        <v>0</v>
      </c>
      <c r="AK282" s="65" t="n">
        <f aca="false">IF(OR(OR($B282="",$E282="",$F282=""),$L282&lt;&gt;"لا"),0,MAX(0,MIN($F282,EOMONTH(DATE(cfg_FY,4,1),0))-$E282+1))</f>
        <v>0</v>
      </c>
      <c r="AL282" s="65" t="n">
        <f aca="false">IF(OR(OR($B282="",$E282="",$F282=""),$L282&lt;&gt;"لا"),0,MAX(0,MIN($F282,EOMONTH(DATE(cfg_FY,5,1),0))-$E282+1))</f>
        <v>0</v>
      </c>
      <c r="AM282" s="65" t="n">
        <f aca="false">IF(OR(OR($B282="",$E282="",$F282=""),$L282&lt;&gt;"لا"),0,MAX(0,MIN($F282,EOMONTH(DATE(cfg_FY,6,1),0))-$E282+1))</f>
        <v>0</v>
      </c>
      <c r="AN282" s="65" t="n">
        <f aca="false">IF(OR(OR($B282="",$E282="",$F282=""),$L282&lt;&gt;"لا"),0,MAX(0,MIN($F282,EOMONTH(DATE(cfg_FY,7,1),0))-$E282+1))</f>
        <v>0</v>
      </c>
      <c r="AO282" s="65" t="n">
        <f aca="false">IF(OR(OR($B282="",$E282="",$F282=""),$L282&lt;&gt;"لا"),0,MAX(0,MIN($F282,EOMONTH(DATE(cfg_FY,8,1),0))-$E282+1))</f>
        <v>0</v>
      </c>
      <c r="AP282" s="65" t="n">
        <f aca="false">IF(OR(OR($B282="",$E282="",$F282=""),$L282&lt;&gt;"لا"),0,MAX(0,MIN($F282,EOMONTH(DATE(cfg_FY,9,1),0))-$E282+1))</f>
        <v>0</v>
      </c>
      <c r="AQ282" s="65" t="n">
        <f aca="false">IF(OR(OR($B282="",$E282="",$F282=""),$L282&lt;&gt;"لا"),0,MAX(0,MIN($F282,EOMONTH(DATE(cfg_FY,10,1),0))-$E282+1))</f>
        <v>0</v>
      </c>
      <c r="AR282" s="65" t="n">
        <f aca="false">IF(OR(OR($B282="",$E282="",$F282=""),$L282&lt;&gt;"لا"),0,MAX(0,MIN($F282,EOMONTH(DATE(cfg_FY,11,1),0))-$E282+1))</f>
        <v>0</v>
      </c>
      <c r="AS282" s="65" t="n">
        <f aca="false">IF(OR(OR($B282="",$E282="",$F282=""),$L282&lt;&gt;"لا"),0,MAX(0,MIN($F282,EOMONTH(DATE(cfg_FY,12,1),0))-$E282+1))</f>
        <v>0</v>
      </c>
      <c r="AT282" s="65" t="n">
        <f aca="false">IF(OR(OR($B282="",$E282="",$F282=""),$K282&lt;&gt;"نعم",$M282="نعم"),0,MAX(0,MIN($F282,EOMONTH(DATE(cfg_FY,1,1),0))-MAX($E282,DATE(cfg_FY,1,1))+1))</f>
        <v>0</v>
      </c>
      <c r="AU282" s="65" t="n">
        <f aca="false">IF(OR(OR($B282="",$E282="",$F282=""),$K282&lt;&gt;"نعم",$M282="نعم"),0,MAX(0,MIN($F282,EOMONTH(DATE(cfg_FY,2,1),0))-MAX($E282,DATE(cfg_FY,2,1))+1))</f>
        <v>0</v>
      </c>
      <c r="AV282" s="65" t="n">
        <f aca="false">IF(OR(OR($B282="",$E282="",$F282=""),$K282&lt;&gt;"نعم",$M282="نعم"),0,MAX(0,MIN($F282,EOMONTH(DATE(cfg_FY,3,1),0))-MAX($E282,DATE(cfg_FY,3,1))+1))</f>
        <v>0</v>
      </c>
      <c r="AW282" s="65" t="n">
        <f aca="false">IF(OR(OR($B282="",$E282="",$F282=""),$K282&lt;&gt;"نعم",$M282="نعم"),0,MAX(0,MIN($F282,EOMONTH(DATE(cfg_FY,4,1),0))-MAX($E282,DATE(cfg_FY,4,1))+1))</f>
        <v>0</v>
      </c>
      <c r="AX282" s="65" t="n">
        <f aca="false">IF(OR(OR($B282="",$E282="",$F282=""),$K282&lt;&gt;"نعم",$M282="نعم"),0,MAX(0,MIN($F282,EOMONTH(DATE(cfg_FY,5,1),0))-MAX($E282,DATE(cfg_FY,5,1))+1))</f>
        <v>0</v>
      </c>
      <c r="AY282" s="65" t="n">
        <f aca="false">IF(OR(OR($B282="",$E282="",$F282=""),$K282&lt;&gt;"نعم",$M282="نعم"),0,MAX(0,MIN($F282,EOMONTH(DATE(cfg_FY,6,1),0))-MAX($E282,DATE(cfg_FY,6,1))+1))</f>
        <v>0</v>
      </c>
      <c r="AZ282" s="65" t="n">
        <f aca="false">IF(OR(OR($B282="",$E282="",$F282=""),$K282&lt;&gt;"نعم",$M282="نعم"),0,MAX(0,MIN($F282,EOMONTH(DATE(cfg_FY,7,1),0))-MAX($E282,DATE(cfg_FY,7,1))+1))</f>
        <v>0</v>
      </c>
      <c r="BA282" s="65" t="n">
        <f aca="false">IF(OR(OR($B282="",$E282="",$F282=""),$K282&lt;&gt;"نعم",$M282="نعم"),0,MAX(0,MIN($F282,EOMONTH(DATE(cfg_FY,8,1),0))-MAX($E282,DATE(cfg_FY,8,1))+1))</f>
        <v>0</v>
      </c>
      <c r="BB282" s="65" t="n">
        <f aca="false">IF(OR(OR($B282="",$E282="",$F282=""),$K282&lt;&gt;"نعم",$M282="نعم"),0,MAX(0,MIN($F282,EOMONTH(DATE(cfg_FY,9,1),0))-MAX($E282,DATE(cfg_FY,9,1))+1))</f>
        <v>0</v>
      </c>
      <c r="BC282" s="65" t="n">
        <f aca="false">IF(OR(OR($B282="",$E282="",$F282=""),$K282&lt;&gt;"نعم",$M282="نعم"),0,MAX(0,MIN($F282,EOMONTH(DATE(cfg_FY,10,1),0))-MAX($E282,DATE(cfg_FY,10,1))+1))</f>
        <v>0</v>
      </c>
      <c r="BD282" s="65" t="n">
        <f aca="false">IF(OR(OR($B282="",$E282="",$F282=""),$K282&lt;&gt;"نعم",$M282="نعم"),0,MAX(0,MIN($F282,EOMONTH(DATE(cfg_FY,11,1),0))-MAX($E282,DATE(cfg_FY,11,1))+1))</f>
        <v>0</v>
      </c>
      <c r="BE282" s="65" t="n">
        <f aca="false">IF(OR(OR($B282="",$E282="",$F282=""),$K282&lt;&gt;"نعم",$M282="نعم"),0,MAX(0,MIN($F282,EOMONTH(DATE(cfg_FY,12,1),0))-MAX($E282,DATE(cfg_FY,12,1))+1))</f>
        <v>0</v>
      </c>
    </row>
    <row r="283" customFormat="false" ht="15" hidden="false" customHeight="false" outlineLevel="0" collapsed="false">
      <c r="A283" s="115" t="str">
        <f aca="false">IF(B283="","",ROW()-5)</f>
        <v/>
      </c>
      <c r="B283" s="118"/>
      <c r="C283" s="117" t="str">
        <f aca="false">IF(B283="","",IFERROR(INDEX(الموظفون!$C$6:$C$105,MATCH(B283,الموظفون!$B$6:$B$105,0)),"✖ رقم غير موجود"))</f>
        <v/>
      </c>
      <c r="D283" s="118"/>
      <c r="E283" s="119"/>
      <c r="F283" s="119"/>
      <c r="G283" s="133" t="str">
        <f aca="false">IF(OR($B283="",$E283="",$F283=""),"",MAX(0,F283-E283+1))</f>
        <v/>
      </c>
      <c r="H283" s="134" t="str">
        <f aca="false">IF(D283="","",IFERROR(VLOOKUP(D283,cfg_LT,2,FALSE()),1))</f>
        <v/>
      </c>
      <c r="I283" s="135"/>
      <c r="J283" s="134" t="str">
        <f aca="false">IF(D283="","",IF(I283&lt;&gt;"",I283,H283))</f>
        <v/>
      </c>
      <c r="K283" s="117" t="str">
        <f aca="false">IF(D283="","",IFERROR(VLOOKUP($D283,cfg_LT,3,FALSE()),""))</f>
        <v/>
      </c>
      <c r="L283" s="117" t="str">
        <f aca="false">IF(D283="","",IFERROR(VLOOKUP($D283,cfg_LT,4,FALSE()),""))</f>
        <v/>
      </c>
      <c r="M283" s="117" t="str">
        <f aca="false">IF(D283="","",IFERROR(VLOOKUP($D283,cfg_LT,5,FALSE()),""))</f>
        <v/>
      </c>
      <c r="N283" s="116" t="n">
        <f aca="false">IF(OR(OR($B283="",$E283="",$F283=""),M283&lt;&gt;"نعم"),0,G283*J283*IFERROR(INDEX(الموظفون!$R$6:$R$105,MATCH(B283,الموظفون!$B$6:$B$105,0)),0)/cfg_DAYS_M)</f>
        <v>0</v>
      </c>
      <c r="O283" s="115" t="str">
        <f aca="false">IF(OR(OR($B283="",$E283="",$F283=""),M283&lt;&gt;"نعم"),"",IF(YEAR(E283)=cfg_FY,MONTH(E283),""))</f>
        <v/>
      </c>
      <c r="P283" s="117" t="str">
        <f aca="false">IF(B283="","",IF(OR(D283="",E283="",F283=""),"⚠ أكمل النوع والتواريخ",IF(F283&lt;E283,"✖ النهاية قبل البداية",IF(COUNTIFS($B$6:$B$505,B283,$E$6:$E$505,"&lt;="&amp;F283,$F$6:$F$505,"&gt;="&amp;E283)&gt;1,"⚠ تداخل مع سجل آخر",IF(E283&gt;cfg_VAL_DATE,"⏳ قادمة",IF(F283&lt;cfg_VAL_DATE,"✔ منتهية","✈ جارية في تاريخ التقرير"))))))</f>
        <v/>
      </c>
      <c r="Q283" s="118"/>
      <c r="R283" s="133" t="n">
        <f aca="false">IF(OR(OR($B283="",$E283="",$F283=""),L283&lt;&gt;"لا"),0,MAX(0,MIN(F283,cfg_Y_START-1)-E283+1))</f>
        <v>0</v>
      </c>
      <c r="S283" s="133" t="n">
        <f aca="false">IF(OR(OR($B283="",$E283="",$F283=""),L283&lt;&gt;"لا"),0,MAX(0,MIN(F283,cfg_VAL_DATE)-E283+1))</f>
        <v>0</v>
      </c>
      <c r="T283" s="133" t="n">
        <f aca="false">IF(OR(OR($B283="",$E283="",$F283=""),K283&lt;&gt;"نعم"),0,IF(M283="نعم",IF(AND(ISNUMBER(O283),N(O283)&lt;=cfg_VAL_M),G283,0),MAX(0,MIN(F283,cfg_VAL_DATE)-MAX(E283,cfg_Y_START)+1)))</f>
        <v>0</v>
      </c>
      <c r="V283" s="133" t="n">
        <f aca="false">IF(OR($B283="",$E283="",$F283=""),0,MAX(0,MIN($F283,EOMONTH(DATE(cfg_FY,1,1),0))-MAX($E283,DATE(cfg_FY,1,1))+1)*(1-IF($M283="نعم",0,N($J283))))</f>
        <v>0</v>
      </c>
      <c r="W283" s="133" t="n">
        <f aca="false">IF(OR($B283="",$E283="",$F283=""),0,MAX(0,MIN($F283,EOMONTH(DATE(cfg_FY,2,1),0))-MAX($E283,DATE(cfg_FY,2,1))+1)*(1-IF($M283="نعم",0,N($J283))))</f>
        <v>0</v>
      </c>
      <c r="X283" s="133" t="n">
        <f aca="false">IF(OR($B283="",$E283="",$F283=""),0,MAX(0,MIN($F283,EOMONTH(DATE(cfg_FY,3,1),0))-MAX($E283,DATE(cfg_FY,3,1))+1)*(1-IF($M283="نعم",0,N($J283))))</f>
        <v>0</v>
      </c>
      <c r="Y283" s="133" t="n">
        <f aca="false">IF(OR($B283="",$E283="",$F283=""),0,MAX(0,MIN($F283,EOMONTH(DATE(cfg_FY,4,1),0))-MAX($E283,DATE(cfg_FY,4,1))+1)*(1-IF($M283="نعم",0,N($J283))))</f>
        <v>0</v>
      </c>
      <c r="Z283" s="133" t="n">
        <f aca="false">IF(OR($B283="",$E283="",$F283=""),0,MAX(0,MIN($F283,EOMONTH(DATE(cfg_FY,5,1),0))-MAX($E283,DATE(cfg_FY,5,1))+1)*(1-IF($M283="نعم",0,N($J283))))</f>
        <v>0</v>
      </c>
      <c r="AA283" s="133" t="n">
        <f aca="false">IF(OR($B283="",$E283="",$F283=""),0,MAX(0,MIN($F283,EOMONTH(DATE(cfg_FY,6,1),0))-MAX($E283,DATE(cfg_FY,6,1))+1)*(1-IF($M283="نعم",0,N($J283))))</f>
        <v>0</v>
      </c>
      <c r="AB283" s="133" t="n">
        <f aca="false">IF(OR($B283="",$E283="",$F283=""),0,MAX(0,MIN($F283,EOMONTH(DATE(cfg_FY,7,1),0))-MAX($E283,DATE(cfg_FY,7,1))+1)*(1-IF($M283="نعم",0,N($J283))))</f>
        <v>0</v>
      </c>
      <c r="AC283" s="133" t="n">
        <f aca="false">IF(OR($B283="",$E283="",$F283=""),0,MAX(0,MIN($F283,EOMONTH(DATE(cfg_FY,8,1),0))-MAX($E283,DATE(cfg_FY,8,1))+1)*(1-IF($M283="نعم",0,N($J283))))</f>
        <v>0</v>
      </c>
      <c r="AD283" s="133" t="n">
        <f aca="false">IF(OR($B283="",$E283="",$F283=""),0,MAX(0,MIN($F283,EOMONTH(DATE(cfg_FY,9,1),0))-MAX($E283,DATE(cfg_FY,9,1))+1)*(1-IF($M283="نعم",0,N($J283))))</f>
        <v>0</v>
      </c>
      <c r="AE283" s="133" t="n">
        <f aca="false">IF(OR($B283="",$E283="",$F283=""),0,MAX(0,MIN($F283,EOMONTH(DATE(cfg_FY,10,1),0))-MAX($E283,DATE(cfg_FY,10,1))+1)*(1-IF($M283="نعم",0,N($J283))))</f>
        <v>0</v>
      </c>
      <c r="AF283" s="133" t="n">
        <f aca="false">IF(OR($B283="",$E283="",$F283=""),0,MAX(0,MIN($F283,EOMONTH(DATE(cfg_FY,11,1),0))-MAX($E283,DATE(cfg_FY,11,1))+1)*(1-IF($M283="نعم",0,N($J283))))</f>
        <v>0</v>
      </c>
      <c r="AG283" s="133" t="n">
        <f aca="false">IF(OR($B283="",$E283="",$F283=""),0,MAX(0,MIN($F283,EOMONTH(DATE(cfg_FY,12,1),0))-MAX($E283,DATE(cfg_FY,12,1))+1)*(1-IF($M283="نعم",0,N($J283))))</f>
        <v>0</v>
      </c>
      <c r="AH283" s="133" t="n">
        <f aca="false">IF(OR(OR($B283="",$E283="",$F283=""),$L283&lt;&gt;"لا"),0,MAX(0,MIN($F283,EOMONTH(DATE(cfg_FY,1,1),0))-$E283+1))</f>
        <v>0</v>
      </c>
      <c r="AI283" s="133" t="n">
        <f aca="false">IF(OR(OR($B283="",$E283="",$F283=""),$L283&lt;&gt;"لا"),0,MAX(0,MIN($F283,EOMONTH(DATE(cfg_FY,2,1),0))-$E283+1))</f>
        <v>0</v>
      </c>
      <c r="AJ283" s="133" t="n">
        <f aca="false">IF(OR(OR($B283="",$E283="",$F283=""),$L283&lt;&gt;"لا"),0,MAX(0,MIN($F283,EOMONTH(DATE(cfg_FY,3,1),0))-$E283+1))</f>
        <v>0</v>
      </c>
      <c r="AK283" s="133" t="n">
        <f aca="false">IF(OR(OR($B283="",$E283="",$F283=""),$L283&lt;&gt;"لا"),0,MAX(0,MIN($F283,EOMONTH(DATE(cfg_FY,4,1),0))-$E283+1))</f>
        <v>0</v>
      </c>
      <c r="AL283" s="133" t="n">
        <f aca="false">IF(OR(OR($B283="",$E283="",$F283=""),$L283&lt;&gt;"لا"),0,MAX(0,MIN($F283,EOMONTH(DATE(cfg_FY,5,1),0))-$E283+1))</f>
        <v>0</v>
      </c>
      <c r="AM283" s="133" t="n">
        <f aca="false">IF(OR(OR($B283="",$E283="",$F283=""),$L283&lt;&gt;"لا"),0,MAX(0,MIN($F283,EOMONTH(DATE(cfg_FY,6,1),0))-$E283+1))</f>
        <v>0</v>
      </c>
      <c r="AN283" s="133" t="n">
        <f aca="false">IF(OR(OR($B283="",$E283="",$F283=""),$L283&lt;&gt;"لا"),0,MAX(0,MIN($F283,EOMONTH(DATE(cfg_FY,7,1),0))-$E283+1))</f>
        <v>0</v>
      </c>
      <c r="AO283" s="133" t="n">
        <f aca="false">IF(OR(OR($B283="",$E283="",$F283=""),$L283&lt;&gt;"لا"),0,MAX(0,MIN($F283,EOMONTH(DATE(cfg_FY,8,1),0))-$E283+1))</f>
        <v>0</v>
      </c>
      <c r="AP283" s="133" t="n">
        <f aca="false">IF(OR(OR($B283="",$E283="",$F283=""),$L283&lt;&gt;"لا"),0,MAX(0,MIN($F283,EOMONTH(DATE(cfg_FY,9,1),0))-$E283+1))</f>
        <v>0</v>
      </c>
      <c r="AQ283" s="133" t="n">
        <f aca="false">IF(OR(OR($B283="",$E283="",$F283=""),$L283&lt;&gt;"لا"),0,MAX(0,MIN($F283,EOMONTH(DATE(cfg_FY,10,1),0))-$E283+1))</f>
        <v>0</v>
      </c>
      <c r="AR283" s="133" t="n">
        <f aca="false">IF(OR(OR($B283="",$E283="",$F283=""),$L283&lt;&gt;"لا"),0,MAX(0,MIN($F283,EOMONTH(DATE(cfg_FY,11,1),0))-$E283+1))</f>
        <v>0</v>
      </c>
      <c r="AS283" s="133" t="n">
        <f aca="false">IF(OR(OR($B283="",$E283="",$F283=""),$L283&lt;&gt;"لا"),0,MAX(0,MIN($F283,EOMONTH(DATE(cfg_FY,12,1),0))-$E283+1))</f>
        <v>0</v>
      </c>
      <c r="AT283" s="133" t="n">
        <f aca="false">IF(OR(OR($B283="",$E283="",$F283=""),$K283&lt;&gt;"نعم",$M283="نعم"),0,MAX(0,MIN($F283,EOMONTH(DATE(cfg_FY,1,1),0))-MAX($E283,DATE(cfg_FY,1,1))+1))</f>
        <v>0</v>
      </c>
      <c r="AU283" s="133" t="n">
        <f aca="false">IF(OR(OR($B283="",$E283="",$F283=""),$K283&lt;&gt;"نعم",$M283="نعم"),0,MAX(0,MIN($F283,EOMONTH(DATE(cfg_FY,2,1),0))-MAX($E283,DATE(cfg_FY,2,1))+1))</f>
        <v>0</v>
      </c>
      <c r="AV283" s="133" t="n">
        <f aca="false">IF(OR(OR($B283="",$E283="",$F283=""),$K283&lt;&gt;"نعم",$M283="نعم"),0,MAX(0,MIN($F283,EOMONTH(DATE(cfg_FY,3,1),0))-MAX($E283,DATE(cfg_FY,3,1))+1))</f>
        <v>0</v>
      </c>
      <c r="AW283" s="133" t="n">
        <f aca="false">IF(OR(OR($B283="",$E283="",$F283=""),$K283&lt;&gt;"نعم",$M283="نعم"),0,MAX(0,MIN($F283,EOMONTH(DATE(cfg_FY,4,1),0))-MAX($E283,DATE(cfg_FY,4,1))+1))</f>
        <v>0</v>
      </c>
      <c r="AX283" s="133" t="n">
        <f aca="false">IF(OR(OR($B283="",$E283="",$F283=""),$K283&lt;&gt;"نعم",$M283="نعم"),0,MAX(0,MIN($F283,EOMONTH(DATE(cfg_FY,5,1),0))-MAX($E283,DATE(cfg_FY,5,1))+1))</f>
        <v>0</v>
      </c>
      <c r="AY283" s="133" t="n">
        <f aca="false">IF(OR(OR($B283="",$E283="",$F283=""),$K283&lt;&gt;"نعم",$M283="نعم"),0,MAX(0,MIN($F283,EOMONTH(DATE(cfg_FY,6,1),0))-MAX($E283,DATE(cfg_FY,6,1))+1))</f>
        <v>0</v>
      </c>
      <c r="AZ283" s="133" t="n">
        <f aca="false">IF(OR(OR($B283="",$E283="",$F283=""),$K283&lt;&gt;"نعم",$M283="نعم"),0,MAX(0,MIN($F283,EOMONTH(DATE(cfg_FY,7,1),0))-MAX($E283,DATE(cfg_FY,7,1))+1))</f>
        <v>0</v>
      </c>
      <c r="BA283" s="133" t="n">
        <f aca="false">IF(OR(OR($B283="",$E283="",$F283=""),$K283&lt;&gt;"نعم",$M283="نعم"),0,MAX(0,MIN($F283,EOMONTH(DATE(cfg_FY,8,1),0))-MAX($E283,DATE(cfg_FY,8,1))+1))</f>
        <v>0</v>
      </c>
      <c r="BB283" s="133" t="n">
        <f aca="false">IF(OR(OR($B283="",$E283="",$F283=""),$K283&lt;&gt;"نعم",$M283="نعم"),0,MAX(0,MIN($F283,EOMONTH(DATE(cfg_FY,9,1),0))-MAX($E283,DATE(cfg_FY,9,1))+1))</f>
        <v>0</v>
      </c>
      <c r="BC283" s="133" t="n">
        <f aca="false">IF(OR(OR($B283="",$E283="",$F283=""),$K283&lt;&gt;"نعم",$M283="نعم"),0,MAX(0,MIN($F283,EOMONTH(DATE(cfg_FY,10,1),0))-MAX($E283,DATE(cfg_FY,10,1))+1))</f>
        <v>0</v>
      </c>
      <c r="BD283" s="133" t="n">
        <f aca="false">IF(OR(OR($B283="",$E283="",$F283=""),$K283&lt;&gt;"نعم",$M283="نعم"),0,MAX(0,MIN($F283,EOMONTH(DATE(cfg_FY,11,1),0))-MAX($E283,DATE(cfg_FY,11,1))+1))</f>
        <v>0</v>
      </c>
      <c r="BE283" s="133" t="n">
        <f aca="false">IF(OR(OR($B283="",$E283="",$F283=""),$K283&lt;&gt;"نعم",$M283="نعم"),0,MAX(0,MIN($F283,EOMONTH(DATE(cfg_FY,12,1),0))-MAX($E283,DATE(cfg_FY,12,1))+1))</f>
        <v>0</v>
      </c>
    </row>
    <row r="284" customFormat="false" ht="15" hidden="false" customHeight="false" outlineLevel="0" collapsed="false">
      <c r="A284" s="106" t="str">
        <f aca="false">IF(B284="","",ROW()-5)</f>
        <v/>
      </c>
      <c r="B284" s="118"/>
      <c r="C284" s="114" t="str">
        <f aca="false">IF(B284="","",IFERROR(INDEX(الموظفون!$C$6:$C$105,MATCH(B284,الموظفون!$B$6:$B$105,0)),"✖ رقم غير موجود"))</f>
        <v/>
      </c>
      <c r="D284" s="118"/>
      <c r="E284" s="119"/>
      <c r="F284" s="119"/>
      <c r="G284" s="65" t="str">
        <f aca="false">IF(OR($B284="",$E284="",$F284=""),"",MAX(0,F284-E284+1))</f>
        <v/>
      </c>
      <c r="H284" s="66" t="str">
        <f aca="false">IF(D284="","",IFERROR(VLOOKUP(D284,cfg_LT,2,FALSE()),1))</f>
        <v/>
      </c>
      <c r="I284" s="135"/>
      <c r="J284" s="66" t="str">
        <f aca="false">IF(D284="","",IF(I284&lt;&gt;"",I284,H284))</f>
        <v/>
      </c>
      <c r="K284" s="114" t="str">
        <f aca="false">IF(D284="","",IFERROR(VLOOKUP($D284,cfg_LT,3,FALSE()),""))</f>
        <v/>
      </c>
      <c r="L284" s="114" t="str">
        <f aca="false">IF(D284="","",IFERROR(VLOOKUP($D284,cfg_LT,4,FALSE()),""))</f>
        <v/>
      </c>
      <c r="M284" s="114" t="str">
        <f aca="false">IF(D284="","",IFERROR(VLOOKUP($D284,cfg_LT,5,FALSE()),""))</f>
        <v/>
      </c>
      <c r="N284" s="111" t="n">
        <f aca="false">IF(OR(OR($B284="",$E284="",$F284=""),M284&lt;&gt;"نعم"),0,G284*J284*IFERROR(INDEX(الموظفون!$R$6:$R$105,MATCH(B284,الموظفون!$B$6:$B$105,0)),0)/cfg_DAYS_M)</f>
        <v>0</v>
      </c>
      <c r="O284" s="106" t="str">
        <f aca="false">IF(OR(OR($B284="",$E284="",$F284=""),M284&lt;&gt;"نعم"),"",IF(YEAR(E284)=cfg_FY,MONTH(E284),""))</f>
        <v/>
      </c>
      <c r="P284" s="114" t="str">
        <f aca="false">IF(B284="","",IF(OR(D284="",E284="",F284=""),"⚠ أكمل النوع والتواريخ",IF(F284&lt;E284,"✖ النهاية قبل البداية",IF(COUNTIFS($B$6:$B$505,B284,$E$6:$E$505,"&lt;="&amp;F284,$F$6:$F$505,"&gt;="&amp;E284)&gt;1,"⚠ تداخل مع سجل آخر",IF(E284&gt;cfg_VAL_DATE,"⏳ قادمة",IF(F284&lt;cfg_VAL_DATE,"✔ منتهية","✈ جارية في تاريخ التقرير"))))))</f>
        <v/>
      </c>
      <c r="Q284" s="118"/>
      <c r="R284" s="65" t="n">
        <f aca="false">IF(OR(OR($B284="",$E284="",$F284=""),L284&lt;&gt;"لا"),0,MAX(0,MIN(F284,cfg_Y_START-1)-E284+1))</f>
        <v>0</v>
      </c>
      <c r="S284" s="65" t="n">
        <f aca="false">IF(OR(OR($B284="",$E284="",$F284=""),L284&lt;&gt;"لا"),0,MAX(0,MIN(F284,cfg_VAL_DATE)-E284+1))</f>
        <v>0</v>
      </c>
      <c r="T284" s="65" t="n">
        <f aca="false">IF(OR(OR($B284="",$E284="",$F284=""),K284&lt;&gt;"نعم"),0,IF(M284="نعم",IF(AND(ISNUMBER(O284),N(O284)&lt;=cfg_VAL_M),G284,0),MAX(0,MIN(F284,cfg_VAL_DATE)-MAX(E284,cfg_Y_START)+1)))</f>
        <v>0</v>
      </c>
      <c r="V284" s="65" t="n">
        <f aca="false">IF(OR($B284="",$E284="",$F284=""),0,MAX(0,MIN($F284,EOMONTH(DATE(cfg_FY,1,1),0))-MAX($E284,DATE(cfg_FY,1,1))+1)*(1-IF($M284="نعم",0,N($J284))))</f>
        <v>0</v>
      </c>
      <c r="W284" s="65" t="n">
        <f aca="false">IF(OR($B284="",$E284="",$F284=""),0,MAX(0,MIN($F284,EOMONTH(DATE(cfg_FY,2,1),0))-MAX($E284,DATE(cfg_FY,2,1))+1)*(1-IF($M284="نعم",0,N($J284))))</f>
        <v>0</v>
      </c>
      <c r="X284" s="65" t="n">
        <f aca="false">IF(OR($B284="",$E284="",$F284=""),0,MAX(0,MIN($F284,EOMONTH(DATE(cfg_FY,3,1),0))-MAX($E284,DATE(cfg_FY,3,1))+1)*(1-IF($M284="نعم",0,N($J284))))</f>
        <v>0</v>
      </c>
      <c r="Y284" s="65" t="n">
        <f aca="false">IF(OR($B284="",$E284="",$F284=""),0,MAX(0,MIN($F284,EOMONTH(DATE(cfg_FY,4,1),0))-MAX($E284,DATE(cfg_FY,4,1))+1)*(1-IF($M284="نعم",0,N($J284))))</f>
        <v>0</v>
      </c>
      <c r="Z284" s="65" t="n">
        <f aca="false">IF(OR($B284="",$E284="",$F284=""),0,MAX(0,MIN($F284,EOMONTH(DATE(cfg_FY,5,1),0))-MAX($E284,DATE(cfg_FY,5,1))+1)*(1-IF($M284="نعم",0,N($J284))))</f>
        <v>0</v>
      </c>
      <c r="AA284" s="65" t="n">
        <f aca="false">IF(OR($B284="",$E284="",$F284=""),0,MAX(0,MIN($F284,EOMONTH(DATE(cfg_FY,6,1),0))-MAX($E284,DATE(cfg_FY,6,1))+1)*(1-IF($M284="نعم",0,N($J284))))</f>
        <v>0</v>
      </c>
      <c r="AB284" s="65" t="n">
        <f aca="false">IF(OR($B284="",$E284="",$F284=""),0,MAX(0,MIN($F284,EOMONTH(DATE(cfg_FY,7,1),0))-MAX($E284,DATE(cfg_FY,7,1))+1)*(1-IF($M284="نعم",0,N($J284))))</f>
        <v>0</v>
      </c>
      <c r="AC284" s="65" t="n">
        <f aca="false">IF(OR($B284="",$E284="",$F284=""),0,MAX(0,MIN($F284,EOMONTH(DATE(cfg_FY,8,1),0))-MAX($E284,DATE(cfg_FY,8,1))+1)*(1-IF($M284="نعم",0,N($J284))))</f>
        <v>0</v>
      </c>
      <c r="AD284" s="65" t="n">
        <f aca="false">IF(OR($B284="",$E284="",$F284=""),0,MAX(0,MIN($F284,EOMONTH(DATE(cfg_FY,9,1),0))-MAX($E284,DATE(cfg_FY,9,1))+1)*(1-IF($M284="نعم",0,N($J284))))</f>
        <v>0</v>
      </c>
      <c r="AE284" s="65" t="n">
        <f aca="false">IF(OR($B284="",$E284="",$F284=""),0,MAX(0,MIN($F284,EOMONTH(DATE(cfg_FY,10,1),0))-MAX($E284,DATE(cfg_FY,10,1))+1)*(1-IF($M284="نعم",0,N($J284))))</f>
        <v>0</v>
      </c>
      <c r="AF284" s="65" t="n">
        <f aca="false">IF(OR($B284="",$E284="",$F284=""),0,MAX(0,MIN($F284,EOMONTH(DATE(cfg_FY,11,1),0))-MAX($E284,DATE(cfg_FY,11,1))+1)*(1-IF($M284="نعم",0,N($J284))))</f>
        <v>0</v>
      </c>
      <c r="AG284" s="65" t="n">
        <f aca="false">IF(OR($B284="",$E284="",$F284=""),0,MAX(0,MIN($F284,EOMONTH(DATE(cfg_FY,12,1),0))-MAX($E284,DATE(cfg_FY,12,1))+1)*(1-IF($M284="نعم",0,N($J284))))</f>
        <v>0</v>
      </c>
      <c r="AH284" s="65" t="n">
        <f aca="false">IF(OR(OR($B284="",$E284="",$F284=""),$L284&lt;&gt;"لا"),0,MAX(0,MIN($F284,EOMONTH(DATE(cfg_FY,1,1),0))-$E284+1))</f>
        <v>0</v>
      </c>
      <c r="AI284" s="65" t="n">
        <f aca="false">IF(OR(OR($B284="",$E284="",$F284=""),$L284&lt;&gt;"لا"),0,MAX(0,MIN($F284,EOMONTH(DATE(cfg_FY,2,1),0))-$E284+1))</f>
        <v>0</v>
      </c>
      <c r="AJ284" s="65" t="n">
        <f aca="false">IF(OR(OR($B284="",$E284="",$F284=""),$L284&lt;&gt;"لا"),0,MAX(0,MIN($F284,EOMONTH(DATE(cfg_FY,3,1),0))-$E284+1))</f>
        <v>0</v>
      </c>
      <c r="AK284" s="65" t="n">
        <f aca="false">IF(OR(OR($B284="",$E284="",$F284=""),$L284&lt;&gt;"لا"),0,MAX(0,MIN($F284,EOMONTH(DATE(cfg_FY,4,1),0))-$E284+1))</f>
        <v>0</v>
      </c>
      <c r="AL284" s="65" t="n">
        <f aca="false">IF(OR(OR($B284="",$E284="",$F284=""),$L284&lt;&gt;"لا"),0,MAX(0,MIN($F284,EOMONTH(DATE(cfg_FY,5,1),0))-$E284+1))</f>
        <v>0</v>
      </c>
      <c r="AM284" s="65" t="n">
        <f aca="false">IF(OR(OR($B284="",$E284="",$F284=""),$L284&lt;&gt;"لا"),0,MAX(0,MIN($F284,EOMONTH(DATE(cfg_FY,6,1),0))-$E284+1))</f>
        <v>0</v>
      </c>
      <c r="AN284" s="65" t="n">
        <f aca="false">IF(OR(OR($B284="",$E284="",$F284=""),$L284&lt;&gt;"لا"),0,MAX(0,MIN($F284,EOMONTH(DATE(cfg_FY,7,1),0))-$E284+1))</f>
        <v>0</v>
      </c>
      <c r="AO284" s="65" t="n">
        <f aca="false">IF(OR(OR($B284="",$E284="",$F284=""),$L284&lt;&gt;"لا"),0,MAX(0,MIN($F284,EOMONTH(DATE(cfg_FY,8,1),0))-$E284+1))</f>
        <v>0</v>
      </c>
      <c r="AP284" s="65" t="n">
        <f aca="false">IF(OR(OR($B284="",$E284="",$F284=""),$L284&lt;&gt;"لا"),0,MAX(0,MIN($F284,EOMONTH(DATE(cfg_FY,9,1),0))-$E284+1))</f>
        <v>0</v>
      </c>
      <c r="AQ284" s="65" t="n">
        <f aca="false">IF(OR(OR($B284="",$E284="",$F284=""),$L284&lt;&gt;"لا"),0,MAX(0,MIN($F284,EOMONTH(DATE(cfg_FY,10,1),0))-$E284+1))</f>
        <v>0</v>
      </c>
      <c r="AR284" s="65" t="n">
        <f aca="false">IF(OR(OR($B284="",$E284="",$F284=""),$L284&lt;&gt;"لا"),0,MAX(0,MIN($F284,EOMONTH(DATE(cfg_FY,11,1),0))-$E284+1))</f>
        <v>0</v>
      </c>
      <c r="AS284" s="65" t="n">
        <f aca="false">IF(OR(OR($B284="",$E284="",$F284=""),$L284&lt;&gt;"لا"),0,MAX(0,MIN($F284,EOMONTH(DATE(cfg_FY,12,1),0))-$E284+1))</f>
        <v>0</v>
      </c>
      <c r="AT284" s="65" t="n">
        <f aca="false">IF(OR(OR($B284="",$E284="",$F284=""),$K284&lt;&gt;"نعم",$M284="نعم"),0,MAX(0,MIN($F284,EOMONTH(DATE(cfg_FY,1,1),0))-MAX($E284,DATE(cfg_FY,1,1))+1))</f>
        <v>0</v>
      </c>
      <c r="AU284" s="65" t="n">
        <f aca="false">IF(OR(OR($B284="",$E284="",$F284=""),$K284&lt;&gt;"نعم",$M284="نعم"),0,MAX(0,MIN($F284,EOMONTH(DATE(cfg_FY,2,1),0))-MAX($E284,DATE(cfg_FY,2,1))+1))</f>
        <v>0</v>
      </c>
      <c r="AV284" s="65" t="n">
        <f aca="false">IF(OR(OR($B284="",$E284="",$F284=""),$K284&lt;&gt;"نعم",$M284="نعم"),0,MAX(0,MIN($F284,EOMONTH(DATE(cfg_FY,3,1),0))-MAX($E284,DATE(cfg_FY,3,1))+1))</f>
        <v>0</v>
      </c>
      <c r="AW284" s="65" t="n">
        <f aca="false">IF(OR(OR($B284="",$E284="",$F284=""),$K284&lt;&gt;"نعم",$M284="نعم"),0,MAX(0,MIN($F284,EOMONTH(DATE(cfg_FY,4,1),0))-MAX($E284,DATE(cfg_FY,4,1))+1))</f>
        <v>0</v>
      </c>
      <c r="AX284" s="65" t="n">
        <f aca="false">IF(OR(OR($B284="",$E284="",$F284=""),$K284&lt;&gt;"نعم",$M284="نعم"),0,MAX(0,MIN($F284,EOMONTH(DATE(cfg_FY,5,1),0))-MAX($E284,DATE(cfg_FY,5,1))+1))</f>
        <v>0</v>
      </c>
      <c r="AY284" s="65" t="n">
        <f aca="false">IF(OR(OR($B284="",$E284="",$F284=""),$K284&lt;&gt;"نعم",$M284="نعم"),0,MAX(0,MIN($F284,EOMONTH(DATE(cfg_FY,6,1),0))-MAX($E284,DATE(cfg_FY,6,1))+1))</f>
        <v>0</v>
      </c>
      <c r="AZ284" s="65" t="n">
        <f aca="false">IF(OR(OR($B284="",$E284="",$F284=""),$K284&lt;&gt;"نعم",$M284="نعم"),0,MAX(0,MIN($F284,EOMONTH(DATE(cfg_FY,7,1),0))-MAX($E284,DATE(cfg_FY,7,1))+1))</f>
        <v>0</v>
      </c>
      <c r="BA284" s="65" t="n">
        <f aca="false">IF(OR(OR($B284="",$E284="",$F284=""),$K284&lt;&gt;"نعم",$M284="نعم"),0,MAX(0,MIN($F284,EOMONTH(DATE(cfg_FY,8,1),0))-MAX($E284,DATE(cfg_FY,8,1))+1))</f>
        <v>0</v>
      </c>
      <c r="BB284" s="65" t="n">
        <f aca="false">IF(OR(OR($B284="",$E284="",$F284=""),$K284&lt;&gt;"نعم",$M284="نعم"),0,MAX(0,MIN($F284,EOMONTH(DATE(cfg_FY,9,1),0))-MAX($E284,DATE(cfg_FY,9,1))+1))</f>
        <v>0</v>
      </c>
      <c r="BC284" s="65" t="n">
        <f aca="false">IF(OR(OR($B284="",$E284="",$F284=""),$K284&lt;&gt;"نعم",$M284="نعم"),0,MAX(0,MIN($F284,EOMONTH(DATE(cfg_FY,10,1),0))-MAX($E284,DATE(cfg_FY,10,1))+1))</f>
        <v>0</v>
      </c>
      <c r="BD284" s="65" t="n">
        <f aca="false">IF(OR(OR($B284="",$E284="",$F284=""),$K284&lt;&gt;"نعم",$M284="نعم"),0,MAX(0,MIN($F284,EOMONTH(DATE(cfg_FY,11,1),0))-MAX($E284,DATE(cfg_FY,11,1))+1))</f>
        <v>0</v>
      </c>
      <c r="BE284" s="65" t="n">
        <f aca="false">IF(OR(OR($B284="",$E284="",$F284=""),$K284&lt;&gt;"نعم",$M284="نعم"),0,MAX(0,MIN($F284,EOMONTH(DATE(cfg_FY,12,1),0))-MAX($E284,DATE(cfg_FY,12,1))+1))</f>
        <v>0</v>
      </c>
    </row>
    <row r="285" customFormat="false" ht="15" hidden="false" customHeight="false" outlineLevel="0" collapsed="false">
      <c r="A285" s="115" t="str">
        <f aca="false">IF(B285="","",ROW()-5)</f>
        <v/>
      </c>
      <c r="B285" s="118"/>
      <c r="C285" s="117" t="str">
        <f aca="false">IF(B285="","",IFERROR(INDEX(الموظفون!$C$6:$C$105,MATCH(B285,الموظفون!$B$6:$B$105,0)),"✖ رقم غير موجود"))</f>
        <v/>
      </c>
      <c r="D285" s="118"/>
      <c r="E285" s="119"/>
      <c r="F285" s="119"/>
      <c r="G285" s="133" t="str">
        <f aca="false">IF(OR($B285="",$E285="",$F285=""),"",MAX(0,F285-E285+1))</f>
        <v/>
      </c>
      <c r="H285" s="134" t="str">
        <f aca="false">IF(D285="","",IFERROR(VLOOKUP(D285,cfg_LT,2,FALSE()),1))</f>
        <v/>
      </c>
      <c r="I285" s="135"/>
      <c r="J285" s="134" t="str">
        <f aca="false">IF(D285="","",IF(I285&lt;&gt;"",I285,H285))</f>
        <v/>
      </c>
      <c r="K285" s="117" t="str">
        <f aca="false">IF(D285="","",IFERROR(VLOOKUP($D285,cfg_LT,3,FALSE()),""))</f>
        <v/>
      </c>
      <c r="L285" s="117" t="str">
        <f aca="false">IF(D285="","",IFERROR(VLOOKUP($D285,cfg_LT,4,FALSE()),""))</f>
        <v/>
      </c>
      <c r="M285" s="117" t="str">
        <f aca="false">IF(D285="","",IFERROR(VLOOKUP($D285,cfg_LT,5,FALSE()),""))</f>
        <v/>
      </c>
      <c r="N285" s="116" t="n">
        <f aca="false">IF(OR(OR($B285="",$E285="",$F285=""),M285&lt;&gt;"نعم"),0,G285*J285*IFERROR(INDEX(الموظفون!$R$6:$R$105,MATCH(B285,الموظفون!$B$6:$B$105,0)),0)/cfg_DAYS_M)</f>
        <v>0</v>
      </c>
      <c r="O285" s="115" t="str">
        <f aca="false">IF(OR(OR($B285="",$E285="",$F285=""),M285&lt;&gt;"نعم"),"",IF(YEAR(E285)=cfg_FY,MONTH(E285),""))</f>
        <v/>
      </c>
      <c r="P285" s="117" t="str">
        <f aca="false">IF(B285="","",IF(OR(D285="",E285="",F285=""),"⚠ أكمل النوع والتواريخ",IF(F285&lt;E285,"✖ النهاية قبل البداية",IF(COUNTIFS($B$6:$B$505,B285,$E$6:$E$505,"&lt;="&amp;F285,$F$6:$F$505,"&gt;="&amp;E285)&gt;1,"⚠ تداخل مع سجل آخر",IF(E285&gt;cfg_VAL_DATE,"⏳ قادمة",IF(F285&lt;cfg_VAL_DATE,"✔ منتهية","✈ جارية في تاريخ التقرير"))))))</f>
        <v/>
      </c>
      <c r="Q285" s="118"/>
      <c r="R285" s="133" t="n">
        <f aca="false">IF(OR(OR($B285="",$E285="",$F285=""),L285&lt;&gt;"لا"),0,MAX(0,MIN(F285,cfg_Y_START-1)-E285+1))</f>
        <v>0</v>
      </c>
      <c r="S285" s="133" t="n">
        <f aca="false">IF(OR(OR($B285="",$E285="",$F285=""),L285&lt;&gt;"لا"),0,MAX(0,MIN(F285,cfg_VAL_DATE)-E285+1))</f>
        <v>0</v>
      </c>
      <c r="T285" s="133" t="n">
        <f aca="false">IF(OR(OR($B285="",$E285="",$F285=""),K285&lt;&gt;"نعم"),0,IF(M285="نعم",IF(AND(ISNUMBER(O285),N(O285)&lt;=cfg_VAL_M),G285,0),MAX(0,MIN(F285,cfg_VAL_DATE)-MAX(E285,cfg_Y_START)+1)))</f>
        <v>0</v>
      </c>
      <c r="V285" s="133" t="n">
        <f aca="false">IF(OR($B285="",$E285="",$F285=""),0,MAX(0,MIN($F285,EOMONTH(DATE(cfg_FY,1,1),0))-MAX($E285,DATE(cfg_FY,1,1))+1)*(1-IF($M285="نعم",0,N($J285))))</f>
        <v>0</v>
      </c>
      <c r="W285" s="133" t="n">
        <f aca="false">IF(OR($B285="",$E285="",$F285=""),0,MAX(0,MIN($F285,EOMONTH(DATE(cfg_FY,2,1),0))-MAX($E285,DATE(cfg_FY,2,1))+1)*(1-IF($M285="نعم",0,N($J285))))</f>
        <v>0</v>
      </c>
      <c r="X285" s="133" t="n">
        <f aca="false">IF(OR($B285="",$E285="",$F285=""),0,MAX(0,MIN($F285,EOMONTH(DATE(cfg_FY,3,1),0))-MAX($E285,DATE(cfg_FY,3,1))+1)*(1-IF($M285="نعم",0,N($J285))))</f>
        <v>0</v>
      </c>
      <c r="Y285" s="133" t="n">
        <f aca="false">IF(OR($B285="",$E285="",$F285=""),0,MAX(0,MIN($F285,EOMONTH(DATE(cfg_FY,4,1),0))-MAX($E285,DATE(cfg_FY,4,1))+1)*(1-IF($M285="نعم",0,N($J285))))</f>
        <v>0</v>
      </c>
      <c r="Z285" s="133" t="n">
        <f aca="false">IF(OR($B285="",$E285="",$F285=""),0,MAX(0,MIN($F285,EOMONTH(DATE(cfg_FY,5,1),0))-MAX($E285,DATE(cfg_FY,5,1))+1)*(1-IF($M285="نعم",0,N($J285))))</f>
        <v>0</v>
      </c>
      <c r="AA285" s="133" t="n">
        <f aca="false">IF(OR($B285="",$E285="",$F285=""),0,MAX(0,MIN($F285,EOMONTH(DATE(cfg_FY,6,1),0))-MAX($E285,DATE(cfg_FY,6,1))+1)*(1-IF($M285="نعم",0,N($J285))))</f>
        <v>0</v>
      </c>
      <c r="AB285" s="133" t="n">
        <f aca="false">IF(OR($B285="",$E285="",$F285=""),0,MAX(0,MIN($F285,EOMONTH(DATE(cfg_FY,7,1),0))-MAX($E285,DATE(cfg_FY,7,1))+1)*(1-IF($M285="نعم",0,N($J285))))</f>
        <v>0</v>
      </c>
      <c r="AC285" s="133" t="n">
        <f aca="false">IF(OR($B285="",$E285="",$F285=""),0,MAX(0,MIN($F285,EOMONTH(DATE(cfg_FY,8,1),0))-MAX($E285,DATE(cfg_FY,8,1))+1)*(1-IF($M285="نعم",0,N($J285))))</f>
        <v>0</v>
      </c>
      <c r="AD285" s="133" t="n">
        <f aca="false">IF(OR($B285="",$E285="",$F285=""),0,MAX(0,MIN($F285,EOMONTH(DATE(cfg_FY,9,1),0))-MAX($E285,DATE(cfg_FY,9,1))+1)*(1-IF($M285="نعم",0,N($J285))))</f>
        <v>0</v>
      </c>
      <c r="AE285" s="133" t="n">
        <f aca="false">IF(OR($B285="",$E285="",$F285=""),0,MAX(0,MIN($F285,EOMONTH(DATE(cfg_FY,10,1),0))-MAX($E285,DATE(cfg_FY,10,1))+1)*(1-IF($M285="نعم",0,N($J285))))</f>
        <v>0</v>
      </c>
      <c r="AF285" s="133" t="n">
        <f aca="false">IF(OR($B285="",$E285="",$F285=""),0,MAX(0,MIN($F285,EOMONTH(DATE(cfg_FY,11,1),0))-MAX($E285,DATE(cfg_FY,11,1))+1)*(1-IF($M285="نعم",0,N($J285))))</f>
        <v>0</v>
      </c>
      <c r="AG285" s="133" t="n">
        <f aca="false">IF(OR($B285="",$E285="",$F285=""),0,MAX(0,MIN($F285,EOMONTH(DATE(cfg_FY,12,1),0))-MAX($E285,DATE(cfg_FY,12,1))+1)*(1-IF($M285="نعم",0,N($J285))))</f>
        <v>0</v>
      </c>
      <c r="AH285" s="133" t="n">
        <f aca="false">IF(OR(OR($B285="",$E285="",$F285=""),$L285&lt;&gt;"لا"),0,MAX(0,MIN($F285,EOMONTH(DATE(cfg_FY,1,1),0))-$E285+1))</f>
        <v>0</v>
      </c>
      <c r="AI285" s="133" t="n">
        <f aca="false">IF(OR(OR($B285="",$E285="",$F285=""),$L285&lt;&gt;"لا"),0,MAX(0,MIN($F285,EOMONTH(DATE(cfg_FY,2,1),0))-$E285+1))</f>
        <v>0</v>
      </c>
      <c r="AJ285" s="133" t="n">
        <f aca="false">IF(OR(OR($B285="",$E285="",$F285=""),$L285&lt;&gt;"لا"),0,MAX(0,MIN($F285,EOMONTH(DATE(cfg_FY,3,1),0))-$E285+1))</f>
        <v>0</v>
      </c>
      <c r="AK285" s="133" t="n">
        <f aca="false">IF(OR(OR($B285="",$E285="",$F285=""),$L285&lt;&gt;"لا"),0,MAX(0,MIN($F285,EOMONTH(DATE(cfg_FY,4,1),0))-$E285+1))</f>
        <v>0</v>
      </c>
      <c r="AL285" s="133" t="n">
        <f aca="false">IF(OR(OR($B285="",$E285="",$F285=""),$L285&lt;&gt;"لا"),0,MAX(0,MIN($F285,EOMONTH(DATE(cfg_FY,5,1),0))-$E285+1))</f>
        <v>0</v>
      </c>
      <c r="AM285" s="133" t="n">
        <f aca="false">IF(OR(OR($B285="",$E285="",$F285=""),$L285&lt;&gt;"لا"),0,MAX(0,MIN($F285,EOMONTH(DATE(cfg_FY,6,1),0))-$E285+1))</f>
        <v>0</v>
      </c>
      <c r="AN285" s="133" t="n">
        <f aca="false">IF(OR(OR($B285="",$E285="",$F285=""),$L285&lt;&gt;"لا"),0,MAX(0,MIN($F285,EOMONTH(DATE(cfg_FY,7,1),0))-$E285+1))</f>
        <v>0</v>
      </c>
      <c r="AO285" s="133" t="n">
        <f aca="false">IF(OR(OR($B285="",$E285="",$F285=""),$L285&lt;&gt;"لا"),0,MAX(0,MIN($F285,EOMONTH(DATE(cfg_FY,8,1),0))-$E285+1))</f>
        <v>0</v>
      </c>
      <c r="AP285" s="133" t="n">
        <f aca="false">IF(OR(OR($B285="",$E285="",$F285=""),$L285&lt;&gt;"لا"),0,MAX(0,MIN($F285,EOMONTH(DATE(cfg_FY,9,1),0))-$E285+1))</f>
        <v>0</v>
      </c>
      <c r="AQ285" s="133" t="n">
        <f aca="false">IF(OR(OR($B285="",$E285="",$F285=""),$L285&lt;&gt;"لا"),0,MAX(0,MIN($F285,EOMONTH(DATE(cfg_FY,10,1),0))-$E285+1))</f>
        <v>0</v>
      </c>
      <c r="AR285" s="133" t="n">
        <f aca="false">IF(OR(OR($B285="",$E285="",$F285=""),$L285&lt;&gt;"لا"),0,MAX(0,MIN($F285,EOMONTH(DATE(cfg_FY,11,1),0))-$E285+1))</f>
        <v>0</v>
      </c>
      <c r="AS285" s="133" t="n">
        <f aca="false">IF(OR(OR($B285="",$E285="",$F285=""),$L285&lt;&gt;"لا"),0,MAX(0,MIN($F285,EOMONTH(DATE(cfg_FY,12,1),0))-$E285+1))</f>
        <v>0</v>
      </c>
      <c r="AT285" s="133" t="n">
        <f aca="false">IF(OR(OR($B285="",$E285="",$F285=""),$K285&lt;&gt;"نعم",$M285="نعم"),0,MAX(0,MIN($F285,EOMONTH(DATE(cfg_FY,1,1),0))-MAX($E285,DATE(cfg_FY,1,1))+1))</f>
        <v>0</v>
      </c>
      <c r="AU285" s="133" t="n">
        <f aca="false">IF(OR(OR($B285="",$E285="",$F285=""),$K285&lt;&gt;"نعم",$M285="نعم"),0,MAX(0,MIN($F285,EOMONTH(DATE(cfg_FY,2,1),0))-MAX($E285,DATE(cfg_FY,2,1))+1))</f>
        <v>0</v>
      </c>
      <c r="AV285" s="133" t="n">
        <f aca="false">IF(OR(OR($B285="",$E285="",$F285=""),$K285&lt;&gt;"نعم",$M285="نعم"),0,MAX(0,MIN($F285,EOMONTH(DATE(cfg_FY,3,1),0))-MAX($E285,DATE(cfg_FY,3,1))+1))</f>
        <v>0</v>
      </c>
      <c r="AW285" s="133" t="n">
        <f aca="false">IF(OR(OR($B285="",$E285="",$F285=""),$K285&lt;&gt;"نعم",$M285="نعم"),0,MAX(0,MIN($F285,EOMONTH(DATE(cfg_FY,4,1),0))-MAX($E285,DATE(cfg_FY,4,1))+1))</f>
        <v>0</v>
      </c>
      <c r="AX285" s="133" t="n">
        <f aca="false">IF(OR(OR($B285="",$E285="",$F285=""),$K285&lt;&gt;"نعم",$M285="نعم"),0,MAX(0,MIN($F285,EOMONTH(DATE(cfg_FY,5,1),0))-MAX($E285,DATE(cfg_FY,5,1))+1))</f>
        <v>0</v>
      </c>
      <c r="AY285" s="133" t="n">
        <f aca="false">IF(OR(OR($B285="",$E285="",$F285=""),$K285&lt;&gt;"نعم",$M285="نعم"),0,MAX(0,MIN($F285,EOMONTH(DATE(cfg_FY,6,1),0))-MAX($E285,DATE(cfg_FY,6,1))+1))</f>
        <v>0</v>
      </c>
      <c r="AZ285" s="133" t="n">
        <f aca="false">IF(OR(OR($B285="",$E285="",$F285=""),$K285&lt;&gt;"نعم",$M285="نعم"),0,MAX(0,MIN($F285,EOMONTH(DATE(cfg_FY,7,1),0))-MAX($E285,DATE(cfg_FY,7,1))+1))</f>
        <v>0</v>
      </c>
      <c r="BA285" s="133" t="n">
        <f aca="false">IF(OR(OR($B285="",$E285="",$F285=""),$K285&lt;&gt;"نعم",$M285="نعم"),0,MAX(0,MIN($F285,EOMONTH(DATE(cfg_FY,8,1),0))-MAX($E285,DATE(cfg_FY,8,1))+1))</f>
        <v>0</v>
      </c>
      <c r="BB285" s="133" t="n">
        <f aca="false">IF(OR(OR($B285="",$E285="",$F285=""),$K285&lt;&gt;"نعم",$M285="نعم"),0,MAX(0,MIN($F285,EOMONTH(DATE(cfg_FY,9,1),0))-MAX($E285,DATE(cfg_FY,9,1))+1))</f>
        <v>0</v>
      </c>
      <c r="BC285" s="133" t="n">
        <f aca="false">IF(OR(OR($B285="",$E285="",$F285=""),$K285&lt;&gt;"نعم",$M285="نعم"),0,MAX(0,MIN($F285,EOMONTH(DATE(cfg_FY,10,1),0))-MAX($E285,DATE(cfg_FY,10,1))+1))</f>
        <v>0</v>
      </c>
      <c r="BD285" s="133" t="n">
        <f aca="false">IF(OR(OR($B285="",$E285="",$F285=""),$K285&lt;&gt;"نعم",$M285="نعم"),0,MAX(0,MIN($F285,EOMONTH(DATE(cfg_FY,11,1),0))-MAX($E285,DATE(cfg_FY,11,1))+1))</f>
        <v>0</v>
      </c>
      <c r="BE285" s="133" t="n">
        <f aca="false">IF(OR(OR($B285="",$E285="",$F285=""),$K285&lt;&gt;"نعم",$M285="نعم"),0,MAX(0,MIN($F285,EOMONTH(DATE(cfg_FY,12,1),0))-MAX($E285,DATE(cfg_FY,12,1))+1))</f>
        <v>0</v>
      </c>
    </row>
    <row r="286" customFormat="false" ht="15" hidden="false" customHeight="false" outlineLevel="0" collapsed="false">
      <c r="A286" s="106" t="str">
        <f aca="false">IF(B286="","",ROW()-5)</f>
        <v/>
      </c>
      <c r="B286" s="118"/>
      <c r="C286" s="114" t="str">
        <f aca="false">IF(B286="","",IFERROR(INDEX(الموظفون!$C$6:$C$105,MATCH(B286,الموظفون!$B$6:$B$105,0)),"✖ رقم غير موجود"))</f>
        <v/>
      </c>
      <c r="D286" s="118"/>
      <c r="E286" s="119"/>
      <c r="F286" s="119"/>
      <c r="G286" s="65" t="str">
        <f aca="false">IF(OR($B286="",$E286="",$F286=""),"",MAX(0,F286-E286+1))</f>
        <v/>
      </c>
      <c r="H286" s="66" t="str">
        <f aca="false">IF(D286="","",IFERROR(VLOOKUP(D286,cfg_LT,2,FALSE()),1))</f>
        <v/>
      </c>
      <c r="I286" s="135"/>
      <c r="J286" s="66" t="str">
        <f aca="false">IF(D286="","",IF(I286&lt;&gt;"",I286,H286))</f>
        <v/>
      </c>
      <c r="K286" s="114" t="str">
        <f aca="false">IF(D286="","",IFERROR(VLOOKUP($D286,cfg_LT,3,FALSE()),""))</f>
        <v/>
      </c>
      <c r="L286" s="114" t="str">
        <f aca="false">IF(D286="","",IFERROR(VLOOKUP($D286,cfg_LT,4,FALSE()),""))</f>
        <v/>
      </c>
      <c r="M286" s="114" t="str">
        <f aca="false">IF(D286="","",IFERROR(VLOOKUP($D286,cfg_LT,5,FALSE()),""))</f>
        <v/>
      </c>
      <c r="N286" s="111" t="n">
        <f aca="false">IF(OR(OR($B286="",$E286="",$F286=""),M286&lt;&gt;"نعم"),0,G286*J286*IFERROR(INDEX(الموظفون!$R$6:$R$105,MATCH(B286,الموظفون!$B$6:$B$105,0)),0)/cfg_DAYS_M)</f>
        <v>0</v>
      </c>
      <c r="O286" s="106" t="str">
        <f aca="false">IF(OR(OR($B286="",$E286="",$F286=""),M286&lt;&gt;"نعم"),"",IF(YEAR(E286)=cfg_FY,MONTH(E286),""))</f>
        <v/>
      </c>
      <c r="P286" s="114" t="str">
        <f aca="false">IF(B286="","",IF(OR(D286="",E286="",F286=""),"⚠ أكمل النوع والتواريخ",IF(F286&lt;E286,"✖ النهاية قبل البداية",IF(COUNTIFS($B$6:$B$505,B286,$E$6:$E$505,"&lt;="&amp;F286,$F$6:$F$505,"&gt;="&amp;E286)&gt;1,"⚠ تداخل مع سجل آخر",IF(E286&gt;cfg_VAL_DATE,"⏳ قادمة",IF(F286&lt;cfg_VAL_DATE,"✔ منتهية","✈ جارية في تاريخ التقرير"))))))</f>
        <v/>
      </c>
      <c r="Q286" s="118"/>
      <c r="R286" s="65" t="n">
        <f aca="false">IF(OR(OR($B286="",$E286="",$F286=""),L286&lt;&gt;"لا"),0,MAX(0,MIN(F286,cfg_Y_START-1)-E286+1))</f>
        <v>0</v>
      </c>
      <c r="S286" s="65" t="n">
        <f aca="false">IF(OR(OR($B286="",$E286="",$F286=""),L286&lt;&gt;"لا"),0,MAX(0,MIN(F286,cfg_VAL_DATE)-E286+1))</f>
        <v>0</v>
      </c>
      <c r="T286" s="65" t="n">
        <f aca="false">IF(OR(OR($B286="",$E286="",$F286=""),K286&lt;&gt;"نعم"),0,IF(M286="نعم",IF(AND(ISNUMBER(O286),N(O286)&lt;=cfg_VAL_M),G286,0),MAX(0,MIN(F286,cfg_VAL_DATE)-MAX(E286,cfg_Y_START)+1)))</f>
        <v>0</v>
      </c>
      <c r="V286" s="65" t="n">
        <f aca="false">IF(OR($B286="",$E286="",$F286=""),0,MAX(0,MIN($F286,EOMONTH(DATE(cfg_FY,1,1),0))-MAX($E286,DATE(cfg_FY,1,1))+1)*(1-IF($M286="نعم",0,N($J286))))</f>
        <v>0</v>
      </c>
      <c r="W286" s="65" t="n">
        <f aca="false">IF(OR($B286="",$E286="",$F286=""),0,MAX(0,MIN($F286,EOMONTH(DATE(cfg_FY,2,1),0))-MAX($E286,DATE(cfg_FY,2,1))+1)*(1-IF($M286="نعم",0,N($J286))))</f>
        <v>0</v>
      </c>
      <c r="X286" s="65" t="n">
        <f aca="false">IF(OR($B286="",$E286="",$F286=""),0,MAX(0,MIN($F286,EOMONTH(DATE(cfg_FY,3,1),0))-MAX($E286,DATE(cfg_FY,3,1))+1)*(1-IF($M286="نعم",0,N($J286))))</f>
        <v>0</v>
      </c>
      <c r="Y286" s="65" t="n">
        <f aca="false">IF(OR($B286="",$E286="",$F286=""),0,MAX(0,MIN($F286,EOMONTH(DATE(cfg_FY,4,1),0))-MAX($E286,DATE(cfg_FY,4,1))+1)*(1-IF($M286="نعم",0,N($J286))))</f>
        <v>0</v>
      </c>
      <c r="Z286" s="65" t="n">
        <f aca="false">IF(OR($B286="",$E286="",$F286=""),0,MAX(0,MIN($F286,EOMONTH(DATE(cfg_FY,5,1),0))-MAX($E286,DATE(cfg_FY,5,1))+1)*(1-IF($M286="نعم",0,N($J286))))</f>
        <v>0</v>
      </c>
      <c r="AA286" s="65" t="n">
        <f aca="false">IF(OR($B286="",$E286="",$F286=""),0,MAX(0,MIN($F286,EOMONTH(DATE(cfg_FY,6,1),0))-MAX($E286,DATE(cfg_FY,6,1))+1)*(1-IF($M286="نعم",0,N($J286))))</f>
        <v>0</v>
      </c>
      <c r="AB286" s="65" t="n">
        <f aca="false">IF(OR($B286="",$E286="",$F286=""),0,MAX(0,MIN($F286,EOMONTH(DATE(cfg_FY,7,1),0))-MAX($E286,DATE(cfg_FY,7,1))+1)*(1-IF($M286="نعم",0,N($J286))))</f>
        <v>0</v>
      </c>
      <c r="AC286" s="65" t="n">
        <f aca="false">IF(OR($B286="",$E286="",$F286=""),0,MAX(0,MIN($F286,EOMONTH(DATE(cfg_FY,8,1),0))-MAX($E286,DATE(cfg_FY,8,1))+1)*(1-IF($M286="نعم",0,N($J286))))</f>
        <v>0</v>
      </c>
      <c r="AD286" s="65" t="n">
        <f aca="false">IF(OR($B286="",$E286="",$F286=""),0,MAX(0,MIN($F286,EOMONTH(DATE(cfg_FY,9,1),0))-MAX($E286,DATE(cfg_FY,9,1))+1)*(1-IF($M286="نعم",0,N($J286))))</f>
        <v>0</v>
      </c>
      <c r="AE286" s="65" t="n">
        <f aca="false">IF(OR($B286="",$E286="",$F286=""),0,MAX(0,MIN($F286,EOMONTH(DATE(cfg_FY,10,1),0))-MAX($E286,DATE(cfg_FY,10,1))+1)*(1-IF($M286="نعم",0,N($J286))))</f>
        <v>0</v>
      </c>
      <c r="AF286" s="65" t="n">
        <f aca="false">IF(OR($B286="",$E286="",$F286=""),0,MAX(0,MIN($F286,EOMONTH(DATE(cfg_FY,11,1),0))-MAX($E286,DATE(cfg_FY,11,1))+1)*(1-IF($M286="نعم",0,N($J286))))</f>
        <v>0</v>
      </c>
      <c r="AG286" s="65" t="n">
        <f aca="false">IF(OR($B286="",$E286="",$F286=""),0,MAX(0,MIN($F286,EOMONTH(DATE(cfg_FY,12,1),0))-MAX($E286,DATE(cfg_FY,12,1))+1)*(1-IF($M286="نعم",0,N($J286))))</f>
        <v>0</v>
      </c>
      <c r="AH286" s="65" t="n">
        <f aca="false">IF(OR(OR($B286="",$E286="",$F286=""),$L286&lt;&gt;"لا"),0,MAX(0,MIN($F286,EOMONTH(DATE(cfg_FY,1,1),0))-$E286+1))</f>
        <v>0</v>
      </c>
      <c r="AI286" s="65" t="n">
        <f aca="false">IF(OR(OR($B286="",$E286="",$F286=""),$L286&lt;&gt;"لا"),0,MAX(0,MIN($F286,EOMONTH(DATE(cfg_FY,2,1),0))-$E286+1))</f>
        <v>0</v>
      </c>
      <c r="AJ286" s="65" t="n">
        <f aca="false">IF(OR(OR($B286="",$E286="",$F286=""),$L286&lt;&gt;"لا"),0,MAX(0,MIN($F286,EOMONTH(DATE(cfg_FY,3,1),0))-$E286+1))</f>
        <v>0</v>
      </c>
      <c r="AK286" s="65" t="n">
        <f aca="false">IF(OR(OR($B286="",$E286="",$F286=""),$L286&lt;&gt;"لا"),0,MAX(0,MIN($F286,EOMONTH(DATE(cfg_FY,4,1),0))-$E286+1))</f>
        <v>0</v>
      </c>
      <c r="AL286" s="65" t="n">
        <f aca="false">IF(OR(OR($B286="",$E286="",$F286=""),$L286&lt;&gt;"لا"),0,MAX(0,MIN($F286,EOMONTH(DATE(cfg_FY,5,1),0))-$E286+1))</f>
        <v>0</v>
      </c>
      <c r="AM286" s="65" t="n">
        <f aca="false">IF(OR(OR($B286="",$E286="",$F286=""),$L286&lt;&gt;"لا"),0,MAX(0,MIN($F286,EOMONTH(DATE(cfg_FY,6,1),0))-$E286+1))</f>
        <v>0</v>
      </c>
      <c r="AN286" s="65" t="n">
        <f aca="false">IF(OR(OR($B286="",$E286="",$F286=""),$L286&lt;&gt;"لا"),0,MAX(0,MIN($F286,EOMONTH(DATE(cfg_FY,7,1),0))-$E286+1))</f>
        <v>0</v>
      </c>
      <c r="AO286" s="65" t="n">
        <f aca="false">IF(OR(OR($B286="",$E286="",$F286=""),$L286&lt;&gt;"لا"),0,MAX(0,MIN($F286,EOMONTH(DATE(cfg_FY,8,1),0))-$E286+1))</f>
        <v>0</v>
      </c>
      <c r="AP286" s="65" t="n">
        <f aca="false">IF(OR(OR($B286="",$E286="",$F286=""),$L286&lt;&gt;"لا"),0,MAX(0,MIN($F286,EOMONTH(DATE(cfg_FY,9,1),0))-$E286+1))</f>
        <v>0</v>
      </c>
      <c r="AQ286" s="65" t="n">
        <f aca="false">IF(OR(OR($B286="",$E286="",$F286=""),$L286&lt;&gt;"لا"),0,MAX(0,MIN($F286,EOMONTH(DATE(cfg_FY,10,1),0))-$E286+1))</f>
        <v>0</v>
      </c>
      <c r="AR286" s="65" t="n">
        <f aca="false">IF(OR(OR($B286="",$E286="",$F286=""),$L286&lt;&gt;"لا"),0,MAX(0,MIN($F286,EOMONTH(DATE(cfg_FY,11,1),0))-$E286+1))</f>
        <v>0</v>
      </c>
      <c r="AS286" s="65" t="n">
        <f aca="false">IF(OR(OR($B286="",$E286="",$F286=""),$L286&lt;&gt;"لا"),0,MAX(0,MIN($F286,EOMONTH(DATE(cfg_FY,12,1),0))-$E286+1))</f>
        <v>0</v>
      </c>
      <c r="AT286" s="65" t="n">
        <f aca="false">IF(OR(OR($B286="",$E286="",$F286=""),$K286&lt;&gt;"نعم",$M286="نعم"),0,MAX(0,MIN($F286,EOMONTH(DATE(cfg_FY,1,1),0))-MAX($E286,DATE(cfg_FY,1,1))+1))</f>
        <v>0</v>
      </c>
      <c r="AU286" s="65" t="n">
        <f aca="false">IF(OR(OR($B286="",$E286="",$F286=""),$K286&lt;&gt;"نعم",$M286="نعم"),0,MAX(0,MIN($F286,EOMONTH(DATE(cfg_FY,2,1),0))-MAX($E286,DATE(cfg_FY,2,1))+1))</f>
        <v>0</v>
      </c>
      <c r="AV286" s="65" t="n">
        <f aca="false">IF(OR(OR($B286="",$E286="",$F286=""),$K286&lt;&gt;"نعم",$M286="نعم"),0,MAX(0,MIN($F286,EOMONTH(DATE(cfg_FY,3,1),0))-MAX($E286,DATE(cfg_FY,3,1))+1))</f>
        <v>0</v>
      </c>
      <c r="AW286" s="65" t="n">
        <f aca="false">IF(OR(OR($B286="",$E286="",$F286=""),$K286&lt;&gt;"نعم",$M286="نعم"),0,MAX(0,MIN($F286,EOMONTH(DATE(cfg_FY,4,1),0))-MAX($E286,DATE(cfg_FY,4,1))+1))</f>
        <v>0</v>
      </c>
      <c r="AX286" s="65" t="n">
        <f aca="false">IF(OR(OR($B286="",$E286="",$F286=""),$K286&lt;&gt;"نعم",$M286="نعم"),0,MAX(0,MIN($F286,EOMONTH(DATE(cfg_FY,5,1),0))-MAX($E286,DATE(cfg_FY,5,1))+1))</f>
        <v>0</v>
      </c>
      <c r="AY286" s="65" t="n">
        <f aca="false">IF(OR(OR($B286="",$E286="",$F286=""),$K286&lt;&gt;"نعم",$M286="نعم"),0,MAX(0,MIN($F286,EOMONTH(DATE(cfg_FY,6,1),0))-MAX($E286,DATE(cfg_FY,6,1))+1))</f>
        <v>0</v>
      </c>
      <c r="AZ286" s="65" t="n">
        <f aca="false">IF(OR(OR($B286="",$E286="",$F286=""),$K286&lt;&gt;"نعم",$M286="نعم"),0,MAX(0,MIN($F286,EOMONTH(DATE(cfg_FY,7,1),0))-MAX($E286,DATE(cfg_FY,7,1))+1))</f>
        <v>0</v>
      </c>
      <c r="BA286" s="65" t="n">
        <f aca="false">IF(OR(OR($B286="",$E286="",$F286=""),$K286&lt;&gt;"نعم",$M286="نعم"),0,MAX(0,MIN($F286,EOMONTH(DATE(cfg_FY,8,1),0))-MAX($E286,DATE(cfg_FY,8,1))+1))</f>
        <v>0</v>
      </c>
      <c r="BB286" s="65" t="n">
        <f aca="false">IF(OR(OR($B286="",$E286="",$F286=""),$K286&lt;&gt;"نعم",$M286="نعم"),0,MAX(0,MIN($F286,EOMONTH(DATE(cfg_FY,9,1),0))-MAX($E286,DATE(cfg_FY,9,1))+1))</f>
        <v>0</v>
      </c>
      <c r="BC286" s="65" t="n">
        <f aca="false">IF(OR(OR($B286="",$E286="",$F286=""),$K286&lt;&gt;"نعم",$M286="نعم"),0,MAX(0,MIN($F286,EOMONTH(DATE(cfg_FY,10,1),0))-MAX($E286,DATE(cfg_FY,10,1))+1))</f>
        <v>0</v>
      </c>
      <c r="BD286" s="65" t="n">
        <f aca="false">IF(OR(OR($B286="",$E286="",$F286=""),$K286&lt;&gt;"نعم",$M286="نعم"),0,MAX(0,MIN($F286,EOMONTH(DATE(cfg_FY,11,1),0))-MAX($E286,DATE(cfg_FY,11,1))+1))</f>
        <v>0</v>
      </c>
      <c r="BE286" s="65" t="n">
        <f aca="false">IF(OR(OR($B286="",$E286="",$F286=""),$K286&lt;&gt;"نعم",$M286="نعم"),0,MAX(0,MIN($F286,EOMONTH(DATE(cfg_FY,12,1),0))-MAX($E286,DATE(cfg_FY,12,1))+1))</f>
        <v>0</v>
      </c>
    </row>
    <row r="287" customFormat="false" ht="15" hidden="false" customHeight="false" outlineLevel="0" collapsed="false">
      <c r="A287" s="115" t="str">
        <f aca="false">IF(B287="","",ROW()-5)</f>
        <v/>
      </c>
      <c r="B287" s="118"/>
      <c r="C287" s="117" t="str">
        <f aca="false">IF(B287="","",IFERROR(INDEX(الموظفون!$C$6:$C$105,MATCH(B287,الموظفون!$B$6:$B$105,0)),"✖ رقم غير موجود"))</f>
        <v/>
      </c>
      <c r="D287" s="118"/>
      <c r="E287" s="119"/>
      <c r="F287" s="119"/>
      <c r="G287" s="133" t="str">
        <f aca="false">IF(OR($B287="",$E287="",$F287=""),"",MAX(0,F287-E287+1))</f>
        <v/>
      </c>
      <c r="H287" s="134" t="str">
        <f aca="false">IF(D287="","",IFERROR(VLOOKUP(D287,cfg_LT,2,FALSE()),1))</f>
        <v/>
      </c>
      <c r="I287" s="135"/>
      <c r="J287" s="134" t="str">
        <f aca="false">IF(D287="","",IF(I287&lt;&gt;"",I287,H287))</f>
        <v/>
      </c>
      <c r="K287" s="117" t="str">
        <f aca="false">IF(D287="","",IFERROR(VLOOKUP($D287,cfg_LT,3,FALSE()),""))</f>
        <v/>
      </c>
      <c r="L287" s="117" t="str">
        <f aca="false">IF(D287="","",IFERROR(VLOOKUP($D287,cfg_LT,4,FALSE()),""))</f>
        <v/>
      </c>
      <c r="M287" s="117" t="str">
        <f aca="false">IF(D287="","",IFERROR(VLOOKUP($D287,cfg_LT,5,FALSE()),""))</f>
        <v/>
      </c>
      <c r="N287" s="116" t="n">
        <f aca="false">IF(OR(OR($B287="",$E287="",$F287=""),M287&lt;&gt;"نعم"),0,G287*J287*IFERROR(INDEX(الموظفون!$R$6:$R$105,MATCH(B287,الموظفون!$B$6:$B$105,0)),0)/cfg_DAYS_M)</f>
        <v>0</v>
      </c>
      <c r="O287" s="115" t="str">
        <f aca="false">IF(OR(OR($B287="",$E287="",$F287=""),M287&lt;&gt;"نعم"),"",IF(YEAR(E287)=cfg_FY,MONTH(E287),""))</f>
        <v/>
      </c>
      <c r="P287" s="117" t="str">
        <f aca="false">IF(B287="","",IF(OR(D287="",E287="",F287=""),"⚠ أكمل النوع والتواريخ",IF(F287&lt;E287,"✖ النهاية قبل البداية",IF(COUNTIFS($B$6:$B$505,B287,$E$6:$E$505,"&lt;="&amp;F287,$F$6:$F$505,"&gt;="&amp;E287)&gt;1,"⚠ تداخل مع سجل آخر",IF(E287&gt;cfg_VAL_DATE,"⏳ قادمة",IF(F287&lt;cfg_VAL_DATE,"✔ منتهية","✈ جارية في تاريخ التقرير"))))))</f>
        <v/>
      </c>
      <c r="Q287" s="118"/>
      <c r="R287" s="133" t="n">
        <f aca="false">IF(OR(OR($B287="",$E287="",$F287=""),L287&lt;&gt;"لا"),0,MAX(0,MIN(F287,cfg_Y_START-1)-E287+1))</f>
        <v>0</v>
      </c>
      <c r="S287" s="133" t="n">
        <f aca="false">IF(OR(OR($B287="",$E287="",$F287=""),L287&lt;&gt;"لا"),0,MAX(0,MIN(F287,cfg_VAL_DATE)-E287+1))</f>
        <v>0</v>
      </c>
      <c r="T287" s="133" t="n">
        <f aca="false">IF(OR(OR($B287="",$E287="",$F287=""),K287&lt;&gt;"نعم"),0,IF(M287="نعم",IF(AND(ISNUMBER(O287),N(O287)&lt;=cfg_VAL_M),G287,0),MAX(0,MIN(F287,cfg_VAL_DATE)-MAX(E287,cfg_Y_START)+1)))</f>
        <v>0</v>
      </c>
      <c r="V287" s="133" t="n">
        <f aca="false">IF(OR($B287="",$E287="",$F287=""),0,MAX(0,MIN($F287,EOMONTH(DATE(cfg_FY,1,1),0))-MAX($E287,DATE(cfg_FY,1,1))+1)*(1-IF($M287="نعم",0,N($J287))))</f>
        <v>0</v>
      </c>
      <c r="W287" s="133" t="n">
        <f aca="false">IF(OR($B287="",$E287="",$F287=""),0,MAX(0,MIN($F287,EOMONTH(DATE(cfg_FY,2,1),0))-MAX($E287,DATE(cfg_FY,2,1))+1)*(1-IF($M287="نعم",0,N($J287))))</f>
        <v>0</v>
      </c>
      <c r="X287" s="133" t="n">
        <f aca="false">IF(OR($B287="",$E287="",$F287=""),0,MAX(0,MIN($F287,EOMONTH(DATE(cfg_FY,3,1),0))-MAX($E287,DATE(cfg_FY,3,1))+1)*(1-IF($M287="نعم",0,N($J287))))</f>
        <v>0</v>
      </c>
      <c r="Y287" s="133" t="n">
        <f aca="false">IF(OR($B287="",$E287="",$F287=""),0,MAX(0,MIN($F287,EOMONTH(DATE(cfg_FY,4,1),0))-MAX($E287,DATE(cfg_FY,4,1))+1)*(1-IF($M287="نعم",0,N($J287))))</f>
        <v>0</v>
      </c>
      <c r="Z287" s="133" t="n">
        <f aca="false">IF(OR($B287="",$E287="",$F287=""),0,MAX(0,MIN($F287,EOMONTH(DATE(cfg_FY,5,1),0))-MAX($E287,DATE(cfg_FY,5,1))+1)*(1-IF($M287="نعم",0,N($J287))))</f>
        <v>0</v>
      </c>
      <c r="AA287" s="133" t="n">
        <f aca="false">IF(OR($B287="",$E287="",$F287=""),0,MAX(0,MIN($F287,EOMONTH(DATE(cfg_FY,6,1),0))-MAX($E287,DATE(cfg_FY,6,1))+1)*(1-IF($M287="نعم",0,N($J287))))</f>
        <v>0</v>
      </c>
      <c r="AB287" s="133" t="n">
        <f aca="false">IF(OR($B287="",$E287="",$F287=""),0,MAX(0,MIN($F287,EOMONTH(DATE(cfg_FY,7,1),0))-MAX($E287,DATE(cfg_FY,7,1))+1)*(1-IF($M287="نعم",0,N($J287))))</f>
        <v>0</v>
      </c>
      <c r="AC287" s="133" t="n">
        <f aca="false">IF(OR($B287="",$E287="",$F287=""),0,MAX(0,MIN($F287,EOMONTH(DATE(cfg_FY,8,1),0))-MAX($E287,DATE(cfg_FY,8,1))+1)*(1-IF($M287="نعم",0,N($J287))))</f>
        <v>0</v>
      </c>
      <c r="AD287" s="133" t="n">
        <f aca="false">IF(OR($B287="",$E287="",$F287=""),0,MAX(0,MIN($F287,EOMONTH(DATE(cfg_FY,9,1),0))-MAX($E287,DATE(cfg_FY,9,1))+1)*(1-IF($M287="نعم",0,N($J287))))</f>
        <v>0</v>
      </c>
      <c r="AE287" s="133" t="n">
        <f aca="false">IF(OR($B287="",$E287="",$F287=""),0,MAX(0,MIN($F287,EOMONTH(DATE(cfg_FY,10,1),0))-MAX($E287,DATE(cfg_FY,10,1))+1)*(1-IF($M287="نعم",0,N($J287))))</f>
        <v>0</v>
      </c>
      <c r="AF287" s="133" t="n">
        <f aca="false">IF(OR($B287="",$E287="",$F287=""),0,MAX(0,MIN($F287,EOMONTH(DATE(cfg_FY,11,1),0))-MAX($E287,DATE(cfg_FY,11,1))+1)*(1-IF($M287="نعم",0,N($J287))))</f>
        <v>0</v>
      </c>
      <c r="AG287" s="133" t="n">
        <f aca="false">IF(OR($B287="",$E287="",$F287=""),0,MAX(0,MIN($F287,EOMONTH(DATE(cfg_FY,12,1),0))-MAX($E287,DATE(cfg_FY,12,1))+1)*(1-IF($M287="نعم",0,N($J287))))</f>
        <v>0</v>
      </c>
      <c r="AH287" s="133" t="n">
        <f aca="false">IF(OR(OR($B287="",$E287="",$F287=""),$L287&lt;&gt;"لا"),0,MAX(0,MIN($F287,EOMONTH(DATE(cfg_FY,1,1),0))-$E287+1))</f>
        <v>0</v>
      </c>
      <c r="AI287" s="133" t="n">
        <f aca="false">IF(OR(OR($B287="",$E287="",$F287=""),$L287&lt;&gt;"لا"),0,MAX(0,MIN($F287,EOMONTH(DATE(cfg_FY,2,1),0))-$E287+1))</f>
        <v>0</v>
      </c>
      <c r="AJ287" s="133" t="n">
        <f aca="false">IF(OR(OR($B287="",$E287="",$F287=""),$L287&lt;&gt;"لا"),0,MAX(0,MIN($F287,EOMONTH(DATE(cfg_FY,3,1),0))-$E287+1))</f>
        <v>0</v>
      </c>
      <c r="AK287" s="133" t="n">
        <f aca="false">IF(OR(OR($B287="",$E287="",$F287=""),$L287&lt;&gt;"لا"),0,MAX(0,MIN($F287,EOMONTH(DATE(cfg_FY,4,1),0))-$E287+1))</f>
        <v>0</v>
      </c>
      <c r="AL287" s="133" t="n">
        <f aca="false">IF(OR(OR($B287="",$E287="",$F287=""),$L287&lt;&gt;"لا"),0,MAX(0,MIN($F287,EOMONTH(DATE(cfg_FY,5,1),0))-$E287+1))</f>
        <v>0</v>
      </c>
      <c r="AM287" s="133" t="n">
        <f aca="false">IF(OR(OR($B287="",$E287="",$F287=""),$L287&lt;&gt;"لا"),0,MAX(0,MIN($F287,EOMONTH(DATE(cfg_FY,6,1),0))-$E287+1))</f>
        <v>0</v>
      </c>
      <c r="AN287" s="133" t="n">
        <f aca="false">IF(OR(OR($B287="",$E287="",$F287=""),$L287&lt;&gt;"لا"),0,MAX(0,MIN($F287,EOMONTH(DATE(cfg_FY,7,1),0))-$E287+1))</f>
        <v>0</v>
      </c>
      <c r="AO287" s="133" t="n">
        <f aca="false">IF(OR(OR($B287="",$E287="",$F287=""),$L287&lt;&gt;"لا"),0,MAX(0,MIN($F287,EOMONTH(DATE(cfg_FY,8,1),0))-$E287+1))</f>
        <v>0</v>
      </c>
      <c r="AP287" s="133" t="n">
        <f aca="false">IF(OR(OR($B287="",$E287="",$F287=""),$L287&lt;&gt;"لا"),0,MAX(0,MIN($F287,EOMONTH(DATE(cfg_FY,9,1),0))-$E287+1))</f>
        <v>0</v>
      </c>
      <c r="AQ287" s="133" t="n">
        <f aca="false">IF(OR(OR($B287="",$E287="",$F287=""),$L287&lt;&gt;"لا"),0,MAX(0,MIN($F287,EOMONTH(DATE(cfg_FY,10,1),0))-$E287+1))</f>
        <v>0</v>
      </c>
      <c r="AR287" s="133" t="n">
        <f aca="false">IF(OR(OR($B287="",$E287="",$F287=""),$L287&lt;&gt;"لا"),0,MAX(0,MIN($F287,EOMONTH(DATE(cfg_FY,11,1),0))-$E287+1))</f>
        <v>0</v>
      </c>
      <c r="AS287" s="133" t="n">
        <f aca="false">IF(OR(OR($B287="",$E287="",$F287=""),$L287&lt;&gt;"لا"),0,MAX(0,MIN($F287,EOMONTH(DATE(cfg_FY,12,1),0))-$E287+1))</f>
        <v>0</v>
      </c>
      <c r="AT287" s="133" t="n">
        <f aca="false">IF(OR(OR($B287="",$E287="",$F287=""),$K287&lt;&gt;"نعم",$M287="نعم"),0,MAX(0,MIN($F287,EOMONTH(DATE(cfg_FY,1,1),0))-MAX($E287,DATE(cfg_FY,1,1))+1))</f>
        <v>0</v>
      </c>
      <c r="AU287" s="133" t="n">
        <f aca="false">IF(OR(OR($B287="",$E287="",$F287=""),$K287&lt;&gt;"نعم",$M287="نعم"),0,MAX(0,MIN($F287,EOMONTH(DATE(cfg_FY,2,1),0))-MAX($E287,DATE(cfg_FY,2,1))+1))</f>
        <v>0</v>
      </c>
      <c r="AV287" s="133" t="n">
        <f aca="false">IF(OR(OR($B287="",$E287="",$F287=""),$K287&lt;&gt;"نعم",$M287="نعم"),0,MAX(0,MIN($F287,EOMONTH(DATE(cfg_FY,3,1),0))-MAX($E287,DATE(cfg_FY,3,1))+1))</f>
        <v>0</v>
      </c>
      <c r="AW287" s="133" t="n">
        <f aca="false">IF(OR(OR($B287="",$E287="",$F287=""),$K287&lt;&gt;"نعم",$M287="نعم"),0,MAX(0,MIN($F287,EOMONTH(DATE(cfg_FY,4,1),0))-MAX($E287,DATE(cfg_FY,4,1))+1))</f>
        <v>0</v>
      </c>
      <c r="AX287" s="133" t="n">
        <f aca="false">IF(OR(OR($B287="",$E287="",$F287=""),$K287&lt;&gt;"نعم",$M287="نعم"),0,MAX(0,MIN($F287,EOMONTH(DATE(cfg_FY,5,1),0))-MAX($E287,DATE(cfg_FY,5,1))+1))</f>
        <v>0</v>
      </c>
      <c r="AY287" s="133" t="n">
        <f aca="false">IF(OR(OR($B287="",$E287="",$F287=""),$K287&lt;&gt;"نعم",$M287="نعم"),0,MAX(0,MIN($F287,EOMONTH(DATE(cfg_FY,6,1),0))-MAX($E287,DATE(cfg_FY,6,1))+1))</f>
        <v>0</v>
      </c>
      <c r="AZ287" s="133" t="n">
        <f aca="false">IF(OR(OR($B287="",$E287="",$F287=""),$K287&lt;&gt;"نعم",$M287="نعم"),0,MAX(0,MIN($F287,EOMONTH(DATE(cfg_FY,7,1),0))-MAX($E287,DATE(cfg_FY,7,1))+1))</f>
        <v>0</v>
      </c>
      <c r="BA287" s="133" t="n">
        <f aca="false">IF(OR(OR($B287="",$E287="",$F287=""),$K287&lt;&gt;"نعم",$M287="نعم"),0,MAX(0,MIN($F287,EOMONTH(DATE(cfg_FY,8,1),0))-MAX($E287,DATE(cfg_FY,8,1))+1))</f>
        <v>0</v>
      </c>
      <c r="BB287" s="133" t="n">
        <f aca="false">IF(OR(OR($B287="",$E287="",$F287=""),$K287&lt;&gt;"نعم",$M287="نعم"),0,MAX(0,MIN($F287,EOMONTH(DATE(cfg_FY,9,1),0))-MAX($E287,DATE(cfg_FY,9,1))+1))</f>
        <v>0</v>
      </c>
      <c r="BC287" s="133" t="n">
        <f aca="false">IF(OR(OR($B287="",$E287="",$F287=""),$K287&lt;&gt;"نعم",$M287="نعم"),0,MAX(0,MIN($F287,EOMONTH(DATE(cfg_FY,10,1),0))-MAX($E287,DATE(cfg_FY,10,1))+1))</f>
        <v>0</v>
      </c>
      <c r="BD287" s="133" t="n">
        <f aca="false">IF(OR(OR($B287="",$E287="",$F287=""),$K287&lt;&gt;"نعم",$M287="نعم"),0,MAX(0,MIN($F287,EOMONTH(DATE(cfg_FY,11,1),0))-MAX($E287,DATE(cfg_FY,11,1))+1))</f>
        <v>0</v>
      </c>
      <c r="BE287" s="133" t="n">
        <f aca="false">IF(OR(OR($B287="",$E287="",$F287=""),$K287&lt;&gt;"نعم",$M287="نعم"),0,MAX(0,MIN($F287,EOMONTH(DATE(cfg_FY,12,1),0))-MAX($E287,DATE(cfg_FY,12,1))+1))</f>
        <v>0</v>
      </c>
    </row>
    <row r="288" customFormat="false" ht="15" hidden="false" customHeight="false" outlineLevel="0" collapsed="false">
      <c r="A288" s="106" t="str">
        <f aca="false">IF(B288="","",ROW()-5)</f>
        <v/>
      </c>
      <c r="B288" s="118"/>
      <c r="C288" s="114" t="str">
        <f aca="false">IF(B288="","",IFERROR(INDEX(الموظفون!$C$6:$C$105,MATCH(B288,الموظفون!$B$6:$B$105,0)),"✖ رقم غير موجود"))</f>
        <v/>
      </c>
      <c r="D288" s="118"/>
      <c r="E288" s="119"/>
      <c r="F288" s="119"/>
      <c r="G288" s="65" t="str">
        <f aca="false">IF(OR($B288="",$E288="",$F288=""),"",MAX(0,F288-E288+1))</f>
        <v/>
      </c>
      <c r="H288" s="66" t="str">
        <f aca="false">IF(D288="","",IFERROR(VLOOKUP(D288,cfg_LT,2,FALSE()),1))</f>
        <v/>
      </c>
      <c r="I288" s="135"/>
      <c r="J288" s="66" t="str">
        <f aca="false">IF(D288="","",IF(I288&lt;&gt;"",I288,H288))</f>
        <v/>
      </c>
      <c r="K288" s="114" t="str">
        <f aca="false">IF(D288="","",IFERROR(VLOOKUP($D288,cfg_LT,3,FALSE()),""))</f>
        <v/>
      </c>
      <c r="L288" s="114" t="str">
        <f aca="false">IF(D288="","",IFERROR(VLOOKUP($D288,cfg_LT,4,FALSE()),""))</f>
        <v/>
      </c>
      <c r="M288" s="114" t="str">
        <f aca="false">IF(D288="","",IFERROR(VLOOKUP($D288,cfg_LT,5,FALSE()),""))</f>
        <v/>
      </c>
      <c r="N288" s="111" t="n">
        <f aca="false">IF(OR(OR($B288="",$E288="",$F288=""),M288&lt;&gt;"نعم"),0,G288*J288*IFERROR(INDEX(الموظفون!$R$6:$R$105,MATCH(B288,الموظفون!$B$6:$B$105,0)),0)/cfg_DAYS_M)</f>
        <v>0</v>
      </c>
      <c r="O288" s="106" t="str">
        <f aca="false">IF(OR(OR($B288="",$E288="",$F288=""),M288&lt;&gt;"نعم"),"",IF(YEAR(E288)=cfg_FY,MONTH(E288),""))</f>
        <v/>
      </c>
      <c r="P288" s="114" t="str">
        <f aca="false">IF(B288="","",IF(OR(D288="",E288="",F288=""),"⚠ أكمل النوع والتواريخ",IF(F288&lt;E288,"✖ النهاية قبل البداية",IF(COUNTIFS($B$6:$B$505,B288,$E$6:$E$505,"&lt;="&amp;F288,$F$6:$F$505,"&gt;="&amp;E288)&gt;1,"⚠ تداخل مع سجل آخر",IF(E288&gt;cfg_VAL_DATE,"⏳ قادمة",IF(F288&lt;cfg_VAL_DATE,"✔ منتهية","✈ جارية في تاريخ التقرير"))))))</f>
        <v/>
      </c>
      <c r="Q288" s="118"/>
      <c r="R288" s="65" t="n">
        <f aca="false">IF(OR(OR($B288="",$E288="",$F288=""),L288&lt;&gt;"لا"),0,MAX(0,MIN(F288,cfg_Y_START-1)-E288+1))</f>
        <v>0</v>
      </c>
      <c r="S288" s="65" t="n">
        <f aca="false">IF(OR(OR($B288="",$E288="",$F288=""),L288&lt;&gt;"لا"),0,MAX(0,MIN(F288,cfg_VAL_DATE)-E288+1))</f>
        <v>0</v>
      </c>
      <c r="T288" s="65" t="n">
        <f aca="false">IF(OR(OR($B288="",$E288="",$F288=""),K288&lt;&gt;"نعم"),0,IF(M288="نعم",IF(AND(ISNUMBER(O288),N(O288)&lt;=cfg_VAL_M),G288,0),MAX(0,MIN(F288,cfg_VAL_DATE)-MAX(E288,cfg_Y_START)+1)))</f>
        <v>0</v>
      </c>
      <c r="V288" s="65" t="n">
        <f aca="false">IF(OR($B288="",$E288="",$F288=""),0,MAX(0,MIN($F288,EOMONTH(DATE(cfg_FY,1,1),0))-MAX($E288,DATE(cfg_FY,1,1))+1)*(1-IF($M288="نعم",0,N($J288))))</f>
        <v>0</v>
      </c>
      <c r="W288" s="65" t="n">
        <f aca="false">IF(OR($B288="",$E288="",$F288=""),0,MAX(0,MIN($F288,EOMONTH(DATE(cfg_FY,2,1),0))-MAX($E288,DATE(cfg_FY,2,1))+1)*(1-IF($M288="نعم",0,N($J288))))</f>
        <v>0</v>
      </c>
      <c r="X288" s="65" t="n">
        <f aca="false">IF(OR($B288="",$E288="",$F288=""),0,MAX(0,MIN($F288,EOMONTH(DATE(cfg_FY,3,1),0))-MAX($E288,DATE(cfg_FY,3,1))+1)*(1-IF($M288="نعم",0,N($J288))))</f>
        <v>0</v>
      </c>
      <c r="Y288" s="65" t="n">
        <f aca="false">IF(OR($B288="",$E288="",$F288=""),0,MAX(0,MIN($F288,EOMONTH(DATE(cfg_FY,4,1),0))-MAX($E288,DATE(cfg_FY,4,1))+1)*(1-IF($M288="نعم",0,N($J288))))</f>
        <v>0</v>
      </c>
      <c r="Z288" s="65" t="n">
        <f aca="false">IF(OR($B288="",$E288="",$F288=""),0,MAX(0,MIN($F288,EOMONTH(DATE(cfg_FY,5,1),0))-MAX($E288,DATE(cfg_FY,5,1))+1)*(1-IF($M288="نعم",0,N($J288))))</f>
        <v>0</v>
      </c>
      <c r="AA288" s="65" t="n">
        <f aca="false">IF(OR($B288="",$E288="",$F288=""),0,MAX(0,MIN($F288,EOMONTH(DATE(cfg_FY,6,1),0))-MAX($E288,DATE(cfg_FY,6,1))+1)*(1-IF($M288="نعم",0,N($J288))))</f>
        <v>0</v>
      </c>
      <c r="AB288" s="65" t="n">
        <f aca="false">IF(OR($B288="",$E288="",$F288=""),0,MAX(0,MIN($F288,EOMONTH(DATE(cfg_FY,7,1),0))-MAX($E288,DATE(cfg_FY,7,1))+1)*(1-IF($M288="نعم",0,N($J288))))</f>
        <v>0</v>
      </c>
      <c r="AC288" s="65" t="n">
        <f aca="false">IF(OR($B288="",$E288="",$F288=""),0,MAX(0,MIN($F288,EOMONTH(DATE(cfg_FY,8,1),0))-MAX($E288,DATE(cfg_FY,8,1))+1)*(1-IF($M288="نعم",0,N($J288))))</f>
        <v>0</v>
      </c>
      <c r="AD288" s="65" t="n">
        <f aca="false">IF(OR($B288="",$E288="",$F288=""),0,MAX(0,MIN($F288,EOMONTH(DATE(cfg_FY,9,1),0))-MAX($E288,DATE(cfg_FY,9,1))+1)*(1-IF($M288="نعم",0,N($J288))))</f>
        <v>0</v>
      </c>
      <c r="AE288" s="65" t="n">
        <f aca="false">IF(OR($B288="",$E288="",$F288=""),0,MAX(0,MIN($F288,EOMONTH(DATE(cfg_FY,10,1),0))-MAX($E288,DATE(cfg_FY,10,1))+1)*(1-IF($M288="نعم",0,N($J288))))</f>
        <v>0</v>
      </c>
      <c r="AF288" s="65" t="n">
        <f aca="false">IF(OR($B288="",$E288="",$F288=""),0,MAX(0,MIN($F288,EOMONTH(DATE(cfg_FY,11,1),0))-MAX($E288,DATE(cfg_FY,11,1))+1)*(1-IF($M288="نعم",0,N($J288))))</f>
        <v>0</v>
      </c>
      <c r="AG288" s="65" t="n">
        <f aca="false">IF(OR($B288="",$E288="",$F288=""),0,MAX(0,MIN($F288,EOMONTH(DATE(cfg_FY,12,1),0))-MAX($E288,DATE(cfg_FY,12,1))+1)*(1-IF($M288="نعم",0,N($J288))))</f>
        <v>0</v>
      </c>
      <c r="AH288" s="65" t="n">
        <f aca="false">IF(OR(OR($B288="",$E288="",$F288=""),$L288&lt;&gt;"لا"),0,MAX(0,MIN($F288,EOMONTH(DATE(cfg_FY,1,1),0))-$E288+1))</f>
        <v>0</v>
      </c>
      <c r="AI288" s="65" t="n">
        <f aca="false">IF(OR(OR($B288="",$E288="",$F288=""),$L288&lt;&gt;"لا"),0,MAX(0,MIN($F288,EOMONTH(DATE(cfg_FY,2,1),0))-$E288+1))</f>
        <v>0</v>
      </c>
      <c r="AJ288" s="65" t="n">
        <f aca="false">IF(OR(OR($B288="",$E288="",$F288=""),$L288&lt;&gt;"لا"),0,MAX(0,MIN($F288,EOMONTH(DATE(cfg_FY,3,1),0))-$E288+1))</f>
        <v>0</v>
      </c>
      <c r="AK288" s="65" t="n">
        <f aca="false">IF(OR(OR($B288="",$E288="",$F288=""),$L288&lt;&gt;"لا"),0,MAX(0,MIN($F288,EOMONTH(DATE(cfg_FY,4,1),0))-$E288+1))</f>
        <v>0</v>
      </c>
      <c r="AL288" s="65" t="n">
        <f aca="false">IF(OR(OR($B288="",$E288="",$F288=""),$L288&lt;&gt;"لا"),0,MAX(0,MIN($F288,EOMONTH(DATE(cfg_FY,5,1),0))-$E288+1))</f>
        <v>0</v>
      </c>
      <c r="AM288" s="65" t="n">
        <f aca="false">IF(OR(OR($B288="",$E288="",$F288=""),$L288&lt;&gt;"لا"),0,MAX(0,MIN($F288,EOMONTH(DATE(cfg_FY,6,1),0))-$E288+1))</f>
        <v>0</v>
      </c>
      <c r="AN288" s="65" t="n">
        <f aca="false">IF(OR(OR($B288="",$E288="",$F288=""),$L288&lt;&gt;"لا"),0,MAX(0,MIN($F288,EOMONTH(DATE(cfg_FY,7,1),0))-$E288+1))</f>
        <v>0</v>
      </c>
      <c r="AO288" s="65" t="n">
        <f aca="false">IF(OR(OR($B288="",$E288="",$F288=""),$L288&lt;&gt;"لا"),0,MAX(0,MIN($F288,EOMONTH(DATE(cfg_FY,8,1),0))-$E288+1))</f>
        <v>0</v>
      </c>
      <c r="AP288" s="65" t="n">
        <f aca="false">IF(OR(OR($B288="",$E288="",$F288=""),$L288&lt;&gt;"لا"),0,MAX(0,MIN($F288,EOMONTH(DATE(cfg_FY,9,1),0))-$E288+1))</f>
        <v>0</v>
      </c>
      <c r="AQ288" s="65" t="n">
        <f aca="false">IF(OR(OR($B288="",$E288="",$F288=""),$L288&lt;&gt;"لا"),0,MAX(0,MIN($F288,EOMONTH(DATE(cfg_FY,10,1),0))-$E288+1))</f>
        <v>0</v>
      </c>
      <c r="AR288" s="65" t="n">
        <f aca="false">IF(OR(OR($B288="",$E288="",$F288=""),$L288&lt;&gt;"لا"),0,MAX(0,MIN($F288,EOMONTH(DATE(cfg_FY,11,1),0))-$E288+1))</f>
        <v>0</v>
      </c>
      <c r="AS288" s="65" t="n">
        <f aca="false">IF(OR(OR($B288="",$E288="",$F288=""),$L288&lt;&gt;"لا"),0,MAX(0,MIN($F288,EOMONTH(DATE(cfg_FY,12,1),0))-$E288+1))</f>
        <v>0</v>
      </c>
      <c r="AT288" s="65" t="n">
        <f aca="false">IF(OR(OR($B288="",$E288="",$F288=""),$K288&lt;&gt;"نعم",$M288="نعم"),0,MAX(0,MIN($F288,EOMONTH(DATE(cfg_FY,1,1),0))-MAX($E288,DATE(cfg_FY,1,1))+1))</f>
        <v>0</v>
      </c>
      <c r="AU288" s="65" t="n">
        <f aca="false">IF(OR(OR($B288="",$E288="",$F288=""),$K288&lt;&gt;"نعم",$M288="نعم"),0,MAX(0,MIN($F288,EOMONTH(DATE(cfg_FY,2,1),0))-MAX($E288,DATE(cfg_FY,2,1))+1))</f>
        <v>0</v>
      </c>
      <c r="AV288" s="65" t="n">
        <f aca="false">IF(OR(OR($B288="",$E288="",$F288=""),$K288&lt;&gt;"نعم",$M288="نعم"),0,MAX(0,MIN($F288,EOMONTH(DATE(cfg_FY,3,1),0))-MAX($E288,DATE(cfg_FY,3,1))+1))</f>
        <v>0</v>
      </c>
      <c r="AW288" s="65" t="n">
        <f aca="false">IF(OR(OR($B288="",$E288="",$F288=""),$K288&lt;&gt;"نعم",$M288="نعم"),0,MAX(0,MIN($F288,EOMONTH(DATE(cfg_FY,4,1),0))-MAX($E288,DATE(cfg_FY,4,1))+1))</f>
        <v>0</v>
      </c>
      <c r="AX288" s="65" t="n">
        <f aca="false">IF(OR(OR($B288="",$E288="",$F288=""),$K288&lt;&gt;"نعم",$M288="نعم"),0,MAX(0,MIN($F288,EOMONTH(DATE(cfg_FY,5,1),0))-MAX($E288,DATE(cfg_FY,5,1))+1))</f>
        <v>0</v>
      </c>
      <c r="AY288" s="65" t="n">
        <f aca="false">IF(OR(OR($B288="",$E288="",$F288=""),$K288&lt;&gt;"نعم",$M288="نعم"),0,MAX(0,MIN($F288,EOMONTH(DATE(cfg_FY,6,1),0))-MAX($E288,DATE(cfg_FY,6,1))+1))</f>
        <v>0</v>
      </c>
      <c r="AZ288" s="65" t="n">
        <f aca="false">IF(OR(OR($B288="",$E288="",$F288=""),$K288&lt;&gt;"نعم",$M288="نعم"),0,MAX(0,MIN($F288,EOMONTH(DATE(cfg_FY,7,1),0))-MAX($E288,DATE(cfg_FY,7,1))+1))</f>
        <v>0</v>
      </c>
      <c r="BA288" s="65" t="n">
        <f aca="false">IF(OR(OR($B288="",$E288="",$F288=""),$K288&lt;&gt;"نعم",$M288="نعم"),0,MAX(0,MIN($F288,EOMONTH(DATE(cfg_FY,8,1),0))-MAX($E288,DATE(cfg_FY,8,1))+1))</f>
        <v>0</v>
      </c>
      <c r="BB288" s="65" t="n">
        <f aca="false">IF(OR(OR($B288="",$E288="",$F288=""),$K288&lt;&gt;"نعم",$M288="نعم"),0,MAX(0,MIN($F288,EOMONTH(DATE(cfg_FY,9,1),0))-MAX($E288,DATE(cfg_FY,9,1))+1))</f>
        <v>0</v>
      </c>
      <c r="BC288" s="65" t="n">
        <f aca="false">IF(OR(OR($B288="",$E288="",$F288=""),$K288&lt;&gt;"نعم",$M288="نعم"),0,MAX(0,MIN($F288,EOMONTH(DATE(cfg_FY,10,1),0))-MAX($E288,DATE(cfg_FY,10,1))+1))</f>
        <v>0</v>
      </c>
      <c r="BD288" s="65" t="n">
        <f aca="false">IF(OR(OR($B288="",$E288="",$F288=""),$K288&lt;&gt;"نعم",$M288="نعم"),0,MAX(0,MIN($F288,EOMONTH(DATE(cfg_FY,11,1),0))-MAX($E288,DATE(cfg_FY,11,1))+1))</f>
        <v>0</v>
      </c>
      <c r="BE288" s="65" t="n">
        <f aca="false">IF(OR(OR($B288="",$E288="",$F288=""),$K288&lt;&gt;"نعم",$M288="نعم"),0,MAX(0,MIN($F288,EOMONTH(DATE(cfg_FY,12,1),0))-MAX($E288,DATE(cfg_FY,12,1))+1))</f>
        <v>0</v>
      </c>
    </row>
    <row r="289" customFormat="false" ht="15" hidden="false" customHeight="false" outlineLevel="0" collapsed="false">
      <c r="A289" s="115" t="str">
        <f aca="false">IF(B289="","",ROW()-5)</f>
        <v/>
      </c>
      <c r="B289" s="118"/>
      <c r="C289" s="117" t="str">
        <f aca="false">IF(B289="","",IFERROR(INDEX(الموظفون!$C$6:$C$105,MATCH(B289,الموظفون!$B$6:$B$105,0)),"✖ رقم غير موجود"))</f>
        <v/>
      </c>
      <c r="D289" s="118"/>
      <c r="E289" s="119"/>
      <c r="F289" s="119"/>
      <c r="G289" s="133" t="str">
        <f aca="false">IF(OR($B289="",$E289="",$F289=""),"",MAX(0,F289-E289+1))</f>
        <v/>
      </c>
      <c r="H289" s="134" t="str">
        <f aca="false">IF(D289="","",IFERROR(VLOOKUP(D289,cfg_LT,2,FALSE()),1))</f>
        <v/>
      </c>
      <c r="I289" s="135"/>
      <c r="J289" s="134" t="str">
        <f aca="false">IF(D289="","",IF(I289&lt;&gt;"",I289,H289))</f>
        <v/>
      </c>
      <c r="K289" s="117" t="str">
        <f aca="false">IF(D289="","",IFERROR(VLOOKUP($D289,cfg_LT,3,FALSE()),""))</f>
        <v/>
      </c>
      <c r="L289" s="117" t="str">
        <f aca="false">IF(D289="","",IFERROR(VLOOKUP($D289,cfg_LT,4,FALSE()),""))</f>
        <v/>
      </c>
      <c r="M289" s="117" t="str">
        <f aca="false">IF(D289="","",IFERROR(VLOOKUP($D289,cfg_LT,5,FALSE()),""))</f>
        <v/>
      </c>
      <c r="N289" s="116" t="n">
        <f aca="false">IF(OR(OR($B289="",$E289="",$F289=""),M289&lt;&gt;"نعم"),0,G289*J289*IFERROR(INDEX(الموظفون!$R$6:$R$105,MATCH(B289,الموظفون!$B$6:$B$105,0)),0)/cfg_DAYS_M)</f>
        <v>0</v>
      </c>
      <c r="O289" s="115" t="str">
        <f aca="false">IF(OR(OR($B289="",$E289="",$F289=""),M289&lt;&gt;"نعم"),"",IF(YEAR(E289)=cfg_FY,MONTH(E289),""))</f>
        <v/>
      </c>
      <c r="P289" s="117" t="str">
        <f aca="false">IF(B289="","",IF(OR(D289="",E289="",F289=""),"⚠ أكمل النوع والتواريخ",IF(F289&lt;E289,"✖ النهاية قبل البداية",IF(COUNTIFS($B$6:$B$505,B289,$E$6:$E$505,"&lt;="&amp;F289,$F$6:$F$505,"&gt;="&amp;E289)&gt;1,"⚠ تداخل مع سجل آخر",IF(E289&gt;cfg_VAL_DATE,"⏳ قادمة",IF(F289&lt;cfg_VAL_DATE,"✔ منتهية","✈ جارية في تاريخ التقرير"))))))</f>
        <v/>
      </c>
      <c r="Q289" s="118"/>
      <c r="R289" s="133" t="n">
        <f aca="false">IF(OR(OR($B289="",$E289="",$F289=""),L289&lt;&gt;"لا"),0,MAX(0,MIN(F289,cfg_Y_START-1)-E289+1))</f>
        <v>0</v>
      </c>
      <c r="S289" s="133" t="n">
        <f aca="false">IF(OR(OR($B289="",$E289="",$F289=""),L289&lt;&gt;"لا"),0,MAX(0,MIN(F289,cfg_VAL_DATE)-E289+1))</f>
        <v>0</v>
      </c>
      <c r="T289" s="133" t="n">
        <f aca="false">IF(OR(OR($B289="",$E289="",$F289=""),K289&lt;&gt;"نعم"),0,IF(M289="نعم",IF(AND(ISNUMBER(O289),N(O289)&lt;=cfg_VAL_M),G289,0),MAX(0,MIN(F289,cfg_VAL_DATE)-MAX(E289,cfg_Y_START)+1)))</f>
        <v>0</v>
      </c>
      <c r="V289" s="133" t="n">
        <f aca="false">IF(OR($B289="",$E289="",$F289=""),0,MAX(0,MIN($F289,EOMONTH(DATE(cfg_FY,1,1),0))-MAX($E289,DATE(cfg_FY,1,1))+1)*(1-IF($M289="نعم",0,N($J289))))</f>
        <v>0</v>
      </c>
      <c r="W289" s="133" t="n">
        <f aca="false">IF(OR($B289="",$E289="",$F289=""),0,MAX(0,MIN($F289,EOMONTH(DATE(cfg_FY,2,1),0))-MAX($E289,DATE(cfg_FY,2,1))+1)*(1-IF($M289="نعم",0,N($J289))))</f>
        <v>0</v>
      </c>
      <c r="X289" s="133" t="n">
        <f aca="false">IF(OR($B289="",$E289="",$F289=""),0,MAX(0,MIN($F289,EOMONTH(DATE(cfg_FY,3,1),0))-MAX($E289,DATE(cfg_FY,3,1))+1)*(1-IF($M289="نعم",0,N($J289))))</f>
        <v>0</v>
      </c>
      <c r="Y289" s="133" t="n">
        <f aca="false">IF(OR($B289="",$E289="",$F289=""),0,MAX(0,MIN($F289,EOMONTH(DATE(cfg_FY,4,1),0))-MAX($E289,DATE(cfg_FY,4,1))+1)*(1-IF($M289="نعم",0,N($J289))))</f>
        <v>0</v>
      </c>
      <c r="Z289" s="133" t="n">
        <f aca="false">IF(OR($B289="",$E289="",$F289=""),0,MAX(0,MIN($F289,EOMONTH(DATE(cfg_FY,5,1),0))-MAX($E289,DATE(cfg_FY,5,1))+1)*(1-IF($M289="نعم",0,N($J289))))</f>
        <v>0</v>
      </c>
      <c r="AA289" s="133" t="n">
        <f aca="false">IF(OR($B289="",$E289="",$F289=""),0,MAX(0,MIN($F289,EOMONTH(DATE(cfg_FY,6,1),0))-MAX($E289,DATE(cfg_FY,6,1))+1)*(1-IF($M289="نعم",0,N($J289))))</f>
        <v>0</v>
      </c>
      <c r="AB289" s="133" t="n">
        <f aca="false">IF(OR($B289="",$E289="",$F289=""),0,MAX(0,MIN($F289,EOMONTH(DATE(cfg_FY,7,1),0))-MAX($E289,DATE(cfg_FY,7,1))+1)*(1-IF($M289="نعم",0,N($J289))))</f>
        <v>0</v>
      </c>
      <c r="AC289" s="133" t="n">
        <f aca="false">IF(OR($B289="",$E289="",$F289=""),0,MAX(0,MIN($F289,EOMONTH(DATE(cfg_FY,8,1),0))-MAX($E289,DATE(cfg_FY,8,1))+1)*(1-IF($M289="نعم",0,N($J289))))</f>
        <v>0</v>
      </c>
      <c r="AD289" s="133" t="n">
        <f aca="false">IF(OR($B289="",$E289="",$F289=""),0,MAX(0,MIN($F289,EOMONTH(DATE(cfg_FY,9,1),0))-MAX($E289,DATE(cfg_FY,9,1))+1)*(1-IF($M289="نعم",0,N($J289))))</f>
        <v>0</v>
      </c>
      <c r="AE289" s="133" t="n">
        <f aca="false">IF(OR($B289="",$E289="",$F289=""),0,MAX(0,MIN($F289,EOMONTH(DATE(cfg_FY,10,1),0))-MAX($E289,DATE(cfg_FY,10,1))+1)*(1-IF($M289="نعم",0,N($J289))))</f>
        <v>0</v>
      </c>
      <c r="AF289" s="133" t="n">
        <f aca="false">IF(OR($B289="",$E289="",$F289=""),0,MAX(0,MIN($F289,EOMONTH(DATE(cfg_FY,11,1),0))-MAX($E289,DATE(cfg_FY,11,1))+1)*(1-IF($M289="نعم",0,N($J289))))</f>
        <v>0</v>
      </c>
      <c r="AG289" s="133" t="n">
        <f aca="false">IF(OR($B289="",$E289="",$F289=""),0,MAX(0,MIN($F289,EOMONTH(DATE(cfg_FY,12,1),0))-MAX($E289,DATE(cfg_FY,12,1))+1)*(1-IF($M289="نعم",0,N($J289))))</f>
        <v>0</v>
      </c>
      <c r="AH289" s="133" t="n">
        <f aca="false">IF(OR(OR($B289="",$E289="",$F289=""),$L289&lt;&gt;"لا"),0,MAX(0,MIN($F289,EOMONTH(DATE(cfg_FY,1,1),0))-$E289+1))</f>
        <v>0</v>
      </c>
      <c r="AI289" s="133" t="n">
        <f aca="false">IF(OR(OR($B289="",$E289="",$F289=""),$L289&lt;&gt;"لا"),0,MAX(0,MIN($F289,EOMONTH(DATE(cfg_FY,2,1),0))-$E289+1))</f>
        <v>0</v>
      </c>
      <c r="AJ289" s="133" t="n">
        <f aca="false">IF(OR(OR($B289="",$E289="",$F289=""),$L289&lt;&gt;"لا"),0,MAX(0,MIN($F289,EOMONTH(DATE(cfg_FY,3,1),0))-$E289+1))</f>
        <v>0</v>
      </c>
      <c r="AK289" s="133" t="n">
        <f aca="false">IF(OR(OR($B289="",$E289="",$F289=""),$L289&lt;&gt;"لا"),0,MAX(0,MIN($F289,EOMONTH(DATE(cfg_FY,4,1),0))-$E289+1))</f>
        <v>0</v>
      </c>
      <c r="AL289" s="133" t="n">
        <f aca="false">IF(OR(OR($B289="",$E289="",$F289=""),$L289&lt;&gt;"لا"),0,MAX(0,MIN($F289,EOMONTH(DATE(cfg_FY,5,1),0))-$E289+1))</f>
        <v>0</v>
      </c>
      <c r="AM289" s="133" t="n">
        <f aca="false">IF(OR(OR($B289="",$E289="",$F289=""),$L289&lt;&gt;"لا"),0,MAX(0,MIN($F289,EOMONTH(DATE(cfg_FY,6,1),0))-$E289+1))</f>
        <v>0</v>
      </c>
      <c r="AN289" s="133" t="n">
        <f aca="false">IF(OR(OR($B289="",$E289="",$F289=""),$L289&lt;&gt;"لا"),0,MAX(0,MIN($F289,EOMONTH(DATE(cfg_FY,7,1),0))-$E289+1))</f>
        <v>0</v>
      </c>
      <c r="AO289" s="133" t="n">
        <f aca="false">IF(OR(OR($B289="",$E289="",$F289=""),$L289&lt;&gt;"لا"),0,MAX(0,MIN($F289,EOMONTH(DATE(cfg_FY,8,1),0))-$E289+1))</f>
        <v>0</v>
      </c>
      <c r="AP289" s="133" t="n">
        <f aca="false">IF(OR(OR($B289="",$E289="",$F289=""),$L289&lt;&gt;"لا"),0,MAX(0,MIN($F289,EOMONTH(DATE(cfg_FY,9,1),0))-$E289+1))</f>
        <v>0</v>
      </c>
      <c r="AQ289" s="133" t="n">
        <f aca="false">IF(OR(OR($B289="",$E289="",$F289=""),$L289&lt;&gt;"لا"),0,MAX(0,MIN($F289,EOMONTH(DATE(cfg_FY,10,1),0))-$E289+1))</f>
        <v>0</v>
      </c>
      <c r="AR289" s="133" t="n">
        <f aca="false">IF(OR(OR($B289="",$E289="",$F289=""),$L289&lt;&gt;"لا"),0,MAX(0,MIN($F289,EOMONTH(DATE(cfg_FY,11,1),0))-$E289+1))</f>
        <v>0</v>
      </c>
      <c r="AS289" s="133" t="n">
        <f aca="false">IF(OR(OR($B289="",$E289="",$F289=""),$L289&lt;&gt;"لا"),0,MAX(0,MIN($F289,EOMONTH(DATE(cfg_FY,12,1),0))-$E289+1))</f>
        <v>0</v>
      </c>
      <c r="AT289" s="133" t="n">
        <f aca="false">IF(OR(OR($B289="",$E289="",$F289=""),$K289&lt;&gt;"نعم",$M289="نعم"),0,MAX(0,MIN($F289,EOMONTH(DATE(cfg_FY,1,1),0))-MAX($E289,DATE(cfg_FY,1,1))+1))</f>
        <v>0</v>
      </c>
      <c r="AU289" s="133" t="n">
        <f aca="false">IF(OR(OR($B289="",$E289="",$F289=""),$K289&lt;&gt;"نعم",$M289="نعم"),0,MAX(0,MIN($F289,EOMONTH(DATE(cfg_FY,2,1),0))-MAX($E289,DATE(cfg_FY,2,1))+1))</f>
        <v>0</v>
      </c>
      <c r="AV289" s="133" t="n">
        <f aca="false">IF(OR(OR($B289="",$E289="",$F289=""),$K289&lt;&gt;"نعم",$M289="نعم"),0,MAX(0,MIN($F289,EOMONTH(DATE(cfg_FY,3,1),0))-MAX($E289,DATE(cfg_FY,3,1))+1))</f>
        <v>0</v>
      </c>
      <c r="AW289" s="133" t="n">
        <f aca="false">IF(OR(OR($B289="",$E289="",$F289=""),$K289&lt;&gt;"نعم",$M289="نعم"),0,MAX(0,MIN($F289,EOMONTH(DATE(cfg_FY,4,1),0))-MAX($E289,DATE(cfg_FY,4,1))+1))</f>
        <v>0</v>
      </c>
      <c r="AX289" s="133" t="n">
        <f aca="false">IF(OR(OR($B289="",$E289="",$F289=""),$K289&lt;&gt;"نعم",$M289="نعم"),0,MAX(0,MIN($F289,EOMONTH(DATE(cfg_FY,5,1),0))-MAX($E289,DATE(cfg_FY,5,1))+1))</f>
        <v>0</v>
      </c>
      <c r="AY289" s="133" t="n">
        <f aca="false">IF(OR(OR($B289="",$E289="",$F289=""),$K289&lt;&gt;"نعم",$M289="نعم"),0,MAX(0,MIN($F289,EOMONTH(DATE(cfg_FY,6,1),0))-MAX($E289,DATE(cfg_FY,6,1))+1))</f>
        <v>0</v>
      </c>
      <c r="AZ289" s="133" t="n">
        <f aca="false">IF(OR(OR($B289="",$E289="",$F289=""),$K289&lt;&gt;"نعم",$M289="نعم"),0,MAX(0,MIN($F289,EOMONTH(DATE(cfg_FY,7,1),0))-MAX($E289,DATE(cfg_FY,7,1))+1))</f>
        <v>0</v>
      </c>
      <c r="BA289" s="133" t="n">
        <f aca="false">IF(OR(OR($B289="",$E289="",$F289=""),$K289&lt;&gt;"نعم",$M289="نعم"),0,MAX(0,MIN($F289,EOMONTH(DATE(cfg_FY,8,1),0))-MAX($E289,DATE(cfg_FY,8,1))+1))</f>
        <v>0</v>
      </c>
      <c r="BB289" s="133" t="n">
        <f aca="false">IF(OR(OR($B289="",$E289="",$F289=""),$K289&lt;&gt;"نعم",$M289="نعم"),0,MAX(0,MIN($F289,EOMONTH(DATE(cfg_FY,9,1),0))-MAX($E289,DATE(cfg_FY,9,1))+1))</f>
        <v>0</v>
      </c>
      <c r="BC289" s="133" t="n">
        <f aca="false">IF(OR(OR($B289="",$E289="",$F289=""),$K289&lt;&gt;"نعم",$M289="نعم"),0,MAX(0,MIN($F289,EOMONTH(DATE(cfg_FY,10,1),0))-MAX($E289,DATE(cfg_FY,10,1))+1))</f>
        <v>0</v>
      </c>
      <c r="BD289" s="133" t="n">
        <f aca="false">IF(OR(OR($B289="",$E289="",$F289=""),$K289&lt;&gt;"نعم",$M289="نعم"),0,MAX(0,MIN($F289,EOMONTH(DATE(cfg_FY,11,1),0))-MAX($E289,DATE(cfg_FY,11,1))+1))</f>
        <v>0</v>
      </c>
      <c r="BE289" s="133" t="n">
        <f aca="false">IF(OR(OR($B289="",$E289="",$F289=""),$K289&lt;&gt;"نعم",$M289="نعم"),0,MAX(0,MIN($F289,EOMONTH(DATE(cfg_FY,12,1),0))-MAX($E289,DATE(cfg_FY,12,1))+1))</f>
        <v>0</v>
      </c>
    </row>
    <row r="290" customFormat="false" ht="15" hidden="false" customHeight="false" outlineLevel="0" collapsed="false">
      <c r="A290" s="106" t="str">
        <f aca="false">IF(B290="","",ROW()-5)</f>
        <v/>
      </c>
      <c r="B290" s="118"/>
      <c r="C290" s="114" t="str">
        <f aca="false">IF(B290="","",IFERROR(INDEX(الموظفون!$C$6:$C$105,MATCH(B290,الموظفون!$B$6:$B$105,0)),"✖ رقم غير موجود"))</f>
        <v/>
      </c>
      <c r="D290" s="118"/>
      <c r="E290" s="119"/>
      <c r="F290" s="119"/>
      <c r="G290" s="65" t="str">
        <f aca="false">IF(OR($B290="",$E290="",$F290=""),"",MAX(0,F290-E290+1))</f>
        <v/>
      </c>
      <c r="H290" s="66" t="str">
        <f aca="false">IF(D290="","",IFERROR(VLOOKUP(D290,cfg_LT,2,FALSE()),1))</f>
        <v/>
      </c>
      <c r="I290" s="135"/>
      <c r="J290" s="66" t="str">
        <f aca="false">IF(D290="","",IF(I290&lt;&gt;"",I290,H290))</f>
        <v/>
      </c>
      <c r="K290" s="114" t="str">
        <f aca="false">IF(D290="","",IFERROR(VLOOKUP($D290,cfg_LT,3,FALSE()),""))</f>
        <v/>
      </c>
      <c r="L290" s="114" t="str">
        <f aca="false">IF(D290="","",IFERROR(VLOOKUP($D290,cfg_LT,4,FALSE()),""))</f>
        <v/>
      </c>
      <c r="M290" s="114" t="str">
        <f aca="false">IF(D290="","",IFERROR(VLOOKUP($D290,cfg_LT,5,FALSE()),""))</f>
        <v/>
      </c>
      <c r="N290" s="111" t="n">
        <f aca="false">IF(OR(OR($B290="",$E290="",$F290=""),M290&lt;&gt;"نعم"),0,G290*J290*IFERROR(INDEX(الموظفون!$R$6:$R$105,MATCH(B290,الموظفون!$B$6:$B$105,0)),0)/cfg_DAYS_M)</f>
        <v>0</v>
      </c>
      <c r="O290" s="106" t="str">
        <f aca="false">IF(OR(OR($B290="",$E290="",$F290=""),M290&lt;&gt;"نعم"),"",IF(YEAR(E290)=cfg_FY,MONTH(E290),""))</f>
        <v/>
      </c>
      <c r="P290" s="114" t="str">
        <f aca="false">IF(B290="","",IF(OR(D290="",E290="",F290=""),"⚠ أكمل النوع والتواريخ",IF(F290&lt;E290,"✖ النهاية قبل البداية",IF(COUNTIFS($B$6:$B$505,B290,$E$6:$E$505,"&lt;="&amp;F290,$F$6:$F$505,"&gt;="&amp;E290)&gt;1,"⚠ تداخل مع سجل آخر",IF(E290&gt;cfg_VAL_DATE,"⏳ قادمة",IF(F290&lt;cfg_VAL_DATE,"✔ منتهية","✈ جارية في تاريخ التقرير"))))))</f>
        <v/>
      </c>
      <c r="Q290" s="118"/>
      <c r="R290" s="65" t="n">
        <f aca="false">IF(OR(OR($B290="",$E290="",$F290=""),L290&lt;&gt;"لا"),0,MAX(0,MIN(F290,cfg_Y_START-1)-E290+1))</f>
        <v>0</v>
      </c>
      <c r="S290" s="65" t="n">
        <f aca="false">IF(OR(OR($B290="",$E290="",$F290=""),L290&lt;&gt;"لا"),0,MAX(0,MIN(F290,cfg_VAL_DATE)-E290+1))</f>
        <v>0</v>
      </c>
      <c r="T290" s="65" t="n">
        <f aca="false">IF(OR(OR($B290="",$E290="",$F290=""),K290&lt;&gt;"نعم"),0,IF(M290="نعم",IF(AND(ISNUMBER(O290),N(O290)&lt;=cfg_VAL_M),G290,0),MAX(0,MIN(F290,cfg_VAL_DATE)-MAX(E290,cfg_Y_START)+1)))</f>
        <v>0</v>
      </c>
      <c r="V290" s="65" t="n">
        <f aca="false">IF(OR($B290="",$E290="",$F290=""),0,MAX(0,MIN($F290,EOMONTH(DATE(cfg_FY,1,1),0))-MAX($E290,DATE(cfg_FY,1,1))+1)*(1-IF($M290="نعم",0,N($J290))))</f>
        <v>0</v>
      </c>
      <c r="W290" s="65" t="n">
        <f aca="false">IF(OR($B290="",$E290="",$F290=""),0,MAX(0,MIN($F290,EOMONTH(DATE(cfg_FY,2,1),0))-MAX($E290,DATE(cfg_FY,2,1))+1)*(1-IF($M290="نعم",0,N($J290))))</f>
        <v>0</v>
      </c>
      <c r="X290" s="65" t="n">
        <f aca="false">IF(OR($B290="",$E290="",$F290=""),0,MAX(0,MIN($F290,EOMONTH(DATE(cfg_FY,3,1),0))-MAX($E290,DATE(cfg_FY,3,1))+1)*(1-IF($M290="نعم",0,N($J290))))</f>
        <v>0</v>
      </c>
      <c r="Y290" s="65" t="n">
        <f aca="false">IF(OR($B290="",$E290="",$F290=""),0,MAX(0,MIN($F290,EOMONTH(DATE(cfg_FY,4,1),0))-MAX($E290,DATE(cfg_FY,4,1))+1)*(1-IF($M290="نعم",0,N($J290))))</f>
        <v>0</v>
      </c>
      <c r="Z290" s="65" t="n">
        <f aca="false">IF(OR($B290="",$E290="",$F290=""),0,MAX(0,MIN($F290,EOMONTH(DATE(cfg_FY,5,1),0))-MAX($E290,DATE(cfg_FY,5,1))+1)*(1-IF($M290="نعم",0,N($J290))))</f>
        <v>0</v>
      </c>
      <c r="AA290" s="65" t="n">
        <f aca="false">IF(OR($B290="",$E290="",$F290=""),0,MAX(0,MIN($F290,EOMONTH(DATE(cfg_FY,6,1),0))-MAX($E290,DATE(cfg_FY,6,1))+1)*(1-IF($M290="نعم",0,N($J290))))</f>
        <v>0</v>
      </c>
      <c r="AB290" s="65" t="n">
        <f aca="false">IF(OR($B290="",$E290="",$F290=""),0,MAX(0,MIN($F290,EOMONTH(DATE(cfg_FY,7,1),0))-MAX($E290,DATE(cfg_FY,7,1))+1)*(1-IF($M290="نعم",0,N($J290))))</f>
        <v>0</v>
      </c>
      <c r="AC290" s="65" t="n">
        <f aca="false">IF(OR($B290="",$E290="",$F290=""),0,MAX(0,MIN($F290,EOMONTH(DATE(cfg_FY,8,1),0))-MAX($E290,DATE(cfg_FY,8,1))+1)*(1-IF($M290="نعم",0,N($J290))))</f>
        <v>0</v>
      </c>
      <c r="AD290" s="65" t="n">
        <f aca="false">IF(OR($B290="",$E290="",$F290=""),0,MAX(0,MIN($F290,EOMONTH(DATE(cfg_FY,9,1),0))-MAX($E290,DATE(cfg_FY,9,1))+1)*(1-IF($M290="نعم",0,N($J290))))</f>
        <v>0</v>
      </c>
      <c r="AE290" s="65" t="n">
        <f aca="false">IF(OR($B290="",$E290="",$F290=""),0,MAX(0,MIN($F290,EOMONTH(DATE(cfg_FY,10,1),0))-MAX($E290,DATE(cfg_FY,10,1))+1)*(1-IF($M290="نعم",0,N($J290))))</f>
        <v>0</v>
      </c>
      <c r="AF290" s="65" t="n">
        <f aca="false">IF(OR($B290="",$E290="",$F290=""),0,MAX(0,MIN($F290,EOMONTH(DATE(cfg_FY,11,1),0))-MAX($E290,DATE(cfg_FY,11,1))+1)*(1-IF($M290="نعم",0,N($J290))))</f>
        <v>0</v>
      </c>
      <c r="AG290" s="65" t="n">
        <f aca="false">IF(OR($B290="",$E290="",$F290=""),0,MAX(0,MIN($F290,EOMONTH(DATE(cfg_FY,12,1),0))-MAX($E290,DATE(cfg_FY,12,1))+1)*(1-IF($M290="نعم",0,N($J290))))</f>
        <v>0</v>
      </c>
      <c r="AH290" s="65" t="n">
        <f aca="false">IF(OR(OR($B290="",$E290="",$F290=""),$L290&lt;&gt;"لا"),0,MAX(0,MIN($F290,EOMONTH(DATE(cfg_FY,1,1),0))-$E290+1))</f>
        <v>0</v>
      </c>
      <c r="AI290" s="65" t="n">
        <f aca="false">IF(OR(OR($B290="",$E290="",$F290=""),$L290&lt;&gt;"لا"),0,MAX(0,MIN($F290,EOMONTH(DATE(cfg_FY,2,1),0))-$E290+1))</f>
        <v>0</v>
      </c>
      <c r="AJ290" s="65" t="n">
        <f aca="false">IF(OR(OR($B290="",$E290="",$F290=""),$L290&lt;&gt;"لا"),0,MAX(0,MIN($F290,EOMONTH(DATE(cfg_FY,3,1),0))-$E290+1))</f>
        <v>0</v>
      </c>
      <c r="AK290" s="65" t="n">
        <f aca="false">IF(OR(OR($B290="",$E290="",$F290=""),$L290&lt;&gt;"لا"),0,MAX(0,MIN($F290,EOMONTH(DATE(cfg_FY,4,1),0))-$E290+1))</f>
        <v>0</v>
      </c>
      <c r="AL290" s="65" t="n">
        <f aca="false">IF(OR(OR($B290="",$E290="",$F290=""),$L290&lt;&gt;"لا"),0,MAX(0,MIN($F290,EOMONTH(DATE(cfg_FY,5,1),0))-$E290+1))</f>
        <v>0</v>
      </c>
      <c r="AM290" s="65" t="n">
        <f aca="false">IF(OR(OR($B290="",$E290="",$F290=""),$L290&lt;&gt;"لا"),0,MAX(0,MIN($F290,EOMONTH(DATE(cfg_FY,6,1),0))-$E290+1))</f>
        <v>0</v>
      </c>
      <c r="AN290" s="65" t="n">
        <f aca="false">IF(OR(OR($B290="",$E290="",$F290=""),$L290&lt;&gt;"لا"),0,MAX(0,MIN($F290,EOMONTH(DATE(cfg_FY,7,1),0))-$E290+1))</f>
        <v>0</v>
      </c>
      <c r="AO290" s="65" t="n">
        <f aca="false">IF(OR(OR($B290="",$E290="",$F290=""),$L290&lt;&gt;"لا"),0,MAX(0,MIN($F290,EOMONTH(DATE(cfg_FY,8,1),0))-$E290+1))</f>
        <v>0</v>
      </c>
      <c r="AP290" s="65" t="n">
        <f aca="false">IF(OR(OR($B290="",$E290="",$F290=""),$L290&lt;&gt;"لا"),0,MAX(0,MIN($F290,EOMONTH(DATE(cfg_FY,9,1),0))-$E290+1))</f>
        <v>0</v>
      </c>
      <c r="AQ290" s="65" t="n">
        <f aca="false">IF(OR(OR($B290="",$E290="",$F290=""),$L290&lt;&gt;"لا"),0,MAX(0,MIN($F290,EOMONTH(DATE(cfg_FY,10,1),0))-$E290+1))</f>
        <v>0</v>
      </c>
      <c r="AR290" s="65" t="n">
        <f aca="false">IF(OR(OR($B290="",$E290="",$F290=""),$L290&lt;&gt;"لا"),0,MAX(0,MIN($F290,EOMONTH(DATE(cfg_FY,11,1),0))-$E290+1))</f>
        <v>0</v>
      </c>
      <c r="AS290" s="65" t="n">
        <f aca="false">IF(OR(OR($B290="",$E290="",$F290=""),$L290&lt;&gt;"لا"),0,MAX(0,MIN($F290,EOMONTH(DATE(cfg_FY,12,1),0))-$E290+1))</f>
        <v>0</v>
      </c>
      <c r="AT290" s="65" t="n">
        <f aca="false">IF(OR(OR($B290="",$E290="",$F290=""),$K290&lt;&gt;"نعم",$M290="نعم"),0,MAX(0,MIN($F290,EOMONTH(DATE(cfg_FY,1,1),0))-MAX($E290,DATE(cfg_FY,1,1))+1))</f>
        <v>0</v>
      </c>
      <c r="AU290" s="65" t="n">
        <f aca="false">IF(OR(OR($B290="",$E290="",$F290=""),$K290&lt;&gt;"نعم",$M290="نعم"),0,MAX(0,MIN($F290,EOMONTH(DATE(cfg_FY,2,1),0))-MAX($E290,DATE(cfg_FY,2,1))+1))</f>
        <v>0</v>
      </c>
      <c r="AV290" s="65" t="n">
        <f aca="false">IF(OR(OR($B290="",$E290="",$F290=""),$K290&lt;&gt;"نعم",$M290="نعم"),0,MAX(0,MIN($F290,EOMONTH(DATE(cfg_FY,3,1),0))-MAX($E290,DATE(cfg_FY,3,1))+1))</f>
        <v>0</v>
      </c>
      <c r="AW290" s="65" t="n">
        <f aca="false">IF(OR(OR($B290="",$E290="",$F290=""),$K290&lt;&gt;"نعم",$M290="نعم"),0,MAX(0,MIN($F290,EOMONTH(DATE(cfg_FY,4,1),0))-MAX($E290,DATE(cfg_FY,4,1))+1))</f>
        <v>0</v>
      </c>
      <c r="AX290" s="65" t="n">
        <f aca="false">IF(OR(OR($B290="",$E290="",$F290=""),$K290&lt;&gt;"نعم",$M290="نعم"),0,MAX(0,MIN($F290,EOMONTH(DATE(cfg_FY,5,1),0))-MAX($E290,DATE(cfg_FY,5,1))+1))</f>
        <v>0</v>
      </c>
      <c r="AY290" s="65" t="n">
        <f aca="false">IF(OR(OR($B290="",$E290="",$F290=""),$K290&lt;&gt;"نعم",$M290="نعم"),0,MAX(0,MIN($F290,EOMONTH(DATE(cfg_FY,6,1),0))-MAX($E290,DATE(cfg_FY,6,1))+1))</f>
        <v>0</v>
      </c>
      <c r="AZ290" s="65" t="n">
        <f aca="false">IF(OR(OR($B290="",$E290="",$F290=""),$K290&lt;&gt;"نعم",$M290="نعم"),0,MAX(0,MIN($F290,EOMONTH(DATE(cfg_FY,7,1),0))-MAX($E290,DATE(cfg_FY,7,1))+1))</f>
        <v>0</v>
      </c>
      <c r="BA290" s="65" t="n">
        <f aca="false">IF(OR(OR($B290="",$E290="",$F290=""),$K290&lt;&gt;"نعم",$M290="نعم"),0,MAX(0,MIN($F290,EOMONTH(DATE(cfg_FY,8,1),0))-MAX($E290,DATE(cfg_FY,8,1))+1))</f>
        <v>0</v>
      </c>
      <c r="BB290" s="65" t="n">
        <f aca="false">IF(OR(OR($B290="",$E290="",$F290=""),$K290&lt;&gt;"نعم",$M290="نعم"),0,MAX(0,MIN($F290,EOMONTH(DATE(cfg_FY,9,1),0))-MAX($E290,DATE(cfg_FY,9,1))+1))</f>
        <v>0</v>
      </c>
      <c r="BC290" s="65" t="n">
        <f aca="false">IF(OR(OR($B290="",$E290="",$F290=""),$K290&lt;&gt;"نعم",$M290="نعم"),0,MAX(0,MIN($F290,EOMONTH(DATE(cfg_FY,10,1),0))-MAX($E290,DATE(cfg_FY,10,1))+1))</f>
        <v>0</v>
      </c>
      <c r="BD290" s="65" t="n">
        <f aca="false">IF(OR(OR($B290="",$E290="",$F290=""),$K290&lt;&gt;"نعم",$M290="نعم"),0,MAX(0,MIN($F290,EOMONTH(DATE(cfg_FY,11,1),0))-MAX($E290,DATE(cfg_FY,11,1))+1))</f>
        <v>0</v>
      </c>
      <c r="BE290" s="65" t="n">
        <f aca="false">IF(OR(OR($B290="",$E290="",$F290=""),$K290&lt;&gt;"نعم",$M290="نعم"),0,MAX(0,MIN($F290,EOMONTH(DATE(cfg_FY,12,1),0))-MAX($E290,DATE(cfg_FY,12,1))+1))</f>
        <v>0</v>
      </c>
    </row>
    <row r="291" customFormat="false" ht="15" hidden="false" customHeight="false" outlineLevel="0" collapsed="false">
      <c r="A291" s="115" t="str">
        <f aca="false">IF(B291="","",ROW()-5)</f>
        <v/>
      </c>
      <c r="B291" s="118"/>
      <c r="C291" s="117" t="str">
        <f aca="false">IF(B291="","",IFERROR(INDEX(الموظفون!$C$6:$C$105,MATCH(B291,الموظفون!$B$6:$B$105,0)),"✖ رقم غير موجود"))</f>
        <v/>
      </c>
      <c r="D291" s="118"/>
      <c r="E291" s="119"/>
      <c r="F291" s="119"/>
      <c r="G291" s="133" t="str">
        <f aca="false">IF(OR($B291="",$E291="",$F291=""),"",MAX(0,F291-E291+1))</f>
        <v/>
      </c>
      <c r="H291" s="134" t="str">
        <f aca="false">IF(D291="","",IFERROR(VLOOKUP(D291,cfg_LT,2,FALSE()),1))</f>
        <v/>
      </c>
      <c r="I291" s="135"/>
      <c r="J291" s="134" t="str">
        <f aca="false">IF(D291="","",IF(I291&lt;&gt;"",I291,H291))</f>
        <v/>
      </c>
      <c r="K291" s="117" t="str">
        <f aca="false">IF(D291="","",IFERROR(VLOOKUP($D291,cfg_LT,3,FALSE()),""))</f>
        <v/>
      </c>
      <c r="L291" s="117" t="str">
        <f aca="false">IF(D291="","",IFERROR(VLOOKUP($D291,cfg_LT,4,FALSE()),""))</f>
        <v/>
      </c>
      <c r="M291" s="117" t="str">
        <f aca="false">IF(D291="","",IFERROR(VLOOKUP($D291,cfg_LT,5,FALSE()),""))</f>
        <v/>
      </c>
      <c r="N291" s="116" t="n">
        <f aca="false">IF(OR(OR($B291="",$E291="",$F291=""),M291&lt;&gt;"نعم"),0,G291*J291*IFERROR(INDEX(الموظفون!$R$6:$R$105,MATCH(B291,الموظفون!$B$6:$B$105,0)),0)/cfg_DAYS_M)</f>
        <v>0</v>
      </c>
      <c r="O291" s="115" t="str">
        <f aca="false">IF(OR(OR($B291="",$E291="",$F291=""),M291&lt;&gt;"نعم"),"",IF(YEAR(E291)=cfg_FY,MONTH(E291),""))</f>
        <v/>
      </c>
      <c r="P291" s="117" t="str">
        <f aca="false">IF(B291="","",IF(OR(D291="",E291="",F291=""),"⚠ أكمل النوع والتواريخ",IF(F291&lt;E291,"✖ النهاية قبل البداية",IF(COUNTIFS($B$6:$B$505,B291,$E$6:$E$505,"&lt;="&amp;F291,$F$6:$F$505,"&gt;="&amp;E291)&gt;1,"⚠ تداخل مع سجل آخر",IF(E291&gt;cfg_VAL_DATE,"⏳ قادمة",IF(F291&lt;cfg_VAL_DATE,"✔ منتهية","✈ جارية في تاريخ التقرير"))))))</f>
        <v/>
      </c>
      <c r="Q291" s="118"/>
      <c r="R291" s="133" t="n">
        <f aca="false">IF(OR(OR($B291="",$E291="",$F291=""),L291&lt;&gt;"لا"),0,MAX(0,MIN(F291,cfg_Y_START-1)-E291+1))</f>
        <v>0</v>
      </c>
      <c r="S291" s="133" t="n">
        <f aca="false">IF(OR(OR($B291="",$E291="",$F291=""),L291&lt;&gt;"لا"),0,MAX(0,MIN(F291,cfg_VAL_DATE)-E291+1))</f>
        <v>0</v>
      </c>
      <c r="T291" s="133" t="n">
        <f aca="false">IF(OR(OR($B291="",$E291="",$F291=""),K291&lt;&gt;"نعم"),0,IF(M291="نعم",IF(AND(ISNUMBER(O291),N(O291)&lt;=cfg_VAL_M),G291,0),MAX(0,MIN(F291,cfg_VAL_DATE)-MAX(E291,cfg_Y_START)+1)))</f>
        <v>0</v>
      </c>
      <c r="V291" s="133" t="n">
        <f aca="false">IF(OR($B291="",$E291="",$F291=""),0,MAX(0,MIN($F291,EOMONTH(DATE(cfg_FY,1,1),0))-MAX($E291,DATE(cfg_FY,1,1))+1)*(1-IF($M291="نعم",0,N($J291))))</f>
        <v>0</v>
      </c>
      <c r="W291" s="133" t="n">
        <f aca="false">IF(OR($B291="",$E291="",$F291=""),0,MAX(0,MIN($F291,EOMONTH(DATE(cfg_FY,2,1),0))-MAX($E291,DATE(cfg_FY,2,1))+1)*(1-IF($M291="نعم",0,N($J291))))</f>
        <v>0</v>
      </c>
      <c r="X291" s="133" t="n">
        <f aca="false">IF(OR($B291="",$E291="",$F291=""),0,MAX(0,MIN($F291,EOMONTH(DATE(cfg_FY,3,1),0))-MAX($E291,DATE(cfg_FY,3,1))+1)*(1-IF($M291="نعم",0,N($J291))))</f>
        <v>0</v>
      </c>
      <c r="Y291" s="133" t="n">
        <f aca="false">IF(OR($B291="",$E291="",$F291=""),0,MAX(0,MIN($F291,EOMONTH(DATE(cfg_FY,4,1),0))-MAX($E291,DATE(cfg_FY,4,1))+1)*(1-IF($M291="نعم",0,N($J291))))</f>
        <v>0</v>
      </c>
      <c r="Z291" s="133" t="n">
        <f aca="false">IF(OR($B291="",$E291="",$F291=""),0,MAX(0,MIN($F291,EOMONTH(DATE(cfg_FY,5,1),0))-MAX($E291,DATE(cfg_FY,5,1))+1)*(1-IF($M291="نعم",0,N($J291))))</f>
        <v>0</v>
      </c>
      <c r="AA291" s="133" t="n">
        <f aca="false">IF(OR($B291="",$E291="",$F291=""),0,MAX(0,MIN($F291,EOMONTH(DATE(cfg_FY,6,1),0))-MAX($E291,DATE(cfg_FY,6,1))+1)*(1-IF($M291="نعم",0,N($J291))))</f>
        <v>0</v>
      </c>
      <c r="AB291" s="133" t="n">
        <f aca="false">IF(OR($B291="",$E291="",$F291=""),0,MAX(0,MIN($F291,EOMONTH(DATE(cfg_FY,7,1),0))-MAX($E291,DATE(cfg_FY,7,1))+1)*(1-IF($M291="نعم",0,N($J291))))</f>
        <v>0</v>
      </c>
      <c r="AC291" s="133" t="n">
        <f aca="false">IF(OR($B291="",$E291="",$F291=""),0,MAX(0,MIN($F291,EOMONTH(DATE(cfg_FY,8,1),0))-MAX($E291,DATE(cfg_FY,8,1))+1)*(1-IF($M291="نعم",0,N($J291))))</f>
        <v>0</v>
      </c>
      <c r="AD291" s="133" t="n">
        <f aca="false">IF(OR($B291="",$E291="",$F291=""),0,MAX(0,MIN($F291,EOMONTH(DATE(cfg_FY,9,1),0))-MAX($E291,DATE(cfg_FY,9,1))+1)*(1-IF($M291="نعم",0,N($J291))))</f>
        <v>0</v>
      </c>
      <c r="AE291" s="133" t="n">
        <f aca="false">IF(OR($B291="",$E291="",$F291=""),0,MAX(0,MIN($F291,EOMONTH(DATE(cfg_FY,10,1),0))-MAX($E291,DATE(cfg_FY,10,1))+1)*(1-IF($M291="نعم",0,N($J291))))</f>
        <v>0</v>
      </c>
      <c r="AF291" s="133" t="n">
        <f aca="false">IF(OR($B291="",$E291="",$F291=""),0,MAX(0,MIN($F291,EOMONTH(DATE(cfg_FY,11,1),0))-MAX($E291,DATE(cfg_FY,11,1))+1)*(1-IF($M291="نعم",0,N($J291))))</f>
        <v>0</v>
      </c>
      <c r="AG291" s="133" t="n">
        <f aca="false">IF(OR($B291="",$E291="",$F291=""),0,MAX(0,MIN($F291,EOMONTH(DATE(cfg_FY,12,1),0))-MAX($E291,DATE(cfg_FY,12,1))+1)*(1-IF($M291="نعم",0,N($J291))))</f>
        <v>0</v>
      </c>
      <c r="AH291" s="133" t="n">
        <f aca="false">IF(OR(OR($B291="",$E291="",$F291=""),$L291&lt;&gt;"لا"),0,MAX(0,MIN($F291,EOMONTH(DATE(cfg_FY,1,1),0))-$E291+1))</f>
        <v>0</v>
      </c>
      <c r="AI291" s="133" t="n">
        <f aca="false">IF(OR(OR($B291="",$E291="",$F291=""),$L291&lt;&gt;"لا"),0,MAX(0,MIN($F291,EOMONTH(DATE(cfg_FY,2,1),0))-$E291+1))</f>
        <v>0</v>
      </c>
      <c r="AJ291" s="133" t="n">
        <f aca="false">IF(OR(OR($B291="",$E291="",$F291=""),$L291&lt;&gt;"لا"),0,MAX(0,MIN($F291,EOMONTH(DATE(cfg_FY,3,1),0))-$E291+1))</f>
        <v>0</v>
      </c>
      <c r="AK291" s="133" t="n">
        <f aca="false">IF(OR(OR($B291="",$E291="",$F291=""),$L291&lt;&gt;"لا"),0,MAX(0,MIN($F291,EOMONTH(DATE(cfg_FY,4,1),0))-$E291+1))</f>
        <v>0</v>
      </c>
      <c r="AL291" s="133" t="n">
        <f aca="false">IF(OR(OR($B291="",$E291="",$F291=""),$L291&lt;&gt;"لا"),0,MAX(0,MIN($F291,EOMONTH(DATE(cfg_FY,5,1),0))-$E291+1))</f>
        <v>0</v>
      </c>
      <c r="AM291" s="133" t="n">
        <f aca="false">IF(OR(OR($B291="",$E291="",$F291=""),$L291&lt;&gt;"لا"),0,MAX(0,MIN($F291,EOMONTH(DATE(cfg_FY,6,1),0))-$E291+1))</f>
        <v>0</v>
      </c>
      <c r="AN291" s="133" t="n">
        <f aca="false">IF(OR(OR($B291="",$E291="",$F291=""),$L291&lt;&gt;"لا"),0,MAX(0,MIN($F291,EOMONTH(DATE(cfg_FY,7,1),0))-$E291+1))</f>
        <v>0</v>
      </c>
      <c r="AO291" s="133" t="n">
        <f aca="false">IF(OR(OR($B291="",$E291="",$F291=""),$L291&lt;&gt;"لا"),0,MAX(0,MIN($F291,EOMONTH(DATE(cfg_FY,8,1),0))-$E291+1))</f>
        <v>0</v>
      </c>
      <c r="AP291" s="133" t="n">
        <f aca="false">IF(OR(OR($B291="",$E291="",$F291=""),$L291&lt;&gt;"لا"),0,MAX(0,MIN($F291,EOMONTH(DATE(cfg_FY,9,1),0))-$E291+1))</f>
        <v>0</v>
      </c>
      <c r="AQ291" s="133" t="n">
        <f aca="false">IF(OR(OR($B291="",$E291="",$F291=""),$L291&lt;&gt;"لا"),0,MAX(0,MIN($F291,EOMONTH(DATE(cfg_FY,10,1),0))-$E291+1))</f>
        <v>0</v>
      </c>
      <c r="AR291" s="133" t="n">
        <f aca="false">IF(OR(OR($B291="",$E291="",$F291=""),$L291&lt;&gt;"لا"),0,MAX(0,MIN($F291,EOMONTH(DATE(cfg_FY,11,1),0))-$E291+1))</f>
        <v>0</v>
      </c>
      <c r="AS291" s="133" t="n">
        <f aca="false">IF(OR(OR($B291="",$E291="",$F291=""),$L291&lt;&gt;"لا"),0,MAX(0,MIN($F291,EOMONTH(DATE(cfg_FY,12,1),0))-$E291+1))</f>
        <v>0</v>
      </c>
      <c r="AT291" s="133" t="n">
        <f aca="false">IF(OR(OR($B291="",$E291="",$F291=""),$K291&lt;&gt;"نعم",$M291="نعم"),0,MAX(0,MIN($F291,EOMONTH(DATE(cfg_FY,1,1),0))-MAX($E291,DATE(cfg_FY,1,1))+1))</f>
        <v>0</v>
      </c>
      <c r="AU291" s="133" t="n">
        <f aca="false">IF(OR(OR($B291="",$E291="",$F291=""),$K291&lt;&gt;"نعم",$M291="نعم"),0,MAX(0,MIN($F291,EOMONTH(DATE(cfg_FY,2,1),0))-MAX($E291,DATE(cfg_FY,2,1))+1))</f>
        <v>0</v>
      </c>
      <c r="AV291" s="133" t="n">
        <f aca="false">IF(OR(OR($B291="",$E291="",$F291=""),$K291&lt;&gt;"نعم",$M291="نعم"),0,MAX(0,MIN($F291,EOMONTH(DATE(cfg_FY,3,1),0))-MAX($E291,DATE(cfg_FY,3,1))+1))</f>
        <v>0</v>
      </c>
      <c r="AW291" s="133" t="n">
        <f aca="false">IF(OR(OR($B291="",$E291="",$F291=""),$K291&lt;&gt;"نعم",$M291="نعم"),0,MAX(0,MIN($F291,EOMONTH(DATE(cfg_FY,4,1),0))-MAX($E291,DATE(cfg_FY,4,1))+1))</f>
        <v>0</v>
      </c>
      <c r="AX291" s="133" t="n">
        <f aca="false">IF(OR(OR($B291="",$E291="",$F291=""),$K291&lt;&gt;"نعم",$M291="نعم"),0,MAX(0,MIN($F291,EOMONTH(DATE(cfg_FY,5,1),0))-MAX($E291,DATE(cfg_FY,5,1))+1))</f>
        <v>0</v>
      </c>
      <c r="AY291" s="133" t="n">
        <f aca="false">IF(OR(OR($B291="",$E291="",$F291=""),$K291&lt;&gt;"نعم",$M291="نعم"),0,MAX(0,MIN($F291,EOMONTH(DATE(cfg_FY,6,1),0))-MAX($E291,DATE(cfg_FY,6,1))+1))</f>
        <v>0</v>
      </c>
      <c r="AZ291" s="133" t="n">
        <f aca="false">IF(OR(OR($B291="",$E291="",$F291=""),$K291&lt;&gt;"نعم",$M291="نعم"),0,MAX(0,MIN($F291,EOMONTH(DATE(cfg_FY,7,1),0))-MAX($E291,DATE(cfg_FY,7,1))+1))</f>
        <v>0</v>
      </c>
      <c r="BA291" s="133" t="n">
        <f aca="false">IF(OR(OR($B291="",$E291="",$F291=""),$K291&lt;&gt;"نعم",$M291="نعم"),0,MAX(0,MIN($F291,EOMONTH(DATE(cfg_FY,8,1),0))-MAX($E291,DATE(cfg_FY,8,1))+1))</f>
        <v>0</v>
      </c>
      <c r="BB291" s="133" t="n">
        <f aca="false">IF(OR(OR($B291="",$E291="",$F291=""),$K291&lt;&gt;"نعم",$M291="نعم"),0,MAX(0,MIN($F291,EOMONTH(DATE(cfg_FY,9,1),0))-MAX($E291,DATE(cfg_FY,9,1))+1))</f>
        <v>0</v>
      </c>
      <c r="BC291" s="133" t="n">
        <f aca="false">IF(OR(OR($B291="",$E291="",$F291=""),$K291&lt;&gt;"نعم",$M291="نعم"),0,MAX(0,MIN($F291,EOMONTH(DATE(cfg_FY,10,1),0))-MAX($E291,DATE(cfg_FY,10,1))+1))</f>
        <v>0</v>
      </c>
      <c r="BD291" s="133" t="n">
        <f aca="false">IF(OR(OR($B291="",$E291="",$F291=""),$K291&lt;&gt;"نعم",$M291="نعم"),0,MAX(0,MIN($F291,EOMONTH(DATE(cfg_FY,11,1),0))-MAX($E291,DATE(cfg_FY,11,1))+1))</f>
        <v>0</v>
      </c>
      <c r="BE291" s="133" t="n">
        <f aca="false">IF(OR(OR($B291="",$E291="",$F291=""),$K291&lt;&gt;"نعم",$M291="نعم"),0,MAX(0,MIN($F291,EOMONTH(DATE(cfg_FY,12,1),0))-MAX($E291,DATE(cfg_FY,12,1))+1))</f>
        <v>0</v>
      </c>
    </row>
    <row r="292" customFormat="false" ht="15" hidden="false" customHeight="false" outlineLevel="0" collapsed="false">
      <c r="A292" s="106" t="str">
        <f aca="false">IF(B292="","",ROW()-5)</f>
        <v/>
      </c>
      <c r="B292" s="118"/>
      <c r="C292" s="114" t="str">
        <f aca="false">IF(B292="","",IFERROR(INDEX(الموظفون!$C$6:$C$105,MATCH(B292,الموظفون!$B$6:$B$105,0)),"✖ رقم غير موجود"))</f>
        <v/>
      </c>
      <c r="D292" s="118"/>
      <c r="E292" s="119"/>
      <c r="F292" s="119"/>
      <c r="G292" s="65" t="str">
        <f aca="false">IF(OR($B292="",$E292="",$F292=""),"",MAX(0,F292-E292+1))</f>
        <v/>
      </c>
      <c r="H292" s="66" t="str">
        <f aca="false">IF(D292="","",IFERROR(VLOOKUP(D292,cfg_LT,2,FALSE()),1))</f>
        <v/>
      </c>
      <c r="I292" s="135"/>
      <c r="J292" s="66" t="str">
        <f aca="false">IF(D292="","",IF(I292&lt;&gt;"",I292,H292))</f>
        <v/>
      </c>
      <c r="K292" s="114" t="str">
        <f aca="false">IF(D292="","",IFERROR(VLOOKUP($D292,cfg_LT,3,FALSE()),""))</f>
        <v/>
      </c>
      <c r="L292" s="114" t="str">
        <f aca="false">IF(D292="","",IFERROR(VLOOKUP($D292,cfg_LT,4,FALSE()),""))</f>
        <v/>
      </c>
      <c r="M292" s="114" t="str">
        <f aca="false">IF(D292="","",IFERROR(VLOOKUP($D292,cfg_LT,5,FALSE()),""))</f>
        <v/>
      </c>
      <c r="N292" s="111" t="n">
        <f aca="false">IF(OR(OR($B292="",$E292="",$F292=""),M292&lt;&gt;"نعم"),0,G292*J292*IFERROR(INDEX(الموظفون!$R$6:$R$105,MATCH(B292,الموظفون!$B$6:$B$105,0)),0)/cfg_DAYS_M)</f>
        <v>0</v>
      </c>
      <c r="O292" s="106" t="str">
        <f aca="false">IF(OR(OR($B292="",$E292="",$F292=""),M292&lt;&gt;"نعم"),"",IF(YEAR(E292)=cfg_FY,MONTH(E292),""))</f>
        <v/>
      </c>
      <c r="P292" s="114" t="str">
        <f aca="false">IF(B292="","",IF(OR(D292="",E292="",F292=""),"⚠ أكمل النوع والتواريخ",IF(F292&lt;E292,"✖ النهاية قبل البداية",IF(COUNTIFS($B$6:$B$505,B292,$E$6:$E$505,"&lt;="&amp;F292,$F$6:$F$505,"&gt;="&amp;E292)&gt;1,"⚠ تداخل مع سجل آخر",IF(E292&gt;cfg_VAL_DATE,"⏳ قادمة",IF(F292&lt;cfg_VAL_DATE,"✔ منتهية","✈ جارية في تاريخ التقرير"))))))</f>
        <v/>
      </c>
      <c r="Q292" s="118"/>
      <c r="R292" s="65" t="n">
        <f aca="false">IF(OR(OR($B292="",$E292="",$F292=""),L292&lt;&gt;"لا"),0,MAX(0,MIN(F292,cfg_Y_START-1)-E292+1))</f>
        <v>0</v>
      </c>
      <c r="S292" s="65" t="n">
        <f aca="false">IF(OR(OR($B292="",$E292="",$F292=""),L292&lt;&gt;"لا"),0,MAX(0,MIN(F292,cfg_VAL_DATE)-E292+1))</f>
        <v>0</v>
      </c>
      <c r="T292" s="65" t="n">
        <f aca="false">IF(OR(OR($B292="",$E292="",$F292=""),K292&lt;&gt;"نعم"),0,IF(M292="نعم",IF(AND(ISNUMBER(O292),N(O292)&lt;=cfg_VAL_M),G292,0),MAX(0,MIN(F292,cfg_VAL_DATE)-MAX(E292,cfg_Y_START)+1)))</f>
        <v>0</v>
      </c>
      <c r="V292" s="65" t="n">
        <f aca="false">IF(OR($B292="",$E292="",$F292=""),0,MAX(0,MIN($F292,EOMONTH(DATE(cfg_FY,1,1),0))-MAX($E292,DATE(cfg_FY,1,1))+1)*(1-IF($M292="نعم",0,N($J292))))</f>
        <v>0</v>
      </c>
      <c r="W292" s="65" t="n">
        <f aca="false">IF(OR($B292="",$E292="",$F292=""),0,MAX(0,MIN($F292,EOMONTH(DATE(cfg_FY,2,1),0))-MAX($E292,DATE(cfg_FY,2,1))+1)*(1-IF($M292="نعم",0,N($J292))))</f>
        <v>0</v>
      </c>
      <c r="X292" s="65" t="n">
        <f aca="false">IF(OR($B292="",$E292="",$F292=""),0,MAX(0,MIN($F292,EOMONTH(DATE(cfg_FY,3,1),0))-MAX($E292,DATE(cfg_FY,3,1))+1)*(1-IF($M292="نعم",0,N($J292))))</f>
        <v>0</v>
      </c>
      <c r="Y292" s="65" t="n">
        <f aca="false">IF(OR($B292="",$E292="",$F292=""),0,MAX(0,MIN($F292,EOMONTH(DATE(cfg_FY,4,1),0))-MAX($E292,DATE(cfg_FY,4,1))+1)*(1-IF($M292="نعم",0,N($J292))))</f>
        <v>0</v>
      </c>
      <c r="Z292" s="65" t="n">
        <f aca="false">IF(OR($B292="",$E292="",$F292=""),0,MAX(0,MIN($F292,EOMONTH(DATE(cfg_FY,5,1),0))-MAX($E292,DATE(cfg_FY,5,1))+1)*(1-IF($M292="نعم",0,N($J292))))</f>
        <v>0</v>
      </c>
      <c r="AA292" s="65" t="n">
        <f aca="false">IF(OR($B292="",$E292="",$F292=""),0,MAX(0,MIN($F292,EOMONTH(DATE(cfg_FY,6,1),0))-MAX($E292,DATE(cfg_FY,6,1))+1)*(1-IF($M292="نعم",0,N($J292))))</f>
        <v>0</v>
      </c>
      <c r="AB292" s="65" t="n">
        <f aca="false">IF(OR($B292="",$E292="",$F292=""),0,MAX(0,MIN($F292,EOMONTH(DATE(cfg_FY,7,1),0))-MAX($E292,DATE(cfg_FY,7,1))+1)*(1-IF($M292="نعم",0,N($J292))))</f>
        <v>0</v>
      </c>
      <c r="AC292" s="65" t="n">
        <f aca="false">IF(OR($B292="",$E292="",$F292=""),0,MAX(0,MIN($F292,EOMONTH(DATE(cfg_FY,8,1),0))-MAX($E292,DATE(cfg_FY,8,1))+1)*(1-IF($M292="نعم",0,N($J292))))</f>
        <v>0</v>
      </c>
      <c r="AD292" s="65" t="n">
        <f aca="false">IF(OR($B292="",$E292="",$F292=""),0,MAX(0,MIN($F292,EOMONTH(DATE(cfg_FY,9,1),0))-MAX($E292,DATE(cfg_FY,9,1))+1)*(1-IF($M292="نعم",0,N($J292))))</f>
        <v>0</v>
      </c>
      <c r="AE292" s="65" t="n">
        <f aca="false">IF(OR($B292="",$E292="",$F292=""),0,MAX(0,MIN($F292,EOMONTH(DATE(cfg_FY,10,1),0))-MAX($E292,DATE(cfg_FY,10,1))+1)*(1-IF($M292="نعم",0,N($J292))))</f>
        <v>0</v>
      </c>
      <c r="AF292" s="65" t="n">
        <f aca="false">IF(OR($B292="",$E292="",$F292=""),0,MAX(0,MIN($F292,EOMONTH(DATE(cfg_FY,11,1),0))-MAX($E292,DATE(cfg_FY,11,1))+1)*(1-IF($M292="نعم",0,N($J292))))</f>
        <v>0</v>
      </c>
      <c r="AG292" s="65" t="n">
        <f aca="false">IF(OR($B292="",$E292="",$F292=""),0,MAX(0,MIN($F292,EOMONTH(DATE(cfg_FY,12,1),0))-MAX($E292,DATE(cfg_FY,12,1))+1)*(1-IF($M292="نعم",0,N($J292))))</f>
        <v>0</v>
      </c>
      <c r="AH292" s="65" t="n">
        <f aca="false">IF(OR(OR($B292="",$E292="",$F292=""),$L292&lt;&gt;"لا"),0,MAX(0,MIN($F292,EOMONTH(DATE(cfg_FY,1,1),0))-$E292+1))</f>
        <v>0</v>
      </c>
      <c r="AI292" s="65" t="n">
        <f aca="false">IF(OR(OR($B292="",$E292="",$F292=""),$L292&lt;&gt;"لا"),0,MAX(0,MIN($F292,EOMONTH(DATE(cfg_FY,2,1),0))-$E292+1))</f>
        <v>0</v>
      </c>
      <c r="AJ292" s="65" t="n">
        <f aca="false">IF(OR(OR($B292="",$E292="",$F292=""),$L292&lt;&gt;"لا"),0,MAX(0,MIN($F292,EOMONTH(DATE(cfg_FY,3,1),0))-$E292+1))</f>
        <v>0</v>
      </c>
      <c r="AK292" s="65" t="n">
        <f aca="false">IF(OR(OR($B292="",$E292="",$F292=""),$L292&lt;&gt;"لا"),0,MAX(0,MIN($F292,EOMONTH(DATE(cfg_FY,4,1),0))-$E292+1))</f>
        <v>0</v>
      </c>
      <c r="AL292" s="65" t="n">
        <f aca="false">IF(OR(OR($B292="",$E292="",$F292=""),$L292&lt;&gt;"لا"),0,MAX(0,MIN($F292,EOMONTH(DATE(cfg_FY,5,1),0))-$E292+1))</f>
        <v>0</v>
      </c>
      <c r="AM292" s="65" t="n">
        <f aca="false">IF(OR(OR($B292="",$E292="",$F292=""),$L292&lt;&gt;"لا"),0,MAX(0,MIN($F292,EOMONTH(DATE(cfg_FY,6,1),0))-$E292+1))</f>
        <v>0</v>
      </c>
      <c r="AN292" s="65" t="n">
        <f aca="false">IF(OR(OR($B292="",$E292="",$F292=""),$L292&lt;&gt;"لا"),0,MAX(0,MIN($F292,EOMONTH(DATE(cfg_FY,7,1),0))-$E292+1))</f>
        <v>0</v>
      </c>
      <c r="AO292" s="65" t="n">
        <f aca="false">IF(OR(OR($B292="",$E292="",$F292=""),$L292&lt;&gt;"لا"),0,MAX(0,MIN($F292,EOMONTH(DATE(cfg_FY,8,1),0))-$E292+1))</f>
        <v>0</v>
      </c>
      <c r="AP292" s="65" t="n">
        <f aca="false">IF(OR(OR($B292="",$E292="",$F292=""),$L292&lt;&gt;"لا"),0,MAX(0,MIN($F292,EOMONTH(DATE(cfg_FY,9,1),0))-$E292+1))</f>
        <v>0</v>
      </c>
      <c r="AQ292" s="65" t="n">
        <f aca="false">IF(OR(OR($B292="",$E292="",$F292=""),$L292&lt;&gt;"لا"),0,MAX(0,MIN($F292,EOMONTH(DATE(cfg_FY,10,1),0))-$E292+1))</f>
        <v>0</v>
      </c>
      <c r="AR292" s="65" t="n">
        <f aca="false">IF(OR(OR($B292="",$E292="",$F292=""),$L292&lt;&gt;"لا"),0,MAX(0,MIN($F292,EOMONTH(DATE(cfg_FY,11,1),0))-$E292+1))</f>
        <v>0</v>
      </c>
      <c r="AS292" s="65" t="n">
        <f aca="false">IF(OR(OR($B292="",$E292="",$F292=""),$L292&lt;&gt;"لا"),0,MAX(0,MIN($F292,EOMONTH(DATE(cfg_FY,12,1),0))-$E292+1))</f>
        <v>0</v>
      </c>
      <c r="AT292" s="65" t="n">
        <f aca="false">IF(OR(OR($B292="",$E292="",$F292=""),$K292&lt;&gt;"نعم",$M292="نعم"),0,MAX(0,MIN($F292,EOMONTH(DATE(cfg_FY,1,1),0))-MAX($E292,DATE(cfg_FY,1,1))+1))</f>
        <v>0</v>
      </c>
      <c r="AU292" s="65" t="n">
        <f aca="false">IF(OR(OR($B292="",$E292="",$F292=""),$K292&lt;&gt;"نعم",$M292="نعم"),0,MAX(0,MIN($F292,EOMONTH(DATE(cfg_FY,2,1),0))-MAX($E292,DATE(cfg_FY,2,1))+1))</f>
        <v>0</v>
      </c>
      <c r="AV292" s="65" t="n">
        <f aca="false">IF(OR(OR($B292="",$E292="",$F292=""),$K292&lt;&gt;"نعم",$M292="نعم"),0,MAX(0,MIN($F292,EOMONTH(DATE(cfg_FY,3,1),0))-MAX($E292,DATE(cfg_FY,3,1))+1))</f>
        <v>0</v>
      </c>
      <c r="AW292" s="65" t="n">
        <f aca="false">IF(OR(OR($B292="",$E292="",$F292=""),$K292&lt;&gt;"نعم",$M292="نعم"),0,MAX(0,MIN($F292,EOMONTH(DATE(cfg_FY,4,1),0))-MAX($E292,DATE(cfg_FY,4,1))+1))</f>
        <v>0</v>
      </c>
      <c r="AX292" s="65" t="n">
        <f aca="false">IF(OR(OR($B292="",$E292="",$F292=""),$K292&lt;&gt;"نعم",$M292="نعم"),0,MAX(0,MIN($F292,EOMONTH(DATE(cfg_FY,5,1),0))-MAX($E292,DATE(cfg_FY,5,1))+1))</f>
        <v>0</v>
      </c>
      <c r="AY292" s="65" t="n">
        <f aca="false">IF(OR(OR($B292="",$E292="",$F292=""),$K292&lt;&gt;"نعم",$M292="نعم"),0,MAX(0,MIN($F292,EOMONTH(DATE(cfg_FY,6,1),0))-MAX($E292,DATE(cfg_FY,6,1))+1))</f>
        <v>0</v>
      </c>
      <c r="AZ292" s="65" t="n">
        <f aca="false">IF(OR(OR($B292="",$E292="",$F292=""),$K292&lt;&gt;"نعم",$M292="نعم"),0,MAX(0,MIN($F292,EOMONTH(DATE(cfg_FY,7,1),0))-MAX($E292,DATE(cfg_FY,7,1))+1))</f>
        <v>0</v>
      </c>
      <c r="BA292" s="65" t="n">
        <f aca="false">IF(OR(OR($B292="",$E292="",$F292=""),$K292&lt;&gt;"نعم",$M292="نعم"),0,MAX(0,MIN($F292,EOMONTH(DATE(cfg_FY,8,1),0))-MAX($E292,DATE(cfg_FY,8,1))+1))</f>
        <v>0</v>
      </c>
      <c r="BB292" s="65" t="n">
        <f aca="false">IF(OR(OR($B292="",$E292="",$F292=""),$K292&lt;&gt;"نعم",$M292="نعم"),0,MAX(0,MIN($F292,EOMONTH(DATE(cfg_FY,9,1),0))-MAX($E292,DATE(cfg_FY,9,1))+1))</f>
        <v>0</v>
      </c>
      <c r="BC292" s="65" t="n">
        <f aca="false">IF(OR(OR($B292="",$E292="",$F292=""),$K292&lt;&gt;"نعم",$M292="نعم"),0,MAX(0,MIN($F292,EOMONTH(DATE(cfg_FY,10,1),0))-MAX($E292,DATE(cfg_FY,10,1))+1))</f>
        <v>0</v>
      </c>
      <c r="BD292" s="65" t="n">
        <f aca="false">IF(OR(OR($B292="",$E292="",$F292=""),$K292&lt;&gt;"نعم",$M292="نعم"),0,MAX(0,MIN($F292,EOMONTH(DATE(cfg_FY,11,1),0))-MAX($E292,DATE(cfg_FY,11,1))+1))</f>
        <v>0</v>
      </c>
      <c r="BE292" s="65" t="n">
        <f aca="false">IF(OR(OR($B292="",$E292="",$F292=""),$K292&lt;&gt;"نعم",$M292="نعم"),0,MAX(0,MIN($F292,EOMONTH(DATE(cfg_FY,12,1),0))-MAX($E292,DATE(cfg_FY,12,1))+1))</f>
        <v>0</v>
      </c>
    </row>
    <row r="293" customFormat="false" ht="15" hidden="false" customHeight="false" outlineLevel="0" collapsed="false">
      <c r="A293" s="115" t="str">
        <f aca="false">IF(B293="","",ROW()-5)</f>
        <v/>
      </c>
      <c r="B293" s="118"/>
      <c r="C293" s="117" t="str">
        <f aca="false">IF(B293="","",IFERROR(INDEX(الموظفون!$C$6:$C$105,MATCH(B293,الموظفون!$B$6:$B$105,0)),"✖ رقم غير موجود"))</f>
        <v/>
      </c>
      <c r="D293" s="118"/>
      <c r="E293" s="119"/>
      <c r="F293" s="119"/>
      <c r="G293" s="133" t="str">
        <f aca="false">IF(OR($B293="",$E293="",$F293=""),"",MAX(0,F293-E293+1))</f>
        <v/>
      </c>
      <c r="H293" s="134" t="str">
        <f aca="false">IF(D293="","",IFERROR(VLOOKUP(D293,cfg_LT,2,FALSE()),1))</f>
        <v/>
      </c>
      <c r="I293" s="135"/>
      <c r="J293" s="134" t="str">
        <f aca="false">IF(D293="","",IF(I293&lt;&gt;"",I293,H293))</f>
        <v/>
      </c>
      <c r="K293" s="117" t="str">
        <f aca="false">IF(D293="","",IFERROR(VLOOKUP($D293,cfg_LT,3,FALSE()),""))</f>
        <v/>
      </c>
      <c r="L293" s="117" t="str">
        <f aca="false">IF(D293="","",IFERROR(VLOOKUP($D293,cfg_LT,4,FALSE()),""))</f>
        <v/>
      </c>
      <c r="M293" s="117" t="str">
        <f aca="false">IF(D293="","",IFERROR(VLOOKUP($D293,cfg_LT,5,FALSE()),""))</f>
        <v/>
      </c>
      <c r="N293" s="116" t="n">
        <f aca="false">IF(OR(OR($B293="",$E293="",$F293=""),M293&lt;&gt;"نعم"),0,G293*J293*IFERROR(INDEX(الموظفون!$R$6:$R$105,MATCH(B293,الموظفون!$B$6:$B$105,0)),0)/cfg_DAYS_M)</f>
        <v>0</v>
      </c>
      <c r="O293" s="115" t="str">
        <f aca="false">IF(OR(OR($B293="",$E293="",$F293=""),M293&lt;&gt;"نعم"),"",IF(YEAR(E293)=cfg_FY,MONTH(E293),""))</f>
        <v/>
      </c>
      <c r="P293" s="117" t="str">
        <f aca="false">IF(B293="","",IF(OR(D293="",E293="",F293=""),"⚠ أكمل النوع والتواريخ",IF(F293&lt;E293,"✖ النهاية قبل البداية",IF(COUNTIFS($B$6:$B$505,B293,$E$6:$E$505,"&lt;="&amp;F293,$F$6:$F$505,"&gt;="&amp;E293)&gt;1,"⚠ تداخل مع سجل آخر",IF(E293&gt;cfg_VAL_DATE,"⏳ قادمة",IF(F293&lt;cfg_VAL_DATE,"✔ منتهية","✈ جارية في تاريخ التقرير"))))))</f>
        <v/>
      </c>
      <c r="Q293" s="118"/>
      <c r="R293" s="133" t="n">
        <f aca="false">IF(OR(OR($B293="",$E293="",$F293=""),L293&lt;&gt;"لا"),0,MAX(0,MIN(F293,cfg_Y_START-1)-E293+1))</f>
        <v>0</v>
      </c>
      <c r="S293" s="133" t="n">
        <f aca="false">IF(OR(OR($B293="",$E293="",$F293=""),L293&lt;&gt;"لا"),0,MAX(0,MIN(F293,cfg_VAL_DATE)-E293+1))</f>
        <v>0</v>
      </c>
      <c r="T293" s="133" t="n">
        <f aca="false">IF(OR(OR($B293="",$E293="",$F293=""),K293&lt;&gt;"نعم"),0,IF(M293="نعم",IF(AND(ISNUMBER(O293),N(O293)&lt;=cfg_VAL_M),G293,0),MAX(0,MIN(F293,cfg_VAL_DATE)-MAX(E293,cfg_Y_START)+1)))</f>
        <v>0</v>
      </c>
      <c r="V293" s="133" t="n">
        <f aca="false">IF(OR($B293="",$E293="",$F293=""),0,MAX(0,MIN($F293,EOMONTH(DATE(cfg_FY,1,1),0))-MAX($E293,DATE(cfg_FY,1,1))+1)*(1-IF($M293="نعم",0,N($J293))))</f>
        <v>0</v>
      </c>
      <c r="W293" s="133" t="n">
        <f aca="false">IF(OR($B293="",$E293="",$F293=""),0,MAX(0,MIN($F293,EOMONTH(DATE(cfg_FY,2,1),0))-MAX($E293,DATE(cfg_FY,2,1))+1)*(1-IF($M293="نعم",0,N($J293))))</f>
        <v>0</v>
      </c>
      <c r="X293" s="133" t="n">
        <f aca="false">IF(OR($B293="",$E293="",$F293=""),0,MAX(0,MIN($F293,EOMONTH(DATE(cfg_FY,3,1),0))-MAX($E293,DATE(cfg_FY,3,1))+1)*(1-IF($M293="نعم",0,N($J293))))</f>
        <v>0</v>
      </c>
      <c r="Y293" s="133" t="n">
        <f aca="false">IF(OR($B293="",$E293="",$F293=""),0,MAX(0,MIN($F293,EOMONTH(DATE(cfg_FY,4,1),0))-MAX($E293,DATE(cfg_FY,4,1))+1)*(1-IF($M293="نعم",0,N($J293))))</f>
        <v>0</v>
      </c>
      <c r="Z293" s="133" t="n">
        <f aca="false">IF(OR($B293="",$E293="",$F293=""),0,MAX(0,MIN($F293,EOMONTH(DATE(cfg_FY,5,1),0))-MAX($E293,DATE(cfg_FY,5,1))+1)*(1-IF($M293="نعم",0,N($J293))))</f>
        <v>0</v>
      </c>
      <c r="AA293" s="133" t="n">
        <f aca="false">IF(OR($B293="",$E293="",$F293=""),0,MAX(0,MIN($F293,EOMONTH(DATE(cfg_FY,6,1),0))-MAX($E293,DATE(cfg_FY,6,1))+1)*(1-IF($M293="نعم",0,N($J293))))</f>
        <v>0</v>
      </c>
      <c r="AB293" s="133" t="n">
        <f aca="false">IF(OR($B293="",$E293="",$F293=""),0,MAX(0,MIN($F293,EOMONTH(DATE(cfg_FY,7,1),0))-MAX($E293,DATE(cfg_FY,7,1))+1)*(1-IF($M293="نعم",0,N($J293))))</f>
        <v>0</v>
      </c>
      <c r="AC293" s="133" t="n">
        <f aca="false">IF(OR($B293="",$E293="",$F293=""),0,MAX(0,MIN($F293,EOMONTH(DATE(cfg_FY,8,1),0))-MAX($E293,DATE(cfg_FY,8,1))+1)*(1-IF($M293="نعم",0,N($J293))))</f>
        <v>0</v>
      </c>
      <c r="AD293" s="133" t="n">
        <f aca="false">IF(OR($B293="",$E293="",$F293=""),0,MAX(0,MIN($F293,EOMONTH(DATE(cfg_FY,9,1),0))-MAX($E293,DATE(cfg_FY,9,1))+1)*(1-IF($M293="نعم",0,N($J293))))</f>
        <v>0</v>
      </c>
      <c r="AE293" s="133" t="n">
        <f aca="false">IF(OR($B293="",$E293="",$F293=""),0,MAX(0,MIN($F293,EOMONTH(DATE(cfg_FY,10,1),0))-MAX($E293,DATE(cfg_FY,10,1))+1)*(1-IF($M293="نعم",0,N($J293))))</f>
        <v>0</v>
      </c>
      <c r="AF293" s="133" t="n">
        <f aca="false">IF(OR($B293="",$E293="",$F293=""),0,MAX(0,MIN($F293,EOMONTH(DATE(cfg_FY,11,1),0))-MAX($E293,DATE(cfg_FY,11,1))+1)*(1-IF($M293="نعم",0,N($J293))))</f>
        <v>0</v>
      </c>
      <c r="AG293" s="133" t="n">
        <f aca="false">IF(OR($B293="",$E293="",$F293=""),0,MAX(0,MIN($F293,EOMONTH(DATE(cfg_FY,12,1),0))-MAX($E293,DATE(cfg_FY,12,1))+1)*(1-IF($M293="نعم",0,N($J293))))</f>
        <v>0</v>
      </c>
      <c r="AH293" s="133" t="n">
        <f aca="false">IF(OR(OR($B293="",$E293="",$F293=""),$L293&lt;&gt;"لا"),0,MAX(0,MIN($F293,EOMONTH(DATE(cfg_FY,1,1),0))-$E293+1))</f>
        <v>0</v>
      </c>
      <c r="AI293" s="133" t="n">
        <f aca="false">IF(OR(OR($B293="",$E293="",$F293=""),$L293&lt;&gt;"لا"),0,MAX(0,MIN($F293,EOMONTH(DATE(cfg_FY,2,1),0))-$E293+1))</f>
        <v>0</v>
      </c>
      <c r="AJ293" s="133" t="n">
        <f aca="false">IF(OR(OR($B293="",$E293="",$F293=""),$L293&lt;&gt;"لا"),0,MAX(0,MIN($F293,EOMONTH(DATE(cfg_FY,3,1),0))-$E293+1))</f>
        <v>0</v>
      </c>
      <c r="AK293" s="133" t="n">
        <f aca="false">IF(OR(OR($B293="",$E293="",$F293=""),$L293&lt;&gt;"لا"),0,MAX(0,MIN($F293,EOMONTH(DATE(cfg_FY,4,1),0))-$E293+1))</f>
        <v>0</v>
      </c>
      <c r="AL293" s="133" t="n">
        <f aca="false">IF(OR(OR($B293="",$E293="",$F293=""),$L293&lt;&gt;"لا"),0,MAX(0,MIN($F293,EOMONTH(DATE(cfg_FY,5,1),0))-$E293+1))</f>
        <v>0</v>
      </c>
      <c r="AM293" s="133" t="n">
        <f aca="false">IF(OR(OR($B293="",$E293="",$F293=""),$L293&lt;&gt;"لا"),0,MAX(0,MIN($F293,EOMONTH(DATE(cfg_FY,6,1),0))-$E293+1))</f>
        <v>0</v>
      </c>
      <c r="AN293" s="133" t="n">
        <f aca="false">IF(OR(OR($B293="",$E293="",$F293=""),$L293&lt;&gt;"لا"),0,MAX(0,MIN($F293,EOMONTH(DATE(cfg_FY,7,1),0))-$E293+1))</f>
        <v>0</v>
      </c>
      <c r="AO293" s="133" t="n">
        <f aca="false">IF(OR(OR($B293="",$E293="",$F293=""),$L293&lt;&gt;"لا"),0,MAX(0,MIN($F293,EOMONTH(DATE(cfg_FY,8,1),0))-$E293+1))</f>
        <v>0</v>
      </c>
      <c r="AP293" s="133" t="n">
        <f aca="false">IF(OR(OR($B293="",$E293="",$F293=""),$L293&lt;&gt;"لا"),0,MAX(0,MIN($F293,EOMONTH(DATE(cfg_FY,9,1),0))-$E293+1))</f>
        <v>0</v>
      </c>
      <c r="AQ293" s="133" t="n">
        <f aca="false">IF(OR(OR($B293="",$E293="",$F293=""),$L293&lt;&gt;"لا"),0,MAX(0,MIN($F293,EOMONTH(DATE(cfg_FY,10,1),0))-$E293+1))</f>
        <v>0</v>
      </c>
      <c r="AR293" s="133" t="n">
        <f aca="false">IF(OR(OR($B293="",$E293="",$F293=""),$L293&lt;&gt;"لا"),0,MAX(0,MIN($F293,EOMONTH(DATE(cfg_FY,11,1),0))-$E293+1))</f>
        <v>0</v>
      </c>
      <c r="AS293" s="133" t="n">
        <f aca="false">IF(OR(OR($B293="",$E293="",$F293=""),$L293&lt;&gt;"لا"),0,MAX(0,MIN($F293,EOMONTH(DATE(cfg_FY,12,1),0))-$E293+1))</f>
        <v>0</v>
      </c>
      <c r="AT293" s="133" t="n">
        <f aca="false">IF(OR(OR($B293="",$E293="",$F293=""),$K293&lt;&gt;"نعم",$M293="نعم"),0,MAX(0,MIN($F293,EOMONTH(DATE(cfg_FY,1,1),0))-MAX($E293,DATE(cfg_FY,1,1))+1))</f>
        <v>0</v>
      </c>
      <c r="AU293" s="133" t="n">
        <f aca="false">IF(OR(OR($B293="",$E293="",$F293=""),$K293&lt;&gt;"نعم",$M293="نعم"),0,MAX(0,MIN($F293,EOMONTH(DATE(cfg_FY,2,1),0))-MAX($E293,DATE(cfg_FY,2,1))+1))</f>
        <v>0</v>
      </c>
      <c r="AV293" s="133" t="n">
        <f aca="false">IF(OR(OR($B293="",$E293="",$F293=""),$K293&lt;&gt;"نعم",$M293="نعم"),0,MAX(0,MIN($F293,EOMONTH(DATE(cfg_FY,3,1),0))-MAX($E293,DATE(cfg_FY,3,1))+1))</f>
        <v>0</v>
      </c>
      <c r="AW293" s="133" t="n">
        <f aca="false">IF(OR(OR($B293="",$E293="",$F293=""),$K293&lt;&gt;"نعم",$M293="نعم"),0,MAX(0,MIN($F293,EOMONTH(DATE(cfg_FY,4,1),0))-MAX($E293,DATE(cfg_FY,4,1))+1))</f>
        <v>0</v>
      </c>
      <c r="AX293" s="133" t="n">
        <f aca="false">IF(OR(OR($B293="",$E293="",$F293=""),$K293&lt;&gt;"نعم",$M293="نعم"),0,MAX(0,MIN($F293,EOMONTH(DATE(cfg_FY,5,1),0))-MAX($E293,DATE(cfg_FY,5,1))+1))</f>
        <v>0</v>
      </c>
      <c r="AY293" s="133" t="n">
        <f aca="false">IF(OR(OR($B293="",$E293="",$F293=""),$K293&lt;&gt;"نعم",$M293="نعم"),0,MAX(0,MIN($F293,EOMONTH(DATE(cfg_FY,6,1),0))-MAX($E293,DATE(cfg_FY,6,1))+1))</f>
        <v>0</v>
      </c>
      <c r="AZ293" s="133" t="n">
        <f aca="false">IF(OR(OR($B293="",$E293="",$F293=""),$K293&lt;&gt;"نعم",$M293="نعم"),0,MAX(0,MIN($F293,EOMONTH(DATE(cfg_FY,7,1),0))-MAX($E293,DATE(cfg_FY,7,1))+1))</f>
        <v>0</v>
      </c>
      <c r="BA293" s="133" t="n">
        <f aca="false">IF(OR(OR($B293="",$E293="",$F293=""),$K293&lt;&gt;"نعم",$M293="نعم"),0,MAX(0,MIN($F293,EOMONTH(DATE(cfg_FY,8,1),0))-MAX($E293,DATE(cfg_FY,8,1))+1))</f>
        <v>0</v>
      </c>
      <c r="BB293" s="133" t="n">
        <f aca="false">IF(OR(OR($B293="",$E293="",$F293=""),$K293&lt;&gt;"نعم",$M293="نعم"),0,MAX(0,MIN($F293,EOMONTH(DATE(cfg_FY,9,1),0))-MAX($E293,DATE(cfg_FY,9,1))+1))</f>
        <v>0</v>
      </c>
      <c r="BC293" s="133" t="n">
        <f aca="false">IF(OR(OR($B293="",$E293="",$F293=""),$K293&lt;&gt;"نعم",$M293="نعم"),0,MAX(0,MIN($F293,EOMONTH(DATE(cfg_FY,10,1),0))-MAX($E293,DATE(cfg_FY,10,1))+1))</f>
        <v>0</v>
      </c>
      <c r="BD293" s="133" t="n">
        <f aca="false">IF(OR(OR($B293="",$E293="",$F293=""),$K293&lt;&gt;"نعم",$M293="نعم"),0,MAX(0,MIN($F293,EOMONTH(DATE(cfg_FY,11,1),0))-MAX($E293,DATE(cfg_FY,11,1))+1))</f>
        <v>0</v>
      </c>
      <c r="BE293" s="133" t="n">
        <f aca="false">IF(OR(OR($B293="",$E293="",$F293=""),$K293&lt;&gt;"نعم",$M293="نعم"),0,MAX(0,MIN($F293,EOMONTH(DATE(cfg_FY,12,1),0))-MAX($E293,DATE(cfg_FY,12,1))+1))</f>
        <v>0</v>
      </c>
    </row>
    <row r="294" customFormat="false" ht="15" hidden="false" customHeight="false" outlineLevel="0" collapsed="false">
      <c r="A294" s="106" t="str">
        <f aca="false">IF(B294="","",ROW()-5)</f>
        <v/>
      </c>
      <c r="B294" s="118"/>
      <c r="C294" s="114" t="str">
        <f aca="false">IF(B294="","",IFERROR(INDEX(الموظفون!$C$6:$C$105,MATCH(B294,الموظفون!$B$6:$B$105,0)),"✖ رقم غير موجود"))</f>
        <v/>
      </c>
      <c r="D294" s="118"/>
      <c r="E294" s="119"/>
      <c r="F294" s="119"/>
      <c r="G294" s="65" t="str">
        <f aca="false">IF(OR($B294="",$E294="",$F294=""),"",MAX(0,F294-E294+1))</f>
        <v/>
      </c>
      <c r="H294" s="66" t="str">
        <f aca="false">IF(D294="","",IFERROR(VLOOKUP(D294,cfg_LT,2,FALSE()),1))</f>
        <v/>
      </c>
      <c r="I294" s="135"/>
      <c r="J294" s="66" t="str">
        <f aca="false">IF(D294="","",IF(I294&lt;&gt;"",I294,H294))</f>
        <v/>
      </c>
      <c r="K294" s="114" t="str">
        <f aca="false">IF(D294="","",IFERROR(VLOOKUP($D294,cfg_LT,3,FALSE()),""))</f>
        <v/>
      </c>
      <c r="L294" s="114" t="str">
        <f aca="false">IF(D294="","",IFERROR(VLOOKUP($D294,cfg_LT,4,FALSE()),""))</f>
        <v/>
      </c>
      <c r="M294" s="114" t="str">
        <f aca="false">IF(D294="","",IFERROR(VLOOKUP($D294,cfg_LT,5,FALSE()),""))</f>
        <v/>
      </c>
      <c r="N294" s="111" t="n">
        <f aca="false">IF(OR(OR($B294="",$E294="",$F294=""),M294&lt;&gt;"نعم"),0,G294*J294*IFERROR(INDEX(الموظفون!$R$6:$R$105,MATCH(B294,الموظفون!$B$6:$B$105,0)),0)/cfg_DAYS_M)</f>
        <v>0</v>
      </c>
      <c r="O294" s="106" t="str">
        <f aca="false">IF(OR(OR($B294="",$E294="",$F294=""),M294&lt;&gt;"نعم"),"",IF(YEAR(E294)=cfg_FY,MONTH(E294),""))</f>
        <v/>
      </c>
      <c r="P294" s="114" t="str">
        <f aca="false">IF(B294="","",IF(OR(D294="",E294="",F294=""),"⚠ أكمل النوع والتواريخ",IF(F294&lt;E294,"✖ النهاية قبل البداية",IF(COUNTIFS($B$6:$B$505,B294,$E$6:$E$505,"&lt;="&amp;F294,$F$6:$F$505,"&gt;="&amp;E294)&gt;1,"⚠ تداخل مع سجل آخر",IF(E294&gt;cfg_VAL_DATE,"⏳ قادمة",IF(F294&lt;cfg_VAL_DATE,"✔ منتهية","✈ جارية في تاريخ التقرير"))))))</f>
        <v/>
      </c>
      <c r="Q294" s="118"/>
      <c r="R294" s="65" t="n">
        <f aca="false">IF(OR(OR($B294="",$E294="",$F294=""),L294&lt;&gt;"لا"),0,MAX(0,MIN(F294,cfg_Y_START-1)-E294+1))</f>
        <v>0</v>
      </c>
      <c r="S294" s="65" t="n">
        <f aca="false">IF(OR(OR($B294="",$E294="",$F294=""),L294&lt;&gt;"لا"),0,MAX(0,MIN(F294,cfg_VAL_DATE)-E294+1))</f>
        <v>0</v>
      </c>
      <c r="T294" s="65" t="n">
        <f aca="false">IF(OR(OR($B294="",$E294="",$F294=""),K294&lt;&gt;"نعم"),0,IF(M294="نعم",IF(AND(ISNUMBER(O294),N(O294)&lt;=cfg_VAL_M),G294,0),MAX(0,MIN(F294,cfg_VAL_DATE)-MAX(E294,cfg_Y_START)+1)))</f>
        <v>0</v>
      </c>
      <c r="V294" s="65" t="n">
        <f aca="false">IF(OR($B294="",$E294="",$F294=""),0,MAX(0,MIN($F294,EOMONTH(DATE(cfg_FY,1,1),0))-MAX($E294,DATE(cfg_FY,1,1))+1)*(1-IF($M294="نعم",0,N($J294))))</f>
        <v>0</v>
      </c>
      <c r="W294" s="65" t="n">
        <f aca="false">IF(OR($B294="",$E294="",$F294=""),0,MAX(0,MIN($F294,EOMONTH(DATE(cfg_FY,2,1),0))-MAX($E294,DATE(cfg_FY,2,1))+1)*(1-IF($M294="نعم",0,N($J294))))</f>
        <v>0</v>
      </c>
      <c r="X294" s="65" t="n">
        <f aca="false">IF(OR($B294="",$E294="",$F294=""),0,MAX(0,MIN($F294,EOMONTH(DATE(cfg_FY,3,1),0))-MAX($E294,DATE(cfg_FY,3,1))+1)*(1-IF($M294="نعم",0,N($J294))))</f>
        <v>0</v>
      </c>
      <c r="Y294" s="65" t="n">
        <f aca="false">IF(OR($B294="",$E294="",$F294=""),0,MAX(0,MIN($F294,EOMONTH(DATE(cfg_FY,4,1),0))-MAX($E294,DATE(cfg_FY,4,1))+1)*(1-IF($M294="نعم",0,N($J294))))</f>
        <v>0</v>
      </c>
      <c r="Z294" s="65" t="n">
        <f aca="false">IF(OR($B294="",$E294="",$F294=""),0,MAX(0,MIN($F294,EOMONTH(DATE(cfg_FY,5,1),0))-MAX($E294,DATE(cfg_FY,5,1))+1)*(1-IF($M294="نعم",0,N($J294))))</f>
        <v>0</v>
      </c>
      <c r="AA294" s="65" t="n">
        <f aca="false">IF(OR($B294="",$E294="",$F294=""),0,MAX(0,MIN($F294,EOMONTH(DATE(cfg_FY,6,1),0))-MAX($E294,DATE(cfg_FY,6,1))+1)*(1-IF($M294="نعم",0,N($J294))))</f>
        <v>0</v>
      </c>
      <c r="AB294" s="65" t="n">
        <f aca="false">IF(OR($B294="",$E294="",$F294=""),0,MAX(0,MIN($F294,EOMONTH(DATE(cfg_FY,7,1),0))-MAX($E294,DATE(cfg_FY,7,1))+1)*(1-IF($M294="نعم",0,N($J294))))</f>
        <v>0</v>
      </c>
      <c r="AC294" s="65" t="n">
        <f aca="false">IF(OR($B294="",$E294="",$F294=""),0,MAX(0,MIN($F294,EOMONTH(DATE(cfg_FY,8,1),0))-MAX($E294,DATE(cfg_FY,8,1))+1)*(1-IF($M294="نعم",0,N($J294))))</f>
        <v>0</v>
      </c>
      <c r="AD294" s="65" t="n">
        <f aca="false">IF(OR($B294="",$E294="",$F294=""),0,MAX(0,MIN($F294,EOMONTH(DATE(cfg_FY,9,1),0))-MAX($E294,DATE(cfg_FY,9,1))+1)*(1-IF($M294="نعم",0,N($J294))))</f>
        <v>0</v>
      </c>
      <c r="AE294" s="65" t="n">
        <f aca="false">IF(OR($B294="",$E294="",$F294=""),0,MAX(0,MIN($F294,EOMONTH(DATE(cfg_FY,10,1),0))-MAX($E294,DATE(cfg_FY,10,1))+1)*(1-IF($M294="نعم",0,N($J294))))</f>
        <v>0</v>
      </c>
      <c r="AF294" s="65" t="n">
        <f aca="false">IF(OR($B294="",$E294="",$F294=""),0,MAX(0,MIN($F294,EOMONTH(DATE(cfg_FY,11,1),0))-MAX($E294,DATE(cfg_FY,11,1))+1)*(1-IF($M294="نعم",0,N($J294))))</f>
        <v>0</v>
      </c>
      <c r="AG294" s="65" t="n">
        <f aca="false">IF(OR($B294="",$E294="",$F294=""),0,MAX(0,MIN($F294,EOMONTH(DATE(cfg_FY,12,1),0))-MAX($E294,DATE(cfg_FY,12,1))+1)*(1-IF($M294="نعم",0,N($J294))))</f>
        <v>0</v>
      </c>
      <c r="AH294" s="65" t="n">
        <f aca="false">IF(OR(OR($B294="",$E294="",$F294=""),$L294&lt;&gt;"لا"),0,MAX(0,MIN($F294,EOMONTH(DATE(cfg_FY,1,1),0))-$E294+1))</f>
        <v>0</v>
      </c>
      <c r="AI294" s="65" t="n">
        <f aca="false">IF(OR(OR($B294="",$E294="",$F294=""),$L294&lt;&gt;"لا"),0,MAX(0,MIN($F294,EOMONTH(DATE(cfg_FY,2,1),0))-$E294+1))</f>
        <v>0</v>
      </c>
      <c r="AJ294" s="65" t="n">
        <f aca="false">IF(OR(OR($B294="",$E294="",$F294=""),$L294&lt;&gt;"لا"),0,MAX(0,MIN($F294,EOMONTH(DATE(cfg_FY,3,1),0))-$E294+1))</f>
        <v>0</v>
      </c>
      <c r="AK294" s="65" t="n">
        <f aca="false">IF(OR(OR($B294="",$E294="",$F294=""),$L294&lt;&gt;"لا"),0,MAX(0,MIN($F294,EOMONTH(DATE(cfg_FY,4,1),0))-$E294+1))</f>
        <v>0</v>
      </c>
      <c r="AL294" s="65" t="n">
        <f aca="false">IF(OR(OR($B294="",$E294="",$F294=""),$L294&lt;&gt;"لا"),0,MAX(0,MIN($F294,EOMONTH(DATE(cfg_FY,5,1),0))-$E294+1))</f>
        <v>0</v>
      </c>
      <c r="AM294" s="65" t="n">
        <f aca="false">IF(OR(OR($B294="",$E294="",$F294=""),$L294&lt;&gt;"لا"),0,MAX(0,MIN($F294,EOMONTH(DATE(cfg_FY,6,1),0))-$E294+1))</f>
        <v>0</v>
      </c>
      <c r="AN294" s="65" t="n">
        <f aca="false">IF(OR(OR($B294="",$E294="",$F294=""),$L294&lt;&gt;"لا"),0,MAX(0,MIN($F294,EOMONTH(DATE(cfg_FY,7,1),0))-$E294+1))</f>
        <v>0</v>
      </c>
      <c r="AO294" s="65" t="n">
        <f aca="false">IF(OR(OR($B294="",$E294="",$F294=""),$L294&lt;&gt;"لا"),0,MAX(0,MIN($F294,EOMONTH(DATE(cfg_FY,8,1),0))-$E294+1))</f>
        <v>0</v>
      </c>
      <c r="AP294" s="65" t="n">
        <f aca="false">IF(OR(OR($B294="",$E294="",$F294=""),$L294&lt;&gt;"لا"),0,MAX(0,MIN($F294,EOMONTH(DATE(cfg_FY,9,1),0))-$E294+1))</f>
        <v>0</v>
      </c>
      <c r="AQ294" s="65" t="n">
        <f aca="false">IF(OR(OR($B294="",$E294="",$F294=""),$L294&lt;&gt;"لا"),0,MAX(0,MIN($F294,EOMONTH(DATE(cfg_FY,10,1),0))-$E294+1))</f>
        <v>0</v>
      </c>
      <c r="AR294" s="65" t="n">
        <f aca="false">IF(OR(OR($B294="",$E294="",$F294=""),$L294&lt;&gt;"لا"),0,MAX(0,MIN($F294,EOMONTH(DATE(cfg_FY,11,1),0))-$E294+1))</f>
        <v>0</v>
      </c>
      <c r="AS294" s="65" t="n">
        <f aca="false">IF(OR(OR($B294="",$E294="",$F294=""),$L294&lt;&gt;"لا"),0,MAX(0,MIN($F294,EOMONTH(DATE(cfg_FY,12,1),0))-$E294+1))</f>
        <v>0</v>
      </c>
      <c r="AT294" s="65" t="n">
        <f aca="false">IF(OR(OR($B294="",$E294="",$F294=""),$K294&lt;&gt;"نعم",$M294="نعم"),0,MAX(0,MIN($F294,EOMONTH(DATE(cfg_FY,1,1),0))-MAX($E294,DATE(cfg_FY,1,1))+1))</f>
        <v>0</v>
      </c>
      <c r="AU294" s="65" t="n">
        <f aca="false">IF(OR(OR($B294="",$E294="",$F294=""),$K294&lt;&gt;"نعم",$M294="نعم"),0,MAX(0,MIN($F294,EOMONTH(DATE(cfg_FY,2,1),0))-MAX($E294,DATE(cfg_FY,2,1))+1))</f>
        <v>0</v>
      </c>
      <c r="AV294" s="65" t="n">
        <f aca="false">IF(OR(OR($B294="",$E294="",$F294=""),$K294&lt;&gt;"نعم",$M294="نعم"),0,MAX(0,MIN($F294,EOMONTH(DATE(cfg_FY,3,1),0))-MAX($E294,DATE(cfg_FY,3,1))+1))</f>
        <v>0</v>
      </c>
      <c r="AW294" s="65" t="n">
        <f aca="false">IF(OR(OR($B294="",$E294="",$F294=""),$K294&lt;&gt;"نعم",$M294="نعم"),0,MAX(0,MIN($F294,EOMONTH(DATE(cfg_FY,4,1),0))-MAX($E294,DATE(cfg_FY,4,1))+1))</f>
        <v>0</v>
      </c>
      <c r="AX294" s="65" t="n">
        <f aca="false">IF(OR(OR($B294="",$E294="",$F294=""),$K294&lt;&gt;"نعم",$M294="نعم"),0,MAX(0,MIN($F294,EOMONTH(DATE(cfg_FY,5,1),0))-MAX($E294,DATE(cfg_FY,5,1))+1))</f>
        <v>0</v>
      </c>
      <c r="AY294" s="65" t="n">
        <f aca="false">IF(OR(OR($B294="",$E294="",$F294=""),$K294&lt;&gt;"نعم",$M294="نعم"),0,MAX(0,MIN($F294,EOMONTH(DATE(cfg_FY,6,1),0))-MAX($E294,DATE(cfg_FY,6,1))+1))</f>
        <v>0</v>
      </c>
      <c r="AZ294" s="65" t="n">
        <f aca="false">IF(OR(OR($B294="",$E294="",$F294=""),$K294&lt;&gt;"نعم",$M294="نعم"),0,MAX(0,MIN($F294,EOMONTH(DATE(cfg_FY,7,1),0))-MAX($E294,DATE(cfg_FY,7,1))+1))</f>
        <v>0</v>
      </c>
      <c r="BA294" s="65" t="n">
        <f aca="false">IF(OR(OR($B294="",$E294="",$F294=""),$K294&lt;&gt;"نعم",$M294="نعم"),0,MAX(0,MIN($F294,EOMONTH(DATE(cfg_FY,8,1),0))-MAX($E294,DATE(cfg_FY,8,1))+1))</f>
        <v>0</v>
      </c>
      <c r="BB294" s="65" t="n">
        <f aca="false">IF(OR(OR($B294="",$E294="",$F294=""),$K294&lt;&gt;"نعم",$M294="نعم"),0,MAX(0,MIN($F294,EOMONTH(DATE(cfg_FY,9,1),0))-MAX($E294,DATE(cfg_FY,9,1))+1))</f>
        <v>0</v>
      </c>
      <c r="BC294" s="65" t="n">
        <f aca="false">IF(OR(OR($B294="",$E294="",$F294=""),$K294&lt;&gt;"نعم",$M294="نعم"),0,MAX(0,MIN($F294,EOMONTH(DATE(cfg_FY,10,1),0))-MAX($E294,DATE(cfg_FY,10,1))+1))</f>
        <v>0</v>
      </c>
      <c r="BD294" s="65" t="n">
        <f aca="false">IF(OR(OR($B294="",$E294="",$F294=""),$K294&lt;&gt;"نعم",$M294="نعم"),0,MAX(0,MIN($F294,EOMONTH(DATE(cfg_FY,11,1),0))-MAX($E294,DATE(cfg_FY,11,1))+1))</f>
        <v>0</v>
      </c>
      <c r="BE294" s="65" t="n">
        <f aca="false">IF(OR(OR($B294="",$E294="",$F294=""),$K294&lt;&gt;"نعم",$M294="نعم"),0,MAX(0,MIN($F294,EOMONTH(DATE(cfg_FY,12,1),0))-MAX($E294,DATE(cfg_FY,12,1))+1))</f>
        <v>0</v>
      </c>
    </row>
    <row r="295" customFormat="false" ht="15" hidden="false" customHeight="false" outlineLevel="0" collapsed="false">
      <c r="A295" s="115" t="str">
        <f aca="false">IF(B295="","",ROW()-5)</f>
        <v/>
      </c>
      <c r="B295" s="118"/>
      <c r="C295" s="117" t="str">
        <f aca="false">IF(B295="","",IFERROR(INDEX(الموظفون!$C$6:$C$105,MATCH(B295,الموظفون!$B$6:$B$105,0)),"✖ رقم غير موجود"))</f>
        <v/>
      </c>
      <c r="D295" s="118"/>
      <c r="E295" s="119"/>
      <c r="F295" s="119"/>
      <c r="G295" s="133" t="str">
        <f aca="false">IF(OR($B295="",$E295="",$F295=""),"",MAX(0,F295-E295+1))</f>
        <v/>
      </c>
      <c r="H295" s="134" t="str">
        <f aca="false">IF(D295="","",IFERROR(VLOOKUP(D295,cfg_LT,2,FALSE()),1))</f>
        <v/>
      </c>
      <c r="I295" s="135"/>
      <c r="J295" s="134" t="str">
        <f aca="false">IF(D295="","",IF(I295&lt;&gt;"",I295,H295))</f>
        <v/>
      </c>
      <c r="K295" s="117" t="str">
        <f aca="false">IF(D295="","",IFERROR(VLOOKUP($D295,cfg_LT,3,FALSE()),""))</f>
        <v/>
      </c>
      <c r="L295" s="117" t="str">
        <f aca="false">IF(D295="","",IFERROR(VLOOKUP($D295,cfg_LT,4,FALSE()),""))</f>
        <v/>
      </c>
      <c r="M295" s="117" t="str">
        <f aca="false">IF(D295="","",IFERROR(VLOOKUP($D295,cfg_LT,5,FALSE()),""))</f>
        <v/>
      </c>
      <c r="N295" s="116" t="n">
        <f aca="false">IF(OR(OR($B295="",$E295="",$F295=""),M295&lt;&gt;"نعم"),0,G295*J295*IFERROR(INDEX(الموظفون!$R$6:$R$105,MATCH(B295,الموظفون!$B$6:$B$105,0)),0)/cfg_DAYS_M)</f>
        <v>0</v>
      </c>
      <c r="O295" s="115" t="str">
        <f aca="false">IF(OR(OR($B295="",$E295="",$F295=""),M295&lt;&gt;"نعم"),"",IF(YEAR(E295)=cfg_FY,MONTH(E295),""))</f>
        <v/>
      </c>
      <c r="P295" s="117" t="str">
        <f aca="false">IF(B295="","",IF(OR(D295="",E295="",F295=""),"⚠ أكمل النوع والتواريخ",IF(F295&lt;E295,"✖ النهاية قبل البداية",IF(COUNTIFS($B$6:$B$505,B295,$E$6:$E$505,"&lt;="&amp;F295,$F$6:$F$505,"&gt;="&amp;E295)&gt;1,"⚠ تداخل مع سجل آخر",IF(E295&gt;cfg_VAL_DATE,"⏳ قادمة",IF(F295&lt;cfg_VAL_DATE,"✔ منتهية","✈ جارية في تاريخ التقرير"))))))</f>
        <v/>
      </c>
      <c r="Q295" s="118"/>
      <c r="R295" s="133" t="n">
        <f aca="false">IF(OR(OR($B295="",$E295="",$F295=""),L295&lt;&gt;"لا"),0,MAX(0,MIN(F295,cfg_Y_START-1)-E295+1))</f>
        <v>0</v>
      </c>
      <c r="S295" s="133" t="n">
        <f aca="false">IF(OR(OR($B295="",$E295="",$F295=""),L295&lt;&gt;"لا"),0,MAX(0,MIN(F295,cfg_VAL_DATE)-E295+1))</f>
        <v>0</v>
      </c>
      <c r="T295" s="133" t="n">
        <f aca="false">IF(OR(OR($B295="",$E295="",$F295=""),K295&lt;&gt;"نعم"),0,IF(M295="نعم",IF(AND(ISNUMBER(O295),N(O295)&lt;=cfg_VAL_M),G295,0),MAX(0,MIN(F295,cfg_VAL_DATE)-MAX(E295,cfg_Y_START)+1)))</f>
        <v>0</v>
      </c>
      <c r="V295" s="133" t="n">
        <f aca="false">IF(OR($B295="",$E295="",$F295=""),0,MAX(0,MIN($F295,EOMONTH(DATE(cfg_FY,1,1),0))-MAX($E295,DATE(cfg_FY,1,1))+1)*(1-IF($M295="نعم",0,N($J295))))</f>
        <v>0</v>
      </c>
      <c r="W295" s="133" t="n">
        <f aca="false">IF(OR($B295="",$E295="",$F295=""),0,MAX(0,MIN($F295,EOMONTH(DATE(cfg_FY,2,1),0))-MAX($E295,DATE(cfg_FY,2,1))+1)*(1-IF($M295="نعم",0,N($J295))))</f>
        <v>0</v>
      </c>
      <c r="X295" s="133" t="n">
        <f aca="false">IF(OR($B295="",$E295="",$F295=""),0,MAX(0,MIN($F295,EOMONTH(DATE(cfg_FY,3,1),0))-MAX($E295,DATE(cfg_FY,3,1))+1)*(1-IF($M295="نعم",0,N($J295))))</f>
        <v>0</v>
      </c>
      <c r="Y295" s="133" t="n">
        <f aca="false">IF(OR($B295="",$E295="",$F295=""),0,MAX(0,MIN($F295,EOMONTH(DATE(cfg_FY,4,1),0))-MAX($E295,DATE(cfg_FY,4,1))+1)*(1-IF($M295="نعم",0,N($J295))))</f>
        <v>0</v>
      </c>
      <c r="Z295" s="133" t="n">
        <f aca="false">IF(OR($B295="",$E295="",$F295=""),0,MAX(0,MIN($F295,EOMONTH(DATE(cfg_FY,5,1),0))-MAX($E295,DATE(cfg_FY,5,1))+1)*(1-IF($M295="نعم",0,N($J295))))</f>
        <v>0</v>
      </c>
      <c r="AA295" s="133" t="n">
        <f aca="false">IF(OR($B295="",$E295="",$F295=""),0,MAX(0,MIN($F295,EOMONTH(DATE(cfg_FY,6,1),0))-MAX($E295,DATE(cfg_FY,6,1))+1)*(1-IF($M295="نعم",0,N($J295))))</f>
        <v>0</v>
      </c>
      <c r="AB295" s="133" t="n">
        <f aca="false">IF(OR($B295="",$E295="",$F295=""),0,MAX(0,MIN($F295,EOMONTH(DATE(cfg_FY,7,1),0))-MAX($E295,DATE(cfg_FY,7,1))+1)*(1-IF($M295="نعم",0,N($J295))))</f>
        <v>0</v>
      </c>
      <c r="AC295" s="133" t="n">
        <f aca="false">IF(OR($B295="",$E295="",$F295=""),0,MAX(0,MIN($F295,EOMONTH(DATE(cfg_FY,8,1),0))-MAX($E295,DATE(cfg_FY,8,1))+1)*(1-IF($M295="نعم",0,N($J295))))</f>
        <v>0</v>
      </c>
      <c r="AD295" s="133" t="n">
        <f aca="false">IF(OR($B295="",$E295="",$F295=""),0,MAX(0,MIN($F295,EOMONTH(DATE(cfg_FY,9,1),0))-MAX($E295,DATE(cfg_FY,9,1))+1)*(1-IF($M295="نعم",0,N($J295))))</f>
        <v>0</v>
      </c>
      <c r="AE295" s="133" t="n">
        <f aca="false">IF(OR($B295="",$E295="",$F295=""),0,MAX(0,MIN($F295,EOMONTH(DATE(cfg_FY,10,1),0))-MAX($E295,DATE(cfg_FY,10,1))+1)*(1-IF($M295="نعم",0,N($J295))))</f>
        <v>0</v>
      </c>
      <c r="AF295" s="133" t="n">
        <f aca="false">IF(OR($B295="",$E295="",$F295=""),0,MAX(0,MIN($F295,EOMONTH(DATE(cfg_FY,11,1),0))-MAX($E295,DATE(cfg_FY,11,1))+1)*(1-IF($M295="نعم",0,N($J295))))</f>
        <v>0</v>
      </c>
      <c r="AG295" s="133" t="n">
        <f aca="false">IF(OR($B295="",$E295="",$F295=""),0,MAX(0,MIN($F295,EOMONTH(DATE(cfg_FY,12,1),0))-MAX($E295,DATE(cfg_FY,12,1))+1)*(1-IF($M295="نعم",0,N($J295))))</f>
        <v>0</v>
      </c>
      <c r="AH295" s="133" t="n">
        <f aca="false">IF(OR(OR($B295="",$E295="",$F295=""),$L295&lt;&gt;"لا"),0,MAX(0,MIN($F295,EOMONTH(DATE(cfg_FY,1,1),0))-$E295+1))</f>
        <v>0</v>
      </c>
      <c r="AI295" s="133" t="n">
        <f aca="false">IF(OR(OR($B295="",$E295="",$F295=""),$L295&lt;&gt;"لا"),0,MAX(0,MIN($F295,EOMONTH(DATE(cfg_FY,2,1),0))-$E295+1))</f>
        <v>0</v>
      </c>
      <c r="AJ295" s="133" t="n">
        <f aca="false">IF(OR(OR($B295="",$E295="",$F295=""),$L295&lt;&gt;"لا"),0,MAX(0,MIN($F295,EOMONTH(DATE(cfg_FY,3,1),0))-$E295+1))</f>
        <v>0</v>
      </c>
      <c r="AK295" s="133" t="n">
        <f aca="false">IF(OR(OR($B295="",$E295="",$F295=""),$L295&lt;&gt;"لا"),0,MAX(0,MIN($F295,EOMONTH(DATE(cfg_FY,4,1),0))-$E295+1))</f>
        <v>0</v>
      </c>
      <c r="AL295" s="133" t="n">
        <f aca="false">IF(OR(OR($B295="",$E295="",$F295=""),$L295&lt;&gt;"لا"),0,MAX(0,MIN($F295,EOMONTH(DATE(cfg_FY,5,1),0))-$E295+1))</f>
        <v>0</v>
      </c>
      <c r="AM295" s="133" t="n">
        <f aca="false">IF(OR(OR($B295="",$E295="",$F295=""),$L295&lt;&gt;"لا"),0,MAX(0,MIN($F295,EOMONTH(DATE(cfg_FY,6,1),0))-$E295+1))</f>
        <v>0</v>
      </c>
      <c r="AN295" s="133" t="n">
        <f aca="false">IF(OR(OR($B295="",$E295="",$F295=""),$L295&lt;&gt;"لا"),0,MAX(0,MIN($F295,EOMONTH(DATE(cfg_FY,7,1),0))-$E295+1))</f>
        <v>0</v>
      </c>
      <c r="AO295" s="133" t="n">
        <f aca="false">IF(OR(OR($B295="",$E295="",$F295=""),$L295&lt;&gt;"لا"),0,MAX(0,MIN($F295,EOMONTH(DATE(cfg_FY,8,1),0))-$E295+1))</f>
        <v>0</v>
      </c>
      <c r="AP295" s="133" t="n">
        <f aca="false">IF(OR(OR($B295="",$E295="",$F295=""),$L295&lt;&gt;"لا"),0,MAX(0,MIN($F295,EOMONTH(DATE(cfg_FY,9,1),0))-$E295+1))</f>
        <v>0</v>
      </c>
      <c r="AQ295" s="133" t="n">
        <f aca="false">IF(OR(OR($B295="",$E295="",$F295=""),$L295&lt;&gt;"لا"),0,MAX(0,MIN($F295,EOMONTH(DATE(cfg_FY,10,1),0))-$E295+1))</f>
        <v>0</v>
      </c>
      <c r="AR295" s="133" t="n">
        <f aca="false">IF(OR(OR($B295="",$E295="",$F295=""),$L295&lt;&gt;"لا"),0,MAX(0,MIN($F295,EOMONTH(DATE(cfg_FY,11,1),0))-$E295+1))</f>
        <v>0</v>
      </c>
      <c r="AS295" s="133" t="n">
        <f aca="false">IF(OR(OR($B295="",$E295="",$F295=""),$L295&lt;&gt;"لا"),0,MAX(0,MIN($F295,EOMONTH(DATE(cfg_FY,12,1),0))-$E295+1))</f>
        <v>0</v>
      </c>
      <c r="AT295" s="133" t="n">
        <f aca="false">IF(OR(OR($B295="",$E295="",$F295=""),$K295&lt;&gt;"نعم",$M295="نعم"),0,MAX(0,MIN($F295,EOMONTH(DATE(cfg_FY,1,1),0))-MAX($E295,DATE(cfg_FY,1,1))+1))</f>
        <v>0</v>
      </c>
      <c r="AU295" s="133" t="n">
        <f aca="false">IF(OR(OR($B295="",$E295="",$F295=""),$K295&lt;&gt;"نعم",$M295="نعم"),0,MAX(0,MIN($F295,EOMONTH(DATE(cfg_FY,2,1),0))-MAX($E295,DATE(cfg_FY,2,1))+1))</f>
        <v>0</v>
      </c>
      <c r="AV295" s="133" t="n">
        <f aca="false">IF(OR(OR($B295="",$E295="",$F295=""),$K295&lt;&gt;"نعم",$M295="نعم"),0,MAX(0,MIN($F295,EOMONTH(DATE(cfg_FY,3,1),0))-MAX($E295,DATE(cfg_FY,3,1))+1))</f>
        <v>0</v>
      </c>
      <c r="AW295" s="133" t="n">
        <f aca="false">IF(OR(OR($B295="",$E295="",$F295=""),$K295&lt;&gt;"نعم",$M295="نعم"),0,MAX(0,MIN($F295,EOMONTH(DATE(cfg_FY,4,1),0))-MAX($E295,DATE(cfg_FY,4,1))+1))</f>
        <v>0</v>
      </c>
      <c r="AX295" s="133" t="n">
        <f aca="false">IF(OR(OR($B295="",$E295="",$F295=""),$K295&lt;&gt;"نعم",$M295="نعم"),0,MAX(0,MIN($F295,EOMONTH(DATE(cfg_FY,5,1),0))-MAX($E295,DATE(cfg_FY,5,1))+1))</f>
        <v>0</v>
      </c>
      <c r="AY295" s="133" t="n">
        <f aca="false">IF(OR(OR($B295="",$E295="",$F295=""),$K295&lt;&gt;"نعم",$M295="نعم"),0,MAX(0,MIN($F295,EOMONTH(DATE(cfg_FY,6,1),0))-MAX($E295,DATE(cfg_FY,6,1))+1))</f>
        <v>0</v>
      </c>
      <c r="AZ295" s="133" t="n">
        <f aca="false">IF(OR(OR($B295="",$E295="",$F295=""),$K295&lt;&gt;"نعم",$M295="نعم"),0,MAX(0,MIN($F295,EOMONTH(DATE(cfg_FY,7,1),0))-MAX($E295,DATE(cfg_FY,7,1))+1))</f>
        <v>0</v>
      </c>
      <c r="BA295" s="133" t="n">
        <f aca="false">IF(OR(OR($B295="",$E295="",$F295=""),$K295&lt;&gt;"نعم",$M295="نعم"),0,MAX(0,MIN($F295,EOMONTH(DATE(cfg_FY,8,1),0))-MAX($E295,DATE(cfg_FY,8,1))+1))</f>
        <v>0</v>
      </c>
      <c r="BB295" s="133" t="n">
        <f aca="false">IF(OR(OR($B295="",$E295="",$F295=""),$K295&lt;&gt;"نعم",$M295="نعم"),0,MAX(0,MIN($F295,EOMONTH(DATE(cfg_FY,9,1),0))-MAX($E295,DATE(cfg_FY,9,1))+1))</f>
        <v>0</v>
      </c>
      <c r="BC295" s="133" t="n">
        <f aca="false">IF(OR(OR($B295="",$E295="",$F295=""),$K295&lt;&gt;"نعم",$M295="نعم"),0,MAX(0,MIN($F295,EOMONTH(DATE(cfg_FY,10,1),0))-MAX($E295,DATE(cfg_FY,10,1))+1))</f>
        <v>0</v>
      </c>
      <c r="BD295" s="133" t="n">
        <f aca="false">IF(OR(OR($B295="",$E295="",$F295=""),$K295&lt;&gt;"نعم",$M295="نعم"),0,MAX(0,MIN($F295,EOMONTH(DATE(cfg_FY,11,1),0))-MAX($E295,DATE(cfg_FY,11,1))+1))</f>
        <v>0</v>
      </c>
      <c r="BE295" s="133" t="n">
        <f aca="false">IF(OR(OR($B295="",$E295="",$F295=""),$K295&lt;&gt;"نعم",$M295="نعم"),0,MAX(0,MIN($F295,EOMONTH(DATE(cfg_FY,12,1),0))-MAX($E295,DATE(cfg_FY,12,1))+1))</f>
        <v>0</v>
      </c>
    </row>
    <row r="296" customFormat="false" ht="15" hidden="false" customHeight="false" outlineLevel="0" collapsed="false">
      <c r="A296" s="106" t="str">
        <f aca="false">IF(B296="","",ROW()-5)</f>
        <v/>
      </c>
      <c r="B296" s="118"/>
      <c r="C296" s="114" t="str">
        <f aca="false">IF(B296="","",IFERROR(INDEX(الموظفون!$C$6:$C$105,MATCH(B296,الموظفون!$B$6:$B$105,0)),"✖ رقم غير موجود"))</f>
        <v/>
      </c>
      <c r="D296" s="118"/>
      <c r="E296" s="119"/>
      <c r="F296" s="119"/>
      <c r="G296" s="65" t="str">
        <f aca="false">IF(OR($B296="",$E296="",$F296=""),"",MAX(0,F296-E296+1))</f>
        <v/>
      </c>
      <c r="H296" s="66" t="str">
        <f aca="false">IF(D296="","",IFERROR(VLOOKUP(D296,cfg_LT,2,FALSE()),1))</f>
        <v/>
      </c>
      <c r="I296" s="135"/>
      <c r="J296" s="66" t="str">
        <f aca="false">IF(D296="","",IF(I296&lt;&gt;"",I296,H296))</f>
        <v/>
      </c>
      <c r="K296" s="114" t="str">
        <f aca="false">IF(D296="","",IFERROR(VLOOKUP($D296,cfg_LT,3,FALSE()),""))</f>
        <v/>
      </c>
      <c r="L296" s="114" t="str">
        <f aca="false">IF(D296="","",IFERROR(VLOOKUP($D296,cfg_LT,4,FALSE()),""))</f>
        <v/>
      </c>
      <c r="M296" s="114" t="str">
        <f aca="false">IF(D296="","",IFERROR(VLOOKUP($D296,cfg_LT,5,FALSE()),""))</f>
        <v/>
      </c>
      <c r="N296" s="111" t="n">
        <f aca="false">IF(OR(OR($B296="",$E296="",$F296=""),M296&lt;&gt;"نعم"),0,G296*J296*IFERROR(INDEX(الموظفون!$R$6:$R$105,MATCH(B296,الموظفون!$B$6:$B$105,0)),0)/cfg_DAYS_M)</f>
        <v>0</v>
      </c>
      <c r="O296" s="106" t="str">
        <f aca="false">IF(OR(OR($B296="",$E296="",$F296=""),M296&lt;&gt;"نعم"),"",IF(YEAR(E296)=cfg_FY,MONTH(E296),""))</f>
        <v/>
      </c>
      <c r="P296" s="114" t="str">
        <f aca="false">IF(B296="","",IF(OR(D296="",E296="",F296=""),"⚠ أكمل النوع والتواريخ",IF(F296&lt;E296,"✖ النهاية قبل البداية",IF(COUNTIFS($B$6:$B$505,B296,$E$6:$E$505,"&lt;="&amp;F296,$F$6:$F$505,"&gt;="&amp;E296)&gt;1,"⚠ تداخل مع سجل آخر",IF(E296&gt;cfg_VAL_DATE,"⏳ قادمة",IF(F296&lt;cfg_VAL_DATE,"✔ منتهية","✈ جارية في تاريخ التقرير"))))))</f>
        <v/>
      </c>
      <c r="Q296" s="118"/>
      <c r="R296" s="65" t="n">
        <f aca="false">IF(OR(OR($B296="",$E296="",$F296=""),L296&lt;&gt;"لا"),0,MAX(0,MIN(F296,cfg_Y_START-1)-E296+1))</f>
        <v>0</v>
      </c>
      <c r="S296" s="65" t="n">
        <f aca="false">IF(OR(OR($B296="",$E296="",$F296=""),L296&lt;&gt;"لا"),0,MAX(0,MIN(F296,cfg_VAL_DATE)-E296+1))</f>
        <v>0</v>
      </c>
      <c r="T296" s="65" t="n">
        <f aca="false">IF(OR(OR($B296="",$E296="",$F296=""),K296&lt;&gt;"نعم"),0,IF(M296="نعم",IF(AND(ISNUMBER(O296),N(O296)&lt;=cfg_VAL_M),G296,0),MAX(0,MIN(F296,cfg_VAL_DATE)-MAX(E296,cfg_Y_START)+1)))</f>
        <v>0</v>
      </c>
      <c r="V296" s="65" t="n">
        <f aca="false">IF(OR($B296="",$E296="",$F296=""),0,MAX(0,MIN($F296,EOMONTH(DATE(cfg_FY,1,1),0))-MAX($E296,DATE(cfg_FY,1,1))+1)*(1-IF($M296="نعم",0,N($J296))))</f>
        <v>0</v>
      </c>
      <c r="W296" s="65" t="n">
        <f aca="false">IF(OR($B296="",$E296="",$F296=""),0,MAX(0,MIN($F296,EOMONTH(DATE(cfg_FY,2,1),0))-MAX($E296,DATE(cfg_FY,2,1))+1)*(1-IF($M296="نعم",0,N($J296))))</f>
        <v>0</v>
      </c>
      <c r="X296" s="65" t="n">
        <f aca="false">IF(OR($B296="",$E296="",$F296=""),0,MAX(0,MIN($F296,EOMONTH(DATE(cfg_FY,3,1),0))-MAX($E296,DATE(cfg_FY,3,1))+1)*(1-IF($M296="نعم",0,N($J296))))</f>
        <v>0</v>
      </c>
      <c r="Y296" s="65" t="n">
        <f aca="false">IF(OR($B296="",$E296="",$F296=""),0,MAX(0,MIN($F296,EOMONTH(DATE(cfg_FY,4,1),0))-MAX($E296,DATE(cfg_FY,4,1))+1)*(1-IF($M296="نعم",0,N($J296))))</f>
        <v>0</v>
      </c>
      <c r="Z296" s="65" t="n">
        <f aca="false">IF(OR($B296="",$E296="",$F296=""),0,MAX(0,MIN($F296,EOMONTH(DATE(cfg_FY,5,1),0))-MAX($E296,DATE(cfg_FY,5,1))+1)*(1-IF($M296="نعم",0,N($J296))))</f>
        <v>0</v>
      </c>
      <c r="AA296" s="65" t="n">
        <f aca="false">IF(OR($B296="",$E296="",$F296=""),0,MAX(0,MIN($F296,EOMONTH(DATE(cfg_FY,6,1),0))-MAX($E296,DATE(cfg_FY,6,1))+1)*(1-IF($M296="نعم",0,N($J296))))</f>
        <v>0</v>
      </c>
      <c r="AB296" s="65" t="n">
        <f aca="false">IF(OR($B296="",$E296="",$F296=""),0,MAX(0,MIN($F296,EOMONTH(DATE(cfg_FY,7,1),0))-MAX($E296,DATE(cfg_FY,7,1))+1)*(1-IF($M296="نعم",0,N($J296))))</f>
        <v>0</v>
      </c>
      <c r="AC296" s="65" t="n">
        <f aca="false">IF(OR($B296="",$E296="",$F296=""),0,MAX(0,MIN($F296,EOMONTH(DATE(cfg_FY,8,1),0))-MAX($E296,DATE(cfg_FY,8,1))+1)*(1-IF($M296="نعم",0,N($J296))))</f>
        <v>0</v>
      </c>
      <c r="AD296" s="65" t="n">
        <f aca="false">IF(OR($B296="",$E296="",$F296=""),0,MAX(0,MIN($F296,EOMONTH(DATE(cfg_FY,9,1),0))-MAX($E296,DATE(cfg_FY,9,1))+1)*(1-IF($M296="نعم",0,N($J296))))</f>
        <v>0</v>
      </c>
      <c r="AE296" s="65" t="n">
        <f aca="false">IF(OR($B296="",$E296="",$F296=""),0,MAX(0,MIN($F296,EOMONTH(DATE(cfg_FY,10,1),0))-MAX($E296,DATE(cfg_FY,10,1))+1)*(1-IF($M296="نعم",0,N($J296))))</f>
        <v>0</v>
      </c>
      <c r="AF296" s="65" t="n">
        <f aca="false">IF(OR($B296="",$E296="",$F296=""),0,MAX(0,MIN($F296,EOMONTH(DATE(cfg_FY,11,1),0))-MAX($E296,DATE(cfg_FY,11,1))+1)*(1-IF($M296="نعم",0,N($J296))))</f>
        <v>0</v>
      </c>
      <c r="AG296" s="65" t="n">
        <f aca="false">IF(OR($B296="",$E296="",$F296=""),0,MAX(0,MIN($F296,EOMONTH(DATE(cfg_FY,12,1),0))-MAX($E296,DATE(cfg_FY,12,1))+1)*(1-IF($M296="نعم",0,N($J296))))</f>
        <v>0</v>
      </c>
      <c r="AH296" s="65" t="n">
        <f aca="false">IF(OR(OR($B296="",$E296="",$F296=""),$L296&lt;&gt;"لا"),0,MAX(0,MIN($F296,EOMONTH(DATE(cfg_FY,1,1),0))-$E296+1))</f>
        <v>0</v>
      </c>
      <c r="AI296" s="65" t="n">
        <f aca="false">IF(OR(OR($B296="",$E296="",$F296=""),$L296&lt;&gt;"لا"),0,MAX(0,MIN($F296,EOMONTH(DATE(cfg_FY,2,1),0))-$E296+1))</f>
        <v>0</v>
      </c>
      <c r="AJ296" s="65" t="n">
        <f aca="false">IF(OR(OR($B296="",$E296="",$F296=""),$L296&lt;&gt;"لا"),0,MAX(0,MIN($F296,EOMONTH(DATE(cfg_FY,3,1),0))-$E296+1))</f>
        <v>0</v>
      </c>
      <c r="AK296" s="65" t="n">
        <f aca="false">IF(OR(OR($B296="",$E296="",$F296=""),$L296&lt;&gt;"لا"),0,MAX(0,MIN($F296,EOMONTH(DATE(cfg_FY,4,1),0))-$E296+1))</f>
        <v>0</v>
      </c>
      <c r="AL296" s="65" t="n">
        <f aca="false">IF(OR(OR($B296="",$E296="",$F296=""),$L296&lt;&gt;"لا"),0,MAX(0,MIN($F296,EOMONTH(DATE(cfg_FY,5,1),0))-$E296+1))</f>
        <v>0</v>
      </c>
      <c r="AM296" s="65" t="n">
        <f aca="false">IF(OR(OR($B296="",$E296="",$F296=""),$L296&lt;&gt;"لا"),0,MAX(0,MIN($F296,EOMONTH(DATE(cfg_FY,6,1),0))-$E296+1))</f>
        <v>0</v>
      </c>
      <c r="AN296" s="65" t="n">
        <f aca="false">IF(OR(OR($B296="",$E296="",$F296=""),$L296&lt;&gt;"لا"),0,MAX(0,MIN($F296,EOMONTH(DATE(cfg_FY,7,1),0))-$E296+1))</f>
        <v>0</v>
      </c>
      <c r="AO296" s="65" t="n">
        <f aca="false">IF(OR(OR($B296="",$E296="",$F296=""),$L296&lt;&gt;"لا"),0,MAX(0,MIN($F296,EOMONTH(DATE(cfg_FY,8,1),0))-$E296+1))</f>
        <v>0</v>
      </c>
      <c r="AP296" s="65" t="n">
        <f aca="false">IF(OR(OR($B296="",$E296="",$F296=""),$L296&lt;&gt;"لا"),0,MAX(0,MIN($F296,EOMONTH(DATE(cfg_FY,9,1),0))-$E296+1))</f>
        <v>0</v>
      </c>
      <c r="AQ296" s="65" t="n">
        <f aca="false">IF(OR(OR($B296="",$E296="",$F296=""),$L296&lt;&gt;"لا"),0,MAX(0,MIN($F296,EOMONTH(DATE(cfg_FY,10,1),0))-$E296+1))</f>
        <v>0</v>
      </c>
      <c r="AR296" s="65" t="n">
        <f aca="false">IF(OR(OR($B296="",$E296="",$F296=""),$L296&lt;&gt;"لا"),0,MAX(0,MIN($F296,EOMONTH(DATE(cfg_FY,11,1),0))-$E296+1))</f>
        <v>0</v>
      </c>
      <c r="AS296" s="65" t="n">
        <f aca="false">IF(OR(OR($B296="",$E296="",$F296=""),$L296&lt;&gt;"لا"),0,MAX(0,MIN($F296,EOMONTH(DATE(cfg_FY,12,1),0))-$E296+1))</f>
        <v>0</v>
      </c>
      <c r="AT296" s="65" t="n">
        <f aca="false">IF(OR(OR($B296="",$E296="",$F296=""),$K296&lt;&gt;"نعم",$M296="نعم"),0,MAX(0,MIN($F296,EOMONTH(DATE(cfg_FY,1,1),0))-MAX($E296,DATE(cfg_FY,1,1))+1))</f>
        <v>0</v>
      </c>
      <c r="AU296" s="65" t="n">
        <f aca="false">IF(OR(OR($B296="",$E296="",$F296=""),$K296&lt;&gt;"نعم",$M296="نعم"),0,MAX(0,MIN($F296,EOMONTH(DATE(cfg_FY,2,1),0))-MAX($E296,DATE(cfg_FY,2,1))+1))</f>
        <v>0</v>
      </c>
      <c r="AV296" s="65" t="n">
        <f aca="false">IF(OR(OR($B296="",$E296="",$F296=""),$K296&lt;&gt;"نعم",$M296="نعم"),0,MAX(0,MIN($F296,EOMONTH(DATE(cfg_FY,3,1),0))-MAX($E296,DATE(cfg_FY,3,1))+1))</f>
        <v>0</v>
      </c>
      <c r="AW296" s="65" t="n">
        <f aca="false">IF(OR(OR($B296="",$E296="",$F296=""),$K296&lt;&gt;"نعم",$M296="نعم"),0,MAX(0,MIN($F296,EOMONTH(DATE(cfg_FY,4,1),0))-MAX($E296,DATE(cfg_FY,4,1))+1))</f>
        <v>0</v>
      </c>
      <c r="AX296" s="65" t="n">
        <f aca="false">IF(OR(OR($B296="",$E296="",$F296=""),$K296&lt;&gt;"نعم",$M296="نعم"),0,MAX(0,MIN($F296,EOMONTH(DATE(cfg_FY,5,1),0))-MAX($E296,DATE(cfg_FY,5,1))+1))</f>
        <v>0</v>
      </c>
      <c r="AY296" s="65" t="n">
        <f aca="false">IF(OR(OR($B296="",$E296="",$F296=""),$K296&lt;&gt;"نعم",$M296="نعم"),0,MAX(0,MIN($F296,EOMONTH(DATE(cfg_FY,6,1),0))-MAX($E296,DATE(cfg_FY,6,1))+1))</f>
        <v>0</v>
      </c>
      <c r="AZ296" s="65" t="n">
        <f aca="false">IF(OR(OR($B296="",$E296="",$F296=""),$K296&lt;&gt;"نعم",$M296="نعم"),0,MAX(0,MIN($F296,EOMONTH(DATE(cfg_FY,7,1),0))-MAX($E296,DATE(cfg_FY,7,1))+1))</f>
        <v>0</v>
      </c>
      <c r="BA296" s="65" t="n">
        <f aca="false">IF(OR(OR($B296="",$E296="",$F296=""),$K296&lt;&gt;"نعم",$M296="نعم"),0,MAX(0,MIN($F296,EOMONTH(DATE(cfg_FY,8,1),0))-MAX($E296,DATE(cfg_FY,8,1))+1))</f>
        <v>0</v>
      </c>
      <c r="BB296" s="65" t="n">
        <f aca="false">IF(OR(OR($B296="",$E296="",$F296=""),$K296&lt;&gt;"نعم",$M296="نعم"),0,MAX(0,MIN($F296,EOMONTH(DATE(cfg_FY,9,1),0))-MAX($E296,DATE(cfg_FY,9,1))+1))</f>
        <v>0</v>
      </c>
      <c r="BC296" s="65" t="n">
        <f aca="false">IF(OR(OR($B296="",$E296="",$F296=""),$K296&lt;&gt;"نعم",$M296="نعم"),0,MAX(0,MIN($F296,EOMONTH(DATE(cfg_FY,10,1),0))-MAX($E296,DATE(cfg_FY,10,1))+1))</f>
        <v>0</v>
      </c>
      <c r="BD296" s="65" t="n">
        <f aca="false">IF(OR(OR($B296="",$E296="",$F296=""),$K296&lt;&gt;"نعم",$M296="نعم"),0,MAX(0,MIN($F296,EOMONTH(DATE(cfg_FY,11,1),0))-MAX($E296,DATE(cfg_FY,11,1))+1))</f>
        <v>0</v>
      </c>
      <c r="BE296" s="65" t="n">
        <f aca="false">IF(OR(OR($B296="",$E296="",$F296=""),$K296&lt;&gt;"نعم",$M296="نعم"),0,MAX(0,MIN($F296,EOMONTH(DATE(cfg_FY,12,1),0))-MAX($E296,DATE(cfg_FY,12,1))+1))</f>
        <v>0</v>
      </c>
    </row>
    <row r="297" customFormat="false" ht="15" hidden="false" customHeight="false" outlineLevel="0" collapsed="false">
      <c r="A297" s="115" t="str">
        <f aca="false">IF(B297="","",ROW()-5)</f>
        <v/>
      </c>
      <c r="B297" s="118"/>
      <c r="C297" s="117" t="str">
        <f aca="false">IF(B297="","",IFERROR(INDEX(الموظفون!$C$6:$C$105,MATCH(B297,الموظفون!$B$6:$B$105,0)),"✖ رقم غير موجود"))</f>
        <v/>
      </c>
      <c r="D297" s="118"/>
      <c r="E297" s="119"/>
      <c r="F297" s="119"/>
      <c r="G297" s="133" t="str">
        <f aca="false">IF(OR($B297="",$E297="",$F297=""),"",MAX(0,F297-E297+1))</f>
        <v/>
      </c>
      <c r="H297" s="134" t="str">
        <f aca="false">IF(D297="","",IFERROR(VLOOKUP(D297,cfg_LT,2,FALSE()),1))</f>
        <v/>
      </c>
      <c r="I297" s="135"/>
      <c r="J297" s="134" t="str">
        <f aca="false">IF(D297="","",IF(I297&lt;&gt;"",I297,H297))</f>
        <v/>
      </c>
      <c r="K297" s="117" t="str">
        <f aca="false">IF(D297="","",IFERROR(VLOOKUP($D297,cfg_LT,3,FALSE()),""))</f>
        <v/>
      </c>
      <c r="L297" s="117" t="str">
        <f aca="false">IF(D297="","",IFERROR(VLOOKUP($D297,cfg_LT,4,FALSE()),""))</f>
        <v/>
      </c>
      <c r="M297" s="117" t="str">
        <f aca="false">IF(D297="","",IFERROR(VLOOKUP($D297,cfg_LT,5,FALSE()),""))</f>
        <v/>
      </c>
      <c r="N297" s="116" t="n">
        <f aca="false">IF(OR(OR($B297="",$E297="",$F297=""),M297&lt;&gt;"نعم"),0,G297*J297*IFERROR(INDEX(الموظفون!$R$6:$R$105,MATCH(B297,الموظفون!$B$6:$B$105,0)),0)/cfg_DAYS_M)</f>
        <v>0</v>
      </c>
      <c r="O297" s="115" t="str">
        <f aca="false">IF(OR(OR($B297="",$E297="",$F297=""),M297&lt;&gt;"نعم"),"",IF(YEAR(E297)=cfg_FY,MONTH(E297),""))</f>
        <v/>
      </c>
      <c r="P297" s="117" t="str">
        <f aca="false">IF(B297="","",IF(OR(D297="",E297="",F297=""),"⚠ أكمل النوع والتواريخ",IF(F297&lt;E297,"✖ النهاية قبل البداية",IF(COUNTIFS($B$6:$B$505,B297,$E$6:$E$505,"&lt;="&amp;F297,$F$6:$F$505,"&gt;="&amp;E297)&gt;1,"⚠ تداخل مع سجل آخر",IF(E297&gt;cfg_VAL_DATE,"⏳ قادمة",IF(F297&lt;cfg_VAL_DATE,"✔ منتهية","✈ جارية في تاريخ التقرير"))))))</f>
        <v/>
      </c>
      <c r="Q297" s="118"/>
      <c r="R297" s="133" t="n">
        <f aca="false">IF(OR(OR($B297="",$E297="",$F297=""),L297&lt;&gt;"لا"),0,MAX(0,MIN(F297,cfg_Y_START-1)-E297+1))</f>
        <v>0</v>
      </c>
      <c r="S297" s="133" t="n">
        <f aca="false">IF(OR(OR($B297="",$E297="",$F297=""),L297&lt;&gt;"لا"),0,MAX(0,MIN(F297,cfg_VAL_DATE)-E297+1))</f>
        <v>0</v>
      </c>
      <c r="T297" s="133" t="n">
        <f aca="false">IF(OR(OR($B297="",$E297="",$F297=""),K297&lt;&gt;"نعم"),0,IF(M297="نعم",IF(AND(ISNUMBER(O297),N(O297)&lt;=cfg_VAL_M),G297,0),MAX(0,MIN(F297,cfg_VAL_DATE)-MAX(E297,cfg_Y_START)+1)))</f>
        <v>0</v>
      </c>
      <c r="V297" s="133" t="n">
        <f aca="false">IF(OR($B297="",$E297="",$F297=""),0,MAX(0,MIN($F297,EOMONTH(DATE(cfg_FY,1,1),0))-MAX($E297,DATE(cfg_FY,1,1))+1)*(1-IF($M297="نعم",0,N($J297))))</f>
        <v>0</v>
      </c>
      <c r="W297" s="133" t="n">
        <f aca="false">IF(OR($B297="",$E297="",$F297=""),0,MAX(0,MIN($F297,EOMONTH(DATE(cfg_FY,2,1),0))-MAX($E297,DATE(cfg_FY,2,1))+1)*(1-IF($M297="نعم",0,N($J297))))</f>
        <v>0</v>
      </c>
      <c r="X297" s="133" t="n">
        <f aca="false">IF(OR($B297="",$E297="",$F297=""),0,MAX(0,MIN($F297,EOMONTH(DATE(cfg_FY,3,1),0))-MAX($E297,DATE(cfg_FY,3,1))+1)*(1-IF($M297="نعم",0,N($J297))))</f>
        <v>0</v>
      </c>
      <c r="Y297" s="133" t="n">
        <f aca="false">IF(OR($B297="",$E297="",$F297=""),0,MAX(0,MIN($F297,EOMONTH(DATE(cfg_FY,4,1),0))-MAX($E297,DATE(cfg_FY,4,1))+1)*(1-IF($M297="نعم",0,N($J297))))</f>
        <v>0</v>
      </c>
      <c r="Z297" s="133" t="n">
        <f aca="false">IF(OR($B297="",$E297="",$F297=""),0,MAX(0,MIN($F297,EOMONTH(DATE(cfg_FY,5,1),0))-MAX($E297,DATE(cfg_FY,5,1))+1)*(1-IF($M297="نعم",0,N($J297))))</f>
        <v>0</v>
      </c>
      <c r="AA297" s="133" t="n">
        <f aca="false">IF(OR($B297="",$E297="",$F297=""),0,MAX(0,MIN($F297,EOMONTH(DATE(cfg_FY,6,1),0))-MAX($E297,DATE(cfg_FY,6,1))+1)*(1-IF($M297="نعم",0,N($J297))))</f>
        <v>0</v>
      </c>
      <c r="AB297" s="133" t="n">
        <f aca="false">IF(OR($B297="",$E297="",$F297=""),0,MAX(0,MIN($F297,EOMONTH(DATE(cfg_FY,7,1),0))-MAX($E297,DATE(cfg_FY,7,1))+1)*(1-IF($M297="نعم",0,N($J297))))</f>
        <v>0</v>
      </c>
      <c r="AC297" s="133" t="n">
        <f aca="false">IF(OR($B297="",$E297="",$F297=""),0,MAX(0,MIN($F297,EOMONTH(DATE(cfg_FY,8,1),0))-MAX($E297,DATE(cfg_FY,8,1))+1)*(1-IF($M297="نعم",0,N($J297))))</f>
        <v>0</v>
      </c>
      <c r="AD297" s="133" t="n">
        <f aca="false">IF(OR($B297="",$E297="",$F297=""),0,MAX(0,MIN($F297,EOMONTH(DATE(cfg_FY,9,1),0))-MAX($E297,DATE(cfg_FY,9,1))+1)*(1-IF($M297="نعم",0,N($J297))))</f>
        <v>0</v>
      </c>
      <c r="AE297" s="133" t="n">
        <f aca="false">IF(OR($B297="",$E297="",$F297=""),0,MAX(0,MIN($F297,EOMONTH(DATE(cfg_FY,10,1),0))-MAX($E297,DATE(cfg_FY,10,1))+1)*(1-IF($M297="نعم",0,N($J297))))</f>
        <v>0</v>
      </c>
      <c r="AF297" s="133" t="n">
        <f aca="false">IF(OR($B297="",$E297="",$F297=""),0,MAX(0,MIN($F297,EOMONTH(DATE(cfg_FY,11,1),0))-MAX($E297,DATE(cfg_FY,11,1))+1)*(1-IF($M297="نعم",0,N($J297))))</f>
        <v>0</v>
      </c>
      <c r="AG297" s="133" t="n">
        <f aca="false">IF(OR($B297="",$E297="",$F297=""),0,MAX(0,MIN($F297,EOMONTH(DATE(cfg_FY,12,1),0))-MAX($E297,DATE(cfg_FY,12,1))+1)*(1-IF($M297="نعم",0,N($J297))))</f>
        <v>0</v>
      </c>
      <c r="AH297" s="133" t="n">
        <f aca="false">IF(OR(OR($B297="",$E297="",$F297=""),$L297&lt;&gt;"لا"),0,MAX(0,MIN($F297,EOMONTH(DATE(cfg_FY,1,1),0))-$E297+1))</f>
        <v>0</v>
      </c>
      <c r="AI297" s="133" t="n">
        <f aca="false">IF(OR(OR($B297="",$E297="",$F297=""),$L297&lt;&gt;"لا"),0,MAX(0,MIN($F297,EOMONTH(DATE(cfg_FY,2,1),0))-$E297+1))</f>
        <v>0</v>
      </c>
      <c r="AJ297" s="133" t="n">
        <f aca="false">IF(OR(OR($B297="",$E297="",$F297=""),$L297&lt;&gt;"لا"),0,MAX(0,MIN($F297,EOMONTH(DATE(cfg_FY,3,1),0))-$E297+1))</f>
        <v>0</v>
      </c>
      <c r="AK297" s="133" t="n">
        <f aca="false">IF(OR(OR($B297="",$E297="",$F297=""),$L297&lt;&gt;"لا"),0,MAX(0,MIN($F297,EOMONTH(DATE(cfg_FY,4,1),0))-$E297+1))</f>
        <v>0</v>
      </c>
      <c r="AL297" s="133" t="n">
        <f aca="false">IF(OR(OR($B297="",$E297="",$F297=""),$L297&lt;&gt;"لا"),0,MAX(0,MIN($F297,EOMONTH(DATE(cfg_FY,5,1),0))-$E297+1))</f>
        <v>0</v>
      </c>
      <c r="AM297" s="133" t="n">
        <f aca="false">IF(OR(OR($B297="",$E297="",$F297=""),$L297&lt;&gt;"لا"),0,MAX(0,MIN($F297,EOMONTH(DATE(cfg_FY,6,1),0))-$E297+1))</f>
        <v>0</v>
      </c>
      <c r="AN297" s="133" t="n">
        <f aca="false">IF(OR(OR($B297="",$E297="",$F297=""),$L297&lt;&gt;"لا"),0,MAX(0,MIN($F297,EOMONTH(DATE(cfg_FY,7,1),0))-$E297+1))</f>
        <v>0</v>
      </c>
      <c r="AO297" s="133" t="n">
        <f aca="false">IF(OR(OR($B297="",$E297="",$F297=""),$L297&lt;&gt;"لا"),0,MAX(0,MIN($F297,EOMONTH(DATE(cfg_FY,8,1),0))-$E297+1))</f>
        <v>0</v>
      </c>
      <c r="AP297" s="133" t="n">
        <f aca="false">IF(OR(OR($B297="",$E297="",$F297=""),$L297&lt;&gt;"لا"),0,MAX(0,MIN($F297,EOMONTH(DATE(cfg_FY,9,1),0))-$E297+1))</f>
        <v>0</v>
      </c>
      <c r="AQ297" s="133" t="n">
        <f aca="false">IF(OR(OR($B297="",$E297="",$F297=""),$L297&lt;&gt;"لا"),0,MAX(0,MIN($F297,EOMONTH(DATE(cfg_FY,10,1),0))-$E297+1))</f>
        <v>0</v>
      </c>
      <c r="AR297" s="133" t="n">
        <f aca="false">IF(OR(OR($B297="",$E297="",$F297=""),$L297&lt;&gt;"لا"),0,MAX(0,MIN($F297,EOMONTH(DATE(cfg_FY,11,1),0))-$E297+1))</f>
        <v>0</v>
      </c>
      <c r="AS297" s="133" t="n">
        <f aca="false">IF(OR(OR($B297="",$E297="",$F297=""),$L297&lt;&gt;"لا"),0,MAX(0,MIN($F297,EOMONTH(DATE(cfg_FY,12,1),0))-$E297+1))</f>
        <v>0</v>
      </c>
      <c r="AT297" s="133" t="n">
        <f aca="false">IF(OR(OR($B297="",$E297="",$F297=""),$K297&lt;&gt;"نعم",$M297="نعم"),0,MAX(0,MIN($F297,EOMONTH(DATE(cfg_FY,1,1),0))-MAX($E297,DATE(cfg_FY,1,1))+1))</f>
        <v>0</v>
      </c>
      <c r="AU297" s="133" t="n">
        <f aca="false">IF(OR(OR($B297="",$E297="",$F297=""),$K297&lt;&gt;"نعم",$M297="نعم"),0,MAX(0,MIN($F297,EOMONTH(DATE(cfg_FY,2,1),0))-MAX($E297,DATE(cfg_FY,2,1))+1))</f>
        <v>0</v>
      </c>
      <c r="AV297" s="133" t="n">
        <f aca="false">IF(OR(OR($B297="",$E297="",$F297=""),$K297&lt;&gt;"نعم",$M297="نعم"),0,MAX(0,MIN($F297,EOMONTH(DATE(cfg_FY,3,1),0))-MAX($E297,DATE(cfg_FY,3,1))+1))</f>
        <v>0</v>
      </c>
      <c r="AW297" s="133" t="n">
        <f aca="false">IF(OR(OR($B297="",$E297="",$F297=""),$K297&lt;&gt;"نعم",$M297="نعم"),0,MAX(0,MIN($F297,EOMONTH(DATE(cfg_FY,4,1),0))-MAX($E297,DATE(cfg_FY,4,1))+1))</f>
        <v>0</v>
      </c>
      <c r="AX297" s="133" t="n">
        <f aca="false">IF(OR(OR($B297="",$E297="",$F297=""),$K297&lt;&gt;"نعم",$M297="نعم"),0,MAX(0,MIN($F297,EOMONTH(DATE(cfg_FY,5,1),0))-MAX($E297,DATE(cfg_FY,5,1))+1))</f>
        <v>0</v>
      </c>
      <c r="AY297" s="133" t="n">
        <f aca="false">IF(OR(OR($B297="",$E297="",$F297=""),$K297&lt;&gt;"نعم",$M297="نعم"),0,MAX(0,MIN($F297,EOMONTH(DATE(cfg_FY,6,1),0))-MAX($E297,DATE(cfg_FY,6,1))+1))</f>
        <v>0</v>
      </c>
      <c r="AZ297" s="133" t="n">
        <f aca="false">IF(OR(OR($B297="",$E297="",$F297=""),$K297&lt;&gt;"نعم",$M297="نعم"),0,MAX(0,MIN($F297,EOMONTH(DATE(cfg_FY,7,1),0))-MAX($E297,DATE(cfg_FY,7,1))+1))</f>
        <v>0</v>
      </c>
      <c r="BA297" s="133" t="n">
        <f aca="false">IF(OR(OR($B297="",$E297="",$F297=""),$K297&lt;&gt;"نعم",$M297="نعم"),0,MAX(0,MIN($F297,EOMONTH(DATE(cfg_FY,8,1),0))-MAX($E297,DATE(cfg_FY,8,1))+1))</f>
        <v>0</v>
      </c>
      <c r="BB297" s="133" t="n">
        <f aca="false">IF(OR(OR($B297="",$E297="",$F297=""),$K297&lt;&gt;"نعم",$M297="نعم"),0,MAX(0,MIN($F297,EOMONTH(DATE(cfg_FY,9,1),0))-MAX($E297,DATE(cfg_FY,9,1))+1))</f>
        <v>0</v>
      </c>
      <c r="BC297" s="133" t="n">
        <f aca="false">IF(OR(OR($B297="",$E297="",$F297=""),$K297&lt;&gt;"نعم",$M297="نعم"),0,MAX(0,MIN($F297,EOMONTH(DATE(cfg_FY,10,1),0))-MAX($E297,DATE(cfg_FY,10,1))+1))</f>
        <v>0</v>
      </c>
      <c r="BD297" s="133" t="n">
        <f aca="false">IF(OR(OR($B297="",$E297="",$F297=""),$K297&lt;&gt;"نعم",$M297="نعم"),0,MAX(0,MIN($F297,EOMONTH(DATE(cfg_FY,11,1),0))-MAX($E297,DATE(cfg_FY,11,1))+1))</f>
        <v>0</v>
      </c>
      <c r="BE297" s="133" t="n">
        <f aca="false">IF(OR(OR($B297="",$E297="",$F297=""),$K297&lt;&gt;"نعم",$M297="نعم"),0,MAX(0,MIN($F297,EOMONTH(DATE(cfg_FY,12,1),0))-MAX($E297,DATE(cfg_FY,12,1))+1))</f>
        <v>0</v>
      </c>
    </row>
    <row r="298" customFormat="false" ht="15" hidden="false" customHeight="false" outlineLevel="0" collapsed="false">
      <c r="A298" s="106" t="str">
        <f aca="false">IF(B298="","",ROW()-5)</f>
        <v/>
      </c>
      <c r="B298" s="118"/>
      <c r="C298" s="114" t="str">
        <f aca="false">IF(B298="","",IFERROR(INDEX(الموظفون!$C$6:$C$105,MATCH(B298,الموظفون!$B$6:$B$105,0)),"✖ رقم غير موجود"))</f>
        <v/>
      </c>
      <c r="D298" s="118"/>
      <c r="E298" s="119"/>
      <c r="F298" s="119"/>
      <c r="G298" s="65" t="str">
        <f aca="false">IF(OR($B298="",$E298="",$F298=""),"",MAX(0,F298-E298+1))</f>
        <v/>
      </c>
      <c r="H298" s="66" t="str">
        <f aca="false">IF(D298="","",IFERROR(VLOOKUP(D298,cfg_LT,2,FALSE()),1))</f>
        <v/>
      </c>
      <c r="I298" s="135"/>
      <c r="J298" s="66" t="str">
        <f aca="false">IF(D298="","",IF(I298&lt;&gt;"",I298,H298))</f>
        <v/>
      </c>
      <c r="K298" s="114" t="str">
        <f aca="false">IF(D298="","",IFERROR(VLOOKUP($D298,cfg_LT,3,FALSE()),""))</f>
        <v/>
      </c>
      <c r="L298" s="114" t="str">
        <f aca="false">IF(D298="","",IFERROR(VLOOKUP($D298,cfg_LT,4,FALSE()),""))</f>
        <v/>
      </c>
      <c r="M298" s="114" t="str">
        <f aca="false">IF(D298="","",IFERROR(VLOOKUP($D298,cfg_LT,5,FALSE()),""))</f>
        <v/>
      </c>
      <c r="N298" s="111" t="n">
        <f aca="false">IF(OR(OR($B298="",$E298="",$F298=""),M298&lt;&gt;"نعم"),0,G298*J298*IFERROR(INDEX(الموظفون!$R$6:$R$105,MATCH(B298,الموظفون!$B$6:$B$105,0)),0)/cfg_DAYS_M)</f>
        <v>0</v>
      </c>
      <c r="O298" s="106" t="str">
        <f aca="false">IF(OR(OR($B298="",$E298="",$F298=""),M298&lt;&gt;"نعم"),"",IF(YEAR(E298)=cfg_FY,MONTH(E298),""))</f>
        <v/>
      </c>
      <c r="P298" s="114" t="str">
        <f aca="false">IF(B298="","",IF(OR(D298="",E298="",F298=""),"⚠ أكمل النوع والتواريخ",IF(F298&lt;E298,"✖ النهاية قبل البداية",IF(COUNTIFS($B$6:$B$505,B298,$E$6:$E$505,"&lt;="&amp;F298,$F$6:$F$505,"&gt;="&amp;E298)&gt;1,"⚠ تداخل مع سجل آخر",IF(E298&gt;cfg_VAL_DATE,"⏳ قادمة",IF(F298&lt;cfg_VAL_DATE,"✔ منتهية","✈ جارية في تاريخ التقرير"))))))</f>
        <v/>
      </c>
      <c r="Q298" s="118"/>
      <c r="R298" s="65" t="n">
        <f aca="false">IF(OR(OR($B298="",$E298="",$F298=""),L298&lt;&gt;"لا"),0,MAX(0,MIN(F298,cfg_Y_START-1)-E298+1))</f>
        <v>0</v>
      </c>
      <c r="S298" s="65" t="n">
        <f aca="false">IF(OR(OR($B298="",$E298="",$F298=""),L298&lt;&gt;"لا"),0,MAX(0,MIN(F298,cfg_VAL_DATE)-E298+1))</f>
        <v>0</v>
      </c>
      <c r="T298" s="65" t="n">
        <f aca="false">IF(OR(OR($B298="",$E298="",$F298=""),K298&lt;&gt;"نعم"),0,IF(M298="نعم",IF(AND(ISNUMBER(O298),N(O298)&lt;=cfg_VAL_M),G298,0),MAX(0,MIN(F298,cfg_VAL_DATE)-MAX(E298,cfg_Y_START)+1)))</f>
        <v>0</v>
      </c>
      <c r="V298" s="65" t="n">
        <f aca="false">IF(OR($B298="",$E298="",$F298=""),0,MAX(0,MIN($F298,EOMONTH(DATE(cfg_FY,1,1),0))-MAX($E298,DATE(cfg_FY,1,1))+1)*(1-IF($M298="نعم",0,N($J298))))</f>
        <v>0</v>
      </c>
      <c r="W298" s="65" t="n">
        <f aca="false">IF(OR($B298="",$E298="",$F298=""),0,MAX(0,MIN($F298,EOMONTH(DATE(cfg_FY,2,1),0))-MAX($E298,DATE(cfg_FY,2,1))+1)*(1-IF($M298="نعم",0,N($J298))))</f>
        <v>0</v>
      </c>
      <c r="X298" s="65" t="n">
        <f aca="false">IF(OR($B298="",$E298="",$F298=""),0,MAX(0,MIN($F298,EOMONTH(DATE(cfg_FY,3,1),0))-MAX($E298,DATE(cfg_FY,3,1))+1)*(1-IF($M298="نعم",0,N($J298))))</f>
        <v>0</v>
      </c>
      <c r="Y298" s="65" t="n">
        <f aca="false">IF(OR($B298="",$E298="",$F298=""),0,MAX(0,MIN($F298,EOMONTH(DATE(cfg_FY,4,1),0))-MAX($E298,DATE(cfg_FY,4,1))+1)*(1-IF($M298="نعم",0,N($J298))))</f>
        <v>0</v>
      </c>
      <c r="Z298" s="65" t="n">
        <f aca="false">IF(OR($B298="",$E298="",$F298=""),0,MAX(0,MIN($F298,EOMONTH(DATE(cfg_FY,5,1),0))-MAX($E298,DATE(cfg_FY,5,1))+1)*(1-IF($M298="نعم",0,N($J298))))</f>
        <v>0</v>
      </c>
      <c r="AA298" s="65" t="n">
        <f aca="false">IF(OR($B298="",$E298="",$F298=""),0,MAX(0,MIN($F298,EOMONTH(DATE(cfg_FY,6,1),0))-MAX($E298,DATE(cfg_FY,6,1))+1)*(1-IF($M298="نعم",0,N($J298))))</f>
        <v>0</v>
      </c>
      <c r="AB298" s="65" t="n">
        <f aca="false">IF(OR($B298="",$E298="",$F298=""),0,MAX(0,MIN($F298,EOMONTH(DATE(cfg_FY,7,1),0))-MAX($E298,DATE(cfg_FY,7,1))+1)*(1-IF($M298="نعم",0,N($J298))))</f>
        <v>0</v>
      </c>
      <c r="AC298" s="65" t="n">
        <f aca="false">IF(OR($B298="",$E298="",$F298=""),0,MAX(0,MIN($F298,EOMONTH(DATE(cfg_FY,8,1),0))-MAX($E298,DATE(cfg_FY,8,1))+1)*(1-IF($M298="نعم",0,N($J298))))</f>
        <v>0</v>
      </c>
      <c r="AD298" s="65" t="n">
        <f aca="false">IF(OR($B298="",$E298="",$F298=""),0,MAX(0,MIN($F298,EOMONTH(DATE(cfg_FY,9,1),0))-MAX($E298,DATE(cfg_FY,9,1))+1)*(1-IF($M298="نعم",0,N($J298))))</f>
        <v>0</v>
      </c>
      <c r="AE298" s="65" t="n">
        <f aca="false">IF(OR($B298="",$E298="",$F298=""),0,MAX(0,MIN($F298,EOMONTH(DATE(cfg_FY,10,1),0))-MAX($E298,DATE(cfg_FY,10,1))+1)*(1-IF($M298="نعم",0,N($J298))))</f>
        <v>0</v>
      </c>
      <c r="AF298" s="65" t="n">
        <f aca="false">IF(OR($B298="",$E298="",$F298=""),0,MAX(0,MIN($F298,EOMONTH(DATE(cfg_FY,11,1),0))-MAX($E298,DATE(cfg_FY,11,1))+1)*(1-IF($M298="نعم",0,N($J298))))</f>
        <v>0</v>
      </c>
      <c r="AG298" s="65" t="n">
        <f aca="false">IF(OR($B298="",$E298="",$F298=""),0,MAX(0,MIN($F298,EOMONTH(DATE(cfg_FY,12,1),0))-MAX($E298,DATE(cfg_FY,12,1))+1)*(1-IF($M298="نعم",0,N($J298))))</f>
        <v>0</v>
      </c>
      <c r="AH298" s="65" t="n">
        <f aca="false">IF(OR(OR($B298="",$E298="",$F298=""),$L298&lt;&gt;"لا"),0,MAX(0,MIN($F298,EOMONTH(DATE(cfg_FY,1,1),0))-$E298+1))</f>
        <v>0</v>
      </c>
      <c r="AI298" s="65" t="n">
        <f aca="false">IF(OR(OR($B298="",$E298="",$F298=""),$L298&lt;&gt;"لا"),0,MAX(0,MIN($F298,EOMONTH(DATE(cfg_FY,2,1),0))-$E298+1))</f>
        <v>0</v>
      </c>
      <c r="AJ298" s="65" t="n">
        <f aca="false">IF(OR(OR($B298="",$E298="",$F298=""),$L298&lt;&gt;"لا"),0,MAX(0,MIN($F298,EOMONTH(DATE(cfg_FY,3,1),0))-$E298+1))</f>
        <v>0</v>
      </c>
      <c r="AK298" s="65" t="n">
        <f aca="false">IF(OR(OR($B298="",$E298="",$F298=""),$L298&lt;&gt;"لا"),0,MAX(0,MIN($F298,EOMONTH(DATE(cfg_FY,4,1),0))-$E298+1))</f>
        <v>0</v>
      </c>
      <c r="AL298" s="65" t="n">
        <f aca="false">IF(OR(OR($B298="",$E298="",$F298=""),$L298&lt;&gt;"لا"),0,MAX(0,MIN($F298,EOMONTH(DATE(cfg_FY,5,1),0))-$E298+1))</f>
        <v>0</v>
      </c>
      <c r="AM298" s="65" t="n">
        <f aca="false">IF(OR(OR($B298="",$E298="",$F298=""),$L298&lt;&gt;"لا"),0,MAX(0,MIN($F298,EOMONTH(DATE(cfg_FY,6,1),0))-$E298+1))</f>
        <v>0</v>
      </c>
      <c r="AN298" s="65" t="n">
        <f aca="false">IF(OR(OR($B298="",$E298="",$F298=""),$L298&lt;&gt;"لا"),0,MAX(0,MIN($F298,EOMONTH(DATE(cfg_FY,7,1),0))-$E298+1))</f>
        <v>0</v>
      </c>
      <c r="AO298" s="65" t="n">
        <f aca="false">IF(OR(OR($B298="",$E298="",$F298=""),$L298&lt;&gt;"لا"),0,MAX(0,MIN($F298,EOMONTH(DATE(cfg_FY,8,1),0))-$E298+1))</f>
        <v>0</v>
      </c>
      <c r="AP298" s="65" t="n">
        <f aca="false">IF(OR(OR($B298="",$E298="",$F298=""),$L298&lt;&gt;"لا"),0,MAX(0,MIN($F298,EOMONTH(DATE(cfg_FY,9,1),0))-$E298+1))</f>
        <v>0</v>
      </c>
      <c r="AQ298" s="65" t="n">
        <f aca="false">IF(OR(OR($B298="",$E298="",$F298=""),$L298&lt;&gt;"لا"),0,MAX(0,MIN($F298,EOMONTH(DATE(cfg_FY,10,1),0))-$E298+1))</f>
        <v>0</v>
      </c>
      <c r="AR298" s="65" t="n">
        <f aca="false">IF(OR(OR($B298="",$E298="",$F298=""),$L298&lt;&gt;"لا"),0,MAX(0,MIN($F298,EOMONTH(DATE(cfg_FY,11,1),0))-$E298+1))</f>
        <v>0</v>
      </c>
      <c r="AS298" s="65" t="n">
        <f aca="false">IF(OR(OR($B298="",$E298="",$F298=""),$L298&lt;&gt;"لا"),0,MAX(0,MIN($F298,EOMONTH(DATE(cfg_FY,12,1),0))-$E298+1))</f>
        <v>0</v>
      </c>
      <c r="AT298" s="65" t="n">
        <f aca="false">IF(OR(OR($B298="",$E298="",$F298=""),$K298&lt;&gt;"نعم",$M298="نعم"),0,MAX(0,MIN($F298,EOMONTH(DATE(cfg_FY,1,1),0))-MAX($E298,DATE(cfg_FY,1,1))+1))</f>
        <v>0</v>
      </c>
      <c r="AU298" s="65" t="n">
        <f aca="false">IF(OR(OR($B298="",$E298="",$F298=""),$K298&lt;&gt;"نعم",$M298="نعم"),0,MAX(0,MIN($F298,EOMONTH(DATE(cfg_FY,2,1),0))-MAX($E298,DATE(cfg_FY,2,1))+1))</f>
        <v>0</v>
      </c>
      <c r="AV298" s="65" t="n">
        <f aca="false">IF(OR(OR($B298="",$E298="",$F298=""),$K298&lt;&gt;"نعم",$M298="نعم"),0,MAX(0,MIN($F298,EOMONTH(DATE(cfg_FY,3,1),0))-MAX($E298,DATE(cfg_FY,3,1))+1))</f>
        <v>0</v>
      </c>
      <c r="AW298" s="65" t="n">
        <f aca="false">IF(OR(OR($B298="",$E298="",$F298=""),$K298&lt;&gt;"نعم",$M298="نعم"),0,MAX(0,MIN($F298,EOMONTH(DATE(cfg_FY,4,1),0))-MAX($E298,DATE(cfg_FY,4,1))+1))</f>
        <v>0</v>
      </c>
      <c r="AX298" s="65" t="n">
        <f aca="false">IF(OR(OR($B298="",$E298="",$F298=""),$K298&lt;&gt;"نعم",$M298="نعم"),0,MAX(0,MIN($F298,EOMONTH(DATE(cfg_FY,5,1),0))-MAX($E298,DATE(cfg_FY,5,1))+1))</f>
        <v>0</v>
      </c>
      <c r="AY298" s="65" t="n">
        <f aca="false">IF(OR(OR($B298="",$E298="",$F298=""),$K298&lt;&gt;"نعم",$M298="نعم"),0,MAX(0,MIN($F298,EOMONTH(DATE(cfg_FY,6,1),0))-MAX($E298,DATE(cfg_FY,6,1))+1))</f>
        <v>0</v>
      </c>
      <c r="AZ298" s="65" t="n">
        <f aca="false">IF(OR(OR($B298="",$E298="",$F298=""),$K298&lt;&gt;"نعم",$M298="نعم"),0,MAX(0,MIN($F298,EOMONTH(DATE(cfg_FY,7,1),0))-MAX($E298,DATE(cfg_FY,7,1))+1))</f>
        <v>0</v>
      </c>
      <c r="BA298" s="65" t="n">
        <f aca="false">IF(OR(OR($B298="",$E298="",$F298=""),$K298&lt;&gt;"نعم",$M298="نعم"),0,MAX(0,MIN($F298,EOMONTH(DATE(cfg_FY,8,1),0))-MAX($E298,DATE(cfg_FY,8,1))+1))</f>
        <v>0</v>
      </c>
      <c r="BB298" s="65" t="n">
        <f aca="false">IF(OR(OR($B298="",$E298="",$F298=""),$K298&lt;&gt;"نعم",$M298="نعم"),0,MAX(0,MIN($F298,EOMONTH(DATE(cfg_FY,9,1),0))-MAX($E298,DATE(cfg_FY,9,1))+1))</f>
        <v>0</v>
      </c>
      <c r="BC298" s="65" t="n">
        <f aca="false">IF(OR(OR($B298="",$E298="",$F298=""),$K298&lt;&gt;"نعم",$M298="نعم"),0,MAX(0,MIN($F298,EOMONTH(DATE(cfg_FY,10,1),0))-MAX($E298,DATE(cfg_FY,10,1))+1))</f>
        <v>0</v>
      </c>
      <c r="BD298" s="65" t="n">
        <f aca="false">IF(OR(OR($B298="",$E298="",$F298=""),$K298&lt;&gt;"نعم",$M298="نعم"),0,MAX(0,MIN($F298,EOMONTH(DATE(cfg_FY,11,1),0))-MAX($E298,DATE(cfg_FY,11,1))+1))</f>
        <v>0</v>
      </c>
      <c r="BE298" s="65" t="n">
        <f aca="false">IF(OR(OR($B298="",$E298="",$F298=""),$K298&lt;&gt;"نعم",$M298="نعم"),0,MAX(0,MIN($F298,EOMONTH(DATE(cfg_FY,12,1),0))-MAX($E298,DATE(cfg_FY,12,1))+1))</f>
        <v>0</v>
      </c>
    </row>
    <row r="299" customFormat="false" ht="15" hidden="false" customHeight="false" outlineLevel="0" collapsed="false">
      <c r="A299" s="115" t="str">
        <f aca="false">IF(B299="","",ROW()-5)</f>
        <v/>
      </c>
      <c r="B299" s="118"/>
      <c r="C299" s="117" t="str">
        <f aca="false">IF(B299="","",IFERROR(INDEX(الموظفون!$C$6:$C$105,MATCH(B299,الموظفون!$B$6:$B$105,0)),"✖ رقم غير موجود"))</f>
        <v/>
      </c>
      <c r="D299" s="118"/>
      <c r="E299" s="119"/>
      <c r="F299" s="119"/>
      <c r="G299" s="133" t="str">
        <f aca="false">IF(OR($B299="",$E299="",$F299=""),"",MAX(0,F299-E299+1))</f>
        <v/>
      </c>
      <c r="H299" s="134" t="str">
        <f aca="false">IF(D299="","",IFERROR(VLOOKUP(D299,cfg_LT,2,FALSE()),1))</f>
        <v/>
      </c>
      <c r="I299" s="135"/>
      <c r="J299" s="134" t="str">
        <f aca="false">IF(D299="","",IF(I299&lt;&gt;"",I299,H299))</f>
        <v/>
      </c>
      <c r="K299" s="117" t="str">
        <f aca="false">IF(D299="","",IFERROR(VLOOKUP($D299,cfg_LT,3,FALSE()),""))</f>
        <v/>
      </c>
      <c r="L299" s="117" t="str">
        <f aca="false">IF(D299="","",IFERROR(VLOOKUP($D299,cfg_LT,4,FALSE()),""))</f>
        <v/>
      </c>
      <c r="M299" s="117" t="str">
        <f aca="false">IF(D299="","",IFERROR(VLOOKUP($D299,cfg_LT,5,FALSE()),""))</f>
        <v/>
      </c>
      <c r="N299" s="116" t="n">
        <f aca="false">IF(OR(OR($B299="",$E299="",$F299=""),M299&lt;&gt;"نعم"),0,G299*J299*IFERROR(INDEX(الموظفون!$R$6:$R$105,MATCH(B299,الموظفون!$B$6:$B$105,0)),0)/cfg_DAYS_M)</f>
        <v>0</v>
      </c>
      <c r="O299" s="115" t="str">
        <f aca="false">IF(OR(OR($B299="",$E299="",$F299=""),M299&lt;&gt;"نعم"),"",IF(YEAR(E299)=cfg_FY,MONTH(E299),""))</f>
        <v/>
      </c>
      <c r="P299" s="117" t="str">
        <f aca="false">IF(B299="","",IF(OR(D299="",E299="",F299=""),"⚠ أكمل النوع والتواريخ",IF(F299&lt;E299,"✖ النهاية قبل البداية",IF(COUNTIFS($B$6:$B$505,B299,$E$6:$E$505,"&lt;="&amp;F299,$F$6:$F$505,"&gt;="&amp;E299)&gt;1,"⚠ تداخل مع سجل آخر",IF(E299&gt;cfg_VAL_DATE,"⏳ قادمة",IF(F299&lt;cfg_VAL_DATE,"✔ منتهية","✈ جارية في تاريخ التقرير"))))))</f>
        <v/>
      </c>
      <c r="Q299" s="118"/>
      <c r="R299" s="133" t="n">
        <f aca="false">IF(OR(OR($B299="",$E299="",$F299=""),L299&lt;&gt;"لا"),0,MAX(0,MIN(F299,cfg_Y_START-1)-E299+1))</f>
        <v>0</v>
      </c>
      <c r="S299" s="133" t="n">
        <f aca="false">IF(OR(OR($B299="",$E299="",$F299=""),L299&lt;&gt;"لا"),0,MAX(0,MIN(F299,cfg_VAL_DATE)-E299+1))</f>
        <v>0</v>
      </c>
      <c r="T299" s="133" t="n">
        <f aca="false">IF(OR(OR($B299="",$E299="",$F299=""),K299&lt;&gt;"نعم"),0,IF(M299="نعم",IF(AND(ISNUMBER(O299),N(O299)&lt;=cfg_VAL_M),G299,0),MAX(0,MIN(F299,cfg_VAL_DATE)-MAX(E299,cfg_Y_START)+1)))</f>
        <v>0</v>
      </c>
      <c r="V299" s="133" t="n">
        <f aca="false">IF(OR($B299="",$E299="",$F299=""),0,MAX(0,MIN($F299,EOMONTH(DATE(cfg_FY,1,1),0))-MAX($E299,DATE(cfg_FY,1,1))+1)*(1-IF($M299="نعم",0,N($J299))))</f>
        <v>0</v>
      </c>
      <c r="W299" s="133" t="n">
        <f aca="false">IF(OR($B299="",$E299="",$F299=""),0,MAX(0,MIN($F299,EOMONTH(DATE(cfg_FY,2,1),0))-MAX($E299,DATE(cfg_FY,2,1))+1)*(1-IF($M299="نعم",0,N($J299))))</f>
        <v>0</v>
      </c>
      <c r="X299" s="133" t="n">
        <f aca="false">IF(OR($B299="",$E299="",$F299=""),0,MAX(0,MIN($F299,EOMONTH(DATE(cfg_FY,3,1),0))-MAX($E299,DATE(cfg_FY,3,1))+1)*(1-IF($M299="نعم",0,N($J299))))</f>
        <v>0</v>
      </c>
      <c r="Y299" s="133" t="n">
        <f aca="false">IF(OR($B299="",$E299="",$F299=""),0,MAX(0,MIN($F299,EOMONTH(DATE(cfg_FY,4,1),0))-MAX($E299,DATE(cfg_FY,4,1))+1)*(1-IF($M299="نعم",0,N($J299))))</f>
        <v>0</v>
      </c>
      <c r="Z299" s="133" t="n">
        <f aca="false">IF(OR($B299="",$E299="",$F299=""),0,MAX(0,MIN($F299,EOMONTH(DATE(cfg_FY,5,1),0))-MAX($E299,DATE(cfg_FY,5,1))+1)*(1-IF($M299="نعم",0,N($J299))))</f>
        <v>0</v>
      </c>
      <c r="AA299" s="133" t="n">
        <f aca="false">IF(OR($B299="",$E299="",$F299=""),0,MAX(0,MIN($F299,EOMONTH(DATE(cfg_FY,6,1),0))-MAX($E299,DATE(cfg_FY,6,1))+1)*(1-IF($M299="نعم",0,N($J299))))</f>
        <v>0</v>
      </c>
      <c r="AB299" s="133" t="n">
        <f aca="false">IF(OR($B299="",$E299="",$F299=""),0,MAX(0,MIN($F299,EOMONTH(DATE(cfg_FY,7,1),0))-MAX($E299,DATE(cfg_FY,7,1))+1)*(1-IF($M299="نعم",0,N($J299))))</f>
        <v>0</v>
      </c>
      <c r="AC299" s="133" t="n">
        <f aca="false">IF(OR($B299="",$E299="",$F299=""),0,MAX(0,MIN($F299,EOMONTH(DATE(cfg_FY,8,1),0))-MAX($E299,DATE(cfg_FY,8,1))+1)*(1-IF($M299="نعم",0,N($J299))))</f>
        <v>0</v>
      </c>
      <c r="AD299" s="133" t="n">
        <f aca="false">IF(OR($B299="",$E299="",$F299=""),0,MAX(0,MIN($F299,EOMONTH(DATE(cfg_FY,9,1),0))-MAX($E299,DATE(cfg_FY,9,1))+1)*(1-IF($M299="نعم",0,N($J299))))</f>
        <v>0</v>
      </c>
      <c r="AE299" s="133" t="n">
        <f aca="false">IF(OR($B299="",$E299="",$F299=""),0,MAX(0,MIN($F299,EOMONTH(DATE(cfg_FY,10,1),0))-MAX($E299,DATE(cfg_FY,10,1))+1)*(1-IF($M299="نعم",0,N($J299))))</f>
        <v>0</v>
      </c>
      <c r="AF299" s="133" t="n">
        <f aca="false">IF(OR($B299="",$E299="",$F299=""),0,MAX(0,MIN($F299,EOMONTH(DATE(cfg_FY,11,1),0))-MAX($E299,DATE(cfg_FY,11,1))+1)*(1-IF($M299="نعم",0,N($J299))))</f>
        <v>0</v>
      </c>
      <c r="AG299" s="133" t="n">
        <f aca="false">IF(OR($B299="",$E299="",$F299=""),0,MAX(0,MIN($F299,EOMONTH(DATE(cfg_FY,12,1),0))-MAX($E299,DATE(cfg_FY,12,1))+1)*(1-IF($M299="نعم",0,N($J299))))</f>
        <v>0</v>
      </c>
      <c r="AH299" s="133" t="n">
        <f aca="false">IF(OR(OR($B299="",$E299="",$F299=""),$L299&lt;&gt;"لا"),0,MAX(0,MIN($F299,EOMONTH(DATE(cfg_FY,1,1),0))-$E299+1))</f>
        <v>0</v>
      </c>
      <c r="AI299" s="133" t="n">
        <f aca="false">IF(OR(OR($B299="",$E299="",$F299=""),$L299&lt;&gt;"لا"),0,MAX(0,MIN($F299,EOMONTH(DATE(cfg_FY,2,1),0))-$E299+1))</f>
        <v>0</v>
      </c>
      <c r="AJ299" s="133" t="n">
        <f aca="false">IF(OR(OR($B299="",$E299="",$F299=""),$L299&lt;&gt;"لا"),0,MAX(0,MIN($F299,EOMONTH(DATE(cfg_FY,3,1),0))-$E299+1))</f>
        <v>0</v>
      </c>
      <c r="AK299" s="133" t="n">
        <f aca="false">IF(OR(OR($B299="",$E299="",$F299=""),$L299&lt;&gt;"لا"),0,MAX(0,MIN($F299,EOMONTH(DATE(cfg_FY,4,1),0))-$E299+1))</f>
        <v>0</v>
      </c>
      <c r="AL299" s="133" t="n">
        <f aca="false">IF(OR(OR($B299="",$E299="",$F299=""),$L299&lt;&gt;"لا"),0,MAX(0,MIN($F299,EOMONTH(DATE(cfg_FY,5,1),0))-$E299+1))</f>
        <v>0</v>
      </c>
      <c r="AM299" s="133" t="n">
        <f aca="false">IF(OR(OR($B299="",$E299="",$F299=""),$L299&lt;&gt;"لا"),0,MAX(0,MIN($F299,EOMONTH(DATE(cfg_FY,6,1),0))-$E299+1))</f>
        <v>0</v>
      </c>
      <c r="AN299" s="133" t="n">
        <f aca="false">IF(OR(OR($B299="",$E299="",$F299=""),$L299&lt;&gt;"لا"),0,MAX(0,MIN($F299,EOMONTH(DATE(cfg_FY,7,1),0))-$E299+1))</f>
        <v>0</v>
      </c>
      <c r="AO299" s="133" t="n">
        <f aca="false">IF(OR(OR($B299="",$E299="",$F299=""),$L299&lt;&gt;"لا"),0,MAX(0,MIN($F299,EOMONTH(DATE(cfg_FY,8,1),0))-$E299+1))</f>
        <v>0</v>
      </c>
      <c r="AP299" s="133" t="n">
        <f aca="false">IF(OR(OR($B299="",$E299="",$F299=""),$L299&lt;&gt;"لا"),0,MAX(0,MIN($F299,EOMONTH(DATE(cfg_FY,9,1),0))-$E299+1))</f>
        <v>0</v>
      </c>
      <c r="AQ299" s="133" t="n">
        <f aca="false">IF(OR(OR($B299="",$E299="",$F299=""),$L299&lt;&gt;"لا"),0,MAX(0,MIN($F299,EOMONTH(DATE(cfg_FY,10,1),0))-$E299+1))</f>
        <v>0</v>
      </c>
      <c r="AR299" s="133" t="n">
        <f aca="false">IF(OR(OR($B299="",$E299="",$F299=""),$L299&lt;&gt;"لا"),0,MAX(0,MIN($F299,EOMONTH(DATE(cfg_FY,11,1),0))-$E299+1))</f>
        <v>0</v>
      </c>
      <c r="AS299" s="133" t="n">
        <f aca="false">IF(OR(OR($B299="",$E299="",$F299=""),$L299&lt;&gt;"لا"),0,MAX(0,MIN($F299,EOMONTH(DATE(cfg_FY,12,1),0))-$E299+1))</f>
        <v>0</v>
      </c>
      <c r="AT299" s="133" t="n">
        <f aca="false">IF(OR(OR($B299="",$E299="",$F299=""),$K299&lt;&gt;"نعم",$M299="نعم"),0,MAX(0,MIN($F299,EOMONTH(DATE(cfg_FY,1,1),0))-MAX($E299,DATE(cfg_FY,1,1))+1))</f>
        <v>0</v>
      </c>
      <c r="AU299" s="133" t="n">
        <f aca="false">IF(OR(OR($B299="",$E299="",$F299=""),$K299&lt;&gt;"نعم",$M299="نعم"),0,MAX(0,MIN($F299,EOMONTH(DATE(cfg_FY,2,1),0))-MAX($E299,DATE(cfg_FY,2,1))+1))</f>
        <v>0</v>
      </c>
      <c r="AV299" s="133" t="n">
        <f aca="false">IF(OR(OR($B299="",$E299="",$F299=""),$K299&lt;&gt;"نعم",$M299="نعم"),0,MAX(0,MIN($F299,EOMONTH(DATE(cfg_FY,3,1),0))-MAX($E299,DATE(cfg_FY,3,1))+1))</f>
        <v>0</v>
      </c>
      <c r="AW299" s="133" t="n">
        <f aca="false">IF(OR(OR($B299="",$E299="",$F299=""),$K299&lt;&gt;"نعم",$M299="نعم"),0,MAX(0,MIN($F299,EOMONTH(DATE(cfg_FY,4,1),0))-MAX($E299,DATE(cfg_FY,4,1))+1))</f>
        <v>0</v>
      </c>
      <c r="AX299" s="133" t="n">
        <f aca="false">IF(OR(OR($B299="",$E299="",$F299=""),$K299&lt;&gt;"نعم",$M299="نعم"),0,MAX(0,MIN($F299,EOMONTH(DATE(cfg_FY,5,1),0))-MAX($E299,DATE(cfg_FY,5,1))+1))</f>
        <v>0</v>
      </c>
      <c r="AY299" s="133" t="n">
        <f aca="false">IF(OR(OR($B299="",$E299="",$F299=""),$K299&lt;&gt;"نعم",$M299="نعم"),0,MAX(0,MIN($F299,EOMONTH(DATE(cfg_FY,6,1),0))-MAX($E299,DATE(cfg_FY,6,1))+1))</f>
        <v>0</v>
      </c>
      <c r="AZ299" s="133" t="n">
        <f aca="false">IF(OR(OR($B299="",$E299="",$F299=""),$K299&lt;&gt;"نعم",$M299="نعم"),0,MAX(0,MIN($F299,EOMONTH(DATE(cfg_FY,7,1),0))-MAX($E299,DATE(cfg_FY,7,1))+1))</f>
        <v>0</v>
      </c>
      <c r="BA299" s="133" t="n">
        <f aca="false">IF(OR(OR($B299="",$E299="",$F299=""),$K299&lt;&gt;"نعم",$M299="نعم"),0,MAX(0,MIN($F299,EOMONTH(DATE(cfg_FY,8,1),0))-MAX($E299,DATE(cfg_FY,8,1))+1))</f>
        <v>0</v>
      </c>
      <c r="BB299" s="133" t="n">
        <f aca="false">IF(OR(OR($B299="",$E299="",$F299=""),$K299&lt;&gt;"نعم",$M299="نعم"),0,MAX(0,MIN($F299,EOMONTH(DATE(cfg_FY,9,1),0))-MAX($E299,DATE(cfg_FY,9,1))+1))</f>
        <v>0</v>
      </c>
      <c r="BC299" s="133" t="n">
        <f aca="false">IF(OR(OR($B299="",$E299="",$F299=""),$K299&lt;&gt;"نعم",$M299="نعم"),0,MAX(0,MIN($F299,EOMONTH(DATE(cfg_FY,10,1),0))-MAX($E299,DATE(cfg_FY,10,1))+1))</f>
        <v>0</v>
      </c>
      <c r="BD299" s="133" t="n">
        <f aca="false">IF(OR(OR($B299="",$E299="",$F299=""),$K299&lt;&gt;"نعم",$M299="نعم"),0,MAX(0,MIN($F299,EOMONTH(DATE(cfg_FY,11,1),0))-MAX($E299,DATE(cfg_FY,11,1))+1))</f>
        <v>0</v>
      </c>
      <c r="BE299" s="133" t="n">
        <f aca="false">IF(OR(OR($B299="",$E299="",$F299=""),$K299&lt;&gt;"نعم",$M299="نعم"),0,MAX(0,MIN($F299,EOMONTH(DATE(cfg_FY,12,1),0))-MAX($E299,DATE(cfg_FY,12,1))+1))</f>
        <v>0</v>
      </c>
    </row>
    <row r="300" customFormat="false" ht="15" hidden="false" customHeight="false" outlineLevel="0" collapsed="false">
      <c r="A300" s="106" t="str">
        <f aca="false">IF(B300="","",ROW()-5)</f>
        <v/>
      </c>
      <c r="B300" s="118"/>
      <c r="C300" s="114" t="str">
        <f aca="false">IF(B300="","",IFERROR(INDEX(الموظفون!$C$6:$C$105,MATCH(B300,الموظفون!$B$6:$B$105,0)),"✖ رقم غير موجود"))</f>
        <v/>
      </c>
      <c r="D300" s="118"/>
      <c r="E300" s="119"/>
      <c r="F300" s="119"/>
      <c r="G300" s="65" t="str">
        <f aca="false">IF(OR($B300="",$E300="",$F300=""),"",MAX(0,F300-E300+1))</f>
        <v/>
      </c>
      <c r="H300" s="66" t="str">
        <f aca="false">IF(D300="","",IFERROR(VLOOKUP(D300,cfg_LT,2,FALSE()),1))</f>
        <v/>
      </c>
      <c r="I300" s="135"/>
      <c r="J300" s="66" t="str">
        <f aca="false">IF(D300="","",IF(I300&lt;&gt;"",I300,H300))</f>
        <v/>
      </c>
      <c r="K300" s="114" t="str">
        <f aca="false">IF(D300="","",IFERROR(VLOOKUP($D300,cfg_LT,3,FALSE()),""))</f>
        <v/>
      </c>
      <c r="L300" s="114" t="str">
        <f aca="false">IF(D300="","",IFERROR(VLOOKUP($D300,cfg_LT,4,FALSE()),""))</f>
        <v/>
      </c>
      <c r="M300" s="114" t="str">
        <f aca="false">IF(D300="","",IFERROR(VLOOKUP($D300,cfg_LT,5,FALSE()),""))</f>
        <v/>
      </c>
      <c r="N300" s="111" t="n">
        <f aca="false">IF(OR(OR($B300="",$E300="",$F300=""),M300&lt;&gt;"نعم"),0,G300*J300*IFERROR(INDEX(الموظفون!$R$6:$R$105,MATCH(B300,الموظفون!$B$6:$B$105,0)),0)/cfg_DAYS_M)</f>
        <v>0</v>
      </c>
      <c r="O300" s="106" t="str">
        <f aca="false">IF(OR(OR($B300="",$E300="",$F300=""),M300&lt;&gt;"نعم"),"",IF(YEAR(E300)=cfg_FY,MONTH(E300),""))</f>
        <v/>
      </c>
      <c r="P300" s="114" t="str">
        <f aca="false">IF(B300="","",IF(OR(D300="",E300="",F300=""),"⚠ أكمل النوع والتواريخ",IF(F300&lt;E300,"✖ النهاية قبل البداية",IF(COUNTIFS($B$6:$B$505,B300,$E$6:$E$505,"&lt;="&amp;F300,$F$6:$F$505,"&gt;="&amp;E300)&gt;1,"⚠ تداخل مع سجل آخر",IF(E300&gt;cfg_VAL_DATE,"⏳ قادمة",IF(F300&lt;cfg_VAL_DATE,"✔ منتهية","✈ جارية في تاريخ التقرير"))))))</f>
        <v/>
      </c>
      <c r="Q300" s="118"/>
      <c r="R300" s="65" t="n">
        <f aca="false">IF(OR(OR($B300="",$E300="",$F300=""),L300&lt;&gt;"لا"),0,MAX(0,MIN(F300,cfg_Y_START-1)-E300+1))</f>
        <v>0</v>
      </c>
      <c r="S300" s="65" t="n">
        <f aca="false">IF(OR(OR($B300="",$E300="",$F300=""),L300&lt;&gt;"لا"),0,MAX(0,MIN(F300,cfg_VAL_DATE)-E300+1))</f>
        <v>0</v>
      </c>
      <c r="T300" s="65" t="n">
        <f aca="false">IF(OR(OR($B300="",$E300="",$F300=""),K300&lt;&gt;"نعم"),0,IF(M300="نعم",IF(AND(ISNUMBER(O300),N(O300)&lt;=cfg_VAL_M),G300,0),MAX(0,MIN(F300,cfg_VAL_DATE)-MAX(E300,cfg_Y_START)+1)))</f>
        <v>0</v>
      </c>
      <c r="V300" s="65" t="n">
        <f aca="false">IF(OR($B300="",$E300="",$F300=""),0,MAX(0,MIN($F300,EOMONTH(DATE(cfg_FY,1,1),0))-MAX($E300,DATE(cfg_FY,1,1))+1)*(1-IF($M300="نعم",0,N($J300))))</f>
        <v>0</v>
      </c>
      <c r="W300" s="65" t="n">
        <f aca="false">IF(OR($B300="",$E300="",$F300=""),0,MAX(0,MIN($F300,EOMONTH(DATE(cfg_FY,2,1),0))-MAX($E300,DATE(cfg_FY,2,1))+1)*(1-IF($M300="نعم",0,N($J300))))</f>
        <v>0</v>
      </c>
      <c r="X300" s="65" t="n">
        <f aca="false">IF(OR($B300="",$E300="",$F300=""),0,MAX(0,MIN($F300,EOMONTH(DATE(cfg_FY,3,1),0))-MAX($E300,DATE(cfg_FY,3,1))+1)*(1-IF($M300="نعم",0,N($J300))))</f>
        <v>0</v>
      </c>
      <c r="Y300" s="65" t="n">
        <f aca="false">IF(OR($B300="",$E300="",$F300=""),0,MAX(0,MIN($F300,EOMONTH(DATE(cfg_FY,4,1),0))-MAX($E300,DATE(cfg_FY,4,1))+1)*(1-IF($M300="نعم",0,N($J300))))</f>
        <v>0</v>
      </c>
      <c r="Z300" s="65" t="n">
        <f aca="false">IF(OR($B300="",$E300="",$F300=""),0,MAX(0,MIN($F300,EOMONTH(DATE(cfg_FY,5,1),0))-MAX($E300,DATE(cfg_FY,5,1))+1)*(1-IF($M300="نعم",0,N($J300))))</f>
        <v>0</v>
      </c>
      <c r="AA300" s="65" t="n">
        <f aca="false">IF(OR($B300="",$E300="",$F300=""),0,MAX(0,MIN($F300,EOMONTH(DATE(cfg_FY,6,1),0))-MAX($E300,DATE(cfg_FY,6,1))+1)*(1-IF($M300="نعم",0,N($J300))))</f>
        <v>0</v>
      </c>
      <c r="AB300" s="65" t="n">
        <f aca="false">IF(OR($B300="",$E300="",$F300=""),0,MAX(0,MIN($F300,EOMONTH(DATE(cfg_FY,7,1),0))-MAX($E300,DATE(cfg_FY,7,1))+1)*(1-IF($M300="نعم",0,N($J300))))</f>
        <v>0</v>
      </c>
      <c r="AC300" s="65" t="n">
        <f aca="false">IF(OR($B300="",$E300="",$F300=""),0,MAX(0,MIN($F300,EOMONTH(DATE(cfg_FY,8,1),0))-MAX($E300,DATE(cfg_FY,8,1))+1)*(1-IF($M300="نعم",0,N($J300))))</f>
        <v>0</v>
      </c>
      <c r="AD300" s="65" t="n">
        <f aca="false">IF(OR($B300="",$E300="",$F300=""),0,MAX(0,MIN($F300,EOMONTH(DATE(cfg_FY,9,1),0))-MAX($E300,DATE(cfg_FY,9,1))+1)*(1-IF($M300="نعم",0,N($J300))))</f>
        <v>0</v>
      </c>
      <c r="AE300" s="65" t="n">
        <f aca="false">IF(OR($B300="",$E300="",$F300=""),0,MAX(0,MIN($F300,EOMONTH(DATE(cfg_FY,10,1),0))-MAX($E300,DATE(cfg_FY,10,1))+1)*(1-IF($M300="نعم",0,N($J300))))</f>
        <v>0</v>
      </c>
      <c r="AF300" s="65" t="n">
        <f aca="false">IF(OR($B300="",$E300="",$F300=""),0,MAX(0,MIN($F300,EOMONTH(DATE(cfg_FY,11,1),0))-MAX($E300,DATE(cfg_FY,11,1))+1)*(1-IF($M300="نعم",0,N($J300))))</f>
        <v>0</v>
      </c>
      <c r="AG300" s="65" t="n">
        <f aca="false">IF(OR($B300="",$E300="",$F300=""),0,MAX(0,MIN($F300,EOMONTH(DATE(cfg_FY,12,1),0))-MAX($E300,DATE(cfg_FY,12,1))+1)*(1-IF($M300="نعم",0,N($J300))))</f>
        <v>0</v>
      </c>
      <c r="AH300" s="65" t="n">
        <f aca="false">IF(OR(OR($B300="",$E300="",$F300=""),$L300&lt;&gt;"لا"),0,MAX(0,MIN($F300,EOMONTH(DATE(cfg_FY,1,1),0))-$E300+1))</f>
        <v>0</v>
      </c>
      <c r="AI300" s="65" t="n">
        <f aca="false">IF(OR(OR($B300="",$E300="",$F300=""),$L300&lt;&gt;"لا"),0,MAX(0,MIN($F300,EOMONTH(DATE(cfg_FY,2,1),0))-$E300+1))</f>
        <v>0</v>
      </c>
      <c r="AJ300" s="65" t="n">
        <f aca="false">IF(OR(OR($B300="",$E300="",$F300=""),$L300&lt;&gt;"لا"),0,MAX(0,MIN($F300,EOMONTH(DATE(cfg_FY,3,1),0))-$E300+1))</f>
        <v>0</v>
      </c>
      <c r="AK300" s="65" t="n">
        <f aca="false">IF(OR(OR($B300="",$E300="",$F300=""),$L300&lt;&gt;"لا"),0,MAX(0,MIN($F300,EOMONTH(DATE(cfg_FY,4,1),0))-$E300+1))</f>
        <v>0</v>
      </c>
      <c r="AL300" s="65" t="n">
        <f aca="false">IF(OR(OR($B300="",$E300="",$F300=""),$L300&lt;&gt;"لا"),0,MAX(0,MIN($F300,EOMONTH(DATE(cfg_FY,5,1),0))-$E300+1))</f>
        <v>0</v>
      </c>
      <c r="AM300" s="65" t="n">
        <f aca="false">IF(OR(OR($B300="",$E300="",$F300=""),$L300&lt;&gt;"لا"),0,MAX(0,MIN($F300,EOMONTH(DATE(cfg_FY,6,1),0))-$E300+1))</f>
        <v>0</v>
      </c>
      <c r="AN300" s="65" t="n">
        <f aca="false">IF(OR(OR($B300="",$E300="",$F300=""),$L300&lt;&gt;"لا"),0,MAX(0,MIN($F300,EOMONTH(DATE(cfg_FY,7,1),0))-$E300+1))</f>
        <v>0</v>
      </c>
      <c r="AO300" s="65" t="n">
        <f aca="false">IF(OR(OR($B300="",$E300="",$F300=""),$L300&lt;&gt;"لا"),0,MAX(0,MIN($F300,EOMONTH(DATE(cfg_FY,8,1),0))-$E300+1))</f>
        <v>0</v>
      </c>
      <c r="AP300" s="65" t="n">
        <f aca="false">IF(OR(OR($B300="",$E300="",$F300=""),$L300&lt;&gt;"لا"),0,MAX(0,MIN($F300,EOMONTH(DATE(cfg_FY,9,1),0))-$E300+1))</f>
        <v>0</v>
      </c>
      <c r="AQ300" s="65" t="n">
        <f aca="false">IF(OR(OR($B300="",$E300="",$F300=""),$L300&lt;&gt;"لا"),0,MAX(0,MIN($F300,EOMONTH(DATE(cfg_FY,10,1),0))-$E300+1))</f>
        <v>0</v>
      </c>
      <c r="AR300" s="65" t="n">
        <f aca="false">IF(OR(OR($B300="",$E300="",$F300=""),$L300&lt;&gt;"لا"),0,MAX(0,MIN($F300,EOMONTH(DATE(cfg_FY,11,1),0))-$E300+1))</f>
        <v>0</v>
      </c>
      <c r="AS300" s="65" t="n">
        <f aca="false">IF(OR(OR($B300="",$E300="",$F300=""),$L300&lt;&gt;"لا"),0,MAX(0,MIN($F300,EOMONTH(DATE(cfg_FY,12,1),0))-$E300+1))</f>
        <v>0</v>
      </c>
      <c r="AT300" s="65" t="n">
        <f aca="false">IF(OR(OR($B300="",$E300="",$F300=""),$K300&lt;&gt;"نعم",$M300="نعم"),0,MAX(0,MIN($F300,EOMONTH(DATE(cfg_FY,1,1),0))-MAX($E300,DATE(cfg_FY,1,1))+1))</f>
        <v>0</v>
      </c>
      <c r="AU300" s="65" t="n">
        <f aca="false">IF(OR(OR($B300="",$E300="",$F300=""),$K300&lt;&gt;"نعم",$M300="نعم"),0,MAX(0,MIN($F300,EOMONTH(DATE(cfg_FY,2,1),0))-MAX($E300,DATE(cfg_FY,2,1))+1))</f>
        <v>0</v>
      </c>
      <c r="AV300" s="65" t="n">
        <f aca="false">IF(OR(OR($B300="",$E300="",$F300=""),$K300&lt;&gt;"نعم",$M300="نعم"),0,MAX(0,MIN($F300,EOMONTH(DATE(cfg_FY,3,1),0))-MAX($E300,DATE(cfg_FY,3,1))+1))</f>
        <v>0</v>
      </c>
      <c r="AW300" s="65" t="n">
        <f aca="false">IF(OR(OR($B300="",$E300="",$F300=""),$K300&lt;&gt;"نعم",$M300="نعم"),0,MAX(0,MIN($F300,EOMONTH(DATE(cfg_FY,4,1),0))-MAX($E300,DATE(cfg_FY,4,1))+1))</f>
        <v>0</v>
      </c>
      <c r="AX300" s="65" t="n">
        <f aca="false">IF(OR(OR($B300="",$E300="",$F300=""),$K300&lt;&gt;"نعم",$M300="نعم"),0,MAX(0,MIN($F300,EOMONTH(DATE(cfg_FY,5,1),0))-MAX($E300,DATE(cfg_FY,5,1))+1))</f>
        <v>0</v>
      </c>
      <c r="AY300" s="65" t="n">
        <f aca="false">IF(OR(OR($B300="",$E300="",$F300=""),$K300&lt;&gt;"نعم",$M300="نعم"),0,MAX(0,MIN($F300,EOMONTH(DATE(cfg_FY,6,1),0))-MAX($E300,DATE(cfg_FY,6,1))+1))</f>
        <v>0</v>
      </c>
      <c r="AZ300" s="65" t="n">
        <f aca="false">IF(OR(OR($B300="",$E300="",$F300=""),$K300&lt;&gt;"نعم",$M300="نعم"),0,MAX(0,MIN($F300,EOMONTH(DATE(cfg_FY,7,1),0))-MAX($E300,DATE(cfg_FY,7,1))+1))</f>
        <v>0</v>
      </c>
      <c r="BA300" s="65" t="n">
        <f aca="false">IF(OR(OR($B300="",$E300="",$F300=""),$K300&lt;&gt;"نعم",$M300="نعم"),0,MAX(0,MIN($F300,EOMONTH(DATE(cfg_FY,8,1),0))-MAX($E300,DATE(cfg_FY,8,1))+1))</f>
        <v>0</v>
      </c>
      <c r="BB300" s="65" t="n">
        <f aca="false">IF(OR(OR($B300="",$E300="",$F300=""),$K300&lt;&gt;"نعم",$M300="نعم"),0,MAX(0,MIN($F300,EOMONTH(DATE(cfg_FY,9,1),0))-MAX($E300,DATE(cfg_FY,9,1))+1))</f>
        <v>0</v>
      </c>
      <c r="BC300" s="65" t="n">
        <f aca="false">IF(OR(OR($B300="",$E300="",$F300=""),$K300&lt;&gt;"نعم",$M300="نعم"),0,MAX(0,MIN($F300,EOMONTH(DATE(cfg_FY,10,1),0))-MAX($E300,DATE(cfg_FY,10,1))+1))</f>
        <v>0</v>
      </c>
      <c r="BD300" s="65" t="n">
        <f aca="false">IF(OR(OR($B300="",$E300="",$F300=""),$K300&lt;&gt;"نعم",$M300="نعم"),0,MAX(0,MIN($F300,EOMONTH(DATE(cfg_FY,11,1),0))-MAX($E300,DATE(cfg_FY,11,1))+1))</f>
        <v>0</v>
      </c>
      <c r="BE300" s="65" t="n">
        <f aca="false">IF(OR(OR($B300="",$E300="",$F300=""),$K300&lt;&gt;"نعم",$M300="نعم"),0,MAX(0,MIN($F300,EOMONTH(DATE(cfg_FY,12,1),0))-MAX($E300,DATE(cfg_FY,12,1))+1))</f>
        <v>0</v>
      </c>
    </row>
    <row r="301" customFormat="false" ht="15" hidden="false" customHeight="false" outlineLevel="0" collapsed="false">
      <c r="A301" s="115" t="str">
        <f aca="false">IF(B301="","",ROW()-5)</f>
        <v/>
      </c>
      <c r="B301" s="118"/>
      <c r="C301" s="117" t="str">
        <f aca="false">IF(B301="","",IFERROR(INDEX(الموظفون!$C$6:$C$105,MATCH(B301,الموظفون!$B$6:$B$105,0)),"✖ رقم غير موجود"))</f>
        <v/>
      </c>
      <c r="D301" s="118"/>
      <c r="E301" s="119"/>
      <c r="F301" s="119"/>
      <c r="G301" s="133" t="str">
        <f aca="false">IF(OR($B301="",$E301="",$F301=""),"",MAX(0,F301-E301+1))</f>
        <v/>
      </c>
      <c r="H301" s="134" t="str">
        <f aca="false">IF(D301="","",IFERROR(VLOOKUP(D301,cfg_LT,2,FALSE()),1))</f>
        <v/>
      </c>
      <c r="I301" s="135"/>
      <c r="J301" s="134" t="str">
        <f aca="false">IF(D301="","",IF(I301&lt;&gt;"",I301,H301))</f>
        <v/>
      </c>
      <c r="K301" s="117" t="str">
        <f aca="false">IF(D301="","",IFERROR(VLOOKUP($D301,cfg_LT,3,FALSE()),""))</f>
        <v/>
      </c>
      <c r="L301" s="117" t="str">
        <f aca="false">IF(D301="","",IFERROR(VLOOKUP($D301,cfg_LT,4,FALSE()),""))</f>
        <v/>
      </c>
      <c r="M301" s="117" t="str">
        <f aca="false">IF(D301="","",IFERROR(VLOOKUP($D301,cfg_LT,5,FALSE()),""))</f>
        <v/>
      </c>
      <c r="N301" s="116" t="n">
        <f aca="false">IF(OR(OR($B301="",$E301="",$F301=""),M301&lt;&gt;"نعم"),0,G301*J301*IFERROR(INDEX(الموظفون!$R$6:$R$105,MATCH(B301,الموظفون!$B$6:$B$105,0)),0)/cfg_DAYS_M)</f>
        <v>0</v>
      </c>
      <c r="O301" s="115" t="str">
        <f aca="false">IF(OR(OR($B301="",$E301="",$F301=""),M301&lt;&gt;"نعم"),"",IF(YEAR(E301)=cfg_FY,MONTH(E301),""))</f>
        <v/>
      </c>
      <c r="P301" s="117" t="str">
        <f aca="false">IF(B301="","",IF(OR(D301="",E301="",F301=""),"⚠ أكمل النوع والتواريخ",IF(F301&lt;E301,"✖ النهاية قبل البداية",IF(COUNTIFS($B$6:$B$505,B301,$E$6:$E$505,"&lt;="&amp;F301,$F$6:$F$505,"&gt;="&amp;E301)&gt;1,"⚠ تداخل مع سجل آخر",IF(E301&gt;cfg_VAL_DATE,"⏳ قادمة",IF(F301&lt;cfg_VAL_DATE,"✔ منتهية","✈ جارية في تاريخ التقرير"))))))</f>
        <v/>
      </c>
      <c r="Q301" s="118"/>
      <c r="R301" s="133" t="n">
        <f aca="false">IF(OR(OR($B301="",$E301="",$F301=""),L301&lt;&gt;"لا"),0,MAX(0,MIN(F301,cfg_Y_START-1)-E301+1))</f>
        <v>0</v>
      </c>
      <c r="S301" s="133" t="n">
        <f aca="false">IF(OR(OR($B301="",$E301="",$F301=""),L301&lt;&gt;"لا"),0,MAX(0,MIN(F301,cfg_VAL_DATE)-E301+1))</f>
        <v>0</v>
      </c>
      <c r="T301" s="133" t="n">
        <f aca="false">IF(OR(OR($B301="",$E301="",$F301=""),K301&lt;&gt;"نعم"),0,IF(M301="نعم",IF(AND(ISNUMBER(O301),N(O301)&lt;=cfg_VAL_M),G301,0),MAX(0,MIN(F301,cfg_VAL_DATE)-MAX(E301,cfg_Y_START)+1)))</f>
        <v>0</v>
      </c>
      <c r="V301" s="133" t="n">
        <f aca="false">IF(OR($B301="",$E301="",$F301=""),0,MAX(0,MIN($F301,EOMONTH(DATE(cfg_FY,1,1),0))-MAX($E301,DATE(cfg_FY,1,1))+1)*(1-IF($M301="نعم",0,N($J301))))</f>
        <v>0</v>
      </c>
      <c r="W301" s="133" t="n">
        <f aca="false">IF(OR($B301="",$E301="",$F301=""),0,MAX(0,MIN($F301,EOMONTH(DATE(cfg_FY,2,1),0))-MAX($E301,DATE(cfg_FY,2,1))+1)*(1-IF($M301="نعم",0,N($J301))))</f>
        <v>0</v>
      </c>
      <c r="X301" s="133" t="n">
        <f aca="false">IF(OR($B301="",$E301="",$F301=""),0,MAX(0,MIN($F301,EOMONTH(DATE(cfg_FY,3,1),0))-MAX($E301,DATE(cfg_FY,3,1))+1)*(1-IF($M301="نعم",0,N($J301))))</f>
        <v>0</v>
      </c>
      <c r="Y301" s="133" t="n">
        <f aca="false">IF(OR($B301="",$E301="",$F301=""),0,MAX(0,MIN($F301,EOMONTH(DATE(cfg_FY,4,1),0))-MAX($E301,DATE(cfg_FY,4,1))+1)*(1-IF($M301="نعم",0,N($J301))))</f>
        <v>0</v>
      </c>
      <c r="Z301" s="133" t="n">
        <f aca="false">IF(OR($B301="",$E301="",$F301=""),0,MAX(0,MIN($F301,EOMONTH(DATE(cfg_FY,5,1),0))-MAX($E301,DATE(cfg_FY,5,1))+1)*(1-IF($M301="نعم",0,N($J301))))</f>
        <v>0</v>
      </c>
      <c r="AA301" s="133" t="n">
        <f aca="false">IF(OR($B301="",$E301="",$F301=""),0,MAX(0,MIN($F301,EOMONTH(DATE(cfg_FY,6,1),0))-MAX($E301,DATE(cfg_FY,6,1))+1)*(1-IF($M301="نعم",0,N($J301))))</f>
        <v>0</v>
      </c>
      <c r="AB301" s="133" t="n">
        <f aca="false">IF(OR($B301="",$E301="",$F301=""),0,MAX(0,MIN($F301,EOMONTH(DATE(cfg_FY,7,1),0))-MAX($E301,DATE(cfg_FY,7,1))+1)*(1-IF($M301="نعم",0,N($J301))))</f>
        <v>0</v>
      </c>
      <c r="AC301" s="133" t="n">
        <f aca="false">IF(OR($B301="",$E301="",$F301=""),0,MAX(0,MIN($F301,EOMONTH(DATE(cfg_FY,8,1),0))-MAX($E301,DATE(cfg_FY,8,1))+1)*(1-IF($M301="نعم",0,N($J301))))</f>
        <v>0</v>
      </c>
      <c r="AD301" s="133" t="n">
        <f aca="false">IF(OR($B301="",$E301="",$F301=""),0,MAX(0,MIN($F301,EOMONTH(DATE(cfg_FY,9,1),0))-MAX($E301,DATE(cfg_FY,9,1))+1)*(1-IF($M301="نعم",0,N($J301))))</f>
        <v>0</v>
      </c>
      <c r="AE301" s="133" t="n">
        <f aca="false">IF(OR($B301="",$E301="",$F301=""),0,MAX(0,MIN($F301,EOMONTH(DATE(cfg_FY,10,1),0))-MAX($E301,DATE(cfg_FY,10,1))+1)*(1-IF($M301="نعم",0,N($J301))))</f>
        <v>0</v>
      </c>
      <c r="AF301" s="133" t="n">
        <f aca="false">IF(OR($B301="",$E301="",$F301=""),0,MAX(0,MIN($F301,EOMONTH(DATE(cfg_FY,11,1),0))-MAX($E301,DATE(cfg_FY,11,1))+1)*(1-IF($M301="نعم",0,N($J301))))</f>
        <v>0</v>
      </c>
      <c r="AG301" s="133" t="n">
        <f aca="false">IF(OR($B301="",$E301="",$F301=""),0,MAX(0,MIN($F301,EOMONTH(DATE(cfg_FY,12,1),0))-MAX($E301,DATE(cfg_FY,12,1))+1)*(1-IF($M301="نعم",0,N($J301))))</f>
        <v>0</v>
      </c>
      <c r="AH301" s="133" t="n">
        <f aca="false">IF(OR(OR($B301="",$E301="",$F301=""),$L301&lt;&gt;"لا"),0,MAX(0,MIN($F301,EOMONTH(DATE(cfg_FY,1,1),0))-$E301+1))</f>
        <v>0</v>
      </c>
      <c r="AI301" s="133" t="n">
        <f aca="false">IF(OR(OR($B301="",$E301="",$F301=""),$L301&lt;&gt;"لا"),0,MAX(0,MIN($F301,EOMONTH(DATE(cfg_FY,2,1),0))-$E301+1))</f>
        <v>0</v>
      </c>
      <c r="AJ301" s="133" t="n">
        <f aca="false">IF(OR(OR($B301="",$E301="",$F301=""),$L301&lt;&gt;"لا"),0,MAX(0,MIN($F301,EOMONTH(DATE(cfg_FY,3,1),0))-$E301+1))</f>
        <v>0</v>
      </c>
      <c r="AK301" s="133" t="n">
        <f aca="false">IF(OR(OR($B301="",$E301="",$F301=""),$L301&lt;&gt;"لا"),0,MAX(0,MIN($F301,EOMONTH(DATE(cfg_FY,4,1),0))-$E301+1))</f>
        <v>0</v>
      </c>
      <c r="AL301" s="133" t="n">
        <f aca="false">IF(OR(OR($B301="",$E301="",$F301=""),$L301&lt;&gt;"لا"),0,MAX(0,MIN($F301,EOMONTH(DATE(cfg_FY,5,1),0))-$E301+1))</f>
        <v>0</v>
      </c>
      <c r="AM301" s="133" t="n">
        <f aca="false">IF(OR(OR($B301="",$E301="",$F301=""),$L301&lt;&gt;"لا"),0,MAX(0,MIN($F301,EOMONTH(DATE(cfg_FY,6,1),0))-$E301+1))</f>
        <v>0</v>
      </c>
      <c r="AN301" s="133" t="n">
        <f aca="false">IF(OR(OR($B301="",$E301="",$F301=""),$L301&lt;&gt;"لا"),0,MAX(0,MIN($F301,EOMONTH(DATE(cfg_FY,7,1),0))-$E301+1))</f>
        <v>0</v>
      </c>
      <c r="AO301" s="133" t="n">
        <f aca="false">IF(OR(OR($B301="",$E301="",$F301=""),$L301&lt;&gt;"لا"),0,MAX(0,MIN($F301,EOMONTH(DATE(cfg_FY,8,1),0))-$E301+1))</f>
        <v>0</v>
      </c>
      <c r="AP301" s="133" t="n">
        <f aca="false">IF(OR(OR($B301="",$E301="",$F301=""),$L301&lt;&gt;"لا"),0,MAX(0,MIN($F301,EOMONTH(DATE(cfg_FY,9,1),0))-$E301+1))</f>
        <v>0</v>
      </c>
      <c r="AQ301" s="133" t="n">
        <f aca="false">IF(OR(OR($B301="",$E301="",$F301=""),$L301&lt;&gt;"لا"),0,MAX(0,MIN($F301,EOMONTH(DATE(cfg_FY,10,1),0))-$E301+1))</f>
        <v>0</v>
      </c>
      <c r="AR301" s="133" t="n">
        <f aca="false">IF(OR(OR($B301="",$E301="",$F301=""),$L301&lt;&gt;"لا"),0,MAX(0,MIN($F301,EOMONTH(DATE(cfg_FY,11,1),0))-$E301+1))</f>
        <v>0</v>
      </c>
      <c r="AS301" s="133" t="n">
        <f aca="false">IF(OR(OR($B301="",$E301="",$F301=""),$L301&lt;&gt;"لا"),0,MAX(0,MIN($F301,EOMONTH(DATE(cfg_FY,12,1),0))-$E301+1))</f>
        <v>0</v>
      </c>
      <c r="AT301" s="133" t="n">
        <f aca="false">IF(OR(OR($B301="",$E301="",$F301=""),$K301&lt;&gt;"نعم",$M301="نعم"),0,MAX(0,MIN($F301,EOMONTH(DATE(cfg_FY,1,1),0))-MAX($E301,DATE(cfg_FY,1,1))+1))</f>
        <v>0</v>
      </c>
      <c r="AU301" s="133" t="n">
        <f aca="false">IF(OR(OR($B301="",$E301="",$F301=""),$K301&lt;&gt;"نعم",$M301="نعم"),0,MAX(0,MIN($F301,EOMONTH(DATE(cfg_FY,2,1),0))-MAX($E301,DATE(cfg_FY,2,1))+1))</f>
        <v>0</v>
      </c>
      <c r="AV301" s="133" t="n">
        <f aca="false">IF(OR(OR($B301="",$E301="",$F301=""),$K301&lt;&gt;"نعم",$M301="نعم"),0,MAX(0,MIN($F301,EOMONTH(DATE(cfg_FY,3,1),0))-MAX($E301,DATE(cfg_FY,3,1))+1))</f>
        <v>0</v>
      </c>
      <c r="AW301" s="133" t="n">
        <f aca="false">IF(OR(OR($B301="",$E301="",$F301=""),$K301&lt;&gt;"نعم",$M301="نعم"),0,MAX(0,MIN($F301,EOMONTH(DATE(cfg_FY,4,1),0))-MAX($E301,DATE(cfg_FY,4,1))+1))</f>
        <v>0</v>
      </c>
      <c r="AX301" s="133" t="n">
        <f aca="false">IF(OR(OR($B301="",$E301="",$F301=""),$K301&lt;&gt;"نعم",$M301="نعم"),0,MAX(0,MIN($F301,EOMONTH(DATE(cfg_FY,5,1),0))-MAX($E301,DATE(cfg_FY,5,1))+1))</f>
        <v>0</v>
      </c>
      <c r="AY301" s="133" t="n">
        <f aca="false">IF(OR(OR($B301="",$E301="",$F301=""),$K301&lt;&gt;"نعم",$M301="نعم"),0,MAX(0,MIN($F301,EOMONTH(DATE(cfg_FY,6,1),0))-MAX($E301,DATE(cfg_FY,6,1))+1))</f>
        <v>0</v>
      </c>
      <c r="AZ301" s="133" t="n">
        <f aca="false">IF(OR(OR($B301="",$E301="",$F301=""),$K301&lt;&gt;"نعم",$M301="نعم"),0,MAX(0,MIN($F301,EOMONTH(DATE(cfg_FY,7,1),0))-MAX($E301,DATE(cfg_FY,7,1))+1))</f>
        <v>0</v>
      </c>
      <c r="BA301" s="133" t="n">
        <f aca="false">IF(OR(OR($B301="",$E301="",$F301=""),$K301&lt;&gt;"نعم",$M301="نعم"),0,MAX(0,MIN($F301,EOMONTH(DATE(cfg_FY,8,1),0))-MAX($E301,DATE(cfg_FY,8,1))+1))</f>
        <v>0</v>
      </c>
      <c r="BB301" s="133" t="n">
        <f aca="false">IF(OR(OR($B301="",$E301="",$F301=""),$K301&lt;&gt;"نعم",$M301="نعم"),0,MAX(0,MIN($F301,EOMONTH(DATE(cfg_FY,9,1),0))-MAX($E301,DATE(cfg_FY,9,1))+1))</f>
        <v>0</v>
      </c>
      <c r="BC301" s="133" t="n">
        <f aca="false">IF(OR(OR($B301="",$E301="",$F301=""),$K301&lt;&gt;"نعم",$M301="نعم"),0,MAX(0,MIN($F301,EOMONTH(DATE(cfg_FY,10,1),0))-MAX($E301,DATE(cfg_FY,10,1))+1))</f>
        <v>0</v>
      </c>
      <c r="BD301" s="133" t="n">
        <f aca="false">IF(OR(OR($B301="",$E301="",$F301=""),$K301&lt;&gt;"نعم",$M301="نعم"),0,MAX(0,MIN($F301,EOMONTH(DATE(cfg_FY,11,1),0))-MAX($E301,DATE(cfg_FY,11,1))+1))</f>
        <v>0</v>
      </c>
      <c r="BE301" s="133" t="n">
        <f aca="false">IF(OR(OR($B301="",$E301="",$F301=""),$K301&lt;&gt;"نعم",$M301="نعم"),0,MAX(0,MIN($F301,EOMONTH(DATE(cfg_FY,12,1),0))-MAX($E301,DATE(cfg_FY,12,1))+1))</f>
        <v>0</v>
      </c>
    </row>
    <row r="302" customFormat="false" ht="15" hidden="false" customHeight="false" outlineLevel="0" collapsed="false">
      <c r="A302" s="106" t="str">
        <f aca="false">IF(B302="","",ROW()-5)</f>
        <v/>
      </c>
      <c r="B302" s="118"/>
      <c r="C302" s="114" t="str">
        <f aca="false">IF(B302="","",IFERROR(INDEX(الموظفون!$C$6:$C$105,MATCH(B302,الموظفون!$B$6:$B$105,0)),"✖ رقم غير موجود"))</f>
        <v/>
      </c>
      <c r="D302" s="118"/>
      <c r="E302" s="119"/>
      <c r="F302" s="119"/>
      <c r="G302" s="65" t="str">
        <f aca="false">IF(OR($B302="",$E302="",$F302=""),"",MAX(0,F302-E302+1))</f>
        <v/>
      </c>
      <c r="H302" s="66" t="str">
        <f aca="false">IF(D302="","",IFERROR(VLOOKUP(D302,cfg_LT,2,FALSE()),1))</f>
        <v/>
      </c>
      <c r="I302" s="135"/>
      <c r="J302" s="66" t="str">
        <f aca="false">IF(D302="","",IF(I302&lt;&gt;"",I302,H302))</f>
        <v/>
      </c>
      <c r="K302" s="114" t="str">
        <f aca="false">IF(D302="","",IFERROR(VLOOKUP($D302,cfg_LT,3,FALSE()),""))</f>
        <v/>
      </c>
      <c r="L302" s="114" t="str">
        <f aca="false">IF(D302="","",IFERROR(VLOOKUP($D302,cfg_LT,4,FALSE()),""))</f>
        <v/>
      </c>
      <c r="M302" s="114" t="str">
        <f aca="false">IF(D302="","",IFERROR(VLOOKUP($D302,cfg_LT,5,FALSE()),""))</f>
        <v/>
      </c>
      <c r="N302" s="111" t="n">
        <f aca="false">IF(OR(OR($B302="",$E302="",$F302=""),M302&lt;&gt;"نعم"),0,G302*J302*IFERROR(INDEX(الموظفون!$R$6:$R$105,MATCH(B302,الموظفون!$B$6:$B$105,0)),0)/cfg_DAYS_M)</f>
        <v>0</v>
      </c>
      <c r="O302" s="106" t="str">
        <f aca="false">IF(OR(OR($B302="",$E302="",$F302=""),M302&lt;&gt;"نعم"),"",IF(YEAR(E302)=cfg_FY,MONTH(E302),""))</f>
        <v/>
      </c>
      <c r="P302" s="114" t="str">
        <f aca="false">IF(B302="","",IF(OR(D302="",E302="",F302=""),"⚠ أكمل النوع والتواريخ",IF(F302&lt;E302,"✖ النهاية قبل البداية",IF(COUNTIFS($B$6:$B$505,B302,$E$6:$E$505,"&lt;="&amp;F302,$F$6:$F$505,"&gt;="&amp;E302)&gt;1,"⚠ تداخل مع سجل آخر",IF(E302&gt;cfg_VAL_DATE,"⏳ قادمة",IF(F302&lt;cfg_VAL_DATE,"✔ منتهية","✈ جارية في تاريخ التقرير"))))))</f>
        <v/>
      </c>
      <c r="Q302" s="118"/>
      <c r="R302" s="65" t="n">
        <f aca="false">IF(OR(OR($B302="",$E302="",$F302=""),L302&lt;&gt;"لا"),0,MAX(0,MIN(F302,cfg_Y_START-1)-E302+1))</f>
        <v>0</v>
      </c>
      <c r="S302" s="65" t="n">
        <f aca="false">IF(OR(OR($B302="",$E302="",$F302=""),L302&lt;&gt;"لا"),0,MAX(0,MIN(F302,cfg_VAL_DATE)-E302+1))</f>
        <v>0</v>
      </c>
      <c r="T302" s="65" t="n">
        <f aca="false">IF(OR(OR($B302="",$E302="",$F302=""),K302&lt;&gt;"نعم"),0,IF(M302="نعم",IF(AND(ISNUMBER(O302),N(O302)&lt;=cfg_VAL_M),G302,0),MAX(0,MIN(F302,cfg_VAL_DATE)-MAX(E302,cfg_Y_START)+1)))</f>
        <v>0</v>
      </c>
      <c r="V302" s="65" t="n">
        <f aca="false">IF(OR($B302="",$E302="",$F302=""),0,MAX(0,MIN($F302,EOMONTH(DATE(cfg_FY,1,1),0))-MAX($E302,DATE(cfg_FY,1,1))+1)*(1-IF($M302="نعم",0,N($J302))))</f>
        <v>0</v>
      </c>
      <c r="W302" s="65" t="n">
        <f aca="false">IF(OR($B302="",$E302="",$F302=""),0,MAX(0,MIN($F302,EOMONTH(DATE(cfg_FY,2,1),0))-MAX($E302,DATE(cfg_FY,2,1))+1)*(1-IF($M302="نعم",0,N($J302))))</f>
        <v>0</v>
      </c>
      <c r="X302" s="65" t="n">
        <f aca="false">IF(OR($B302="",$E302="",$F302=""),0,MAX(0,MIN($F302,EOMONTH(DATE(cfg_FY,3,1),0))-MAX($E302,DATE(cfg_FY,3,1))+1)*(1-IF($M302="نعم",0,N($J302))))</f>
        <v>0</v>
      </c>
      <c r="Y302" s="65" t="n">
        <f aca="false">IF(OR($B302="",$E302="",$F302=""),0,MAX(0,MIN($F302,EOMONTH(DATE(cfg_FY,4,1),0))-MAX($E302,DATE(cfg_FY,4,1))+1)*(1-IF($M302="نعم",0,N($J302))))</f>
        <v>0</v>
      </c>
      <c r="Z302" s="65" t="n">
        <f aca="false">IF(OR($B302="",$E302="",$F302=""),0,MAX(0,MIN($F302,EOMONTH(DATE(cfg_FY,5,1),0))-MAX($E302,DATE(cfg_FY,5,1))+1)*(1-IF($M302="نعم",0,N($J302))))</f>
        <v>0</v>
      </c>
      <c r="AA302" s="65" t="n">
        <f aca="false">IF(OR($B302="",$E302="",$F302=""),0,MAX(0,MIN($F302,EOMONTH(DATE(cfg_FY,6,1),0))-MAX($E302,DATE(cfg_FY,6,1))+1)*(1-IF($M302="نعم",0,N($J302))))</f>
        <v>0</v>
      </c>
      <c r="AB302" s="65" t="n">
        <f aca="false">IF(OR($B302="",$E302="",$F302=""),0,MAX(0,MIN($F302,EOMONTH(DATE(cfg_FY,7,1),0))-MAX($E302,DATE(cfg_FY,7,1))+1)*(1-IF($M302="نعم",0,N($J302))))</f>
        <v>0</v>
      </c>
      <c r="AC302" s="65" t="n">
        <f aca="false">IF(OR($B302="",$E302="",$F302=""),0,MAX(0,MIN($F302,EOMONTH(DATE(cfg_FY,8,1),0))-MAX($E302,DATE(cfg_FY,8,1))+1)*(1-IF($M302="نعم",0,N($J302))))</f>
        <v>0</v>
      </c>
      <c r="AD302" s="65" t="n">
        <f aca="false">IF(OR($B302="",$E302="",$F302=""),0,MAX(0,MIN($F302,EOMONTH(DATE(cfg_FY,9,1),0))-MAX($E302,DATE(cfg_FY,9,1))+1)*(1-IF($M302="نعم",0,N($J302))))</f>
        <v>0</v>
      </c>
      <c r="AE302" s="65" t="n">
        <f aca="false">IF(OR($B302="",$E302="",$F302=""),0,MAX(0,MIN($F302,EOMONTH(DATE(cfg_FY,10,1),0))-MAX($E302,DATE(cfg_FY,10,1))+1)*(1-IF($M302="نعم",0,N($J302))))</f>
        <v>0</v>
      </c>
      <c r="AF302" s="65" t="n">
        <f aca="false">IF(OR($B302="",$E302="",$F302=""),0,MAX(0,MIN($F302,EOMONTH(DATE(cfg_FY,11,1),0))-MAX($E302,DATE(cfg_FY,11,1))+1)*(1-IF($M302="نعم",0,N($J302))))</f>
        <v>0</v>
      </c>
      <c r="AG302" s="65" t="n">
        <f aca="false">IF(OR($B302="",$E302="",$F302=""),0,MAX(0,MIN($F302,EOMONTH(DATE(cfg_FY,12,1),0))-MAX($E302,DATE(cfg_FY,12,1))+1)*(1-IF($M302="نعم",0,N($J302))))</f>
        <v>0</v>
      </c>
      <c r="AH302" s="65" t="n">
        <f aca="false">IF(OR(OR($B302="",$E302="",$F302=""),$L302&lt;&gt;"لا"),0,MAX(0,MIN($F302,EOMONTH(DATE(cfg_FY,1,1),0))-$E302+1))</f>
        <v>0</v>
      </c>
      <c r="AI302" s="65" t="n">
        <f aca="false">IF(OR(OR($B302="",$E302="",$F302=""),$L302&lt;&gt;"لا"),0,MAX(0,MIN($F302,EOMONTH(DATE(cfg_FY,2,1),0))-$E302+1))</f>
        <v>0</v>
      </c>
      <c r="AJ302" s="65" t="n">
        <f aca="false">IF(OR(OR($B302="",$E302="",$F302=""),$L302&lt;&gt;"لا"),0,MAX(0,MIN($F302,EOMONTH(DATE(cfg_FY,3,1),0))-$E302+1))</f>
        <v>0</v>
      </c>
      <c r="AK302" s="65" t="n">
        <f aca="false">IF(OR(OR($B302="",$E302="",$F302=""),$L302&lt;&gt;"لا"),0,MAX(0,MIN($F302,EOMONTH(DATE(cfg_FY,4,1),0))-$E302+1))</f>
        <v>0</v>
      </c>
      <c r="AL302" s="65" t="n">
        <f aca="false">IF(OR(OR($B302="",$E302="",$F302=""),$L302&lt;&gt;"لا"),0,MAX(0,MIN($F302,EOMONTH(DATE(cfg_FY,5,1),0))-$E302+1))</f>
        <v>0</v>
      </c>
      <c r="AM302" s="65" t="n">
        <f aca="false">IF(OR(OR($B302="",$E302="",$F302=""),$L302&lt;&gt;"لا"),0,MAX(0,MIN($F302,EOMONTH(DATE(cfg_FY,6,1),0))-$E302+1))</f>
        <v>0</v>
      </c>
      <c r="AN302" s="65" t="n">
        <f aca="false">IF(OR(OR($B302="",$E302="",$F302=""),$L302&lt;&gt;"لا"),0,MAX(0,MIN($F302,EOMONTH(DATE(cfg_FY,7,1),0))-$E302+1))</f>
        <v>0</v>
      </c>
      <c r="AO302" s="65" t="n">
        <f aca="false">IF(OR(OR($B302="",$E302="",$F302=""),$L302&lt;&gt;"لا"),0,MAX(0,MIN($F302,EOMONTH(DATE(cfg_FY,8,1),0))-$E302+1))</f>
        <v>0</v>
      </c>
      <c r="AP302" s="65" t="n">
        <f aca="false">IF(OR(OR($B302="",$E302="",$F302=""),$L302&lt;&gt;"لا"),0,MAX(0,MIN($F302,EOMONTH(DATE(cfg_FY,9,1),0))-$E302+1))</f>
        <v>0</v>
      </c>
      <c r="AQ302" s="65" t="n">
        <f aca="false">IF(OR(OR($B302="",$E302="",$F302=""),$L302&lt;&gt;"لا"),0,MAX(0,MIN($F302,EOMONTH(DATE(cfg_FY,10,1),0))-$E302+1))</f>
        <v>0</v>
      </c>
      <c r="AR302" s="65" t="n">
        <f aca="false">IF(OR(OR($B302="",$E302="",$F302=""),$L302&lt;&gt;"لا"),0,MAX(0,MIN($F302,EOMONTH(DATE(cfg_FY,11,1),0))-$E302+1))</f>
        <v>0</v>
      </c>
      <c r="AS302" s="65" t="n">
        <f aca="false">IF(OR(OR($B302="",$E302="",$F302=""),$L302&lt;&gt;"لا"),0,MAX(0,MIN($F302,EOMONTH(DATE(cfg_FY,12,1),0))-$E302+1))</f>
        <v>0</v>
      </c>
      <c r="AT302" s="65" t="n">
        <f aca="false">IF(OR(OR($B302="",$E302="",$F302=""),$K302&lt;&gt;"نعم",$M302="نعم"),0,MAX(0,MIN($F302,EOMONTH(DATE(cfg_FY,1,1),0))-MAX($E302,DATE(cfg_FY,1,1))+1))</f>
        <v>0</v>
      </c>
      <c r="AU302" s="65" t="n">
        <f aca="false">IF(OR(OR($B302="",$E302="",$F302=""),$K302&lt;&gt;"نعم",$M302="نعم"),0,MAX(0,MIN($F302,EOMONTH(DATE(cfg_FY,2,1),0))-MAX($E302,DATE(cfg_FY,2,1))+1))</f>
        <v>0</v>
      </c>
      <c r="AV302" s="65" t="n">
        <f aca="false">IF(OR(OR($B302="",$E302="",$F302=""),$K302&lt;&gt;"نعم",$M302="نعم"),0,MAX(0,MIN($F302,EOMONTH(DATE(cfg_FY,3,1),0))-MAX($E302,DATE(cfg_FY,3,1))+1))</f>
        <v>0</v>
      </c>
      <c r="AW302" s="65" t="n">
        <f aca="false">IF(OR(OR($B302="",$E302="",$F302=""),$K302&lt;&gt;"نعم",$M302="نعم"),0,MAX(0,MIN($F302,EOMONTH(DATE(cfg_FY,4,1),0))-MAX($E302,DATE(cfg_FY,4,1))+1))</f>
        <v>0</v>
      </c>
      <c r="AX302" s="65" t="n">
        <f aca="false">IF(OR(OR($B302="",$E302="",$F302=""),$K302&lt;&gt;"نعم",$M302="نعم"),0,MAX(0,MIN($F302,EOMONTH(DATE(cfg_FY,5,1),0))-MAX($E302,DATE(cfg_FY,5,1))+1))</f>
        <v>0</v>
      </c>
      <c r="AY302" s="65" t="n">
        <f aca="false">IF(OR(OR($B302="",$E302="",$F302=""),$K302&lt;&gt;"نعم",$M302="نعم"),0,MAX(0,MIN($F302,EOMONTH(DATE(cfg_FY,6,1),0))-MAX($E302,DATE(cfg_FY,6,1))+1))</f>
        <v>0</v>
      </c>
      <c r="AZ302" s="65" t="n">
        <f aca="false">IF(OR(OR($B302="",$E302="",$F302=""),$K302&lt;&gt;"نعم",$M302="نعم"),0,MAX(0,MIN($F302,EOMONTH(DATE(cfg_FY,7,1),0))-MAX($E302,DATE(cfg_FY,7,1))+1))</f>
        <v>0</v>
      </c>
      <c r="BA302" s="65" t="n">
        <f aca="false">IF(OR(OR($B302="",$E302="",$F302=""),$K302&lt;&gt;"نعم",$M302="نعم"),0,MAX(0,MIN($F302,EOMONTH(DATE(cfg_FY,8,1),0))-MAX($E302,DATE(cfg_FY,8,1))+1))</f>
        <v>0</v>
      </c>
      <c r="BB302" s="65" t="n">
        <f aca="false">IF(OR(OR($B302="",$E302="",$F302=""),$K302&lt;&gt;"نعم",$M302="نعم"),0,MAX(0,MIN($F302,EOMONTH(DATE(cfg_FY,9,1),0))-MAX($E302,DATE(cfg_FY,9,1))+1))</f>
        <v>0</v>
      </c>
      <c r="BC302" s="65" t="n">
        <f aca="false">IF(OR(OR($B302="",$E302="",$F302=""),$K302&lt;&gt;"نعم",$M302="نعم"),0,MAX(0,MIN($F302,EOMONTH(DATE(cfg_FY,10,1),0))-MAX($E302,DATE(cfg_FY,10,1))+1))</f>
        <v>0</v>
      </c>
      <c r="BD302" s="65" t="n">
        <f aca="false">IF(OR(OR($B302="",$E302="",$F302=""),$K302&lt;&gt;"نعم",$M302="نعم"),0,MAX(0,MIN($F302,EOMONTH(DATE(cfg_FY,11,1),0))-MAX($E302,DATE(cfg_FY,11,1))+1))</f>
        <v>0</v>
      </c>
      <c r="BE302" s="65" t="n">
        <f aca="false">IF(OR(OR($B302="",$E302="",$F302=""),$K302&lt;&gt;"نعم",$M302="نعم"),0,MAX(0,MIN($F302,EOMONTH(DATE(cfg_FY,12,1),0))-MAX($E302,DATE(cfg_FY,12,1))+1))</f>
        <v>0</v>
      </c>
    </row>
    <row r="303" customFormat="false" ht="15" hidden="false" customHeight="false" outlineLevel="0" collapsed="false">
      <c r="A303" s="115" t="str">
        <f aca="false">IF(B303="","",ROW()-5)</f>
        <v/>
      </c>
      <c r="B303" s="118"/>
      <c r="C303" s="117" t="str">
        <f aca="false">IF(B303="","",IFERROR(INDEX(الموظفون!$C$6:$C$105,MATCH(B303,الموظفون!$B$6:$B$105,0)),"✖ رقم غير موجود"))</f>
        <v/>
      </c>
      <c r="D303" s="118"/>
      <c r="E303" s="119"/>
      <c r="F303" s="119"/>
      <c r="G303" s="133" t="str">
        <f aca="false">IF(OR($B303="",$E303="",$F303=""),"",MAX(0,F303-E303+1))</f>
        <v/>
      </c>
      <c r="H303" s="134" t="str">
        <f aca="false">IF(D303="","",IFERROR(VLOOKUP(D303,cfg_LT,2,FALSE()),1))</f>
        <v/>
      </c>
      <c r="I303" s="135"/>
      <c r="J303" s="134" t="str">
        <f aca="false">IF(D303="","",IF(I303&lt;&gt;"",I303,H303))</f>
        <v/>
      </c>
      <c r="K303" s="117" t="str">
        <f aca="false">IF(D303="","",IFERROR(VLOOKUP($D303,cfg_LT,3,FALSE()),""))</f>
        <v/>
      </c>
      <c r="L303" s="117" t="str">
        <f aca="false">IF(D303="","",IFERROR(VLOOKUP($D303,cfg_LT,4,FALSE()),""))</f>
        <v/>
      </c>
      <c r="M303" s="117" t="str">
        <f aca="false">IF(D303="","",IFERROR(VLOOKUP($D303,cfg_LT,5,FALSE()),""))</f>
        <v/>
      </c>
      <c r="N303" s="116" t="n">
        <f aca="false">IF(OR(OR($B303="",$E303="",$F303=""),M303&lt;&gt;"نعم"),0,G303*J303*IFERROR(INDEX(الموظفون!$R$6:$R$105,MATCH(B303,الموظفون!$B$6:$B$105,0)),0)/cfg_DAYS_M)</f>
        <v>0</v>
      </c>
      <c r="O303" s="115" t="str">
        <f aca="false">IF(OR(OR($B303="",$E303="",$F303=""),M303&lt;&gt;"نعم"),"",IF(YEAR(E303)=cfg_FY,MONTH(E303),""))</f>
        <v/>
      </c>
      <c r="P303" s="117" t="str">
        <f aca="false">IF(B303="","",IF(OR(D303="",E303="",F303=""),"⚠ أكمل النوع والتواريخ",IF(F303&lt;E303,"✖ النهاية قبل البداية",IF(COUNTIFS($B$6:$B$505,B303,$E$6:$E$505,"&lt;="&amp;F303,$F$6:$F$505,"&gt;="&amp;E303)&gt;1,"⚠ تداخل مع سجل آخر",IF(E303&gt;cfg_VAL_DATE,"⏳ قادمة",IF(F303&lt;cfg_VAL_DATE,"✔ منتهية","✈ جارية في تاريخ التقرير"))))))</f>
        <v/>
      </c>
      <c r="Q303" s="118"/>
      <c r="R303" s="133" t="n">
        <f aca="false">IF(OR(OR($B303="",$E303="",$F303=""),L303&lt;&gt;"لا"),0,MAX(0,MIN(F303,cfg_Y_START-1)-E303+1))</f>
        <v>0</v>
      </c>
      <c r="S303" s="133" t="n">
        <f aca="false">IF(OR(OR($B303="",$E303="",$F303=""),L303&lt;&gt;"لا"),0,MAX(0,MIN(F303,cfg_VAL_DATE)-E303+1))</f>
        <v>0</v>
      </c>
      <c r="T303" s="133" t="n">
        <f aca="false">IF(OR(OR($B303="",$E303="",$F303=""),K303&lt;&gt;"نعم"),0,IF(M303="نعم",IF(AND(ISNUMBER(O303),N(O303)&lt;=cfg_VAL_M),G303,0),MAX(0,MIN(F303,cfg_VAL_DATE)-MAX(E303,cfg_Y_START)+1)))</f>
        <v>0</v>
      </c>
      <c r="V303" s="133" t="n">
        <f aca="false">IF(OR($B303="",$E303="",$F303=""),0,MAX(0,MIN($F303,EOMONTH(DATE(cfg_FY,1,1),0))-MAX($E303,DATE(cfg_FY,1,1))+1)*(1-IF($M303="نعم",0,N($J303))))</f>
        <v>0</v>
      </c>
      <c r="W303" s="133" t="n">
        <f aca="false">IF(OR($B303="",$E303="",$F303=""),0,MAX(0,MIN($F303,EOMONTH(DATE(cfg_FY,2,1),0))-MAX($E303,DATE(cfg_FY,2,1))+1)*(1-IF($M303="نعم",0,N($J303))))</f>
        <v>0</v>
      </c>
      <c r="X303" s="133" t="n">
        <f aca="false">IF(OR($B303="",$E303="",$F303=""),0,MAX(0,MIN($F303,EOMONTH(DATE(cfg_FY,3,1),0))-MAX($E303,DATE(cfg_FY,3,1))+1)*(1-IF($M303="نعم",0,N($J303))))</f>
        <v>0</v>
      </c>
      <c r="Y303" s="133" t="n">
        <f aca="false">IF(OR($B303="",$E303="",$F303=""),0,MAX(0,MIN($F303,EOMONTH(DATE(cfg_FY,4,1),0))-MAX($E303,DATE(cfg_FY,4,1))+1)*(1-IF($M303="نعم",0,N($J303))))</f>
        <v>0</v>
      </c>
      <c r="Z303" s="133" t="n">
        <f aca="false">IF(OR($B303="",$E303="",$F303=""),0,MAX(0,MIN($F303,EOMONTH(DATE(cfg_FY,5,1),0))-MAX($E303,DATE(cfg_FY,5,1))+1)*(1-IF($M303="نعم",0,N($J303))))</f>
        <v>0</v>
      </c>
      <c r="AA303" s="133" t="n">
        <f aca="false">IF(OR($B303="",$E303="",$F303=""),0,MAX(0,MIN($F303,EOMONTH(DATE(cfg_FY,6,1),0))-MAX($E303,DATE(cfg_FY,6,1))+1)*(1-IF($M303="نعم",0,N($J303))))</f>
        <v>0</v>
      </c>
      <c r="AB303" s="133" t="n">
        <f aca="false">IF(OR($B303="",$E303="",$F303=""),0,MAX(0,MIN($F303,EOMONTH(DATE(cfg_FY,7,1),0))-MAX($E303,DATE(cfg_FY,7,1))+1)*(1-IF($M303="نعم",0,N($J303))))</f>
        <v>0</v>
      </c>
      <c r="AC303" s="133" t="n">
        <f aca="false">IF(OR($B303="",$E303="",$F303=""),0,MAX(0,MIN($F303,EOMONTH(DATE(cfg_FY,8,1),0))-MAX($E303,DATE(cfg_FY,8,1))+1)*(1-IF($M303="نعم",0,N($J303))))</f>
        <v>0</v>
      </c>
      <c r="AD303" s="133" t="n">
        <f aca="false">IF(OR($B303="",$E303="",$F303=""),0,MAX(0,MIN($F303,EOMONTH(DATE(cfg_FY,9,1),0))-MAX($E303,DATE(cfg_FY,9,1))+1)*(1-IF($M303="نعم",0,N($J303))))</f>
        <v>0</v>
      </c>
      <c r="AE303" s="133" t="n">
        <f aca="false">IF(OR($B303="",$E303="",$F303=""),0,MAX(0,MIN($F303,EOMONTH(DATE(cfg_FY,10,1),0))-MAX($E303,DATE(cfg_FY,10,1))+1)*(1-IF($M303="نعم",0,N($J303))))</f>
        <v>0</v>
      </c>
      <c r="AF303" s="133" t="n">
        <f aca="false">IF(OR($B303="",$E303="",$F303=""),0,MAX(0,MIN($F303,EOMONTH(DATE(cfg_FY,11,1),0))-MAX($E303,DATE(cfg_FY,11,1))+1)*(1-IF($M303="نعم",0,N($J303))))</f>
        <v>0</v>
      </c>
      <c r="AG303" s="133" t="n">
        <f aca="false">IF(OR($B303="",$E303="",$F303=""),0,MAX(0,MIN($F303,EOMONTH(DATE(cfg_FY,12,1),0))-MAX($E303,DATE(cfg_FY,12,1))+1)*(1-IF($M303="نعم",0,N($J303))))</f>
        <v>0</v>
      </c>
      <c r="AH303" s="133" t="n">
        <f aca="false">IF(OR(OR($B303="",$E303="",$F303=""),$L303&lt;&gt;"لا"),0,MAX(0,MIN($F303,EOMONTH(DATE(cfg_FY,1,1),0))-$E303+1))</f>
        <v>0</v>
      </c>
      <c r="AI303" s="133" t="n">
        <f aca="false">IF(OR(OR($B303="",$E303="",$F303=""),$L303&lt;&gt;"لا"),0,MAX(0,MIN($F303,EOMONTH(DATE(cfg_FY,2,1),0))-$E303+1))</f>
        <v>0</v>
      </c>
      <c r="AJ303" s="133" t="n">
        <f aca="false">IF(OR(OR($B303="",$E303="",$F303=""),$L303&lt;&gt;"لا"),0,MAX(0,MIN($F303,EOMONTH(DATE(cfg_FY,3,1),0))-$E303+1))</f>
        <v>0</v>
      </c>
      <c r="AK303" s="133" t="n">
        <f aca="false">IF(OR(OR($B303="",$E303="",$F303=""),$L303&lt;&gt;"لا"),0,MAX(0,MIN($F303,EOMONTH(DATE(cfg_FY,4,1),0))-$E303+1))</f>
        <v>0</v>
      </c>
      <c r="AL303" s="133" t="n">
        <f aca="false">IF(OR(OR($B303="",$E303="",$F303=""),$L303&lt;&gt;"لا"),0,MAX(0,MIN($F303,EOMONTH(DATE(cfg_FY,5,1),0))-$E303+1))</f>
        <v>0</v>
      </c>
      <c r="AM303" s="133" t="n">
        <f aca="false">IF(OR(OR($B303="",$E303="",$F303=""),$L303&lt;&gt;"لا"),0,MAX(0,MIN($F303,EOMONTH(DATE(cfg_FY,6,1),0))-$E303+1))</f>
        <v>0</v>
      </c>
      <c r="AN303" s="133" t="n">
        <f aca="false">IF(OR(OR($B303="",$E303="",$F303=""),$L303&lt;&gt;"لا"),0,MAX(0,MIN($F303,EOMONTH(DATE(cfg_FY,7,1),0))-$E303+1))</f>
        <v>0</v>
      </c>
      <c r="AO303" s="133" t="n">
        <f aca="false">IF(OR(OR($B303="",$E303="",$F303=""),$L303&lt;&gt;"لا"),0,MAX(0,MIN($F303,EOMONTH(DATE(cfg_FY,8,1),0))-$E303+1))</f>
        <v>0</v>
      </c>
      <c r="AP303" s="133" t="n">
        <f aca="false">IF(OR(OR($B303="",$E303="",$F303=""),$L303&lt;&gt;"لا"),0,MAX(0,MIN($F303,EOMONTH(DATE(cfg_FY,9,1),0))-$E303+1))</f>
        <v>0</v>
      </c>
      <c r="AQ303" s="133" t="n">
        <f aca="false">IF(OR(OR($B303="",$E303="",$F303=""),$L303&lt;&gt;"لا"),0,MAX(0,MIN($F303,EOMONTH(DATE(cfg_FY,10,1),0))-$E303+1))</f>
        <v>0</v>
      </c>
      <c r="AR303" s="133" t="n">
        <f aca="false">IF(OR(OR($B303="",$E303="",$F303=""),$L303&lt;&gt;"لا"),0,MAX(0,MIN($F303,EOMONTH(DATE(cfg_FY,11,1),0))-$E303+1))</f>
        <v>0</v>
      </c>
      <c r="AS303" s="133" t="n">
        <f aca="false">IF(OR(OR($B303="",$E303="",$F303=""),$L303&lt;&gt;"لا"),0,MAX(0,MIN($F303,EOMONTH(DATE(cfg_FY,12,1),0))-$E303+1))</f>
        <v>0</v>
      </c>
      <c r="AT303" s="133" t="n">
        <f aca="false">IF(OR(OR($B303="",$E303="",$F303=""),$K303&lt;&gt;"نعم",$M303="نعم"),0,MAX(0,MIN($F303,EOMONTH(DATE(cfg_FY,1,1),0))-MAX($E303,DATE(cfg_FY,1,1))+1))</f>
        <v>0</v>
      </c>
      <c r="AU303" s="133" t="n">
        <f aca="false">IF(OR(OR($B303="",$E303="",$F303=""),$K303&lt;&gt;"نعم",$M303="نعم"),0,MAX(0,MIN($F303,EOMONTH(DATE(cfg_FY,2,1),0))-MAX($E303,DATE(cfg_FY,2,1))+1))</f>
        <v>0</v>
      </c>
      <c r="AV303" s="133" t="n">
        <f aca="false">IF(OR(OR($B303="",$E303="",$F303=""),$K303&lt;&gt;"نعم",$M303="نعم"),0,MAX(0,MIN($F303,EOMONTH(DATE(cfg_FY,3,1),0))-MAX($E303,DATE(cfg_FY,3,1))+1))</f>
        <v>0</v>
      </c>
      <c r="AW303" s="133" t="n">
        <f aca="false">IF(OR(OR($B303="",$E303="",$F303=""),$K303&lt;&gt;"نعم",$M303="نعم"),0,MAX(0,MIN($F303,EOMONTH(DATE(cfg_FY,4,1),0))-MAX($E303,DATE(cfg_FY,4,1))+1))</f>
        <v>0</v>
      </c>
      <c r="AX303" s="133" t="n">
        <f aca="false">IF(OR(OR($B303="",$E303="",$F303=""),$K303&lt;&gt;"نعم",$M303="نعم"),0,MAX(0,MIN($F303,EOMONTH(DATE(cfg_FY,5,1),0))-MAX($E303,DATE(cfg_FY,5,1))+1))</f>
        <v>0</v>
      </c>
      <c r="AY303" s="133" t="n">
        <f aca="false">IF(OR(OR($B303="",$E303="",$F303=""),$K303&lt;&gt;"نعم",$M303="نعم"),0,MAX(0,MIN($F303,EOMONTH(DATE(cfg_FY,6,1),0))-MAX($E303,DATE(cfg_FY,6,1))+1))</f>
        <v>0</v>
      </c>
      <c r="AZ303" s="133" t="n">
        <f aca="false">IF(OR(OR($B303="",$E303="",$F303=""),$K303&lt;&gt;"نعم",$M303="نعم"),0,MAX(0,MIN($F303,EOMONTH(DATE(cfg_FY,7,1),0))-MAX($E303,DATE(cfg_FY,7,1))+1))</f>
        <v>0</v>
      </c>
      <c r="BA303" s="133" t="n">
        <f aca="false">IF(OR(OR($B303="",$E303="",$F303=""),$K303&lt;&gt;"نعم",$M303="نعم"),0,MAX(0,MIN($F303,EOMONTH(DATE(cfg_FY,8,1),0))-MAX($E303,DATE(cfg_FY,8,1))+1))</f>
        <v>0</v>
      </c>
      <c r="BB303" s="133" t="n">
        <f aca="false">IF(OR(OR($B303="",$E303="",$F303=""),$K303&lt;&gt;"نعم",$M303="نعم"),0,MAX(0,MIN($F303,EOMONTH(DATE(cfg_FY,9,1),0))-MAX($E303,DATE(cfg_FY,9,1))+1))</f>
        <v>0</v>
      </c>
      <c r="BC303" s="133" t="n">
        <f aca="false">IF(OR(OR($B303="",$E303="",$F303=""),$K303&lt;&gt;"نعم",$M303="نعم"),0,MAX(0,MIN($F303,EOMONTH(DATE(cfg_FY,10,1),0))-MAX($E303,DATE(cfg_FY,10,1))+1))</f>
        <v>0</v>
      </c>
      <c r="BD303" s="133" t="n">
        <f aca="false">IF(OR(OR($B303="",$E303="",$F303=""),$K303&lt;&gt;"نعم",$M303="نعم"),0,MAX(0,MIN($F303,EOMONTH(DATE(cfg_FY,11,1),0))-MAX($E303,DATE(cfg_FY,11,1))+1))</f>
        <v>0</v>
      </c>
      <c r="BE303" s="133" t="n">
        <f aca="false">IF(OR(OR($B303="",$E303="",$F303=""),$K303&lt;&gt;"نعم",$M303="نعم"),0,MAX(0,MIN($F303,EOMONTH(DATE(cfg_FY,12,1),0))-MAX($E303,DATE(cfg_FY,12,1))+1))</f>
        <v>0</v>
      </c>
    </row>
    <row r="304" customFormat="false" ht="15" hidden="false" customHeight="false" outlineLevel="0" collapsed="false">
      <c r="A304" s="106" t="str">
        <f aca="false">IF(B304="","",ROW()-5)</f>
        <v/>
      </c>
      <c r="B304" s="118"/>
      <c r="C304" s="114" t="str">
        <f aca="false">IF(B304="","",IFERROR(INDEX(الموظفون!$C$6:$C$105,MATCH(B304,الموظفون!$B$6:$B$105,0)),"✖ رقم غير موجود"))</f>
        <v/>
      </c>
      <c r="D304" s="118"/>
      <c r="E304" s="119"/>
      <c r="F304" s="119"/>
      <c r="G304" s="65" t="str">
        <f aca="false">IF(OR($B304="",$E304="",$F304=""),"",MAX(0,F304-E304+1))</f>
        <v/>
      </c>
      <c r="H304" s="66" t="str">
        <f aca="false">IF(D304="","",IFERROR(VLOOKUP(D304,cfg_LT,2,FALSE()),1))</f>
        <v/>
      </c>
      <c r="I304" s="135"/>
      <c r="J304" s="66" t="str">
        <f aca="false">IF(D304="","",IF(I304&lt;&gt;"",I304,H304))</f>
        <v/>
      </c>
      <c r="K304" s="114" t="str">
        <f aca="false">IF(D304="","",IFERROR(VLOOKUP($D304,cfg_LT,3,FALSE()),""))</f>
        <v/>
      </c>
      <c r="L304" s="114" t="str">
        <f aca="false">IF(D304="","",IFERROR(VLOOKUP($D304,cfg_LT,4,FALSE()),""))</f>
        <v/>
      </c>
      <c r="M304" s="114" t="str">
        <f aca="false">IF(D304="","",IFERROR(VLOOKUP($D304,cfg_LT,5,FALSE()),""))</f>
        <v/>
      </c>
      <c r="N304" s="111" t="n">
        <f aca="false">IF(OR(OR($B304="",$E304="",$F304=""),M304&lt;&gt;"نعم"),0,G304*J304*IFERROR(INDEX(الموظفون!$R$6:$R$105,MATCH(B304,الموظفون!$B$6:$B$105,0)),0)/cfg_DAYS_M)</f>
        <v>0</v>
      </c>
      <c r="O304" s="106" t="str">
        <f aca="false">IF(OR(OR($B304="",$E304="",$F304=""),M304&lt;&gt;"نعم"),"",IF(YEAR(E304)=cfg_FY,MONTH(E304),""))</f>
        <v/>
      </c>
      <c r="P304" s="114" t="str">
        <f aca="false">IF(B304="","",IF(OR(D304="",E304="",F304=""),"⚠ أكمل النوع والتواريخ",IF(F304&lt;E304,"✖ النهاية قبل البداية",IF(COUNTIFS($B$6:$B$505,B304,$E$6:$E$505,"&lt;="&amp;F304,$F$6:$F$505,"&gt;="&amp;E304)&gt;1,"⚠ تداخل مع سجل آخر",IF(E304&gt;cfg_VAL_DATE,"⏳ قادمة",IF(F304&lt;cfg_VAL_DATE,"✔ منتهية","✈ جارية في تاريخ التقرير"))))))</f>
        <v/>
      </c>
      <c r="Q304" s="118"/>
      <c r="R304" s="65" t="n">
        <f aca="false">IF(OR(OR($B304="",$E304="",$F304=""),L304&lt;&gt;"لا"),0,MAX(0,MIN(F304,cfg_Y_START-1)-E304+1))</f>
        <v>0</v>
      </c>
      <c r="S304" s="65" t="n">
        <f aca="false">IF(OR(OR($B304="",$E304="",$F304=""),L304&lt;&gt;"لا"),0,MAX(0,MIN(F304,cfg_VAL_DATE)-E304+1))</f>
        <v>0</v>
      </c>
      <c r="T304" s="65" t="n">
        <f aca="false">IF(OR(OR($B304="",$E304="",$F304=""),K304&lt;&gt;"نعم"),0,IF(M304="نعم",IF(AND(ISNUMBER(O304),N(O304)&lt;=cfg_VAL_M),G304,0),MAX(0,MIN(F304,cfg_VAL_DATE)-MAX(E304,cfg_Y_START)+1)))</f>
        <v>0</v>
      </c>
      <c r="V304" s="65" t="n">
        <f aca="false">IF(OR($B304="",$E304="",$F304=""),0,MAX(0,MIN($F304,EOMONTH(DATE(cfg_FY,1,1),0))-MAX($E304,DATE(cfg_FY,1,1))+1)*(1-IF($M304="نعم",0,N($J304))))</f>
        <v>0</v>
      </c>
      <c r="W304" s="65" t="n">
        <f aca="false">IF(OR($B304="",$E304="",$F304=""),0,MAX(0,MIN($F304,EOMONTH(DATE(cfg_FY,2,1),0))-MAX($E304,DATE(cfg_FY,2,1))+1)*(1-IF($M304="نعم",0,N($J304))))</f>
        <v>0</v>
      </c>
      <c r="X304" s="65" t="n">
        <f aca="false">IF(OR($B304="",$E304="",$F304=""),0,MAX(0,MIN($F304,EOMONTH(DATE(cfg_FY,3,1),0))-MAX($E304,DATE(cfg_FY,3,1))+1)*(1-IF($M304="نعم",0,N($J304))))</f>
        <v>0</v>
      </c>
      <c r="Y304" s="65" t="n">
        <f aca="false">IF(OR($B304="",$E304="",$F304=""),0,MAX(0,MIN($F304,EOMONTH(DATE(cfg_FY,4,1),0))-MAX($E304,DATE(cfg_FY,4,1))+1)*(1-IF($M304="نعم",0,N($J304))))</f>
        <v>0</v>
      </c>
      <c r="Z304" s="65" t="n">
        <f aca="false">IF(OR($B304="",$E304="",$F304=""),0,MAX(0,MIN($F304,EOMONTH(DATE(cfg_FY,5,1),0))-MAX($E304,DATE(cfg_FY,5,1))+1)*(1-IF($M304="نعم",0,N($J304))))</f>
        <v>0</v>
      </c>
      <c r="AA304" s="65" t="n">
        <f aca="false">IF(OR($B304="",$E304="",$F304=""),0,MAX(0,MIN($F304,EOMONTH(DATE(cfg_FY,6,1),0))-MAX($E304,DATE(cfg_FY,6,1))+1)*(1-IF($M304="نعم",0,N($J304))))</f>
        <v>0</v>
      </c>
      <c r="AB304" s="65" t="n">
        <f aca="false">IF(OR($B304="",$E304="",$F304=""),0,MAX(0,MIN($F304,EOMONTH(DATE(cfg_FY,7,1),0))-MAX($E304,DATE(cfg_FY,7,1))+1)*(1-IF($M304="نعم",0,N($J304))))</f>
        <v>0</v>
      </c>
      <c r="AC304" s="65" t="n">
        <f aca="false">IF(OR($B304="",$E304="",$F304=""),0,MAX(0,MIN($F304,EOMONTH(DATE(cfg_FY,8,1),0))-MAX($E304,DATE(cfg_FY,8,1))+1)*(1-IF($M304="نعم",0,N($J304))))</f>
        <v>0</v>
      </c>
      <c r="AD304" s="65" t="n">
        <f aca="false">IF(OR($B304="",$E304="",$F304=""),0,MAX(0,MIN($F304,EOMONTH(DATE(cfg_FY,9,1),0))-MAX($E304,DATE(cfg_FY,9,1))+1)*(1-IF($M304="نعم",0,N($J304))))</f>
        <v>0</v>
      </c>
      <c r="AE304" s="65" t="n">
        <f aca="false">IF(OR($B304="",$E304="",$F304=""),0,MAX(0,MIN($F304,EOMONTH(DATE(cfg_FY,10,1),0))-MAX($E304,DATE(cfg_FY,10,1))+1)*(1-IF($M304="نعم",0,N($J304))))</f>
        <v>0</v>
      </c>
      <c r="AF304" s="65" t="n">
        <f aca="false">IF(OR($B304="",$E304="",$F304=""),0,MAX(0,MIN($F304,EOMONTH(DATE(cfg_FY,11,1),0))-MAX($E304,DATE(cfg_FY,11,1))+1)*(1-IF($M304="نعم",0,N($J304))))</f>
        <v>0</v>
      </c>
      <c r="AG304" s="65" t="n">
        <f aca="false">IF(OR($B304="",$E304="",$F304=""),0,MAX(0,MIN($F304,EOMONTH(DATE(cfg_FY,12,1),0))-MAX($E304,DATE(cfg_FY,12,1))+1)*(1-IF($M304="نعم",0,N($J304))))</f>
        <v>0</v>
      </c>
      <c r="AH304" s="65" t="n">
        <f aca="false">IF(OR(OR($B304="",$E304="",$F304=""),$L304&lt;&gt;"لا"),0,MAX(0,MIN($F304,EOMONTH(DATE(cfg_FY,1,1),0))-$E304+1))</f>
        <v>0</v>
      </c>
      <c r="AI304" s="65" t="n">
        <f aca="false">IF(OR(OR($B304="",$E304="",$F304=""),$L304&lt;&gt;"لا"),0,MAX(0,MIN($F304,EOMONTH(DATE(cfg_FY,2,1),0))-$E304+1))</f>
        <v>0</v>
      </c>
      <c r="AJ304" s="65" t="n">
        <f aca="false">IF(OR(OR($B304="",$E304="",$F304=""),$L304&lt;&gt;"لا"),0,MAX(0,MIN($F304,EOMONTH(DATE(cfg_FY,3,1),0))-$E304+1))</f>
        <v>0</v>
      </c>
      <c r="AK304" s="65" t="n">
        <f aca="false">IF(OR(OR($B304="",$E304="",$F304=""),$L304&lt;&gt;"لا"),0,MAX(0,MIN($F304,EOMONTH(DATE(cfg_FY,4,1),0))-$E304+1))</f>
        <v>0</v>
      </c>
      <c r="AL304" s="65" t="n">
        <f aca="false">IF(OR(OR($B304="",$E304="",$F304=""),$L304&lt;&gt;"لا"),0,MAX(0,MIN($F304,EOMONTH(DATE(cfg_FY,5,1),0))-$E304+1))</f>
        <v>0</v>
      </c>
      <c r="AM304" s="65" t="n">
        <f aca="false">IF(OR(OR($B304="",$E304="",$F304=""),$L304&lt;&gt;"لا"),0,MAX(0,MIN($F304,EOMONTH(DATE(cfg_FY,6,1),0))-$E304+1))</f>
        <v>0</v>
      </c>
      <c r="AN304" s="65" t="n">
        <f aca="false">IF(OR(OR($B304="",$E304="",$F304=""),$L304&lt;&gt;"لا"),0,MAX(0,MIN($F304,EOMONTH(DATE(cfg_FY,7,1),0))-$E304+1))</f>
        <v>0</v>
      </c>
      <c r="AO304" s="65" t="n">
        <f aca="false">IF(OR(OR($B304="",$E304="",$F304=""),$L304&lt;&gt;"لا"),0,MAX(0,MIN($F304,EOMONTH(DATE(cfg_FY,8,1),0))-$E304+1))</f>
        <v>0</v>
      </c>
      <c r="AP304" s="65" t="n">
        <f aca="false">IF(OR(OR($B304="",$E304="",$F304=""),$L304&lt;&gt;"لا"),0,MAX(0,MIN($F304,EOMONTH(DATE(cfg_FY,9,1),0))-$E304+1))</f>
        <v>0</v>
      </c>
      <c r="AQ304" s="65" t="n">
        <f aca="false">IF(OR(OR($B304="",$E304="",$F304=""),$L304&lt;&gt;"لا"),0,MAX(0,MIN($F304,EOMONTH(DATE(cfg_FY,10,1),0))-$E304+1))</f>
        <v>0</v>
      </c>
      <c r="AR304" s="65" t="n">
        <f aca="false">IF(OR(OR($B304="",$E304="",$F304=""),$L304&lt;&gt;"لا"),0,MAX(0,MIN($F304,EOMONTH(DATE(cfg_FY,11,1),0))-$E304+1))</f>
        <v>0</v>
      </c>
      <c r="AS304" s="65" t="n">
        <f aca="false">IF(OR(OR($B304="",$E304="",$F304=""),$L304&lt;&gt;"لا"),0,MAX(0,MIN($F304,EOMONTH(DATE(cfg_FY,12,1),0))-$E304+1))</f>
        <v>0</v>
      </c>
      <c r="AT304" s="65" t="n">
        <f aca="false">IF(OR(OR($B304="",$E304="",$F304=""),$K304&lt;&gt;"نعم",$M304="نعم"),0,MAX(0,MIN($F304,EOMONTH(DATE(cfg_FY,1,1),0))-MAX($E304,DATE(cfg_FY,1,1))+1))</f>
        <v>0</v>
      </c>
      <c r="AU304" s="65" t="n">
        <f aca="false">IF(OR(OR($B304="",$E304="",$F304=""),$K304&lt;&gt;"نعم",$M304="نعم"),0,MAX(0,MIN($F304,EOMONTH(DATE(cfg_FY,2,1),0))-MAX($E304,DATE(cfg_FY,2,1))+1))</f>
        <v>0</v>
      </c>
      <c r="AV304" s="65" t="n">
        <f aca="false">IF(OR(OR($B304="",$E304="",$F304=""),$K304&lt;&gt;"نعم",$M304="نعم"),0,MAX(0,MIN($F304,EOMONTH(DATE(cfg_FY,3,1),0))-MAX($E304,DATE(cfg_FY,3,1))+1))</f>
        <v>0</v>
      </c>
      <c r="AW304" s="65" t="n">
        <f aca="false">IF(OR(OR($B304="",$E304="",$F304=""),$K304&lt;&gt;"نعم",$M304="نعم"),0,MAX(0,MIN($F304,EOMONTH(DATE(cfg_FY,4,1),0))-MAX($E304,DATE(cfg_FY,4,1))+1))</f>
        <v>0</v>
      </c>
      <c r="AX304" s="65" t="n">
        <f aca="false">IF(OR(OR($B304="",$E304="",$F304=""),$K304&lt;&gt;"نعم",$M304="نعم"),0,MAX(0,MIN($F304,EOMONTH(DATE(cfg_FY,5,1),0))-MAX($E304,DATE(cfg_FY,5,1))+1))</f>
        <v>0</v>
      </c>
      <c r="AY304" s="65" t="n">
        <f aca="false">IF(OR(OR($B304="",$E304="",$F304=""),$K304&lt;&gt;"نعم",$M304="نعم"),0,MAX(0,MIN($F304,EOMONTH(DATE(cfg_FY,6,1),0))-MAX($E304,DATE(cfg_FY,6,1))+1))</f>
        <v>0</v>
      </c>
      <c r="AZ304" s="65" t="n">
        <f aca="false">IF(OR(OR($B304="",$E304="",$F304=""),$K304&lt;&gt;"نعم",$M304="نعم"),0,MAX(0,MIN($F304,EOMONTH(DATE(cfg_FY,7,1),0))-MAX($E304,DATE(cfg_FY,7,1))+1))</f>
        <v>0</v>
      </c>
      <c r="BA304" s="65" t="n">
        <f aca="false">IF(OR(OR($B304="",$E304="",$F304=""),$K304&lt;&gt;"نعم",$M304="نعم"),0,MAX(0,MIN($F304,EOMONTH(DATE(cfg_FY,8,1),0))-MAX($E304,DATE(cfg_FY,8,1))+1))</f>
        <v>0</v>
      </c>
      <c r="BB304" s="65" t="n">
        <f aca="false">IF(OR(OR($B304="",$E304="",$F304=""),$K304&lt;&gt;"نعم",$M304="نعم"),0,MAX(0,MIN($F304,EOMONTH(DATE(cfg_FY,9,1),0))-MAX($E304,DATE(cfg_FY,9,1))+1))</f>
        <v>0</v>
      </c>
      <c r="BC304" s="65" t="n">
        <f aca="false">IF(OR(OR($B304="",$E304="",$F304=""),$K304&lt;&gt;"نعم",$M304="نعم"),0,MAX(0,MIN($F304,EOMONTH(DATE(cfg_FY,10,1),0))-MAX($E304,DATE(cfg_FY,10,1))+1))</f>
        <v>0</v>
      </c>
      <c r="BD304" s="65" t="n">
        <f aca="false">IF(OR(OR($B304="",$E304="",$F304=""),$K304&lt;&gt;"نعم",$M304="نعم"),0,MAX(0,MIN($F304,EOMONTH(DATE(cfg_FY,11,1),0))-MAX($E304,DATE(cfg_FY,11,1))+1))</f>
        <v>0</v>
      </c>
      <c r="BE304" s="65" t="n">
        <f aca="false">IF(OR(OR($B304="",$E304="",$F304=""),$K304&lt;&gt;"نعم",$M304="نعم"),0,MAX(0,MIN($F304,EOMONTH(DATE(cfg_FY,12,1),0))-MAX($E304,DATE(cfg_FY,12,1))+1))</f>
        <v>0</v>
      </c>
    </row>
    <row r="305" customFormat="false" ht="15" hidden="false" customHeight="false" outlineLevel="0" collapsed="false">
      <c r="A305" s="115" t="str">
        <f aca="false">IF(B305="","",ROW()-5)</f>
        <v/>
      </c>
      <c r="B305" s="118"/>
      <c r="C305" s="117" t="str">
        <f aca="false">IF(B305="","",IFERROR(INDEX(الموظفون!$C$6:$C$105,MATCH(B305,الموظفون!$B$6:$B$105,0)),"✖ رقم غير موجود"))</f>
        <v/>
      </c>
      <c r="D305" s="118"/>
      <c r="E305" s="119"/>
      <c r="F305" s="119"/>
      <c r="G305" s="133" t="str">
        <f aca="false">IF(OR($B305="",$E305="",$F305=""),"",MAX(0,F305-E305+1))</f>
        <v/>
      </c>
      <c r="H305" s="134" t="str">
        <f aca="false">IF(D305="","",IFERROR(VLOOKUP(D305,cfg_LT,2,FALSE()),1))</f>
        <v/>
      </c>
      <c r="I305" s="135"/>
      <c r="J305" s="134" t="str">
        <f aca="false">IF(D305="","",IF(I305&lt;&gt;"",I305,H305))</f>
        <v/>
      </c>
      <c r="K305" s="117" t="str">
        <f aca="false">IF(D305="","",IFERROR(VLOOKUP($D305,cfg_LT,3,FALSE()),""))</f>
        <v/>
      </c>
      <c r="L305" s="117" t="str">
        <f aca="false">IF(D305="","",IFERROR(VLOOKUP($D305,cfg_LT,4,FALSE()),""))</f>
        <v/>
      </c>
      <c r="M305" s="117" t="str">
        <f aca="false">IF(D305="","",IFERROR(VLOOKUP($D305,cfg_LT,5,FALSE()),""))</f>
        <v/>
      </c>
      <c r="N305" s="116" t="n">
        <f aca="false">IF(OR(OR($B305="",$E305="",$F305=""),M305&lt;&gt;"نعم"),0,G305*J305*IFERROR(INDEX(الموظفون!$R$6:$R$105,MATCH(B305,الموظفون!$B$6:$B$105,0)),0)/cfg_DAYS_M)</f>
        <v>0</v>
      </c>
      <c r="O305" s="115" t="str">
        <f aca="false">IF(OR(OR($B305="",$E305="",$F305=""),M305&lt;&gt;"نعم"),"",IF(YEAR(E305)=cfg_FY,MONTH(E305),""))</f>
        <v/>
      </c>
      <c r="P305" s="117" t="str">
        <f aca="false">IF(B305="","",IF(OR(D305="",E305="",F305=""),"⚠ أكمل النوع والتواريخ",IF(F305&lt;E305,"✖ النهاية قبل البداية",IF(COUNTIFS($B$6:$B$505,B305,$E$6:$E$505,"&lt;="&amp;F305,$F$6:$F$505,"&gt;="&amp;E305)&gt;1,"⚠ تداخل مع سجل آخر",IF(E305&gt;cfg_VAL_DATE,"⏳ قادمة",IF(F305&lt;cfg_VAL_DATE,"✔ منتهية","✈ جارية في تاريخ التقرير"))))))</f>
        <v/>
      </c>
      <c r="Q305" s="118"/>
      <c r="R305" s="133" t="n">
        <f aca="false">IF(OR(OR($B305="",$E305="",$F305=""),L305&lt;&gt;"لا"),0,MAX(0,MIN(F305,cfg_Y_START-1)-E305+1))</f>
        <v>0</v>
      </c>
      <c r="S305" s="133" t="n">
        <f aca="false">IF(OR(OR($B305="",$E305="",$F305=""),L305&lt;&gt;"لا"),0,MAX(0,MIN(F305,cfg_VAL_DATE)-E305+1))</f>
        <v>0</v>
      </c>
      <c r="T305" s="133" t="n">
        <f aca="false">IF(OR(OR($B305="",$E305="",$F305=""),K305&lt;&gt;"نعم"),0,IF(M305="نعم",IF(AND(ISNUMBER(O305),N(O305)&lt;=cfg_VAL_M),G305,0),MAX(0,MIN(F305,cfg_VAL_DATE)-MAX(E305,cfg_Y_START)+1)))</f>
        <v>0</v>
      </c>
      <c r="V305" s="133" t="n">
        <f aca="false">IF(OR($B305="",$E305="",$F305=""),0,MAX(0,MIN($F305,EOMONTH(DATE(cfg_FY,1,1),0))-MAX($E305,DATE(cfg_FY,1,1))+1)*(1-IF($M305="نعم",0,N($J305))))</f>
        <v>0</v>
      </c>
      <c r="W305" s="133" t="n">
        <f aca="false">IF(OR($B305="",$E305="",$F305=""),0,MAX(0,MIN($F305,EOMONTH(DATE(cfg_FY,2,1),0))-MAX($E305,DATE(cfg_FY,2,1))+1)*(1-IF($M305="نعم",0,N($J305))))</f>
        <v>0</v>
      </c>
      <c r="X305" s="133" t="n">
        <f aca="false">IF(OR($B305="",$E305="",$F305=""),0,MAX(0,MIN($F305,EOMONTH(DATE(cfg_FY,3,1),0))-MAX($E305,DATE(cfg_FY,3,1))+1)*(1-IF($M305="نعم",0,N($J305))))</f>
        <v>0</v>
      </c>
      <c r="Y305" s="133" t="n">
        <f aca="false">IF(OR($B305="",$E305="",$F305=""),0,MAX(0,MIN($F305,EOMONTH(DATE(cfg_FY,4,1),0))-MAX($E305,DATE(cfg_FY,4,1))+1)*(1-IF($M305="نعم",0,N($J305))))</f>
        <v>0</v>
      </c>
      <c r="Z305" s="133" t="n">
        <f aca="false">IF(OR($B305="",$E305="",$F305=""),0,MAX(0,MIN($F305,EOMONTH(DATE(cfg_FY,5,1),0))-MAX($E305,DATE(cfg_FY,5,1))+1)*(1-IF($M305="نعم",0,N($J305))))</f>
        <v>0</v>
      </c>
      <c r="AA305" s="133" t="n">
        <f aca="false">IF(OR($B305="",$E305="",$F305=""),0,MAX(0,MIN($F305,EOMONTH(DATE(cfg_FY,6,1),0))-MAX($E305,DATE(cfg_FY,6,1))+1)*(1-IF($M305="نعم",0,N($J305))))</f>
        <v>0</v>
      </c>
      <c r="AB305" s="133" t="n">
        <f aca="false">IF(OR($B305="",$E305="",$F305=""),0,MAX(0,MIN($F305,EOMONTH(DATE(cfg_FY,7,1),0))-MAX($E305,DATE(cfg_FY,7,1))+1)*(1-IF($M305="نعم",0,N($J305))))</f>
        <v>0</v>
      </c>
      <c r="AC305" s="133" t="n">
        <f aca="false">IF(OR($B305="",$E305="",$F305=""),0,MAX(0,MIN($F305,EOMONTH(DATE(cfg_FY,8,1),0))-MAX($E305,DATE(cfg_FY,8,1))+1)*(1-IF($M305="نعم",0,N($J305))))</f>
        <v>0</v>
      </c>
      <c r="AD305" s="133" t="n">
        <f aca="false">IF(OR($B305="",$E305="",$F305=""),0,MAX(0,MIN($F305,EOMONTH(DATE(cfg_FY,9,1),0))-MAX($E305,DATE(cfg_FY,9,1))+1)*(1-IF($M305="نعم",0,N($J305))))</f>
        <v>0</v>
      </c>
      <c r="AE305" s="133" t="n">
        <f aca="false">IF(OR($B305="",$E305="",$F305=""),0,MAX(0,MIN($F305,EOMONTH(DATE(cfg_FY,10,1),0))-MAX($E305,DATE(cfg_FY,10,1))+1)*(1-IF($M305="نعم",0,N($J305))))</f>
        <v>0</v>
      </c>
      <c r="AF305" s="133" t="n">
        <f aca="false">IF(OR($B305="",$E305="",$F305=""),0,MAX(0,MIN($F305,EOMONTH(DATE(cfg_FY,11,1),0))-MAX($E305,DATE(cfg_FY,11,1))+1)*(1-IF($M305="نعم",0,N($J305))))</f>
        <v>0</v>
      </c>
      <c r="AG305" s="133" t="n">
        <f aca="false">IF(OR($B305="",$E305="",$F305=""),0,MAX(0,MIN($F305,EOMONTH(DATE(cfg_FY,12,1),0))-MAX($E305,DATE(cfg_FY,12,1))+1)*(1-IF($M305="نعم",0,N($J305))))</f>
        <v>0</v>
      </c>
      <c r="AH305" s="133" t="n">
        <f aca="false">IF(OR(OR($B305="",$E305="",$F305=""),$L305&lt;&gt;"لا"),0,MAX(0,MIN($F305,EOMONTH(DATE(cfg_FY,1,1),0))-$E305+1))</f>
        <v>0</v>
      </c>
      <c r="AI305" s="133" t="n">
        <f aca="false">IF(OR(OR($B305="",$E305="",$F305=""),$L305&lt;&gt;"لا"),0,MAX(0,MIN($F305,EOMONTH(DATE(cfg_FY,2,1),0))-$E305+1))</f>
        <v>0</v>
      </c>
      <c r="AJ305" s="133" t="n">
        <f aca="false">IF(OR(OR($B305="",$E305="",$F305=""),$L305&lt;&gt;"لا"),0,MAX(0,MIN($F305,EOMONTH(DATE(cfg_FY,3,1),0))-$E305+1))</f>
        <v>0</v>
      </c>
      <c r="AK305" s="133" t="n">
        <f aca="false">IF(OR(OR($B305="",$E305="",$F305=""),$L305&lt;&gt;"لا"),0,MAX(0,MIN($F305,EOMONTH(DATE(cfg_FY,4,1),0))-$E305+1))</f>
        <v>0</v>
      </c>
      <c r="AL305" s="133" t="n">
        <f aca="false">IF(OR(OR($B305="",$E305="",$F305=""),$L305&lt;&gt;"لا"),0,MAX(0,MIN($F305,EOMONTH(DATE(cfg_FY,5,1),0))-$E305+1))</f>
        <v>0</v>
      </c>
      <c r="AM305" s="133" t="n">
        <f aca="false">IF(OR(OR($B305="",$E305="",$F305=""),$L305&lt;&gt;"لا"),0,MAX(0,MIN($F305,EOMONTH(DATE(cfg_FY,6,1),0))-$E305+1))</f>
        <v>0</v>
      </c>
      <c r="AN305" s="133" t="n">
        <f aca="false">IF(OR(OR($B305="",$E305="",$F305=""),$L305&lt;&gt;"لا"),0,MAX(0,MIN($F305,EOMONTH(DATE(cfg_FY,7,1),0))-$E305+1))</f>
        <v>0</v>
      </c>
      <c r="AO305" s="133" t="n">
        <f aca="false">IF(OR(OR($B305="",$E305="",$F305=""),$L305&lt;&gt;"لا"),0,MAX(0,MIN($F305,EOMONTH(DATE(cfg_FY,8,1),0))-$E305+1))</f>
        <v>0</v>
      </c>
      <c r="AP305" s="133" t="n">
        <f aca="false">IF(OR(OR($B305="",$E305="",$F305=""),$L305&lt;&gt;"لا"),0,MAX(0,MIN($F305,EOMONTH(DATE(cfg_FY,9,1),0))-$E305+1))</f>
        <v>0</v>
      </c>
      <c r="AQ305" s="133" t="n">
        <f aca="false">IF(OR(OR($B305="",$E305="",$F305=""),$L305&lt;&gt;"لا"),0,MAX(0,MIN($F305,EOMONTH(DATE(cfg_FY,10,1),0))-$E305+1))</f>
        <v>0</v>
      </c>
      <c r="AR305" s="133" t="n">
        <f aca="false">IF(OR(OR($B305="",$E305="",$F305=""),$L305&lt;&gt;"لا"),0,MAX(0,MIN($F305,EOMONTH(DATE(cfg_FY,11,1),0))-$E305+1))</f>
        <v>0</v>
      </c>
      <c r="AS305" s="133" t="n">
        <f aca="false">IF(OR(OR($B305="",$E305="",$F305=""),$L305&lt;&gt;"لا"),0,MAX(0,MIN($F305,EOMONTH(DATE(cfg_FY,12,1),0))-$E305+1))</f>
        <v>0</v>
      </c>
      <c r="AT305" s="133" t="n">
        <f aca="false">IF(OR(OR($B305="",$E305="",$F305=""),$K305&lt;&gt;"نعم",$M305="نعم"),0,MAX(0,MIN($F305,EOMONTH(DATE(cfg_FY,1,1),0))-MAX($E305,DATE(cfg_FY,1,1))+1))</f>
        <v>0</v>
      </c>
      <c r="AU305" s="133" t="n">
        <f aca="false">IF(OR(OR($B305="",$E305="",$F305=""),$K305&lt;&gt;"نعم",$M305="نعم"),0,MAX(0,MIN($F305,EOMONTH(DATE(cfg_FY,2,1),0))-MAX($E305,DATE(cfg_FY,2,1))+1))</f>
        <v>0</v>
      </c>
      <c r="AV305" s="133" t="n">
        <f aca="false">IF(OR(OR($B305="",$E305="",$F305=""),$K305&lt;&gt;"نعم",$M305="نعم"),0,MAX(0,MIN($F305,EOMONTH(DATE(cfg_FY,3,1),0))-MAX($E305,DATE(cfg_FY,3,1))+1))</f>
        <v>0</v>
      </c>
      <c r="AW305" s="133" t="n">
        <f aca="false">IF(OR(OR($B305="",$E305="",$F305=""),$K305&lt;&gt;"نعم",$M305="نعم"),0,MAX(0,MIN($F305,EOMONTH(DATE(cfg_FY,4,1),0))-MAX($E305,DATE(cfg_FY,4,1))+1))</f>
        <v>0</v>
      </c>
      <c r="AX305" s="133" t="n">
        <f aca="false">IF(OR(OR($B305="",$E305="",$F305=""),$K305&lt;&gt;"نعم",$M305="نعم"),0,MAX(0,MIN($F305,EOMONTH(DATE(cfg_FY,5,1),0))-MAX($E305,DATE(cfg_FY,5,1))+1))</f>
        <v>0</v>
      </c>
      <c r="AY305" s="133" t="n">
        <f aca="false">IF(OR(OR($B305="",$E305="",$F305=""),$K305&lt;&gt;"نعم",$M305="نعم"),0,MAX(0,MIN($F305,EOMONTH(DATE(cfg_FY,6,1),0))-MAX($E305,DATE(cfg_FY,6,1))+1))</f>
        <v>0</v>
      </c>
      <c r="AZ305" s="133" t="n">
        <f aca="false">IF(OR(OR($B305="",$E305="",$F305=""),$K305&lt;&gt;"نعم",$M305="نعم"),0,MAX(0,MIN($F305,EOMONTH(DATE(cfg_FY,7,1),0))-MAX($E305,DATE(cfg_FY,7,1))+1))</f>
        <v>0</v>
      </c>
      <c r="BA305" s="133" t="n">
        <f aca="false">IF(OR(OR($B305="",$E305="",$F305=""),$K305&lt;&gt;"نعم",$M305="نعم"),0,MAX(0,MIN($F305,EOMONTH(DATE(cfg_FY,8,1),0))-MAX($E305,DATE(cfg_FY,8,1))+1))</f>
        <v>0</v>
      </c>
      <c r="BB305" s="133" t="n">
        <f aca="false">IF(OR(OR($B305="",$E305="",$F305=""),$K305&lt;&gt;"نعم",$M305="نعم"),0,MAX(0,MIN($F305,EOMONTH(DATE(cfg_FY,9,1),0))-MAX($E305,DATE(cfg_FY,9,1))+1))</f>
        <v>0</v>
      </c>
      <c r="BC305" s="133" t="n">
        <f aca="false">IF(OR(OR($B305="",$E305="",$F305=""),$K305&lt;&gt;"نعم",$M305="نعم"),0,MAX(0,MIN($F305,EOMONTH(DATE(cfg_FY,10,1),0))-MAX($E305,DATE(cfg_FY,10,1))+1))</f>
        <v>0</v>
      </c>
      <c r="BD305" s="133" t="n">
        <f aca="false">IF(OR(OR($B305="",$E305="",$F305=""),$K305&lt;&gt;"نعم",$M305="نعم"),0,MAX(0,MIN($F305,EOMONTH(DATE(cfg_FY,11,1),0))-MAX($E305,DATE(cfg_FY,11,1))+1))</f>
        <v>0</v>
      </c>
      <c r="BE305" s="133" t="n">
        <f aca="false">IF(OR(OR($B305="",$E305="",$F305=""),$K305&lt;&gt;"نعم",$M305="نعم"),0,MAX(0,MIN($F305,EOMONTH(DATE(cfg_FY,12,1),0))-MAX($E305,DATE(cfg_FY,12,1))+1))</f>
        <v>0</v>
      </c>
    </row>
    <row r="306" customFormat="false" ht="15" hidden="false" customHeight="false" outlineLevel="0" collapsed="false">
      <c r="A306" s="106" t="str">
        <f aca="false">IF(B306="","",ROW()-5)</f>
        <v/>
      </c>
      <c r="B306" s="118"/>
      <c r="C306" s="114" t="str">
        <f aca="false">IF(B306="","",IFERROR(INDEX(الموظفون!$C$6:$C$105,MATCH(B306,الموظفون!$B$6:$B$105,0)),"✖ رقم غير موجود"))</f>
        <v/>
      </c>
      <c r="D306" s="118"/>
      <c r="E306" s="119"/>
      <c r="F306" s="119"/>
      <c r="G306" s="65" t="str">
        <f aca="false">IF(OR($B306="",$E306="",$F306=""),"",MAX(0,F306-E306+1))</f>
        <v/>
      </c>
      <c r="H306" s="66" t="str">
        <f aca="false">IF(D306="","",IFERROR(VLOOKUP(D306,cfg_LT,2,FALSE()),1))</f>
        <v/>
      </c>
      <c r="I306" s="135"/>
      <c r="J306" s="66" t="str">
        <f aca="false">IF(D306="","",IF(I306&lt;&gt;"",I306,H306))</f>
        <v/>
      </c>
      <c r="K306" s="114" t="str">
        <f aca="false">IF(D306="","",IFERROR(VLOOKUP($D306,cfg_LT,3,FALSE()),""))</f>
        <v/>
      </c>
      <c r="L306" s="114" t="str">
        <f aca="false">IF(D306="","",IFERROR(VLOOKUP($D306,cfg_LT,4,FALSE()),""))</f>
        <v/>
      </c>
      <c r="M306" s="114" t="str">
        <f aca="false">IF(D306="","",IFERROR(VLOOKUP($D306,cfg_LT,5,FALSE()),""))</f>
        <v/>
      </c>
      <c r="N306" s="111" t="n">
        <f aca="false">IF(OR(OR($B306="",$E306="",$F306=""),M306&lt;&gt;"نعم"),0,G306*J306*IFERROR(INDEX(الموظفون!$R$6:$R$105,MATCH(B306,الموظفون!$B$6:$B$105,0)),0)/cfg_DAYS_M)</f>
        <v>0</v>
      </c>
      <c r="O306" s="106" t="str">
        <f aca="false">IF(OR(OR($B306="",$E306="",$F306=""),M306&lt;&gt;"نعم"),"",IF(YEAR(E306)=cfg_FY,MONTH(E306),""))</f>
        <v/>
      </c>
      <c r="P306" s="114" t="str">
        <f aca="false">IF(B306="","",IF(OR(D306="",E306="",F306=""),"⚠ أكمل النوع والتواريخ",IF(F306&lt;E306,"✖ النهاية قبل البداية",IF(COUNTIFS($B$6:$B$505,B306,$E$6:$E$505,"&lt;="&amp;F306,$F$6:$F$505,"&gt;="&amp;E306)&gt;1,"⚠ تداخل مع سجل آخر",IF(E306&gt;cfg_VAL_DATE,"⏳ قادمة",IF(F306&lt;cfg_VAL_DATE,"✔ منتهية","✈ جارية في تاريخ التقرير"))))))</f>
        <v/>
      </c>
      <c r="Q306" s="118"/>
      <c r="R306" s="65" t="n">
        <f aca="false">IF(OR(OR($B306="",$E306="",$F306=""),L306&lt;&gt;"لا"),0,MAX(0,MIN(F306,cfg_Y_START-1)-E306+1))</f>
        <v>0</v>
      </c>
      <c r="S306" s="65" t="n">
        <f aca="false">IF(OR(OR($B306="",$E306="",$F306=""),L306&lt;&gt;"لا"),0,MAX(0,MIN(F306,cfg_VAL_DATE)-E306+1))</f>
        <v>0</v>
      </c>
      <c r="T306" s="65" t="n">
        <f aca="false">IF(OR(OR($B306="",$E306="",$F306=""),K306&lt;&gt;"نعم"),0,IF(M306="نعم",IF(AND(ISNUMBER(O306),N(O306)&lt;=cfg_VAL_M),G306,0),MAX(0,MIN(F306,cfg_VAL_DATE)-MAX(E306,cfg_Y_START)+1)))</f>
        <v>0</v>
      </c>
      <c r="V306" s="65" t="n">
        <f aca="false">IF(OR($B306="",$E306="",$F306=""),0,MAX(0,MIN($F306,EOMONTH(DATE(cfg_FY,1,1),0))-MAX($E306,DATE(cfg_FY,1,1))+1)*(1-IF($M306="نعم",0,N($J306))))</f>
        <v>0</v>
      </c>
      <c r="W306" s="65" t="n">
        <f aca="false">IF(OR($B306="",$E306="",$F306=""),0,MAX(0,MIN($F306,EOMONTH(DATE(cfg_FY,2,1),0))-MAX($E306,DATE(cfg_FY,2,1))+1)*(1-IF($M306="نعم",0,N($J306))))</f>
        <v>0</v>
      </c>
      <c r="X306" s="65" t="n">
        <f aca="false">IF(OR($B306="",$E306="",$F306=""),0,MAX(0,MIN($F306,EOMONTH(DATE(cfg_FY,3,1),0))-MAX($E306,DATE(cfg_FY,3,1))+1)*(1-IF($M306="نعم",0,N($J306))))</f>
        <v>0</v>
      </c>
      <c r="Y306" s="65" t="n">
        <f aca="false">IF(OR($B306="",$E306="",$F306=""),0,MAX(0,MIN($F306,EOMONTH(DATE(cfg_FY,4,1),0))-MAX($E306,DATE(cfg_FY,4,1))+1)*(1-IF($M306="نعم",0,N($J306))))</f>
        <v>0</v>
      </c>
      <c r="Z306" s="65" t="n">
        <f aca="false">IF(OR($B306="",$E306="",$F306=""),0,MAX(0,MIN($F306,EOMONTH(DATE(cfg_FY,5,1),0))-MAX($E306,DATE(cfg_FY,5,1))+1)*(1-IF($M306="نعم",0,N($J306))))</f>
        <v>0</v>
      </c>
      <c r="AA306" s="65" t="n">
        <f aca="false">IF(OR($B306="",$E306="",$F306=""),0,MAX(0,MIN($F306,EOMONTH(DATE(cfg_FY,6,1),0))-MAX($E306,DATE(cfg_FY,6,1))+1)*(1-IF($M306="نعم",0,N($J306))))</f>
        <v>0</v>
      </c>
      <c r="AB306" s="65" t="n">
        <f aca="false">IF(OR($B306="",$E306="",$F306=""),0,MAX(0,MIN($F306,EOMONTH(DATE(cfg_FY,7,1),0))-MAX($E306,DATE(cfg_FY,7,1))+1)*(1-IF($M306="نعم",0,N($J306))))</f>
        <v>0</v>
      </c>
      <c r="AC306" s="65" t="n">
        <f aca="false">IF(OR($B306="",$E306="",$F306=""),0,MAX(0,MIN($F306,EOMONTH(DATE(cfg_FY,8,1),0))-MAX($E306,DATE(cfg_FY,8,1))+1)*(1-IF($M306="نعم",0,N($J306))))</f>
        <v>0</v>
      </c>
      <c r="AD306" s="65" t="n">
        <f aca="false">IF(OR($B306="",$E306="",$F306=""),0,MAX(0,MIN($F306,EOMONTH(DATE(cfg_FY,9,1),0))-MAX($E306,DATE(cfg_FY,9,1))+1)*(1-IF($M306="نعم",0,N($J306))))</f>
        <v>0</v>
      </c>
      <c r="AE306" s="65" t="n">
        <f aca="false">IF(OR($B306="",$E306="",$F306=""),0,MAX(0,MIN($F306,EOMONTH(DATE(cfg_FY,10,1),0))-MAX($E306,DATE(cfg_FY,10,1))+1)*(1-IF($M306="نعم",0,N($J306))))</f>
        <v>0</v>
      </c>
      <c r="AF306" s="65" t="n">
        <f aca="false">IF(OR($B306="",$E306="",$F306=""),0,MAX(0,MIN($F306,EOMONTH(DATE(cfg_FY,11,1),0))-MAX($E306,DATE(cfg_FY,11,1))+1)*(1-IF($M306="نعم",0,N($J306))))</f>
        <v>0</v>
      </c>
      <c r="AG306" s="65" t="n">
        <f aca="false">IF(OR($B306="",$E306="",$F306=""),0,MAX(0,MIN($F306,EOMONTH(DATE(cfg_FY,12,1),0))-MAX($E306,DATE(cfg_FY,12,1))+1)*(1-IF($M306="نعم",0,N($J306))))</f>
        <v>0</v>
      </c>
      <c r="AH306" s="65" t="n">
        <f aca="false">IF(OR(OR($B306="",$E306="",$F306=""),$L306&lt;&gt;"لا"),0,MAX(0,MIN($F306,EOMONTH(DATE(cfg_FY,1,1),0))-$E306+1))</f>
        <v>0</v>
      </c>
      <c r="AI306" s="65" t="n">
        <f aca="false">IF(OR(OR($B306="",$E306="",$F306=""),$L306&lt;&gt;"لا"),0,MAX(0,MIN($F306,EOMONTH(DATE(cfg_FY,2,1),0))-$E306+1))</f>
        <v>0</v>
      </c>
      <c r="AJ306" s="65" t="n">
        <f aca="false">IF(OR(OR($B306="",$E306="",$F306=""),$L306&lt;&gt;"لا"),0,MAX(0,MIN($F306,EOMONTH(DATE(cfg_FY,3,1),0))-$E306+1))</f>
        <v>0</v>
      </c>
      <c r="AK306" s="65" t="n">
        <f aca="false">IF(OR(OR($B306="",$E306="",$F306=""),$L306&lt;&gt;"لا"),0,MAX(0,MIN($F306,EOMONTH(DATE(cfg_FY,4,1),0))-$E306+1))</f>
        <v>0</v>
      </c>
      <c r="AL306" s="65" t="n">
        <f aca="false">IF(OR(OR($B306="",$E306="",$F306=""),$L306&lt;&gt;"لا"),0,MAX(0,MIN($F306,EOMONTH(DATE(cfg_FY,5,1),0))-$E306+1))</f>
        <v>0</v>
      </c>
      <c r="AM306" s="65" t="n">
        <f aca="false">IF(OR(OR($B306="",$E306="",$F306=""),$L306&lt;&gt;"لا"),0,MAX(0,MIN($F306,EOMONTH(DATE(cfg_FY,6,1),0))-$E306+1))</f>
        <v>0</v>
      </c>
      <c r="AN306" s="65" t="n">
        <f aca="false">IF(OR(OR($B306="",$E306="",$F306=""),$L306&lt;&gt;"لا"),0,MAX(0,MIN($F306,EOMONTH(DATE(cfg_FY,7,1),0))-$E306+1))</f>
        <v>0</v>
      </c>
      <c r="AO306" s="65" t="n">
        <f aca="false">IF(OR(OR($B306="",$E306="",$F306=""),$L306&lt;&gt;"لا"),0,MAX(0,MIN($F306,EOMONTH(DATE(cfg_FY,8,1),0))-$E306+1))</f>
        <v>0</v>
      </c>
      <c r="AP306" s="65" t="n">
        <f aca="false">IF(OR(OR($B306="",$E306="",$F306=""),$L306&lt;&gt;"لا"),0,MAX(0,MIN($F306,EOMONTH(DATE(cfg_FY,9,1),0))-$E306+1))</f>
        <v>0</v>
      </c>
      <c r="AQ306" s="65" t="n">
        <f aca="false">IF(OR(OR($B306="",$E306="",$F306=""),$L306&lt;&gt;"لا"),0,MAX(0,MIN($F306,EOMONTH(DATE(cfg_FY,10,1),0))-$E306+1))</f>
        <v>0</v>
      </c>
      <c r="AR306" s="65" t="n">
        <f aca="false">IF(OR(OR($B306="",$E306="",$F306=""),$L306&lt;&gt;"لا"),0,MAX(0,MIN($F306,EOMONTH(DATE(cfg_FY,11,1),0))-$E306+1))</f>
        <v>0</v>
      </c>
      <c r="AS306" s="65" t="n">
        <f aca="false">IF(OR(OR($B306="",$E306="",$F306=""),$L306&lt;&gt;"لا"),0,MAX(0,MIN($F306,EOMONTH(DATE(cfg_FY,12,1),0))-$E306+1))</f>
        <v>0</v>
      </c>
      <c r="AT306" s="65" t="n">
        <f aca="false">IF(OR(OR($B306="",$E306="",$F306=""),$K306&lt;&gt;"نعم",$M306="نعم"),0,MAX(0,MIN($F306,EOMONTH(DATE(cfg_FY,1,1),0))-MAX($E306,DATE(cfg_FY,1,1))+1))</f>
        <v>0</v>
      </c>
      <c r="AU306" s="65" t="n">
        <f aca="false">IF(OR(OR($B306="",$E306="",$F306=""),$K306&lt;&gt;"نعم",$M306="نعم"),0,MAX(0,MIN($F306,EOMONTH(DATE(cfg_FY,2,1),0))-MAX($E306,DATE(cfg_FY,2,1))+1))</f>
        <v>0</v>
      </c>
      <c r="AV306" s="65" t="n">
        <f aca="false">IF(OR(OR($B306="",$E306="",$F306=""),$K306&lt;&gt;"نعم",$M306="نعم"),0,MAX(0,MIN($F306,EOMONTH(DATE(cfg_FY,3,1),0))-MAX($E306,DATE(cfg_FY,3,1))+1))</f>
        <v>0</v>
      </c>
      <c r="AW306" s="65" t="n">
        <f aca="false">IF(OR(OR($B306="",$E306="",$F306=""),$K306&lt;&gt;"نعم",$M306="نعم"),0,MAX(0,MIN($F306,EOMONTH(DATE(cfg_FY,4,1),0))-MAX($E306,DATE(cfg_FY,4,1))+1))</f>
        <v>0</v>
      </c>
      <c r="AX306" s="65" t="n">
        <f aca="false">IF(OR(OR($B306="",$E306="",$F306=""),$K306&lt;&gt;"نعم",$M306="نعم"),0,MAX(0,MIN($F306,EOMONTH(DATE(cfg_FY,5,1),0))-MAX($E306,DATE(cfg_FY,5,1))+1))</f>
        <v>0</v>
      </c>
      <c r="AY306" s="65" t="n">
        <f aca="false">IF(OR(OR($B306="",$E306="",$F306=""),$K306&lt;&gt;"نعم",$M306="نعم"),0,MAX(0,MIN($F306,EOMONTH(DATE(cfg_FY,6,1),0))-MAX($E306,DATE(cfg_FY,6,1))+1))</f>
        <v>0</v>
      </c>
      <c r="AZ306" s="65" t="n">
        <f aca="false">IF(OR(OR($B306="",$E306="",$F306=""),$K306&lt;&gt;"نعم",$M306="نعم"),0,MAX(0,MIN($F306,EOMONTH(DATE(cfg_FY,7,1),0))-MAX($E306,DATE(cfg_FY,7,1))+1))</f>
        <v>0</v>
      </c>
      <c r="BA306" s="65" t="n">
        <f aca="false">IF(OR(OR($B306="",$E306="",$F306=""),$K306&lt;&gt;"نعم",$M306="نعم"),0,MAX(0,MIN($F306,EOMONTH(DATE(cfg_FY,8,1),0))-MAX($E306,DATE(cfg_FY,8,1))+1))</f>
        <v>0</v>
      </c>
      <c r="BB306" s="65" t="n">
        <f aca="false">IF(OR(OR($B306="",$E306="",$F306=""),$K306&lt;&gt;"نعم",$M306="نعم"),0,MAX(0,MIN($F306,EOMONTH(DATE(cfg_FY,9,1),0))-MAX($E306,DATE(cfg_FY,9,1))+1))</f>
        <v>0</v>
      </c>
      <c r="BC306" s="65" t="n">
        <f aca="false">IF(OR(OR($B306="",$E306="",$F306=""),$K306&lt;&gt;"نعم",$M306="نعم"),0,MAX(0,MIN($F306,EOMONTH(DATE(cfg_FY,10,1),0))-MAX($E306,DATE(cfg_FY,10,1))+1))</f>
        <v>0</v>
      </c>
      <c r="BD306" s="65" t="n">
        <f aca="false">IF(OR(OR($B306="",$E306="",$F306=""),$K306&lt;&gt;"نعم",$M306="نعم"),0,MAX(0,MIN($F306,EOMONTH(DATE(cfg_FY,11,1),0))-MAX($E306,DATE(cfg_FY,11,1))+1))</f>
        <v>0</v>
      </c>
      <c r="BE306" s="65" t="n">
        <f aca="false">IF(OR(OR($B306="",$E306="",$F306=""),$K306&lt;&gt;"نعم",$M306="نعم"),0,MAX(0,MIN($F306,EOMONTH(DATE(cfg_FY,12,1),0))-MAX($E306,DATE(cfg_FY,12,1))+1))</f>
        <v>0</v>
      </c>
    </row>
    <row r="307" customFormat="false" ht="15" hidden="false" customHeight="false" outlineLevel="0" collapsed="false">
      <c r="A307" s="115" t="str">
        <f aca="false">IF(B307="","",ROW()-5)</f>
        <v/>
      </c>
      <c r="B307" s="118"/>
      <c r="C307" s="117" t="str">
        <f aca="false">IF(B307="","",IFERROR(INDEX(الموظفون!$C$6:$C$105,MATCH(B307,الموظفون!$B$6:$B$105,0)),"✖ رقم غير موجود"))</f>
        <v/>
      </c>
      <c r="D307" s="118"/>
      <c r="E307" s="119"/>
      <c r="F307" s="119"/>
      <c r="G307" s="133" t="str">
        <f aca="false">IF(OR($B307="",$E307="",$F307=""),"",MAX(0,F307-E307+1))</f>
        <v/>
      </c>
      <c r="H307" s="134" t="str">
        <f aca="false">IF(D307="","",IFERROR(VLOOKUP(D307,cfg_LT,2,FALSE()),1))</f>
        <v/>
      </c>
      <c r="I307" s="135"/>
      <c r="J307" s="134" t="str">
        <f aca="false">IF(D307="","",IF(I307&lt;&gt;"",I307,H307))</f>
        <v/>
      </c>
      <c r="K307" s="117" t="str">
        <f aca="false">IF(D307="","",IFERROR(VLOOKUP($D307,cfg_LT,3,FALSE()),""))</f>
        <v/>
      </c>
      <c r="L307" s="117" t="str">
        <f aca="false">IF(D307="","",IFERROR(VLOOKUP($D307,cfg_LT,4,FALSE()),""))</f>
        <v/>
      </c>
      <c r="M307" s="117" t="str">
        <f aca="false">IF(D307="","",IFERROR(VLOOKUP($D307,cfg_LT,5,FALSE()),""))</f>
        <v/>
      </c>
      <c r="N307" s="116" t="n">
        <f aca="false">IF(OR(OR($B307="",$E307="",$F307=""),M307&lt;&gt;"نعم"),0,G307*J307*IFERROR(INDEX(الموظفون!$R$6:$R$105,MATCH(B307,الموظفون!$B$6:$B$105,0)),0)/cfg_DAYS_M)</f>
        <v>0</v>
      </c>
      <c r="O307" s="115" t="str">
        <f aca="false">IF(OR(OR($B307="",$E307="",$F307=""),M307&lt;&gt;"نعم"),"",IF(YEAR(E307)=cfg_FY,MONTH(E307),""))</f>
        <v/>
      </c>
      <c r="P307" s="117" t="str">
        <f aca="false">IF(B307="","",IF(OR(D307="",E307="",F307=""),"⚠ أكمل النوع والتواريخ",IF(F307&lt;E307,"✖ النهاية قبل البداية",IF(COUNTIFS($B$6:$B$505,B307,$E$6:$E$505,"&lt;="&amp;F307,$F$6:$F$505,"&gt;="&amp;E307)&gt;1,"⚠ تداخل مع سجل آخر",IF(E307&gt;cfg_VAL_DATE,"⏳ قادمة",IF(F307&lt;cfg_VAL_DATE,"✔ منتهية","✈ جارية في تاريخ التقرير"))))))</f>
        <v/>
      </c>
      <c r="Q307" s="118"/>
      <c r="R307" s="133" t="n">
        <f aca="false">IF(OR(OR($B307="",$E307="",$F307=""),L307&lt;&gt;"لا"),0,MAX(0,MIN(F307,cfg_Y_START-1)-E307+1))</f>
        <v>0</v>
      </c>
      <c r="S307" s="133" t="n">
        <f aca="false">IF(OR(OR($B307="",$E307="",$F307=""),L307&lt;&gt;"لا"),0,MAX(0,MIN(F307,cfg_VAL_DATE)-E307+1))</f>
        <v>0</v>
      </c>
      <c r="T307" s="133" t="n">
        <f aca="false">IF(OR(OR($B307="",$E307="",$F307=""),K307&lt;&gt;"نعم"),0,IF(M307="نعم",IF(AND(ISNUMBER(O307),N(O307)&lt;=cfg_VAL_M),G307,0),MAX(0,MIN(F307,cfg_VAL_DATE)-MAX(E307,cfg_Y_START)+1)))</f>
        <v>0</v>
      </c>
      <c r="V307" s="133" t="n">
        <f aca="false">IF(OR($B307="",$E307="",$F307=""),0,MAX(0,MIN($F307,EOMONTH(DATE(cfg_FY,1,1),0))-MAX($E307,DATE(cfg_FY,1,1))+1)*(1-IF($M307="نعم",0,N($J307))))</f>
        <v>0</v>
      </c>
      <c r="W307" s="133" t="n">
        <f aca="false">IF(OR($B307="",$E307="",$F307=""),0,MAX(0,MIN($F307,EOMONTH(DATE(cfg_FY,2,1),0))-MAX($E307,DATE(cfg_FY,2,1))+1)*(1-IF($M307="نعم",0,N($J307))))</f>
        <v>0</v>
      </c>
      <c r="X307" s="133" t="n">
        <f aca="false">IF(OR($B307="",$E307="",$F307=""),0,MAX(0,MIN($F307,EOMONTH(DATE(cfg_FY,3,1),0))-MAX($E307,DATE(cfg_FY,3,1))+1)*(1-IF($M307="نعم",0,N($J307))))</f>
        <v>0</v>
      </c>
      <c r="Y307" s="133" t="n">
        <f aca="false">IF(OR($B307="",$E307="",$F307=""),0,MAX(0,MIN($F307,EOMONTH(DATE(cfg_FY,4,1),0))-MAX($E307,DATE(cfg_FY,4,1))+1)*(1-IF($M307="نعم",0,N($J307))))</f>
        <v>0</v>
      </c>
      <c r="Z307" s="133" t="n">
        <f aca="false">IF(OR($B307="",$E307="",$F307=""),0,MAX(0,MIN($F307,EOMONTH(DATE(cfg_FY,5,1),0))-MAX($E307,DATE(cfg_FY,5,1))+1)*(1-IF($M307="نعم",0,N($J307))))</f>
        <v>0</v>
      </c>
      <c r="AA307" s="133" t="n">
        <f aca="false">IF(OR($B307="",$E307="",$F307=""),0,MAX(0,MIN($F307,EOMONTH(DATE(cfg_FY,6,1),0))-MAX($E307,DATE(cfg_FY,6,1))+1)*(1-IF($M307="نعم",0,N($J307))))</f>
        <v>0</v>
      </c>
      <c r="AB307" s="133" t="n">
        <f aca="false">IF(OR($B307="",$E307="",$F307=""),0,MAX(0,MIN($F307,EOMONTH(DATE(cfg_FY,7,1),0))-MAX($E307,DATE(cfg_FY,7,1))+1)*(1-IF($M307="نعم",0,N($J307))))</f>
        <v>0</v>
      </c>
      <c r="AC307" s="133" t="n">
        <f aca="false">IF(OR($B307="",$E307="",$F307=""),0,MAX(0,MIN($F307,EOMONTH(DATE(cfg_FY,8,1),0))-MAX($E307,DATE(cfg_FY,8,1))+1)*(1-IF($M307="نعم",0,N($J307))))</f>
        <v>0</v>
      </c>
      <c r="AD307" s="133" t="n">
        <f aca="false">IF(OR($B307="",$E307="",$F307=""),0,MAX(0,MIN($F307,EOMONTH(DATE(cfg_FY,9,1),0))-MAX($E307,DATE(cfg_FY,9,1))+1)*(1-IF($M307="نعم",0,N($J307))))</f>
        <v>0</v>
      </c>
      <c r="AE307" s="133" t="n">
        <f aca="false">IF(OR($B307="",$E307="",$F307=""),0,MAX(0,MIN($F307,EOMONTH(DATE(cfg_FY,10,1),0))-MAX($E307,DATE(cfg_FY,10,1))+1)*(1-IF($M307="نعم",0,N($J307))))</f>
        <v>0</v>
      </c>
      <c r="AF307" s="133" t="n">
        <f aca="false">IF(OR($B307="",$E307="",$F307=""),0,MAX(0,MIN($F307,EOMONTH(DATE(cfg_FY,11,1),0))-MAX($E307,DATE(cfg_FY,11,1))+1)*(1-IF($M307="نعم",0,N($J307))))</f>
        <v>0</v>
      </c>
      <c r="AG307" s="133" t="n">
        <f aca="false">IF(OR($B307="",$E307="",$F307=""),0,MAX(0,MIN($F307,EOMONTH(DATE(cfg_FY,12,1),0))-MAX($E307,DATE(cfg_FY,12,1))+1)*(1-IF($M307="نعم",0,N($J307))))</f>
        <v>0</v>
      </c>
      <c r="AH307" s="133" t="n">
        <f aca="false">IF(OR(OR($B307="",$E307="",$F307=""),$L307&lt;&gt;"لا"),0,MAX(0,MIN($F307,EOMONTH(DATE(cfg_FY,1,1),0))-$E307+1))</f>
        <v>0</v>
      </c>
      <c r="AI307" s="133" t="n">
        <f aca="false">IF(OR(OR($B307="",$E307="",$F307=""),$L307&lt;&gt;"لا"),0,MAX(0,MIN($F307,EOMONTH(DATE(cfg_FY,2,1),0))-$E307+1))</f>
        <v>0</v>
      </c>
      <c r="AJ307" s="133" t="n">
        <f aca="false">IF(OR(OR($B307="",$E307="",$F307=""),$L307&lt;&gt;"لا"),0,MAX(0,MIN($F307,EOMONTH(DATE(cfg_FY,3,1),0))-$E307+1))</f>
        <v>0</v>
      </c>
      <c r="AK307" s="133" t="n">
        <f aca="false">IF(OR(OR($B307="",$E307="",$F307=""),$L307&lt;&gt;"لا"),0,MAX(0,MIN($F307,EOMONTH(DATE(cfg_FY,4,1),0))-$E307+1))</f>
        <v>0</v>
      </c>
      <c r="AL307" s="133" t="n">
        <f aca="false">IF(OR(OR($B307="",$E307="",$F307=""),$L307&lt;&gt;"لا"),0,MAX(0,MIN($F307,EOMONTH(DATE(cfg_FY,5,1),0))-$E307+1))</f>
        <v>0</v>
      </c>
      <c r="AM307" s="133" t="n">
        <f aca="false">IF(OR(OR($B307="",$E307="",$F307=""),$L307&lt;&gt;"لا"),0,MAX(0,MIN($F307,EOMONTH(DATE(cfg_FY,6,1),0))-$E307+1))</f>
        <v>0</v>
      </c>
      <c r="AN307" s="133" t="n">
        <f aca="false">IF(OR(OR($B307="",$E307="",$F307=""),$L307&lt;&gt;"لا"),0,MAX(0,MIN($F307,EOMONTH(DATE(cfg_FY,7,1),0))-$E307+1))</f>
        <v>0</v>
      </c>
      <c r="AO307" s="133" t="n">
        <f aca="false">IF(OR(OR($B307="",$E307="",$F307=""),$L307&lt;&gt;"لا"),0,MAX(0,MIN($F307,EOMONTH(DATE(cfg_FY,8,1),0))-$E307+1))</f>
        <v>0</v>
      </c>
      <c r="AP307" s="133" t="n">
        <f aca="false">IF(OR(OR($B307="",$E307="",$F307=""),$L307&lt;&gt;"لا"),0,MAX(0,MIN($F307,EOMONTH(DATE(cfg_FY,9,1),0))-$E307+1))</f>
        <v>0</v>
      </c>
      <c r="AQ307" s="133" t="n">
        <f aca="false">IF(OR(OR($B307="",$E307="",$F307=""),$L307&lt;&gt;"لا"),0,MAX(0,MIN($F307,EOMONTH(DATE(cfg_FY,10,1),0))-$E307+1))</f>
        <v>0</v>
      </c>
      <c r="AR307" s="133" t="n">
        <f aca="false">IF(OR(OR($B307="",$E307="",$F307=""),$L307&lt;&gt;"لا"),0,MAX(0,MIN($F307,EOMONTH(DATE(cfg_FY,11,1),0))-$E307+1))</f>
        <v>0</v>
      </c>
      <c r="AS307" s="133" t="n">
        <f aca="false">IF(OR(OR($B307="",$E307="",$F307=""),$L307&lt;&gt;"لا"),0,MAX(0,MIN($F307,EOMONTH(DATE(cfg_FY,12,1),0))-$E307+1))</f>
        <v>0</v>
      </c>
      <c r="AT307" s="133" t="n">
        <f aca="false">IF(OR(OR($B307="",$E307="",$F307=""),$K307&lt;&gt;"نعم",$M307="نعم"),0,MAX(0,MIN($F307,EOMONTH(DATE(cfg_FY,1,1),0))-MAX($E307,DATE(cfg_FY,1,1))+1))</f>
        <v>0</v>
      </c>
      <c r="AU307" s="133" t="n">
        <f aca="false">IF(OR(OR($B307="",$E307="",$F307=""),$K307&lt;&gt;"نعم",$M307="نعم"),0,MAX(0,MIN($F307,EOMONTH(DATE(cfg_FY,2,1),0))-MAX($E307,DATE(cfg_FY,2,1))+1))</f>
        <v>0</v>
      </c>
      <c r="AV307" s="133" t="n">
        <f aca="false">IF(OR(OR($B307="",$E307="",$F307=""),$K307&lt;&gt;"نعم",$M307="نعم"),0,MAX(0,MIN($F307,EOMONTH(DATE(cfg_FY,3,1),0))-MAX($E307,DATE(cfg_FY,3,1))+1))</f>
        <v>0</v>
      </c>
      <c r="AW307" s="133" t="n">
        <f aca="false">IF(OR(OR($B307="",$E307="",$F307=""),$K307&lt;&gt;"نعم",$M307="نعم"),0,MAX(0,MIN($F307,EOMONTH(DATE(cfg_FY,4,1),0))-MAX($E307,DATE(cfg_FY,4,1))+1))</f>
        <v>0</v>
      </c>
      <c r="AX307" s="133" t="n">
        <f aca="false">IF(OR(OR($B307="",$E307="",$F307=""),$K307&lt;&gt;"نعم",$M307="نعم"),0,MAX(0,MIN($F307,EOMONTH(DATE(cfg_FY,5,1),0))-MAX($E307,DATE(cfg_FY,5,1))+1))</f>
        <v>0</v>
      </c>
      <c r="AY307" s="133" t="n">
        <f aca="false">IF(OR(OR($B307="",$E307="",$F307=""),$K307&lt;&gt;"نعم",$M307="نعم"),0,MAX(0,MIN($F307,EOMONTH(DATE(cfg_FY,6,1),0))-MAX($E307,DATE(cfg_FY,6,1))+1))</f>
        <v>0</v>
      </c>
      <c r="AZ307" s="133" t="n">
        <f aca="false">IF(OR(OR($B307="",$E307="",$F307=""),$K307&lt;&gt;"نعم",$M307="نعم"),0,MAX(0,MIN($F307,EOMONTH(DATE(cfg_FY,7,1),0))-MAX($E307,DATE(cfg_FY,7,1))+1))</f>
        <v>0</v>
      </c>
      <c r="BA307" s="133" t="n">
        <f aca="false">IF(OR(OR($B307="",$E307="",$F307=""),$K307&lt;&gt;"نعم",$M307="نعم"),0,MAX(0,MIN($F307,EOMONTH(DATE(cfg_FY,8,1),0))-MAX($E307,DATE(cfg_FY,8,1))+1))</f>
        <v>0</v>
      </c>
      <c r="BB307" s="133" t="n">
        <f aca="false">IF(OR(OR($B307="",$E307="",$F307=""),$K307&lt;&gt;"نعم",$M307="نعم"),0,MAX(0,MIN($F307,EOMONTH(DATE(cfg_FY,9,1),0))-MAX($E307,DATE(cfg_FY,9,1))+1))</f>
        <v>0</v>
      </c>
      <c r="BC307" s="133" t="n">
        <f aca="false">IF(OR(OR($B307="",$E307="",$F307=""),$K307&lt;&gt;"نعم",$M307="نعم"),0,MAX(0,MIN($F307,EOMONTH(DATE(cfg_FY,10,1),0))-MAX($E307,DATE(cfg_FY,10,1))+1))</f>
        <v>0</v>
      </c>
      <c r="BD307" s="133" t="n">
        <f aca="false">IF(OR(OR($B307="",$E307="",$F307=""),$K307&lt;&gt;"نعم",$M307="نعم"),0,MAX(0,MIN($F307,EOMONTH(DATE(cfg_FY,11,1),0))-MAX($E307,DATE(cfg_FY,11,1))+1))</f>
        <v>0</v>
      </c>
      <c r="BE307" s="133" t="n">
        <f aca="false">IF(OR(OR($B307="",$E307="",$F307=""),$K307&lt;&gt;"نعم",$M307="نعم"),0,MAX(0,MIN($F307,EOMONTH(DATE(cfg_FY,12,1),0))-MAX($E307,DATE(cfg_FY,12,1))+1))</f>
        <v>0</v>
      </c>
    </row>
    <row r="308" customFormat="false" ht="15" hidden="false" customHeight="false" outlineLevel="0" collapsed="false">
      <c r="A308" s="106" t="str">
        <f aca="false">IF(B308="","",ROW()-5)</f>
        <v/>
      </c>
      <c r="B308" s="118"/>
      <c r="C308" s="114" t="str">
        <f aca="false">IF(B308="","",IFERROR(INDEX(الموظفون!$C$6:$C$105,MATCH(B308,الموظفون!$B$6:$B$105,0)),"✖ رقم غير موجود"))</f>
        <v/>
      </c>
      <c r="D308" s="118"/>
      <c r="E308" s="119"/>
      <c r="F308" s="119"/>
      <c r="G308" s="65" t="str">
        <f aca="false">IF(OR($B308="",$E308="",$F308=""),"",MAX(0,F308-E308+1))</f>
        <v/>
      </c>
      <c r="H308" s="66" t="str">
        <f aca="false">IF(D308="","",IFERROR(VLOOKUP(D308,cfg_LT,2,FALSE()),1))</f>
        <v/>
      </c>
      <c r="I308" s="135"/>
      <c r="J308" s="66" t="str">
        <f aca="false">IF(D308="","",IF(I308&lt;&gt;"",I308,H308))</f>
        <v/>
      </c>
      <c r="K308" s="114" t="str">
        <f aca="false">IF(D308="","",IFERROR(VLOOKUP($D308,cfg_LT,3,FALSE()),""))</f>
        <v/>
      </c>
      <c r="L308" s="114" t="str">
        <f aca="false">IF(D308="","",IFERROR(VLOOKUP($D308,cfg_LT,4,FALSE()),""))</f>
        <v/>
      </c>
      <c r="M308" s="114" t="str">
        <f aca="false">IF(D308="","",IFERROR(VLOOKUP($D308,cfg_LT,5,FALSE()),""))</f>
        <v/>
      </c>
      <c r="N308" s="111" t="n">
        <f aca="false">IF(OR(OR($B308="",$E308="",$F308=""),M308&lt;&gt;"نعم"),0,G308*J308*IFERROR(INDEX(الموظفون!$R$6:$R$105,MATCH(B308,الموظفون!$B$6:$B$105,0)),0)/cfg_DAYS_M)</f>
        <v>0</v>
      </c>
      <c r="O308" s="106" t="str">
        <f aca="false">IF(OR(OR($B308="",$E308="",$F308=""),M308&lt;&gt;"نعم"),"",IF(YEAR(E308)=cfg_FY,MONTH(E308),""))</f>
        <v/>
      </c>
      <c r="P308" s="114" t="str">
        <f aca="false">IF(B308="","",IF(OR(D308="",E308="",F308=""),"⚠ أكمل النوع والتواريخ",IF(F308&lt;E308,"✖ النهاية قبل البداية",IF(COUNTIFS($B$6:$B$505,B308,$E$6:$E$505,"&lt;="&amp;F308,$F$6:$F$505,"&gt;="&amp;E308)&gt;1,"⚠ تداخل مع سجل آخر",IF(E308&gt;cfg_VAL_DATE,"⏳ قادمة",IF(F308&lt;cfg_VAL_DATE,"✔ منتهية","✈ جارية في تاريخ التقرير"))))))</f>
        <v/>
      </c>
      <c r="Q308" s="118"/>
      <c r="R308" s="65" t="n">
        <f aca="false">IF(OR(OR($B308="",$E308="",$F308=""),L308&lt;&gt;"لا"),0,MAX(0,MIN(F308,cfg_Y_START-1)-E308+1))</f>
        <v>0</v>
      </c>
      <c r="S308" s="65" t="n">
        <f aca="false">IF(OR(OR($B308="",$E308="",$F308=""),L308&lt;&gt;"لا"),0,MAX(0,MIN(F308,cfg_VAL_DATE)-E308+1))</f>
        <v>0</v>
      </c>
      <c r="T308" s="65" t="n">
        <f aca="false">IF(OR(OR($B308="",$E308="",$F308=""),K308&lt;&gt;"نعم"),0,IF(M308="نعم",IF(AND(ISNUMBER(O308),N(O308)&lt;=cfg_VAL_M),G308,0),MAX(0,MIN(F308,cfg_VAL_DATE)-MAX(E308,cfg_Y_START)+1)))</f>
        <v>0</v>
      </c>
      <c r="V308" s="65" t="n">
        <f aca="false">IF(OR($B308="",$E308="",$F308=""),0,MAX(0,MIN($F308,EOMONTH(DATE(cfg_FY,1,1),0))-MAX($E308,DATE(cfg_FY,1,1))+1)*(1-IF($M308="نعم",0,N($J308))))</f>
        <v>0</v>
      </c>
      <c r="W308" s="65" t="n">
        <f aca="false">IF(OR($B308="",$E308="",$F308=""),0,MAX(0,MIN($F308,EOMONTH(DATE(cfg_FY,2,1),0))-MAX($E308,DATE(cfg_FY,2,1))+1)*(1-IF($M308="نعم",0,N($J308))))</f>
        <v>0</v>
      </c>
      <c r="X308" s="65" t="n">
        <f aca="false">IF(OR($B308="",$E308="",$F308=""),0,MAX(0,MIN($F308,EOMONTH(DATE(cfg_FY,3,1),0))-MAX($E308,DATE(cfg_FY,3,1))+1)*(1-IF($M308="نعم",0,N($J308))))</f>
        <v>0</v>
      </c>
      <c r="Y308" s="65" t="n">
        <f aca="false">IF(OR($B308="",$E308="",$F308=""),0,MAX(0,MIN($F308,EOMONTH(DATE(cfg_FY,4,1),0))-MAX($E308,DATE(cfg_FY,4,1))+1)*(1-IF($M308="نعم",0,N($J308))))</f>
        <v>0</v>
      </c>
      <c r="Z308" s="65" t="n">
        <f aca="false">IF(OR($B308="",$E308="",$F308=""),0,MAX(0,MIN($F308,EOMONTH(DATE(cfg_FY,5,1),0))-MAX($E308,DATE(cfg_FY,5,1))+1)*(1-IF($M308="نعم",0,N($J308))))</f>
        <v>0</v>
      </c>
      <c r="AA308" s="65" t="n">
        <f aca="false">IF(OR($B308="",$E308="",$F308=""),0,MAX(0,MIN($F308,EOMONTH(DATE(cfg_FY,6,1),0))-MAX($E308,DATE(cfg_FY,6,1))+1)*(1-IF($M308="نعم",0,N($J308))))</f>
        <v>0</v>
      </c>
      <c r="AB308" s="65" t="n">
        <f aca="false">IF(OR($B308="",$E308="",$F308=""),0,MAX(0,MIN($F308,EOMONTH(DATE(cfg_FY,7,1),0))-MAX($E308,DATE(cfg_FY,7,1))+1)*(1-IF($M308="نعم",0,N($J308))))</f>
        <v>0</v>
      </c>
      <c r="AC308" s="65" t="n">
        <f aca="false">IF(OR($B308="",$E308="",$F308=""),0,MAX(0,MIN($F308,EOMONTH(DATE(cfg_FY,8,1),0))-MAX($E308,DATE(cfg_FY,8,1))+1)*(1-IF($M308="نعم",0,N($J308))))</f>
        <v>0</v>
      </c>
      <c r="AD308" s="65" t="n">
        <f aca="false">IF(OR($B308="",$E308="",$F308=""),0,MAX(0,MIN($F308,EOMONTH(DATE(cfg_FY,9,1),0))-MAX($E308,DATE(cfg_FY,9,1))+1)*(1-IF($M308="نعم",0,N($J308))))</f>
        <v>0</v>
      </c>
      <c r="AE308" s="65" t="n">
        <f aca="false">IF(OR($B308="",$E308="",$F308=""),0,MAX(0,MIN($F308,EOMONTH(DATE(cfg_FY,10,1),0))-MAX($E308,DATE(cfg_FY,10,1))+1)*(1-IF($M308="نعم",0,N($J308))))</f>
        <v>0</v>
      </c>
      <c r="AF308" s="65" t="n">
        <f aca="false">IF(OR($B308="",$E308="",$F308=""),0,MAX(0,MIN($F308,EOMONTH(DATE(cfg_FY,11,1),0))-MAX($E308,DATE(cfg_FY,11,1))+1)*(1-IF($M308="نعم",0,N($J308))))</f>
        <v>0</v>
      </c>
      <c r="AG308" s="65" t="n">
        <f aca="false">IF(OR($B308="",$E308="",$F308=""),0,MAX(0,MIN($F308,EOMONTH(DATE(cfg_FY,12,1),0))-MAX($E308,DATE(cfg_FY,12,1))+1)*(1-IF($M308="نعم",0,N($J308))))</f>
        <v>0</v>
      </c>
      <c r="AH308" s="65" t="n">
        <f aca="false">IF(OR(OR($B308="",$E308="",$F308=""),$L308&lt;&gt;"لا"),0,MAX(0,MIN($F308,EOMONTH(DATE(cfg_FY,1,1),0))-$E308+1))</f>
        <v>0</v>
      </c>
      <c r="AI308" s="65" t="n">
        <f aca="false">IF(OR(OR($B308="",$E308="",$F308=""),$L308&lt;&gt;"لا"),0,MAX(0,MIN($F308,EOMONTH(DATE(cfg_FY,2,1),0))-$E308+1))</f>
        <v>0</v>
      </c>
      <c r="AJ308" s="65" t="n">
        <f aca="false">IF(OR(OR($B308="",$E308="",$F308=""),$L308&lt;&gt;"لا"),0,MAX(0,MIN($F308,EOMONTH(DATE(cfg_FY,3,1),0))-$E308+1))</f>
        <v>0</v>
      </c>
      <c r="AK308" s="65" t="n">
        <f aca="false">IF(OR(OR($B308="",$E308="",$F308=""),$L308&lt;&gt;"لا"),0,MAX(0,MIN($F308,EOMONTH(DATE(cfg_FY,4,1),0))-$E308+1))</f>
        <v>0</v>
      </c>
      <c r="AL308" s="65" t="n">
        <f aca="false">IF(OR(OR($B308="",$E308="",$F308=""),$L308&lt;&gt;"لا"),0,MAX(0,MIN($F308,EOMONTH(DATE(cfg_FY,5,1),0))-$E308+1))</f>
        <v>0</v>
      </c>
      <c r="AM308" s="65" t="n">
        <f aca="false">IF(OR(OR($B308="",$E308="",$F308=""),$L308&lt;&gt;"لا"),0,MAX(0,MIN($F308,EOMONTH(DATE(cfg_FY,6,1),0))-$E308+1))</f>
        <v>0</v>
      </c>
      <c r="AN308" s="65" t="n">
        <f aca="false">IF(OR(OR($B308="",$E308="",$F308=""),$L308&lt;&gt;"لا"),0,MAX(0,MIN($F308,EOMONTH(DATE(cfg_FY,7,1),0))-$E308+1))</f>
        <v>0</v>
      </c>
      <c r="AO308" s="65" t="n">
        <f aca="false">IF(OR(OR($B308="",$E308="",$F308=""),$L308&lt;&gt;"لا"),0,MAX(0,MIN($F308,EOMONTH(DATE(cfg_FY,8,1),0))-$E308+1))</f>
        <v>0</v>
      </c>
      <c r="AP308" s="65" t="n">
        <f aca="false">IF(OR(OR($B308="",$E308="",$F308=""),$L308&lt;&gt;"لا"),0,MAX(0,MIN($F308,EOMONTH(DATE(cfg_FY,9,1),0))-$E308+1))</f>
        <v>0</v>
      </c>
      <c r="AQ308" s="65" t="n">
        <f aca="false">IF(OR(OR($B308="",$E308="",$F308=""),$L308&lt;&gt;"لا"),0,MAX(0,MIN($F308,EOMONTH(DATE(cfg_FY,10,1),0))-$E308+1))</f>
        <v>0</v>
      </c>
      <c r="AR308" s="65" t="n">
        <f aca="false">IF(OR(OR($B308="",$E308="",$F308=""),$L308&lt;&gt;"لا"),0,MAX(0,MIN($F308,EOMONTH(DATE(cfg_FY,11,1),0))-$E308+1))</f>
        <v>0</v>
      </c>
      <c r="AS308" s="65" t="n">
        <f aca="false">IF(OR(OR($B308="",$E308="",$F308=""),$L308&lt;&gt;"لا"),0,MAX(0,MIN($F308,EOMONTH(DATE(cfg_FY,12,1),0))-$E308+1))</f>
        <v>0</v>
      </c>
      <c r="AT308" s="65" t="n">
        <f aca="false">IF(OR(OR($B308="",$E308="",$F308=""),$K308&lt;&gt;"نعم",$M308="نعم"),0,MAX(0,MIN($F308,EOMONTH(DATE(cfg_FY,1,1),0))-MAX($E308,DATE(cfg_FY,1,1))+1))</f>
        <v>0</v>
      </c>
      <c r="AU308" s="65" t="n">
        <f aca="false">IF(OR(OR($B308="",$E308="",$F308=""),$K308&lt;&gt;"نعم",$M308="نعم"),0,MAX(0,MIN($F308,EOMONTH(DATE(cfg_FY,2,1),0))-MAX($E308,DATE(cfg_FY,2,1))+1))</f>
        <v>0</v>
      </c>
      <c r="AV308" s="65" t="n">
        <f aca="false">IF(OR(OR($B308="",$E308="",$F308=""),$K308&lt;&gt;"نعم",$M308="نعم"),0,MAX(0,MIN($F308,EOMONTH(DATE(cfg_FY,3,1),0))-MAX($E308,DATE(cfg_FY,3,1))+1))</f>
        <v>0</v>
      </c>
      <c r="AW308" s="65" t="n">
        <f aca="false">IF(OR(OR($B308="",$E308="",$F308=""),$K308&lt;&gt;"نعم",$M308="نعم"),0,MAX(0,MIN($F308,EOMONTH(DATE(cfg_FY,4,1),0))-MAX($E308,DATE(cfg_FY,4,1))+1))</f>
        <v>0</v>
      </c>
      <c r="AX308" s="65" t="n">
        <f aca="false">IF(OR(OR($B308="",$E308="",$F308=""),$K308&lt;&gt;"نعم",$M308="نعم"),0,MAX(0,MIN($F308,EOMONTH(DATE(cfg_FY,5,1),0))-MAX($E308,DATE(cfg_FY,5,1))+1))</f>
        <v>0</v>
      </c>
      <c r="AY308" s="65" t="n">
        <f aca="false">IF(OR(OR($B308="",$E308="",$F308=""),$K308&lt;&gt;"نعم",$M308="نعم"),0,MAX(0,MIN($F308,EOMONTH(DATE(cfg_FY,6,1),0))-MAX($E308,DATE(cfg_FY,6,1))+1))</f>
        <v>0</v>
      </c>
      <c r="AZ308" s="65" t="n">
        <f aca="false">IF(OR(OR($B308="",$E308="",$F308=""),$K308&lt;&gt;"نعم",$M308="نعم"),0,MAX(0,MIN($F308,EOMONTH(DATE(cfg_FY,7,1),0))-MAX($E308,DATE(cfg_FY,7,1))+1))</f>
        <v>0</v>
      </c>
      <c r="BA308" s="65" t="n">
        <f aca="false">IF(OR(OR($B308="",$E308="",$F308=""),$K308&lt;&gt;"نعم",$M308="نعم"),0,MAX(0,MIN($F308,EOMONTH(DATE(cfg_FY,8,1),0))-MAX($E308,DATE(cfg_FY,8,1))+1))</f>
        <v>0</v>
      </c>
      <c r="BB308" s="65" t="n">
        <f aca="false">IF(OR(OR($B308="",$E308="",$F308=""),$K308&lt;&gt;"نعم",$M308="نعم"),0,MAX(0,MIN($F308,EOMONTH(DATE(cfg_FY,9,1),0))-MAX($E308,DATE(cfg_FY,9,1))+1))</f>
        <v>0</v>
      </c>
      <c r="BC308" s="65" t="n">
        <f aca="false">IF(OR(OR($B308="",$E308="",$F308=""),$K308&lt;&gt;"نعم",$M308="نعم"),0,MAX(0,MIN($F308,EOMONTH(DATE(cfg_FY,10,1),0))-MAX($E308,DATE(cfg_FY,10,1))+1))</f>
        <v>0</v>
      </c>
      <c r="BD308" s="65" t="n">
        <f aca="false">IF(OR(OR($B308="",$E308="",$F308=""),$K308&lt;&gt;"نعم",$M308="نعم"),0,MAX(0,MIN($F308,EOMONTH(DATE(cfg_FY,11,1),0))-MAX($E308,DATE(cfg_FY,11,1))+1))</f>
        <v>0</v>
      </c>
      <c r="BE308" s="65" t="n">
        <f aca="false">IF(OR(OR($B308="",$E308="",$F308=""),$K308&lt;&gt;"نعم",$M308="نعم"),0,MAX(0,MIN($F308,EOMONTH(DATE(cfg_FY,12,1),0))-MAX($E308,DATE(cfg_FY,12,1))+1))</f>
        <v>0</v>
      </c>
    </row>
    <row r="309" customFormat="false" ht="15" hidden="false" customHeight="false" outlineLevel="0" collapsed="false">
      <c r="A309" s="115" t="str">
        <f aca="false">IF(B309="","",ROW()-5)</f>
        <v/>
      </c>
      <c r="B309" s="118"/>
      <c r="C309" s="117" t="str">
        <f aca="false">IF(B309="","",IFERROR(INDEX(الموظفون!$C$6:$C$105,MATCH(B309,الموظفون!$B$6:$B$105,0)),"✖ رقم غير موجود"))</f>
        <v/>
      </c>
      <c r="D309" s="118"/>
      <c r="E309" s="119"/>
      <c r="F309" s="119"/>
      <c r="G309" s="133" t="str">
        <f aca="false">IF(OR($B309="",$E309="",$F309=""),"",MAX(0,F309-E309+1))</f>
        <v/>
      </c>
      <c r="H309" s="134" t="str">
        <f aca="false">IF(D309="","",IFERROR(VLOOKUP(D309,cfg_LT,2,FALSE()),1))</f>
        <v/>
      </c>
      <c r="I309" s="135"/>
      <c r="J309" s="134" t="str">
        <f aca="false">IF(D309="","",IF(I309&lt;&gt;"",I309,H309))</f>
        <v/>
      </c>
      <c r="K309" s="117" t="str">
        <f aca="false">IF(D309="","",IFERROR(VLOOKUP($D309,cfg_LT,3,FALSE()),""))</f>
        <v/>
      </c>
      <c r="L309" s="117" t="str">
        <f aca="false">IF(D309="","",IFERROR(VLOOKUP($D309,cfg_LT,4,FALSE()),""))</f>
        <v/>
      </c>
      <c r="M309" s="117" t="str">
        <f aca="false">IF(D309="","",IFERROR(VLOOKUP($D309,cfg_LT,5,FALSE()),""))</f>
        <v/>
      </c>
      <c r="N309" s="116" t="n">
        <f aca="false">IF(OR(OR($B309="",$E309="",$F309=""),M309&lt;&gt;"نعم"),0,G309*J309*IFERROR(INDEX(الموظفون!$R$6:$R$105,MATCH(B309,الموظفون!$B$6:$B$105,0)),0)/cfg_DAYS_M)</f>
        <v>0</v>
      </c>
      <c r="O309" s="115" t="str">
        <f aca="false">IF(OR(OR($B309="",$E309="",$F309=""),M309&lt;&gt;"نعم"),"",IF(YEAR(E309)=cfg_FY,MONTH(E309),""))</f>
        <v/>
      </c>
      <c r="P309" s="117" t="str">
        <f aca="false">IF(B309="","",IF(OR(D309="",E309="",F309=""),"⚠ أكمل النوع والتواريخ",IF(F309&lt;E309,"✖ النهاية قبل البداية",IF(COUNTIFS($B$6:$B$505,B309,$E$6:$E$505,"&lt;="&amp;F309,$F$6:$F$505,"&gt;="&amp;E309)&gt;1,"⚠ تداخل مع سجل آخر",IF(E309&gt;cfg_VAL_DATE,"⏳ قادمة",IF(F309&lt;cfg_VAL_DATE,"✔ منتهية","✈ جارية في تاريخ التقرير"))))))</f>
        <v/>
      </c>
      <c r="Q309" s="118"/>
      <c r="R309" s="133" t="n">
        <f aca="false">IF(OR(OR($B309="",$E309="",$F309=""),L309&lt;&gt;"لا"),0,MAX(0,MIN(F309,cfg_Y_START-1)-E309+1))</f>
        <v>0</v>
      </c>
      <c r="S309" s="133" t="n">
        <f aca="false">IF(OR(OR($B309="",$E309="",$F309=""),L309&lt;&gt;"لا"),0,MAX(0,MIN(F309,cfg_VAL_DATE)-E309+1))</f>
        <v>0</v>
      </c>
      <c r="T309" s="133" t="n">
        <f aca="false">IF(OR(OR($B309="",$E309="",$F309=""),K309&lt;&gt;"نعم"),0,IF(M309="نعم",IF(AND(ISNUMBER(O309),N(O309)&lt;=cfg_VAL_M),G309,0),MAX(0,MIN(F309,cfg_VAL_DATE)-MAX(E309,cfg_Y_START)+1)))</f>
        <v>0</v>
      </c>
      <c r="V309" s="133" t="n">
        <f aca="false">IF(OR($B309="",$E309="",$F309=""),0,MAX(0,MIN($F309,EOMONTH(DATE(cfg_FY,1,1),0))-MAX($E309,DATE(cfg_FY,1,1))+1)*(1-IF($M309="نعم",0,N($J309))))</f>
        <v>0</v>
      </c>
      <c r="W309" s="133" t="n">
        <f aca="false">IF(OR($B309="",$E309="",$F309=""),0,MAX(0,MIN($F309,EOMONTH(DATE(cfg_FY,2,1),0))-MAX($E309,DATE(cfg_FY,2,1))+1)*(1-IF($M309="نعم",0,N($J309))))</f>
        <v>0</v>
      </c>
      <c r="X309" s="133" t="n">
        <f aca="false">IF(OR($B309="",$E309="",$F309=""),0,MAX(0,MIN($F309,EOMONTH(DATE(cfg_FY,3,1),0))-MAX($E309,DATE(cfg_FY,3,1))+1)*(1-IF($M309="نعم",0,N($J309))))</f>
        <v>0</v>
      </c>
      <c r="Y309" s="133" t="n">
        <f aca="false">IF(OR($B309="",$E309="",$F309=""),0,MAX(0,MIN($F309,EOMONTH(DATE(cfg_FY,4,1),0))-MAX($E309,DATE(cfg_FY,4,1))+1)*(1-IF($M309="نعم",0,N($J309))))</f>
        <v>0</v>
      </c>
      <c r="Z309" s="133" t="n">
        <f aca="false">IF(OR($B309="",$E309="",$F309=""),0,MAX(0,MIN($F309,EOMONTH(DATE(cfg_FY,5,1),0))-MAX($E309,DATE(cfg_FY,5,1))+1)*(1-IF($M309="نعم",0,N($J309))))</f>
        <v>0</v>
      </c>
      <c r="AA309" s="133" t="n">
        <f aca="false">IF(OR($B309="",$E309="",$F309=""),0,MAX(0,MIN($F309,EOMONTH(DATE(cfg_FY,6,1),0))-MAX($E309,DATE(cfg_FY,6,1))+1)*(1-IF($M309="نعم",0,N($J309))))</f>
        <v>0</v>
      </c>
      <c r="AB309" s="133" t="n">
        <f aca="false">IF(OR($B309="",$E309="",$F309=""),0,MAX(0,MIN($F309,EOMONTH(DATE(cfg_FY,7,1),0))-MAX($E309,DATE(cfg_FY,7,1))+1)*(1-IF($M309="نعم",0,N($J309))))</f>
        <v>0</v>
      </c>
      <c r="AC309" s="133" t="n">
        <f aca="false">IF(OR($B309="",$E309="",$F309=""),0,MAX(0,MIN($F309,EOMONTH(DATE(cfg_FY,8,1),0))-MAX($E309,DATE(cfg_FY,8,1))+1)*(1-IF($M309="نعم",0,N($J309))))</f>
        <v>0</v>
      </c>
      <c r="AD309" s="133" t="n">
        <f aca="false">IF(OR($B309="",$E309="",$F309=""),0,MAX(0,MIN($F309,EOMONTH(DATE(cfg_FY,9,1),0))-MAX($E309,DATE(cfg_FY,9,1))+1)*(1-IF($M309="نعم",0,N($J309))))</f>
        <v>0</v>
      </c>
      <c r="AE309" s="133" t="n">
        <f aca="false">IF(OR($B309="",$E309="",$F309=""),0,MAX(0,MIN($F309,EOMONTH(DATE(cfg_FY,10,1),0))-MAX($E309,DATE(cfg_FY,10,1))+1)*(1-IF($M309="نعم",0,N($J309))))</f>
        <v>0</v>
      </c>
      <c r="AF309" s="133" t="n">
        <f aca="false">IF(OR($B309="",$E309="",$F309=""),0,MAX(0,MIN($F309,EOMONTH(DATE(cfg_FY,11,1),0))-MAX($E309,DATE(cfg_FY,11,1))+1)*(1-IF($M309="نعم",0,N($J309))))</f>
        <v>0</v>
      </c>
      <c r="AG309" s="133" t="n">
        <f aca="false">IF(OR($B309="",$E309="",$F309=""),0,MAX(0,MIN($F309,EOMONTH(DATE(cfg_FY,12,1),0))-MAX($E309,DATE(cfg_FY,12,1))+1)*(1-IF($M309="نعم",0,N($J309))))</f>
        <v>0</v>
      </c>
      <c r="AH309" s="133" t="n">
        <f aca="false">IF(OR(OR($B309="",$E309="",$F309=""),$L309&lt;&gt;"لا"),0,MAX(0,MIN($F309,EOMONTH(DATE(cfg_FY,1,1),0))-$E309+1))</f>
        <v>0</v>
      </c>
      <c r="AI309" s="133" t="n">
        <f aca="false">IF(OR(OR($B309="",$E309="",$F309=""),$L309&lt;&gt;"لا"),0,MAX(0,MIN($F309,EOMONTH(DATE(cfg_FY,2,1),0))-$E309+1))</f>
        <v>0</v>
      </c>
      <c r="AJ309" s="133" t="n">
        <f aca="false">IF(OR(OR($B309="",$E309="",$F309=""),$L309&lt;&gt;"لا"),0,MAX(0,MIN($F309,EOMONTH(DATE(cfg_FY,3,1),0))-$E309+1))</f>
        <v>0</v>
      </c>
      <c r="AK309" s="133" t="n">
        <f aca="false">IF(OR(OR($B309="",$E309="",$F309=""),$L309&lt;&gt;"لا"),0,MAX(0,MIN($F309,EOMONTH(DATE(cfg_FY,4,1),0))-$E309+1))</f>
        <v>0</v>
      </c>
      <c r="AL309" s="133" t="n">
        <f aca="false">IF(OR(OR($B309="",$E309="",$F309=""),$L309&lt;&gt;"لا"),0,MAX(0,MIN($F309,EOMONTH(DATE(cfg_FY,5,1),0))-$E309+1))</f>
        <v>0</v>
      </c>
      <c r="AM309" s="133" t="n">
        <f aca="false">IF(OR(OR($B309="",$E309="",$F309=""),$L309&lt;&gt;"لا"),0,MAX(0,MIN($F309,EOMONTH(DATE(cfg_FY,6,1),0))-$E309+1))</f>
        <v>0</v>
      </c>
      <c r="AN309" s="133" t="n">
        <f aca="false">IF(OR(OR($B309="",$E309="",$F309=""),$L309&lt;&gt;"لا"),0,MAX(0,MIN($F309,EOMONTH(DATE(cfg_FY,7,1),0))-$E309+1))</f>
        <v>0</v>
      </c>
      <c r="AO309" s="133" t="n">
        <f aca="false">IF(OR(OR($B309="",$E309="",$F309=""),$L309&lt;&gt;"لا"),0,MAX(0,MIN($F309,EOMONTH(DATE(cfg_FY,8,1),0))-$E309+1))</f>
        <v>0</v>
      </c>
      <c r="AP309" s="133" t="n">
        <f aca="false">IF(OR(OR($B309="",$E309="",$F309=""),$L309&lt;&gt;"لا"),0,MAX(0,MIN($F309,EOMONTH(DATE(cfg_FY,9,1),0))-$E309+1))</f>
        <v>0</v>
      </c>
      <c r="AQ309" s="133" t="n">
        <f aca="false">IF(OR(OR($B309="",$E309="",$F309=""),$L309&lt;&gt;"لا"),0,MAX(0,MIN($F309,EOMONTH(DATE(cfg_FY,10,1),0))-$E309+1))</f>
        <v>0</v>
      </c>
      <c r="AR309" s="133" t="n">
        <f aca="false">IF(OR(OR($B309="",$E309="",$F309=""),$L309&lt;&gt;"لا"),0,MAX(0,MIN($F309,EOMONTH(DATE(cfg_FY,11,1),0))-$E309+1))</f>
        <v>0</v>
      </c>
      <c r="AS309" s="133" t="n">
        <f aca="false">IF(OR(OR($B309="",$E309="",$F309=""),$L309&lt;&gt;"لا"),0,MAX(0,MIN($F309,EOMONTH(DATE(cfg_FY,12,1),0))-$E309+1))</f>
        <v>0</v>
      </c>
      <c r="AT309" s="133" t="n">
        <f aca="false">IF(OR(OR($B309="",$E309="",$F309=""),$K309&lt;&gt;"نعم",$M309="نعم"),0,MAX(0,MIN($F309,EOMONTH(DATE(cfg_FY,1,1),0))-MAX($E309,DATE(cfg_FY,1,1))+1))</f>
        <v>0</v>
      </c>
      <c r="AU309" s="133" t="n">
        <f aca="false">IF(OR(OR($B309="",$E309="",$F309=""),$K309&lt;&gt;"نعم",$M309="نعم"),0,MAX(0,MIN($F309,EOMONTH(DATE(cfg_FY,2,1),0))-MAX($E309,DATE(cfg_FY,2,1))+1))</f>
        <v>0</v>
      </c>
      <c r="AV309" s="133" t="n">
        <f aca="false">IF(OR(OR($B309="",$E309="",$F309=""),$K309&lt;&gt;"نعم",$M309="نعم"),0,MAX(0,MIN($F309,EOMONTH(DATE(cfg_FY,3,1),0))-MAX($E309,DATE(cfg_FY,3,1))+1))</f>
        <v>0</v>
      </c>
      <c r="AW309" s="133" t="n">
        <f aca="false">IF(OR(OR($B309="",$E309="",$F309=""),$K309&lt;&gt;"نعم",$M309="نعم"),0,MAX(0,MIN($F309,EOMONTH(DATE(cfg_FY,4,1),0))-MAX($E309,DATE(cfg_FY,4,1))+1))</f>
        <v>0</v>
      </c>
      <c r="AX309" s="133" t="n">
        <f aca="false">IF(OR(OR($B309="",$E309="",$F309=""),$K309&lt;&gt;"نعم",$M309="نعم"),0,MAX(0,MIN($F309,EOMONTH(DATE(cfg_FY,5,1),0))-MAX($E309,DATE(cfg_FY,5,1))+1))</f>
        <v>0</v>
      </c>
      <c r="AY309" s="133" t="n">
        <f aca="false">IF(OR(OR($B309="",$E309="",$F309=""),$K309&lt;&gt;"نعم",$M309="نعم"),0,MAX(0,MIN($F309,EOMONTH(DATE(cfg_FY,6,1),0))-MAX($E309,DATE(cfg_FY,6,1))+1))</f>
        <v>0</v>
      </c>
      <c r="AZ309" s="133" t="n">
        <f aca="false">IF(OR(OR($B309="",$E309="",$F309=""),$K309&lt;&gt;"نعم",$M309="نعم"),0,MAX(0,MIN($F309,EOMONTH(DATE(cfg_FY,7,1),0))-MAX($E309,DATE(cfg_FY,7,1))+1))</f>
        <v>0</v>
      </c>
      <c r="BA309" s="133" t="n">
        <f aca="false">IF(OR(OR($B309="",$E309="",$F309=""),$K309&lt;&gt;"نعم",$M309="نعم"),0,MAX(0,MIN($F309,EOMONTH(DATE(cfg_FY,8,1),0))-MAX($E309,DATE(cfg_FY,8,1))+1))</f>
        <v>0</v>
      </c>
      <c r="BB309" s="133" t="n">
        <f aca="false">IF(OR(OR($B309="",$E309="",$F309=""),$K309&lt;&gt;"نعم",$M309="نعم"),0,MAX(0,MIN($F309,EOMONTH(DATE(cfg_FY,9,1),0))-MAX($E309,DATE(cfg_FY,9,1))+1))</f>
        <v>0</v>
      </c>
      <c r="BC309" s="133" t="n">
        <f aca="false">IF(OR(OR($B309="",$E309="",$F309=""),$K309&lt;&gt;"نعم",$M309="نعم"),0,MAX(0,MIN($F309,EOMONTH(DATE(cfg_FY,10,1),0))-MAX($E309,DATE(cfg_FY,10,1))+1))</f>
        <v>0</v>
      </c>
      <c r="BD309" s="133" t="n">
        <f aca="false">IF(OR(OR($B309="",$E309="",$F309=""),$K309&lt;&gt;"نعم",$M309="نعم"),0,MAX(0,MIN($F309,EOMONTH(DATE(cfg_FY,11,1),0))-MAX($E309,DATE(cfg_FY,11,1))+1))</f>
        <v>0</v>
      </c>
      <c r="BE309" s="133" t="n">
        <f aca="false">IF(OR(OR($B309="",$E309="",$F309=""),$K309&lt;&gt;"نعم",$M309="نعم"),0,MAX(0,MIN($F309,EOMONTH(DATE(cfg_FY,12,1),0))-MAX($E309,DATE(cfg_FY,12,1))+1))</f>
        <v>0</v>
      </c>
    </row>
    <row r="310" customFormat="false" ht="15" hidden="false" customHeight="false" outlineLevel="0" collapsed="false">
      <c r="A310" s="106" t="str">
        <f aca="false">IF(B310="","",ROW()-5)</f>
        <v/>
      </c>
      <c r="B310" s="118"/>
      <c r="C310" s="114" t="str">
        <f aca="false">IF(B310="","",IFERROR(INDEX(الموظفون!$C$6:$C$105,MATCH(B310,الموظفون!$B$6:$B$105,0)),"✖ رقم غير موجود"))</f>
        <v/>
      </c>
      <c r="D310" s="118"/>
      <c r="E310" s="119"/>
      <c r="F310" s="119"/>
      <c r="G310" s="65" t="str">
        <f aca="false">IF(OR($B310="",$E310="",$F310=""),"",MAX(0,F310-E310+1))</f>
        <v/>
      </c>
      <c r="H310" s="66" t="str">
        <f aca="false">IF(D310="","",IFERROR(VLOOKUP(D310,cfg_LT,2,FALSE()),1))</f>
        <v/>
      </c>
      <c r="I310" s="135"/>
      <c r="J310" s="66" t="str">
        <f aca="false">IF(D310="","",IF(I310&lt;&gt;"",I310,H310))</f>
        <v/>
      </c>
      <c r="K310" s="114" t="str">
        <f aca="false">IF(D310="","",IFERROR(VLOOKUP($D310,cfg_LT,3,FALSE()),""))</f>
        <v/>
      </c>
      <c r="L310" s="114" t="str">
        <f aca="false">IF(D310="","",IFERROR(VLOOKUP($D310,cfg_LT,4,FALSE()),""))</f>
        <v/>
      </c>
      <c r="M310" s="114" t="str">
        <f aca="false">IF(D310="","",IFERROR(VLOOKUP($D310,cfg_LT,5,FALSE()),""))</f>
        <v/>
      </c>
      <c r="N310" s="111" t="n">
        <f aca="false">IF(OR(OR($B310="",$E310="",$F310=""),M310&lt;&gt;"نعم"),0,G310*J310*IFERROR(INDEX(الموظفون!$R$6:$R$105,MATCH(B310,الموظفون!$B$6:$B$105,0)),0)/cfg_DAYS_M)</f>
        <v>0</v>
      </c>
      <c r="O310" s="106" t="str">
        <f aca="false">IF(OR(OR($B310="",$E310="",$F310=""),M310&lt;&gt;"نعم"),"",IF(YEAR(E310)=cfg_FY,MONTH(E310),""))</f>
        <v/>
      </c>
      <c r="P310" s="114" t="str">
        <f aca="false">IF(B310="","",IF(OR(D310="",E310="",F310=""),"⚠ أكمل النوع والتواريخ",IF(F310&lt;E310,"✖ النهاية قبل البداية",IF(COUNTIFS($B$6:$B$505,B310,$E$6:$E$505,"&lt;="&amp;F310,$F$6:$F$505,"&gt;="&amp;E310)&gt;1,"⚠ تداخل مع سجل آخر",IF(E310&gt;cfg_VAL_DATE,"⏳ قادمة",IF(F310&lt;cfg_VAL_DATE,"✔ منتهية","✈ جارية في تاريخ التقرير"))))))</f>
        <v/>
      </c>
      <c r="Q310" s="118"/>
      <c r="R310" s="65" t="n">
        <f aca="false">IF(OR(OR($B310="",$E310="",$F310=""),L310&lt;&gt;"لا"),0,MAX(0,MIN(F310,cfg_Y_START-1)-E310+1))</f>
        <v>0</v>
      </c>
      <c r="S310" s="65" t="n">
        <f aca="false">IF(OR(OR($B310="",$E310="",$F310=""),L310&lt;&gt;"لا"),0,MAX(0,MIN(F310,cfg_VAL_DATE)-E310+1))</f>
        <v>0</v>
      </c>
      <c r="T310" s="65" t="n">
        <f aca="false">IF(OR(OR($B310="",$E310="",$F310=""),K310&lt;&gt;"نعم"),0,IF(M310="نعم",IF(AND(ISNUMBER(O310),N(O310)&lt;=cfg_VAL_M),G310,0),MAX(0,MIN(F310,cfg_VAL_DATE)-MAX(E310,cfg_Y_START)+1)))</f>
        <v>0</v>
      </c>
      <c r="V310" s="65" t="n">
        <f aca="false">IF(OR($B310="",$E310="",$F310=""),0,MAX(0,MIN($F310,EOMONTH(DATE(cfg_FY,1,1),0))-MAX($E310,DATE(cfg_FY,1,1))+1)*(1-IF($M310="نعم",0,N($J310))))</f>
        <v>0</v>
      </c>
      <c r="W310" s="65" t="n">
        <f aca="false">IF(OR($B310="",$E310="",$F310=""),0,MAX(0,MIN($F310,EOMONTH(DATE(cfg_FY,2,1),0))-MAX($E310,DATE(cfg_FY,2,1))+1)*(1-IF($M310="نعم",0,N($J310))))</f>
        <v>0</v>
      </c>
      <c r="X310" s="65" t="n">
        <f aca="false">IF(OR($B310="",$E310="",$F310=""),0,MAX(0,MIN($F310,EOMONTH(DATE(cfg_FY,3,1),0))-MAX($E310,DATE(cfg_FY,3,1))+1)*(1-IF($M310="نعم",0,N($J310))))</f>
        <v>0</v>
      </c>
      <c r="Y310" s="65" t="n">
        <f aca="false">IF(OR($B310="",$E310="",$F310=""),0,MAX(0,MIN($F310,EOMONTH(DATE(cfg_FY,4,1),0))-MAX($E310,DATE(cfg_FY,4,1))+1)*(1-IF($M310="نعم",0,N($J310))))</f>
        <v>0</v>
      </c>
      <c r="Z310" s="65" t="n">
        <f aca="false">IF(OR($B310="",$E310="",$F310=""),0,MAX(0,MIN($F310,EOMONTH(DATE(cfg_FY,5,1),0))-MAX($E310,DATE(cfg_FY,5,1))+1)*(1-IF($M310="نعم",0,N($J310))))</f>
        <v>0</v>
      </c>
      <c r="AA310" s="65" t="n">
        <f aca="false">IF(OR($B310="",$E310="",$F310=""),0,MAX(0,MIN($F310,EOMONTH(DATE(cfg_FY,6,1),0))-MAX($E310,DATE(cfg_FY,6,1))+1)*(1-IF($M310="نعم",0,N($J310))))</f>
        <v>0</v>
      </c>
      <c r="AB310" s="65" t="n">
        <f aca="false">IF(OR($B310="",$E310="",$F310=""),0,MAX(0,MIN($F310,EOMONTH(DATE(cfg_FY,7,1),0))-MAX($E310,DATE(cfg_FY,7,1))+1)*(1-IF($M310="نعم",0,N($J310))))</f>
        <v>0</v>
      </c>
      <c r="AC310" s="65" t="n">
        <f aca="false">IF(OR($B310="",$E310="",$F310=""),0,MAX(0,MIN($F310,EOMONTH(DATE(cfg_FY,8,1),0))-MAX($E310,DATE(cfg_FY,8,1))+1)*(1-IF($M310="نعم",0,N($J310))))</f>
        <v>0</v>
      </c>
      <c r="AD310" s="65" t="n">
        <f aca="false">IF(OR($B310="",$E310="",$F310=""),0,MAX(0,MIN($F310,EOMONTH(DATE(cfg_FY,9,1),0))-MAX($E310,DATE(cfg_FY,9,1))+1)*(1-IF($M310="نعم",0,N($J310))))</f>
        <v>0</v>
      </c>
      <c r="AE310" s="65" t="n">
        <f aca="false">IF(OR($B310="",$E310="",$F310=""),0,MAX(0,MIN($F310,EOMONTH(DATE(cfg_FY,10,1),0))-MAX($E310,DATE(cfg_FY,10,1))+1)*(1-IF($M310="نعم",0,N($J310))))</f>
        <v>0</v>
      </c>
      <c r="AF310" s="65" t="n">
        <f aca="false">IF(OR($B310="",$E310="",$F310=""),0,MAX(0,MIN($F310,EOMONTH(DATE(cfg_FY,11,1),0))-MAX($E310,DATE(cfg_FY,11,1))+1)*(1-IF($M310="نعم",0,N($J310))))</f>
        <v>0</v>
      </c>
      <c r="AG310" s="65" t="n">
        <f aca="false">IF(OR($B310="",$E310="",$F310=""),0,MAX(0,MIN($F310,EOMONTH(DATE(cfg_FY,12,1),0))-MAX($E310,DATE(cfg_FY,12,1))+1)*(1-IF($M310="نعم",0,N($J310))))</f>
        <v>0</v>
      </c>
      <c r="AH310" s="65" t="n">
        <f aca="false">IF(OR(OR($B310="",$E310="",$F310=""),$L310&lt;&gt;"لا"),0,MAX(0,MIN($F310,EOMONTH(DATE(cfg_FY,1,1),0))-$E310+1))</f>
        <v>0</v>
      </c>
      <c r="AI310" s="65" t="n">
        <f aca="false">IF(OR(OR($B310="",$E310="",$F310=""),$L310&lt;&gt;"لا"),0,MAX(0,MIN($F310,EOMONTH(DATE(cfg_FY,2,1),0))-$E310+1))</f>
        <v>0</v>
      </c>
      <c r="AJ310" s="65" t="n">
        <f aca="false">IF(OR(OR($B310="",$E310="",$F310=""),$L310&lt;&gt;"لا"),0,MAX(0,MIN($F310,EOMONTH(DATE(cfg_FY,3,1),0))-$E310+1))</f>
        <v>0</v>
      </c>
      <c r="AK310" s="65" t="n">
        <f aca="false">IF(OR(OR($B310="",$E310="",$F310=""),$L310&lt;&gt;"لا"),0,MAX(0,MIN($F310,EOMONTH(DATE(cfg_FY,4,1),0))-$E310+1))</f>
        <v>0</v>
      </c>
      <c r="AL310" s="65" t="n">
        <f aca="false">IF(OR(OR($B310="",$E310="",$F310=""),$L310&lt;&gt;"لا"),0,MAX(0,MIN($F310,EOMONTH(DATE(cfg_FY,5,1),0))-$E310+1))</f>
        <v>0</v>
      </c>
      <c r="AM310" s="65" t="n">
        <f aca="false">IF(OR(OR($B310="",$E310="",$F310=""),$L310&lt;&gt;"لا"),0,MAX(0,MIN($F310,EOMONTH(DATE(cfg_FY,6,1),0))-$E310+1))</f>
        <v>0</v>
      </c>
      <c r="AN310" s="65" t="n">
        <f aca="false">IF(OR(OR($B310="",$E310="",$F310=""),$L310&lt;&gt;"لا"),0,MAX(0,MIN($F310,EOMONTH(DATE(cfg_FY,7,1),0))-$E310+1))</f>
        <v>0</v>
      </c>
      <c r="AO310" s="65" t="n">
        <f aca="false">IF(OR(OR($B310="",$E310="",$F310=""),$L310&lt;&gt;"لا"),0,MAX(0,MIN($F310,EOMONTH(DATE(cfg_FY,8,1),0))-$E310+1))</f>
        <v>0</v>
      </c>
      <c r="AP310" s="65" t="n">
        <f aca="false">IF(OR(OR($B310="",$E310="",$F310=""),$L310&lt;&gt;"لا"),0,MAX(0,MIN($F310,EOMONTH(DATE(cfg_FY,9,1),0))-$E310+1))</f>
        <v>0</v>
      </c>
      <c r="AQ310" s="65" t="n">
        <f aca="false">IF(OR(OR($B310="",$E310="",$F310=""),$L310&lt;&gt;"لا"),0,MAX(0,MIN($F310,EOMONTH(DATE(cfg_FY,10,1),0))-$E310+1))</f>
        <v>0</v>
      </c>
      <c r="AR310" s="65" t="n">
        <f aca="false">IF(OR(OR($B310="",$E310="",$F310=""),$L310&lt;&gt;"لا"),0,MAX(0,MIN($F310,EOMONTH(DATE(cfg_FY,11,1),0))-$E310+1))</f>
        <v>0</v>
      </c>
      <c r="AS310" s="65" t="n">
        <f aca="false">IF(OR(OR($B310="",$E310="",$F310=""),$L310&lt;&gt;"لا"),0,MAX(0,MIN($F310,EOMONTH(DATE(cfg_FY,12,1),0))-$E310+1))</f>
        <v>0</v>
      </c>
      <c r="AT310" s="65" t="n">
        <f aca="false">IF(OR(OR($B310="",$E310="",$F310=""),$K310&lt;&gt;"نعم",$M310="نعم"),0,MAX(0,MIN($F310,EOMONTH(DATE(cfg_FY,1,1),0))-MAX($E310,DATE(cfg_FY,1,1))+1))</f>
        <v>0</v>
      </c>
      <c r="AU310" s="65" t="n">
        <f aca="false">IF(OR(OR($B310="",$E310="",$F310=""),$K310&lt;&gt;"نعم",$M310="نعم"),0,MAX(0,MIN($F310,EOMONTH(DATE(cfg_FY,2,1),0))-MAX($E310,DATE(cfg_FY,2,1))+1))</f>
        <v>0</v>
      </c>
      <c r="AV310" s="65" t="n">
        <f aca="false">IF(OR(OR($B310="",$E310="",$F310=""),$K310&lt;&gt;"نعم",$M310="نعم"),0,MAX(0,MIN($F310,EOMONTH(DATE(cfg_FY,3,1),0))-MAX($E310,DATE(cfg_FY,3,1))+1))</f>
        <v>0</v>
      </c>
      <c r="AW310" s="65" t="n">
        <f aca="false">IF(OR(OR($B310="",$E310="",$F310=""),$K310&lt;&gt;"نعم",$M310="نعم"),0,MAX(0,MIN($F310,EOMONTH(DATE(cfg_FY,4,1),0))-MAX($E310,DATE(cfg_FY,4,1))+1))</f>
        <v>0</v>
      </c>
      <c r="AX310" s="65" t="n">
        <f aca="false">IF(OR(OR($B310="",$E310="",$F310=""),$K310&lt;&gt;"نعم",$M310="نعم"),0,MAX(0,MIN($F310,EOMONTH(DATE(cfg_FY,5,1),0))-MAX($E310,DATE(cfg_FY,5,1))+1))</f>
        <v>0</v>
      </c>
      <c r="AY310" s="65" t="n">
        <f aca="false">IF(OR(OR($B310="",$E310="",$F310=""),$K310&lt;&gt;"نعم",$M310="نعم"),0,MAX(0,MIN($F310,EOMONTH(DATE(cfg_FY,6,1),0))-MAX($E310,DATE(cfg_FY,6,1))+1))</f>
        <v>0</v>
      </c>
      <c r="AZ310" s="65" t="n">
        <f aca="false">IF(OR(OR($B310="",$E310="",$F310=""),$K310&lt;&gt;"نعم",$M310="نعم"),0,MAX(0,MIN($F310,EOMONTH(DATE(cfg_FY,7,1),0))-MAX($E310,DATE(cfg_FY,7,1))+1))</f>
        <v>0</v>
      </c>
      <c r="BA310" s="65" t="n">
        <f aca="false">IF(OR(OR($B310="",$E310="",$F310=""),$K310&lt;&gt;"نعم",$M310="نعم"),0,MAX(0,MIN($F310,EOMONTH(DATE(cfg_FY,8,1),0))-MAX($E310,DATE(cfg_FY,8,1))+1))</f>
        <v>0</v>
      </c>
      <c r="BB310" s="65" t="n">
        <f aca="false">IF(OR(OR($B310="",$E310="",$F310=""),$K310&lt;&gt;"نعم",$M310="نعم"),0,MAX(0,MIN($F310,EOMONTH(DATE(cfg_FY,9,1),0))-MAX($E310,DATE(cfg_FY,9,1))+1))</f>
        <v>0</v>
      </c>
      <c r="BC310" s="65" t="n">
        <f aca="false">IF(OR(OR($B310="",$E310="",$F310=""),$K310&lt;&gt;"نعم",$M310="نعم"),0,MAX(0,MIN($F310,EOMONTH(DATE(cfg_FY,10,1),0))-MAX($E310,DATE(cfg_FY,10,1))+1))</f>
        <v>0</v>
      </c>
      <c r="BD310" s="65" t="n">
        <f aca="false">IF(OR(OR($B310="",$E310="",$F310=""),$K310&lt;&gt;"نعم",$M310="نعم"),0,MAX(0,MIN($F310,EOMONTH(DATE(cfg_FY,11,1),0))-MAX($E310,DATE(cfg_FY,11,1))+1))</f>
        <v>0</v>
      </c>
      <c r="BE310" s="65" t="n">
        <f aca="false">IF(OR(OR($B310="",$E310="",$F310=""),$K310&lt;&gt;"نعم",$M310="نعم"),0,MAX(0,MIN($F310,EOMONTH(DATE(cfg_FY,12,1),0))-MAX($E310,DATE(cfg_FY,12,1))+1))</f>
        <v>0</v>
      </c>
    </row>
    <row r="311" customFormat="false" ht="15" hidden="false" customHeight="false" outlineLevel="0" collapsed="false">
      <c r="A311" s="115" t="str">
        <f aca="false">IF(B311="","",ROW()-5)</f>
        <v/>
      </c>
      <c r="B311" s="118"/>
      <c r="C311" s="117" t="str">
        <f aca="false">IF(B311="","",IFERROR(INDEX(الموظفون!$C$6:$C$105,MATCH(B311,الموظفون!$B$6:$B$105,0)),"✖ رقم غير موجود"))</f>
        <v/>
      </c>
      <c r="D311" s="118"/>
      <c r="E311" s="119"/>
      <c r="F311" s="119"/>
      <c r="G311" s="133" t="str">
        <f aca="false">IF(OR($B311="",$E311="",$F311=""),"",MAX(0,F311-E311+1))</f>
        <v/>
      </c>
      <c r="H311" s="134" t="str">
        <f aca="false">IF(D311="","",IFERROR(VLOOKUP(D311,cfg_LT,2,FALSE()),1))</f>
        <v/>
      </c>
      <c r="I311" s="135"/>
      <c r="J311" s="134" t="str">
        <f aca="false">IF(D311="","",IF(I311&lt;&gt;"",I311,H311))</f>
        <v/>
      </c>
      <c r="K311" s="117" t="str">
        <f aca="false">IF(D311="","",IFERROR(VLOOKUP($D311,cfg_LT,3,FALSE()),""))</f>
        <v/>
      </c>
      <c r="L311" s="117" t="str">
        <f aca="false">IF(D311="","",IFERROR(VLOOKUP($D311,cfg_LT,4,FALSE()),""))</f>
        <v/>
      </c>
      <c r="M311" s="117" t="str">
        <f aca="false">IF(D311="","",IFERROR(VLOOKUP($D311,cfg_LT,5,FALSE()),""))</f>
        <v/>
      </c>
      <c r="N311" s="116" t="n">
        <f aca="false">IF(OR(OR($B311="",$E311="",$F311=""),M311&lt;&gt;"نعم"),0,G311*J311*IFERROR(INDEX(الموظفون!$R$6:$R$105,MATCH(B311,الموظفون!$B$6:$B$105,0)),0)/cfg_DAYS_M)</f>
        <v>0</v>
      </c>
      <c r="O311" s="115" t="str">
        <f aca="false">IF(OR(OR($B311="",$E311="",$F311=""),M311&lt;&gt;"نعم"),"",IF(YEAR(E311)=cfg_FY,MONTH(E311),""))</f>
        <v/>
      </c>
      <c r="P311" s="117" t="str">
        <f aca="false">IF(B311="","",IF(OR(D311="",E311="",F311=""),"⚠ أكمل النوع والتواريخ",IF(F311&lt;E311,"✖ النهاية قبل البداية",IF(COUNTIFS($B$6:$B$505,B311,$E$6:$E$505,"&lt;="&amp;F311,$F$6:$F$505,"&gt;="&amp;E311)&gt;1,"⚠ تداخل مع سجل آخر",IF(E311&gt;cfg_VAL_DATE,"⏳ قادمة",IF(F311&lt;cfg_VAL_DATE,"✔ منتهية","✈ جارية في تاريخ التقرير"))))))</f>
        <v/>
      </c>
      <c r="Q311" s="118"/>
      <c r="R311" s="133" t="n">
        <f aca="false">IF(OR(OR($B311="",$E311="",$F311=""),L311&lt;&gt;"لا"),0,MAX(0,MIN(F311,cfg_Y_START-1)-E311+1))</f>
        <v>0</v>
      </c>
      <c r="S311" s="133" t="n">
        <f aca="false">IF(OR(OR($B311="",$E311="",$F311=""),L311&lt;&gt;"لا"),0,MAX(0,MIN(F311,cfg_VAL_DATE)-E311+1))</f>
        <v>0</v>
      </c>
      <c r="T311" s="133" t="n">
        <f aca="false">IF(OR(OR($B311="",$E311="",$F311=""),K311&lt;&gt;"نعم"),0,IF(M311="نعم",IF(AND(ISNUMBER(O311),N(O311)&lt;=cfg_VAL_M),G311,0),MAX(0,MIN(F311,cfg_VAL_DATE)-MAX(E311,cfg_Y_START)+1)))</f>
        <v>0</v>
      </c>
      <c r="V311" s="133" t="n">
        <f aca="false">IF(OR($B311="",$E311="",$F311=""),0,MAX(0,MIN($F311,EOMONTH(DATE(cfg_FY,1,1),0))-MAX($E311,DATE(cfg_FY,1,1))+1)*(1-IF($M311="نعم",0,N($J311))))</f>
        <v>0</v>
      </c>
      <c r="W311" s="133" t="n">
        <f aca="false">IF(OR($B311="",$E311="",$F311=""),0,MAX(0,MIN($F311,EOMONTH(DATE(cfg_FY,2,1),0))-MAX($E311,DATE(cfg_FY,2,1))+1)*(1-IF($M311="نعم",0,N($J311))))</f>
        <v>0</v>
      </c>
      <c r="X311" s="133" t="n">
        <f aca="false">IF(OR($B311="",$E311="",$F311=""),0,MAX(0,MIN($F311,EOMONTH(DATE(cfg_FY,3,1),0))-MAX($E311,DATE(cfg_FY,3,1))+1)*(1-IF($M311="نعم",0,N($J311))))</f>
        <v>0</v>
      </c>
      <c r="Y311" s="133" t="n">
        <f aca="false">IF(OR($B311="",$E311="",$F311=""),0,MAX(0,MIN($F311,EOMONTH(DATE(cfg_FY,4,1),0))-MAX($E311,DATE(cfg_FY,4,1))+1)*(1-IF($M311="نعم",0,N($J311))))</f>
        <v>0</v>
      </c>
      <c r="Z311" s="133" t="n">
        <f aca="false">IF(OR($B311="",$E311="",$F311=""),0,MAX(0,MIN($F311,EOMONTH(DATE(cfg_FY,5,1),0))-MAX($E311,DATE(cfg_FY,5,1))+1)*(1-IF($M311="نعم",0,N($J311))))</f>
        <v>0</v>
      </c>
      <c r="AA311" s="133" t="n">
        <f aca="false">IF(OR($B311="",$E311="",$F311=""),0,MAX(0,MIN($F311,EOMONTH(DATE(cfg_FY,6,1),0))-MAX($E311,DATE(cfg_FY,6,1))+1)*(1-IF($M311="نعم",0,N($J311))))</f>
        <v>0</v>
      </c>
      <c r="AB311" s="133" t="n">
        <f aca="false">IF(OR($B311="",$E311="",$F311=""),0,MAX(0,MIN($F311,EOMONTH(DATE(cfg_FY,7,1),0))-MAX($E311,DATE(cfg_FY,7,1))+1)*(1-IF($M311="نعم",0,N($J311))))</f>
        <v>0</v>
      </c>
      <c r="AC311" s="133" t="n">
        <f aca="false">IF(OR($B311="",$E311="",$F311=""),0,MAX(0,MIN($F311,EOMONTH(DATE(cfg_FY,8,1),0))-MAX($E311,DATE(cfg_FY,8,1))+1)*(1-IF($M311="نعم",0,N($J311))))</f>
        <v>0</v>
      </c>
      <c r="AD311" s="133" t="n">
        <f aca="false">IF(OR($B311="",$E311="",$F311=""),0,MAX(0,MIN($F311,EOMONTH(DATE(cfg_FY,9,1),0))-MAX($E311,DATE(cfg_FY,9,1))+1)*(1-IF($M311="نعم",0,N($J311))))</f>
        <v>0</v>
      </c>
      <c r="AE311" s="133" t="n">
        <f aca="false">IF(OR($B311="",$E311="",$F311=""),0,MAX(0,MIN($F311,EOMONTH(DATE(cfg_FY,10,1),0))-MAX($E311,DATE(cfg_FY,10,1))+1)*(1-IF($M311="نعم",0,N($J311))))</f>
        <v>0</v>
      </c>
      <c r="AF311" s="133" t="n">
        <f aca="false">IF(OR($B311="",$E311="",$F311=""),0,MAX(0,MIN($F311,EOMONTH(DATE(cfg_FY,11,1),0))-MAX($E311,DATE(cfg_FY,11,1))+1)*(1-IF($M311="نعم",0,N($J311))))</f>
        <v>0</v>
      </c>
      <c r="AG311" s="133" t="n">
        <f aca="false">IF(OR($B311="",$E311="",$F311=""),0,MAX(0,MIN($F311,EOMONTH(DATE(cfg_FY,12,1),0))-MAX($E311,DATE(cfg_FY,12,1))+1)*(1-IF($M311="نعم",0,N($J311))))</f>
        <v>0</v>
      </c>
      <c r="AH311" s="133" t="n">
        <f aca="false">IF(OR(OR($B311="",$E311="",$F311=""),$L311&lt;&gt;"لا"),0,MAX(0,MIN($F311,EOMONTH(DATE(cfg_FY,1,1),0))-$E311+1))</f>
        <v>0</v>
      </c>
      <c r="AI311" s="133" t="n">
        <f aca="false">IF(OR(OR($B311="",$E311="",$F311=""),$L311&lt;&gt;"لا"),0,MAX(0,MIN($F311,EOMONTH(DATE(cfg_FY,2,1),0))-$E311+1))</f>
        <v>0</v>
      </c>
      <c r="AJ311" s="133" t="n">
        <f aca="false">IF(OR(OR($B311="",$E311="",$F311=""),$L311&lt;&gt;"لا"),0,MAX(0,MIN($F311,EOMONTH(DATE(cfg_FY,3,1),0))-$E311+1))</f>
        <v>0</v>
      </c>
      <c r="AK311" s="133" t="n">
        <f aca="false">IF(OR(OR($B311="",$E311="",$F311=""),$L311&lt;&gt;"لا"),0,MAX(0,MIN($F311,EOMONTH(DATE(cfg_FY,4,1),0))-$E311+1))</f>
        <v>0</v>
      </c>
      <c r="AL311" s="133" t="n">
        <f aca="false">IF(OR(OR($B311="",$E311="",$F311=""),$L311&lt;&gt;"لا"),0,MAX(0,MIN($F311,EOMONTH(DATE(cfg_FY,5,1),0))-$E311+1))</f>
        <v>0</v>
      </c>
      <c r="AM311" s="133" t="n">
        <f aca="false">IF(OR(OR($B311="",$E311="",$F311=""),$L311&lt;&gt;"لا"),0,MAX(0,MIN($F311,EOMONTH(DATE(cfg_FY,6,1),0))-$E311+1))</f>
        <v>0</v>
      </c>
      <c r="AN311" s="133" t="n">
        <f aca="false">IF(OR(OR($B311="",$E311="",$F311=""),$L311&lt;&gt;"لا"),0,MAX(0,MIN($F311,EOMONTH(DATE(cfg_FY,7,1),0))-$E311+1))</f>
        <v>0</v>
      </c>
      <c r="AO311" s="133" t="n">
        <f aca="false">IF(OR(OR($B311="",$E311="",$F311=""),$L311&lt;&gt;"لا"),0,MAX(0,MIN($F311,EOMONTH(DATE(cfg_FY,8,1),0))-$E311+1))</f>
        <v>0</v>
      </c>
      <c r="AP311" s="133" t="n">
        <f aca="false">IF(OR(OR($B311="",$E311="",$F311=""),$L311&lt;&gt;"لا"),0,MAX(0,MIN($F311,EOMONTH(DATE(cfg_FY,9,1),0))-$E311+1))</f>
        <v>0</v>
      </c>
      <c r="AQ311" s="133" t="n">
        <f aca="false">IF(OR(OR($B311="",$E311="",$F311=""),$L311&lt;&gt;"لا"),0,MAX(0,MIN($F311,EOMONTH(DATE(cfg_FY,10,1),0))-$E311+1))</f>
        <v>0</v>
      </c>
      <c r="AR311" s="133" t="n">
        <f aca="false">IF(OR(OR($B311="",$E311="",$F311=""),$L311&lt;&gt;"لا"),0,MAX(0,MIN($F311,EOMONTH(DATE(cfg_FY,11,1),0))-$E311+1))</f>
        <v>0</v>
      </c>
      <c r="AS311" s="133" t="n">
        <f aca="false">IF(OR(OR($B311="",$E311="",$F311=""),$L311&lt;&gt;"لا"),0,MAX(0,MIN($F311,EOMONTH(DATE(cfg_FY,12,1),0))-$E311+1))</f>
        <v>0</v>
      </c>
      <c r="AT311" s="133" t="n">
        <f aca="false">IF(OR(OR($B311="",$E311="",$F311=""),$K311&lt;&gt;"نعم",$M311="نعم"),0,MAX(0,MIN($F311,EOMONTH(DATE(cfg_FY,1,1),0))-MAX($E311,DATE(cfg_FY,1,1))+1))</f>
        <v>0</v>
      </c>
      <c r="AU311" s="133" t="n">
        <f aca="false">IF(OR(OR($B311="",$E311="",$F311=""),$K311&lt;&gt;"نعم",$M311="نعم"),0,MAX(0,MIN($F311,EOMONTH(DATE(cfg_FY,2,1),0))-MAX($E311,DATE(cfg_FY,2,1))+1))</f>
        <v>0</v>
      </c>
      <c r="AV311" s="133" t="n">
        <f aca="false">IF(OR(OR($B311="",$E311="",$F311=""),$K311&lt;&gt;"نعم",$M311="نعم"),0,MAX(0,MIN($F311,EOMONTH(DATE(cfg_FY,3,1),0))-MAX($E311,DATE(cfg_FY,3,1))+1))</f>
        <v>0</v>
      </c>
      <c r="AW311" s="133" t="n">
        <f aca="false">IF(OR(OR($B311="",$E311="",$F311=""),$K311&lt;&gt;"نعم",$M311="نعم"),0,MAX(0,MIN($F311,EOMONTH(DATE(cfg_FY,4,1),0))-MAX($E311,DATE(cfg_FY,4,1))+1))</f>
        <v>0</v>
      </c>
      <c r="AX311" s="133" t="n">
        <f aca="false">IF(OR(OR($B311="",$E311="",$F311=""),$K311&lt;&gt;"نعم",$M311="نعم"),0,MAX(0,MIN($F311,EOMONTH(DATE(cfg_FY,5,1),0))-MAX($E311,DATE(cfg_FY,5,1))+1))</f>
        <v>0</v>
      </c>
      <c r="AY311" s="133" t="n">
        <f aca="false">IF(OR(OR($B311="",$E311="",$F311=""),$K311&lt;&gt;"نعم",$M311="نعم"),0,MAX(0,MIN($F311,EOMONTH(DATE(cfg_FY,6,1),0))-MAX($E311,DATE(cfg_FY,6,1))+1))</f>
        <v>0</v>
      </c>
      <c r="AZ311" s="133" t="n">
        <f aca="false">IF(OR(OR($B311="",$E311="",$F311=""),$K311&lt;&gt;"نعم",$M311="نعم"),0,MAX(0,MIN($F311,EOMONTH(DATE(cfg_FY,7,1),0))-MAX($E311,DATE(cfg_FY,7,1))+1))</f>
        <v>0</v>
      </c>
      <c r="BA311" s="133" t="n">
        <f aca="false">IF(OR(OR($B311="",$E311="",$F311=""),$K311&lt;&gt;"نعم",$M311="نعم"),0,MAX(0,MIN($F311,EOMONTH(DATE(cfg_FY,8,1),0))-MAX($E311,DATE(cfg_FY,8,1))+1))</f>
        <v>0</v>
      </c>
      <c r="BB311" s="133" t="n">
        <f aca="false">IF(OR(OR($B311="",$E311="",$F311=""),$K311&lt;&gt;"نعم",$M311="نعم"),0,MAX(0,MIN($F311,EOMONTH(DATE(cfg_FY,9,1),0))-MAX($E311,DATE(cfg_FY,9,1))+1))</f>
        <v>0</v>
      </c>
      <c r="BC311" s="133" t="n">
        <f aca="false">IF(OR(OR($B311="",$E311="",$F311=""),$K311&lt;&gt;"نعم",$M311="نعم"),0,MAX(0,MIN($F311,EOMONTH(DATE(cfg_FY,10,1),0))-MAX($E311,DATE(cfg_FY,10,1))+1))</f>
        <v>0</v>
      </c>
      <c r="BD311" s="133" t="n">
        <f aca="false">IF(OR(OR($B311="",$E311="",$F311=""),$K311&lt;&gt;"نعم",$M311="نعم"),0,MAX(0,MIN($F311,EOMONTH(DATE(cfg_FY,11,1),0))-MAX($E311,DATE(cfg_FY,11,1))+1))</f>
        <v>0</v>
      </c>
      <c r="BE311" s="133" t="n">
        <f aca="false">IF(OR(OR($B311="",$E311="",$F311=""),$K311&lt;&gt;"نعم",$M311="نعم"),0,MAX(0,MIN($F311,EOMONTH(DATE(cfg_FY,12,1),0))-MAX($E311,DATE(cfg_FY,12,1))+1))</f>
        <v>0</v>
      </c>
    </row>
    <row r="312" customFormat="false" ht="15" hidden="false" customHeight="false" outlineLevel="0" collapsed="false">
      <c r="A312" s="106" t="str">
        <f aca="false">IF(B312="","",ROW()-5)</f>
        <v/>
      </c>
      <c r="B312" s="118"/>
      <c r="C312" s="114" t="str">
        <f aca="false">IF(B312="","",IFERROR(INDEX(الموظفون!$C$6:$C$105,MATCH(B312,الموظفون!$B$6:$B$105,0)),"✖ رقم غير موجود"))</f>
        <v/>
      </c>
      <c r="D312" s="118"/>
      <c r="E312" s="119"/>
      <c r="F312" s="119"/>
      <c r="G312" s="65" t="str">
        <f aca="false">IF(OR($B312="",$E312="",$F312=""),"",MAX(0,F312-E312+1))</f>
        <v/>
      </c>
      <c r="H312" s="66" t="str">
        <f aca="false">IF(D312="","",IFERROR(VLOOKUP(D312,cfg_LT,2,FALSE()),1))</f>
        <v/>
      </c>
      <c r="I312" s="135"/>
      <c r="J312" s="66" t="str">
        <f aca="false">IF(D312="","",IF(I312&lt;&gt;"",I312,H312))</f>
        <v/>
      </c>
      <c r="K312" s="114" t="str">
        <f aca="false">IF(D312="","",IFERROR(VLOOKUP($D312,cfg_LT,3,FALSE()),""))</f>
        <v/>
      </c>
      <c r="L312" s="114" t="str">
        <f aca="false">IF(D312="","",IFERROR(VLOOKUP($D312,cfg_LT,4,FALSE()),""))</f>
        <v/>
      </c>
      <c r="M312" s="114" t="str">
        <f aca="false">IF(D312="","",IFERROR(VLOOKUP($D312,cfg_LT,5,FALSE()),""))</f>
        <v/>
      </c>
      <c r="N312" s="111" t="n">
        <f aca="false">IF(OR(OR($B312="",$E312="",$F312=""),M312&lt;&gt;"نعم"),0,G312*J312*IFERROR(INDEX(الموظفون!$R$6:$R$105,MATCH(B312,الموظفون!$B$6:$B$105,0)),0)/cfg_DAYS_M)</f>
        <v>0</v>
      </c>
      <c r="O312" s="106" t="str">
        <f aca="false">IF(OR(OR($B312="",$E312="",$F312=""),M312&lt;&gt;"نعم"),"",IF(YEAR(E312)=cfg_FY,MONTH(E312),""))</f>
        <v/>
      </c>
      <c r="P312" s="114" t="str">
        <f aca="false">IF(B312="","",IF(OR(D312="",E312="",F312=""),"⚠ أكمل النوع والتواريخ",IF(F312&lt;E312,"✖ النهاية قبل البداية",IF(COUNTIFS($B$6:$B$505,B312,$E$6:$E$505,"&lt;="&amp;F312,$F$6:$F$505,"&gt;="&amp;E312)&gt;1,"⚠ تداخل مع سجل آخر",IF(E312&gt;cfg_VAL_DATE,"⏳ قادمة",IF(F312&lt;cfg_VAL_DATE,"✔ منتهية","✈ جارية في تاريخ التقرير"))))))</f>
        <v/>
      </c>
      <c r="Q312" s="118"/>
      <c r="R312" s="65" t="n">
        <f aca="false">IF(OR(OR($B312="",$E312="",$F312=""),L312&lt;&gt;"لا"),0,MAX(0,MIN(F312,cfg_Y_START-1)-E312+1))</f>
        <v>0</v>
      </c>
      <c r="S312" s="65" t="n">
        <f aca="false">IF(OR(OR($B312="",$E312="",$F312=""),L312&lt;&gt;"لا"),0,MAX(0,MIN(F312,cfg_VAL_DATE)-E312+1))</f>
        <v>0</v>
      </c>
      <c r="T312" s="65" t="n">
        <f aca="false">IF(OR(OR($B312="",$E312="",$F312=""),K312&lt;&gt;"نعم"),0,IF(M312="نعم",IF(AND(ISNUMBER(O312),N(O312)&lt;=cfg_VAL_M),G312,0),MAX(0,MIN(F312,cfg_VAL_DATE)-MAX(E312,cfg_Y_START)+1)))</f>
        <v>0</v>
      </c>
      <c r="V312" s="65" t="n">
        <f aca="false">IF(OR($B312="",$E312="",$F312=""),0,MAX(0,MIN($F312,EOMONTH(DATE(cfg_FY,1,1),0))-MAX($E312,DATE(cfg_FY,1,1))+1)*(1-IF($M312="نعم",0,N($J312))))</f>
        <v>0</v>
      </c>
      <c r="W312" s="65" t="n">
        <f aca="false">IF(OR($B312="",$E312="",$F312=""),0,MAX(0,MIN($F312,EOMONTH(DATE(cfg_FY,2,1),0))-MAX($E312,DATE(cfg_FY,2,1))+1)*(1-IF($M312="نعم",0,N($J312))))</f>
        <v>0</v>
      </c>
      <c r="X312" s="65" t="n">
        <f aca="false">IF(OR($B312="",$E312="",$F312=""),0,MAX(0,MIN($F312,EOMONTH(DATE(cfg_FY,3,1),0))-MAX($E312,DATE(cfg_FY,3,1))+1)*(1-IF($M312="نعم",0,N($J312))))</f>
        <v>0</v>
      </c>
      <c r="Y312" s="65" t="n">
        <f aca="false">IF(OR($B312="",$E312="",$F312=""),0,MAX(0,MIN($F312,EOMONTH(DATE(cfg_FY,4,1),0))-MAX($E312,DATE(cfg_FY,4,1))+1)*(1-IF($M312="نعم",0,N($J312))))</f>
        <v>0</v>
      </c>
      <c r="Z312" s="65" t="n">
        <f aca="false">IF(OR($B312="",$E312="",$F312=""),0,MAX(0,MIN($F312,EOMONTH(DATE(cfg_FY,5,1),0))-MAX($E312,DATE(cfg_FY,5,1))+1)*(1-IF($M312="نعم",0,N($J312))))</f>
        <v>0</v>
      </c>
      <c r="AA312" s="65" t="n">
        <f aca="false">IF(OR($B312="",$E312="",$F312=""),0,MAX(0,MIN($F312,EOMONTH(DATE(cfg_FY,6,1),0))-MAX($E312,DATE(cfg_FY,6,1))+1)*(1-IF($M312="نعم",0,N($J312))))</f>
        <v>0</v>
      </c>
      <c r="AB312" s="65" t="n">
        <f aca="false">IF(OR($B312="",$E312="",$F312=""),0,MAX(0,MIN($F312,EOMONTH(DATE(cfg_FY,7,1),0))-MAX($E312,DATE(cfg_FY,7,1))+1)*(1-IF($M312="نعم",0,N($J312))))</f>
        <v>0</v>
      </c>
      <c r="AC312" s="65" t="n">
        <f aca="false">IF(OR($B312="",$E312="",$F312=""),0,MAX(0,MIN($F312,EOMONTH(DATE(cfg_FY,8,1),0))-MAX($E312,DATE(cfg_FY,8,1))+1)*(1-IF($M312="نعم",0,N($J312))))</f>
        <v>0</v>
      </c>
      <c r="AD312" s="65" t="n">
        <f aca="false">IF(OR($B312="",$E312="",$F312=""),0,MAX(0,MIN($F312,EOMONTH(DATE(cfg_FY,9,1),0))-MAX($E312,DATE(cfg_FY,9,1))+1)*(1-IF($M312="نعم",0,N($J312))))</f>
        <v>0</v>
      </c>
      <c r="AE312" s="65" t="n">
        <f aca="false">IF(OR($B312="",$E312="",$F312=""),0,MAX(0,MIN($F312,EOMONTH(DATE(cfg_FY,10,1),0))-MAX($E312,DATE(cfg_FY,10,1))+1)*(1-IF($M312="نعم",0,N($J312))))</f>
        <v>0</v>
      </c>
      <c r="AF312" s="65" t="n">
        <f aca="false">IF(OR($B312="",$E312="",$F312=""),0,MAX(0,MIN($F312,EOMONTH(DATE(cfg_FY,11,1),0))-MAX($E312,DATE(cfg_FY,11,1))+1)*(1-IF($M312="نعم",0,N($J312))))</f>
        <v>0</v>
      </c>
      <c r="AG312" s="65" t="n">
        <f aca="false">IF(OR($B312="",$E312="",$F312=""),0,MAX(0,MIN($F312,EOMONTH(DATE(cfg_FY,12,1),0))-MAX($E312,DATE(cfg_FY,12,1))+1)*(1-IF($M312="نعم",0,N($J312))))</f>
        <v>0</v>
      </c>
      <c r="AH312" s="65" t="n">
        <f aca="false">IF(OR(OR($B312="",$E312="",$F312=""),$L312&lt;&gt;"لا"),0,MAX(0,MIN($F312,EOMONTH(DATE(cfg_FY,1,1),0))-$E312+1))</f>
        <v>0</v>
      </c>
      <c r="AI312" s="65" t="n">
        <f aca="false">IF(OR(OR($B312="",$E312="",$F312=""),$L312&lt;&gt;"لا"),0,MAX(0,MIN($F312,EOMONTH(DATE(cfg_FY,2,1),0))-$E312+1))</f>
        <v>0</v>
      </c>
      <c r="AJ312" s="65" t="n">
        <f aca="false">IF(OR(OR($B312="",$E312="",$F312=""),$L312&lt;&gt;"لا"),0,MAX(0,MIN($F312,EOMONTH(DATE(cfg_FY,3,1),0))-$E312+1))</f>
        <v>0</v>
      </c>
      <c r="AK312" s="65" t="n">
        <f aca="false">IF(OR(OR($B312="",$E312="",$F312=""),$L312&lt;&gt;"لا"),0,MAX(0,MIN($F312,EOMONTH(DATE(cfg_FY,4,1),0))-$E312+1))</f>
        <v>0</v>
      </c>
      <c r="AL312" s="65" t="n">
        <f aca="false">IF(OR(OR($B312="",$E312="",$F312=""),$L312&lt;&gt;"لا"),0,MAX(0,MIN($F312,EOMONTH(DATE(cfg_FY,5,1),0))-$E312+1))</f>
        <v>0</v>
      </c>
      <c r="AM312" s="65" t="n">
        <f aca="false">IF(OR(OR($B312="",$E312="",$F312=""),$L312&lt;&gt;"لا"),0,MAX(0,MIN($F312,EOMONTH(DATE(cfg_FY,6,1),0))-$E312+1))</f>
        <v>0</v>
      </c>
      <c r="AN312" s="65" t="n">
        <f aca="false">IF(OR(OR($B312="",$E312="",$F312=""),$L312&lt;&gt;"لا"),0,MAX(0,MIN($F312,EOMONTH(DATE(cfg_FY,7,1),0))-$E312+1))</f>
        <v>0</v>
      </c>
      <c r="AO312" s="65" t="n">
        <f aca="false">IF(OR(OR($B312="",$E312="",$F312=""),$L312&lt;&gt;"لا"),0,MAX(0,MIN($F312,EOMONTH(DATE(cfg_FY,8,1),0))-$E312+1))</f>
        <v>0</v>
      </c>
      <c r="AP312" s="65" t="n">
        <f aca="false">IF(OR(OR($B312="",$E312="",$F312=""),$L312&lt;&gt;"لا"),0,MAX(0,MIN($F312,EOMONTH(DATE(cfg_FY,9,1),0))-$E312+1))</f>
        <v>0</v>
      </c>
      <c r="AQ312" s="65" t="n">
        <f aca="false">IF(OR(OR($B312="",$E312="",$F312=""),$L312&lt;&gt;"لا"),0,MAX(0,MIN($F312,EOMONTH(DATE(cfg_FY,10,1),0))-$E312+1))</f>
        <v>0</v>
      </c>
      <c r="AR312" s="65" t="n">
        <f aca="false">IF(OR(OR($B312="",$E312="",$F312=""),$L312&lt;&gt;"لا"),0,MAX(0,MIN($F312,EOMONTH(DATE(cfg_FY,11,1),0))-$E312+1))</f>
        <v>0</v>
      </c>
      <c r="AS312" s="65" t="n">
        <f aca="false">IF(OR(OR($B312="",$E312="",$F312=""),$L312&lt;&gt;"لا"),0,MAX(0,MIN($F312,EOMONTH(DATE(cfg_FY,12,1),0))-$E312+1))</f>
        <v>0</v>
      </c>
      <c r="AT312" s="65" t="n">
        <f aca="false">IF(OR(OR($B312="",$E312="",$F312=""),$K312&lt;&gt;"نعم",$M312="نعم"),0,MAX(0,MIN($F312,EOMONTH(DATE(cfg_FY,1,1),0))-MAX($E312,DATE(cfg_FY,1,1))+1))</f>
        <v>0</v>
      </c>
      <c r="AU312" s="65" t="n">
        <f aca="false">IF(OR(OR($B312="",$E312="",$F312=""),$K312&lt;&gt;"نعم",$M312="نعم"),0,MAX(0,MIN($F312,EOMONTH(DATE(cfg_FY,2,1),0))-MAX($E312,DATE(cfg_FY,2,1))+1))</f>
        <v>0</v>
      </c>
      <c r="AV312" s="65" t="n">
        <f aca="false">IF(OR(OR($B312="",$E312="",$F312=""),$K312&lt;&gt;"نعم",$M312="نعم"),0,MAX(0,MIN($F312,EOMONTH(DATE(cfg_FY,3,1),0))-MAX($E312,DATE(cfg_FY,3,1))+1))</f>
        <v>0</v>
      </c>
      <c r="AW312" s="65" t="n">
        <f aca="false">IF(OR(OR($B312="",$E312="",$F312=""),$K312&lt;&gt;"نعم",$M312="نعم"),0,MAX(0,MIN($F312,EOMONTH(DATE(cfg_FY,4,1),0))-MAX($E312,DATE(cfg_FY,4,1))+1))</f>
        <v>0</v>
      </c>
      <c r="AX312" s="65" t="n">
        <f aca="false">IF(OR(OR($B312="",$E312="",$F312=""),$K312&lt;&gt;"نعم",$M312="نعم"),0,MAX(0,MIN($F312,EOMONTH(DATE(cfg_FY,5,1),0))-MAX($E312,DATE(cfg_FY,5,1))+1))</f>
        <v>0</v>
      </c>
      <c r="AY312" s="65" t="n">
        <f aca="false">IF(OR(OR($B312="",$E312="",$F312=""),$K312&lt;&gt;"نعم",$M312="نعم"),0,MAX(0,MIN($F312,EOMONTH(DATE(cfg_FY,6,1),0))-MAX($E312,DATE(cfg_FY,6,1))+1))</f>
        <v>0</v>
      </c>
      <c r="AZ312" s="65" t="n">
        <f aca="false">IF(OR(OR($B312="",$E312="",$F312=""),$K312&lt;&gt;"نعم",$M312="نعم"),0,MAX(0,MIN($F312,EOMONTH(DATE(cfg_FY,7,1),0))-MAX($E312,DATE(cfg_FY,7,1))+1))</f>
        <v>0</v>
      </c>
      <c r="BA312" s="65" t="n">
        <f aca="false">IF(OR(OR($B312="",$E312="",$F312=""),$K312&lt;&gt;"نعم",$M312="نعم"),0,MAX(0,MIN($F312,EOMONTH(DATE(cfg_FY,8,1),0))-MAX($E312,DATE(cfg_FY,8,1))+1))</f>
        <v>0</v>
      </c>
      <c r="BB312" s="65" t="n">
        <f aca="false">IF(OR(OR($B312="",$E312="",$F312=""),$K312&lt;&gt;"نعم",$M312="نعم"),0,MAX(0,MIN($F312,EOMONTH(DATE(cfg_FY,9,1),0))-MAX($E312,DATE(cfg_FY,9,1))+1))</f>
        <v>0</v>
      </c>
      <c r="BC312" s="65" t="n">
        <f aca="false">IF(OR(OR($B312="",$E312="",$F312=""),$K312&lt;&gt;"نعم",$M312="نعم"),0,MAX(0,MIN($F312,EOMONTH(DATE(cfg_FY,10,1),0))-MAX($E312,DATE(cfg_FY,10,1))+1))</f>
        <v>0</v>
      </c>
      <c r="BD312" s="65" t="n">
        <f aca="false">IF(OR(OR($B312="",$E312="",$F312=""),$K312&lt;&gt;"نعم",$M312="نعم"),0,MAX(0,MIN($F312,EOMONTH(DATE(cfg_FY,11,1),0))-MAX($E312,DATE(cfg_FY,11,1))+1))</f>
        <v>0</v>
      </c>
      <c r="BE312" s="65" t="n">
        <f aca="false">IF(OR(OR($B312="",$E312="",$F312=""),$K312&lt;&gt;"نعم",$M312="نعم"),0,MAX(0,MIN($F312,EOMONTH(DATE(cfg_FY,12,1),0))-MAX($E312,DATE(cfg_FY,12,1))+1))</f>
        <v>0</v>
      </c>
    </row>
    <row r="313" customFormat="false" ht="15" hidden="false" customHeight="false" outlineLevel="0" collapsed="false">
      <c r="A313" s="115" t="str">
        <f aca="false">IF(B313="","",ROW()-5)</f>
        <v/>
      </c>
      <c r="B313" s="118"/>
      <c r="C313" s="117" t="str">
        <f aca="false">IF(B313="","",IFERROR(INDEX(الموظفون!$C$6:$C$105,MATCH(B313,الموظفون!$B$6:$B$105,0)),"✖ رقم غير موجود"))</f>
        <v/>
      </c>
      <c r="D313" s="118"/>
      <c r="E313" s="119"/>
      <c r="F313" s="119"/>
      <c r="G313" s="133" t="str">
        <f aca="false">IF(OR($B313="",$E313="",$F313=""),"",MAX(0,F313-E313+1))</f>
        <v/>
      </c>
      <c r="H313" s="134" t="str">
        <f aca="false">IF(D313="","",IFERROR(VLOOKUP(D313,cfg_LT,2,FALSE()),1))</f>
        <v/>
      </c>
      <c r="I313" s="135"/>
      <c r="J313" s="134" t="str">
        <f aca="false">IF(D313="","",IF(I313&lt;&gt;"",I313,H313))</f>
        <v/>
      </c>
      <c r="K313" s="117" t="str">
        <f aca="false">IF(D313="","",IFERROR(VLOOKUP($D313,cfg_LT,3,FALSE()),""))</f>
        <v/>
      </c>
      <c r="L313" s="117" t="str">
        <f aca="false">IF(D313="","",IFERROR(VLOOKUP($D313,cfg_LT,4,FALSE()),""))</f>
        <v/>
      </c>
      <c r="M313" s="117" t="str">
        <f aca="false">IF(D313="","",IFERROR(VLOOKUP($D313,cfg_LT,5,FALSE()),""))</f>
        <v/>
      </c>
      <c r="N313" s="116" t="n">
        <f aca="false">IF(OR(OR($B313="",$E313="",$F313=""),M313&lt;&gt;"نعم"),0,G313*J313*IFERROR(INDEX(الموظفون!$R$6:$R$105,MATCH(B313,الموظفون!$B$6:$B$105,0)),0)/cfg_DAYS_M)</f>
        <v>0</v>
      </c>
      <c r="O313" s="115" t="str">
        <f aca="false">IF(OR(OR($B313="",$E313="",$F313=""),M313&lt;&gt;"نعم"),"",IF(YEAR(E313)=cfg_FY,MONTH(E313),""))</f>
        <v/>
      </c>
      <c r="P313" s="117" t="str">
        <f aca="false">IF(B313="","",IF(OR(D313="",E313="",F313=""),"⚠ أكمل النوع والتواريخ",IF(F313&lt;E313,"✖ النهاية قبل البداية",IF(COUNTIFS($B$6:$B$505,B313,$E$6:$E$505,"&lt;="&amp;F313,$F$6:$F$505,"&gt;="&amp;E313)&gt;1,"⚠ تداخل مع سجل آخر",IF(E313&gt;cfg_VAL_DATE,"⏳ قادمة",IF(F313&lt;cfg_VAL_DATE,"✔ منتهية","✈ جارية في تاريخ التقرير"))))))</f>
        <v/>
      </c>
      <c r="Q313" s="118"/>
      <c r="R313" s="133" t="n">
        <f aca="false">IF(OR(OR($B313="",$E313="",$F313=""),L313&lt;&gt;"لا"),0,MAX(0,MIN(F313,cfg_Y_START-1)-E313+1))</f>
        <v>0</v>
      </c>
      <c r="S313" s="133" t="n">
        <f aca="false">IF(OR(OR($B313="",$E313="",$F313=""),L313&lt;&gt;"لا"),0,MAX(0,MIN(F313,cfg_VAL_DATE)-E313+1))</f>
        <v>0</v>
      </c>
      <c r="T313" s="133" t="n">
        <f aca="false">IF(OR(OR($B313="",$E313="",$F313=""),K313&lt;&gt;"نعم"),0,IF(M313="نعم",IF(AND(ISNUMBER(O313),N(O313)&lt;=cfg_VAL_M),G313,0),MAX(0,MIN(F313,cfg_VAL_DATE)-MAX(E313,cfg_Y_START)+1)))</f>
        <v>0</v>
      </c>
      <c r="V313" s="133" t="n">
        <f aca="false">IF(OR($B313="",$E313="",$F313=""),0,MAX(0,MIN($F313,EOMONTH(DATE(cfg_FY,1,1),0))-MAX($E313,DATE(cfg_FY,1,1))+1)*(1-IF($M313="نعم",0,N($J313))))</f>
        <v>0</v>
      </c>
      <c r="W313" s="133" t="n">
        <f aca="false">IF(OR($B313="",$E313="",$F313=""),0,MAX(0,MIN($F313,EOMONTH(DATE(cfg_FY,2,1),0))-MAX($E313,DATE(cfg_FY,2,1))+1)*(1-IF($M313="نعم",0,N($J313))))</f>
        <v>0</v>
      </c>
      <c r="X313" s="133" t="n">
        <f aca="false">IF(OR($B313="",$E313="",$F313=""),0,MAX(0,MIN($F313,EOMONTH(DATE(cfg_FY,3,1),0))-MAX($E313,DATE(cfg_FY,3,1))+1)*(1-IF($M313="نعم",0,N($J313))))</f>
        <v>0</v>
      </c>
      <c r="Y313" s="133" t="n">
        <f aca="false">IF(OR($B313="",$E313="",$F313=""),0,MAX(0,MIN($F313,EOMONTH(DATE(cfg_FY,4,1),0))-MAX($E313,DATE(cfg_FY,4,1))+1)*(1-IF($M313="نعم",0,N($J313))))</f>
        <v>0</v>
      </c>
      <c r="Z313" s="133" t="n">
        <f aca="false">IF(OR($B313="",$E313="",$F313=""),0,MAX(0,MIN($F313,EOMONTH(DATE(cfg_FY,5,1),0))-MAX($E313,DATE(cfg_FY,5,1))+1)*(1-IF($M313="نعم",0,N($J313))))</f>
        <v>0</v>
      </c>
      <c r="AA313" s="133" t="n">
        <f aca="false">IF(OR($B313="",$E313="",$F313=""),0,MAX(0,MIN($F313,EOMONTH(DATE(cfg_FY,6,1),0))-MAX($E313,DATE(cfg_FY,6,1))+1)*(1-IF($M313="نعم",0,N($J313))))</f>
        <v>0</v>
      </c>
      <c r="AB313" s="133" t="n">
        <f aca="false">IF(OR($B313="",$E313="",$F313=""),0,MAX(0,MIN($F313,EOMONTH(DATE(cfg_FY,7,1),0))-MAX($E313,DATE(cfg_FY,7,1))+1)*(1-IF($M313="نعم",0,N($J313))))</f>
        <v>0</v>
      </c>
      <c r="AC313" s="133" t="n">
        <f aca="false">IF(OR($B313="",$E313="",$F313=""),0,MAX(0,MIN($F313,EOMONTH(DATE(cfg_FY,8,1),0))-MAX($E313,DATE(cfg_FY,8,1))+1)*(1-IF($M313="نعم",0,N($J313))))</f>
        <v>0</v>
      </c>
      <c r="AD313" s="133" t="n">
        <f aca="false">IF(OR($B313="",$E313="",$F313=""),0,MAX(0,MIN($F313,EOMONTH(DATE(cfg_FY,9,1),0))-MAX($E313,DATE(cfg_FY,9,1))+1)*(1-IF($M313="نعم",0,N($J313))))</f>
        <v>0</v>
      </c>
      <c r="AE313" s="133" t="n">
        <f aca="false">IF(OR($B313="",$E313="",$F313=""),0,MAX(0,MIN($F313,EOMONTH(DATE(cfg_FY,10,1),0))-MAX($E313,DATE(cfg_FY,10,1))+1)*(1-IF($M313="نعم",0,N($J313))))</f>
        <v>0</v>
      </c>
      <c r="AF313" s="133" t="n">
        <f aca="false">IF(OR($B313="",$E313="",$F313=""),0,MAX(0,MIN($F313,EOMONTH(DATE(cfg_FY,11,1),0))-MAX($E313,DATE(cfg_FY,11,1))+1)*(1-IF($M313="نعم",0,N($J313))))</f>
        <v>0</v>
      </c>
      <c r="AG313" s="133" t="n">
        <f aca="false">IF(OR($B313="",$E313="",$F313=""),0,MAX(0,MIN($F313,EOMONTH(DATE(cfg_FY,12,1),0))-MAX($E313,DATE(cfg_FY,12,1))+1)*(1-IF($M313="نعم",0,N($J313))))</f>
        <v>0</v>
      </c>
      <c r="AH313" s="133" t="n">
        <f aca="false">IF(OR(OR($B313="",$E313="",$F313=""),$L313&lt;&gt;"لا"),0,MAX(0,MIN($F313,EOMONTH(DATE(cfg_FY,1,1),0))-$E313+1))</f>
        <v>0</v>
      </c>
      <c r="AI313" s="133" t="n">
        <f aca="false">IF(OR(OR($B313="",$E313="",$F313=""),$L313&lt;&gt;"لا"),0,MAX(0,MIN($F313,EOMONTH(DATE(cfg_FY,2,1),0))-$E313+1))</f>
        <v>0</v>
      </c>
      <c r="AJ313" s="133" t="n">
        <f aca="false">IF(OR(OR($B313="",$E313="",$F313=""),$L313&lt;&gt;"لا"),0,MAX(0,MIN($F313,EOMONTH(DATE(cfg_FY,3,1),0))-$E313+1))</f>
        <v>0</v>
      </c>
      <c r="AK313" s="133" t="n">
        <f aca="false">IF(OR(OR($B313="",$E313="",$F313=""),$L313&lt;&gt;"لا"),0,MAX(0,MIN($F313,EOMONTH(DATE(cfg_FY,4,1),0))-$E313+1))</f>
        <v>0</v>
      </c>
      <c r="AL313" s="133" t="n">
        <f aca="false">IF(OR(OR($B313="",$E313="",$F313=""),$L313&lt;&gt;"لا"),0,MAX(0,MIN($F313,EOMONTH(DATE(cfg_FY,5,1),0))-$E313+1))</f>
        <v>0</v>
      </c>
      <c r="AM313" s="133" t="n">
        <f aca="false">IF(OR(OR($B313="",$E313="",$F313=""),$L313&lt;&gt;"لا"),0,MAX(0,MIN($F313,EOMONTH(DATE(cfg_FY,6,1),0))-$E313+1))</f>
        <v>0</v>
      </c>
      <c r="AN313" s="133" t="n">
        <f aca="false">IF(OR(OR($B313="",$E313="",$F313=""),$L313&lt;&gt;"لا"),0,MAX(0,MIN($F313,EOMONTH(DATE(cfg_FY,7,1),0))-$E313+1))</f>
        <v>0</v>
      </c>
      <c r="AO313" s="133" t="n">
        <f aca="false">IF(OR(OR($B313="",$E313="",$F313=""),$L313&lt;&gt;"لا"),0,MAX(0,MIN($F313,EOMONTH(DATE(cfg_FY,8,1),0))-$E313+1))</f>
        <v>0</v>
      </c>
      <c r="AP313" s="133" t="n">
        <f aca="false">IF(OR(OR($B313="",$E313="",$F313=""),$L313&lt;&gt;"لا"),0,MAX(0,MIN($F313,EOMONTH(DATE(cfg_FY,9,1),0))-$E313+1))</f>
        <v>0</v>
      </c>
      <c r="AQ313" s="133" t="n">
        <f aca="false">IF(OR(OR($B313="",$E313="",$F313=""),$L313&lt;&gt;"لا"),0,MAX(0,MIN($F313,EOMONTH(DATE(cfg_FY,10,1),0))-$E313+1))</f>
        <v>0</v>
      </c>
      <c r="AR313" s="133" t="n">
        <f aca="false">IF(OR(OR($B313="",$E313="",$F313=""),$L313&lt;&gt;"لا"),0,MAX(0,MIN($F313,EOMONTH(DATE(cfg_FY,11,1),0))-$E313+1))</f>
        <v>0</v>
      </c>
      <c r="AS313" s="133" t="n">
        <f aca="false">IF(OR(OR($B313="",$E313="",$F313=""),$L313&lt;&gt;"لا"),0,MAX(0,MIN($F313,EOMONTH(DATE(cfg_FY,12,1),0))-$E313+1))</f>
        <v>0</v>
      </c>
      <c r="AT313" s="133" t="n">
        <f aca="false">IF(OR(OR($B313="",$E313="",$F313=""),$K313&lt;&gt;"نعم",$M313="نعم"),0,MAX(0,MIN($F313,EOMONTH(DATE(cfg_FY,1,1),0))-MAX($E313,DATE(cfg_FY,1,1))+1))</f>
        <v>0</v>
      </c>
      <c r="AU313" s="133" t="n">
        <f aca="false">IF(OR(OR($B313="",$E313="",$F313=""),$K313&lt;&gt;"نعم",$M313="نعم"),0,MAX(0,MIN($F313,EOMONTH(DATE(cfg_FY,2,1),0))-MAX($E313,DATE(cfg_FY,2,1))+1))</f>
        <v>0</v>
      </c>
      <c r="AV313" s="133" t="n">
        <f aca="false">IF(OR(OR($B313="",$E313="",$F313=""),$K313&lt;&gt;"نعم",$M313="نعم"),0,MAX(0,MIN($F313,EOMONTH(DATE(cfg_FY,3,1),0))-MAX($E313,DATE(cfg_FY,3,1))+1))</f>
        <v>0</v>
      </c>
      <c r="AW313" s="133" t="n">
        <f aca="false">IF(OR(OR($B313="",$E313="",$F313=""),$K313&lt;&gt;"نعم",$M313="نعم"),0,MAX(0,MIN($F313,EOMONTH(DATE(cfg_FY,4,1),0))-MAX($E313,DATE(cfg_FY,4,1))+1))</f>
        <v>0</v>
      </c>
      <c r="AX313" s="133" t="n">
        <f aca="false">IF(OR(OR($B313="",$E313="",$F313=""),$K313&lt;&gt;"نعم",$M313="نعم"),0,MAX(0,MIN($F313,EOMONTH(DATE(cfg_FY,5,1),0))-MAX($E313,DATE(cfg_FY,5,1))+1))</f>
        <v>0</v>
      </c>
      <c r="AY313" s="133" t="n">
        <f aca="false">IF(OR(OR($B313="",$E313="",$F313=""),$K313&lt;&gt;"نعم",$M313="نعم"),0,MAX(0,MIN($F313,EOMONTH(DATE(cfg_FY,6,1),0))-MAX($E313,DATE(cfg_FY,6,1))+1))</f>
        <v>0</v>
      </c>
      <c r="AZ313" s="133" t="n">
        <f aca="false">IF(OR(OR($B313="",$E313="",$F313=""),$K313&lt;&gt;"نعم",$M313="نعم"),0,MAX(0,MIN($F313,EOMONTH(DATE(cfg_FY,7,1),0))-MAX($E313,DATE(cfg_FY,7,1))+1))</f>
        <v>0</v>
      </c>
      <c r="BA313" s="133" t="n">
        <f aca="false">IF(OR(OR($B313="",$E313="",$F313=""),$K313&lt;&gt;"نعم",$M313="نعم"),0,MAX(0,MIN($F313,EOMONTH(DATE(cfg_FY,8,1),0))-MAX($E313,DATE(cfg_FY,8,1))+1))</f>
        <v>0</v>
      </c>
      <c r="BB313" s="133" t="n">
        <f aca="false">IF(OR(OR($B313="",$E313="",$F313=""),$K313&lt;&gt;"نعم",$M313="نعم"),0,MAX(0,MIN($F313,EOMONTH(DATE(cfg_FY,9,1),0))-MAX($E313,DATE(cfg_FY,9,1))+1))</f>
        <v>0</v>
      </c>
      <c r="BC313" s="133" t="n">
        <f aca="false">IF(OR(OR($B313="",$E313="",$F313=""),$K313&lt;&gt;"نعم",$M313="نعم"),0,MAX(0,MIN($F313,EOMONTH(DATE(cfg_FY,10,1),0))-MAX($E313,DATE(cfg_FY,10,1))+1))</f>
        <v>0</v>
      </c>
      <c r="BD313" s="133" t="n">
        <f aca="false">IF(OR(OR($B313="",$E313="",$F313=""),$K313&lt;&gt;"نعم",$M313="نعم"),0,MAX(0,MIN($F313,EOMONTH(DATE(cfg_FY,11,1),0))-MAX($E313,DATE(cfg_FY,11,1))+1))</f>
        <v>0</v>
      </c>
      <c r="BE313" s="133" t="n">
        <f aca="false">IF(OR(OR($B313="",$E313="",$F313=""),$K313&lt;&gt;"نعم",$M313="نعم"),0,MAX(0,MIN($F313,EOMONTH(DATE(cfg_FY,12,1),0))-MAX($E313,DATE(cfg_FY,12,1))+1))</f>
        <v>0</v>
      </c>
    </row>
    <row r="314" customFormat="false" ht="15" hidden="false" customHeight="false" outlineLevel="0" collapsed="false">
      <c r="A314" s="106" t="str">
        <f aca="false">IF(B314="","",ROW()-5)</f>
        <v/>
      </c>
      <c r="B314" s="118"/>
      <c r="C314" s="114" t="str">
        <f aca="false">IF(B314="","",IFERROR(INDEX(الموظفون!$C$6:$C$105,MATCH(B314,الموظفون!$B$6:$B$105,0)),"✖ رقم غير موجود"))</f>
        <v/>
      </c>
      <c r="D314" s="118"/>
      <c r="E314" s="119"/>
      <c r="F314" s="119"/>
      <c r="G314" s="65" t="str">
        <f aca="false">IF(OR($B314="",$E314="",$F314=""),"",MAX(0,F314-E314+1))</f>
        <v/>
      </c>
      <c r="H314" s="66" t="str">
        <f aca="false">IF(D314="","",IFERROR(VLOOKUP(D314,cfg_LT,2,FALSE()),1))</f>
        <v/>
      </c>
      <c r="I314" s="135"/>
      <c r="J314" s="66" t="str">
        <f aca="false">IF(D314="","",IF(I314&lt;&gt;"",I314,H314))</f>
        <v/>
      </c>
      <c r="K314" s="114" t="str">
        <f aca="false">IF(D314="","",IFERROR(VLOOKUP($D314,cfg_LT,3,FALSE()),""))</f>
        <v/>
      </c>
      <c r="L314" s="114" t="str">
        <f aca="false">IF(D314="","",IFERROR(VLOOKUP($D314,cfg_LT,4,FALSE()),""))</f>
        <v/>
      </c>
      <c r="M314" s="114" t="str">
        <f aca="false">IF(D314="","",IFERROR(VLOOKUP($D314,cfg_LT,5,FALSE()),""))</f>
        <v/>
      </c>
      <c r="N314" s="111" t="n">
        <f aca="false">IF(OR(OR($B314="",$E314="",$F314=""),M314&lt;&gt;"نعم"),0,G314*J314*IFERROR(INDEX(الموظفون!$R$6:$R$105,MATCH(B314,الموظفون!$B$6:$B$105,0)),0)/cfg_DAYS_M)</f>
        <v>0</v>
      </c>
      <c r="O314" s="106" t="str">
        <f aca="false">IF(OR(OR($B314="",$E314="",$F314=""),M314&lt;&gt;"نعم"),"",IF(YEAR(E314)=cfg_FY,MONTH(E314),""))</f>
        <v/>
      </c>
      <c r="P314" s="114" t="str">
        <f aca="false">IF(B314="","",IF(OR(D314="",E314="",F314=""),"⚠ أكمل النوع والتواريخ",IF(F314&lt;E314,"✖ النهاية قبل البداية",IF(COUNTIFS($B$6:$B$505,B314,$E$6:$E$505,"&lt;="&amp;F314,$F$6:$F$505,"&gt;="&amp;E314)&gt;1,"⚠ تداخل مع سجل آخر",IF(E314&gt;cfg_VAL_DATE,"⏳ قادمة",IF(F314&lt;cfg_VAL_DATE,"✔ منتهية","✈ جارية في تاريخ التقرير"))))))</f>
        <v/>
      </c>
      <c r="Q314" s="118"/>
      <c r="R314" s="65" t="n">
        <f aca="false">IF(OR(OR($B314="",$E314="",$F314=""),L314&lt;&gt;"لا"),0,MAX(0,MIN(F314,cfg_Y_START-1)-E314+1))</f>
        <v>0</v>
      </c>
      <c r="S314" s="65" t="n">
        <f aca="false">IF(OR(OR($B314="",$E314="",$F314=""),L314&lt;&gt;"لا"),0,MAX(0,MIN(F314,cfg_VAL_DATE)-E314+1))</f>
        <v>0</v>
      </c>
      <c r="T314" s="65" t="n">
        <f aca="false">IF(OR(OR($B314="",$E314="",$F314=""),K314&lt;&gt;"نعم"),0,IF(M314="نعم",IF(AND(ISNUMBER(O314),N(O314)&lt;=cfg_VAL_M),G314,0),MAX(0,MIN(F314,cfg_VAL_DATE)-MAX(E314,cfg_Y_START)+1)))</f>
        <v>0</v>
      </c>
      <c r="V314" s="65" t="n">
        <f aca="false">IF(OR($B314="",$E314="",$F314=""),0,MAX(0,MIN($F314,EOMONTH(DATE(cfg_FY,1,1),0))-MAX($E314,DATE(cfg_FY,1,1))+1)*(1-IF($M314="نعم",0,N($J314))))</f>
        <v>0</v>
      </c>
      <c r="W314" s="65" t="n">
        <f aca="false">IF(OR($B314="",$E314="",$F314=""),0,MAX(0,MIN($F314,EOMONTH(DATE(cfg_FY,2,1),0))-MAX($E314,DATE(cfg_FY,2,1))+1)*(1-IF($M314="نعم",0,N($J314))))</f>
        <v>0</v>
      </c>
      <c r="X314" s="65" t="n">
        <f aca="false">IF(OR($B314="",$E314="",$F314=""),0,MAX(0,MIN($F314,EOMONTH(DATE(cfg_FY,3,1),0))-MAX($E314,DATE(cfg_FY,3,1))+1)*(1-IF($M314="نعم",0,N($J314))))</f>
        <v>0</v>
      </c>
      <c r="Y314" s="65" t="n">
        <f aca="false">IF(OR($B314="",$E314="",$F314=""),0,MAX(0,MIN($F314,EOMONTH(DATE(cfg_FY,4,1),0))-MAX($E314,DATE(cfg_FY,4,1))+1)*(1-IF($M314="نعم",0,N($J314))))</f>
        <v>0</v>
      </c>
      <c r="Z314" s="65" t="n">
        <f aca="false">IF(OR($B314="",$E314="",$F314=""),0,MAX(0,MIN($F314,EOMONTH(DATE(cfg_FY,5,1),0))-MAX($E314,DATE(cfg_FY,5,1))+1)*(1-IF($M314="نعم",0,N($J314))))</f>
        <v>0</v>
      </c>
      <c r="AA314" s="65" t="n">
        <f aca="false">IF(OR($B314="",$E314="",$F314=""),0,MAX(0,MIN($F314,EOMONTH(DATE(cfg_FY,6,1),0))-MAX($E314,DATE(cfg_FY,6,1))+1)*(1-IF($M314="نعم",0,N($J314))))</f>
        <v>0</v>
      </c>
      <c r="AB314" s="65" t="n">
        <f aca="false">IF(OR($B314="",$E314="",$F314=""),0,MAX(0,MIN($F314,EOMONTH(DATE(cfg_FY,7,1),0))-MAX($E314,DATE(cfg_FY,7,1))+1)*(1-IF($M314="نعم",0,N($J314))))</f>
        <v>0</v>
      </c>
      <c r="AC314" s="65" t="n">
        <f aca="false">IF(OR($B314="",$E314="",$F314=""),0,MAX(0,MIN($F314,EOMONTH(DATE(cfg_FY,8,1),0))-MAX($E314,DATE(cfg_FY,8,1))+1)*(1-IF($M314="نعم",0,N($J314))))</f>
        <v>0</v>
      </c>
      <c r="AD314" s="65" t="n">
        <f aca="false">IF(OR($B314="",$E314="",$F314=""),0,MAX(0,MIN($F314,EOMONTH(DATE(cfg_FY,9,1),0))-MAX($E314,DATE(cfg_FY,9,1))+1)*(1-IF($M314="نعم",0,N($J314))))</f>
        <v>0</v>
      </c>
      <c r="AE314" s="65" t="n">
        <f aca="false">IF(OR($B314="",$E314="",$F314=""),0,MAX(0,MIN($F314,EOMONTH(DATE(cfg_FY,10,1),0))-MAX($E314,DATE(cfg_FY,10,1))+1)*(1-IF($M314="نعم",0,N($J314))))</f>
        <v>0</v>
      </c>
      <c r="AF314" s="65" t="n">
        <f aca="false">IF(OR($B314="",$E314="",$F314=""),0,MAX(0,MIN($F314,EOMONTH(DATE(cfg_FY,11,1),0))-MAX($E314,DATE(cfg_FY,11,1))+1)*(1-IF($M314="نعم",0,N($J314))))</f>
        <v>0</v>
      </c>
      <c r="AG314" s="65" t="n">
        <f aca="false">IF(OR($B314="",$E314="",$F314=""),0,MAX(0,MIN($F314,EOMONTH(DATE(cfg_FY,12,1),0))-MAX($E314,DATE(cfg_FY,12,1))+1)*(1-IF($M314="نعم",0,N($J314))))</f>
        <v>0</v>
      </c>
      <c r="AH314" s="65" t="n">
        <f aca="false">IF(OR(OR($B314="",$E314="",$F314=""),$L314&lt;&gt;"لا"),0,MAX(0,MIN($F314,EOMONTH(DATE(cfg_FY,1,1),0))-$E314+1))</f>
        <v>0</v>
      </c>
      <c r="AI314" s="65" t="n">
        <f aca="false">IF(OR(OR($B314="",$E314="",$F314=""),$L314&lt;&gt;"لا"),0,MAX(0,MIN($F314,EOMONTH(DATE(cfg_FY,2,1),0))-$E314+1))</f>
        <v>0</v>
      </c>
      <c r="AJ314" s="65" t="n">
        <f aca="false">IF(OR(OR($B314="",$E314="",$F314=""),$L314&lt;&gt;"لا"),0,MAX(0,MIN($F314,EOMONTH(DATE(cfg_FY,3,1),0))-$E314+1))</f>
        <v>0</v>
      </c>
      <c r="AK314" s="65" t="n">
        <f aca="false">IF(OR(OR($B314="",$E314="",$F314=""),$L314&lt;&gt;"لا"),0,MAX(0,MIN($F314,EOMONTH(DATE(cfg_FY,4,1),0))-$E314+1))</f>
        <v>0</v>
      </c>
      <c r="AL314" s="65" t="n">
        <f aca="false">IF(OR(OR($B314="",$E314="",$F314=""),$L314&lt;&gt;"لا"),0,MAX(0,MIN($F314,EOMONTH(DATE(cfg_FY,5,1),0))-$E314+1))</f>
        <v>0</v>
      </c>
      <c r="AM314" s="65" t="n">
        <f aca="false">IF(OR(OR($B314="",$E314="",$F314=""),$L314&lt;&gt;"لا"),0,MAX(0,MIN($F314,EOMONTH(DATE(cfg_FY,6,1),0))-$E314+1))</f>
        <v>0</v>
      </c>
      <c r="AN314" s="65" t="n">
        <f aca="false">IF(OR(OR($B314="",$E314="",$F314=""),$L314&lt;&gt;"لا"),0,MAX(0,MIN($F314,EOMONTH(DATE(cfg_FY,7,1),0))-$E314+1))</f>
        <v>0</v>
      </c>
      <c r="AO314" s="65" t="n">
        <f aca="false">IF(OR(OR($B314="",$E314="",$F314=""),$L314&lt;&gt;"لا"),0,MAX(0,MIN($F314,EOMONTH(DATE(cfg_FY,8,1),0))-$E314+1))</f>
        <v>0</v>
      </c>
      <c r="AP314" s="65" t="n">
        <f aca="false">IF(OR(OR($B314="",$E314="",$F314=""),$L314&lt;&gt;"لا"),0,MAX(0,MIN($F314,EOMONTH(DATE(cfg_FY,9,1),0))-$E314+1))</f>
        <v>0</v>
      </c>
      <c r="AQ314" s="65" t="n">
        <f aca="false">IF(OR(OR($B314="",$E314="",$F314=""),$L314&lt;&gt;"لا"),0,MAX(0,MIN($F314,EOMONTH(DATE(cfg_FY,10,1),0))-$E314+1))</f>
        <v>0</v>
      </c>
      <c r="AR314" s="65" t="n">
        <f aca="false">IF(OR(OR($B314="",$E314="",$F314=""),$L314&lt;&gt;"لا"),0,MAX(0,MIN($F314,EOMONTH(DATE(cfg_FY,11,1),0))-$E314+1))</f>
        <v>0</v>
      </c>
      <c r="AS314" s="65" t="n">
        <f aca="false">IF(OR(OR($B314="",$E314="",$F314=""),$L314&lt;&gt;"لا"),0,MAX(0,MIN($F314,EOMONTH(DATE(cfg_FY,12,1),0))-$E314+1))</f>
        <v>0</v>
      </c>
      <c r="AT314" s="65" t="n">
        <f aca="false">IF(OR(OR($B314="",$E314="",$F314=""),$K314&lt;&gt;"نعم",$M314="نعم"),0,MAX(0,MIN($F314,EOMONTH(DATE(cfg_FY,1,1),0))-MAX($E314,DATE(cfg_FY,1,1))+1))</f>
        <v>0</v>
      </c>
      <c r="AU314" s="65" t="n">
        <f aca="false">IF(OR(OR($B314="",$E314="",$F314=""),$K314&lt;&gt;"نعم",$M314="نعم"),0,MAX(0,MIN($F314,EOMONTH(DATE(cfg_FY,2,1),0))-MAX($E314,DATE(cfg_FY,2,1))+1))</f>
        <v>0</v>
      </c>
      <c r="AV314" s="65" t="n">
        <f aca="false">IF(OR(OR($B314="",$E314="",$F314=""),$K314&lt;&gt;"نعم",$M314="نعم"),0,MAX(0,MIN($F314,EOMONTH(DATE(cfg_FY,3,1),0))-MAX($E314,DATE(cfg_FY,3,1))+1))</f>
        <v>0</v>
      </c>
      <c r="AW314" s="65" t="n">
        <f aca="false">IF(OR(OR($B314="",$E314="",$F314=""),$K314&lt;&gt;"نعم",$M314="نعم"),0,MAX(0,MIN($F314,EOMONTH(DATE(cfg_FY,4,1),0))-MAX($E314,DATE(cfg_FY,4,1))+1))</f>
        <v>0</v>
      </c>
      <c r="AX314" s="65" t="n">
        <f aca="false">IF(OR(OR($B314="",$E314="",$F314=""),$K314&lt;&gt;"نعم",$M314="نعم"),0,MAX(0,MIN($F314,EOMONTH(DATE(cfg_FY,5,1),0))-MAX($E314,DATE(cfg_FY,5,1))+1))</f>
        <v>0</v>
      </c>
      <c r="AY314" s="65" t="n">
        <f aca="false">IF(OR(OR($B314="",$E314="",$F314=""),$K314&lt;&gt;"نعم",$M314="نعم"),0,MAX(0,MIN($F314,EOMONTH(DATE(cfg_FY,6,1),0))-MAX($E314,DATE(cfg_FY,6,1))+1))</f>
        <v>0</v>
      </c>
      <c r="AZ314" s="65" t="n">
        <f aca="false">IF(OR(OR($B314="",$E314="",$F314=""),$K314&lt;&gt;"نعم",$M314="نعم"),0,MAX(0,MIN($F314,EOMONTH(DATE(cfg_FY,7,1),0))-MAX($E314,DATE(cfg_FY,7,1))+1))</f>
        <v>0</v>
      </c>
      <c r="BA314" s="65" t="n">
        <f aca="false">IF(OR(OR($B314="",$E314="",$F314=""),$K314&lt;&gt;"نعم",$M314="نعم"),0,MAX(0,MIN($F314,EOMONTH(DATE(cfg_FY,8,1),0))-MAX($E314,DATE(cfg_FY,8,1))+1))</f>
        <v>0</v>
      </c>
      <c r="BB314" s="65" t="n">
        <f aca="false">IF(OR(OR($B314="",$E314="",$F314=""),$K314&lt;&gt;"نعم",$M314="نعم"),0,MAX(0,MIN($F314,EOMONTH(DATE(cfg_FY,9,1),0))-MAX($E314,DATE(cfg_FY,9,1))+1))</f>
        <v>0</v>
      </c>
      <c r="BC314" s="65" t="n">
        <f aca="false">IF(OR(OR($B314="",$E314="",$F314=""),$K314&lt;&gt;"نعم",$M314="نعم"),0,MAX(0,MIN($F314,EOMONTH(DATE(cfg_FY,10,1),0))-MAX($E314,DATE(cfg_FY,10,1))+1))</f>
        <v>0</v>
      </c>
      <c r="BD314" s="65" t="n">
        <f aca="false">IF(OR(OR($B314="",$E314="",$F314=""),$K314&lt;&gt;"نعم",$M314="نعم"),0,MAX(0,MIN($F314,EOMONTH(DATE(cfg_FY,11,1),0))-MAX($E314,DATE(cfg_FY,11,1))+1))</f>
        <v>0</v>
      </c>
      <c r="BE314" s="65" t="n">
        <f aca="false">IF(OR(OR($B314="",$E314="",$F314=""),$K314&lt;&gt;"نعم",$M314="نعم"),0,MAX(0,MIN($F314,EOMONTH(DATE(cfg_FY,12,1),0))-MAX($E314,DATE(cfg_FY,12,1))+1))</f>
        <v>0</v>
      </c>
    </row>
    <row r="315" customFormat="false" ht="15" hidden="false" customHeight="false" outlineLevel="0" collapsed="false">
      <c r="A315" s="115" t="str">
        <f aca="false">IF(B315="","",ROW()-5)</f>
        <v/>
      </c>
      <c r="B315" s="118"/>
      <c r="C315" s="117" t="str">
        <f aca="false">IF(B315="","",IFERROR(INDEX(الموظفون!$C$6:$C$105,MATCH(B315,الموظفون!$B$6:$B$105,0)),"✖ رقم غير موجود"))</f>
        <v/>
      </c>
      <c r="D315" s="118"/>
      <c r="E315" s="119"/>
      <c r="F315" s="119"/>
      <c r="G315" s="133" t="str">
        <f aca="false">IF(OR($B315="",$E315="",$F315=""),"",MAX(0,F315-E315+1))</f>
        <v/>
      </c>
      <c r="H315" s="134" t="str">
        <f aca="false">IF(D315="","",IFERROR(VLOOKUP(D315,cfg_LT,2,FALSE()),1))</f>
        <v/>
      </c>
      <c r="I315" s="135"/>
      <c r="J315" s="134" t="str">
        <f aca="false">IF(D315="","",IF(I315&lt;&gt;"",I315,H315))</f>
        <v/>
      </c>
      <c r="K315" s="117" t="str">
        <f aca="false">IF(D315="","",IFERROR(VLOOKUP($D315,cfg_LT,3,FALSE()),""))</f>
        <v/>
      </c>
      <c r="L315" s="117" t="str">
        <f aca="false">IF(D315="","",IFERROR(VLOOKUP($D315,cfg_LT,4,FALSE()),""))</f>
        <v/>
      </c>
      <c r="M315" s="117" t="str">
        <f aca="false">IF(D315="","",IFERROR(VLOOKUP($D315,cfg_LT,5,FALSE()),""))</f>
        <v/>
      </c>
      <c r="N315" s="116" t="n">
        <f aca="false">IF(OR(OR($B315="",$E315="",$F315=""),M315&lt;&gt;"نعم"),0,G315*J315*IFERROR(INDEX(الموظفون!$R$6:$R$105,MATCH(B315,الموظفون!$B$6:$B$105,0)),0)/cfg_DAYS_M)</f>
        <v>0</v>
      </c>
      <c r="O315" s="115" t="str">
        <f aca="false">IF(OR(OR($B315="",$E315="",$F315=""),M315&lt;&gt;"نعم"),"",IF(YEAR(E315)=cfg_FY,MONTH(E315),""))</f>
        <v/>
      </c>
      <c r="P315" s="117" t="str">
        <f aca="false">IF(B315="","",IF(OR(D315="",E315="",F315=""),"⚠ أكمل النوع والتواريخ",IF(F315&lt;E315,"✖ النهاية قبل البداية",IF(COUNTIFS($B$6:$B$505,B315,$E$6:$E$505,"&lt;="&amp;F315,$F$6:$F$505,"&gt;="&amp;E315)&gt;1,"⚠ تداخل مع سجل آخر",IF(E315&gt;cfg_VAL_DATE,"⏳ قادمة",IF(F315&lt;cfg_VAL_DATE,"✔ منتهية","✈ جارية في تاريخ التقرير"))))))</f>
        <v/>
      </c>
      <c r="Q315" s="118"/>
      <c r="R315" s="133" t="n">
        <f aca="false">IF(OR(OR($B315="",$E315="",$F315=""),L315&lt;&gt;"لا"),0,MAX(0,MIN(F315,cfg_Y_START-1)-E315+1))</f>
        <v>0</v>
      </c>
      <c r="S315" s="133" t="n">
        <f aca="false">IF(OR(OR($B315="",$E315="",$F315=""),L315&lt;&gt;"لا"),0,MAX(0,MIN(F315,cfg_VAL_DATE)-E315+1))</f>
        <v>0</v>
      </c>
      <c r="T315" s="133" t="n">
        <f aca="false">IF(OR(OR($B315="",$E315="",$F315=""),K315&lt;&gt;"نعم"),0,IF(M315="نعم",IF(AND(ISNUMBER(O315),N(O315)&lt;=cfg_VAL_M),G315,0),MAX(0,MIN(F315,cfg_VAL_DATE)-MAX(E315,cfg_Y_START)+1)))</f>
        <v>0</v>
      </c>
      <c r="V315" s="133" t="n">
        <f aca="false">IF(OR($B315="",$E315="",$F315=""),0,MAX(0,MIN($F315,EOMONTH(DATE(cfg_FY,1,1),0))-MAX($E315,DATE(cfg_FY,1,1))+1)*(1-IF($M315="نعم",0,N($J315))))</f>
        <v>0</v>
      </c>
      <c r="W315" s="133" t="n">
        <f aca="false">IF(OR($B315="",$E315="",$F315=""),0,MAX(0,MIN($F315,EOMONTH(DATE(cfg_FY,2,1),0))-MAX($E315,DATE(cfg_FY,2,1))+1)*(1-IF($M315="نعم",0,N($J315))))</f>
        <v>0</v>
      </c>
      <c r="X315" s="133" t="n">
        <f aca="false">IF(OR($B315="",$E315="",$F315=""),0,MAX(0,MIN($F315,EOMONTH(DATE(cfg_FY,3,1),0))-MAX($E315,DATE(cfg_FY,3,1))+1)*(1-IF($M315="نعم",0,N($J315))))</f>
        <v>0</v>
      </c>
      <c r="Y315" s="133" t="n">
        <f aca="false">IF(OR($B315="",$E315="",$F315=""),0,MAX(0,MIN($F315,EOMONTH(DATE(cfg_FY,4,1),0))-MAX($E315,DATE(cfg_FY,4,1))+1)*(1-IF($M315="نعم",0,N($J315))))</f>
        <v>0</v>
      </c>
      <c r="Z315" s="133" t="n">
        <f aca="false">IF(OR($B315="",$E315="",$F315=""),0,MAX(0,MIN($F315,EOMONTH(DATE(cfg_FY,5,1),0))-MAX($E315,DATE(cfg_FY,5,1))+1)*(1-IF($M315="نعم",0,N($J315))))</f>
        <v>0</v>
      </c>
      <c r="AA315" s="133" t="n">
        <f aca="false">IF(OR($B315="",$E315="",$F315=""),0,MAX(0,MIN($F315,EOMONTH(DATE(cfg_FY,6,1),0))-MAX($E315,DATE(cfg_FY,6,1))+1)*(1-IF($M315="نعم",0,N($J315))))</f>
        <v>0</v>
      </c>
      <c r="AB315" s="133" t="n">
        <f aca="false">IF(OR($B315="",$E315="",$F315=""),0,MAX(0,MIN($F315,EOMONTH(DATE(cfg_FY,7,1),0))-MAX($E315,DATE(cfg_FY,7,1))+1)*(1-IF($M315="نعم",0,N($J315))))</f>
        <v>0</v>
      </c>
      <c r="AC315" s="133" t="n">
        <f aca="false">IF(OR($B315="",$E315="",$F315=""),0,MAX(0,MIN($F315,EOMONTH(DATE(cfg_FY,8,1),0))-MAX($E315,DATE(cfg_FY,8,1))+1)*(1-IF($M315="نعم",0,N($J315))))</f>
        <v>0</v>
      </c>
      <c r="AD315" s="133" t="n">
        <f aca="false">IF(OR($B315="",$E315="",$F315=""),0,MAX(0,MIN($F315,EOMONTH(DATE(cfg_FY,9,1),0))-MAX($E315,DATE(cfg_FY,9,1))+1)*(1-IF($M315="نعم",0,N($J315))))</f>
        <v>0</v>
      </c>
      <c r="AE315" s="133" t="n">
        <f aca="false">IF(OR($B315="",$E315="",$F315=""),0,MAX(0,MIN($F315,EOMONTH(DATE(cfg_FY,10,1),0))-MAX($E315,DATE(cfg_FY,10,1))+1)*(1-IF($M315="نعم",0,N($J315))))</f>
        <v>0</v>
      </c>
      <c r="AF315" s="133" t="n">
        <f aca="false">IF(OR($B315="",$E315="",$F315=""),0,MAX(0,MIN($F315,EOMONTH(DATE(cfg_FY,11,1),0))-MAX($E315,DATE(cfg_FY,11,1))+1)*(1-IF($M315="نعم",0,N($J315))))</f>
        <v>0</v>
      </c>
      <c r="AG315" s="133" t="n">
        <f aca="false">IF(OR($B315="",$E315="",$F315=""),0,MAX(0,MIN($F315,EOMONTH(DATE(cfg_FY,12,1),0))-MAX($E315,DATE(cfg_FY,12,1))+1)*(1-IF($M315="نعم",0,N($J315))))</f>
        <v>0</v>
      </c>
      <c r="AH315" s="133" t="n">
        <f aca="false">IF(OR(OR($B315="",$E315="",$F315=""),$L315&lt;&gt;"لا"),0,MAX(0,MIN($F315,EOMONTH(DATE(cfg_FY,1,1),0))-$E315+1))</f>
        <v>0</v>
      </c>
      <c r="AI315" s="133" t="n">
        <f aca="false">IF(OR(OR($B315="",$E315="",$F315=""),$L315&lt;&gt;"لا"),0,MAX(0,MIN($F315,EOMONTH(DATE(cfg_FY,2,1),0))-$E315+1))</f>
        <v>0</v>
      </c>
      <c r="AJ315" s="133" t="n">
        <f aca="false">IF(OR(OR($B315="",$E315="",$F315=""),$L315&lt;&gt;"لا"),0,MAX(0,MIN($F315,EOMONTH(DATE(cfg_FY,3,1),0))-$E315+1))</f>
        <v>0</v>
      </c>
      <c r="AK315" s="133" t="n">
        <f aca="false">IF(OR(OR($B315="",$E315="",$F315=""),$L315&lt;&gt;"لا"),0,MAX(0,MIN($F315,EOMONTH(DATE(cfg_FY,4,1),0))-$E315+1))</f>
        <v>0</v>
      </c>
      <c r="AL315" s="133" t="n">
        <f aca="false">IF(OR(OR($B315="",$E315="",$F315=""),$L315&lt;&gt;"لا"),0,MAX(0,MIN($F315,EOMONTH(DATE(cfg_FY,5,1),0))-$E315+1))</f>
        <v>0</v>
      </c>
      <c r="AM315" s="133" t="n">
        <f aca="false">IF(OR(OR($B315="",$E315="",$F315=""),$L315&lt;&gt;"لا"),0,MAX(0,MIN($F315,EOMONTH(DATE(cfg_FY,6,1),0))-$E315+1))</f>
        <v>0</v>
      </c>
      <c r="AN315" s="133" t="n">
        <f aca="false">IF(OR(OR($B315="",$E315="",$F315=""),$L315&lt;&gt;"لا"),0,MAX(0,MIN($F315,EOMONTH(DATE(cfg_FY,7,1),0))-$E315+1))</f>
        <v>0</v>
      </c>
      <c r="AO315" s="133" t="n">
        <f aca="false">IF(OR(OR($B315="",$E315="",$F315=""),$L315&lt;&gt;"لا"),0,MAX(0,MIN($F315,EOMONTH(DATE(cfg_FY,8,1),0))-$E315+1))</f>
        <v>0</v>
      </c>
      <c r="AP315" s="133" t="n">
        <f aca="false">IF(OR(OR($B315="",$E315="",$F315=""),$L315&lt;&gt;"لا"),0,MAX(0,MIN($F315,EOMONTH(DATE(cfg_FY,9,1),0))-$E315+1))</f>
        <v>0</v>
      </c>
      <c r="AQ315" s="133" t="n">
        <f aca="false">IF(OR(OR($B315="",$E315="",$F315=""),$L315&lt;&gt;"لا"),0,MAX(0,MIN($F315,EOMONTH(DATE(cfg_FY,10,1),0))-$E315+1))</f>
        <v>0</v>
      </c>
      <c r="AR315" s="133" t="n">
        <f aca="false">IF(OR(OR($B315="",$E315="",$F315=""),$L315&lt;&gt;"لا"),0,MAX(0,MIN($F315,EOMONTH(DATE(cfg_FY,11,1),0))-$E315+1))</f>
        <v>0</v>
      </c>
      <c r="AS315" s="133" t="n">
        <f aca="false">IF(OR(OR($B315="",$E315="",$F315=""),$L315&lt;&gt;"لا"),0,MAX(0,MIN($F315,EOMONTH(DATE(cfg_FY,12,1),0))-$E315+1))</f>
        <v>0</v>
      </c>
      <c r="AT315" s="133" t="n">
        <f aca="false">IF(OR(OR($B315="",$E315="",$F315=""),$K315&lt;&gt;"نعم",$M315="نعم"),0,MAX(0,MIN($F315,EOMONTH(DATE(cfg_FY,1,1),0))-MAX($E315,DATE(cfg_FY,1,1))+1))</f>
        <v>0</v>
      </c>
      <c r="AU315" s="133" t="n">
        <f aca="false">IF(OR(OR($B315="",$E315="",$F315=""),$K315&lt;&gt;"نعم",$M315="نعم"),0,MAX(0,MIN($F315,EOMONTH(DATE(cfg_FY,2,1),0))-MAX($E315,DATE(cfg_FY,2,1))+1))</f>
        <v>0</v>
      </c>
      <c r="AV315" s="133" t="n">
        <f aca="false">IF(OR(OR($B315="",$E315="",$F315=""),$K315&lt;&gt;"نعم",$M315="نعم"),0,MAX(0,MIN($F315,EOMONTH(DATE(cfg_FY,3,1),0))-MAX($E315,DATE(cfg_FY,3,1))+1))</f>
        <v>0</v>
      </c>
      <c r="AW315" s="133" t="n">
        <f aca="false">IF(OR(OR($B315="",$E315="",$F315=""),$K315&lt;&gt;"نعم",$M315="نعم"),0,MAX(0,MIN($F315,EOMONTH(DATE(cfg_FY,4,1),0))-MAX($E315,DATE(cfg_FY,4,1))+1))</f>
        <v>0</v>
      </c>
      <c r="AX315" s="133" t="n">
        <f aca="false">IF(OR(OR($B315="",$E315="",$F315=""),$K315&lt;&gt;"نعم",$M315="نعم"),0,MAX(0,MIN($F315,EOMONTH(DATE(cfg_FY,5,1),0))-MAX($E315,DATE(cfg_FY,5,1))+1))</f>
        <v>0</v>
      </c>
      <c r="AY315" s="133" t="n">
        <f aca="false">IF(OR(OR($B315="",$E315="",$F315=""),$K315&lt;&gt;"نعم",$M315="نعم"),0,MAX(0,MIN($F315,EOMONTH(DATE(cfg_FY,6,1),0))-MAX($E315,DATE(cfg_FY,6,1))+1))</f>
        <v>0</v>
      </c>
      <c r="AZ315" s="133" t="n">
        <f aca="false">IF(OR(OR($B315="",$E315="",$F315=""),$K315&lt;&gt;"نعم",$M315="نعم"),0,MAX(0,MIN($F315,EOMONTH(DATE(cfg_FY,7,1),0))-MAX($E315,DATE(cfg_FY,7,1))+1))</f>
        <v>0</v>
      </c>
      <c r="BA315" s="133" t="n">
        <f aca="false">IF(OR(OR($B315="",$E315="",$F315=""),$K315&lt;&gt;"نعم",$M315="نعم"),0,MAX(0,MIN($F315,EOMONTH(DATE(cfg_FY,8,1),0))-MAX($E315,DATE(cfg_FY,8,1))+1))</f>
        <v>0</v>
      </c>
      <c r="BB315" s="133" t="n">
        <f aca="false">IF(OR(OR($B315="",$E315="",$F315=""),$K315&lt;&gt;"نعم",$M315="نعم"),0,MAX(0,MIN($F315,EOMONTH(DATE(cfg_FY,9,1),0))-MAX($E315,DATE(cfg_FY,9,1))+1))</f>
        <v>0</v>
      </c>
      <c r="BC315" s="133" t="n">
        <f aca="false">IF(OR(OR($B315="",$E315="",$F315=""),$K315&lt;&gt;"نعم",$M315="نعم"),0,MAX(0,MIN($F315,EOMONTH(DATE(cfg_FY,10,1),0))-MAX($E315,DATE(cfg_FY,10,1))+1))</f>
        <v>0</v>
      </c>
      <c r="BD315" s="133" t="n">
        <f aca="false">IF(OR(OR($B315="",$E315="",$F315=""),$K315&lt;&gt;"نعم",$M315="نعم"),0,MAX(0,MIN($F315,EOMONTH(DATE(cfg_FY,11,1),0))-MAX($E315,DATE(cfg_FY,11,1))+1))</f>
        <v>0</v>
      </c>
      <c r="BE315" s="133" t="n">
        <f aca="false">IF(OR(OR($B315="",$E315="",$F315=""),$K315&lt;&gt;"نعم",$M315="نعم"),0,MAX(0,MIN($F315,EOMONTH(DATE(cfg_FY,12,1),0))-MAX($E315,DATE(cfg_FY,12,1))+1))</f>
        <v>0</v>
      </c>
    </row>
    <row r="316" customFormat="false" ht="15" hidden="false" customHeight="false" outlineLevel="0" collapsed="false">
      <c r="A316" s="106" t="str">
        <f aca="false">IF(B316="","",ROW()-5)</f>
        <v/>
      </c>
      <c r="B316" s="118"/>
      <c r="C316" s="114" t="str">
        <f aca="false">IF(B316="","",IFERROR(INDEX(الموظفون!$C$6:$C$105,MATCH(B316,الموظفون!$B$6:$B$105,0)),"✖ رقم غير موجود"))</f>
        <v/>
      </c>
      <c r="D316" s="118"/>
      <c r="E316" s="119"/>
      <c r="F316" s="119"/>
      <c r="G316" s="65" t="str">
        <f aca="false">IF(OR($B316="",$E316="",$F316=""),"",MAX(0,F316-E316+1))</f>
        <v/>
      </c>
      <c r="H316" s="66" t="str">
        <f aca="false">IF(D316="","",IFERROR(VLOOKUP(D316,cfg_LT,2,FALSE()),1))</f>
        <v/>
      </c>
      <c r="I316" s="135"/>
      <c r="J316" s="66" t="str">
        <f aca="false">IF(D316="","",IF(I316&lt;&gt;"",I316,H316))</f>
        <v/>
      </c>
      <c r="K316" s="114" t="str">
        <f aca="false">IF(D316="","",IFERROR(VLOOKUP($D316,cfg_LT,3,FALSE()),""))</f>
        <v/>
      </c>
      <c r="L316" s="114" t="str">
        <f aca="false">IF(D316="","",IFERROR(VLOOKUP($D316,cfg_LT,4,FALSE()),""))</f>
        <v/>
      </c>
      <c r="M316" s="114" t="str">
        <f aca="false">IF(D316="","",IFERROR(VLOOKUP($D316,cfg_LT,5,FALSE()),""))</f>
        <v/>
      </c>
      <c r="N316" s="111" t="n">
        <f aca="false">IF(OR(OR($B316="",$E316="",$F316=""),M316&lt;&gt;"نعم"),0,G316*J316*IFERROR(INDEX(الموظفون!$R$6:$R$105,MATCH(B316,الموظفون!$B$6:$B$105,0)),0)/cfg_DAYS_M)</f>
        <v>0</v>
      </c>
      <c r="O316" s="106" t="str">
        <f aca="false">IF(OR(OR($B316="",$E316="",$F316=""),M316&lt;&gt;"نعم"),"",IF(YEAR(E316)=cfg_FY,MONTH(E316),""))</f>
        <v/>
      </c>
      <c r="P316" s="114" t="str">
        <f aca="false">IF(B316="","",IF(OR(D316="",E316="",F316=""),"⚠ أكمل النوع والتواريخ",IF(F316&lt;E316,"✖ النهاية قبل البداية",IF(COUNTIFS($B$6:$B$505,B316,$E$6:$E$505,"&lt;="&amp;F316,$F$6:$F$505,"&gt;="&amp;E316)&gt;1,"⚠ تداخل مع سجل آخر",IF(E316&gt;cfg_VAL_DATE,"⏳ قادمة",IF(F316&lt;cfg_VAL_DATE,"✔ منتهية","✈ جارية في تاريخ التقرير"))))))</f>
        <v/>
      </c>
      <c r="Q316" s="118"/>
      <c r="R316" s="65" t="n">
        <f aca="false">IF(OR(OR($B316="",$E316="",$F316=""),L316&lt;&gt;"لا"),0,MAX(0,MIN(F316,cfg_Y_START-1)-E316+1))</f>
        <v>0</v>
      </c>
      <c r="S316" s="65" t="n">
        <f aca="false">IF(OR(OR($B316="",$E316="",$F316=""),L316&lt;&gt;"لا"),0,MAX(0,MIN(F316,cfg_VAL_DATE)-E316+1))</f>
        <v>0</v>
      </c>
      <c r="T316" s="65" t="n">
        <f aca="false">IF(OR(OR($B316="",$E316="",$F316=""),K316&lt;&gt;"نعم"),0,IF(M316="نعم",IF(AND(ISNUMBER(O316),N(O316)&lt;=cfg_VAL_M),G316,0),MAX(0,MIN(F316,cfg_VAL_DATE)-MAX(E316,cfg_Y_START)+1)))</f>
        <v>0</v>
      </c>
      <c r="V316" s="65" t="n">
        <f aca="false">IF(OR($B316="",$E316="",$F316=""),0,MAX(0,MIN($F316,EOMONTH(DATE(cfg_FY,1,1),0))-MAX($E316,DATE(cfg_FY,1,1))+1)*(1-IF($M316="نعم",0,N($J316))))</f>
        <v>0</v>
      </c>
      <c r="W316" s="65" t="n">
        <f aca="false">IF(OR($B316="",$E316="",$F316=""),0,MAX(0,MIN($F316,EOMONTH(DATE(cfg_FY,2,1),0))-MAX($E316,DATE(cfg_FY,2,1))+1)*(1-IF($M316="نعم",0,N($J316))))</f>
        <v>0</v>
      </c>
      <c r="X316" s="65" t="n">
        <f aca="false">IF(OR($B316="",$E316="",$F316=""),0,MAX(0,MIN($F316,EOMONTH(DATE(cfg_FY,3,1),0))-MAX($E316,DATE(cfg_FY,3,1))+1)*(1-IF($M316="نعم",0,N($J316))))</f>
        <v>0</v>
      </c>
      <c r="Y316" s="65" t="n">
        <f aca="false">IF(OR($B316="",$E316="",$F316=""),0,MAX(0,MIN($F316,EOMONTH(DATE(cfg_FY,4,1),0))-MAX($E316,DATE(cfg_FY,4,1))+1)*(1-IF($M316="نعم",0,N($J316))))</f>
        <v>0</v>
      </c>
      <c r="Z316" s="65" t="n">
        <f aca="false">IF(OR($B316="",$E316="",$F316=""),0,MAX(0,MIN($F316,EOMONTH(DATE(cfg_FY,5,1),0))-MAX($E316,DATE(cfg_FY,5,1))+1)*(1-IF($M316="نعم",0,N($J316))))</f>
        <v>0</v>
      </c>
      <c r="AA316" s="65" t="n">
        <f aca="false">IF(OR($B316="",$E316="",$F316=""),0,MAX(0,MIN($F316,EOMONTH(DATE(cfg_FY,6,1),0))-MAX($E316,DATE(cfg_FY,6,1))+1)*(1-IF($M316="نعم",0,N($J316))))</f>
        <v>0</v>
      </c>
      <c r="AB316" s="65" t="n">
        <f aca="false">IF(OR($B316="",$E316="",$F316=""),0,MAX(0,MIN($F316,EOMONTH(DATE(cfg_FY,7,1),0))-MAX($E316,DATE(cfg_FY,7,1))+1)*(1-IF($M316="نعم",0,N($J316))))</f>
        <v>0</v>
      </c>
      <c r="AC316" s="65" t="n">
        <f aca="false">IF(OR($B316="",$E316="",$F316=""),0,MAX(0,MIN($F316,EOMONTH(DATE(cfg_FY,8,1),0))-MAX($E316,DATE(cfg_FY,8,1))+1)*(1-IF($M316="نعم",0,N($J316))))</f>
        <v>0</v>
      </c>
      <c r="AD316" s="65" t="n">
        <f aca="false">IF(OR($B316="",$E316="",$F316=""),0,MAX(0,MIN($F316,EOMONTH(DATE(cfg_FY,9,1),0))-MAX($E316,DATE(cfg_FY,9,1))+1)*(1-IF($M316="نعم",0,N($J316))))</f>
        <v>0</v>
      </c>
      <c r="AE316" s="65" t="n">
        <f aca="false">IF(OR($B316="",$E316="",$F316=""),0,MAX(0,MIN($F316,EOMONTH(DATE(cfg_FY,10,1),0))-MAX($E316,DATE(cfg_FY,10,1))+1)*(1-IF($M316="نعم",0,N($J316))))</f>
        <v>0</v>
      </c>
      <c r="AF316" s="65" t="n">
        <f aca="false">IF(OR($B316="",$E316="",$F316=""),0,MAX(0,MIN($F316,EOMONTH(DATE(cfg_FY,11,1),0))-MAX($E316,DATE(cfg_FY,11,1))+1)*(1-IF($M316="نعم",0,N($J316))))</f>
        <v>0</v>
      </c>
      <c r="AG316" s="65" t="n">
        <f aca="false">IF(OR($B316="",$E316="",$F316=""),0,MAX(0,MIN($F316,EOMONTH(DATE(cfg_FY,12,1),0))-MAX($E316,DATE(cfg_FY,12,1))+1)*(1-IF($M316="نعم",0,N($J316))))</f>
        <v>0</v>
      </c>
      <c r="AH316" s="65" t="n">
        <f aca="false">IF(OR(OR($B316="",$E316="",$F316=""),$L316&lt;&gt;"لا"),0,MAX(0,MIN($F316,EOMONTH(DATE(cfg_FY,1,1),0))-$E316+1))</f>
        <v>0</v>
      </c>
      <c r="AI316" s="65" t="n">
        <f aca="false">IF(OR(OR($B316="",$E316="",$F316=""),$L316&lt;&gt;"لا"),0,MAX(0,MIN($F316,EOMONTH(DATE(cfg_FY,2,1),0))-$E316+1))</f>
        <v>0</v>
      </c>
      <c r="AJ316" s="65" t="n">
        <f aca="false">IF(OR(OR($B316="",$E316="",$F316=""),$L316&lt;&gt;"لا"),0,MAX(0,MIN($F316,EOMONTH(DATE(cfg_FY,3,1),0))-$E316+1))</f>
        <v>0</v>
      </c>
      <c r="AK316" s="65" t="n">
        <f aca="false">IF(OR(OR($B316="",$E316="",$F316=""),$L316&lt;&gt;"لا"),0,MAX(0,MIN($F316,EOMONTH(DATE(cfg_FY,4,1),0))-$E316+1))</f>
        <v>0</v>
      </c>
      <c r="AL316" s="65" t="n">
        <f aca="false">IF(OR(OR($B316="",$E316="",$F316=""),$L316&lt;&gt;"لا"),0,MAX(0,MIN($F316,EOMONTH(DATE(cfg_FY,5,1),0))-$E316+1))</f>
        <v>0</v>
      </c>
      <c r="AM316" s="65" t="n">
        <f aca="false">IF(OR(OR($B316="",$E316="",$F316=""),$L316&lt;&gt;"لا"),0,MAX(0,MIN($F316,EOMONTH(DATE(cfg_FY,6,1),0))-$E316+1))</f>
        <v>0</v>
      </c>
      <c r="AN316" s="65" t="n">
        <f aca="false">IF(OR(OR($B316="",$E316="",$F316=""),$L316&lt;&gt;"لا"),0,MAX(0,MIN($F316,EOMONTH(DATE(cfg_FY,7,1),0))-$E316+1))</f>
        <v>0</v>
      </c>
      <c r="AO316" s="65" t="n">
        <f aca="false">IF(OR(OR($B316="",$E316="",$F316=""),$L316&lt;&gt;"لا"),0,MAX(0,MIN($F316,EOMONTH(DATE(cfg_FY,8,1),0))-$E316+1))</f>
        <v>0</v>
      </c>
      <c r="AP316" s="65" t="n">
        <f aca="false">IF(OR(OR($B316="",$E316="",$F316=""),$L316&lt;&gt;"لا"),0,MAX(0,MIN($F316,EOMONTH(DATE(cfg_FY,9,1),0))-$E316+1))</f>
        <v>0</v>
      </c>
      <c r="AQ316" s="65" t="n">
        <f aca="false">IF(OR(OR($B316="",$E316="",$F316=""),$L316&lt;&gt;"لا"),0,MAX(0,MIN($F316,EOMONTH(DATE(cfg_FY,10,1),0))-$E316+1))</f>
        <v>0</v>
      </c>
      <c r="AR316" s="65" t="n">
        <f aca="false">IF(OR(OR($B316="",$E316="",$F316=""),$L316&lt;&gt;"لا"),0,MAX(0,MIN($F316,EOMONTH(DATE(cfg_FY,11,1),0))-$E316+1))</f>
        <v>0</v>
      </c>
      <c r="AS316" s="65" t="n">
        <f aca="false">IF(OR(OR($B316="",$E316="",$F316=""),$L316&lt;&gt;"لا"),0,MAX(0,MIN($F316,EOMONTH(DATE(cfg_FY,12,1),0))-$E316+1))</f>
        <v>0</v>
      </c>
      <c r="AT316" s="65" t="n">
        <f aca="false">IF(OR(OR($B316="",$E316="",$F316=""),$K316&lt;&gt;"نعم",$M316="نعم"),0,MAX(0,MIN($F316,EOMONTH(DATE(cfg_FY,1,1),0))-MAX($E316,DATE(cfg_FY,1,1))+1))</f>
        <v>0</v>
      </c>
      <c r="AU316" s="65" t="n">
        <f aca="false">IF(OR(OR($B316="",$E316="",$F316=""),$K316&lt;&gt;"نعم",$M316="نعم"),0,MAX(0,MIN($F316,EOMONTH(DATE(cfg_FY,2,1),0))-MAX($E316,DATE(cfg_FY,2,1))+1))</f>
        <v>0</v>
      </c>
      <c r="AV316" s="65" t="n">
        <f aca="false">IF(OR(OR($B316="",$E316="",$F316=""),$K316&lt;&gt;"نعم",$M316="نعم"),0,MAX(0,MIN($F316,EOMONTH(DATE(cfg_FY,3,1),0))-MAX($E316,DATE(cfg_FY,3,1))+1))</f>
        <v>0</v>
      </c>
      <c r="AW316" s="65" t="n">
        <f aca="false">IF(OR(OR($B316="",$E316="",$F316=""),$K316&lt;&gt;"نعم",$M316="نعم"),0,MAX(0,MIN($F316,EOMONTH(DATE(cfg_FY,4,1),0))-MAX($E316,DATE(cfg_FY,4,1))+1))</f>
        <v>0</v>
      </c>
      <c r="AX316" s="65" t="n">
        <f aca="false">IF(OR(OR($B316="",$E316="",$F316=""),$K316&lt;&gt;"نعم",$M316="نعم"),0,MAX(0,MIN($F316,EOMONTH(DATE(cfg_FY,5,1),0))-MAX($E316,DATE(cfg_FY,5,1))+1))</f>
        <v>0</v>
      </c>
      <c r="AY316" s="65" t="n">
        <f aca="false">IF(OR(OR($B316="",$E316="",$F316=""),$K316&lt;&gt;"نعم",$M316="نعم"),0,MAX(0,MIN($F316,EOMONTH(DATE(cfg_FY,6,1),0))-MAX($E316,DATE(cfg_FY,6,1))+1))</f>
        <v>0</v>
      </c>
      <c r="AZ316" s="65" t="n">
        <f aca="false">IF(OR(OR($B316="",$E316="",$F316=""),$K316&lt;&gt;"نعم",$M316="نعم"),0,MAX(0,MIN($F316,EOMONTH(DATE(cfg_FY,7,1),0))-MAX($E316,DATE(cfg_FY,7,1))+1))</f>
        <v>0</v>
      </c>
      <c r="BA316" s="65" t="n">
        <f aca="false">IF(OR(OR($B316="",$E316="",$F316=""),$K316&lt;&gt;"نعم",$M316="نعم"),0,MAX(0,MIN($F316,EOMONTH(DATE(cfg_FY,8,1),0))-MAX($E316,DATE(cfg_FY,8,1))+1))</f>
        <v>0</v>
      </c>
      <c r="BB316" s="65" t="n">
        <f aca="false">IF(OR(OR($B316="",$E316="",$F316=""),$K316&lt;&gt;"نعم",$M316="نعم"),0,MAX(0,MIN($F316,EOMONTH(DATE(cfg_FY,9,1),0))-MAX($E316,DATE(cfg_FY,9,1))+1))</f>
        <v>0</v>
      </c>
      <c r="BC316" s="65" t="n">
        <f aca="false">IF(OR(OR($B316="",$E316="",$F316=""),$K316&lt;&gt;"نعم",$M316="نعم"),0,MAX(0,MIN($F316,EOMONTH(DATE(cfg_FY,10,1),0))-MAX($E316,DATE(cfg_FY,10,1))+1))</f>
        <v>0</v>
      </c>
      <c r="BD316" s="65" t="n">
        <f aca="false">IF(OR(OR($B316="",$E316="",$F316=""),$K316&lt;&gt;"نعم",$M316="نعم"),0,MAX(0,MIN($F316,EOMONTH(DATE(cfg_FY,11,1),0))-MAX($E316,DATE(cfg_FY,11,1))+1))</f>
        <v>0</v>
      </c>
      <c r="BE316" s="65" t="n">
        <f aca="false">IF(OR(OR($B316="",$E316="",$F316=""),$K316&lt;&gt;"نعم",$M316="نعم"),0,MAX(0,MIN($F316,EOMONTH(DATE(cfg_FY,12,1),0))-MAX($E316,DATE(cfg_FY,12,1))+1))</f>
        <v>0</v>
      </c>
    </row>
    <row r="317" customFormat="false" ht="15" hidden="false" customHeight="false" outlineLevel="0" collapsed="false">
      <c r="A317" s="115" t="str">
        <f aca="false">IF(B317="","",ROW()-5)</f>
        <v/>
      </c>
      <c r="B317" s="118"/>
      <c r="C317" s="117" t="str">
        <f aca="false">IF(B317="","",IFERROR(INDEX(الموظفون!$C$6:$C$105,MATCH(B317,الموظفون!$B$6:$B$105,0)),"✖ رقم غير موجود"))</f>
        <v/>
      </c>
      <c r="D317" s="118"/>
      <c r="E317" s="119"/>
      <c r="F317" s="119"/>
      <c r="G317" s="133" t="str">
        <f aca="false">IF(OR($B317="",$E317="",$F317=""),"",MAX(0,F317-E317+1))</f>
        <v/>
      </c>
      <c r="H317" s="134" t="str">
        <f aca="false">IF(D317="","",IFERROR(VLOOKUP(D317,cfg_LT,2,FALSE()),1))</f>
        <v/>
      </c>
      <c r="I317" s="135"/>
      <c r="J317" s="134" t="str">
        <f aca="false">IF(D317="","",IF(I317&lt;&gt;"",I317,H317))</f>
        <v/>
      </c>
      <c r="K317" s="117" t="str">
        <f aca="false">IF(D317="","",IFERROR(VLOOKUP($D317,cfg_LT,3,FALSE()),""))</f>
        <v/>
      </c>
      <c r="L317" s="117" t="str">
        <f aca="false">IF(D317="","",IFERROR(VLOOKUP($D317,cfg_LT,4,FALSE()),""))</f>
        <v/>
      </c>
      <c r="M317" s="117" t="str">
        <f aca="false">IF(D317="","",IFERROR(VLOOKUP($D317,cfg_LT,5,FALSE()),""))</f>
        <v/>
      </c>
      <c r="N317" s="116" t="n">
        <f aca="false">IF(OR(OR($B317="",$E317="",$F317=""),M317&lt;&gt;"نعم"),0,G317*J317*IFERROR(INDEX(الموظفون!$R$6:$R$105,MATCH(B317,الموظفون!$B$6:$B$105,0)),0)/cfg_DAYS_M)</f>
        <v>0</v>
      </c>
      <c r="O317" s="115" t="str">
        <f aca="false">IF(OR(OR($B317="",$E317="",$F317=""),M317&lt;&gt;"نعم"),"",IF(YEAR(E317)=cfg_FY,MONTH(E317),""))</f>
        <v/>
      </c>
      <c r="P317" s="117" t="str">
        <f aca="false">IF(B317="","",IF(OR(D317="",E317="",F317=""),"⚠ أكمل النوع والتواريخ",IF(F317&lt;E317,"✖ النهاية قبل البداية",IF(COUNTIFS($B$6:$B$505,B317,$E$6:$E$505,"&lt;="&amp;F317,$F$6:$F$505,"&gt;="&amp;E317)&gt;1,"⚠ تداخل مع سجل آخر",IF(E317&gt;cfg_VAL_DATE,"⏳ قادمة",IF(F317&lt;cfg_VAL_DATE,"✔ منتهية","✈ جارية في تاريخ التقرير"))))))</f>
        <v/>
      </c>
      <c r="Q317" s="118"/>
      <c r="R317" s="133" t="n">
        <f aca="false">IF(OR(OR($B317="",$E317="",$F317=""),L317&lt;&gt;"لا"),0,MAX(0,MIN(F317,cfg_Y_START-1)-E317+1))</f>
        <v>0</v>
      </c>
      <c r="S317" s="133" t="n">
        <f aca="false">IF(OR(OR($B317="",$E317="",$F317=""),L317&lt;&gt;"لا"),0,MAX(0,MIN(F317,cfg_VAL_DATE)-E317+1))</f>
        <v>0</v>
      </c>
      <c r="T317" s="133" t="n">
        <f aca="false">IF(OR(OR($B317="",$E317="",$F317=""),K317&lt;&gt;"نعم"),0,IF(M317="نعم",IF(AND(ISNUMBER(O317),N(O317)&lt;=cfg_VAL_M),G317,0),MAX(0,MIN(F317,cfg_VAL_DATE)-MAX(E317,cfg_Y_START)+1)))</f>
        <v>0</v>
      </c>
      <c r="V317" s="133" t="n">
        <f aca="false">IF(OR($B317="",$E317="",$F317=""),0,MAX(0,MIN($F317,EOMONTH(DATE(cfg_FY,1,1),0))-MAX($E317,DATE(cfg_FY,1,1))+1)*(1-IF($M317="نعم",0,N($J317))))</f>
        <v>0</v>
      </c>
      <c r="W317" s="133" t="n">
        <f aca="false">IF(OR($B317="",$E317="",$F317=""),0,MAX(0,MIN($F317,EOMONTH(DATE(cfg_FY,2,1),0))-MAX($E317,DATE(cfg_FY,2,1))+1)*(1-IF($M317="نعم",0,N($J317))))</f>
        <v>0</v>
      </c>
      <c r="X317" s="133" t="n">
        <f aca="false">IF(OR($B317="",$E317="",$F317=""),0,MAX(0,MIN($F317,EOMONTH(DATE(cfg_FY,3,1),0))-MAX($E317,DATE(cfg_FY,3,1))+1)*(1-IF($M317="نعم",0,N($J317))))</f>
        <v>0</v>
      </c>
      <c r="Y317" s="133" t="n">
        <f aca="false">IF(OR($B317="",$E317="",$F317=""),0,MAX(0,MIN($F317,EOMONTH(DATE(cfg_FY,4,1),0))-MAX($E317,DATE(cfg_FY,4,1))+1)*(1-IF($M317="نعم",0,N($J317))))</f>
        <v>0</v>
      </c>
      <c r="Z317" s="133" t="n">
        <f aca="false">IF(OR($B317="",$E317="",$F317=""),0,MAX(0,MIN($F317,EOMONTH(DATE(cfg_FY,5,1),0))-MAX($E317,DATE(cfg_FY,5,1))+1)*(1-IF($M317="نعم",0,N($J317))))</f>
        <v>0</v>
      </c>
      <c r="AA317" s="133" t="n">
        <f aca="false">IF(OR($B317="",$E317="",$F317=""),0,MAX(0,MIN($F317,EOMONTH(DATE(cfg_FY,6,1),0))-MAX($E317,DATE(cfg_FY,6,1))+1)*(1-IF($M317="نعم",0,N($J317))))</f>
        <v>0</v>
      </c>
      <c r="AB317" s="133" t="n">
        <f aca="false">IF(OR($B317="",$E317="",$F317=""),0,MAX(0,MIN($F317,EOMONTH(DATE(cfg_FY,7,1),0))-MAX($E317,DATE(cfg_FY,7,1))+1)*(1-IF($M317="نعم",0,N($J317))))</f>
        <v>0</v>
      </c>
      <c r="AC317" s="133" t="n">
        <f aca="false">IF(OR($B317="",$E317="",$F317=""),0,MAX(0,MIN($F317,EOMONTH(DATE(cfg_FY,8,1),0))-MAX($E317,DATE(cfg_FY,8,1))+1)*(1-IF($M317="نعم",0,N($J317))))</f>
        <v>0</v>
      </c>
      <c r="AD317" s="133" t="n">
        <f aca="false">IF(OR($B317="",$E317="",$F317=""),0,MAX(0,MIN($F317,EOMONTH(DATE(cfg_FY,9,1),0))-MAX($E317,DATE(cfg_FY,9,1))+1)*(1-IF($M317="نعم",0,N($J317))))</f>
        <v>0</v>
      </c>
      <c r="AE317" s="133" t="n">
        <f aca="false">IF(OR($B317="",$E317="",$F317=""),0,MAX(0,MIN($F317,EOMONTH(DATE(cfg_FY,10,1),0))-MAX($E317,DATE(cfg_FY,10,1))+1)*(1-IF($M317="نعم",0,N($J317))))</f>
        <v>0</v>
      </c>
      <c r="AF317" s="133" t="n">
        <f aca="false">IF(OR($B317="",$E317="",$F317=""),0,MAX(0,MIN($F317,EOMONTH(DATE(cfg_FY,11,1),0))-MAX($E317,DATE(cfg_FY,11,1))+1)*(1-IF($M317="نعم",0,N($J317))))</f>
        <v>0</v>
      </c>
      <c r="AG317" s="133" t="n">
        <f aca="false">IF(OR($B317="",$E317="",$F317=""),0,MAX(0,MIN($F317,EOMONTH(DATE(cfg_FY,12,1),0))-MAX($E317,DATE(cfg_FY,12,1))+1)*(1-IF($M317="نعم",0,N($J317))))</f>
        <v>0</v>
      </c>
      <c r="AH317" s="133" t="n">
        <f aca="false">IF(OR(OR($B317="",$E317="",$F317=""),$L317&lt;&gt;"لا"),0,MAX(0,MIN($F317,EOMONTH(DATE(cfg_FY,1,1),0))-$E317+1))</f>
        <v>0</v>
      </c>
      <c r="AI317" s="133" t="n">
        <f aca="false">IF(OR(OR($B317="",$E317="",$F317=""),$L317&lt;&gt;"لا"),0,MAX(0,MIN($F317,EOMONTH(DATE(cfg_FY,2,1),0))-$E317+1))</f>
        <v>0</v>
      </c>
      <c r="AJ317" s="133" t="n">
        <f aca="false">IF(OR(OR($B317="",$E317="",$F317=""),$L317&lt;&gt;"لا"),0,MAX(0,MIN($F317,EOMONTH(DATE(cfg_FY,3,1),0))-$E317+1))</f>
        <v>0</v>
      </c>
      <c r="AK317" s="133" t="n">
        <f aca="false">IF(OR(OR($B317="",$E317="",$F317=""),$L317&lt;&gt;"لا"),0,MAX(0,MIN($F317,EOMONTH(DATE(cfg_FY,4,1),0))-$E317+1))</f>
        <v>0</v>
      </c>
      <c r="AL317" s="133" t="n">
        <f aca="false">IF(OR(OR($B317="",$E317="",$F317=""),$L317&lt;&gt;"لا"),0,MAX(0,MIN($F317,EOMONTH(DATE(cfg_FY,5,1),0))-$E317+1))</f>
        <v>0</v>
      </c>
      <c r="AM317" s="133" t="n">
        <f aca="false">IF(OR(OR($B317="",$E317="",$F317=""),$L317&lt;&gt;"لا"),0,MAX(0,MIN($F317,EOMONTH(DATE(cfg_FY,6,1),0))-$E317+1))</f>
        <v>0</v>
      </c>
      <c r="AN317" s="133" t="n">
        <f aca="false">IF(OR(OR($B317="",$E317="",$F317=""),$L317&lt;&gt;"لا"),0,MAX(0,MIN($F317,EOMONTH(DATE(cfg_FY,7,1),0))-$E317+1))</f>
        <v>0</v>
      </c>
      <c r="AO317" s="133" t="n">
        <f aca="false">IF(OR(OR($B317="",$E317="",$F317=""),$L317&lt;&gt;"لا"),0,MAX(0,MIN($F317,EOMONTH(DATE(cfg_FY,8,1),0))-$E317+1))</f>
        <v>0</v>
      </c>
      <c r="AP317" s="133" t="n">
        <f aca="false">IF(OR(OR($B317="",$E317="",$F317=""),$L317&lt;&gt;"لا"),0,MAX(0,MIN($F317,EOMONTH(DATE(cfg_FY,9,1),0))-$E317+1))</f>
        <v>0</v>
      </c>
      <c r="AQ317" s="133" t="n">
        <f aca="false">IF(OR(OR($B317="",$E317="",$F317=""),$L317&lt;&gt;"لا"),0,MAX(0,MIN($F317,EOMONTH(DATE(cfg_FY,10,1),0))-$E317+1))</f>
        <v>0</v>
      </c>
      <c r="AR317" s="133" t="n">
        <f aca="false">IF(OR(OR($B317="",$E317="",$F317=""),$L317&lt;&gt;"لا"),0,MAX(0,MIN($F317,EOMONTH(DATE(cfg_FY,11,1),0))-$E317+1))</f>
        <v>0</v>
      </c>
      <c r="AS317" s="133" t="n">
        <f aca="false">IF(OR(OR($B317="",$E317="",$F317=""),$L317&lt;&gt;"لا"),0,MAX(0,MIN($F317,EOMONTH(DATE(cfg_FY,12,1),0))-$E317+1))</f>
        <v>0</v>
      </c>
      <c r="AT317" s="133" t="n">
        <f aca="false">IF(OR(OR($B317="",$E317="",$F317=""),$K317&lt;&gt;"نعم",$M317="نعم"),0,MAX(0,MIN($F317,EOMONTH(DATE(cfg_FY,1,1),0))-MAX($E317,DATE(cfg_FY,1,1))+1))</f>
        <v>0</v>
      </c>
      <c r="AU317" s="133" t="n">
        <f aca="false">IF(OR(OR($B317="",$E317="",$F317=""),$K317&lt;&gt;"نعم",$M317="نعم"),0,MAX(0,MIN($F317,EOMONTH(DATE(cfg_FY,2,1),0))-MAX($E317,DATE(cfg_FY,2,1))+1))</f>
        <v>0</v>
      </c>
      <c r="AV317" s="133" t="n">
        <f aca="false">IF(OR(OR($B317="",$E317="",$F317=""),$K317&lt;&gt;"نعم",$M317="نعم"),0,MAX(0,MIN($F317,EOMONTH(DATE(cfg_FY,3,1),0))-MAX($E317,DATE(cfg_FY,3,1))+1))</f>
        <v>0</v>
      </c>
      <c r="AW317" s="133" t="n">
        <f aca="false">IF(OR(OR($B317="",$E317="",$F317=""),$K317&lt;&gt;"نعم",$M317="نعم"),0,MAX(0,MIN($F317,EOMONTH(DATE(cfg_FY,4,1),0))-MAX($E317,DATE(cfg_FY,4,1))+1))</f>
        <v>0</v>
      </c>
      <c r="AX317" s="133" t="n">
        <f aca="false">IF(OR(OR($B317="",$E317="",$F317=""),$K317&lt;&gt;"نعم",$M317="نعم"),0,MAX(0,MIN($F317,EOMONTH(DATE(cfg_FY,5,1),0))-MAX($E317,DATE(cfg_FY,5,1))+1))</f>
        <v>0</v>
      </c>
      <c r="AY317" s="133" t="n">
        <f aca="false">IF(OR(OR($B317="",$E317="",$F317=""),$K317&lt;&gt;"نعم",$M317="نعم"),0,MAX(0,MIN($F317,EOMONTH(DATE(cfg_FY,6,1),0))-MAX($E317,DATE(cfg_FY,6,1))+1))</f>
        <v>0</v>
      </c>
      <c r="AZ317" s="133" t="n">
        <f aca="false">IF(OR(OR($B317="",$E317="",$F317=""),$K317&lt;&gt;"نعم",$M317="نعم"),0,MAX(0,MIN($F317,EOMONTH(DATE(cfg_FY,7,1),0))-MAX($E317,DATE(cfg_FY,7,1))+1))</f>
        <v>0</v>
      </c>
      <c r="BA317" s="133" t="n">
        <f aca="false">IF(OR(OR($B317="",$E317="",$F317=""),$K317&lt;&gt;"نعم",$M317="نعم"),0,MAX(0,MIN($F317,EOMONTH(DATE(cfg_FY,8,1),0))-MAX($E317,DATE(cfg_FY,8,1))+1))</f>
        <v>0</v>
      </c>
      <c r="BB317" s="133" t="n">
        <f aca="false">IF(OR(OR($B317="",$E317="",$F317=""),$K317&lt;&gt;"نعم",$M317="نعم"),0,MAX(0,MIN($F317,EOMONTH(DATE(cfg_FY,9,1),0))-MAX($E317,DATE(cfg_FY,9,1))+1))</f>
        <v>0</v>
      </c>
      <c r="BC317" s="133" t="n">
        <f aca="false">IF(OR(OR($B317="",$E317="",$F317=""),$K317&lt;&gt;"نعم",$M317="نعم"),0,MAX(0,MIN($F317,EOMONTH(DATE(cfg_FY,10,1),0))-MAX($E317,DATE(cfg_FY,10,1))+1))</f>
        <v>0</v>
      </c>
      <c r="BD317" s="133" t="n">
        <f aca="false">IF(OR(OR($B317="",$E317="",$F317=""),$K317&lt;&gt;"نعم",$M317="نعم"),0,MAX(0,MIN($F317,EOMONTH(DATE(cfg_FY,11,1),0))-MAX($E317,DATE(cfg_FY,11,1))+1))</f>
        <v>0</v>
      </c>
      <c r="BE317" s="133" t="n">
        <f aca="false">IF(OR(OR($B317="",$E317="",$F317=""),$K317&lt;&gt;"نعم",$M317="نعم"),0,MAX(0,MIN($F317,EOMONTH(DATE(cfg_FY,12,1),0))-MAX($E317,DATE(cfg_FY,12,1))+1))</f>
        <v>0</v>
      </c>
    </row>
    <row r="318" customFormat="false" ht="15" hidden="false" customHeight="false" outlineLevel="0" collapsed="false">
      <c r="A318" s="106" t="str">
        <f aca="false">IF(B318="","",ROW()-5)</f>
        <v/>
      </c>
      <c r="B318" s="118"/>
      <c r="C318" s="114" t="str">
        <f aca="false">IF(B318="","",IFERROR(INDEX(الموظفون!$C$6:$C$105,MATCH(B318,الموظفون!$B$6:$B$105,0)),"✖ رقم غير موجود"))</f>
        <v/>
      </c>
      <c r="D318" s="118"/>
      <c r="E318" s="119"/>
      <c r="F318" s="119"/>
      <c r="G318" s="65" t="str">
        <f aca="false">IF(OR($B318="",$E318="",$F318=""),"",MAX(0,F318-E318+1))</f>
        <v/>
      </c>
      <c r="H318" s="66" t="str">
        <f aca="false">IF(D318="","",IFERROR(VLOOKUP(D318,cfg_LT,2,FALSE()),1))</f>
        <v/>
      </c>
      <c r="I318" s="135"/>
      <c r="J318" s="66" t="str">
        <f aca="false">IF(D318="","",IF(I318&lt;&gt;"",I318,H318))</f>
        <v/>
      </c>
      <c r="K318" s="114" t="str">
        <f aca="false">IF(D318="","",IFERROR(VLOOKUP($D318,cfg_LT,3,FALSE()),""))</f>
        <v/>
      </c>
      <c r="L318" s="114" t="str">
        <f aca="false">IF(D318="","",IFERROR(VLOOKUP($D318,cfg_LT,4,FALSE()),""))</f>
        <v/>
      </c>
      <c r="M318" s="114" t="str">
        <f aca="false">IF(D318="","",IFERROR(VLOOKUP($D318,cfg_LT,5,FALSE()),""))</f>
        <v/>
      </c>
      <c r="N318" s="111" t="n">
        <f aca="false">IF(OR(OR($B318="",$E318="",$F318=""),M318&lt;&gt;"نعم"),0,G318*J318*IFERROR(INDEX(الموظفون!$R$6:$R$105,MATCH(B318,الموظفون!$B$6:$B$105,0)),0)/cfg_DAYS_M)</f>
        <v>0</v>
      </c>
      <c r="O318" s="106" t="str">
        <f aca="false">IF(OR(OR($B318="",$E318="",$F318=""),M318&lt;&gt;"نعم"),"",IF(YEAR(E318)=cfg_FY,MONTH(E318),""))</f>
        <v/>
      </c>
      <c r="P318" s="114" t="str">
        <f aca="false">IF(B318="","",IF(OR(D318="",E318="",F318=""),"⚠ أكمل النوع والتواريخ",IF(F318&lt;E318,"✖ النهاية قبل البداية",IF(COUNTIFS($B$6:$B$505,B318,$E$6:$E$505,"&lt;="&amp;F318,$F$6:$F$505,"&gt;="&amp;E318)&gt;1,"⚠ تداخل مع سجل آخر",IF(E318&gt;cfg_VAL_DATE,"⏳ قادمة",IF(F318&lt;cfg_VAL_DATE,"✔ منتهية","✈ جارية في تاريخ التقرير"))))))</f>
        <v/>
      </c>
      <c r="Q318" s="118"/>
      <c r="R318" s="65" t="n">
        <f aca="false">IF(OR(OR($B318="",$E318="",$F318=""),L318&lt;&gt;"لا"),0,MAX(0,MIN(F318,cfg_Y_START-1)-E318+1))</f>
        <v>0</v>
      </c>
      <c r="S318" s="65" t="n">
        <f aca="false">IF(OR(OR($B318="",$E318="",$F318=""),L318&lt;&gt;"لا"),0,MAX(0,MIN(F318,cfg_VAL_DATE)-E318+1))</f>
        <v>0</v>
      </c>
      <c r="T318" s="65" t="n">
        <f aca="false">IF(OR(OR($B318="",$E318="",$F318=""),K318&lt;&gt;"نعم"),0,IF(M318="نعم",IF(AND(ISNUMBER(O318),N(O318)&lt;=cfg_VAL_M),G318,0),MAX(0,MIN(F318,cfg_VAL_DATE)-MAX(E318,cfg_Y_START)+1)))</f>
        <v>0</v>
      </c>
      <c r="V318" s="65" t="n">
        <f aca="false">IF(OR($B318="",$E318="",$F318=""),0,MAX(0,MIN($F318,EOMONTH(DATE(cfg_FY,1,1),0))-MAX($E318,DATE(cfg_FY,1,1))+1)*(1-IF($M318="نعم",0,N($J318))))</f>
        <v>0</v>
      </c>
      <c r="W318" s="65" t="n">
        <f aca="false">IF(OR($B318="",$E318="",$F318=""),0,MAX(0,MIN($F318,EOMONTH(DATE(cfg_FY,2,1),0))-MAX($E318,DATE(cfg_FY,2,1))+1)*(1-IF($M318="نعم",0,N($J318))))</f>
        <v>0</v>
      </c>
      <c r="X318" s="65" t="n">
        <f aca="false">IF(OR($B318="",$E318="",$F318=""),0,MAX(0,MIN($F318,EOMONTH(DATE(cfg_FY,3,1),0))-MAX($E318,DATE(cfg_FY,3,1))+1)*(1-IF($M318="نعم",0,N($J318))))</f>
        <v>0</v>
      </c>
      <c r="Y318" s="65" t="n">
        <f aca="false">IF(OR($B318="",$E318="",$F318=""),0,MAX(0,MIN($F318,EOMONTH(DATE(cfg_FY,4,1),0))-MAX($E318,DATE(cfg_FY,4,1))+1)*(1-IF($M318="نعم",0,N($J318))))</f>
        <v>0</v>
      </c>
      <c r="Z318" s="65" t="n">
        <f aca="false">IF(OR($B318="",$E318="",$F318=""),0,MAX(0,MIN($F318,EOMONTH(DATE(cfg_FY,5,1),0))-MAX($E318,DATE(cfg_FY,5,1))+1)*(1-IF($M318="نعم",0,N($J318))))</f>
        <v>0</v>
      </c>
      <c r="AA318" s="65" t="n">
        <f aca="false">IF(OR($B318="",$E318="",$F318=""),0,MAX(0,MIN($F318,EOMONTH(DATE(cfg_FY,6,1),0))-MAX($E318,DATE(cfg_FY,6,1))+1)*(1-IF($M318="نعم",0,N($J318))))</f>
        <v>0</v>
      </c>
      <c r="AB318" s="65" t="n">
        <f aca="false">IF(OR($B318="",$E318="",$F318=""),0,MAX(0,MIN($F318,EOMONTH(DATE(cfg_FY,7,1),0))-MAX($E318,DATE(cfg_FY,7,1))+1)*(1-IF($M318="نعم",0,N($J318))))</f>
        <v>0</v>
      </c>
      <c r="AC318" s="65" t="n">
        <f aca="false">IF(OR($B318="",$E318="",$F318=""),0,MAX(0,MIN($F318,EOMONTH(DATE(cfg_FY,8,1),0))-MAX($E318,DATE(cfg_FY,8,1))+1)*(1-IF($M318="نعم",0,N($J318))))</f>
        <v>0</v>
      </c>
      <c r="AD318" s="65" t="n">
        <f aca="false">IF(OR($B318="",$E318="",$F318=""),0,MAX(0,MIN($F318,EOMONTH(DATE(cfg_FY,9,1),0))-MAX($E318,DATE(cfg_FY,9,1))+1)*(1-IF($M318="نعم",0,N($J318))))</f>
        <v>0</v>
      </c>
      <c r="AE318" s="65" t="n">
        <f aca="false">IF(OR($B318="",$E318="",$F318=""),0,MAX(0,MIN($F318,EOMONTH(DATE(cfg_FY,10,1),0))-MAX($E318,DATE(cfg_FY,10,1))+1)*(1-IF($M318="نعم",0,N($J318))))</f>
        <v>0</v>
      </c>
      <c r="AF318" s="65" t="n">
        <f aca="false">IF(OR($B318="",$E318="",$F318=""),0,MAX(0,MIN($F318,EOMONTH(DATE(cfg_FY,11,1),0))-MAX($E318,DATE(cfg_FY,11,1))+1)*(1-IF($M318="نعم",0,N($J318))))</f>
        <v>0</v>
      </c>
      <c r="AG318" s="65" t="n">
        <f aca="false">IF(OR($B318="",$E318="",$F318=""),0,MAX(0,MIN($F318,EOMONTH(DATE(cfg_FY,12,1),0))-MAX($E318,DATE(cfg_FY,12,1))+1)*(1-IF($M318="نعم",0,N($J318))))</f>
        <v>0</v>
      </c>
      <c r="AH318" s="65" t="n">
        <f aca="false">IF(OR(OR($B318="",$E318="",$F318=""),$L318&lt;&gt;"لا"),0,MAX(0,MIN($F318,EOMONTH(DATE(cfg_FY,1,1),0))-$E318+1))</f>
        <v>0</v>
      </c>
      <c r="AI318" s="65" t="n">
        <f aca="false">IF(OR(OR($B318="",$E318="",$F318=""),$L318&lt;&gt;"لا"),0,MAX(0,MIN($F318,EOMONTH(DATE(cfg_FY,2,1),0))-$E318+1))</f>
        <v>0</v>
      </c>
      <c r="AJ318" s="65" t="n">
        <f aca="false">IF(OR(OR($B318="",$E318="",$F318=""),$L318&lt;&gt;"لا"),0,MAX(0,MIN($F318,EOMONTH(DATE(cfg_FY,3,1),0))-$E318+1))</f>
        <v>0</v>
      </c>
      <c r="AK318" s="65" t="n">
        <f aca="false">IF(OR(OR($B318="",$E318="",$F318=""),$L318&lt;&gt;"لا"),0,MAX(0,MIN($F318,EOMONTH(DATE(cfg_FY,4,1),0))-$E318+1))</f>
        <v>0</v>
      </c>
      <c r="AL318" s="65" t="n">
        <f aca="false">IF(OR(OR($B318="",$E318="",$F318=""),$L318&lt;&gt;"لا"),0,MAX(0,MIN($F318,EOMONTH(DATE(cfg_FY,5,1),0))-$E318+1))</f>
        <v>0</v>
      </c>
      <c r="AM318" s="65" t="n">
        <f aca="false">IF(OR(OR($B318="",$E318="",$F318=""),$L318&lt;&gt;"لا"),0,MAX(0,MIN($F318,EOMONTH(DATE(cfg_FY,6,1),0))-$E318+1))</f>
        <v>0</v>
      </c>
      <c r="AN318" s="65" t="n">
        <f aca="false">IF(OR(OR($B318="",$E318="",$F318=""),$L318&lt;&gt;"لا"),0,MAX(0,MIN($F318,EOMONTH(DATE(cfg_FY,7,1),0))-$E318+1))</f>
        <v>0</v>
      </c>
      <c r="AO318" s="65" t="n">
        <f aca="false">IF(OR(OR($B318="",$E318="",$F318=""),$L318&lt;&gt;"لا"),0,MAX(0,MIN($F318,EOMONTH(DATE(cfg_FY,8,1),0))-$E318+1))</f>
        <v>0</v>
      </c>
      <c r="AP318" s="65" t="n">
        <f aca="false">IF(OR(OR($B318="",$E318="",$F318=""),$L318&lt;&gt;"لا"),0,MAX(0,MIN($F318,EOMONTH(DATE(cfg_FY,9,1),0))-$E318+1))</f>
        <v>0</v>
      </c>
      <c r="AQ318" s="65" t="n">
        <f aca="false">IF(OR(OR($B318="",$E318="",$F318=""),$L318&lt;&gt;"لا"),0,MAX(0,MIN($F318,EOMONTH(DATE(cfg_FY,10,1),0))-$E318+1))</f>
        <v>0</v>
      </c>
      <c r="AR318" s="65" t="n">
        <f aca="false">IF(OR(OR($B318="",$E318="",$F318=""),$L318&lt;&gt;"لا"),0,MAX(0,MIN($F318,EOMONTH(DATE(cfg_FY,11,1),0))-$E318+1))</f>
        <v>0</v>
      </c>
      <c r="AS318" s="65" t="n">
        <f aca="false">IF(OR(OR($B318="",$E318="",$F318=""),$L318&lt;&gt;"لا"),0,MAX(0,MIN($F318,EOMONTH(DATE(cfg_FY,12,1),0))-$E318+1))</f>
        <v>0</v>
      </c>
      <c r="AT318" s="65" t="n">
        <f aca="false">IF(OR(OR($B318="",$E318="",$F318=""),$K318&lt;&gt;"نعم",$M318="نعم"),0,MAX(0,MIN($F318,EOMONTH(DATE(cfg_FY,1,1),0))-MAX($E318,DATE(cfg_FY,1,1))+1))</f>
        <v>0</v>
      </c>
      <c r="AU318" s="65" t="n">
        <f aca="false">IF(OR(OR($B318="",$E318="",$F318=""),$K318&lt;&gt;"نعم",$M318="نعم"),0,MAX(0,MIN($F318,EOMONTH(DATE(cfg_FY,2,1),0))-MAX($E318,DATE(cfg_FY,2,1))+1))</f>
        <v>0</v>
      </c>
      <c r="AV318" s="65" t="n">
        <f aca="false">IF(OR(OR($B318="",$E318="",$F318=""),$K318&lt;&gt;"نعم",$M318="نعم"),0,MAX(0,MIN($F318,EOMONTH(DATE(cfg_FY,3,1),0))-MAX($E318,DATE(cfg_FY,3,1))+1))</f>
        <v>0</v>
      </c>
      <c r="AW318" s="65" t="n">
        <f aca="false">IF(OR(OR($B318="",$E318="",$F318=""),$K318&lt;&gt;"نعم",$M318="نعم"),0,MAX(0,MIN($F318,EOMONTH(DATE(cfg_FY,4,1),0))-MAX($E318,DATE(cfg_FY,4,1))+1))</f>
        <v>0</v>
      </c>
      <c r="AX318" s="65" t="n">
        <f aca="false">IF(OR(OR($B318="",$E318="",$F318=""),$K318&lt;&gt;"نعم",$M318="نعم"),0,MAX(0,MIN($F318,EOMONTH(DATE(cfg_FY,5,1),0))-MAX($E318,DATE(cfg_FY,5,1))+1))</f>
        <v>0</v>
      </c>
      <c r="AY318" s="65" t="n">
        <f aca="false">IF(OR(OR($B318="",$E318="",$F318=""),$K318&lt;&gt;"نعم",$M318="نعم"),0,MAX(0,MIN($F318,EOMONTH(DATE(cfg_FY,6,1),0))-MAX($E318,DATE(cfg_FY,6,1))+1))</f>
        <v>0</v>
      </c>
      <c r="AZ318" s="65" t="n">
        <f aca="false">IF(OR(OR($B318="",$E318="",$F318=""),$K318&lt;&gt;"نعم",$M318="نعم"),0,MAX(0,MIN($F318,EOMONTH(DATE(cfg_FY,7,1),0))-MAX($E318,DATE(cfg_FY,7,1))+1))</f>
        <v>0</v>
      </c>
      <c r="BA318" s="65" t="n">
        <f aca="false">IF(OR(OR($B318="",$E318="",$F318=""),$K318&lt;&gt;"نعم",$M318="نعم"),0,MAX(0,MIN($F318,EOMONTH(DATE(cfg_FY,8,1),0))-MAX($E318,DATE(cfg_FY,8,1))+1))</f>
        <v>0</v>
      </c>
      <c r="BB318" s="65" t="n">
        <f aca="false">IF(OR(OR($B318="",$E318="",$F318=""),$K318&lt;&gt;"نعم",$M318="نعم"),0,MAX(0,MIN($F318,EOMONTH(DATE(cfg_FY,9,1),0))-MAX($E318,DATE(cfg_FY,9,1))+1))</f>
        <v>0</v>
      </c>
      <c r="BC318" s="65" t="n">
        <f aca="false">IF(OR(OR($B318="",$E318="",$F318=""),$K318&lt;&gt;"نعم",$M318="نعم"),0,MAX(0,MIN($F318,EOMONTH(DATE(cfg_FY,10,1),0))-MAX($E318,DATE(cfg_FY,10,1))+1))</f>
        <v>0</v>
      </c>
      <c r="BD318" s="65" t="n">
        <f aca="false">IF(OR(OR($B318="",$E318="",$F318=""),$K318&lt;&gt;"نعم",$M318="نعم"),0,MAX(0,MIN($F318,EOMONTH(DATE(cfg_FY,11,1),0))-MAX($E318,DATE(cfg_FY,11,1))+1))</f>
        <v>0</v>
      </c>
      <c r="BE318" s="65" t="n">
        <f aca="false">IF(OR(OR($B318="",$E318="",$F318=""),$K318&lt;&gt;"نعم",$M318="نعم"),0,MAX(0,MIN($F318,EOMONTH(DATE(cfg_FY,12,1),0))-MAX($E318,DATE(cfg_FY,12,1))+1))</f>
        <v>0</v>
      </c>
    </row>
    <row r="319" customFormat="false" ht="15" hidden="false" customHeight="false" outlineLevel="0" collapsed="false">
      <c r="A319" s="115" t="str">
        <f aca="false">IF(B319="","",ROW()-5)</f>
        <v/>
      </c>
      <c r="B319" s="118"/>
      <c r="C319" s="117" t="str">
        <f aca="false">IF(B319="","",IFERROR(INDEX(الموظفون!$C$6:$C$105,MATCH(B319,الموظفون!$B$6:$B$105,0)),"✖ رقم غير موجود"))</f>
        <v/>
      </c>
      <c r="D319" s="118"/>
      <c r="E319" s="119"/>
      <c r="F319" s="119"/>
      <c r="G319" s="133" t="str">
        <f aca="false">IF(OR($B319="",$E319="",$F319=""),"",MAX(0,F319-E319+1))</f>
        <v/>
      </c>
      <c r="H319" s="134" t="str">
        <f aca="false">IF(D319="","",IFERROR(VLOOKUP(D319,cfg_LT,2,FALSE()),1))</f>
        <v/>
      </c>
      <c r="I319" s="135"/>
      <c r="J319" s="134" t="str">
        <f aca="false">IF(D319="","",IF(I319&lt;&gt;"",I319,H319))</f>
        <v/>
      </c>
      <c r="K319" s="117" t="str">
        <f aca="false">IF(D319="","",IFERROR(VLOOKUP($D319,cfg_LT,3,FALSE()),""))</f>
        <v/>
      </c>
      <c r="L319" s="117" t="str">
        <f aca="false">IF(D319="","",IFERROR(VLOOKUP($D319,cfg_LT,4,FALSE()),""))</f>
        <v/>
      </c>
      <c r="M319" s="117" t="str">
        <f aca="false">IF(D319="","",IFERROR(VLOOKUP($D319,cfg_LT,5,FALSE()),""))</f>
        <v/>
      </c>
      <c r="N319" s="116" t="n">
        <f aca="false">IF(OR(OR($B319="",$E319="",$F319=""),M319&lt;&gt;"نعم"),0,G319*J319*IFERROR(INDEX(الموظفون!$R$6:$R$105,MATCH(B319,الموظفون!$B$6:$B$105,0)),0)/cfg_DAYS_M)</f>
        <v>0</v>
      </c>
      <c r="O319" s="115" t="str">
        <f aca="false">IF(OR(OR($B319="",$E319="",$F319=""),M319&lt;&gt;"نعم"),"",IF(YEAR(E319)=cfg_FY,MONTH(E319),""))</f>
        <v/>
      </c>
      <c r="P319" s="117" t="str">
        <f aca="false">IF(B319="","",IF(OR(D319="",E319="",F319=""),"⚠ أكمل النوع والتواريخ",IF(F319&lt;E319,"✖ النهاية قبل البداية",IF(COUNTIFS($B$6:$B$505,B319,$E$6:$E$505,"&lt;="&amp;F319,$F$6:$F$505,"&gt;="&amp;E319)&gt;1,"⚠ تداخل مع سجل آخر",IF(E319&gt;cfg_VAL_DATE,"⏳ قادمة",IF(F319&lt;cfg_VAL_DATE,"✔ منتهية","✈ جارية في تاريخ التقرير"))))))</f>
        <v/>
      </c>
      <c r="Q319" s="118"/>
      <c r="R319" s="133" t="n">
        <f aca="false">IF(OR(OR($B319="",$E319="",$F319=""),L319&lt;&gt;"لا"),0,MAX(0,MIN(F319,cfg_Y_START-1)-E319+1))</f>
        <v>0</v>
      </c>
      <c r="S319" s="133" t="n">
        <f aca="false">IF(OR(OR($B319="",$E319="",$F319=""),L319&lt;&gt;"لا"),0,MAX(0,MIN(F319,cfg_VAL_DATE)-E319+1))</f>
        <v>0</v>
      </c>
      <c r="T319" s="133" t="n">
        <f aca="false">IF(OR(OR($B319="",$E319="",$F319=""),K319&lt;&gt;"نعم"),0,IF(M319="نعم",IF(AND(ISNUMBER(O319),N(O319)&lt;=cfg_VAL_M),G319,0),MAX(0,MIN(F319,cfg_VAL_DATE)-MAX(E319,cfg_Y_START)+1)))</f>
        <v>0</v>
      </c>
      <c r="V319" s="133" t="n">
        <f aca="false">IF(OR($B319="",$E319="",$F319=""),0,MAX(0,MIN($F319,EOMONTH(DATE(cfg_FY,1,1),0))-MAX($E319,DATE(cfg_FY,1,1))+1)*(1-IF($M319="نعم",0,N($J319))))</f>
        <v>0</v>
      </c>
      <c r="W319" s="133" t="n">
        <f aca="false">IF(OR($B319="",$E319="",$F319=""),0,MAX(0,MIN($F319,EOMONTH(DATE(cfg_FY,2,1),0))-MAX($E319,DATE(cfg_FY,2,1))+1)*(1-IF($M319="نعم",0,N($J319))))</f>
        <v>0</v>
      </c>
      <c r="X319" s="133" t="n">
        <f aca="false">IF(OR($B319="",$E319="",$F319=""),0,MAX(0,MIN($F319,EOMONTH(DATE(cfg_FY,3,1),0))-MAX($E319,DATE(cfg_FY,3,1))+1)*(1-IF($M319="نعم",0,N($J319))))</f>
        <v>0</v>
      </c>
      <c r="Y319" s="133" t="n">
        <f aca="false">IF(OR($B319="",$E319="",$F319=""),0,MAX(0,MIN($F319,EOMONTH(DATE(cfg_FY,4,1),0))-MAX($E319,DATE(cfg_FY,4,1))+1)*(1-IF($M319="نعم",0,N($J319))))</f>
        <v>0</v>
      </c>
      <c r="Z319" s="133" t="n">
        <f aca="false">IF(OR($B319="",$E319="",$F319=""),0,MAX(0,MIN($F319,EOMONTH(DATE(cfg_FY,5,1),0))-MAX($E319,DATE(cfg_FY,5,1))+1)*(1-IF($M319="نعم",0,N($J319))))</f>
        <v>0</v>
      </c>
      <c r="AA319" s="133" t="n">
        <f aca="false">IF(OR($B319="",$E319="",$F319=""),0,MAX(0,MIN($F319,EOMONTH(DATE(cfg_FY,6,1),0))-MAX($E319,DATE(cfg_FY,6,1))+1)*(1-IF($M319="نعم",0,N($J319))))</f>
        <v>0</v>
      </c>
      <c r="AB319" s="133" t="n">
        <f aca="false">IF(OR($B319="",$E319="",$F319=""),0,MAX(0,MIN($F319,EOMONTH(DATE(cfg_FY,7,1),0))-MAX($E319,DATE(cfg_FY,7,1))+1)*(1-IF($M319="نعم",0,N($J319))))</f>
        <v>0</v>
      </c>
      <c r="AC319" s="133" t="n">
        <f aca="false">IF(OR($B319="",$E319="",$F319=""),0,MAX(0,MIN($F319,EOMONTH(DATE(cfg_FY,8,1),0))-MAX($E319,DATE(cfg_FY,8,1))+1)*(1-IF($M319="نعم",0,N($J319))))</f>
        <v>0</v>
      </c>
      <c r="AD319" s="133" t="n">
        <f aca="false">IF(OR($B319="",$E319="",$F319=""),0,MAX(0,MIN($F319,EOMONTH(DATE(cfg_FY,9,1),0))-MAX($E319,DATE(cfg_FY,9,1))+1)*(1-IF($M319="نعم",0,N($J319))))</f>
        <v>0</v>
      </c>
      <c r="AE319" s="133" t="n">
        <f aca="false">IF(OR($B319="",$E319="",$F319=""),0,MAX(0,MIN($F319,EOMONTH(DATE(cfg_FY,10,1),0))-MAX($E319,DATE(cfg_FY,10,1))+1)*(1-IF($M319="نعم",0,N($J319))))</f>
        <v>0</v>
      </c>
      <c r="AF319" s="133" t="n">
        <f aca="false">IF(OR($B319="",$E319="",$F319=""),0,MAX(0,MIN($F319,EOMONTH(DATE(cfg_FY,11,1),0))-MAX($E319,DATE(cfg_FY,11,1))+1)*(1-IF($M319="نعم",0,N($J319))))</f>
        <v>0</v>
      </c>
      <c r="AG319" s="133" t="n">
        <f aca="false">IF(OR($B319="",$E319="",$F319=""),0,MAX(0,MIN($F319,EOMONTH(DATE(cfg_FY,12,1),0))-MAX($E319,DATE(cfg_FY,12,1))+1)*(1-IF($M319="نعم",0,N($J319))))</f>
        <v>0</v>
      </c>
      <c r="AH319" s="133" t="n">
        <f aca="false">IF(OR(OR($B319="",$E319="",$F319=""),$L319&lt;&gt;"لا"),0,MAX(0,MIN($F319,EOMONTH(DATE(cfg_FY,1,1),0))-$E319+1))</f>
        <v>0</v>
      </c>
      <c r="AI319" s="133" t="n">
        <f aca="false">IF(OR(OR($B319="",$E319="",$F319=""),$L319&lt;&gt;"لا"),0,MAX(0,MIN($F319,EOMONTH(DATE(cfg_FY,2,1),0))-$E319+1))</f>
        <v>0</v>
      </c>
      <c r="AJ319" s="133" t="n">
        <f aca="false">IF(OR(OR($B319="",$E319="",$F319=""),$L319&lt;&gt;"لا"),0,MAX(0,MIN($F319,EOMONTH(DATE(cfg_FY,3,1),0))-$E319+1))</f>
        <v>0</v>
      </c>
      <c r="AK319" s="133" t="n">
        <f aca="false">IF(OR(OR($B319="",$E319="",$F319=""),$L319&lt;&gt;"لا"),0,MAX(0,MIN($F319,EOMONTH(DATE(cfg_FY,4,1),0))-$E319+1))</f>
        <v>0</v>
      </c>
      <c r="AL319" s="133" t="n">
        <f aca="false">IF(OR(OR($B319="",$E319="",$F319=""),$L319&lt;&gt;"لا"),0,MAX(0,MIN($F319,EOMONTH(DATE(cfg_FY,5,1),0))-$E319+1))</f>
        <v>0</v>
      </c>
      <c r="AM319" s="133" t="n">
        <f aca="false">IF(OR(OR($B319="",$E319="",$F319=""),$L319&lt;&gt;"لا"),0,MAX(0,MIN($F319,EOMONTH(DATE(cfg_FY,6,1),0))-$E319+1))</f>
        <v>0</v>
      </c>
      <c r="AN319" s="133" t="n">
        <f aca="false">IF(OR(OR($B319="",$E319="",$F319=""),$L319&lt;&gt;"لا"),0,MAX(0,MIN($F319,EOMONTH(DATE(cfg_FY,7,1),0))-$E319+1))</f>
        <v>0</v>
      </c>
      <c r="AO319" s="133" t="n">
        <f aca="false">IF(OR(OR($B319="",$E319="",$F319=""),$L319&lt;&gt;"لا"),0,MAX(0,MIN($F319,EOMONTH(DATE(cfg_FY,8,1),0))-$E319+1))</f>
        <v>0</v>
      </c>
      <c r="AP319" s="133" t="n">
        <f aca="false">IF(OR(OR($B319="",$E319="",$F319=""),$L319&lt;&gt;"لا"),0,MAX(0,MIN($F319,EOMONTH(DATE(cfg_FY,9,1),0))-$E319+1))</f>
        <v>0</v>
      </c>
      <c r="AQ319" s="133" t="n">
        <f aca="false">IF(OR(OR($B319="",$E319="",$F319=""),$L319&lt;&gt;"لا"),0,MAX(0,MIN($F319,EOMONTH(DATE(cfg_FY,10,1),0))-$E319+1))</f>
        <v>0</v>
      </c>
      <c r="AR319" s="133" t="n">
        <f aca="false">IF(OR(OR($B319="",$E319="",$F319=""),$L319&lt;&gt;"لا"),0,MAX(0,MIN($F319,EOMONTH(DATE(cfg_FY,11,1),0))-$E319+1))</f>
        <v>0</v>
      </c>
      <c r="AS319" s="133" t="n">
        <f aca="false">IF(OR(OR($B319="",$E319="",$F319=""),$L319&lt;&gt;"لا"),0,MAX(0,MIN($F319,EOMONTH(DATE(cfg_FY,12,1),0))-$E319+1))</f>
        <v>0</v>
      </c>
      <c r="AT319" s="133" t="n">
        <f aca="false">IF(OR(OR($B319="",$E319="",$F319=""),$K319&lt;&gt;"نعم",$M319="نعم"),0,MAX(0,MIN($F319,EOMONTH(DATE(cfg_FY,1,1),0))-MAX($E319,DATE(cfg_FY,1,1))+1))</f>
        <v>0</v>
      </c>
      <c r="AU319" s="133" t="n">
        <f aca="false">IF(OR(OR($B319="",$E319="",$F319=""),$K319&lt;&gt;"نعم",$M319="نعم"),0,MAX(0,MIN($F319,EOMONTH(DATE(cfg_FY,2,1),0))-MAX($E319,DATE(cfg_FY,2,1))+1))</f>
        <v>0</v>
      </c>
      <c r="AV319" s="133" t="n">
        <f aca="false">IF(OR(OR($B319="",$E319="",$F319=""),$K319&lt;&gt;"نعم",$M319="نعم"),0,MAX(0,MIN($F319,EOMONTH(DATE(cfg_FY,3,1),0))-MAX($E319,DATE(cfg_FY,3,1))+1))</f>
        <v>0</v>
      </c>
      <c r="AW319" s="133" t="n">
        <f aca="false">IF(OR(OR($B319="",$E319="",$F319=""),$K319&lt;&gt;"نعم",$M319="نعم"),0,MAX(0,MIN($F319,EOMONTH(DATE(cfg_FY,4,1),0))-MAX($E319,DATE(cfg_FY,4,1))+1))</f>
        <v>0</v>
      </c>
      <c r="AX319" s="133" t="n">
        <f aca="false">IF(OR(OR($B319="",$E319="",$F319=""),$K319&lt;&gt;"نعم",$M319="نعم"),0,MAX(0,MIN($F319,EOMONTH(DATE(cfg_FY,5,1),0))-MAX($E319,DATE(cfg_FY,5,1))+1))</f>
        <v>0</v>
      </c>
      <c r="AY319" s="133" t="n">
        <f aca="false">IF(OR(OR($B319="",$E319="",$F319=""),$K319&lt;&gt;"نعم",$M319="نعم"),0,MAX(0,MIN($F319,EOMONTH(DATE(cfg_FY,6,1),0))-MAX($E319,DATE(cfg_FY,6,1))+1))</f>
        <v>0</v>
      </c>
      <c r="AZ319" s="133" t="n">
        <f aca="false">IF(OR(OR($B319="",$E319="",$F319=""),$K319&lt;&gt;"نعم",$M319="نعم"),0,MAX(0,MIN($F319,EOMONTH(DATE(cfg_FY,7,1),0))-MAX($E319,DATE(cfg_FY,7,1))+1))</f>
        <v>0</v>
      </c>
      <c r="BA319" s="133" t="n">
        <f aca="false">IF(OR(OR($B319="",$E319="",$F319=""),$K319&lt;&gt;"نعم",$M319="نعم"),0,MAX(0,MIN($F319,EOMONTH(DATE(cfg_FY,8,1),0))-MAX($E319,DATE(cfg_FY,8,1))+1))</f>
        <v>0</v>
      </c>
      <c r="BB319" s="133" t="n">
        <f aca="false">IF(OR(OR($B319="",$E319="",$F319=""),$K319&lt;&gt;"نعم",$M319="نعم"),0,MAX(0,MIN($F319,EOMONTH(DATE(cfg_FY,9,1),0))-MAX($E319,DATE(cfg_FY,9,1))+1))</f>
        <v>0</v>
      </c>
      <c r="BC319" s="133" t="n">
        <f aca="false">IF(OR(OR($B319="",$E319="",$F319=""),$K319&lt;&gt;"نعم",$M319="نعم"),0,MAX(0,MIN($F319,EOMONTH(DATE(cfg_FY,10,1),0))-MAX($E319,DATE(cfg_FY,10,1))+1))</f>
        <v>0</v>
      </c>
      <c r="BD319" s="133" t="n">
        <f aca="false">IF(OR(OR($B319="",$E319="",$F319=""),$K319&lt;&gt;"نعم",$M319="نعم"),0,MAX(0,MIN($F319,EOMONTH(DATE(cfg_FY,11,1),0))-MAX($E319,DATE(cfg_FY,11,1))+1))</f>
        <v>0</v>
      </c>
      <c r="BE319" s="133" t="n">
        <f aca="false">IF(OR(OR($B319="",$E319="",$F319=""),$K319&lt;&gt;"نعم",$M319="نعم"),0,MAX(0,MIN($F319,EOMONTH(DATE(cfg_FY,12,1),0))-MAX($E319,DATE(cfg_FY,12,1))+1))</f>
        <v>0</v>
      </c>
    </row>
    <row r="320" customFormat="false" ht="15" hidden="false" customHeight="false" outlineLevel="0" collapsed="false">
      <c r="A320" s="106" t="str">
        <f aca="false">IF(B320="","",ROW()-5)</f>
        <v/>
      </c>
      <c r="B320" s="118"/>
      <c r="C320" s="114" t="str">
        <f aca="false">IF(B320="","",IFERROR(INDEX(الموظفون!$C$6:$C$105,MATCH(B320,الموظفون!$B$6:$B$105,0)),"✖ رقم غير موجود"))</f>
        <v/>
      </c>
      <c r="D320" s="118"/>
      <c r="E320" s="119"/>
      <c r="F320" s="119"/>
      <c r="G320" s="65" t="str">
        <f aca="false">IF(OR($B320="",$E320="",$F320=""),"",MAX(0,F320-E320+1))</f>
        <v/>
      </c>
      <c r="H320" s="66" t="str">
        <f aca="false">IF(D320="","",IFERROR(VLOOKUP(D320,cfg_LT,2,FALSE()),1))</f>
        <v/>
      </c>
      <c r="I320" s="135"/>
      <c r="J320" s="66" t="str">
        <f aca="false">IF(D320="","",IF(I320&lt;&gt;"",I320,H320))</f>
        <v/>
      </c>
      <c r="K320" s="114" t="str">
        <f aca="false">IF(D320="","",IFERROR(VLOOKUP($D320,cfg_LT,3,FALSE()),""))</f>
        <v/>
      </c>
      <c r="L320" s="114" t="str">
        <f aca="false">IF(D320="","",IFERROR(VLOOKUP($D320,cfg_LT,4,FALSE()),""))</f>
        <v/>
      </c>
      <c r="M320" s="114" t="str">
        <f aca="false">IF(D320="","",IFERROR(VLOOKUP($D320,cfg_LT,5,FALSE()),""))</f>
        <v/>
      </c>
      <c r="N320" s="111" t="n">
        <f aca="false">IF(OR(OR($B320="",$E320="",$F320=""),M320&lt;&gt;"نعم"),0,G320*J320*IFERROR(INDEX(الموظفون!$R$6:$R$105,MATCH(B320,الموظفون!$B$6:$B$105,0)),0)/cfg_DAYS_M)</f>
        <v>0</v>
      </c>
      <c r="O320" s="106" t="str">
        <f aca="false">IF(OR(OR($B320="",$E320="",$F320=""),M320&lt;&gt;"نعم"),"",IF(YEAR(E320)=cfg_FY,MONTH(E320),""))</f>
        <v/>
      </c>
      <c r="P320" s="114" t="str">
        <f aca="false">IF(B320="","",IF(OR(D320="",E320="",F320=""),"⚠ أكمل النوع والتواريخ",IF(F320&lt;E320,"✖ النهاية قبل البداية",IF(COUNTIFS($B$6:$B$505,B320,$E$6:$E$505,"&lt;="&amp;F320,$F$6:$F$505,"&gt;="&amp;E320)&gt;1,"⚠ تداخل مع سجل آخر",IF(E320&gt;cfg_VAL_DATE,"⏳ قادمة",IF(F320&lt;cfg_VAL_DATE,"✔ منتهية","✈ جارية في تاريخ التقرير"))))))</f>
        <v/>
      </c>
      <c r="Q320" s="118"/>
      <c r="R320" s="65" t="n">
        <f aca="false">IF(OR(OR($B320="",$E320="",$F320=""),L320&lt;&gt;"لا"),0,MAX(0,MIN(F320,cfg_Y_START-1)-E320+1))</f>
        <v>0</v>
      </c>
      <c r="S320" s="65" t="n">
        <f aca="false">IF(OR(OR($B320="",$E320="",$F320=""),L320&lt;&gt;"لا"),0,MAX(0,MIN(F320,cfg_VAL_DATE)-E320+1))</f>
        <v>0</v>
      </c>
      <c r="T320" s="65" t="n">
        <f aca="false">IF(OR(OR($B320="",$E320="",$F320=""),K320&lt;&gt;"نعم"),0,IF(M320="نعم",IF(AND(ISNUMBER(O320),N(O320)&lt;=cfg_VAL_M),G320,0),MAX(0,MIN(F320,cfg_VAL_DATE)-MAX(E320,cfg_Y_START)+1)))</f>
        <v>0</v>
      </c>
      <c r="V320" s="65" t="n">
        <f aca="false">IF(OR($B320="",$E320="",$F320=""),0,MAX(0,MIN($F320,EOMONTH(DATE(cfg_FY,1,1),0))-MAX($E320,DATE(cfg_FY,1,1))+1)*(1-IF($M320="نعم",0,N($J320))))</f>
        <v>0</v>
      </c>
      <c r="W320" s="65" t="n">
        <f aca="false">IF(OR($B320="",$E320="",$F320=""),0,MAX(0,MIN($F320,EOMONTH(DATE(cfg_FY,2,1),0))-MAX($E320,DATE(cfg_FY,2,1))+1)*(1-IF($M320="نعم",0,N($J320))))</f>
        <v>0</v>
      </c>
      <c r="X320" s="65" t="n">
        <f aca="false">IF(OR($B320="",$E320="",$F320=""),0,MAX(0,MIN($F320,EOMONTH(DATE(cfg_FY,3,1),0))-MAX($E320,DATE(cfg_FY,3,1))+1)*(1-IF($M320="نعم",0,N($J320))))</f>
        <v>0</v>
      </c>
      <c r="Y320" s="65" t="n">
        <f aca="false">IF(OR($B320="",$E320="",$F320=""),0,MAX(0,MIN($F320,EOMONTH(DATE(cfg_FY,4,1),0))-MAX($E320,DATE(cfg_FY,4,1))+1)*(1-IF($M320="نعم",0,N($J320))))</f>
        <v>0</v>
      </c>
      <c r="Z320" s="65" t="n">
        <f aca="false">IF(OR($B320="",$E320="",$F320=""),0,MAX(0,MIN($F320,EOMONTH(DATE(cfg_FY,5,1),0))-MAX($E320,DATE(cfg_FY,5,1))+1)*(1-IF($M320="نعم",0,N($J320))))</f>
        <v>0</v>
      </c>
      <c r="AA320" s="65" t="n">
        <f aca="false">IF(OR($B320="",$E320="",$F320=""),0,MAX(0,MIN($F320,EOMONTH(DATE(cfg_FY,6,1),0))-MAX($E320,DATE(cfg_FY,6,1))+1)*(1-IF($M320="نعم",0,N($J320))))</f>
        <v>0</v>
      </c>
      <c r="AB320" s="65" t="n">
        <f aca="false">IF(OR($B320="",$E320="",$F320=""),0,MAX(0,MIN($F320,EOMONTH(DATE(cfg_FY,7,1),0))-MAX($E320,DATE(cfg_FY,7,1))+1)*(1-IF($M320="نعم",0,N($J320))))</f>
        <v>0</v>
      </c>
      <c r="AC320" s="65" t="n">
        <f aca="false">IF(OR($B320="",$E320="",$F320=""),0,MAX(0,MIN($F320,EOMONTH(DATE(cfg_FY,8,1),0))-MAX($E320,DATE(cfg_FY,8,1))+1)*(1-IF($M320="نعم",0,N($J320))))</f>
        <v>0</v>
      </c>
      <c r="AD320" s="65" t="n">
        <f aca="false">IF(OR($B320="",$E320="",$F320=""),0,MAX(0,MIN($F320,EOMONTH(DATE(cfg_FY,9,1),0))-MAX($E320,DATE(cfg_FY,9,1))+1)*(1-IF($M320="نعم",0,N($J320))))</f>
        <v>0</v>
      </c>
      <c r="AE320" s="65" t="n">
        <f aca="false">IF(OR($B320="",$E320="",$F320=""),0,MAX(0,MIN($F320,EOMONTH(DATE(cfg_FY,10,1),0))-MAX($E320,DATE(cfg_FY,10,1))+1)*(1-IF($M320="نعم",0,N($J320))))</f>
        <v>0</v>
      </c>
      <c r="AF320" s="65" t="n">
        <f aca="false">IF(OR($B320="",$E320="",$F320=""),0,MAX(0,MIN($F320,EOMONTH(DATE(cfg_FY,11,1),0))-MAX($E320,DATE(cfg_FY,11,1))+1)*(1-IF($M320="نعم",0,N($J320))))</f>
        <v>0</v>
      </c>
      <c r="AG320" s="65" t="n">
        <f aca="false">IF(OR($B320="",$E320="",$F320=""),0,MAX(0,MIN($F320,EOMONTH(DATE(cfg_FY,12,1),0))-MAX($E320,DATE(cfg_FY,12,1))+1)*(1-IF($M320="نعم",0,N($J320))))</f>
        <v>0</v>
      </c>
      <c r="AH320" s="65" t="n">
        <f aca="false">IF(OR(OR($B320="",$E320="",$F320=""),$L320&lt;&gt;"لا"),0,MAX(0,MIN($F320,EOMONTH(DATE(cfg_FY,1,1),0))-$E320+1))</f>
        <v>0</v>
      </c>
      <c r="AI320" s="65" t="n">
        <f aca="false">IF(OR(OR($B320="",$E320="",$F320=""),$L320&lt;&gt;"لا"),0,MAX(0,MIN($F320,EOMONTH(DATE(cfg_FY,2,1),0))-$E320+1))</f>
        <v>0</v>
      </c>
      <c r="AJ320" s="65" t="n">
        <f aca="false">IF(OR(OR($B320="",$E320="",$F320=""),$L320&lt;&gt;"لا"),0,MAX(0,MIN($F320,EOMONTH(DATE(cfg_FY,3,1),0))-$E320+1))</f>
        <v>0</v>
      </c>
      <c r="AK320" s="65" t="n">
        <f aca="false">IF(OR(OR($B320="",$E320="",$F320=""),$L320&lt;&gt;"لا"),0,MAX(0,MIN($F320,EOMONTH(DATE(cfg_FY,4,1),0))-$E320+1))</f>
        <v>0</v>
      </c>
      <c r="AL320" s="65" t="n">
        <f aca="false">IF(OR(OR($B320="",$E320="",$F320=""),$L320&lt;&gt;"لا"),0,MAX(0,MIN($F320,EOMONTH(DATE(cfg_FY,5,1),0))-$E320+1))</f>
        <v>0</v>
      </c>
      <c r="AM320" s="65" t="n">
        <f aca="false">IF(OR(OR($B320="",$E320="",$F320=""),$L320&lt;&gt;"لا"),0,MAX(0,MIN($F320,EOMONTH(DATE(cfg_FY,6,1),0))-$E320+1))</f>
        <v>0</v>
      </c>
      <c r="AN320" s="65" t="n">
        <f aca="false">IF(OR(OR($B320="",$E320="",$F320=""),$L320&lt;&gt;"لا"),0,MAX(0,MIN($F320,EOMONTH(DATE(cfg_FY,7,1),0))-$E320+1))</f>
        <v>0</v>
      </c>
      <c r="AO320" s="65" t="n">
        <f aca="false">IF(OR(OR($B320="",$E320="",$F320=""),$L320&lt;&gt;"لا"),0,MAX(0,MIN($F320,EOMONTH(DATE(cfg_FY,8,1),0))-$E320+1))</f>
        <v>0</v>
      </c>
      <c r="AP320" s="65" t="n">
        <f aca="false">IF(OR(OR($B320="",$E320="",$F320=""),$L320&lt;&gt;"لا"),0,MAX(0,MIN($F320,EOMONTH(DATE(cfg_FY,9,1),0))-$E320+1))</f>
        <v>0</v>
      </c>
      <c r="AQ320" s="65" t="n">
        <f aca="false">IF(OR(OR($B320="",$E320="",$F320=""),$L320&lt;&gt;"لا"),0,MAX(0,MIN($F320,EOMONTH(DATE(cfg_FY,10,1),0))-$E320+1))</f>
        <v>0</v>
      </c>
      <c r="AR320" s="65" t="n">
        <f aca="false">IF(OR(OR($B320="",$E320="",$F320=""),$L320&lt;&gt;"لا"),0,MAX(0,MIN($F320,EOMONTH(DATE(cfg_FY,11,1),0))-$E320+1))</f>
        <v>0</v>
      </c>
      <c r="AS320" s="65" t="n">
        <f aca="false">IF(OR(OR($B320="",$E320="",$F320=""),$L320&lt;&gt;"لا"),0,MAX(0,MIN($F320,EOMONTH(DATE(cfg_FY,12,1),0))-$E320+1))</f>
        <v>0</v>
      </c>
      <c r="AT320" s="65" t="n">
        <f aca="false">IF(OR(OR($B320="",$E320="",$F320=""),$K320&lt;&gt;"نعم",$M320="نعم"),0,MAX(0,MIN($F320,EOMONTH(DATE(cfg_FY,1,1),0))-MAX($E320,DATE(cfg_FY,1,1))+1))</f>
        <v>0</v>
      </c>
      <c r="AU320" s="65" t="n">
        <f aca="false">IF(OR(OR($B320="",$E320="",$F320=""),$K320&lt;&gt;"نعم",$M320="نعم"),0,MAX(0,MIN($F320,EOMONTH(DATE(cfg_FY,2,1),0))-MAX($E320,DATE(cfg_FY,2,1))+1))</f>
        <v>0</v>
      </c>
      <c r="AV320" s="65" t="n">
        <f aca="false">IF(OR(OR($B320="",$E320="",$F320=""),$K320&lt;&gt;"نعم",$M320="نعم"),0,MAX(0,MIN($F320,EOMONTH(DATE(cfg_FY,3,1),0))-MAX($E320,DATE(cfg_FY,3,1))+1))</f>
        <v>0</v>
      </c>
      <c r="AW320" s="65" t="n">
        <f aca="false">IF(OR(OR($B320="",$E320="",$F320=""),$K320&lt;&gt;"نعم",$M320="نعم"),0,MAX(0,MIN($F320,EOMONTH(DATE(cfg_FY,4,1),0))-MAX($E320,DATE(cfg_FY,4,1))+1))</f>
        <v>0</v>
      </c>
      <c r="AX320" s="65" t="n">
        <f aca="false">IF(OR(OR($B320="",$E320="",$F320=""),$K320&lt;&gt;"نعم",$M320="نعم"),0,MAX(0,MIN($F320,EOMONTH(DATE(cfg_FY,5,1),0))-MAX($E320,DATE(cfg_FY,5,1))+1))</f>
        <v>0</v>
      </c>
      <c r="AY320" s="65" t="n">
        <f aca="false">IF(OR(OR($B320="",$E320="",$F320=""),$K320&lt;&gt;"نعم",$M320="نعم"),0,MAX(0,MIN($F320,EOMONTH(DATE(cfg_FY,6,1),0))-MAX($E320,DATE(cfg_FY,6,1))+1))</f>
        <v>0</v>
      </c>
      <c r="AZ320" s="65" t="n">
        <f aca="false">IF(OR(OR($B320="",$E320="",$F320=""),$K320&lt;&gt;"نعم",$M320="نعم"),0,MAX(0,MIN($F320,EOMONTH(DATE(cfg_FY,7,1),0))-MAX($E320,DATE(cfg_FY,7,1))+1))</f>
        <v>0</v>
      </c>
      <c r="BA320" s="65" t="n">
        <f aca="false">IF(OR(OR($B320="",$E320="",$F320=""),$K320&lt;&gt;"نعم",$M320="نعم"),0,MAX(0,MIN($F320,EOMONTH(DATE(cfg_FY,8,1),0))-MAX($E320,DATE(cfg_FY,8,1))+1))</f>
        <v>0</v>
      </c>
      <c r="BB320" s="65" t="n">
        <f aca="false">IF(OR(OR($B320="",$E320="",$F320=""),$K320&lt;&gt;"نعم",$M320="نعم"),0,MAX(0,MIN($F320,EOMONTH(DATE(cfg_FY,9,1),0))-MAX($E320,DATE(cfg_FY,9,1))+1))</f>
        <v>0</v>
      </c>
      <c r="BC320" s="65" t="n">
        <f aca="false">IF(OR(OR($B320="",$E320="",$F320=""),$K320&lt;&gt;"نعم",$M320="نعم"),0,MAX(0,MIN($F320,EOMONTH(DATE(cfg_FY,10,1),0))-MAX($E320,DATE(cfg_FY,10,1))+1))</f>
        <v>0</v>
      </c>
      <c r="BD320" s="65" t="n">
        <f aca="false">IF(OR(OR($B320="",$E320="",$F320=""),$K320&lt;&gt;"نعم",$M320="نعم"),0,MAX(0,MIN($F320,EOMONTH(DATE(cfg_FY,11,1),0))-MAX($E320,DATE(cfg_FY,11,1))+1))</f>
        <v>0</v>
      </c>
      <c r="BE320" s="65" t="n">
        <f aca="false">IF(OR(OR($B320="",$E320="",$F320=""),$K320&lt;&gt;"نعم",$M320="نعم"),0,MAX(0,MIN($F320,EOMONTH(DATE(cfg_FY,12,1),0))-MAX($E320,DATE(cfg_FY,12,1))+1))</f>
        <v>0</v>
      </c>
    </row>
    <row r="321" customFormat="false" ht="15" hidden="false" customHeight="false" outlineLevel="0" collapsed="false">
      <c r="A321" s="115" t="str">
        <f aca="false">IF(B321="","",ROW()-5)</f>
        <v/>
      </c>
      <c r="B321" s="118"/>
      <c r="C321" s="117" t="str">
        <f aca="false">IF(B321="","",IFERROR(INDEX(الموظفون!$C$6:$C$105,MATCH(B321,الموظفون!$B$6:$B$105,0)),"✖ رقم غير موجود"))</f>
        <v/>
      </c>
      <c r="D321" s="118"/>
      <c r="E321" s="119"/>
      <c r="F321" s="119"/>
      <c r="G321" s="133" t="str">
        <f aca="false">IF(OR($B321="",$E321="",$F321=""),"",MAX(0,F321-E321+1))</f>
        <v/>
      </c>
      <c r="H321" s="134" t="str">
        <f aca="false">IF(D321="","",IFERROR(VLOOKUP(D321,cfg_LT,2,FALSE()),1))</f>
        <v/>
      </c>
      <c r="I321" s="135"/>
      <c r="J321" s="134" t="str">
        <f aca="false">IF(D321="","",IF(I321&lt;&gt;"",I321,H321))</f>
        <v/>
      </c>
      <c r="K321" s="117" t="str">
        <f aca="false">IF(D321="","",IFERROR(VLOOKUP($D321,cfg_LT,3,FALSE()),""))</f>
        <v/>
      </c>
      <c r="L321" s="117" t="str">
        <f aca="false">IF(D321="","",IFERROR(VLOOKUP($D321,cfg_LT,4,FALSE()),""))</f>
        <v/>
      </c>
      <c r="M321" s="117" t="str">
        <f aca="false">IF(D321="","",IFERROR(VLOOKUP($D321,cfg_LT,5,FALSE()),""))</f>
        <v/>
      </c>
      <c r="N321" s="116" t="n">
        <f aca="false">IF(OR(OR($B321="",$E321="",$F321=""),M321&lt;&gt;"نعم"),0,G321*J321*IFERROR(INDEX(الموظفون!$R$6:$R$105,MATCH(B321,الموظفون!$B$6:$B$105,0)),0)/cfg_DAYS_M)</f>
        <v>0</v>
      </c>
      <c r="O321" s="115" t="str">
        <f aca="false">IF(OR(OR($B321="",$E321="",$F321=""),M321&lt;&gt;"نعم"),"",IF(YEAR(E321)=cfg_FY,MONTH(E321),""))</f>
        <v/>
      </c>
      <c r="P321" s="117" t="str">
        <f aca="false">IF(B321="","",IF(OR(D321="",E321="",F321=""),"⚠ أكمل النوع والتواريخ",IF(F321&lt;E321,"✖ النهاية قبل البداية",IF(COUNTIFS($B$6:$B$505,B321,$E$6:$E$505,"&lt;="&amp;F321,$F$6:$F$505,"&gt;="&amp;E321)&gt;1,"⚠ تداخل مع سجل آخر",IF(E321&gt;cfg_VAL_DATE,"⏳ قادمة",IF(F321&lt;cfg_VAL_DATE,"✔ منتهية","✈ جارية في تاريخ التقرير"))))))</f>
        <v/>
      </c>
      <c r="Q321" s="118"/>
      <c r="R321" s="133" t="n">
        <f aca="false">IF(OR(OR($B321="",$E321="",$F321=""),L321&lt;&gt;"لا"),0,MAX(0,MIN(F321,cfg_Y_START-1)-E321+1))</f>
        <v>0</v>
      </c>
      <c r="S321" s="133" t="n">
        <f aca="false">IF(OR(OR($B321="",$E321="",$F321=""),L321&lt;&gt;"لا"),0,MAX(0,MIN(F321,cfg_VAL_DATE)-E321+1))</f>
        <v>0</v>
      </c>
      <c r="T321" s="133" t="n">
        <f aca="false">IF(OR(OR($B321="",$E321="",$F321=""),K321&lt;&gt;"نعم"),0,IF(M321="نعم",IF(AND(ISNUMBER(O321),N(O321)&lt;=cfg_VAL_M),G321,0),MAX(0,MIN(F321,cfg_VAL_DATE)-MAX(E321,cfg_Y_START)+1)))</f>
        <v>0</v>
      </c>
      <c r="V321" s="133" t="n">
        <f aca="false">IF(OR($B321="",$E321="",$F321=""),0,MAX(0,MIN($F321,EOMONTH(DATE(cfg_FY,1,1),0))-MAX($E321,DATE(cfg_FY,1,1))+1)*(1-IF($M321="نعم",0,N($J321))))</f>
        <v>0</v>
      </c>
      <c r="W321" s="133" t="n">
        <f aca="false">IF(OR($B321="",$E321="",$F321=""),0,MAX(0,MIN($F321,EOMONTH(DATE(cfg_FY,2,1),0))-MAX($E321,DATE(cfg_FY,2,1))+1)*(1-IF($M321="نعم",0,N($J321))))</f>
        <v>0</v>
      </c>
      <c r="X321" s="133" t="n">
        <f aca="false">IF(OR($B321="",$E321="",$F321=""),0,MAX(0,MIN($F321,EOMONTH(DATE(cfg_FY,3,1),0))-MAX($E321,DATE(cfg_FY,3,1))+1)*(1-IF($M321="نعم",0,N($J321))))</f>
        <v>0</v>
      </c>
      <c r="Y321" s="133" t="n">
        <f aca="false">IF(OR($B321="",$E321="",$F321=""),0,MAX(0,MIN($F321,EOMONTH(DATE(cfg_FY,4,1),0))-MAX($E321,DATE(cfg_FY,4,1))+1)*(1-IF($M321="نعم",0,N($J321))))</f>
        <v>0</v>
      </c>
      <c r="Z321" s="133" t="n">
        <f aca="false">IF(OR($B321="",$E321="",$F321=""),0,MAX(0,MIN($F321,EOMONTH(DATE(cfg_FY,5,1),0))-MAX($E321,DATE(cfg_FY,5,1))+1)*(1-IF($M321="نعم",0,N($J321))))</f>
        <v>0</v>
      </c>
      <c r="AA321" s="133" t="n">
        <f aca="false">IF(OR($B321="",$E321="",$F321=""),0,MAX(0,MIN($F321,EOMONTH(DATE(cfg_FY,6,1),0))-MAX($E321,DATE(cfg_FY,6,1))+1)*(1-IF($M321="نعم",0,N($J321))))</f>
        <v>0</v>
      </c>
      <c r="AB321" s="133" t="n">
        <f aca="false">IF(OR($B321="",$E321="",$F321=""),0,MAX(0,MIN($F321,EOMONTH(DATE(cfg_FY,7,1),0))-MAX($E321,DATE(cfg_FY,7,1))+1)*(1-IF($M321="نعم",0,N($J321))))</f>
        <v>0</v>
      </c>
      <c r="AC321" s="133" t="n">
        <f aca="false">IF(OR($B321="",$E321="",$F321=""),0,MAX(0,MIN($F321,EOMONTH(DATE(cfg_FY,8,1),0))-MAX($E321,DATE(cfg_FY,8,1))+1)*(1-IF($M321="نعم",0,N($J321))))</f>
        <v>0</v>
      </c>
      <c r="AD321" s="133" t="n">
        <f aca="false">IF(OR($B321="",$E321="",$F321=""),0,MAX(0,MIN($F321,EOMONTH(DATE(cfg_FY,9,1),0))-MAX($E321,DATE(cfg_FY,9,1))+1)*(1-IF($M321="نعم",0,N($J321))))</f>
        <v>0</v>
      </c>
      <c r="AE321" s="133" t="n">
        <f aca="false">IF(OR($B321="",$E321="",$F321=""),0,MAX(0,MIN($F321,EOMONTH(DATE(cfg_FY,10,1),0))-MAX($E321,DATE(cfg_FY,10,1))+1)*(1-IF($M321="نعم",0,N($J321))))</f>
        <v>0</v>
      </c>
      <c r="AF321" s="133" t="n">
        <f aca="false">IF(OR($B321="",$E321="",$F321=""),0,MAX(0,MIN($F321,EOMONTH(DATE(cfg_FY,11,1),0))-MAX($E321,DATE(cfg_FY,11,1))+1)*(1-IF($M321="نعم",0,N($J321))))</f>
        <v>0</v>
      </c>
      <c r="AG321" s="133" t="n">
        <f aca="false">IF(OR($B321="",$E321="",$F321=""),0,MAX(0,MIN($F321,EOMONTH(DATE(cfg_FY,12,1),0))-MAX($E321,DATE(cfg_FY,12,1))+1)*(1-IF($M321="نعم",0,N($J321))))</f>
        <v>0</v>
      </c>
      <c r="AH321" s="133" t="n">
        <f aca="false">IF(OR(OR($B321="",$E321="",$F321=""),$L321&lt;&gt;"لا"),0,MAX(0,MIN($F321,EOMONTH(DATE(cfg_FY,1,1),0))-$E321+1))</f>
        <v>0</v>
      </c>
      <c r="AI321" s="133" t="n">
        <f aca="false">IF(OR(OR($B321="",$E321="",$F321=""),$L321&lt;&gt;"لا"),0,MAX(0,MIN($F321,EOMONTH(DATE(cfg_FY,2,1),0))-$E321+1))</f>
        <v>0</v>
      </c>
      <c r="AJ321" s="133" t="n">
        <f aca="false">IF(OR(OR($B321="",$E321="",$F321=""),$L321&lt;&gt;"لا"),0,MAX(0,MIN($F321,EOMONTH(DATE(cfg_FY,3,1),0))-$E321+1))</f>
        <v>0</v>
      </c>
      <c r="AK321" s="133" t="n">
        <f aca="false">IF(OR(OR($B321="",$E321="",$F321=""),$L321&lt;&gt;"لا"),0,MAX(0,MIN($F321,EOMONTH(DATE(cfg_FY,4,1),0))-$E321+1))</f>
        <v>0</v>
      </c>
      <c r="AL321" s="133" t="n">
        <f aca="false">IF(OR(OR($B321="",$E321="",$F321=""),$L321&lt;&gt;"لا"),0,MAX(0,MIN($F321,EOMONTH(DATE(cfg_FY,5,1),0))-$E321+1))</f>
        <v>0</v>
      </c>
      <c r="AM321" s="133" t="n">
        <f aca="false">IF(OR(OR($B321="",$E321="",$F321=""),$L321&lt;&gt;"لا"),0,MAX(0,MIN($F321,EOMONTH(DATE(cfg_FY,6,1),0))-$E321+1))</f>
        <v>0</v>
      </c>
      <c r="AN321" s="133" t="n">
        <f aca="false">IF(OR(OR($B321="",$E321="",$F321=""),$L321&lt;&gt;"لا"),0,MAX(0,MIN($F321,EOMONTH(DATE(cfg_FY,7,1),0))-$E321+1))</f>
        <v>0</v>
      </c>
      <c r="AO321" s="133" t="n">
        <f aca="false">IF(OR(OR($B321="",$E321="",$F321=""),$L321&lt;&gt;"لا"),0,MAX(0,MIN($F321,EOMONTH(DATE(cfg_FY,8,1),0))-$E321+1))</f>
        <v>0</v>
      </c>
      <c r="AP321" s="133" t="n">
        <f aca="false">IF(OR(OR($B321="",$E321="",$F321=""),$L321&lt;&gt;"لا"),0,MAX(0,MIN($F321,EOMONTH(DATE(cfg_FY,9,1),0))-$E321+1))</f>
        <v>0</v>
      </c>
      <c r="AQ321" s="133" t="n">
        <f aca="false">IF(OR(OR($B321="",$E321="",$F321=""),$L321&lt;&gt;"لا"),0,MAX(0,MIN($F321,EOMONTH(DATE(cfg_FY,10,1),0))-$E321+1))</f>
        <v>0</v>
      </c>
      <c r="AR321" s="133" t="n">
        <f aca="false">IF(OR(OR($B321="",$E321="",$F321=""),$L321&lt;&gt;"لا"),0,MAX(0,MIN($F321,EOMONTH(DATE(cfg_FY,11,1),0))-$E321+1))</f>
        <v>0</v>
      </c>
      <c r="AS321" s="133" t="n">
        <f aca="false">IF(OR(OR($B321="",$E321="",$F321=""),$L321&lt;&gt;"لا"),0,MAX(0,MIN($F321,EOMONTH(DATE(cfg_FY,12,1),0))-$E321+1))</f>
        <v>0</v>
      </c>
      <c r="AT321" s="133" t="n">
        <f aca="false">IF(OR(OR($B321="",$E321="",$F321=""),$K321&lt;&gt;"نعم",$M321="نعم"),0,MAX(0,MIN($F321,EOMONTH(DATE(cfg_FY,1,1),0))-MAX($E321,DATE(cfg_FY,1,1))+1))</f>
        <v>0</v>
      </c>
      <c r="AU321" s="133" t="n">
        <f aca="false">IF(OR(OR($B321="",$E321="",$F321=""),$K321&lt;&gt;"نعم",$M321="نعم"),0,MAX(0,MIN($F321,EOMONTH(DATE(cfg_FY,2,1),0))-MAX($E321,DATE(cfg_FY,2,1))+1))</f>
        <v>0</v>
      </c>
      <c r="AV321" s="133" t="n">
        <f aca="false">IF(OR(OR($B321="",$E321="",$F321=""),$K321&lt;&gt;"نعم",$M321="نعم"),0,MAX(0,MIN($F321,EOMONTH(DATE(cfg_FY,3,1),0))-MAX($E321,DATE(cfg_FY,3,1))+1))</f>
        <v>0</v>
      </c>
      <c r="AW321" s="133" t="n">
        <f aca="false">IF(OR(OR($B321="",$E321="",$F321=""),$K321&lt;&gt;"نعم",$M321="نعم"),0,MAX(0,MIN($F321,EOMONTH(DATE(cfg_FY,4,1),0))-MAX($E321,DATE(cfg_FY,4,1))+1))</f>
        <v>0</v>
      </c>
      <c r="AX321" s="133" t="n">
        <f aca="false">IF(OR(OR($B321="",$E321="",$F321=""),$K321&lt;&gt;"نعم",$M321="نعم"),0,MAX(0,MIN($F321,EOMONTH(DATE(cfg_FY,5,1),0))-MAX($E321,DATE(cfg_FY,5,1))+1))</f>
        <v>0</v>
      </c>
      <c r="AY321" s="133" t="n">
        <f aca="false">IF(OR(OR($B321="",$E321="",$F321=""),$K321&lt;&gt;"نعم",$M321="نعم"),0,MAX(0,MIN($F321,EOMONTH(DATE(cfg_FY,6,1),0))-MAX($E321,DATE(cfg_FY,6,1))+1))</f>
        <v>0</v>
      </c>
      <c r="AZ321" s="133" t="n">
        <f aca="false">IF(OR(OR($B321="",$E321="",$F321=""),$K321&lt;&gt;"نعم",$M321="نعم"),0,MAX(0,MIN($F321,EOMONTH(DATE(cfg_FY,7,1),0))-MAX($E321,DATE(cfg_FY,7,1))+1))</f>
        <v>0</v>
      </c>
      <c r="BA321" s="133" t="n">
        <f aca="false">IF(OR(OR($B321="",$E321="",$F321=""),$K321&lt;&gt;"نعم",$M321="نعم"),0,MAX(0,MIN($F321,EOMONTH(DATE(cfg_FY,8,1),0))-MAX($E321,DATE(cfg_FY,8,1))+1))</f>
        <v>0</v>
      </c>
      <c r="BB321" s="133" t="n">
        <f aca="false">IF(OR(OR($B321="",$E321="",$F321=""),$K321&lt;&gt;"نعم",$M321="نعم"),0,MAX(0,MIN($F321,EOMONTH(DATE(cfg_FY,9,1),0))-MAX($E321,DATE(cfg_FY,9,1))+1))</f>
        <v>0</v>
      </c>
      <c r="BC321" s="133" t="n">
        <f aca="false">IF(OR(OR($B321="",$E321="",$F321=""),$K321&lt;&gt;"نعم",$M321="نعم"),0,MAX(0,MIN($F321,EOMONTH(DATE(cfg_FY,10,1),0))-MAX($E321,DATE(cfg_FY,10,1))+1))</f>
        <v>0</v>
      </c>
      <c r="BD321" s="133" t="n">
        <f aca="false">IF(OR(OR($B321="",$E321="",$F321=""),$K321&lt;&gt;"نعم",$M321="نعم"),0,MAX(0,MIN($F321,EOMONTH(DATE(cfg_FY,11,1),0))-MAX($E321,DATE(cfg_FY,11,1))+1))</f>
        <v>0</v>
      </c>
      <c r="BE321" s="133" t="n">
        <f aca="false">IF(OR(OR($B321="",$E321="",$F321=""),$K321&lt;&gt;"نعم",$M321="نعم"),0,MAX(0,MIN($F321,EOMONTH(DATE(cfg_FY,12,1),0))-MAX($E321,DATE(cfg_FY,12,1))+1))</f>
        <v>0</v>
      </c>
    </row>
    <row r="322" customFormat="false" ht="15" hidden="false" customHeight="false" outlineLevel="0" collapsed="false">
      <c r="A322" s="106" t="str">
        <f aca="false">IF(B322="","",ROW()-5)</f>
        <v/>
      </c>
      <c r="B322" s="118"/>
      <c r="C322" s="114" t="str">
        <f aca="false">IF(B322="","",IFERROR(INDEX(الموظفون!$C$6:$C$105,MATCH(B322,الموظفون!$B$6:$B$105,0)),"✖ رقم غير موجود"))</f>
        <v/>
      </c>
      <c r="D322" s="118"/>
      <c r="E322" s="119"/>
      <c r="F322" s="119"/>
      <c r="G322" s="65" t="str">
        <f aca="false">IF(OR($B322="",$E322="",$F322=""),"",MAX(0,F322-E322+1))</f>
        <v/>
      </c>
      <c r="H322" s="66" t="str">
        <f aca="false">IF(D322="","",IFERROR(VLOOKUP(D322,cfg_LT,2,FALSE()),1))</f>
        <v/>
      </c>
      <c r="I322" s="135"/>
      <c r="J322" s="66" t="str">
        <f aca="false">IF(D322="","",IF(I322&lt;&gt;"",I322,H322))</f>
        <v/>
      </c>
      <c r="K322" s="114" t="str">
        <f aca="false">IF(D322="","",IFERROR(VLOOKUP($D322,cfg_LT,3,FALSE()),""))</f>
        <v/>
      </c>
      <c r="L322" s="114" t="str">
        <f aca="false">IF(D322="","",IFERROR(VLOOKUP($D322,cfg_LT,4,FALSE()),""))</f>
        <v/>
      </c>
      <c r="M322" s="114" t="str">
        <f aca="false">IF(D322="","",IFERROR(VLOOKUP($D322,cfg_LT,5,FALSE()),""))</f>
        <v/>
      </c>
      <c r="N322" s="111" t="n">
        <f aca="false">IF(OR(OR($B322="",$E322="",$F322=""),M322&lt;&gt;"نعم"),0,G322*J322*IFERROR(INDEX(الموظفون!$R$6:$R$105,MATCH(B322,الموظفون!$B$6:$B$105,0)),0)/cfg_DAYS_M)</f>
        <v>0</v>
      </c>
      <c r="O322" s="106" t="str">
        <f aca="false">IF(OR(OR($B322="",$E322="",$F322=""),M322&lt;&gt;"نعم"),"",IF(YEAR(E322)=cfg_FY,MONTH(E322),""))</f>
        <v/>
      </c>
      <c r="P322" s="114" t="str">
        <f aca="false">IF(B322="","",IF(OR(D322="",E322="",F322=""),"⚠ أكمل النوع والتواريخ",IF(F322&lt;E322,"✖ النهاية قبل البداية",IF(COUNTIFS($B$6:$B$505,B322,$E$6:$E$505,"&lt;="&amp;F322,$F$6:$F$505,"&gt;="&amp;E322)&gt;1,"⚠ تداخل مع سجل آخر",IF(E322&gt;cfg_VAL_DATE,"⏳ قادمة",IF(F322&lt;cfg_VAL_DATE,"✔ منتهية","✈ جارية في تاريخ التقرير"))))))</f>
        <v/>
      </c>
      <c r="Q322" s="118"/>
      <c r="R322" s="65" t="n">
        <f aca="false">IF(OR(OR($B322="",$E322="",$F322=""),L322&lt;&gt;"لا"),0,MAX(0,MIN(F322,cfg_Y_START-1)-E322+1))</f>
        <v>0</v>
      </c>
      <c r="S322" s="65" t="n">
        <f aca="false">IF(OR(OR($B322="",$E322="",$F322=""),L322&lt;&gt;"لا"),0,MAX(0,MIN(F322,cfg_VAL_DATE)-E322+1))</f>
        <v>0</v>
      </c>
      <c r="T322" s="65" t="n">
        <f aca="false">IF(OR(OR($B322="",$E322="",$F322=""),K322&lt;&gt;"نعم"),0,IF(M322="نعم",IF(AND(ISNUMBER(O322),N(O322)&lt;=cfg_VAL_M),G322,0),MAX(0,MIN(F322,cfg_VAL_DATE)-MAX(E322,cfg_Y_START)+1)))</f>
        <v>0</v>
      </c>
      <c r="V322" s="65" t="n">
        <f aca="false">IF(OR($B322="",$E322="",$F322=""),0,MAX(0,MIN($F322,EOMONTH(DATE(cfg_FY,1,1),0))-MAX($E322,DATE(cfg_FY,1,1))+1)*(1-IF($M322="نعم",0,N($J322))))</f>
        <v>0</v>
      </c>
      <c r="W322" s="65" t="n">
        <f aca="false">IF(OR($B322="",$E322="",$F322=""),0,MAX(0,MIN($F322,EOMONTH(DATE(cfg_FY,2,1),0))-MAX($E322,DATE(cfg_FY,2,1))+1)*(1-IF($M322="نعم",0,N($J322))))</f>
        <v>0</v>
      </c>
      <c r="X322" s="65" t="n">
        <f aca="false">IF(OR($B322="",$E322="",$F322=""),0,MAX(0,MIN($F322,EOMONTH(DATE(cfg_FY,3,1),0))-MAX($E322,DATE(cfg_FY,3,1))+1)*(1-IF($M322="نعم",0,N($J322))))</f>
        <v>0</v>
      </c>
      <c r="Y322" s="65" t="n">
        <f aca="false">IF(OR($B322="",$E322="",$F322=""),0,MAX(0,MIN($F322,EOMONTH(DATE(cfg_FY,4,1),0))-MAX($E322,DATE(cfg_FY,4,1))+1)*(1-IF($M322="نعم",0,N($J322))))</f>
        <v>0</v>
      </c>
      <c r="Z322" s="65" t="n">
        <f aca="false">IF(OR($B322="",$E322="",$F322=""),0,MAX(0,MIN($F322,EOMONTH(DATE(cfg_FY,5,1),0))-MAX($E322,DATE(cfg_FY,5,1))+1)*(1-IF($M322="نعم",0,N($J322))))</f>
        <v>0</v>
      </c>
      <c r="AA322" s="65" t="n">
        <f aca="false">IF(OR($B322="",$E322="",$F322=""),0,MAX(0,MIN($F322,EOMONTH(DATE(cfg_FY,6,1),0))-MAX($E322,DATE(cfg_FY,6,1))+1)*(1-IF($M322="نعم",0,N($J322))))</f>
        <v>0</v>
      </c>
      <c r="AB322" s="65" t="n">
        <f aca="false">IF(OR($B322="",$E322="",$F322=""),0,MAX(0,MIN($F322,EOMONTH(DATE(cfg_FY,7,1),0))-MAX($E322,DATE(cfg_FY,7,1))+1)*(1-IF($M322="نعم",0,N($J322))))</f>
        <v>0</v>
      </c>
      <c r="AC322" s="65" t="n">
        <f aca="false">IF(OR($B322="",$E322="",$F322=""),0,MAX(0,MIN($F322,EOMONTH(DATE(cfg_FY,8,1),0))-MAX($E322,DATE(cfg_FY,8,1))+1)*(1-IF($M322="نعم",0,N($J322))))</f>
        <v>0</v>
      </c>
      <c r="AD322" s="65" t="n">
        <f aca="false">IF(OR($B322="",$E322="",$F322=""),0,MAX(0,MIN($F322,EOMONTH(DATE(cfg_FY,9,1),0))-MAX($E322,DATE(cfg_FY,9,1))+1)*(1-IF($M322="نعم",0,N($J322))))</f>
        <v>0</v>
      </c>
      <c r="AE322" s="65" t="n">
        <f aca="false">IF(OR($B322="",$E322="",$F322=""),0,MAX(0,MIN($F322,EOMONTH(DATE(cfg_FY,10,1),0))-MAX($E322,DATE(cfg_FY,10,1))+1)*(1-IF($M322="نعم",0,N($J322))))</f>
        <v>0</v>
      </c>
      <c r="AF322" s="65" t="n">
        <f aca="false">IF(OR($B322="",$E322="",$F322=""),0,MAX(0,MIN($F322,EOMONTH(DATE(cfg_FY,11,1),0))-MAX($E322,DATE(cfg_FY,11,1))+1)*(1-IF($M322="نعم",0,N($J322))))</f>
        <v>0</v>
      </c>
      <c r="AG322" s="65" t="n">
        <f aca="false">IF(OR($B322="",$E322="",$F322=""),0,MAX(0,MIN($F322,EOMONTH(DATE(cfg_FY,12,1),0))-MAX($E322,DATE(cfg_FY,12,1))+1)*(1-IF($M322="نعم",0,N($J322))))</f>
        <v>0</v>
      </c>
      <c r="AH322" s="65" t="n">
        <f aca="false">IF(OR(OR($B322="",$E322="",$F322=""),$L322&lt;&gt;"لا"),0,MAX(0,MIN($F322,EOMONTH(DATE(cfg_FY,1,1),0))-$E322+1))</f>
        <v>0</v>
      </c>
      <c r="AI322" s="65" t="n">
        <f aca="false">IF(OR(OR($B322="",$E322="",$F322=""),$L322&lt;&gt;"لا"),0,MAX(0,MIN($F322,EOMONTH(DATE(cfg_FY,2,1),0))-$E322+1))</f>
        <v>0</v>
      </c>
      <c r="AJ322" s="65" t="n">
        <f aca="false">IF(OR(OR($B322="",$E322="",$F322=""),$L322&lt;&gt;"لا"),0,MAX(0,MIN($F322,EOMONTH(DATE(cfg_FY,3,1),0))-$E322+1))</f>
        <v>0</v>
      </c>
      <c r="AK322" s="65" t="n">
        <f aca="false">IF(OR(OR($B322="",$E322="",$F322=""),$L322&lt;&gt;"لا"),0,MAX(0,MIN($F322,EOMONTH(DATE(cfg_FY,4,1),0))-$E322+1))</f>
        <v>0</v>
      </c>
      <c r="AL322" s="65" t="n">
        <f aca="false">IF(OR(OR($B322="",$E322="",$F322=""),$L322&lt;&gt;"لا"),0,MAX(0,MIN($F322,EOMONTH(DATE(cfg_FY,5,1),0))-$E322+1))</f>
        <v>0</v>
      </c>
      <c r="AM322" s="65" t="n">
        <f aca="false">IF(OR(OR($B322="",$E322="",$F322=""),$L322&lt;&gt;"لا"),0,MAX(0,MIN($F322,EOMONTH(DATE(cfg_FY,6,1),0))-$E322+1))</f>
        <v>0</v>
      </c>
      <c r="AN322" s="65" t="n">
        <f aca="false">IF(OR(OR($B322="",$E322="",$F322=""),$L322&lt;&gt;"لا"),0,MAX(0,MIN($F322,EOMONTH(DATE(cfg_FY,7,1),0))-$E322+1))</f>
        <v>0</v>
      </c>
      <c r="AO322" s="65" t="n">
        <f aca="false">IF(OR(OR($B322="",$E322="",$F322=""),$L322&lt;&gt;"لا"),0,MAX(0,MIN($F322,EOMONTH(DATE(cfg_FY,8,1),0))-$E322+1))</f>
        <v>0</v>
      </c>
      <c r="AP322" s="65" t="n">
        <f aca="false">IF(OR(OR($B322="",$E322="",$F322=""),$L322&lt;&gt;"لا"),0,MAX(0,MIN($F322,EOMONTH(DATE(cfg_FY,9,1),0))-$E322+1))</f>
        <v>0</v>
      </c>
      <c r="AQ322" s="65" t="n">
        <f aca="false">IF(OR(OR($B322="",$E322="",$F322=""),$L322&lt;&gt;"لا"),0,MAX(0,MIN($F322,EOMONTH(DATE(cfg_FY,10,1),0))-$E322+1))</f>
        <v>0</v>
      </c>
      <c r="AR322" s="65" t="n">
        <f aca="false">IF(OR(OR($B322="",$E322="",$F322=""),$L322&lt;&gt;"لا"),0,MAX(0,MIN($F322,EOMONTH(DATE(cfg_FY,11,1),0))-$E322+1))</f>
        <v>0</v>
      </c>
      <c r="AS322" s="65" t="n">
        <f aca="false">IF(OR(OR($B322="",$E322="",$F322=""),$L322&lt;&gt;"لا"),0,MAX(0,MIN($F322,EOMONTH(DATE(cfg_FY,12,1),0))-$E322+1))</f>
        <v>0</v>
      </c>
      <c r="AT322" s="65" t="n">
        <f aca="false">IF(OR(OR($B322="",$E322="",$F322=""),$K322&lt;&gt;"نعم",$M322="نعم"),0,MAX(0,MIN($F322,EOMONTH(DATE(cfg_FY,1,1),0))-MAX($E322,DATE(cfg_FY,1,1))+1))</f>
        <v>0</v>
      </c>
      <c r="AU322" s="65" t="n">
        <f aca="false">IF(OR(OR($B322="",$E322="",$F322=""),$K322&lt;&gt;"نعم",$M322="نعم"),0,MAX(0,MIN($F322,EOMONTH(DATE(cfg_FY,2,1),0))-MAX($E322,DATE(cfg_FY,2,1))+1))</f>
        <v>0</v>
      </c>
      <c r="AV322" s="65" t="n">
        <f aca="false">IF(OR(OR($B322="",$E322="",$F322=""),$K322&lt;&gt;"نعم",$M322="نعم"),0,MAX(0,MIN($F322,EOMONTH(DATE(cfg_FY,3,1),0))-MAX($E322,DATE(cfg_FY,3,1))+1))</f>
        <v>0</v>
      </c>
      <c r="AW322" s="65" t="n">
        <f aca="false">IF(OR(OR($B322="",$E322="",$F322=""),$K322&lt;&gt;"نعم",$M322="نعم"),0,MAX(0,MIN($F322,EOMONTH(DATE(cfg_FY,4,1),0))-MAX($E322,DATE(cfg_FY,4,1))+1))</f>
        <v>0</v>
      </c>
      <c r="AX322" s="65" t="n">
        <f aca="false">IF(OR(OR($B322="",$E322="",$F322=""),$K322&lt;&gt;"نعم",$M322="نعم"),0,MAX(0,MIN($F322,EOMONTH(DATE(cfg_FY,5,1),0))-MAX($E322,DATE(cfg_FY,5,1))+1))</f>
        <v>0</v>
      </c>
      <c r="AY322" s="65" t="n">
        <f aca="false">IF(OR(OR($B322="",$E322="",$F322=""),$K322&lt;&gt;"نعم",$M322="نعم"),0,MAX(0,MIN($F322,EOMONTH(DATE(cfg_FY,6,1),0))-MAX($E322,DATE(cfg_FY,6,1))+1))</f>
        <v>0</v>
      </c>
      <c r="AZ322" s="65" t="n">
        <f aca="false">IF(OR(OR($B322="",$E322="",$F322=""),$K322&lt;&gt;"نعم",$M322="نعم"),0,MAX(0,MIN($F322,EOMONTH(DATE(cfg_FY,7,1),0))-MAX($E322,DATE(cfg_FY,7,1))+1))</f>
        <v>0</v>
      </c>
      <c r="BA322" s="65" t="n">
        <f aca="false">IF(OR(OR($B322="",$E322="",$F322=""),$K322&lt;&gt;"نعم",$M322="نعم"),0,MAX(0,MIN($F322,EOMONTH(DATE(cfg_FY,8,1),0))-MAX($E322,DATE(cfg_FY,8,1))+1))</f>
        <v>0</v>
      </c>
      <c r="BB322" s="65" t="n">
        <f aca="false">IF(OR(OR($B322="",$E322="",$F322=""),$K322&lt;&gt;"نعم",$M322="نعم"),0,MAX(0,MIN($F322,EOMONTH(DATE(cfg_FY,9,1),0))-MAX($E322,DATE(cfg_FY,9,1))+1))</f>
        <v>0</v>
      </c>
      <c r="BC322" s="65" t="n">
        <f aca="false">IF(OR(OR($B322="",$E322="",$F322=""),$K322&lt;&gt;"نعم",$M322="نعم"),0,MAX(0,MIN($F322,EOMONTH(DATE(cfg_FY,10,1),0))-MAX($E322,DATE(cfg_FY,10,1))+1))</f>
        <v>0</v>
      </c>
      <c r="BD322" s="65" t="n">
        <f aca="false">IF(OR(OR($B322="",$E322="",$F322=""),$K322&lt;&gt;"نعم",$M322="نعم"),0,MAX(0,MIN($F322,EOMONTH(DATE(cfg_FY,11,1),0))-MAX($E322,DATE(cfg_FY,11,1))+1))</f>
        <v>0</v>
      </c>
      <c r="BE322" s="65" t="n">
        <f aca="false">IF(OR(OR($B322="",$E322="",$F322=""),$K322&lt;&gt;"نعم",$M322="نعم"),0,MAX(0,MIN($F322,EOMONTH(DATE(cfg_FY,12,1),0))-MAX($E322,DATE(cfg_FY,12,1))+1))</f>
        <v>0</v>
      </c>
    </row>
    <row r="323" customFormat="false" ht="15" hidden="false" customHeight="false" outlineLevel="0" collapsed="false">
      <c r="A323" s="115" t="str">
        <f aca="false">IF(B323="","",ROW()-5)</f>
        <v/>
      </c>
      <c r="B323" s="118"/>
      <c r="C323" s="117" t="str">
        <f aca="false">IF(B323="","",IFERROR(INDEX(الموظفون!$C$6:$C$105,MATCH(B323,الموظفون!$B$6:$B$105,0)),"✖ رقم غير موجود"))</f>
        <v/>
      </c>
      <c r="D323" s="118"/>
      <c r="E323" s="119"/>
      <c r="F323" s="119"/>
      <c r="G323" s="133" t="str">
        <f aca="false">IF(OR($B323="",$E323="",$F323=""),"",MAX(0,F323-E323+1))</f>
        <v/>
      </c>
      <c r="H323" s="134" t="str">
        <f aca="false">IF(D323="","",IFERROR(VLOOKUP(D323,cfg_LT,2,FALSE()),1))</f>
        <v/>
      </c>
      <c r="I323" s="135"/>
      <c r="J323" s="134" t="str">
        <f aca="false">IF(D323="","",IF(I323&lt;&gt;"",I323,H323))</f>
        <v/>
      </c>
      <c r="K323" s="117" t="str">
        <f aca="false">IF(D323="","",IFERROR(VLOOKUP($D323,cfg_LT,3,FALSE()),""))</f>
        <v/>
      </c>
      <c r="L323" s="117" t="str">
        <f aca="false">IF(D323="","",IFERROR(VLOOKUP($D323,cfg_LT,4,FALSE()),""))</f>
        <v/>
      </c>
      <c r="M323" s="117" t="str">
        <f aca="false">IF(D323="","",IFERROR(VLOOKUP($D323,cfg_LT,5,FALSE()),""))</f>
        <v/>
      </c>
      <c r="N323" s="116" t="n">
        <f aca="false">IF(OR(OR($B323="",$E323="",$F323=""),M323&lt;&gt;"نعم"),0,G323*J323*IFERROR(INDEX(الموظفون!$R$6:$R$105,MATCH(B323,الموظفون!$B$6:$B$105,0)),0)/cfg_DAYS_M)</f>
        <v>0</v>
      </c>
      <c r="O323" s="115" t="str">
        <f aca="false">IF(OR(OR($B323="",$E323="",$F323=""),M323&lt;&gt;"نعم"),"",IF(YEAR(E323)=cfg_FY,MONTH(E323),""))</f>
        <v/>
      </c>
      <c r="P323" s="117" t="str">
        <f aca="false">IF(B323="","",IF(OR(D323="",E323="",F323=""),"⚠ أكمل النوع والتواريخ",IF(F323&lt;E323,"✖ النهاية قبل البداية",IF(COUNTIFS($B$6:$B$505,B323,$E$6:$E$505,"&lt;="&amp;F323,$F$6:$F$505,"&gt;="&amp;E323)&gt;1,"⚠ تداخل مع سجل آخر",IF(E323&gt;cfg_VAL_DATE,"⏳ قادمة",IF(F323&lt;cfg_VAL_DATE,"✔ منتهية","✈ جارية في تاريخ التقرير"))))))</f>
        <v/>
      </c>
      <c r="Q323" s="118"/>
      <c r="R323" s="133" t="n">
        <f aca="false">IF(OR(OR($B323="",$E323="",$F323=""),L323&lt;&gt;"لا"),0,MAX(0,MIN(F323,cfg_Y_START-1)-E323+1))</f>
        <v>0</v>
      </c>
      <c r="S323" s="133" t="n">
        <f aca="false">IF(OR(OR($B323="",$E323="",$F323=""),L323&lt;&gt;"لا"),0,MAX(0,MIN(F323,cfg_VAL_DATE)-E323+1))</f>
        <v>0</v>
      </c>
      <c r="T323" s="133" t="n">
        <f aca="false">IF(OR(OR($B323="",$E323="",$F323=""),K323&lt;&gt;"نعم"),0,IF(M323="نعم",IF(AND(ISNUMBER(O323),N(O323)&lt;=cfg_VAL_M),G323,0),MAX(0,MIN(F323,cfg_VAL_DATE)-MAX(E323,cfg_Y_START)+1)))</f>
        <v>0</v>
      </c>
      <c r="V323" s="133" t="n">
        <f aca="false">IF(OR($B323="",$E323="",$F323=""),0,MAX(0,MIN($F323,EOMONTH(DATE(cfg_FY,1,1),0))-MAX($E323,DATE(cfg_FY,1,1))+1)*(1-IF($M323="نعم",0,N($J323))))</f>
        <v>0</v>
      </c>
      <c r="W323" s="133" t="n">
        <f aca="false">IF(OR($B323="",$E323="",$F323=""),0,MAX(0,MIN($F323,EOMONTH(DATE(cfg_FY,2,1),0))-MAX($E323,DATE(cfg_FY,2,1))+1)*(1-IF($M323="نعم",0,N($J323))))</f>
        <v>0</v>
      </c>
      <c r="X323" s="133" t="n">
        <f aca="false">IF(OR($B323="",$E323="",$F323=""),0,MAX(0,MIN($F323,EOMONTH(DATE(cfg_FY,3,1),0))-MAX($E323,DATE(cfg_FY,3,1))+1)*(1-IF($M323="نعم",0,N($J323))))</f>
        <v>0</v>
      </c>
      <c r="Y323" s="133" t="n">
        <f aca="false">IF(OR($B323="",$E323="",$F323=""),0,MAX(0,MIN($F323,EOMONTH(DATE(cfg_FY,4,1),0))-MAX($E323,DATE(cfg_FY,4,1))+1)*(1-IF($M323="نعم",0,N($J323))))</f>
        <v>0</v>
      </c>
      <c r="Z323" s="133" t="n">
        <f aca="false">IF(OR($B323="",$E323="",$F323=""),0,MAX(0,MIN($F323,EOMONTH(DATE(cfg_FY,5,1),0))-MAX($E323,DATE(cfg_FY,5,1))+1)*(1-IF($M323="نعم",0,N($J323))))</f>
        <v>0</v>
      </c>
      <c r="AA323" s="133" t="n">
        <f aca="false">IF(OR($B323="",$E323="",$F323=""),0,MAX(0,MIN($F323,EOMONTH(DATE(cfg_FY,6,1),0))-MAX($E323,DATE(cfg_FY,6,1))+1)*(1-IF($M323="نعم",0,N($J323))))</f>
        <v>0</v>
      </c>
      <c r="AB323" s="133" t="n">
        <f aca="false">IF(OR($B323="",$E323="",$F323=""),0,MAX(0,MIN($F323,EOMONTH(DATE(cfg_FY,7,1),0))-MAX($E323,DATE(cfg_FY,7,1))+1)*(1-IF($M323="نعم",0,N($J323))))</f>
        <v>0</v>
      </c>
      <c r="AC323" s="133" t="n">
        <f aca="false">IF(OR($B323="",$E323="",$F323=""),0,MAX(0,MIN($F323,EOMONTH(DATE(cfg_FY,8,1),0))-MAX($E323,DATE(cfg_FY,8,1))+1)*(1-IF($M323="نعم",0,N($J323))))</f>
        <v>0</v>
      </c>
      <c r="AD323" s="133" t="n">
        <f aca="false">IF(OR($B323="",$E323="",$F323=""),0,MAX(0,MIN($F323,EOMONTH(DATE(cfg_FY,9,1),0))-MAX($E323,DATE(cfg_FY,9,1))+1)*(1-IF($M323="نعم",0,N($J323))))</f>
        <v>0</v>
      </c>
      <c r="AE323" s="133" t="n">
        <f aca="false">IF(OR($B323="",$E323="",$F323=""),0,MAX(0,MIN($F323,EOMONTH(DATE(cfg_FY,10,1),0))-MAX($E323,DATE(cfg_FY,10,1))+1)*(1-IF($M323="نعم",0,N($J323))))</f>
        <v>0</v>
      </c>
      <c r="AF323" s="133" t="n">
        <f aca="false">IF(OR($B323="",$E323="",$F323=""),0,MAX(0,MIN($F323,EOMONTH(DATE(cfg_FY,11,1),0))-MAX($E323,DATE(cfg_FY,11,1))+1)*(1-IF($M323="نعم",0,N($J323))))</f>
        <v>0</v>
      </c>
      <c r="AG323" s="133" t="n">
        <f aca="false">IF(OR($B323="",$E323="",$F323=""),0,MAX(0,MIN($F323,EOMONTH(DATE(cfg_FY,12,1),0))-MAX($E323,DATE(cfg_FY,12,1))+1)*(1-IF($M323="نعم",0,N($J323))))</f>
        <v>0</v>
      </c>
      <c r="AH323" s="133" t="n">
        <f aca="false">IF(OR(OR($B323="",$E323="",$F323=""),$L323&lt;&gt;"لا"),0,MAX(0,MIN($F323,EOMONTH(DATE(cfg_FY,1,1),0))-$E323+1))</f>
        <v>0</v>
      </c>
      <c r="AI323" s="133" t="n">
        <f aca="false">IF(OR(OR($B323="",$E323="",$F323=""),$L323&lt;&gt;"لا"),0,MAX(0,MIN($F323,EOMONTH(DATE(cfg_FY,2,1),0))-$E323+1))</f>
        <v>0</v>
      </c>
      <c r="AJ323" s="133" t="n">
        <f aca="false">IF(OR(OR($B323="",$E323="",$F323=""),$L323&lt;&gt;"لا"),0,MAX(0,MIN($F323,EOMONTH(DATE(cfg_FY,3,1),0))-$E323+1))</f>
        <v>0</v>
      </c>
      <c r="AK323" s="133" t="n">
        <f aca="false">IF(OR(OR($B323="",$E323="",$F323=""),$L323&lt;&gt;"لا"),0,MAX(0,MIN($F323,EOMONTH(DATE(cfg_FY,4,1),0))-$E323+1))</f>
        <v>0</v>
      </c>
      <c r="AL323" s="133" t="n">
        <f aca="false">IF(OR(OR($B323="",$E323="",$F323=""),$L323&lt;&gt;"لا"),0,MAX(0,MIN($F323,EOMONTH(DATE(cfg_FY,5,1),0))-$E323+1))</f>
        <v>0</v>
      </c>
      <c r="AM323" s="133" t="n">
        <f aca="false">IF(OR(OR($B323="",$E323="",$F323=""),$L323&lt;&gt;"لا"),0,MAX(0,MIN($F323,EOMONTH(DATE(cfg_FY,6,1),0))-$E323+1))</f>
        <v>0</v>
      </c>
      <c r="AN323" s="133" t="n">
        <f aca="false">IF(OR(OR($B323="",$E323="",$F323=""),$L323&lt;&gt;"لا"),0,MAX(0,MIN($F323,EOMONTH(DATE(cfg_FY,7,1),0))-$E323+1))</f>
        <v>0</v>
      </c>
      <c r="AO323" s="133" t="n">
        <f aca="false">IF(OR(OR($B323="",$E323="",$F323=""),$L323&lt;&gt;"لا"),0,MAX(0,MIN($F323,EOMONTH(DATE(cfg_FY,8,1),0))-$E323+1))</f>
        <v>0</v>
      </c>
      <c r="AP323" s="133" t="n">
        <f aca="false">IF(OR(OR($B323="",$E323="",$F323=""),$L323&lt;&gt;"لا"),0,MAX(0,MIN($F323,EOMONTH(DATE(cfg_FY,9,1),0))-$E323+1))</f>
        <v>0</v>
      </c>
      <c r="AQ323" s="133" t="n">
        <f aca="false">IF(OR(OR($B323="",$E323="",$F323=""),$L323&lt;&gt;"لا"),0,MAX(0,MIN($F323,EOMONTH(DATE(cfg_FY,10,1),0))-$E323+1))</f>
        <v>0</v>
      </c>
      <c r="AR323" s="133" t="n">
        <f aca="false">IF(OR(OR($B323="",$E323="",$F323=""),$L323&lt;&gt;"لا"),0,MAX(0,MIN($F323,EOMONTH(DATE(cfg_FY,11,1),0))-$E323+1))</f>
        <v>0</v>
      </c>
      <c r="AS323" s="133" t="n">
        <f aca="false">IF(OR(OR($B323="",$E323="",$F323=""),$L323&lt;&gt;"لا"),0,MAX(0,MIN($F323,EOMONTH(DATE(cfg_FY,12,1),0))-$E323+1))</f>
        <v>0</v>
      </c>
      <c r="AT323" s="133" t="n">
        <f aca="false">IF(OR(OR($B323="",$E323="",$F323=""),$K323&lt;&gt;"نعم",$M323="نعم"),0,MAX(0,MIN($F323,EOMONTH(DATE(cfg_FY,1,1),0))-MAX($E323,DATE(cfg_FY,1,1))+1))</f>
        <v>0</v>
      </c>
      <c r="AU323" s="133" t="n">
        <f aca="false">IF(OR(OR($B323="",$E323="",$F323=""),$K323&lt;&gt;"نعم",$M323="نعم"),0,MAX(0,MIN($F323,EOMONTH(DATE(cfg_FY,2,1),0))-MAX($E323,DATE(cfg_FY,2,1))+1))</f>
        <v>0</v>
      </c>
      <c r="AV323" s="133" t="n">
        <f aca="false">IF(OR(OR($B323="",$E323="",$F323=""),$K323&lt;&gt;"نعم",$M323="نعم"),0,MAX(0,MIN($F323,EOMONTH(DATE(cfg_FY,3,1),0))-MAX($E323,DATE(cfg_FY,3,1))+1))</f>
        <v>0</v>
      </c>
      <c r="AW323" s="133" t="n">
        <f aca="false">IF(OR(OR($B323="",$E323="",$F323=""),$K323&lt;&gt;"نعم",$M323="نعم"),0,MAX(0,MIN($F323,EOMONTH(DATE(cfg_FY,4,1),0))-MAX($E323,DATE(cfg_FY,4,1))+1))</f>
        <v>0</v>
      </c>
      <c r="AX323" s="133" t="n">
        <f aca="false">IF(OR(OR($B323="",$E323="",$F323=""),$K323&lt;&gt;"نعم",$M323="نعم"),0,MAX(0,MIN($F323,EOMONTH(DATE(cfg_FY,5,1),0))-MAX($E323,DATE(cfg_FY,5,1))+1))</f>
        <v>0</v>
      </c>
      <c r="AY323" s="133" t="n">
        <f aca="false">IF(OR(OR($B323="",$E323="",$F323=""),$K323&lt;&gt;"نعم",$M323="نعم"),0,MAX(0,MIN($F323,EOMONTH(DATE(cfg_FY,6,1),0))-MAX($E323,DATE(cfg_FY,6,1))+1))</f>
        <v>0</v>
      </c>
      <c r="AZ323" s="133" t="n">
        <f aca="false">IF(OR(OR($B323="",$E323="",$F323=""),$K323&lt;&gt;"نعم",$M323="نعم"),0,MAX(0,MIN($F323,EOMONTH(DATE(cfg_FY,7,1),0))-MAX($E323,DATE(cfg_FY,7,1))+1))</f>
        <v>0</v>
      </c>
      <c r="BA323" s="133" t="n">
        <f aca="false">IF(OR(OR($B323="",$E323="",$F323=""),$K323&lt;&gt;"نعم",$M323="نعم"),0,MAX(0,MIN($F323,EOMONTH(DATE(cfg_FY,8,1),0))-MAX($E323,DATE(cfg_FY,8,1))+1))</f>
        <v>0</v>
      </c>
      <c r="BB323" s="133" t="n">
        <f aca="false">IF(OR(OR($B323="",$E323="",$F323=""),$K323&lt;&gt;"نعم",$M323="نعم"),0,MAX(0,MIN($F323,EOMONTH(DATE(cfg_FY,9,1),0))-MAX($E323,DATE(cfg_FY,9,1))+1))</f>
        <v>0</v>
      </c>
      <c r="BC323" s="133" t="n">
        <f aca="false">IF(OR(OR($B323="",$E323="",$F323=""),$K323&lt;&gt;"نعم",$M323="نعم"),0,MAX(0,MIN($F323,EOMONTH(DATE(cfg_FY,10,1),0))-MAX($E323,DATE(cfg_FY,10,1))+1))</f>
        <v>0</v>
      </c>
      <c r="BD323" s="133" t="n">
        <f aca="false">IF(OR(OR($B323="",$E323="",$F323=""),$K323&lt;&gt;"نعم",$M323="نعم"),0,MAX(0,MIN($F323,EOMONTH(DATE(cfg_FY,11,1),0))-MAX($E323,DATE(cfg_FY,11,1))+1))</f>
        <v>0</v>
      </c>
      <c r="BE323" s="133" t="n">
        <f aca="false">IF(OR(OR($B323="",$E323="",$F323=""),$K323&lt;&gt;"نعم",$M323="نعم"),0,MAX(0,MIN($F323,EOMONTH(DATE(cfg_FY,12,1),0))-MAX($E323,DATE(cfg_FY,12,1))+1))</f>
        <v>0</v>
      </c>
    </row>
    <row r="324" customFormat="false" ht="15" hidden="false" customHeight="false" outlineLevel="0" collapsed="false">
      <c r="A324" s="106" t="str">
        <f aca="false">IF(B324="","",ROW()-5)</f>
        <v/>
      </c>
      <c r="B324" s="118"/>
      <c r="C324" s="114" t="str">
        <f aca="false">IF(B324="","",IFERROR(INDEX(الموظفون!$C$6:$C$105,MATCH(B324,الموظفون!$B$6:$B$105,0)),"✖ رقم غير موجود"))</f>
        <v/>
      </c>
      <c r="D324" s="118"/>
      <c r="E324" s="119"/>
      <c r="F324" s="119"/>
      <c r="G324" s="65" t="str">
        <f aca="false">IF(OR($B324="",$E324="",$F324=""),"",MAX(0,F324-E324+1))</f>
        <v/>
      </c>
      <c r="H324" s="66" t="str">
        <f aca="false">IF(D324="","",IFERROR(VLOOKUP(D324,cfg_LT,2,FALSE()),1))</f>
        <v/>
      </c>
      <c r="I324" s="135"/>
      <c r="J324" s="66" t="str">
        <f aca="false">IF(D324="","",IF(I324&lt;&gt;"",I324,H324))</f>
        <v/>
      </c>
      <c r="K324" s="114" t="str">
        <f aca="false">IF(D324="","",IFERROR(VLOOKUP($D324,cfg_LT,3,FALSE()),""))</f>
        <v/>
      </c>
      <c r="L324" s="114" t="str">
        <f aca="false">IF(D324="","",IFERROR(VLOOKUP($D324,cfg_LT,4,FALSE()),""))</f>
        <v/>
      </c>
      <c r="M324" s="114" t="str">
        <f aca="false">IF(D324="","",IFERROR(VLOOKUP($D324,cfg_LT,5,FALSE()),""))</f>
        <v/>
      </c>
      <c r="N324" s="111" t="n">
        <f aca="false">IF(OR(OR($B324="",$E324="",$F324=""),M324&lt;&gt;"نعم"),0,G324*J324*IFERROR(INDEX(الموظفون!$R$6:$R$105,MATCH(B324,الموظفون!$B$6:$B$105,0)),0)/cfg_DAYS_M)</f>
        <v>0</v>
      </c>
      <c r="O324" s="106" t="str">
        <f aca="false">IF(OR(OR($B324="",$E324="",$F324=""),M324&lt;&gt;"نعم"),"",IF(YEAR(E324)=cfg_FY,MONTH(E324),""))</f>
        <v/>
      </c>
      <c r="P324" s="114" t="str">
        <f aca="false">IF(B324="","",IF(OR(D324="",E324="",F324=""),"⚠ أكمل النوع والتواريخ",IF(F324&lt;E324,"✖ النهاية قبل البداية",IF(COUNTIFS($B$6:$B$505,B324,$E$6:$E$505,"&lt;="&amp;F324,$F$6:$F$505,"&gt;="&amp;E324)&gt;1,"⚠ تداخل مع سجل آخر",IF(E324&gt;cfg_VAL_DATE,"⏳ قادمة",IF(F324&lt;cfg_VAL_DATE,"✔ منتهية","✈ جارية في تاريخ التقرير"))))))</f>
        <v/>
      </c>
      <c r="Q324" s="118"/>
      <c r="R324" s="65" t="n">
        <f aca="false">IF(OR(OR($B324="",$E324="",$F324=""),L324&lt;&gt;"لا"),0,MAX(0,MIN(F324,cfg_Y_START-1)-E324+1))</f>
        <v>0</v>
      </c>
      <c r="S324" s="65" t="n">
        <f aca="false">IF(OR(OR($B324="",$E324="",$F324=""),L324&lt;&gt;"لا"),0,MAX(0,MIN(F324,cfg_VAL_DATE)-E324+1))</f>
        <v>0</v>
      </c>
      <c r="T324" s="65" t="n">
        <f aca="false">IF(OR(OR($B324="",$E324="",$F324=""),K324&lt;&gt;"نعم"),0,IF(M324="نعم",IF(AND(ISNUMBER(O324),N(O324)&lt;=cfg_VAL_M),G324,0),MAX(0,MIN(F324,cfg_VAL_DATE)-MAX(E324,cfg_Y_START)+1)))</f>
        <v>0</v>
      </c>
      <c r="V324" s="65" t="n">
        <f aca="false">IF(OR($B324="",$E324="",$F324=""),0,MAX(0,MIN($F324,EOMONTH(DATE(cfg_FY,1,1),0))-MAX($E324,DATE(cfg_FY,1,1))+1)*(1-IF($M324="نعم",0,N($J324))))</f>
        <v>0</v>
      </c>
      <c r="W324" s="65" t="n">
        <f aca="false">IF(OR($B324="",$E324="",$F324=""),0,MAX(0,MIN($F324,EOMONTH(DATE(cfg_FY,2,1),0))-MAX($E324,DATE(cfg_FY,2,1))+1)*(1-IF($M324="نعم",0,N($J324))))</f>
        <v>0</v>
      </c>
      <c r="X324" s="65" t="n">
        <f aca="false">IF(OR($B324="",$E324="",$F324=""),0,MAX(0,MIN($F324,EOMONTH(DATE(cfg_FY,3,1),0))-MAX($E324,DATE(cfg_FY,3,1))+1)*(1-IF($M324="نعم",0,N($J324))))</f>
        <v>0</v>
      </c>
      <c r="Y324" s="65" t="n">
        <f aca="false">IF(OR($B324="",$E324="",$F324=""),0,MAX(0,MIN($F324,EOMONTH(DATE(cfg_FY,4,1),0))-MAX($E324,DATE(cfg_FY,4,1))+1)*(1-IF($M324="نعم",0,N($J324))))</f>
        <v>0</v>
      </c>
      <c r="Z324" s="65" t="n">
        <f aca="false">IF(OR($B324="",$E324="",$F324=""),0,MAX(0,MIN($F324,EOMONTH(DATE(cfg_FY,5,1),0))-MAX($E324,DATE(cfg_FY,5,1))+1)*(1-IF($M324="نعم",0,N($J324))))</f>
        <v>0</v>
      </c>
      <c r="AA324" s="65" t="n">
        <f aca="false">IF(OR($B324="",$E324="",$F324=""),0,MAX(0,MIN($F324,EOMONTH(DATE(cfg_FY,6,1),0))-MAX($E324,DATE(cfg_FY,6,1))+1)*(1-IF($M324="نعم",0,N($J324))))</f>
        <v>0</v>
      </c>
      <c r="AB324" s="65" t="n">
        <f aca="false">IF(OR($B324="",$E324="",$F324=""),0,MAX(0,MIN($F324,EOMONTH(DATE(cfg_FY,7,1),0))-MAX($E324,DATE(cfg_FY,7,1))+1)*(1-IF($M324="نعم",0,N($J324))))</f>
        <v>0</v>
      </c>
      <c r="AC324" s="65" t="n">
        <f aca="false">IF(OR($B324="",$E324="",$F324=""),0,MAX(0,MIN($F324,EOMONTH(DATE(cfg_FY,8,1),0))-MAX($E324,DATE(cfg_FY,8,1))+1)*(1-IF($M324="نعم",0,N($J324))))</f>
        <v>0</v>
      </c>
      <c r="AD324" s="65" t="n">
        <f aca="false">IF(OR($B324="",$E324="",$F324=""),0,MAX(0,MIN($F324,EOMONTH(DATE(cfg_FY,9,1),0))-MAX($E324,DATE(cfg_FY,9,1))+1)*(1-IF($M324="نعم",0,N($J324))))</f>
        <v>0</v>
      </c>
      <c r="AE324" s="65" t="n">
        <f aca="false">IF(OR($B324="",$E324="",$F324=""),0,MAX(0,MIN($F324,EOMONTH(DATE(cfg_FY,10,1),0))-MAX($E324,DATE(cfg_FY,10,1))+1)*(1-IF($M324="نعم",0,N($J324))))</f>
        <v>0</v>
      </c>
      <c r="AF324" s="65" t="n">
        <f aca="false">IF(OR($B324="",$E324="",$F324=""),0,MAX(0,MIN($F324,EOMONTH(DATE(cfg_FY,11,1),0))-MAX($E324,DATE(cfg_FY,11,1))+1)*(1-IF($M324="نعم",0,N($J324))))</f>
        <v>0</v>
      </c>
      <c r="AG324" s="65" t="n">
        <f aca="false">IF(OR($B324="",$E324="",$F324=""),0,MAX(0,MIN($F324,EOMONTH(DATE(cfg_FY,12,1),0))-MAX($E324,DATE(cfg_FY,12,1))+1)*(1-IF($M324="نعم",0,N($J324))))</f>
        <v>0</v>
      </c>
      <c r="AH324" s="65" t="n">
        <f aca="false">IF(OR(OR($B324="",$E324="",$F324=""),$L324&lt;&gt;"لا"),0,MAX(0,MIN($F324,EOMONTH(DATE(cfg_FY,1,1),0))-$E324+1))</f>
        <v>0</v>
      </c>
      <c r="AI324" s="65" t="n">
        <f aca="false">IF(OR(OR($B324="",$E324="",$F324=""),$L324&lt;&gt;"لا"),0,MAX(0,MIN($F324,EOMONTH(DATE(cfg_FY,2,1),0))-$E324+1))</f>
        <v>0</v>
      </c>
      <c r="AJ324" s="65" t="n">
        <f aca="false">IF(OR(OR($B324="",$E324="",$F324=""),$L324&lt;&gt;"لا"),0,MAX(0,MIN($F324,EOMONTH(DATE(cfg_FY,3,1),0))-$E324+1))</f>
        <v>0</v>
      </c>
      <c r="AK324" s="65" t="n">
        <f aca="false">IF(OR(OR($B324="",$E324="",$F324=""),$L324&lt;&gt;"لا"),0,MAX(0,MIN($F324,EOMONTH(DATE(cfg_FY,4,1),0))-$E324+1))</f>
        <v>0</v>
      </c>
      <c r="AL324" s="65" t="n">
        <f aca="false">IF(OR(OR($B324="",$E324="",$F324=""),$L324&lt;&gt;"لا"),0,MAX(0,MIN($F324,EOMONTH(DATE(cfg_FY,5,1),0))-$E324+1))</f>
        <v>0</v>
      </c>
      <c r="AM324" s="65" t="n">
        <f aca="false">IF(OR(OR($B324="",$E324="",$F324=""),$L324&lt;&gt;"لا"),0,MAX(0,MIN($F324,EOMONTH(DATE(cfg_FY,6,1),0))-$E324+1))</f>
        <v>0</v>
      </c>
      <c r="AN324" s="65" t="n">
        <f aca="false">IF(OR(OR($B324="",$E324="",$F324=""),$L324&lt;&gt;"لا"),0,MAX(0,MIN($F324,EOMONTH(DATE(cfg_FY,7,1),0))-$E324+1))</f>
        <v>0</v>
      </c>
      <c r="AO324" s="65" t="n">
        <f aca="false">IF(OR(OR($B324="",$E324="",$F324=""),$L324&lt;&gt;"لا"),0,MAX(0,MIN($F324,EOMONTH(DATE(cfg_FY,8,1),0))-$E324+1))</f>
        <v>0</v>
      </c>
      <c r="AP324" s="65" t="n">
        <f aca="false">IF(OR(OR($B324="",$E324="",$F324=""),$L324&lt;&gt;"لا"),0,MAX(0,MIN($F324,EOMONTH(DATE(cfg_FY,9,1),0))-$E324+1))</f>
        <v>0</v>
      </c>
      <c r="AQ324" s="65" t="n">
        <f aca="false">IF(OR(OR($B324="",$E324="",$F324=""),$L324&lt;&gt;"لا"),0,MAX(0,MIN($F324,EOMONTH(DATE(cfg_FY,10,1),0))-$E324+1))</f>
        <v>0</v>
      </c>
      <c r="AR324" s="65" t="n">
        <f aca="false">IF(OR(OR($B324="",$E324="",$F324=""),$L324&lt;&gt;"لا"),0,MAX(0,MIN($F324,EOMONTH(DATE(cfg_FY,11,1),0))-$E324+1))</f>
        <v>0</v>
      </c>
      <c r="AS324" s="65" t="n">
        <f aca="false">IF(OR(OR($B324="",$E324="",$F324=""),$L324&lt;&gt;"لا"),0,MAX(0,MIN($F324,EOMONTH(DATE(cfg_FY,12,1),0))-$E324+1))</f>
        <v>0</v>
      </c>
      <c r="AT324" s="65" t="n">
        <f aca="false">IF(OR(OR($B324="",$E324="",$F324=""),$K324&lt;&gt;"نعم",$M324="نعم"),0,MAX(0,MIN($F324,EOMONTH(DATE(cfg_FY,1,1),0))-MAX($E324,DATE(cfg_FY,1,1))+1))</f>
        <v>0</v>
      </c>
      <c r="AU324" s="65" t="n">
        <f aca="false">IF(OR(OR($B324="",$E324="",$F324=""),$K324&lt;&gt;"نعم",$M324="نعم"),0,MAX(0,MIN($F324,EOMONTH(DATE(cfg_FY,2,1),0))-MAX($E324,DATE(cfg_FY,2,1))+1))</f>
        <v>0</v>
      </c>
      <c r="AV324" s="65" t="n">
        <f aca="false">IF(OR(OR($B324="",$E324="",$F324=""),$K324&lt;&gt;"نعم",$M324="نعم"),0,MAX(0,MIN($F324,EOMONTH(DATE(cfg_FY,3,1),0))-MAX($E324,DATE(cfg_FY,3,1))+1))</f>
        <v>0</v>
      </c>
      <c r="AW324" s="65" t="n">
        <f aca="false">IF(OR(OR($B324="",$E324="",$F324=""),$K324&lt;&gt;"نعم",$M324="نعم"),0,MAX(0,MIN($F324,EOMONTH(DATE(cfg_FY,4,1),0))-MAX($E324,DATE(cfg_FY,4,1))+1))</f>
        <v>0</v>
      </c>
      <c r="AX324" s="65" t="n">
        <f aca="false">IF(OR(OR($B324="",$E324="",$F324=""),$K324&lt;&gt;"نعم",$M324="نعم"),0,MAX(0,MIN($F324,EOMONTH(DATE(cfg_FY,5,1),0))-MAX($E324,DATE(cfg_FY,5,1))+1))</f>
        <v>0</v>
      </c>
      <c r="AY324" s="65" t="n">
        <f aca="false">IF(OR(OR($B324="",$E324="",$F324=""),$K324&lt;&gt;"نعم",$M324="نعم"),0,MAX(0,MIN($F324,EOMONTH(DATE(cfg_FY,6,1),0))-MAX($E324,DATE(cfg_FY,6,1))+1))</f>
        <v>0</v>
      </c>
      <c r="AZ324" s="65" t="n">
        <f aca="false">IF(OR(OR($B324="",$E324="",$F324=""),$K324&lt;&gt;"نعم",$M324="نعم"),0,MAX(0,MIN($F324,EOMONTH(DATE(cfg_FY,7,1),0))-MAX($E324,DATE(cfg_FY,7,1))+1))</f>
        <v>0</v>
      </c>
      <c r="BA324" s="65" t="n">
        <f aca="false">IF(OR(OR($B324="",$E324="",$F324=""),$K324&lt;&gt;"نعم",$M324="نعم"),0,MAX(0,MIN($F324,EOMONTH(DATE(cfg_FY,8,1),0))-MAX($E324,DATE(cfg_FY,8,1))+1))</f>
        <v>0</v>
      </c>
      <c r="BB324" s="65" t="n">
        <f aca="false">IF(OR(OR($B324="",$E324="",$F324=""),$K324&lt;&gt;"نعم",$M324="نعم"),0,MAX(0,MIN($F324,EOMONTH(DATE(cfg_FY,9,1),0))-MAX($E324,DATE(cfg_FY,9,1))+1))</f>
        <v>0</v>
      </c>
      <c r="BC324" s="65" t="n">
        <f aca="false">IF(OR(OR($B324="",$E324="",$F324=""),$K324&lt;&gt;"نعم",$M324="نعم"),0,MAX(0,MIN($F324,EOMONTH(DATE(cfg_FY,10,1),0))-MAX($E324,DATE(cfg_FY,10,1))+1))</f>
        <v>0</v>
      </c>
      <c r="BD324" s="65" t="n">
        <f aca="false">IF(OR(OR($B324="",$E324="",$F324=""),$K324&lt;&gt;"نعم",$M324="نعم"),0,MAX(0,MIN($F324,EOMONTH(DATE(cfg_FY,11,1),0))-MAX($E324,DATE(cfg_FY,11,1))+1))</f>
        <v>0</v>
      </c>
      <c r="BE324" s="65" t="n">
        <f aca="false">IF(OR(OR($B324="",$E324="",$F324=""),$K324&lt;&gt;"نعم",$M324="نعم"),0,MAX(0,MIN($F324,EOMONTH(DATE(cfg_FY,12,1),0))-MAX($E324,DATE(cfg_FY,12,1))+1))</f>
        <v>0</v>
      </c>
    </row>
    <row r="325" customFormat="false" ht="15" hidden="false" customHeight="false" outlineLevel="0" collapsed="false">
      <c r="A325" s="115" t="str">
        <f aca="false">IF(B325="","",ROW()-5)</f>
        <v/>
      </c>
      <c r="B325" s="118"/>
      <c r="C325" s="117" t="str">
        <f aca="false">IF(B325="","",IFERROR(INDEX(الموظفون!$C$6:$C$105,MATCH(B325,الموظفون!$B$6:$B$105,0)),"✖ رقم غير موجود"))</f>
        <v/>
      </c>
      <c r="D325" s="118"/>
      <c r="E325" s="119"/>
      <c r="F325" s="119"/>
      <c r="G325" s="133" t="str">
        <f aca="false">IF(OR($B325="",$E325="",$F325=""),"",MAX(0,F325-E325+1))</f>
        <v/>
      </c>
      <c r="H325" s="134" t="str">
        <f aca="false">IF(D325="","",IFERROR(VLOOKUP(D325,cfg_LT,2,FALSE()),1))</f>
        <v/>
      </c>
      <c r="I325" s="135"/>
      <c r="J325" s="134" t="str">
        <f aca="false">IF(D325="","",IF(I325&lt;&gt;"",I325,H325))</f>
        <v/>
      </c>
      <c r="K325" s="117" t="str">
        <f aca="false">IF(D325="","",IFERROR(VLOOKUP($D325,cfg_LT,3,FALSE()),""))</f>
        <v/>
      </c>
      <c r="L325" s="117" t="str">
        <f aca="false">IF(D325="","",IFERROR(VLOOKUP($D325,cfg_LT,4,FALSE()),""))</f>
        <v/>
      </c>
      <c r="M325" s="117" t="str">
        <f aca="false">IF(D325="","",IFERROR(VLOOKUP($D325,cfg_LT,5,FALSE()),""))</f>
        <v/>
      </c>
      <c r="N325" s="116" t="n">
        <f aca="false">IF(OR(OR($B325="",$E325="",$F325=""),M325&lt;&gt;"نعم"),0,G325*J325*IFERROR(INDEX(الموظفون!$R$6:$R$105,MATCH(B325,الموظفون!$B$6:$B$105,0)),0)/cfg_DAYS_M)</f>
        <v>0</v>
      </c>
      <c r="O325" s="115" t="str">
        <f aca="false">IF(OR(OR($B325="",$E325="",$F325=""),M325&lt;&gt;"نعم"),"",IF(YEAR(E325)=cfg_FY,MONTH(E325),""))</f>
        <v/>
      </c>
      <c r="P325" s="117" t="str">
        <f aca="false">IF(B325="","",IF(OR(D325="",E325="",F325=""),"⚠ أكمل النوع والتواريخ",IF(F325&lt;E325,"✖ النهاية قبل البداية",IF(COUNTIFS($B$6:$B$505,B325,$E$6:$E$505,"&lt;="&amp;F325,$F$6:$F$505,"&gt;="&amp;E325)&gt;1,"⚠ تداخل مع سجل آخر",IF(E325&gt;cfg_VAL_DATE,"⏳ قادمة",IF(F325&lt;cfg_VAL_DATE,"✔ منتهية","✈ جارية في تاريخ التقرير"))))))</f>
        <v/>
      </c>
      <c r="Q325" s="118"/>
      <c r="R325" s="133" t="n">
        <f aca="false">IF(OR(OR($B325="",$E325="",$F325=""),L325&lt;&gt;"لا"),0,MAX(0,MIN(F325,cfg_Y_START-1)-E325+1))</f>
        <v>0</v>
      </c>
      <c r="S325" s="133" t="n">
        <f aca="false">IF(OR(OR($B325="",$E325="",$F325=""),L325&lt;&gt;"لا"),0,MAX(0,MIN(F325,cfg_VAL_DATE)-E325+1))</f>
        <v>0</v>
      </c>
      <c r="T325" s="133" t="n">
        <f aca="false">IF(OR(OR($B325="",$E325="",$F325=""),K325&lt;&gt;"نعم"),0,IF(M325="نعم",IF(AND(ISNUMBER(O325),N(O325)&lt;=cfg_VAL_M),G325,0),MAX(0,MIN(F325,cfg_VAL_DATE)-MAX(E325,cfg_Y_START)+1)))</f>
        <v>0</v>
      </c>
      <c r="V325" s="133" t="n">
        <f aca="false">IF(OR($B325="",$E325="",$F325=""),0,MAX(0,MIN($F325,EOMONTH(DATE(cfg_FY,1,1),0))-MAX($E325,DATE(cfg_FY,1,1))+1)*(1-IF($M325="نعم",0,N($J325))))</f>
        <v>0</v>
      </c>
      <c r="W325" s="133" t="n">
        <f aca="false">IF(OR($B325="",$E325="",$F325=""),0,MAX(0,MIN($F325,EOMONTH(DATE(cfg_FY,2,1),0))-MAX($E325,DATE(cfg_FY,2,1))+1)*(1-IF($M325="نعم",0,N($J325))))</f>
        <v>0</v>
      </c>
      <c r="X325" s="133" t="n">
        <f aca="false">IF(OR($B325="",$E325="",$F325=""),0,MAX(0,MIN($F325,EOMONTH(DATE(cfg_FY,3,1),0))-MAX($E325,DATE(cfg_FY,3,1))+1)*(1-IF($M325="نعم",0,N($J325))))</f>
        <v>0</v>
      </c>
      <c r="Y325" s="133" t="n">
        <f aca="false">IF(OR($B325="",$E325="",$F325=""),0,MAX(0,MIN($F325,EOMONTH(DATE(cfg_FY,4,1),0))-MAX($E325,DATE(cfg_FY,4,1))+1)*(1-IF($M325="نعم",0,N($J325))))</f>
        <v>0</v>
      </c>
      <c r="Z325" s="133" t="n">
        <f aca="false">IF(OR($B325="",$E325="",$F325=""),0,MAX(0,MIN($F325,EOMONTH(DATE(cfg_FY,5,1),0))-MAX($E325,DATE(cfg_FY,5,1))+1)*(1-IF($M325="نعم",0,N($J325))))</f>
        <v>0</v>
      </c>
      <c r="AA325" s="133" t="n">
        <f aca="false">IF(OR($B325="",$E325="",$F325=""),0,MAX(0,MIN($F325,EOMONTH(DATE(cfg_FY,6,1),0))-MAX($E325,DATE(cfg_FY,6,1))+1)*(1-IF($M325="نعم",0,N($J325))))</f>
        <v>0</v>
      </c>
      <c r="AB325" s="133" t="n">
        <f aca="false">IF(OR($B325="",$E325="",$F325=""),0,MAX(0,MIN($F325,EOMONTH(DATE(cfg_FY,7,1),0))-MAX($E325,DATE(cfg_FY,7,1))+1)*(1-IF($M325="نعم",0,N($J325))))</f>
        <v>0</v>
      </c>
      <c r="AC325" s="133" t="n">
        <f aca="false">IF(OR($B325="",$E325="",$F325=""),0,MAX(0,MIN($F325,EOMONTH(DATE(cfg_FY,8,1),0))-MAX($E325,DATE(cfg_FY,8,1))+1)*(1-IF($M325="نعم",0,N($J325))))</f>
        <v>0</v>
      </c>
      <c r="AD325" s="133" t="n">
        <f aca="false">IF(OR($B325="",$E325="",$F325=""),0,MAX(0,MIN($F325,EOMONTH(DATE(cfg_FY,9,1),0))-MAX($E325,DATE(cfg_FY,9,1))+1)*(1-IF($M325="نعم",0,N($J325))))</f>
        <v>0</v>
      </c>
      <c r="AE325" s="133" t="n">
        <f aca="false">IF(OR($B325="",$E325="",$F325=""),0,MAX(0,MIN($F325,EOMONTH(DATE(cfg_FY,10,1),0))-MAX($E325,DATE(cfg_FY,10,1))+1)*(1-IF($M325="نعم",0,N($J325))))</f>
        <v>0</v>
      </c>
      <c r="AF325" s="133" t="n">
        <f aca="false">IF(OR($B325="",$E325="",$F325=""),0,MAX(0,MIN($F325,EOMONTH(DATE(cfg_FY,11,1),0))-MAX($E325,DATE(cfg_FY,11,1))+1)*(1-IF($M325="نعم",0,N($J325))))</f>
        <v>0</v>
      </c>
      <c r="AG325" s="133" t="n">
        <f aca="false">IF(OR($B325="",$E325="",$F325=""),0,MAX(0,MIN($F325,EOMONTH(DATE(cfg_FY,12,1),0))-MAX($E325,DATE(cfg_FY,12,1))+1)*(1-IF($M325="نعم",0,N($J325))))</f>
        <v>0</v>
      </c>
      <c r="AH325" s="133" t="n">
        <f aca="false">IF(OR(OR($B325="",$E325="",$F325=""),$L325&lt;&gt;"لا"),0,MAX(0,MIN($F325,EOMONTH(DATE(cfg_FY,1,1),0))-$E325+1))</f>
        <v>0</v>
      </c>
      <c r="AI325" s="133" t="n">
        <f aca="false">IF(OR(OR($B325="",$E325="",$F325=""),$L325&lt;&gt;"لا"),0,MAX(0,MIN($F325,EOMONTH(DATE(cfg_FY,2,1),0))-$E325+1))</f>
        <v>0</v>
      </c>
      <c r="AJ325" s="133" t="n">
        <f aca="false">IF(OR(OR($B325="",$E325="",$F325=""),$L325&lt;&gt;"لا"),0,MAX(0,MIN($F325,EOMONTH(DATE(cfg_FY,3,1),0))-$E325+1))</f>
        <v>0</v>
      </c>
      <c r="AK325" s="133" t="n">
        <f aca="false">IF(OR(OR($B325="",$E325="",$F325=""),$L325&lt;&gt;"لا"),0,MAX(0,MIN($F325,EOMONTH(DATE(cfg_FY,4,1),0))-$E325+1))</f>
        <v>0</v>
      </c>
      <c r="AL325" s="133" t="n">
        <f aca="false">IF(OR(OR($B325="",$E325="",$F325=""),$L325&lt;&gt;"لا"),0,MAX(0,MIN($F325,EOMONTH(DATE(cfg_FY,5,1),0))-$E325+1))</f>
        <v>0</v>
      </c>
      <c r="AM325" s="133" t="n">
        <f aca="false">IF(OR(OR($B325="",$E325="",$F325=""),$L325&lt;&gt;"لا"),0,MAX(0,MIN($F325,EOMONTH(DATE(cfg_FY,6,1),0))-$E325+1))</f>
        <v>0</v>
      </c>
      <c r="AN325" s="133" t="n">
        <f aca="false">IF(OR(OR($B325="",$E325="",$F325=""),$L325&lt;&gt;"لا"),0,MAX(0,MIN($F325,EOMONTH(DATE(cfg_FY,7,1),0))-$E325+1))</f>
        <v>0</v>
      </c>
      <c r="AO325" s="133" t="n">
        <f aca="false">IF(OR(OR($B325="",$E325="",$F325=""),$L325&lt;&gt;"لا"),0,MAX(0,MIN($F325,EOMONTH(DATE(cfg_FY,8,1),0))-$E325+1))</f>
        <v>0</v>
      </c>
      <c r="AP325" s="133" t="n">
        <f aca="false">IF(OR(OR($B325="",$E325="",$F325=""),$L325&lt;&gt;"لا"),0,MAX(0,MIN($F325,EOMONTH(DATE(cfg_FY,9,1),0))-$E325+1))</f>
        <v>0</v>
      </c>
      <c r="AQ325" s="133" t="n">
        <f aca="false">IF(OR(OR($B325="",$E325="",$F325=""),$L325&lt;&gt;"لا"),0,MAX(0,MIN($F325,EOMONTH(DATE(cfg_FY,10,1),0))-$E325+1))</f>
        <v>0</v>
      </c>
      <c r="AR325" s="133" t="n">
        <f aca="false">IF(OR(OR($B325="",$E325="",$F325=""),$L325&lt;&gt;"لا"),0,MAX(0,MIN($F325,EOMONTH(DATE(cfg_FY,11,1),0))-$E325+1))</f>
        <v>0</v>
      </c>
      <c r="AS325" s="133" t="n">
        <f aca="false">IF(OR(OR($B325="",$E325="",$F325=""),$L325&lt;&gt;"لا"),0,MAX(0,MIN($F325,EOMONTH(DATE(cfg_FY,12,1),0))-$E325+1))</f>
        <v>0</v>
      </c>
      <c r="AT325" s="133" t="n">
        <f aca="false">IF(OR(OR($B325="",$E325="",$F325=""),$K325&lt;&gt;"نعم",$M325="نعم"),0,MAX(0,MIN($F325,EOMONTH(DATE(cfg_FY,1,1),0))-MAX($E325,DATE(cfg_FY,1,1))+1))</f>
        <v>0</v>
      </c>
      <c r="AU325" s="133" t="n">
        <f aca="false">IF(OR(OR($B325="",$E325="",$F325=""),$K325&lt;&gt;"نعم",$M325="نعم"),0,MAX(0,MIN($F325,EOMONTH(DATE(cfg_FY,2,1),0))-MAX($E325,DATE(cfg_FY,2,1))+1))</f>
        <v>0</v>
      </c>
      <c r="AV325" s="133" t="n">
        <f aca="false">IF(OR(OR($B325="",$E325="",$F325=""),$K325&lt;&gt;"نعم",$M325="نعم"),0,MAX(0,MIN($F325,EOMONTH(DATE(cfg_FY,3,1),0))-MAX($E325,DATE(cfg_FY,3,1))+1))</f>
        <v>0</v>
      </c>
      <c r="AW325" s="133" t="n">
        <f aca="false">IF(OR(OR($B325="",$E325="",$F325=""),$K325&lt;&gt;"نعم",$M325="نعم"),0,MAX(0,MIN($F325,EOMONTH(DATE(cfg_FY,4,1),0))-MAX($E325,DATE(cfg_FY,4,1))+1))</f>
        <v>0</v>
      </c>
      <c r="AX325" s="133" t="n">
        <f aca="false">IF(OR(OR($B325="",$E325="",$F325=""),$K325&lt;&gt;"نعم",$M325="نعم"),0,MAX(0,MIN($F325,EOMONTH(DATE(cfg_FY,5,1),0))-MAX($E325,DATE(cfg_FY,5,1))+1))</f>
        <v>0</v>
      </c>
      <c r="AY325" s="133" t="n">
        <f aca="false">IF(OR(OR($B325="",$E325="",$F325=""),$K325&lt;&gt;"نعم",$M325="نعم"),0,MAX(0,MIN($F325,EOMONTH(DATE(cfg_FY,6,1),0))-MAX($E325,DATE(cfg_FY,6,1))+1))</f>
        <v>0</v>
      </c>
      <c r="AZ325" s="133" t="n">
        <f aca="false">IF(OR(OR($B325="",$E325="",$F325=""),$K325&lt;&gt;"نعم",$M325="نعم"),0,MAX(0,MIN($F325,EOMONTH(DATE(cfg_FY,7,1),0))-MAX($E325,DATE(cfg_FY,7,1))+1))</f>
        <v>0</v>
      </c>
      <c r="BA325" s="133" t="n">
        <f aca="false">IF(OR(OR($B325="",$E325="",$F325=""),$K325&lt;&gt;"نعم",$M325="نعم"),0,MAX(0,MIN($F325,EOMONTH(DATE(cfg_FY,8,1),0))-MAX($E325,DATE(cfg_FY,8,1))+1))</f>
        <v>0</v>
      </c>
      <c r="BB325" s="133" t="n">
        <f aca="false">IF(OR(OR($B325="",$E325="",$F325=""),$K325&lt;&gt;"نعم",$M325="نعم"),0,MAX(0,MIN($F325,EOMONTH(DATE(cfg_FY,9,1),0))-MAX($E325,DATE(cfg_FY,9,1))+1))</f>
        <v>0</v>
      </c>
      <c r="BC325" s="133" t="n">
        <f aca="false">IF(OR(OR($B325="",$E325="",$F325=""),$K325&lt;&gt;"نعم",$M325="نعم"),0,MAX(0,MIN($F325,EOMONTH(DATE(cfg_FY,10,1),0))-MAX($E325,DATE(cfg_FY,10,1))+1))</f>
        <v>0</v>
      </c>
      <c r="BD325" s="133" t="n">
        <f aca="false">IF(OR(OR($B325="",$E325="",$F325=""),$K325&lt;&gt;"نعم",$M325="نعم"),0,MAX(0,MIN($F325,EOMONTH(DATE(cfg_FY,11,1),0))-MAX($E325,DATE(cfg_FY,11,1))+1))</f>
        <v>0</v>
      </c>
      <c r="BE325" s="133" t="n">
        <f aca="false">IF(OR(OR($B325="",$E325="",$F325=""),$K325&lt;&gt;"نعم",$M325="نعم"),0,MAX(0,MIN($F325,EOMONTH(DATE(cfg_FY,12,1),0))-MAX($E325,DATE(cfg_FY,12,1))+1))</f>
        <v>0</v>
      </c>
    </row>
    <row r="326" customFormat="false" ht="15" hidden="false" customHeight="false" outlineLevel="0" collapsed="false">
      <c r="A326" s="106" t="str">
        <f aca="false">IF(B326="","",ROW()-5)</f>
        <v/>
      </c>
      <c r="B326" s="118"/>
      <c r="C326" s="114" t="str">
        <f aca="false">IF(B326="","",IFERROR(INDEX(الموظفون!$C$6:$C$105,MATCH(B326,الموظفون!$B$6:$B$105,0)),"✖ رقم غير موجود"))</f>
        <v/>
      </c>
      <c r="D326" s="118"/>
      <c r="E326" s="119"/>
      <c r="F326" s="119"/>
      <c r="G326" s="65" t="str">
        <f aca="false">IF(OR($B326="",$E326="",$F326=""),"",MAX(0,F326-E326+1))</f>
        <v/>
      </c>
      <c r="H326" s="66" t="str">
        <f aca="false">IF(D326="","",IFERROR(VLOOKUP(D326,cfg_LT,2,FALSE()),1))</f>
        <v/>
      </c>
      <c r="I326" s="135"/>
      <c r="J326" s="66" t="str">
        <f aca="false">IF(D326="","",IF(I326&lt;&gt;"",I326,H326))</f>
        <v/>
      </c>
      <c r="K326" s="114" t="str">
        <f aca="false">IF(D326="","",IFERROR(VLOOKUP($D326,cfg_LT,3,FALSE()),""))</f>
        <v/>
      </c>
      <c r="L326" s="114" t="str">
        <f aca="false">IF(D326="","",IFERROR(VLOOKUP($D326,cfg_LT,4,FALSE()),""))</f>
        <v/>
      </c>
      <c r="M326" s="114" t="str">
        <f aca="false">IF(D326="","",IFERROR(VLOOKUP($D326,cfg_LT,5,FALSE()),""))</f>
        <v/>
      </c>
      <c r="N326" s="111" t="n">
        <f aca="false">IF(OR(OR($B326="",$E326="",$F326=""),M326&lt;&gt;"نعم"),0,G326*J326*IFERROR(INDEX(الموظفون!$R$6:$R$105,MATCH(B326,الموظفون!$B$6:$B$105,0)),0)/cfg_DAYS_M)</f>
        <v>0</v>
      </c>
      <c r="O326" s="106" t="str">
        <f aca="false">IF(OR(OR($B326="",$E326="",$F326=""),M326&lt;&gt;"نعم"),"",IF(YEAR(E326)=cfg_FY,MONTH(E326),""))</f>
        <v/>
      </c>
      <c r="P326" s="114" t="str">
        <f aca="false">IF(B326="","",IF(OR(D326="",E326="",F326=""),"⚠ أكمل النوع والتواريخ",IF(F326&lt;E326,"✖ النهاية قبل البداية",IF(COUNTIFS($B$6:$B$505,B326,$E$6:$E$505,"&lt;="&amp;F326,$F$6:$F$505,"&gt;="&amp;E326)&gt;1,"⚠ تداخل مع سجل آخر",IF(E326&gt;cfg_VAL_DATE,"⏳ قادمة",IF(F326&lt;cfg_VAL_DATE,"✔ منتهية","✈ جارية في تاريخ التقرير"))))))</f>
        <v/>
      </c>
      <c r="Q326" s="118"/>
      <c r="R326" s="65" t="n">
        <f aca="false">IF(OR(OR($B326="",$E326="",$F326=""),L326&lt;&gt;"لا"),0,MAX(0,MIN(F326,cfg_Y_START-1)-E326+1))</f>
        <v>0</v>
      </c>
      <c r="S326" s="65" t="n">
        <f aca="false">IF(OR(OR($B326="",$E326="",$F326=""),L326&lt;&gt;"لا"),0,MAX(0,MIN(F326,cfg_VAL_DATE)-E326+1))</f>
        <v>0</v>
      </c>
      <c r="T326" s="65" t="n">
        <f aca="false">IF(OR(OR($B326="",$E326="",$F326=""),K326&lt;&gt;"نعم"),0,IF(M326="نعم",IF(AND(ISNUMBER(O326),N(O326)&lt;=cfg_VAL_M),G326,0),MAX(0,MIN(F326,cfg_VAL_DATE)-MAX(E326,cfg_Y_START)+1)))</f>
        <v>0</v>
      </c>
      <c r="V326" s="65" t="n">
        <f aca="false">IF(OR($B326="",$E326="",$F326=""),0,MAX(0,MIN($F326,EOMONTH(DATE(cfg_FY,1,1),0))-MAX($E326,DATE(cfg_FY,1,1))+1)*(1-IF($M326="نعم",0,N($J326))))</f>
        <v>0</v>
      </c>
      <c r="W326" s="65" t="n">
        <f aca="false">IF(OR($B326="",$E326="",$F326=""),0,MAX(0,MIN($F326,EOMONTH(DATE(cfg_FY,2,1),0))-MAX($E326,DATE(cfg_FY,2,1))+1)*(1-IF($M326="نعم",0,N($J326))))</f>
        <v>0</v>
      </c>
      <c r="X326" s="65" t="n">
        <f aca="false">IF(OR($B326="",$E326="",$F326=""),0,MAX(0,MIN($F326,EOMONTH(DATE(cfg_FY,3,1),0))-MAX($E326,DATE(cfg_FY,3,1))+1)*(1-IF($M326="نعم",0,N($J326))))</f>
        <v>0</v>
      </c>
      <c r="Y326" s="65" t="n">
        <f aca="false">IF(OR($B326="",$E326="",$F326=""),0,MAX(0,MIN($F326,EOMONTH(DATE(cfg_FY,4,1),0))-MAX($E326,DATE(cfg_FY,4,1))+1)*(1-IF($M326="نعم",0,N($J326))))</f>
        <v>0</v>
      </c>
      <c r="Z326" s="65" t="n">
        <f aca="false">IF(OR($B326="",$E326="",$F326=""),0,MAX(0,MIN($F326,EOMONTH(DATE(cfg_FY,5,1),0))-MAX($E326,DATE(cfg_FY,5,1))+1)*(1-IF($M326="نعم",0,N($J326))))</f>
        <v>0</v>
      </c>
      <c r="AA326" s="65" t="n">
        <f aca="false">IF(OR($B326="",$E326="",$F326=""),0,MAX(0,MIN($F326,EOMONTH(DATE(cfg_FY,6,1),0))-MAX($E326,DATE(cfg_FY,6,1))+1)*(1-IF($M326="نعم",0,N($J326))))</f>
        <v>0</v>
      </c>
      <c r="AB326" s="65" t="n">
        <f aca="false">IF(OR($B326="",$E326="",$F326=""),0,MAX(0,MIN($F326,EOMONTH(DATE(cfg_FY,7,1),0))-MAX($E326,DATE(cfg_FY,7,1))+1)*(1-IF($M326="نعم",0,N($J326))))</f>
        <v>0</v>
      </c>
      <c r="AC326" s="65" t="n">
        <f aca="false">IF(OR($B326="",$E326="",$F326=""),0,MAX(0,MIN($F326,EOMONTH(DATE(cfg_FY,8,1),0))-MAX($E326,DATE(cfg_FY,8,1))+1)*(1-IF($M326="نعم",0,N($J326))))</f>
        <v>0</v>
      </c>
      <c r="AD326" s="65" t="n">
        <f aca="false">IF(OR($B326="",$E326="",$F326=""),0,MAX(0,MIN($F326,EOMONTH(DATE(cfg_FY,9,1),0))-MAX($E326,DATE(cfg_FY,9,1))+1)*(1-IF($M326="نعم",0,N($J326))))</f>
        <v>0</v>
      </c>
      <c r="AE326" s="65" t="n">
        <f aca="false">IF(OR($B326="",$E326="",$F326=""),0,MAX(0,MIN($F326,EOMONTH(DATE(cfg_FY,10,1),0))-MAX($E326,DATE(cfg_FY,10,1))+1)*(1-IF($M326="نعم",0,N($J326))))</f>
        <v>0</v>
      </c>
      <c r="AF326" s="65" t="n">
        <f aca="false">IF(OR($B326="",$E326="",$F326=""),0,MAX(0,MIN($F326,EOMONTH(DATE(cfg_FY,11,1),0))-MAX($E326,DATE(cfg_FY,11,1))+1)*(1-IF($M326="نعم",0,N($J326))))</f>
        <v>0</v>
      </c>
      <c r="AG326" s="65" t="n">
        <f aca="false">IF(OR($B326="",$E326="",$F326=""),0,MAX(0,MIN($F326,EOMONTH(DATE(cfg_FY,12,1),0))-MAX($E326,DATE(cfg_FY,12,1))+1)*(1-IF($M326="نعم",0,N($J326))))</f>
        <v>0</v>
      </c>
      <c r="AH326" s="65" t="n">
        <f aca="false">IF(OR(OR($B326="",$E326="",$F326=""),$L326&lt;&gt;"لا"),0,MAX(0,MIN($F326,EOMONTH(DATE(cfg_FY,1,1),0))-$E326+1))</f>
        <v>0</v>
      </c>
      <c r="AI326" s="65" t="n">
        <f aca="false">IF(OR(OR($B326="",$E326="",$F326=""),$L326&lt;&gt;"لا"),0,MAX(0,MIN($F326,EOMONTH(DATE(cfg_FY,2,1),0))-$E326+1))</f>
        <v>0</v>
      </c>
      <c r="AJ326" s="65" t="n">
        <f aca="false">IF(OR(OR($B326="",$E326="",$F326=""),$L326&lt;&gt;"لا"),0,MAX(0,MIN($F326,EOMONTH(DATE(cfg_FY,3,1),0))-$E326+1))</f>
        <v>0</v>
      </c>
      <c r="AK326" s="65" t="n">
        <f aca="false">IF(OR(OR($B326="",$E326="",$F326=""),$L326&lt;&gt;"لا"),0,MAX(0,MIN($F326,EOMONTH(DATE(cfg_FY,4,1),0))-$E326+1))</f>
        <v>0</v>
      </c>
      <c r="AL326" s="65" t="n">
        <f aca="false">IF(OR(OR($B326="",$E326="",$F326=""),$L326&lt;&gt;"لا"),0,MAX(0,MIN($F326,EOMONTH(DATE(cfg_FY,5,1),0))-$E326+1))</f>
        <v>0</v>
      </c>
      <c r="AM326" s="65" t="n">
        <f aca="false">IF(OR(OR($B326="",$E326="",$F326=""),$L326&lt;&gt;"لا"),0,MAX(0,MIN($F326,EOMONTH(DATE(cfg_FY,6,1),0))-$E326+1))</f>
        <v>0</v>
      </c>
      <c r="AN326" s="65" t="n">
        <f aca="false">IF(OR(OR($B326="",$E326="",$F326=""),$L326&lt;&gt;"لا"),0,MAX(0,MIN($F326,EOMONTH(DATE(cfg_FY,7,1),0))-$E326+1))</f>
        <v>0</v>
      </c>
      <c r="AO326" s="65" t="n">
        <f aca="false">IF(OR(OR($B326="",$E326="",$F326=""),$L326&lt;&gt;"لا"),0,MAX(0,MIN($F326,EOMONTH(DATE(cfg_FY,8,1),0))-$E326+1))</f>
        <v>0</v>
      </c>
      <c r="AP326" s="65" t="n">
        <f aca="false">IF(OR(OR($B326="",$E326="",$F326=""),$L326&lt;&gt;"لا"),0,MAX(0,MIN($F326,EOMONTH(DATE(cfg_FY,9,1),0))-$E326+1))</f>
        <v>0</v>
      </c>
      <c r="AQ326" s="65" t="n">
        <f aca="false">IF(OR(OR($B326="",$E326="",$F326=""),$L326&lt;&gt;"لا"),0,MAX(0,MIN($F326,EOMONTH(DATE(cfg_FY,10,1),0))-$E326+1))</f>
        <v>0</v>
      </c>
      <c r="AR326" s="65" t="n">
        <f aca="false">IF(OR(OR($B326="",$E326="",$F326=""),$L326&lt;&gt;"لا"),0,MAX(0,MIN($F326,EOMONTH(DATE(cfg_FY,11,1),0))-$E326+1))</f>
        <v>0</v>
      </c>
      <c r="AS326" s="65" t="n">
        <f aca="false">IF(OR(OR($B326="",$E326="",$F326=""),$L326&lt;&gt;"لا"),0,MAX(0,MIN($F326,EOMONTH(DATE(cfg_FY,12,1),0))-$E326+1))</f>
        <v>0</v>
      </c>
      <c r="AT326" s="65" t="n">
        <f aca="false">IF(OR(OR($B326="",$E326="",$F326=""),$K326&lt;&gt;"نعم",$M326="نعم"),0,MAX(0,MIN($F326,EOMONTH(DATE(cfg_FY,1,1),0))-MAX($E326,DATE(cfg_FY,1,1))+1))</f>
        <v>0</v>
      </c>
      <c r="AU326" s="65" t="n">
        <f aca="false">IF(OR(OR($B326="",$E326="",$F326=""),$K326&lt;&gt;"نعم",$M326="نعم"),0,MAX(0,MIN($F326,EOMONTH(DATE(cfg_FY,2,1),0))-MAX($E326,DATE(cfg_FY,2,1))+1))</f>
        <v>0</v>
      </c>
      <c r="AV326" s="65" t="n">
        <f aca="false">IF(OR(OR($B326="",$E326="",$F326=""),$K326&lt;&gt;"نعم",$M326="نعم"),0,MAX(0,MIN($F326,EOMONTH(DATE(cfg_FY,3,1),0))-MAX($E326,DATE(cfg_FY,3,1))+1))</f>
        <v>0</v>
      </c>
      <c r="AW326" s="65" t="n">
        <f aca="false">IF(OR(OR($B326="",$E326="",$F326=""),$K326&lt;&gt;"نعم",$M326="نعم"),0,MAX(0,MIN($F326,EOMONTH(DATE(cfg_FY,4,1),0))-MAX($E326,DATE(cfg_FY,4,1))+1))</f>
        <v>0</v>
      </c>
      <c r="AX326" s="65" t="n">
        <f aca="false">IF(OR(OR($B326="",$E326="",$F326=""),$K326&lt;&gt;"نعم",$M326="نعم"),0,MAX(0,MIN($F326,EOMONTH(DATE(cfg_FY,5,1),0))-MAX($E326,DATE(cfg_FY,5,1))+1))</f>
        <v>0</v>
      </c>
      <c r="AY326" s="65" t="n">
        <f aca="false">IF(OR(OR($B326="",$E326="",$F326=""),$K326&lt;&gt;"نعم",$M326="نعم"),0,MAX(0,MIN($F326,EOMONTH(DATE(cfg_FY,6,1),0))-MAX($E326,DATE(cfg_FY,6,1))+1))</f>
        <v>0</v>
      </c>
      <c r="AZ326" s="65" t="n">
        <f aca="false">IF(OR(OR($B326="",$E326="",$F326=""),$K326&lt;&gt;"نعم",$M326="نعم"),0,MAX(0,MIN($F326,EOMONTH(DATE(cfg_FY,7,1),0))-MAX($E326,DATE(cfg_FY,7,1))+1))</f>
        <v>0</v>
      </c>
      <c r="BA326" s="65" t="n">
        <f aca="false">IF(OR(OR($B326="",$E326="",$F326=""),$K326&lt;&gt;"نعم",$M326="نعم"),0,MAX(0,MIN($F326,EOMONTH(DATE(cfg_FY,8,1),0))-MAX($E326,DATE(cfg_FY,8,1))+1))</f>
        <v>0</v>
      </c>
      <c r="BB326" s="65" t="n">
        <f aca="false">IF(OR(OR($B326="",$E326="",$F326=""),$K326&lt;&gt;"نعم",$M326="نعم"),0,MAX(0,MIN($F326,EOMONTH(DATE(cfg_FY,9,1),0))-MAX($E326,DATE(cfg_FY,9,1))+1))</f>
        <v>0</v>
      </c>
      <c r="BC326" s="65" t="n">
        <f aca="false">IF(OR(OR($B326="",$E326="",$F326=""),$K326&lt;&gt;"نعم",$M326="نعم"),0,MAX(0,MIN($F326,EOMONTH(DATE(cfg_FY,10,1),0))-MAX($E326,DATE(cfg_FY,10,1))+1))</f>
        <v>0</v>
      </c>
      <c r="BD326" s="65" t="n">
        <f aca="false">IF(OR(OR($B326="",$E326="",$F326=""),$K326&lt;&gt;"نعم",$M326="نعم"),0,MAX(0,MIN($F326,EOMONTH(DATE(cfg_FY,11,1),0))-MAX($E326,DATE(cfg_FY,11,1))+1))</f>
        <v>0</v>
      </c>
      <c r="BE326" s="65" t="n">
        <f aca="false">IF(OR(OR($B326="",$E326="",$F326=""),$K326&lt;&gt;"نعم",$M326="نعم"),0,MAX(0,MIN($F326,EOMONTH(DATE(cfg_FY,12,1),0))-MAX($E326,DATE(cfg_FY,12,1))+1))</f>
        <v>0</v>
      </c>
    </row>
    <row r="327" customFormat="false" ht="15" hidden="false" customHeight="false" outlineLevel="0" collapsed="false">
      <c r="A327" s="115" t="str">
        <f aca="false">IF(B327="","",ROW()-5)</f>
        <v/>
      </c>
      <c r="B327" s="118"/>
      <c r="C327" s="117" t="str">
        <f aca="false">IF(B327="","",IFERROR(INDEX(الموظفون!$C$6:$C$105,MATCH(B327,الموظفون!$B$6:$B$105,0)),"✖ رقم غير موجود"))</f>
        <v/>
      </c>
      <c r="D327" s="118"/>
      <c r="E327" s="119"/>
      <c r="F327" s="119"/>
      <c r="G327" s="133" t="str">
        <f aca="false">IF(OR($B327="",$E327="",$F327=""),"",MAX(0,F327-E327+1))</f>
        <v/>
      </c>
      <c r="H327" s="134" t="str">
        <f aca="false">IF(D327="","",IFERROR(VLOOKUP(D327,cfg_LT,2,FALSE()),1))</f>
        <v/>
      </c>
      <c r="I327" s="135"/>
      <c r="J327" s="134" t="str">
        <f aca="false">IF(D327="","",IF(I327&lt;&gt;"",I327,H327))</f>
        <v/>
      </c>
      <c r="K327" s="117" t="str">
        <f aca="false">IF(D327="","",IFERROR(VLOOKUP($D327,cfg_LT,3,FALSE()),""))</f>
        <v/>
      </c>
      <c r="L327" s="117" t="str">
        <f aca="false">IF(D327="","",IFERROR(VLOOKUP($D327,cfg_LT,4,FALSE()),""))</f>
        <v/>
      </c>
      <c r="M327" s="117" t="str">
        <f aca="false">IF(D327="","",IFERROR(VLOOKUP($D327,cfg_LT,5,FALSE()),""))</f>
        <v/>
      </c>
      <c r="N327" s="116" t="n">
        <f aca="false">IF(OR(OR($B327="",$E327="",$F327=""),M327&lt;&gt;"نعم"),0,G327*J327*IFERROR(INDEX(الموظفون!$R$6:$R$105,MATCH(B327,الموظفون!$B$6:$B$105,0)),0)/cfg_DAYS_M)</f>
        <v>0</v>
      </c>
      <c r="O327" s="115" t="str">
        <f aca="false">IF(OR(OR($B327="",$E327="",$F327=""),M327&lt;&gt;"نعم"),"",IF(YEAR(E327)=cfg_FY,MONTH(E327),""))</f>
        <v/>
      </c>
      <c r="P327" s="117" t="str">
        <f aca="false">IF(B327="","",IF(OR(D327="",E327="",F327=""),"⚠ أكمل النوع والتواريخ",IF(F327&lt;E327,"✖ النهاية قبل البداية",IF(COUNTIFS($B$6:$B$505,B327,$E$6:$E$505,"&lt;="&amp;F327,$F$6:$F$505,"&gt;="&amp;E327)&gt;1,"⚠ تداخل مع سجل آخر",IF(E327&gt;cfg_VAL_DATE,"⏳ قادمة",IF(F327&lt;cfg_VAL_DATE,"✔ منتهية","✈ جارية في تاريخ التقرير"))))))</f>
        <v/>
      </c>
      <c r="Q327" s="118"/>
      <c r="R327" s="133" t="n">
        <f aca="false">IF(OR(OR($B327="",$E327="",$F327=""),L327&lt;&gt;"لا"),0,MAX(0,MIN(F327,cfg_Y_START-1)-E327+1))</f>
        <v>0</v>
      </c>
      <c r="S327" s="133" t="n">
        <f aca="false">IF(OR(OR($B327="",$E327="",$F327=""),L327&lt;&gt;"لا"),0,MAX(0,MIN(F327,cfg_VAL_DATE)-E327+1))</f>
        <v>0</v>
      </c>
      <c r="T327" s="133" t="n">
        <f aca="false">IF(OR(OR($B327="",$E327="",$F327=""),K327&lt;&gt;"نعم"),0,IF(M327="نعم",IF(AND(ISNUMBER(O327),N(O327)&lt;=cfg_VAL_M),G327,0),MAX(0,MIN(F327,cfg_VAL_DATE)-MAX(E327,cfg_Y_START)+1)))</f>
        <v>0</v>
      </c>
      <c r="V327" s="133" t="n">
        <f aca="false">IF(OR($B327="",$E327="",$F327=""),0,MAX(0,MIN($F327,EOMONTH(DATE(cfg_FY,1,1),0))-MAX($E327,DATE(cfg_FY,1,1))+1)*(1-IF($M327="نعم",0,N($J327))))</f>
        <v>0</v>
      </c>
      <c r="W327" s="133" t="n">
        <f aca="false">IF(OR($B327="",$E327="",$F327=""),0,MAX(0,MIN($F327,EOMONTH(DATE(cfg_FY,2,1),0))-MAX($E327,DATE(cfg_FY,2,1))+1)*(1-IF($M327="نعم",0,N($J327))))</f>
        <v>0</v>
      </c>
      <c r="X327" s="133" t="n">
        <f aca="false">IF(OR($B327="",$E327="",$F327=""),0,MAX(0,MIN($F327,EOMONTH(DATE(cfg_FY,3,1),0))-MAX($E327,DATE(cfg_FY,3,1))+1)*(1-IF($M327="نعم",0,N($J327))))</f>
        <v>0</v>
      </c>
      <c r="Y327" s="133" t="n">
        <f aca="false">IF(OR($B327="",$E327="",$F327=""),0,MAX(0,MIN($F327,EOMONTH(DATE(cfg_FY,4,1),0))-MAX($E327,DATE(cfg_FY,4,1))+1)*(1-IF($M327="نعم",0,N($J327))))</f>
        <v>0</v>
      </c>
      <c r="Z327" s="133" t="n">
        <f aca="false">IF(OR($B327="",$E327="",$F327=""),0,MAX(0,MIN($F327,EOMONTH(DATE(cfg_FY,5,1),0))-MAX($E327,DATE(cfg_FY,5,1))+1)*(1-IF($M327="نعم",0,N($J327))))</f>
        <v>0</v>
      </c>
      <c r="AA327" s="133" t="n">
        <f aca="false">IF(OR($B327="",$E327="",$F327=""),0,MAX(0,MIN($F327,EOMONTH(DATE(cfg_FY,6,1),0))-MAX($E327,DATE(cfg_FY,6,1))+1)*(1-IF($M327="نعم",0,N($J327))))</f>
        <v>0</v>
      </c>
      <c r="AB327" s="133" t="n">
        <f aca="false">IF(OR($B327="",$E327="",$F327=""),0,MAX(0,MIN($F327,EOMONTH(DATE(cfg_FY,7,1),0))-MAX($E327,DATE(cfg_FY,7,1))+1)*(1-IF($M327="نعم",0,N($J327))))</f>
        <v>0</v>
      </c>
      <c r="AC327" s="133" t="n">
        <f aca="false">IF(OR($B327="",$E327="",$F327=""),0,MAX(0,MIN($F327,EOMONTH(DATE(cfg_FY,8,1),0))-MAX($E327,DATE(cfg_FY,8,1))+1)*(1-IF($M327="نعم",0,N($J327))))</f>
        <v>0</v>
      </c>
      <c r="AD327" s="133" t="n">
        <f aca="false">IF(OR($B327="",$E327="",$F327=""),0,MAX(0,MIN($F327,EOMONTH(DATE(cfg_FY,9,1),0))-MAX($E327,DATE(cfg_FY,9,1))+1)*(1-IF($M327="نعم",0,N($J327))))</f>
        <v>0</v>
      </c>
      <c r="AE327" s="133" t="n">
        <f aca="false">IF(OR($B327="",$E327="",$F327=""),0,MAX(0,MIN($F327,EOMONTH(DATE(cfg_FY,10,1),0))-MAX($E327,DATE(cfg_FY,10,1))+1)*(1-IF($M327="نعم",0,N($J327))))</f>
        <v>0</v>
      </c>
      <c r="AF327" s="133" t="n">
        <f aca="false">IF(OR($B327="",$E327="",$F327=""),0,MAX(0,MIN($F327,EOMONTH(DATE(cfg_FY,11,1),0))-MAX($E327,DATE(cfg_FY,11,1))+1)*(1-IF($M327="نعم",0,N($J327))))</f>
        <v>0</v>
      </c>
      <c r="AG327" s="133" t="n">
        <f aca="false">IF(OR($B327="",$E327="",$F327=""),0,MAX(0,MIN($F327,EOMONTH(DATE(cfg_FY,12,1),0))-MAX($E327,DATE(cfg_FY,12,1))+1)*(1-IF($M327="نعم",0,N($J327))))</f>
        <v>0</v>
      </c>
      <c r="AH327" s="133" t="n">
        <f aca="false">IF(OR(OR($B327="",$E327="",$F327=""),$L327&lt;&gt;"لا"),0,MAX(0,MIN($F327,EOMONTH(DATE(cfg_FY,1,1),0))-$E327+1))</f>
        <v>0</v>
      </c>
      <c r="AI327" s="133" t="n">
        <f aca="false">IF(OR(OR($B327="",$E327="",$F327=""),$L327&lt;&gt;"لا"),0,MAX(0,MIN($F327,EOMONTH(DATE(cfg_FY,2,1),0))-$E327+1))</f>
        <v>0</v>
      </c>
      <c r="AJ327" s="133" t="n">
        <f aca="false">IF(OR(OR($B327="",$E327="",$F327=""),$L327&lt;&gt;"لا"),0,MAX(0,MIN($F327,EOMONTH(DATE(cfg_FY,3,1),0))-$E327+1))</f>
        <v>0</v>
      </c>
      <c r="AK327" s="133" t="n">
        <f aca="false">IF(OR(OR($B327="",$E327="",$F327=""),$L327&lt;&gt;"لا"),0,MAX(0,MIN($F327,EOMONTH(DATE(cfg_FY,4,1),0))-$E327+1))</f>
        <v>0</v>
      </c>
      <c r="AL327" s="133" t="n">
        <f aca="false">IF(OR(OR($B327="",$E327="",$F327=""),$L327&lt;&gt;"لا"),0,MAX(0,MIN($F327,EOMONTH(DATE(cfg_FY,5,1),0))-$E327+1))</f>
        <v>0</v>
      </c>
      <c r="AM327" s="133" t="n">
        <f aca="false">IF(OR(OR($B327="",$E327="",$F327=""),$L327&lt;&gt;"لا"),0,MAX(0,MIN($F327,EOMONTH(DATE(cfg_FY,6,1),0))-$E327+1))</f>
        <v>0</v>
      </c>
      <c r="AN327" s="133" t="n">
        <f aca="false">IF(OR(OR($B327="",$E327="",$F327=""),$L327&lt;&gt;"لا"),0,MAX(0,MIN($F327,EOMONTH(DATE(cfg_FY,7,1),0))-$E327+1))</f>
        <v>0</v>
      </c>
      <c r="AO327" s="133" t="n">
        <f aca="false">IF(OR(OR($B327="",$E327="",$F327=""),$L327&lt;&gt;"لا"),0,MAX(0,MIN($F327,EOMONTH(DATE(cfg_FY,8,1),0))-$E327+1))</f>
        <v>0</v>
      </c>
      <c r="AP327" s="133" t="n">
        <f aca="false">IF(OR(OR($B327="",$E327="",$F327=""),$L327&lt;&gt;"لا"),0,MAX(0,MIN($F327,EOMONTH(DATE(cfg_FY,9,1),0))-$E327+1))</f>
        <v>0</v>
      </c>
      <c r="AQ327" s="133" t="n">
        <f aca="false">IF(OR(OR($B327="",$E327="",$F327=""),$L327&lt;&gt;"لا"),0,MAX(0,MIN($F327,EOMONTH(DATE(cfg_FY,10,1),0))-$E327+1))</f>
        <v>0</v>
      </c>
      <c r="AR327" s="133" t="n">
        <f aca="false">IF(OR(OR($B327="",$E327="",$F327=""),$L327&lt;&gt;"لا"),0,MAX(0,MIN($F327,EOMONTH(DATE(cfg_FY,11,1),0))-$E327+1))</f>
        <v>0</v>
      </c>
      <c r="AS327" s="133" t="n">
        <f aca="false">IF(OR(OR($B327="",$E327="",$F327=""),$L327&lt;&gt;"لا"),0,MAX(0,MIN($F327,EOMONTH(DATE(cfg_FY,12,1),0))-$E327+1))</f>
        <v>0</v>
      </c>
      <c r="AT327" s="133" t="n">
        <f aca="false">IF(OR(OR($B327="",$E327="",$F327=""),$K327&lt;&gt;"نعم",$M327="نعم"),0,MAX(0,MIN($F327,EOMONTH(DATE(cfg_FY,1,1),0))-MAX($E327,DATE(cfg_FY,1,1))+1))</f>
        <v>0</v>
      </c>
      <c r="AU327" s="133" t="n">
        <f aca="false">IF(OR(OR($B327="",$E327="",$F327=""),$K327&lt;&gt;"نعم",$M327="نعم"),0,MAX(0,MIN($F327,EOMONTH(DATE(cfg_FY,2,1),0))-MAX($E327,DATE(cfg_FY,2,1))+1))</f>
        <v>0</v>
      </c>
      <c r="AV327" s="133" t="n">
        <f aca="false">IF(OR(OR($B327="",$E327="",$F327=""),$K327&lt;&gt;"نعم",$M327="نعم"),0,MAX(0,MIN($F327,EOMONTH(DATE(cfg_FY,3,1),0))-MAX($E327,DATE(cfg_FY,3,1))+1))</f>
        <v>0</v>
      </c>
      <c r="AW327" s="133" t="n">
        <f aca="false">IF(OR(OR($B327="",$E327="",$F327=""),$K327&lt;&gt;"نعم",$M327="نعم"),0,MAX(0,MIN($F327,EOMONTH(DATE(cfg_FY,4,1),0))-MAX($E327,DATE(cfg_FY,4,1))+1))</f>
        <v>0</v>
      </c>
      <c r="AX327" s="133" t="n">
        <f aca="false">IF(OR(OR($B327="",$E327="",$F327=""),$K327&lt;&gt;"نعم",$M327="نعم"),0,MAX(0,MIN($F327,EOMONTH(DATE(cfg_FY,5,1),0))-MAX($E327,DATE(cfg_FY,5,1))+1))</f>
        <v>0</v>
      </c>
      <c r="AY327" s="133" t="n">
        <f aca="false">IF(OR(OR($B327="",$E327="",$F327=""),$K327&lt;&gt;"نعم",$M327="نعم"),0,MAX(0,MIN($F327,EOMONTH(DATE(cfg_FY,6,1),0))-MAX($E327,DATE(cfg_FY,6,1))+1))</f>
        <v>0</v>
      </c>
      <c r="AZ327" s="133" t="n">
        <f aca="false">IF(OR(OR($B327="",$E327="",$F327=""),$K327&lt;&gt;"نعم",$M327="نعم"),0,MAX(0,MIN($F327,EOMONTH(DATE(cfg_FY,7,1),0))-MAX($E327,DATE(cfg_FY,7,1))+1))</f>
        <v>0</v>
      </c>
      <c r="BA327" s="133" t="n">
        <f aca="false">IF(OR(OR($B327="",$E327="",$F327=""),$K327&lt;&gt;"نعم",$M327="نعم"),0,MAX(0,MIN($F327,EOMONTH(DATE(cfg_FY,8,1),0))-MAX($E327,DATE(cfg_FY,8,1))+1))</f>
        <v>0</v>
      </c>
      <c r="BB327" s="133" t="n">
        <f aca="false">IF(OR(OR($B327="",$E327="",$F327=""),$K327&lt;&gt;"نعم",$M327="نعم"),0,MAX(0,MIN($F327,EOMONTH(DATE(cfg_FY,9,1),0))-MAX($E327,DATE(cfg_FY,9,1))+1))</f>
        <v>0</v>
      </c>
      <c r="BC327" s="133" t="n">
        <f aca="false">IF(OR(OR($B327="",$E327="",$F327=""),$K327&lt;&gt;"نعم",$M327="نعم"),0,MAX(0,MIN($F327,EOMONTH(DATE(cfg_FY,10,1),0))-MAX($E327,DATE(cfg_FY,10,1))+1))</f>
        <v>0</v>
      </c>
      <c r="BD327" s="133" t="n">
        <f aca="false">IF(OR(OR($B327="",$E327="",$F327=""),$K327&lt;&gt;"نعم",$M327="نعم"),0,MAX(0,MIN($F327,EOMONTH(DATE(cfg_FY,11,1),0))-MAX($E327,DATE(cfg_FY,11,1))+1))</f>
        <v>0</v>
      </c>
      <c r="BE327" s="133" t="n">
        <f aca="false">IF(OR(OR($B327="",$E327="",$F327=""),$K327&lt;&gt;"نعم",$M327="نعم"),0,MAX(0,MIN($F327,EOMONTH(DATE(cfg_FY,12,1),0))-MAX($E327,DATE(cfg_FY,12,1))+1))</f>
        <v>0</v>
      </c>
    </row>
    <row r="328" customFormat="false" ht="15" hidden="false" customHeight="false" outlineLevel="0" collapsed="false">
      <c r="A328" s="106" t="str">
        <f aca="false">IF(B328="","",ROW()-5)</f>
        <v/>
      </c>
      <c r="B328" s="118"/>
      <c r="C328" s="114" t="str">
        <f aca="false">IF(B328="","",IFERROR(INDEX(الموظفون!$C$6:$C$105,MATCH(B328,الموظفون!$B$6:$B$105,0)),"✖ رقم غير موجود"))</f>
        <v/>
      </c>
      <c r="D328" s="118"/>
      <c r="E328" s="119"/>
      <c r="F328" s="119"/>
      <c r="G328" s="65" t="str">
        <f aca="false">IF(OR($B328="",$E328="",$F328=""),"",MAX(0,F328-E328+1))</f>
        <v/>
      </c>
      <c r="H328" s="66" t="str">
        <f aca="false">IF(D328="","",IFERROR(VLOOKUP(D328,cfg_LT,2,FALSE()),1))</f>
        <v/>
      </c>
      <c r="I328" s="135"/>
      <c r="J328" s="66" t="str">
        <f aca="false">IF(D328="","",IF(I328&lt;&gt;"",I328,H328))</f>
        <v/>
      </c>
      <c r="K328" s="114" t="str">
        <f aca="false">IF(D328="","",IFERROR(VLOOKUP($D328,cfg_LT,3,FALSE()),""))</f>
        <v/>
      </c>
      <c r="L328" s="114" t="str">
        <f aca="false">IF(D328="","",IFERROR(VLOOKUP($D328,cfg_LT,4,FALSE()),""))</f>
        <v/>
      </c>
      <c r="M328" s="114" t="str">
        <f aca="false">IF(D328="","",IFERROR(VLOOKUP($D328,cfg_LT,5,FALSE()),""))</f>
        <v/>
      </c>
      <c r="N328" s="111" t="n">
        <f aca="false">IF(OR(OR($B328="",$E328="",$F328=""),M328&lt;&gt;"نعم"),0,G328*J328*IFERROR(INDEX(الموظفون!$R$6:$R$105,MATCH(B328,الموظفون!$B$6:$B$105,0)),0)/cfg_DAYS_M)</f>
        <v>0</v>
      </c>
      <c r="O328" s="106" t="str">
        <f aca="false">IF(OR(OR($B328="",$E328="",$F328=""),M328&lt;&gt;"نعم"),"",IF(YEAR(E328)=cfg_FY,MONTH(E328),""))</f>
        <v/>
      </c>
      <c r="P328" s="114" t="str">
        <f aca="false">IF(B328="","",IF(OR(D328="",E328="",F328=""),"⚠ أكمل النوع والتواريخ",IF(F328&lt;E328,"✖ النهاية قبل البداية",IF(COUNTIFS($B$6:$B$505,B328,$E$6:$E$505,"&lt;="&amp;F328,$F$6:$F$505,"&gt;="&amp;E328)&gt;1,"⚠ تداخل مع سجل آخر",IF(E328&gt;cfg_VAL_DATE,"⏳ قادمة",IF(F328&lt;cfg_VAL_DATE,"✔ منتهية","✈ جارية في تاريخ التقرير"))))))</f>
        <v/>
      </c>
      <c r="Q328" s="118"/>
      <c r="R328" s="65" t="n">
        <f aca="false">IF(OR(OR($B328="",$E328="",$F328=""),L328&lt;&gt;"لا"),0,MAX(0,MIN(F328,cfg_Y_START-1)-E328+1))</f>
        <v>0</v>
      </c>
      <c r="S328" s="65" t="n">
        <f aca="false">IF(OR(OR($B328="",$E328="",$F328=""),L328&lt;&gt;"لا"),0,MAX(0,MIN(F328,cfg_VAL_DATE)-E328+1))</f>
        <v>0</v>
      </c>
      <c r="T328" s="65" t="n">
        <f aca="false">IF(OR(OR($B328="",$E328="",$F328=""),K328&lt;&gt;"نعم"),0,IF(M328="نعم",IF(AND(ISNUMBER(O328),N(O328)&lt;=cfg_VAL_M),G328,0),MAX(0,MIN(F328,cfg_VAL_DATE)-MAX(E328,cfg_Y_START)+1)))</f>
        <v>0</v>
      </c>
      <c r="V328" s="65" t="n">
        <f aca="false">IF(OR($B328="",$E328="",$F328=""),0,MAX(0,MIN($F328,EOMONTH(DATE(cfg_FY,1,1),0))-MAX($E328,DATE(cfg_FY,1,1))+1)*(1-IF($M328="نعم",0,N($J328))))</f>
        <v>0</v>
      </c>
      <c r="W328" s="65" t="n">
        <f aca="false">IF(OR($B328="",$E328="",$F328=""),0,MAX(0,MIN($F328,EOMONTH(DATE(cfg_FY,2,1),0))-MAX($E328,DATE(cfg_FY,2,1))+1)*(1-IF($M328="نعم",0,N($J328))))</f>
        <v>0</v>
      </c>
      <c r="X328" s="65" t="n">
        <f aca="false">IF(OR($B328="",$E328="",$F328=""),0,MAX(0,MIN($F328,EOMONTH(DATE(cfg_FY,3,1),0))-MAX($E328,DATE(cfg_FY,3,1))+1)*(1-IF($M328="نعم",0,N($J328))))</f>
        <v>0</v>
      </c>
      <c r="Y328" s="65" t="n">
        <f aca="false">IF(OR($B328="",$E328="",$F328=""),0,MAX(0,MIN($F328,EOMONTH(DATE(cfg_FY,4,1),0))-MAX($E328,DATE(cfg_FY,4,1))+1)*(1-IF($M328="نعم",0,N($J328))))</f>
        <v>0</v>
      </c>
      <c r="Z328" s="65" t="n">
        <f aca="false">IF(OR($B328="",$E328="",$F328=""),0,MAX(0,MIN($F328,EOMONTH(DATE(cfg_FY,5,1),0))-MAX($E328,DATE(cfg_FY,5,1))+1)*(1-IF($M328="نعم",0,N($J328))))</f>
        <v>0</v>
      </c>
      <c r="AA328" s="65" t="n">
        <f aca="false">IF(OR($B328="",$E328="",$F328=""),0,MAX(0,MIN($F328,EOMONTH(DATE(cfg_FY,6,1),0))-MAX($E328,DATE(cfg_FY,6,1))+1)*(1-IF($M328="نعم",0,N($J328))))</f>
        <v>0</v>
      </c>
      <c r="AB328" s="65" t="n">
        <f aca="false">IF(OR($B328="",$E328="",$F328=""),0,MAX(0,MIN($F328,EOMONTH(DATE(cfg_FY,7,1),0))-MAX($E328,DATE(cfg_FY,7,1))+1)*(1-IF($M328="نعم",0,N($J328))))</f>
        <v>0</v>
      </c>
      <c r="AC328" s="65" t="n">
        <f aca="false">IF(OR($B328="",$E328="",$F328=""),0,MAX(0,MIN($F328,EOMONTH(DATE(cfg_FY,8,1),0))-MAX($E328,DATE(cfg_FY,8,1))+1)*(1-IF($M328="نعم",0,N($J328))))</f>
        <v>0</v>
      </c>
      <c r="AD328" s="65" t="n">
        <f aca="false">IF(OR($B328="",$E328="",$F328=""),0,MAX(0,MIN($F328,EOMONTH(DATE(cfg_FY,9,1),0))-MAX($E328,DATE(cfg_FY,9,1))+1)*(1-IF($M328="نعم",0,N($J328))))</f>
        <v>0</v>
      </c>
      <c r="AE328" s="65" t="n">
        <f aca="false">IF(OR($B328="",$E328="",$F328=""),0,MAX(0,MIN($F328,EOMONTH(DATE(cfg_FY,10,1),0))-MAX($E328,DATE(cfg_FY,10,1))+1)*(1-IF($M328="نعم",0,N($J328))))</f>
        <v>0</v>
      </c>
      <c r="AF328" s="65" t="n">
        <f aca="false">IF(OR($B328="",$E328="",$F328=""),0,MAX(0,MIN($F328,EOMONTH(DATE(cfg_FY,11,1),0))-MAX($E328,DATE(cfg_FY,11,1))+1)*(1-IF($M328="نعم",0,N($J328))))</f>
        <v>0</v>
      </c>
      <c r="AG328" s="65" t="n">
        <f aca="false">IF(OR($B328="",$E328="",$F328=""),0,MAX(0,MIN($F328,EOMONTH(DATE(cfg_FY,12,1),0))-MAX($E328,DATE(cfg_FY,12,1))+1)*(1-IF($M328="نعم",0,N($J328))))</f>
        <v>0</v>
      </c>
      <c r="AH328" s="65" t="n">
        <f aca="false">IF(OR(OR($B328="",$E328="",$F328=""),$L328&lt;&gt;"لا"),0,MAX(0,MIN($F328,EOMONTH(DATE(cfg_FY,1,1),0))-$E328+1))</f>
        <v>0</v>
      </c>
      <c r="AI328" s="65" t="n">
        <f aca="false">IF(OR(OR($B328="",$E328="",$F328=""),$L328&lt;&gt;"لا"),0,MAX(0,MIN($F328,EOMONTH(DATE(cfg_FY,2,1),0))-$E328+1))</f>
        <v>0</v>
      </c>
      <c r="AJ328" s="65" t="n">
        <f aca="false">IF(OR(OR($B328="",$E328="",$F328=""),$L328&lt;&gt;"لا"),0,MAX(0,MIN($F328,EOMONTH(DATE(cfg_FY,3,1),0))-$E328+1))</f>
        <v>0</v>
      </c>
      <c r="AK328" s="65" t="n">
        <f aca="false">IF(OR(OR($B328="",$E328="",$F328=""),$L328&lt;&gt;"لا"),0,MAX(0,MIN($F328,EOMONTH(DATE(cfg_FY,4,1),0))-$E328+1))</f>
        <v>0</v>
      </c>
      <c r="AL328" s="65" t="n">
        <f aca="false">IF(OR(OR($B328="",$E328="",$F328=""),$L328&lt;&gt;"لا"),0,MAX(0,MIN($F328,EOMONTH(DATE(cfg_FY,5,1),0))-$E328+1))</f>
        <v>0</v>
      </c>
      <c r="AM328" s="65" t="n">
        <f aca="false">IF(OR(OR($B328="",$E328="",$F328=""),$L328&lt;&gt;"لا"),0,MAX(0,MIN($F328,EOMONTH(DATE(cfg_FY,6,1),0))-$E328+1))</f>
        <v>0</v>
      </c>
      <c r="AN328" s="65" t="n">
        <f aca="false">IF(OR(OR($B328="",$E328="",$F328=""),$L328&lt;&gt;"لا"),0,MAX(0,MIN($F328,EOMONTH(DATE(cfg_FY,7,1),0))-$E328+1))</f>
        <v>0</v>
      </c>
      <c r="AO328" s="65" t="n">
        <f aca="false">IF(OR(OR($B328="",$E328="",$F328=""),$L328&lt;&gt;"لا"),0,MAX(0,MIN($F328,EOMONTH(DATE(cfg_FY,8,1),0))-$E328+1))</f>
        <v>0</v>
      </c>
      <c r="AP328" s="65" t="n">
        <f aca="false">IF(OR(OR($B328="",$E328="",$F328=""),$L328&lt;&gt;"لا"),0,MAX(0,MIN($F328,EOMONTH(DATE(cfg_FY,9,1),0))-$E328+1))</f>
        <v>0</v>
      </c>
      <c r="AQ328" s="65" t="n">
        <f aca="false">IF(OR(OR($B328="",$E328="",$F328=""),$L328&lt;&gt;"لا"),0,MAX(0,MIN($F328,EOMONTH(DATE(cfg_FY,10,1),0))-$E328+1))</f>
        <v>0</v>
      </c>
      <c r="AR328" s="65" t="n">
        <f aca="false">IF(OR(OR($B328="",$E328="",$F328=""),$L328&lt;&gt;"لا"),0,MAX(0,MIN($F328,EOMONTH(DATE(cfg_FY,11,1),0))-$E328+1))</f>
        <v>0</v>
      </c>
      <c r="AS328" s="65" t="n">
        <f aca="false">IF(OR(OR($B328="",$E328="",$F328=""),$L328&lt;&gt;"لا"),0,MAX(0,MIN($F328,EOMONTH(DATE(cfg_FY,12,1),0))-$E328+1))</f>
        <v>0</v>
      </c>
      <c r="AT328" s="65" t="n">
        <f aca="false">IF(OR(OR($B328="",$E328="",$F328=""),$K328&lt;&gt;"نعم",$M328="نعم"),0,MAX(0,MIN($F328,EOMONTH(DATE(cfg_FY,1,1),0))-MAX($E328,DATE(cfg_FY,1,1))+1))</f>
        <v>0</v>
      </c>
      <c r="AU328" s="65" t="n">
        <f aca="false">IF(OR(OR($B328="",$E328="",$F328=""),$K328&lt;&gt;"نعم",$M328="نعم"),0,MAX(0,MIN($F328,EOMONTH(DATE(cfg_FY,2,1),0))-MAX($E328,DATE(cfg_FY,2,1))+1))</f>
        <v>0</v>
      </c>
      <c r="AV328" s="65" t="n">
        <f aca="false">IF(OR(OR($B328="",$E328="",$F328=""),$K328&lt;&gt;"نعم",$M328="نعم"),0,MAX(0,MIN($F328,EOMONTH(DATE(cfg_FY,3,1),0))-MAX($E328,DATE(cfg_FY,3,1))+1))</f>
        <v>0</v>
      </c>
      <c r="AW328" s="65" t="n">
        <f aca="false">IF(OR(OR($B328="",$E328="",$F328=""),$K328&lt;&gt;"نعم",$M328="نعم"),0,MAX(0,MIN($F328,EOMONTH(DATE(cfg_FY,4,1),0))-MAX($E328,DATE(cfg_FY,4,1))+1))</f>
        <v>0</v>
      </c>
      <c r="AX328" s="65" t="n">
        <f aca="false">IF(OR(OR($B328="",$E328="",$F328=""),$K328&lt;&gt;"نعم",$M328="نعم"),0,MAX(0,MIN($F328,EOMONTH(DATE(cfg_FY,5,1),0))-MAX($E328,DATE(cfg_FY,5,1))+1))</f>
        <v>0</v>
      </c>
      <c r="AY328" s="65" t="n">
        <f aca="false">IF(OR(OR($B328="",$E328="",$F328=""),$K328&lt;&gt;"نعم",$M328="نعم"),0,MAX(0,MIN($F328,EOMONTH(DATE(cfg_FY,6,1),0))-MAX($E328,DATE(cfg_FY,6,1))+1))</f>
        <v>0</v>
      </c>
      <c r="AZ328" s="65" t="n">
        <f aca="false">IF(OR(OR($B328="",$E328="",$F328=""),$K328&lt;&gt;"نعم",$M328="نعم"),0,MAX(0,MIN($F328,EOMONTH(DATE(cfg_FY,7,1),0))-MAX($E328,DATE(cfg_FY,7,1))+1))</f>
        <v>0</v>
      </c>
      <c r="BA328" s="65" t="n">
        <f aca="false">IF(OR(OR($B328="",$E328="",$F328=""),$K328&lt;&gt;"نعم",$M328="نعم"),0,MAX(0,MIN($F328,EOMONTH(DATE(cfg_FY,8,1),0))-MAX($E328,DATE(cfg_FY,8,1))+1))</f>
        <v>0</v>
      </c>
      <c r="BB328" s="65" t="n">
        <f aca="false">IF(OR(OR($B328="",$E328="",$F328=""),$K328&lt;&gt;"نعم",$M328="نعم"),0,MAX(0,MIN($F328,EOMONTH(DATE(cfg_FY,9,1),0))-MAX($E328,DATE(cfg_FY,9,1))+1))</f>
        <v>0</v>
      </c>
      <c r="BC328" s="65" t="n">
        <f aca="false">IF(OR(OR($B328="",$E328="",$F328=""),$K328&lt;&gt;"نعم",$M328="نعم"),0,MAX(0,MIN($F328,EOMONTH(DATE(cfg_FY,10,1),0))-MAX($E328,DATE(cfg_FY,10,1))+1))</f>
        <v>0</v>
      </c>
      <c r="BD328" s="65" t="n">
        <f aca="false">IF(OR(OR($B328="",$E328="",$F328=""),$K328&lt;&gt;"نعم",$M328="نعم"),0,MAX(0,MIN($F328,EOMONTH(DATE(cfg_FY,11,1),0))-MAX($E328,DATE(cfg_FY,11,1))+1))</f>
        <v>0</v>
      </c>
      <c r="BE328" s="65" t="n">
        <f aca="false">IF(OR(OR($B328="",$E328="",$F328=""),$K328&lt;&gt;"نعم",$M328="نعم"),0,MAX(0,MIN($F328,EOMONTH(DATE(cfg_FY,12,1),0))-MAX($E328,DATE(cfg_FY,12,1))+1))</f>
        <v>0</v>
      </c>
    </row>
    <row r="329" customFormat="false" ht="15" hidden="false" customHeight="false" outlineLevel="0" collapsed="false">
      <c r="A329" s="115" t="str">
        <f aca="false">IF(B329="","",ROW()-5)</f>
        <v/>
      </c>
      <c r="B329" s="118"/>
      <c r="C329" s="117" t="str">
        <f aca="false">IF(B329="","",IFERROR(INDEX(الموظفون!$C$6:$C$105,MATCH(B329,الموظفون!$B$6:$B$105,0)),"✖ رقم غير موجود"))</f>
        <v/>
      </c>
      <c r="D329" s="118"/>
      <c r="E329" s="119"/>
      <c r="F329" s="119"/>
      <c r="G329" s="133" t="str">
        <f aca="false">IF(OR($B329="",$E329="",$F329=""),"",MAX(0,F329-E329+1))</f>
        <v/>
      </c>
      <c r="H329" s="134" t="str">
        <f aca="false">IF(D329="","",IFERROR(VLOOKUP(D329,cfg_LT,2,FALSE()),1))</f>
        <v/>
      </c>
      <c r="I329" s="135"/>
      <c r="J329" s="134" t="str">
        <f aca="false">IF(D329="","",IF(I329&lt;&gt;"",I329,H329))</f>
        <v/>
      </c>
      <c r="K329" s="117" t="str">
        <f aca="false">IF(D329="","",IFERROR(VLOOKUP($D329,cfg_LT,3,FALSE()),""))</f>
        <v/>
      </c>
      <c r="L329" s="117" t="str">
        <f aca="false">IF(D329="","",IFERROR(VLOOKUP($D329,cfg_LT,4,FALSE()),""))</f>
        <v/>
      </c>
      <c r="M329" s="117" t="str">
        <f aca="false">IF(D329="","",IFERROR(VLOOKUP($D329,cfg_LT,5,FALSE()),""))</f>
        <v/>
      </c>
      <c r="N329" s="116" t="n">
        <f aca="false">IF(OR(OR($B329="",$E329="",$F329=""),M329&lt;&gt;"نعم"),0,G329*J329*IFERROR(INDEX(الموظفون!$R$6:$R$105,MATCH(B329,الموظفون!$B$6:$B$105,0)),0)/cfg_DAYS_M)</f>
        <v>0</v>
      </c>
      <c r="O329" s="115" t="str">
        <f aca="false">IF(OR(OR($B329="",$E329="",$F329=""),M329&lt;&gt;"نعم"),"",IF(YEAR(E329)=cfg_FY,MONTH(E329),""))</f>
        <v/>
      </c>
      <c r="P329" s="117" t="str">
        <f aca="false">IF(B329="","",IF(OR(D329="",E329="",F329=""),"⚠ أكمل النوع والتواريخ",IF(F329&lt;E329,"✖ النهاية قبل البداية",IF(COUNTIFS($B$6:$B$505,B329,$E$6:$E$505,"&lt;="&amp;F329,$F$6:$F$505,"&gt;="&amp;E329)&gt;1,"⚠ تداخل مع سجل آخر",IF(E329&gt;cfg_VAL_DATE,"⏳ قادمة",IF(F329&lt;cfg_VAL_DATE,"✔ منتهية","✈ جارية في تاريخ التقرير"))))))</f>
        <v/>
      </c>
      <c r="Q329" s="118"/>
      <c r="R329" s="133" t="n">
        <f aca="false">IF(OR(OR($B329="",$E329="",$F329=""),L329&lt;&gt;"لا"),0,MAX(0,MIN(F329,cfg_Y_START-1)-E329+1))</f>
        <v>0</v>
      </c>
      <c r="S329" s="133" t="n">
        <f aca="false">IF(OR(OR($B329="",$E329="",$F329=""),L329&lt;&gt;"لا"),0,MAX(0,MIN(F329,cfg_VAL_DATE)-E329+1))</f>
        <v>0</v>
      </c>
      <c r="T329" s="133" t="n">
        <f aca="false">IF(OR(OR($B329="",$E329="",$F329=""),K329&lt;&gt;"نعم"),0,IF(M329="نعم",IF(AND(ISNUMBER(O329),N(O329)&lt;=cfg_VAL_M),G329,0),MAX(0,MIN(F329,cfg_VAL_DATE)-MAX(E329,cfg_Y_START)+1)))</f>
        <v>0</v>
      </c>
      <c r="V329" s="133" t="n">
        <f aca="false">IF(OR($B329="",$E329="",$F329=""),0,MAX(0,MIN($F329,EOMONTH(DATE(cfg_FY,1,1),0))-MAX($E329,DATE(cfg_FY,1,1))+1)*(1-IF($M329="نعم",0,N($J329))))</f>
        <v>0</v>
      </c>
      <c r="W329" s="133" t="n">
        <f aca="false">IF(OR($B329="",$E329="",$F329=""),0,MAX(0,MIN($F329,EOMONTH(DATE(cfg_FY,2,1),0))-MAX($E329,DATE(cfg_FY,2,1))+1)*(1-IF($M329="نعم",0,N($J329))))</f>
        <v>0</v>
      </c>
      <c r="X329" s="133" t="n">
        <f aca="false">IF(OR($B329="",$E329="",$F329=""),0,MAX(0,MIN($F329,EOMONTH(DATE(cfg_FY,3,1),0))-MAX($E329,DATE(cfg_FY,3,1))+1)*(1-IF($M329="نعم",0,N($J329))))</f>
        <v>0</v>
      </c>
      <c r="Y329" s="133" t="n">
        <f aca="false">IF(OR($B329="",$E329="",$F329=""),0,MAX(0,MIN($F329,EOMONTH(DATE(cfg_FY,4,1),0))-MAX($E329,DATE(cfg_FY,4,1))+1)*(1-IF($M329="نعم",0,N($J329))))</f>
        <v>0</v>
      </c>
      <c r="Z329" s="133" t="n">
        <f aca="false">IF(OR($B329="",$E329="",$F329=""),0,MAX(0,MIN($F329,EOMONTH(DATE(cfg_FY,5,1),0))-MAX($E329,DATE(cfg_FY,5,1))+1)*(1-IF($M329="نعم",0,N($J329))))</f>
        <v>0</v>
      </c>
      <c r="AA329" s="133" t="n">
        <f aca="false">IF(OR($B329="",$E329="",$F329=""),0,MAX(0,MIN($F329,EOMONTH(DATE(cfg_FY,6,1),0))-MAX($E329,DATE(cfg_FY,6,1))+1)*(1-IF($M329="نعم",0,N($J329))))</f>
        <v>0</v>
      </c>
      <c r="AB329" s="133" t="n">
        <f aca="false">IF(OR($B329="",$E329="",$F329=""),0,MAX(0,MIN($F329,EOMONTH(DATE(cfg_FY,7,1),0))-MAX($E329,DATE(cfg_FY,7,1))+1)*(1-IF($M329="نعم",0,N($J329))))</f>
        <v>0</v>
      </c>
      <c r="AC329" s="133" t="n">
        <f aca="false">IF(OR($B329="",$E329="",$F329=""),0,MAX(0,MIN($F329,EOMONTH(DATE(cfg_FY,8,1),0))-MAX($E329,DATE(cfg_FY,8,1))+1)*(1-IF($M329="نعم",0,N($J329))))</f>
        <v>0</v>
      </c>
      <c r="AD329" s="133" t="n">
        <f aca="false">IF(OR($B329="",$E329="",$F329=""),0,MAX(0,MIN($F329,EOMONTH(DATE(cfg_FY,9,1),0))-MAX($E329,DATE(cfg_FY,9,1))+1)*(1-IF($M329="نعم",0,N($J329))))</f>
        <v>0</v>
      </c>
      <c r="AE329" s="133" t="n">
        <f aca="false">IF(OR($B329="",$E329="",$F329=""),0,MAX(0,MIN($F329,EOMONTH(DATE(cfg_FY,10,1),0))-MAX($E329,DATE(cfg_FY,10,1))+1)*(1-IF($M329="نعم",0,N($J329))))</f>
        <v>0</v>
      </c>
      <c r="AF329" s="133" t="n">
        <f aca="false">IF(OR($B329="",$E329="",$F329=""),0,MAX(0,MIN($F329,EOMONTH(DATE(cfg_FY,11,1),0))-MAX($E329,DATE(cfg_FY,11,1))+1)*(1-IF($M329="نعم",0,N($J329))))</f>
        <v>0</v>
      </c>
      <c r="AG329" s="133" t="n">
        <f aca="false">IF(OR($B329="",$E329="",$F329=""),0,MAX(0,MIN($F329,EOMONTH(DATE(cfg_FY,12,1),0))-MAX($E329,DATE(cfg_FY,12,1))+1)*(1-IF($M329="نعم",0,N($J329))))</f>
        <v>0</v>
      </c>
      <c r="AH329" s="133" t="n">
        <f aca="false">IF(OR(OR($B329="",$E329="",$F329=""),$L329&lt;&gt;"لا"),0,MAX(0,MIN($F329,EOMONTH(DATE(cfg_FY,1,1),0))-$E329+1))</f>
        <v>0</v>
      </c>
      <c r="AI329" s="133" t="n">
        <f aca="false">IF(OR(OR($B329="",$E329="",$F329=""),$L329&lt;&gt;"لا"),0,MAX(0,MIN($F329,EOMONTH(DATE(cfg_FY,2,1),0))-$E329+1))</f>
        <v>0</v>
      </c>
      <c r="AJ329" s="133" t="n">
        <f aca="false">IF(OR(OR($B329="",$E329="",$F329=""),$L329&lt;&gt;"لا"),0,MAX(0,MIN($F329,EOMONTH(DATE(cfg_FY,3,1),0))-$E329+1))</f>
        <v>0</v>
      </c>
      <c r="AK329" s="133" t="n">
        <f aca="false">IF(OR(OR($B329="",$E329="",$F329=""),$L329&lt;&gt;"لا"),0,MAX(0,MIN($F329,EOMONTH(DATE(cfg_FY,4,1),0))-$E329+1))</f>
        <v>0</v>
      </c>
      <c r="AL329" s="133" t="n">
        <f aca="false">IF(OR(OR($B329="",$E329="",$F329=""),$L329&lt;&gt;"لا"),0,MAX(0,MIN($F329,EOMONTH(DATE(cfg_FY,5,1),0))-$E329+1))</f>
        <v>0</v>
      </c>
      <c r="AM329" s="133" t="n">
        <f aca="false">IF(OR(OR($B329="",$E329="",$F329=""),$L329&lt;&gt;"لا"),0,MAX(0,MIN($F329,EOMONTH(DATE(cfg_FY,6,1),0))-$E329+1))</f>
        <v>0</v>
      </c>
      <c r="AN329" s="133" t="n">
        <f aca="false">IF(OR(OR($B329="",$E329="",$F329=""),$L329&lt;&gt;"لا"),0,MAX(0,MIN($F329,EOMONTH(DATE(cfg_FY,7,1),0))-$E329+1))</f>
        <v>0</v>
      </c>
      <c r="AO329" s="133" t="n">
        <f aca="false">IF(OR(OR($B329="",$E329="",$F329=""),$L329&lt;&gt;"لا"),0,MAX(0,MIN($F329,EOMONTH(DATE(cfg_FY,8,1),0))-$E329+1))</f>
        <v>0</v>
      </c>
      <c r="AP329" s="133" t="n">
        <f aca="false">IF(OR(OR($B329="",$E329="",$F329=""),$L329&lt;&gt;"لا"),0,MAX(0,MIN($F329,EOMONTH(DATE(cfg_FY,9,1),0))-$E329+1))</f>
        <v>0</v>
      </c>
      <c r="AQ329" s="133" t="n">
        <f aca="false">IF(OR(OR($B329="",$E329="",$F329=""),$L329&lt;&gt;"لا"),0,MAX(0,MIN($F329,EOMONTH(DATE(cfg_FY,10,1),0))-$E329+1))</f>
        <v>0</v>
      </c>
      <c r="AR329" s="133" t="n">
        <f aca="false">IF(OR(OR($B329="",$E329="",$F329=""),$L329&lt;&gt;"لا"),0,MAX(0,MIN($F329,EOMONTH(DATE(cfg_FY,11,1),0))-$E329+1))</f>
        <v>0</v>
      </c>
      <c r="AS329" s="133" t="n">
        <f aca="false">IF(OR(OR($B329="",$E329="",$F329=""),$L329&lt;&gt;"لا"),0,MAX(0,MIN($F329,EOMONTH(DATE(cfg_FY,12,1),0))-$E329+1))</f>
        <v>0</v>
      </c>
      <c r="AT329" s="133" t="n">
        <f aca="false">IF(OR(OR($B329="",$E329="",$F329=""),$K329&lt;&gt;"نعم",$M329="نعم"),0,MAX(0,MIN($F329,EOMONTH(DATE(cfg_FY,1,1),0))-MAX($E329,DATE(cfg_FY,1,1))+1))</f>
        <v>0</v>
      </c>
      <c r="AU329" s="133" t="n">
        <f aca="false">IF(OR(OR($B329="",$E329="",$F329=""),$K329&lt;&gt;"نعم",$M329="نعم"),0,MAX(0,MIN($F329,EOMONTH(DATE(cfg_FY,2,1),0))-MAX($E329,DATE(cfg_FY,2,1))+1))</f>
        <v>0</v>
      </c>
      <c r="AV329" s="133" t="n">
        <f aca="false">IF(OR(OR($B329="",$E329="",$F329=""),$K329&lt;&gt;"نعم",$M329="نعم"),0,MAX(0,MIN($F329,EOMONTH(DATE(cfg_FY,3,1),0))-MAX($E329,DATE(cfg_FY,3,1))+1))</f>
        <v>0</v>
      </c>
      <c r="AW329" s="133" t="n">
        <f aca="false">IF(OR(OR($B329="",$E329="",$F329=""),$K329&lt;&gt;"نعم",$M329="نعم"),0,MAX(0,MIN($F329,EOMONTH(DATE(cfg_FY,4,1),0))-MAX($E329,DATE(cfg_FY,4,1))+1))</f>
        <v>0</v>
      </c>
      <c r="AX329" s="133" t="n">
        <f aca="false">IF(OR(OR($B329="",$E329="",$F329=""),$K329&lt;&gt;"نعم",$M329="نعم"),0,MAX(0,MIN($F329,EOMONTH(DATE(cfg_FY,5,1),0))-MAX($E329,DATE(cfg_FY,5,1))+1))</f>
        <v>0</v>
      </c>
      <c r="AY329" s="133" t="n">
        <f aca="false">IF(OR(OR($B329="",$E329="",$F329=""),$K329&lt;&gt;"نعم",$M329="نعم"),0,MAX(0,MIN($F329,EOMONTH(DATE(cfg_FY,6,1),0))-MAX($E329,DATE(cfg_FY,6,1))+1))</f>
        <v>0</v>
      </c>
      <c r="AZ329" s="133" t="n">
        <f aca="false">IF(OR(OR($B329="",$E329="",$F329=""),$K329&lt;&gt;"نعم",$M329="نعم"),0,MAX(0,MIN($F329,EOMONTH(DATE(cfg_FY,7,1),0))-MAX($E329,DATE(cfg_FY,7,1))+1))</f>
        <v>0</v>
      </c>
      <c r="BA329" s="133" t="n">
        <f aca="false">IF(OR(OR($B329="",$E329="",$F329=""),$K329&lt;&gt;"نعم",$M329="نعم"),0,MAX(0,MIN($F329,EOMONTH(DATE(cfg_FY,8,1),0))-MAX($E329,DATE(cfg_FY,8,1))+1))</f>
        <v>0</v>
      </c>
      <c r="BB329" s="133" t="n">
        <f aca="false">IF(OR(OR($B329="",$E329="",$F329=""),$K329&lt;&gt;"نعم",$M329="نعم"),0,MAX(0,MIN($F329,EOMONTH(DATE(cfg_FY,9,1),0))-MAX($E329,DATE(cfg_FY,9,1))+1))</f>
        <v>0</v>
      </c>
      <c r="BC329" s="133" t="n">
        <f aca="false">IF(OR(OR($B329="",$E329="",$F329=""),$K329&lt;&gt;"نعم",$M329="نعم"),0,MAX(0,MIN($F329,EOMONTH(DATE(cfg_FY,10,1),0))-MAX($E329,DATE(cfg_FY,10,1))+1))</f>
        <v>0</v>
      </c>
      <c r="BD329" s="133" t="n">
        <f aca="false">IF(OR(OR($B329="",$E329="",$F329=""),$K329&lt;&gt;"نعم",$M329="نعم"),0,MAX(0,MIN($F329,EOMONTH(DATE(cfg_FY,11,1),0))-MAX($E329,DATE(cfg_FY,11,1))+1))</f>
        <v>0</v>
      </c>
      <c r="BE329" s="133" t="n">
        <f aca="false">IF(OR(OR($B329="",$E329="",$F329=""),$K329&lt;&gt;"نعم",$M329="نعم"),0,MAX(0,MIN($F329,EOMONTH(DATE(cfg_FY,12,1),0))-MAX($E329,DATE(cfg_FY,12,1))+1))</f>
        <v>0</v>
      </c>
    </row>
    <row r="330" customFormat="false" ht="15" hidden="false" customHeight="false" outlineLevel="0" collapsed="false">
      <c r="A330" s="106" t="str">
        <f aca="false">IF(B330="","",ROW()-5)</f>
        <v/>
      </c>
      <c r="B330" s="118"/>
      <c r="C330" s="114" t="str">
        <f aca="false">IF(B330="","",IFERROR(INDEX(الموظفون!$C$6:$C$105,MATCH(B330,الموظفون!$B$6:$B$105,0)),"✖ رقم غير موجود"))</f>
        <v/>
      </c>
      <c r="D330" s="118"/>
      <c r="E330" s="119"/>
      <c r="F330" s="119"/>
      <c r="G330" s="65" t="str">
        <f aca="false">IF(OR($B330="",$E330="",$F330=""),"",MAX(0,F330-E330+1))</f>
        <v/>
      </c>
      <c r="H330" s="66" t="str">
        <f aca="false">IF(D330="","",IFERROR(VLOOKUP(D330,cfg_LT,2,FALSE()),1))</f>
        <v/>
      </c>
      <c r="I330" s="135"/>
      <c r="J330" s="66" t="str">
        <f aca="false">IF(D330="","",IF(I330&lt;&gt;"",I330,H330))</f>
        <v/>
      </c>
      <c r="K330" s="114" t="str">
        <f aca="false">IF(D330="","",IFERROR(VLOOKUP($D330,cfg_LT,3,FALSE()),""))</f>
        <v/>
      </c>
      <c r="L330" s="114" t="str">
        <f aca="false">IF(D330="","",IFERROR(VLOOKUP($D330,cfg_LT,4,FALSE()),""))</f>
        <v/>
      </c>
      <c r="M330" s="114" t="str">
        <f aca="false">IF(D330="","",IFERROR(VLOOKUP($D330,cfg_LT,5,FALSE()),""))</f>
        <v/>
      </c>
      <c r="N330" s="111" t="n">
        <f aca="false">IF(OR(OR($B330="",$E330="",$F330=""),M330&lt;&gt;"نعم"),0,G330*J330*IFERROR(INDEX(الموظفون!$R$6:$R$105,MATCH(B330,الموظفون!$B$6:$B$105,0)),0)/cfg_DAYS_M)</f>
        <v>0</v>
      </c>
      <c r="O330" s="106" t="str">
        <f aca="false">IF(OR(OR($B330="",$E330="",$F330=""),M330&lt;&gt;"نعم"),"",IF(YEAR(E330)=cfg_FY,MONTH(E330),""))</f>
        <v/>
      </c>
      <c r="P330" s="114" t="str">
        <f aca="false">IF(B330="","",IF(OR(D330="",E330="",F330=""),"⚠ أكمل النوع والتواريخ",IF(F330&lt;E330,"✖ النهاية قبل البداية",IF(COUNTIFS($B$6:$B$505,B330,$E$6:$E$505,"&lt;="&amp;F330,$F$6:$F$505,"&gt;="&amp;E330)&gt;1,"⚠ تداخل مع سجل آخر",IF(E330&gt;cfg_VAL_DATE,"⏳ قادمة",IF(F330&lt;cfg_VAL_DATE,"✔ منتهية","✈ جارية في تاريخ التقرير"))))))</f>
        <v/>
      </c>
      <c r="Q330" s="118"/>
      <c r="R330" s="65" t="n">
        <f aca="false">IF(OR(OR($B330="",$E330="",$F330=""),L330&lt;&gt;"لا"),0,MAX(0,MIN(F330,cfg_Y_START-1)-E330+1))</f>
        <v>0</v>
      </c>
      <c r="S330" s="65" t="n">
        <f aca="false">IF(OR(OR($B330="",$E330="",$F330=""),L330&lt;&gt;"لا"),0,MAX(0,MIN(F330,cfg_VAL_DATE)-E330+1))</f>
        <v>0</v>
      </c>
      <c r="T330" s="65" t="n">
        <f aca="false">IF(OR(OR($B330="",$E330="",$F330=""),K330&lt;&gt;"نعم"),0,IF(M330="نعم",IF(AND(ISNUMBER(O330),N(O330)&lt;=cfg_VAL_M),G330,0),MAX(0,MIN(F330,cfg_VAL_DATE)-MAX(E330,cfg_Y_START)+1)))</f>
        <v>0</v>
      </c>
      <c r="V330" s="65" t="n">
        <f aca="false">IF(OR($B330="",$E330="",$F330=""),0,MAX(0,MIN($F330,EOMONTH(DATE(cfg_FY,1,1),0))-MAX($E330,DATE(cfg_FY,1,1))+1)*(1-IF($M330="نعم",0,N($J330))))</f>
        <v>0</v>
      </c>
      <c r="W330" s="65" t="n">
        <f aca="false">IF(OR($B330="",$E330="",$F330=""),0,MAX(0,MIN($F330,EOMONTH(DATE(cfg_FY,2,1),0))-MAX($E330,DATE(cfg_FY,2,1))+1)*(1-IF($M330="نعم",0,N($J330))))</f>
        <v>0</v>
      </c>
      <c r="X330" s="65" t="n">
        <f aca="false">IF(OR($B330="",$E330="",$F330=""),0,MAX(0,MIN($F330,EOMONTH(DATE(cfg_FY,3,1),0))-MAX($E330,DATE(cfg_FY,3,1))+1)*(1-IF($M330="نعم",0,N($J330))))</f>
        <v>0</v>
      </c>
      <c r="Y330" s="65" t="n">
        <f aca="false">IF(OR($B330="",$E330="",$F330=""),0,MAX(0,MIN($F330,EOMONTH(DATE(cfg_FY,4,1),0))-MAX($E330,DATE(cfg_FY,4,1))+1)*(1-IF($M330="نعم",0,N($J330))))</f>
        <v>0</v>
      </c>
      <c r="Z330" s="65" t="n">
        <f aca="false">IF(OR($B330="",$E330="",$F330=""),0,MAX(0,MIN($F330,EOMONTH(DATE(cfg_FY,5,1),0))-MAX($E330,DATE(cfg_FY,5,1))+1)*(1-IF($M330="نعم",0,N($J330))))</f>
        <v>0</v>
      </c>
      <c r="AA330" s="65" t="n">
        <f aca="false">IF(OR($B330="",$E330="",$F330=""),0,MAX(0,MIN($F330,EOMONTH(DATE(cfg_FY,6,1),0))-MAX($E330,DATE(cfg_FY,6,1))+1)*(1-IF($M330="نعم",0,N($J330))))</f>
        <v>0</v>
      </c>
      <c r="AB330" s="65" t="n">
        <f aca="false">IF(OR($B330="",$E330="",$F330=""),0,MAX(0,MIN($F330,EOMONTH(DATE(cfg_FY,7,1),0))-MAX($E330,DATE(cfg_FY,7,1))+1)*(1-IF($M330="نعم",0,N($J330))))</f>
        <v>0</v>
      </c>
      <c r="AC330" s="65" t="n">
        <f aca="false">IF(OR($B330="",$E330="",$F330=""),0,MAX(0,MIN($F330,EOMONTH(DATE(cfg_FY,8,1),0))-MAX($E330,DATE(cfg_FY,8,1))+1)*(1-IF($M330="نعم",0,N($J330))))</f>
        <v>0</v>
      </c>
      <c r="AD330" s="65" t="n">
        <f aca="false">IF(OR($B330="",$E330="",$F330=""),0,MAX(0,MIN($F330,EOMONTH(DATE(cfg_FY,9,1),0))-MAX($E330,DATE(cfg_FY,9,1))+1)*(1-IF($M330="نعم",0,N($J330))))</f>
        <v>0</v>
      </c>
      <c r="AE330" s="65" t="n">
        <f aca="false">IF(OR($B330="",$E330="",$F330=""),0,MAX(0,MIN($F330,EOMONTH(DATE(cfg_FY,10,1),0))-MAX($E330,DATE(cfg_FY,10,1))+1)*(1-IF($M330="نعم",0,N($J330))))</f>
        <v>0</v>
      </c>
      <c r="AF330" s="65" t="n">
        <f aca="false">IF(OR($B330="",$E330="",$F330=""),0,MAX(0,MIN($F330,EOMONTH(DATE(cfg_FY,11,1),0))-MAX($E330,DATE(cfg_FY,11,1))+1)*(1-IF($M330="نعم",0,N($J330))))</f>
        <v>0</v>
      </c>
      <c r="AG330" s="65" t="n">
        <f aca="false">IF(OR($B330="",$E330="",$F330=""),0,MAX(0,MIN($F330,EOMONTH(DATE(cfg_FY,12,1),0))-MAX($E330,DATE(cfg_FY,12,1))+1)*(1-IF($M330="نعم",0,N($J330))))</f>
        <v>0</v>
      </c>
      <c r="AH330" s="65" t="n">
        <f aca="false">IF(OR(OR($B330="",$E330="",$F330=""),$L330&lt;&gt;"لا"),0,MAX(0,MIN($F330,EOMONTH(DATE(cfg_FY,1,1),0))-$E330+1))</f>
        <v>0</v>
      </c>
      <c r="AI330" s="65" t="n">
        <f aca="false">IF(OR(OR($B330="",$E330="",$F330=""),$L330&lt;&gt;"لا"),0,MAX(0,MIN($F330,EOMONTH(DATE(cfg_FY,2,1),0))-$E330+1))</f>
        <v>0</v>
      </c>
      <c r="AJ330" s="65" t="n">
        <f aca="false">IF(OR(OR($B330="",$E330="",$F330=""),$L330&lt;&gt;"لا"),0,MAX(0,MIN($F330,EOMONTH(DATE(cfg_FY,3,1),0))-$E330+1))</f>
        <v>0</v>
      </c>
      <c r="AK330" s="65" t="n">
        <f aca="false">IF(OR(OR($B330="",$E330="",$F330=""),$L330&lt;&gt;"لا"),0,MAX(0,MIN($F330,EOMONTH(DATE(cfg_FY,4,1),0))-$E330+1))</f>
        <v>0</v>
      </c>
      <c r="AL330" s="65" t="n">
        <f aca="false">IF(OR(OR($B330="",$E330="",$F330=""),$L330&lt;&gt;"لا"),0,MAX(0,MIN($F330,EOMONTH(DATE(cfg_FY,5,1),0))-$E330+1))</f>
        <v>0</v>
      </c>
      <c r="AM330" s="65" t="n">
        <f aca="false">IF(OR(OR($B330="",$E330="",$F330=""),$L330&lt;&gt;"لا"),0,MAX(0,MIN($F330,EOMONTH(DATE(cfg_FY,6,1),0))-$E330+1))</f>
        <v>0</v>
      </c>
      <c r="AN330" s="65" t="n">
        <f aca="false">IF(OR(OR($B330="",$E330="",$F330=""),$L330&lt;&gt;"لا"),0,MAX(0,MIN($F330,EOMONTH(DATE(cfg_FY,7,1),0))-$E330+1))</f>
        <v>0</v>
      </c>
      <c r="AO330" s="65" t="n">
        <f aca="false">IF(OR(OR($B330="",$E330="",$F330=""),$L330&lt;&gt;"لا"),0,MAX(0,MIN($F330,EOMONTH(DATE(cfg_FY,8,1),0))-$E330+1))</f>
        <v>0</v>
      </c>
      <c r="AP330" s="65" t="n">
        <f aca="false">IF(OR(OR($B330="",$E330="",$F330=""),$L330&lt;&gt;"لا"),0,MAX(0,MIN($F330,EOMONTH(DATE(cfg_FY,9,1),0))-$E330+1))</f>
        <v>0</v>
      </c>
      <c r="AQ330" s="65" t="n">
        <f aca="false">IF(OR(OR($B330="",$E330="",$F330=""),$L330&lt;&gt;"لا"),0,MAX(0,MIN($F330,EOMONTH(DATE(cfg_FY,10,1),0))-$E330+1))</f>
        <v>0</v>
      </c>
      <c r="AR330" s="65" t="n">
        <f aca="false">IF(OR(OR($B330="",$E330="",$F330=""),$L330&lt;&gt;"لا"),0,MAX(0,MIN($F330,EOMONTH(DATE(cfg_FY,11,1),0))-$E330+1))</f>
        <v>0</v>
      </c>
      <c r="AS330" s="65" t="n">
        <f aca="false">IF(OR(OR($B330="",$E330="",$F330=""),$L330&lt;&gt;"لا"),0,MAX(0,MIN($F330,EOMONTH(DATE(cfg_FY,12,1),0))-$E330+1))</f>
        <v>0</v>
      </c>
      <c r="AT330" s="65" t="n">
        <f aca="false">IF(OR(OR($B330="",$E330="",$F330=""),$K330&lt;&gt;"نعم",$M330="نعم"),0,MAX(0,MIN($F330,EOMONTH(DATE(cfg_FY,1,1),0))-MAX($E330,DATE(cfg_FY,1,1))+1))</f>
        <v>0</v>
      </c>
      <c r="AU330" s="65" t="n">
        <f aca="false">IF(OR(OR($B330="",$E330="",$F330=""),$K330&lt;&gt;"نعم",$M330="نعم"),0,MAX(0,MIN($F330,EOMONTH(DATE(cfg_FY,2,1),0))-MAX($E330,DATE(cfg_FY,2,1))+1))</f>
        <v>0</v>
      </c>
      <c r="AV330" s="65" t="n">
        <f aca="false">IF(OR(OR($B330="",$E330="",$F330=""),$K330&lt;&gt;"نعم",$M330="نعم"),0,MAX(0,MIN($F330,EOMONTH(DATE(cfg_FY,3,1),0))-MAX($E330,DATE(cfg_FY,3,1))+1))</f>
        <v>0</v>
      </c>
      <c r="AW330" s="65" t="n">
        <f aca="false">IF(OR(OR($B330="",$E330="",$F330=""),$K330&lt;&gt;"نعم",$M330="نعم"),0,MAX(0,MIN($F330,EOMONTH(DATE(cfg_FY,4,1),0))-MAX($E330,DATE(cfg_FY,4,1))+1))</f>
        <v>0</v>
      </c>
      <c r="AX330" s="65" t="n">
        <f aca="false">IF(OR(OR($B330="",$E330="",$F330=""),$K330&lt;&gt;"نعم",$M330="نعم"),0,MAX(0,MIN($F330,EOMONTH(DATE(cfg_FY,5,1),0))-MAX($E330,DATE(cfg_FY,5,1))+1))</f>
        <v>0</v>
      </c>
      <c r="AY330" s="65" t="n">
        <f aca="false">IF(OR(OR($B330="",$E330="",$F330=""),$K330&lt;&gt;"نعم",$M330="نعم"),0,MAX(0,MIN($F330,EOMONTH(DATE(cfg_FY,6,1),0))-MAX($E330,DATE(cfg_FY,6,1))+1))</f>
        <v>0</v>
      </c>
      <c r="AZ330" s="65" t="n">
        <f aca="false">IF(OR(OR($B330="",$E330="",$F330=""),$K330&lt;&gt;"نعم",$M330="نعم"),0,MAX(0,MIN($F330,EOMONTH(DATE(cfg_FY,7,1),0))-MAX($E330,DATE(cfg_FY,7,1))+1))</f>
        <v>0</v>
      </c>
      <c r="BA330" s="65" t="n">
        <f aca="false">IF(OR(OR($B330="",$E330="",$F330=""),$K330&lt;&gt;"نعم",$M330="نعم"),0,MAX(0,MIN($F330,EOMONTH(DATE(cfg_FY,8,1),0))-MAX($E330,DATE(cfg_FY,8,1))+1))</f>
        <v>0</v>
      </c>
      <c r="BB330" s="65" t="n">
        <f aca="false">IF(OR(OR($B330="",$E330="",$F330=""),$K330&lt;&gt;"نعم",$M330="نعم"),0,MAX(0,MIN($F330,EOMONTH(DATE(cfg_FY,9,1),0))-MAX($E330,DATE(cfg_FY,9,1))+1))</f>
        <v>0</v>
      </c>
      <c r="BC330" s="65" t="n">
        <f aca="false">IF(OR(OR($B330="",$E330="",$F330=""),$K330&lt;&gt;"نعم",$M330="نعم"),0,MAX(0,MIN($F330,EOMONTH(DATE(cfg_FY,10,1),0))-MAX($E330,DATE(cfg_FY,10,1))+1))</f>
        <v>0</v>
      </c>
      <c r="BD330" s="65" t="n">
        <f aca="false">IF(OR(OR($B330="",$E330="",$F330=""),$K330&lt;&gt;"نعم",$M330="نعم"),0,MAX(0,MIN($F330,EOMONTH(DATE(cfg_FY,11,1),0))-MAX($E330,DATE(cfg_FY,11,1))+1))</f>
        <v>0</v>
      </c>
      <c r="BE330" s="65" t="n">
        <f aca="false">IF(OR(OR($B330="",$E330="",$F330=""),$K330&lt;&gt;"نعم",$M330="نعم"),0,MAX(0,MIN($F330,EOMONTH(DATE(cfg_FY,12,1),0))-MAX($E330,DATE(cfg_FY,12,1))+1))</f>
        <v>0</v>
      </c>
    </row>
    <row r="331" customFormat="false" ht="15" hidden="false" customHeight="false" outlineLevel="0" collapsed="false">
      <c r="A331" s="115" t="str">
        <f aca="false">IF(B331="","",ROW()-5)</f>
        <v/>
      </c>
      <c r="B331" s="118"/>
      <c r="C331" s="117" t="str">
        <f aca="false">IF(B331="","",IFERROR(INDEX(الموظفون!$C$6:$C$105,MATCH(B331,الموظفون!$B$6:$B$105,0)),"✖ رقم غير موجود"))</f>
        <v/>
      </c>
      <c r="D331" s="118"/>
      <c r="E331" s="119"/>
      <c r="F331" s="119"/>
      <c r="G331" s="133" t="str">
        <f aca="false">IF(OR($B331="",$E331="",$F331=""),"",MAX(0,F331-E331+1))</f>
        <v/>
      </c>
      <c r="H331" s="134" t="str">
        <f aca="false">IF(D331="","",IFERROR(VLOOKUP(D331,cfg_LT,2,FALSE()),1))</f>
        <v/>
      </c>
      <c r="I331" s="135"/>
      <c r="J331" s="134" t="str">
        <f aca="false">IF(D331="","",IF(I331&lt;&gt;"",I331,H331))</f>
        <v/>
      </c>
      <c r="K331" s="117" t="str">
        <f aca="false">IF(D331="","",IFERROR(VLOOKUP($D331,cfg_LT,3,FALSE()),""))</f>
        <v/>
      </c>
      <c r="L331" s="117" t="str">
        <f aca="false">IF(D331="","",IFERROR(VLOOKUP($D331,cfg_LT,4,FALSE()),""))</f>
        <v/>
      </c>
      <c r="M331" s="117" t="str">
        <f aca="false">IF(D331="","",IFERROR(VLOOKUP($D331,cfg_LT,5,FALSE()),""))</f>
        <v/>
      </c>
      <c r="N331" s="116" t="n">
        <f aca="false">IF(OR(OR($B331="",$E331="",$F331=""),M331&lt;&gt;"نعم"),0,G331*J331*IFERROR(INDEX(الموظفون!$R$6:$R$105,MATCH(B331,الموظفون!$B$6:$B$105,0)),0)/cfg_DAYS_M)</f>
        <v>0</v>
      </c>
      <c r="O331" s="115" t="str">
        <f aca="false">IF(OR(OR($B331="",$E331="",$F331=""),M331&lt;&gt;"نعم"),"",IF(YEAR(E331)=cfg_FY,MONTH(E331),""))</f>
        <v/>
      </c>
      <c r="P331" s="117" t="str">
        <f aca="false">IF(B331="","",IF(OR(D331="",E331="",F331=""),"⚠ أكمل النوع والتواريخ",IF(F331&lt;E331,"✖ النهاية قبل البداية",IF(COUNTIFS($B$6:$B$505,B331,$E$6:$E$505,"&lt;="&amp;F331,$F$6:$F$505,"&gt;="&amp;E331)&gt;1,"⚠ تداخل مع سجل آخر",IF(E331&gt;cfg_VAL_DATE,"⏳ قادمة",IF(F331&lt;cfg_VAL_DATE,"✔ منتهية","✈ جارية في تاريخ التقرير"))))))</f>
        <v/>
      </c>
      <c r="Q331" s="118"/>
      <c r="R331" s="133" t="n">
        <f aca="false">IF(OR(OR($B331="",$E331="",$F331=""),L331&lt;&gt;"لا"),0,MAX(0,MIN(F331,cfg_Y_START-1)-E331+1))</f>
        <v>0</v>
      </c>
      <c r="S331" s="133" t="n">
        <f aca="false">IF(OR(OR($B331="",$E331="",$F331=""),L331&lt;&gt;"لا"),0,MAX(0,MIN(F331,cfg_VAL_DATE)-E331+1))</f>
        <v>0</v>
      </c>
      <c r="T331" s="133" t="n">
        <f aca="false">IF(OR(OR($B331="",$E331="",$F331=""),K331&lt;&gt;"نعم"),0,IF(M331="نعم",IF(AND(ISNUMBER(O331),N(O331)&lt;=cfg_VAL_M),G331,0),MAX(0,MIN(F331,cfg_VAL_DATE)-MAX(E331,cfg_Y_START)+1)))</f>
        <v>0</v>
      </c>
      <c r="V331" s="133" t="n">
        <f aca="false">IF(OR($B331="",$E331="",$F331=""),0,MAX(0,MIN($F331,EOMONTH(DATE(cfg_FY,1,1),0))-MAX($E331,DATE(cfg_FY,1,1))+1)*(1-IF($M331="نعم",0,N($J331))))</f>
        <v>0</v>
      </c>
      <c r="W331" s="133" t="n">
        <f aca="false">IF(OR($B331="",$E331="",$F331=""),0,MAX(0,MIN($F331,EOMONTH(DATE(cfg_FY,2,1),0))-MAX($E331,DATE(cfg_FY,2,1))+1)*(1-IF($M331="نعم",0,N($J331))))</f>
        <v>0</v>
      </c>
      <c r="X331" s="133" t="n">
        <f aca="false">IF(OR($B331="",$E331="",$F331=""),0,MAX(0,MIN($F331,EOMONTH(DATE(cfg_FY,3,1),0))-MAX($E331,DATE(cfg_FY,3,1))+1)*(1-IF($M331="نعم",0,N($J331))))</f>
        <v>0</v>
      </c>
      <c r="Y331" s="133" t="n">
        <f aca="false">IF(OR($B331="",$E331="",$F331=""),0,MAX(0,MIN($F331,EOMONTH(DATE(cfg_FY,4,1),0))-MAX($E331,DATE(cfg_FY,4,1))+1)*(1-IF($M331="نعم",0,N($J331))))</f>
        <v>0</v>
      </c>
      <c r="Z331" s="133" t="n">
        <f aca="false">IF(OR($B331="",$E331="",$F331=""),0,MAX(0,MIN($F331,EOMONTH(DATE(cfg_FY,5,1),0))-MAX($E331,DATE(cfg_FY,5,1))+1)*(1-IF($M331="نعم",0,N($J331))))</f>
        <v>0</v>
      </c>
      <c r="AA331" s="133" t="n">
        <f aca="false">IF(OR($B331="",$E331="",$F331=""),0,MAX(0,MIN($F331,EOMONTH(DATE(cfg_FY,6,1),0))-MAX($E331,DATE(cfg_FY,6,1))+1)*(1-IF($M331="نعم",0,N($J331))))</f>
        <v>0</v>
      </c>
      <c r="AB331" s="133" t="n">
        <f aca="false">IF(OR($B331="",$E331="",$F331=""),0,MAX(0,MIN($F331,EOMONTH(DATE(cfg_FY,7,1),0))-MAX($E331,DATE(cfg_FY,7,1))+1)*(1-IF($M331="نعم",0,N($J331))))</f>
        <v>0</v>
      </c>
      <c r="AC331" s="133" t="n">
        <f aca="false">IF(OR($B331="",$E331="",$F331=""),0,MAX(0,MIN($F331,EOMONTH(DATE(cfg_FY,8,1),0))-MAX($E331,DATE(cfg_FY,8,1))+1)*(1-IF($M331="نعم",0,N($J331))))</f>
        <v>0</v>
      </c>
      <c r="AD331" s="133" t="n">
        <f aca="false">IF(OR($B331="",$E331="",$F331=""),0,MAX(0,MIN($F331,EOMONTH(DATE(cfg_FY,9,1),0))-MAX($E331,DATE(cfg_FY,9,1))+1)*(1-IF($M331="نعم",0,N($J331))))</f>
        <v>0</v>
      </c>
      <c r="AE331" s="133" t="n">
        <f aca="false">IF(OR($B331="",$E331="",$F331=""),0,MAX(0,MIN($F331,EOMONTH(DATE(cfg_FY,10,1),0))-MAX($E331,DATE(cfg_FY,10,1))+1)*(1-IF($M331="نعم",0,N($J331))))</f>
        <v>0</v>
      </c>
      <c r="AF331" s="133" t="n">
        <f aca="false">IF(OR($B331="",$E331="",$F331=""),0,MAX(0,MIN($F331,EOMONTH(DATE(cfg_FY,11,1),0))-MAX($E331,DATE(cfg_FY,11,1))+1)*(1-IF($M331="نعم",0,N($J331))))</f>
        <v>0</v>
      </c>
      <c r="AG331" s="133" t="n">
        <f aca="false">IF(OR($B331="",$E331="",$F331=""),0,MAX(0,MIN($F331,EOMONTH(DATE(cfg_FY,12,1),0))-MAX($E331,DATE(cfg_FY,12,1))+1)*(1-IF($M331="نعم",0,N($J331))))</f>
        <v>0</v>
      </c>
      <c r="AH331" s="133" t="n">
        <f aca="false">IF(OR(OR($B331="",$E331="",$F331=""),$L331&lt;&gt;"لا"),0,MAX(0,MIN($F331,EOMONTH(DATE(cfg_FY,1,1),0))-$E331+1))</f>
        <v>0</v>
      </c>
      <c r="AI331" s="133" t="n">
        <f aca="false">IF(OR(OR($B331="",$E331="",$F331=""),$L331&lt;&gt;"لا"),0,MAX(0,MIN($F331,EOMONTH(DATE(cfg_FY,2,1),0))-$E331+1))</f>
        <v>0</v>
      </c>
      <c r="AJ331" s="133" t="n">
        <f aca="false">IF(OR(OR($B331="",$E331="",$F331=""),$L331&lt;&gt;"لا"),0,MAX(0,MIN($F331,EOMONTH(DATE(cfg_FY,3,1),0))-$E331+1))</f>
        <v>0</v>
      </c>
      <c r="AK331" s="133" t="n">
        <f aca="false">IF(OR(OR($B331="",$E331="",$F331=""),$L331&lt;&gt;"لا"),0,MAX(0,MIN($F331,EOMONTH(DATE(cfg_FY,4,1),0))-$E331+1))</f>
        <v>0</v>
      </c>
      <c r="AL331" s="133" t="n">
        <f aca="false">IF(OR(OR($B331="",$E331="",$F331=""),$L331&lt;&gt;"لا"),0,MAX(0,MIN($F331,EOMONTH(DATE(cfg_FY,5,1),0))-$E331+1))</f>
        <v>0</v>
      </c>
      <c r="AM331" s="133" t="n">
        <f aca="false">IF(OR(OR($B331="",$E331="",$F331=""),$L331&lt;&gt;"لا"),0,MAX(0,MIN($F331,EOMONTH(DATE(cfg_FY,6,1),0))-$E331+1))</f>
        <v>0</v>
      </c>
      <c r="AN331" s="133" t="n">
        <f aca="false">IF(OR(OR($B331="",$E331="",$F331=""),$L331&lt;&gt;"لا"),0,MAX(0,MIN($F331,EOMONTH(DATE(cfg_FY,7,1),0))-$E331+1))</f>
        <v>0</v>
      </c>
      <c r="AO331" s="133" t="n">
        <f aca="false">IF(OR(OR($B331="",$E331="",$F331=""),$L331&lt;&gt;"لا"),0,MAX(0,MIN($F331,EOMONTH(DATE(cfg_FY,8,1),0))-$E331+1))</f>
        <v>0</v>
      </c>
      <c r="AP331" s="133" t="n">
        <f aca="false">IF(OR(OR($B331="",$E331="",$F331=""),$L331&lt;&gt;"لا"),0,MAX(0,MIN($F331,EOMONTH(DATE(cfg_FY,9,1),0))-$E331+1))</f>
        <v>0</v>
      </c>
      <c r="AQ331" s="133" t="n">
        <f aca="false">IF(OR(OR($B331="",$E331="",$F331=""),$L331&lt;&gt;"لا"),0,MAX(0,MIN($F331,EOMONTH(DATE(cfg_FY,10,1),0))-$E331+1))</f>
        <v>0</v>
      </c>
      <c r="AR331" s="133" t="n">
        <f aca="false">IF(OR(OR($B331="",$E331="",$F331=""),$L331&lt;&gt;"لا"),0,MAX(0,MIN($F331,EOMONTH(DATE(cfg_FY,11,1),0))-$E331+1))</f>
        <v>0</v>
      </c>
      <c r="AS331" s="133" t="n">
        <f aca="false">IF(OR(OR($B331="",$E331="",$F331=""),$L331&lt;&gt;"لا"),0,MAX(0,MIN($F331,EOMONTH(DATE(cfg_FY,12,1),0))-$E331+1))</f>
        <v>0</v>
      </c>
      <c r="AT331" s="133" t="n">
        <f aca="false">IF(OR(OR($B331="",$E331="",$F331=""),$K331&lt;&gt;"نعم",$M331="نعم"),0,MAX(0,MIN($F331,EOMONTH(DATE(cfg_FY,1,1),0))-MAX($E331,DATE(cfg_FY,1,1))+1))</f>
        <v>0</v>
      </c>
      <c r="AU331" s="133" t="n">
        <f aca="false">IF(OR(OR($B331="",$E331="",$F331=""),$K331&lt;&gt;"نعم",$M331="نعم"),0,MAX(0,MIN($F331,EOMONTH(DATE(cfg_FY,2,1),0))-MAX($E331,DATE(cfg_FY,2,1))+1))</f>
        <v>0</v>
      </c>
      <c r="AV331" s="133" t="n">
        <f aca="false">IF(OR(OR($B331="",$E331="",$F331=""),$K331&lt;&gt;"نعم",$M331="نعم"),0,MAX(0,MIN($F331,EOMONTH(DATE(cfg_FY,3,1),0))-MAX($E331,DATE(cfg_FY,3,1))+1))</f>
        <v>0</v>
      </c>
      <c r="AW331" s="133" t="n">
        <f aca="false">IF(OR(OR($B331="",$E331="",$F331=""),$K331&lt;&gt;"نعم",$M331="نعم"),0,MAX(0,MIN($F331,EOMONTH(DATE(cfg_FY,4,1),0))-MAX($E331,DATE(cfg_FY,4,1))+1))</f>
        <v>0</v>
      </c>
      <c r="AX331" s="133" t="n">
        <f aca="false">IF(OR(OR($B331="",$E331="",$F331=""),$K331&lt;&gt;"نعم",$M331="نعم"),0,MAX(0,MIN($F331,EOMONTH(DATE(cfg_FY,5,1),0))-MAX($E331,DATE(cfg_FY,5,1))+1))</f>
        <v>0</v>
      </c>
      <c r="AY331" s="133" t="n">
        <f aca="false">IF(OR(OR($B331="",$E331="",$F331=""),$K331&lt;&gt;"نعم",$M331="نعم"),0,MAX(0,MIN($F331,EOMONTH(DATE(cfg_FY,6,1),0))-MAX($E331,DATE(cfg_FY,6,1))+1))</f>
        <v>0</v>
      </c>
      <c r="AZ331" s="133" t="n">
        <f aca="false">IF(OR(OR($B331="",$E331="",$F331=""),$K331&lt;&gt;"نعم",$M331="نعم"),0,MAX(0,MIN($F331,EOMONTH(DATE(cfg_FY,7,1),0))-MAX($E331,DATE(cfg_FY,7,1))+1))</f>
        <v>0</v>
      </c>
      <c r="BA331" s="133" t="n">
        <f aca="false">IF(OR(OR($B331="",$E331="",$F331=""),$K331&lt;&gt;"نعم",$M331="نعم"),0,MAX(0,MIN($F331,EOMONTH(DATE(cfg_FY,8,1),0))-MAX($E331,DATE(cfg_FY,8,1))+1))</f>
        <v>0</v>
      </c>
      <c r="BB331" s="133" t="n">
        <f aca="false">IF(OR(OR($B331="",$E331="",$F331=""),$K331&lt;&gt;"نعم",$M331="نعم"),0,MAX(0,MIN($F331,EOMONTH(DATE(cfg_FY,9,1),0))-MAX($E331,DATE(cfg_FY,9,1))+1))</f>
        <v>0</v>
      </c>
      <c r="BC331" s="133" t="n">
        <f aca="false">IF(OR(OR($B331="",$E331="",$F331=""),$K331&lt;&gt;"نعم",$M331="نعم"),0,MAX(0,MIN($F331,EOMONTH(DATE(cfg_FY,10,1),0))-MAX($E331,DATE(cfg_FY,10,1))+1))</f>
        <v>0</v>
      </c>
      <c r="BD331" s="133" t="n">
        <f aca="false">IF(OR(OR($B331="",$E331="",$F331=""),$K331&lt;&gt;"نعم",$M331="نعم"),0,MAX(0,MIN($F331,EOMONTH(DATE(cfg_FY,11,1),0))-MAX($E331,DATE(cfg_FY,11,1))+1))</f>
        <v>0</v>
      </c>
      <c r="BE331" s="133" t="n">
        <f aca="false">IF(OR(OR($B331="",$E331="",$F331=""),$K331&lt;&gt;"نعم",$M331="نعم"),0,MAX(0,MIN($F331,EOMONTH(DATE(cfg_FY,12,1),0))-MAX($E331,DATE(cfg_FY,12,1))+1))</f>
        <v>0</v>
      </c>
    </row>
    <row r="332" customFormat="false" ht="15" hidden="false" customHeight="false" outlineLevel="0" collapsed="false">
      <c r="A332" s="106" t="str">
        <f aca="false">IF(B332="","",ROW()-5)</f>
        <v/>
      </c>
      <c r="B332" s="118"/>
      <c r="C332" s="114" t="str">
        <f aca="false">IF(B332="","",IFERROR(INDEX(الموظفون!$C$6:$C$105,MATCH(B332,الموظفون!$B$6:$B$105,0)),"✖ رقم غير موجود"))</f>
        <v/>
      </c>
      <c r="D332" s="118"/>
      <c r="E332" s="119"/>
      <c r="F332" s="119"/>
      <c r="G332" s="65" t="str">
        <f aca="false">IF(OR($B332="",$E332="",$F332=""),"",MAX(0,F332-E332+1))</f>
        <v/>
      </c>
      <c r="H332" s="66" t="str">
        <f aca="false">IF(D332="","",IFERROR(VLOOKUP(D332,cfg_LT,2,FALSE()),1))</f>
        <v/>
      </c>
      <c r="I332" s="135"/>
      <c r="J332" s="66" t="str">
        <f aca="false">IF(D332="","",IF(I332&lt;&gt;"",I332,H332))</f>
        <v/>
      </c>
      <c r="K332" s="114" t="str">
        <f aca="false">IF(D332="","",IFERROR(VLOOKUP($D332,cfg_LT,3,FALSE()),""))</f>
        <v/>
      </c>
      <c r="L332" s="114" t="str">
        <f aca="false">IF(D332="","",IFERROR(VLOOKUP($D332,cfg_LT,4,FALSE()),""))</f>
        <v/>
      </c>
      <c r="M332" s="114" t="str">
        <f aca="false">IF(D332="","",IFERROR(VLOOKUP($D332,cfg_LT,5,FALSE()),""))</f>
        <v/>
      </c>
      <c r="N332" s="111" t="n">
        <f aca="false">IF(OR(OR($B332="",$E332="",$F332=""),M332&lt;&gt;"نعم"),0,G332*J332*IFERROR(INDEX(الموظفون!$R$6:$R$105,MATCH(B332,الموظفون!$B$6:$B$105,0)),0)/cfg_DAYS_M)</f>
        <v>0</v>
      </c>
      <c r="O332" s="106" t="str">
        <f aca="false">IF(OR(OR($B332="",$E332="",$F332=""),M332&lt;&gt;"نعم"),"",IF(YEAR(E332)=cfg_FY,MONTH(E332),""))</f>
        <v/>
      </c>
      <c r="P332" s="114" t="str">
        <f aca="false">IF(B332="","",IF(OR(D332="",E332="",F332=""),"⚠ أكمل النوع والتواريخ",IF(F332&lt;E332,"✖ النهاية قبل البداية",IF(COUNTIFS($B$6:$B$505,B332,$E$6:$E$505,"&lt;="&amp;F332,$F$6:$F$505,"&gt;="&amp;E332)&gt;1,"⚠ تداخل مع سجل آخر",IF(E332&gt;cfg_VAL_DATE,"⏳ قادمة",IF(F332&lt;cfg_VAL_DATE,"✔ منتهية","✈ جارية في تاريخ التقرير"))))))</f>
        <v/>
      </c>
      <c r="Q332" s="118"/>
      <c r="R332" s="65" t="n">
        <f aca="false">IF(OR(OR($B332="",$E332="",$F332=""),L332&lt;&gt;"لا"),0,MAX(0,MIN(F332,cfg_Y_START-1)-E332+1))</f>
        <v>0</v>
      </c>
      <c r="S332" s="65" t="n">
        <f aca="false">IF(OR(OR($B332="",$E332="",$F332=""),L332&lt;&gt;"لا"),0,MAX(0,MIN(F332,cfg_VAL_DATE)-E332+1))</f>
        <v>0</v>
      </c>
      <c r="T332" s="65" t="n">
        <f aca="false">IF(OR(OR($B332="",$E332="",$F332=""),K332&lt;&gt;"نعم"),0,IF(M332="نعم",IF(AND(ISNUMBER(O332),N(O332)&lt;=cfg_VAL_M),G332,0),MAX(0,MIN(F332,cfg_VAL_DATE)-MAX(E332,cfg_Y_START)+1)))</f>
        <v>0</v>
      </c>
      <c r="V332" s="65" t="n">
        <f aca="false">IF(OR($B332="",$E332="",$F332=""),0,MAX(0,MIN($F332,EOMONTH(DATE(cfg_FY,1,1),0))-MAX($E332,DATE(cfg_FY,1,1))+1)*(1-IF($M332="نعم",0,N($J332))))</f>
        <v>0</v>
      </c>
      <c r="W332" s="65" t="n">
        <f aca="false">IF(OR($B332="",$E332="",$F332=""),0,MAX(0,MIN($F332,EOMONTH(DATE(cfg_FY,2,1),0))-MAX($E332,DATE(cfg_FY,2,1))+1)*(1-IF($M332="نعم",0,N($J332))))</f>
        <v>0</v>
      </c>
      <c r="X332" s="65" t="n">
        <f aca="false">IF(OR($B332="",$E332="",$F332=""),0,MAX(0,MIN($F332,EOMONTH(DATE(cfg_FY,3,1),0))-MAX($E332,DATE(cfg_FY,3,1))+1)*(1-IF($M332="نعم",0,N($J332))))</f>
        <v>0</v>
      </c>
      <c r="Y332" s="65" t="n">
        <f aca="false">IF(OR($B332="",$E332="",$F332=""),0,MAX(0,MIN($F332,EOMONTH(DATE(cfg_FY,4,1),0))-MAX($E332,DATE(cfg_FY,4,1))+1)*(1-IF($M332="نعم",0,N($J332))))</f>
        <v>0</v>
      </c>
      <c r="Z332" s="65" t="n">
        <f aca="false">IF(OR($B332="",$E332="",$F332=""),0,MAX(0,MIN($F332,EOMONTH(DATE(cfg_FY,5,1),0))-MAX($E332,DATE(cfg_FY,5,1))+1)*(1-IF($M332="نعم",0,N($J332))))</f>
        <v>0</v>
      </c>
      <c r="AA332" s="65" t="n">
        <f aca="false">IF(OR($B332="",$E332="",$F332=""),0,MAX(0,MIN($F332,EOMONTH(DATE(cfg_FY,6,1),0))-MAX($E332,DATE(cfg_FY,6,1))+1)*(1-IF($M332="نعم",0,N($J332))))</f>
        <v>0</v>
      </c>
      <c r="AB332" s="65" t="n">
        <f aca="false">IF(OR($B332="",$E332="",$F332=""),0,MAX(0,MIN($F332,EOMONTH(DATE(cfg_FY,7,1),0))-MAX($E332,DATE(cfg_FY,7,1))+1)*(1-IF($M332="نعم",0,N($J332))))</f>
        <v>0</v>
      </c>
      <c r="AC332" s="65" t="n">
        <f aca="false">IF(OR($B332="",$E332="",$F332=""),0,MAX(0,MIN($F332,EOMONTH(DATE(cfg_FY,8,1),0))-MAX($E332,DATE(cfg_FY,8,1))+1)*(1-IF($M332="نعم",0,N($J332))))</f>
        <v>0</v>
      </c>
      <c r="AD332" s="65" t="n">
        <f aca="false">IF(OR($B332="",$E332="",$F332=""),0,MAX(0,MIN($F332,EOMONTH(DATE(cfg_FY,9,1),0))-MAX($E332,DATE(cfg_FY,9,1))+1)*(1-IF($M332="نعم",0,N($J332))))</f>
        <v>0</v>
      </c>
      <c r="AE332" s="65" t="n">
        <f aca="false">IF(OR($B332="",$E332="",$F332=""),0,MAX(0,MIN($F332,EOMONTH(DATE(cfg_FY,10,1),0))-MAX($E332,DATE(cfg_FY,10,1))+1)*(1-IF($M332="نعم",0,N($J332))))</f>
        <v>0</v>
      </c>
      <c r="AF332" s="65" t="n">
        <f aca="false">IF(OR($B332="",$E332="",$F332=""),0,MAX(0,MIN($F332,EOMONTH(DATE(cfg_FY,11,1),0))-MAX($E332,DATE(cfg_FY,11,1))+1)*(1-IF($M332="نعم",0,N($J332))))</f>
        <v>0</v>
      </c>
      <c r="AG332" s="65" t="n">
        <f aca="false">IF(OR($B332="",$E332="",$F332=""),0,MAX(0,MIN($F332,EOMONTH(DATE(cfg_FY,12,1),0))-MAX($E332,DATE(cfg_FY,12,1))+1)*(1-IF($M332="نعم",0,N($J332))))</f>
        <v>0</v>
      </c>
      <c r="AH332" s="65" t="n">
        <f aca="false">IF(OR(OR($B332="",$E332="",$F332=""),$L332&lt;&gt;"لا"),0,MAX(0,MIN($F332,EOMONTH(DATE(cfg_FY,1,1),0))-$E332+1))</f>
        <v>0</v>
      </c>
      <c r="AI332" s="65" t="n">
        <f aca="false">IF(OR(OR($B332="",$E332="",$F332=""),$L332&lt;&gt;"لا"),0,MAX(0,MIN($F332,EOMONTH(DATE(cfg_FY,2,1),0))-$E332+1))</f>
        <v>0</v>
      </c>
      <c r="AJ332" s="65" t="n">
        <f aca="false">IF(OR(OR($B332="",$E332="",$F332=""),$L332&lt;&gt;"لا"),0,MAX(0,MIN($F332,EOMONTH(DATE(cfg_FY,3,1),0))-$E332+1))</f>
        <v>0</v>
      </c>
      <c r="AK332" s="65" t="n">
        <f aca="false">IF(OR(OR($B332="",$E332="",$F332=""),$L332&lt;&gt;"لا"),0,MAX(0,MIN($F332,EOMONTH(DATE(cfg_FY,4,1),0))-$E332+1))</f>
        <v>0</v>
      </c>
      <c r="AL332" s="65" t="n">
        <f aca="false">IF(OR(OR($B332="",$E332="",$F332=""),$L332&lt;&gt;"لا"),0,MAX(0,MIN($F332,EOMONTH(DATE(cfg_FY,5,1),0))-$E332+1))</f>
        <v>0</v>
      </c>
      <c r="AM332" s="65" t="n">
        <f aca="false">IF(OR(OR($B332="",$E332="",$F332=""),$L332&lt;&gt;"لا"),0,MAX(0,MIN($F332,EOMONTH(DATE(cfg_FY,6,1),0))-$E332+1))</f>
        <v>0</v>
      </c>
      <c r="AN332" s="65" t="n">
        <f aca="false">IF(OR(OR($B332="",$E332="",$F332=""),$L332&lt;&gt;"لا"),0,MAX(0,MIN($F332,EOMONTH(DATE(cfg_FY,7,1),0))-$E332+1))</f>
        <v>0</v>
      </c>
      <c r="AO332" s="65" t="n">
        <f aca="false">IF(OR(OR($B332="",$E332="",$F332=""),$L332&lt;&gt;"لا"),0,MAX(0,MIN($F332,EOMONTH(DATE(cfg_FY,8,1),0))-$E332+1))</f>
        <v>0</v>
      </c>
      <c r="AP332" s="65" t="n">
        <f aca="false">IF(OR(OR($B332="",$E332="",$F332=""),$L332&lt;&gt;"لا"),0,MAX(0,MIN($F332,EOMONTH(DATE(cfg_FY,9,1),0))-$E332+1))</f>
        <v>0</v>
      </c>
      <c r="AQ332" s="65" t="n">
        <f aca="false">IF(OR(OR($B332="",$E332="",$F332=""),$L332&lt;&gt;"لا"),0,MAX(0,MIN($F332,EOMONTH(DATE(cfg_FY,10,1),0))-$E332+1))</f>
        <v>0</v>
      </c>
      <c r="AR332" s="65" t="n">
        <f aca="false">IF(OR(OR($B332="",$E332="",$F332=""),$L332&lt;&gt;"لا"),0,MAX(0,MIN($F332,EOMONTH(DATE(cfg_FY,11,1),0))-$E332+1))</f>
        <v>0</v>
      </c>
      <c r="AS332" s="65" t="n">
        <f aca="false">IF(OR(OR($B332="",$E332="",$F332=""),$L332&lt;&gt;"لا"),0,MAX(0,MIN($F332,EOMONTH(DATE(cfg_FY,12,1),0))-$E332+1))</f>
        <v>0</v>
      </c>
      <c r="AT332" s="65" t="n">
        <f aca="false">IF(OR(OR($B332="",$E332="",$F332=""),$K332&lt;&gt;"نعم",$M332="نعم"),0,MAX(0,MIN($F332,EOMONTH(DATE(cfg_FY,1,1),0))-MAX($E332,DATE(cfg_FY,1,1))+1))</f>
        <v>0</v>
      </c>
      <c r="AU332" s="65" t="n">
        <f aca="false">IF(OR(OR($B332="",$E332="",$F332=""),$K332&lt;&gt;"نعم",$M332="نعم"),0,MAX(0,MIN($F332,EOMONTH(DATE(cfg_FY,2,1),0))-MAX($E332,DATE(cfg_FY,2,1))+1))</f>
        <v>0</v>
      </c>
      <c r="AV332" s="65" t="n">
        <f aca="false">IF(OR(OR($B332="",$E332="",$F332=""),$K332&lt;&gt;"نعم",$M332="نعم"),0,MAX(0,MIN($F332,EOMONTH(DATE(cfg_FY,3,1),0))-MAX($E332,DATE(cfg_FY,3,1))+1))</f>
        <v>0</v>
      </c>
      <c r="AW332" s="65" t="n">
        <f aca="false">IF(OR(OR($B332="",$E332="",$F332=""),$K332&lt;&gt;"نعم",$M332="نعم"),0,MAX(0,MIN($F332,EOMONTH(DATE(cfg_FY,4,1),0))-MAX($E332,DATE(cfg_FY,4,1))+1))</f>
        <v>0</v>
      </c>
      <c r="AX332" s="65" t="n">
        <f aca="false">IF(OR(OR($B332="",$E332="",$F332=""),$K332&lt;&gt;"نعم",$M332="نعم"),0,MAX(0,MIN($F332,EOMONTH(DATE(cfg_FY,5,1),0))-MAX($E332,DATE(cfg_FY,5,1))+1))</f>
        <v>0</v>
      </c>
      <c r="AY332" s="65" t="n">
        <f aca="false">IF(OR(OR($B332="",$E332="",$F332=""),$K332&lt;&gt;"نعم",$M332="نعم"),0,MAX(0,MIN($F332,EOMONTH(DATE(cfg_FY,6,1),0))-MAX($E332,DATE(cfg_FY,6,1))+1))</f>
        <v>0</v>
      </c>
      <c r="AZ332" s="65" t="n">
        <f aca="false">IF(OR(OR($B332="",$E332="",$F332=""),$K332&lt;&gt;"نعم",$M332="نعم"),0,MAX(0,MIN($F332,EOMONTH(DATE(cfg_FY,7,1),0))-MAX($E332,DATE(cfg_FY,7,1))+1))</f>
        <v>0</v>
      </c>
      <c r="BA332" s="65" t="n">
        <f aca="false">IF(OR(OR($B332="",$E332="",$F332=""),$K332&lt;&gt;"نعم",$M332="نعم"),0,MAX(0,MIN($F332,EOMONTH(DATE(cfg_FY,8,1),0))-MAX($E332,DATE(cfg_FY,8,1))+1))</f>
        <v>0</v>
      </c>
      <c r="BB332" s="65" t="n">
        <f aca="false">IF(OR(OR($B332="",$E332="",$F332=""),$K332&lt;&gt;"نعم",$M332="نعم"),0,MAX(0,MIN($F332,EOMONTH(DATE(cfg_FY,9,1),0))-MAX($E332,DATE(cfg_FY,9,1))+1))</f>
        <v>0</v>
      </c>
      <c r="BC332" s="65" t="n">
        <f aca="false">IF(OR(OR($B332="",$E332="",$F332=""),$K332&lt;&gt;"نعم",$M332="نعم"),0,MAX(0,MIN($F332,EOMONTH(DATE(cfg_FY,10,1),0))-MAX($E332,DATE(cfg_FY,10,1))+1))</f>
        <v>0</v>
      </c>
      <c r="BD332" s="65" t="n">
        <f aca="false">IF(OR(OR($B332="",$E332="",$F332=""),$K332&lt;&gt;"نعم",$M332="نعم"),0,MAX(0,MIN($F332,EOMONTH(DATE(cfg_FY,11,1),0))-MAX($E332,DATE(cfg_FY,11,1))+1))</f>
        <v>0</v>
      </c>
      <c r="BE332" s="65" t="n">
        <f aca="false">IF(OR(OR($B332="",$E332="",$F332=""),$K332&lt;&gt;"نعم",$M332="نعم"),0,MAX(0,MIN($F332,EOMONTH(DATE(cfg_FY,12,1),0))-MAX($E332,DATE(cfg_FY,12,1))+1))</f>
        <v>0</v>
      </c>
    </row>
    <row r="333" customFormat="false" ht="15" hidden="false" customHeight="false" outlineLevel="0" collapsed="false">
      <c r="A333" s="115" t="str">
        <f aca="false">IF(B333="","",ROW()-5)</f>
        <v/>
      </c>
      <c r="B333" s="118"/>
      <c r="C333" s="117" t="str">
        <f aca="false">IF(B333="","",IFERROR(INDEX(الموظفون!$C$6:$C$105,MATCH(B333,الموظفون!$B$6:$B$105,0)),"✖ رقم غير موجود"))</f>
        <v/>
      </c>
      <c r="D333" s="118"/>
      <c r="E333" s="119"/>
      <c r="F333" s="119"/>
      <c r="G333" s="133" t="str">
        <f aca="false">IF(OR($B333="",$E333="",$F333=""),"",MAX(0,F333-E333+1))</f>
        <v/>
      </c>
      <c r="H333" s="134" t="str">
        <f aca="false">IF(D333="","",IFERROR(VLOOKUP(D333,cfg_LT,2,FALSE()),1))</f>
        <v/>
      </c>
      <c r="I333" s="135"/>
      <c r="J333" s="134" t="str">
        <f aca="false">IF(D333="","",IF(I333&lt;&gt;"",I333,H333))</f>
        <v/>
      </c>
      <c r="K333" s="117" t="str">
        <f aca="false">IF(D333="","",IFERROR(VLOOKUP($D333,cfg_LT,3,FALSE()),""))</f>
        <v/>
      </c>
      <c r="L333" s="117" t="str">
        <f aca="false">IF(D333="","",IFERROR(VLOOKUP($D333,cfg_LT,4,FALSE()),""))</f>
        <v/>
      </c>
      <c r="M333" s="117" t="str">
        <f aca="false">IF(D333="","",IFERROR(VLOOKUP($D333,cfg_LT,5,FALSE()),""))</f>
        <v/>
      </c>
      <c r="N333" s="116" t="n">
        <f aca="false">IF(OR(OR($B333="",$E333="",$F333=""),M333&lt;&gt;"نعم"),0,G333*J333*IFERROR(INDEX(الموظفون!$R$6:$R$105,MATCH(B333,الموظفون!$B$6:$B$105,0)),0)/cfg_DAYS_M)</f>
        <v>0</v>
      </c>
      <c r="O333" s="115" t="str">
        <f aca="false">IF(OR(OR($B333="",$E333="",$F333=""),M333&lt;&gt;"نعم"),"",IF(YEAR(E333)=cfg_FY,MONTH(E333),""))</f>
        <v/>
      </c>
      <c r="P333" s="117" t="str">
        <f aca="false">IF(B333="","",IF(OR(D333="",E333="",F333=""),"⚠ أكمل النوع والتواريخ",IF(F333&lt;E333,"✖ النهاية قبل البداية",IF(COUNTIFS($B$6:$B$505,B333,$E$6:$E$505,"&lt;="&amp;F333,$F$6:$F$505,"&gt;="&amp;E333)&gt;1,"⚠ تداخل مع سجل آخر",IF(E333&gt;cfg_VAL_DATE,"⏳ قادمة",IF(F333&lt;cfg_VAL_DATE,"✔ منتهية","✈ جارية في تاريخ التقرير"))))))</f>
        <v/>
      </c>
      <c r="Q333" s="118"/>
      <c r="R333" s="133" t="n">
        <f aca="false">IF(OR(OR($B333="",$E333="",$F333=""),L333&lt;&gt;"لا"),0,MAX(0,MIN(F333,cfg_Y_START-1)-E333+1))</f>
        <v>0</v>
      </c>
      <c r="S333" s="133" t="n">
        <f aca="false">IF(OR(OR($B333="",$E333="",$F333=""),L333&lt;&gt;"لا"),0,MAX(0,MIN(F333,cfg_VAL_DATE)-E333+1))</f>
        <v>0</v>
      </c>
      <c r="T333" s="133" t="n">
        <f aca="false">IF(OR(OR($B333="",$E333="",$F333=""),K333&lt;&gt;"نعم"),0,IF(M333="نعم",IF(AND(ISNUMBER(O333),N(O333)&lt;=cfg_VAL_M),G333,0),MAX(0,MIN(F333,cfg_VAL_DATE)-MAX(E333,cfg_Y_START)+1)))</f>
        <v>0</v>
      </c>
      <c r="V333" s="133" t="n">
        <f aca="false">IF(OR($B333="",$E333="",$F333=""),0,MAX(0,MIN($F333,EOMONTH(DATE(cfg_FY,1,1),0))-MAX($E333,DATE(cfg_FY,1,1))+1)*(1-IF($M333="نعم",0,N($J333))))</f>
        <v>0</v>
      </c>
      <c r="W333" s="133" t="n">
        <f aca="false">IF(OR($B333="",$E333="",$F333=""),0,MAX(0,MIN($F333,EOMONTH(DATE(cfg_FY,2,1),0))-MAX($E333,DATE(cfg_FY,2,1))+1)*(1-IF($M333="نعم",0,N($J333))))</f>
        <v>0</v>
      </c>
      <c r="X333" s="133" t="n">
        <f aca="false">IF(OR($B333="",$E333="",$F333=""),0,MAX(0,MIN($F333,EOMONTH(DATE(cfg_FY,3,1),0))-MAX($E333,DATE(cfg_FY,3,1))+1)*(1-IF($M333="نعم",0,N($J333))))</f>
        <v>0</v>
      </c>
      <c r="Y333" s="133" t="n">
        <f aca="false">IF(OR($B333="",$E333="",$F333=""),0,MAX(0,MIN($F333,EOMONTH(DATE(cfg_FY,4,1),0))-MAX($E333,DATE(cfg_FY,4,1))+1)*(1-IF($M333="نعم",0,N($J333))))</f>
        <v>0</v>
      </c>
      <c r="Z333" s="133" t="n">
        <f aca="false">IF(OR($B333="",$E333="",$F333=""),0,MAX(0,MIN($F333,EOMONTH(DATE(cfg_FY,5,1),0))-MAX($E333,DATE(cfg_FY,5,1))+1)*(1-IF($M333="نعم",0,N($J333))))</f>
        <v>0</v>
      </c>
      <c r="AA333" s="133" t="n">
        <f aca="false">IF(OR($B333="",$E333="",$F333=""),0,MAX(0,MIN($F333,EOMONTH(DATE(cfg_FY,6,1),0))-MAX($E333,DATE(cfg_FY,6,1))+1)*(1-IF($M333="نعم",0,N($J333))))</f>
        <v>0</v>
      </c>
      <c r="AB333" s="133" t="n">
        <f aca="false">IF(OR($B333="",$E333="",$F333=""),0,MAX(0,MIN($F333,EOMONTH(DATE(cfg_FY,7,1),0))-MAX($E333,DATE(cfg_FY,7,1))+1)*(1-IF($M333="نعم",0,N($J333))))</f>
        <v>0</v>
      </c>
      <c r="AC333" s="133" t="n">
        <f aca="false">IF(OR($B333="",$E333="",$F333=""),0,MAX(0,MIN($F333,EOMONTH(DATE(cfg_FY,8,1),0))-MAX($E333,DATE(cfg_FY,8,1))+1)*(1-IF($M333="نعم",0,N($J333))))</f>
        <v>0</v>
      </c>
      <c r="AD333" s="133" t="n">
        <f aca="false">IF(OR($B333="",$E333="",$F333=""),0,MAX(0,MIN($F333,EOMONTH(DATE(cfg_FY,9,1),0))-MAX($E333,DATE(cfg_FY,9,1))+1)*(1-IF($M333="نعم",0,N($J333))))</f>
        <v>0</v>
      </c>
      <c r="AE333" s="133" t="n">
        <f aca="false">IF(OR($B333="",$E333="",$F333=""),0,MAX(0,MIN($F333,EOMONTH(DATE(cfg_FY,10,1),0))-MAX($E333,DATE(cfg_FY,10,1))+1)*(1-IF($M333="نعم",0,N($J333))))</f>
        <v>0</v>
      </c>
      <c r="AF333" s="133" t="n">
        <f aca="false">IF(OR($B333="",$E333="",$F333=""),0,MAX(0,MIN($F333,EOMONTH(DATE(cfg_FY,11,1),0))-MAX($E333,DATE(cfg_FY,11,1))+1)*(1-IF($M333="نعم",0,N($J333))))</f>
        <v>0</v>
      </c>
      <c r="AG333" s="133" t="n">
        <f aca="false">IF(OR($B333="",$E333="",$F333=""),0,MAX(0,MIN($F333,EOMONTH(DATE(cfg_FY,12,1),0))-MAX($E333,DATE(cfg_FY,12,1))+1)*(1-IF($M333="نعم",0,N($J333))))</f>
        <v>0</v>
      </c>
      <c r="AH333" s="133" t="n">
        <f aca="false">IF(OR(OR($B333="",$E333="",$F333=""),$L333&lt;&gt;"لا"),0,MAX(0,MIN($F333,EOMONTH(DATE(cfg_FY,1,1),0))-$E333+1))</f>
        <v>0</v>
      </c>
      <c r="AI333" s="133" t="n">
        <f aca="false">IF(OR(OR($B333="",$E333="",$F333=""),$L333&lt;&gt;"لا"),0,MAX(0,MIN($F333,EOMONTH(DATE(cfg_FY,2,1),0))-$E333+1))</f>
        <v>0</v>
      </c>
      <c r="AJ333" s="133" t="n">
        <f aca="false">IF(OR(OR($B333="",$E333="",$F333=""),$L333&lt;&gt;"لا"),0,MAX(0,MIN($F333,EOMONTH(DATE(cfg_FY,3,1),0))-$E333+1))</f>
        <v>0</v>
      </c>
      <c r="AK333" s="133" t="n">
        <f aca="false">IF(OR(OR($B333="",$E333="",$F333=""),$L333&lt;&gt;"لا"),0,MAX(0,MIN($F333,EOMONTH(DATE(cfg_FY,4,1),0))-$E333+1))</f>
        <v>0</v>
      </c>
      <c r="AL333" s="133" t="n">
        <f aca="false">IF(OR(OR($B333="",$E333="",$F333=""),$L333&lt;&gt;"لا"),0,MAX(0,MIN($F333,EOMONTH(DATE(cfg_FY,5,1),0))-$E333+1))</f>
        <v>0</v>
      </c>
      <c r="AM333" s="133" t="n">
        <f aca="false">IF(OR(OR($B333="",$E333="",$F333=""),$L333&lt;&gt;"لا"),0,MAX(0,MIN($F333,EOMONTH(DATE(cfg_FY,6,1),0))-$E333+1))</f>
        <v>0</v>
      </c>
      <c r="AN333" s="133" t="n">
        <f aca="false">IF(OR(OR($B333="",$E333="",$F333=""),$L333&lt;&gt;"لا"),0,MAX(0,MIN($F333,EOMONTH(DATE(cfg_FY,7,1),0))-$E333+1))</f>
        <v>0</v>
      </c>
      <c r="AO333" s="133" t="n">
        <f aca="false">IF(OR(OR($B333="",$E333="",$F333=""),$L333&lt;&gt;"لا"),0,MAX(0,MIN($F333,EOMONTH(DATE(cfg_FY,8,1),0))-$E333+1))</f>
        <v>0</v>
      </c>
      <c r="AP333" s="133" t="n">
        <f aca="false">IF(OR(OR($B333="",$E333="",$F333=""),$L333&lt;&gt;"لا"),0,MAX(0,MIN($F333,EOMONTH(DATE(cfg_FY,9,1),0))-$E333+1))</f>
        <v>0</v>
      </c>
      <c r="AQ333" s="133" t="n">
        <f aca="false">IF(OR(OR($B333="",$E333="",$F333=""),$L333&lt;&gt;"لا"),0,MAX(0,MIN($F333,EOMONTH(DATE(cfg_FY,10,1),0))-$E333+1))</f>
        <v>0</v>
      </c>
      <c r="AR333" s="133" t="n">
        <f aca="false">IF(OR(OR($B333="",$E333="",$F333=""),$L333&lt;&gt;"لا"),0,MAX(0,MIN($F333,EOMONTH(DATE(cfg_FY,11,1),0))-$E333+1))</f>
        <v>0</v>
      </c>
      <c r="AS333" s="133" t="n">
        <f aca="false">IF(OR(OR($B333="",$E333="",$F333=""),$L333&lt;&gt;"لا"),0,MAX(0,MIN($F333,EOMONTH(DATE(cfg_FY,12,1),0))-$E333+1))</f>
        <v>0</v>
      </c>
      <c r="AT333" s="133" t="n">
        <f aca="false">IF(OR(OR($B333="",$E333="",$F333=""),$K333&lt;&gt;"نعم",$M333="نعم"),0,MAX(0,MIN($F333,EOMONTH(DATE(cfg_FY,1,1),0))-MAX($E333,DATE(cfg_FY,1,1))+1))</f>
        <v>0</v>
      </c>
      <c r="AU333" s="133" t="n">
        <f aca="false">IF(OR(OR($B333="",$E333="",$F333=""),$K333&lt;&gt;"نعم",$M333="نعم"),0,MAX(0,MIN($F333,EOMONTH(DATE(cfg_FY,2,1),0))-MAX($E333,DATE(cfg_FY,2,1))+1))</f>
        <v>0</v>
      </c>
      <c r="AV333" s="133" t="n">
        <f aca="false">IF(OR(OR($B333="",$E333="",$F333=""),$K333&lt;&gt;"نعم",$M333="نعم"),0,MAX(0,MIN($F333,EOMONTH(DATE(cfg_FY,3,1),0))-MAX($E333,DATE(cfg_FY,3,1))+1))</f>
        <v>0</v>
      </c>
      <c r="AW333" s="133" t="n">
        <f aca="false">IF(OR(OR($B333="",$E333="",$F333=""),$K333&lt;&gt;"نعم",$M333="نعم"),0,MAX(0,MIN($F333,EOMONTH(DATE(cfg_FY,4,1),0))-MAX($E333,DATE(cfg_FY,4,1))+1))</f>
        <v>0</v>
      </c>
      <c r="AX333" s="133" t="n">
        <f aca="false">IF(OR(OR($B333="",$E333="",$F333=""),$K333&lt;&gt;"نعم",$M333="نعم"),0,MAX(0,MIN($F333,EOMONTH(DATE(cfg_FY,5,1),0))-MAX($E333,DATE(cfg_FY,5,1))+1))</f>
        <v>0</v>
      </c>
      <c r="AY333" s="133" t="n">
        <f aca="false">IF(OR(OR($B333="",$E333="",$F333=""),$K333&lt;&gt;"نعم",$M333="نعم"),0,MAX(0,MIN($F333,EOMONTH(DATE(cfg_FY,6,1),0))-MAX($E333,DATE(cfg_FY,6,1))+1))</f>
        <v>0</v>
      </c>
      <c r="AZ333" s="133" t="n">
        <f aca="false">IF(OR(OR($B333="",$E333="",$F333=""),$K333&lt;&gt;"نعم",$M333="نعم"),0,MAX(0,MIN($F333,EOMONTH(DATE(cfg_FY,7,1),0))-MAX($E333,DATE(cfg_FY,7,1))+1))</f>
        <v>0</v>
      </c>
      <c r="BA333" s="133" t="n">
        <f aca="false">IF(OR(OR($B333="",$E333="",$F333=""),$K333&lt;&gt;"نعم",$M333="نعم"),0,MAX(0,MIN($F333,EOMONTH(DATE(cfg_FY,8,1),0))-MAX($E333,DATE(cfg_FY,8,1))+1))</f>
        <v>0</v>
      </c>
      <c r="BB333" s="133" t="n">
        <f aca="false">IF(OR(OR($B333="",$E333="",$F333=""),$K333&lt;&gt;"نعم",$M333="نعم"),0,MAX(0,MIN($F333,EOMONTH(DATE(cfg_FY,9,1),0))-MAX($E333,DATE(cfg_FY,9,1))+1))</f>
        <v>0</v>
      </c>
      <c r="BC333" s="133" t="n">
        <f aca="false">IF(OR(OR($B333="",$E333="",$F333=""),$K333&lt;&gt;"نعم",$M333="نعم"),0,MAX(0,MIN($F333,EOMONTH(DATE(cfg_FY,10,1),0))-MAX($E333,DATE(cfg_FY,10,1))+1))</f>
        <v>0</v>
      </c>
      <c r="BD333" s="133" t="n">
        <f aca="false">IF(OR(OR($B333="",$E333="",$F333=""),$K333&lt;&gt;"نعم",$M333="نعم"),0,MAX(0,MIN($F333,EOMONTH(DATE(cfg_FY,11,1),0))-MAX($E333,DATE(cfg_FY,11,1))+1))</f>
        <v>0</v>
      </c>
      <c r="BE333" s="133" t="n">
        <f aca="false">IF(OR(OR($B333="",$E333="",$F333=""),$K333&lt;&gt;"نعم",$M333="نعم"),0,MAX(0,MIN($F333,EOMONTH(DATE(cfg_FY,12,1),0))-MAX($E333,DATE(cfg_FY,12,1))+1))</f>
        <v>0</v>
      </c>
    </row>
    <row r="334" customFormat="false" ht="15" hidden="false" customHeight="false" outlineLevel="0" collapsed="false">
      <c r="A334" s="106" t="str">
        <f aca="false">IF(B334="","",ROW()-5)</f>
        <v/>
      </c>
      <c r="B334" s="118"/>
      <c r="C334" s="114" t="str">
        <f aca="false">IF(B334="","",IFERROR(INDEX(الموظفون!$C$6:$C$105,MATCH(B334,الموظفون!$B$6:$B$105,0)),"✖ رقم غير موجود"))</f>
        <v/>
      </c>
      <c r="D334" s="118"/>
      <c r="E334" s="119"/>
      <c r="F334" s="119"/>
      <c r="G334" s="65" t="str">
        <f aca="false">IF(OR($B334="",$E334="",$F334=""),"",MAX(0,F334-E334+1))</f>
        <v/>
      </c>
      <c r="H334" s="66" t="str">
        <f aca="false">IF(D334="","",IFERROR(VLOOKUP(D334,cfg_LT,2,FALSE()),1))</f>
        <v/>
      </c>
      <c r="I334" s="135"/>
      <c r="J334" s="66" t="str">
        <f aca="false">IF(D334="","",IF(I334&lt;&gt;"",I334,H334))</f>
        <v/>
      </c>
      <c r="K334" s="114" t="str">
        <f aca="false">IF(D334="","",IFERROR(VLOOKUP($D334,cfg_LT,3,FALSE()),""))</f>
        <v/>
      </c>
      <c r="L334" s="114" t="str">
        <f aca="false">IF(D334="","",IFERROR(VLOOKUP($D334,cfg_LT,4,FALSE()),""))</f>
        <v/>
      </c>
      <c r="M334" s="114" t="str">
        <f aca="false">IF(D334="","",IFERROR(VLOOKUP($D334,cfg_LT,5,FALSE()),""))</f>
        <v/>
      </c>
      <c r="N334" s="111" t="n">
        <f aca="false">IF(OR(OR($B334="",$E334="",$F334=""),M334&lt;&gt;"نعم"),0,G334*J334*IFERROR(INDEX(الموظفون!$R$6:$R$105,MATCH(B334,الموظفون!$B$6:$B$105,0)),0)/cfg_DAYS_M)</f>
        <v>0</v>
      </c>
      <c r="O334" s="106" t="str">
        <f aca="false">IF(OR(OR($B334="",$E334="",$F334=""),M334&lt;&gt;"نعم"),"",IF(YEAR(E334)=cfg_FY,MONTH(E334),""))</f>
        <v/>
      </c>
      <c r="P334" s="114" t="str">
        <f aca="false">IF(B334="","",IF(OR(D334="",E334="",F334=""),"⚠ أكمل النوع والتواريخ",IF(F334&lt;E334,"✖ النهاية قبل البداية",IF(COUNTIFS($B$6:$B$505,B334,$E$6:$E$505,"&lt;="&amp;F334,$F$6:$F$505,"&gt;="&amp;E334)&gt;1,"⚠ تداخل مع سجل آخر",IF(E334&gt;cfg_VAL_DATE,"⏳ قادمة",IF(F334&lt;cfg_VAL_DATE,"✔ منتهية","✈ جارية في تاريخ التقرير"))))))</f>
        <v/>
      </c>
      <c r="Q334" s="118"/>
      <c r="R334" s="65" t="n">
        <f aca="false">IF(OR(OR($B334="",$E334="",$F334=""),L334&lt;&gt;"لا"),0,MAX(0,MIN(F334,cfg_Y_START-1)-E334+1))</f>
        <v>0</v>
      </c>
      <c r="S334" s="65" t="n">
        <f aca="false">IF(OR(OR($B334="",$E334="",$F334=""),L334&lt;&gt;"لا"),0,MAX(0,MIN(F334,cfg_VAL_DATE)-E334+1))</f>
        <v>0</v>
      </c>
      <c r="T334" s="65" t="n">
        <f aca="false">IF(OR(OR($B334="",$E334="",$F334=""),K334&lt;&gt;"نعم"),0,IF(M334="نعم",IF(AND(ISNUMBER(O334),N(O334)&lt;=cfg_VAL_M),G334,0),MAX(0,MIN(F334,cfg_VAL_DATE)-MAX(E334,cfg_Y_START)+1)))</f>
        <v>0</v>
      </c>
      <c r="V334" s="65" t="n">
        <f aca="false">IF(OR($B334="",$E334="",$F334=""),0,MAX(0,MIN($F334,EOMONTH(DATE(cfg_FY,1,1),0))-MAX($E334,DATE(cfg_FY,1,1))+1)*(1-IF($M334="نعم",0,N($J334))))</f>
        <v>0</v>
      </c>
      <c r="W334" s="65" t="n">
        <f aca="false">IF(OR($B334="",$E334="",$F334=""),0,MAX(0,MIN($F334,EOMONTH(DATE(cfg_FY,2,1),0))-MAX($E334,DATE(cfg_FY,2,1))+1)*(1-IF($M334="نعم",0,N($J334))))</f>
        <v>0</v>
      </c>
      <c r="X334" s="65" t="n">
        <f aca="false">IF(OR($B334="",$E334="",$F334=""),0,MAX(0,MIN($F334,EOMONTH(DATE(cfg_FY,3,1),0))-MAX($E334,DATE(cfg_FY,3,1))+1)*(1-IF($M334="نعم",0,N($J334))))</f>
        <v>0</v>
      </c>
      <c r="Y334" s="65" t="n">
        <f aca="false">IF(OR($B334="",$E334="",$F334=""),0,MAX(0,MIN($F334,EOMONTH(DATE(cfg_FY,4,1),0))-MAX($E334,DATE(cfg_FY,4,1))+1)*(1-IF($M334="نعم",0,N($J334))))</f>
        <v>0</v>
      </c>
      <c r="Z334" s="65" t="n">
        <f aca="false">IF(OR($B334="",$E334="",$F334=""),0,MAX(0,MIN($F334,EOMONTH(DATE(cfg_FY,5,1),0))-MAX($E334,DATE(cfg_FY,5,1))+1)*(1-IF($M334="نعم",0,N($J334))))</f>
        <v>0</v>
      </c>
      <c r="AA334" s="65" t="n">
        <f aca="false">IF(OR($B334="",$E334="",$F334=""),0,MAX(0,MIN($F334,EOMONTH(DATE(cfg_FY,6,1),0))-MAX($E334,DATE(cfg_FY,6,1))+1)*(1-IF($M334="نعم",0,N($J334))))</f>
        <v>0</v>
      </c>
      <c r="AB334" s="65" t="n">
        <f aca="false">IF(OR($B334="",$E334="",$F334=""),0,MAX(0,MIN($F334,EOMONTH(DATE(cfg_FY,7,1),0))-MAX($E334,DATE(cfg_FY,7,1))+1)*(1-IF($M334="نعم",0,N($J334))))</f>
        <v>0</v>
      </c>
      <c r="AC334" s="65" t="n">
        <f aca="false">IF(OR($B334="",$E334="",$F334=""),0,MAX(0,MIN($F334,EOMONTH(DATE(cfg_FY,8,1),0))-MAX($E334,DATE(cfg_FY,8,1))+1)*(1-IF($M334="نعم",0,N($J334))))</f>
        <v>0</v>
      </c>
      <c r="AD334" s="65" t="n">
        <f aca="false">IF(OR($B334="",$E334="",$F334=""),0,MAX(0,MIN($F334,EOMONTH(DATE(cfg_FY,9,1),0))-MAX($E334,DATE(cfg_FY,9,1))+1)*(1-IF($M334="نعم",0,N($J334))))</f>
        <v>0</v>
      </c>
      <c r="AE334" s="65" t="n">
        <f aca="false">IF(OR($B334="",$E334="",$F334=""),0,MAX(0,MIN($F334,EOMONTH(DATE(cfg_FY,10,1),0))-MAX($E334,DATE(cfg_FY,10,1))+1)*(1-IF($M334="نعم",0,N($J334))))</f>
        <v>0</v>
      </c>
      <c r="AF334" s="65" t="n">
        <f aca="false">IF(OR($B334="",$E334="",$F334=""),0,MAX(0,MIN($F334,EOMONTH(DATE(cfg_FY,11,1),0))-MAX($E334,DATE(cfg_FY,11,1))+1)*(1-IF($M334="نعم",0,N($J334))))</f>
        <v>0</v>
      </c>
      <c r="AG334" s="65" t="n">
        <f aca="false">IF(OR($B334="",$E334="",$F334=""),0,MAX(0,MIN($F334,EOMONTH(DATE(cfg_FY,12,1),0))-MAX($E334,DATE(cfg_FY,12,1))+1)*(1-IF($M334="نعم",0,N($J334))))</f>
        <v>0</v>
      </c>
      <c r="AH334" s="65" t="n">
        <f aca="false">IF(OR(OR($B334="",$E334="",$F334=""),$L334&lt;&gt;"لا"),0,MAX(0,MIN($F334,EOMONTH(DATE(cfg_FY,1,1),0))-$E334+1))</f>
        <v>0</v>
      </c>
      <c r="AI334" s="65" t="n">
        <f aca="false">IF(OR(OR($B334="",$E334="",$F334=""),$L334&lt;&gt;"لا"),0,MAX(0,MIN($F334,EOMONTH(DATE(cfg_FY,2,1),0))-$E334+1))</f>
        <v>0</v>
      </c>
      <c r="AJ334" s="65" t="n">
        <f aca="false">IF(OR(OR($B334="",$E334="",$F334=""),$L334&lt;&gt;"لا"),0,MAX(0,MIN($F334,EOMONTH(DATE(cfg_FY,3,1),0))-$E334+1))</f>
        <v>0</v>
      </c>
      <c r="AK334" s="65" t="n">
        <f aca="false">IF(OR(OR($B334="",$E334="",$F334=""),$L334&lt;&gt;"لا"),0,MAX(0,MIN($F334,EOMONTH(DATE(cfg_FY,4,1),0))-$E334+1))</f>
        <v>0</v>
      </c>
      <c r="AL334" s="65" t="n">
        <f aca="false">IF(OR(OR($B334="",$E334="",$F334=""),$L334&lt;&gt;"لا"),0,MAX(0,MIN($F334,EOMONTH(DATE(cfg_FY,5,1),0))-$E334+1))</f>
        <v>0</v>
      </c>
      <c r="AM334" s="65" t="n">
        <f aca="false">IF(OR(OR($B334="",$E334="",$F334=""),$L334&lt;&gt;"لا"),0,MAX(0,MIN($F334,EOMONTH(DATE(cfg_FY,6,1),0))-$E334+1))</f>
        <v>0</v>
      </c>
      <c r="AN334" s="65" t="n">
        <f aca="false">IF(OR(OR($B334="",$E334="",$F334=""),$L334&lt;&gt;"لا"),0,MAX(0,MIN($F334,EOMONTH(DATE(cfg_FY,7,1),0))-$E334+1))</f>
        <v>0</v>
      </c>
      <c r="AO334" s="65" t="n">
        <f aca="false">IF(OR(OR($B334="",$E334="",$F334=""),$L334&lt;&gt;"لا"),0,MAX(0,MIN($F334,EOMONTH(DATE(cfg_FY,8,1),0))-$E334+1))</f>
        <v>0</v>
      </c>
      <c r="AP334" s="65" t="n">
        <f aca="false">IF(OR(OR($B334="",$E334="",$F334=""),$L334&lt;&gt;"لا"),0,MAX(0,MIN($F334,EOMONTH(DATE(cfg_FY,9,1),0))-$E334+1))</f>
        <v>0</v>
      </c>
      <c r="AQ334" s="65" t="n">
        <f aca="false">IF(OR(OR($B334="",$E334="",$F334=""),$L334&lt;&gt;"لا"),0,MAX(0,MIN($F334,EOMONTH(DATE(cfg_FY,10,1),0))-$E334+1))</f>
        <v>0</v>
      </c>
      <c r="AR334" s="65" t="n">
        <f aca="false">IF(OR(OR($B334="",$E334="",$F334=""),$L334&lt;&gt;"لا"),0,MAX(0,MIN($F334,EOMONTH(DATE(cfg_FY,11,1),0))-$E334+1))</f>
        <v>0</v>
      </c>
      <c r="AS334" s="65" t="n">
        <f aca="false">IF(OR(OR($B334="",$E334="",$F334=""),$L334&lt;&gt;"لا"),0,MAX(0,MIN($F334,EOMONTH(DATE(cfg_FY,12,1),0))-$E334+1))</f>
        <v>0</v>
      </c>
      <c r="AT334" s="65" t="n">
        <f aca="false">IF(OR(OR($B334="",$E334="",$F334=""),$K334&lt;&gt;"نعم",$M334="نعم"),0,MAX(0,MIN($F334,EOMONTH(DATE(cfg_FY,1,1),0))-MAX($E334,DATE(cfg_FY,1,1))+1))</f>
        <v>0</v>
      </c>
      <c r="AU334" s="65" t="n">
        <f aca="false">IF(OR(OR($B334="",$E334="",$F334=""),$K334&lt;&gt;"نعم",$M334="نعم"),0,MAX(0,MIN($F334,EOMONTH(DATE(cfg_FY,2,1),0))-MAX($E334,DATE(cfg_FY,2,1))+1))</f>
        <v>0</v>
      </c>
      <c r="AV334" s="65" t="n">
        <f aca="false">IF(OR(OR($B334="",$E334="",$F334=""),$K334&lt;&gt;"نعم",$M334="نعم"),0,MAX(0,MIN($F334,EOMONTH(DATE(cfg_FY,3,1),0))-MAX($E334,DATE(cfg_FY,3,1))+1))</f>
        <v>0</v>
      </c>
      <c r="AW334" s="65" t="n">
        <f aca="false">IF(OR(OR($B334="",$E334="",$F334=""),$K334&lt;&gt;"نعم",$M334="نعم"),0,MAX(0,MIN($F334,EOMONTH(DATE(cfg_FY,4,1),0))-MAX($E334,DATE(cfg_FY,4,1))+1))</f>
        <v>0</v>
      </c>
      <c r="AX334" s="65" t="n">
        <f aca="false">IF(OR(OR($B334="",$E334="",$F334=""),$K334&lt;&gt;"نعم",$M334="نعم"),0,MAX(0,MIN($F334,EOMONTH(DATE(cfg_FY,5,1),0))-MAX($E334,DATE(cfg_FY,5,1))+1))</f>
        <v>0</v>
      </c>
      <c r="AY334" s="65" t="n">
        <f aca="false">IF(OR(OR($B334="",$E334="",$F334=""),$K334&lt;&gt;"نعم",$M334="نعم"),0,MAX(0,MIN($F334,EOMONTH(DATE(cfg_FY,6,1),0))-MAX($E334,DATE(cfg_FY,6,1))+1))</f>
        <v>0</v>
      </c>
      <c r="AZ334" s="65" t="n">
        <f aca="false">IF(OR(OR($B334="",$E334="",$F334=""),$K334&lt;&gt;"نعم",$M334="نعم"),0,MAX(0,MIN($F334,EOMONTH(DATE(cfg_FY,7,1),0))-MAX($E334,DATE(cfg_FY,7,1))+1))</f>
        <v>0</v>
      </c>
      <c r="BA334" s="65" t="n">
        <f aca="false">IF(OR(OR($B334="",$E334="",$F334=""),$K334&lt;&gt;"نعم",$M334="نعم"),0,MAX(0,MIN($F334,EOMONTH(DATE(cfg_FY,8,1),0))-MAX($E334,DATE(cfg_FY,8,1))+1))</f>
        <v>0</v>
      </c>
      <c r="BB334" s="65" t="n">
        <f aca="false">IF(OR(OR($B334="",$E334="",$F334=""),$K334&lt;&gt;"نعم",$M334="نعم"),0,MAX(0,MIN($F334,EOMONTH(DATE(cfg_FY,9,1),0))-MAX($E334,DATE(cfg_FY,9,1))+1))</f>
        <v>0</v>
      </c>
      <c r="BC334" s="65" t="n">
        <f aca="false">IF(OR(OR($B334="",$E334="",$F334=""),$K334&lt;&gt;"نعم",$M334="نعم"),0,MAX(0,MIN($F334,EOMONTH(DATE(cfg_FY,10,1),0))-MAX($E334,DATE(cfg_FY,10,1))+1))</f>
        <v>0</v>
      </c>
      <c r="BD334" s="65" t="n">
        <f aca="false">IF(OR(OR($B334="",$E334="",$F334=""),$K334&lt;&gt;"نعم",$M334="نعم"),0,MAX(0,MIN($F334,EOMONTH(DATE(cfg_FY,11,1),0))-MAX($E334,DATE(cfg_FY,11,1))+1))</f>
        <v>0</v>
      </c>
      <c r="BE334" s="65" t="n">
        <f aca="false">IF(OR(OR($B334="",$E334="",$F334=""),$K334&lt;&gt;"نعم",$M334="نعم"),0,MAX(0,MIN($F334,EOMONTH(DATE(cfg_FY,12,1),0))-MAX($E334,DATE(cfg_FY,12,1))+1))</f>
        <v>0</v>
      </c>
    </row>
    <row r="335" customFormat="false" ht="15" hidden="false" customHeight="false" outlineLevel="0" collapsed="false">
      <c r="A335" s="115" t="str">
        <f aca="false">IF(B335="","",ROW()-5)</f>
        <v/>
      </c>
      <c r="B335" s="118"/>
      <c r="C335" s="117" t="str">
        <f aca="false">IF(B335="","",IFERROR(INDEX(الموظفون!$C$6:$C$105,MATCH(B335,الموظفون!$B$6:$B$105,0)),"✖ رقم غير موجود"))</f>
        <v/>
      </c>
      <c r="D335" s="118"/>
      <c r="E335" s="119"/>
      <c r="F335" s="119"/>
      <c r="G335" s="133" t="str">
        <f aca="false">IF(OR($B335="",$E335="",$F335=""),"",MAX(0,F335-E335+1))</f>
        <v/>
      </c>
      <c r="H335" s="134" t="str">
        <f aca="false">IF(D335="","",IFERROR(VLOOKUP(D335,cfg_LT,2,FALSE()),1))</f>
        <v/>
      </c>
      <c r="I335" s="135"/>
      <c r="J335" s="134" t="str">
        <f aca="false">IF(D335="","",IF(I335&lt;&gt;"",I335,H335))</f>
        <v/>
      </c>
      <c r="K335" s="117" t="str">
        <f aca="false">IF(D335="","",IFERROR(VLOOKUP($D335,cfg_LT,3,FALSE()),""))</f>
        <v/>
      </c>
      <c r="L335" s="117" t="str">
        <f aca="false">IF(D335="","",IFERROR(VLOOKUP($D335,cfg_LT,4,FALSE()),""))</f>
        <v/>
      </c>
      <c r="M335" s="117" t="str">
        <f aca="false">IF(D335="","",IFERROR(VLOOKUP($D335,cfg_LT,5,FALSE()),""))</f>
        <v/>
      </c>
      <c r="N335" s="116" t="n">
        <f aca="false">IF(OR(OR($B335="",$E335="",$F335=""),M335&lt;&gt;"نعم"),0,G335*J335*IFERROR(INDEX(الموظفون!$R$6:$R$105,MATCH(B335,الموظفون!$B$6:$B$105,0)),0)/cfg_DAYS_M)</f>
        <v>0</v>
      </c>
      <c r="O335" s="115" t="str">
        <f aca="false">IF(OR(OR($B335="",$E335="",$F335=""),M335&lt;&gt;"نعم"),"",IF(YEAR(E335)=cfg_FY,MONTH(E335),""))</f>
        <v/>
      </c>
      <c r="P335" s="117" t="str">
        <f aca="false">IF(B335="","",IF(OR(D335="",E335="",F335=""),"⚠ أكمل النوع والتواريخ",IF(F335&lt;E335,"✖ النهاية قبل البداية",IF(COUNTIFS($B$6:$B$505,B335,$E$6:$E$505,"&lt;="&amp;F335,$F$6:$F$505,"&gt;="&amp;E335)&gt;1,"⚠ تداخل مع سجل آخر",IF(E335&gt;cfg_VAL_DATE,"⏳ قادمة",IF(F335&lt;cfg_VAL_DATE,"✔ منتهية","✈ جارية في تاريخ التقرير"))))))</f>
        <v/>
      </c>
      <c r="Q335" s="118"/>
      <c r="R335" s="133" t="n">
        <f aca="false">IF(OR(OR($B335="",$E335="",$F335=""),L335&lt;&gt;"لا"),0,MAX(0,MIN(F335,cfg_Y_START-1)-E335+1))</f>
        <v>0</v>
      </c>
      <c r="S335" s="133" t="n">
        <f aca="false">IF(OR(OR($B335="",$E335="",$F335=""),L335&lt;&gt;"لا"),0,MAX(0,MIN(F335,cfg_VAL_DATE)-E335+1))</f>
        <v>0</v>
      </c>
      <c r="T335" s="133" t="n">
        <f aca="false">IF(OR(OR($B335="",$E335="",$F335=""),K335&lt;&gt;"نعم"),0,IF(M335="نعم",IF(AND(ISNUMBER(O335),N(O335)&lt;=cfg_VAL_M),G335,0),MAX(0,MIN(F335,cfg_VAL_DATE)-MAX(E335,cfg_Y_START)+1)))</f>
        <v>0</v>
      </c>
      <c r="V335" s="133" t="n">
        <f aca="false">IF(OR($B335="",$E335="",$F335=""),0,MAX(0,MIN($F335,EOMONTH(DATE(cfg_FY,1,1),0))-MAX($E335,DATE(cfg_FY,1,1))+1)*(1-IF($M335="نعم",0,N($J335))))</f>
        <v>0</v>
      </c>
      <c r="W335" s="133" t="n">
        <f aca="false">IF(OR($B335="",$E335="",$F335=""),0,MAX(0,MIN($F335,EOMONTH(DATE(cfg_FY,2,1),0))-MAX($E335,DATE(cfg_FY,2,1))+1)*(1-IF($M335="نعم",0,N($J335))))</f>
        <v>0</v>
      </c>
      <c r="X335" s="133" t="n">
        <f aca="false">IF(OR($B335="",$E335="",$F335=""),0,MAX(0,MIN($F335,EOMONTH(DATE(cfg_FY,3,1),0))-MAX($E335,DATE(cfg_FY,3,1))+1)*(1-IF($M335="نعم",0,N($J335))))</f>
        <v>0</v>
      </c>
      <c r="Y335" s="133" t="n">
        <f aca="false">IF(OR($B335="",$E335="",$F335=""),0,MAX(0,MIN($F335,EOMONTH(DATE(cfg_FY,4,1),0))-MAX($E335,DATE(cfg_FY,4,1))+1)*(1-IF($M335="نعم",0,N($J335))))</f>
        <v>0</v>
      </c>
      <c r="Z335" s="133" t="n">
        <f aca="false">IF(OR($B335="",$E335="",$F335=""),0,MAX(0,MIN($F335,EOMONTH(DATE(cfg_FY,5,1),0))-MAX($E335,DATE(cfg_FY,5,1))+1)*(1-IF($M335="نعم",0,N($J335))))</f>
        <v>0</v>
      </c>
      <c r="AA335" s="133" t="n">
        <f aca="false">IF(OR($B335="",$E335="",$F335=""),0,MAX(0,MIN($F335,EOMONTH(DATE(cfg_FY,6,1),0))-MAX($E335,DATE(cfg_FY,6,1))+1)*(1-IF($M335="نعم",0,N($J335))))</f>
        <v>0</v>
      </c>
      <c r="AB335" s="133" t="n">
        <f aca="false">IF(OR($B335="",$E335="",$F335=""),0,MAX(0,MIN($F335,EOMONTH(DATE(cfg_FY,7,1),0))-MAX($E335,DATE(cfg_FY,7,1))+1)*(1-IF($M335="نعم",0,N($J335))))</f>
        <v>0</v>
      </c>
      <c r="AC335" s="133" t="n">
        <f aca="false">IF(OR($B335="",$E335="",$F335=""),0,MAX(0,MIN($F335,EOMONTH(DATE(cfg_FY,8,1),0))-MAX($E335,DATE(cfg_FY,8,1))+1)*(1-IF($M335="نعم",0,N($J335))))</f>
        <v>0</v>
      </c>
      <c r="AD335" s="133" t="n">
        <f aca="false">IF(OR($B335="",$E335="",$F335=""),0,MAX(0,MIN($F335,EOMONTH(DATE(cfg_FY,9,1),0))-MAX($E335,DATE(cfg_FY,9,1))+1)*(1-IF($M335="نعم",0,N($J335))))</f>
        <v>0</v>
      </c>
      <c r="AE335" s="133" t="n">
        <f aca="false">IF(OR($B335="",$E335="",$F335=""),0,MAX(0,MIN($F335,EOMONTH(DATE(cfg_FY,10,1),0))-MAX($E335,DATE(cfg_FY,10,1))+1)*(1-IF($M335="نعم",0,N($J335))))</f>
        <v>0</v>
      </c>
      <c r="AF335" s="133" t="n">
        <f aca="false">IF(OR($B335="",$E335="",$F335=""),0,MAX(0,MIN($F335,EOMONTH(DATE(cfg_FY,11,1),0))-MAX($E335,DATE(cfg_FY,11,1))+1)*(1-IF($M335="نعم",0,N($J335))))</f>
        <v>0</v>
      </c>
      <c r="AG335" s="133" t="n">
        <f aca="false">IF(OR($B335="",$E335="",$F335=""),0,MAX(0,MIN($F335,EOMONTH(DATE(cfg_FY,12,1),0))-MAX($E335,DATE(cfg_FY,12,1))+1)*(1-IF($M335="نعم",0,N($J335))))</f>
        <v>0</v>
      </c>
      <c r="AH335" s="133" t="n">
        <f aca="false">IF(OR(OR($B335="",$E335="",$F335=""),$L335&lt;&gt;"لا"),0,MAX(0,MIN($F335,EOMONTH(DATE(cfg_FY,1,1),0))-$E335+1))</f>
        <v>0</v>
      </c>
      <c r="AI335" s="133" t="n">
        <f aca="false">IF(OR(OR($B335="",$E335="",$F335=""),$L335&lt;&gt;"لا"),0,MAX(0,MIN($F335,EOMONTH(DATE(cfg_FY,2,1),0))-$E335+1))</f>
        <v>0</v>
      </c>
      <c r="AJ335" s="133" t="n">
        <f aca="false">IF(OR(OR($B335="",$E335="",$F335=""),$L335&lt;&gt;"لا"),0,MAX(0,MIN($F335,EOMONTH(DATE(cfg_FY,3,1),0))-$E335+1))</f>
        <v>0</v>
      </c>
      <c r="AK335" s="133" t="n">
        <f aca="false">IF(OR(OR($B335="",$E335="",$F335=""),$L335&lt;&gt;"لا"),0,MAX(0,MIN($F335,EOMONTH(DATE(cfg_FY,4,1),0))-$E335+1))</f>
        <v>0</v>
      </c>
      <c r="AL335" s="133" t="n">
        <f aca="false">IF(OR(OR($B335="",$E335="",$F335=""),$L335&lt;&gt;"لا"),0,MAX(0,MIN($F335,EOMONTH(DATE(cfg_FY,5,1),0))-$E335+1))</f>
        <v>0</v>
      </c>
      <c r="AM335" s="133" t="n">
        <f aca="false">IF(OR(OR($B335="",$E335="",$F335=""),$L335&lt;&gt;"لا"),0,MAX(0,MIN($F335,EOMONTH(DATE(cfg_FY,6,1),0))-$E335+1))</f>
        <v>0</v>
      </c>
      <c r="AN335" s="133" t="n">
        <f aca="false">IF(OR(OR($B335="",$E335="",$F335=""),$L335&lt;&gt;"لا"),0,MAX(0,MIN($F335,EOMONTH(DATE(cfg_FY,7,1),0))-$E335+1))</f>
        <v>0</v>
      </c>
      <c r="AO335" s="133" t="n">
        <f aca="false">IF(OR(OR($B335="",$E335="",$F335=""),$L335&lt;&gt;"لا"),0,MAX(0,MIN($F335,EOMONTH(DATE(cfg_FY,8,1),0))-$E335+1))</f>
        <v>0</v>
      </c>
      <c r="AP335" s="133" t="n">
        <f aca="false">IF(OR(OR($B335="",$E335="",$F335=""),$L335&lt;&gt;"لا"),0,MAX(0,MIN($F335,EOMONTH(DATE(cfg_FY,9,1),0))-$E335+1))</f>
        <v>0</v>
      </c>
      <c r="AQ335" s="133" t="n">
        <f aca="false">IF(OR(OR($B335="",$E335="",$F335=""),$L335&lt;&gt;"لا"),0,MAX(0,MIN($F335,EOMONTH(DATE(cfg_FY,10,1),0))-$E335+1))</f>
        <v>0</v>
      </c>
      <c r="AR335" s="133" t="n">
        <f aca="false">IF(OR(OR($B335="",$E335="",$F335=""),$L335&lt;&gt;"لا"),0,MAX(0,MIN($F335,EOMONTH(DATE(cfg_FY,11,1),0))-$E335+1))</f>
        <v>0</v>
      </c>
      <c r="AS335" s="133" t="n">
        <f aca="false">IF(OR(OR($B335="",$E335="",$F335=""),$L335&lt;&gt;"لا"),0,MAX(0,MIN($F335,EOMONTH(DATE(cfg_FY,12,1),0))-$E335+1))</f>
        <v>0</v>
      </c>
      <c r="AT335" s="133" t="n">
        <f aca="false">IF(OR(OR($B335="",$E335="",$F335=""),$K335&lt;&gt;"نعم",$M335="نعم"),0,MAX(0,MIN($F335,EOMONTH(DATE(cfg_FY,1,1),0))-MAX($E335,DATE(cfg_FY,1,1))+1))</f>
        <v>0</v>
      </c>
      <c r="AU335" s="133" t="n">
        <f aca="false">IF(OR(OR($B335="",$E335="",$F335=""),$K335&lt;&gt;"نعم",$M335="نعم"),0,MAX(0,MIN($F335,EOMONTH(DATE(cfg_FY,2,1),0))-MAX($E335,DATE(cfg_FY,2,1))+1))</f>
        <v>0</v>
      </c>
      <c r="AV335" s="133" t="n">
        <f aca="false">IF(OR(OR($B335="",$E335="",$F335=""),$K335&lt;&gt;"نعم",$M335="نعم"),0,MAX(0,MIN($F335,EOMONTH(DATE(cfg_FY,3,1),0))-MAX($E335,DATE(cfg_FY,3,1))+1))</f>
        <v>0</v>
      </c>
      <c r="AW335" s="133" t="n">
        <f aca="false">IF(OR(OR($B335="",$E335="",$F335=""),$K335&lt;&gt;"نعم",$M335="نعم"),0,MAX(0,MIN($F335,EOMONTH(DATE(cfg_FY,4,1),0))-MAX($E335,DATE(cfg_FY,4,1))+1))</f>
        <v>0</v>
      </c>
      <c r="AX335" s="133" t="n">
        <f aca="false">IF(OR(OR($B335="",$E335="",$F335=""),$K335&lt;&gt;"نعم",$M335="نعم"),0,MAX(0,MIN($F335,EOMONTH(DATE(cfg_FY,5,1),0))-MAX($E335,DATE(cfg_FY,5,1))+1))</f>
        <v>0</v>
      </c>
      <c r="AY335" s="133" t="n">
        <f aca="false">IF(OR(OR($B335="",$E335="",$F335=""),$K335&lt;&gt;"نعم",$M335="نعم"),0,MAX(0,MIN($F335,EOMONTH(DATE(cfg_FY,6,1),0))-MAX($E335,DATE(cfg_FY,6,1))+1))</f>
        <v>0</v>
      </c>
      <c r="AZ335" s="133" t="n">
        <f aca="false">IF(OR(OR($B335="",$E335="",$F335=""),$K335&lt;&gt;"نعم",$M335="نعم"),0,MAX(0,MIN($F335,EOMONTH(DATE(cfg_FY,7,1),0))-MAX($E335,DATE(cfg_FY,7,1))+1))</f>
        <v>0</v>
      </c>
      <c r="BA335" s="133" t="n">
        <f aca="false">IF(OR(OR($B335="",$E335="",$F335=""),$K335&lt;&gt;"نعم",$M335="نعم"),0,MAX(0,MIN($F335,EOMONTH(DATE(cfg_FY,8,1),0))-MAX($E335,DATE(cfg_FY,8,1))+1))</f>
        <v>0</v>
      </c>
      <c r="BB335" s="133" t="n">
        <f aca="false">IF(OR(OR($B335="",$E335="",$F335=""),$K335&lt;&gt;"نعم",$M335="نعم"),0,MAX(0,MIN($F335,EOMONTH(DATE(cfg_FY,9,1),0))-MAX($E335,DATE(cfg_FY,9,1))+1))</f>
        <v>0</v>
      </c>
      <c r="BC335" s="133" t="n">
        <f aca="false">IF(OR(OR($B335="",$E335="",$F335=""),$K335&lt;&gt;"نعم",$M335="نعم"),0,MAX(0,MIN($F335,EOMONTH(DATE(cfg_FY,10,1),0))-MAX($E335,DATE(cfg_FY,10,1))+1))</f>
        <v>0</v>
      </c>
      <c r="BD335" s="133" t="n">
        <f aca="false">IF(OR(OR($B335="",$E335="",$F335=""),$K335&lt;&gt;"نعم",$M335="نعم"),0,MAX(0,MIN($F335,EOMONTH(DATE(cfg_FY,11,1),0))-MAX($E335,DATE(cfg_FY,11,1))+1))</f>
        <v>0</v>
      </c>
      <c r="BE335" s="133" t="n">
        <f aca="false">IF(OR(OR($B335="",$E335="",$F335=""),$K335&lt;&gt;"نعم",$M335="نعم"),0,MAX(0,MIN($F335,EOMONTH(DATE(cfg_FY,12,1),0))-MAX($E335,DATE(cfg_FY,12,1))+1))</f>
        <v>0</v>
      </c>
    </row>
    <row r="336" customFormat="false" ht="15" hidden="false" customHeight="false" outlineLevel="0" collapsed="false">
      <c r="A336" s="106" t="str">
        <f aca="false">IF(B336="","",ROW()-5)</f>
        <v/>
      </c>
      <c r="B336" s="118"/>
      <c r="C336" s="114" t="str">
        <f aca="false">IF(B336="","",IFERROR(INDEX(الموظفون!$C$6:$C$105,MATCH(B336,الموظفون!$B$6:$B$105,0)),"✖ رقم غير موجود"))</f>
        <v/>
      </c>
      <c r="D336" s="118"/>
      <c r="E336" s="119"/>
      <c r="F336" s="119"/>
      <c r="G336" s="65" t="str">
        <f aca="false">IF(OR($B336="",$E336="",$F336=""),"",MAX(0,F336-E336+1))</f>
        <v/>
      </c>
      <c r="H336" s="66" t="str">
        <f aca="false">IF(D336="","",IFERROR(VLOOKUP(D336,cfg_LT,2,FALSE()),1))</f>
        <v/>
      </c>
      <c r="I336" s="135"/>
      <c r="J336" s="66" t="str">
        <f aca="false">IF(D336="","",IF(I336&lt;&gt;"",I336,H336))</f>
        <v/>
      </c>
      <c r="K336" s="114" t="str">
        <f aca="false">IF(D336="","",IFERROR(VLOOKUP($D336,cfg_LT,3,FALSE()),""))</f>
        <v/>
      </c>
      <c r="L336" s="114" t="str">
        <f aca="false">IF(D336="","",IFERROR(VLOOKUP($D336,cfg_LT,4,FALSE()),""))</f>
        <v/>
      </c>
      <c r="M336" s="114" t="str">
        <f aca="false">IF(D336="","",IFERROR(VLOOKUP($D336,cfg_LT,5,FALSE()),""))</f>
        <v/>
      </c>
      <c r="N336" s="111" t="n">
        <f aca="false">IF(OR(OR($B336="",$E336="",$F336=""),M336&lt;&gt;"نعم"),0,G336*J336*IFERROR(INDEX(الموظفون!$R$6:$R$105,MATCH(B336,الموظفون!$B$6:$B$105,0)),0)/cfg_DAYS_M)</f>
        <v>0</v>
      </c>
      <c r="O336" s="106" t="str">
        <f aca="false">IF(OR(OR($B336="",$E336="",$F336=""),M336&lt;&gt;"نعم"),"",IF(YEAR(E336)=cfg_FY,MONTH(E336),""))</f>
        <v/>
      </c>
      <c r="P336" s="114" t="str">
        <f aca="false">IF(B336="","",IF(OR(D336="",E336="",F336=""),"⚠ أكمل النوع والتواريخ",IF(F336&lt;E336,"✖ النهاية قبل البداية",IF(COUNTIFS($B$6:$B$505,B336,$E$6:$E$505,"&lt;="&amp;F336,$F$6:$F$505,"&gt;="&amp;E336)&gt;1,"⚠ تداخل مع سجل آخر",IF(E336&gt;cfg_VAL_DATE,"⏳ قادمة",IF(F336&lt;cfg_VAL_DATE,"✔ منتهية","✈ جارية في تاريخ التقرير"))))))</f>
        <v/>
      </c>
      <c r="Q336" s="118"/>
      <c r="R336" s="65" t="n">
        <f aca="false">IF(OR(OR($B336="",$E336="",$F336=""),L336&lt;&gt;"لا"),0,MAX(0,MIN(F336,cfg_Y_START-1)-E336+1))</f>
        <v>0</v>
      </c>
      <c r="S336" s="65" t="n">
        <f aca="false">IF(OR(OR($B336="",$E336="",$F336=""),L336&lt;&gt;"لا"),0,MAX(0,MIN(F336,cfg_VAL_DATE)-E336+1))</f>
        <v>0</v>
      </c>
      <c r="T336" s="65" t="n">
        <f aca="false">IF(OR(OR($B336="",$E336="",$F336=""),K336&lt;&gt;"نعم"),0,IF(M336="نعم",IF(AND(ISNUMBER(O336),N(O336)&lt;=cfg_VAL_M),G336,0),MAX(0,MIN(F336,cfg_VAL_DATE)-MAX(E336,cfg_Y_START)+1)))</f>
        <v>0</v>
      </c>
      <c r="V336" s="65" t="n">
        <f aca="false">IF(OR($B336="",$E336="",$F336=""),0,MAX(0,MIN($F336,EOMONTH(DATE(cfg_FY,1,1),0))-MAX($E336,DATE(cfg_FY,1,1))+1)*(1-IF($M336="نعم",0,N($J336))))</f>
        <v>0</v>
      </c>
      <c r="W336" s="65" t="n">
        <f aca="false">IF(OR($B336="",$E336="",$F336=""),0,MAX(0,MIN($F336,EOMONTH(DATE(cfg_FY,2,1),0))-MAX($E336,DATE(cfg_FY,2,1))+1)*(1-IF($M336="نعم",0,N($J336))))</f>
        <v>0</v>
      </c>
      <c r="X336" s="65" t="n">
        <f aca="false">IF(OR($B336="",$E336="",$F336=""),0,MAX(0,MIN($F336,EOMONTH(DATE(cfg_FY,3,1),0))-MAX($E336,DATE(cfg_FY,3,1))+1)*(1-IF($M336="نعم",0,N($J336))))</f>
        <v>0</v>
      </c>
      <c r="Y336" s="65" t="n">
        <f aca="false">IF(OR($B336="",$E336="",$F336=""),0,MAX(0,MIN($F336,EOMONTH(DATE(cfg_FY,4,1),0))-MAX($E336,DATE(cfg_FY,4,1))+1)*(1-IF($M336="نعم",0,N($J336))))</f>
        <v>0</v>
      </c>
      <c r="Z336" s="65" t="n">
        <f aca="false">IF(OR($B336="",$E336="",$F336=""),0,MAX(0,MIN($F336,EOMONTH(DATE(cfg_FY,5,1),0))-MAX($E336,DATE(cfg_FY,5,1))+1)*(1-IF($M336="نعم",0,N($J336))))</f>
        <v>0</v>
      </c>
      <c r="AA336" s="65" t="n">
        <f aca="false">IF(OR($B336="",$E336="",$F336=""),0,MAX(0,MIN($F336,EOMONTH(DATE(cfg_FY,6,1),0))-MAX($E336,DATE(cfg_FY,6,1))+1)*(1-IF($M336="نعم",0,N($J336))))</f>
        <v>0</v>
      </c>
      <c r="AB336" s="65" t="n">
        <f aca="false">IF(OR($B336="",$E336="",$F336=""),0,MAX(0,MIN($F336,EOMONTH(DATE(cfg_FY,7,1),0))-MAX($E336,DATE(cfg_FY,7,1))+1)*(1-IF($M336="نعم",0,N($J336))))</f>
        <v>0</v>
      </c>
      <c r="AC336" s="65" t="n">
        <f aca="false">IF(OR($B336="",$E336="",$F336=""),0,MAX(0,MIN($F336,EOMONTH(DATE(cfg_FY,8,1),0))-MAX($E336,DATE(cfg_FY,8,1))+1)*(1-IF($M336="نعم",0,N($J336))))</f>
        <v>0</v>
      </c>
      <c r="AD336" s="65" t="n">
        <f aca="false">IF(OR($B336="",$E336="",$F336=""),0,MAX(0,MIN($F336,EOMONTH(DATE(cfg_FY,9,1),0))-MAX($E336,DATE(cfg_FY,9,1))+1)*(1-IF($M336="نعم",0,N($J336))))</f>
        <v>0</v>
      </c>
      <c r="AE336" s="65" t="n">
        <f aca="false">IF(OR($B336="",$E336="",$F336=""),0,MAX(0,MIN($F336,EOMONTH(DATE(cfg_FY,10,1),0))-MAX($E336,DATE(cfg_FY,10,1))+1)*(1-IF($M336="نعم",0,N($J336))))</f>
        <v>0</v>
      </c>
      <c r="AF336" s="65" t="n">
        <f aca="false">IF(OR($B336="",$E336="",$F336=""),0,MAX(0,MIN($F336,EOMONTH(DATE(cfg_FY,11,1),0))-MAX($E336,DATE(cfg_FY,11,1))+1)*(1-IF($M336="نعم",0,N($J336))))</f>
        <v>0</v>
      </c>
      <c r="AG336" s="65" t="n">
        <f aca="false">IF(OR($B336="",$E336="",$F336=""),0,MAX(0,MIN($F336,EOMONTH(DATE(cfg_FY,12,1),0))-MAX($E336,DATE(cfg_FY,12,1))+1)*(1-IF($M336="نعم",0,N($J336))))</f>
        <v>0</v>
      </c>
      <c r="AH336" s="65" t="n">
        <f aca="false">IF(OR(OR($B336="",$E336="",$F336=""),$L336&lt;&gt;"لا"),0,MAX(0,MIN($F336,EOMONTH(DATE(cfg_FY,1,1),0))-$E336+1))</f>
        <v>0</v>
      </c>
      <c r="AI336" s="65" t="n">
        <f aca="false">IF(OR(OR($B336="",$E336="",$F336=""),$L336&lt;&gt;"لا"),0,MAX(0,MIN($F336,EOMONTH(DATE(cfg_FY,2,1),0))-$E336+1))</f>
        <v>0</v>
      </c>
      <c r="AJ336" s="65" t="n">
        <f aca="false">IF(OR(OR($B336="",$E336="",$F336=""),$L336&lt;&gt;"لا"),0,MAX(0,MIN($F336,EOMONTH(DATE(cfg_FY,3,1),0))-$E336+1))</f>
        <v>0</v>
      </c>
      <c r="AK336" s="65" t="n">
        <f aca="false">IF(OR(OR($B336="",$E336="",$F336=""),$L336&lt;&gt;"لا"),0,MAX(0,MIN($F336,EOMONTH(DATE(cfg_FY,4,1),0))-$E336+1))</f>
        <v>0</v>
      </c>
      <c r="AL336" s="65" t="n">
        <f aca="false">IF(OR(OR($B336="",$E336="",$F336=""),$L336&lt;&gt;"لا"),0,MAX(0,MIN($F336,EOMONTH(DATE(cfg_FY,5,1),0))-$E336+1))</f>
        <v>0</v>
      </c>
      <c r="AM336" s="65" t="n">
        <f aca="false">IF(OR(OR($B336="",$E336="",$F336=""),$L336&lt;&gt;"لا"),0,MAX(0,MIN($F336,EOMONTH(DATE(cfg_FY,6,1),0))-$E336+1))</f>
        <v>0</v>
      </c>
      <c r="AN336" s="65" t="n">
        <f aca="false">IF(OR(OR($B336="",$E336="",$F336=""),$L336&lt;&gt;"لا"),0,MAX(0,MIN($F336,EOMONTH(DATE(cfg_FY,7,1),0))-$E336+1))</f>
        <v>0</v>
      </c>
      <c r="AO336" s="65" t="n">
        <f aca="false">IF(OR(OR($B336="",$E336="",$F336=""),$L336&lt;&gt;"لا"),0,MAX(0,MIN($F336,EOMONTH(DATE(cfg_FY,8,1),0))-$E336+1))</f>
        <v>0</v>
      </c>
      <c r="AP336" s="65" t="n">
        <f aca="false">IF(OR(OR($B336="",$E336="",$F336=""),$L336&lt;&gt;"لا"),0,MAX(0,MIN($F336,EOMONTH(DATE(cfg_FY,9,1),0))-$E336+1))</f>
        <v>0</v>
      </c>
      <c r="AQ336" s="65" t="n">
        <f aca="false">IF(OR(OR($B336="",$E336="",$F336=""),$L336&lt;&gt;"لا"),0,MAX(0,MIN($F336,EOMONTH(DATE(cfg_FY,10,1),0))-$E336+1))</f>
        <v>0</v>
      </c>
      <c r="AR336" s="65" t="n">
        <f aca="false">IF(OR(OR($B336="",$E336="",$F336=""),$L336&lt;&gt;"لا"),0,MAX(0,MIN($F336,EOMONTH(DATE(cfg_FY,11,1),0))-$E336+1))</f>
        <v>0</v>
      </c>
      <c r="AS336" s="65" t="n">
        <f aca="false">IF(OR(OR($B336="",$E336="",$F336=""),$L336&lt;&gt;"لا"),0,MAX(0,MIN($F336,EOMONTH(DATE(cfg_FY,12,1),0))-$E336+1))</f>
        <v>0</v>
      </c>
      <c r="AT336" s="65" t="n">
        <f aca="false">IF(OR(OR($B336="",$E336="",$F336=""),$K336&lt;&gt;"نعم",$M336="نعم"),0,MAX(0,MIN($F336,EOMONTH(DATE(cfg_FY,1,1),0))-MAX($E336,DATE(cfg_FY,1,1))+1))</f>
        <v>0</v>
      </c>
      <c r="AU336" s="65" t="n">
        <f aca="false">IF(OR(OR($B336="",$E336="",$F336=""),$K336&lt;&gt;"نعم",$M336="نعم"),0,MAX(0,MIN($F336,EOMONTH(DATE(cfg_FY,2,1),0))-MAX($E336,DATE(cfg_FY,2,1))+1))</f>
        <v>0</v>
      </c>
      <c r="AV336" s="65" t="n">
        <f aca="false">IF(OR(OR($B336="",$E336="",$F336=""),$K336&lt;&gt;"نعم",$M336="نعم"),0,MAX(0,MIN($F336,EOMONTH(DATE(cfg_FY,3,1),0))-MAX($E336,DATE(cfg_FY,3,1))+1))</f>
        <v>0</v>
      </c>
      <c r="AW336" s="65" t="n">
        <f aca="false">IF(OR(OR($B336="",$E336="",$F336=""),$K336&lt;&gt;"نعم",$M336="نعم"),0,MAX(0,MIN($F336,EOMONTH(DATE(cfg_FY,4,1),0))-MAX($E336,DATE(cfg_FY,4,1))+1))</f>
        <v>0</v>
      </c>
      <c r="AX336" s="65" t="n">
        <f aca="false">IF(OR(OR($B336="",$E336="",$F336=""),$K336&lt;&gt;"نعم",$M336="نعم"),0,MAX(0,MIN($F336,EOMONTH(DATE(cfg_FY,5,1),0))-MAX($E336,DATE(cfg_FY,5,1))+1))</f>
        <v>0</v>
      </c>
      <c r="AY336" s="65" t="n">
        <f aca="false">IF(OR(OR($B336="",$E336="",$F336=""),$K336&lt;&gt;"نعم",$M336="نعم"),0,MAX(0,MIN($F336,EOMONTH(DATE(cfg_FY,6,1),0))-MAX($E336,DATE(cfg_FY,6,1))+1))</f>
        <v>0</v>
      </c>
      <c r="AZ336" s="65" t="n">
        <f aca="false">IF(OR(OR($B336="",$E336="",$F336=""),$K336&lt;&gt;"نعم",$M336="نعم"),0,MAX(0,MIN($F336,EOMONTH(DATE(cfg_FY,7,1),0))-MAX($E336,DATE(cfg_FY,7,1))+1))</f>
        <v>0</v>
      </c>
      <c r="BA336" s="65" t="n">
        <f aca="false">IF(OR(OR($B336="",$E336="",$F336=""),$K336&lt;&gt;"نعم",$M336="نعم"),0,MAX(0,MIN($F336,EOMONTH(DATE(cfg_FY,8,1),0))-MAX($E336,DATE(cfg_FY,8,1))+1))</f>
        <v>0</v>
      </c>
      <c r="BB336" s="65" t="n">
        <f aca="false">IF(OR(OR($B336="",$E336="",$F336=""),$K336&lt;&gt;"نعم",$M336="نعم"),0,MAX(0,MIN($F336,EOMONTH(DATE(cfg_FY,9,1),0))-MAX($E336,DATE(cfg_FY,9,1))+1))</f>
        <v>0</v>
      </c>
      <c r="BC336" s="65" t="n">
        <f aca="false">IF(OR(OR($B336="",$E336="",$F336=""),$K336&lt;&gt;"نعم",$M336="نعم"),0,MAX(0,MIN($F336,EOMONTH(DATE(cfg_FY,10,1),0))-MAX($E336,DATE(cfg_FY,10,1))+1))</f>
        <v>0</v>
      </c>
      <c r="BD336" s="65" t="n">
        <f aca="false">IF(OR(OR($B336="",$E336="",$F336=""),$K336&lt;&gt;"نعم",$M336="نعم"),0,MAX(0,MIN($F336,EOMONTH(DATE(cfg_FY,11,1),0))-MAX($E336,DATE(cfg_FY,11,1))+1))</f>
        <v>0</v>
      </c>
      <c r="BE336" s="65" t="n">
        <f aca="false">IF(OR(OR($B336="",$E336="",$F336=""),$K336&lt;&gt;"نعم",$M336="نعم"),0,MAX(0,MIN($F336,EOMONTH(DATE(cfg_FY,12,1),0))-MAX($E336,DATE(cfg_FY,12,1))+1))</f>
        <v>0</v>
      </c>
    </row>
    <row r="337" customFormat="false" ht="15" hidden="false" customHeight="false" outlineLevel="0" collapsed="false">
      <c r="A337" s="115" t="str">
        <f aca="false">IF(B337="","",ROW()-5)</f>
        <v/>
      </c>
      <c r="B337" s="118"/>
      <c r="C337" s="117" t="str">
        <f aca="false">IF(B337="","",IFERROR(INDEX(الموظفون!$C$6:$C$105,MATCH(B337,الموظفون!$B$6:$B$105,0)),"✖ رقم غير موجود"))</f>
        <v/>
      </c>
      <c r="D337" s="118"/>
      <c r="E337" s="119"/>
      <c r="F337" s="119"/>
      <c r="G337" s="133" t="str">
        <f aca="false">IF(OR($B337="",$E337="",$F337=""),"",MAX(0,F337-E337+1))</f>
        <v/>
      </c>
      <c r="H337" s="134" t="str">
        <f aca="false">IF(D337="","",IFERROR(VLOOKUP(D337,cfg_LT,2,FALSE()),1))</f>
        <v/>
      </c>
      <c r="I337" s="135"/>
      <c r="J337" s="134" t="str">
        <f aca="false">IF(D337="","",IF(I337&lt;&gt;"",I337,H337))</f>
        <v/>
      </c>
      <c r="K337" s="117" t="str">
        <f aca="false">IF(D337="","",IFERROR(VLOOKUP($D337,cfg_LT,3,FALSE()),""))</f>
        <v/>
      </c>
      <c r="L337" s="117" t="str">
        <f aca="false">IF(D337="","",IFERROR(VLOOKUP($D337,cfg_LT,4,FALSE()),""))</f>
        <v/>
      </c>
      <c r="M337" s="117" t="str">
        <f aca="false">IF(D337="","",IFERROR(VLOOKUP($D337,cfg_LT,5,FALSE()),""))</f>
        <v/>
      </c>
      <c r="N337" s="116" t="n">
        <f aca="false">IF(OR(OR($B337="",$E337="",$F337=""),M337&lt;&gt;"نعم"),0,G337*J337*IFERROR(INDEX(الموظفون!$R$6:$R$105,MATCH(B337,الموظفون!$B$6:$B$105,0)),0)/cfg_DAYS_M)</f>
        <v>0</v>
      </c>
      <c r="O337" s="115" t="str">
        <f aca="false">IF(OR(OR($B337="",$E337="",$F337=""),M337&lt;&gt;"نعم"),"",IF(YEAR(E337)=cfg_FY,MONTH(E337),""))</f>
        <v/>
      </c>
      <c r="P337" s="117" t="str">
        <f aca="false">IF(B337="","",IF(OR(D337="",E337="",F337=""),"⚠ أكمل النوع والتواريخ",IF(F337&lt;E337,"✖ النهاية قبل البداية",IF(COUNTIFS($B$6:$B$505,B337,$E$6:$E$505,"&lt;="&amp;F337,$F$6:$F$505,"&gt;="&amp;E337)&gt;1,"⚠ تداخل مع سجل آخر",IF(E337&gt;cfg_VAL_DATE,"⏳ قادمة",IF(F337&lt;cfg_VAL_DATE,"✔ منتهية","✈ جارية في تاريخ التقرير"))))))</f>
        <v/>
      </c>
      <c r="Q337" s="118"/>
      <c r="R337" s="133" t="n">
        <f aca="false">IF(OR(OR($B337="",$E337="",$F337=""),L337&lt;&gt;"لا"),0,MAX(0,MIN(F337,cfg_Y_START-1)-E337+1))</f>
        <v>0</v>
      </c>
      <c r="S337" s="133" t="n">
        <f aca="false">IF(OR(OR($B337="",$E337="",$F337=""),L337&lt;&gt;"لا"),0,MAX(0,MIN(F337,cfg_VAL_DATE)-E337+1))</f>
        <v>0</v>
      </c>
      <c r="T337" s="133" t="n">
        <f aca="false">IF(OR(OR($B337="",$E337="",$F337=""),K337&lt;&gt;"نعم"),0,IF(M337="نعم",IF(AND(ISNUMBER(O337),N(O337)&lt;=cfg_VAL_M),G337,0),MAX(0,MIN(F337,cfg_VAL_DATE)-MAX(E337,cfg_Y_START)+1)))</f>
        <v>0</v>
      </c>
      <c r="V337" s="133" t="n">
        <f aca="false">IF(OR($B337="",$E337="",$F337=""),0,MAX(0,MIN($F337,EOMONTH(DATE(cfg_FY,1,1),0))-MAX($E337,DATE(cfg_FY,1,1))+1)*(1-IF($M337="نعم",0,N($J337))))</f>
        <v>0</v>
      </c>
      <c r="W337" s="133" t="n">
        <f aca="false">IF(OR($B337="",$E337="",$F337=""),0,MAX(0,MIN($F337,EOMONTH(DATE(cfg_FY,2,1),0))-MAX($E337,DATE(cfg_FY,2,1))+1)*(1-IF($M337="نعم",0,N($J337))))</f>
        <v>0</v>
      </c>
      <c r="X337" s="133" t="n">
        <f aca="false">IF(OR($B337="",$E337="",$F337=""),0,MAX(0,MIN($F337,EOMONTH(DATE(cfg_FY,3,1),0))-MAX($E337,DATE(cfg_FY,3,1))+1)*(1-IF($M337="نعم",0,N($J337))))</f>
        <v>0</v>
      </c>
      <c r="Y337" s="133" t="n">
        <f aca="false">IF(OR($B337="",$E337="",$F337=""),0,MAX(0,MIN($F337,EOMONTH(DATE(cfg_FY,4,1),0))-MAX($E337,DATE(cfg_FY,4,1))+1)*(1-IF($M337="نعم",0,N($J337))))</f>
        <v>0</v>
      </c>
      <c r="Z337" s="133" t="n">
        <f aca="false">IF(OR($B337="",$E337="",$F337=""),0,MAX(0,MIN($F337,EOMONTH(DATE(cfg_FY,5,1),0))-MAX($E337,DATE(cfg_FY,5,1))+1)*(1-IF($M337="نعم",0,N($J337))))</f>
        <v>0</v>
      </c>
      <c r="AA337" s="133" t="n">
        <f aca="false">IF(OR($B337="",$E337="",$F337=""),0,MAX(0,MIN($F337,EOMONTH(DATE(cfg_FY,6,1),0))-MAX($E337,DATE(cfg_FY,6,1))+1)*(1-IF($M337="نعم",0,N($J337))))</f>
        <v>0</v>
      </c>
      <c r="AB337" s="133" t="n">
        <f aca="false">IF(OR($B337="",$E337="",$F337=""),0,MAX(0,MIN($F337,EOMONTH(DATE(cfg_FY,7,1),0))-MAX($E337,DATE(cfg_FY,7,1))+1)*(1-IF($M337="نعم",0,N($J337))))</f>
        <v>0</v>
      </c>
      <c r="AC337" s="133" t="n">
        <f aca="false">IF(OR($B337="",$E337="",$F337=""),0,MAX(0,MIN($F337,EOMONTH(DATE(cfg_FY,8,1),0))-MAX($E337,DATE(cfg_FY,8,1))+1)*(1-IF($M337="نعم",0,N($J337))))</f>
        <v>0</v>
      </c>
      <c r="AD337" s="133" t="n">
        <f aca="false">IF(OR($B337="",$E337="",$F337=""),0,MAX(0,MIN($F337,EOMONTH(DATE(cfg_FY,9,1),0))-MAX($E337,DATE(cfg_FY,9,1))+1)*(1-IF($M337="نعم",0,N($J337))))</f>
        <v>0</v>
      </c>
      <c r="AE337" s="133" t="n">
        <f aca="false">IF(OR($B337="",$E337="",$F337=""),0,MAX(0,MIN($F337,EOMONTH(DATE(cfg_FY,10,1),0))-MAX($E337,DATE(cfg_FY,10,1))+1)*(1-IF($M337="نعم",0,N($J337))))</f>
        <v>0</v>
      </c>
      <c r="AF337" s="133" t="n">
        <f aca="false">IF(OR($B337="",$E337="",$F337=""),0,MAX(0,MIN($F337,EOMONTH(DATE(cfg_FY,11,1),0))-MAX($E337,DATE(cfg_FY,11,1))+1)*(1-IF($M337="نعم",0,N($J337))))</f>
        <v>0</v>
      </c>
      <c r="AG337" s="133" t="n">
        <f aca="false">IF(OR($B337="",$E337="",$F337=""),0,MAX(0,MIN($F337,EOMONTH(DATE(cfg_FY,12,1),0))-MAX($E337,DATE(cfg_FY,12,1))+1)*(1-IF($M337="نعم",0,N($J337))))</f>
        <v>0</v>
      </c>
      <c r="AH337" s="133" t="n">
        <f aca="false">IF(OR(OR($B337="",$E337="",$F337=""),$L337&lt;&gt;"لا"),0,MAX(0,MIN($F337,EOMONTH(DATE(cfg_FY,1,1),0))-$E337+1))</f>
        <v>0</v>
      </c>
      <c r="AI337" s="133" t="n">
        <f aca="false">IF(OR(OR($B337="",$E337="",$F337=""),$L337&lt;&gt;"لا"),0,MAX(0,MIN($F337,EOMONTH(DATE(cfg_FY,2,1),0))-$E337+1))</f>
        <v>0</v>
      </c>
      <c r="AJ337" s="133" t="n">
        <f aca="false">IF(OR(OR($B337="",$E337="",$F337=""),$L337&lt;&gt;"لا"),0,MAX(0,MIN($F337,EOMONTH(DATE(cfg_FY,3,1),0))-$E337+1))</f>
        <v>0</v>
      </c>
      <c r="AK337" s="133" t="n">
        <f aca="false">IF(OR(OR($B337="",$E337="",$F337=""),$L337&lt;&gt;"لا"),0,MAX(0,MIN($F337,EOMONTH(DATE(cfg_FY,4,1),0))-$E337+1))</f>
        <v>0</v>
      </c>
      <c r="AL337" s="133" t="n">
        <f aca="false">IF(OR(OR($B337="",$E337="",$F337=""),$L337&lt;&gt;"لا"),0,MAX(0,MIN($F337,EOMONTH(DATE(cfg_FY,5,1),0))-$E337+1))</f>
        <v>0</v>
      </c>
      <c r="AM337" s="133" t="n">
        <f aca="false">IF(OR(OR($B337="",$E337="",$F337=""),$L337&lt;&gt;"لا"),0,MAX(0,MIN($F337,EOMONTH(DATE(cfg_FY,6,1),0))-$E337+1))</f>
        <v>0</v>
      </c>
      <c r="AN337" s="133" t="n">
        <f aca="false">IF(OR(OR($B337="",$E337="",$F337=""),$L337&lt;&gt;"لا"),0,MAX(0,MIN($F337,EOMONTH(DATE(cfg_FY,7,1),0))-$E337+1))</f>
        <v>0</v>
      </c>
      <c r="AO337" s="133" t="n">
        <f aca="false">IF(OR(OR($B337="",$E337="",$F337=""),$L337&lt;&gt;"لا"),0,MAX(0,MIN($F337,EOMONTH(DATE(cfg_FY,8,1),0))-$E337+1))</f>
        <v>0</v>
      </c>
      <c r="AP337" s="133" t="n">
        <f aca="false">IF(OR(OR($B337="",$E337="",$F337=""),$L337&lt;&gt;"لا"),0,MAX(0,MIN($F337,EOMONTH(DATE(cfg_FY,9,1),0))-$E337+1))</f>
        <v>0</v>
      </c>
      <c r="AQ337" s="133" t="n">
        <f aca="false">IF(OR(OR($B337="",$E337="",$F337=""),$L337&lt;&gt;"لا"),0,MAX(0,MIN($F337,EOMONTH(DATE(cfg_FY,10,1),0))-$E337+1))</f>
        <v>0</v>
      </c>
      <c r="AR337" s="133" t="n">
        <f aca="false">IF(OR(OR($B337="",$E337="",$F337=""),$L337&lt;&gt;"لا"),0,MAX(0,MIN($F337,EOMONTH(DATE(cfg_FY,11,1),0))-$E337+1))</f>
        <v>0</v>
      </c>
      <c r="AS337" s="133" t="n">
        <f aca="false">IF(OR(OR($B337="",$E337="",$F337=""),$L337&lt;&gt;"لا"),0,MAX(0,MIN($F337,EOMONTH(DATE(cfg_FY,12,1),0))-$E337+1))</f>
        <v>0</v>
      </c>
      <c r="AT337" s="133" t="n">
        <f aca="false">IF(OR(OR($B337="",$E337="",$F337=""),$K337&lt;&gt;"نعم",$M337="نعم"),0,MAX(0,MIN($F337,EOMONTH(DATE(cfg_FY,1,1),0))-MAX($E337,DATE(cfg_FY,1,1))+1))</f>
        <v>0</v>
      </c>
      <c r="AU337" s="133" t="n">
        <f aca="false">IF(OR(OR($B337="",$E337="",$F337=""),$K337&lt;&gt;"نعم",$M337="نعم"),0,MAX(0,MIN($F337,EOMONTH(DATE(cfg_FY,2,1),0))-MAX($E337,DATE(cfg_FY,2,1))+1))</f>
        <v>0</v>
      </c>
      <c r="AV337" s="133" t="n">
        <f aca="false">IF(OR(OR($B337="",$E337="",$F337=""),$K337&lt;&gt;"نعم",$M337="نعم"),0,MAX(0,MIN($F337,EOMONTH(DATE(cfg_FY,3,1),0))-MAX($E337,DATE(cfg_FY,3,1))+1))</f>
        <v>0</v>
      </c>
      <c r="AW337" s="133" t="n">
        <f aca="false">IF(OR(OR($B337="",$E337="",$F337=""),$K337&lt;&gt;"نعم",$M337="نعم"),0,MAX(0,MIN($F337,EOMONTH(DATE(cfg_FY,4,1),0))-MAX($E337,DATE(cfg_FY,4,1))+1))</f>
        <v>0</v>
      </c>
      <c r="AX337" s="133" t="n">
        <f aca="false">IF(OR(OR($B337="",$E337="",$F337=""),$K337&lt;&gt;"نعم",$M337="نعم"),0,MAX(0,MIN($F337,EOMONTH(DATE(cfg_FY,5,1),0))-MAX($E337,DATE(cfg_FY,5,1))+1))</f>
        <v>0</v>
      </c>
      <c r="AY337" s="133" t="n">
        <f aca="false">IF(OR(OR($B337="",$E337="",$F337=""),$K337&lt;&gt;"نعم",$M337="نعم"),0,MAX(0,MIN($F337,EOMONTH(DATE(cfg_FY,6,1),0))-MAX($E337,DATE(cfg_FY,6,1))+1))</f>
        <v>0</v>
      </c>
      <c r="AZ337" s="133" t="n">
        <f aca="false">IF(OR(OR($B337="",$E337="",$F337=""),$K337&lt;&gt;"نعم",$M337="نعم"),0,MAX(0,MIN($F337,EOMONTH(DATE(cfg_FY,7,1),0))-MAX($E337,DATE(cfg_FY,7,1))+1))</f>
        <v>0</v>
      </c>
      <c r="BA337" s="133" t="n">
        <f aca="false">IF(OR(OR($B337="",$E337="",$F337=""),$K337&lt;&gt;"نعم",$M337="نعم"),0,MAX(0,MIN($F337,EOMONTH(DATE(cfg_FY,8,1),0))-MAX($E337,DATE(cfg_FY,8,1))+1))</f>
        <v>0</v>
      </c>
      <c r="BB337" s="133" t="n">
        <f aca="false">IF(OR(OR($B337="",$E337="",$F337=""),$K337&lt;&gt;"نعم",$M337="نعم"),0,MAX(0,MIN($F337,EOMONTH(DATE(cfg_FY,9,1),0))-MAX($E337,DATE(cfg_FY,9,1))+1))</f>
        <v>0</v>
      </c>
      <c r="BC337" s="133" t="n">
        <f aca="false">IF(OR(OR($B337="",$E337="",$F337=""),$K337&lt;&gt;"نعم",$M337="نعم"),0,MAX(0,MIN($F337,EOMONTH(DATE(cfg_FY,10,1),0))-MAX($E337,DATE(cfg_FY,10,1))+1))</f>
        <v>0</v>
      </c>
      <c r="BD337" s="133" t="n">
        <f aca="false">IF(OR(OR($B337="",$E337="",$F337=""),$K337&lt;&gt;"نعم",$M337="نعم"),0,MAX(0,MIN($F337,EOMONTH(DATE(cfg_FY,11,1),0))-MAX($E337,DATE(cfg_FY,11,1))+1))</f>
        <v>0</v>
      </c>
      <c r="BE337" s="133" t="n">
        <f aca="false">IF(OR(OR($B337="",$E337="",$F337=""),$K337&lt;&gt;"نعم",$M337="نعم"),0,MAX(0,MIN($F337,EOMONTH(DATE(cfg_FY,12,1),0))-MAX($E337,DATE(cfg_FY,12,1))+1))</f>
        <v>0</v>
      </c>
    </row>
    <row r="338" customFormat="false" ht="15" hidden="false" customHeight="false" outlineLevel="0" collapsed="false">
      <c r="A338" s="106" t="str">
        <f aca="false">IF(B338="","",ROW()-5)</f>
        <v/>
      </c>
      <c r="B338" s="118"/>
      <c r="C338" s="114" t="str">
        <f aca="false">IF(B338="","",IFERROR(INDEX(الموظفون!$C$6:$C$105,MATCH(B338,الموظفون!$B$6:$B$105,0)),"✖ رقم غير موجود"))</f>
        <v/>
      </c>
      <c r="D338" s="118"/>
      <c r="E338" s="119"/>
      <c r="F338" s="119"/>
      <c r="G338" s="65" t="str">
        <f aca="false">IF(OR($B338="",$E338="",$F338=""),"",MAX(0,F338-E338+1))</f>
        <v/>
      </c>
      <c r="H338" s="66" t="str">
        <f aca="false">IF(D338="","",IFERROR(VLOOKUP(D338,cfg_LT,2,FALSE()),1))</f>
        <v/>
      </c>
      <c r="I338" s="135"/>
      <c r="J338" s="66" t="str">
        <f aca="false">IF(D338="","",IF(I338&lt;&gt;"",I338,H338))</f>
        <v/>
      </c>
      <c r="K338" s="114" t="str">
        <f aca="false">IF(D338="","",IFERROR(VLOOKUP($D338,cfg_LT,3,FALSE()),""))</f>
        <v/>
      </c>
      <c r="L338" s="114" t="str">
        <f aca="false">IF(D338="","",IFERROR(VLOOKUP($D338,cfg_LT,4,FALSE()),""))</f>
        <v/>
      </c>
      <c r="M338" s="114" t="str">
        <f aca="false">IF(D338="","",IFERROR(VLOOKUP($D338,cfg_LT,5,FALSE()),""))</f>
        <v/>
      </c>
      <c r="N338" s="111" t="n">
        <f aca="false">IF(OR(OR($B338="",$E338="",$F338=""),M338&lt;&gt;"نعم"),0,G338*J338*IFERROR(INDEX(الموظفون!$R$6:$R$105,MATCH(B338,الموظفون!$B$6:$B$105,0)),0)/cfg_DAYS_M)</f>
        <v>0</v>
      </c>
      <c r="O338" s="106" t="str">
        <f aca="false">IF(OR(OR($B338="",$E338="",$F338=""),M338&lt;&gt;"نعم"),"",IF(YEAR(E338)=cfg_FY,MONTH(E338),""))</f>
        <v/>
      </c>
      <c r="P338" s="114" t="str">
        <f aca="false">IF(B338="","",IF(OR(D338="",E338="",F338=""),"⚠ أكمل النوع والتواريخ",IF(F338&lt;E338,"✖ النهاية قبل البداية",IF(COUNTIFS($B$6:$B$505,B338,$E$6:$E$505,"&lt;="&amp;F338,$F$6:$F$505,"&gt;="&amp;E338)&gt;1,"⚠ تداخل مع سجل آخر",IF(E338&gt;cfg_VAL_DATE,"⏳ قادمة",IF(F338&lt;cfg_VAL_DATE,"✔ منتهية","✈ جارية في تاريخ التقرير"))))))</f>
        <v/>
      </c>
      <c r="Q338" s="118"/>
      <c r="R338" s="65" t="n">
        <f aca="false">IF(OR(OR($B338="",$E338="",$F338=""),L338&lt;&gt;"لا"),0,MAX(0,MIN(F338,cfg_Y_START-1)-E338+1))</f>
        <v>0</v>
      </c>
      <c r="S338" s="65" t="n">
        <f aca="false">IF(OR(OR($B338="",$E338="",$F338=""),L338&lt;&gt;"لا"),0,MAX(0,MIN(F338,cfg_VAL_DATE)-E338+1))</f>
        <v>0</v>
      </c>
      <c r="T338" s="65" t="n">
        <f aca="false">IF(OR(OR($B338="",$E338="",$F338=""),K338&lt;&gt;"نعم"),0,IF(M338="نعم",IF(AND(ISNUMBER(O338),N(O338)&lt;=cfg_VAL_M),G338,0),MAX(0,MIN(F338,cfg_VAL_DATE)-MAX(E338,cfg_Y_START)+1)))</f>
        <v>0</v>
      </c>
      <c r="V338" s="65" t="n">
        <f aca="false">IF(OR($B338="",$E338="",$F338=""),0,MAX(0,MIN($F338,EOMONTH(DATE(cfg_FY,1,1),0))-MAX($E338,DATE(cfg_FY,1,1))+1)*(1-IF($M338="نعم",0,N($J338))))</f>
        <v>0</v>
      </c>
      <c r="W338" s="65" t="n">
        <f aca="false">IF(OR($B338="",$E338="",$F338=""),0,MAX(0,MIN($F338,EOMONTH(DATE(cfg_FY,2,1),0))-MAX($E338,DATE(cfg_FY,2,1))+1)*(1-IF($M338="نعم",0,N($J338))))</f>
        <v>0</v>
      </c>
      <c r="X338" s="65" t="n">
        <f aca="false">IF(OR($B338="",$E338="",$F338=""),0,MAX(0,MIN($F338,EOMONTH(DATE(cfg_FY,3,1),0))-MAX($E338,DATE(cfg_FY,3,1))+1)*(1-IF($M338="نعم",0,N($J338))))</f>
        <v>0</v>
      </c>
      <c r="Y338" s="65" t="n">
        <f aca="false">IF(OR($B338="",$E338="",$F338=""),0,MAX(0,MIN($F338,EOMONTH(DATE(cfg_FY,4,1),0))-MAX($E338,DATE(cfg_FY,4,1))+1)*(1-IF($M338="نعم",0,N($J338))))</f>
        <v>0</v>
      </c>
      <c r="Z338" s="65" t="n">
        <f aca="false">IF(OR($B338="",$E338="",$F338=""),0,MAX(0,MIN($F338,EOMONTH(DATE(cfg_FY,5,1),0))-MAX($E338,DATE(cfg_FY,5,1))+1)*(1-IF($M338="نعم",0,N($J338))))</f>
        <v>0</v>
      </c>
      <c r="AA338" s="65" t="n">
        <f aca="false">IF(OR($B338="",$E338="",$F338=""),0,MAX(0,MIN($F338,EOMONTH(DATE(cfg_FY,6,1),0))-MAX($E338,DATE(cfg_FY,6,1))+1)*(1-IF($M338="نعم",0,N($J338))))</f>
        <v>0</v>
      </c>
      <c r="AB338" s="65" t="n">
        <f aca="false">IF(OR($B338="",$E338="",$F338=""),0,MAX(0,MIN($F338,EOMONTH(DATE(cfg_FY,7,1),0))-MAX($E338,DATE(cfg_FY,7,1))+1)*(1-IF($M338="نعم",0,N($J338))))</f>
        <v>0</v>
      </c>
      <c r="AC338" s="65" t="n">
        <f aca="false">IF(OR($B338="",$E338="",$F338=""),0,MAX(0,MIN($F338,EOMONTH(DATE(cfg_FY,8,1),0))-MAX($E338,DATE(cfg_FY,8,1))+1)*(1-IF($M338="نعم",0,N($J338))))</f>
        <v>0</v>
      </c>
      <c r="AD338" s="65" t="n">
        <f aca="false">IF(OR($B338="",$E338="",$F338=""),0,MAX(0,MIN($F338,EOMONTH(DATE(cfg_FY,9,1),0))-MAX($E338,DATE(cfg_FY,9,1))+1)*(1-IF($M338="نعم",0,N($J338))))</f>
        <v>0</v>
      </c>
      <c r="AE338" s="65" t="n">
        <f aca="false">IF(OR($B338="",$E338="",$F338=""),0,MAX(0,MIN($F338,EOMONTH(DATE(cfg_FY,10,1),0))-MAX($E338,DATE(cfg_FY,10,1))+1)*(1-IF($M338="نعم",0,N($J338))))</f>
        <v>0</v>
      </c>
      <c r="AF338" s="65" t="n">
        <f aca="false">IF(OR($B338="",$E338="",$F338=""),0,MAX(0,MIN($F338,EOMONTH(DATE(cfg_FY,11,1),0))-MAX($E338,DATE(cfg_FY,11,1))+1)*(1-IF($M338="نعم",0,N($J338))))</f>
        <v>0</v>
      </c>
      <c r="AG338" s="65" t="n">
        <f aca="false">IF(OR($B338="",$E338="",$F338=""),0,MAX(0,MIN($F338,EOMONTH(DATE(cfg_FY,12,1),0))-MAX($E338,DATE(cfg_FY,12,1))+1)*(1-IF($M338="نعم",0,N($J338))))</f>
        <v>0</v>
      </c>
      <c r="AH338" s="65" t="n">
        <f aca="false">IF(OR(OR($B338="",$E338="",$F338=""),$L338&lt;&gt;"لا"),0,MAX(0,MIN($F338,EOMONTH(DATE(cfg_FY,1,1),0))-$E338+1))</f>
        <v>0</v>
      </c>
      <c r="AI338" s="65" t="n">
        <f aca="false">IF(OR(OR($B338="",$E338="",$F338=""),$L338&lt;&gt;"لا"),0,MAX(0,MIN($F338,EOMONTH(DATE(cfg_FY,2,1),0))-$E338+1))</f>
        <v>0</v>
      </c>
      <c r="AJ338" s="65" t="n">
        <f aca="false">IF(OR(OR($B338="",$E338="",$F338=""),$L338&lt;&gt;"لا"),0,MAX(0,MIN($F338,EOMONTH(DATE(cfg_FY,3,1),0))-$E338+1))</f>
        <v>0</v>
      </c>
      <c r="AK338" s="65" t="n">
        <f aca="false">IF(OR(OR($B338="",$E338="",$F338=""),$L338&lt;&gt;"لا"),0,MAX(0,MIN($F338,EOMONTH(DATE(cfg_FY,4,1),0))-$E338+1))</f>
        <v>0</v>
      </c>
      <c r="AL338" s="65" t="n">
        <f aca="false">IF(OR(OR($B338="",$E338="",$F338=""),$L338&lt;&gt;"لا"),0,MAX(0,MIN($F338,EOMONTH(DATE(cfg_FY,5,1),0))-$E338+1))</f>
        <v>0</v>
      </c>
      <c r="AM338" s="65" t="n">
        <f aca="false">IF(OR(OR($B338="",$E338="",$F338=""),$L338&lt;&gt;"لا"),0,MAX(0,MIN($F338,EOMONTH(DATE(cfg_FY,6,1),0))-$E338+1))</f>
        <v>0</v>
      </c>
      <c r="AN338" s="65" t="n">
        <f aca="false">IF(OR(OR($B338="",$E338="",$F338=""),$L338&lt;&gt;"لا"),0,MAX(0,MIN($F338,EOMONTH(DATE(cfg_FY,7,1),0))-$E338+1))</f>
        <v>0</v>
      </c>
      <c r="AO338" s="65" t="n">
        <f aca="false">IF(OR(OR($B338="",$E338="",$F338=""),$L338&lt;&gt;"لا"),0,MAX(0,MIN($F338,EOMONTH(DATE(cfg_FY,8,1),0))-$E338+1))</f>
        <v>0</v>
      </c>
      <c r="AP338" s="65" t="n">
        <f aca="false">IF(OR(OR($B338="",$E338="",$F338=""),$L338&lt;&gt;"لا"),0,MAX(0,MIN($F338,EOMONTH(DATE(cfg_FY,9,1),0))-$E338+1))</f>
        <v>0</v>
      </c>
      <c r="AQ338" s="65" t="n">
        <f aca="false">IF(OR(OR($B338="",$E338="",$F338=""),$L338&lt;&gt;"لا"),0,MAX(0,MIN($F338,EOMONTH(DATE(cfg_FY,10,1),0))-$E338+1))</f>
        <v>0</v>
      </c>
      <c r="AR338" s="65" t="n">
        <f aca="false">IF(OR(OR($B338="",$E338="",$F338=""),$L338&lt;&gt;"لا"),0,MAX(0,MIN($F338,EOMONTH(DATE(cfg_FY,11,1),0))-$E338+1))</f>
        <v>0</v>
      </c>
      <c r="AS338" s="65" t="n">
        <f aca="false">IF(OR(OR($B338="",$E338="",$F338=""),$L338&lt;&gt;"لا"),0,MAX(0,MIN($F338,EOMONTH(DATE(cfg_FY,12,1),0))-$E338+1))</f>
        <v>0</v>
      </c>
      <c r="AT338" s="65" t="n">
        <f aca="false">IF(OR(OR($B338="",$E338="",$F338=""),$K338&lt;&gt;"نعم",$M338="نعم"),0,MAX(0,MIN($F338,EOMONTH(DATE(cfg_FY,1,1),0))-MAX($E338,DATE(cfg_FY,1,1))+1))</f>
        <v>0</v>
      </c>
      <c r="AU338" s="65" t="n">
        <f aca="false">IF(OR(OR($B338="",$E338="",$F338=""),$K338&lt;&gt;"نعم",$M338="نعم"),0,MAX(0,MIN($F338,EOMONTH(DATE(cfg_FY,2,1),0))-MAX($E338,DATE(cfg_FY,2,1))+1))</f>
        <v>0</v>
      </c>
      <c r="AV338" s="65" t="n">
        <f aca="false">IF(OR(OR($B338="",$E338="",$F338=""),$K338&lt;&gt;"نعم",$M338="نعم"),0,MAX(0,MIN($F338,EOMONTH(DATE(cfg_FY,3,1),0))-MAX($E338,DATE(cfg_FY,3,1))+1))</f>
        <v>0</v>
      </c>
      <c r="AW338" s="65" t="n">
        <f aca="false">IF(OR(OR($B338="",$E338="",$F338=""),$K338&lt;&gt;"نعم",$M338="نعم"),0,MAX(0,MIN($F338,EOMONTH(DATE(cfg_FY,4,1),0))-MAX($E338,DATE(cfg_FY,4,1))+1))</f>
        <v>0</v>
      </c>
      <c r="AX338" s="65" t="n">
        <f aca="false">IF(OR(OR($B338="",$E338="",$F338=""),$K338&lt;&gt;"نعم",$M338="نعم"),0,MAX(0,MIN($F338,EOMONTH(DATE(cfg_FY,5,1),0))-MAX($E338,DATE(cfg_FY,5,1))+1))</f>
        <v>0</v>
      </c>
      <c r="AY338" s="65" t="n">
        <f aca="false">IF(OR(OR($B338="",$E338="",$F338=""),$K338&lt;&gt;"نعم",$M338="نعم"),0,MAX(0,MIN($F338,EOMONTH(DATE(cfg_FY,6,1),0))-MAX($E338,DATE(cfg_FY,6,1))+1))</f>
        <v>0</v>
      </c>
      <c r="AZ338" s="65" t="n">
        <f aca="false">IF(OR(OR($B338="",$E338="",$F338=""),$K338&lt;&gt;"نعم",$M338="نعم"),0,MAX(0,MIN($F338,EOMONTH(DATE(cfg_FY,7,1),0))-MAX($E338,DATE(cfg_FY,7,1))+1))</f>
        <v>0</v>
      </c>
      <c r="BA338" s="65" t="n">
        <f aca="false">IF(OR(OR($B338="",$E338="",$F338=""),$K338&lt;&gt;"نعم",$M338="نعم"),0,MAX(0,MIN($F338,EOMONTH(DATE(cfg_FY,8,1),0))-MAX($E338,DATE(cfg_FY,8,1))+1))</f>
        <v>0</v>
      </c>
      <c r="BB338" s="65" t="n">
        <f aca="false">IF(OR(OR($B338="",$E338="",$F338=""),$K338&lt;&gt;"نعم",$M338="نعم"),0,MAX(0,MIN($F338,EOMONTH(DATE(cfg_FY,9,1),0))-MAX($E338,DATE(cfg_FY,9,1))+1))</f>
        <v>0</v>
      </c>
      <c r="BC338" s="65" t="n">
        <f aca="false">IF(OR(OR($B338="",$E338="",$F338=""),$K338&lt;&gt;"نعم",$M338="نعم"),0,MAX(0,MIN($F338,EOMONTH(DATE(cfg_FY,10,1),0))-MAX($E338,DATE(cfg_FY,10,1))+1))</f>
        <v>0</v>
      </c>
      <c r="BD338" s="65" t="n">
        <f aca="false">IF(OR(OR($B338="",$E338="",$F338=""),$K338&lt;&gt;"نعم",$M338="نعم"),0,MAX(0,MIN($F338,EOMONTH(DATE(cfg_FY,11,1),0))-MAX($E338,DATE(cfg_FY,11,1))+1))</f>
        <v>0</v>
      </c>
      <c r="BE338" s="65" t="n">
        <f aca="false">IF(OR(OR($B338="",$E338="",$F338=""),$K338&lt;&gt;"نعم",$M338="نعم"),0,MAX(0,MIN($F338,EOMONTH(DATE(cfg_FY,12,1),0))-MAX($E338,DATE(cfg_FY,12,1))+1))</f>
        <v>0</v>
      </c>
    </row>
    <row r="339" customFormat="false" ht="15" hidden="false" customHeight="false" outlineLevel="0" collapsed="false">
      <c r="A339" s="115" t="str">
        <f aca="false">IF(B339="","",ROW()-5)</f>
        <v/>
      </c>
      <c r="B339" s="118"/>
      <c r="C339" s="117" t="str">
        <f aca="false">IF(B339="","",IFERROR(INDEX(الموظفون!$C$6:$C$105,MATCH(B339,الموظفون!$B$6:$B$105,0)),"✖ رقم غير موجود"))</f>
        <v/>
      </c>
      <c r="D339" s="118"/>
      <c r="E339" s="119"/>
      <c r="F339" s="119"/>
      <c r="G339" s="133" t="str">
        <f aca="false">IF(OR($B339="",$E339="",$F339=""),"",MAX(0,F339-E339+1))</f>
        <v/>
      </c>
      <c r="H339" s="134" t="str">
        <f aca="false">IF(D339="","",IFERROR(VLOOKUP(D339,cfg_LT,2,FALSE()),1))</f>
        <v/>
      </c>
      <c r="I339" s="135"/>
      <c r="J339" s="134" t="str">
        <f aca="false">IF(D339="","",IF(I339&lt;&gt;"",I339,H339))</f>
        <v/>
      </c>
      <c r="K339" s="117" t="str">
        <f aca="false">IF(D339="","",IFERROR(VLOOKUP($D339,cfg_LT,3,FALSE()),""))</f>
        <v/>
      </c>
      <c r="L339" s="117" t="str">
        <f aca="false">IF(D339="","",IFERROR(VLOOKUP($D339,cfg_LT,4,FALSE()),""))</f>
        <v/>
      </c>
      <c r="M339" s="117" t="str">
        <f aca="false">IF(D339="","",IFERROR(VLOOKUP($D339,cfg_LT,5,FALSE()),""))</f>
        <v/>
      </c>
      <c r="N339" s="116" t="n">
        <f aca="false">IF(OR(OR($B339="",$E339="",$F339=""),M339&lt;&gt;"نعم"),0,G339*J339*IFERROR(INDEX(الموظفون!$R$6:$R$105,MATCH(B339,الموظفون!$B$6:$B$105,0)),0)/cfg_DAYS_M)</f>
        <v>0</v>
      </c>
      <c r="O339" s="115" t="str">
        <f aca="false">IF(OR(OR($B339="",$E339="",$F339=""),M339&lt;&gt;"نعم"),"",IF(YEAR(E339)=cfg_FY,MONTH(E339),""))</f>
        <v/>
      </c>
      <c r="P339" s="117" t="str">
        <f aca="false">IF(B339="","",IF(OR(D339="",E339="",F339=""),"⚠ أكمل النوع والتواريخ",IF(F339&lt;E339,"✖ النهاية قبل البداية",IF(COUNTIFS($B$6:$B$505,B339,$E$6:$E$505,"&lt;="&amp;F339,$F$6:$F$505,"&gt;="&amp;E339)&gt;1,"⚠ تداخل مع سجل آخر",IF(E339&gt;cfg_VAL_DATE,"⏳ قادمة",IF(F339&lt;cfg_VAL_DATE,"✔ منتهية","✈ جارية في تاريخ التقرير"))))))</f>
        <v/>
      </c>
      <c r="Q339" s="118"/>
      <c r="R339" s="133" t="n">
        <f aca="false">IF(OR(OR($B339="",$E339="",$F339=""),L339&lt;&gt;"لا"),0,MAX(0,MIN(F339,cfg_Y_START-1)-E339+1))</f>
        <v>0</v>
      </c>
      <c r="S339" s="133" t="n">
        <f aca="false">IF(OR(OR($B339="",$E339="",$F339=""),L339&lt;&gt;"لا"),0,MAX(0,MIN(F339,cfg_VAL_DATE)-E339+1))</f>
        <v>0</v>
      </c>
      <c r="T339" s="133" t="n">
        <f aca="false">IF(OR(OR($B339="",$E339="",$F339=""),K339&lt;&gt;"نعم"),0,IF(M339="نعم",IF(AND(ISNUMBER(O339),N(O339)&lt;=cfg_VAL_M),G339,0),MAX(0,MIN(F339,cfg_VAL_DATE)-MAX(E339,cfg_Y_START)+1)))</f>
        <v>0</v>
      </c>
      <c r="V339" s="133" t="n">
        <f aca="false">IF(OR($B339="",$E339="",$F339=""),0,MAX(0,MIN($F339,EOMONTH(DATE(cfg_FY,1,1),0))-MAX($E339,DATE(cfg_FY,1,1))+1)*(1-IF($M339="نعم",0,N($J339))))</f>
        <v>0</v>
      </c>
      <c r="W339" s="133" t="n">
        <f aca="false">IF(OR($B339="",$E339="",$F339=""),0,MAX(0,MIN($F339,EOMONTH(DATE(cfg_FY,2,1),0))-MAX($E339,DATE(cfg_FY,2,1))+1)*(1-IF($M339="نعم",0,N($J339))))</f>
        <v>0</v>
      </c>
      <c r="X339" s="133" t="n">
        <f aca="false">IF(OR($B339="",$E339="",$F339=""),0,MAX(0,MIN($F339,EOMONTH(DATE(cfg_FY,3,1),0))-MAX($E339,DATE(cfg_FY,3,1))+1)*(1-IF($M339="نعم",0,N($J339))))</f>
        <v>0</v>
      </c>
      <c r="Y339" s="133" t="n">
        <f aca="false">IF(OR($B339="",$E339="",$F339=""),0,MAX(0,MIN($F339,EOMONTH(DATE(cfg_FY,4,1),0))-MAX($E339,DATE(cfg_FY,4,1))+1)*(1-IF($M339="نعم",0,N($J339))))</f>
        <v>0</v>
      </c>
      <c r="Z339" s="133" t="n">
        <f aca="false">IF(OR($B339="",$E339="",$F339=""),0,MAX(0,MIN($F339,EOMONTH(DATE(cfg_FY,5,1),0))-MAX($E339,DATE(cfg_FY,5,1))+1)*(1-IF($M339="نعم",0,N($J339))))</f>
        <v>0</v>
      </c>
      <c r="AA339" s="133" t="n">
        <f aca="false">IF(OR($B339="",$E339="",$F339=""),0,MAX(0,MIN($F339,EOMONTH(DATE(cfg_FY,6,1),0))-MAX($E339,DATE(cfg_FY,6,1))+1)*(1-IF($M339="نعم",0,N($J339))))</f>
        <v>0</v>
      </c>
      <c r="AB339" s="133" t="n">
        <f aca="false">IF(OR($B339="",$E339="",$F339=""),0,MAX(0,MIN($F339,EOMONTH(DATE(cfg_FY,7,1),0))-MAX($E339,DATE(cfg_FY,7,1))+1)*(1-IF($M339="نعم",0,N($J339))))</f>
        <v>0</v>
      </c>
      <c r="AC339" s="133" t="n">
        <f aca="false">IF(OR($B339="",$E339="",$F339=""),0,MAX(0,MIN($F339,EOMONTH(DATE(cfg_FY,8,1),0))-MAX($E339,DATE(cfg_FY,8,1))+1)*(1-IF($M339="نعم",0,N($J339))))</f>
        <v>0</v>
      </c>
      <c r="AD339" s="133" t="n">
        <f aca="false">IF(OR($B339="",$E339="",$F339=""),0,MAX(0,MIN($F339,EOMONTH(DATE(cfg_FY,9,1),0))-MAX($E339,DATE(cfg_FY,9,1))+1)*(1-IF($M339="نعم",0,N($J339))))</f>
        <v>0</v>
      </c>
      <c r="AE339" s="133" t="n">
        <f aca="false">IF(OR($B339="",$E339="",$F339=""),0,MAX(0,MIN($F339,EOMONTH(DATE(cfg_FY,10,1),0))-MAX($E339,DATE(cfg_FY,10,1))+1)*(1-IF($M339="نعم",0,N($J339))))</f>
        <v>0</v>
      </c>
      <c r="AF339" s="133" t="n">
        <f aca="false">IF(OR($B339="",$E339="",$F339=""),0,MAX(0,MIN($F339,EOMONTH(DATE(cfg_FY,11,1),0))-MAX($E339,DATE(cfg_FY,11,1))+1)*(1-IF($M339="نعم",0,N($J339))))</f>
        <v>0</v>
      </c>
      <c r="AG339" s="133" t="n">
        <f aca="false">IF(OR($B339="",$E339="",$F339=""),0,MAX(0,MIN($F339,EOMONTH(DATE(cfg_FY,12,1),0))-MAX($E339,DATE(cfg_FY,12,1))+1)*(1-IF($M339="نعم",0,N($J339))))</f>
        <v>0</v>
      </c>
      <c r="AH339" s="133" t="n">
        <f aca="false">IF(OR(OR($B339="",$E339="",$F339=""),$L339&lt;&gt;"لا"),0,MAX(0,MIN($F339,EOMONTH(DATE(cfg_FY,1,1),0))-$E339+1))</f>
        <v>0</v>
      </c>
      <c r="AI339" s="133" t="n">
        <f aca="false">IF(OR(OR($B339="",$E339="",$F339=""),$L339&lt;&gt;"لا"),0,MAX(0,MIN($F339,EOMONTH(DATE(cfg_FY,2,1),0))-$E339+1))</f>
        <v>0</v>
      </c>
      <c r="AJ339" s="133" t="n">
        <f aca="false">IF(OR(OR($B339="",$E339="",$F339=""),$L339&lt;&gt;"لا"),0,MAX(0,MIN($F339,EOMONTH(DATE(cfg_FY,3,1),0))-$E339+1))</f>
        <v>0</v>
      </c>
      <c r="AK339" s="133" t="n">
        <f aca="false">IF(OR(OR($B339="",$E339="",$F339=""),$L339&lt;&gt;"لا"),0,MAX(0,MIN($F339,EOMONTH(DATE(cfg_FY,4,1),0))-$E339+1))</f>
        <v>0</v>
      </c>
      <c r="AL339" s="133" t="n">
        <f aca="false">IF(OR(OR($B339="",$E339="",$F339=""),$L339&lt;&gt;"لا"),0,MAX(0,MIN($F339,EOMONTH(DATE(cfg_FY,5,1),0))-$E339+1))</f>
        <v>0</v>
      </c>
      <c r="AM339" s="133" t="n">
        <f aca="false">IF(OR(OR($B339="",$E339="",$F339=""),$L339&lt;&gt;"لا"),0,MAX(0,MIN($F339,EOMONTH(DATE(cfg_FY,6,1),0))-$E339+1))</f>
        <v>0</v>
      </c>
      <c r="AN339" s="133" t="n">
        <f aca="false">IF(OR(OR($B339="",$E339="",$F339=""),$L339&lt;&gt;"لا"),0,MAX(0,MIN($F339,EOMONTH(DATE(cfg_FY,7,1),0))-$E339+1))</f>
        <v>0</v>
      </c>
      <c r="AO339" s="133" t="n">
        <f aca="false">IF(OR(OR($B339="",$E339="",$F339=""),$L339&lt;&gt;"لا"),0,MAX(0,MIN($F339,EOMONTH(DATE(cfg_FY,8,1),0))-$E339+1))</f>
        <v>0</v>
      </c>
      <c r="AP339" s="133" t="n">
        <f aca="false">IF(OR(OR($B339="",$E339="",$F339=""),$L339&lt;&gt;"لا"),0,MAX(0,MIN($F339,EOMONTH(DATE(cfg_FY,9,1),0))-$E339+1))</f>
        <v>0</v>
      </c>
      <c r="AQ339" s="133" t="n">
        <f aca="false">IF(OR(OR($B339="",$E339="",$F339=""),$L339&lt;&gt;"لا"),0,MAX(0,MIN($F339,EOMONTH(DATE(cfg_FY,10,1),0))-$E339+1))</f>
        <v>0</v>
      </c>
      <c r="AR339" s="133" t="n">
        <f aca="false">IF(OR(OR($B339="",$E339="",$F339=""),$L339&lt;&gt;"لا"),0,MAX(0,MIN($F339,EOMONTH(DATE(cfg_FY,11,1),0))-$E339+1))</f>
        <v>0</v>
      </c>
      <c r="AS339" s="133" t="n">
        <f aca="false">IF(OR(OR($B339="",$E339="",$F339=""),$L339&lt;&gt;"لا"),0,MAX(0,MIN($F339,EOMONTH(DATE(cfg_FY,12,1),0))-$E339+1))</f>
        <v>0</v>
      </c>
      <c r="AT339" s="133" t="n">
        <f aca="false">IF(OR(OR($B339="",$E339="",$F339=""),$K339&lt;&gt;"نعم",$M339="نعم"),0,MAX(0,MIN($F339,EOMONTH(DATE(cfg_FY,1,1),0))-MAX($E339,DATE(cfg_FY,1,1))+1))</f>
        <v>0</v>
      </c>
      <c r="AU339" s="133" t="n">
        <f aca="false">IF(OR(OR($B339="",$E339="",$F339=""),$K339&lt;&gt;"نعم",$M339="نعم"),0,MAX(0,MIN($F339,EOMONTH(DATE(cfg_FY,2,1),0))-MAX($E339,DATE(cfg_FY,2,1))+1))</f>
        <v>0</v>
      </c>
      <c r="AV339" s="133" t="n">
        <f aca="false">IF(OR(OR($B339="",$E339="",$F339=""),$K339&lt;&gt;"نعم",$M339="نعم"),0,MAX(0,MIN($F339,EOMONTH(DATE(cfg_FY,3,1),0))-MAX($E339,DATE(cfg_FY,3,1))+1))</f>
        <v>0</v>
      </c>
      <c r="AW339" s="133" t="n">
        <f aca="false">IF(OR(OR($B339="",$E339="",$F339=""),$K339&lt;&gt;"نعم",$M339="نعم"),0,MAX(0,MIN($F339,EOMONTH(DATE(cfg_FY,4,1),0))-MAX($E339,DATE(cfg_FY,4,1))+1))</f>
        <v>0</v>
      </c>
      <c r="AX339" s="133" t="n">
        <f aca="false">IF(OR(OR($B339="",$E339="",$F339=""),$K339&lt;&gt;"نعم",$M339="نعم"),0,MAX(0,MIN($F339,EOMONTH(DATE(cfg_FY,5,1),0))-MAX($E339,DATE(cfg_FY,5,1))+1))</f>
        <v>0</v>
      </c>
      <c r="AY339" s="133" t="n">
        <f aca="false">IF(OR(OR($B339="",$E339="",$F339=""),$K339&lt;&gt;"نعم",$M339="نعم"),0,MAX(0,MIN($F339,EOMONTH(DATE(cfg_FY,6,1),0))-MAX($E339,DATE(cfg_FY,6,1))+1))</f>
        <v>0</v>
      </c>
      <c r="AZ339" s="133" t="n">
        <f aca="false">IF(OR(OR($B339="",$E339="",$F339=""),$K339&lt;&gt;"نعم",$M339="نعم"),0,MAX(0,MIN($F339,EOMONTH(DATE(cfg_FY,7,1),0))-MAX($E339,DATE(cfg_FY,7,1))+1))</f>
        <v>0</v>
      </c>
      <c r="BA339" s="133" t="n">
        <f aca="false">IF(OR(OR($B339="",$E339="",$F339=""),$K339&lt;&gt;"نعم",$M339="نعم"),0,MAX(0,MIN($F339,EOMONTH(DATE(cfg_FY,8,1),0))-MAX($E339,DATE(cfg_FY,8,1))+1))</f>
        <v>0</v>
      </c>
      <c r="BB339" s="133" t="n">
        <f aca="false">IF(OR(OR($B339="",$E339="",$F339=""),$K339&lt;&gt;"نعم",$M339="نعم"),0,MAX(0,MIN($F339,EOMONTH(DATE(cfg_FY,9,1),0))-MAX($E339,DATE(cfg_FY,9,1))+1))</f>
        <v>0</v>
      </c>
      <c r="BC339" s="133" t="n">
        <f aca="false">IF(OR(OR($B339="",$E339="",$F339=""),$K339&lt;&gt;"نعم",$M339="نعم"),0,MAX(0,MIN($F339,EOMONTH(DATE(cfg_FY,10,1),0))-MAX($E339,DATE(cfg_FY,10,1))+1))</f>
        <v>0</v>
      </c>
      <c r="BD339" s="133" t="n">
        <f aca="false">IF(OR(OR($B339="",$E339="",$F339=""),$K339&lt;&gt;"نعم",$M339="نعم"),0,MAX(0,MIN($F339,EOMONTH(DATE(cfg_FY,11,1),0))-MAX($E339,DATE(cfg_FY,11,1))+1))</f>
        <v>0</v>
      </c>
      <c r="BE339" s="133" t="n">
        <f aca="false">IF(OR(OR($B339="",$E339="",$F339=""),$K339&lt;&gt;"نعم",$M339="نعم"),0,MAX(0,MIN($F339,EOMONTH(DATE(cfg_FY,12,1),0))-MAX($E339,DATE(cfg_FY,12,1))+1))</f>
        <v>0</v>
      </c>
    </row>
    <row r="340" customFormat="false" ht="15" hidden="false" customHeight="false" outlineLevel="0" collapsed="false">
      <c r="A340" s="106" t="str">
        <f aca="false">IF(B340="","",ROW()-5)</f>
        <v/>
      </c>
      <c r="B340" s="118"/>
      <c r="C340" s="114" t="str">
        <f aca="false">IF(B340="","",IFERROR(INDEX(الموظفون!$C$6:$C$105,MATCH(B340,الموظفون!$B$6:$B$105,0)),"✖ رقم غير موجود"))</f>
        <v/>
      </c>
      <c r="D340" s="118"/>
      <c r="E340" s="119"/>
      <c r="F340" s="119"/>
      <c r="G340" s="65" t="str">
        <f aca="false">IF(OR($B340="",$E340="",$F340=""),"",MAX(0,F340-E340+1))</f>
        <v/>
      </c>
      <c r="H340" s="66" t="str">
        <f aca="false">IF(D340="","",IFERROR(VLOOKUP(D340,cfg_LT,2,FALSE()),1))</f>
        <v/>
      </c>
      <c r="I340" s="135"/>
      <c r="J340" s="66" t="str">
        <f aca="false">IF(D340="","",IF(I340&lt;&gt;"",I340,H340))</f>
        <v/>
      </c>
      <c r="K340" s="114" t="str">
        <f aca="false">IF(D340="","",IFERROR(VLOOKUP($D340,cfg_LT,3,FALSE()),""))</f>
        <v/>
      </c>
      <c r="L340" s="114" t="str">
        <f aca="false">IF(D340="","",IFERROR(VLOOKUP($D340,cfg_LT,4,FALSE()),""))</f>
        <v/>
      </c>
      <c r="M340" s="114" t="str">
        <f aca="false">IF(D340="","",IFERROR(VLOOKUP($D340,cfg_LT,5,FALSE()),""))</f>
        <v/>
      </c>
      <c r="N340" s="111" t="n">
        <f aca="false">IF(OR(OR($B340="",$E340="",$F340=""),M340&lt;&gt;"نعم"),0,G340*J340*IFERROR(INDEX(الموظفون!$R$6:$R$105,MATCH(B340,الموظفون!$B$6:$B$105,0)),0)/cfg_DAYS_M)</f>
        <v>0</v>
      </c>
      <c r="O340" s="106" t="str">
        <f aca="false">IF(OR(OR($B340="",$E340="",$F340=""),M340&lt;&gt;"نعم"),"",IF(YEAR(E340)=cfg_FY,MONTH(E340),""))</f>
        <v/>
      </c>
      <c r="P340" s="114" t="str">
        <f aca="false">IF(B340="","",IF(OR(D340="",E340="",F340=""),"⚠ أكمل النوع والتواريخ",IF(F340&lt;E340,"✖ النهاية قبل البداية",IF(COUNTIFS($B$6:$B$505,B340,$E$6:$E$505,"&lt;="&amp;F340,$F$6:$F$505,"&gt;="&amp;E340)&gt;1,"⚠ تداخل مع سجل آخر",IF(E340&gt;cfg_VAL_DATE,"⏳ قادمة",IF(F340&lt;cfg_VAL_DATE,"✔ منتهية","✈ جارية في تاريخ التقرير"))))))</f>
        <v/>
      </c>
      <c r="Q340" s="118"/>
      <c r="R340" s="65" t="n">
        <f aca="false">IF(OR(OR($B340="",$E340="",$F340=""),L340&lt;&gt;"لا"),0,MAX(0,MIN(F340,cfg_Y_START-1)-E340+1))</f>
        <v>0</v>
      </c>
      <c r="S340" s="65" t="n">
        <f aca="false">IF(OR(OR($B340="",$E340="",$F340=""),L340&lt;&gt;"لا"),0,MAX(0,MIN(F340,cfg_VAL_DATE)-E340+1))</f>
        <v>0</v>
      </c>
      <c r="T340" s="65" t="n">
        <f aca="false">IF(OR(OR($B340="",$E340="",$F340=""),K340&lt;&gt;"نعم"),0,IF(M340="نعم",IF(AND(ISNUMBER(O340),N(O340)&lt;=cfg_VAL_M),G340,0),MAX(0,MIN(F340,cfg_VAL_DATE)-MAX(E340,cfg_Y_START)+1)))</f>
        <v>0</v>
      </c>
      <c r="V340" s="65" t="n">
        <f aca="false">IF(OR($B340="",$E340="",$F340=""),0,MAX(0,MIN($F340,EOMONTH(DATE(cfg_FY,1,1),0))-MAX($E340,DATE(cfg_FY,1,1))+1)*(1-IF($M340="نعم",0,N($J340))))</f>
        <v>0</v>
      </c>
      <c r="W340" s="65" t="n">
        <f aca="false">IF(OR($B340="",$E340="",$F340=""),0,MAX(0,MIN($F340,EOMONTH(DATE(cfg_FY,2,1),0))-MAX($E340,DATE(cfg_FY,2,1))+1)*(1-IF($M340="نعم",0,N($J340))))</f>
        <v>0</v>
      </c>
      <c r="X340" s="65" t="n">
        <f aca="false">IF(OR($B340="",$E340="",$F340=""),0,MAX(0,MIN($F340,EOMONTH(DATE(cfg_FY,3,1),0))-MAX($E340,DATE(cfg_FY,3,1))+1)*(1-IF($M340="نعم",0,N($J340))))</f>
        <v>0</v>
      </c>
      <c r="Y340" s="65" t="n">
        <f aca="false">IF(OR($B340="",$E340="",$F340=""),0,MAX(0,MIN($F340,EOMONTH(DATE(cfg_FY,4,1),0))-MAX($E340,DATE(cfg_FY,4,1))+1)*(1-IF($M340="نعم",0,N($J340))))</f>
        <v>0</v>
      </c>
      <c r="Z340" s="65" t="n">
        <f aca="false">IF(OR($B340="",$E340="",$F340=""),0,MAX(0,MIN($F340,EOMONTH(DATE(cfg_FY,5,1),0))-MAX($E340,DATE(cfg_FY,5,1))+1)*(1-IF($M340="نعم",0,N($J340))))</f>
        <v>0</v>
      </c>
      <c r="AA340" s="65" t="n">
        <f aca="false">IF(OR($B340="",$E340="",$F340=""),0,MAX(0,MIN($F340,EOMONTH(DATE(cfg_FY,6,1),0))-MAX($E340,DATE(cfg_FY,6,1))+1)*(1-IF($M340="نعم",0,N($J340))))</f>
        <v>0</v>
      </c>
      <c r="AB340" s="65" t="n">
        <f aca="false">IF(OR($B340="",$E340="",$F340=""),0,MAX(0,MIN($F340,EOMONTH(DATE(cfg_FY,7,1),0))-MAX($E340,DATE(cfg_FY,7,1))+1)*(1-IF($M340="نعم",0,N($J340))))</f>
        <v>0</v>
      </c>
      <c r="AC340" s="65" t="n">
        <f aca="false">IF(OR($B340="",$E340="",$F340=""),0,MAX(0,MIN($F340,EOMONTH(DATE(cfg_FY,8,1),0))-MAX($E340,DATE(cfg_FY,8,1))+1)*(1-IF($M340="نعم",0,N($J340))))</f>
        <v>0</v>
      </c>
      <c r="AD340" s="65" t="n">
        <f aca="false">IF(OR($B340="",$E340="",$F340=""),0,MAX(0,MIN($F340,EOMONTH(DATE(cfg_FY,9,1),0))-MAX($E340,DATE(cfg_FY,9,1))+1)*(1-IF($M340="نعم",0,N($J340))))</f>
        <v>0</v>
      </c>
      <c r="AE340" s="65" t="n">
        <f aca="false">IF(OR($B340="",$E340="",$F340=""),0,MAX(0,MIN($F340,EOMONTH(DATE(cfg_FY,10,1),0))-MAX($E340,DATE(cfg_FY,10,1))+1)*(1-IF($M340="نعم",0,N($J340))))</f>
        <v>0</v>
      </c>
      <c r="AF340" s="65" t="n">
        <f aca="false">IF(OR($B340="",$E340="",$F340=""),0,MAX(0,MIN($F340,EOMONTH(DATE(cfg_FY,11,1),0))-MAX($E340,DATE(cfg_FY,11,1))+1)*(1-IF($M340="نعم",0,N($J340))))</f>
        <v>0</v>
      </c>
      <c r="AG340" s="65" t="n">
        <f aca="false">IF(OR($B340="",$E340="",$F340=""),0,MAX(0,MIN($F340,EOMONTH(DATE(cfg_FY,12,1),0))-MAX($E340,DATE(cfg_FY,12,1))+1)*(1-IF($M340="نعم",0,N($J340))))</f>
        <v>0</v>
      </c>
      <c r="AH340" s="65" t="n">
        <f aca="false">IF(OR(OR($B340="",$E340="",$F340=""),$L340&lt;&gt;"لا"),0,MAX(0,MIN($F340,EOMONTH(DATE(cfg_FY,1,1),0))-$E340+1))</f>
        <v>0</v>
      </c>
      <c r="AI340" s="65" t="n">
        <f aca="false">IF(OR(OR($B340="",$E340="",$F340=""),$L340&lt;&gt;"لا"),0,MAX(0,MIN($F340,EOMONTH(DATE(cfg_FY,2,1),0))-$E340+1))</f>
        <v>0</v>
      </c>
      <c r="AJ340" s="65" t="n">
        <f aca="false">IF(OR(OR($B340="",$E340="",$F340=""),$L340&lt;&gt;"لا"),0,MAX(0,MIN($F340,EOMONTH(DATE(cfg_FY,3,1),0))-$E340+1))</f>
        <v>0</v>
      </c>
      <c r="AK340" s="65" t="n">
        <f aca="false">IF(OR(OR($B340="",$E340="",$F340=""),$L340&lt;&gt;"لا"),0,MAX(0,MIN($F340,EOMONTH(DATE(cfg_FY,4,1),0))-$E340+1))</f>
        <v>0</v>
      </c>
      <c r="AL340" s="65" t="n">
        <f aca="false">IF(OR(OR($B340="",$E340="",$F340=""),$L340&lt;&gt;"لا"),0,MAX(0,MIN($F340,EOMONTH(DATE(cfg_FY,5,1),0))-$E340+1))</f>
        <v>0</v>
      </c>
      <c r="AM340" s="65" t="n">
        <f aca="false">IF(OR(OR($B340="",$E340="",$F340=""),$L340&lt;&gt;"لا"),0,MAX(0,MIN($F340,EOMONTH(DATE(cfg_FY,6,1),0))-$E340+1))</f>
        <v>0</v>
      </c>
      <c r="AN340" s="65" t="n">
        <f aca="false">IF(OR(OR($B340="",$E340="",$F340=""),$L340&lt;&gt;"لا"),0,MAX(0,MIN($F340,EOMONTH(DATE(cfg_FY,7,1),0))-$E340+1))</f>
        <v>0</v>
      </c>
      <c r="AO340" s="65" t="n">
        <f aca="false">IF(OR(OR($B340="",$E340="",$F340=""),$L340&lt;&gt;"لا"),0,MAX(0,MIN($F340,EOMONTH(DATE(cfg_FY,8,1),0))-$E340+1))</f>
        <v>0</v>
      </c>
      <c r="AP340" s="65" t="n">
        <f aca="false">IF(OR(OR($B340="",$E340="",$F340=""),$L340&lt;&gt;"لا"),0,MAX(0,MIN($F340,EOMONTH(DATE(cfg_FY,9,1),0))-$E340+1))</f>
        <v>0</v>
      </c>
      <c r="AQ340" s="65" t="n">
        <f aca="false">IF(OR(OR($B340="",$E340="",$F340=""),$L340&lt;&gt;"لا"),0,MAX(0,MIN($F340,EOMONTH(DATE(cfg_FY,10,1),0))-$E340+1))</f>
        <v>0</v>
      </c>
      <c r="AR340" s="65" t="n">
        <f aca="false">IF(OR(OR($B340="",$E340="",$F340=""),$L340&lt;&gt;"لا"),0,MAX(0,MIN($F340,EOMONTH(DATE(cfg_FY,11,1),0))-$E340+1))</f>
        <v>0</v>
      </c>
      <c r="AS340" s="65" t="n">
        <f aca="false">IF(OR(OR($B340="",$E340="",$F340=""),$L340&lt;&gt;"لا"),0,MAX(0,MIN($F340,EOMONTH(DATE(cfg_FY,12,1),0))-$E340+1))</f>
        <v>0</v>
      </c>
      <c r="AT340" s="65" t="n">
        <f aca="false">IF(OR(OR($B340="",$E340="",$F340=""),$K340&lt;&gt;"نعم",$M340="نعم"),0,MAX(0,MIN($F340,EOMONTH(DATE(cfg_FY,1,1),0))-MAX($E340,DATE(cfg_FY,1,1))+1))</f>
        <v>0</v>
      </c>
      <c r="AU340" s="65" t="n">
        <f aca="false">IF(OR(OR($B340="",$E340="",$F340=""),$K340&lt;&gt;"نعم",$M340="نعم"),0,MAX(0,MIN($F340,EOMONTH(DATE(cfg_FY,2,1),0))-MAX($E340,DATE(cfg_FY,2,1))+1))</f>
        <v>0</v>
      </c>
      <c r="AV340" s="65" t="n">
        <f aca="false">IF(OR(OR($B340="",$E340="",$F340=""),$K340&lt;&gt;"نعم",$M340="نعم"),0,MAX(0,MIN($F340,EOMONTH(DATE(cfg_FY,3,1),0))-MAX($E340,DATE(cfg_FY,3,1))+1))</f>
        <v>0</v>
      </c>
      <c r="AW340" s="65" t="n">
        <f aca="false">IF(OR(OR($B340="",$E340="",$F340=""),$K340&lt;&gt;"نعم",$M340="نعم"),0,MAX(0,MIN($F340,EOMONTH(DATE(cfg_FY,4,1),0))-MAX($E340,DATE(cfg_FY,4,1))+1))</f>
        <v>0</v>
      </c>
      <c r="AX340" s="65" t="n">
        <f aca="false">IF(OR(OR($B340="",$E340="",$F340=""),$K340&lt;&gt;"نعم",$M340="نعم"),0,MAX(0,MIN($F340,EOMONTH(DATE(cfg_FY,5,1),0))-MAX($E340,DATE(cfg_FY,5,1))+1))</f>
        <v>0</v>
      </c>
      <c r="AY340" s="65" t="n">
        <f aca="false">IF(OR(OR($B340="",$E340="",$F340=""),$K340&lt;&gt;"نعم",$M340="نعم"),0,MAX(0,MIN($F340,EOMONTH(DATE(cfg_FY,6,1),0))-MAX($E340,DATE(cfg_FY,6,1))+1))</f>
        <v>0</v>
      </c>
      <c r="AZ340" s="65" t="n">
        <f aca="false">IF(OR(OR($B340="",$E340="",$F340=""),$K340&lt;&gt;"نعم",$M340="نعم"),0,MAX(0,MIN($F340,EOMONTH(DATE(cfg_FY,7,1),0))-MAX($E340,DATE(cfg_FY,7,1))+1))</f>
        <v>0</v>
      </c>
      <c r="BA340" s="65" t="n">
        <f aca="false">IF(OR(OR($B340="",$E340="",$F340=""),$K340&lt;&gt;"نعم",$M340="نعم"),0,MAX(0,MIN($F340,EOMONTH(DATE(cfg_FY,8,1),0))-MAX($E340,DATE(cfg_FY,8,1))+1))</f>
        <v>0</v>
      </c>
      <c r="BB340" s="65" t="n">
        <f aca="false">IF(OR(OR($B340="",$E340="",$F340=""),$K340&lt;&gt;"نعم",$M340="نعم"),0,MAX(0,MIN($F340,EOMONTH(DATE(cfg_FY,9,1),0))-MAX($E340,DATE(cfg_FY,9,1))+1))</f>
        <v>0</v>
      </c>
      <c r="BC340" s="65" t="n">
        <f aca="false">IF(OR(OR($B340="",$E340="",$F340=""),$K340&lt;&gt;"نعم",$M340="نعم"),0,MAX(0,MIN($F340,EOMONTH(DATE(cfg_FY,10,1),0))-MAX($E340,DATE(cfg_FY,10,1))+1))</f>
        <v>0</v>
      </c>
      <c r="BD340" s="65" t="n">
        <f aca="false">IF(OR(OR($B340="",$E340="",$F340=""),$K340&lt;&gt;"نعم",$M340="نعم"),0,MAX(0,MIN($F340,EOMONTH(DATE(cfg_FY,11,1),0))-MAX($E340,DATE(cfg_FY,11,1))+1))</f>
        <v>0</v>
      </c>
      <c r="BE340" s="65" t="n">
        <f aca="false">IF(OR(OR($B340="",$E340="",$F340=""),$K340&lt;&gt;"نعم",$M340="نعم"),0,MAX(0,MIN($F340,EOMONTH(DATE(cfg_FY,12,1),0))-MAX($E340,DATE(cfg_FY,12,1))+1))</f>
        <v>0</v>
      </c>
    </row>
    <row r="341" customFormat="false" ht="15" hidden="false" customHeight="false" outlineLevel="0" collapsed="false">
      <c r="A341" s="115" t="str">
        <f aca="false">IF(B341="","",ROW()-5)</f>
        <v/>
      </c>
      <c r="B341" s="118"/>
      <c r="C341" s="117" t="str">
        <f aca="false">IF(B341="","",IFERROR(INDEX(الموظفون!$C$6:$C$105,MATCH(B341,الموظفون!$B$6:$B$105,0)),"✖ رقم غير موجود"))</f>
        <v/>
      </c>
      <c r="D341" s="118"/>
      <c r="E341" s="119"/>
      <c r="F341" s="119"/>
      <c r="G341" s="133" t="str">
        <f aca="false">IF(OR($B341="",$E341="",$F341=""),"",MAX(0,F341-E341+1))</f>
        <v/>
      </c>
      <c r="H341" s="134" t="str">
        <f aca="false">IF(D341="","",IFERROR(VLOOKUP(D341,cfg_LT,2,FALSE()),1))</f>
        <v/>
      </c>
      <c r="I341" s="135"/>
      <c r="J341" s="134" t="str">
        <f aca="false">IF(D341="","",IF(I341&lt;&gt;"",I341,H341))</f>
        <v/>
      </c>
      <c r="K341" s="117" t="str">
        <f aca="false">IF(D341="","",IFERROR(VLOOKUP($D341,cfg_LT,3,FALSE()),""))</f>
        <v/>
      </c>
      <c r="L341" s="117" t="str">
        <f aca="false">IF(D341="","",IFERROR(VLOOKUP($D341,cfg_LT,4,FALSE()),""))</f>
        <v/>
      </c>
      <c r="M341" s="117" t="str">
        <f aca="false">IF(D341="","",IFERROR(VLOOKUP($D341,cfg_LT,5,FALSE()),""))</f>
        <v/>
      </c>
      <c r="N341" s="116" t="n">
        <f aca="false">IF(OR(OR($B341="",$E341="",$F341=""),M341&lt;&gt;"نعم"),0,G341*J341*IFERROR(INDEX(الموظفون!$R$6:$R$105,MATCH(B341,الموظفون!$B$6:$B$105,0)),0)/cfg_DAYS_M)</f>
        <v>0</v>
      </c>
      <c r="O341" s="115" t="str">
        <f aca="false">IF(OR(OR($B341="",$E341="",$F341=""),M341&lt;&gt;"نعم"),"",IF(YEAR(E341)=cfg_FY,MONTH(E341),""))</f>
        <v/>
      </c>
      <c r="P341" s="117" t="str">
        <f aca="false">IF(B341="","",IF(OR(D341="",E341="",F341=""),"⚠ أكمل النوع والتواريخ",IF(F341&lt;E341,"✖ النهاية قبل البداية",IF(COUNTIFS($B$6:$B$505,B341,$E$6:$E$505,"&lt;="&amp;F341,$F$6:$F$505,"&gt;="&amp;E341)&gt;1,"⚠ تداخل مع سجل آخر",IF(E341&gt;cfg_VAL_DATE,"⏳ قادمة",IF(F341&lt;cfg_VAL_DATE,"✔ منتهية","✈ جارية في تاريخ التقرير"))))))</f>
        <v/>
      </c>
      <c r="Q341" s="118"/>
      <c r="R341" s="133" t="n">
        <f aca="false">IF(OR(OR($B341="",$E341="",$F341=""),L341&lt;&gt;"لا"),0,MAX(0,MIN(F341,cfg_Y_START-1)-E341+1))</f>
        <v>0</v>
      </c>
      <c r="S341" s="133" t="n">
        <f aca="false">IF(OR(OR($B341="",$E341="",$F341=""),L341&lt;&gt;"لا"),0,MAX(0,MIN(F341,cfg_VAL_DATE)-E341+1))</f>
        <v>0</v>
      </c>
      <c r="T341" s="133" t="n">
        <f aca="false">IF(OR(OR($B341="",$E341="",$F341=""),K341&lt;&gt;"نعم"),0,IF(M341="نعم",IF(AND(ISNUMBER(O341),N(O341)&lt;=cfg_VAL_M),G341,0),MAX(0,MIN(F341,cfg_VAL_DATE)-MAX(E341,cfg_Y_START)+1)))</f>
        <v>0</v>
      </c>
      <c r="V341" s="133" t="n">
        <f aca="false">IF(OR($B341="",$E341="",$F341=""),0,MAX(0,MIN($F341,EOMONTH(DATE(cfg_FY,1,1),0))-MAX($E341,DATE(cfg_FY,1,1))+1)*(1-IF($M341="نعم",0,N($J341))))</f>
        <v>0</v>
      </c>
      <c r="W341" s="133" t="n">
        <f aca="false">IF(OR($B341="",$E341="",$F341=""),0,MAX(0,MIN($F341,EOMONTH(DATE(cfg_FY,2,1),0))-MAX($E341,DATE(cfg_FY,2,1))+1)*(1-IF($M341="نعم",0,N($J341))))</f>
        <v>0</v>
      </c>
      <c r="X341" s="133" t="n">
        <f aca="false">IF(OR($B341="",$E341="",$F341=""),0,MAX(0,MIN($F341,EOMONTH(DATE(cfg_FY,3,1),0))-MAX($E341,DATE(cfg_FY,3,1))+1)*(1-IF($M341="نعم",0,N($J341))))</f>
        <v>0</v>
      </c>
      <c r="Y341" s="133" t="n">
        <f aca="false">IF(OR($B341="",$E341="",$F341=""),0,MAX(0,MIN($F341,EOMONTH(DATE(cfg_FY,4,1),0))-MAX($E341,DATE(cfg_FY,4,1))+1)*(1-IF($M341="نعم",0,N($J341))))</f>
        <v>0</v>
      </c>
      <c r="Z341" s="133" t="n">
        <f aca="false">IF(OR($B341="",$E341="",$F341=""),0,MAX(0,MIN($F341,EOMONTH(DATE(cfg_FY,5,1),0))-MAX($E341,DATE(cfg_FY,5,1))+1)*(1-IF($M341="نعم",0,N($J341))))</f>
        <v>0</v>
      </c>
      <c r="AA341" s="133" t="n">
        <f aca="false">IF(OR($B341="",$E341="",$F341=""),0,MAX(0,MIN($F341,EOMONTH(DATE(cfg_FY,6,1),0))-MAX($E341,DATE(cfg_FY,6,1))+1)*(1-IF($M341="نعم",0,N($J341))))</f>
        <v>0</v>
      </c>
      <c r="AB341" s="133" t="n">
        <f aca="false">IF(OR($B341="",$E341="",$F341=""),0,MAX(0,MIN($F341,EOMONTH(DATE(cfg_FY,7,1),0))-MAX($E341,DATE(cfg_FY,7,1))+1)*(1-IF($M341="نعم",0,N($J341))))</f>
        <v>0</v>
      </c>
      <c r="AC341" s="133" t="n">
        <f aca="false">IF(OR($B341="",$E341="",$F341=""),0,MAX(0,MIN($F341,EOMONTH(DATE(cfg_FY,8,1),0))-MAX($E341,DATE(cfg_FY,8,1))+1)*(1-IF($M341="نعم",0,N($J341))))</f>
        <v>0</v>
      </c>
      <c r="AD341" s="133" t="n">
        <f aca="false">IF(OR($B341="",$E341="",$F341=""),0,MAX(0,MIN($F341,EOMONTH(DATE(cfg_FY,9,1),0))-MAX($E341,DATE(cfg_FY,9,1))+1)*(1-IF($M341="نعم",0,N($J341))))</f>
        <v>0</v>
      </c>
      <c r="AE341" s="133" t="n">
        <f aca="false">IF(OR($B341="",$E341="",$F341=""),0,MAX(0,MIN($F341,EOMONTH(DATE(cfg_FY,10,1),0))-MAX($E341,DATE(cfg_FY,10,1))+1)*(1-IF($M341="نعم",0,N($J341))))</f>
        <v>0</v>
      </c>
      <c r="AF341" s="133" t="n">
        <f aca="false">IF(OR($B341="",$E341="",$F341=""),0,MAX(0,MIN($F341,EOMONTH(DATE(cfg_FY,11,1),0))-MAX($E341,DATE(cfg_FY,11,1))+1)*(1-IF($M341="نعم",0,N($J341))))</f>
        <v>0</v>
      </c>
      <c r="AG341" s="133" t="n">
        <f aca="false">IF(OR($B341="",$E341="",$F341=""),0,MAX(0,MIN($F341,EOMONTH(DATE(cfg_FY,12,1),0))-MAX($E341,DATE(cfg_FY,12,1))+1)*(1-IF($M341="نعم",0,N($J341))))</f>
        <v>0</v>
      </c>
      <c r="AH341" s="133" t="n">
        <f aca="false">IF(OR(OR($B341="",$E341="",$F341=""),$L341&lt;&gt;"لا"),0,MAX(0,MIN($F341,EOMONTH(DATE(cfg_FY,1,1),0))-$E341+1))</f>
        <v>0</v>
      </c>
      <c r="AI341" s="133" t="n">
        <f aca="false">IF(OR(OR($B341="",$E341="",$F341=""),$L341&lt;&gt;"لا"),0,MAX(0,MIN($F341,EOMONTH(DATE(cfg_FY,2,1),0))-$E341+1))</f>
        <v>0</v>
      </c>
      <c r="AJ341" s="133" t="n">
        <f aca="false">IF(OR(OR($B341="",$E341="",$F341=""),$L341&lt;&gt;"لا"),0,MAX(0,MIN($F341,EOMONTH(DATE(cfg_FY,3,1),0))-$E341+1))</f>
        <v>0</v>
      </c>
      <c r="AK341" s="133" t="n">
        <f aca="false">IF(OR(OR($B341="",$E341="",$F341=""),$L341&lt;&gt;"لا"),0,MAX(0,MIN($F341,EOMONTH(DATE(cfg_FY,4,1),0))-$E341+1))</f>
        <v>0</v>
      </c>
      <c r="AL341" s="133" t="n">
        <f aca="false">IF(OR(OR($B341="",$E341="",$F341=""),$L341&lt;&gt;"لا"),0,MAX(0,MIN($F341,EOMONTH(DATE(cfg_FY,5,1),0))-$E341+1))</f>
        <v>0</v>
      </c>
      <c r="AM341" s="133" t="n">
        <f aca="false">IF(OR(OR($B341="",$E341="",$F341=""),$L341&lt;&gt;"لا"),0,MAX(0,MIN($F341,EOMONTH(DATE(cfg_FY,6,1),0))-$E341+1))</f>
        <v>0</v>
      </c>
      <c r="AN341" s="133" t="n">
        <f aca="false">IF(OR(OR($B341="",$E341="",$F341=""),$L341&lt;&gt;"لا"),0,MAX(0,MIN($F341,EOMONTH(DATE(cfg_FY,7,1),0))-$E341+1))</f>
        <v>0</v>
      </c>
      <c r="AO341" s="133" t="n">
        <f aca="false">IF(OR(OR($B341="",$E341="",$F341=""),$L341&lt;&gt;"لا"),0,MAX(0,MIN($F341,EOMONTH(DATE(cfg_FY,8,1),0))-$E341+1))</f>
        <v>0</v>
      </c>
      <c r="AP341" s="133" t="n">
        <f aca="false">IF(OR(OR($B341="",$E341="",$F341=""),$L341&lt;&gt;"لا"),0,MAX(0,MIN($F341,EOMONTH(DATE(cfg_FY,9,1),0))-$E341+1))</f>
        <v>0</v>
      </c>
      <c r="AQ341" s="133" t="n">
        <f aca="false">IF(OR(OR($B341="",$E341="",$F341=""),$L341&lt;&gt;"لا"),0,MAX(0,MIN($F341,EOMONTH(DATE(cfg_FY,10,1),0))-$E341+1))</f>
        <v>0</v>
      </c>
      <c r="AR341" s="133" t="n">
        <f aca="false">IF(OR(OR($B341="",$E341="",$F341=""),$L341&lt;&gt;"لا"),0,MAX(0,MIN($F341,EOMONTH(DATE(cfg_FY,11,1),0))-$E341+1))</f>
        <v>0</v>
      </c>
      <c r="AS341" s="133" t="n">
        <f aca="false">IF(OR(OR($B341="",$E341="",$F341=""),$L341&lt;&gt;"لا"),0,MAX(0,MIN($F341,EOMONTH(DATE(cfg_FY,12,1),0))-$E341+1))</f>
        <v>0</v>
      </c>
      <c r="AT341" s="133" t="n">
        <f aca="false">IF(OR(OR($B341="",$E341="",$F341=""),$K341&lt;&gt;"نعم",$M341="نعم"),0,MAX(0,MIN($F341,EOMONTH(DATE(cfg_FY,1,1),0))-MAX($E341,DATE(cfg_FY,1,1))+1))</f>
        <v>0</v>
      </c>
      <c r="AU341" s="133" t="n">
        <f aca="false">IF(OR(OR($B341="",$E341="",$F341=""),$K341&lt;&gt;"نعم",$M341="نعم"),0,MAX(0,MIN($F341,EOMONTH(DATE(cfg_FY,2,1),0))-MAX($E341,DATE(cfg_FY,2,1))+1))</f>
        <v>0</v>
      </c>
      <c r="AV341" s="133" t="n">
        <f aca="false">IF(OR(OR($B341="",$E341="",$F341=""),$K341&lt;&gt;"نعم",$M341="نعم"),0,MAX(0,MIN($F341,EOMONTH(DATE(cfg_FY,3,1),0))-MAX($E341,DATE(cfg_FY,3,1))+1))</f>
        <v>0</v>
      </c>
      <c r="AW341" s="133" t="n">
        <f aca="false">IF(OR(OR($B341="",$E341="",$F341=""),$K341&lt;&gt;"نعم",$M341="نعم"),0,MAX(0,MIN($F341,EOMONTH(DATE(cfg_FY,4,1),0))-MAX($E341,DATE(cfg_FY,4,1))+1))</f>
        <v>0</v>
      </c>
      <c r="AX341" s="133" t="n">
        <f aca="false">IF(OR(OR($B341="",$E341="",$F341=""),$K341&lt;&gt;"نعم",$M341="نعم"),0,MAX(0,MIN($F341,EOMONTH(DATE(cfg_FY,5,1),0))-MAX($E341,DATE(cfg_FY,5,1))+1))</f>
        <v>0</v>
      </c>
      <c r="AY341" s="133" t="n">
        <f aca="false">IF(OR(OR($B341="",$E341="",$F341=""),$K341&lt;&gt;"نعم",$M341="نعم"),0,MAX(0,MIN($F341,EOMONTH(DATE(cfg_FY,6,1),0))-MAX($E341,DATE(cfg_FY,6,1))+1))</f>
        <v>0</v>
      </c>
      <c r="AZ341" s="133" t="n">
        <f aca="false">IF(OR(OR($B341="",$E341="",$F341=""),$K341&lt;&gt;"نعم",$M341="نعم"),0,MAX(0,MIN($F341,EOMONTH(DATE(cfg_FY,7,1),0))-MAX($E341,DATE(cfg_FY,7,1))+1))</f>
        <v>0</v>
      </c>
      <c r="BA341" s="133" t="n">
        <f aca="false">IF(OR(OR($B341="",$E341="",$F341=""),$K341&lt;&gt;"نعم",$M341="نعم"),0,MAX(0,MIN($F341,EOMONTH(DATE(cfg_FY,8,1),0))-MAX($E341,DATE(cfg_FY,8,1))+1))</f>
        <v>0</v>
      </c>
      <c r="BB341" s="133" t="n">
        <f aca="false">IF(OR(OR($B341="",$E341="",$F341=""),$K341&lt;&gt;"نعم",$M341="نعم"),0,MAX(0,MIN($F341,EOMONTH(DATE(cfg_FY,9,1),0))-MAX($E341,DATE(cfg_FY,9,1))+1))</f>
        <v>0</v>
      </c>
      <c r="BC341" s="133" t="n">
        <f aca="false">IF(OR(OR($B341="",$E341="",$F341=""),$K341&lt;&gt;"نعم",$M341="نعم"),0,MAX(0,MIN($F341,EOMONTH(DATE(cfg_FY,10,1),0))-MAX($E341,DATE(cfg_FY,10,1))+1))</f>
        <v>0</v>
      </c>
      <c r="BD341" s="133" t="n">
        <f aca="false">IF(OR(OR($B341="",$E341="",$F341=""),$K341&lt;&gt;"نعم",$M341="نعم"),0,MAX(0,MIN($F341,EOMONTH(DATE(cfg_FY,11,1),0))-MAX($E341,DATE(cfg_FY,11,1))+1))</f>
        <v>0</v>
      </c>
      <c r="BE341" s="133" t="n">
        <f aca="false">IF(OR(OR($B341="",$E341="",$F341=""),$K341&lt;&gt;"نعم",$M341="نعم"),0,MAX(0,MIN($F341,EOMONTH(DATE(cfg_FY,12,1),0))-MAX($E341,DATE(cfg_FY,12,1))+1))</f>
        <v>0</v>
      </c>
    </row>
    <row r="342" customFormat="false" ht="15" hidden="false" customHeight="false" outlineLevel="0" collapsed="false">
      <c r="A342" s="106" t="str">
        <f aca="false">IF(B342="","",ROW()-5)</f>
        <v/>
      </c>
      <c r="B342" s="118"/>
      <c r="C342" s="114" t="str">
        <f aca="false">IF(B342="","",IFERROR(INDEX(الموظفون!$C$6:$C$105,MATCH(B342,الموظفون!$B$6:$B$105,0)),"✖ رقم غير موجود"))</f>
        <v/>
      </c>
      <c r="D342" s="118"/>
      <c r="E342" s="119"/>
      <c r="F342" s="119"/>
      <c r="G342" s="65" t="str">
        <f aca="false">IF(OR($B342="",$E342="",$F342=""),"",MAX(0,F342-E342+1))</f>
        <v/>
      </c>
      <c r="H342" s="66" t="str">
        <f aca="false">IF(D342="","",IFERROR(VLOOKUP(D342,cfg_LT,2,FALSE()),1))</f>
        <v/>
      </c>
      <c r="I342" s="135"/>
      <c r="J342" s="66" t="str">
        <f aca="false">IF(D342="","",IF(I342&lt;&gt;"",I342,H342))</f>
        <v/>
      </c>
      <c r="K342" s="114" t="str">
        <f aca="false">IF(D342="","",IFERROR(VLOOKUP($D342,cfg_LT,3,FALSE()),""))</f>
        <v/>
      </c>
      <c r="L342" s="114" t="str">
        <f aca="false">IF(D342="","",IFERROR(VLOOKUP($D342,cfg_LT,4,FALSE()),""))</f>
        <v/>
      </c>
      <c r="M342" s="114" t="str">
        <f aca="false">IF(D342="","",IFERROR(VLOOKUP($D342,cfg_LT,5,FALSE()),""))</f>
        <v/>
      </c>
      <c r="N342" s="111" t="n">
        <f aca="false">IF(OR(OR($B342="",$E342="",$F342=""),M342&lt;&gt;"نعم"),0,G342*J342*IFERROR(INDEX(الموظفون!$R$6:$R$105,MATCH(B342,الموظفون!$B$6:$B$105,0)),0)/cfg_DAYS_M)</f>
        <v>0</v>
      </c>
      <c r="O342" s="106" t="str">
        <f aca="false">IF(OR(OR($B342="",$E342="",$F342=""),M342&lt;&gt;"نعم"),"",IF(YEAR(E342)=cfg_FY,MONTH(E342),""))</f>
        <v/>
      </c>
      <c r="P342" s="114" t="str">
        <f aca="false">IF(B342="","",IF(OR(D342="",E342="",F342=""),"⚠ أكمل النوع والتواريخ",IF(F342&lt;E342,"✖ النهاية قبل البداية",IF(COUNTIFS($B$6:$B$505,B342,$E$6:$E$505,"&lt;="&amp;F342,$F$6:$F$505,"&gt;="&amp;E342)&gt;1,"⚠ تداخل مع سجل آخر",IF(E342&gt;cfg_VAL_DATE,"⏳ قادمة",IF(F342&lt;cfg_VAL_DATE,"✔ منتهية","✈ جارية في تاريخ التقرير"))))))</f>
        <v/>
      </c>
      <c r="Q342" s="118"/>
      <c r="R342" s="65" t="n">
        <f aca="false">IF(OR(OR($B342="",$E342="",$F342=""),L342&lt;&gt;"لا"),0,MAX(0,MIN(F342,cfg_Y_START-1)-E342+1))</f>
        <v>0</v>
      </c>
      <c r="S342" s="65" t="n">
        <f aca="false">IF(OR(OR($B342="",$E342="",$F342=""),L342&lt;&gt;"لا"),0,MAX(0,MIN(F342,cfg_VAL_DATE)-E342+1))</f>
        <v>0</v>
      </c>
      <c r="T342" s="65" t="n">
        <f aca="false">IF(OR(OR($B342="",$E342="",$F342=""),K342&lt;&gt;"نعم"),0,IF(M342="نعم",IF(AND(ISNUMBER(O342),N(O342)&lt;=cfg_VAL_M),G342,0),MAX(0,MIN(F342,cfg_VAL_DATE)-MAX(E342,cfg_Y_START)+1)))</f>
        <v>0</v>
      </c>
      <c r="V342" s="65" t="n">
        <f aca="false">IF(OR($B342="",$E342="",$F342=""),0,MAX(0,MIN($F342,EOMONTH(DATE(cfg_FY,1,1),0))-MAX($E342,DATE(cfg_FY,1,1))+1)*(1-IF($M342="نعم",0,N($J342))))</f>
        <v>0</v>
      </c>
      <c r="W342" s="65" t="n">
        <f aca="false">IF(OR($B342="",$E342="",$F342=""),0,MAX(0,MIN($F342,EOMONTH(DATE(cfg_FY,2,1),0))-MAX($E342,DATE(cfg_FY,2,1))+1)*(1-IF($M342="نعم",0,N($J342))))</f>
        <v>0</v>
      </c>
      <c r="X342" s="65" t="n">
        <f aca="false">IF(OR($B342="",$E342="",$F342=""),0,MAX(0,MIN($F342,EOMONTH(DATE(cfg_FY,3,1),0))-MAX($E342,DATE(cfg_FY,3,1))+1)*(1-IF($M342="نعم",0,N($J342))))</f>
        <v>0</v>
      </c>
      <c r="Y342" s="65" t="n">
        <f aca="false">IF(OR($B342="",$E342="",$F342=""),0,MAX(0,MIN($F342,EOMONTH(DATE(cfg_FY,4,1),0))-MAX($E342,DATE(cfg_FY,4,1))+1)*(1-IF($M342="نعم",0,N($J342))))</f>
        <v>0</v>
      </c>
      <c r="Z342" s="65" t="n">
        <f aca="false">IF(OR($B342="",$E342="",$F342=""),0,MAX(0,MIN($F342,EOMONTH(DATE(cfg_FY,5,1),0))-MAX($E342,DATE(cfg_FY,5,1))+1)*(1-IF($M342="نعم",0,N($J342))))</f>
        <v>0</v>
      </c>
      <c r="AA342" s="65" t="n">
        <f aca="false">IF(OR($B342="",$E342="",$F342=""),0,MAX(0,MIN($F342,EOMONTH(DATE(cfg_FY,6,1),0))-MAX($E342,DATE(cfg_FY,6,1))+1)*(1-IF($M342="نعم",0,N($J342))))</f>
        <v>0</v>
      </c>
      <c r="AB342" s="65" t="n">
        <f aca="false">IF(OR($B342="",$E342="",$F342=""),0,MAX(0,MIN($F342,EOMONTH(DATE(cfg_FY,7,1),0))-MAX($E342,DATE(cfg_FY,7,1))+1)*(1-IF($M342="نعم",0,N($J342))))</f>
        <v>0</v>
      </c>
      <c r="AC342" s="65" t="n">
        <f aca="false">IF(OR($B342="",$E342="",$F342=""),0,MAX(0,MIN($F342,EOMONTH(DATE(cfg_FY,8,1),0))-MAX($E342,DATE(cfg_FY,8,1))+1)*(1-IF($M342="نعم",0,N($J342))))</f>
        <v>0</v>
      </c>
      <c r="AD342" s="65" t="n">
        <f aca="false">IF(OR($B342="",$E342="",$F342=""),0,MAX(0,MIN($F342,EOMONTH(DATE(cfg_FY,9,1),0))-MAX($E342,DATE(cfg_FY,9,1))+1)*(1-IF($M342="نعم",0,N($J342))))</f>
        <v>0</v>
      </c>
      <c r="AE342" s="65" t="n">
        <f aca="false">IF(OR($B342="",$E342="",$F342=""),0,MAX(0,MIN($F342,EOMONTH(DATE(cfg_FY,10,1),0))-MAX($E342,DATE(cfg_FY,10,1))+1)*(1-IF($M342="نعم",0,N($J342))))</f>
        <v>0</v>
      </c>
      <c r="AF342" s="65" t="n">
        <f aca="false">IF(OR($B342="",$E342="",$F342=""),0,MAX(0,MIN($F342,EOMONTH(DATE(cfg_FY,11,1),0))-MAX($E342,DATE(cfg_FY,11,1))+1)*(1-IF($M342="نعم",0,N($J342))))</f>
        <v>0</v>
      </c>
      <c r="AG342" s="65" t="n">
        <f aca="false">IF(OR($B342="",$E342="",$F342=""),0,MAX(0,MIN($F342,EOMONTH(DATE(cfg_FY,12,1),0))-MAX($E342,DATE(cfg_FY,12,1))+1)*(1-IF($M342="نعم",0,N($J342))))</f>
        <v>0</v>
      </c>
      <c r="AH342" s="65" t="n">
        <f aca="false">IF(OR(OR($B342="",$E342="",$F342=""),$L342&lt;&gt;"لا"),0,MAX(0,MIN($F342,EOMONTH(DATE(cfg_FY,1,1),0))-$E342+1))</f>
        <v>0</v>
      </c>
      <c r="AI342" s="65" t="n">
        <f aca="false">IF(OR(OR($B342="",$E342="",$F342=""),$L342&lt;&gt;"لا"),0,MAX(0,MIN($F342,EOMONTH(DATE(cfg_FY,2,1),0))-$E342+1))</f>
        <v>0</v>
      </c>
      <c r="AJ342" s="65" t="n">
        <f aca="false">IF(OR(OR($B342="",$E342="",$F342=""),$L342&lt;&gt;"لا"),0,MAX(0,MIN($F342,EOMONTH(DATE(cfg_FY,3,1),0))-$E342+1))</f>
        <v>0</v>
      </c>
      <c r="AK342" s="65" t="n">
        <f aca="false">IF(OR(OR($B342="",$E342="",$F342=""),$L342&lt;&gt;"لا"),0,MAX(0,MIN($F342,EOMONTH(DATE(cfg_FY,4,1),0))-$E342+1))</f>
        <v>0</v>
      </c>
      <c r="AL342" s="65" t="n">
        <f aca="false">IF(OR(OR($B342="",$E342="",$F342=""),$L342&lt;&gt;"لا"),0,MAX(0,MIN($F342,EOMONTH(DATE(cfg_FY,5,1),0))-$E342+1))</f>
        <v>0</v>
      </c>
      <c r="AM342" s="65" t="n">
        <f aca="false">IF(OR(OR($B342="",$E342="",$F342=""),$L342&lt;&gt;"لا"),0,MAX(0,MIN($F342,EOMONTH(DATE(cfg_FY,6,1),0))-$E342+1))</f>
        <v>0</v>
      </c>
      <c r="AN342" s="65" t="n">
        <f aca="false">IF(OR(OR($B342="",$E342="",$F342=""),$L342&lt;&gt;"لا"),0,MAX(0,MIN($F342,EOMONTH(DATE(cfg_FY,7,1),0))-$E342+1))</f>
        <v>0</v>
      </c>
      <c r="AO342" s="65" t="n">
        <f aca="false">IF(OR(OR($B342="",$E342="",$F342=""),$L342&lt;&gt;"لا"),0,MAX(0,MIN($F342,EOMONTH(DATE(cfg_FY,8,1),0))-$E342+1))</f>
        <v>0</v>
      </c>
      <c r="AP342" s="65" t="n">
        <f aca="false">IF(OR(OR($B342="",$E342="",$F342=""),$L342&lt;&gt;"لا"),0,MAX(0,MIN($F342,EOMONTH(DATE(cfg_FY,9,1),0))-$E342+1))</f>
        <v>0</v>
      </c>
      <c r="AQ342" s="65" t="n">
        <f aca="false">IF(OR(OR($B342="",$E342="",$F342=""),$L342&lt;&gt;"لا"),0,MAX(0,MIN($F342,EOMONTH(DATE(cfg_FY,10,1),0))-$E342+1))</f>
        <v>0</v>
      </c>
      <c r="AR342" s="65" t="n">
        <f aca="false">IF(OR(OR($B342="",$E342="",$F342=""),$L342&lt;&gt;"لا"),0,MAX(0,MIN($F342,EOMONTH(DATE(cfg_FY,11,1),0))-$E342+1))</f>
        <v>0</v>
      </c>
      <c r="AS342" s="65" t="n">
        <f aca="false">IF(OR(OR($B342="",$E342="",$F342=""),$L342&lt;&gt;"لا"),0,MAX(0,MIN($F342,EOMONTH(DATE(cfg_FY,12,1),0))-$E342+1))</f>
        <v>0</v>
      </c>
      <c r="AT342" s="65" t="n">
        <f aca="false">IF(OR(OR($B342="",$E342="",$F342=""),$K342&lt;&gt;"نعم",$M342="نعم"),0,MAX(0,MIN($F342,EOMONTH(DATE(cfg_FY,1,1),0))-MAX($E342,DATE(cfg_FY,1,1))+1))</f>
        <v>0</v>
      </c>
      <c r="AU342" s="65" t="n">
        <f aca="false">IF(OR(OR($B342="",$E342="",$F342=""),$K342&lt;&gt;"نعم",$M342="نعم"),0,MAX(0,MIN($F342,EOMONTH(DATE(cfg_FY,2,1),0))-MAX($E342,DATE(cfg_FY,2,1))+1))</f>
        <v>0</v>
      </c>
      <c r="AV342" s="65" t="n">
        <f aca="false">IF(OR(OR($B342="",$E342="",$F342=""),$K342&lt;&gt;"نعم",$M342="نعم"),0,MAX(0,MIN($F342,EOMONTH(DATE(cfg_FY,3,1),0))-MAX($E342,DATE(cfg_FY,3,1))+1))</f>
        <v>0</v>
      </c>
      <c r="AW342" s="65" t="n">
        <f aca="false">IF(OR(OR($B342="",$E342="",$F342=""),$K342&lt;&gt;"نعم",$M342="نعم"),0,MAX(0,MIN($F342,EOMONTH(DATE(cfg_FY,4,1),0))-MAX($E342,DATE(cfg_FY,4,1))+1))</f>
        <v>0</v>
      </c>
      <c r="AX342" s="65" t="n">
        <f aca="false">IF(OR(OR($B342="",$E342="",$F342=""),$K342&lt;&gt;"نعم",$M342="نعم"),0,MAX(0,MIN($F342,EOMONTH(DATE(cfg_FY,5,1),0))-MAX($E342,DATE(cfg_FY,5,1))+1))</f>
        <v>0</v>
      </c>
      <c r="AY342" s="65" t="n">
        <f aca="false">IF(OR(OR($B342="",$E342="",$F342=""),$K342&lt;&gt;"نعم",$M342="نعم"),0,MAX(0,MIN($F342,EOMONTH(DATE(cfg_FY,6,1),0))-MAX($E342,DATE(cfg_FY,6,1))+1))</f>
        <v>0</v>
      </c>
      <c r="AZ342" s="65" t="n">
        <f aca="false">IF(OR(OR($B342="",$E342="",$F342=""),$K342&lt;&gt;"نعم",$M342="نعم"),0,MAX(0,MIN($F342,EOMONTH(DATE(cfg_FY,7,1),0))-MAX($E342,DATE(cfg_FY,7,1))+1))</f>
        <v>0</v>
      </c>
      <c r="BA342" s="65" t="n">
        <f aca="false">IF(OR(OR($B342="",$E342="",$F342=""),$K342&lt;&gt;"نعم",$M342="نعم"),0,MAX(0,MIN($F342,EOMONTH(DATE(cfg_FY,8,1),0))-MAX($E342,DATE(cfg_FY,8,1))+1))</f>
        <v>0</v>
      </c>
      <c r="BB342" s="65" t="n">
        <f aca="false">IF(OR(OR($B342="",$E342="",$F342=""),$K342&lt;&gt;"نعم",$M342="نعم"),0,MAX(0,MIN($F342,EOMONTH(DATE(cfg_FY,9,1),0))-MAX($E342,DATE(cfg_FY,9,1))+1))</f>
        <v>0</v>
      </c>
      <c r="BC342" s="65" t="n">
        <f aca="false">IF(OR(OR($B342="",$E342="",$F342=""),$K342&lt;&gt;"نعم",$M342="نعم"),0,MAX(0,MIN($F342,EOMONTH(DATE(cfg_FY,10,1),0))-MAX($E342,DATE(cfg_FY,10,1))+1))</f>
        <v>0</v>
      </c>
      <c r="BD342" s="65" t="n">
        <f aca="false">IF(OR(OR($B342="",$E342="",$F342=""),$K342&lt;&gt;"نعم",$M342="نعم"),0,MAX(0,MIN($F342,EOMONTH(DATE(cfg_FY,11,1),0))-MAX($E342,DATE(cfg_FY,11,1))+1))</f>
        <v>0</v>
      </c>
      <c r="BE342" s="65" t="n">
        <f aca="false">IF(OR(OR($B342="",$E342="",$F342=""),$K342&lt;&gt;"نعم",$M342="نعم"),0,MAX(0,MIN($F342,EOMONTH(DATE(cfg_FY,12,1),0))-MAX($E342,DATE(cfg_FY,12,1))+1))</f>
        <v>0</v>
      </c>
    </row>
    <row r="343" customFormat="false" ht="15" hidden="false" customHeight="false" outlineLevel="0" collapsed="false">
      <c r="A343" s="115" t="str">
        <f aca="false">IF(B343="","",ROW()-5)</f>
        <v/>
      </c>
      <c r="B343" s="118"/>
      <c r="C343" s="117" t="str">
        <f aca="false">IF(B343="","",IFERROR(INDEX(الموظفون!$C$6:$C$105,MATCH(B343,الموظفون!$B$6:$B$105,0)),"✖ رقم غير موجود"))</f>
        <v/>
      </c>
      <c r="D343" s="118"/>
      <c r="E343" s="119"/>
      <c r="F343" s="119"/>
      <c r="G343" s="133" t="str">
        <f aca="false">IF(OR($B343="",$E343="",$F343=""),"",MAX(0,F343-E343+1))</f>
        <v/>
      </c>
      <c r="H343" s="134" t="str">
        <f aca="false">IF(D343="","",IFERROR(VLOOKUP(D343,cfg_LT,2,FALSE()),1))</f>
        <v/>
      </c>
      <c r="I343" s="135"/>
      <c r="J343" s="134" t="str">
        <f aca="false">IF(D343="","",IF(I343&lt;&gt;"",I343,H343))</f>
        <v/>
      </c>
      <c r="K343" s="117" t="str">
        <f aca="false">IF(D343="","",IFERROR(VLOOKUP($D343,cfg_LT,3,FALSE()),""))</f>
        <v/>
      </c>
      <c r="L343" s="117" t="str">
        <f aca="false">IF(D343="","",IFERROR(VLOOKUP($D343,cfg_LT,4,FALSE()),""))</f>
        <v/>
      </c>
      <c r="M343" s="117" t="str">
        <f aca="false">IF(D343="","",IFERROR(VLOOKUP($D343,cfg_LT,5,FALSE()),""))</f>
        <v/>
      </c>
      <c r="N343" s="116" t="n">
        <f aca="false">IF(OR(OR($B343="",$E343="",$F343=""),M343&lt;&gt;"نعم"),0,G343*J343*IFERROR(INDEX(الموظفون!$R$6:$R$105,MATCH(B343,الموظفون!$B$6:$B$105,0)),0)/cfg_DAYS_M)</f>
        <v>0</v>
      </c>
      <c r="O343" s="115" t="str">
        <f aca="false">IF(OR(OR($B343="",$E343="",$F343=""),M343&lt;&gt;"نعم"),"",IF(YEAR(E343)=cfg_FY,MONTH(E343),""))</f>
        <v/>
      </c>
      <c r="P343" s="117" t="str">
        <f aca="false">IF(B343="","",IF(OR(D343="",E343="",F343=""),"⚠ أكمل النوع والتواريخ",IF(F343&lt;E343,"✖ النهاية قبل البداية",IF(COUNTIFS($B$6:$B$505,B343,$E$6:$E$505,"&lt;="&amp;F343,$F$6:$F$505,"&gt;="&amp;E343)&gt;1,"⚠ تداخل مع سجل آخر",IF(E343&gt;cfg_VAL_DATE,"⏳ قادمة",IF(F343&lt;cfg_VAL_DATE,"✔ منتهية","✈ جارية في تاريخ التقرير"))))))</f>
        <v/>
      </c>
      <c r="Q343" s="118"/>
      <c r="R343" s="133" t="n">
        <f aca="false">IF(OR(OR($B343="",$E343="",$F343=""),L343&lt;&gt;"لا"),0,MAX(0,MIN(F343,cfg_Y_START-1)-E343+1))</f>
        <v>0</v>
      </c>
      <c r="S343" s="133" t="n">
        <f aca="false">IF(OR(OR($B343="",$E343="",$F343=""),L343&lt;&gt;"لا"),0,MAX(0,MIN(F343,cfg_VAL_DATE)-E343+1))</f>
        <v>0</v>
      </c>
      <c r="T343" s="133" t="n">
        <f aca="false">IF(OR(OR($B343="",$E343="",$F343=""),K343&lt;&gt;"نعم"),0,IF(M343="نعم",IF(AND(ISNUMBER(O343),N(O343)&lt;=cfg_VAL_M),G343,0),MAX(0,MIN(F343,cfg_VAL_DATE)-MAX(E343,cfg_Y_START)+1)))</f>
        <v>0</v>
      </c>
      <c r="V343" s="133" t="n">
        <f aca="false">IF(OR($B343="",$E343="",$F343=""),0,MAX(0,MIN($F343,EOMONTH(DATE(cfg_FY,1,1),0))-MAX($E343,DATE(cfg_FY,1,1))+1)*(1-IF($M343="نعم",0,N($J343))))</f>
        <v>0</v>
      </c>
      <c r="W343" s="133" t="n">
        <f aca="false">IF(OR($B343="",$E343="",$F343=""),0,MAX(0,MIN($F343,EOMONTH(DATE(cfg_FY,2,1),0))-MAX($E343,DATE(cfg_FY,2,1))+1)*(1-IF($M343="نعم",0,N($J343))))</f>
        <v>0</v>
      </c>
      <c r="X343" s="133" t="n">
        <f aca="false">IF(OR($B343="",$E343="",$F343=""),0,MAX(0,MIN($F343,EOMONTH(DATE(cfg_FY,3,1),0))-MAX($E343,DATE(cfg_FY,3,1))+1)*(1-IF($M343="نعم",0,N($J343))))</f>
        <v>0</v>
      </c>
      <c r="Y343" s="133" t="n">
        <f aca="false">IF(OR($B343="",$E343="",$F343=""),0,MAX(0,MIN($F343,EOMONTH(DATE(cfg_FY,4,1),0))-MAX($E343,DATE(cfg_FY,4,1))+1)*(1-IF($M343="نعم",0,N($J343))))</f>
        <v>0</v>
      </c>
      <c r="Z343" s="133" t="n">
        <f aca="false">IF(OR($B343="",$E343="",$F343=""),0,MAX(0,MIN($F343,EOMONTH(DATE(cfg_FY,5,1),0))-MAX($E343,DATE(cfg_FY,5,1))+1)*(1-IF($M343="نعم",0,N($J343))))</f>
        <v>0</v>
      </c>
      <c r="AA343" s="133" t="n">
        <f aca="false">IF(OR($B343="",$E343="",$F343=""),0,MAX(0,MIN($F343,EOMONTH(DATE(cfg_FY,6,1),0))-MAX($E343,DATE(cfg_FY,6,1))+1)*(1-IF($M343="نعم",0,N($J343))))</f>
        <v>0</v>
      </c>
      <c r="AB343" s="133" t="n">
        <f aca="false">IF(OR($B343="",$E343="",$F343=""),0,MAX(0,MIN($F343,EOMONTH(DATE(cfg_FY,7,1),0))-MAX($E343,DATE(cfg_FY,7,1))+1)*(1-IF($M343="نعم",0,N($J343))))</f>
        <v>0</v>
      </c>
      <c r="AC343" s="133" t="n">
        <f aca="false">IF(OR($B343="",$E343="",$F343=""),0,MAX(0,MIN($F343,EOMONTH(DATE(cfg_FY,8,1),0))-MAX($E343,DATE(cfg_FY,8,1))+1)*(1-IF($M343="نعم",0,N($J343))))</f>
        <v>0</v>
      </c>
      <c r="AD343" s="133" t="n">
        <f aca="false">IF(OR($B343="",$E343="",$F343=""),0,MAX(0,MIN($F343,EOMONTH(DATE(cfg_FY,9,1),0))-MAX($E343,DATE(cfg_FY,9,1))+1)*(1-IF($M343="نعم",0,N($J343))))</f>
        <v>0</v>
      </c>
      <c r="AE343" s="133" t="n">
        <f aca="false">IF(OR($B343="",$E343="",$F343=""),0,MAX(0,MIN($F343,EOMONTH(DATE(cfg_FY,10,1),0))-MAX($E343,DATE(cfg_FY,10,1))+1)*(1-IF($M343="نعم",0,N($J343))))</f>
        <v>0</v>
      </c>
      <c r="AF343" s="133" t="n">
        <f aca="false">IF(OR($B343="",$E343="",$F343=""),0,MAX(0,MIN($F343,EOMONTH(DATE(cfg_FY,11,1),0))-MAX($E343,DATE(cfg_FY,11,1))+1)*(1-IF($M343="نعم",0,N($J343))))</f>
        <v>0</v>
      </c>
      <c r="AG343" s="133" t="n">
        <f aca="false">IF(OR($B343="",$E343="",$F343=""),0,MAX(0,MIN($F343,EOMONTH(DATE(cfg_FY,12,1),0))-MAX($E343,DATE(cfg_FY,12,1))+1)*(1-IF($M343="نعم",0,N($J343))))</f>
        <v>0</v>
      </c>
      <c r="AH343" s="133" t="n">
        <f aca="false">IF(OR(OR($B343="",$E343="",$F343=""),$L343&lt;&gt;"لا"),0,MAX(0,MIN($F343,EOMONTH(DATE(cfg_FY,1,1),0))-$E343+1))</f>
        <v>0</v>
      </c>
      <c r="AI343" s="133" t="n">
        <f aca="false">IF(OR(OR($B343="",$E343="",$F343=""),$L343&lt;&gt;"لا"),0,MAX(0,MIN($F343,EOMONTH(DATE(cfg_FY,2,1),0))-$E343+1))</f>
        <v>0</v>
      </c>
      <c r="AJ343" s="133" t="n">
        <f aca="false">IF(OR(OR($B343="",$E343="",$F343=""),$L343&lt;&gt;"لا"),0,MAX(0,MIN($F343,EOMONTH(DATE(cfg_FY,3,1),0))-$E343+1))</f>
        <v>0</v>
      </c>
      <c r="AK343" s="133" t="n">
        <f aca="false">IF(OR(OR($B343="",$E343="",$F343=""),$L343&lt;&gt;"لا"),0,MAX(0,MIN($F343,EOMONTH(DATE(cfg_FY,4,1),0))-$E343+1))</f>
        <v>0</v>
      </c>
      <c r="AL343" s="133" t="n">
        <f aca="false">IF(OR(OR($B343="",$E343="",$F343=""),$L343&lt;&gt;"لا"),0,MAX(0,MIN($F343,EOMONTH(DATE(cfg_FY,5,1),0))-$E343+1))</f>
        <v>0</v>
      </c>
      <c r="AM343" s="133" t="n">
        <f aca="false">IF(OR(OR($B343="",$E343="",$F343=""),$L343&lt;&gt;"لا"),0,MAX(0,MIN($F343,EOMONTH(DATE(cfg_FY,6,1),0))-$E343+1))</f>
        <v>0</v>
      </c>
      <c r="AN343" s="133" t="n">
        <f aca="false">IF(OR(OR($B343="",$E343="",$F343=""),$L343&lt;&gt;"لا"),0,MAX(0,MIN($F343,EOMONTH(DATE(cfg_FY,7,1),0))-$E343+1))</f>
        <v>0</v>
      </c>
      <c r="AO343" s="133" t="n">
        <f aca="false">IF(OR(OR($B343="",$E343="",$F343=""),$L343&lt;&gt;"لا"),0,MAX(0,MIN($F343,EOMONTH(DATE(cfg_FY,8,1),0))-$E343+1))</f>
        <v>0</v>
      </c>
      <c r="AP343" s="133" t="n">
        <f aca="false">IF(OR(OR($B343="",$E343="",$F343=""),$L343&lt;&gt;"لا"),0,MAX(0,MIN($F343,EOMONTH(DATE(cfg_FY,9,1),0))-$E343+1))</f>
        <v>0</v>
      </c>
      <c r="AQ343" s="133" t="n">
        <f aca="false">IF(OR(OR($B343="",$E343="",$F343=""),$L343&lt;&gt;"لا"),0,MAX(0,MIN($F343,EOMONTH(DATE(cfg_FY,10,1),0))-$E343+1))</f>
        <v>0</v>
      </c>
      <c r="AR343" s="133" t="n">
        <f aca="false">IF(OR(OR($B343="",$E343="",$F343=""),$L343&lt;&gt;"لا"),0,MAX(0,MIN($F343,EOMONTH(DATE(cfg_FY,11,1),0))-$E343+1))</f>
        <v>0</v>
      </c>
      <c r="AS343" s="133" t="n">
        <f aca="false">IF(OR(OR($B343="",$E343="",$F343=""),$L343&lt;&gt;"لا"),0,MAX(0,MIN($F343,EOMONTH(DATE(cfg_FY,12,1),0))-$E343+1))</f>
        <v>0</v>
      </c>
      <c r="AT343" s="133" t="n">
        <f aca="false">IF(OR(OR($B343="",$E343="",$F343=""),$K343&lt;&gt;"نعم",$M343="نعم"),0,MAX(0,MIN($F343,EOMONTH(DATE(cfg_FY,1,1),0))-MAX($E343,DATE(cfg_FY,1,1))+1))</f>
        <v>0</v>
      </c>
      <c r="AU343" s="133" t="n">
        <f aca="false">IF(OR(OR($B343="",$E343="",$F343=""),$K343&lt;&gt;"نعم",$M343="نعم"),0,MAX(0,MIN($F343,EOMONTH(DATE(cfg_FY,2,1),0))-MAX($E343,DATE(cfg_FY,2,1))+1))</f>
        <v>0</v>
      </c>
      <c r="AV343" s="133" t="n">
        <f aca="false">IF(OR(OR($B343="",$E343="",$F343=""),$K343&lt;&gt;"نعم",$M343="نعم"),0,MAX(0,MIN($F343,EOMONTH(DATE(cfg_FY,3,1),0))-MAX($E343,DATE(cfg_FY,3,1))+1))</f>
        <v>0</v>
      </c>
      <c r="AW343" s="133" t="n">
        <f aca="false">IF(OR(OR($B343="",$E343="",$F343=""),$K343&lt;&gt;"نعم",$M343="نعم"),0,MAX(0,MIN($F343,EOMONTH(DATE(cfg_FY,4,1),0))-MAX($E343,DATE(cfg_FY,4,1))+1))</f>
        <v>0</v>
      </c>
      <c r="AX343" s="133" t="n">
        <f aca="false">IF(OR(OR($B343="",$E343="",$F343=""),$K343&lt;&gt;"نعم",$M343="نعم"),0,MAX(0,MIN($F343,EOMONTH(DATE(cfg_FY,5,1),0))-MAX($E343,DATE(cfg_FY,5,1))+1))</f>
        <v>0</v>
      </c>
      <c r="AY343" s="133" t="n">
        <f aca="false">IF(OR(OR($B343="",$E343="",$F343=""),$K343&lt;&gt;"نعم",$M343="نعم"),0,MAX(0,MIN($F343,EOMONTH(DATE(cfg_FY,6,1),0))-MAX($E343,DATE(cfg_FY,6,1))+1))</f>
        <v>0</v>
      </c>
      <c r="AZ343" s="133" t="n">
        <f aca="false">IF(OR(OR($B343="",$E343="",$F343=""),$K343&lt;&gt;"نعم",$M343="نعم"),0,MAX(0,MIN($F343,EOMONTH(DATE(cfg_FY,7,1),0))-MAX($E343,DATE(cfg_FY,7,1))+1))</f>
        <v>0</v>
      </c>
      <c r="BA343" s="133" t="n">
        <f aca="false">IF(OR(OR($B343="",$E343="",$F343=""),$K343&lt;&gt;"نعم",$M343="نعم"),0,MAX(0,MIN($F343,EOMONTH(DATE(cfg_FY,8,1),0))-MAX($E343,DATE(cfg_FY,8,1))+1))</f>
        <v>0</v>
      </c>
      <c r="BB343" s="133" t="n">
        <f aca="false">IF(OR(OR($B343="",$E343="",$F343=""),$K343&lt;&gt;"نعم",$M343="نعم"),0,MAX(0,MIN($F343,EOMONTH(DATE(cfg_FY,9,1),0))-MAX($E343,DATE(cfg_FY,9,1))+1))</f>
        <v>0</v>
      </c>
      <c r="BC343" s="133" t="n">
        <f aca="false">IF(OR(OR($B343="",$E343="",$F343=""),$K343&lt;&gt;"نعم",$M343="نعم"),0,MAX(0,MIN($F343,EOMONTH(DATE(cfg_FY,10,1),0))-MAX($E343,DATE(cfg_FY,10,1))+1))</f>
        <v>0</v>
      </c>
      <c r="BD343" s="133" t="n">
        <f aca="false">IF(OR(OR($B343="",$E343="",$F343=""),$K343&lt;&gt;"نعم",$M343="نعم"),0,MAX(0,MIN($F343,EOMONTH(DATE(cfg_FY,11,1),0))-MAX($E343,DATE(cfg_FY,11,1))+1))</f>
        <v>0</v>
      </c>
      <c r="BE343" s="133" t="n">
        <f aca="false">IF(OR(OR($B343="",$E343="",$F343=""),$K343&lt;&gt;"نعم",$M343="نعم"),0,MAX(0,MIN($F343,EOMONTH(DATE(cfg_FY,12,1),0))-MAX($E343,DATE(cfg_FY,12,1))+1))</f>
        <v>0</v>
      </c>
    </row>
    <row r="344" customFormat="false" ht="15" hidden="false" customHeight="false" outlineLevel="0" collapsed="false">
      <c r="A344" s="106" t="str">
        <f aca="false">IF(B344="","",ROW()-5)</f>
        <v/>
      </c>
      <c r="B344" s="118"/>
      <c r="C344" s="114" t="str">
        <f aca="false">IF(B344="","",IFERROR(INDEX(الموظفون!$C$6:$C$105,MATCH(B344,الموظفون!$B$6:$B$105,0)),"✖ رقم غير موجود"))</f>
        <v/>
      </c>
      <c r="D344" s="118"/>
      <c r="E344" s="119"/>
      <c r="F344" s="119"/>
      <c r="G344" s="65" t="str">
        <f aca="false">IF(OR($B344="",$E344="",$F344=""),"",MAX(0,F344-E344+1))</f>
        <v/>
      </c>
      <c r="H344" s="66" t="str">
        <f aca="false">IF(D344="","",IFERROR(VLOOKUP(D344,cfg_LT,2,FALSE()),1))</f>
        <v/>
      </c>
      <c r="I344" s="135"/>
      <c r="J344" s="66" t="str">
        <f aca="false">IF(D344="","",IF(I344&lt;&gt;"",I344,H344))</f>
        <v/>
      </c>
      <c r="K344" s="114" t="str">
        <f aca="false">IF(D344="","",IFERROR(VLOOKUP($D344,cfg_LT,3,FALSE()),""))</f>
        <v/>
      </c>
      <c r="L344" s="114" t="str">
        <f aca="false">IF(D344="","",IFERROR(VLOOKUP($D344,cfg_LT,4,FALSE()),""))</f>
        <v/>
      </c>
      <c r="M344" s="114" t="str">
        <f aca="false">IF(D344="","",IFERROR(VLOOKUP($D344,cfg_LT,5,FALSE()),""))</f>
        <v/>
      </c>
      <c r="N344" s="111" t="n">
        <f aca="false">IF(OR(OR($B344="",$E344="",$F344=""),M344&lt;&gt;"نعم"),0,G344*J344*IFERROR(INDEX(الموظفون!$R$6:$R$105,MATCH(B344,الموظفون!$B$6:$B$105,0)),0)/cfg_DAYS_M)</f>
        <v>0</v>
      </c>
      <c r="O344" s="106" t="str">
        <f aca="false">IF(OR(OR($B344="",$E344="",$F344=""),M344&lt;&gt;"نعم"),"",IF(YEAR(E344)=cfg_FY,MONTH(E344),""))</f>
        <v/>
      </c>
      <c r="P344" s="114" t="str">
        <f aca="false">IF(B344="","",IF(OR(D344="",E344="",F344=""),"⚠ أكمل النوع والتواريخ",IF(F344&lt;E344,"✖ النهاية قبل البداية",IF(COUNTIFS($B$6:$B$505,B344,$E$6:$E$505,"&lt;="&amp;F344,$F$6:$F$505,"&gt;="&amp;E344)&gt;1,"⚠ تداخل مع سجل آخر",IF(E344&gt;cfg_VAL_DATE,"⏳ قادمة",IF(F344&lt;cfg_VAL_DATE,"✔ منتهية","✈ جارية في تاريخ التقرير"))))))</f>
        <v/>
      </c>
      <c r="Q344" s="118"/>
      <c r="R344" s="65" t="n">
        <f aca="false">IF(OR(OR($B344="",$E344="",$F344=""),L344&lt;&gt;"لا"),0,MAX(0,MIN(F344,cfg_Y_START-1)-E344+1))</f>
        <v>0</v>
      </c>
      <c r="S344" s="65" t="n">
        <f aca="false">IF(OR(OR($B344="",$E344="",$F344=""),L344&lt;&gt;"لا"),0,MAX(0,MIN(F344,cfg_VAL_DATE)-E344+1))</f>
        <v>0</v>
      </c>
      <c r="T344" s="65" t="n">
        <f aca="false">IF(OR(OR($B344="",$E344="",$F344=""),K344&lt;&gt;"نعم"),0,IF(M344="نعم",IF(AND(ISNUMBER(O344),N(O344)&lt;=cfg_VAL_M),G344,0),MAX(0,MIN(F344,cfg_VAL_DATE)-MAX(E344,cfg_Y_START)+1)))</f>
        <v>0</v>
      </c>
      <c r="V344" s="65" t="n">
        <f aca="false">IF(OR($B344="",$E344="",$F344=""),0,MAX(0,MIN($F344,EOMONTH(DATE(cfg_FY,1,1),0))-MAX($E344,DATE(cfg_FY,1,1))+1)*(1-IF($M344="نعم",0,N($J344))))</f>
        <v>0</v>
      </c>
      <c r="W344" s="65" t="n">
        <f aca="false">IF(OR($B344="",$E344="",$F344=""),0,MAX(0,MIN($F344,EOMONTH(DATE(cfg_FY,2,1),0))-MAX($E344,DATE(cfg_FY,2,1))+1)*(1-IF($M344="نعم",0,N($J344))))</f>
        <v>0</v>
      </c>
      <c r="X344" s="65" t="n">
        <f aca="false">IF(OR($B344="",$E344="",$F344=""),0,MAX(0,MIN($F344,EOMONTH(DATE(cfg_FY,3,1),0))-MAX($E344,DATE(cfg_FY,3,1))+1)*(1-IF($M344="نعم",0,N($J344))))</f>
        <v>0</v>
      </c>
      <c r="Y344" s="65" t="n">
        <f aca="false">IF(OR($B344="",$E344="",$F344=""),0,MAX(0,MIN($F344,EOMONTH(DATE(cfg_FY,4,1),0))-MAX($E344,DATE(cfg_FY,4,1))+1)*(1-IF($M344="نعم",0,N($J344))))</f>
        <v>0</v>
      </c>
      <c r="Z344" s="65" t="n">
        <f aca="false">IF(OR($B344="",$E344="",$F344=""),0,MAX(0,MIN($F344,EOMONTH(DATE(cfg_FY,5,1),0))-MAX($E344,DATE(cfg_FY,5,1))+1)*(1-IF($M344="نعم",0,N($J344))))</f>
        <v>0</v>
      </c>
      <c r="AA344" s="65" t="n">
        <f aca="false">IF(OR($B344="",$E344="",$F344=""),0,MAX(0,MIN($F344,EOMONTH(DATE(cfg_FY,6,1),0))-MAX($E344,DATE(cfg_FY,6,1))+1)*(1-IF($M344="نعم",0,N($J344))))</f>
        <v>0</v>
      </c>
      <c r="AB344" s="65" t="n">
        <f aca="false">IF(OR($B344="",$E344="",$F344=""),0,MAX(0,MIN($F344,EOMONTH(DATE(cfg_FY,7,1),0))-MAX($E344,DATE(cfg_FY,7,1))+1)*(1-IF($M344="نعم",0,N($J344))))</f>
        <v>0</v>
      </c>
      <c r="AC344" s="65" t="n">
        <f aca="false">IF(OR($B344="",$E344="",$F344=""),0,MAX(0,MIN($F344,EOMONTH(DATE(cfg_FY,8,1),0))-MAX($E344,DATE(cfg_FY,8,1))+1)*(1-IF($M344="نعم",0,N($J344))))</f>
        <v>0</v>
      </c>
      <c r="AD344" s="65" t="n">
        <f aca="false">IF(OR($B344="",$E344="",$F344=""),0,MAX(0,MIN($F344,EOMONTH(DATE(cfg_FY,9,1),0))-MAX($E344,DATE(cfg_FY,9,1))+1)*(1-IF($M344="نعم",0,N($J344))))</f>
        <v>0</v>
      </c>
      <c r="AE344" s="65" t="n">
        <f aca="false">IF(OR($B344="",$E344="",$F344=""),0,MAX(0,MIN($F344,EOMONTH(DATE(cfg_FY,10,1),0))-MAX($E344,DATE(cfg_FY,10,1))+1)*(1-IF($M344="نعم",0,N($J344))))</f>
        <v>0</v>
      </c>
      <c r="AF344" s="65" t="n">
        <f aca="false">IF(OR($B344="",$E344="",$F344=""),0,MAX(0,MIN($F344,EOMONTH(DATE(cfg_FY,11,1),0))-MAX($E344,DATE(cfg_FY,11,1))+1)*(1-IF($M344="نعم",0,N($J344))))</f>
        <v>0</v>
      </c>
      <c r="AG344" s="65" t="n">
        <f aca="false">IF(OR($B344="",$E344="",$F344=""),0,MAX(0,MIN($F344,EOMONTH(DATE(cfg_FY,12,1),0))-MAX($E344,DATE(cfg_FY,12,1))+1)*(1-IF($M344="نعم",0,N($J344))))</f>
        <v>0</v>
      </c>
      <c r="AH344" s="65" t="n">
        <f aca="false">IF(OR(OR($B344="",$E344="",$F344=""),$L344&lt;&gt;"لا"),0,MAX(0,MIN($F344,EOMONTH(DATE(cfg_FY,1,1),0))-$E344+1))</f>
        <v>0</v>
      </c>
      <c r="AI344" s="65" t="n">
        <f aca="false">IF(OR(OR($B344="",$E344="",$F344=""),$L344&lt;&gt;"لا"),0,MAX(0,MIN($F344,EOMONTH(DATE(cfg_FY,2,1),0))-$E344+1))</f>
        <v>0</v>
      </c>
      <c r="AJ344" s="65" t="n">
        <f aca="false">IF(OR(OR($B344="",$E344="",$F344=""),$L344&lt;&gt;"لا"),0,MAX(0,MIN($F344,EOMONTH(DATE(cfg_FY,3,1),0))-$E344+1))</f>
        <v>0</v>
      </c>
      <c r="AK344" s="65" t="n">
        <f aca="false">IF(OR(OR($B344="",$E344="",$F344=""),$L344&lt;&gt;"لا"),0,MAX(0,MIN($F344,EOMONTH(DATE(cfg_FY,4,1),0))-$E344+1))</f>
        <v>0</v>
      </c>
      <c r="AL344" s="65" t="n">
        <f aca="false">IF(OR(OR($B344="",$E344="",$F344=""),$L344&lt;&gt;"لا"),0,MAX(0,MIN($F344,EOMONTH(DATE(cfg_FY,5,1),0))-$E344+1))</f>
        <v>0</v>
      </c>
      <c r="AM344" s="65" t="n">
        <f aca="false">IF(OR(OR($B344="",$E344="",$F344=""),$L344&lt;&gt;"لا"),0,MAX(0,MIN($F344,EOMONTH(DATE(cfg_FY,6,1),0))-$E344+1))</f>
        <v>0</v>
      </c>
      <c r="AN344" s="65" t="n">
        <f aca="false">IF(OR(OR($B344="",$E344="",$F344=""),$L344&lt;&gt;"لا"),0,MAX(0,MIN($F344,EOMONTH(DATE(cfg_FY,7,1),0))-$E344+1))</f>
        <v>0</v>
      </c>
      <c r="AO344" s="65" t="n">
        <f aca="false">IF(OR(OR($B344="",$E344="",$F344=""),$L344&lt;&gt;"لا"),0,MAX(0,MIN($F344,EOMONTH(DATE(cfg_FY,8,1),0))-$E344+1))</f>
        <v>0</v>
      </c>
      <c r="AP344" s="65" t="n">
        <f aca="false">IF(OR(OR($B344="",$E344="",$F344=""),$L344&lt;&gt;"لا"),0,MAX(0,MIN($F344,EOMONTH(DATE(cfg_FY,9,1),0))-$E344+1))</f>
        <v>0</v>
      </c>
      <c r="AQ344" s="65" t="n">
        <f aca="false">IF(OR(OR($B344="",$E344="",$F344=""),$L344&lt;&gt;"لا"),0,MAX(0,MIN($F344,EOMONTH(DATE(cfg_FY,10,1),0))-$E344+1))</f>
        <v>0</v>
      </c>
      <c r="AR344" s="65" t="n">
        <f aca="false">IF(OR(OR($B344="",$E344="",$F344=""),$L344&lt;&gt;"لا"),0,MAX(0,MIN($F344,EOMONTH(DATE(cfg_FY,11,1),0))-$E344+1))</f>
        <v>0</v>
      </c>
      <c r="AS344" s="65" t="n">
        <f aca="false">IF(OR(OR($B344="",$E344="",$F344=""),$L344&lt;&gt;"لا"),0,MAX(0,MIN($F344,EOMONTH(DATE(cfg_FY,12,1),0))-$E344+1))</f>
        <v>0</v>
      </c>
      <c r="AT344" s="65" t="n">
        <f aca="false">IF(OR(OR($B344="",$E344="",$F344=""),$K344&lt;&gt;"نعم",$M344="نعم"),0,MAX(0,MIN($F344,EOMONTH(DATE(cfg_FY,1,1),0))-MAX($E344,DATE(cfg_FY,1,1))+1))</f>
        <v>0</v>
      </c>
      <c r="AU344" s="65" t="n">
        <f aca="false">IF(OR(OR($B344="",$E344="",$F344=""),$K344&lt;&gt;"نعم",$M344="نعم"),0,MAX(0,MIN($F344,EOMONTH(DATE(cfg_FY,2,1),0))-MAX($E344,DATE(cfg_FY,2,1))+1))</f>
        <v>0</v>
      </c>
      <c r="AV344" s="65" t="n">
        <f aca="false">IF(OR(OR($B344="",$E344="",$F344=""),$K344&lt;&gt;"نعم",$M344="نعم"),0,MAX(0,MIN($F344,EOMONTH(DATE(cfg_FY,3,1),0))-MAX($E344,DATE(cfg_FY,3,1))+1))</f>
        <v>0</v>
      </c>
      <c r="AW344" s="65" t="n">
        <f aca="false">IF(OR(OR($B344="",$E344="",$F344=""),$K344&lt;&gt;"نعم",$M344="نعم"),0,MAX(0,MIN($F344,EOMONTH(DATE(cfg_FY,4,1),0))-MAX($E344,DATE(cfg_FY,4,1))+1))</f>
        <v>0</v>
      </c>
      <c r="AX344" s="65" t="n">
        <f aca="false">IF(OR(OR($B344="",$E344="",$F344=""),$K344&lt;&gt;"نعم",$M344="نعم"),0,MAX(0,MIN($F344,EOMONTH(DATE(cfg_FY,5,1),0))-MAX($E344,DATE(cfg_FY,5,1))+1))</f>
        <v>0</v>
      </c>
      <c r="AY344" s="65" t="n">
        <f aca="false">IF(OR(OR($B344="",$E344="",$F344=""),$K344&lt;&gt;"نعم",$M344="نعم"),0,MAX(0,MIN($F344,EOMONTH(DATE(cfg_FY,6,1),0))-MAX($E344,DATE(cfg_FY,6,1))+1))</f>
        <v>0</v>
      </c>
      <c r="AZ344" s="65" t="n">
        <f aca="false">IF(OR(OR($B344="",$E344="",$F344=""),$K344&lt;&gt;"نعم",$M344="نعم"),0,MAX(0,MIN($F344,EOMONTH(DATE(cfg_FY,7,1),0))-MAX($E344,DATE(cfg_FY,7,1))+1))</f>
        <v>0</v>
      </c>
      <c r="BA344" s="65" t="n">
        <f aca="false">IF(OR(OR($B344="",$E344="",$F344=""),$K344&lt;&gt;"نعم",$M344="نعم"),0,MAX(0,MIN($F344,EOMONTH(DATE(cfg_FY,8,1),0))-MAX($E344,DATE(cfg_FY,8,1))+1))</f>
        <v>0</v>
      </c>
      <c r="BB344" s="65" t="n">
        <f aca="false">IF(OR(OR($B344="",$E344="",$F344=""),$K344&lt;&gt;"نعم",$M344="نعم"),0,MAX(0,MIN($F344,EOMONTH(DATE(cfg_FY,9,1),0))-MAX($E344,DATE(cfg_FY,9,1))+1))</f>
        <v>0</v>
      </c>
      <c r="BC344" s="65" t="n">
        <f aca="false">IF(OR(OR($B344="",$E344="",$F344=""),$K344&lt;&gt;"نعم",$M344="نعم"),0,MAX(0,MIN($F344,EOMONTH(DATE(cfg_FY,10,1),0))-MAX($E344,DATE(cfg_FY,10,1))+1))</f>
        <v>0</v>
      </c>
      <c r="BD344" s="65" t="n">
        <f aca="false">IF(OR(OR($B344="",$E344="",$F344=""),$K344&lt;&gt;"نعم",$M344="نعم"),0,MAX(0,MIN($F344,EOMONTH(DATE(cfg_FY,11,1),0))-MAX($E344,DATE(cfg_FY,11,1))+1))</f>
        <v>0</v>
      </c>
      <c r="BE344" s="65" t="n">
        <f aca="false">IF(OR(OR($B344="",$E344="",$F344=""),$K344&lt;&gt;"نعم",$M344="نعم"),0,MAX(0,MIN($F344,EOMONTH(DATE(cfg_FY,12,1),0))-MAX($E344,DATE(cfg_FY,12,1))+1))</f>
        <v>0</v>
      </c>
    </row>
    <row r="345" customFormat="false" ht="15" hidden="false" customHeight="false" outlineLevel="0" collapsed="false">
      <c r="A345" s="115" t="str">
        <f aca="false">IF(B345="","",ROW()-5)</f>
        <v/>
      </c>
      <c r="B345" s="118"/>
      <c r="C345" s="117" t="str">
        <f aca="false">IF(B345="","",IFERROR(INDEX(الموظفون!$C$6:$C$105,MATCH(B345,الموظفون!$B$6:$B$105,0)),"✖ رقم غير موجود"))</f>
        <v/>
      </c>
      <c r="D345" s="118"/>
      <c r="E345" s="119"/>
      <c r="F345" s="119"/>
      <c r="G345" s="133" t="str">
        <f aca="false">IF(OR($B345="",$E345="",$F345=""),"",MAX(0,F345-E345+1))</f>
        <v/>
      </c>
      <c r="H345" s="134" t="str">
        <f aca="false">IF(D345="","",IFERROR(VLOOKUP(D345,cfg_LT,2,FALSE()),1))</f>
        <v/>
      </c>
      <c r="I345" s="135"/>
      <c r="J345" s="134" t="str">
        <f aca="false">IF(D345="","",IF(I345&lt;&gt;"",I345,H345))</f>
        <v/>
      </c>
      <c r="K345" s="117" t="str">
        <f aca="false">IF(D345="","",IFERROR(VLOOKUP($D345,cfg_LT,3,FALSE()),""))</f>
        <v/>
      </c>
      <c r="L345" s="117" t="str">
        <f aca="false">IF(D345="","",IFERROR(VLOOKUP($D345,cfg_LT,4,FALSE()),""))</f>
        <v/>
      </c>
      <c r="M345" s="117" t="str">
        <f aca="false">IF(D345="","",IFERROR(VLOOKUP($D345,cfg_LT,5,FALSE()),""))</f>
        <v/>
      </c>
      <c r="N345" s="116" t="n">
        <f aca="false">IF(OR(OR($B345="",$E345="",$F345=""),M345&lt;&gt;"نعم"),0,G345*J345*IFERROR(INDEX(الموظفون!$R$6:$R$105,MATCH(B345,الموظفون!$B$6:$B$105,0)),0)/cfg_DAYS_M)</f>
        <v>0</v>
      </c>
      <c r="O345" s="115" t="str">
        <f aca="false">IF(OR(OR($B345="",$E345="",$F345=""),M345&lt;&gt;"نعم"),"",IF(YEAR(E345)=cfg_FY,MONTH(E345),""))</f>
        <v/>
      </c>
      <c r="P345" s="117" t="str">
        <f aca="false">IF(B345="","",IF(OR(D345="",E345="",F345=""),"⚠ أكمل النوع والتواريخ",IF(F345&lt;E345,"✖ النهاية قبل البداية",IF(COUNTIFS($B$6:$B$505,B345,$E$6:$E$505,"&lt;="&amp;F345,$F$6:$F$505,"&gt;="&amp;E345)&gt;1,"⚠ تداخل مع سجل آخر",IF(E345&gt;cfg_VAL_DATE,"⏳ قادمة",IF(F345&lt;cfg_VAL_DATE,"✔ منتهية","✈ جارية في تاريخ التقرير"))))))</f>
        <v/>
      </c>
      <c r="Q345" s="118"/>
      <c r="R345" s="133" t="n">
        <f aca="false">IF(OR(OR($B345="",$E345="",$F345=""),L345&lt;&gt;"لا"),0,MAX(0,MIN(F345,cfg_Y_START-1)-E345+1))</f>
        <v>0</v>
      </c>
      <c r="S345" s="133" t="n">
        <f aca="false">IF(OR(OR($B345="",$E345="",$F345=""),L345&lt;&gt;"لا"),0,MAX(0,MIN(F345,cfg_VAL_DATE)-E345+1))</f>
        <v>0</v>
      </c>
      <c r="T345" s="133" t="n">
        <f aca="false">IF(OR(OR($B345="",$E345="",$F345=""),K345&lt;&gt;"نعم"),0,IF(M345="نعم",IF(AND(ISNUMBER(O345),N(O345)&lt;=cfg_VAL_M),G345,0),MAX(0,MIN(F345,cfg_VAL_DATE)-MAX(E345,cfg_Y_START)+1)))</f>
        <v>0</v>
      </c>
      <c r="V345" s="133" t="n">
        <f aca="false">IF(OR($B345="",$E345="",$F345=""),0,MAX(0,MIN($F345,EOMONTH(DATE(cfg_FY,1,1),0))-MAX($E345,DATE(cfg_FY,1,1))+1)*(1-IF($M345="نعم",0,N($J345))))</f>
        <v>0</v>
      </c>
      <c r="W345" s="133" t="n">
        <f aca="false">IF(OR($B345="",$E345="",$F345=""),0,MAX(0,MIN($F345,EOMONTH(DATE(cfg_FY,2,1),0))-MAX($E345,DATE(cfg_FY,2,1))+1)*(1-IF($M345="نعم",0,N($J345))))</f>
        <v>0</v>
      </c>
      <c r="X345" s="133" t="n">
        <f aca="false">IF(OR($B345="",$E345="",$F345=""),0,MAX(0,MIN($F345,EOMONTH(DATE(cfg_FY,3,1),0))-MAX($E345,DATE(cfg_FY,3,1))+1)*(1-IF($M345="نعم",0,N($J345))))</f>
        <v>0</v>
      </c>
      <c r="Y345" s="133" t="n">
        <f aca="false">IF(OR($B345="",$E345="",$F345=""),0,MAX(0,MIN($F345,EOMONTH(DATE(cfg_FY,4,1),0))-MAX($E345,DATE(cfg_FY,4,1))+1)*(1-IF($M345="نعم",0,N($J345))))</f>
        <v>0</v>
      </c>
      <c r="Z345" s="133" t="n">
        <f aca="false">IF(OR($B345="",$E345="",$F345=""),0,MAX(0,MIN($F345,EOMONTH(DATE(cfg_FY,5,1),0))-MAX($E345,DATE(cfg_FY,5,1))+1)*(1-IF($M345="نعم",0,N($J345))))</f>
        <v>0</v>
      </c>
      <c r="AA345" s="133" t="n">
        <f aca="false">IF(OR($B345="",$E345="",$F345=""),0,MAX(0,MIN($F345,EOMONTH(DATE(cfg_FY,6,1),0))-MAX($E345,DATE(cfg_FY,6,1))+1)*(1-IF($M345="نعم",0,N($J345))))</f>
        <v>0</v>
      </c>
      <c r="AB345" s="133" t="n">
        <f aca="false">IF(OR($B345="",$E345="",$F345=""),0,MAX(0,MIN($F345,EOMONTH(DATE(cfg_FY,7,1),0))-MAX($E345,DATE(cfg_FY,7,1))+1)*(1-IF($M345="نعم",0,N($J345))))</f>
        <v>0</v>
      </c>
      <c r="AC345" s="133" t="n">
        <f aca="false">IF(OR($B345="",$E345="",$F345=""),0,MAX(0,MIN($F345,EOMONTH(DATE(cfg_FY,8,1),0))-MAX($E345,DATE(cfg_FY,8,1))+1)*(1-IF($M345="نعم",0,N($J345))))</f>
        <v>0</v>
      </c>
      <c r="AD345" s="133" t="n">
        <f aca="false">IF(OR($B345="",$E345="",$F345=""),0,MAX(0,MIN($F345,EOMONTH(DATE(cfg_FY,9,1),0))-MAX($E345,DATE(cfg_FY,9,1))+1)*(1-IF($M345="نعم",0,N($J345))))</f>
        <v>0</v>
      </c>
      <c r="AE345" s="133" t="n">
        <f aca="false">IF(OR($B345="",$E345="",$F345=""),0,MAX(0,MIN($F345,EOMONTH(DATE(cfg_FY,10,1),0))-MAX($E345,DATE(cfg_FY,10,1))+1)*(1-IF($M345="نعم",0,N($J345))))</f>
        <v>0</v>
      </c>
      <c r="AF345" s="133" t="n">
        <f aca="false">IF(OR($B345="",$E345="",$F345=""),0,MAX(0,MIN($F345,EOMONTH(DATE(cfg_FY,11,1),0))-MAX($E345,DATE(cfg_FY,11,1))+1)*(1-IF($M345="نعم",0,N($J345))))</f>
        <v>0</v>
      </c>
      <c r="AG345" s="133" t="n">
        <f aca="false">IF(OR($B345="",$E345="",$F345=""),0,MAX(0,MIN($F345,EOMONTH(DATE(cfg_FY,12,1),0))-MAX($E345,DATE(cfg_FY,12,1))+1)*(1-IF($M345="نعم",0,N($J345))))</f>
        <v>0</v>
      </c>
      <c r="AH345" s="133" t="n">
        <f aca="false">IF(OR(OR($B345="",$E345="",$F345=""),$L345&lt;&gt;"لا"),0,MAX(0,MIN($F345,EOMONTH(DATE(cfg_FY,1,1),0))-$E345+1))</f>
        <v>0</v>
      </c>
      <c r="AI345" s="133" t="n">
        <f aca="false">IF(OR(OR($B345="",$E345="",$F345=""),$L345&lt;&gt;"لا"),0,MAX(0,MIN($F345,EOMONTH(DATE(cfg_FY,2,1),0))-$E345+1))</f>
        <v>0</v>
      </c>
      <c r="AJ345" s="133" t="n">
        <f aca="false">IF(OR(OR($B345="",$E345="",$F345=""),$L345&lt;&gt;"لا"),0,MAX(0,MIN($F345,EOMONTH(DATE(cfg_FY,3,1),0))-$E345+1))</f>
        <v>0</v>
      </c>
      <c r="AK345" s="133" t="n">
        <f aca="false">IF(OR(OR($B345="",$E345="",$F345=""),$L345&lt;&gt;"لا"),0,MAX(0,MIN($F345,EOMONTH(DATE(cfg_FY,4,1),0))-$E345+1))</f>
        <v>0</v>
      </c>
      <c r="AL345" s="133" t="n">
        <f aca="false">IF(OR(OR($B345="",$E345="",$F345=""),$L345&lt;&gt;"لا"),0,MAX(0,MIN($F345,EOMONTH(DATE(cfg_FY,5,1),0))-$E345+1))</f>
        <v>0</v>
      </c>
      <c r="AM345" s="133" t="n">
        <f aca="false">IF(OR(OR($B345="",$E345="",$F345=""),$L345&lt;&gt;"لا"),0,MAX(0,MIN($F345,EOMONTH(DATE(cfg_FY,6,1),0))-$E345+1))</f>
        <v>0</v>
      </c>
      <c r="AN345" s="133" t="n">
        <f aca="false">IF(OR(OR($B345="",$E345="",$F345=""),$L345&lt;&gt;"لا"),0,MAX(0,MIN($F345,EOMONTH(DATE(cfg_FY,7,1),0))-$E345+1))</f>
        <v>0</v>
      </c>
      <c r="AO345" s="133" t="n">
        <f aca="false">IF(OR(OR($B345="",$E345="",$F345=""),$L345&lt;&gt;"لا"),0,MAX(0,MIN($F345,EOMONTH(DATE(cfg_FY,8,1),0))-$E345+1))</f>
        <v>0</v>
      </c>
      <c r="AP345" s="133" t="n">
        <f aca="false">IF(OR(OR($B345="",$E345="",$F345=""),$L345&lt;&gt;"لا"),0,MAX(0,MIN($F345,EOMONTH(DATE(cfg_FY,9,1),0))-$E345+1))</f>
        <v>0</v>
      </c>
      <c r="AQ345" s="133" t="n">
        <f aca="false">IF(OR(OR($B345="",$E345="",$F345=""),$L345&lt;&gt;"لا"),0,MAX(0,MIN($F345,EOMONTH(DATE(cfg_FY,10,1),0))-$E345+1))</f>
        <v>0</v>
      </c>
      <c r="AR345" s="133" t="n">
        <f aca="false">IF(OR(OR($B345="",$E345="",$F345=""),$L345&lt;&gt;"لا"),0,MAX(0,MIN($F345,EOMONTH(DATE(cfg_FY,11,1),0))-$E345+1))</f>
        <v>0</v>
      </c>
      <c r="AS345" s="133" t="n">
        <f aca="false">IF(OR(OR($B345="",$E345="",$F345=""),$L345&lt;&gt;"لا"),0,MAX(0,MIN($F345,EOMONTH(DATE(cfg_FY,12,1),0))-$E345+1))</f>
        <v>0</v>
      </c>
      <c r="AT345" s="133" t="n">
        <f aca="false">IF(OR(OR($B345="",$E345="",$F345=""),$K345&lt;&gt;"نعم",$M345="نعم"),0,MAX(0,MIN($F345,EOMONTH(DATE(cfg_FY,1,1),0))-MAX($E345,DATE(cfg_FY,1,1))+1))</f>
        <v>0</v>
      </c>
      <c r="AU345" s="133" t="n">
        <f aca="false">IF(OR(OR($B345="",$E345="",$F345=""),$K345&lt;&gt;"نعم",$M345="نعم"),0,MAX(0,MIN($F345,EOMONTH(DATE(cfg_FY,2,1),0))-MAX($E345,DATE(cfg_FY,2,1))+1))</f>
        <v>0</v>
      </c>
      <c r="AV345" s="133" t="n">
        <f aca="false">IF(OR(OR($B345="",$E345="",$F345=""),$K345&lt;&gt;"نعم",$M345="نعم"),0,MAX(0,MIN($F345,EOMONTH(DATE(cfg_FY,3,1),0))-MAX($E345,DATE(cfg_FY,3,1))+1))</f>
        <v>0</v>
      </c>
      <c r="AW345" s="133" t="n">
        <f aca="false">IF(OR(OR($B345="",$E345="",$F345=""),$K345&lt;&gt;"نعم",$M345="نعم"),0,MAX(0,MIN($F345,EOMONTH(DATE(cfg_FY,4,1),0))-MAX($E345,DATE(cfg_FY,4,1))+1))</f>
        <v>0</v>
      </c>
      <c r="AX345" s="133" t="n">
        <f aca="false">IF(OR(OR($B345="",$E345="",$F345=""),$K345&lt;&gt;"نعم",$M345="نعم"),0,MAX(0,MIN($F345,EOMONTH(DATE(cfg_FY,5,1),0))-MAX($E345,DATE(cfg_FY,5,1))+1))</f>
        <v>0</v>
      </c>
      <c r="AY345" s="133" t="n">
        <f aca="false">IF(OR(OR($B345="",$E345="",$F345=""),$K345&lt;&gt;"نعم",$M345="نعم"),0,MAX(0,MIN($F345,EOMONTH(DATE(cfg_FY,6,1),0))-MAX($E345,DATE(cfg_FY,6,1))+1))</f>
        <v>0</v>
      </c>
      <c r="AZ345" s="133" t="n">
        <f aca="false">IF(OR(OR($B345="",$E345="",$F345=""),$K345&lt;&gt;"نعم",$M345="نعم"),0,MAX(0,MIN($F345,EOMONTH(DATE(cfg_FY,7,1),0))-MAX($E345,DATE(cfg_FY,7,1))+1))</f>
        <v>0</v>
      </c>
      <c r="BA345" s="133" t="n">
        <f aca="false">IF(OR(OR($B345="",$E345="",$F345=""),$K345&lt;&gt;"نعم",$M345="نعم"),0,MAX(0,MIN($F345,EOMONTH(DATE(cfg_FY,8,1),0))-MAX($E345,DATE(cfg_FY,8,1))+1))</f>
        <v>0</v>
      </c>
      <c r="BB345" s="133" t="n">
        <f aca="false">IF(OR(OR($B345="",$E345="",$F345=""),$K345&lt;&gt;"نعم",$M345="نعم"),0,MAX(0,MIN($F345,EOMONTH(DATE(cfg_FY,9,1),0))-MAX($E345,DATE(cfg_FY,9,1))+1))</f>
        <v>0</v>
      </c>
      <c r="BC345" s="133" t="n">
        <f aca="false">IF(OR(OR($B345="",$E345="",$F345=""),$K345&lt;&gt;"نعم",$M345="نعم"),0,MAX(0,MIN($F345,EOMONTH(DATE(cfg_FY,10,1),0))-MAX($E345,DATE(cfg_FY,10,1))+1))</f>
        <v>0</v>
      </c>
      <c r="BD345" s="133" t="n">
        <f aca="false">IF(OR(OR($B345="",$E345="",$F345=""),$K345&lt;&gt;"نعم",$M345="نعم"),0,MAX(0,MIN($F345,EOMONTH(DATE(cfg_FY,11,1),0))-MAX($E345,DATE(cfg_FY,11,1))+1))</f>
        <v>0</v>
      </c>
      <c r="BE345" s="133" t="n">
        <f aca="false">IF(OR(OR($B345="",$E345="",$F345=""),$K345&lt;&gt;"نعم",$M345="نعم"),0,MAX(0,MIN($F345,EOMONTH(DATE(cfg_FY,12,1),0))-MAX($E345,DATE(cfg_FY,12,1))+1))</f>
        <v>0</v>
      </c>
    </row>
    <row r="346" customFormat="false" ht="15" hidden="false" customHeight="false" outlineLevel="0" collapsed="false">
      <c r="A346" s="106" t="str">
        <f aca="false">IF(B346="","",ROW()-5)</f>
        <v/>
      </c>
      <c r="B346" s="118"/>
      <c r="C346" s="114" t="str">
        <f aca="false">IF(B346="","",IFERROR(INDEX(الموظفون!$C$6:$C$105,MATCH(B346,الموظفون!$B$6:$B$105,0)),"✖ رقم غير موجود"))</f>
        <v/>
      </c>
      <c r="D346" s="118"/>
      <c r="E346" s="119"/>
      <c r="F346" s="119"/>
      <c r="G346" s="65" t="str">
        <f aca="false">IF(OR($B346="",$E346="",$F346=""),"",MAX(0,F346-E346+1))</f>
        <v/>
      </c>
      <c r="H346" s="66" t="str">
        <f aca="false">IF(D346="","",IFERROR(VLOOKUP(D346,cfg_LT,2,FALSE()),1))</f>
        <v/>
      </c>
      <c r="I346" s="135"/>
      <c r="J346" s="66" t="str">
        <f aca="false">IF(D346="","",IF(I346&lt;&gt;"",I346,H346))</f>
        <v/>
      </c>
      <c r="K346" s="114" t="str">
        <f aca="false">IF(D346="","",IFERROR(VLOOKUP($D346,cfg_LT,3,FALSE()),""))</f>
        <v/>
      </c>
      <c r="L346" s="114" t="str">
        <f aca="false">IF(D346="","",IFERROR(VLOOKUP($D346,cfg_LT,4,FALSE()),""))</f>
        <v/>
      </c>
      <c r="M346" s="114" t="str">
        <f aca="false">IF(D346="","",IFERROR(VLOOKUP($D346,cfg_LT,5,FALSE()),""))</f>
        <v/>
      </c>
      <c r="N346" s="111" t="n">
        <f aca="false">IF(OR(OR($B346="",$E346="",$F346=""),M346&lt;&gt;"نعم"),0,G346*J346*IFERROR(INDEX(الموظفون!$R$6:$R$105,MATCH(B346,الموظفون!$B$6:$B$105,0)),0)/cfg_DAYS_M)</f>
        <v>0</v>
      </c>
      <c r="O346" s="106" t="str">
        <f aca="false">IF(OR(OR($B346="",$E346="",$F346=""),M346&lt;&gt;"نعم"),"",IF(YEAR(E346)=cfg_FY,MONTH(E346),""))</f>
        <v/>
      </c>
      <c r="P346" s="114" t="str">
        <f aca="false">IF(B346="","",IF(OR(D346="",E346="",F346=""),"⚠ أكمل النوع والتواريخ",IF(F346&lt;E346,"✖ النهاية قبل البداية",IF(COUNTIFS($B$6:$B$505,B346,$E$6:$E$505,"&lt;="&amp;F346,$F$6:$F$505,"&gt;="&amp;E346)&gt;1,"⚠ تداخل مع سجل آخر",IF(E346&gt;cfg_VAL_DATE,"⏳ قادمة",IF(F346&lt;cfg_VAL_DATE,"✔ منتهية","✈ جارية في تاريخ التقرير"))))))</f>
        <v/>
      </c>
      <c r="Q346" s="118"/>
      <c r="R346" s="65" t="n">
        <f aca="false">IF(OR(OR($B346="",$E346="",$F346=""),L346&lt;&gt;"لا"),0,MAX(0,MIN(F346,cfg_Y_START-1)-E346+1))</f>
        <v>0</v>
      </c>
      <c r="S346" s="65" t="n">
        <f aca="false">IF(OR(OR($B346="",$E346="",$F346=""),L346&lt;&gt;"لا"),0,MAX(0,MIN(F346,cfg_VAL_DATE)-E346+1))</f>
        <v>0</v>
      </c>
      <c r="T346" s="65" t="n">
        <f aca="false">IF(OR(OR($B346="",$E346="",$F346=""),K346&lt;&gt;"نعم"),0,IF(M346="نعم",IF(AND(ISNUMBER(O346),N(O346)&lt;=cfg_VAL_M),G346,0),MAX(0,MIN(F346,cfg_VAL_DATE)-MAX(E346,cfg_Y_START)+1)))</f>
        <v>0</v>
      </c>
      <c r="V346" s="65" t="n">
        <f aca="false">IF(OR($B346="",$E346="",$F346=""),0,MAX(0,MIN($F346,EOMONTH(DATE(cfg_FY,1,1),0))-MAX($E346,DATE(cfg_FY,1,1))+1)*(1-IF($M346="نعم",0,N($J346))))</f>
        <v>0</v>
      </c>
      <c r="W346" s="65" t="n">
        <f aca="false">IF(OR($B346="",$E346="",$F346=""),0,MAX(0,MIN($F346,EOMONTH(DATE(cfg_FY,2,1),0))-MAX($E346,DATE(cfg_FY,2,1))+1)*(1-IF($M346="نعم",0,N($J346))))</f>
        <v>0</v>
      </c>
      <c r="X346" s="65" t="n">
        <f aca="false">IF(OR($B346="",$E346="",$F346=""),0,MAX(0,MIN($F346,EOMONTH(DATE(cfg_FY,3,1),0))-MAX($E346,DATE(cfg_FY,3,1))+1)*(1-IF($M346="نعم",0,N($J346))))</f>
        <v>0</v>
      </c>
      <c r="Y346" s="65" t="n">
        <f aca="false">IF(OR($B346="",$E346="",$F346=""),0,MAX(0,MIN($F346,EOMONTH(DATE(cfg_FY,4,1),0))-MAX($E346,DATE(cfg_FY,4,1))+1)*(1-IF($M346="نعم",0,N($J346))))</f>
        <v>0</v>
      </c>
      <c r="Z346" s="65" t="n">
        <f aca="false">IF(OR($B346="",$E346="",$F346=""),0,MAX(0,MIN($F346,EOMONTH(DATE(cfg_FY,5,1),0))-MAX($E346,DATE(cfg_FY,5,1))+1)*(1-IF($M346="نعم",0,N($J346))))</f>
        <v>0</v>
      </c>
      <c r="AA346" s="65" t="n">
        <f aca="false">IF(OR($B346="",$E346="",$F346=""),0,MAX(0,MIN($F346,EOMONTH(DATE(cfg_FY,6,1),0))-MAX($E346,DATE(cfg_FY,6,1))+1)*(1-IF($M346="نعم",0,N($J346))))</f>
        <v>0</v>
      </c>
      <c r="AB346" s="65" t="n">
        <f aca="false">IF(OR($B346="",$E346="",$F346=""),0,MAX(0,MIN($F346,EOMONTH(DATE(cfg_FY,7,1),0))-MAX($E346,DATE(cfg_FY,7,1))+1)*(1-IF($M346="نعم",0,N($J346))))</f>
        <v>0</v>
      </c>
      <c r="AC346" s="65" t="n">
        <f aca="false">IF(OR($B346="",$E346="",$F346=""),0,MAX(0,MIN($F346,EOMONTH(DATE(cfg_FY,8,1),0))-MAX($E346,DATE(cfg_FY,8,1))+1)*(1-IF($M346="نعم",0,N($J346))))</f>
        <v>0</v>
      </c>
      <c r="AD346" s="65" t="n">
        <f aca="false">IF(OR($B346="",$E346="",$F346=""),0,MAX(0,MIN($F346,EOMONTH(DATE(cfg_FY,9,1),0))-MAX($E346,DATE(cfg_FY,9,1))+1)*(1-IF($M346="نعم",0,N($J346))))</f>
        <v>0</v>
      </c>
      <c r="AE346" s="65" t="n">
        <f aca="false">IF(OR($B346="",$E346="",$F346=""),0,MAX(0,MIN($F346,EOMONTH(DATE(cfg_FY,10,1),0))-MAX($E346,DATE(cfg_FY,10,1))+1)*(1-IF($M346="نعم",0,N($J346))))</f>
        <v>0</v>
      </c>
      <c r="AF346" s="65" t="n">
        <f aca="false">IF(OR($B346="",$E346="",$F346=""),0,MAX(0,MIN($F346,EOMONTH(DATE(cfg_FY,11,1),0))-MAX($E346,DATE(cfg_FY,11,1))+1)*(1-IF($M346="نعم",0,N($J346))))</f>
        <v>0</v>
      </c>
      <c r="AG346" s="65" t="n">
        <f aca="false">IF(OR($B346="",$E346="",$F346=""),0,MAX(0,MIN($F346,EOMONTH(DATE(cfg_FY,12,1),0))-MAX($E346,DATE(cfg_FY,12,1))+1)*(1-IF($M346="نعم",0,N($J346))))</f>
        <v>0</v>
      </c>
      <c r="AH346" s="65" t="n">
        <f aca="false">IF(OR(OR($B346="",$E346="",$F346=""),$L346&lt;&gt;"لا"),0,MAX(0,MIN($F346,EOMONTH(DATE(cfg_FY,1,1),0))-$E346+1))</f>
        <v>0</v>
      </c>
      <c r="AI346" s="65" t="n">
        <f aca="false">IF(OR(OR($B346="",$E346="",$F346=""),$L346&lt;&gt;"لا"),0,MAX(0,MIN($F346,EOMONTH(DATE(cfg_FY,2,1),0))-$E346+1))</f>
        <v>0</v>
      </c>
      <c r="AJ346" s="65" t="n">
        <f aca="false">IF(OR(OR($B346="",$E346="",$F346=""),$L346&lt;&gt;"لا"),0,MAX(0,MIN($F346,EOMONTH(DATE(cfg_FY,3,1),0))-$E346+1))</f>
        <v>0</v>
      </c>
      <c r="AK346" s="65" t="n">
        <f aca="false">IF(OR(OR($B346="",$E346="",$F346=""),$L346&lt;&gt;"لا"),0,MAX(0,MIN($F346,EOMONTH(DATE(cfg_FY,4,1),0))-$E346+1))</f>
        <v>0</v>
      </c>
      <c r="AL346" s="65" t="n">
        <f aca="false">IF(OR(OR($B346="",$E346="",$F346=""),$L346&lt;&gt;"لا"),0,MAX(0,MIN($F346,EOMONTH(DATE(cfg_FY,5,1),0))-$E346+1))</f>
        <v>0</v>
      </c>
      <c r="AM346" s="65" t="n">
        <f aca="false">IF(OR(OR($B346="",$E346="",$F346=""),$L346&lt;&gt;"لا"),0,MAX(0,MIN($F346,EOMONTH(DATE(cfg_FY,6,1),0))-$E346+1))</f>
        <v>0</v>
      </c>
      <c r="AN346" s="65" t="n">
        <f aca="false">IF(OR(OR($B346="",$E346="",$F346=""),$L346&lt;&gt;"لا"),0,MAX(0,MIN($F346,EOMONTH(DATE(cfg_FY,7,1),0))-$E346+1))</f>
        <v>0</v>
      </c>
      <c r="AO346" s="65" t="n">
        <f aca="false">IF(OR(OR($B346="",$E346="",$F346=""),$L346&lt;&gt;"لا"),0,MAX(0,MIN($F346,EOMONTH(DATE(cfg_FY,8,1),0))-$E346+1))</f>
        <v>0</v>
      </c>
      <c r="AP346" s="65" t="n">
        <f aca="false">IF(OR(OR($B346="",$E346="",$F346=""),$L346&lt;&gt;"لا"),0,MAX(0,MIN($F346,EOMONTH(DATE(cfg_FY,9,1),0))-$E346+1))</f>
        <v>0</v>
      </c>
      <c r="AQ346" s="65" t="n">
        <f aca="false">IF(OR(OR($B346="",$E346="",$F346=""),$L346&lt;&gt;"لا"),0,MAX(0,MIN($F346,EOMONTH(DATE(cfg_FY,10,1),0))-$E346+1))</f>
        <v>0</v>
      </c>
      <c r="AR346" s="65" t="n">
        <f aca="false">IF(OR(OR($B346="",$E346="",$F346=""),$L346&lt;&gt;"لا"),0,MAX(0,MIN($F346,EOMONTH(DATE(cfg_FY,11,1),0))-$E346+1))</f>
        <v>0</v>
      </c>
      <c r="AS346" s="65" t="n">
        <f aca="false">IF(OR(OR($B346="",$E346="",$F346=""),$L346&lt;&gt;"لا"),0,MAX(0,MIN($F346,EOMONTH(DATE(cfg_FY,12,1),0))-$E346+1))</f>
        <v>0</v>
      </c>
      <c r="AT346" s="65" t="n">
        <f aca="false">IF(OR(OR($B346="",$E346="",$F346=""),$K346&lt;&gt;"نعم",$M346="نعم"),0,MAX(0,MIN($F346,EOMONTH(DATE(cfg_FY,1,1),0))-MAX($E346,DATE(cfg_FY,1,1))+1))</f>
        <v>0</v>
      </c>
      <c r="AU346" s="65" t="n">
        <f aca="false">IF(OR(OR($B346="",$E346="",$F346=""),$K346&lt;&gt;"نعم",$M346="نعم"),0,MAX(0,MIN($F346,EOMONTH(DATE(cfg_FY,2,1),0))-MAX($E346,DATE(cfg_FY,2,1))+1))</f>
        <v>0</v>
      </c>
      <c r="AV346" s="65" t="n">
        <f aca="false">IF(OR(OR($B346="",$E346="",$F346=""),$K346&lt;&gt;"نعم",$M346="نعم"),0,MAX(0,MIN($F346,EOMONTH(DATE(cfg_FY,3,1),0))-MAX($E346,DATE(cfg_FY,3,1))+1))</f>
        <v>0</v>
      </c>
      <c r="AW346" s="65" t="n">
        <f aca="false">IF(OR(OR($B346="",$E346="",$F346=""),$K346&lt;&gt;"نعم",$M346="نعم"),0,MAX(0,MIN($F346,EOMONTH(DATE(cfg_FY,4,1),0))-MAX($E346,DATE(cfg_FY,4,1))+1))</f>
        <v>0</v>
      </c>
      <c r="AX346" s="65" t="n">
        <f aca="false">IF(OR(OR($B346="",$E346="",$F346=""),$K346&lt;&gt;"نعم",$M346="نعم"),0,MAX(0,MIN($F346,EOMONTH(DATE(cfg_FY,5,1),0))-MAX($E346,DATE(cfg_FY,5,1))+1))</f>
        <v>0</v>
      </c>
      <c r="AY346" s="65" t="n">
        <f aca="false">IF(OR(OR($B346="",$E346="",$F346=""),$K346&lt;&gt;"نعم",$M346="نعم"),0,MAX(0,MIN($F346,EOMONTH(DATE(cfg_FY,6,1),0))-MAX($E346,DATE(cfg_FY,6,1))+1))</f>
        <v>0</v>
      </c>
      <c r="AZ346" s="65" t="n">
        <f aca="false">IF(OR(OR($B346="",$E346="",$F346=""),$K346&lt;&gt;"نعم",$M346="نعم"),0,MAX(0,MIN($F346,EOMONTH(DATE(cfg_FY,7,1),0))-MAX($E346,DATE(cfg_FY,7,1))+1))</f>
        <v>0</v>
      </c>
      <c r="BA346" s="65" t="n">
        <f aca="false">IF(OR(OR($B346="",$E346="",$F346=""),$K346&lt;&gt;"نعم",$M346="نعم"),0,MAX(0,MIN($F346,EOMONTH(DATE(cfg_FY,8,1),0))-MAX($E346,DATE(cfg_FY,8,1))+1))</f>
        <v>0</v>
      </c>
      <c r="BB346" s="65" t="n">
        <f aca="false">IF(OR(OR($B346="",$E346="",$F346=""),$K346&lt;&gt;"نعم",$M346="نعم"),0,MAX(0,MIN($F346,EOMONTH(DATE(cfg_FY,9,1),0))-MAX($E346,DATE(cfg_FY,9,1))+1))</f>
        <v>0</v>
      </c>
      <c r="BC346" s="65" t="n">
        <f aca="false">IF(OR(OR($B346="",$E346="",$F346=""),$K346&lt;&gt;"نعم",$M346="نعم"),0,MAX(0,MIN($F346,EOMONTH(DATE(cfg_FY,10,1),0))-MAX($E346,DATE(cfg_FY,10,1))+1))</f>
        <v>0</v>
      </c>
      <c r="BD346" s="65" t="n">
        <f aca="false">IF(OR(OR($B346="",$E346="",$F346=""),$K346&lt;&gt;"نعم",$M346="نعم"),0,MAX(0,MIN($F346,EOMONTH(DATE(cfg_FY,11,1),0))-MAX($E346,DATE(cfg_FY,11,1))+1))</f>
        <v>0</v>
      </c>
      <c r="BE346" s="65" t="n">
        <f aca="false">IF(OR(OR($B346="",$E346="",$F346=""),$K346&lt;&gt;"نعم",$M346="نعم"),0,MAX(0,MIN($F346,EOMONTH(DATE(cfg_FY,12,1),0))-MAX($E346,DATE(cfg_FY,12,1))+1))</f>
        <v>0</v>
      </c>
    </row>
    <row r="347" customFormat="false" ht="15" hidden="false" customHeight="false" outlineLevel="0" collapsed="false">
      <c r="A347" s="115" t="str">
        <f aca="false">IF(B347="","",ROW()-5)</f>
        <v/>
      </c>
      <c r="B347" s="118"/>
      <c r="C347" s="117" t="str">
        <f aca="false">IF(B347="","",IFERROR(INDEX(الموظفون!$C$6:$C$105,MATCH(B347,الموظفون!$B$6:$B$105,0)),"✖ رقم غير موجود"))</f>
        <v/>
      </c>
      <c r="D347" s="118"/>
      <c r="E347" s="119"/>
      <c r="F347" s="119"/>
      <c r="G347" s="133" t="str">
        <f aca="false">IF(OR($B347="",$E347="",$F347=""),"",MAX(0,F347-E347+1))</f>
        <v/>
      </c>
      <c r="H347" s="134" t="str">
        <f aca="false">IF(D347="","",IFERROR(VLOOKUP(D347,cfg_LT,2,FALSE()),1))</f>
        <v/>
      </c>
      <c r="I347" s="135"/>
      <c r="J347" s="134" t="str">
        <f aca="false">IF(D347="","",IF(I347&lt;&gt;"",I347,H347))</f>
        <v/>
      </c>
      <c r="K347" s="117" t="str">
        <f aca="false">IF(D347="","",IFERROR(VLOOKUP($D347,cfg_LT,3,FALSE()),""))</f>
        <v/>
      </c>
      <c r="L347" s="117" t="str">
        <f aca="false">IF(D347="","",IFERROR(VLOOKUP($D347,cfg_LT,4,FALSE()),""))</f>
        <v/>
      </c>
      <c r="M347" s="117" t="str">
        <f aca="false">IF(D347="","",IFERROR(VLOOKUP($D347,cfg_LT,5,FALSE()),""))</f>
        <v/>
      </c>
      <c r="N347" s="116" t="n">
        <f aca="false">IF(OR(OR($B347="",$E347="",$F347=""),M347&lt;&gt;"نعم"),0,G347*J347*IFERROR(INDEX(الموظفون!$R$6:$R$105,MATCH(B347,الموظفون!$B$6:$B$105,0)),0)/cfg_DAYS_M)</f>
        <v>0</v>
      </c>
      <c r="O347" s="115" t="str">
        <f aca="false">IF(OR(OR($B347="",$E347="",$F347=""),M347&lt;&gt;"نعم"),"",IF(YEAR(E347)=cfg_FY,MONTH(E347),""))</f>
        <v/>
      </c>
      <c r="P347" s="117" t="str">
        <f aca="false">IF(B347="","",IF(OR(D347="",E347="",F347=""),"⚠ أكمل النوع والتواريخ",IF(F347&lt;E347,"✖ النهاية قبل البداية",IF(COUNTIFS($B$6:$B$505,B347,$E$6:$E$505,"&lt;="&amp;F347,$F$6:$F$505,"&gt;="&amp;E347)&gt;1,"⚠ تداخل مع سجل آخر",IF(E347&gt;cfg_VAL_DATE,"⏳ قادمة",IF(F347&lt;cfg_VAL_DATE,"✔ منتهية","✈ جارية في تاريخ التقرير"))))))</f>
        <v/>
      </c>
      <c r="Q347" s="118"/>
      <c r="R347" s="133" t="n">
        <f aca="false">IF(OR(OR($B347="",$E347="",$F347=""),L347&lt;&gt;"لا"),0,MAX(0,MIN(F347,cfg_Y_START-1)-E347+1))</f>
        <v>0</v>
      </c>
      <c r="S347" s="133" t="n">
        <f aca="false">IF(OR(OR($B347="",$E347="",$F347=""),L347&lt;&gt;"لا"),0,MAX(0,MIN(F347,cfg_VAL_DATE)-E347+1))</f>
        <v>0</v>
      </c>
      <c r="T347" s="133" t="n">
        <f aca="false">IF(OR(OR($B347="",$E347="",$F347=""),K347&lt;&gt;"نعم"),0,IF(M347="نعم",IF(AND(ISNUMBER(O347),N(O347)&lt;=cfg_VAL_M),G347,0),MAX(0,MIN(F347,cfg_VAL_DATE)-MAX(E347,cfg_Y_START)+1)))</f>
        <v>0</v>
      </c>
      <c r="V347" s="133" t="n">
        <f aca="false">IF(OR($B347="",$E347="",$F347=""),0,MAX(0,MIN($F347,EOMONTH(DATE(cfg_FY,1,1),0))-MAX($E347,DATE(cfg_FY,1,1))+1)*(1-IF($M347="نعم",0,N($J347))))</f>
        <v>0</v>
      </c>
      <c r="W347" s="133" t="n">
        <f aca="false">IF(OR($B347="",$E347="",$F347=""),0,MAX(0,MIN($F347,EOMONTH(DATE(cfg_FY,2,1),0))-MAX($E347,DATE(cfg_FY,2,1))+1)*(1-IF($M347="نعم",0,N($J347))))</f>
        <v>0</v>
      </c>
      <c r="X347" s="133" t="n">
        <f aca="false">IF(OR($B347="",$E347="",$F347=""),0,MAX(0,MIN($F347,EOMONTH(DATE(cfg_FY,3,1),0))-MAX($E347,DATE(cfg_FY,3,1))+1)*(1-IF($M347="نعم",0,N($J347))))</f>
        <v>0</v>
      </c>
      <c r="Y347" s="133" t="n">
        <f aca="false">IF(OR($B347="",$E347="",$F347=""),0,MAX(0,MIN($F347,EOMONTH(DATE(cfg_FY,4,1),0))-MAX($E347,DATE(cfg_FY,4,1))+1)*(1-IF($M347="نعم",0,N($J347))))</f>
        <v>0</v>
      </c>
      <c r="Z347" s="133" t="n">
        <f aca="false">IF(OR($B347="",$E347="",$F347=""),0,MAX(0,MIN($F347,EOMONTH(DATE(cfg_FY,5,1),0))-MAX($E347,DATE(cfg_FY,5,1))+1)*(1-IF($M347="نعم",0,N($J347))))</f>
        <v>0</v>
      </c>
      <c r="AA347" s="133" t="n">
        <f aca="false">IF(OR($B347="",$E347="",$F347=""),0,MAX(0,MIN($F347,EOMONTH(DATE(cfg_FY,6,1),0))-MAX($E347,DATE(cfg_FY,6,1))+1)*(1-IF($M347="نعم",0,N($J347))))</f>
        <v>0</v>
      </c>
      <c r="AB347" s="133" t="n">
        <f aca="false">IF(OR($B347="",$E347="",$F347=""),0,MAX(0,MIN($F347,EOMONTH(DATE(cfg_FY,7,1),0))-MAX($E347,DATE(cfg_FY,7,1))+1)*(1-IF($M347="نعم",0,N($J347))))</f>
        <v>0</v>
      </c>
      <c r="AC347" s="133" t="n">
        <f aca="false">IF(OR($B347="",$E347="",$F347=""),0,MAX(0,MIN($F347,EOMONTH(DATE(cfg_FY,8,1),0))-MAX($E347,DATE(cfg_FY,8,1))+1)*(1-IF($M347="نعم",0,N($J347))))</f>
        <v>0</v>
      </c>
      <c r="AD347" s="133" t="n">
        <f aca="false">IF(OR($B347="",$E347="",$F347=""),0,MAX(0,MIN($F347,EOMONTH(DATE(cfg_FY,9,1),0))-MAX($E347,DATE(cfg_FY,9,1))+1)*(1-IF($M347="نعم",0,N($J347))))</f>
        <v>0</v>
      </c>
      <c r="AE347" s="133" t="n">
        <f aca="false">IF(OR($B347="",$E347="",$F347=""),0,MAX(0,MIN($F347,EOMONTH(DATE(cfg_FY,10,1),0))-MAX($E347,DATE(cfg_FY,10,1))+1)*(1-IF($M347="نعم",0,N($J347))))</f>
        <v>0</v>
      </c>
      <c r="AF347" s="133" t="n">
        <f aca="false">IF(OR($B347="",$E347="",$F347=""),0,MAX(0,MIN($F347,EOMONTH(DATE(cfg_FY,11,1),0))-MAX($E347,DATE(cfg_FY,11,1))+1)*(1-IF($M347="نعم",0,N($J347))))</f>
        <v>0</v>
      </c>
      <c r="AG347" s="133" t="n">
        <f aca="false">IF(OR($B347="",$E347="",$F347=""),0,MAX(0,MIN($F347,EOMONTH(DATE(cfg_FY,12,1),0))-MAX($E347,DATE(cfg_FY,12,1))+1)*(1-IF($M347="نعم",0,N($J347))))</f>
        <v>0</v>
      </c>
      <c r="AH347" s="133" t="n">
        <f aca="false">IF(OR(OR($B347="",$E347="",$F347=""),$L347&lt;&gt;"لا"),0,MAX(0,MIN($F347,EOMONTH(DATE(cfg_FY,1,1),0))-$E347+1))</f>
        <v>0</v>
      </c>
      <c r="AI347" s="133" t="n">
        <f aca="false">IF(OR(OR($B347="",$E347="",$F347=""),$L347&lt;&gt;"لا"),0,MAX(0,MIN($F347,EOMONTH(DATE(cfg_FY,2,1),0))-$E347+1))</f>
        <v>0</v>
      </c>
      <c r="AJ347" s="133" t="n">
        <f aca="false">IF(OR(OR($B347="",$E347="",$F347=""),$L347&lt;&gt;"لا"),0,MAX(0,MIN($F347,EOMONTH(DATE(cfg_FY,3,1),0))-$E347+1))</f>
        <v>0</v>
      </c>
      <c r="AK347" s="133" t="n">
        <f aca="false">IF(OR(OR($B347="",$E347="",$F347=""),$L347&lt;&gt;"لا"),0,MAX(0,MIN($F347,EOMONTH(DATE(cfg_FY,4,1),0))-$E347+1))</f>
        <v>0</v>
      </c>
      <c r="AL347" s="133" t="n">
        <f aca="false">IF(OR(OR($B347="",$E347="",$F347=""),$L347&lt;&gt;"لا"),0,MAX(0,MIN($F347,EOMONTH(DATE(cfg_FY,5,1),0))-$E347+1))</f>
        <v>0</v>
      </c>
      <c r="AM347" s="133" t="n">
        <f aca="false">IF(OR(OR($B347="",$E347="",$F347=""),$L347&lt;&gt;"لا"),0,MAX(0,MIN($F347,EOMONTH(DATE(cfg_FY,6,1),0))-$E347+1))</f>
        <v>0</v>
      </c>
      <c r="AN347" s="133" t="n">
        <f aca="false">IF(OR(OR($B347="",$E347="",$F347=""),$L347&lt;&gt;"لا"),0,MAX(0,MIN($F347,EOMONTH(DATE(cfg_FY,7,1),0))-$E347+1))</f>
        <v>0</v>
      </c>
      <c r="AO347" s="133" t="n">
        <f aca="false">IF(OR(OR($B347="",$E347="",$F347=""),$L347&lt;&gt;"لا"),0,MAX(0,MIN($F347,EOMONTH(DATE(cfg_FY,8,1),0))-$E347+1))</f>
        <v>0</v>
      </c>
      <c r="AP347" s="133" t="n">
        <f aca="false">IF(OR(OR($B347="",$E347="",$F347=""),$L347&lt;&gt;"لا"),0,MAX(0,MIN($F347,EOMONTH(DATE(cfg_FY,9,1),0))-$E347+1))</f>
        <v>0</v>
      </c>
      <c r="AQ347" s="133" t="n">
        <f aca="false">IF(OR(OR($B347="",$E347="",$F347=""),$L347&lt;&gt;"لا"),0,MAX(0,MIN($F347,EOMONTH(DATE(cfg_FY,10,1),0))-$E347+1))</f>
        <v>0</v>
      </c>
      <c r="AR347" s="133" t="n">
        <f aca="false">IF(OR(OR($B347="",$E347="",$F347=""),$L347&lt;&gt;"لا"),0,MAX(0,MIN($F347,EOMONTH(DATE(cfg_FY,11,1),0))-$E347+1))</f>
        <v>0</v>
      </c>
      <c r="AS347" s="133" t="n">
        <f aca="false">IF(OR(OR($B347="",$E347="",$F347=""),$L347&lt;&gt;"لا"),0,MAX(0,MIN($F347,EOMONTH(DATE(cfg_FY,12,1),0))-$E347+1))</f>
        <v>0</v>
      </c>
      <c r="AT347" s="133" t="n">
        <f aca="false">IF(OR(OR($B347="",$E347="",$F347=""),$K347&lt;&gt;"نعم",$M347="نعم"),0,MAX(0,MIN($F347,EOMONTH(DATE(cfg_FY,1,1),0))-MAX($E347,DATE(cfg_FY,1,1))+1))</f>
        <v>0</v>
      </c>
      <c r="AU347" s="133" t="n">
        <f aca="false">IF(OR(OR($B347="",$E347="",$F347=""),$K347&lt;&gt;"نعم",$M347="نعم"),0,MAX(0,MIN($F347,EOMONTH(DATE(cfg_FY,2,1),0))-MAX($E347,DATE(cfg_FY,2,1))+1))</f>
        <v>0</v>
      </c>
      <c r="AV347" s="133" t="n">
        <f aca="false">IF(OR(OR($B347="",$E347="",$F347=""),$K347&lt;&gt;"نعم",$M347="نعم"),0,MAX(0,MIN($F347,EOMONTH(DATE(cfg_FY,3,1),0))-MAX($E347,DATE(cfg_FY,3,1))+1))</f>
        <v>0</v>
      </c>
      <c r="AW347" s="133" t="n">
        <f aca="false">IF(OR(OR($B347="",$E347="",$F347=""),$K347&lt;&gt;"نعم",$M347="نعم"),0,MAX(0,MIN($F347,EOMONTH(DATE(cfg_FY,4,1),0))-MAX($E347,DATE(cfg_FY,4,1))+1))</f>
        <v>0</v>
      </c>
      <c r="AX347" s="133" t="n">
        <f aca="false">IF(OR(OR($B347="",$E347="",$F347=""),$K347&lt;&gt;"نعم",$M347="نعم"),0,MAX(0,MIN($F347,EOMONTH(DATE(cfg_FY,5,1),0))-MAX($E347,DATE(cfg_FY,5,1))+1))</f>
        <v>0</v>
      </c>
      <c r="AY347" s="133" t="n">
        <f aca="false">IF(OR(OR($B347="",$E347="",$F347=""),$K347&lt;&gt;"نعم",$M347="نعم"),0,MAX(0,MIN($F347,EOMONTH(DATE(cfg_FY,6,1),0))-MAX($E347,DATE(cfg_FY,6,1))+1))</f>
        <v>0</v>
      </c>
      <c r="AZ347" s="133" t="n">
        <f aca="false">IF(OR(OR($B347="",$E347="",$F347=""),$K347&lt;&gt;"نعم",$M347="نعم"),0,MAX(0,MIN($F347,EOMONTH(DATE(cfg_FY,7,1),0))-MAX($E347,DATE(cfg_FY,7,1))+1))</f>
        <v>0</v>
      </c>
      <c r="BA347" s="133" t="n">
        <f aca="false">IF(OR(OR($B347="",$E347="",$F347=""),$K347&lt;&gt;"نعم",$M347="نعم"),0,MAX(0,MIN($F347,EOMONTH(DATE(cfg_FY,8,1),0))-MAX($E347,DATE(cfg_FY,8,1))+1))</f>
        <v>0</v>
      </c>
      <c r="BB347" s="133" t="n">
        <f aca="false">IF(OR(OR($B347="",$E347="",$F347=""),$K347&lt;&gt;"نعم",$M347="نعم"),0,MAX(0,MIN($F347,EOMONTH(DATE(cfg_FY,9,1),0))-MAX($E347,DATE(cfg_FY,9,1))+1))</f>
        <v>0</v>
      </c>
      <c r="BC347" s="133" t="n">
        <f aca="false">IF(OR(OR($B347="",$E347="",$F347=""),$K347&lt;&gt;"نعم",$M347="نعم"),0,MAX(0,MIN($F347,EOMONTH(DATE(cfg_FY,10,1),0))-MAX($E347,DATE(cfg_FY,10,1))+1))</f>
        <v>0</v>
      </c>
      <c r="BD347" s="133" t="n">
        <f aca="false">IF(OR(OR($B347="",$E347="",$F347=""),$K347&lt;&gt;"نعم",$M347="نعم"),0,MAX(0,MIN($F347,EOMONTH(DATE(cfg_FY,11,1),0))-MAX($E347,DATE(cfg_FY,11,1))+1))</f>
        <v>0</v>
      </c>
      <c r="BE347" s="133" t="n">
        <f aca="false">IF(OR(OR($B347="",$E347="",$F347=""),$K347&lt;&gt;"نعم",$M347="نعم"),0,MAX(0,MIN($F347,EOMONTH(DATE(cfg_FY,12,1),0))-MAX($E347,DATE(cfg_FY,12,1))+1))</f>
        <v>0</v>
      </c>
    </row>
    <row r="348" customFormat="false" ht="15" hidden="false" customHeight="false" outlineLevel="0" collapsed="false">
      <c r="A348" s="106" t="str">
        <f aca="false">IF(B348="","",ROW()-5)</f>
        <v/>
      </c>
      <c r="B348" s="118"/>
      <c r="C348" s="114" t="str">
        <f aca="false">IF(B348="","",IFERROR(INDEX(الموظفون!$C$6:$C$105,MATCH(B348,الموظفون!$B$6:$B$105,0)),"✖ رقم غير موجود"))</f>
        <v/>
      </c>
      <c r="D348" s="118"/>
      <c r="E348" s="119"/>
      <c r="F348" s="119"/>
      <c r="G348" s="65" t="str">
        <f aca="false">IF(OR($B348="",$E348="",$F348=""),"",MAX(0,F348-E348+1))</f>
        <v/>
      </c>
      <c r="H348" s="66" t="str">
        <f aca="false">IF(D348="","",IFERROR(VLOOKUP(D348,cfg_LT,2,FALSE()),1))</f>
        <v/>
      </c>
      <c r="I348" s="135"/>
      <c r="J348" s="66" t="str">
        <f aca="false">IF(D348="","",IF(I348&lt;&gt;"",I348,H348))</f>
        <v/>
      </c>
      <c r="K348" s="114" t="str">
        <f aca="false">IF(D348="","",IFERROR(VLOOKUP($D348,cfg_LT,3,FALSE()),""))</f>
        <v/>
      </c>
      <c r="L348" s="114" t="str">
        <f aca="false">IF(D348="","",IFERROR(VLOOKUP($D348,cfg_LT,4,FALSE()),""))</f>
        <v/>
      </c>
      <c r="M348" s="114" t="str">
        <f aca="false">IF(D348="","",IFERROR(VLOOKUP($D348,cfg_LT,5,FALSE()),""))</f>
        <v/>
      </c>
      <c r="N348" s="111" t="n">
        <f aca="false">IF(OR(OR($B348="",$E348="",$F348=""),M348&lt;&gt;"نعم"),0,G348*J348*IFERROR(INDEX(الموظفون!$R$6:$R$105,MATCH(B348,الموظفون!$B$6:$B$105,0)),0)/cfg_DAYS_M)</f>
        <v>0</v>
      </c>
      <c r="O348" s="106" t="str">
        <f aca="false">IF(OR(OR($B348="",$E348="",$F348=""),M348&lt;&gt;"نعم"),"",IF(YEAR(E348)=cfg_FY,MONTH(E348),""))</f>
        <v/>
      </c>
      <c r="P348" s="114" t="str">
        <f aca="false">IF(B348="","",IF(OR(D348="",E348="",F348=""),"⚠ أكمل النوع والتواريخ",IF(F348&lt;E348,"✖ النهاية قبل البداية",IF(COUNTIFS($B$6:$B$505,B348,$E$6:$E$505,"&lt;="&amp;F348,$F$6:$F$505,"&gt;="&amp;E348)&gt;1,"⚠ تداخل مع سجل آخر",IF(E348&gt;cfg_VAL_DATE,"⏳ قادمة",IF(F348&lt;cfg_VAL_DATE,"✔ منتهية","✈ جارية في تاريخ التقرير"))))))</f>
        <v/>
      </c>
      <c r="Q348" s="118"/>
      <c r="R348" s="65" t="n">
        <f aca="false">IF(OR(OR($B348="",$E348="",$F348=""),L348&lt;&gt;"لا"),0,MAX(0,MIN(F348,cfg_Y_START-1)-E348+1))</f>
        <v>0</v>
      </c>
      <c r="S348" s="65" t="n">
        <f aca="false">IF(OR(OR($B348="",$E348="",$F348=""),L348&lt;&gt;"لا"),0,MAX(0,MIN(F348,cfg_VAL_DATE)-E348+1))</f>
        <v>0</v>
      </c>
      <c r="T348" s="65" t="n">
        <f aca="false">IF(OR(OR($B348="",$E348="",$F348=""),K348&lt;&gt;"نعم"),0,IF(M348="نعم",IF(AND(ISNUMBER(O348),N(O348)&lt;=cfg_VAL_M),G348,0),MAX(0,MIN(F348,cfg_VAL_DATE)-MAX(E348,cfg_Y_START)+1)))</f>
        <v>0</v>
      </c>
      <c r="V348" s="65" t="n">
        <f aca="false">IF(OR($B348="",$E348="",$F348=""),0,MAX(0,MIN($F348,EOMONTH(DATE(cfg_FY,1,1),0))-MAX($E348,DATE(cfg_FY,1,1))+1)*(1-IF($M348="نعم",0,N($J348))))</f>
        <v>0</v>
      </c>
      <c r="W348" s="65" t="n">
        <f aca="false">IF(OR($B348="",$E348="",$F348=""),0,MAX(0,MIN($F348,EOMONTH(DATE(cfg_FY,2,1),0))-MAX($E348,DATE(cfg_FY,2,1))+1)*(1-IF($M348="نعم",0,N($J348))))</f>
        <v>0</v>
      </c>
      <c r="X348" s="65" t="n">
        <f aca="false">IF(OR($B348="",$E348="",$F348=""),0,MAX(0,MIN($F348,EOMONTH(DATE(cfg_FY,3,1),0))-MAX($E348,DATE(cfg_FY,3,1))+1)*(1-IF($M348="نعم",0,N($J348))))</f>
        <v>0</v>
      </c>
      <c r="Y348" s="65" t="n">
        <f aca="false">IF(OR($B348="",$E348="",$F348=""),0,MAX(0,MIN($F348,EOMONTH(DATE(cfg_FY,4,1),0))-MAX($E348,DATE(cfg_FY,4,1))+1)*(1-IF($M348="نعم",0,N($J348))))</f>
        <v>0</v>
      </c>
      <c r="Z348" s="65" t="n">
        <f aca="false">IF(OR($B348="",$E348="",$F348=""),0,MAX(0,MIN($F348,EOMONTH(DATE(cfg_FY,5,1),0))-MAX($E348,DATE(cfg_FY,5,1))+1)*(1-IF($M348="نعم",0,N($J348))))</f>
        <v>0</v>
      </c>
      <c r="AA348" s="65" t="n">
        <f aca="false">IF(OR($B348="",$E348="",$F348=""),0,MAX(0,MIN($F348,EOMONTH(DATE(cfg_FY,6,1),0))-MAX($E348,DATE(cfg_FY,6,1))+1)*(1-IF($M348="نعم",0,N($J348))))</f>
        <v>0</v>
      </c>
      <c r="AB348" s="65" t="n">
        <f aca="false">IF(OR($B348="",$E348="",$F348=""),0,MAX(0,MIN($F348,EOMONTH(DATE(cfg_FY,7,1),0))-MAX($E348,DATE(cfg_FY,7,1))+1)*(1-IF($M348="نعم",0,N($J348))))</f>
        <v>0</v>
      </c>
      <c r="AC348" s="65" t="n">
        <f aca="false">IF(OR($B348="",$E348="",$F348=""),0,MAX(0,MIN($F348,EOMONTH(DATE(cfg_FY,8,1),0))-MAX($E348,DATE(cfg_FY,8,1))+1)*(1-IF($M348="نعم",0,N($J348))))</f>
        <v>0</v>
      </c>
      <c r="AD348" s="65" t="n">
        <f aca="false">IF(OR($B348="",$E348="",$F348=""),0,MAX(0,MIN($F348,EOMONTH(DATE(cfg_FY,9,1),0))-MAX($E348,DATE(cfg_FY,9,1))+1)*(1-IF($M348="نعم",0,N($J348))))</f>
        <v>0</v>
      </c>
      <c r="AE348" s="65" t="n">
        <f aca="false">IF(OR($B348="",$E348="",$F348=""),0,MAX(0,MIN($F348,EOMONTH(DATE(cfg_FY,10,1),0))-MAX($E348,DATE(cfg_FY,10,1))+1)*(1-IF($M348="نعم",0,N($J348))))</f>
        <v>0</v>
      </c>
      <c r="AF348" s="65" t="n">
        <f aca="false">IF(OR($B348="",$E348="",$F348=""),0,MAX(0,MIN($F348,EOMONTH(DATE(cfg_FY,11,1),0))-MAX($E348,DATE(cfg_FY,11,1))+1)*(1-IF($M348="نعم",0,N($J348))))</f>
        <v>0</v>
      </c>
      <c r="AG348" s="65" t="n">
        <f aca="false">IF(OR($B348="",$E348="",$F348=""),0,MAX(0,MIN($F348,EOMONTH(DATE(cfg_FY,12,1),0))-MAX($E348,DATE(cfg_FY,12,1))+1)*(1-IF($M348="نعم",0,N($J348))))</f>
        <v>0</v>
      </c>
      <c r="AH348" s="65" t="n">
        <f aca="false">IF(OR(OR($B348="",$E348="",$F348=""),$L348&lt;&gt;"لا"),0,MAX(0,MIN($F348,EOMONTH(DATE(cfg_FY,1,1),0))-$E348+1))</f>
        <v>0</v>
      </c>
      <c r="AI348" s="65" t="n">
        <f aca="false">IF(OR(OR($B348="",$E348="",$F348=""),$L348&lt;&gt;"لا"),0,MAX(0,MIN($F348,EOMONTH(DATE(cfg_FY,2,1),0))-$E348+1))</f>
        <v>0</v>
      </c>
      <c r="AJ348" s="65" t="n">
        <f aca="false">IF(OR(OR($B348="",$E348="",$F348=""),$L348&lt;&gt;"لا"),0,MAX(0,MIN($F348,EOMONTH(DATE(cfg_FY,3,1),0))-$E348+1))</f>
        <v>0</v>
      </c>
      <c r="AK348" s="65" t="n">
        <f aca="false">IF(OR(OR($B348="",$E348="",$F348=""),$L348&lt;&gt;"لا"),0,MAX(0,MIN($F348,EOMONTH(DATE(cfg_FY,4,1),0))-$E348+1))</f>
        <v>0</v>
      </c>
      <c r="AL348" s="65" t="n">
        <f aca="false">IF(OR(OR($B348="",$E348="",$F348=""),$L348&lt;&gt;"لا"),0,MAX(0,MIN($F348,EOMONTH(DATE(cfg_FY,5,1),0))-$E348+1))</f>
        <v>0</v>
      </c>
      <c r="AM348" s="65" t="n">
        <f aca="false">IF(OR(OR($B348="",$E348="",$F348=""),$L348&lt;&gt;"لا"),0,MAX(0,MIN($F348,EOMONTH(DATE(cfg_FY,6,1),0))-$E348+1))</f>
        <v>0</v>
      </c>
      <c r="AN348" s="65" t="n">
        <f aca="false">IF(OR(OR($B348="",$E348="",$F348=""),$L348&lt;&gt;"لا"),0,MAX(0,MIN($F348,EOMONTH(DATE(cfg_FY,7,1),0))-$E348+1))</f>
        <v>0</v>
      </c>
      <c r="AO348" s="65" t="n">
        <f aca="false">IF(OR(OR($B348="",$E348="",$F348=""),$L348&lt;&gt;"لا"),0,MAX(0,MIN($F348,EOMONTH(DATE(cfg_FY,8,1),0))-$E348+1))</f>
        <v>0</v>
      </c>
      <c r="AP348" s="65" t="n">
        <f aca="false">IF(OR(OR($B348="",$E348="",$F348=""),$L348&lt;&gt;"لا"),0,MAX(0,MIN($F348,EOMONTH(DATE(cfg_FY,9,1),0))-$E348+1))</f>
        <v>0</v>
      </c>
      <c r="AQ348" s="65" t="n">
        <f aca="false">IF(OR(OR($B348="",$E348="",$F348=""),$L348&lt;&gt;"لا"),0,MAX(0,MIN($F348,EOMONTH(DATE(cfg_FY,10,1),0))-$E348+1))</f>
        <v>0</v>
      </c>
      <c r="AR348" s="65" t="n">
        <f aca="false">IF(OR(OR($B348="",$E348="",$F348=""),$L348&lt;&gt;"لا"),0,MAX(0,MIN($F348,EOMONTH(DATE(cfg_FY,11,1),0))-$E348+1))</f>
        <v>0</v>
      </c>
      <c r="AS348" s="65" t="n">
        <f aca="false">IF(OR(OR($B348="",$E348="",$F348=""),$L348&lt;&gt;"لا"),0,MAX(0,MIN($F348,EOMONTH(DATE(cfg_FY,12,1),0))-$E348+1))</f>
        <v>0</v>
      </c>
      <c r="AT348" s="65" t="n">
        <f aca="false">IF(OR(OR($B348="",$E348="",$F348=""),$K348&lt;&gt;"نعم",$M348="نعم"),0,MAX(0,MIN($F348,EOMONTH(DATE(cfg_FY,1,1),0))-MAX($E348,DATE(cfg_FY,1,1))+1))</f>
        <v>0</v>
      </c>
      <c r="AU348" s="65" t="n">
        <f aca="false">IF(OR(OR($B348="",$E348="",$F348=""),$K348&lt;&gt;"نعم",$M348="نعم"),0,MAX(0,MIN($F348,EOMONTH(DATE(cfg_FY,2,1),0))-MAX($E348,DATE(cfg_FY,2,1))+1))</f>
        <v>0</v>
      </c>
      <c r="AV348" s="65" t="n">
        <f aca="false">IF(OR(OR($B348="",$E348="",$F348=""),$K348&lt;&gt;"نعم",$M348="نعم"),0,MAX(0,MIN($F348,EOMONTH(DATE(cfg_FY,3,1),0))-MAX($E348,DATE(cfg_FY,3,1))+1))</f>
        <v>0</v>
      </c>
      <c r="AW348" s="65" t="n">
        <f aca="false">IF(OR(OR($B348="",$E348="",$F348=""),$K348&lt;&gt;"نعم",$M348="نعم"),0,MAX(0,MIN($F348,EOMONTH(DATE(cfg_FY,4,1),0))-MAX($E348,DATE(cfg_FY,4,1))+1))</f>
        <v>0</v>
      </c>
      <c r="AX348" s="65" t="n">
        <f aca="false">IF(OR(OR($B348="",$E348="",$F348=""),$K348&lt;&gt;"نعم",$M348="نعم"),0,MAX(0,MIN($F348,EOMONTH(DATE(cfg_FY,5,1),0))-MAX($E348,DATE(cfg_FY,5,1))+1))</f>
        <v>0</v>
      </c>
      <c r="AY348" s="65" t="n">
        <f aca="false">IF(OR(OR($B348="",$E348="",$F348=""),$K348&lt;&gt;"نعم",$M348="نعم"),0,MAX(0,MIN($F348,EOMONTH(DATE(cfg_FY,6,1),0))-MAX($E348,DATE(cfg_FY,6,1))+1))</f>
        <v>0</v>
      </c>
      <c r="AZ348" s="65" t="n">
        <f aca="false">IF(OR(OR($B348="",$E348="",$F348=""),$K348&lt;&gt;"نعم",$M348="نعم"),0,MAX(0,MIN($F348,EOMONTH(DATE(cfg_FY,7,1),0))-MAX($E348,DATE(cfg_FY,7,1))+1))</f>
        <v>0</v>
      </c>
      <c r="BA348" s="65" t="n">
        <f aca="false">IF(OR(OR($B348="",$E348="",$F348=""),$K348&lt;&gt;"نعم",$M348="نعم"),0,MAX(0,MIN($F348,EOMONTH(DATE(cfg_FY,8,1),0))-MAX($E348,DATE(cfg_FY,8,1))+1))</f>
        <v>0</v>
      </c>
      <c r="BB348" s="65" t="n">
        <f aca="false">IF(OR(OR($B348="",$E348="",$F348=""),$K348&lt;&gt;"نعم",$M348="نعم"),0,MAX(0,MIN($F348,EOMONTH(DATE(cfg_FY,9,1),0))-MAX($E348,DATE(cfg_FY,9,1))+1))</f>
        <v>0</v>
      </c>
      <c r="BC348" s="65" t="n">
        <f aca="false">IF(OR(OR($B348="",$E348="",$F348=""),$K348&lt;&gt;"نعم",$M348="نعم"),0,MAX(0,MIN($F348,EOMONTH(DATE(cfg_FY,10,1),0))-MAX($E348,DATE(cfg_FY,10,1))+1))</f>
        <v>0</v>
      </c>
      <c r="BD348" s="65" t="n">
        <f aca="false">IF(OR(OR($B348="",$E348="",$F348=""),$K348&lt;&gt;"نعم",$M348="نعم"),0,MAX(0,MIN($F348,EOMONTH(DATE(cfg_FY,11,1),0))-MAX($E348,DATE(cfg_FY,11,1))+1))</f>
        <v>0</v>
      </c>
      <c r="BE348" s="65" t="n">
        <f aca="false">IF(OR(OR($B348="",$E348="",$F348=""),$K348&lt;&gt;"نعم",$M348="نعم"),0,MAX(0,MIN($F348,EOMONTH(DATE(cfg_FY,12,1),0))-MAX($E348,DATE(cfg_FY,12,1))+1))</f>
        <v>0</v>
      </c>
    </row>
    <row r="349" customFormat="false" ht="15" hidden="false" customHeight="false" outlineLevel="0" collapsed="false">
      <c r="A349" s="115" t="str">
        <f aca="false">IF(B349="","",ROW()-5)</f>
        <v/>
      </c>
      <c r="B349" s="118"/>
      <c r="C349" s="117" t="str">
        <f aca="false">IF(B349="","",IFERROR(INDEX(الموظفون!$C$6:$C$105,MATCH(B349,الموظفون!$B$6:$B$105,0)),"✖ رقم غير موجود"))</f>
        <v/>
      </c>
      <c r="D349" s="118"/>
      <c r="E349" s="119"/>
      <c r="F349" s="119"/>
      <c r="G349" s="133" t="str">
        <f aca="false">IF(OR($B349="",$E349="",$F349=""),"",MAX(0,F349-E349+1))</f>
        <v/>
      </c>
      <c r="H349" s="134" t="str">
        <f aca="false">IF(D349="","",IFERROR(VLOOKUP(D349,cfg_LT,2,FALSE()),1))</f>
        <v/>
      </c>
      <c r="I349" s="135"/>
      <c r="J349" s="134" t="str">
        <f aca="false">IF(D349="","",IF(I349&lt;&gt;"",I349,H349))</f>
        <v/>
      </c>
      <c r="K349" s="117" t="str">
        <f aca="false">IF(D349="","",IFERROR(VLOOKUP($D349,cfg_LT,3,FALSE()),""))</f>
        <v/>
      </c>
      <c r="L349" s="117" t="str">
        <f aca="false">IF(D349="","",IFERROR(VLOOKUP($D349,cfg_LT,4,FALSE()),""))</f>
        <v/>
      </c>
      <c r="M349" s="117" t="str">
        <f aca="false">IF(D349="","",IFERROR(VLOOKUP($D349,cfg_LT,5,FALSE()),""))</f>
        <v/>
      </c>
      <c r="N349" s="116" t="n">
        <f aca="false">IF(OR(OR($B349="",$E349="",$F349=""),M349&lt;&gt;"نعم"),0,G349*J349*IFERROR(INDEX(الموظفون!$R$6:$R$105,MATCH(B349,الموظفون!$B$6:$B$105,0)),0)/cfg_DAYS_M)</f>
        <v>0</v>
      </c>
      <c r="O349" s="115" t="str">
        <f aca="false">IF(OR(OR($B349="",$E349="",$F349=""),M349&lt;&gt;"نعم"),"",IF(YEAR(E349)=cfg_FY,MONTH(E349),""))</f>
        <v/>
      </c>
      <c r="P349" s="117" t="str">
        <f aca="false">IF(B349="","",IF(OR(D349="",E349="",F349=""),"⚠ أكمل النوع والتواريخ",IF(F349&lt;E349,"✖ النهاية قبل البداية",IF(COUNTIFS($B$6:$B$505,B349,$E$6:$E$505,"&lt;="&amp;F349,$F$6:$F$505,"&gt;="&amp;E349)&gt;1,"⚠ تداخل مع سجل آخر",IF(E349&gt;cfg_VAL_DATE,"⏳ قادمة",IF(F349&lt;cfg_VAL_DATE,"✔ منتهية","✈ جارية في تاريخ التقرير"))))))</f>
        <v/>
      </c>
      <c r="Q349" s="118"/>
      <c r="R349" s="133" t="n">
        <f aca="false">IF(OR(OR($B349="",$E349="",$F349=""),L349&lt;&gt;"لا"),0,MAX(0,MIN(F349,cfg_Y_START-1)-E349+1))</f>
        <v>0</v>
      </c>
      <c r="S349" s="133" t="n">
        <f aca="false">IF(OR(OR($B349="",$E349="",$F349=""),L349&lt;&gt;"لا"),0,MAX(0,MIN(F349,cfg_VAL_DATE)-E349+1))</f>
        <v>0</v>
      </c>
      <c r="T349" s="133" t="n">
        <f aca="false">IF(OR(OR($B349="",$E349="",$F349=""),K349&lt;&gt;"نعم"),0,IF(M349="نعم",IF(AND(ISNUMBER(O349),N(O349)&lt;=cfg_VAL_M),G349,0),MAX(0,MIN(F349,cfg_VAL_DATE)-MAX(E349,cfg_Y_START)+1)))</f>
        <v>0</v>
      </c>
      <c r="V349" s="133" t="n">
        <f aca="false">IF(OR($B349="",$E349="",$F349=""),0,MAX(0,MIN($F349,EOMONTH(DATE(cfg_FY,1,1),0))-MAX($E349,DATE(cfg_FY,1,1))+1)*(1-IF($M349="نعم",0,N($J349))))</f>
        <v>0</v>
      </c>
      <c r="W349" s="133" t="n">
        <f aca="false">IF(OR($B349="",$E349="",$F349=""),0,MAX(0,MIN($F349,EOMONTH(DATE(cfg_FY,2,1),0))-MAX($E349,DATE(cfg_FY,2,1))+1)*(1-IF($M349="نعم",0,N($J349))))</f>
        <v>0</v>
      </c>
      <c r="X349" s="133" t="n">
        <f aca="false">IF(OR($B349="",$E349="",$F349=""),0,MAX(0,MIN($F349,EOMONTH(DATE(cfg_FY,3,1),0))-MAX($E349,DATE(cfg_FY,3,1))+1)*(1-IF($M349="نعم",0,N($J349))))</f>
        <v>0</v>
      </c>
      <c r="Y349" s="133" t="n">
        <f aca="false">IF(OR($B349="",$E349="",$F349=""),0,MAX(0,MIN($F349,EOMONTH(DATE(cfg_FY,4,1),0))-MAX($E349,DATE(cfg_FY,4,1))+1)*(1-IF($M349="نعم",0,N($J349))))</f>
        <v>0</v>
      </c>
      <c r="Z349" s="133" t="n">
        <f aca="false">IF(OR($B349="",$E349="",$F349=""),0,MAX(0,MIN($F349,EOMONTH(DATE(cfg_FY,5,1),0))-MAX($E349,DATE(cfg_FY,5,1))+1)*(1-IF($M349="نعم",0,N($J349))))</f>
        <v>0</v>
      </c>
      <c r="AA349" s="133" t="n">
        <f aca="false">IF(OR($B349="",$E349="",$F349=""),0,MAX(0,MIN($F349,EOMONTH(DATE(cfg_FY,6,1),0))-MAX($E349,DATE(cfg_FY,6,1))+1)*(1-IF($M349="نعم",0,N($J349))))</f>
        <v>0</v>
      </c>
      <c r="AB349" s="133" t="n">
        <f aca="false">IF(OR($B349="",$E349="",$F349=""),0,MAX(0,MIN($F349,EOMONTH(DATE(cfg_FY,7,1),0))-MAX($E349,DATE(cfg_FY,7,1))+1)*(1-IF($M349="نعم",0,N($J349))))</f>
        <v>0</v>
      </c>
      <c r="AC349" s="133" t="n">
        <f aca="false">IF(OR($B349="",$E349="",$F349=""),0,MAX(0,MIN($F349,EOMONTH(DATE(cfg_FY,8,1),0))-MAX($E349,DATE(cfg_FY,8,1))+1)*(1-IF($M349="نعم",0,N($J349))))</f>
        <v>0</v>
      </c>
      <c r="AD349" s="133" t="n">
        <f aca="false">IF(OR($B349="",$E349="",$F349=""),0,MAX(0,MIN($F349,EOMONTH(DATE(cfg_FY,9,1),0))-MAX($E349,DATE(cfg_FY,9,1))+1)*(1-IF($M349="نعم",0,N($J349))))</f>
        <v>0</v>
      </c>
      <c r="AE349" s="133" t="n">
        <f aca="false">IF(OR($B349="",$E349="",$F349=""),0,MAX(0,MIN($F349,EOMONTH(DATE(cfg_FY,10,1),0))-MAX($E349,DATE(cfg_FY,10,1))+1)*(1-IF($M349="نعم",0,N($J349))))</f>
        <v>0</v>
      </c>
      <c r="AF349" s="133" t="n">
        <f aca="false">IF(OR($B349="",$E349="",$F349=""),0,MAX(0,MIN($F349,EOMONTH(DATE(cfg_FY,11,1),0))-MAX($E349,DATE(cfg_FY,11,1))+1)*(1-IF($M349="نعم",0,N($J349))))</f>
        <v>0</v>
      </c>
      <c r="AG349" s="133" t="n">
        <f aca="false">IF(OR($B349="",$E349="",$F349=""),0,MAX(0,MIN($F349,EOMONTH(DATE(cfg_FY,12,1),0))-MAX($E349,DATE(cfg_FY,12,1))+1)*(1-IF($M349="نعم",0,N($J349))))</f>
        <v>0</v>
      </c>
      <c r="AH349" s="133" t="n">
        <f aca="false">IF(OR(OR($B349="",$E349="",$F349=""),$L349&lt;&gt;"لا"),0,MAX(0,MIN($F349,EOMONTH(DATE(cfg_FY,1,1),0))-$E349+1))</f>
        <v>0</v>
      </c>
      <c r="AI349" s="133" t="n">
        <f aca="false">IF(OR(OR($B349="",$E349="",$F349=""),$L349&lt;&gt;"لا"),0,MAX(0,MIN($F349,EOMONTH(DATE(cfg_FY,2,1),0))-$E349+1))</f>
        <v>0</v>
      </c>
      <c r="AJ349" s="133" t="n">
        <f aca="false">IF(OR(OR($B349="",$E349="",$F349=""),$L349&lt;&gt;"لا"),0,MAX(0,MIN($F349,EOMONTH(DATE(cfg_FY,3,1),0))-$E349+1))</f>
        <v>0</v>
      </c>
      <c r="AK349" s="133" t="n">
        <f aca="false">IF(OR(OR($B349="",$E349="",$F349=""),$L349&lt;&gt;"لا"),0,MAX(0,MIN($F349,EOMONTH(DATE(cfg_FY,4,1),0))-$E349+1))</f>
        <v>0</v>
      </c>
      <c r="AL349" s="133" t="n">
        <f aca="false">IF(OR(OR($B349="",$E349="",$F349=""),$L349&lt;&gt;"لا"),0,MAX(0,MIN($F349,EOMONTH(DATE(cfg_FY,5,1),0))-$E349+1))</f>
        <v>0</v>
      </c>
      <c r="AM349" s="133" t="n">
        <f aca="false">IF(OR(OR($B349="",$E349="",$F349=""),$L349&lt;&gt;"لا"),0,MAX(0,MIN($F349,EOMONTH(DATE(cfg_FY,6,1),0))-$E349+1))</f>
        <v>0</v>
      </c>
      <c r="AN349" s="133" t="n">
        <f aca="false">IF(OR(OR($B349="",$E349="",$F349=""),$L349&lt;&gt;"لا"),0,MAX(0,MIN($F349,EOMONTH(DATE(cfg_FY,7,1),0))-$E349+1))</f>
        <v>0</v>
      </c>
      <c r="AO349" s="133" t="n">
        <f aca="false">IF(OR(OR($B349="",$E349="",$F349=""),$L349&lt;&gt;"لا"),0,MAX(0,MIN($F349,EOMONTH(DATE(cfg_FY,8,1),0))-$E349+1))</f>
        <v>0</v>
      </c>
      <c r="AP349" s="133" t="n">
        <f aca="false">IF(OR(OR($B349="",$E349="",$F349=""),$L349&lt;&gt;"لا"),0,MAX(0,MIN($F349,EOMONTH(DATE(cfg_FY,9,1),0))-$E349+1))</f>
        <v>0</v>
      </c>
      <c r="AQ349" s="133" t="n">
        <f aca="false">IF(OR(OR($B349="",$E349="",$F349=""),$L349&lt;&gt;"لا"),0,MAX(0,MIN($F349,EOMONTH(DATE(cfg_FY,10,1),0))-$E349+1))</f>
        <v>0</v>
      </c>
      <c r="AR349" s="133" t="n">
        <f aca="false">IF(OR(OR($B349="",$E349="",$F349=""),$L349&lt;&gt;"لا"),0,MAX(0,MIN($F349,EOMONTH(DATE(cfg_FY,11,1),0))-$E349+1))</f>
        <v>0</v>
      </c>
      <c r="AS349" s="133" t="n">
        <f aca="false">IF(OR(OR($B349="",$E349="",$F349=""),$L349&lt;&gt;"لا"),0,MAX(0,MIN($F349,EOMONTH(DATE(cfg_FY,12,1),0))-$E349+1))</f>
        <v>0</v>
      </c>
      <c r="AT349" s="133" t="n">
        <f aca="false">IF(OR(OR($B349="",$E349="",$F349=""),$K349&lt;&gt;"نعم",$M349="نعم"),0,MAX(0,MIN($F349,EOMONTH(DATE(cfg_FY,1,1),0))-MAX($E349,DATE(cfg_FY,1,1))+1))</f>
        <v>0</v>
      </c>
      <c r="AU349" s="133" t="n">
        <f aca="false">IF(OR(OR($B349="",$E349="",$F349=""),$K349&lt;&gt;"نعم",$M349="نعم"),0,MAX(0,MIN($F349,EOMONTH(DATE(cfg_FY,2,1),0))-MAX($E349,DATE(cfg_FY,2,1))+1))</f>
        <v>0</v>
      </c>
      <c r="AV349" s="133" t="n">
        <f aca="false">IF(OR(OR($B349="",$E349="",$F349=""),$K349&lt;&gt;"نعم",$M349="نعم"),0,MAX(0,MIN($F349,EOMONTH(DATE(cfg_FY,3,1),0))-MAX($E349,DATE(cfg_FY,3,1))+1))</f>
        <v>0</v>
      </c>
      <c r="AW349" s="133" t="n">
        <f aca="false">IF(OR(OR($B349="",$E349="",$F349=""),$K349&lt;&gt;"نعم",$M349="نعم"),0,MAX(0,MIN($F349,EOMONTH(DATE(cfg_FY,4,1),0))-MAX($E349,DATE(cfg_FY,4,1))+1))</f>
        <v>0</v>
      </c>
      <c r="AX349" s="133" t="n">
        <f aca="false">IF(OR(OR($B349="",$E349="",$F349=""),$K349&lt;&gt;"نعم",$M349="نعم"),0,MAX(0,MIN($F349,EOMONTH(DATE(cfg_FY,5,1),0))-MAX($E349,DATE(cfg_FY,5,1))+1))</f>
        <v>0</v>
      </c>
      <c r="AY349" s="133" t="n">
        <f aca="false">IF(OR(OR($B349="",$E349="",$F349=""),$K349&lt;&gt;"نعم",$M349="نعم"),0,MAX(0,MIN($F349,EOMONTH(DATE(cfg_FY,6,1),0))-MAX($E349,DATE(cfg_FY,6,1))+1))</f>
        <v>0</v>
      </c>
      <c r="AZ349" s="133" t="n">
        <f aca="false">IF(OR(OR($B349="",$E349="",$F349=""),$K349&lt;&gt;"نعم",$M349="نعم"),0,MAX(0,MIN($F349,EOMONTH(DATE(cfg_FY,7,1),0))-MAX($E349,DATE(cfg_FY,7,1))+1))</f>
        <v>0</v>
      </c>
      <c r="BA349" s="133" t="n">
        <f aca="false">IF(OR(OR($B349="",$E349="",$F349=""),$K349&lt;&gt;"نعم",$M349="نعم"),0,MAX(0,MIN($F349,EOMONTH(DATE(cfg_FY,8,1),0))-MAX($E349,DATE(cfg_FY,8,1))+1))</f>
        <v>0</v>
      </c>
      <c r="BB349" s="133" t="n">
        <f aca="false">IF(OR(OR($B349="",$E349="",$F349=""),$K349&lt;&gt;"نعم",$M349="نعم"),0,MAX(0,MIN($F349,EOMONTH(DATE(cfg_FY,9,1),0))-MAX($E349,DATE(cfg_FY,9,1))+1))</f>
        <v>0</v>
      </c>
      <c r="BC349" s="133" t="n">
        <f aca="false">IF(OR(OR($B349="",$E349="",$F349=""),$K349&lt;&gt;"نعم",$M349="نعم"),0,MAX(0,MIN($F349,EOMONTH(DATE(cfg_FY,10,1),0))-MAX($E349,DATE(cfg_FY,10,1))+1))</f>
        <v>0</v>
      </c>
      <c r="BD349" s="133" t="n">
        <f aca="false">IF(OR(OR($B349="",$E349="",$F349=""),$K349&lt;&gt;"نعم",$M349="نعم"),0,MAX(0,MIN($F349,EOMONTH(DATE(cfg_FY,11,1),0))-MAX($E349,DATE(cfg_FY,11,1))+1))</f>
        <v>0</v>
      </c>
      <c r="BE349" s="133" t="n">
        <f aca="false">IF(OR(OR($B349="",$E349="",$F349=""),$K349&lt;&gt;"نعم",$M349="نعم"),0,MAX(0,MIN($F349,EOMONTH(DATE(cfg_FY,12,1),0))-MAX($E349,DATE(cfg_FY,12,1))+1))</f>
        <v>0</v>
      </c>
    </row>
    <row r="350" customFormat="false" ht="15" hidden="false" customHeight="false" outlineLevel="0" collapsed="false">
      <c r="A350" s="106" t="str">
        <f aca="false">IF(B350="","",ROW()-5)</f>
        <v/>
      </c>
      <c r="B350" s="118"/>
      <c r="C350" s="114" t="str">
        <f aca="false">IF(B350="","",IFERROR(INDEX(الموظفون!$C$6:$C$105,MATCH(B350,الموظفون!$B$6:$B$105,0)),"✖ رقم غير موجود"))</f>
        <v/>
      </c>
      <c r="D350" s="118"/>
      <c r="E350" s="119"/>
      <c r="F350" s="119"/>
      <c r="G350" s="65" t="str">
        <f aca="false">IF(OR($B350="",$E350="",$F350=""),"",MAX(0,F350-E350+1))</f>
        <v/>
      </c>
      <c r="H350" s="66" t="str">
        <f aca="false">IF(D350="","",IFERROR(VLOOKUP(D350,cfg_LT,2,FALSE()),1))</f>
        <v/>
      </c>
      <c r="I350" s="135"/>
      <c r="J350" s="66" t="str">
        <f aca="false">IF(D350="","",IF(I350&lt;&gt;"",I350,H350))</f>
        <v/>
      </c>
      <c r="K350" s="114" t="str">
        <f aca="false">IF(D350="","",IFERROR(VLOOKUP($D350,cfg_LT,3,FALSE()),""))</f>
        <v/>
      </c>
      <c r="L350" s="114" t="str">
        <f aca="false">IF(D350="","",IFERROR(VLOOKUP($D350,cfg_LT,4,FALSE()),""))</f>
        <v/>
      </c>
      <c r="M350" s="114" t="str">
        <f aca="false">IF(D350="","",IFERROR(VLOOKUP($D350,cfg_LT,5,FALSE()),""))</f>
        <v/>
      </c>
      <c r="N350" s="111" t="n">
        <f aca="false">IF(OR(OR($B350="",$E350="",$F350=""),M350&lt;&gt;"نعم"),0,G350*J350*IFERROR(INDEX(الموظفون!$R$6:$R$105,MATCH(B350,الموظفون!$B$6:$B$105,0)),0)/cfg_DAYS_M)</f>
        <v>0</v>
      </c>
      <c r="O350" s="106" t="str">
        <f aca="false">IF(OR(OR($B350="",$E350="",$F350=""),M350&lt;&gt;"نعم"),"",IF(YEAR(E350)=cfg_FY,MONTH(E350),""))</f>
        <v/>
      </c>
      <c r="P350" s="114" t="str">
        <f aca="false">IF(B350="","",IF(OR(D350="",E350="",F350=""),"⚠ أكمل النوع والتواريخ",IF(F350&lt;E350,"✖ النهاية قبل البداية",IF(COUNTIFS($B$6:$B$505,B350,$E$6:$E$505,"&lt;="&amp;F350,$F$6:$F$505,"&gt;="&amp;E350)&gt;1,"⚠ تداخل مع سجل آخر",IF(E350&gt;cfg_VAL_DATE,"⏳ قادمة",IF(F350&lt;cfg_VAL_DATE,"✔ منتهية","✈ جارية في تاريخ التقرير"))))))</f>
        <v/>
      </c>
      <c r="Q350" s="118"/>
      <c r="R350" s="65" t="n">
        <f aca="false">IF(OR(OR($B350="",$E350="",$F350=""),L350&lt;&gt;"لا"),0,MAX(0,MIN(F350,cfg_Y_START-1)-E350+1))</f>
        <v>0</v>
      </c>
      <c r="S350" s="65" t="n">
        <f aca="false">IF(OR(OR($B350="",$E350="",$F350=""),L350&lt;&gt;"لا"),0,MAX(0,MIN(F350,cfg_VAL_DATE)-E350+1))</f>
        <v>0</v>
      </c>
      <c r="T350" s="65" t="n">
        <f aca="false">IF(OR(OR($B350="",$E350="",$F350=""),K350&lt;&gt;"نعم"),0,IF(M350="نعم",IF(AND(ISNUMBER(O350),N(O350)&lt;=cfg_VAL_M),G350,0),MAX(0,MIN(F350,cfg_VAL_DATE)-MAX(E350,cfg_Y_START)+1)))</f>
        <v>0</v>
      </c>
      <c r="V350" s="65" t="n">
        <f aca="false">IF(OR($B350="",$E350="",$F350=""),0,MAX(0,MIN($F350,EOMONTH(DATE(cfg_FY,1,1),0))-MAX($E350,DATE(cfg_FY,1,1))+1)*(1-IF($M350="نعم",0,N($J350))))</f>
        <v>0</v>
      </c>
      <c r="W350" s="65" t="n">
        <f aca="false">IF(OR($B350="",$E350="",$F350=""),0,MAX(0,MIN($F350,EOMONTH(DATE(cfg_FY,2,1),0))-MAX($E350,DATE(cfg_FY,2,1))+1)*(1-IF($M350="نعم",0,N($J350))))</f>
        <v>0</v>
      </c>
      <c r="X350" s="65" t="n">
        <f aca="false">IF(OR($B350="",$E350="",$F350=""),0,MAX(0,MIN($F350,EOMONTH(DATE(cfg_FY,3,1),0))-MAX($E350,DATE(cfg_FY,3,1))+1)*(1-IF($M350="نعم",0,N($J350))))</f>
        <v>0</v>
      </c>
      <c r="Y350" s="65" t="n">
        <f aca="false">IF(OR($B350="",$E350="",$F350=""),0,MAX(0,MIN($F350,EOMONTH(DATE(cfg_FY,4,1),0))-MAX($E350,DATE(cfg_FY,4,1))+1)*(1-IF($M350="نعم",0,N($J350))))</f>
        <v>0</v>
      </c>
      <c r="Z350" s="65" t="n">
        <f aca="false">IF(OR($B350="",$E350="",$F350=""),0,MAX(0,MIN($F350,EOMONTH(DATE(cfg_FY,5,1),0))-MAX($E350,DATE(cfg_FY,5,1))+1)*(1-IF($M350="نعم",0,N($J350))))</f>
        <v>0</v>
      </c>
      <c r="AA350" s="65" t="n">
        <f aca="false">IF(OR($B350="",$E350="",$F350=""),0,MAX(0,MIN($F350,EOMONTH(DATE(cfg_FY,6,1),0))-MAX($E350,DATE(cfg_FY,6,1))+1)*(1-IF($M350="نعم",0,N($J350))))</f>
        <v>0</v>
      </c>
      <c r="AB350" s="65" t="n">
        <f aca="false">IF(OR($B350="",$E350="",$F350=""),0,MAX(0,MIN($F350,EOMONTH(DATE(cfg_FY,7,1),0))-MAX($E350,DATE(cfg_FY,7,1))+1)*(1-IF($M350="نعم",0,N($J350))))</f>
        <v>0</v>
      </c>
      <c r="AC350" s="65" t="n">
        <f aca="false">IF(OR($B350="",$E350="",$F350=""),0,MAX(0,MIN($F350,EOMONTH(DATE(cfg_FY,8,1),0))-MAX($E350,DATE(cfg_FY,8,1))+1)*(1-IF($M350="نعم",0,N($J350))))</f>
        <v>0</v>
      </c>
      <c r="AD350" s="65" t="n">
        <f aca="false">IF(OR($B350="",$E350="",$F350=""),0,MAX(0,MIN($F350,EOMONTH(DATE(cfg_FY,9,1),0))-MAX($E350,DATE(cfg_FY,9,1))+1)*(1-IF($M350="نعم",0,N($J350))))</f>
        <v>0</v>
      </c>
      <c r="AE350" s="65" t="n">
        <f aca="false">IF(OR($B350="",$E350="",$F350=""),0,MAX(0,MIN($F350,EOMONTH(DATE(cfg_FY,10,1),0))-MAX($E350,DATE(cfg_FY,10,1))+1)*(1-IF($M350="نعم",0,N($J350))))</f>
        <v>0</v>
      </c>
      <c r="AF350" s="65" t="n">
        <f aca="false">IF(OR($B350="",$E350="",$F350=""),0,MAX(0,MIN($F350,EOMONTH(DATE(cfg_FY,11,1),0))-MAX($E350,DATE(cfg_FY,11,1))+1)*(1-IF($M350="نعم",0,N($J350))))</f>
        <v>0</v>
      </c>
      <c r="AG350" s="65" t="n">
        <f aca="false">IF(OR($B350="",$E350="",$F350=""),0,MAX(0,MIN($F350,EOMONTH(DATE(cfg_FY,12,1),0))-MAX($E350,DATE(cfg_FY,12,1))+1)*(1-IF($M350="نعم",0,N($J350))))</f>
        <v>0</v>
      </c>
      <c r="AH350" s="65" t="n">
        <f aca="false">IF(OR(OR($B350="",$E350="",$F350=""),$L350&lt;&gt;"لا"),0,MAX(0,MIN($F350,EOMONTH(DATE(cfg_FY,1,1),0))-$E350+1))</f>
        <v>0</v>
      </c>
      <c r="AI350" s="65" t="n">
        <f aca="false">IF(OR(OR($B350="",$E350="",$F350=""),$L350&lt;&gt;"لا"),0,MAX(0,MIN($F350,EOMONTH(DATE(cfg_FY,2,1),0))-$E350+1))</f>
        <v>0</v>
      </c>
      <c r="AJ350" s="65" t="n">
        <f aca="false">IF(OR(OR($B350="",$E350="",$F350=""),$L350&lt;&gt;"لا"),0,MAX(0,MIN($F350,EOMONTH(DATE(cfg_FY,3,1),0))-$E350+1))</f>
        <v>0</v>
      </c>
      <c r="AK350" s="65" t="n">
        <f aca="false">IF(OR(OR($B350="",$E350="",$F350=""),$L350&lt;&gt;"لا"),0,MAX(0,MIN($F350,EOMONTH(DATE(cfg_FY,4,1),0))-$E350+1))</f>
        <v>0</v>
      </c>
      <c r="AL350" s="65" t="n">
        <f aca="false">IF(OR(OR($B350="",$E350="",$F350=""),$L350&lt;&gt;"لا"),0,MAX(0,MIN($F350,EOMONTH(DATE(cfg_FY,5,1),0))-$E350+1))</f>
        <v>0</v>
      </c>
      <c r="AM350" s="65" t="n">
        <f aca="false">IF(OR(OR($B350="",$E350="",$F350=""),$L350&lt;&gt;"لا"),0,MAX(0,MIN($F350,EOMONTH(DATE(cfg_FY,6,1),0))-$E350+1))</f>
        <v>0</v>
      </c>
      <c r="AN350" s="65" t="n">
        <f aca="false">IF(OR(OR($B350="",$E350="",$F350=""),$L350&lt;&gt;"لا"),0,MAX(0,MIN($F350,EOMONTH(DATE(cfg_FY,7,1),0))-$E350+1))</f>
        <v>0</v>
      </c>
      <c r="AO350" s="65" t="n">
        <f aca="false">IF(OR(OR($B350="",$E350="",$F350=""),$L350&lt;&gt;"لا"),0,MAX(0,MIN($F350,EOMONTH(DATE(cfg_FY,8,1),0))-$E350+1))</f>
        <v>0</v>
      </c>
      <c r="AP350" s="65" t="n">
        <f aca="false">IF(OR(OR($B350="",$E350="",$F350=""),$L350&lt;&gt;"لا"),0,MAX(0,MIN($F350,EOMONTH(DATE(cfg_FY,9,1),0))-$E350+1))</f>
        <v>0</v>
      </c>
      <c r="AQ350" s="65" t="n">
        <f aca="false">IF(OR(OR($B350="",$E350="",$F350=""),$L350&lt;&gt;"لا"),0,MAX(0,MIN($F350,EOMONTH(DATE(cfg_FY,10,1),0))-$E350+1))</f>
        <v>0</v>
      </c>
      <c r="AR350" s="65" t="n">
        <f aca="false">IF(OR(OR($B350="",$E350="",$F350=""),$L350&lt;&gt;"لا"),0,MAX(0,MIN($F350,EOMONTH(DATE(cfg_FY,11,1),0))-$E350+1))</f>
        <v>0</v>
      </c>
      <c r="AS350" s="65" t="n">
        <f aca="false">IF(OR(OR($B350="",$E350="",$F350=""),$L350&lt;&gt;"لا"),0,MAX(0,MIN($F350,EOMONTH(DATE(cfg_FY,12,1),0))-$E350+1))</f>
        <v>0</v>
      </c>
      <c r="AT350" s="65" t="n">
        <f aca="false">IF(OR(OR($B350="",$E350="",$F350=""),$K350&lt;&gt;"نعم",$M350="نعم"),0,MAX(0,MIN($F350,EOMONTH(DATE(cfg_FY,1,1),0))-MAX($E350,DATE(cfg_FY,1,1))+1))</f>
        <v>0</v>
      </c>
      <c r="AU350" s="65" t="n">
        <f aca="false">IF(OR(OR($B350="",$E350="",$F350=""),$K350&lt;&gt;"نعم",$M350="نعم"),0,MAX(0,MIN($F350,EOMONTH(DATE(cfg_FY,2,1),0))-MAX($E350,DATE(cfg_FY,2,1))+1))</f>
        <v>0</v>
      </c>
      <c r="AV350" s="65" t="n">
        <f aca="false">IF(OR(OR($B350="",$E350="",$F350=""),$K350&lt;&gt;"نعم",$M350="نعم"),0,MAX(0,MIN($F350,EOMONTH(DATE(cfg_FY,3,1),0))-MAX($E350,DATE(cfg_FY,3,1))+1))</f>
        <v>0</v>
      </c>
      <c r="AW350" s="65" t="n">
        <f aca="false">IF(OR(OR($B350="",$E350="",$F350=""),$K350&lt;&gt;"نعم",$M350="نعم"),0,MAX(0,MIN($F350,EOMONTH(DATE(cfg_FY,4,1),0))-MAX($E350,DATE(cfg_FY,4,1))+1))</f>
        <v>0</v>
      </c>
      <c r="AX350" s="65" t="n">
        <f aca="false">IF(OR(OR($B350="",$E350="",$F350=""),$K350&lt;&gt;"نعم",$M350="نعم"),0,MAX(0,MIN($F350,EOMONTH(DATE(cfg_FY,5,1),0))-MAX($E350,DATE(cfg_FY,5,1))+1))</f>
        <v>0</v>
      </c>
      <c r="AY350" s="65" t="n">
        <f aca="false">IF(OR(OR($B350="",$E350="",$F350=""),$K350&lt;&gt;"نعم",$M350="نعم"),0,MAX(0,MIN($F350,EOMONTH(DATE(cfg_FY,6,1),0))-MAX($E350,DATE(cfg_FY,6,1))+1))</f>
        <v>0</v>
      </c>
      <c r="AZ350" s="65" t="n">
        <f aca="false">IF(OR(OR($B350="",$E350="",$F350=""),$K350&lt;&gt;"نعم",$M350="نعم"),0,MAX(0,MIN($F350,EOMONTH(DATE(cfg_FY,7,1),0))-MAX($E350,DATE(cfg_FY,7,1))+1))</f>
        <v>0</v>
      </c>
      <c r="BA350" s="65" t="n">
        <f aca="false">IF(OR(OR($B350="",$E350="",$F350=""),$K350&lt;&gt;"نعم",$M350="نعم"),0,MAX(0,MIN($F350,EOMONTH(DATE(cfg_FY,8,1),0))-MAX($E350,DATE(cfg_FY,8,1))+1))</f>
        <v>0</v>
      </c>
      <c r="BB350" s="65" t="n">
        <f aca="false">IF(OR(OR($B350="",$E350="",$F350=""),$K350&lt;&gt;"نعم",$M350="نعم"),0,MAX(0,MIN($F350,EOMONTH(DATE(cfg_FY,9,1),0))-MAX($E350,DATE(cfg_FY,9,1))+1))</f>
        <v>0</v>
      </c>
      <c r="BC350" s="65" t="n">
        <f aca="false">IF(OR(OR($B350="",$E350="",$F350=""),$K350&lt;&gt;"نعم",$M350="نعم"),0,MAX(0,MIN($F350,EOMONTH(DATE(cfg_FY,10,1),0))-MAX($E350,DATE(cfg_FY,10,1))+1))</f>
        <v>0</v>
      </c>
      <c r="BD350" s="65" t="n">
        <f aca="false">IF(OR(OR($B350="",$E350="",$F350=""),$K350&lt;&gt;"نعم",$M350="نعم"),0,MAX(0,MIN($F350,EOMONTH(DATE(cfg_FY,11,1),0))-MAX($E350,DATE(cfg_FY,11,1))+1))</f>
        <v>0</v>
      </c>
      <c r="BE350" s="65" t="n">
        <f aca="false">IF(OR(OR($B350="",$E350="",$F350=""),$K350&lt;&gt;"نعم",$M350="نعم"),0,MAX(0,MIN($F350,EOMONTH(DATE(cfg_FY,12,1),0))-MAX($E350,DATE(cfg_FY,12,1))+1))</f>
        <v>0</v>
      </c>
    </row>
    <row r="351" customFormat="false" ht="15" hidden="false" customHeight="false" outlineLevel="0" collapsed="false">
      <c r="A351" s="115" t="str">
        <f aca="false">IF(B351="","",ROW()-5)</f>
        <v/>
      </c>
      <c r="B351" s="118"/>
      <c r="C351" s="117" t="str">
        <f aca="false">IF(B351="","",IFERROR(INDEX(الموظفون!$C$6:$C$105,MATCH(B351,الموظفون!$B$6:$B$105,0)),"✖ رقم غير موجود"))</f>
        <v/>
      </c>
      <c r="D351" s="118"/>
      <c r="E351" s="119"/>
      <c r="F351" s="119"/>
      <c r="G351" s="133" t="str">
        <f aca="false">IF(OR($B351="",$E351="",$F351=""),"",MAX(0,F351-E351+1))</f>
        <v/>
      </c>
      <c r="H351" s="134" t="str">
        <f aca="false">IF(D351="","",IFERROR(VLOOKUP(D351,cfg_LT,2,FALSE()),1))</f>
        <v/>
      </c>
      <c r="I351" s="135"/>
      <c r="J351" s="134" t="str">
        <f aca="false">IF(D351="","",IF(I351&lt;&gt;"",I351,H351))</f>
        <v/>
      </c>
      <c r="K351" s="117" t="str">
        <f aca="false">IF(D351="","",IFERROR(VLOOKUP($D351,cfg_LT,3,FALSE()),""))</f>
        <v/>
      </c>
      <c r="L351" s="117" t="str">
        <f aca="false">IF(D351="","",IFERROR(VLOOKUP($D351,cfg_LT,4,FALSE()),""))</f>
        <v/>
      </c>
      <c r="M351" s="117" t="str">
        <f aca="false">IF(D351="","",IFERROR(VLOOKUP($D351,cfg_LT,5,FALSE()),""))</f>
        <v/>
      </c>
      <c r="N351" s="116" t="n">
        <f aca="false">IF(OR(OR($B351="",$E351="",$F351=""),M351&lt;&gt;"نعم"),0,G351*J351*IFERROR(INDEX(الموظفون!$R$6:$R$105,MATCH(B351,الموظفون!$B$6:$B$105,0)),0)/cfg_DAYS_M)</f>
        <v>0</v>
      </c>
      <c r="O351" s="115" t="str">
        <f aca="false">IF(OR(OR($B351="",$E351="",$F351=""),M351&lt;&gt;"نعم"),"",IF(YEAR(E351)=cfg_FY,MONTH(E351),""))</f>
        <v/>
      </c>
      <c r="P351" s="117" t="str">
        <f aca="false">IF(B351="","",IF(OR(D351="",E351="",F351=""),"⚠ أكمل النوع والتواريخ",IF(F351&lt;E351,"✖ النهاية قبل البداية",IF(COUNTIFS($B$6:$B$505,B351,$E$6:$E$505,"&lt;="&amp;F351,$F$6:$F$505,"&gt;="&amp;E351)&gt;1,"⚠ تداخل مع سجل آخر",IF(E351&gt;cfg_VAL_DATE,"⏳ قادمة",IF(F351&lt;cfg_VAL_DATE,"✔ منتهية","✈ جارية في تاريخ التقرير"))))))</f>
        <v/>
      </c>
      <c r="Q351" s="118"/>
      <c r="R351" s="133" t="n">
        <f aca="false">IF(OR(OR($B351="",$E351="",$F351=""),L351&lt;&gt;"لا"),0,MAX(0,MIN(F351,cfg_Y_START-1)-E351+1))</f>
        <v>0</v>
      </c>
      <c r="S351" s="133" t="n">
        <f aca="false">IF(OR(OR($B351="",$E351="",$F351=""),L351&lt;&gt;"لا"),0,MAX(0,MIN(F351,cfg_VAL_DATE)-E351+1))</f>
        <v>0</v>
      </c>
      <c r="T351" s="133" t="n">
        <f aca="false">IF(OR(OR($B351="",$E351="",$F351=""),K351&lt;&gt;"نعم"),0,IF(M351="نعم",IF(AND(ISNUMBER(O351),N(O351)&lt;=cfg_VAL_M),G351,0),MAX(0,MIN(F351,cfg_VAL_DATE)-MAX(E351,cfg_Y_START)+1)))</f>
        <v>0</v>
      </c>
      <c r="V351" s="133" t="n">
        <f aca="false">IF(OR($B351="",$E351="",$F351=""),0,MAX(0,MIN($F351,EOMONTH(DATE(cfg_FY,1,1),0))-MAX($E351,DATE(cfg_FY,1,1))+1)*(1-IF($M351="نعم",0,N($J351))))</f>
        <v>0</v>
      </c>
      <c r="W351" s="133" t="n">
        <f aca="false">IF(OR($B351="",$E351="",$F351=""),0,MAX(0,MIN($F351,EOMONTH(DATE(cfg_FY,2,1),0))-MAX($E351,DATE(cfg_FY,2,1))+1)*(1-IF($M351="نعم",0,N($J351))))</f>
        <v>0</v>
      </c>
      <c r="X351" s="133" t="n">
        <f aca="false">IF(OR($B351="",$E351="",$F351=""),0,MAX(0,MIN($F351,EOMONTH(DATE(cfg_FY,3,1),0))-MAX($E351,DATE(cfg_FY,3,1))+1)*(1-IF($M351="نعم",0,N($J351))))</f>
        <v>0</v>
      </c>
      <c r="Y351" s="133" t="n">
        <f aca="false">IF(OR($B351="",$E351="",$F351=""),0,MAX(0,MIN($F351,EOMONTH(DATE(cfg_FY,4,1),0))-MAX($E351,DATE(cfg_FY,4,1))+1)*(1-IF($M351="نعم",0,N($J351))))</f>
        <v>0</v>
      </c>
      <c r="Z351" s="133" t="n">
        <f aca="false">IF(OR($B351="",$E351="",$F351=""),0,MAX(0,MIN($F351,EOMONTH(DATE(cfg_FY,5,1),0))-MAX($E351,DATE(cfg_FY,5,1))+1)*(1-IF($M351="نعم",0,N($J351))))</f>
        <v>0</v>
      </c>
      <c r="AA351" s="133" t="n">
        <f aca="false">IF(OR($B351="",$E351="",$F351=""),0,MAX(0,MIN($F351,EOMONTH(DATE(cfg_FY,6,1),0))-MAX($E351,DATE(cfg_FY,6,1))+1)*(1-IF($M351="نعم",0,N($J351))))</f>
        <v>0</v>
      </c>
      <c r="AB351" s="133" t="n">
        <f aca="false">IF(OR($B351="",$E351="",$F351=""),0,MAX(0,MIN($F351,EOMONTH(DATE(cfg_FY,7,1),0))-MAX($E351,DATE(cfg_FY,7,1))+1)*(1-IF($M351="نعم",0,N($J351))))</f>
        <v>0</v>
      </c>
      <c r="AC351" s="133" t="n">
        <f aca="false">IF(OR($B351="",$E351="",$F351=""),0,MAX(0,MIN($F351,EOMONTH(DATE(cfg_FY,8,1),0))-MAX($E351,DATE(cfg_FY,8,1))+1)*(1-IF($M351="نعم",0,N($J351))))</f>
        <v>0</v>
      </c>
      <c r="AD351" s="133" t="n">
        <f aca="false">IF(OR($B351="",$E351="",$F351=""),0,MAX(0,MIN($F351,EOMONTH(DATE(cfg_FY,9,1),0))-MAX($E351,DATE(cfg_FY,9,1))+1)*(1-IF($M351="نعم",0,N($J351))))</f>
        <v>0</v>
      </c>
      <c r="AE351" s="133" t="n">
        <f aca="false">IF(OR($B351="",$E351="",$F351=""),0,MAX(0,MIN($F351,EOMONTH(DATE(cfg_FY,10,1),0))-MAX($E351,DATE(cfg_FY,10,1))+1)*(1-IF($M351="نعم",0,N($J351))))</f>
        <v>0</v>
      </c>
      <c r="AF351" s="133" t="n">
        <f aca="false">IF(OR($B351="",$E351="",$F351=""),0,MAX(0,MIN($F351,EOMONTH(DATE(cfg_FY,11,1),0))-MAX($E351,DATE(cfg_FY,11,1))+1)*(1-IF($M351="نعم",0,N($J351))))</f>
        <v>0</v>
      </c>
      <c r="AG351" s="133" t="n">
        <f aca="false">IF(OR($B351="",$E351="",$F351=""),0,MAX(0,MIN($F351,EOMONTH(DATE(cfg_FY,12,1),0))-MAX($E351,DATE(cfg_FY,12,1))+1)*(1-IF($M351="نعم",0,N($J351))))</f>
        <v>0</v>
      </c>
      <c r="AH351" s="133" t="n">
        <f aca="false">IF(OR(OR($B351="",$E351="",$F351=""),$L351&lt;&gt;"لا"),0,MAX(0,MIN($F351,EOMONTH(DATE(cfg_FY,1,1),0))-$E351+1))</f>
        <v>0</v>
      </c>
      <c r="AI351" s="133" t="n">
        <f aca="false">IF(OR(OR($B351="",$E351="",$F351=""),$L351&lt;&gt;"لا"),0,MAX(0,MIN($F351,EOMONTH(DATE(cfg_FY,2,1),0))-$E351+1))</f>
        <v>0</v>
      </c>
      <c r="AJ351" s="133" t="n">
        <f aca="false">IF(OR(OR($B351="",$E351="",$F351=""),$L351&lt;&gt;"لا"),0,MAX(0,MIN($F351,EOMONTH(DATE(cfg_FY,3,1),0))-$E351+1))</f>
        <v>0</v>
      </c>
      <c r="AK351" s="133" t="n">
        <f aca="false">IF(OR(OR($B351="",$E351="",$F351=""),$L351&lt;&gt;"لا"),0,MAX(0,MIN($F351,EOMONTH(DATE(cfg_FY,4,1),0))-$E351+1))</f>
        <v>0</v>
      </c>
      <c r="AL351" s="133" t="n">
        <f aca="false">IF(OR(OR($B351="",$E351="",$F351=""),$L351&lt;&gt;"لا"),0,MAX(0,MIN($F351,EOMONTH(DATE(cfg_FY,5,1),0))-$E351+1))</f>
        <v>0</v>
      </c>
      <c r="AM351" s="133" t="n">
        <f aca="false">IF(OR(OR($B351="",$E351="",$F351=""),$L351&lt;&gt;"لا"),0,MAX(0,MIN($F351,EOMONTH(DATE(cfg_FY,6,1),0))-$E351+1))</f>
        <v>0</v>
      </c>
      <c r="AN351" s="133" t="n">
        <f aca="false">IF(OR(OR($B351="",$E351="",$F351=""),$L351&lt;&gt;"لا"),0,MAX(0,MIN($F351,EOMONTH(DATE(cfg_FY,7,1),0))-$E351+1))</f>
        <v>0</v>
      </c>
      <c r="AO351" s="133" t="n">
        <f aca="false">IF(OR(OR($B351="",$E351="",$F351=""),$L351&lt;&gt;"لا"),0,MAX(0,MIN($F351,EOMONTH(DATE(cfg_FY,8,1),0))-$E351+1))</f>
        <v>0</v>
      </c>
      <c r="AP351" s="133" t="n">
        <f aca="false">IF(OR(OR($B351="",$E351="",$F351=""),$L351&lt;&gt;"لا"),0,MAX(0,MIN($F351,EOMONTH(DATE(cfg_FY,9,1),0))-$E351+1))</f>
        <v>0</v>
      </c>
      <c r="AQ351" s="133" t="n">
        <f aca="false">IF(OR(OR($B351="",$E351="",$F351=""),$L351&lt;&gt;"لا"),0,MAX(0,MIN($F351,EOMONTH(DATE(cfg_FY,10,1),0))-$E351+1))</f>
        <v>0</v>
      </c>
      <c r="AR351" s="133" t="n">
        <f aca="false">IF(OR(OR($B351="",$E351="",$F351=""),$L351&lt;&gt;"لا"),0,MAX(0,MIN($F351,EOMONTH(DATE(cfg_FY,11,1),0))-$E351+1))</f>
        <v>0</v>
      </c>
      <c r="AS351" s="133" t="n">
        <f aca="false">IF(OR(OR($B351="",$E351="",$F351=""),$L351&lt;&gt;"لا"),0,MAX(0,MIN($F351,EOMONTH(DATE(cfg_FY,12,1),0))-$E351+1))</f>
        <v>0</v>
      </c>
      <c r="AT351" s="133" t="n">
        <f aca="false">IF(OR(OR($B351="",$E351="",$F351=""),$K351&lt;&gt;"نعم",$M351="نعم"),0,MAX(0,MIN($F351,EOMONTH(DATE(cfg_FY,1,1),0))-MAX($E351,DATE(cfg_FY,1,1))+1))</f>
        <v>0</v>
      </c>
      <c r="AU351" s="133" t="n">
        <f aca="false">IF(OR(OR($B351="",$E351="",$F351=""),$K351&lt;&gt;"نعم",$M351="نعم"),0,MAX(0,MIN($F351,EOMONTH(DATE(cfg_FY,2,1),0))-MAX($E351,DATE(cfg_FY,2,1))+1))</f>
        <v>0</v>
      </c>
      <c r="AV351" s="133" t="n">
        <f aca="false">IF(OR(OR($B351="",$E351="",$F351=""),$K351&lt;&gt;"نعم",$M351="نعم"),0,MAX(0,MIN($F351,EOMONTH(DATE(cfg_FY,3,1),0))-MAX($E351,DATE(cfg_FY,3,1))+1))</f>
        <v>0</v>
      </c>
      <c r="AW351" s="133" t="n">
        <f aca="false">IF(OR(OR($B351="",$E351="",$F351=""),$K351&lt;&gt;"نعم",$M351="نعم"),0,MAX(0,MIN($F351,EOMONTH(DATE(cfg_FY,4,1),0))-MAX($E351,DATE(cfg_FY,4,1))+1))</f>
        <v>0</v>
      </c>
      <c r="AX351" s="133" t="n">
        <f aca="false">IF(OR(OR($B351="",$E351="",$F351=""),$K351&lt;&gt;"نعم",$M351="نعم"),0,MAX(0,MIN($F351,EOMONTH(DATE(cfg_FY,5,1),0))-MAX($E351,DATE(cfg_FY,5,1))+1))</f>
        <v>0</v>
      </c>
      <c r="AY351" s="133" t="n">
        <f aca="false">IF(OR(OR($B351="",$E351="",$F351=""),$K351&lt;&gt;"نعم",$M351="نعم"),0,MAX(0,MIN($F351,EOMONTH(DATE(cfg_FY,6,1),0))-MAX($E351,DATE(cfg_FY,6,1))+1))</f>
        <v>0</v>
      </c>
      <c r="AZ351" s="133" t="n">
        <f aca="false">IF(OR(OR($B351="",$E351="",$F351=""),$K351&lt;&gt;"نعم",$M351="نعم"),0,MAX(0,MIN($F351,EOMONTH(DATE(cfg_FY,7,1),0))-MAX($E351,DATE(cfg_FY,7,1))+1))</f>
        <v>0</v>
      </c>
      <c r="BA351" s="133" t="n">
        <f aca="false">IF(OR(OR($B351="",$E351="",$F351=""),$K351&lt;&gt;"نعم",$M351="نعم"),0,MAX(0,MIN($F351,EOMONTH(DATE(cfg_FY,8,1),0))-MAX($E351,DATE(cfg_FY,8,1))+1))</f>
        <v>0</v>
      </c>
      <c r="BB351" s="133" t="n">
        <f aca="false">IF(OR(OR($B351="",$E351="",$F351=""),$K351&lt;&gt;"نعم",$M351="نعم"),0,MAX(0,MIN($F351,EOMONTH(DATE(cfg_FY,9,1),0))-MAX($E351,DATE(cfg_FY,9,1))+1))</f>
        <v>0</v>
      </c>
      <c r="BC351" s="133" t="n">
        <f aca="false">IF(OR(OR($B351="",$E351="",$F351=""),$K351&lt;&gt;"نعم",$M351="نعم"),0,MAX(0,MIN($F351,EOMONTH(DATE(cfg_FY,10,1),0))-MAX($E351,DATE(cfg_FY,10,1))+1))</f>
        <v>0</v>
      </c>
      <c r="BD351" s="133" t="n">
        <f aca="false">IF(OR(OR($B351="",$E351="",$F351=""),$K351&lt;&gt;"نعم",$M351="نعم"),0,MAX(0,MIN($F351,EOMONTH(DATE(cfg_FY,11,1),0))-MAX($E351,DATE(cfg_FY,11,1))+1))</f>
        <v>0</v>
      </c>
      <c r="BE351" s="133" t="n">
        <f aca="false">IF(OR(OR($B351="",$E351="",$F351=""),$K351&lt;&gt;"نعم",$M351="نعم"),0,MAX(0,MIN($F351,EOMONTH(DATE(cfg_FY,12,1),0))-MAX($E351,DATE(cfg_FY,12,1))+1))</f>
        <v>0</v>
      </c>
    </row>
    <row r="352" customFormat="false" ht="15" hidden="false" customHeight="false" outlineLevel="0" collapsed="false">
      <c r="A352" s="106" t="str">
        <f aca="false">IF(B352="","",ROW()-5)</f>
        <v/>
      </c>
      <c r="B352" s="118"/>
      <c r="C352" s="114" t="str">
        <f aca="false">IF(B352="","",IFERROR(INDEX(الموظفون!$C$6:$C$105,MATCH(B352,الموظفون!$B$6:$B$105,0)),"✖ رقم غير موجود"))</f>
        <v/>
      </c>
      <c r="D352" s="118"/>
      <c r="E352" s="119"/>
      <c r="F352" s="119"/>
      <c r="G352" s="65" t="str">
        <f aca="false">IF(OR($B352="",$E352="",$F352=""),"",MAX(0,F352-E352+1))</f>
        <v/>
      </c>
      <c r="H352" s="66" t="str">
        <f aca="false">IF(D352="","",IFERROR(VLOOKUP(D352,cfg_LT,2,FALSE()),1))</f>
        <v/>
      </c>
      <c r="I352" s="135"/>
      <c r="J352" s="66" t="str">
        <f aca="false">IF(D352="","",IF(I352&lt;&gt;"",I352,H352))</f>
        <v/>
      </c>
      <c r="K352" s="114" t="str">
        <f aca="false">IF(D352="","",IFERROR(VLOOKUP($D352,cfg_LT,3,FALSE()),""))</f>
        <v/>
      </c>
      <c r="L352" s="114" t="str">
        <f aca="false">IF(D352="","",IFERROR(VLOOKUP($D352,cfg_LT,4,FALSE()),""))</f>
        <v/>
      </c>
      <c r="M352" s="114" t="str">
        <f aca="false">IF(D352="","",IFERROR(VLOOKUP($D352,cfg_LT,5,FALSE()),""))</f>
        <v/>
      </c>
      <c r="N352" s="111" t="n">
        <f aca="false">IF(OR(OR($B352="",$E352="",$F352=""),M352&lt;&gt;"نعم"),0,G352*J352*IFERROR(INDEX(الموظفون!$R$6:$R$105,MATCH(B352,الموظفون!$B$6:$B$105,0)),0)/cfg_DAYS_M)</f>
        <v>0</v>
      </c>
      <c r="O352" s="106" t="str">
        <f aca="false">IF(OR(OR($B352="",$E352="",$F352=""),M352&lt;&gt;"نعم"),"",IF(YEAR(E352)=cfg_FY,MONTH(E352),""))</f>
        <v/>
      </c>
      <c r="P352" s="114" t="str">
        <f aca="false">IF(B352="","",IF(OR(D352="",E352="",F352=""),"⚠ أكمل النوع والتواريخ",IF(F352&lt;E352,"✖ النهاية قبل البداية",IF(COUNTIFS($B$6:$B$505,B352,$E$6:$E$505,"&lt;="&amp;F352,$F$6:$F$505,"&gt;="&amp;E352)&gt;1,"⚠ تداخل مع سجل آخر",IF(E352&gt;cfg_VAL_DATE,"⏳ قادمة",IF(F352&lt;cfg_VAL_DATE,"✔ منتهية","✈ جارية في تاريخ التقرير"))))))</f>
        <v/>
      </c>
      <c r="Q352" s="118"/>
      <c r="R352" s="65" t="n">
        <f aca="false">IF(OR(OR($B352="",$E352="",$F352=""),L352&lt;&gt;"لا"),0,MAX(0,MIN(F352,cfg_Y_START-1)-E352+1))</f>
        <v>0</v>
      </c>
      <c r="S352" s="65" t="n">
        <f aca="false">IF(OR(OR($B352="",$E352="",$F352=""),L352&lt;&gt;"لا"),0,MAX(0,MIN(F352,cfg_VAL_DATE)-E352+1))</f>
        <v>0</v>
      </c>
      <c r="T352" s="65" t="n">
        <f aca="false">IF(OR(OR($B352="",$E352="",$F352=""),K352&lt;&gt;"نعم"),0,IF(M352="نعم",IF(AND(ISNUMBER(O352),N(O352)&lt;=cfg_VAL_M),G352,0),MAX(0,MIN(F352,cfg_VAL_DATE)-MAX(E352,cfg_Y_START)+1)))</f>
        <v>0</v>
      </c>
      <c r="V352" s="65" t="n">
        <f aca="false">IF(OR($B352="",$E352="",$F352=""),0,MAX(0,MIN($F352,EOMONTH(DATE(cfg_FY,1,1),0))-MAX($E352,DATE(cfg_FY,1,1))+1)*(1-IF($M352="نعم",0,N($J352))))</f>
        <v>0</v>
      </c>
      <c r="W352" s="65" t="n">
        <f aca="false">IF(OR($B352="",$E352="",$F352=""),0,MAX(0,MIN($F352,EOMONTH(DATE(cfg_FY,2,1),0))-MAX($E352,DATE(cfg_FY,2,1))+1)*(1-IF($M352="نعم",0,N($J352))))</f>
        <v>0</v>
      </c>
      <c r="X352" s="65" t="n">
        <f aca="false">IF(OR($B352="",$E352="",$F352=""),0,MAX(0,MIN($F352,EOMONTH(DATE(cfg_FY,3,1),0))-MAX($E352,DATE(cfg_FY,3,1))+1)*(1-IF($M352="نعم",0,N($J352))))</f>
        <v>0</v>
      </c>
      <c r="Y352" s="65" t="n">
        <f aca="false">IF(OR($B352="",$E352="",$F352=""),0,MAX(0,MIN($F352,EOMONTH(DATE(cfg_FY,4,1),0))-MAX($E352,DATE(cfg_FY,4,1))+1)*(1-IF($M352="نعم",0,N($J352))))</f>
        <v>0</v>
      </c>
      <c r="Z352" s="65" t="n">
        <f aca="false">IF(OR($B352="",$E352="",$F352=""),0,MAX(0,MIN($F352,EOMONTH(DATE(cfg_FY,5,1),0))-MAX($E352,DATE(cfg_FY,5,1))+1)*(1-IF($M352="نعم",0,N($J352))))</f>
        <v>0</v>
      </c>
      <c r="AA352" s="65" t="n">
        <f aca="false">IF(OR($B352="",$E352="",$F352=""),0,MAX(0,MIN($F352,EOMONTH(DATE(cfg_FY,6,1),0))-MAX($E352,DATE(cfg_FY,6,1))+1)*(1-IF($M352="نعم",0,N($J352))))</f>
        <v>0</v>
      </c>
      <c r="AB352" s="65" t="n">
        <f aca="false">IF(OR($B352="",$E352="",$F352=""),0,MAX(0,MIN($F352,EOMONTH(DATE(cfg_FY,7,1),0))-MAX($E352,DATE(cfg_FY,7,1))+1)*(1-IF($M352="نعم",0,N($J352))))</f>
        <v>0</v>
      </c>
      <c r="AC352" s="65" t="n">
        <f aca="false">IF(OR($B352="",$E352="",$F352=""),0,MAX(0,MIN($F352,EOMONTH(DATE(cfg_FY,8,1),0))-MAX($E352,DATE(cfg_FY,8,1))+1)*(1-IF($M352="نعم",0,N($J352))))</f>
        <v>0</v>
      </c>
      <c r="AD352" s="65" t="n">
        <f aca="false">IF(OR($B352="",$E352="",$F352=""),0,MAX(0,MIN($F352,EOMONTH(DATE(cfg_FY,9,1),0))-MAX($E352,DATE(cfg_FY,9,1))+1)*(1-IF($M352="نعم",0,N($J352))))</f>
        <v>0</v>
      </c>
      <c r="AE352" s="65" t="n">
        <f aca="false">IF(OR($B352="",$E352="",$F352=""),0,MAX(0,MIN($F352,EOMONTH(DATE(cfg_FY,10,1),0))-MAX($E352,DATE(cfg_FY,10,1))+1)*(1-IF($M352="نعم",0,N($J352))))</f>
        <v>0</v>
      </c>
      <c r="AF352" s="65" t="n">
        <f aca="false">IF(OR($B352="",$E352="",$F352=""),0,MAX(0,MIN($F352,EOMONTH(DATE(cfg_FY,11,1),0))-MAX($E352,DATE(cfg_FY,11,1))+1)*(1-IF($M352="نعم",0,N($J352))))</f>
        <v>0</v>
      </c>
      <c r="AG352" s="65" t="n">
        <f aca="false">IF(OR($B352="",$E352="",$F352=""),0,MAX(0,MIN($F352,EOMONTH(DATE(cfg_FY,12,1),0))-MAX($E352,DATE(cfg_FY,12,1))+1)*(1-IF($M352="نعم",0,N($J352))))</f>
        <v>0</v>
      </c>
      <c r="AH352" s="65" t="n">
        <f aca="false">IF(OR(OR($B352="",$E352="",$F352=""),$L352&lt;&gt;"لا"),0,MAX(0,MIN($F352,EOMONTH(DATE(cfg_FY,1,1),0))-$E352+1))</f>
        <v>0</v>
      </c>
      <c r="AI352" s="65" t="n">
        <f aca="false">IF(OR(OR($B352="",$E352="",$F352=""),$L352&lt;&gt;"لا"),0,MAX(0,MIN($F352,EOMONTH(DATE(cfg_FY,2,1),0))-$E352+1))</f>
        <v>0</v>
      </c>
      <c r="AJ352" s="65" t="n">
        <f aca="false">IF(OR(OR($B352="",$E352="",$F352=""),$L352&lt;&gt;"لا"),0,MAX(0,MIN($F352,EOMONTH(DATE(cfg_FY,3,1),0))-$E352+1))</f>
        <v>0</v>
      </c>
      <c r="AK352" s="65" t="n">
        <f aca="false">IF(OR(OR($B352="",$E352="",$F352=""),$L352&lt;&gt;"لا"),0,MAX(0,MIN($F352,EOMONTH(DATE(cfg_FY,4,1),0))-$E352+1))</f>
        <v>0</v>
      </c>
      <c r="AL352" s="65" t="n">
        <f aca="false">IF(OR(OR($B352="",$E352="",$F352=""),$L352&lt;&gt;"لا"),0,MAX(0,MIN($F352,EOMONTH(DATE(cfg_FY,5,1),0))-$E352+1))</f>
        <v>0</v>
      </c>
      <c r="AM352" s="65" t="n">
        <f aca="false">IF(OR(OR($B352="",$E352="",$F352=""),$L352&lt;&gt;"لا"),0,MAX(0,MIN($F352,EOMONTH(DATE(cfg_FY,6,1),0))-$E352+1))</f>
        <v>0</v>
      </c>
      <c r="AN352" s="65" t="n">
        <f aca="false">IF(OR(OR($B352="",$E352="",$F352=""),$L352&lt;&gt;"لا"),0,MAX(0,MIN($F352,EOMONTH(DATE(cfg_FY,7,1),0))-$E352+1))</f>
        <v>0</v>
      </c>
      <c r="AO352" s="65" t="n">
        <f aca="false">IF(OR(OR($B352="",$E352="",$F352=""),$L352&lt;&gt;"لا"),0,MAX(0,MIN($F352,EOMONTH(DATE(cfg_FY,8,1),0))-$E352+1))</f>
        <v>0</v>
      </c>
      <c r="AP352" s="65" t="n">
        <f aca="false">IF(OR(OR($B352="",$E352="",$F352=""),$L352&lt;&gt;"لا"),0,MAX(0,MIN($F352,EOMONTH(DATE(cfg_FY,9,1),0))-$E352+1))</f>
        <v>0</v>
      </c>
      <c r="AQ352" s="65" t="n">
        <f aca="false">IF(OR(OR($B352="",$E352="",$F352=""),$L352&lt;&gt;"لا"),0,MAX(0,MIN($F352,EOMONTH(DATE(cfg_FY,10,1),0))-$E352+1))</f>
        <v>0</v>
      </c>
      <c r="AR352" s="65" t="n">
        <f aca="false">IF(OR(OR($B352="",$E352="",$F352=""),$L352&lt;&gt;"لا"),0,MAX(0,MIN($F352,EOMONTH(DATE(cfg_FY,11,1),0))-$E352+1))</f>
        <v>0</v>
      </c>
      <c r="AS352" s="65" t="n">
        <f aca="false">IF(OR(OR($B352="",$E352="",$F352=""),$L352&lt;&gt;"لا"),0,MAX(0,MIN($F352,EOMONTH(DATE(cfg_FY,12,1),0))-$E352+1))</f>
        <v>0</v>
      </c>
      <c r="AT352" s="65" t="n">
        <f aca="false">IF(OR(OR($B352="",$E352="",$F352=""),$K352&lt;&gt;"نعم",$M352="نعم"),0,MAX(0,MIN($F352,EOMONTH(DATE(cfg_FY,1,1),0))-MAX($E352,DATE(cfg_FY,1,1))+1))</f>
        <v>0</v>
      </c>
      <c r="AU352" s="65" t="n">
        <f aca="false">IF(OR(OR($B352="",$E352="",$F352=""),$K352&lt;&gt;"نعم",$M352="نعم"),0,MAX(0,MIN($F352,EOMONTH(DATE(cfg_FY,2,1),0))-MAX($E352,DATE(cfg_FY,2,1))+1))</f>
        <v>0</v>
      </c>
      <c r="AV352" s="65" t="n">
        <f aca="false">IF(OR(OR($B352="",$E352="",$F352=""),$K352&lt;&gt;"نعم",$M352="نعم"),0,MAX(0,MIN($F352,EOMONTH(DATE(cfg_FY,3,1),0))-MAX($E352,DATE(cfg_FY,3,1))+1))</f>
        <v>0</v>
      </c>
      <c r="AW352" s="65" t="n">
        <f aca="false">IF(OR(OR($B352="",$E352="",$F352=""),$K352&lt;&gt;"نعم",$M352="نعم"),0,MAX(0,MIN($F352,EOMONTH(DATE(cfg_FY,4,1),0))-MAX($E352,DATE(cfg_FY,4,1))+1))</f>
        <v>0</v>
      </c>
      <c r="AX352" s="65" t="n">
        <f aca="false">IF(OR(OR($B352="",$E352="",$F352=""),$K352&lt;&gt;"نعم",$M352="نعم"),0,MAX(0,MIN($F352,EOMONTH(DATE(cfg_FY,5,1),0))-MAX($E352,DATE(cfg_FY,5,1))+1))</f>
        <v>0</v>
      </c>
      <c r="AY352" s="65" t="n">
        <f aca="false">IF(OR(OR($B352="",$E352="",$F352=""),$K352&lt;&gt;"نعم",$M352="نعم"),0,MAX(0,MIN($F352,EOMONTH(DATE(cfg_FY,6,1),0))-MAX($E352,DATE(cfg_FY,6,1))+1))</f>
        <v>0</v>
      </c>
      <c r="AZ352" s="65" t="n">
        <f aca="false">IF(OR(OR($B352="",$E352="",$F352=""),$K352&lt;&gt;"نعم",$M352="نعم"),0,MAX(0,MIN($F352,EOMONTH(DATE(cfg_FY,7,1),0))-MAX($E352,DATE(cfg_FY,7,1))+1))</f>
        <v>0</v>
      </c>
      <c r="BA352" s="65" t="n">
        <f aca="false">IF(OR(OR($B352="",$E352="",$F352=""),$K352&lt;&gt;"نعم",$M352="نعم"),0,MAX(0,MIN($F352,EOMONTH(DATE(cfg_FY,8,1),0))-MAX($E352,DATE(cfg_FY,8,1))+1))</f>
        <v>0</v>
      </c>
      <c r="BB352" s="65" t="n">
        <f aca="false">IF(OR(OR($B352="",$E352="",$F352=""),$K352&lt;&gt;"نعم",$M352="نعم"),0,MAX(0,MIN($F352,EOMONTH(DATE(cfg_FY,9,1),0))-MAX($E352,DATE(cfg_FY,9,1))+1))</f>
        <v>0</v>
      </c>
      <c r="BC352" s="65" t="n">
        <f aca="false">IF(OR(OR($B352="",$E352="",$F352=""),$K352&lt;&gt;"نعم",$M352="نعم"),0,MAX(0,MIN($F352,EOMONTH(DATE(cfg_FY,10,1),0))-MAX($E352,DATE(cfg_FY,10,1))+1))</f>
        <v>0</v>
      </c>
      <c r="BD352" s="65" t="n">
        <f aca="false">IF(OR(OR($B352="",$E352="",$F352=""),$K352&lt;&gt;"نعم",$M352="نعم"),0,MAX(0,MIN($F352,EOMONTH(DATE(cfg_FY,11,1),0))-MAX($E352,DATE(cfg_FY,11,1))+1))</f>
        <v>0</v>
      </c>
      <c r="BE352" s="65" t="n">
        <f aca="false">IF(OR(OR($B352="",$E352="",$F352=""),$K352&lt;&gt;"نعم",$M352="نعم"),0,MAX(0,MIN($F352,EOMONTH(DATE(cfg_FY,12,1),0))-MAX($E352,DATE(cfg_FY,12,1))+1))</f>
        <v>0</v>
      </c>
    </row>
    <row r="353" customFormat="false" ht="15" hidden="false" customHeight="false" outlineLevel="0" collapsed="false">
      <c r="A353" s="115" t="str">
        <f aca="false">IF(B353="","",ROW()-5)</f>
        <v/>
      </c>
      <c r="B353" s="118"/>
      <c r="C353" s="117" t="str">
        <f aca="false">IF(B353="","",IFERROR(INDEX(الموظفون!$C$6:$C$105,MATCH(B353,الموظفون!$B$6:$B$105,0)),"✖ رقم غير موجود"))</f>
        <v/>
      </c>
      <c r="D353" s="118"/>
      <c r="E353" s="119"/>
      <c r="F353" s="119"/>
      <c r="G353" s="133" t="str">
        <f aca="false">IF(OR($B353="",$E353="",$F353=""),"",MAX(0,F353-E353+1))</f>
        <v/>
      </c>
      <c r="H353" s="134" t="str">
        <f aca="false">IF(D353="","",IFERROR(VLOOKUP(D353,cfg_LT,2,FALSE()),1))</f>
        <v/>
      </c>
      <c r="I353" s="135"/>
      <c r="J353" s="134" t="str">
        <f aca="false">IF(D353="","",IF(I353&lt;&gt;"",I353,H353))</f>
        <v/>
      </c>
      <c r="K353" s="117" t="str">
        <f aca="false">IF(D353="","",IFERROR(VLOOKUP($D353,cfg_LT,3,FALSE()),""))</f>
        <v/>
      </c>
      <c r="L353" s="117" t="str">
        <f aca="false">IF(D353="","",IFERROR(VLOOKUP($D353,cfg_LT,4,FALSE()),""))</f>
        <v/>
      </c>
      <c r="M353" s="117" t="str">
        <f aca="false">IF(D353="","",IFERROR(VLOOKUP($D353,cfg_LT,5,FALSE()),""))</f>
        <v/>
      </c>
      <c r="N353" s="116" t="n">
        <f aca="false">IF(OR(OR($B353="",$E353="",$F353=""),M353&lt;&gt;"نعم"),0,G353*J353*IFERROR(INDEX(الموظفون!$R$6:$R$105,MATCH(B353,الموظفون!$B$6:$B$105,0)),0)/cfg_DAYS_M)</f>
        <v>0</v>
      </c>
      <c r="O353" s="115" t="str">
        <f aca="false">IF(OR(OR($B353="",$E353="",$F353=""),M353&lt;&gt;"نعم"),"",IF(YEAR(E353)=cfg_FY,MONTH(E353),""))</f>
        <v/>
      </c>
      <c r="P353" s="117" t="str">
        <f aca="false">IF(B353="","",IF(OR(D353="",E353="",F353=""),"⚠ أكمل النوع والتواريخ",IF(F353&lt;E353,"✖ النهاية قبل البداية",IF(COUNTIFS($B$6:$B$505,B353,$E$6:$E$505,"&lt;="&amp;F353,$F$6:$F$505,"&gt;="&amp;E353)&gt;1,"⚠ تداخل مع سجل آخر",IF(E353&gt;cfg_VAL_DATE,"⏳ قادمة",IF(F353&lt;cfg_VAL_DATE,"✔ منتهية","✈ جارية في تاريخ التقرير"))))))</f>
        <v/>
      </c>
      <c r="Q353" s="118"/>
      <c r="R353" s="133" t="n">
        <f aca="false">IF(OR(OR($B353="",$E353="",$F353=""),L353&lt;&gt;"لا"),0,MAX(0,MIN(F353,cfg_Y_START-1)-E353+1))</f>
        <v>0</v>
      </c>
      <c r="S353" s="133" t="n">
        <f aca="false">IF(OR(OR($B353="",$E353="",$F353=""),L353&lt;&gt;"لا"),0,MAX(0,MIN(F353,cfg_VAL_DATE)-E353+1))</f>
        <v>0</v>
      </c>
      <c r="T353" s="133" t="n">
        <f aca="false">IF(OR(OR($B353="",$E353="",$F353=""),K353&lt;&gt;"نعم"),0,IF(M353="نعم",IF(AND(ISNUMBER(O353),N(O353)&lt;=cfg_VAL_M),G353,0),MAX(0,MIN(F353,cfg_VAL_DATE)-MAX(E353,cfg_Y_START)+1)))</f>
        <v>0</v>
      </c>
      <c r="V353" s="133" t="n">
        <f aca="false">IF(OR($B353="",$E353="",$F353=""),0,MAX(0,MIN($F353,EOMONTH(DATE(cfg_FY,1,1),0))-MAX($E353,DATE(cfg_FY,1,1))+1)*(1-IF($M353="نعم",0,N($J353))))</f>
        <v>0</v>
      </c>
      <c r="W353" s="133" t="n">
        <f aca="false">IF(OR($B353="",$E353="",$F353=""),0,MAX(0,MIN($F353,EOMONTH(DATE(cfg_FY,2,1),0))-MAX($E353,DATE(cfg_FY,2,1))+1)*(1-IF($M353="نعم",0,N($J353))))</f>
        <v>0</v>
      </c>
      <c r="X353" s="133" t="n">
        <f aca="false">IF(OR($B353="",$E353="",$F353=""),0,MAX(0,MIN($F353,EOMONTH(DATE(cfg_FY,3,1),0))-MAX($E353,DATE(cfg_FY,3,1))+1)*(1-IF($M353="نعم",0,N($J353))))</f>
        <v>0</v>
      </c>
      <c r="Y353" s="133" t="n">
        <f aca="false">IF(OR($B353="",$E353="",$F353=""),0,MAX(0,MIN($F353,EOMONTH(DATE(cfg_FY,4,1),0))-MAX($E353,DATE(cfg_FY,4,1))+1)*(1-IF($M353="نعم",0,N($J353))))</f>
        <v>0</v>
      </c>
      <c r="Z353" s="133" t="n">
        <f aca="false">IF(OR($B353="",$E353="",$F353=""),0,MAX(0,MIN($F353,EOMONTH(DATE(cfg_FY,5,1),0))-MAX($E353,DATE(cfg_FY,5,1))+1)*(1-IF($M353="نعم",0,N($J353))))</f>
        <v>0</v>
      </c>
      <c r="AA353" s="133" t="n">
        <f aca="false">IF(OR($B353="",$E353="",$F353=""),0,MAX(0,MIN($F353,EOMONTH(DATE(cfg_FY,6,1),0))-MAX($E353,DATE(cfg_FY,6,1))+1)*(1-IF($M353="نعم",0,N($J353))))</f>
        <v>0</v>
      </c>
      <c r="AB353" s="133" t="n">
        <f aca="false">IF(OR($B353="",$E353="",$F353=""),0,MAX(0,MIN($F353,EOMONTH(DATE(cfg_FY,7,1),0))-MAX($E353,DATE(cfg_FY,7,1))+1)*(1-IF($M353="نعم",0,N($J353))))</f>
        <v>0</v>
      </c>
      <c r="AC353" s="133" t="n">
        <f aca="false">IF(OR($B353="",$E353="",$F353=""),0,MAX(0,MIN($F353,EOMONTH(DATE(cfg_FY,8,1),0))-MAX($E353,DATE(cfg_FY,8,1))+1)*(1-IF($M353="نعم",0,N($J353))))</f>
        <v>0</v>
      </c>
      <c r="AD353" s="133" t="n">
        <f aca="false">IF(OR($B353="",$E353="",$F353=""),0,MAX(0,MIN($F353,EOMONTH(DATE(cfg_FY,9,1),0))-MAX($E353,DATE(cfg_FY,9,1))+1)*(1-IF($M353="نعم",0,N($J353))))</f>
        <v>0</v>
      </c>
      <c r="AE353" s="133" t="n">
        <f aca="false">IF(OR($B353="",$E353="",$F353=""),0,MAX(0,MIN($F353,EOMONTH(DATE(cfg_FY,10,1),0))-MAX($E353,DATE(cfg_FY,10,1))+1)*(1-IF($M353="نعم",0,N($J353))))</f>
        <v>0</v>
      </c>
      <c r="AF353" s="133" t="n">
        <f aca="false">IF(OR($B353="",$E353="",$F353=""),0,MAX(0,MIN($F353,EOMONTH(DATE(cfg_FY,11,1),0))-MAX($E353,DATE(cfg_FY,11,1))+1)*(1-IF($M353="نعم",0,N($J353))))</f>
        <v>0</v>
      </c>
      <c r="AG353" s="133" t="n">
        <f aca="false">IF(OR($B353="",$E353="",$F353=""),0,MAX(0,MIN($F353,EOMONTH(DATE(cfg_FY,12,1),0))-MAX($E353,DATE(cfg_FY,12,1))+1)*(1-IF($M353="نعم",0,N($J353))))</f>
        <v>0</v>
      </c>
      <c r="AH353" s="133" t="n">
        <f aca="false">IF(OR(OR($B353="",$E353="",$F353=""),$L353&lt;&gt;"لا"),0,MAX(0,MIN($F353,EOMONTH(DATE(cfg_FY,1,1),0))-$E353+1))</f>
        <v>0</v>
      </c>
      <c r="AI353" s="133" t="n">
        <f aca="false">IF(OR(OR($B353="",$E353="",$F353=""),$L353&lt;&gt;"لا"),0,MAX(0,MIN($F353,EOMONTH(DATE(cfg_FY,2,1),0))-$E353+1))</f>
        <v>0</v>
      </c>
      <c r="AJ353" s="133" t="n">
        <f aca="false">IF(OR(OR($B353="",$E353="",$F353=""),$L353&lt;&gt;"لا"),0,MAX(0,MIN($F353,EOMONTH(DATE(cfg_FY,3,1),0))-$E353+1))</f>
        <v>0</v>
      </c>
      <c r="AK353" s="133" t="n">
        <f aca="false">IF(OR(OR($B353="",$E353="",$F353=""),$L353&lt;&gt;"لا"),0,MAX(0,MIN($F353,EOMONTH(DATE(cfg_FY,4,1),0))-$E353+1))</f>
        <v>0</v>
      </c>
      <c r="AL353" s="133" t="n">
        <f aca="false">IF(OR(OR($B353="",$E353="",$F353=""),$L353&lt;&gt;"لا"),0,MAX(0,MIN($F353,EOMONTH(DATE(cfg_FY,5,1),0))-$E353+1))</f>
        <v>0</v>
      </c>
      <c r="AM353" s="133" t="n">
        <f aca="false">IF(OR(OR($B353="",$E353="",$F353=""),$L353&lt;&gt;"لا"),0,MAX(0,MIN($F353,EOMONTH(DATE(cfg_FY,6,1),0))-$E353+1))</f>
        <v>0</v>
      </c>
      <c r="AN353" s="133" t="n">
        <f aca="false">IF(OR(OR($B353="",$E353="",$F353=""),$L353&lt;&gt;"لا"),0,MAX(0,MIN($F353,EOMONTH(DATE(cfg_FY,7,1),0))-$E353+1))</f>
        <v>0</v>
      </c>
      <c r="AO353" s="133" t="n">
        <f aca="false">IF(OR(OR($B353="",$E353="",$F353=""),$L353&lt;&gt;"لا"),0,MAX(0,MIN($F353,EOMONTH(DATE(cfg_FY,8,1),0))-$E353+1))</f>
        <v>0</v>
      </c>
      <c r="AP353" s="133" t="n">
        <f aca="false">IF(OR(OR($B353="",$E353="",$F353=""),$L353&lt;&gt;"لا"),0,MAX(0,MIN($F353,EOMONTH(DATE(cfg_FY,9,1),0))-$E353+1))</f>
        <v>0</v>
      </c>
      <c r="AQ353" s="133" t="n">
        <f aca="false">IF(OR(OR($B353="",$E353="",$F353=""),$L353&lt;&gt;"لا"),0,MAX(0,MIN($F353,EOMONTH(DATE(cfg_FY,10,1),0))-$E353+1))</f>
        <v>0</v>
      </c>
      <c r="AR353" s="133" t="n">
        <f aca="false">IF(OR(OR($B353="",$E353="",$F353=""),$L353&lt;&gt;"لا"),0,MAX(0,MIN($F353,EOMONTH(DATE(cfg_FY,11,1),0))-$E353+1))</f>
        <v>0</v>
      </c>
      <c r="AS353" s="133" t="n">
        <f aca="false">IF(OR(OR($B353="",$E353="",$F353=""),$L353&lt;&gt;"لا"),0,MAX(0,MIN($F353,EOMONTH(DATE(cfg_FY,12,1),0))-$E353+1))</f>
        <v>0</v>
      </c>
      <c r="AT353" s="133" t="n">
        <f aca="false">IF(OR(OR($B353="",$E353="",$F353=""),$K353&lt;&gt;"نعم",$M353="نعم"),0,MAX(0,MIN($F353,EOMONTH(DATE(cfg_FY,1,1),0))-MAX($E353,DATE(cfg_FY,1,1))+1))</f>
        <v>0</v>
      </c>
      <c r="AU353" s="133" t="n">
        <f aca="false">IF(OR(OR($B353="",$E353="",$F353=""),$K353&lt;&gt;"نعم",$M353="نعم"),0,MAX(0,MIN($F353,EOMONTH(DATE(cfg_FY,2,1),0))-MAX($E353,DATE(cfg_FY,2,1))+1))</f>
        <v>0</v>
      </c>
      <c r="AV353" s="133" t="n">
        <f aca="false">IF(OR(OR($B353="",$E353="",$F353=""),$K353&lt;&gt;"نعم",$M353="نعم"),0,MAX(0,MIN($F353,EOMONTH(DATE(cfg_FY,3,1),0))-MAX($E353,DATE(cfg_FY,3,1))+1))</f>
        <v>0</v>
      </c>
      <c r="AW353" s="133" t="n">
        <f aca="false">IF(OR(OR($B353="",$E353="",$F353=""),$K353&lt;&gt;"نعم",$M353="نعم"),0,MAX(0,MIN($F353,EOMONTH(DATE(cfg_FY,4,1),0))-MAX($E353,DATE(cfg_FY,4,1))+1))</f>
        <v>0</v>
      </c>
      <c r="AX353" s="133" t="n">
        <f aca="false">IF(OR(OR($B353="",$E353="",$F353=""),$K353&lt;&gt;"نعم",$M353="نعم"),0,MAX(0,MIN($F353,EOMONTH(DATE(cfg_FY,5,1),0))-MAX($E353,DATE(cfg_FY,5,1))+1))</f>
        <v>0</v>
      </c>
      <c r="AY353" s="133" t="n">
        <f aca="false">IF(OR(OR($B353="",$E353="",$F353=""),$K353&lt;&gt;"نعم",$M353="نعم"),0,MAX(0,MIN($F353,EOMONTH(DATE(cfg_FY,6,1),0))-MAX($E353,DATE(cfg_FY,6,1))+1))</f>
        <v>0</v>
      </c>
      <c r="AZ353" s="133" t="n">
        <f aca="false">IF(OR(OR($B353="",$E353="",$F353=""),$K353&lt;&gt;"نعم",$M353="نعم"),0,MAX(0,MIN($F353,EOMONTH(DATE(cfg_FY,7,1),0))-MAX($E353,DATE(cfg_FY,7,1))+1))</f>
        <v>0</v>
      </c>
      <c r="BA353" s="133" t="n">
        <f aca="false">IF(OR(OR($B353="",$E353="",$F353=""),$K353&lt;&gt;"نعم",$M353="نعم"),0,MAX(0,MIN($F353,EOMONTH(DATE(cfg_FY,8,1),0))-MAX($E353,DATE(cfg_FY,8,1))+1))</f>
        <v>0</v>
      </c>
      <c r="BB353" s="133" t="n">
        <f aca="false">IF(OR(OR($B353="",$E353="",$F353=""),$K353&lt;&gt;"نعم",$M353="نعم"),0,MAX(0,MIN($F353,EOMONTH(DATE(cfg_FY,9,1),0))-MAX($E353,DATE(cfg_FY,9,1))+1))</f>
        <v>0</v>
      </c>
      <c r="BC353" s="133" t="n">
        <f aca="false">IF(OR(OR($B353="",$E353="",$F353=""),$K353&lt;&gt;"نعم",$M353="نعم"),0,MAX(0,MIN($F353,EOMONTH(DATE(cfg_FY,10,1),0))-MAX($E353,DATE(cfg_FY,10,1))+1))</f>
        <v>0</v>
      </c>
      <c r="BD353" s="133" t="n">
        <f aca="false">IF(OR(OR($B353="",$E353="",$F353=""),$K353&lt;&gt;"نعم",$M353="نعم"),0,MAX(0,MIN($F353,EOMONTH(DATE(cfg_FY,11,1),0))-MAX($E353,DATE(cfg_FY,11,1))+1))</f>
        <v>0</v>
      </c>
      <c r="BE353" s="133" t="n">
        <f aca="false">IF(OR(OR($B353="",$E353="",$F353=""),$K353&lt;&gt;"نعم",$M353="نعم"),0,MAX(0,MIN($F353,EOMONTH(DATE(cfg_FY,12,1),0))-MAX($E353,DATE(cfg_FY,12,1))+1))</f>
        <v>0</v>
      </c>
    </row>
    <row r="354" customFormat="false" ht="15" hidden="false" customHeight="false" outlineLevel="0" collapsed="false">
      <c r="A354" s="106" t="str">
        <f aca="false">IF(B354="","",ROW()-5)</f>
        <v/>
      </c>
      <c r="B354" s="118"/>
      <c r="C354" s="114" t="str">
        <f aca="false">IF(B354="","",IFERROR(INDEX(الموظفون!$C$6:$C$105,MATCH(B354,الموظفون!$B$6:$B$105,0)),"✖ رقم غير موجود"))</f>
        <v/>
      </c>
      <c r="D354" s="118"/>
      <c r="E354" s="119"/>
      <c r="F354" s="119"/>
      <c r="G354" s="65" t="str">
        <f aca="false">IF(OR($B354="",$E354="",$F354=""),"",MAX(0,F354-E354+1))</f>
        <v/>
      </c>
      <c r="H354" s="66" t="str">
        <f aca="false">IF(D354="","",IFERROR(VLOOKUP(D354,cfg_LT,2,FALSE()),1))</f>
        <v/>
      </c>
      <c r="I354" s="135"/>
      <c r="J354" s="66" t="str">
        <f aca="false">IF(D354="","",IF(I354&lt;&gt;"",I354,H354))</f>
        <v/>
      </c>
      <c r="K354" s="114" t="str">
        <f aca="false">IF(D354="","",IFERROR(VLOOKUP($D354,cfg_LT,3,FALSE()),""))</f>
        <v/>
      </c>
      <c r="L354" s="114" t="str">
        <f aca="false">IF(D354="","",IFERROR(VLOOKUP($D354,cfg_LT,4,FALSE()),""))</f>
        <v/>
      </c>
      <c r="M354" s="114" t="str">
        <f aca="false">IF(D354="","",IFERROR(VLOOKUP($D354,cfg_LT,5,FALSE()),""))</f>
        <v/>
      </c>
      <c r="N354" s="111" t="n">
        <f aca="false">IF(OR(OR($B354="",$E354="",$F354=""),M354&lt;&gt;"نعم"),0,G354*J354*IFERROR(INDEX(الموظفون!$R$6:$R$105,MATCH(B354,الموظفون!$B$6:$B$105,0)),0)/cfg_DAYS_M)</f>
        <v>0</v>
      </c>
      <c r="O354" s="106" t="str">
        <f aca="false">IF(OR(OR($B354="",$E354="",$F354=""),M354&lt;&gt;"نعم"),"",IF(YEAR(E354)=cfg_FY,MONTH(E354),""))</f>
        <v/>
      </c>
      <c r="P354" s="114" t="str">
        <f aca="false">IF(B354="","",IF(OR(D354="",E354="",F354=""),"⚠ أكمل النوع والتواريخ",IF(F354&lt;E354,"✖ النهاية قبل البداية",IF(COUNTIFS($B$6:$B$505,B354,$E$6:$E$505,"&lt;="&amp;F354,$F$6:$F$505,"&gt;="&amp;E354)&gt;1,"⚠ تداخل مع سجل آخر",IF(E354&gt;cfg_VAL_DATE,"⏳ قادمة",IF(F354&lt;cfg_VAL_DATE,"✔ منتهية","✈ جارية في تاريخ التقرير"))))))</f>
        <v/>
      </c>
      <c r="Q354" s="118"/>
      <c r="R354" s="65" t="n">
        <f aca="false">IF(OR(OR($B354="",$E354="",$F354=""),L354&lt;&gt;"لا"),0,MAX(0,MIN(F354,cfg_Y_START-1)-E354+1))</f>
        <v>0</v>
      </c>
      <c r="S354" s="65" t="n">
        <f aca="false">IF(OR(OR($B354="",$E354="",$F354=""),L354&lt;&gt;"لا"),0,MAX(0,MIN(F354,cfg_VAL_DATE)-E354+1))</f>
        <v>0</v>
      </c>
      <c r="T354" s="65" t="n">
        <f aca="false">IF(OR(OR($B354="",$E354="",$F354=""),K354&lt;&gt;"نعم"),0,IF(M354="نعم",IF(AND(ISNUMBER(O354),N(O354)&lt;=cfg_VAL_M),G354,0),MAX(0,MIN(F354,cfg_VAL_DATE)-MAX(E354,cfg_Y_START)+1)))</f>
        <v>0</v>
      </c>
      <c r="V354" s="65" t="n">
        <f aca="false">IF(OR($B354="",$E354="",$F354=""),0,MAX(0,MIN($F354,EOMONTH(DATE(cfg_FY,1,1),0))-MAX($E354,DATE(cfg_FY,1,1))+1)*(1-IF($M354="نعم",0,N($J354))))</f>
        <v>0</v>
      </c>
      <c r="W354" s="65" t="n">
        <f aca="false">IF(OR($B354="",$E354="",$F354=""),0,MAX(0,MIN($F354,EOMONTH(DATE(cfg_FY,2,1),0))-MAX($E354,DATE(cfg_FY,2,1))+1)*(1-IF($M354="نعم",0,N($J354))))</f>
        <v>0</v>
      </c>
      <c r="X354" s="65" t="n">
        <f aca="false">IF(OR($B354="",$E354="",$F354=""),0,MAX(0,MIN($F354,EOMONTH(DATE(cfg_FY,3,1),0))-MAX($E354,DATE(cfg_FY,3,1))+1)*(1-IF($M354="نعم",0,N($J354))))</f>
        <v>0</v>
      </c>
      <c r="Y354" s="65" t="n">
        <f aca="false">IF(OR($B354="",$E354="",$F354=""),0,MAX(0,MIN($F354,EOMONTH(DATE(cfg_FY,4,1),0))-MAX($E354,DATE(cfg_FY,4,1))+1)*(1-IF($M354="نعم",0,N($J354))))</f>
        <v>0</v>
      </c>
      <c r="Z354" s="65" t="n">
        <f aca="false">IF(OR($B354="",$E354="",$F354=""),0,MAX(0,MIN($F354,EOMONTH(DATE(cfg_FY,5,1),0))-MAX($E354,DATE(cfg_FY,5,1))+1)*(1-IF($M354="نعم",0,N($J354))))</f>
        <v>0</v>
      </c>
      <c r="AA354" s="65" t="n">
        <f aca="false">IF(OR($B354="",$E354="",$F354=""),0,MAX(0,MIN($F354,EOMONTH(DATE(cfg_FY,6,1),0))-MAX($E354,DATE(cfg_FY,6,1))+1)*(1-IF($M354="نعم",0,N($J354))))</f>
        <v>0</v>
      </c>
      <c r="AB354" s="65" t="n">
        <f aca="false">IF(OR($B354="",$E354="",$F354=""),0,MAX(0,MIN($F354,EOMONTH(DATE(cfg_FY,7,1),0))-MAX($E354,DATE(cfg_FY,7,1))+1)*(1-IF($M354="نعم",0,N($J354))))</f>
        <v>0</v>
      </c>
      <c r="AC354" s="65" t="n">
        <f aca="false">IF(OR($B354="",$E354="",$F354=""),0,MAX(0,MIN($F354,EOMONTH(DATE(cfg_FY,8,1),0))-MAX($E354,DATE(cfg_FY,8,1))+1)*(1-IF($M354="نعم",0,N($J354))))</f>
        <v>0</v>
      </c>
      <c r="AD354" s="65" t="n">
        <f aca="false">IF(OR($B354="",$E354="",$F354=""),0,MAX(0,MIN($F354,EOMONTH(DATE(cfg_FY,9,1),0))-MAX($E354,DATE(cfg_FY,9,1))+1)*(1-IF($M354="نعم",0,N($J354))))</f>
        <v>0</v>
      </c>
      <c r="AE354" s="65" t="n">
        <f aca="false">IF(OR($B354="",$E354="",$F354=""),0,MAX(0,MIN($F354,EOMONTH(DATE(cfg_FY,10,1),0))-MAX($E354,DATE(cfg_FY,10,1))+1)*(1-IF($M354="نعم",0,N($J354))))</f>
        <v>0</v>
      </c>
      <c r="AF354" s="65" t="n">
        <f aca="false">IF(OR($B354="",$E354="",$F354=""),0,MAX(0,MIN($F354,EOMONTH(DATE(cfg_FY,11,1),0))-MAX($E354,DATE(cfg_FY,11,1))+1)*(1-IF($M354="نعم",0,N($J354))))</f>
        <v>0</v>
      </c>
      <c r="AG354" s="65" t="n">
        <f aca="false">IF(OR($B354="",$E354="",$F354=""),0,MAX(0,MIN($F354,EOMONTH(DATE(cfg_FY,12,1),0))-MAX($E354,DATE(cfg_FY,12,1))+1)*(1-IF($M354="نعم",0,N($J354))))</f>
        <v>0</v>
      </c>
      <c r="AH354" s="65" t="n">
        <f aca="false">IF(OR(OR($B354="",$E354="",$F354=""),$L354&lt;&gt;"لا"),0,MAX(0,MIN($F354,EOMONTH(DATE(cfg_FY,1,1),0))-$E354+1))</f>
        <v>0</v>
      </c>
      <c r="AI354" s="65" t="n">
        <f aca="false">IF(OR(OR($B354="",$E354="",$F354=""),$L354&lt;&gt;"لا"),0,MAX(0,MIN($F354,EOMONTH(DATE(cfg_FY,2,1),0))-$E354+1))</f>
        <v>0</v>
      </c>
      <c r="AJ354" s="65" t="n">
        <f aca="false">IF(OR(OR($B354="",$E354="",$F354=""),$L354&lt;&gt;"لا"),0,MAX(0,MIN($F354,EOMONTH(DATE(cfg_FY,3,1),0))-$E354+1))</f>
        <v>0</v>
      </c>
      <c r="AK354" s="65" t="n">
        <f aca="false">IF(OR(OR($B354="",$E354="",$F354=""),$L354&lt;&gt;"لا"),0,MAX(0,MIN($F354,EOMONTH(DATE(cfg_FY,4,1),0))-$E354+1))</f>
        <v>0</v>
      </c>
      <c r="AL354" s="65" t="n">
        <f aca="false">IF(OR(OR($B354="",$E354="",$F354=""),$L354&lt;&gt;"لا"),0,MAX(0,MIN($F354,EOMONTH(DATE(cfg_FY,5,1),0))-$E354+1))</f>
        <v>0</v>
      </c>
      <c r="AM354" s="65" t="n">
        <f aca="false">IF(OR(OR($B354="",$E354="",$F354=""),$L354&lt;&gt;"لا"),0,MAX(0,MIN($F354,EOMONTH(DATE(cfg_FY,6,1),0))-$E354+1))</f>
        <v>0</v>
      </c>
      <c r="AN354" s="65" t="n">
        <f aca="false">IF(OR(OR($B354="",$E354="",$F354=""),$L354&lt;&gt;"لا"),0,MAX(0,MIN($F354,EOMONTH(DATE(cfg_FY,7,1),0))-$E354+1))</f>
        <v>0</v>
      </c>
      <c r="AO354" s="65" t="n">
        <f aca="false">IF(OR(OR($B354="",$E354="",$F354=""),$L354&lt;&gt;"لا"),0,MAX(0,MIN($F354,EOMONTH(DATE(cfg_FY,8,1),0))-$E354+1))</f>
        <v>0</v>
      </c>
      <c r="AP354" s="65" t="n">
        <f aca="false">IF(OR(OR($B354="",$E354="",$F354=""),$L354&lt;&gt;"لا"),0,MAX(0,MIN($F354,EOMONTH(DATE(cfg_FY,9,1),0))-$E354+1))</f>
        <v>0</v>
      </c>
      <c r="AQ354" s="65" t="n">
        <f aca="false">IF(OR(OR($B354="",$E354="",$F354=""),$L354&lt;&gt;"لا"),0,MAX(0,MIN($F354,EOMONTH(DATE(cfg_FY,10,1),0))-$E354+1))</f>
        <v>0</v>
      </c>
      <c r="AR354" s="65" t="n">
        <f aca="false">IF(OR(OR($B354="",$E354="",$F354=""),$L354&lt;&gt;"لا"),0,MAX(0,MIN($F354,EOMONTH(DATE(cfg_FY,11,1),0))-$E354+1))</f>
        <v>0</v>
      </c>
      <c r="AS354" s="65" t="n">
        <f aca="false">IF(OR(OR($B354="",$E354="",$F354=""),$L354&lt;&gt;"لا"),0,MAX(0,MIN($F354,EOMONTH(DATE(cfg_FY,12,1),0))-$E354+1))</f>
        <v>0</v>
      </c>
      <c r="AT354" s="65" t="n">
        <f aca="false">IF(OR(OR($B354="",$E354="",$F354=""),$K354&lt;&gt;"نعم",$M354="نعم"),0,MAX(0,MIN($F354,EOMONTH(DATE(cfg_FY,1,1),0))-MAX($E354,DATE(cfg_FY,1,1))+1))</f>
        <v>0</v>
      </c>
      <c r="AU354" s="65" t="n">
        <f aca="false">IF(OR(OR($B354="",$E354="",$F354=""),$K354&lt;&gt;"نعم",$M354="نعم"),0,MAX(0,MIN($F354,EOMONTH(DATE(cfg_FY,2,1),0))-MAX($E354,DATE(cfg_FY,2,1))+1))</f>
        <v>0</v>
      </c>
      <c r="AV354" s="65" t="n">
        <f aca="false">IF(OR(OR($B354="",$E354="",$F354=""),$K354&lt;&gt;"نعم",$M354="نعم"),0,MAX(0,MIN($F354,EOMONTH(DATE(cfg_FY,3,1),0))-MAX($E354,DATE(cfg_FY,3,1))+1))</f>
        <v>0</v>
      </c>
      <c r="AW354" s="65" t="n">
        <f aca="false">IF(OR(OR($B354="",$E354="",$F354=""),$K354&lt;&gt;"نعم",$M354="نعم"),0,MAX(0,MIN($F354,EOMONTH(DATE(cfg_FY,4,1),0))-MAX($E354,DATE(cfg_FY,4,1))+1))</f>
        <v>0</v>
      </c>
      <c r="AX354" s="65" t="n">
        <f aca="false">IF(OR(OR($B354="",$E354="",$F354=""),$K354&lt;&gt;"نعم",$M354="نعم"),0,MAX(0,MIN($F354,EOMONTH(DATE(cfg_FY,5,1),0))-MAX($E354,DATE(cfg_FY,5,1))+1))</f>
        <v>0</v>
      </c>
      <c r="AY354" s="65" t="n">
        <f aca="false">IF(OR(OR($B354="",$E354="",$F354=""),$K354&lt;&gt;"نعم",$M354="نعم"),0,MAX(0,MIN($F354,EOMONTH(DATE(cfg_FY,6,1),0))-MAX($E354,DATE(cfg_FY,6,1))+1))</f>
        <v>0</v>
      </c>
      <c r="AZ354" s="65" t="n">
        <f aca="false">IF(OR(OR($B354="",$E354="",$F354=""),$K354&lt;&gt;"نعم",$M354="نعم"),0,MAX(0,MIN($F354,EOMONTH(DATE(cfg_FY,7,1),0))-MAX($E354,DATE(cfg_FY,7,1))+1))</f>
        <v>0</v>
      </c>
      <c r="BA354" s="65" t="n">
        <f aca="false">IF(OR(OR($B354="",$E354="",$F354=""),$K354&lt;&gt;"نعم",$M354="نعم"),0,MAX(0,MIN($F354,EOMONTH(DATE(cfg_FY,8,1),0))-MAX($E354,DATE(cfg_FY,8,1))+1))</f>
        <v>0</v>
      </c>
      <c r="BB354" s="65" t="n">
        <f aca="false">IF(OR(OR($B354="",$E354="",$F354=""),$K354&lt;&gt;"نعم",$M354="نعم"),0,MAX(0,MIN($F354,EOMONTH(DATE(cfg_FY,9,1),0))-MAX($E354,DATE(cfg_FY,9,1))+1))</f>
        <v>0</v>
      </c>
      <c r="BC354" s="65" t="n">
        <f aca="false">IF(OR(OR($B354="",$E354="",$F354=""),$K354&lt;&gt;"نعم",$M354="نعم"),0,MAX(0,MIN($F354,EOMONTH(DATE(cfg_FY,10,1),0))-MAX($E354,DATE(cfg_FY,10,1))+1))</f>
        <v>0</v>
      </c>
      <c r="BD354" s="65" t="n">
        <f aca="false">IF(OR(OR($B354="",$E354="",$F354=""),$K354&lt;&gt;"نعم",$M354="نعم"),0,MAX(0,MIN($F354,EOMONTH(DATE(cfg_FY,11,1),0))-MAX($E354,DATE(cfg_FY,11,1))+1))</f>
        <v>0</v>
      </c>
      <c r="BE354" s="65" t="n">
        <f aca="false">IF(OR(OR($B354="",$E354="",$F354=""),$K354&lt;&gt;"نعم",$M354="نعم"),0,MAX(0,MIN($F354,EOMONTH(DATE(cfg_FY,12,1),0))-MAX($E354,DATE(cfg_FY,12,1))+1))</f>
        <v>0</v>
      </c>
    </row>
    <row r="355" customFormat="false" ht="15" hidden="false" customHeight="false" outlineLevel="0" collapsed="false">
      <c r="A355" s="115" t="str">
        <f aca="false">IF(B355="","",ROW()-5)</f>
        <v/>
      </c>
      <c r="B355" s="118"/>
      <c r="C355" s="117" t="str">
        <f aca="false">IF(B355="","",IFERROR(INDEX(الموظفون!$C$6:$C$105,MATCH(B355,الموظفون!$B$6:$B$105,0)),"✖ رقم غير موجود"))</f>
        <v/>
      </c>
      <c r="D355" s="118"/>
      <c r="E355" s="119"/>
      <c r="F355" s="119"/>
      <c r="G355" s="133" t="str">
        <f aca="false">IF(OR($B355="",$E355="",$F355=""),"",MAX(0,F355-E355+1))</f>
        <v/>
      </c>
      <c r="H355" s="134" t="str">
        <f aca="false">IF(D355="","",IFERROR(VLOOKUP(D355,cfg_LT,2,FALSE()),1))</f>
        <v/>
      </c>
      <c r="I355" s="135"/>
      <c r="J355" s="134" t="str">
        <f aca="false">IF(D355="","",IF(I355&lt;&gt;"",I355,H355))</f>
        <v/>
      </c>
      <c r="K355" s="117" t="str">
        <f aca="false">IF(D355="","",IFERROR(VLOOKUP($D355,cfg_LT,3,FALSE()),""))</f>
        <v/>
      </c>
      <c r="L355" s="117" t="str">
        <f aca="false">IF(D355="","",IFERROR(VLOOKUP($D355,cfg_LT,4,FALSE()),""))</f>
        <v/>
      </c>
      <c r="M355" s="117" t="str">
        <f aca="false">IF(D355="","",IFERROR(VLOOKUP($D355,cfg_LT,5,FALSE()),""))</f>
        <v/>
      </c>
      <c r="N355" s="116" t="n">
        <f aca="false">IF(OR(OR($B355="",$E355="",$F355=""),M355&lt;&gt;"نعم"),0,G355*J355*IFERROR(INDEX(الموظفون!$R$6:$R$105,MATCH(B355,الموظفون!$B$6:$B$105,0)),0)/cfg_DAYS_M)</f>
        <v>0</v>
      </c>
      <c r="O355" s="115" t="str">
        <f aca="false">IF(OR(OR($B355="",$E355="",$F355=""),M355&lt;&gt;"نعم"),"",IF(YEAR(E355)=cfg_FY,MONTH(E355),""))</f>
        <v/>
      </c>
      <c r="P355" s="117" t="str">
        <f aca="false">IF(B355="","",IF(OR(D355="",E355="",F355=""),"⚠ أكمل النوع والتواريخ",IF(F355&lt;E355,"✖ النهاية قبل البداية",IF(COUNTIFS($B$6:$B$505,B355,$E$6:$E$505,"&lt;="&amp;F355,$F$6:$F$505,"&gt;="&amp;E355)&gt;1,"⚠ تداخل مع سجل آخر",IF(E355&gt;cfg_VAL_DATE,"⏳ قادمة",IF(F355&lt;cfg_VAL_DATE,"✔ منتهية","✈ جارية في تاريخ التقرير"))))))</f>
        <v/>
      </c>
      <c r="Q355" s="118"/>
      <c r="R355" s="133" t="n">
        <f aca="false">IF(OR(OR($B355="",$E355="",$F355=""),L355&lt;&gt;"لا"),0,MAX(0,MIN(F355,cfg_Y_START-1)-E355+1))</f>
        <v>0</v>
      </c>
      <c r="S355" s="133" t="n">
        <f aca="false">IF(OR(OR($B355="",$E355="",$F355=""),L355&lt;&gt;"لا"),0,MAX(0,MIN(F355,cfg_VAL_DATE)-E355+1))</f>
        <v>0</v>
      </c>
      <c r="T355" s="133" t="n">
        <f aca="false">IF(OR(OR($B355="",$E355="",$F355=""),K355&lt;&gt;"نعم"),0,IF(M355="نعم",IF(AND(ISNUMBER(O355),N(O355)&lt;=cfg_VAL_M),G355,0),MAX(0,MIN(F355,cfg_VAL_DATE)-MAX(E355,cfg_Y_START)+1)))</f>
        <v>0</v>
      </c>
      <c r="V355" s="133" t="n">
        <f aca="false">IF(OR($B355="",$E355="",$F355=""),0,MAX(0,MIN($F355,EOMONTH(DATE(cfg_FY,1,1),0))-MAX($E355,DATE(cfg_FY,1,1))+1)*(1-IF($M355="نعم",0,N($J355))))</f>
        <v>0</v>
      </c>
      <c r="W355" s="133" t="n">
        <f aca="false">IF(OR($B355="",$E355="",$F355=""),0,MAX(0,MIN($F355,EOMONTH(DATE(cfg_FY,2,1),0))-MAX($E355,DATE(cfg_FY,2,1))+1)*(1-IF($M355="نعم",0,N($J355))))</f>
        <v>0</v>
      </c>
      <c r="X355" s="133" t="n">
        <f aca="false">IF(OR($B355="",$E355="",$F355=""),0,MAX(0,MIN($F355,EOMONTH(DATE(cfg_FY,3,1),0))-MAX($E355,DATE(cfg_FY,3,1))+1)*(1-IF($M355="نعم",0,N($J355))))</f>
        <v>0</v>
      </c>
      <c r="Y355" s="133" t="n">
        <f aca="false">IF(OR($B355="",$E355="",$F355=""),0,MAX(0,MIN($F355,EOMONTH(DATE(cfg_FY,4,1),0))-MAX($E355,DATE(cfg_FY,4,1))+1)*(1-IF($M355="نعم",0,N($J355))))</f>
        <v>0</v>
      </c>
      <c r="Z355" s="133" t="n">
        <f aca="false">IF(OR($B355="",$E355="",$F355=""),0,MAX(0,MIN($F355,EOMONTH(DATE(cfg_FY,5,1),0))-MAX($E355,DATE(cfg_FY,5,1))+1)*(1-IF($M355="نعم",0,N($J355))))</f>
        <v>0</v>
      </c>
      <c r="AA355" s="133" t="n">
        <f aca="false">IF(OR($B355="",$E355="",$F355=""),0,MAX(0,MIN($F355,EOMONTH(DATE(cfg_FY,6,1),0))-MAX($E355,DATE(cfg_FY,6,1))+1)*(1-IF($M355="نعم",0,N($J355))))</f>
        <v>0</v>
      </c>
      <c r="AB355" s="133" t="n">
        <f aca="false">IF(OR($B355="",$E355="",$F355=""),0,MAX(0,MIN($F355,EOMONTH(DATE(cfg_FY,7,1),0))-MAX($E355,DATE(cfg_FY,7,1))+1)*(1-IF($M355="نعم",0,N($J355))))</f>
        <v>0</v>
      </c>
      <c r="AC355" s="133" t="n">
        <f aca="false">IF(OR($B355="",$E355="",$F355=""),0,MAX(0,MIN($F355,EOMONTH(DATE(cfg_FY,8,1),0))-MAX($E355,DATE(cfg_FY,8,1))+1)*(1-IF($M355="نعم",0,N($J355))))</f>
        <v>0</v>
      </c>
      <c r="AD355" s="133" t="n">
        <f aca="false">IF(OR($B355="",$E355="",$F355=""),0,MAX(0,MIN($F355,EOMONTH(DATE(cfg_FY,9,1),0))-MAX($E355,DATE(cfg_FY,9,1))+1)*(1-IF($M355="نعم",0,N($J355))))</f>
        <v>0</v>
      </c>
      <c r="AE355" s="133" t="n">
        <f aca="false">IF(OR($B355="",$E355="",$F355=""),0,MAX(0,MIN($F355,EOMONTH(DATE(cfg_FY,10,1),0))-MAX($E355,DATE(cfg_FY,10,1))+1)*(1-IF($M355="نعم",0,N($J355))))</f>
        <v>0</v>
      </c>
      <c r="AF355" s="133" t="n">
        <f aca="false">IF(OR($B355="",$E355="",$F355=""),0,MAX(0,MIN($F355,EOMONTH(DATE(cfg_FY,11,1),0))-MAX($E355,DATE(cfg_FY,11,1))+1)*(1-IF($M355="نعم",0,N($J355))))</f>
        <v>0</v>
      </c>
      <c r="AG355" s="133" t="n">
        <f aca="false">IF(OR($B355="",$E355="",$F355=""),0,MAX(0,MIN($F355,EOMONTH(DATE(cfg_FY,12,1),0))-MAX($E355,DATE(cfg_FY,12,1))+1)*(1-IF($M355="نعم",0,N($J355))))</f>
        <v>0</v>
      </c>
      <c r="AH355" s="133" t="n">
        <f aca="false">IF(OR(OR($B355="",$E355="",$F355=""),$L355&lt;&gt;"لا"),0,MAX(0,MIN($F355,EOMONTH(DATE(cfg_FY,1,1),0))-$E355+1))</f>
        <v>0</v>
      </c>
      <c r="AI355" s="133" t="n">
        <f aca="false">IF(OR(OR($B355="",$E355="",$F355=""),$L355&lt;&gt;"لا"),0,MAX(0,MIN($F355,EOMONTH(DATE(cfg_FY,2,1),0))-$E355+1))</f>
        <v>0</v>
      </c>
      <c r="AJ355" s="133" t="n">
        <f aca="false">IF(OR(OR($B355="",$E355="",$F355=""),$L355&lt;&gt;"لا"),0,MAX(0,MIN($F355,EOMONTH(DATE(cfg_FY,3,1),0))-$E355+1))</f>
        <v>0</v>
      </c>
      <c r="AK355" s="133" t="n">
        <f aca="false">IF(OR(OR($B355="",$E355="",$F355=""),$L355&lt;&gt;"لا"),0,MAX(0,MIN($F355,EOMONTH(DATE(cfg_FY,4,1),0))-$E355+1))</f>
        <v>0</v>
      </c>
      <c r="AL355" s="133" t="n">
        <f aca="false">IF(OR(OR($B355="",$E355="",$F355=""),$L355&lt;&gt;"لا"),0,MAX(0,MIN($F355,EOMONTH(DATE(cfg_FY,5,1),0))-$E355+1))</f>
        <v>0</v>
      </c>
      <c r="AM355" s="133" t="n">
        <f aca="false">IF(OR(OR($B355="",$E355="",$F355=""),$L355&lt;&gt;"لا"),0,MAX(0,MIN($F355,EOMONTH(DATE(cfg_FY,6,1),0))-$E355+1))</f>
        <v>0</v>
      </c>
      <c r="AN355" s="133" t="n">
        <f aca="false">IF(OR(OR($B355="",$E355="",$F355=""),$L355&lt;&gt;"لا"),0,MAX(0,MIN($F355,EOMONTH(DATE(cfg_FY,7,1),0))-$E355+1))</f>
        <v>0</v>
      </c>
      <c r="AO355" s="133" t="n">
        <f aca="false">IF(OR(OR($B355="",$E355="",$F355=""),$L355&lt;&gt;"لا"),0,MAX(0,MIN($F355,EOMONTH(DATE(cfg_FY,8,1),0))-$E355+1))</f>
        <v>0</v>
      </c>
      <c r="AP355" s="133" t="n">
        <f aca="false">IF(OR(OR($B355="",$E355="",$F355=""),$L355&lt;&gt;"لا"),0,MAX(0,MIN($F355,EOMONTH(DATE(cfg_FY,9,1),0))-$E355+1))</f>
        <v>0</v>
      </c>
      <c r="AQ355" s="133" t="n">
        <f aca="false">IF(OR(OR($B355="",$E355="",$F355=""),$L355&lt;&gt;"لا"),0,MAX(0,MIN($F355,EOMONTH(DATE(cfg_FY,10,1),0))-$E355+1))</f>
        <v>0</v>
      </c>
      <c r="AR355" s="133" t="n">
        <f aca="false">IF(OR(OR($B355="",$E355="",$F355=""),$L355&lt;&gt;"لا"),0,MAX(0,MIN($F355,EOMONTH(DATE(cfg_FY,11,1),0))-$E355+1))</f>
        <v>0</v>
      </c>
      <c r="AS355" s="133" t="n">
        <f aca="false">IF(OR(OR($B355="",$E355="",$F355=""),$L355&lt;&gt;"لا"),0,MAX(0,MIN($F355,EOMONTH(DATE(cfg_FY,12,1),0))-$E355+1))</f>
        <v>0</v>
      </c>
      <c r="AT355" s="133" t="n">
        <f aca="false">IF(OR(OR($B355="",$E355="",$F355=""),$K355&lt;&gt;"نعم",$M355="نعم"),0,MAX(0,MIN($F355,EOMONTH(DATE(cfg_FY,1,1),0))-MAX($E355,DATE(cfg_FY,1,1))+1))</f>
        <v>0</v>
      </c>
      <c r="AU355" s="133" t="n">
        <f aca="false">IF(OR(OR($B355="",$E355="",$F355=""),$K355&lt;&gt;"نعم",$M355="نعم"),0,MAX(0,MIN($F355,EOMONTH(DATE(cfg_FY,2,1),0))-MAX($E355,DATE(cfg_FY,2,1))+1))</f>
        <v>0</v>
      </c>
      <c r="AV355" s="133" t="n">
        <f aca="false">IF(OR(OR($B355="",$E355="",$F355=""),$K355&lt;&gt;"نعم",$M355="نعم"),0,MAX(0,MIN($F355,EOMONTH(DATE(cfg_FY,3,1),0))-MAX($E355,DATE(cfg_FY,3,1))+1))</f>
        <v>0</v>
      </c>
      <c r="AW355" s="133" t="n">
        <f aca="false">IF(OR(OR($B355="",$E355="",$F355=""),$K355&lt;&gt;"نعم",$M355="نعم"),0,MAX(0,MIN($F355,EOMONTH(DATE(cfg_FY,4,1),0))-MAX($E355,DATE(cfg_FY,4,1))+1))</f>
        <v>0</v>
      </c>
      <c r="AX355" s="133" t="n">
        <f aca="false">IF(OR(OR($B355="",$E355="",$F355=""),$K355&lt;&gt;"نعم",$M355="نعم"),0,MAX(0,MIN($F355,EOMONTH(DATE(cfg_FY,5,1),0))-MAX($E355,DATE(cfg_FY,5,1))+1))</f>
        <v>0</v>
      </c>
      <c r="AY355" s="133" t="n">
        <f aca="false">IF(OR(OR($B355="",$E355="",$F355=""),$K355&lt;&gt;"نعم",$M355="نعم"),0,MAX(0,MIN($F355,EOMONTH(DATE(cfg_FY,6,1),0))-MAX($E355,DATE(cfg_FY,6,1))+1))</f>
        <v>0</v>
      </c>
      <c r="AZ355" s="133" t="n">
        <f aca="false">IF(OR(OR($B355="",$E355="",$F355=""),$K355&lt;&gt;"نعم",$M355="نعم"),0,MAX(0,MIN($F355,EOMONTH(DATE(cfg_FY,7,1),0))-MAX($E355,DATE(cfg_FY,7,1))+1))</f>
        <v>0</v>
      </c>
      <c r="BA355" s="133" t="n">
        <f aca="false">IF(OR(OR($B355="",$E355="",$F355=""),$K355&lt;&gt;"نعم",$M355="نعم"),0,MAX(0,MIN($F355,EOMONTH(DATE(cfg_FY,8,1),0))-MAX($E355,DATE(cfg_FY,8,1))+1))</f>
        <v>0</v>
      </c>
      <c r="BB355" s="133" t="n">
        <f aca="false">IF(OR(OR($B355="",$E355="",$F355=""),$K355&lt;&gt;"نعم",$M355="نعم"),0,MAX(0,MIN($F355,EOMONTH(DATE(cfg_FY,9,1),0))-MAX($E355,DATE(cfg_FY,9,1))+1))</f>
        <v>0</v>
      </c>
      <c r="BC355" s="133" t="n">
        <f aca="false">IF(OR(OR($B355="",$E355="",$F355=""),$K355&lt;&gt;"نعم",$M355="نعم"),0,MAX(0,MIN($F355,EOMONTH(DATE(cfg_FY,10,1),0))-MAX($E355,DATE(cfg_FY,10,1))+1))</f>
        <v>0</v>
      </c>
      <c r="BD355" s="133" t="n">
        <f aca="false">IF(OR(OR($B355="",$E355="",$F355=""),$K355&lt;&gt;"نعم",$M355="نعم"),0,MAX(0,MIN($F355,EOMONTH(DATE(cfg_FY,11,1),0))-MAX($E355,DATE(cfg_FY,11,1))+1))</f>
        <v>0</v>
      </c>
      <c r="BE355" s="133" t="n">
        <f aca="false">IF(OR(OR($B355="",$E355="",$F355=""),$K355&lt;&gt;"نعم",$M355="نعم"),0,MAX(0,MIN($F355,EOMONTH(DATE(cfg_FY,12,1),0))-MAX($E355,DATE(cfg_FY,12,1))+1))</f>
        <v>0</v>
      </c>
    </row>
    <row r="356" customFormat="false" ht="15" hidden="false" customHeight="false" outlineLevel="0" collapsed="false">
      <c r="A356" s="106" t="str">
        <f aca="false">IF(B356="","",ROW()-5)</f>
        <v/>
      </c>
      <c r="B356" s="118"/>
      <c r="C356" s="114" t="str">
        <f aca="false">IF(B356="","",IFERROR(INDEX(الموظفون!$C$6:$C$105,MATCH(B356,الموظفون!$B$6:$B$105,0)),"✖ رقم غير موجود"))</f>
        <v/>
      </c>
      <c r="D356" s="118"/>
      <c r="E356" s="119"/>
      <c r="F356" s="119"/>
      <c r="G356" s="65" t="str">
        <f aca="false">IF(OR($B356="",$E356="",$F356=""),"",MAX(0,F356-E356+1))</f>
        <v/>
      </c>
      <c r="H356" s="66" t="str">
        <f aca="false">IF(D356="","",IFERROR(VLOOKUP(D356,cfg_LT,2,FALSE()),1))</f>
        <v/>
      </c>
      <c r="I356" s="135"/>
      <c r="J356" s="66" t="str">
        <f aca="false">IF(D356="","",IF(I356&lt;&gt;"",I356,H356))</f>
        <v/>
      </c>
      <c r="K356" s="114" t="str">
        <f aca="false">IF(D356="","",IFERROR(VLOOKUP($D356,cfg_LT,3,FALSE()),""))</f>
        <v/>
      </c>
      <c r="L356" s="114" t="str">
        <f aca="false">IF(D356="","",IFERROR(VLOOKUP($D356,cfg_LT,4,FALSE()),""))</f>
        <v/>
      </c>
      <c r="M356" s="114" t="str">
        <f aca="false">IF(D356="","",IFERROR(VLOOKUP($D356,cfg_LT,5,FALSE()),""))</f>
        <v/>
      </c>
      <c r="N356" s="111" t="n">
        <f aca="false">IF(OR(OR($B356="",$E356="",$F356=""),M356&lt;&gt;"نعم"),0,G356*J356*IFERROR(INDEX(الموظفون!$R$6:$R$105,MATCH(B356,الموظفون!$B$6:$B$105,0)),0)/cfg_DAYS_M)</f>
        <v>0</v>
      </c>
      <c r="O356" s="106" t="str">
        <f aca="false">IF(OR(OR($B356="",$E356="",$F356=""),M356&lt;&gt;"نعم"),"",IF(YEAR(E356)=cfg_FY,MONTH(E356),""))</f>
        <v/>
      </c>
      <c r="P356" s="114" t="str">
        <f aca="false">IF(B356="","",IF(OR(D356="",E356="",F356=""),"⚠ أكمل النوع والتواريخ",IF(F356&lt;E356,"✖ النهاية قبل البداية",IF(COUNTIFS($B$6:$B$505,B356,$E$6:$E$505,"&lt;="&amp;F356,$F$6:$F$505,"&gt;="&amp;E356)&gt;1,"⚠ تداخل مع سجل آخر",IF(E356&gt;cfg_VAL_DATE,"⏳ قادمة",IF(F356&lt;cfg_VAL_DATE,"✔ منتهية","✈ جارية في تاريخ التقرير"))))))</f>
        <v/>
      </c>
      <c r="Q356" s="118"/>
      <c r="R356" s="65" t="n">
        <f aca="false">IF(OR(OR($B356="",$E356="",$F356=""),L356&lt;&gt;"لا"),0,MAX(0,MIN(F356,cfg_Y_START-1)-E356+1))</f>
        <v>0</v>
      </c>
      <c r="S356" s="65" t="n">
        <f aca="false">IF(OR(OR($B356="",$E356="",$F356=""),L356&lt;&gt;"لا"),0,MAX(0,MIN(F356,cfg_VAL_DATE)-E356+1))</f>
        <v>0</v>
      </c>
      <c r="T356" s="65" t="n">
        <f aca="false">IF(OR(OR($B356="",$E356="",$F356=""),K356&lt;&gt;"نعم"),0,IF(M356="نعم",IF(AND(ISNUMBER(O356),N(O356)&lt;=cfg_VAL_M),G356,0),MAX(0,MIN(F356,cfg_VAL_DATE)-MAX(E356,cfg_Y_START)+1)))</f>
        <v>0</v>
      </c>
      <c r="V356" s="65" t="n">
        <f aca="false">IF(OR($B356="",$E356="",$F356=""),0,MAX(0,MIN($F356,EOMONTH(DATE(cfg_FY,1,1),0))-MAX($E356,DATE(cfg_FY,1,1))+1)*(1-IF($M356="نعم",0,N($J356))))</f>
        <v>0</v>
      </c>
      <c r="W356" s="65" t="n">
        <f aca="false">IF(OR($B356="",$E356="",$F356=""),0,MAX(0,MIN($F356,EOMONTH(DATE(cfg_FY,2,1),0))-MAX($E356,DATE(cfg_FY,2,1))+1)*(1-IF($M356="نعم",0,N($J356))))</f>
        <v>0</v>
      </c>
      <c r="X356" s="65" t="n">
        <f aca="false">IF(OR($B356="",$E356="",$F356=""),0,MAX(0,MIN($F356,EOMONTH(DATE(cfg_FY,3,1),0))-MAX($E356,DATE(cfg_FY,3,1))+1)*(1-IF($M356="نعم",0,N($J356))))</f>
        <v>0</v>
      </c>
      <c r="Y356" s="65" t="n">
        <f aca="false">IF(OR($B356="",$E356="",$F356=""),0,MAX(0,MIN($F356,EOMONTH(DATE(cfg_FY,4,1),0))-MAX($E356,DATE(cfg_FY,4,1))+1)*(1-IF($M356="نعم",0,N($J356))))</f>
        <v>0</v>
      </c>
      <c r="Z356" s="65" t="n">
        <f aca="false">IF(OR($B356="",$E356="",$F356=""),0,MAX(0,MIN($F356,EOMONTH(DATE(cfg_FY,5,1),0))-MAX($E356,DATE(cfg_FY,5,1))+1)*(1-IF($M356="نعم",0,N($J356))))</f>
        <v>0</v>
      </c>
      <c r="AA356" s="65" t="n">
        <f aca="false">IF(OR($B356="",$E356="",$F356=""),0,MAX(0,MIN($F356,EOMONTH(DATE(cfg_FY,6,1),0))-MAX($E356,DATE(cfg_FY,6,1))+1)*(1-IF($M356="نعم",0,N($J356))))</f>
        <v>0</v>
      </c>
      <c r="AB356" s="65" t="n">
        <f aca="false">IF(OR($B356="",$E356="",$F356=""),0,MAX(0,MIN($F356,EOMONTH(DATE(cfg_FY,7,1),0))-MAX($E356,DATE(cfg_FY,7,1))+1)*(1-IF($M356="نعم",0,N($J356))))</f>
        <v>0</v>
      </c>
      <c r="AC356" s="65" t="n">
        <f aca="false">IF(OR($B356="",$E356="",$F356=""),0,MAX(0,MIN($F356,EOMONTH(DATE(cfg_FY,8,1),0))-MAX($E356,DATE(cfg_FY,8,1))+1)*(1-IF($M356="نعم",0,N($J356))))</f>
        <v>0</v>
      </c>
      <c r="AD356" s="65" t="n">
        <f aca="false">IF(OR($B356="",$E356="",$F356=""),0,MAX(0,MIN($F356,EOMONTH(DATE(cfg_FY,9,1),0))-MAX($E356,DATE(cfg_FY,9,1))+1)*(1-IF($M356="نعم",0,N($J356))))</f>
        <v>0</v>
      </c>
      <c r="AE356" s="65" t="n">
        <f aca="false">IF(OR($B356="",$E356="",$F356=""),0,MAX(0,MIN($F356,EOMONTH(DATE(cfg_FY,10,1),0))-MAX($E356,DATE(cfg_FY,10,1))+1)*(1-IF($M356="نعم",0,N($J356))))</f>
        <v>0</v>
      </c>
      <c r="AF356" s="65" t="n">
        <f aca="false">IF(OR($B356="",$E356="",$F356=""),0,MAX(0,MIN($F356,EOMONTH(DATE(cfg_FY,11,1),0))-MAX($E356,DATE(cfg_FY,11,1))+1)*(1-IF($M356="نعم",0,N($J356))))</f>
        <v>0</v>
      </c>
      <c r="AG356" s="65" t="n">
        <f aca="false">IF(OR($B356="",$E356="",$F356=""),0,MAX(0,MIN($F356,EOMONTH(DATE(cfg_FY,12,1),0))-MAX($E356,DATE(cfg_FY,12,1))+1)*(1-IF($M356="نعم",0,N($J356))))</f>
        <v>0</v>
      </c>
      <c r="AH356" s="65" t="n">
        <f aca="false">IF(OR(OR($B356="",$E356="",$F356=""),$L356&lt;&gt;"لا"),0,MAX(0,MIN($F356,EOMONTH(DATE(cfg_FY,1,1),0))-$E356+1))</f>
        <v>0</v>
      </c>
      <c r="AI356" s="65" t="n">
        <f aca="false">IF(OR(OR($B356="",$E356="",$F356=""),$L356&lt;&gt;"لا"),0,MAX(0,MIN($F356,EOMONTH(DATE(cfg_FY,2,1),0))-$E356+1))</f>
        <v>0</v>
      </c>
      <c r="AJ356" s="65" t="n">
        <f aca="false">IF(OR(OR($B356="",$E356="",$F356=""),$L356&lt;&gt;"لا"),0,MAX(0,MIN($F356,EOMONTH(DATE(cfg_FY,3,1),0))-$E356+1))</f>
        <v>0</v>
      </c>
      <c r="AK356" s="65" t="n">
        <f aca="false">IF(OR(OR($B356="",$E356="",$F356=""),$L356&lt;&gt;"لا"),0,MAX(0,MIN($F356,EOMONTH(DATE(cfg_FY,4,1),0))-$E356+1))</f>
        <v>0</v>
      </c>
      <c r="AL356" s="65" t="n">
        <f aca="false">IF(OR(OR($B356="",$E356="",$F356=""),$L356&lt;&gt;"لا"),0,MAX(0,MIN($F356,EOMONTH(DATE(cfg_FY,5,1),0))-$E356+1))</f>
        <v>0</v>
      </c>
      <c r="AM356" s="65" t="n">
        <f aca="false">IF(OR(OR($B356="",$E356="",$F356=""),$L356&lt;&gt;"لا"),0,MAX(0,MIN($F356,EOMONTH(DATE(cfg_FY,6,1),0))-$E356+1))</f>
        <v>0</v>
      </c>
      <c r="AN356" s="65" t="n">
        <f aca="false">IF(OR(OR($B356="",$E356="",$F356=""),$L356&lt;&gt;"لا"),0,MAX(0,MIN($F356,EOMONTH(DATE(cfg_FY,7,1),0))-$E356+1))</f>
        <v>0</v>
      </c>
      <c r="AO356" s="65" t="n">
        <f aca="false">IF(OR(OR($B356="",$E356="",$F356=""),$L356&lt;&gt;"لا"),0,MAX(0,MIN($F356,EOMONTH(DATE(cfg_FY,8,1),0))-$E356+1))</f>
        <v>0</v>
      </c>
      <c r="AP356" s="65" t="n">
        <f aca="false">IF(OR(OR($B356="",$E356="",$F356=""),$L356&lt;&gt;"لا"),0,MAX(0,MIN($F356,EOMONTH(DATE(cfg_FY,9,1),0))-$E356+1))</f>
        <v>0</v>
      </c>
      <c r="AQ356" s="65" t="n">
        <f aca="false">IF(OR(OR($B356="",$E356="",$F356=""),$L356&lt;&gt;"لا"),0,MAX(0,MIN($F356,EOMONTH(DATE(cfg_FY,10,1),0))-$E356+1))</f>
        <v>0</v>
      </c>
      <c r="AR356" s="65" t="n">
        <f aca="false">IF(OR(OR($B356="",$E356="",$F356=""),$L356&lt;&gt;"لا"),0,MAX(0,MIN($F356,EOMONTH(DATE(cfg_FY,11,1),0))-$E356+1))</f>
        <v>0</v>
      </c>
      <c r="AS356" s="65" t="n">
        <f aca="false">IF(OR(OR($B356="",$E356="",$F356=""),$L356&lt;&gt;"لا"),0,MAX(0,MIN($F356,EOMONTH(DATE(cfg_FY,12,1),0))-$E356+1))</f>
        <v>0</v>
      </c>
      <c r="AT356" s="65" t="n">
        <f aca="false">IF(OR(OR($B356="",$E356="",$F356=""),$K356&lt;&gt;"نعم",$M356="نعم"),0,MAX(0,MIN($F356,EOMONTH(DATE(cfg_FY,1,1),0))-MAX($E356,DATE(cfg_FY,1,1))+1))</f>
        <v>0</v>
      </c>
      <c r="AU356" s="65" t="n">
        <f aca="false">IF(OR(OR($B356="",$E356="",$F356=""),$K356&lt;&gt;"نعم",$M356="نعم"),0,MAX(0,MIN($F356,EOMONTH(DATE(cfg_FY,2,1),0))-MAX($E356,DATE(cfg_FY,2,1))+1))</f>
        <v>0</v>
      </c>
      <c r="AV356" s="65" t="n">
        <f aca="false">IF(OR(OR($B356="",$E356="",$F356=""),$K356&lt;&gt;"نعم",$M356="نعم"),0,MAX(0,MIN($F356,EOMONTH(DATE(cfg_FY,3,1),0))-MAX($E356,DATE(cfg_FY,3,1))+1))</f>
        <v>0</v>
      </c>
      <c r="AW356" s="65" t="n">
        <f aca="false">IF(OR(OR($B356="",$E356="",$F356=""),$K356&lt;&gt;"نعم",$M356="نعم"),0,MAX(0,MIN($F356,EOMONTH(DATE(cfg_FY,4,1),0))-MAX($E356,DATE(cfg_FY,4,1))+1))</f>
        <v>0</v>
      </c>
      <c r="AX356" s="65" t="n">
        <f aca="false">IF(OR(OR($B356="",$E356="",$F356=""),$K356&lt;&gt;"نعم",$M356="نعم"),0,MAX(0,MIN($F356,EOMONTH(DATE(cfg_FY,5,1),0))-MAX($E356,DATE(cfg_FY,5,1))+1))</f>
        <v>0</v>
      </c>
      <c r="AY356" s="65" t="n">
        <f aca="false">IF(OR(OR($B356="",$E356="",$F356=""),$K356&lt;&gt;"نعم",$M356="نعم"),0,MAX(0,MIN($F356,EOMONTH(DATE(cfg_FY,6,1),0))-MAX($E356,DATE(cfg_FY,6,1))+1))</f>
        <v>0</v>
      </c>
      <c r="AZ356" s="65" t="n">
        <f aca="false">IF(OR(OR($B356="",$E356="",$F356=""),$K356&lt;&gt;"نعم",$M356="نعم"),0,MAX(0,MIN($F356,EOMONTH(DATE(cfg_FY,7,1),0))-MAX($E356,DATE(cfg_FY,7,1))+1))</f>
        <v>0</v>
      </c>
      <c r="BA356" s="65" t="n">
        <f aca="false">IF(OR(OR($B356="",$E356="",$F356=""),$K356&lt;&gt;"نعم",$M356="نعم"),0,MAX(0,MIN($F356,EOMONTH(DATE(cfg_FY,8,1),0))-MAX($E356,DATE(cfg_FY,8,1))+1))</f>
        <v>0</v>
      </c>
      <c r="BB356" s="65" t="n">
        <f aca="false">IF(OR(OR($B356="",$E356="",$F356=""),$K356&lt;&gt;"نعم",$M356="نعم"),0,MAX(0,MIN($F356,EOMONTH(DATE(cfg_FY,9,1),0))-MAX($E356,DATE(cfg_FY,9,1))+1))</f>
        <v>0</v>
      </c>
      <c r="BC356" s="65" t="n">
        <f aca="false">IF(OR(OR($B356="",$E356="",$F356=""),$K356&lt;&gt;"نعم",$M356="نعم"),0,MAX(0,MIN($F356,EOMONTH(DATE(cfg_FY,10,1),0))-MAX($E356,DATE(cfg_FY,10,1))+1))</f>
        <v>0</v>
      </c>
      <c r="BD356" s="65" t="n">
        <f aca="false">IF(OR(OR($B356="",$E356="",$F356=""),$K356&lt;&gt;"نعم",$M356="نعم"),0,MAX(0,MIN($F356,EOMONTH(DATE(cfg_FY,11,1),0))-MAX($E356,DATE(cfg_FY,11,1))+1))</f>
        <v>0</v>
      </c>
      <c r="BE356" s="65" t="n">
        <f aca="false">IF(OR(OR($B356="",$E356="",$F356=""),$K356&lt;&gt;"نعم",$M356="نعم"),0,MAX(0,MIN($F356,EOMONTH(DATE(cfg_FY,12,1),0))-MAX($E356,DATE(cfg_FY,12,1))+1))</f>
        <v>0</v>
      </c>
    </row>
    <row r="357" customFormat="false" ht="15" hidden="false" customHeight="false" outlineLevel="0" collapsed="false">
      <c r="A357" s="115" t="str">
        <f aca="false">IF(B357="","",ROW()-5)</f>
        <v/>
      </c>
      <c r="B357" s="118"/>
      <c r="C357" s="117" t="str">
        <f aca="false">IF(B357="","",IFERROR(INDEX(الموظفون!$C$6:$C$105,MATCH(B357,الموظفون!$B$6:$B$105,0)),"✖ رقم غير موجود"))</f>
        <v/>
      </c>
      <c r="D357" s="118"/>
      <c r="E357" s="119"/>
      <c r="F357" s="119"/>
      <c r="G357" s="133" t="str">
        <f aca="false">IF(OR($B357="",$E357="",$F357=""),"",MAX(0,F357-E357+1))</f>
        <v/>
      </c>
      <c r="H357" s="134" t="str">
        <f aca="false">IF(D357="","",IFERROR(VLOOKUP(D357,cfg_LT,2,FALSE()),1))</f>
        <v/>
      </c>
      <c r="I357" s="135"/>
      <c r="J357" s="134" t="str">
        <f aca="false">IF(D357="","",IF(I357&lt;&gt;"",I357,H357))</f>
        <v/>
      </c>
      <c r="K357" s="117" t="str">
        <f aca="false">IF(D357="","",IFERROR(VLOOKUP($D357,cfg_LT,3,FALSE()),""))</f>
        <v/>
      </c>
      <c r="L357" s="117" t="str">
        <f aca="false">IF(D357="","",IFERROR(VLOOKUP($D357,cfg_LT,4,FALSE()),""))</f>
        <v/>
      </c>
      <c r="M357" s="117" t="str">
        <f aca="false">IF(D357="","",IFERROR(VLOOKUP($D357,cfg_LT,5,FALSE()),""))</f>
        <v/>
      </c>
      <c r="N357" s="116" t="n">
        <f aca="false">IF(OR(OR($B357="",$E357="",$F357=""),M357&lt;&gt;"نعم"),0,G357*J357*IFERROR(INDEX(الموظفون!$R$6:$R$105,MATCH(B357,الموظفون!$B$6:$B$105,0)),0)/cfg_DAYS_M)</f>
        <v>0</v>
      </c>
      <c r="O357" s="115" t="str">
        <f aca="false">IF(OR(OR($B357="",$E357="",$F357=""),M357&lt;&gt;"نعم"),"",IF(YEAR(E357)=cfg_FY,MONTH(E357),""))</f>
        <v/>
      </c>
      <c r="P357" s="117" t="str">
        <f aca="false">IF(B357="","",IF(OR(D357="",E357="",F357=""),"⚠ أكمل النوع والتواريخ",IF(F357&lt;E357,"✖ النهاية قبل البداية",IF(COUNTIFS($B$6:$B$505,B357,$E$6:$E$505,"&lt;="&amp;F357,$F$6:$F$505,"&gt;="&amp;E357)&gt;1,"⚠ تداخل مع سجل آخر",IF(E357&gt;cfg_VAL_DATE,"⏳ قادمة",IF(F357&lt;cfg_VAL_DATE,"✔ منتهية","✈ جارية في تاريخ التقرير"))))))</f>
        <v/>
      </c>
      <c r="Q357" s="118"/>
      <c r="R357" s="133" t="n">
        <f aca="false">IF(OR(OR($B357="",$E357="",$F357=""),L357&lt;&gt;"لا"),0,MAX(0,MIN(F357,cfg_Y_START-1)-E357+1))</f>
        <v>0</v>
      </c>
      <c r="S357" s="133" t="n">
        <f aca="false">IF(OR(OR($B357="",$E357="",$F357=""),L357&lt;&gt;"لا"),0,MAX(0,MIN(F357,cfg_VAL_DATE)-E357+1))</f>
        <v>0</v>
      </c>
      <c r="T357" s="133" t="n">
        <f aca="false">IF(OR(OR($B357="",$E357="",$F357=""),K357&lt;&gt;"نعم"),0,IF(M357="نعم",IF(AND(ISNUMBER(O357),N(O357)&lt;=cfg_VAL_M),G357,0),MAX(0,MIN(F357,cfg_VAL_DATE)-MAX(E357,cfg_Y_START)+1)))</f>
        <v>0</v>
      </c>
      <c r="V357" s="133" t="n">
        <f aca="false">IF(OR($B357="",$E357="",$F357=""),0,MAX(0,MIN($F357,EOMONTH(DATE(cfg_FY,1,1),0))-MAX($E357,DATE(cfg_FY,1,1))+1)*(1-IF($M357="نعم",0,N($J357))))</f>
        <v>0</v>
      </c>
      <c r="W357" s="133" t="n">
        <f aca="false">IF(OR($B357="",$E357="",$F357=""),0,MAX(0,MIN($F357,EOMONTH(DATE(cfg_FY,2,1),0))-MAX($E357,DATE(cfg_FY,2,1))+1)*(1-IF($M357="نعم",0,N($J357))))</f>
        <v>0</v>
      </c>
      <c r="X357" s="133" t="n">
        <f aca="false">IF(OR($B357="",$E357="",$F357=""),0,MAX(0,MIN($F357,EOMONTH(DATE(cfg_FY,3,1),0))-MAX($E357,DATE(cfg_FY,3,1))+1)*(1-IF($M357="نعم",0,N($J357))))</f>
        <v>0</v>
      </c>
      <c r="Y357" s="133" t="n">
        <f aca="false">IF(OR($B357="",$E357="",$F357=""),0,MAX(0,MIN($F357,EOMONTH(DATE(cfg_FY,4,1),0))-MAX($E357,DATE(cfg_FY,4,1))+1)*(1-IF($M357="نعم",0,N($J357))))</f>
        <v>0</v>
      </c>
      <c r="Z357" s="133" t="n">
        <f aca="false">IF(OR($B357="",$E357="",$F357=""),0,MAX(0,MIN($F357,EOMONTH(DATE(cfg_FY,5,1),0))-MAX($E357,DATE(cfg_FY,5,1))+1)*(1-IF($M357="نعم",0,N($J357))))</f>
        <v>0</v>
      </c>
      <c r="AA357" s="133" t="n">
        <f aca="false">IF(OR($B357="",$E357="",$F357=""),0,MAX(0,MIN($F357,EOMONTH(DATE(cfg_FY,6,1),0))-MAX($E357,DATE(cfg_FY,6,1))+1)*(1-IF($M357="نعم",0,N($J357))))</f>
        <v>0</v>
      </c>
      <c r="AB357" s="133" t="n">
        <f aca="false">IF(OR($B357="",$E357="",$F357=""),0,MAX(0,MIN($F357,EOMONTH(DATE(cfg_FY,7,1),0))-MAX($E357,DATE(cfg_FY,7,1))+1)*(1-IF($M357="نعم",0,N($J357))))</f>
        <v>0</v>
      </c>
      <c r="AC357" s="133" t="n">
        <f aca="false">IF(OR($B357="",$E357="",$F357=""),0,MAX(0,MIN($F357,EOMONTH(DATE(cfg_FY,8,1),0))-MAX($E357,DATE(cfg_FY,8,1))+1)*(1-IF($M357="نعم",0,N($J357))))</f>
        <v>0</v>
      </c>
      <c r="AD357" s="133" t="n">
        <f aca="false">IF(OR($B357="",$E357="",$F357=""),0,MAX(0,MIN($F357,EOMONTH(DATE(cfg_FY,9,1),0))-MAX($E357,DATE(cfg_FY,9,1))+1)*(1-IF($M357="نعم",0,N($J357))))</f>
        <v>0</v>
      </c>
      <c r="AE357" s="133" t="n">
        <f aca="false">IF(OR($B357="",$E357="",$F357=""),0,MAX(0,MIN($F357,EOMONTH(DATE(cfg_FY,10,1),0))-MAX($E357,DATE(cfg_FY,10,1))+1)*(1-IF($M357="نعم",0,N($J357))))</f>
        <v>0</v>
      </c>
      <c r="AF357" s="133" t="n">
        <f aca="false">IF(OR($B357="",$E357="",$F357=""),0,MAX(0,MIN($F357,EOMONTH(DATE(cfg_FY,11,1),0))-MAX($E357,DATE(cfg_FY,11,1))+1)*(1-IF($M357="نعم",0,N($J357))))</f>
        <v>0</v>
      </c>
      <c r="AG357" s="133" t="n">
        <f aca="false">IF(OR($B357="",$E357="",$F357=""),0,MAX(0,MIN($F357,EOMONTH(DATE(cfg_FY,12,1),0))-MAX($E357,DATE(cfg_FY,12,1))+1)*(1-IF($M357="نعم",0,N($J357))))</f>
        <v>0</v>
      </c>
      <c r="AH357" s="133" t="n">
        <f aca="false">IF(OR(OR($B357="",$E357="",$F357=""),$L357&lt;&gt;"لا"),0,MAX(0,MIN($F357,EOMONTH(DATE(cfg_FY,1,1),0))-$E357+1))</f>
        <v>0</v>
      </c>
      <c r="AI357" s="133" t="n">
        <f aca="false">IF(OR(OR($B357="",$E357="",$F357=""),$L357&lt;&gt;"لا"),0,MAX(0,MIN($F357,EOMONTH(DATE(cfg_FY,2,1),0))-$E357+1))</f>
        <v>0</v>
      </c>
      <c r="AJ357" s="133" t="n">
        <f aca="false">IF(OR(OR($B357="",$E357="",$F357=""),$L357&lt;&gt;"لا"),0,MAX(0,MIN($F357,EOMONTH(DATE(cfg_FY,3,1),0))-$E357+1))</f>
        <v>0</v>
      </c>
      <c r="AK357" s="133" t="n">
        <f aca="false">IF(OR(OR($B357="",$E357="",$F357=""),$L357&lt;&gt;"لا"),0,MAX(0,MIN($F357,EOMONTH(DATE(cfg_FY,4,1),0))-$E357+1))</f>
        <v>0</v>
      </c>
      <c r="AL357" s="133" t="n">
        <f aca="false">IF(OR(OR($B357="",$E357="",$F357=""),$L357&lt;&gt;"لا"),0,MAX(0,MIN($F357,EOMONTH(DATE(cfg_FY,5,1),0))-$E357+1))</f>
        <v>0</v>
      </c>
      <c r="AM357" s="133" t="n">
        <f aca="false">IF(OR(OR($B357="",$E357="",$F357=""),$L357&lt;&gt;"لا"),0,MAX(0,MIN($F357,EOMONTH(DATE(cfg_FY,6,1),0))-$E357+1))</f>
        <v>0</v>
      </c>
      <c r="AN357" s="133" t="n">
        <f aca="false">IF(OR(OR($B357="",$E357="",$F357=""),$L357&lt;&gt;"لا"),0,MAX(0,MIN($F357,EOMONTH(DATE(cfg_FY,7,1),0))-$E357+1))</f>
        <v>0</v>
      </c>
      <c r="AO357" s="133" t="n">
        <f aca="false">IF(OR(OR($B357="",$E357="",$F357=""),$L357&lt;&gt;"لا"),0,MAX(0,MIN($F357,EOMONTH(DATE(cfg_FY,8,1),0))-$E357+1))</f>
        <v>0</v>
      </c>
      <c r="AP357" s="133" t="n">
        <f aca="false">IF(OR(OR($B357="",$E357="",$F357=""),$L357&lt;&gt;"لا"),0,MAX(0,MIN($F357,EOMONTH(DATE(cfg_FY,9,1),0))-$E357+1))</f>
        <v>0</v>
      </c>
      <c r="AQ357" s="133" t="n">
        <f aca="false">IF(OR(OR($B357="",$E357="",$F357=""),$L357&lt;&gt;"لا"),0,MAX(0,MIN($F357,EOMONTH(DATE(cfg_FY,10,1),0))-$E357+1))</f>
        <v>0</v>
      </c>
      <c r="AR357" s="133" t="n">
        <f aca="false">IF(OR(OR($B357="",$E357="",$F357=""),$L357&lt;&gt;"لا"),0,MAX(0,MIN($F357,EOMONTH(DATE(cfg_FY,11,1),0))-$E357+1))</f>
        <v>0</v>
      </c>
      <c r="AS357" s="133" t="n">
        <f aca="false">IF(OR(OR($B357="",$E357="",$F357=""),$L357&lt;&gt;"لا"),0,MAX(0,MIN($F357,EOMONTH(DATE(cfg_FY,12,1),0))-$E357+1))</f>
        <v>0</v>
      </c>
      <c r="AT357" s="133" t="n">
        <f aca="false">IF(OR(OR($B357="",$E357="",$F357=""),$K357&lt;&gt;"نعم",$M357="نعم"),0,MAX(0,MIN($F357,EOMONTH(DATE(cfg_FY,1,1),0))-MAX($E357,DATE(cfg_FY,1,1))+1))</f>
        <v>0</v>
      </c>
      <c r="AU357" s="133" t="n">
        <f aca="false">IF(OR(OR($B357="",$E357="",$F357=""),$K357&lt;&gt;"نعم",$M357="نعم"),0,MAX(0,MIN($F357,EOMONTH(DATE(cfg_FY,2,1),0))-MAX($E357,DATE(cfg_FY,2,1))+1))</f>
        <v>0</v>
      </c>
      <c r="AV357" s="133" t="n">
        <f aca="false">IF(OR(OR($B357="",$E357="",$F357=""),$K357&lt;&gt;"نعم",$M357="نعم"),0,MAX(0,MIN($F357,EOMONTH(DATE(cfg_FY,3,1),0))-MAX($E357,DATE(cfg_FY,3,1))+1))</f>
        <v>0</v>
      </c>
      <c r="AW357" s="133" t="n">
        <f aca="false">IF(OR(OR($B357="",$E357="",$F357=""),$K357&lt;&gt;"نعم",$M357="نعم"),0,MAX(0,MIN($F357,EOMONTH(DATE(cfg_FY,4,1),0))-MAX($E357,DATE(cfg_FY,4,1))+1))</f>
        <v>0</v>
      </c>
      <c r="AX357" s="133" t="n">
        <f aca="false">IF(OR(OR($B357="",$E357="",$F357=""),$K357&lt;&gt;"نعم",$M357="نعم"),0,MAX(0,MIN($F357,EOMONTH(DATE(cfg_FY,5,1),0))-MAX($E357,DATE(cfg_FY,5,1))+1))</f>
        <v>0</v>
      </c>
      <c r="AY357" s="133" t="n">
        <f aca="false">IF(OR(OR($B357="",$E357="",$F357=""),$K357&lt;&gt;"نعم",$M357="نعم"),0,MAX(0,MIN($F357,EOMONTH(DATE(cfg_FY,6,1),0))-MAX($E357,DATE(cfg_FY,6,1))+1))</f>
        <v>0</v>
      </c>
      <c r="AZ357" s="133" t="n">
        <f aca="false">IF(OR(OR($B357="",$E357="",$F357=""),$K357&lt;&gt;"نعم",$M357="نعم"),0,MAX(0,MIN($F357,EOMONTH(DATE(cfg_FY,7,1),0))-MAX($E357,DATE(cfg_FY,7,1))+1))</f>
        <v>0</v>
      </c>
      <c r="BA357" s="133" t="n">
        <f aca="false">IF(OR(OR($B357="",$E357="",$F357=""),$K357&lt;&gt;"نعم",$M357="نعم"),0,MAX(0,MIN($F357,EOMONTH(DATE(cfg_FY,8,1),0))-MAX($E357,DATE(cfg_FY,8,1))+1))</f>
        <v>0</v>
      </c>
      <c r="BB357" s="133" t="n">
        <f aca="false">IF(OR(OR($B357="",$E357="",$F357=""),$K357&lt;&gt;"نعم",$M357="نعم"),0,MAX(0,MIN($F357,EOMONTH(DATE(cfg_FY,9,1),0))-MAX($E357,DATE(cfg_FY,9,1))+1))</f>
        <v>0</v>
      </c>
      <c r="BC357" s="133" t="n">
        <f aca="false">IF(OR(OR($B357="",$E357="",$F357=""),$K357&lt;&gt;"نعم",$M357="نعم"),0,MAX(0,MIN($F357,EOMONTH(DATE(cfg_FY,10,1),0))-MAX($E357,DATE(cfg_FY,10,1))+1))</f>
        <v>0</v>
      </c>
      <c r="BD357" s="133" t="n">
        <f aca="false">IF(OR(OR($B357="",$E357="",$F357=""),$K357&lt;&gt;"نعم",$M357="نعم"),0,MAX(0,MIN($F357,EOMONTH(DATE(cfg_FY,11,1),0))-MAX($E357,DATE(cfg_FY,11,1))+1))</f>
        <v>0</v>
      </c>
      <c r="BE357" s="133" t="n">
        <f aca="false">IF(OR(OR($B357="",$E357="",$F357=""),$K357&lt;&gt;"نعم",$M357="نعم"),0,MAX(0,MIN($F357,EOMONTH(DATE(cfg_FY,12,1),0))-MAX($E357,DATE(cfg_FY,12,1))+1))</f>
        <v>0</v>
      </c>
    </row>
    <row r="358" customFormat="false" ht="15" hidden="false" customHeight="false" outlineLevel="0" collapsed="false">
      <c r="A358" s="106" t="str">
        <f aca="false">IF(B358="","",ROW()-5)</f>
        <v/>
      </c>
      <c r="B358" s="118"/>
      <c r="C358" s="114" t="str">
        <f aca="false">IF(B358="","",IFERROR(INDEX(الموظفون!$C$6:$C$105,MATCH(B358,الموظفون!$B$6:$B$105,0)),"✖ رقم غير موجود"))</f>
        <v/>
      </c>
      <c r="D358" s="118"/>
      <c r="E358" s="119"/>
      <c r="F358" s="119"/>
      <c r="G358" s="65" t="str">
        <f aca="false">IF(OR($B358="",$E358="",$F358=""),"",MAX(0,F358-E358+1))</f>
        <v/>
      </c>
      <c r="H358" s="66" t="str">
        <f aca="false">IF(D358="","",IFERROR(VLOOKUP(D358,cfg_LT,2,FALSE()),1))</f>
        <v/>
      </c>
      <c r="I358" s="135"/>
      <c r="J358" s="66" t="str">
        <f aca="false">IF(D358="","",IF(I358&lt;&gt;"",I358,H358))</f>
        <v/>
      </c>
      <c r="K358" s="114" t="str">
        <f aca="false">IF(D358="","",IFERROR(VLOOKUP($D358,cfg_LT,3,FALSE()),""))</f>
        <v/>
      </c>
      <c r="L358" s="114" t="str">
        <f aca="false">IF(D358="","",IFERROR(VLOOKUP($D358,cfg_LT,4,FALSE()),""))</f>
        <v/>
      </c>
      <c r="M358" s="114" t="str">
        <f aca="false">IF(D358="","",IFERROR(VLOOKUP($D358,cfg_LT,5,FALSE()),""))</f>
        <v/>
      </c>
      <c r="N358" s="111" t="n">
        <f aca="false">IF(OR(OR($B358="",$E358="",$F358=""),M358&lt;&gt;"نعم"),0,G358*J358*IFERROR(INDEX(الموظفون!$R$6:$R$105,MATCH(B358,الموظفون!$B$6:$B$105,0)),0)/cfg_DAYS_M)</f>
        <v>0</v>
      </c>
      <c r="O358" s="106" t="str">
        <f aca="false">IF(OR(OR($B358="",$E358="",$F358=""),M358&lt;&gt;"نعم"),"",IF(YEAR(E358)=cfg_FY,MONTH(E358),""))</f>
        <v/>
      </c>
      <c r="P358" s="114" t="str">
        <f aca="false">IF(B358="","",IF(OR(D358="",E358="",F358=""),"⚠ أكمل النوع والتواريخ",IF(F358&lt;E358,"✖ النهاية قبل البداية",IF(COUNTIFS($B$6:$B$505,B358,$E$6:$E$505,"&lt;="&amp;F358,$F$6:$F$505,"&gt;="&amp;E358)&gt;1,"⚠ تداخل مع سجل آخر",IF(E358&gt;cfg_VAL_DATE,"⏳ قادمة",IF(F358&lt;cfg_VAL_DATE,"✔ منتهية","✈ جارية في تاريخ التقرير"))))))</f>
        <v/>
      </c>
      <c r="Q358" s="118"/>
      <c r="R358" s="65" t="n">
        <f aca="false">IF(OR(OR($B358="",$E358="",$F358=""),L358&lt;&gt;"لا"),0,MAX(0,MIN(F358,cfg_Y_START-1)-E358+1))</f>
        <v>0</v>
      </c>
      <c r="S358" s="65" t="n">
        <f aca="false">IF(OR(OR($B358="",$E358="",$F358=""),L358&lt;&gt;"لا"),0,MAX(0,MIN(F358,cfg_VAL_DATE)-E358+1))</f>
        <v>0</v>
      </c>
      <c r="T358" s="65" t="n">
        <f aca="false">IF(OR(OR($B358="",$E358="",$F358=""),K358&lt;&gt;"نعم"),0,IF(M358="نعم",IF(AND(ISNUMBER(O358),N(O358)&lt;=cfg_VAL_M),G358,0),MAX(0,MIN(F358,cfg_VAL_DATE)-MAX(E358,cfg_Y_START)+1)))</f>
        <v>0</v>
      </c>
      <c r="V358" s="65" t="n">
        <f aca="false">IF(OR($B358="",$E358="",$F358=""),0,MAX(0,MIN($F358,EOMONTH(DATE(cfg_FY,1,1),0))-MAX($E358,DATE(cfg_FY,1,1))+1)*(1-IF($M358="نعم",0,N($J358))))</f>
        <v>0</v>
      </c>
      <c r="W358" s="65" t="n">
        <f aca="false">IF(OR($B358="",$E358="",$F358=""),0,MAX(0,MIN($F358,EOMONTH(DATE(cfg_FY,2,1),0))-MAX($E358,DATE(cfg_FY,2,1))+1)*(1-IF($M358="نعم",0,N($J358))))</f>
        <v>0</v>
      </c>
      <c r="X358" s="65" t="n">
        <f aca="false">IF(OR($B358="",$E358="",$F358=""),0,MAX(0,MIN($F358,EOMONTH(DATE(cfg_FY,3,1),0))-MAX($E358,DATE(cfg_FY,3,1))+1)*(1-IF($M358="نعم",0,N($J358))))</f>
        <v>0</v>
      </c>
      <c r="Y358" s="65" t="n">
        <f aca="false">IF(OR($B358="",$E358="",$F358=""),0,MAX(0,MIN($F358,EOMONTH(DATE(cfg_FY,4,1),0))-MAX($E358,DATE(cfg_FY,4,1))+1)*(1-IF($M358="نعم",0,N($J358))))</f>
        <v>0</v>
      </c>
      <c r="Z358" s="65" t="n">
        <f aca="false">IF(OR($B358="",$E358="",$F358=""),0,MAX(0,MIN($F358,EOMONTH(DATE(cfg_FY,5,1),0))-MAX($E358,DATE(cfg_FY,5,1))+1)*(1-IF($M358="نعم",0,N($J358))))</f>
        <v>0</v>
      </c>
      <c r="AA358" s="65" t="n">
        <f aca="false">IF(OR($B358="",$E358="",$F358=""),0,MAX(0,MIN($F358,EOMONTH(DATE(cfg_FY,6,1),0))-MAX($E358,DATE(cfg_FY,6,1))+1)*(1-IF($M358="نعم",0,N($J358))))</f>
        <v>0</v>
      </c>
      <c r="AB358" s="65" t="n">
        <f aca="false">IF(OR($B358="",$E358="",$F358=""),0,MAX(0,MIN($F358,EOMONTH(DATE(cfg_FY,7,1),0))-MAX($E358,DATE(cfg_FY,7,1))+1)*(1-IF($M358="نعم",0,N($J358))))</f>
        <v>0</v>
      </c>
      <c r="AC358" s="65" t="n">
        <f aca="false">IF(OR($B358="",$E358="",$F358=""),0,MAX(0,MIN($F358,EOMONTH(DATE(cfg_FY,8,1),0))-MAX($E358,DATE(cfg_FY,8,1))+1)*(1-IF($M358="نعم",0,N($J358))))</f>
        <v>0</v>
      </c>
      <c r="AD358" s="65" t="n">
        <f aca="false">IF(OR($B358="",$E358="",$F358=""),0,MAX(0,MIN($F358,EOMONTH(DATE(cfg_FY,9,1),0))-MAX($E358,DATE(cfg_FY,9,1))+1)*(1-IF($M358="نعم",0,N($J358))))</f>
        <v>0</v>
      </c>
      <c r="AE358" s="65" t="n">
        <f aca="false">IF(OR($B358="",$E358="",$F358=""),0,MAX(0,MIN($F358,EOMONTH(DATE(cfg_FY,10,1),0))-MAX($E358,DATE(cfg_FY,10,1))+1)*(1-IF($M358="نعم",0,N($J358))))</f>
        <v>0</v>
      </c>
      <c r="AF358" s="65" t="n">
        <f aca="false">IF(OR($B358="",$E358="",$F358=""),0,MAX(0,MIN($F358,EOMONTH(DATE(cfg_FY,11,1),0))-MAX($E358,DATE(cfg_FY,11,1))+1)*(1-IF($M358="نعم",0,N($J358))))</f>
        <v>0</v>
      </c>
      <c r="AG358" s="65" t="n">
        <f aca="false">IF(OR($B358="",$E358="",$F358=""),0,MAX(0,MIN($F358,EOMONTH(DATE(cfg_FY,12,1),0))-MAX($E358,DATE(cfg_FY,12,1))+1)*(1-IF($M358="نعم",0,N($J358))))</f>
        <v>0</v>
      </c>
      <c r="AH358" s="65" t="n">
        <f aca="false">IF(OR(OR($B358="",$E358="",$F358=""),$L358&lt;&gt;"لا"),0,MAX(0,MIN($F358,EOMONTH(DATE(cfg_FY,1,1),0))-$E358+1))</f>
        <v>0</v>
      </c>
      <c r="AI358" s="65" t="n">
        <f aca="false">IF(OR(OR($B358="",$E358="",$F358=""),$L358&lt;&gt;"لا"),0,MAX(0,MIN($F358,EOMONTH(DATE(cfg_FY,2,1),0))-$E358+1))</f>
        <v>0</v>
      </c>
      <c r="AJ358" s="65" t="n">
        <f aca="false">IF(OR(OR($B358="",$E358="",$F358=""),$L358&lt;&gt;"لا"),0,MAX(0,MIN($F358,EOMONTH(DATE(cfg_FY,3,1),0))-$E358+1))</f>
        <v>0</v>
      </c>
      <c r="AK358" s="65" t="n">
        <f aca="false">IF(OR(OR($B358="",$E358="",$F358=""),$L358&lt;&gt;"لا"),0,MAX(0,MIN($F358,EOMONTH(DATE(cfg_FY,4,1),0))-$E358+1))</f>
        <v>0</v>
      </c>
      <c r="AL358" s="65" t="n">
        <f aca="false">IF(OR(OR($B358="",$E358="",$F358=""),$L358&lt;&gt;"لا"),0,MAX(0,MIN($F358,EOMONTH(DATE(cfg_FY,5,1),0))-$E358+1))</f>
        <v>0</v>
      </c>
      <c r="AM358" s="65" t="n">
        <f aca="false">IF(OR(OR($B358="",$E358="",$F358=""),$L358&lt;&gt;"لا"),0,MAX(0,MIN($F358,EOMONTH(DATE(cfg_FY,6,1),0))-$E358+1))</f>
        <v>0</v>
      </c>
      <c r="AN358" s="65" t="n">
        <f aca="false">IF(OR(OR($B358="",$E358="",$F358=""),$L358&lt;&gt;"لا"),0,MAX(0,MIN($F358,EOMONTH(DATE(cfg_FY,7,1),0))-$E358+1))</f>
        <v>0</v>
      </c>
      <c r="AO358" s="65" t="n">
        <f aca="false">IF(OR(OR($B358="",$E358="",$F358=""),$L358&lt;&gt;"لا"),0,MAX(0,MIN($F358,EOMONTH(DATE(cfg_FY,8,1),0))-$E358+1))</f>
        <v>0</v>
      </c>
      <c r="AP358" s="65" t="n">
        <f aca="false">IF(OR(OR($B358="",$E358="",$F358=""),$L358&lt;&gt;"لا"),0,MAX(0,MIN($F358,EOMONTH(DATE(cfg_FY,9,1),0))-$E358+1))</f>
        <v>0</v>
      </c>
      <c r="AQ358" s="65" t="n">
        <f aca="false">IF(OR(OR($B358="",$E358="",$F358=""),$L358&lt;&gt;"لا"),0,MAX(0,MIN($F358,EOMONTH(DATE(cfg_FY,10,1),0))-$E358+1))</f>
        <v>0</v>
      </c>
      <c r="AR358" s="65" t="n">
        <f aca="false">IF(OR(OR($B358="",$E358="",$F358=""),$L358&lt;&gt;"لا"),0,MAX(0,MIN($F358,EOMONTH(DATE(cfg_FY,11,1),0))-$E358+1))</f>
        <v>0</v>
      </c>
      <c r="AS358" s="65" t="n">
        <f aca="false">IF(OR(OR($B358="",$E358="",$F358=""),$L358&lt;&gt;"لا"),0,MAX(0,MIN($F358,EOMONTH(DATE(cfg_FY,12,1),0))-$E358+1))</f>
        <v>0</v>
      </c>
      <c r="AT358" s="65" t="n">
        <f aca="false">IF(OR(OR($B358="",$E358="",$F358=""),$K358&lt;&gt;"نعم",$M358="نعم"),0,MAX(0,MIN($F358,EOMONTH(DATE(cfg_FY,1,1),0))-MAX($E358,DATE(cfg_FY,1,1))+1))</f>
        <v>0</v>
      </c>
      <c r="AU358" s="65" t="n">
        <f aca="false">IF(OR(OR($B358="",$E358="",$F358=""),$K358&lt;&gt;"نعم",$M358="نعم"),0,MAX(0,MIN($F358,EOMONTH(DATE(cfg_FY,2,1),0))-MAX($E358,DATE(cfg_FY,2,1))+1))</f>
        <v>0</v>
      </c>
      <c r="AV358" s="65" t="n">
        <f aca="false">IF(OR(OR($B358="",$E358="",$F358=""),$K358&lt;&gt;"نعم",$M358="نعم"),0,MAX(0,MIN($F358,EOMONTH(DATE(cfg_FY,3,1),0))-MAX($E358,DATE(cfg_FY,3,1))+1))</f>
        <v>0</v>
      </c>
      <c r="AW358" s="65" t="n">
        <f aca="false">IF(OR(OR($B358="",$E358="",$F358=""),$K358&lt;&gt;"نعم",$M358="نعم"),0,MAX(0,MIN($F358,EOMONTH(DATE(cfg_FY,4,1),0))-MAX($E358,DATE(cfg_FY,4,1))+1))</f>
        <v>0</v>
      </c>
      <c r="AX358" s="65" t="n">
        <f aca="false">IF(OR(OR($B358="",$E358="",$F358=""),$K358&lt;&gt;"نعم",$M358="نعم"),0,MAX(0,MIN($F358,EOMONTH(DATE(cfg_FY,5,1),0))-MAX($E358,DATE(cfg_FY,5,1))+1))</f>
        <v>0</v>
      </c>
      <c r="AY358" s="65" t="n">
        <f aca="false">IF(OR(OR($B358="",$E358="",$F358=""),$K358&lt;&gt;"نعم",$M358="نعم"),0,MAX(0,MIN($F358,EOMONTH(DATE(cfg_FY,6,1),0))-MAX($E358,DATE(cfg_FY,6,1))+1))</f>
        <v>0</v>
      </c>
      <c r="AZ358" s="65" t="n">
        <f aca="false">IF(OR(OR($B358="",$E358="",$F358=""),$K358&lt;&gt;"نعم",$M358="نعم"),0,MAX(0,MIN($F358,EOMONTH(DATE(cfg_FY,7,1),0))-MAX($E358,DATE(cfg_FY,7,1))+1))</f>
        <v>0</v>
      </c>
      <c r="BA358" s="65" t="n">
        <f aca="false">IF(OR(OR($B358="",$E358="",$F358=""),$K358&lt;&gt;"نعم",$M358="نعم"),0,MAX(0,MIN($F358,EOMONTH(DATE(cfg_FY,8,1),0))-MAX($E358,DATE(cfg_FY,8,1))+1))</f>
        <v>0</v>
      </c>
      <c r="BB358" s="65" t="n">
        <f aca="false">IF(OR(OR($B358="",$E358="",$F358=""),$K358&lt;&gt;"نعم",$M358="نعم"),0,MAX(0,MIN($F358,EOMONTH(DATE(cfg_FY,9,1),0))-MAX($E358,DATE(cfg_FY,9,1))+1))</f>
        <v>0</v>
      </c>
      <c r="BC358" s="65" t="n">
        <f aca="false">IF(OR(OR($B358="",$E358="",$F358=""),$K358&lt;&gt;"نعم",$M358="نعم"),0,MAX(0,MIN($F358,EOMONTH(DATE(cfg_FY,10,1),0))-MAX($E358,DATE(cfg_FY,10,1))+1))</f>
        <v>0</v>
      </c>
      <c r="BD358" s="65" t="n">
        <f aca="false">IF(OR(OR($B358="",$E358="",$F358=""),$K358&lt;&gt;"نعم",$M358="نعم"),0,MAX(0,MIN($F358,EOMONTH(DATE(cfg_FY,11,1),0))-MAX($E358,DATE(cfg_FY,11,1))+1))</f>
        <v>0</v>
      </c>
      <c r="BE358" s="65" t="n">
        <f aca="false">IF(OR(OR($B358="",$E358="",$F358=""),$K358&lt;&gt;"نعم",$M358="نعم"),0,MAX(0,MIN($F358,EOMONTH(DATE(cfg_FY,12,1),0))-MAX($E358,DATE(cfg_FY,12,1))+1))</f>
        <v>0</v>
      </c>
    </row>
    <row r="359" customFormat="false" ht="15" hidden="false" customHeight="false" outlineLevel="0" collapsed="false">
      <c r="A359" s="115" t="str">
        <f aca="false">IF(B359="","",ROW()-5)</f>
        <v/>
      </c>
      <c r="B359" s="118"/>
      <c r="C359" s="117" t="str">
        <f aca="false">IF(B359="","",IFERROR(INDEX(الموظفون!$C$6:$C$105,MATCH(B359,الموظفون!$B$6:$B$105,0)),"✖ رقم غير موجود"))</f>
        <v/>
      </c>
      <c r="D359" s="118"/>
      <c r="E359" s="119"/>
      <c r="F359" s="119"/>
      <c r="G359" s="133" t="str">
        <f aca="false">IF(OR($B359="",$E359="",$F359=""),"",MAX(0,F359-E359+1))</f>
        <v/>
      </c>
      <c r="H359" s="134" t="str">
        <f aca="false">IF(D359="","",IFERROR(VLOOKUP(D359,cfg_LT,2,FALSE()),1))</f>
        <v/>
      </c>
      <c r="I359" s="135"/>
      <c r="J359" s="134" t="str">
        <f aca="false">IF(D359="","",IF(I359&lt;&gt;"",I359,H359))</f>
        <v/>
      </c>
      <c r="K359" s="117" t="str">
        <f aca="false">IF(D359="","",IFERROR(VLOOKUP($D359,cfg_LT,3,FALSE()),""))</f>
        <v/>
      </c>
      <c r="L359" s="117" t="str">
        <f aca="false">IF(D359="","",IFERROR(VLOOKUP($D359,cfg_LT,4,FALSE()),""))</f>
        <v/>
      </c>
      <c r="M359" s="117" t="str">
        <f aca="false">IF(D359="","",IFERROR(VLOOKUP($D359,cfg_LT,5,FALSE()),""))</f>
        <v/>
      </c>
      <c r="N359" s="116" t="n">
        <f aca="false">IF(OR(OR($B359="",$E359="",$F359=""),M359&lt;&gt;"نعم"),0,G359*J359*IFERROR(INDEX(الموظفون!$R$6:$R$105,MATCH(B359,الموظفون!$B$6:$B$105,0)),0)/cfg_DAYS_M)</f>
        <v>0</v>
      </c>
      <c r="O359" s="115" t="str">
        <f aca="false">IF(OR(OR($B359="",$E359="",$F359=""),M359&lt;&gt;"نعم"),"",IF(YEAR(E359)=cfg_FY,MONTH(E359),""))</f>
        <v/>
      </c>
      <c r="P359" s="117" t="str">
        <f aca="false">IF(B359="","",IF(OR(D359="",E359="",F359=""),"⚠ أكمل النوع والتواريخ",IF(F359&lt;E359,"✖ النهاية قبل البداية",IF(COUNTIFS($B$6:$B$505,B359,$E$6:$E$505,"&lt;="&amp;F359,$F$6:$F$505,"&gt;="&amp;E359)&gt;1,"⚠ تداخل مع سجل آخر",IF(E359&gt;cfg_VAL_DATE,"⏳ قادمة",IF(F359&lt;cfg_VAL_DATE,"✔ منتهية","✈ جارية في تاريخ التقرير"))))))</f>
        <v/>
      </c>
      <c r="Q359" s="118"/>
      <c r="R359" s="133" t="n">
        <f aca="false">IF(OR(OR($B359="",$E359="",$F359=""),L359&lt;&gt;"لا"),0,MAX(0,MIN(F359,cfg_Y_START-1)-E359+1))</f>
        <v>0</v>
      </c>
      <c r="S359" s="133" t="n">
        <f aca="false">IF(OR(OR($B359="",$E359="",$F359=""),L359&lt;&gt;"لا"),0,MAX(0,MIN(F359,cfg_VAL_DATE)-E359+1))</f>
        <v>0</v>
      </c>
      <c r="T359" s="133" t="n">
        <f aca="false">IF(OR(OR($B359="",$E359="",$F359=""),K359&lt;&gt;"نعم"),0,IF(M359="نعم",IF(AND(ISNUMBER(O359),N(O359)&lt;=cfg_VAL_M),G359,0),MAX(0,MIN(F359,cfg_VAL_DATE)-MAX(E359,cfg_Y_START)+1)))</f>
        <v>0</v>
      </c>
      <c r="V359" s="133" t="n">
        <f aca="false">IF(OR($B359="",$E359="",$F359=""),0,MAX(0,MIN($F359,EOMONTH(DATE(cfg_FY,1,1),0))-MAX($E359,DATE(cfg_FY,1,1))+1)*(1-IF($M359="نعم",0,N($J359))))</f>
        <v>0</v>
      </c>
      <c r="W359" s="133" t="n">
        <f aca="false">IF(OR($B359="",$E359="",$F359=""),0,MAX(0,MIN($F359,EOMONTH(DATE(cfg_FY,2,1),0))-MAX($E359,DATE(cfg_FY,2,1))+1)*(1-IF($M359="نعم",0,N($J359))))</f>
        <v>0</v>
      </c>
      <c r="X359" s="133" t="n">
        <f aca="false">IF(OR($B359="",$E359="",$F359=""),0,MAX(0,MIN($F359,EOMONTH(DATE(cfg_FY,3,1),0))-MAX($E359,DATE(cfg_FY,3,1))+1)*(1-IF($M359="نعم",0,N($J359))))</f>
        <v>0</v>
      </c>
      <c r="Y359" s="133" t="n">
        <f aca="false">IF(OR($B359="",$E359="",$F359=""),0,MAX(0,MIN($F359,EOMONTH(DATE(cfg_FY,4,1),0))-MAX($E359,DATE(cfg_FY,4,1))+1)*(1-IF($M359="نعم",0,N($J359))))</f>
        <v>0</v>
      </c>
      <c r="Z359" s="133" t="n">
        <f aca="false">IF(OR($B359="",$E359="",$F359=""),0,MAX(0,MIN($F359,EOMONTH(DATE(cfg_FY,5,1),0))-MAX($E359,DATE(cfg_FY,5,1))+1)*(1-IF($M359="نعم",0,N($J359))))</f>
        <v>0</v>
      </c>
      <c r="AA359" s="133" t="n">
        <f aca="false">IF(OR($B359="",$E359="",$F359=""),0,MAX(0,MIN($F359,EOMONTH(DATE(cfg_FY,6,1),0))-MAX($E359,DATE(cfg_FY,6,1))+1)*(1-IF($M359="نعم",0,N($J359))))</f>
        <v>0</v>
      </c>
      <c r="AB359" s="133" t="n">
        <f aca="false">IF(OR($B359="",$E359="",$F359=""),0,MAX(0,MIN($F359,EOMONTH(DATE(cfg_FY,7,1),0))-MAX($E359,DATE(cfg_FY,7,1))+1)*(1-IF($M359="نعم",0,N($J359))))</f>
        <v>0</v>
      </c>
      <c r="AC359" s="133" t="n">
        <f aca="false">IF(OR($B359="",$E359="",$F359=""),0,MAX(0,MIN($F359,EOMONTH(DATE(cfg_FY,8,1),0))-MAX($E359,DATE(cfg_FY,8,1))+1)*(1-IF($M359="نعم",0,N($J359))))</f>
        <v>0</v>
      </c>
      <c r="AD359" s="133" t="n">
        <f aca="false">IF(OR($B359="",$E359="",$F359=""),0,MAX(0,MIN($F359,EOMONTH(DATE(cfg_FY,9,1),0))-MAX($E359,DATE(cfg_FY,9,1))+1)*(1-IF($M359="نعم",0,N($J359))))</f>
        <v>0</v>
      </c>
      <c r="AE359" s="133" t="n">
        <f aca="false">IF(OR($B359="",$E359="",$F359=""),0,MAX(0,MIN($F359,EOMONTH(DATE(cfg_FY,10,1),0))-MAX($E359,DATE(cfg_FY,10,1))+1)*(1-IF($M359="نعم",0,N($J359))))</f>
        <v>0</v>
      </c>
      <c r="AF359" s="133" t="n">
        <f aca="false">IF(OR($B359="",$E359="",$F359=""),0,MAX(0,MIN($F359,EOMONTH(DATE(cfg_FY,11,1),0))-MAX($E359,DATE(cfg_FY,11,1))+1)*(1-IF($M359="نعم",0,N($J359))))</f>
        <v>0</v>
      </c>
      <c r="AG359" s="133" t="n">
        <f aca="false">IF(OR($B359="",$E359="",$F359=""),0,MAX(0,MIN($F359,EOMONTH(DATE(cfg_FY,12,1),0))-MAX($E359,DATE(cfg_FY,12,1))+1)*(1-IF($M359="نعم",0,N($J359))))</f>
        <v>0</v>
      </c>
      <c r="AH359" s="133" t="n">
        <f aca="false">IF(OR(OR($B359="",$E359="",$F359=""),$L359&lt;&gt;"لا"),0,MAX(0,MIN($F359,EOMONTH(DATE(cfg_FY,1,1),0))-$E359+1))</f>
        <v>0</v>
      </c>
      <c r="AI359" s="133" t="n">
        <f aca="false">IF(OR(OR($B359="",$E359="",$F359=""),$L359&lt;&gt;"لا"),0,MAX(0,MIN($F359,EOMONTH(DATE(cfg_FY,2,1),0))-$E359+1))</f>
        <v>0</v>
      </c>
      <c r="AJ359" s="133" t="n">
        <f aca="false">IF(OR(OR($B359="",$E359="",$F359=""),$L359&lt;&gt;"لا"),0,MAX(0,MIN($F359,EOMONTH(DATE(cfg_FY,3,1),0))-$E359+1))</f>
        <v>0</v>
      </c>
      <c r="AK359" s="133" t="n">
        <f aca="false">IF(OR(OR($B359="",$E359="",$F359=""),$L359&lt;&gt;"لا"),0,MAX(0,MIN($F359,EOMONTH(DATE(cfg_FY,4,1),0))-$E359+1))</f>
        <v>0</v>
      </c>
      <c r="AL359" s="133" t="n">
        <f aca="false">IF(OR(OR($B359="",$E359="",$F359=""),$L359&lt;&gt;"لا"),0,MAX(0,MIN($F359,EOMONTH(DATE(cfg_FY,5,1),0))-$E359+1))</f>
        <v>0</v>
      </c>
      <c r="AM359" s="133" t="n">
        <f aca="false">IF(OR(OR($B359="",$E359="",$F359=""),$L359&lt;&gt;"لا"),0,MAX(0,MIN($F359,EOMONTH(DATE(cfg_FY,6,1),0))-$E359+1))</f>
        <v>0</v>
      </c>
      <c r="AN359" s="133" t="n">
        <f aca="false">IF(OR(OR($B359="",$E359="",$F359=""),$L359&lt;&gt;"لا"),0,MAX(0,MIN($F359,EOMONTH(DATE(cfg_FY,7,1),0))-$E359+1))</f>
        <v>0</v>
      </c>
      <c r="AO359" s="133" t="n">
        <f aca="false">IF(OR(OR($B359="",$E359="",$F359=""),$L359&lt;&gt;"لا"),0,MAX(0,MIN($F359,EOMONTH(DATE(cfg_FY,8,1),0))-$E359+1))</f>
        <v>0</v>
      </c>
      <c r="AP359" s="133" t="n">
        <f aca="false">IF(OR(OR($B359="",$E359="",$F359=""),$L359&lt;&gt;"لا"),0,MAX(0,MIN($F359,EOMONTH(DATE(cfg_FY,9,1),0))-$E359+1))</f>
        <v>0</v>
      </c>
      <c r="AQ359" s="133" t="n">
        <f aca="false">IF(OR(OR($B359="",$E359="",$F359=""),$L359&lt;&gt;"لا"),0,MAX(0,MIN($F359,EOMONTH(DATE(cfg_FY,10,1),0))-$E359+1))</f>
        <v>0</v>
      </c>
      <c r="AR359" s="133" t="n">
        <f aca="false">IF(OR(OR($B359="",$E359="",$F359=""),$L359&lt;&gt;"لا"),0,MAX(0,MIN($F359,EOMONTH(DATE(cfg_FY,11,1),0))-$E359+1))</f>
        <v>0</v>
      </c>
      <c r="AS359" s="133" t="n">
        <f aca="false">IF(OR(OR($B359="",$E359="",$F359=""),$L359&lt;&gt;"لا"),0,MAX(0,MIN($F359,EOMONTH(DATE(cfg_FY,12,1),0))-$E359+1))</f>
        <v>0</v>
      </c>
      <c r="AT359" s="133" t="n">
        <f aca="false">IF(OR(OR($B359="",$E359="",$F359=""),$K359&lt;&gt;"نعم",$M359="نعم"),0,MAX(0,MIN($F359,EOMONTH(DATE(cfg_FY,1,1),0))-MAX($E359,DATE(cfg_FY,1,1))+1))</f>
        <v>0</v>
      </c>
      <c r="AU359" s="133" t="n">
        <f aca="false">IF(OR(OR($B359="",$E359="",$F359=""),$K359&lt;&gt;"نعم",$M359="نعم"),0,MAX(0,MIN($F359,EOMONTH(DATE(cfg_FY,2,1),0))-MAX($E359,DATE(cfg_FY,2,1))+1))</f>
        <v>0</v>
      </c>
      <c r="AV359" s="133" t="n">
        <f aca="false">IF(OR(OR($B359="",$E359="",$F359=""),$K359&lt;&gt;"نعم",$M359="نعم"),0,MAX(0,MIN($F359,EOMONTH(DATE(cfg_FY,3,1),0))-MAX($E359,DATE(cfg_FY,3,1))+1))</f>
        <v>0</v>
      </c>
      <c r="AW359" s="133" t="n">
        <f aca="false">IF(OR(OR($B359="",$E359="",$F359=""),$K359&lt;&gt;"نعم",$M359="نعم"),0,MAX(0,MIN($F359,EOMONTH(DATE(cfg_FY,4,1),0))-MAX($E359,DATE(cfg_FY,4,1))+1))</f>
        <v>0</v>
      </c>
      <c r="AX359" s="133" t="n">
        <f aca="false">IF(OR(OR($B359="",$E359="",$F359=""),$K359&lt;&gt;"نعم",$M359="نعم"),0,MAX(0,MIN($F359,EOMONTH(DATE(cfg_FY,5,1),0))-MAX($E359,DATE(cfg_FY,5,1))+1))</f>
        <v>0</v>
      </c>
      <c r="AY359" s="133" t="n">
        <f aca="false">IF(OR(OR($B359="",$E359="",$F359=""),$K359&lt;&gt;"نعم",$M359="نعم"),0,MAX(0,MIN($F359,EOMONTH(DATE(cfg_FY,6,1),0))-MAX($E359,DATE(cfg_FY,6,1))+1))</f>
        <v>0</v>
      </c>
      <c r="AZ359" s="133" t="n">
        <f aca="false">IF(OR(OR($B359="",$E359="",$F359=""),$K359&lt;&gt;"نعم",$M359="نعم"),0,MAX(0,MIN($F359,EOMONTH(DATE(cfg_FY,7,1),0))-MAX($E359,DATE(cfg_FY,7,1))+1))</f>
        <v>0</v>
      </c>
      <c r="BA359" s="133" t="n">
        <f aca="false">IF(OR(OR($B359="",$E359="",$F359=""),$K359&lt;&gt;"نعم",$M359="نعم"),0,MAX(0,MIN($F359,EOMONTH(DATE(cfg_FY,8,1),0))-MAX($E359,DATE(cfg_FY,8,1))+1))</f>
        <v>0</v>
      </c>
      <c r="BB359" s="133" t="n">
        <f aca="false">IF(OR(OR($B359="",$E359="",$F359=""),$K359&lt;&gt;"نعم",$M359="نعم"),0,MAX(0,MIN($F359,EOMONTH(DATE(cfg_FY,9,1),0))-MAX($E359,DATE(cfg_FY,9,1))+1))</f>
        <v>0</v>
      </c>
      <c r="BC359" s="133" t="n">
        <f aca="false">IF(OR(OR($B359="",$E359="",$F359=""),$K359&lt;&gt;"نعم",$M359="نعم"),0,MAX(0,MIN($F359,EOMONTH(DATE(cfg_FY,10,1),0))-MAX($E359,DATE(cfg_FY,10,1))+1))</f>
        <v>0</v>
      </c>
      <c r="BD359" s="133" t="n">
        <f aca="false">IF(OR(OR($B359="",$E359="",$F359=""),$K359&lt;&gt;"نعم",$M359="نعم"),0,MAX(0,MIN($F359,EOMONTH(DATE(cfg_FY,11,1),0))-MAX($E359,DATE(cfg_FY,11,1))+1))</f>
        <v>0</v>
      </c>
      <c r="BE359" s="133" t="n">
        <f aca="false">IF(OR(OR($B359="",$E359="",$F359=""),$K359&lt;&gt;"نعم",$M359="نعم"),0,MAX(0,MIN($F359,EOMONTH(DATE(cfg_FY,12,1),0))-MAX($E359,DATE(cfg_FY,12,1))+1))</f>
        <v>0</v>
      </c>
    </row>
    <row r="360" customFormat="false" ht="15" hidden="false" customHeight="false" outlineLevel="0" collapsed="false">
      <c r="A360" s="106" t="str">
        <f aca="false">IF(B360="","",ROW()-5)</f>
        <v/>
      </c>
      <c r="B360" s="118"/>
      <c r="C360" s="114" t="str">
        <f aca="false">IF(B360="","",IFERROR(INDEX(الموظفون!$C$6:$C$105,MATCH(B360,الموظفون!$B$6:$B$105,0)),"✖ رقم غير موجود"))</f>
        <v/>
      </c>
      <c r="D360" s="118"/>
      <c r="E360" s="119"/>
      <c r="F360" s="119"/>
      <c r="G360" s="65" t="str">
        <f aca="false">IF(OR($B360="",$E360="",$F360=""),"",MAX(0,F360-E360+1))</f>
        <v/>
      </c>
      <c r="H360" s="66" t="str">
        <f aca="false">IF(D360="","",IFERROR(VLOOKUP(D360,cfg_LT,2,FALSE()),1))</f>
        <v/>
      </c>
      <c r="I360" s="135"/>
      <c r="J360" s="66" t="str">
        <f aca="false">IF(D360="","",IF(I360&lt;&gt;"",I360,H360))</f>
        <v/>
      </c>
      <c r="K360" s="114" t="str">
        <f aca="false">IF(D360="","",IFERROR(VLOOKUP($D360,cfg_LT,3,FALSE()),""))</f>
        <v/>
      </c>
      <c r="L360" s="114" t="str">
        <f aca="false">IF(D360="","",IFERROR(VLOOKUP($D360,cfg_LT,4,FALSE()),""))</f>
        <v/>
      </c>
      <c r="M360" s="114" t="str">
        <f aca="false">IF(D360="","",IFERROR(VLOOKUP($D360,cfg_LT,5,FALSE()),""))</f>
        <v/>
      </c>
      <c r="N360" s="111" t="n">
        <f aca="false">IF(OR(OR($B360="",$E360="",$F360=""),M360&lt;&gt;"نعم"),0,G360*J360*IFERROR(INDEX(الموظفون!$R$6:$R$105,MATCH(B360,الموظفون!$B$6:$B$105,0)),0)/cfg_DAYS_M)</f>
        <v>0</v>
      </c>
      <c r="O360" s="106" t="str">
        <f aca="false">IF(OR(OR($B360="",$E360="",$F360=""),M360&lt;&gt;"نعم"),"",IF(YEAR(E360)=cfg_FY,MONTH(E360),""))</f>
        <v/>
      </c>
      <c r="P360" s="114" t="str">
        <f aca="false">IF(B360="","",IF(OR(D360="",E360="",F360=""),"⚠ أكمل النوع والتواريخ",IF(F360&lt;E360,"✖ النهاية قبل البداية",IF(COUNTIFS($B$6:$B$505,B360,$E$6:$E$505,"&lt;="&amp;F360,$F$6:$F$505,"&gt;="&amp;E360)&gt;1,"⚠ تداخل مع سجل آخر",IF(E360&gt;cfg_VAL_DATE,"⏳ قادمة",IF(F360&lt;cfg_VAL_DATE,"✔ منتهية","✈ جارية في تاريخ التقرير"))))))</f>
        <v/>
      </c>
      <c r="Q360" s="118"/>
      <c r="R360" s="65" t="n">
        <f aca="false">IF(OR(OR($B360="",$E360="",$F360=""),L360&lt;&gt;"لا"),0,MAX(0,MIN(F360,cfg_Y_START-1)-E360+1))</f>
        <v>0</v>
      </c>
      <c r="S360" s="65" t="n">
        <f aca="false">IF(OR(OR($B360="",$E360="",$F360=""),L360&lt;&gt;"لا"),0,MAX(0,MIN(F360,cfg_VAL_DATE)-E360+1))</f>
        <v>0</v>
      </c>
      <c r="T360" s="65" t="n">
        <f aca="false">IF(OR(OR($B360="",$E360="",$F360=""),K360&lt;&gt;"نعم"),0,IF(M360="نعم",IF(AND(ISNUMBER(O360),N(O360)&lt;=cfg_VAL_M),G360,0),MAX(0,MIN(F360,cfg_VAL_DATE)-MAX(E360,cfg_Y_START)+1)))</f>
        <v>0</v>
      </c>
      <c r="V360" s="65" t="n">
        <f aca="false">IF(OR($B360="",$E360="",$F360=""),0,MAX(0,MIN($F360,EOMONTH(DATE(cfg_FY,1,1),0))-MAX($E360,DATE(cfg_FY,1,1))+1)*(1-IF($M360="نعم",0,N($J360))))</f>
        <v>0</v>
      </c>
      <c r="W360" s="65" t="n">
        <f aca="false">IF(OR($B360="",$E360="",$F360=""),0,MAX(0,MIN($F360,EOMONTH(DATE(cfg_FY,2,1),0))-MAX($E360,DATE(cfg_FY,2,1))+1)*(1-IF($M360="نعم",0,N($J360))))</f>
        <v>0</v>
      </c>
      <c r="X360" s="65" t="n">
        <f aca="false">IF(OR($B360="",$E360="",$F360=""),0,MAX(0,MIN($F360,EOMONTH(DATE(cfg_FY,3,1),0))-MAX($E360,DATE(cfg_FY,3,1))+1)*(1-IF($M360="نعم",0,N($J360))))</f>
        <v>0</v>
      </c>
      <c r="Y360" s="65" t="n">
        <f aca="false">IF(OR($B360="",$E360="",$F360=""),0,MAX(0,MIN($F360,EOMONTH(DATE(cfg_FY,4,1),0))-MAX($E360,DATE(cfg_FY,4,1))+1)*(1-IF($M360="نعم",0,N($J360))))</f>
        <v>0</v>
      </c>
      <c r="Z360" s="65" t="n">
        <f aca="false">IF(OR($B360="",$E360="",$F360=""),0,MAX(0,MIN($F360,EOMONTH(DATE(cfg_FY,5,1),0))-MAX($E360,DATE(cfg_FY,5,1))+1)*(1-IF($M360="نعم",0,N($J360))))</f>
        <v>0</v>
      </c>
      <c r="AA360" s="65" t="n">
        <f aca="false">IF(OR($B360="",$E360="",$F360=""),0,MAX(0,MIN($F360,EOMONTH(DATE(cfg_FY,6,1),0))-MAX($E360,DATE(cfg_FY,6,1))+1)*(1-IF($M360="نعم",0,N($J360))))</f>
        <v>0</v>
      </c>
      <c r="AB360" s="65" t="n">
        <f aca="false">IF(OR($B360="",$E360="",$F360=""),0,MAX(0,MIN($F360,EOMONTH(DATE(cfg_FY,7,1),0))-MAX($E360,DATE(cfg_FY,7,1))+1)*(1-IF($M360="نعم",0,N($J360))))</f>
        <v>0</v>
      </c>
      <c r="AC360" s="65" t="n">
        <f aca="false">IF(OR($B360="",$E360="",$F360=""),0,MAX(0,MIN($F360,EOMONTH(DATE(cfg_FY,8,1),0))-MAX($E360,DATE(cfg_FY,8,1))+1)*(1-IF($M360="نعم",0,N($J360))))</f>
        <v>0</v>
      </c>
      <c r="AD360" s="65" t="n">
        <f aca="false">IF(OR($B360="",$E360="",$F360=""),0,MAX(0,MIN($F360,EOMONTH(DATE(cfg_FY,9,1),0))-MAX($E360,DATE(cfg_FY,9,1))+1)*(1-IF($M360="نعم",0,N($J360))))</f>
        <v>0</v>
      </c>
      <c r="AE360" s="65" t="n">
        <f aca="false">IF(OR($B360="",$E360="",$F360=""),0,MAX(0,MIN($F360,EOMONTH(DATE(cfg_FY,10,1),0))-MAX($E360,DATE(cfg_FY,10,1))+1)*(1-IF($M360="نعم",0,N($J360))))</f>
        <v>0</v>
      </c>
      <c r="AF360" s="65" t="n">
        <f aca="false">IF(OR($B360="",$E360="",$F360=""),0,MAX(0,MIN($F360,EOMONTH(DATE(cfg_FY,11,1),0))-MAX($E360,DATE(cfg_FY,11,1))+1)*(1-IF($M360="نعم",0,N($J360))))</f>
        <v>0</v>
      </c>
      <c r="AG360" s="65" t="n">
        <f aca="false">IF(OR($B360="",$E360="",$F360=""),0,MAX(0,MIN($F360,EOMONTH(DATE(cfg_FY,12,1),0))-MAX($E360,DATE(cfg_FY,12,1))+1)*(1-IF($M360="نعم",0,N($J360))))</f>
        <v>0</v>
      </c>
      <c r="AH360" s="65" t="n">
        <f aca="false">IF(OR(OR($B360="",$E360="",$F360=""),$L360&lt;&gt;"لا"),0,MAX(0,MIN($F360,EOMONTH(DATE(cfg_FY,1,1),0))-$E360+1))</f>
        <v>0</v>
      </c>
      <c r="AI360" s="65" t="n">
        <f aca="false">IF(OR(OR($B360="",$E360="",$F360=""),$L360&lt;&gt;"لا"),0,MAX(0,MIN($F360,EOMONTH(DATE(cfg_FY,2,1),0))-$E360+1))</f>
        <v>0</v>
      </c>
      <c r="AJ360" s="65" t="n">
        <f aca="false">IF(OR(OR($B360="",$E360="",$F360=""),$L360&lt;&gt;"لا"),0,MAX(0,MIN($F360,EOMONTH(DATE(cfg_FY,3,1),0))-$E360+1))</f>
        <v>0</v>
      </c>
      <c r="AK360" s="65" t="n">
        <f aca="false">IF(OR(OR($B360="",$E360="",$F360=""),$L360&lt;&gt;"لا"),0,MAX(0,MIN($F360,EOMONTH(DATE(cfg_FY,4,1),0))-$E360+1))</f>
        <v>0</v>
      </c>
      <c r="AL360" s="65" t="n">
        <f aca="false">IF(OR(OR($B360="",$E360="",$F360=""),$L360&lt;&gt;"لا"),0,MAX(0,MIN($F360,EOMONTH(DATE(cfg_FY,5,1),0))-$E360+1))</f>
        <v>0</v>
      </c>
      <c r="AM360" s="65" t="n">
        <f aca="false">IF(OR(OR($B360="",$E360="",$F360=""),$L360&lt;&gt;"لا"),0,MAX(0,MIN($F360,EOMONTH(DATE(cfg_FY,6,1),0))-$E360+1))</f>
        <v>0</v>
      </c>
      <c r="AN360" s="65" t="n">
        <f aca="false">IF(OR(OR($B360="",$E360="",$F360=""),$L360&lt;&gt;"لا"),0,MAX(0,MIN($F360,EOMONTH(DATE(cfg_FY,7,1),0))-$E360+1))</f>
        <v>0</v>
      </c>
      <c r="AO360" s="65" t="n">
        <f aca="false">IF(OR(OR($B360="",$E360="",$F360=""),$L360&lt;&gt;"لا"),0,MAX(0,MIN($F360,EOMONTH(DATE(cfg_FY,8,1),0))-$E360+1))</f>
        <v>0</v>
      </c>
      <c r="AP360" s="65" t="n">
        <f aca="false">IF(OR(OR($B360="",$E360="",$F360=""),$L360&lt;&gt;"لا"),0,MAX(0,MIN($F360,EOMONTH(DATE(cfg_FY,9,1),0))-$E360+1))</f>
        <v>0</v>
      </c>
      <c r="AQ360" s="65" t="n">
        <f aca="false">IF(OR(OR($B360="",$E360="",$F360=""),$L360&lt;&gt;"لا"),0,MAX(0,MIN($F360,EOMONTH(DATE(cfg_FY,10,1),0))-$E360+1))</f>
        <v>0</v>
      </c>
      <c r="AR360" s="65" t="n">
        <f aca="false">IF(OR(OR($B360="",$E360="",$F360=""),$L360&lt;&gt;"لا"),0,MAX(0,MIN($F360,EOMONTH(DATE(cfg_FY,11,1),0))-$E360+1))</f>
        <v>0</v>
      </c>
      <c r="AS360" s="65" t="n">
        <f aca="false">IF(OR(OR($B360="",$E360="",$F360=""),$L360&lt;&gt;"لا"),0,MAX(0,MIN($F360,EOMONTH(DATE(cfg_FY,12,1),0))-$E360+1))</f>
        <v>0</v>
      </c>
      <c r="AT360" s="65" t="n">
        <f aca="false">IF(OR(OR($B360="",$E360="",$F360=""),$K360&lt;&gt;"نعم",$M360="نعم"),0,MAX(0,MIN($F360,EOMONTH(DATE(cfg_FY,1,1),0))-MAX($E360,DATE(cfg_FY,1,1))+1))</f>
        <v>0</v>
      </c>
      <c r="AU360" s="65" t="n">
        <f aca="false">IF(OR(OR($B360="",$E360="",$F360=""),$K360&lt;&gt;"نعم",$M360="نعم"),0,MAX(0,MIN($F360,EOMONTH(DATE(cfg_FY,2,1),0))-MAX($E360,DATE(cfg_FY,2,1))+1))</f>
        <v>0</v>
      </c>
      <c r="AV360" s="65" t="n">
        <f aca="false">IF(OR(OR($B360="",$E360="",$F360=""),$K360&lt;&gt;"نعم",$M360="نعم"),0,MAX(0,MIN($F360,EOMONTH(DATE(cfg_FY,3,1),0))-MAX($E360,DATE(cfg_FY,3,1))+1))</f>
        <v>0</v>
      </c>
      <c r="AW360" s="65" t="n">
        <f aca="false">IF(OR(OR($B360="",$E360="",$F360=""),$K360&lt;&gt;"نعم",$M360="نعم"),0,MAX(0,MIN($F360,EOMONTH(DATE(cfg_FY,4,1),0))-MAX($E360,DATE(cfg_FY,4,1))+1))</f>
        <v>0</v>
      </c>
      <c r="AX360" s="65" t="n">
        <f aca="false">IF(OR(OR($B360="",$E360="",$F360=""),$K360&lt;&gt;"نعم",$M360="نعم"),0,MAX(0,MIN($F360,EOMONTH(DATE(cfg_FY,5,1),0))-MAX($E360,DATE(cfg_FY,5,1))+1))</f>
        <v>0</v>
      </c>
      <c r="AY360" s="65" t="n">
        <f aca="false">IF(OR(OR($B360="",$E360="",$F360=""),$K360&lt;&gt;"نعم",$M360="نعم"),0,MAX(0,MIN($F360,EOMONTH(DATE(cfg_FY,6,1),0))-MAX($E360,DATE(cfg_FY,6,1))+1))</f>
        <v>0</v>
      </c>
      <c r="AZ360" s="65" t="n">
        <f aca="false">IF(OR(OR($B360="",$E360="",$F360=""),$K360&lt;&gt;"نعم",$M360="نعم"),0,MAX(0,MIN($F360,EOMONTH(DATE(cfg_FY,7,1),0))-MAX($E360,DATE(cfg_FY,7,1))+1))</f>
        <v>0</v>
      </c>
      <c r="BA360" s="65" t="n">
        <f aca="false">IF(OR(OR($B360="",$E360="",$F360=""),$K360&lt;&gt;"نعم",$M360="نعم"),0,MAX(0,MIN($F360,EOMONTH(DATE(cfg_FY,8,1),0))-MAX($E360,DATE(cfg_FY,8,1))+1))</f>
        <v>0</v>
      </c>
      <c r="BB360" s="65" t="n">
        <f aca="false">IF(OR(OR($B360="",$E360="",$F360=""),$K360&lt;&gt;"نعم",$M360="نعم"),0,MAX(0,MIN($F360,EOMONTH(DATE(cfg_FY,9,1),0))-MAX($E360,DATE(cfg_FY,9,1))+1))</f>
        <v>0</v>
      </c>
      <c r="BC360" s="65" t="n">
        <f aca="false">IF(OR(OR($B360="",$E360="",$F360=""),$K360&lt;&gt;"نعم",$M360="نعم"),0,MAX(0,MIN($F360,EOMONTH(DATE(cfg_FY,10,1),0))-MAX($E360,DATE(cfg_FY,10,1))+1))</f>
        <v>0</v>
      </c>
      <c r="BD360" s="65" t="n">
        <f aca="false">IF(OR(OR($B360="",$E360="",$F360=""),$K360&lt;&gt;"نعم",$M360="نعم"),0,MAX(0,MIN($F360,EOMONTH(DATE(cfg_FY,11,1),0))-MAX($E360,DATE(cfg_FY,11,1))+1))</f>
        <v>0</v>
      </c>
      <c r="BE360" s="65" t="n">
        <f aca="false">IF(OR(OR($B360="",$E360="",$F360=""),$K360&lt;&gt;"نعم",$M360="نعم"),0,MAX(0,MIN($F360,EOMONTH(DATE(cfg_FY,12,1),0))-MAX($E360,DATE(cfg_FY,12,1))+1))</f>
        <v>0</v>
      </c>
    </row>
    <row r="361" customFormat="false" ht="15" hidden="false" customHeight="false" outlineLevel="0" collapsed="false">
      <c r="A361" s="115" t="str">
        <f aca="false">IF(B361="","",ROW()-5)</f>
        <v/>
      </c>
      <c r="B361" s="118"/>
      <c r="C361" s="117" t="str">
        <f aca="false">IF(B361="","",IFERROR(INDEX(الموظفون!$C$6:$C$105,MATCH(B361,الموظفون!$B$6:$B$105,0)),"✖ رقم غير موجود"))</f>
        <v/>
      </c>
      <c r="D361" s="118"/>
      <c r="E361" s="119"/>
      <c r="F361" s="119"/>
      <c r="G361" s="133" t="str">
        <f aca="false">IF(OR($B361="",$E361="",$F361=""),"",MAX(0,F361-E361+1))</f>
        <v/>
      </c>
      <c r="H361" s="134" t="str">
        <f aca="false">IF(D361="","",IFERROR(VLOOKUP(D361,cfg_LT,2,FALSE()),1))</f>
        <v/>
      </c>
      <c r="I361" s="135"/>
      <c r="J361" s="134" t="str">
        <f aca="false">IF(D361="","",IF(I361&lt;&gt;"",I361,H361))</f>
        <v/>
      </c>
      <c r="K361" s="117" t="str">
        <f aca="false">IF(D361="","",IFERROR(VLOOKUP($D361,cfg_LT,3,FALSE()),""))</f>
        <v/>
      </c>
      <c r="L361" s="117" t="str">
        <f aca="false">IF(D361="","",IFERROR(VLOOKUP($D361,cfg_LT,4,FALSE()),""))</f>
        <v/>
      </c>
      <c r="M361" s="117" t="str">
        <f aca="false">IF(D361="","",IFERROR(VLOOKUP($D361,cfg_LT,5,FALSE()),""))</f>
        <v/>
      </c>
      <c r="N361" s="116" t="n">
        <f aca="false">IF(OR(OR($B361="",$E361="",$F361=""),M361&lt;&gt;"نعم"),0,G361*J361*IFERROR(INDEX(الموظفون!$R$6:$R$105,MATCH(B361,الموظفون!$B$6:$B$105,0)),0)/cfg_DAYS_M)</f>
        <v>0</v>
      </c>
      <c r="O361" s="115" t="str">
        <f aca="false">IF(OR(OR($B361="",$E361="",$F361=""),M361&lt;&gt;"نعم"),"",IF(YEAR(E361)=cfg_FY,MONTH(E361),""))</f>
        <v/>
      </c>
      <c r="P361" s="117" t="str">
        <f aca="false">IF(B361="","",IF(OR(D361="",E361="",F361=""),"⚠ أكمل النوع والتواريخ",IF(F361&lt;E361,"✖ النهاية قبل البداية",IF(COUNTIFS($B$6:$B$505,B361,$E$6:$E$505,"&lt;="&amp;F361,$F$6:$F$505,"&gt;="&amp;E361)&gt;1,"⚠ تداخل مع سجل آخر",IF(E361&gt;cfg_VAL_DATE,"⏳ قادمة",IF(F361&lt;cfg_VAL_DATE,"✔ منتهية","✈ جارية في تاريخ التقرير"))))))</f>
        <v/>
      </c>
      <c r="Q361" s="118"/>
      <c r="R361" s="133" t="n">
        <f aca="false">IF(OR(OR($B361="",$E361="",$F361=""),L361&lt;&gt;"لا"),0,MAX(0,MIN(F361,cfg_Y_START-1)-E361+1))</f>
        <v>0</v>
      </c>
      <c r="S361" s="133" t="n">
        <f aca="false">IF(OR(OR($B361="",$E361="",$F361=""),L361&lt;&gt;"لا"),0,MAX(0,MIN(F361,cfg_VAL_DATE)-E361+1))</f>
        <v>0</v>
      </c>
      <c r="T361" s="133" t="n">
        <f aca="false">IF(OR(OR($B361="",$E361="",$F361=""),K361&lt;&gt;"نعم"),0,IF(M361="نعم",IF(AND(ISNUMBER(O361),N(O361)&lt;=cfg_VAL_M),G361,0),MAX(0,MIN(F361,cfg_VAL_DATE)-MAX(E361,cfg_Y_START)+1)))</f>
        <v>0</v>
      </c>
      <c r="V361" s="133" t="n">
        <f aca="false">IF(OR($B361="",$E361="",$F361=""),0,MAX(0,MIN($F361,EOMONTH(DATE(cfg_FY,1,1),0))-MAX($E361,DATE(cfg_FY,1,1))+1)*(1-IF($M361="نعم",0,N($J361))))</f>
        <v>0</v>
      </c>
      <c r="W361" s="133" t="n">
        <f aca="false">IF(OR($B361="",$E361="",$F361=""),0,MAX(0,MIN($F361,EOMONTH(DATE(cfg_FY,2,1),0))-MAX($E361,DATE(cfg_FY,2,1))+1)*(1-IF($M361="نعم",0,N($J361))))</f>
        <v>0</v>
      </c>
      <c r="X361" s="133" t="n">
        <f aca="false">IF(OR($B361="",$E361="",$F361=""),0,MAX(0,MIN($F361,EOMONTH(DATE(cfg_FY,3,1),0))-MAX($E361,DATE(cfg_FY,3,1))+1)*(1-IF($M361="نعم",0,N($J361))))</f>
        <v>0</v>
      </c>
      <c r="Y361" s="133" t="n">
        <f aca="false">IF(OR($B361="",$E361="",$F361=""),0,MAX(0,MIN($F361,EOMONTH(DATE(cfg_FY,4,1),0))-MAX($E361,DATE(cfg_FY,4,1))+1)*(1-IF($M361="نعم",0,N($J361))))</f>
        <v>0</v>
      </c>
      <c r="Z361" s="133" t="n">
        <f aca="false">IF(OR($B361="",$E361="",$F361=""),0,MAX(0,MIN($F361,EOMONTH(DATE(cfg_FY,5,1),0))-MAX($E361,DATE(cfg_FY,5,1))+1)*(1-IF($M361="نعم",0,N($J361))))</f>
        <v>0</v>
      </c>
      <c r="AA361" s="133" t="n">
        <f aca="false">IF(OR($B361="",$E361="",$F361=""),0,MAX(0,MIN($F361,EOMONTH(DATE(cfg_FY,6,1),0))-MAX($E361,DATE(cfg_FY,6,1))+1)*(1-IF($M361="نعم",0,N($J361))))</f>
        <v>0</v>
      </c>
      <c r="AB361" s="133" t="n">
        <f aca="false">IF(OR($B361="",$E361="",$F361=""),0,MAX(0,MIN($F361,EOMONTH(DATE(cfg_FY,7,1),0))-MAX($E361,DATE(cfg_FY,7,1))+1)*(1-IF($M361="نعم",0,N($J361))))</f>
        <v>0</v>
      </c>
      <c r="AC361" s="133" t="n">
        <f aca="false">IF(OR($B361="",$E361="",$F361=""),0,MAX(0,MIN($F361,EOMONTH(DATE(cfg_FY,8,1),0))-MAX($E361,DATE(cfg_FY,8,1))+1)*(1-IF($M361="نعم",0,N($J361))))</f>
        <v>0</v>
      </c>
      <c r="AD361" s="133" t="n">
        <f aca="false">IF(OR($B361="",$E361="",$F361=""),0,MAX(0,MIN($F361,EOMONTH(DATE(cfg_FY,9,1),0))-MAX($E361,DATE(cfg_FY,9,1))+1)*(1-IF($M361="نعم",0,N($J361))))</f>
        <v>0</v>
      </c>
      <c r="AE361" s="133" t="n">
        <f aca="false">IF(OR($B361="",$E361="",$F361=""),0,MAX(0,MIN($F361,EOMONTH(DATE(cfg_FY,10,1),0))-MAX($E361,DATE(cfg_FY,10,1))+1)*(1-IF($M361="نعم",0,N($J361))))</f>
        <v>0</v>
      </c>
      <c r="AF361" s="133" t="n">
        <f aca="false">IF(OR($B361="",$E361="",$F361=""),0,MAX(0,MIN($F361,EOMONTH(DATE(cfg_FY,11,1),0))-MAX($E361,DATE(cfg_FY,11,1))+1)*(1-IF($M361="نعم",0,N($J361))))</f>
        <v>0</v>
      </c>
      <c r="AG361" s="133" t="n">
        <f aca="false">IF(OR($B361="",$E361="",$F361=""),0,MAX(0,MIN($F361,EOMONTH(DATE(cfg_FY,12,1),0))-MAX($E361,DATE(cfg_FY,12,1))+1)*(1-IF($M361="نعم",0,N($J361))))</f>
        <v>0</v>
      </c>
      <c r="AH361" s="133" t="n">
        <f aca="false">IF(OR(OR($B361="",$E361="",$F361=""),$L361&lt;&gt;"لا"),0,MAX(0,MIN($F361,EOMONTH(DATE(cfg_FY,1,1),0))-$E361+1))</f>
        <v>0</v>
      </c>
      <c r="AI361" s="133" t="n">
        <f aca="false">IF(OR(OR($B361="",$E361="",$F361=""),$L361&lt;&gt;"لا"),0,MAX(0,MIN($F361,EOMONTH(DATE(cfg_FY,2,1),0))-$E361+1))</f>
        <v>0</v>
      </c>
      <c r="AJ361" s="133" t="n">
        <f aca="false">IF(OR(OR($B361="",$E361="",$F361=""),$L361&lt;&gt;"لا"),0,MAX(0,MIN($F361,EOMONTH(DATE(cfg_FY,3,1),0))-$E361+1))</f>
        <v>0</v>
      </c>
      <c r="AK361" s="133" t="n">
        <f aca="false">IF(OR(OR($B361="",$E361="",$F361=""),$L361&lt;&gt;"لا"),0,MAX(0,MIN($F361,EOMONTH(DATE(cfg_FY,4,1),0))-$E361+1))</f>
        <v>0</v>
      </c>
      <c r="AL361" s="133" t="n">
        <f aca="false">IF(OR(OR($B361="",$E361="",$F361=""),$L361&lt;&gt;"لا"),0,MAX(0,MIN($F361,EOMONTH(DATE(cfg_FY,5,1),0))-$E361+1))</f>
        <v>0</v>
      </c>
      <c r="AM361" s="133" t="n">
        <f aca="false">IF(OR(OR($B361="",$E361="",$F361=""),$L361&lt;&gt;"لا"),0,MAX(0,MIN($F361,EOMONTH(DATE(cfg_FY,6,1),0))-$E361+1))</f>
        <v>0</v>
      </c>
      <c r="AN361" s="133" t="n">
        <f aca="false">IF(OR(OR($B361="",$E361="",$F361=""),$L361&lt;&gt;"لا"),0,MAX(0,MIN($F361,EOMONTH(DATE(cfg_FY,7,1),0))-$E361+1))</f>
        <v>0</v>
      </c>
      <c r="AO361" s="133" t="n">
        <f aca="false">IF(OR(OR($B361="",$E361="",$F361=""),$L361&lt;&gt;"لا"),0,MAX(0,MIN($F361,EOMONTH(DATE(cfg_FY,8,1),0))-$E361+1))</f>
        <v>0</v>
      </c>
      <c r="AP361" s="133" t="n">
        <f aca="false">IF(OR(OR($B361="",$E361="",$F361=""),$L361&lt;&gt;"لا"),0,MAX(0,MIN($F361,EOMONTH(DATE(cfg_FY,9,1),0))-$E361+1))</f>
        <v>0</v>
      </c>
      <c r="AQ361" s="133" t="n">
        <f aca="false">IF(OR(OR($B361="",$E361="",$F361=""),$L361&lt;&gt;"لا"),0,MAX(0,MIN($F361,EOMONTH(DATE(cfg_FY,10,1),0))-$E361+1))</f>
        <v>0</v>
      </c>
      <c r="AR361" s="133" t="n">
        <f aca="false">IF(OR(OR($B361="",$E361="",$F361=""),$L361&lt;&gt;"لا"),0,MAX(0,MIN($F361,EOMONTH(DATE(cfg_FY,11,1),0))-$E361+1))</f>
        <v>0</v>
      </c>
      <c r="AS361" s="133" t="n">
        <f aca="false">IF(OR(OR($B361="",$E361="",$F361=""),$L361&lt;&gt;"لا"),0,MAX(0,MIN($F361,EOMONTH(DATE(cfg_FY,12,1),0))-$E361+1))</f>
        <v>0</v>
      </c>
      <c r="AT361" s="133" t="n">
        <f aca="false">IF(OR(OR($B361="",$E361="",$F361=""),$K361&lt;&gt;"نعم",$M361="نعم"),0,MAX(0,MIN($F361,EOMONTH(DATE(cfg_FY,1,1),0))-MAX($E361,DATE(cfg_FY,1,1))+1))</f>
        <v>0</v>
      </c>
      <c r="AU361" s="133" t="n">
        <f aca="false">IF(OR(OR($B361="",$E361="",$F361=""),$K361&lt;&gt;"نعم",$M361="نعم"),0,MAX(0,MIN($F361,EOMONTH(DATE(cfg_FY,2,1),0))-MAX($E361,DATE(cfg_FY,2,1))+1))</f>
        <v>0</v>
      </c>
      <c r="AV361" s="133" t="n">
        <f aca="false">IF(OR(OR($B361="",$E361="",$F361=""),$K361&lt;&gt;"نعم",$M361="نعم"),0,MAX(0,MIN($F361,EOMONTH(DATE(cfg_FY,3,1),0))-MAX($E361,DATE(cfg_FY,3,1))+1))</f>
        <v>0</v>
      </c>
      <c r="AW361" s="133" t="n">
        <f aca="false">IF(OR(OR($B361="",$E361="",$F361=""),$K361&lt;&gt;"نعم",$M361="نعم"),0,MAX(0,MIN($F361,EOMONTH(DATE(cfg_FY,4,1),0))-MAX($E361,DATE(cfg_FY,4,1))+1))</f>
        <v>0</v>
      </c>
      <c r="AX361" s="133" t="n">
        <f aca="false">IF(OR(OR($B361="",$E361="",$F361=""),$K361&lt;&gt;"نعم",$M361="نعم"),0,MAX(0,MIN($F361,EOMONTH(DATE(cfg_FY,5,1),0))-MAX($E361,DATE(cfg_FY,5,1))+1))</f>
        <v>0</v>
      </c>
      <c r="AY361" s="133" t="n">
        <f aca="false">IF(OR(OR($B361="",$E361="",$F361=""),$K361&lt;&gt;"نعم",$M361="نعم"),0,MAX(0,MIN($F361,EOMONTH(DATE(cfg_FY,6,1),0))-MAX($E361,DATE(cfg_FY,6,1))+1))</f>
        <v>0</v>
      </c>
      <c r="AZ361" s="133" t="n">
        <f aca="false">IF(OR(OR($B361="",$E361="",$F361=""),$K361&lt;&gt;"نعم",$M361="نعم"),0,MAX(0,MIN($F361,EOMONTH(DATE(cfg_FY,7,1),0))-MAX($E361,DATE(cfg_FY,7,1))+1))</f>
        <v>0</v>
      </c>
      <c r="BA361" s="133" t="n">
        <f aca="false">IF(OR(OR($B361="",$E361="",$F361=""),$K361&lt;&gt;"نعم",$M361="نعم"),0,MAX(0,MIN($F361,EOMONTH(DATE(cfg_FY,8,1),0))-MAX($E361,DATE(cfg_FY,8,1))+1))</f>
        <v>0</v>
      </c>
      <c r="BB361" s="133" t="n">
        <f aca="false">IF(OR(OR($B361="",$E361="",$F361=""),$K361&lt;&gt;"نعم",$M361="نعم"),0,MAX(0,MIN($F361,EOMONTH(DATE(cfg_FY,9,1),0))-MAX($E361,DATE(cfg_FY,9,1))+1))</f>
        <v>0</v>
      </c>
      <c r="BC361" s="133" t="n">
        <f aca="false">IF(OR(OR($B361="",$E361="",$F361=""),$K361&lt;&gt;"نعم",$M361="نعم"),0,MAX(0,MIN($F361,EOMONTH(DATE(cfg_FY,10,1),0))-MAX($E361,DATE(cfg_FY,10,1))+1))</f>
        <v>0</v>
      </c>
      <c r="BD361" s="133" t="n">
        <f aca="false">IF(OR(OR($B361="",$E361="",$F361=""),$K361&lt;&gt;"نعم",$M361="نعم"),0,MAX(0,MIN($F361,EOMONTH(DATE(cfg_FY,11,1),0))-MAX($E361,DATE(cfg_FY,11,1))+1))</f>
        <v>0</v>
      </c>
      <c r="BE361" s="133" t="n">
        <f aca="false">IF(OR(OR($B361="",$E361="",$F361=""),$K361&lt;&gt;"نعم",$M361="نعم"),0,MAX(0,MIN($F361,EOMONTH(DATE(cfg_FY,12,1),0))-MAX($E361,DATE(cfg_FY,12,1))+1))</f>
        <v>0</v>
      </c>
    </row>
    <row r="362" customFormat="false" ht="15" hidden="false" customHeight="false" outlineLevel="0" collapsed="false">
      <c r="A362" s="106" t="str">
        <f aca="false">IF(B362="","",ROW()-5)</f>
        <v/>
      </c>
      <c r="B362" s="118"/>
      <c r="C362" s="114" t="str">
        <f aca="false">IF(B362="","",IFERROR(INDEX(الموظفون!$C$6:$C$105,MATCH(B362,الموظفون!$B$6:$B$105,0)),"✖ رقم غير موجود"))</f>
        <v/>
      </c>
      <c r="D362" s="118"/>
      <c r="E362" s="119"/>
      <c r="F362" s="119"/>
      <c r="G362" s="65" t="str">
        <f aca="false">IF(OR($B362="",$E362="",$F362=""),"",MAX(0,F362-E362+1))</f>
        <v/>
      </c>
      <c r="H362" s="66" t="str">
        <f aca="false">IF(D362="","",IFERROR(VLOOKUP(D362,cfg_LT,2,FALSE()),1))</f>
        <v/>
      </c>
      <c r="I362" s="135"/>
      <c r="J362" s="66" t="str">
        <f aca="false">IF(D362="","",IF(I362&lt;&gt;"",I362,H362))</f>
        <v/>
      </c>
      <c r="K362" s="114" t="str">
        <f aca="false">IF(D362="","",IFERROR(VLOOKUP($D362,cfg_LT,3,FALSE()),""))</f>
        <v/>
      </c>
      <c r="L362" s="114" t="str">
        <f aca="false">IF(D362="","",IFERROR(VLOOKUP($D362,cfg_LT,4,FALSE()),""))</f>
        <v/>
      </c>
      <c r="M362" s="114" t="str">
        <f aca="false">IF(D362="","",IFERROR(VLOOKUP($D362,cfg_LT,5,FALSE()),""))</f>
        <v/>
      </c>
      <c r="N362" s="111" t="n">
        <f aca="false">IF(OR(OR($B362="",$E362="",$F362=""),M362&lt;&gt;"نعم"),0,G362*J362*IFERROR(INDEX(الموظفون!$R$6:$R$105,MATCH(B362,الموظفون!$B$6:$B$105,0)),0)/cfg_DAYS_M)</f>
        <v>0</v>
      </c>
      <c r="O362" s="106" t="str">
        <f aca="false">IF(OR(OR($B362="",$E362="",$F362=""),M362&lt;&gt;"نعم"),"",IF(YEAR(E362)=cfg_FY,MONTH(E362),""))</f>
        <v/>
      </c>
      <c r="P362" s="114" t="str">
        <f aca="false">IF(B362="","",IF(OR(D362="",E362="",F362=""),"⚠ أكمل النوع والتواريخ",IF(F362&lt;E362,"✖ النهاية قبل البداية",IF(COUNTIFS($B$6:$B$505,B362,$E$6:$E$505,"&lt;="&amp;F362,$F$6:$F$505,"&gt;="&amp;E362)&gt;1,"⚠ تداخل مع سجل آخر",IF(E362&gt;cfg_VAL_DATE,"⏳ قادمة",IF(F362&lt;cfg_VAL_DATE,"✔ منتهية","✈ جارية في تاريخ التقرير"))))))</f>
        <v/>
      </c>
      <c r="Q362" s="118"/>
      <c r="R362" s="65" t="n">
        <f aca="false">IF(OR(OR($B362="",$E362="",$F362=""),L362&lt;&gt;"لا"),0,MAX(0,MIN(F362,cfg_Y_START-1)-E362+1))</f>
        <v>0</v>
      </c>
      <c r="S362" s="65" t="n">
        <f aca="false">IF(OR(OR($B362="",$E362="",$F362=""),L362&lt;&gt;"لا"),0,MAX(0,MIN(F362,cfg_VAL_DATE)-E362+1))</f>
        <v>0</v>
      </c>
      <c r="T362" s="65" t="n">
        <f aca="false">IF(OR(OR($B362="",$E362="",$F362=""),K362&lt;&gt;"نعم"),0,IF(M362="نعم",IF(AND(ISNUMBER(O362),N(O362)&lt;=cfg_VAL_M),G362,0),MAX(0,MIN(F362,cfg_VAL_DATE)-MAX(E362,cfg_Y_START)+1)))</f>
        <v>0</v>
      </c>
      <c r="V362" s="65" t="n">
        <f aca="false">IF(OR($B362="",$E362="",$F362=""),0,MAX(0,MIN($F362,EOMONTH(DATE(cfg_FY,1,1),0))-MAX($E362,DATE(cfg_FY,1,1))+1)*(1-IF($M362="نعم",0,N($J362))))</f>
        <v>0</v>
      </c>
      <c r="W362" s="65" t="n">
        <f aca="false">IF(OR($B362="",$E362="",$F362=""),0,MAX(0,MIN($F362,EOMONTH(DATE(cfg_FY,2,1),0))-MAX($E362,DATE(cfg_FY,2,1))+1)*(1-IF($M362="نعم",0,N($J362))))</f>
        <v>0</v>
      </c>
      <c r="X362" s="65" t="n">
        <f aca="false">IF(OR($B362="",$E362="",$F362=""),0,MAX(0,MIN($F362,EOMONTH(DATE(cfg_FY,3,1),0))-MAX($E362,DATE(cfg_FY,3,1))+1)*(1-IF($M362="نعم",0,N($J362))))</f>
        <v>0</v>
      </c>
      <c r="Y362" s="65" t="n">
        <f aca="false">IF(OR($B362="",$E362="",$F362=""),0,MAX(0,MIN($F362,EOMONTH(DATE(cfg_FY,4,1),0))-MAX($E362,DATE(cfg_FY,4,1))+1)*(1-IF($M362="نعم",0,N($J362))))</f>
        <v>0</v>
      </c>
      <c r="Z362" s="65" t="n">
        <f aca="false">IF(OR($B362="",$E362="",$F362=""),0,MAX(0,MIN($F362,EOMONTH(DATE(cfg_FY,5,1),0))-MAX($E362,DATE(cfg_FY,5,1))+1)*(1-IF($M362="نعم",0,N($J362))))</f>
        <v>0</v>
      </c>
      <c r="AA362" s="65" t="n">
        <f aca="false">IF(OR($B362="",$E362="",$F362=""),0,MAX(0,MIN($F362,EOMONTH(DATE(cfg_FY,6,1),0))-MAX($E362,DATE(cfg_FY,6,1))+1)*(1-IF($M362="نعم",0,N($J362))))</f>
        <v>0</v>
      </c>
      <c r="AB362" s="65" t="n">
        <f aca="false">IF(OR($B362="",$E362="",$F362=""),0,MAX(0,MIN($F362,EOMONTH(DATE(cfg_FY,7,1),0))-MAX($E362,DATE(cfg_FY,7,1))+1)*(1-IF($M362="نعم",0,N($J362))))</f>
        <v>0</v>
      </c>
      <c r="AC362" s="65" t="n">
        <f aca="false">IF(OR($B362="",$E362="",$F362=""),0,MAX(0,MIN($F362,EOMONTH(DATE(cfg_FY,8,1),0))-MAX($E362,DATE(cfg_FY,8,1))+1)*(1-IF($M362="نعم",0,N($J362))))</f>
        <v>0</v>
      </c>
      <c r="AD362" s="65" t="n">
        <f aca="false">IF(OR($B362="",$E362="",$F362=""),0,MAX(0,MIN($F362,EOMONTH(DATE(cfg_FY,9,1),0))-MAX($E362,DATE(cfg_FY,9,1))+1)*(1-IF($M362="نعم",0,N($J362))))</f>
        <v>0</v>
      </c>
      <c r="AE362" s="65" t="n">
        <f aca="false">IF(OR($B362="",$E362="",$F362=""),0,MAX(0,MIN($F362,EOMONTH(DATE(cfg_FY,10,1),0))-MAX($E362,DATE(cfg_FY,10,1))+1)*(1-IF($M362="نعم",0,N($J362))))</f>
        <v>0</v>
      </c>
      <c r="AF362" s="65" t="n">
        <f aca="false">IF(OR($B362="",$E362="",$F362=""),0,MAX(0,MIN($F362,EOMONTH(DATE(cfg_FY,11,1),0))-MAX($E362,DATE(cfg_FY,11,1))+1)*(1-IF($M362="نعم",0,N($J362))))</f>
        <v>0</v>
      </c>
      <c r="AG362" s="65" t="n">
        <f aca="false">IF(OR($B362="",$E362="",$F362=""),0,MAX(0,MIN($F362,EOMONTH(DATE(cfg_FY,12,1),0))-MAX($E362,DATE(cfg_FY,12,1))+1)*(1-IF($M362="نعم",0,N($J362))))</f>
        <v>0</v>
      </c>
      <c r="AH362" s="65" t="n">
        <f aca="false">IF(OR(OR($B362="",$E362="",$F362=""),$L362&lt;&gt;"لا"),0,MAX(0,MIN($F362,EOMONTH(DATE(cfg_FY,1,1),0))-$E362+1))</f>
        <v>0</v>
      </c>
      <c r="AI362" s="65" t="n">
        <f aca="false">IF(OR(OR($B362="",$E362="",$F362=""),$L362&lt;&gt;"لا"),0,MAX(0,MIN($F362,EOMONTH(DATE(cfg_FY,2,1),0))-$E362+1))</f>
        <v>0</v>
      </c>
      <c r="AJ362" s="65" t="n">
        <f aca="false">IF(OR(OR($B362="",$E362="",$F362=""),$L362&lt;&gt;"لا"),0,MAX(0,MIN($F362,EOMONTH(DATE(cfg_FY,3,1),0))-$E362+1))</f>
        <v>0</v>
      </c>
      <c r="AK362" s="65" t="n">
        <f aca="false">IF(OR(OR($B362="",$E362="",$F362=""),$L362&lt;&gt;"لا"),0,MAX(0,MIN($F362,EOMONTH(DATE(cfg_FY,4,1),0))-$E362+1))</f>
        <v>0</v>
      </c>
      <c r="AL362" s="65" t="n">
        <f aca="false">IF(OR(OR($B362="",$E362="",$F362=""),$L362&lt;&gt;"لا"),0,MAX(0,MIN($F362,EOMONTH(DATE(cfg_FY,5,1),0))-$E362+1))</f>
        <v>0</v>
      </c>
      <c r="AM362" s="65" t="n">
        <f aca="false">IF(OR(OR($B362="",$E362="",$F362=""),$L362&lt;&gt;"لا"),0,MAX(0,MIN($F362,EOMONTH(DATE(cfg_FY,6,1),0))-$E362+1))</f>
        <v>0</v>
      </c>
      <c r="AN362" s="65" t="n">
        <f aca="false">IF(OR(OR($B362="",$E362="",$F362=""),$L362&lt;&gt;"لا"),0,MAX(0,MIN($F362,EOMONTH(DATE(cfg_FY,7,1),0))-$E362+1))</f>
        <v>0</v>
      </c>
      <c r="AO362" s="65" t="n">
        <f aca="false">IF(OR(OR($B362="",$E362="",$F362=""),$L362&lt;&gt;"لا"),0,MAX(0,MIN($F362,EOMONTH(DATE(cfg_FY,8,1),0))-$E362+1))</f>
        <v>0</v>
      </c>
      <c r="AP362" s="65" t="n">
        <f aca="false">IF(OR(OR($B362="",$E362="",$F362=""),$L362&lt;&gt;"لا"),0,MAX(0,MIN($F362,EOMONTH(DATE(cfg_FY,9,1),0))-$E362+1))</f>
        <v>0</v>
      </c>
      <c r="AQ362" s="65" t="n">
        <f aca="false">IF(OR(OR($B362="",$E362="",$F362=""),$L362&lt;&gt;"لا"),0,MAX(0,MIN($F362,EOMONTH(DATE(cfg_FY,10,1),0))-$E362+1))</f>
        <v>0</v>
      </c>
      <c r="AR362" s="65" t="n">
        <f aca="false">IF(OR(OR($B362="",$E362="",$F362=""),$L362&lt;&gt;"لا"),0,MAX(0,MIN($F362,EOMONTH(DATE(cfg_FY,11,1),0))-$E362+1))</f>
        <v>0</v>
      </c>
      <c r="AS362" s="65" t="n">
        <f aca="false">IF(OR(OR($B362="",$E362="",$F362=""),$L362&lt;&gt;"لا"),0,MAX(0,MIN($F362,EOMONTH(DATE(cfg_FY,12,1),0))-$E362+1))</f>
        <v>0</v>
      </c>
      <c r="AT362" s="65" t="n">
        <f aca="false">IF(OR(OR($B362="",$E362="",$F362=""),$K362&lt;&gt;"نعم",$M362="نعم"),0,MAX(0,MIN($F362,EOMONTH(DATE(cfg_FY,1,1),0))-MAX($E362,DATE(cfg_FY,1,1))+1))</f>
        <v>0</v>
      </c>
      <c r="AU362" s="65" t="n">
        <f aca="false">IF(OR(OR($B362="",$E362="",$F362=""),$K362&lt;&gt;"نعم",$M362="نعم"),0,MAX(0,MIN($F362,EOMONTH(DATE(cfg_FY,2,1),0))-MAX($E362,DATE(cfg_FY,2,1))+1))</f>
        <v>0</v>
      </c>
      <c r="AV362" s="65" t="n">
        <f aca="false">IF(OR(OR($B362="",$E362="",$F362=""),$K362&lt;&gt;"نعم",$M362="نعم"),0,MAX(0,MIN($F362,EOMONTH(DATE(cfg_FY,3,1),0))-MAX($E362,DATE(cfg_FY,3,1))+1))</f>
        <v>0</v>
      </c>
      <c r="AW362" s="65" t="n">
        <f aca="false">IF(OR(OR($B362="",$E362="",$F362=""),$K362&lt;&gt;"نعم",$M362="نعم"),0,MAX(0,MIN($F362,EOMONTH(DATE(cfg_FY,4,1),0))-MAX($E362,DATE(cfg_FY,4,1))+1))</f>
        <v>0</v>
      </c>
      <c r="AX362" s="65" t="n">
        <f aca="false">IF(OR(OR($B362="",$E362="",$F362=""),$K362&lt;&gt;"نعم",$M362="نعم"),0,MAX(0,MIN($F362,EOMONTH(DATE(cfg_FY,5,1),0))-MAX($E362,DATE(cfg_FY,5,1))+1))</f>
        <v>0</v>
      </c>
      <c r="AY362" s="65" t="n">
        <f aca="false">IF(OR(OR($B362="",$E362="",$F362=""),$K362&lt;&gt;"نعم",$M362="نعم"),0,MAX(0,MIN($F362,EOMONTH(DATE(cfg_FY,6,1),0))-MAX($E362,DATE(cfg_FY,6,1))+1))</f>
        <v>0</v>
      </c>
      <c r="AZ362" s="65" t="n">
        <f aca="false">IF(OR(OR($B362="",$E362="",$F362=""),$K362&lt;&gt;"نعم",$M362="نعم"),0,MAX(0,MIN($F362,EOMONTH(DATE(cfg_FY,7,1),0))-MAX($E362,DATE(cfg_FY,7,1))+1))</f>
        <v>0</v>
      </c>
      <c r="BA362" s="65" t="n">
        <f aca="false">IF(OR(OR($B362="",$E362="",$F362=""),$K362&lt;&gt;"نعم",$M362="نعم"),0,MAX(0,MIN($F362,EOMONTH(DATE(cfg_FY,8,1),0))-MAX($E362,DATE(cfg_FY,8,1))+1))</f>
        <v>0</v>
      </c>
      <c r="BB362" s="65" t="n">
        <f aca="false">IF(OR(OR($B362="",$E362="",$F362=""),$K362&lt;&gt;"نعم",$M362="نعم"),0,MAX(0,MIN($F362,EOMONTH(DATE(cfg_FY,9,1),0))-MAX($E362,DATE(cfg_FY,9,1))+1))</f>
        <v>0</v>
      </c>
      <c r="BC362" s="65" t="n">
        <f aca="false">IF(OR(OR($B362="",$E362="",$F362=""),$K362&lt;&gt;"نعم",$M362="نعم"),0,MAX(0,MIN($F362,EOMONTH(DATE(cfg_FY,10,1),0))-MAX($E362,DATE(cfg_FY,10,1))+1))</f>
        <v>0</v>
      </c>
      <c r="BD362" s="65" t="n">
        <f aca="false">IF(OR(OR($B362="",$E362="",$F362=""),$K362&lt;&gt;"نعم",$M362="نعم"),0,MAX(0,MIN($F362,EOMONTH(DATE(cfg_FY,11,1),0))-MAX($E362,DATE(cfg_FY,11,1))+1))</f>
        <v>0</v>
      </c>
      <c r="BE362" s="65" t="n">
        <f aca="false">IF(OR(OR($B362="",$E362="",$F362=""),$K362&lt;&gt;"نعم",$M362="نعم"),0,MAX(0,MIN($F362,EOMONTH(DATE(cfg_FY,12,1),0))-MAX($E362,DATE(cfg_FY,12,1))+1))</f>
        <v>0</v>
      </c>
    </row>
    <row r="363" customFormat="false" ht="15" hidden="false" customHeight="false" outlineLevel="0" collapsed="false">
      <c r="A363" s="115" t="str">
        <f aca="false">IF(B363="","",ROW()-5)</f>
        <v/>
      </c>
      <c r="B363" s="118"/>
      <c r="C363" s="117" t="str">
        <f aca="false">IF(B363="","",IFERROR(INDEX(الموظفون!$C$6:$C$105,MATCH(B363,الموظفون!$B$6:$B$105,0)),"✖ رقم غير موجود"))</f>
        <v/>
      </c>
      <c r="D363" s="118"/>
      <c r="E363" s="119"/>
      <c r="F363" s="119"/>
      <c r="G363" s="133" t="str">
        <f aca="false">IF(OR($B363="",$E363="",$F363=""),"",MAX(0,F363-E363+1))</f>
        <v/>
      </c>
      <c r="H363" s="134" t="str">
        <f aca="false">IF(D363="","",IFERROR(VLOOKUP(D363,cfg_LT,2,FALSE()),1))</f>
        <v/>
      </c>
      <c r="I363" s="135"/>
      <c r="J363" s="134" t="str">
        <f aca="false">IF(D363="","",IF(I363&lt;&gt;"",I363,H363))</f>
        <v/>
      </c>
      <c r="K363" s="117" t="str">
        <f aca="false">IF(D363="","",IFERROR(VLOOKUP($D363,cfg_LT,3,FALSE()),""))</f>
        <v/>
      </c>
      <c r="L363" s="117" t="str">
        <f aca="false">IF(D363="","",IFERROR(VLOOKUP($D363,cfg_LT,4,FALSE()),""))</f>
        <v/>
      </c>
      <c r="M363" s="117" t="str">
        <f aca="false">IF(D363="","",IFERROR(VLOOKUP($D363,cfg_LT,5,FALSE()),""))</f>
        <v/>
      </c>
      <c r="N363" s="116" t="n">
        <f aca="false">IF(OR(OR($B363="",$E363="",$F363=""),M363&lt;&gt;"نعم"),0,G363*J363*IFERROR(INDEX(الموظفون!$R$6:$R$105,MATCH(B363,الموظفون!$B$6:$B$105,0)),0)/cfg_DAYS_M)</f>
        <v>0</v>
      </c>
      <c r="O363" s="115" t="str">
        <f aca="false">IF(OR(OR($B363="",$E363="",$F363=""),M363&lt;&gt;"نعم"),"",IF(YEAR(E363)=cfg_FY,MONTH(E363),""))</f>
        <v/>
      </c>
      <c r="P363" s="117" t="str">
        <f aca="false">IF(B363="","",IF(OR(D363="",E363="",F363=""),"⚠ أكمل النوع والتواريخ",IF(F363&lt;E363,"✖ النهاية قبل البداية",IF(COUNTIFS($B$6:$B$505,B363,$E$6:$E$505,"&lt;="&amp;F363,$F$6:$F$505,"&gt;="&amp;E363)&gt;1,"⚠ تداخل مع سجل آخر",IF(E363&gt;cfg_VAL_DATE,"⏳ قادمة",IF(F363&lt;cfg_VAL_DATE,"✔ منتهية","✈ جارية في تاريخ التقرير"))))))</f>
        <v/>
      </c>
      <c r="Q363" s="118"/>
      <c r="R363" s="133" t="n">
        <f aca="false">IF(OR(OR($B363="",$E363="",$F363=""),L363&lt;&gt;"لا"),0,MAX(0,MIN(F363,cfg_Y_START-1)-E363+1))</f>
        <v>0</v>
      </c>
      <c r="S363" s="133" t="n">
        <f aca="false">IF(OR(OR($B363="",$E363="",$F363=""),L363&lt;&gt;"لا"),0,MAX(0,MIN(F363,cfg_VAL_DATE)-E363+1))</f>
        <v>0</v>
      </c>
      <c r="T363" s="133" t="n">
        <f aca="false">IF(OR(OR($B363="",$E363="",$F363=""),K363&lt;&gt;"نعم"),0,IF(M363="نعم",IF(AND(ISNUMBER(O363),N(O363)&lt;=cfg_VAL_M),G363,0),MAX(0,MIN(F363,cfg_VAL_DATE)-MAX(E363,cfg_Y_START)+1)))</f>
        <v>0</v>
      </c>
      <c r="V363" s="133" t="n">
        <f aca="false">IF(OR($B363="",$E363="",$F363=""),0,MAX(0,MIN($F363,EOMONTH(DATE(cfg_FY,1,1),0))-MAX($E363,DATE(cfg_FY,1,1))+1)*(1-IF($M363="نعم",0,N($J363))))</f>
        <v>0</v>
      </c>
      <c r="W363" s="133" t="n">
        <f aca="false">IF(OR($B363="",$E363="",$F363=""),0,MAX(0,MIN($F363,EOMONTH(DATE(cfg_FY,2,1),0))-MAX($E363,DATE(cfg_FY,2,1))+1)*(1-IF($M363="نعم",0,N($J363))))</f>
        <v>0</v>
      </c>
      <c r="X363" s="133" t="n">
        <f aca="false">IF(OR($B363="",$E363="",$F363=""),0,MAX(0,MIN($F363,EOMONTH(DATE(cfg_FY,3,1),0))-MAX($E363,DATE(cfg_FY,3,1))+1)*(1-IF($M363="نعم",0,N($J363))))</f>
        <v>0</v>
      </c>
      <c r="Y363" s="133" t="n">
        <f aca="false">IF(OR($B363="",$E363="",$F363=""),0,MAX(0,MIN($F363,EOMONTH(DATE(cfg_FY,4,1),0))-MAX($E363,DATE(cfg_FY,4,1))+1)*(1-IF($M363="نعم",0,N($J363))))</f>
        <v>0</v>
      </c>
      <c r="Z363" s="133" t="n">
        <f aca="false">IF(OR($B363="",$E363="",$F363=""),0,MAX(0,MIN($F363,EOMONTH(DATE(cfg_FY,5,1),0))-MAX($E363,DATE(cfg_FY,5,1))+1)*(1-IF($M363="نعم",0,N($J363))))</f>
        <v>0</v>
      </c>
      <c r="AA363" s="133" t="n">
        <f aca="false">IF(OR($B363="",$E363="",$F363=""),0,MAX(0,MIN($F363,EOMONTH(DATE(cfg_FY,6,1),0))-MAX($E363,DATE(cfg_FY,6,1))+1)*(1-IF($M363="نعم",0,N($J363))))</f>
        <v>0</v>
      </c>
      <c r="AB363" s="133" t="n">
        <f aca="false">IF(OR($B363="",$E363="",$F363=""),0,MAX(0,MIN($F363,EOMONTH(DATE(cfg_FY,7,1),0))-MAX($E363,DATE(cfg_FY,7,1))+1)*(1-IF($M363="نعم",0,N($J363))))</f>
        <v>0</v>
      </c>
      <c r="AC363" s="133" t="n">
        <f aca="false">IF(OR($B363="",$E363="",$F363=""),0,MAX(0,MIN($F363,EOMONTH(DATE(cfg_FY,8,1),0))-MAX($E363,DATE(cfg_FY,8,1))+1)*(1-IF($M363="نعم",0,N($J363))))</f>
        <v>0</v>
      </c>
      <c r="AD363" s="133" t="n">
        <f aca="false">IF(OR($B363="",$E363="",$F363=""),0,MAX(0,MIN($F363,EOMONTH(DATE(cfg_FY,9,1),0))-MAX($E363,DATE(cfg_FY,9,1))+1)*(1-IF($M363="نعم",0,N($J363))))</f>
        <v>0</v>
      </c>
      <c r="AE363" s="133" t="n">
        <f aca="false">IF(OR($B363="",$E363="",$F363=""),0,MAX(0,MIN($F363,EOMONTH(DATE(cfg_FY,10,1),0))-MAX($E363,DATE(cfg_FY,10,1))+1)*(1-IF($M363="نعم",0,N($J363))))</f>
        <v>0</v>
      </c>
      <c r="AF363" s="133" t="n">
        <f aca="false">IF(OR($B363="",$E363="",$F363=""),0,MAX(0,MIN($F363,EOMONTH(DATE(cfg_FY,11,1),0))-MAX($E363,DATE(cfg_FY,11,1))+1)*(1-IF($M363="نعم",0,N($J363))))</f>
        <v>0</v>
      </c>
      <c r="AG363" s="133" t="n">
        <f aca="false">IF(OR($B363="",$E363="",$F363=""),0,MAX(0,MIN($F363,EOMONTH(DATE(cfg_FY,12,1),0))-MAX($E363,DATE(cfg_FY,12,1))+1)*(1-IF($M363="نعم",0,N($J363))))</f>
        <v>0</v>
      </c>
      <c r="AH363" s="133" t="n">
        <f aca="false">IF(OR(OR($B363="",$E363="",$F363=""),$L363&lt;&gt;"لا"),0,MAX(0,MIN($F363,EOMONTH(DATE(cfg_FY,1,1),0))-$E363+1))</f>
        <v>0</v>
      </c>
      <c r="AI363" s="133" t="n">
        <f aca="false">IF(OR(OR($B363="",$E363="",$F363=""),$L363&lt;&gt;"لا"),0,MAX(0,MIN($F363,EOMONTH(DATE(cfg_FY,2,1),0))-$E363+1))</f>
        <v>0</v>
      </c>
      <c r="AJ363" s="133" t="n">
        <f aca="false">IF(OR(OR($B363="",$E363="",$F363=""),$L363&lt;&gt;"لا"),0,MAX(0,MIN($F363,EOMONTH(DATE(cfg_FY,3,1),0))-$E363+1))</f>
        <v>0</v>
      </c>
      <c r="AK363" s="133" t="n">
        <f aca="false">IF(OR(OR($B363="",$E363="",$F363=""),$L363&lt;&gt;"لا"),0,MAX(0,MIN($F363,EOMONTH(DATE(cfg_FY,4,1),0))-$E363+1))</f>
        <v>0</v>
      </c>
      <c r="AL363" s="133" t="n">
        <f aca="false">IF(OR(OR($B363="",$E363="",$F363=""),$L363&lt;&gt;"لا"),0,MAX(0,MIN($F363,EOMONTH(DATE(cfg_FY,5,1),0))-$E363+1))</f>
        <v>0</v>
      </c>
      <c r="AM363" s="133" t="n">
        <f aca="false">IF(OR(OR($B363="",$E363="",$F363=""),$L363&lt;&gt;"لا"),0,MAX(0,MIN($F363,EOMONTH(DATE(cfg_FY,6,1),0))-$E363+1))</f>
        <v>0</v>
      </c>
      <c r="AN363" s="133" t="n">
        <f aca="false">IF(OR(OR($B363="",$E363="",$F363=""),$L363&lt;&gt;"لا"),0,MAX(0,MIN($F363,EOMONTH(DATE(cfg_FY,7,1),0))-$E363+1))</f>
        <v>0</v>
      </c>
      <c r="AO363" s="133" t="n">
        <f aca="false">IF(OR(OR($B363="",$E363="",$F363=""),$L363&lt;&gt;"لا"),0,MAX(0,MIN($F363,EOMONTH(DATE(cfg_FY,8,1),0))-$E363+1))</f>
        <v>0</v>
      </c>
      <c r="AP363" s="133" t="n">
        <f aca="false">IF(OR(OR($B363="",$E363="",$F363=""),$L363&lt;&gt;"لا"),0,MAX(0,MIN($F363,EOMONTH(DATE(cfg_FY,9,1),0))-$E363+1))</f>
        <v>0</v>
      </c>
      <c r="AQ363" s="133" t="n">
        <f aca="false">IF(OR(OR($B363="",$E363="",$F363=""),$L363&lt;&gt;"لا"),0,MAX(0,MIN($F363,EOMONTH(DATE(cfg_FY,10,1),0))-$E363+1))</f>
        <v>0</v>
      </c>
      <c r="AR363" s="133" t="n">
        <f aca="false">IF(OR(OR($B363="",$E363="",$F363=""),$L363&lt;&gt;"لا"),0,MAX(0,MIN($F363,EOMONTH(DATE(cfg_FY,11,1),0))-$E363+1))</f>
        <v>0</v>
      </c>
      <c r="AS363" s="133" t="n">
        <f aca="false">IF(OR(OR($B363="",$E363="",$F363=""),$L363&lt;&gt;"لا"),0,MAX(0,MIN($F363,EOMONTH(DATE(cfg_FY,12,1),0))-$E363+1))</f>
        <v>0</v>
      </c>
      <c r="AT363" s="133" t="n">
        <f aca="false">IF(OR(OR($B363="",$E363="",$F363=""),$K363&lt;&gt;"نعم",$M363="نعم"),0,MAX(0,MIN($F363,EOMONTH(DATE(cfg_FY,1,1),0))-MAX($E363,DATE(cfg_FY,1,1))+1))</f>
        <v>0</v>
      </c>
      <c r="AU363" s="133" t="n">
        <f aca="false">IF(OR(OR($B363="",$E363="",$F363=""),$K363&lt;&gt;"نعم",$M363="نعم"),0,MAX(0,MIN($F363,EOMONTH(DATE(cfg_FY,2,1),0))-MAX($E363,DATE(cfg_FY,2,1))+1))</f>
        <v>0</v>
      </c>
      <c r="AV363" s="133" t="n">
        <f aca="false">IF(OR(OR($B363="",$E363="",$F363=""),$K363&lt;&gt;"نعم",$M363="نعم"),0,MAX(0,MIN($F363,EOMONTH(DATE(cfg_FY,3,1),0))-MAX($E363,DATE(cfg_FY,3,1))+1))</f>
        <v>0</v>
      </c>
      <c r="AW363" s="133" t="n">
        <f aca="false">IF(OR(OR($B363="",$E363="",$F363=""),$K363&lt;&gt;"نعم",$M363="نعم"),0,MAX(0,MIN($F363,EOMONTH(DATE(cfg_FY,4,1),0))-MAX($E363,DATE(cfg_FY,4,1))+1))</f>
        <v>0</v>
      </c>
      <c r="AX363" s="133" t="n">
        <f aca="false">IF(OR(OR($B363="",$E363="",$F363=""),$K363&lt;&gt;"نعم",$M363="نعم"),0,MAX(0,MIN($F363,EOMONTH(DATE(cfg_FY,5,1),0))-MAX($E363,DATE(cfg_FY,5,1))+1))</f>
        <v>0</v>
      </c>
      <c r="AY363" s="133" t="n">
        <f aca="false">IF(OR(OR($B363="",$E363="",$F363=""),$K363&lt;&gt;"نعم",$M363="نعم"),0,MAX(0,MIN($F363,EOMONTH(DATE(cfg_FY,6,1),0))-MAX($E363,DATE(cfg_FY,6,1))+1))</f>
        <v>0</v>
      </c>
      <c r="AZ363" s="133" t="n">
        <f aca="false">IF(OR(OR($B363="",$E363="",$F363=""),$K363&lt;&gt;"نعم",$M363="نعم"),0,MAX(0,MIN($F363,EOMONTH(DATE(cfg_FY,7,1),0))-MAX($E363,DATE(cfg_FY,7,1))+1))</f>
        <v>0</v>
      </c>
      <c r="BA363" s="133" t="n">
        <f aca="false">IF(OR(OR($B363="",$E363="",$F363=""),$K363&lt;&gt;"نعم",$M363="نعم"),0,MAX(0,MIN($F363,EOMONTH(DATE(cfg_FY,8,1),0))-MAX($E363,DATE(cfg_FY,8,1))+1))</f>
        <v>0</v>
      </c>
      <c r="BB363" s="133" t="n">
        <f aca="false">IF(OR(OR($B363="",$E363="",$F363=""),$K363&lt;&gt;"نعم",$M363="نعم"),0,MAX(0,MIN($F363,EOMONTH(DATE(cfg_FY,9,1),0))-MAX($E363,DATE(cfg_FY,9,1))+1))</f>
        <v>0</v>
      </c>
      <c r="BC363" s="133" t="n">
        <f aca="false">IF(OR(OR($B363="",$E363="",$F363=""),$K363&lt;&gt;"نعم",$M363="نعم"),0,MAX(0,MIN($F363,EOMONTH(DATE(cfg_FY,10,1),0))-MAX($E363,DATE(cfg_FY,10,1))+1))</f>
        <v>0</v>
      </c>
      <c r="BD363" s="133" t="n">
        <f aca="false">IF(OR(OR($B363="",$E363="",$F363=""),$K363&lt;&gt;"نعم",$M363="نعم"),0,MAX(0,MIN($F363,EOMONTH(DATE(cfg_FY,11,1),0))-MAX($E363,DATE(cfg_FY,11,1))+1))</f>
        <v>0</v>
      </c>
      <c r="BE363" s="133" t="n">
        <f aca="false">IF(OR(OR($B363="",$E363="",$F363=""),$K363&lt;&gt;"نعم",$M363="نعم"),0,MAX(0,MIN($F363,EOMONTH(DATE(cfg_FY,12,1),0))-MAX($E363,DATE(cfg_FY,12,1))+1))</f>
        <v>0</v>
      </c>
    </row>
    <row r="364" customFormat="false" ht="15" hidden="false" customHeight="false" outlineLevel="0" collapsed="false">
      <c r="A364" s="106" t="str">
        <f aca="false">IF(B364="","",ROW()-5)</f>
        <v/>
      </c>
      <c r="B364" s="118"/>
      <c r="C364" s="114" t="str">
        <f aca="false">IF(B364="","",IFERROR(INDEX(الموظفون!$C$6:$C$105,MATCH(B364,الموظفون!$B$6:$B$105,0)),"✖ رقم غير موجود"))</f>
        <v/>
      </c>
      <c r="D364" s="118"/>
      <c r="E364" s="119"/>
      <c r="F364" s="119"/>
      <c r="G364" s="65" t="str">
        <f aca="false">IF(OR($B364="",$E364="",$F364=""),"",MAX(0,F364-E364+1))</f>
        <v/>
      </c>
      <c r="H364" s="66" t="str">
        <f aca="false">IF(D364="","",IFERROR(VLOOKUP(D364,cfg_LT,2,FALSE()),1))</f>
        <v/>
      </c>
      <c r="I364" s="135"/>
      <c r="J364" s="66" t="str">
        <f aca="false">IF(D364="","",IF(I364&lt;&gt;"",I364,H364))</f>
        <v/>
      </c>
      <c r="K364" s="114" t="str">
        <f aca="false">IF(D364="","",IFERROR(VLOOKUP($D364,cfg_LT,3,FALSE()),""))</f>
        <v/>
      </c>
      <c r="L364" s="114" t="str">
        <f aca="false">IF(D364="","",IFERROR(VLOOKUP($D364,cfg_LT,4,FALSE()),""))</f>
        <v/>
      </c>
      <c r="M364" s="114" t="str">
        <f aca="false">IF(D364="","",IFERROR(VLOOKUP($D364,cfg_LT,5,FALSE()),""))</f>
        <v/>
      </c>
      <c r="N364" s="111" t="n">
        <f aca="false">IF(OR(OR($B364="",$E364="",$F364=""),M364&lt;&gt;"نعم"),0,G364*J364*IFERROR(INDEX(الموظفون!$R$6:$R$105,MATCH(B364,الموظفون!$B$6:$B$105,0)),0)/cfg_DAYS_M)</f>
        <v>0</v>
      </c>
      <c r="O364" s="106" t="str">
        <f aca="false">IF(OR(OR($B364="",$E364="",$F364=""),M364&lt;&gt;"نعم"),"",IF(YEAR(E364)=cfg_FY,MONTH(E364),""))</f>
        <v/>
      </c>
      <c r="P364" s="114" t="str">
        <f aca="false">IF(B364="","",IF(OR(D364="",E364="",F364=""),"⚠ أكمل النوع والتواريخ",IF(F364&lt;E364,"✖ النهاية قبل البداية",IF(COUNTIFS($B$6:$B$505,B364,$E$6:$E$505,"&lt;="&amp;F364,$F$6:$F$505,"&gt;="&amp;E364)&gt;1,"⚠ تداخل مع سجل آخر",IF(E364&gt;cfg_VAL_DATE,"⏳ قادمة",IF(F364&lt;cfg_VAL_DATE,"✔ منتهية","✈ جارية في تاريخ التقرير"))))))</f>
        <v/>
      </c>
      <c r="Q364" s="118"/>
      <c r="R364" s="65" t="n">
        <f aca="false">IF(OR(OR($B364="",$E364="",$F364=""),L364&lt;&gt;"لا"),0,MAX(0,MIN(F364,cfg_Y_START-1)-E364+1))</f>
        <v>0</v>
      </c>
      <c r="S364" s="65" t="n">
        <f aca="false">IF(OR(OR($B364="",$E364="",$F364=""),L364&lt;&gt;"لا"),0,MAX(0,MIN(F364,cfg_VAL_DATE)-E364+1))</f>
        <v>0</v>
      </c>
      <c r="T364" s="65" t="n">
        <f aca="false">IF(OR(OR($B364="",$E364="",$F364=""),K364&lt;&gt;"نعم"),0,IF(M364="نعم",IF(AND(ISNUMBER(O364),N(O364)&lt;=cfg_VAL_M),G364,0),MAX(0,MIN(F364,cfg_VAL_DATE)-MAX(E364,cfg_Y_START)+1)))</f>
        <v>0</v>
      </c>
      <c r="V364" s="65" t="n">
        <f aca="false">IF(OR($B364="",$E364="",$F364=""),0,MAX(0,MIN($F364,EOMONTH(DATE(cfg_FY,1,1),0))-MAX($E364,DATE(cfg_FY,1,1))+1)*(1-IF($M364="نعم",0,N($J364))))</f>
        <v>0</v>
      </c>
      <c r="W364" s="65" t="n">
        <f aca="false">IF(OR($B364="",$E364="",$F364=""),0,MAX(0,MIN($F364,EOMONTH(DATE(cfg_FY,2,1),0))-MAX($E364,DATE(cfg_FY,2,1))+1)*(1-IF($M364="نعم",0,N($J364))))</f>
        <v>0</v>
      </c>
      <c r="X364" s="65" t="n">
        <f aca="false">IF(OR($B364="",$E364="",$F364=""),0,MAX(0,MIN($F364,EOMONTH(DATE(cfg_FY,3,1),0))-MAX($E364,DATE(cfg_FY,3,1))+1)*(1-IF($M364="نعم",0,N($J364))))</f>
        <v>0</v>
      </c>
      <c r="Y364" s="65" t="n">
        <f aca="false">IF(OR($B364="",$E364="",$F364=""),0,MAX(0,MIN($F364,EOMONTH(DATE(cfg_FY,4,1),0))-MAX($E364,DATE(cfg_FY,4,1))+1)*(1-IF($M364="نعم",0,N($J364))))</f>
        <v>0</v>
      </c>
      <c r="Z364" s="65" t="n">
        <f aca="false">IF(OR($B364="",$E364="",$F364=""),0,MAX(0,MIN($F364,EOMONTH(DATE(cfg_FY,5,1),0))-MAX($E364,DATE(cfg_FY,5,1))+1)*(1-IF($M364="نعم",0,N($J364))))</f>
        <v>0</v>
      </c>
      <c r="AA364" s="65" t="n">
        <f aca="false">IF(OR($B364="",$E364="",$F364=""),0,MAX(0,MIN($F364,EOMONTH(DATE(cfg_FY,6,1),0))-MAX($E364,DATE(cfg_FY,6,1))+1)*(1-IF($M364="نعم",0,N($J364))))</f>
        <v>0</v>
      </c>
      <c r="AB364" s="65" t="n">
        <f aca="false">IF(OR($B364="",$E364="",$F364=""),0,MAX(0,MIN($F364,EOMONTH(DATE(cfg_FY,7,1),0))-MAX($E364,DATE(cfg_FY,7,1))+1)*(1-IF($M364="نعم",0,N($J364))))</f>
        <v>0</v>
      </c>
      <c r="AC364" s="65" t="n">
        <f aca="false">IF(OR($B364="",$E364="",$F364=""),0,MAX(0,MIN($F364,EOMONTH(DATE(cfg_FY,8,1),0))-MAX($E364,DATE(cfg_FY,8,1))+1)*(1-IF($M364="نعم",0,N($J364))))</f>
        <v>0</v>
      </c>
      <c r="AD364" s="65" t="n">
        <f aca="false">IF(OR($B364="",$E364="",$F364=""),0,MAX(0,MIN($F364,EOMONTH(DATE(cfg_FY,9,1),0))-MAX($E364,DATE(cfg_FY,9,1))+1)*(1-IF($M364="نعم",0,N($J364))))</f>
        <v>0</v>
      </c>
      <c r="AE364" s="65" t="n">
        <f aca="false">IF(OR($B364="",$E364="",$F364=""),0,MAX(0,MIN($F364,EOMONTH(DATE(cfg_FY,10,1),0))-MAX($E364,DATE(cfg_FY,10,1))+1)*(1-IF($M364="نعم",0,N($J364))))</f>
        <v>0</v>
      </c>
      <c r="AF364" s="65" t="n">
        <f aca="false">IF(OR($B364="",$E364="",$F364=""),0,MAX(0,MIN($F364,EOMONTH(DATE(cfg_FY,11,1),0))-MAX($E364,DATE(cfg_FY,11,1))+1)*(1-IF($M364="نعم",0,N($J364))))</f>
        <v>0</v>
      </c>
      <c r="AG364" s="65" t="n">
        <f aca="false">IF(OR($B364="",$E364="",$F364=""),0,MAX(0,MIN($F364,EOMONTH(DATE(cfg_FY,12,1),0))-MAX($E364,DATE(cfg_FY,12,1))+1)*(1-IF($M364="نعم",0,N($J364))))</f>
        <v>0</v>
      </c>
      <c r="AH364" s="65" t="n">
        <f aca="false">IF(OR(OR($B364="",$E364="",$F364=""),$L364&lt;&gt;"لا"),0,MAX(0,MIN($F364,EOMONTH(DATE(cfg_FY,1,1),0))-$E364+1))</f>
        <v>0</v>
      </c>
      <c r="AI364" s="65" t="n">
        <f aca="false">IF(OR(OR($B364="",$E364="",$F364=""),$L364&lt;&gt;"لا"),0,MAX(0,MIN($F364,EOMONTH(DATE(cfg_FY,2,1),0))-$E364+1))</f>
        <v>0</v>
      </c>
      <c r="AJ364" s="65" t="n">
        <f aca="false">IF(OR(OR($B364="",$E364="",$F364=""),$L364&lt;&gt;"لا"),0,MAX(0,MIN($F364,EOMONTH(DATE(cfg_FY,3,1),0))-$E364+1))</f>
        <v>0</v>
      </c>
      <c r="AK364" s="65" t="n">
        <f aca="false">IF(OR(OR($B364="",$E364="",$F364=""),$L364&lt;&gt;"لا"),0,MAX(0,MIN($F364,EOMONTH(DATE(cfg_FY,4,1),0))-$E364+1))</f>
        <v>0</v>
      </c>
      <c r="AL364" s="65" t="n">
        <f aca="false">IF(OR(OR($B364="",$E364="",$F364=""),$L364&lt;&gt;"لا"),0,MAX(0,MIN($F364,EOMONTH(DATE(cfg_FY,5,1),0))-$E364+1))</f>
        <v>0</v>
      </c>
      <c r="AM364" s="65" t="n">
        <f aca="false">IF(OR(OR($B364="",$E364="",$F364=""),$L364&lt;&gt;"لا"),0,MAX(0,MIN($F364,EOMONTH(DATE(cfg_FY,6,1),0))-$E364+1))</f>
        <v>0</v>
      </c>
      <c r="AN364" s="65" t="n">
        <f aca="false">IF(OR(OR($B364="",$E364="",$F364=""),$L364&lt;&gt;"لا"),0,MAX(0,MIN($F364,EOMONTH(DATE(cfg_FY,7,1),0))-$E364+1))</f>
        <v>0</v>
      </c>
      <c r="AO364" s="65" t="n">
        <f aca="false">IF(OR(OR($B364="",$E364="",$F364=""),$L364&lt;&gt;"لا"),0,MAX(0,MIN($F364,EOMONTH(DATE(cfg_FY,8,1),0))-$E364+1))</f>
        <v>0</v>
      </c>
      <c r="AP364" s="65" t="n">
        <f aca="false">IF(OR(OR($B364="",$E364="",$F364=""),$L364&lt;&gt;"لا"),0,MAX(0,MIN($F364,EOMONTH(DATE(cfg_FY,9,1),0))-$E364+1))</f>
        <v>0</v>
      </c>
      <c r="AQ364" s="65" t="n">
        <f aca="false">IF(OR(OR($B364="",$E364="",$F364=""),$L364&lt;&gt;"لا"),0,MAX(0,MIN($F364,EOMONTH(DATE(cfg_FY,10,1),0))-$E364+1))</f>
        <v>0</v>
      </c>
      <c r="AR364" s="65" t="n">
        <f aca="false">IF(OR(OR($B364="",$E364="",$F364=""),$L364&lt;&gt;"لا"),0,MAX(0,MIN($F364,EOMONTH(DATE(cfg_FY,11,1),0))-$E364+1))</f>
        <v>0</v>
      </c>
      <c r="AS364" s="65" t="n">
        <f aca="false">IF(OR(OR($B364="",$E364="",$F364=""),$L364&lt;&gt;"لا"),0,MAX(0,MIN($F364,EOMONTH(DATE(cfg_FY,12,1),0))-$E364+1))</f>
        <v>0</v>
      </c>
      <c r="AT364" s="65" t="n">
        <f aca="false">IF(OR(OR($B364="",$E364="",$F364=""),$K364&lt;&gt;"نعم",$M364="نعم"),0,MAX(0,MIN($F364,EOMONTH(DATE(cfg_FY,1,1),0))-MAX($E364,DATE(cfg_FY,1,1))+1))</f>
        <v>0</v>
      </c>
      <c r="AU364" s="65" t="n">
        <f aca="false">IF(OR(OR($B364="",$E364="",$F364=""),$K364&lt;&gt;"نعم",$M364="نعم"),0,MAX(0,MIN($F364,EOMONTH(DATE(cfg_FY,2,1),0))-MAX($E364,DATE(cfg_FY,2,1))+1))</f>
        <v>0</v>
      </c>
      <c r="AV364" s="65" t="n">
        <f aca="false">IF(OR(OR($B364="",$E364="",$F364=""),$K364&lt;&gt;"نعم",$M364="نعم"),0,MAX(0,MIN($F364,EOMONTH(DATE(cfg_FY,3,1),0))-MAX($E364,DATE(cfg_FY,3,1))+1))</f>
        <v>0</v>
      </c>
      <c r="AW364" s="65" t="n">
        <f aca="false">IF(OR(OR($B364="",$E364="",$F364=""),$K364&lt;&gt;"نعم",$M364="نعم"),0,MAX(0,MIN($F364,EOMONTH(DATE(cfg_FY,4,1),0))-MAX($E364,DATE(cfg_FY,4,1))+1))</f>
        <v>0</v>
      </c>
      <c r="AX364" s="65" t="n">
        <f aca="false">IF(OR(OR($B364="",$E364="",$F364=""),$K364&lt;&gt;"نعم",$M364="نعم"),0,MAX(0,MIN($F364,EOMONTH(DATE(cfg_FY,5,1),0))-MAX($E364,DATE(cfg_FY,5,1))+1))</f>
        <v>0</v>
      </c>
      <c r="AY364" s="65" t="n">
        <f aca="false">IF(OR(OR($B364="",$E364="",$F364=""),$K364&lt;&gt;"نعم",$M364="نعم"),0,MAX(0,MIN($F364,EOMONTH(DATE(cfg_FY,6,1),0))-MAX($E364,DATE(cfg_FY,6,1))+1))</f>
        <v>0</v>
      </c>
      <c r="AZ364" s="65" t="n">
        <f aca="false">IF(OR(OR($B364="",$E364="",$F364=""),$K364&lt;&gt;"نعم",$M364="نعم"),0,MAX(0,MIN($F364,EOMONTH(DATE(cfg_FY,7,1),0))-MAX($E364,DATE(cfg_FY,7,1))+1))</f>
        <v>0</v>
      </c>
      <c r="BA364" s="65" t="n">
        <f aca="false">IF(OR(OR($B364="",$E364="",$F364=""),$K364&lt;&gt;"نعم",$M364="نعم"),0,MAX(0,MIN($F364,EOMONTH(DATE(cfg_FY,8,1),0))-MAX($E364,DATE(cfg_FY,8,1))+1))</f>
        <v>0</v>
      </c>
      <c r="BB364" s="65" t="n">
        <f aca="false">IF(OR(OR($B364="",$E364="",$F364=""),$K364&lt;&gt;"نعم",$M364="نعم"),0,MAX(0,MIN($F364,EOMONTH(DATE(cfg_FY,9,1),0))-MAX($E364,DATE(cfg_FY,9,1))+1))</f>
        <v>0</v>
      </c>
      <c r="BC364" s="65" t="n">
        <f aca="false">IF(OR(OR($B364="",$E364="",$F364=""),$K364&lt;&gt;"نعم",$M364="نعم"),0,MAX(0,MIN($F364,EOMONTH(DATE(cfg_FY,10,1),0))-MAX($E364,DATE(cfg_FY,10,1))+1))</f>
        <v>0</v>
      </c>
      <c r="BD364" s="65" t="n">
        <f aca="false">IF(OR(OR($B364="",$E364="",$F364=""),$K364&lt;&gt;"نعم",$M364="نعم"),0,MAX(0,MIN($F364,EOMONTH(DATE(cfg_FY,11,1),0))-MAX($E364,DATE(cfg_FY,11,1))+1))</f>
        <v>0</v>
      </c>
      <c r="BE364" s="65" t="n">
        <f aca="false">IF(OR(OR($B364="",$E364="",$F364=""),$K364&lt;&gt;"نعم",$M364="نعم"),0,MAX(0,MIN($F364,EOMONTH(DATE(cfg_FY,12,1),0))-MAX($E364,DATE(cfg_FY,12,1))+1))</f>
        <v>0</v>
      </c>
    </row>
    <row r="365" customFormat="false" ht="15" hidden="false" customHeight="false" outlineLevel="0" collapsed="false">
      <c r="A365" s="115" t="str">
        <f aca="false">IF(B365="","",ROW()-5)</f>
        <v/>
      </c>
      <c r="B365" s="118"/>
      <c r="C365" s="117" t="str">
        <f aca="false">IF(B365="","",IFERROR(INDEX(الموظفون!$C$6:$C$105,MATCH(B365,الموظفون!$B$6:$B$105,0)),"✖ رقم غير موجود"))</f>
        <v/>
      </c>
      <c r="D365" s="118"/>
      <c r="E365" s="119"/>
      <c r="F365" s="119"/>
      <c r="G365" s="133" t="str">
        <f aca="false">IF(OR($B365="",$E365="",$F365=""),"",MAX(0,F365-E365+1))</f>
        <v/>
      </c>
      <c r="H365" s="134" t="str">
        <f aca="false">IF(D365="","",IFERROR(VLOOKUP(D365,cfg_LT,2,FALSE()),1))</f>
        <v/>
      </c>
      <c r="I365" s="135"/>
      <c r="J365" s="134" t="str">
        <f aca="false">IF(D365="","",IF(I365&lt;&gt;"",I365,H365))</f>
        <v/>
      </c>
      <c r="K365" s="117" t="str">
        <f aca="false">IF(D365="","",IFERROR(VLOOKUP($D365,cfg_LT,3,FALSE()),""))</f>
        <v/>
      </c>
      <c r="L365" s="117" t="str">
        <f aca="false">IF(D365="","",IFERROR(VLOOKUP($D365,cfg_LT,4,FALSE()),""))</f>
        <v/>
      </c>
      <c r="M365" s="117" t="str">
        <f aca="false">IF(D365="","",IFERROR(VLOOKUP($D365,cfg_LT,5,FALSE()),""))</f>
        <v/>
      </c>
      <c r="N365" s="116" t="n">
        <f aca="false">IF(OR(OR($B365="",$E365="",$F365=""),M365&lt;&gt;"نعم"),0,G365*J365*IFERROR(INDEX(الموظفون!$R$6:$R$105,MATCH(B365,الموظفون!$B$6:$B$105,0)),0)/cfg_DAYS_M)</f>
        <v>0</v>
      </c>
      <c r="O365" s="115" t="str">
        <f aca="false">IF(OR(OR($B365="",$E365="",$F365=""),M365&lt;&gt;"نعم"),"",IF(YEAR(E365)=cfg_FY,MONTH(E365),""))</f>
        <v/>
      </c>
      <c r="P365" s="117" t="str">
        <f aca="false">IF(B365="","",IF(OR(D365="",E365="",F365=""),"⚠ أكمل النوع والتواريخ",IF(F365&lt;E365,"✖ النهاية قبل البداية",IF(COUNTIFS($B$6:$B$505,B365,$E$6:$E$505,"&lt;="&amp;F365,$F$6:$F$505,"&gt;="&amp;E365)&gt;1,"⚠ تداخل مع سجل آخر",IF(E365&gt;cfg_VAL_DATE,"⏳ قادمة",IF(F365&lt;cfg_VAL_DATE,"✔ منتهية","✈ جارية في تاريخ التقرير"))))))</f>
        <v/>
      </c>
      <c r="Q365" s="118"/>
      <c r="R365" s="133" t="n">
        <f aca="false">IF(OR(OR($B365="",$E365="",$F365=""),L365&lt;&gt;"لا"),0,MAX(0,MIN(F365,cfg_Y_START-1)-E365+1))</f>
        <v>0</v>
      </c>
      <c r="S365" s="133" t="n">
        <f aca="false">IF(OR(OR($B365="",$E365="",$F365=""),L365&lt;&gt;"لا"),0,MAX(0,MIN(F365,cfg_VAL_DATE)-E365+1))</f>
        <v>0</v>
      </c>
      <c r="T365" s="133" t="n">
        <f aca="false">IF(OR(OR($B365="",$E365="",$F365=""),K365&lt;&gt;"نعم"),0,IF(M365="نعم",IF(AND(ISNUMBER(O365),N(O365)&lt;=cfg_VAL_M),G365,0),MAX(0,MIN(F365,cfg_VAL_DATE)-MAX(E365,cfg_Y_START)+1)))</f>
        <v>0</v>
      </c>
      <c r="V365" s="133" t="n">
        <f aca="false">IF(OR($B365="",$E365="",$F365=""),0,MAX(0,MIN($F365,EOMONTH(DATE(cfg_FY,1,1),0))-MAX($E365,DATE(cfg_FY,1,1))+1)*(1-IF($M365="نعم",0,N($J365))))</f>
        <v>0</v>
      </c>
      <c r="W365" s="133" t="n">
        <f aca="false">IF(OR($B365="",$E365="",$F365=""),0,MAX(0,MIN($F365,EOMONTH(DATE(cfg_FY,2,1),0))-MAX($E365,DATE(cfg_FY,2,1))+1)*(1-IF($M365="نعم",0,N($J365))))</f>
        <v>0</v>
      </c>
      <c r="X365" s="133" t="n">
        <f aca="false">IF(OR($B365="",$E365="",$F365=""),0,MAX(0,MIN($F365,EOMONTH(DATE(cfg_FY,3,1),0))-MAX($E365,DATE(cfg_FY,3,1))+1)*(1-IF($M365="نعم",0,N($J365))))</f>
        <v>0</v>
      </c>
      <c r="Y365" s="133" t="n">
        <f aca="false">IF(OR($B365="",$E365="",$F365=""),0,MAX(0,MIN($F365,EOMONTH(DATE(cfg_FY,4,1),0))-MAX($E365,DATE(cfg_FY,4,1))+1)*(1-IF($M365="نعم",0,N($J365))))</f>
        <v>0</v>
      </c>
      <c r="Z365" s="133" t="n">
        <f aca="false">IF(OR($B365="",$E365="",$F365=""),0,MAX(0,MIN($F365,EOMONTH(DATE(cfg_FY,5,1),0))-MAX($E365,DATE(cfg_FY,5,1))+1)*(1-IF($M365="نعم",0,N($J365))))</f>
        <v>0</v>
      </c>
      <c r="AA365" s="133" t="n">
        <f aca="false">IF(OR($B365="",$E365="",$F365=""),0,MAX(0,MIN($F365,EOMONTH(DATE(cfg_FY,6,1),0))-MAX($E365,DATE(cfg_FY,6,1))+1)*(1-IF($M365="نعم",0,N($J365))))</f>
        <v>0</v>
      </c>
      <c r="AB365" s="133" t="n">
        <f aca="false">IF(OR($B365="",$E365="",$F365=""),0,MAX(0,MIN($F365,EOMONTH(DATE(cfg_FY,7,1),0))-MAX($E365,DATE(cfg_FY,7,1))+1)*(1-IF($M365="نعم",0,N($J365))))</f>
        <v>0</v>
      </c>
      <c r="AC365" s="133" t="n">
        <f aca="false">IF(OR($B365="",$E365="",$F365=""),0,MAX(0,MIN($F365,EOMONTH(DATE(cfg_FY,8,1),0))-MAX($E365,DATE(cfg_FY,8,1))+1)*(1-IF($M365="نعم",0,N($J365))))</f>
        <v>0</v>
      </c>
      <c r="AD365" s="133" t="n">
        <f aca="false">IF(OR($B365="",$E365="",$F365=""),0,MAX(0,MIN($F365,EOMONTH(DATE(cfg_FY,9,1),0))-MAX($E365,DATE(cfg_FY,9,1))+1)*(1-IF($M365="نعم",0,N($J365))))</f>
        <v>0</v>
      </c>
      <c r="AE365" s="133" t="n">
        <f aca="false">IF(OR($B365="",$E365="",$F365=""),0,MAX(0,MIN($F365,EOMONTH(DATE(cfg_FY,10,1),0))-MAX($E365,DATE(cfg_FY,10,1))+1)*(1-IF($M365="نعم",0,N($J365))))</f>
        <v>0</v>
      </c>
      <c r="AF365" s="133" t="n">
        <f aca="false">IF(OR($B365="",$E365="",$F365=""),0,MAX(0,MIN($F365,EOMONTH(DATE(cfg_FY,11,1),0))-MAX($E365,DATE(cfg_FY,11,1))+1)*(1-IF($M365="نعم",0,N($J365))))</f>
        <v>0</v>
      </c>
      <c r="AG365" s="133" t="n">
        <f aca="false">IF(OR($B365="",$E365="",$F365=""),0,MAX(0,MIN($F365,EOMONTH(DATE(cfg_FY,12,1),0))-MAX($E365,DATE(cfg_FY,12,1))+1)*(1-IF($M365="نعم",0,N($J365))))</f>
        <v>0</v>
      </c>
      <c r="AH365" s="133" t="n">
        <f aca="false">IF(OR(OR($B365="",$E365="",$F365=""),$L365&lt;&gt;"لا"),0,MAX(0,MIN($F365,EOMONTH(DATE(cfg_FY,1,1),0))-$E365+1))</f>
        <v>0</v>
      </c>
      <c r="AI365" s="133" t="n">
        <f aca="false">IF(OR(OR($B365="",$E365="",$F365=""),$L365&lt;&gt;"لا"),0,MAX(0,MIN($F365,EOMONTH(DATE(cfg_FY,2,1),0))-$E365+1))</f>
        <v>0</v>
      </c>
      <c r="AJ365" s="133" t="n">
        <f aca="false">IF(OR(OR($B365="",$E365="",$F365=""),$L365&lt;&gt;"لا"),0,MAX(0,MIN($F365,EOMONTH(DATE(cfg_FY,3,1),0))-$E365+1))</f>
        <v>0</v>
      </c>
      <c r="AK365" s="133" t="n">
        <f aca="false">IF(OR(OR($B365="",$E365="",$F365=""),$L365&lt;&gt;"لا"),0,MAX(0,MIN($F365,EOMONTH(DATE(cfg_FY,4,1),0))-$E365+1))</f>
        <v>0</v>
      </c>
      <c r="AL365" s="133" t="n">
        <f aca="false">IF(OR(OR($B365="",$E365="",$F365=""),$L365&lt;&gt;"لا"),0,MAX(0,MIN($F365,EOMONTH(DATE(cfg_FY,5,1),0))-$E365+1))</f>
        <v>0</v>
      </c>
      <c r="AM365" s="133" t="n">
        <f aca="false">IF(OR(OR($B365="",$E365="",$F365=""),$L365&lt;&gt;"لا"),0,MAX(0,MIN($F365,EOMONTH(DATE(cfg_FY,6,1),0))-$E365+1))</f>
        <v>0</v>
      </c>
      <c r="AN365" s="133" t="n">
        <f aca="false">IF(OR(OR($B365="",$E365="",$F365=""),$L365&lt;&gt;"لا"),0,MAX(0,MIN($F365,EOMONTH(DATE(cfg_FY,7,1),0))-$E365+1))</f>
        <v>0</v>
      </c>
      <c r="AO365" s="133" t="n">
        <f aca="false">IF(OR(OR($B365="",$E365="",$F365=""),$L365&lt;&gt;"لا"),0,MAX(0,MIN($F365,EOMONTH(DATE(cfg_FY,8,1),0))-$E365+1))</f>
        <v>0</v>
      </c>
      <c r="AP365" s="133" t="n">
        <f aca="false">IF(OR(OR($B365="",$E365="",$F365=""),$L365&lt;&gt;"لا"),0,MAX(0,MIN($F365,EOMONTH(DATE(cfg_FY,9,1),0))-$E365+1))</f>
        <v>0</v>
      </c>
      <c r="AQ365" s="133" t="n">
        <f aca="false">IF(OR(OR($B365="",$E365="",$F365=""),$L365&lt;&gt;"لا"),0,MAX(0,MIN($F365,EOMONTH(DATE(cfg_FY,10,1),0))-$E365+1))</f>
        <v>0</v>
      </c>
      <c r="AR365" s="133" t="n">
        <f aca="false">IF(OR(OR($B365="",$E365="",$F365=""),$L365&lt;&gt;"لا"),0,MAX(0,MIN($F365,EOMONTH(DATE(cfg_FY,11,1),0))-$E365+1))</f>
        <v>0</v>
      </c>
      <c r="AS365" s="133" t="n">
        <f aca="false">IF(OR(OR($B365="",$E365="",$F365=""),$L365&lt;&gt;"لا"),0,MAX(0,MIN($F365,EOMONTH(DATE(cfg_FY,12,1),0))-$E365+1))</f>
        <v>0</v>
      </c>
      <c r="AT365" s="133" t="n">
        <f aca="false">IF(OR(OR($B365="",$E365="",$F365=""),$K365&lt;&gt;"نعم",$M365="نعم"),0,MAX(0,MIN($F365,EOMONTH(DATE(cfg_FY,1,1),0))-MAX($E365,DATE(cfg_FY,1,1))+1))</f>
        <v>0</v>
      </c>
      <c r="AU365" s="133" t="n">
        <f aca="false">IF(OR(OR($B365="",$E365="",$F365=""),$K365&lt;&gt;"نعم",$M365="نعم"),0,MAX(0,MIN($F365,EOMONTH(DATE(cfg_FY,2,1),0))-MAX($E365,DATE(cfg_FY,2,1))+1))</f>
        <v>0</v>
      </c>
      <c r="AV365" s="133" t="n">
        <f aca="false">IF(OR(OR($B365="",$E365="",$F365=""),$K365&lt;&gt;"نعم",$M365="نعم"),0,MAX(0,MIN($F365,EOMONTH(DATE(cfg_FY,3,1),0))-MAX($E365,DATE(cfg_FY,3,1))+1))</f>
        <v>0</v>
      </c>
      <c r="AW365" s="133" t="n">
        <f aca="false">IF(OR(OR($B365="",$E365="",$F365=""),$K365&lt;&gt;"نعم",$M365="نعم"),0,MAX(0,MIN($F365,EOMONTH(DATE(cfg_FY,4,1),0))-MAX($E365,DATE(cfg_FY,4,1))+1))</f>
        <v>0</v>
      </c>
      <c r="AX365" s="133" t="n">
        <f aca="false">IF(OR(OR($B365="",$E365="",$F365=""),$K365&lt;&gt;"نعم",$M365="نعم"),0,MAX(0,MIN($F365,EOMONTH(DATE(cfg_FY,5,1),0))-MAX($E365,DATE(cfg_FY,5,1))+1))</f>
        <v>0</v>
      </c>
      <c r="AY365" s="133" t="n">
        <f aca="false">IF(OR(OR($B365="",$E365="",$F365=""),$K365&lt;&gt;"نعم",$M365="نعم"),0,MAX(0,MIN($F365,EOMONTH(DATE(cfg_FY,6,1),0))-MAX($E365,DATE(cfg_FY,6,1))+1))</f>
        <v>0</v>
      </c>
      <c r="AZ365" s="133" t="n">
        <f aca="false">IF(OR(OR($B365="",$E365="",$F365=""),$K365&lt;&gt;"نعم",$M365="نعم"),0,MAX(0,MIN($F365,EOMONTH(DATE(cfg_FY,7,1),0))-MAX($E365,DATE(cfg_FY,7,1))+1))</f>
        <v>0</v>
      </c>
      <c r="BA365" s="133" t="n">
        <f aca="false">IF(OR(OR($B365="",$E365="",$F365=""),$K365&lt;&gt;"نعم",$M365="نعم"),0,MAX(0,MIN($F365,EOMONTH(DATE(cfg_FY,8,1),0))-MAX($E365,DATE(cfg_FY,8,1))+1))</f>
        <v>0</v>
      </c>
      <c r="BB365" s="133" t="n">
        <f aca="false">IF(OR(OR($B365="",$E365="",$F365=""),$K365&lt;&gt;"نعم",$M365="نعم"),0,MAX(0,MIN($F365,EOMONTH(DATE(cfg_FY,9,1),0))-MAX($E365,DATE(cfg_FY,9,1))+1))</f>
        <v>0</v>
      </c>
      <c r="BC365" s="133" t="n">
        <f aca="false">IF(OR(OR($B365="",$E365="",$F365=""),$K365&lt;&gt;"نعم",$M365="نعم"),0,MAX(0,MIN($F365,EOMONTH(DATE(cfg_FY,10,1),0))-MAX($E365,DATE(cfg_FY,10,1))+1))</f>
        <v>0</v>
      </c>
      <c r="BD365" s="133" t="n">
        <f aca="false">IF(OR(OR($B365="",$E365="",$F365=""),$K365&lt;&gt;"نعم",$M365="نعم"),0,MAX(0,MIN($F365,EOMONTH(DATE(cfg_FY,11,1),0))-MAX($E365,DATE(cfg_FY,11,1))+1))</f>
        <v>0</v>
      </c>
      <c r="BE365" s="133" t="n">
        <f aca="false">IF(OR(OR($B365="",$E365="",$F365=""),$K365&lt;&gt;"نعم",$M365="نعم"),0,MAX(0,MIN($F365,EOMONTH(DATE(cfg_FY,12,1),0))-MAX($E365,DATE(cfg_FY,12,1))+1))</f>
        <v>0</v>
      </c>
    </row>
    <row r="366" customFormat="false" ht="15" hidden="false" customHeight="false" outlineLevel="0" collapsed="false">
      <c r="A366" s="106" t="str">
        <f aca="false">IF(B366="","",ROW()-5)</f>
        <v/>
      </c>
      <c r="B366" s="118"/>
      <c r="C366" s="114" t="str">
        <f aca="false">IF(B366="","",IFERROR(INDEX(الموظفون!$C$6:$C$105,MATCH(B366,الموظفون!$B$6:$B$105,0)),"✖ رقم غير موجود"))</f>
        <v/>
      </c>
      <c r="D366" s="118"/>
      <c r="E366" s="119"/>
      <c r="F366" s="119"/>
      <c r="G366" s="65" t="str">
        <f aca="false">IF(OR($B366="",$E366="",$F366=""),"",MAX(0,F366-E366+1))</f>
        <v/>
      </c>
      <c r="H366" s="66" t="str">
        <f aca="false">IF(D366="","",IFERROR(VLOOKUP(D366,cfg_LT,2,FALSE()),1))</f>
        <v/>
      </c>
      <c r="I366" s="135"/>
      <c r="J366" s="66" t="str">
        <f aca="false">IF(D366="","",IF(I366&lt;&gt;"",I366,H366))</f>
        <v/>
      </c>
      <c r="K366" s="114" t="str">
        <f aca="false">IF(D366="","",IFERROR(VLOOKUP($D366,cfg_LT,3,FALSE()),""))</f>
        <v/>
      </c>
      <c r="L366" s="114" t="str">
        <f aca="false">IF(D366="","",IFERROR(VLOOKUP($D366,cfg_LT,4,FALSE()),""))</f>
        <v/>
      </c>
      <c r="M366" s="114" t="str">
        <f aca="false">IF(D366="","",IFERROR(VLOOKUP($D366,cfg_LT,5,FALSE()),""))</f>
        <v/>
      </c>
      <c r="N366" s="111" t="n">
        <f aca="false">IF(OR(OR($B366="",$E366="",$F366=""),M366&lt;&gt;"نعم"),0,G366*J366*IFERROR(INDEX(الموظفون!$R$6:$R$105,MATCH(B366,الموظفون!$B$6:$B$105,0)),0)/cfg_DAYS_M)</f>
        <v>0</v>
      </c>
      <c r="O366" s="106" t="str">
        <f aca="false">IF(OR(OR($B366="",$E366="",$F366=""),M366&lt;&gt;"نعم"),"",IF(YEAR(E366)=cfg_FY,MONTH(E366),""))</f>
        <v/>
      </c>
      <c r="P366" s="114" t="str">
        <f aca="false">IF(B366="","",IF(OR(D366="",E366="",F366=""),"⚠ أكمل النوع والتواريخ",IF(F366&lt;E366,"✖ النهاية قبل البداية",IF(COUNTIFS($B$6:$B$505,B366,$E$6:$E$505,"&lt;="&amp;F366,$F$6:$F$505,"&gt;="&amp;E366)&gt;1,"⚠ تداخل مع سجل آخر",IF(E366&gt;cfg_VAL_DATE,"⏳ قادمة",IF(F366&lt;cfg_VAL_DATE,"✔ منتهية","✈ جارية في تاريخ التقرير"))))))</f>
        <v/>
      </c>
      <c r="Q366" s="118"/>
      <c r="R366" s="65" t="n">
        <f aca="false">IF(OR(OR($B366="",$E366="",$F366=""),L366&lt;&gt;"لا"),0,MAX(0,MIN(F366,cfg_Y_START-1)-E366+1))</f>
        <v>0</v>
      </c>
      <c r="S366" s="65" t="n">
        <f aca="false">IF(OR(OR($B366="",$E366="",$F366=""),L366&lt;&gt;"لا"),0,MAX(0,MIN(F366,cfg_VAL_DATE)-E366+1))</f>
        <v>0</v>
      </c>
      <c r="T366" s="65" t="n">
        <f aca="false">IF(OR(OR($B366="",$E366="",$F366=""),K366&lt;&gt;"نعم"),0,IF(M366="نعم",IF(AND(ISNUMBER(O366),N(O366)&lt;=cfg_VAL_M),G366,0),MAX(0,MIN(F366,cfg_VAL_DATE)-MAX(E366,cfg_Y_START)+1)))</f>
        <v>0</v>
      </c>
      <c r="V366" s="65" t="n">
        <f aca="false">IF(OR($B366="",$E366="",$F366=""),0,MAX(0,MIN($F366,EOMONTH(DATE(cfg_FY,1,1),0))-MAX($E366,DATE(cfg_FY,1,1))+1)*(1-IF($M366="نعم",0,N($J366))))</f>
        <v>0</v>
      </c>
      <c r="W366" s="65" t="n">
        <f aca="false">IF(OR($B366="",$E366="",$F366=""),0,MAX(0,MIN($F366,EOMONTH(DATE(cfg_FY,2,1),0))-MAX($E366,DATE(cfg_FY,2,1))+1)*(1-IF($M366="نعم",0,N($J366))))</f>
        <v>0</v>
      </c>
      <c r="X366" s="65" t="n">
        <f aca="false">IF(OR($B366="",$E366="",$F366=""),0,MAX(0,MIN($F366,EOMONTH(DATE(cfg_FY,3,1),0))-MAX($E366,DATE(cfg_FY,3,1))+1)*(1-IF($M366="نعم",0,N($J366))))</f>
        <v>0</v>
      </c>
      <c r="Y366" s="65" t="n">
        <f aca="false">IF(OR($B366="",$E366="",$F366=""),0,MAX(0,MIN($F366,EOMONTH(DATE(cfg_FY,4,1),0))-MAX($E366,DATE(cfg_FY,4,1))+1)*(1-IF($M366="نعم",0,N($J366))))</f>
        <v>0</v>
      </c>
      <c r="Z366" s="65" t="n">
        <f aca="false">IF(OR($B366="",$E366="",$F366=""),0,MAX(0,MIN($F366,EOMONTH(DATE(cfg_FY,5,1),0))-MAX($E366,DATE(cfg_FY,5,1))+1)*(1-IF($M366="نعم",0,N($J366))))</f>
        <v>0</v>
      </c>
      <c r="AA366" s="65" t="n">
        <f aca="false">IF(OR($B366="",$E366="",$F366=""),0,MAX(0,MIN($F366,EOMONTH(DATE(cfg_FY,6,1),0))-MAX($E366,DATE(cfg_FY,6,1))+1)*(1-IF($M366="نعم",0,N($J366))))</f>
        <v>0</v>
      </c>
      <c r="AB366" s="65" t="n">
        <f aca="false">IF(OR($B366="",$E366="",$F366=""),0,MAX(0,MIN($F366,EOMONTH(DATE(cfg_FY,7,1),0))-MAX($E366,DATE(cfg_FY,7,1))+1)*(1-IF($M366="نعم",0,N($J366))))</f>
        <v>0</v>
      </c>
      <c r="AC366" s="65" t="n">
        <f aca="false">IF(OR($B366="",$E366="",$F366=""),0,MAX(0,MIN($F366,EOMONTH(DATE(cfg_FY,8,1),0))-MAX($E366,DATE(cfg_FY,8,1))+1)*(1-IF($M366="نعم",0,N($J366))))</f>
        <v>0</v>
      </c>
      <c r="AD366" s="65" t="n">
        <f aca="false">IF(OR($B366="",$E366="",$F366=""),0,MAX(0,MIN($F366,EOMONTH(DATE(cfg_FY,9,1),0))-MAX($E366,DATE(cfg_FY,9,1))+1)*(1-IF($M366="نعم",0,N($J366))))</f>
        <v>0</v>
      </c>
      <c r="AE366" s="65" t="n">
        <f aca="false">IF(OR($B366="",$E366="",$F366=""),0,MAX(0,MIN($F366,EOMONTH(DATE(cfg_FY,10,1),0))-MAX($E366,DATE(cfg_FY,10,1))+1)*(1-IF($M366="نعم",0,N($J366))))</f>
        <v>0</v>
      </c>
      <c r="AF366" s="65" t="n">
        <f aca="false">IF(OR($B366="",$E366="",$F366=""),0,MAX(0,MIN($F366,EOMONTH(DATE(cfg_FY,11,1),0))-MAX($E366,DATE(cfg_FY,11,1))+1)*(1-IF($M366="نعم",0,N($J366))))</f>
        <v>0</v>
      </c>
      <c r="AG366" s="65" t="n">
        <f aca="false">IF(OR($B366="",$E366="",$F366=""),0,MAX(0,MIN($F366,EOMONTH(DATE(cfg_FY,12,1),0))-MAX($E366,DATE(cfg_FY,12,1))+1)*(1-IF($M366="نعم",0,N($J366))))</f>
        <v>0</v>
      </c>
      <c r="AH366" s="65" t="n">
        <f aca="false">IF(OR(OR($B366="",$E366="",$F366=""),$L366&lt;&gt;"لا"),0,MAX(0,MIN($F366,EOMONTH(DATE(cfg_FY,1,1),0))-$E366+1))</f>
        <v>0</v>
      </c>
      <c r="AI366" s="65" t="n">
        <f aca="false">IF(OR(OR($B366="",$E366="",$F366=""),$L366&lt;&gt;"لا"),0,MAX(0,MIN($F366,EOMONTH(DATE(cfg_FY,2,1),0))-$E366+1))</f>
        <v>0</v>
      </c>
      <c r="AJ366" s="65" t="n">
        <f aca="false">IF(OR(OR($B366="",$E366="",$F366=""),$L366&lt;&gt;"لا"),0,MAX(0,MIN($F366,EOMONTH(DATE(cfg_FY,3,1),0))-$E366+1))</f>
        <v>0</v>
      </c>
      <c r="AK366" s="65" t="n">
        <f aca="false">IF(OR(OR($B366="",$E366="",$F366=""),$L366&lt;&gt;"لا"),0,MAX(0,MIN($F366,EOMONTH(DATE(cfg_FY,4,1),0))-$E366+1))</f>
        <v>0</v>
      </c>
      <c r="AL366" s="65" t="n">
        <f aca="false">IF(OR(OR($B366="",$E366="",$F366=""),$L366&lt;&gt;"لا"),0,MAX(0,MIN($F366,EOMONTH(DATE(cfg_FY,5,1),0))-$E366+1))</f>
        <v>0</v>
      </c>
      <c r="AM366" s="65" t="n">
        <f aca="false">IF(OR(OR($B366="",$E366="",$F366=""),$L366&lt;&gt;"لا"),0,MAX(0,MIN($F366,EOMONTH(DATE(cfg_FY,6,1),0))-$E366+1))</f>
        <v>0</v>
      </c>
      <c r="AN366" s="65" t="n">
        <f aca="false">IF(OR(OR($B366="",$E366="",$F366=""),$L366&lt;&gt;"لا"),0,MAX(0,MIN($F366,EOMONTH(DATE(cfg_FY,7,1),0))-$E366+1))</f>
        <v>0</v>
      </c>
      <c r="AO366" s="65" t="n">
        <f aca="false">IF(OR(OR($B366="",$E366="",$F366=""),$L366&lt;&gt;"لا"),0,MAX(0,MIN($F366,EOMONTH(DATE(cfg_FY,8,1),0))-$E366+1))</f>
        <v>0</v>
      </c>
      <c r="AP366" s="65" t="n">
        <f aca="false">IF(OR(OR($B366="",$E366="",$F366=""),$L366&lt;&gt;"لا"),0,MAX(0,MIN($F366,EOMONTH(DATE(cfg_FY,9,1),0))-$E366+1))</f>
        <v>0</v>
      </c>
      <c r="AQ366" s="65" t="n">
        <f aca="false">IF(OR(OR($B366="",$E366="",$F366=""),$L366&lt;&gt;"لا"),0,MAX(0,MIN($F366,EOMONTH(DATE(cfg_FY,10,1),0))-$E366+1))</f>
        <v>0</v>
      </c>
      <c r="AR366" s="65" t="n">
        <f aca="false">IF(OR(OR($B366="",$E366="",$F366=""),$L366&lt;&gt;"لا"),0,MAX(0,MIN($F366,EOMONTH(DATE(cfg_FY,11,1),0))-$E366+1))</f>
        <v>0</v>
      </c>
      <c r="AS366" s="65" t="n">
        <f aca="false">IF(OR(OR($B366="",$E366="",$F366=""),$L366&lt;&gt;"لا"),0,MAX(0,MIN($F366,EOMONTH(DATE(cfg_FY,12,1),0))-$E366+1))</f>
        <v>0</v>
      </c>
      <c r="AT366" s="65" t="n">
        <f aca="false">IF(OR(OR($B366="",$E366="",$F366=""),$K366&lt;&gt;"نعم",$M366="نعم"),0,MAX(0,MIN($F366,EOMONTH(DATE(cfg_FY,1,1),0))-MAX($E366,DATE(cfg_FY,1,1))+1))</f>
        <v>0</v>
      </c>
      <c r="AU366" s="65" t="n">
        <f aca="false">IF(OR(OR($B366="",$E366="",$F366=""),$K366&lt;&gt;"نعم",$M366="نعم"),0,MAX(0,MIN($F366,EOMONTH(DATE(cfg_FY,2,1),0))-MAX($E366,DATE(cfg_FY,2,1))+1))</f>
        <v>0</v>
      </c>
      <c r="AV366" s="65" t="n">
        <f aca="false">IF(OR(OR($B366="",$E366="",$F366=""),$K366&lt;&gt;"نعم",$M366="نعم"),0,MAX(0,MIN($F366,EOMONTH(DATE(cfg_FY,3,1),0))-MAX($E366,DATE(cfg_FY,3,1))+1))</f>
        <v>0</v>
      </c>
      <c r="AW366" s="65" t="n">
        <f aca="false">IF(OR(OR($B366="",$E366="",$F366=""),$K366&lt;&gt;"نعم",$M366="نعم"),0,MAX(0,MIN($F366,EOMONTH(DATE(cfg_FY,4,1),0))-MAX($E366,DATE(cfg_FY,4,1))+1))</f>
        <v>0</v>
      </c>
      <c r="AX366" s="65" t="n">
        <f aca="false">IF(OR(OR($B366="",$E366="",$F366=""),$K366&lt;&gt;"نعم",$M366="نعم"),0,MAX(0,MIN($F366,EOMONTH(DATE(cfg_FY,5,1),0))-MAX($E366,DATE(cfg_FY,5,1))+1))</f>
        <v>0</v>
      </c>
      <c r="AY366" s="65" t="n">
        <f aca="false">IF(OR(OR($B366="",$E366="",$F366=""),$K366&lt;&gt;"نعم",$M366="نعم"),0,MAX(0,MIN($F366,EOMONTH(DATE(cfg_FY,6,1),0))-MAX($E366,DATE(cfg_FY,6,1))+1))</f>
        <v>0</v>
      </c>
      <c r="AZ366" s="65" t="n">
        <f aca="false">IF(OR(OR($B366="",$E366="",$F366=""),$K366&lt;&gt;"نعم",$M366="نعم"),0,MAX(0,MIN($F366,EOMONTH(DATE(cfg_FY,7,1),0))-MAX($E366,DATE(cfg_FY,7,1))+1))</f>
        <v>0</v>
      </c>
      <c r="BA366" s="65" t="n">
        <f aca="false">IF(OR(OR($B366="",$E366="",$F366=""),$K366&lt;&gt;"نعم",$M366="نعم"),0,MAX(0,MIN($F366,EOMONTH(DATE(cfg_FY,8,1),0))-MAX($E366,DATE(cfg_FY,8,1))+1))</f>
        <v>0</v>
      </c>
      <c r="BB366" s="65" t="n">
        <f aca="false">IF(OR(OR($B366="",$E366="",$F366=""),$K366&lt;&gt;"نعم",$M366="نعم"),0,MAX(0,MIN($F366,EOMONTH(DATE(cfg_FY,9,1),0))-MAX($E366,DATE(cfg_FY,9,1))+1))</f>
        <v>0</v>
      </c>
      <c r="BC366" s="65" t="n">
        <f aca="false">IF(OR(OR($B366="",$E366="",$F366=""),$K366&lt;&gt;"نعم",$M366="نعم"),0,MAX(0,MIN($F366,EOMONTH(DATE(cfg_FY,10,1),0))-MAX($E366,DATE(cfg_FY,10,1))+1))</f>
        <v>0</v>
      </c>
      <c r="BD366" s="65" t="n">
        <f aca="false">IF(OR(OR($B366="",$E366="",$F366=""),$K366&lt;&gt;"نعم",$M366="نعم"),0,MAX(0,MIN($F366,EOMONTH(DATE(cfg_FY,11,1),0))-MAX($E366,DATE(cfg_FY,11,1))+1))</f>
        <v>0</v>
      </c>
      <c r="BE366" s="65" t="n">
        <f aca="false">IF(OR(OR($B366="",$E366="",$F366=""),$K366&lt;&gt;"نعم",$M366="نعم"),0,MAX(0,MIN($F366,EOMONTH(DATE(cfg_FY,12,1),0))-MAX($E366,DATE(cfg_FY,12,1))+1))</f>
        <v>0</v>
      </c>
    </row>
    <row r="367" customFormat="false" ht="15" hidden="false" customHeight="false" outlineLevel="0" collapsed="false">
      <c r="A367" s="115" t="str">
        <f aca="false">IF(B367="","",ROW()-5)</f>
        <v/>
      </c>
      <c r="B367" s="118"/>
      <c r="C367" s="117" t="str">
        <f aca="false">IF(B367="","",IFERROR(INDEX(الموظفون!$C$6:$C$105,MATCH(B367,الموظفون!$B$6:$B$105,0)),"✖ رقم غير موجود"))</f>
        <v/>
      </c>
      <c r="D367" s="118"/>
      <c r="E367" s="119"/>
      <c r="F367" s="119"/>
      <c r="G367" s="133" t="str">
        <f aca="false">IF(OR($B367="",$E367="",$F367=""),"",MAX(0,F367-E367+1))</f>
        <v/>
      </c>
      <c r="H367" s="134" t="str">
        <f aca="false">IF(D367="","",IFERROR(VLOOKUP(D367,cfg_LT,2,FALSE()),1))</f>
        <v/>
      </c>
      <c r="I367" s="135"/>
      <c r="J367" s="134" t="str">
        <f aca="false">IF(D367="","",IF(I367&lt;&gt;"",I367,H367))</f>
        <v/>
      </c>
      <c r="K367" s="117" t="str">
        <f aca="false">IF(D367="","",IFERROR(VLOOKUP($D367,cfg_LT,3,FALSE()),""))</f>
        <v/>
      </c>
      <c r="L367" s="117" t="str">
        <f aca="false">IF(D367="","",IFERROR(VLOOKUP($D367,cfg_LT,4,FALSE()),""))</f>
        <v/>
      </c>
      <c r="M367" s="117" t="str">
        <f aca="false">IF(D367="","",IFERROR(VLOOKUP($D367,cfg_LT,5,FALSE()),""))</f>
        <v/>
      </c>
      <c r="N367" s="116" t="n">
        <f aca="false">IF(OR(OR($B367="",$E367="",$F367=""),M367&lt;&gt;"نعم"),0,G367*J367*IFERROR(INDEX(الموظفون!$R$6:$R$105,MATCH(B367,الموظفون!$B$6:$B$105,0)),0)/cfg_DAYS_M)</f>
        <v>0</v>
      </c>
      <c r="O367" s="115" t="str">
        <f aca="false">IF(OR(OR($B367="",$E367="",$F367=""),M367&lt;&gt;"نعم"),"",IF(YEAR(E367)=cfg_FY,MONTH(E367),""))</f>
        <v/>
      </c>
      <c r="P367" s="117" t="str">
        <f aca="false">IF(B367="","",IF(OR(D367="",E367="",F367=""),"⚠ أكمل النوع والتواريخ",IF(F367&lt;E367,"✖ النهاية قبل البداية",IF(COUNTIFS($B$6:$B$505,B367,$E$6:$E$505,"&lt;="&amp;F367,$F$6:$F$505,"&gt;="&amp;E367)&gt;1,"⚠ تداخل مع سجل آخر",IF(E367&gt;cfg_VAL_DATE,"⏳ قادمة",IF(F367&lt;cfg_VAL_DATE,"✔ منتهية","✈ جارية في تاريخ التقرير"))))))</f>
        <v/>
      </c>
      <c r="Q367" s="118"/>
      <c r="R367" s="133" t="n">
        <f aca="false">IF(OR(OR($B367="",$E367="",$F367=""),L367&lt;&gt;"لا"),0,MAX(0,MIN(F367,cfg_Y_START-1)-E367+1))</f>
        <v>0</v>
      </c>
      <c r="S367" s="133" t="n">
        <f aca="false">IF(OR(OR($B367="",$E367="",$F367=""),L367&lt;&gt;"لا"),0,MAX(0,MIN(F367,cfg_VAL_DATE)-E367+1))</f>
        <v>0</v>
      </c>
      <c r="T367" s="133" t="n">
        <f aca="false">IF(OR(OR($B367="",$E367="",$F367=""),K367&lt;&gt;"نعم"),0,IF(M367="نعم",IF(AND(ISNUMBER(O367),N(O367)&lt;=cfg_VAL_M),G367,0),MAX(0,MIN(F367,cfg_VAL_DATE)-MAX(E367,cfg_Y_START)+1)))</f>
        <v>0</v>
      </c>
      <c r="V367" s="133" t="n">
        <f aca="false">IF(OR($B367="",$E367="",$F367=""),0,MAX(0,MIN($F367,EOMONTH(DATE(cfg_FY,1,1),0))-MAX($E367,DATE(cfg_FY,1,1))+1)*(1-IF($M367="نعم",0,N($J367))))</f>
        <v>0</v>
      </c>
      <c r="W367" s="133" t="n">
        <f aca="false">IF(OR($B367="",$E367="",$F367=""),0,MAX(0,MIN($F367,EOMONTH(DATE(cfg_FY,2,1),0))-MAX($E367,DATE(cfg_FY,2,1))+1)*(1-IF($M367="نعم",0,N($J367))))</f>
        <v>0</v>
      </c>
      <c r="X367" s="133" t="n">
        <f aca="false">IF(OR($B367="",$E367="",$F367=""),0,MAX(0,MIN($F367,EOMONTH(DATE(cfg_FY,3,1),0))-MAX($E367,DATE(cfg_FY,3,1))+1)*(1-IF($M367="نعم",0,N($J367))))</f>
        <v>0</v>
      </c>
      <c r="Y367" s="133" t="n">
        <f aca="false">IF(OR($B367="",$E367="",$F367=""),0,MAX(0,MIN($F367,EOMONTH(DATE(cfg_FY,4,1),0))-MAX($E367,DATE(cfg_FY,4,1))+1)*(1-IF($M367="نعم",0,N($J367))))</f>
        <v>0</v>
      </c>
      <c r="Z367" s="133" t="n">
        <f aca="false">IF(OR($B367="",$E367="",$F367=""),0,MAX(0,MIN($F367,EOMONTH(DATE(cfg_FY,5,1),0))-MAX($E367,DATE(cfg_FY,5,1))+1)*(1-IF($M367="نعم",0,N($J367))))</f>
        <v>0</v>
      </c>
      <c r="AA367" s="133" t="n">
        <f aca="false">IF(OR($B367="",$E367="",$F367=""),0,MAX(0,MIN($F367,EOMONTH(DATE(cfg_FY,6,1),0))-MAX($E367,DATE(cfg_FY,6,1))+1)*(1-IF($M367="نعم",0,N($J367))))</f>
        <v>0</v>
      </c>
      <c r="AB367" s="133" t="n">
        <f aca="false">IF(OR($B367="",$E367="",$F367=""),0,MAX(0,MIN($F367,EOMONTH(DATE(cfg_FY,7,1),0))-MAX($E367,DATE(cfg_FY,7,1))+1)*(1-IF($M367="نعم",0,N($J367))))</f>
        <v>0</v>
      </c>
      <c r="AC367" s="133" t="n">
        <f aca="false">IF(OR($B367="",$E367="",$F367=""),0,MAX(0,MIN($F367,EOMONTH(DATE(cfg_FY,8,1),0))-MAX($E367,DATE(cfg_FY,8,1))+1)*(1-IF($M367="نعم",0,N($J367))))</f>
        <v>0</v>
      </c>
      <c r="AD367" s="133" t="n">
        <f aca="false">IF(OR($B367="",$E367="",$F367=""),0,MAX(0,MIN($F367,EOMONTH(DATE(cfg_FY,9,1),0))-MAX($E367,DATE(cfg_FY,9,1))+1)*(1-IF($M367="نعم",0,N($J367))))</f>
        <v>0</v>
      </c>
      <c r="AE367" s="133" t="n">
        <f aca="false">IF(OR($B367="",$E367="",$F367=""),0,MAX(0,MIN($F367,EOMONTH(DATE(cfg_FY,10,1),0))-MAX($E367,DATE(cfg_FY,10,1))+1)*(1-IF($M367="نعم",0,N($J367))))</f>
        <v>0</v>
      </c>
      <c r="AF367" s="133" t="n">
        <f aca="false">IF(OR($B367="",$E367="",$F367=""),0,MAX(0,MIN($F367,EOMONTH(DATE(cfg_FY,11,1),0))-MAX($E367,DATE(cfg_FY,11,1))+1)*(1-IF($M367="نعم",0,N($J367))))</f>
        <v>0</v>
      </c>
      <c r="AG367" s="133" t="n">
        <f aca="false">IF(OR($B367="",$E367="",$F367=""),0,MAX(0,MIN($F367,EOMONTH(DATE(cfg_FY,12,1),0))-MAX($E367,DATE(cfg_FY,12,1))+1)*(1-IF($M367="نعم",0,N($J367))))</f>
        <v>0</v>
      </c>
      <c r="AH367" s="133" t="n">
        <f aca="false">IF(OR(OR($B367="",$E367="",$F367=""),$L367&lt;&gt;"لا"),0,MAX(0,MIN($F367,EOMONTH(DATE(cfg_FY,1,1),0))-$E367+1))</f>
        <v>0</v>
      </c>
      <c r="AI367" s="133" t="n">
        <f aca="false">IF(OR(OR($B367="",$E367="",$F367=""),$L367&lt;&gt;"لا"),0,MAX(0,MIN($F367,EOMONTH(DATE(cfg_FY,2,1),0))-$E367+1))</f>
        <v>0</v>
      </c>
      <c r="AJ367" s="133" t="n">
        <f aca="false">IF(OR(OR($B367="",$E367="",$F367=""),$L367&lt;&gt;"لا"),0,MAX(0,MIN($F367,EOMONTH(DATE(cfg_FY,3,1),0))-$E367+1))</f>
        <v>0</v>
      </c>
      <c r="AK367" s="133" t="n">
        <f aca="false">IF(OR(OR($B367="",$E367="",$F367=""),$L367&lt;&gt;"لا"),0,MAX(0,MIN($F367,EOMONTH(DATE(cfg_FY,4,1),0))-$E367+1))</f>
        <v>0</v>
      </c>
      <c r="AL367" s="133" t="n">
        <f aca="false">IF(OR(OR($B367="",$E367="",$F367=""),$L367&lt;&gt;"لا"),0,MAX(0,MIN($F367,EOMONTH(DATE(cfg_FY,5,1),0))-$E367+1))</f>
        <v>0</v>
      </c>
      <c r="AM367" s="133" t="n">
        <f aca="false">IF(OR(OR($B367="",$E367="",$F367=""),$L367&lt;&gt;"لا"),0,MAX(0,MIN($F367,EOMONTH(DATE(cfg_FY,6,1),0))-$E367+1))</f>
        <v>0</v>
      </c>
      <c r="AN367" s="133" t="n">
        <f aca="false">IF(OR(OR($B367="",$E367="",$F367=""),$L367&lt;&gt;"لا"),0,MAX(0,MIN($F367,EOMONTH(DATE(cfg_FY,7,1),0))-$E367+1))</f>
        <v>0</v>
      </c>
      <c r="AO367" s="133" t="n">
        <f aca="false">IF(OR(OR($B367="",$E367="",$F367=""),$L367&lt;&gt;"لا"),0,MAX(0,MIN($F367,EOMONTH(DATE(cfg_FY,8,1),0))-$E367+1))</f>
        <v>0</v>
      </c>
      <c r="AP367" s="133" t="n">
        <f aca="false">IF(OR(OR($B367="",$E367="",$F367=""),$L367&lt;&gt;"لا"),0,MAX(0,MIN($F367,EOMONTH(DATE(cfg_FY,9,1),0))-$E367+1))</f>
        <v>0</v>
      </c>
      <c r="AQ367" s="133" t="n">
        <f aca="false">IF(OR(OR($B367="",$E367="",$F367=""),$L367&lt;&gt;"لا"),0,MAX(0,MIN($F367,EOMONTH(DATE(cfg_FY,10,1),0))-$E367+1))</f>
        <v>0</v>
      </c>
      <c r="AR367" s="133" t="n">
        <f aca="false">IF(OR(OR($B367="",$E367="",$F367=""),$L367&lt;&gt;"لا"),0,MAX(0,MIN($F367,EOMONTH(DATE(cfg_FY,11,1),0))-$E367+1))</f>
        <v>0</v>
      </c>
      <c r="AS367" s="133" t="n">
        <f aca="false">IF(OR(OR($B367="",$E367="",$F367=""),$L367&lt;&gt;"لا"),0,MAX(0,MIN($F367,EOMONTH(DATE(cfg_FY,12,1),0))-$E367+1))</f>
        <v>0</v>
      </c>
      <c r="AT367" s="133" t="n">
        <f aca="false">IF(OR(OR($B367="",$E367="",$F367=""),$K367&lt;&gt;"نعم",$M367="نعم"),0,MAX(0,MIN($F367,EOMONTH(DATE(cfg_FY,1,1),0))-MAX($E367,DATE(cfg_FY,1,1))+1))</f>
        <v>0</v>
      </c>
      <c r="AU367" s="133" t="n">
        <f aca="false">IF(OR(OR($B367="",$E367="",$F367=""),$K367&lt;&gt;"نعم",$M367="نعم"),0,MAX(0,MIN($F367,EOMONTH(DATE(cfg_FY,2,1),0))-MAX($E367,DATE(cfg_FY,2,1))+1))</f>
        <v>0</v>
      </c>
      <c r="AV367" s="133" t="n">
        <f aca="false">IF(OR(OR($B367="",$E367="",$F367=""),$K367&lt;&gt;"نعم",$M367="نعم"),0,MAX(0,MIN($F367,EOMONTH(DATE(cfg_FY,3,1),0))-MAX($E367,DATE(cfg_FY,3,1))+1))</f>
        <v>0</v>
      </c>
      <c r="AW367" s="133" t="n">
        <f aca="false">IF(OR(OR($B367="",$E367="",$F367=""),$K367&lt;&gt;"نعم",$M367="نعم"),0,MAX(0,MIN($F367,EOMONTH(DATE(cfg_FY,4,1),0))-MAX($E367,DATE(cfg_FY,4,1))+1))</f>
        <v>0</v>
      </c>
      <c r="AX367" s="133" t="n">
        <f aca="false">IF(OR(OR($B367="",$E367="",$F367=""),$K367&lt;&gt;"نعم",$M367="نعم"),0,MAX(0,MIN($F367,EOMONTH(DATE(cfg_FY,5,1),0))-MAX($E367,DATE(cfg_FY,5,1))+1))</f>
        <v>0</v>
      </c>
      <c r="AY367" s="133" t="n">
        <f aca="false">IF(OR(OR($B367="",$E367="",$F367=""),$K367&lt;&gt;"نعم",$M367="نعم"),0,MAX(0,MIN($F367,EOMONTH(DATE(cfg_FY,6,1),0))-MAX($E367,DATE(cfg_FY,6,1))+1))</f>
        <v>0</v>
      </c>
      <c r="AZ367" s="133" t="n">
        <f aca="false">IF(OR(OR($B367="",$E367="",$F367=""),$K367&lt;&gt;"نعم",$M367="نعم"),0,MAX(0,MIN($F367,EOMONTH(DATE(cfg_FY,7,1),0))-MAX($E367,DATE(cfg_FY,7,1))+1))</f>
        <v>0</v>
      </c>
      <c r="BA367" s="133" t="n">
        <f aca="false">IF(OR(OR($B367="",$E367="",$F367=""),$K367&lt;&gt;"نعم",$M367="نعم"),0,MAX(0,MIN($F367,EOMONTH(DATE(cfg_FY,8,1),0))-MAX($E367,DATE(cfg_FY,8,1))+1))</f>
        <v>0</v>
      </c>
      <c r="BB367" s="133" t="n">
        <f aca="false">IF(OR(OR($B367="",$E367="",$F367=""),$K367&lt;&gt;"نعم",$M367="نعم"),0,MAX(0,MIN($F367,EOMONTH(DATE(cfg_FY,9,1),0))-MAX($E367,DATE(cfg_FY,9,1))+1))</f>
        <v>0</v>
      </c>
      <c r="BC367" s="133" t="n">
        <f aca="false">IF(OR(OR($B367="",$E367="",$F367=""),$K367&lt;&gt;"نعم",$M367="نعم"),0,MAX(0,MIN($F367,EOMONTH(DATE(cfg_FY,10,1),0))-MAX($E367,DATE(cfg_FY,10,1))+1))</f>
        <v>0</v>
      </c>
      <c r="BD367" s="133" t="n">
        <f aca="false">IF(OR(OR($B367="",$E367="",$F367=""),$K367&lt;&gt;"نعم",$M367="نعم"),0,MAX(0,MIN($F367,EOMONTH(DATE(cfg_FY,11,1),0))-MAX($E367,DATE(cfg_FY,11,1))+1))</f>
        <v>0</v>
      </c>
      <c r="BE367" s="133" t="n">
        <f aca="false">IF(OR(OR($B367="",$E367="",$F367=""),$K367&lt;&gt;"نعم",$M367="نعم"),0,MAX(0,MIN($F367,EOMONTH(DATE(cfg_FY,12,1),0))-MAX($E367,DATE(cfg_FY,12,1))+1))</f>
        <v>0</v>
      </c>
    </row>
    <row r="368" customFormat="false" ht="15" hidden="false" customHeight="false" outlineLevel="0" collapsed="false">
      <c r="A368" s="106" t="str">
        <f aca="false">IF(B368="","",ROW()-5)</f>
        <v/>
      </c>
      <c r="B368" s="118"/>
      <c r="C368" s="114" t="str">
        <f aca="false">IF(B368="","",IFERROR(INDEX(الموظفون!$C$6:$C$105,MATCH(B368,الموظفون!$B$6:$B$105,0)),"✖ رقم غير موجود"))</f>
        <v/>
      </c>
      <c r="D368" s="118"/>
      <c r="E368" s="119"/>
      <c r="F368" s="119"/>
      <c r="G368" s="65" t="str">
        <f aca="false">IF(OR($B368="",$E368="",$F368=""),"",MAX(0,F368-E368+1))</f>
        <v/>
      </c>
      <c r="H368" s="66" t="str">
        <f aca="false">IF(D368="","",IFERROR(VLOOKUP(D368,cfg_LT,2,FALSE()),1))</f>
        <v/>
      </c>
      <c r="I368" s="135"/>
      <c r="J368" s="66" t="str">
        <f aca="false">IF(D368="","",IF(I368&lt;&gt;"",I368,H368))</f>
        <v/>
      </c>
      <c r="K368" s="114" t="str">
        <f aca="false">IF(D368="","",IFERROR(VLOOKUP($D368,cfg_LT,3,FALSE()),""))</f>
        <v/>
      </c>
      <c r="L368" s="114" t="str">
        <f aca="false">IF(D368="","",IFERROR(VLOOKUP($D368,cfg_LT,4,FALSE()),""))</f>
        <v/>
      </c>
      <c r="M368" s="114" t="str">
        <f aca="false">IF(D368="","",IFERROR(VLOOKUP($D368,cfg_LT,5,FALSE()),""))</f>
        <v/>
      </c>
      <c r="N368" s="111" t="n">
        <f aca="false">IF(OR(OR($B368="",$E368="",$F368=""),M368&lt;&gt;"نعم"),0,G368*J368*IFERROR(INDEX(الموظفون!$R$6:$R$105,MATCH(B368,الموظفون!$B$6:$B$105,0)),0)/cfg_DAYS_M)</f>
        <v>0</v>
      </c>
      <c r="O368" s="106" t="str">
        <f aca="false">IF(OR(OR($B368="",$E368="",$F368=""),M368&lt;&gt;"نعم"),"",IF(YEAR(E368)=cfg_FY,MONTH(E368),""))</f>
        <v/>
      </c>
      <c r="P368" s="114" t="str">
        <f aca="false">IF(B368="","",IF(OR(D368="",E368="",F368=""),"⚠ أكمل النوع والتواريخ",IF(F368&lt;E368,"✖ النهاية قبل البداية",IF(COUNTIFS($B$6:$B$505,B368,$E$6:$E$505,"&lt;="&amp;F368,$F$6:$F$505,"&gt;="&amp;E368)&gt;1,"⚠ تداخل مع سجل آخر",IF(E368&gt;cfg_VAL_DATE,"⏳ قادمة",IF(F368&lt;cfg_VAL_DATE,"✔ منتهية","✈ جارية في تاريخ التقرير"))))))</f>
        <v/>
      </c>
      <c r="Q368" s="118"/>
      <c r="R368" s="65" t="n">
        <f aca="false">IF(OR(OR($B368="",$E368="",$F368=""),L368&lt;&gt;"لا"),0,MAX(0,MIN(F368,cfg_Y_START-1)-E368+1))</f>
        <v>0</v>
      </c>
      <c r="S368" s="65" t="n">
        <f aca="false">IF(OR(OR($B368="",$E368="",$F368=""),L368&lt;&gt;"لا"),0,MAX(0,MIN(F368,cfg_VAL_DATE)-E368+1))</f>
        <v>0</v>
      </c>
      <c r="T368" s="65" t="n">
        <f aca="false">IF(OR(OR($B368="",$E368="",$F368=""),K368&lt;&gt;"نعم"),0,IF(M368="نعم",IF(AND(ISNUMBER(O368),N(O368)&lt;=cfg_VAL_M),G368,0),MAX(0,MIN(F368,cfg_VAL_DATE)-MAX(E368,cfg_Y_START)+1)))</f>
        <v>0</v>
      </c>
      <c r="V368" s="65" t="n">
        <f aca="false">IF(OR($B368="",$E368="",$F368=""),0,MAX(0,MIN($F368,EOMONTH(DATE(cfg_FY,1,1),0))-MAX($E368,DATE(cfg_FY,1,1))+1)*(1-IF($M368="نعم",0,N($J368))))</f>
        <v>0</v>
      </c>
      <c r="W368" s="65" t="n">
        <f aca="false">IF(OR($B368="",$E368="",$F368=""),0,MAX(0,MIN($F368,EOMONTH(DATE(cfg_FY,2,1),0))-MAX($E368,DATE(cfg_FY,2,1))+1)*(1-IF($M368="نعم",0,N($J368))))</f>
        <v>0</v>
      </c>
      <c r="X368" s="65" t="n">
        <f aca="false">IF(OR($B368="",$E368="",$F368=""),0,MAX(0,MIN($F368,EOMONTH(DATE(cfg_FY,3,1),0))-MAX($E368,DATE(cfg_FY,3,1))+1)*(1-IF($M368="نعم",0,N($J368))))</f>
        <v>0</v>
      </c>
      <c r="Y368" s="65" t="n">
        <f aca="false">IF(OR($B368="",$E368="",$F368=""),0,MAX(0,MIN($F368,EOMONTH(DATE(cfg_FY,4,1),0))-MAX($E368,DATE(cfg_FY,4,1))+1)*(1-IF($M368="نعم",0,N($J368))))</f>
        <v>0</v>
      </c>
      <c r="Z368" s="65" t="n">
        <f aca="false">IF(OR($B368="",$E368="",$F368=""),0,MAX(0,MIN($F368,EOMONTH(DATE(cfg_FY,5,1),0))-MAX($E368,DATE(cfg_FY,5,1))+1)*(1-IF($M368="نعم",0,N($J368))))</f>
        <v>0</v>
      </c>
      <c r="AA368" s="65" t="n">
        <f aca="false">IF(OR($B368="",$E368="",$F368=""),0,MAX(0,MIN($F368,EOMONTH(DATE(cfg_FY,6,1),0))-MAX($E368,DATE(cfg_FY,6,1))+1)*(1-IF($M368="نعم",0,N($J368))))</f>
        <v>0</v>
      </c>
      <c r="AB368" s="65" t="n">
        <f aca="false">IF(OR($B368="",$E368="",$F368=""),0,MAX(0,MIN($F368,EOMONTH(DATE(cfg_FY,7,1),0))-MAX($E368,DATE(cfg_FY,7,1))+1)*(1-IF($M368="نعم",0,N($J368))))</f>
        <v>0</v>
      </c>
      <c r="AC368" s="65" t="n">
        <f aca="false">IF(OR($B368="",$E368="",$F368=""),0,MAX(0,MIN($F368,EOMONTH(DATE(cfg_FY,8,1),0))-MAX($E368,DATE(cfg_FY,8,1))+1)*(1-IF($M368="نعم",0,N($J368))))</f>
        <v>0</v>
      </c>
      <c r="AD368" s="65" t="n">
        <f aca="false">IF(OR($B368="",$E368="",$F368=""),0,MAX(0,MIN($F368,EOMONTH(DATE(cfg_FY,9,1),0))-MAX($E368,DATE(cfg_FY,9,1))+1)*(1-IF($M368="نعم",0,N($J368))))</f>
        <v>0</v>
      </c>
      <c r="AE368" s="65" t="n">
        <f aca="false">IF(OR($B368="",$E368="",$F368=""),0,MAX(0,MIN($F368,EOMONTH(DATE(cfg_FY,10,1),0))-MAX($E368,DATE(cfg_FY,10,1))+1)*(1-IF($M368="نعم",0,N($J368))))</f>
        <v>0</v>
      </c>
      <c r="AF368" s="65" t="n">
        <f aca="false">IF(OR($B368="",$E368="",$F368=""),0,MAX(0,MIN($F368,EOMONTH(DATE(cfg_FY,11,1),0))-MAX($E368,DATE(cfg_FY,11,1))+1)*(1-IF($M368="نعم",0,N($J368))))</f>
        <v>0</v>
      </c>
      <c r="AG368" s="65" t="n">
        <f aca="false">IF(OR($B368="",$E368="",$F368=""),0,MAX(0,MIN($F368,EOMONTH(DATE(cfg_FY,12,1),0))-MAX($E368,DATE(cfg_FY,12,1))+1)*(1-IF($M368="نعم",0,N($J368))))</f>
        <v>0</v>
      </c>
      <c r="AH368" s="65" t="n">
        <f aca="false">IF(OR(OR($B368="",$E368="",$F368=""),$L368&lt;&gt;"لا"),0,MAX(0,MIN($F368,EOMONTH(DATE(cfg_FY,1,1),0))-$E368+1))</f>
        <v>0</v>
      </c>
      <c r="AI368" s="65" t="n">
        <f aca="false">IF(OR(OR($B368="",$E368="",$F368=""),$L368&lt;&gt;"لا"),0,MAX(0,MIN($F368,EOMONTH(DATE(cfg_FY,2,1),0))-$E368+1))</f>
        <v>0</v>
      </c>
      <c r="AJ368" s="65" t="n">
        <f aca="false">IF(OR(OR($B368="",$E368="",$F368=""),$L368&lt;&gt;"لا"),0,MAX(0,MIN($F368,EOMONTH(DATE(cfg_FY,3,1),0))-$E368+1))</f>
        <v>0</v>
      </c>
      <c r="AK368" s="65" t="n">
        <f aca="false">IF(OR(OR($B368="",$E368="",$F368=""),$L368&lt;&gt;"لا"),0,MAX(0,MIN($F368,EOMONTH(DATE(cfg_FY,4,1),0))-$E368+1))</f>
        <v>0</v>
      </c>
      <c r="AL368" s="65" t="n">
        <f aca="false">IF(OR(OR($B368="",$E368="",$F368=""),$L368&lt;&gt;"لا"),0,MAX(0,MIN($F368,EOMONTH(DATE(cfg_FY,5,1),0))-$E368+1))</f>
        <v>0</v>
      </c>
      <c r="AM368" s="65" t="n">
        <f aca="false">IF(OR(OR($B368="",$E368="",$F368=""),$L368&lt;&gt;"لا"),0,MAX(0,MIN($F368,EOMONTH(DATE(cfg_FY,6,1),0))-$E368+1))</f>
        <v>0</v>
      </c>
      <c r="AN368" s="65" t="n">
        <f aca="false">IF(OR(OR($B368="",$E368="",$F368=""),$L368&lt;&gt;"لا"),0,MAX(0,MIN($F368,EOMONTH(DATE(cfg_FY,7,1),0))-$E368+1))</f>
        <v>0</v>
      </c>
      <c r="AO368" s="65" t="n">
        <f aca="false">IF(OR(OR($B368="",$E368="",$F368=""),$L368&lt;&gt;"لا"),0,MAX(0,MIN($F368,EOMONTH(DATE(cfg_FY,8,1),0))-$E368+1))</f>
        <v>0</v>
      </c>
      <c r="AP368" s="65" t="n">
        <f aca="false">IF(OR(OR($B368="",$E368="",$F368=""),$L368&lt;&gt;"لا"),0,MAX(0,MIN($F368,EOMONTH(DATE(cfg_FY,9,1),0))-$E368+1))</f>
        <v>0</v>
      </c>
      <c r="AQ368" s="65" t="n">
        <f aca="false">IF(OR(OR($B368="",$E368="",$F368=""),$L368&lt;&gt;"لا"),0,MAX(0,MIN($F368,EOMONTH(DATE(cfg_FY,10,1),0))-$E368+1))</f>
        <v>0</v>
      </c>
      <c r="AR368" s="65" t="n">
        <f aca="false">IF(OR(OR($B368="",$E368="",$F368=""),$L368&lt;&gt;"لا"),0,MAX(0,MIN($F368,EOMONTH(DATE(cfg_FY,11,1),0))-$E368+1))</f>
        <v>0</v>
      </c>
      <c r="AS368" s="65" t="n">
        <f aca="false">IF(OR(OR($B368="",$E368="",$F368=""),$L368&lt;&gt;"لا"),0,MAX(0,MIN($F368,EOMONTH(DATE(cfg_FY,12,1),0))-$E368+1))</f>
        <v>0</v>
      </c>
      <c r="AT368" s="65" t="n">
        <f aca="false">IF(OR(OR($B368="",$E368="",$F368=""),$K368&lt;&gt;"نعم",$M368="نعم"),0,MAX(0,MIN($F368,EOMONTH(DATE(cfg_FY,1,1),0))-MAX($E368,DATE(cfg_FY,1,1))+1))</f>
        <v>0</v>
      </c>
      <c r="AU368" s="65" t="n">
        <f aca="false">IF(OR(OR($B368="",$E368="",$F368=""),$K368&lt;&gt;"نعم",$M368="نعم"),0,MAX(0,MIN($F368,EOMONTH(DATE(cfg_FY,2,1),0))-MAX($E368,DATE(cfg_FY,2,1))+1))</f>
        <v>0</v>
      </c>
      <c r="AV368" s="65" t="n">
        <f aca="false">IF(OR(OR($B368="",$E368="",$F368=""),$K368&lt;&gt;"نعم",$M368="نعم"),0,MAX(0,MIN($F368,EOMONTH(DATE(cfg_FY,3,1),0))-MAX($E368,DATE(cfg_FY,3,1))+1))</f>
        <v>0</v>
      </c>
      <c r="AW368" s="65" t="n">
        <f aca="false">IF(OR(OR($B368="",$E368="",$F368=""),$K368&lt;&gt;"نعم",$M368="نعم"),0,MAX(0,MIN($F368,EOMONTH(DATE(cfg_FY,4,1),0))-MAX($E368,DATE(cfg_FY,4,1))+1))</f>
        <v>0</v>
      </c>
      <c r="AX368" s="65" t="n">
        <f aca="false">IF(OR(OR($B368="",$E368="",$F368=""),$K368&lt;&gt;"نعم",$M368="نعم"),0,MAX(0,MIN($F368,EOMONTH(DATE(cfg_FY,5,1),0))-MAX($E368,DATE(cfg_FY,5,1))+1))</f>
        <v>0</v>
      </c>
      <c r="AY368" s="65" t="n">
        <f aca="false">IF(OR(OR($B368="",$E368="",$F368=""),$K368&lt;&gt;"نعم",$M368="نعم"),0,MAX(0,MIN($F368,EOMONTH(DATE(cfg_FY,6,1),0))-MAX($E368,DATE(cfg_FY,6,1))+1))</f>
        <v>0</v>
      </c>
      <c r="AZ368" s="65" t="n">
        <f aca="false">IF(OR(OR($B368="",$E368="",$F368=""),$K368&lt;&gt;"نعم",$M368="نعم"),0,MAX(0,MIN($F368,EOMONTH(DATE(cfg_FY,7,1),0))-MAX($E368,DATE(cfg_FY,7,1))+1))</f>
        <v>0</v>
      </c>
      <c r="BA368" s="65" t="n">
        <f aca="false">IF(OR(OR($B368="",$E368="",$F368=""),$K368&lt;&gt;"نعم",$M368="نعم"),0,MAX(0,MIN($F368,EOMONTH(DATE(cfg_FY,8,1),0))-MAX($E368,DATE(cfg_FY,8,1))+1))</f>
        <v>0</v>
      </c>
      <c r="BB368" s="65" t="n">
        <f aca="false">IF(OR(OR($B368="",$E368="",$F368=""),$K368&lt;&gt;"نعم",$M368="نعم"),0,MAX(0,MIN($F368,EOMONTH(DATE(cfg_FY,9,1),0))-MAX($E368,DATE(cfg_FY,9,1))+1))</f>
        <v>0</v>
      </c>
      <c r="BC368" s="65" t="n">
        <f aca="false">IF(OR(OR($B368="",$E368="",$F368=""),$K368&lt;&gt;"نعم",$M368="نعم"),0,MAX(0,MIN($F368,EOMONTH(DATE(cfg_FY,10,1),0))-MAX($E368,DATE(cfg_FY,10,1))+1))</f>
        <v>0</v>
      </c>
      <c r="BD368" s="65" t="n">
        <f aca="false">IF(OR(OR($B368="",$E368="",$F368=""),$K368&lt;&gt;"نعم",$M368="نعم"),0,MAX(0,MIN($F368,EOMONTH(DATE(cfg_FY,11,1),0))-MAX($E368,DATE(cfg_FY,11,1))+1))</f>
        <v>0</v>
      </c>
      <c r="BE368" s="65" t="n">
        <f aca="false">IF(OR(OR($B368="",$E368="",$F368=""),$K368&lt;&gt;"نعم",$M368="نعم"),0,MAX(0,MIN($F368,EOMONTH(DATE(cfg_FY,12,1),0))-MAX($E368,DATE(cfg_FY,12,1))+1))</f>
        <v>0</v>
      </c>
    </row>
    <row r="369" customFormat="false" ht="15" hidden="false" customHeight="false" outlineLevel="0" collapsed="false">
      <c r="A369" s="115" t="str">
        <f aca="false">IF(B369="","",ROW()-5)</f>
        <v/>
      </c>
      <c r="B369" s="118"/>
      <c r="C369" s="117" t="str">
        <f aca="false">IF(B369="","",IFERROR(INDEX(الموظفون!$C$6:$C$105,MATCH(B369,الموظفون!$B$6:$B$105,0)),"✖ رقم غير موجود"))</f>
        <v/>
      </c>
      <c r="D369" s="118"/>
      <c r="E369" s="119"/>
      <c r="F369" s="119"/>
      <c r="G369" s="133" t="str">
        <f aca="false">IF(OR($B369="",$E369="",$F369=""),"",MAX(0,F369-E369+1))</f>
        <v/>
      </c>
      <c r="H369" s="134" t="str">
        <f aca="false">IF(D369="","",IFERROR(VLOOKUP(D369,cfg_LT,2,FALSE()),1))</f>
        <v/>
      </c>
      <c r="I369" s="135"/>
      <c r="J369" s="134" t="str">
        <f aca="false">IF(D369="","",IF(I369&lt;&gt;"",I369,H369))</f>
        <v/>
      </c>
      <c r="K369" s="117" t="str">
        <f aca="false">IF(D369="","",IFERROR(VLOOKUP($D369,cfg_LT,3,FALSE()),""))</f>
        <v/>
      </c>
      <c r="L369" s="117" t="str">
        <f aca="false">IF(D369="","",IFERROR(VLOOKUP($D369,cfg_LT,4,FALSE()),""))</f>
        <v/>
      </c>
      <c r="M369" s="117" t="str">
        <f aca="false">IF(D369="","",IFERROR(VLOOKUP($D369,cfg_LT,5,FALSE()),""))</f>
        <v/>
      </c>
      <c r="N369" s="116" t="n">
        <f aca="false">IF(OR(OR($B369="",$E369="",$F369=""),M369&lt;&gt;"نعم"),0,G369*J369*IFERROR(INDEX(الموظفون!$R$6:$R$105,MATCH(B369,الموظفون!$B$6:$B$105,0)),0)/cfg_DAYS_M)</f>
        <v>0</v>
      </c>
      <c r="O369" s="115" t="str">
        <f aca="false">IF(OR(OR($B369="",$E369="",$F369=""),M369&lt;&gt;"نعم"),"",IF(YEAR(E369)=cfg_FY,MONTH(E369),""))</f>
        <v/>
      </c>
      <c r="P369" s="117" t="str">
        <f aca="false">IF(B369="","",IF(OR(D369="",E369="",F369=""),"⚠ أكمل النوع والتواريخ",IF(F369&lt;E369,"✖ النهاية قبل البداية",IF(COUNTIFS($B$6:$B$505,B369,$E$6:$E$505,"&lt;="&amp;F369,$F$6:$F$505,"&gt;="&amp;E369)&gt;1,"⚠ تداخل مع سجل آخر",IF(E369&gt;cfg_VAL_DATE,"⏳ قادمة",IF(F369&lt;cfg_VAL_DATE,"✔ منتهية","✈ جارية في تاريخ التقرير"))))))</f>
        <v/>
      </c>
      <c r="Q369" s="118"/>
      <c r="R369" s="133" t="n">
        <f aca="false">IF(OR(OR($B369="",$E369="",$F369=""),L369&lt;&gt;"لا"),0,MAX(0,MIN(F369,cfg_Y_START-1)-E369+1))</f>
        <v>0</v>
      </c>
      <c r="S369" s="133" t="n">
        <f aca="false">IF(OR(OR($B369="",$E369="",$F369=""),L369&lt;&gt;"لا"),0,MAX(0,MIN(F369,cfg_VAL_DATE)-E369+1))</f>
        <v>0</v>
      </c>
      <c r="T369" s="133" t="n">
        <f aca="false">IF(OR(OR($B369="",$E369="",$F369=""),K369&lt;&gt;"نعم"),0,IF(M369="نعم",IF(AND(ISNUMBER(O369),N(O369)&lt;=cfg_VAL_M),G369,0),MAX(0,MIN(F369,cfg_VAL_DATE)-MAX(E369,cfg_Y_START)+1)))</f>
        <v>0</v>
      </c>
      <c r="V369" s="133" t="n">
        <f aca="false">IF(OR($B369="",$E369="",$F369=""),0,MAX(0,MIN($F369,EOMONTH(DATE(cfg_FY,1,1),0))-MAX($E369,DATE(cfg_FY,1,1))+1)*(1-IF($M369="نعم",0,N($J369))))</f>
        <v>0</v>
      </c>
      <c r="W369" s="133" t="n">
        <f aca="false">IF(OR($B369="",$E369="",$F369=""),0,MAX(0,MIN($F369,EOMONTH(DATE(cfg_FY,2,1),0))-MAX($E369,DATE(cfg_FY,2,1))+1)*(1-IF($M369="نعم",0,N($J369))))</f>
        <v>0</v>
      </c>
      <c r="X369" s="133" t="n">
        <f aca="false">IF(OR($B369="",$E369="",$F369=""),0,MAX(0,MIN($F369,EOMONTH(DATE(cfg_FY,3,1),0))-MAX($E369,DATE(cfg_FY,3,1))+1)*(1-IF($M369="نعم",0,N($J369))))</f>
        <v>0</v>
      </c>
      <c r="Y369" s="133" t="n">
        <f aca="false">IF(OR($B369="",$E369="",$F369=""),0,MAX(0,MIN($F369,EOMONTH(DATE(cfg_FY,4,1),0))-MAX($E369,DATE(cfg_FY,4,1))+1)*(1-IF($M369="نعم",0,N($J369))))</f>
        <v>0</v>
      </c>
      <c r="Z369" s="133" t="n">
        <f aca="false">IF(OR($B369="",$E369="",$F369=""),0,MAX(0,MIN($F369,EOMONTH(DATE(cfg_FY,5,1),0))-MAX($E369,DATE(cfg_FY,5,1))+1)*(1-IF($M369="نعم",0,N($J369))))</f>
        <v>0</v>
      </c>
      <c r="AA369" s="133" t="n">
        <f aca="false">IF(OR($B369="",$E369="",$F369=""),0,MAX(0,MIN($F369,EOMONTH(DATE(cfg_FY,6,1),0))-MAX($E369,DATE(cfg_FY,6,1))+1)*(1-IF($M369="نعم",0,N($J369))))</f>
        <v>0</v>
      </c>
      <c r="AB369" s="133" t="n">
        <f aca="false">IF(OR($B369="",$E369="",$F369=""),0,MAX(0,MIN($F369,EOMONTH(DATE(cfg_FY,7,1),0))-MAX($E369,DATE(cfg_FY,7,1))+1)*(1-IF($M369="نعم",0,N($J369))))</f>
        <v>0</v>
      </c>
      <c r="AC369" s="133" t="n">
        <f aca="false">IF(OR($B369="",$E369="",$F369=""),0,MAX(0,MIN($F369,EOMONTH(DATE(cfg_FY,8,1),0))-MAX($E369,DATE(cfg_FY,8,1))+1)*(1-IF($M369="نعم",0,N($J369))))</f>
        <v>0</v>
      </c>
      <c r="AD369" s="133" t="n">
        <f aca="false">IF(OR($B369="",$E369="",$F369=""),0,MAX(0,MIN($F369,EOMONTH(DATE(cfg_FY,9,1),0))-MAX($E369,DATE(cfg_FY,9,1))+1)*(1-IF($M369="نعم",0,N($J369))))</f>
        <v>0</v>
      </c>
      <c r="AE369" s="133" t="n">
        <f aca="false">IF(OR($B369="",$E369="",$F369=""),0,MAX(0,MIN($F369,EOMONTH(DATE(cfg_FY,10,1),0))-MAX($E369,DATE(cfg_FY,10,1))+1)*(1-IF($M369="نعم",0,N($J369))))</f>
        <v>0</v>
      </c>
      <c r="AF369" s="133" t="n">
        <f aca="false">IF(OR($B369="",$E369="",$F369=""),0,MAX(0,MIN($F369,EOMONTH(DATE(cfg_FY,11,1),0))-MAX($E369,DATE(cfg_FY,11,1))+1)*(1-IF($M369="نعم",0,N($J369))))</f>
        <v>0</v>
      </c>
      <c r="AG369" s="133" t="n">
        <f aca="false">IF(OR($B369="",$E369="",$F369=""),0,MAX(0,MIN($F369,EOMONTH(DATE(cfg_FY,12,1),0))-MAX($E369,DATE(cfg_FY,12,1))+1)*(1-IF($M369="نعم",0,N($J369))))</f>
        <v>0</v>
      </c>
      <c r="AH369" s="133" t="n">
        <f aca="false">IF(OR(OR($B369="",$E369="",$F369=""),$L369&lt;&gt;"لا"),0,MAX(0,MIN($F369,EOMONTH(DATE(cfg_FY,1,1),0))-$E369+1))</f>
        <v>0</v>
      </c>
      <c r="AI369" s="133" t="n">
        <f aca="false">IF(OR(OR($B369="",$E369="",$F369=""),$L369&lt;&gt;"لا"),0,MAX(0,MIN($F369,EOMONTH(DATE(cfg_FY,2,1),0))-$E369+1))</f>
        <v>0</v>
      </c>
      <c r="AJ369" s="133" t="n">
        <f aca="false">IF(OR(OR($B369="",$E369="",$F369=""),$L369&lt;&gt;"لا"),0,MAX(0,MIN($F369,EOMONTH(DATE(cfg_FY,3,1),0))-$E369+1))</f>
        <v>0</v>
      </c>
      <c r="AK369" s="133" t="n">
        <f aca="false">IF(OR(OR($B369="",$E369="",$F369=""),$L369&lt;&gt;"لا"),0,MAX(0,MIN($F369,EOMONTH(DATE(cfg_FY,4,1),0))-$E369+1))</f>
        <v>0</v>
      </c>
      <c r="AL369" s="133" t="n">
        <f aca="false">IF(OR(OR($B369="",$E369="",$F369=""),$L369&lt;&gt;"لا"),0,MAX(0,MIN($F369,EOMONTH(DATE(cfg_FY,5,1),0))-$E369+1))</f>
        <v>0</v>
      </c>
      <c r="AM369" s="133" t="n">
        <f aca="false">IF(OR(OR($B369="",$E369="",$F369=""),$L369&lt;&gt;"لا"),0,MAX(0,MIN($F369,EOMONTH(DATE(cfg_FY,6,1),0))-$E369+1))</f>
        <v>0</v>
      </c>
      <c r="AN369" s="133" t="n">
        <f aca="false">IF(OR(OR($B369="",$E369="",$F369=""),$L369&lt;&gt;"لا"),0,MAX(0,MIN($F369,EOMONTH(DATE(cfg_FY,7,1),0))-$E369+1))</f>
        <v>0</v>
      </c>
      <c r="AO369" s="133" t="n">
        <f aca="false">IF(OR(OR($B369="",$E369="",$F369=""),$L369&lt;&gt;"لا"),0,MAX(0,MIN($F369,EOMONTH(DATE(cfg_FY,8,1),0))-$E369+1))</f>
        <v>0</v>
      </c>
      <c r="AP369" s="133" t="n">
        <f aca="false">IF(OR(OR($B369="",$E369="",$F369=""),$L369&lt;&gt;"لا"),0,MAX(0,MIN($F369,EOMONTH(DATE(cfg_FY,9,1),0))-$E369+1))</f>
        <v>0</v>
      </c>
      <c r="AQ369" s="133" t="n">
        <f aca="false">IF(OR(OR($B369="",$E369="",$F369=""),$L369&lt;&gt;"لا"),0,MAX(0,MIN($F369,EOMONTH(DATE(cfg_FY,10,1),0))-$E369+1))</f>
        <v>0</v>
      </c>
      <c r="AR369" s="133" t="n">
        <f aca="false">IF(OR(OR($B369="",$E369="",$F369=""),$L369&lt;&gt;"لا"),0,MAX(0,MIN($F369,EOMONTH(DATE(cfg_FY,11,1),0))-$E369+1))</f>
        <v>0</v>
      </c>
      <c r="AS369" s="133" t="n">
        <f aca="false">IF(OR(OR($B369="",$E369="",$F369=""),$L369&lt;&gt;"لا"),0,MAX(0,MIN($F369,EOMONTH(DATE(cfg_FY,12,1),0))-$E369+1))</f>
        <v>0</v>
      </c>
      <c r="AT369" s="133" t="n">
        <f aca="false">IF(OR(OR($B369="",$E369="",$F369=""),$K369&lt;&gt;"نعم",$M369="نعم"),0,MAX(0,MIN($F369,EOMONTH(DATE(cfg_FY,1,1),0))-MAX($E369,DATE(cfg_FY,1,1))+1))</f>
        <v>0</v>
      </c>
      <c r="AU369" s="133" t="n">
        <f aca="false">IF(OR(OR($B369="",$E369="",$F369=""),$K369&lt;&gt;"نعم",$M369="نعم"),0,MAX(0,MIN($F369,EOMONTH(DATE(cfg_FY,2,1),0))-MAX($E369,DATE(cfg_FY,2,1))+1))</f>
        <v>0</v>
      </c>
      <c r="AV369" s="133" t="n">
        <f aca="false">IF(OR(OR($B369="",$E369="",$F369=""),$K369&lt;&gt;"نعم",$M369="نعم"),0,MAX(0,MIN($F369,EOMONTH(DATE(cfg_FY,3,1),0))-MAX($E369,DATE(cfg_FY,3,1))+1))</f>
        <v>0</v>
      </c>
      <c r="AW369" s="133" t="n">
        <f aca="false">IF(OR(OR($B369="",$E369="",$F369=""),$K369&lt;&gt;"نعم",$M369="نعم"),0,MAX(0,MIN($F369,EOMONTH(DATE(cfg_FY,4,1),0))-MAX($E369,DATE(cfg_FY,4,1))+1))</f>
        <v>0</v>
      </c>
      <c r="AX369" s="133" t="n">
        <f aca="false">IF(OR(OR($B369="",$E369="",$F369=""),$K369&lt;&gt;"نعم",$M369="نعم"),0,MAX(0,MIN($F369,EOMONTH(DATE(cfg_FY,5,1),0))-MAX($E369,DATE(cfg_FY,5,1))+1))</f>
        <v>0</v>
      </c>
      <c r="AY369" s="133" t="n">
        <f aca="false">IF(OR(OR($B369="",$E369="",$F369=""),$K369&lt;&gt;"نعم",$M369="نعم"),0,MAX(0,MIN($F369,EOMONTH(DATE(cfg_FY,6,1),0))-MAX($E369,DATE(cfg_FY,6,1))+1))</f>
        <v>0</v>
      </c>
      <c r="AZ369" s="133" t="n">
        <f aca="false">IF(OR(OR($B369="",$E369="",$F369=""),$K369&lt;&gt;"نعم",$M369="نعم"),0,MAX(0,MIN($F369,EOMONTH(DATE(cfg_FY,7,1),0))-MAX($E369,DATE(cfg_FY,7,1))+1))</f>
        <v>0</v>
      </c>
      <c r="BA369" s="133" t="n">
        <f aca="false">IF(OR(OR($B369="",$E369="",$F369=""),$K369&lt;&gt;"نعم",$M369="نعم"),0,MAX(0,MIN($F369,EOMONTH(DATE(cfg_FY,8,1),0))-MAX($E369,DATE(cfg_FY,8,1))+1))</f>
        <v>0</v>
      </c>
      <c r="BB369" s="133" t="n">
        <f aca="false">IF(OR(OR($B369="",$E369="",$F369=""),$K369&lt;&gt;"نعم",$M369="نعم"),0,MAX(0,MIN($F369,EOMONTH(DATE(cfg_FY,9,1),0))-MAX($E369,DATE(cfg_FY,9,1))+1))</f>
        <v>0</v>
      </c>
      <c r="BC369" s="133" t="n">
        <f aca="false">IF(OR(OR($B369="",$E369="",$F369=""),$K369&lt;&gt;"نعم",$M369="نعم"),0,MAX(0,MIN($F369,EOMONTH(DATE(cfg_FY,10,1),0))-MAX($E369,DATE(cfg_FY,10,1))+1))</f>
        <v>0</v>
      </c>
      <c r="BD369" s="133" t="n">
        <f aca="false">IF(OR(OR($B369="",$E369="",$F369=""),$K369&lt;&gt;"نعم",$M369="نعم"),0,MAX(0,MIN($F369,EOMONTH(DATE(cfg_FY,11,1),0))-MAX($E369,DATE(cfg_FY,11,1))+1))</f>
        <v>0</v>
      </c>
      <c r="BE369" s="133" t="n">
        <f aca="false">IF(OR(OR($B369="",$E369="",$F369=""),$K369&lt;&gt;"نعم",$M369="نعم"),0,MAX(0,MIN($F369,EOMONTH(DATE(cfg_FY,12,1),0))-MAX($E369,DATE(cfg_FY,12,1))+1))</f>
        <v>0</v>
      </c>
    </row>
    <row r="370" customFormat="false" ht="15" hidden="false" customHeight="false" outlineLevel="0" collapsed="false">
      <c r="A370" s="106" t="str">
        <f aca="false">IF(B370="","",ROW()-5)</f>
        <v/>
      </c>
      <c r="B370" s="118"/>
      <c r="C370" s="114" t="str">
        <f aca="false">IF(B370="","",IFERROR(INDEX(الموظفون!$C$6:$C$105,MATCH(B370,الموظفون!$B$6:$B$105,0)),"✖ رقم غير موجود"))</f>
        <v/>
      </c>
      <c r="D370" s="118"/>
      <c r="E370" s="119"/>
      <c r="F370" s="119"/>
      <c r="G370" s="65" t="str">
        <f aca="false">IF(OR($B370="",$E370="",$F370=""),"",MAX(0,F370-E370+1))</f>
        <v/>
      </c>
      <c r="H370" s="66" t="str">
        <f aca="false">IF(D370="","",IFERROR(VLOOKUP(D370,cfg_LT,2,FALSE()),1))</f>
        <v/>
      </c>
      <c r="I370" s="135"/>
      <c r="J370" s="66" t="str">
        <f aca="false">IF(D370="","",IF(I370&lt;&gt;"",I370,H370))</f>
        <v/>
      </c>
      <c r="K370" s="114" t="str">
        <f aca="false">IF(D370="","",IFERROR(VLOOKUP($D370,cfg_LT,3,FALSE()),""))</f>
        <v/>
      </c>
      <c r="L370" s="114" t="str">
        <f aca="false">IF(D370="","",IFERROR(VLOOKUP($D370,cfg_LT,4,FALSE()),""))</f>
        <v/>
      </c>
      <c r="M370" s="114" t="str">
        <f aca="false">IF(D370="","",IFERROR(VLOOKUP($D370,cfg_LT,5,FALSE()),""))</f>
        <v/>
      </c>
      <c r="N370" s="111" t="n">
        <f aca="false">IF(OR(OR($B370="",$E370="",$F370=""),M370&lt;&gt;"نعم"),0,G370*J370*IFERROR(INDEX(الموظفون!$R$6:$R$105,MATCH(B370,الموظفون!$B$6:$B$105,0)),0)/cfg_DAYS_M)</f>
        <v>0</v>
      </c>
      <c r="O370" s="106" t="str">
        <f aca="false">IF(OR(OR($B370="",$E370="",$F370=""),M370&lt;&gt;"نعم"),"",IF(YEAR(E370)=cfg_FY,MONTH(E370),""))</f>
        <v/>
      </c>
      <c r="P370" s="114" t="str">
        <f aca="false">IF(B370="","",IF(OR(D370="",E370="",F370=""),"⚠ أكمل النوع والتواريخ",IF(F370&lt;E370,"✖ النهاية قبل البداية",IF(COUNTIFS($B$6:$B$505,B370,$E$6:$E$505,"&lt;="&amp;F370,$F$6:$F$505,"&gt;="&amp;E370)&gt;1,"⚠ تداخل مع سجل آخر",IF(E370&gt;cfg_VAL_DATE,"⏳ قادمة",IF(F370&lt;cfg_VAL_DATE,"✔ منتهية","✈ جارية في تاريخ التقرير"))))))</f>
        <v/>
      </c>
      <c r="Q370" s="118"/>
      <c r="R370" s="65" t="n">
        <f aca="false">IF(OR(OR($B370="",$E370="",$F370=""),L370&lt;&gt;"لا"),0,MAX(0,MIN(F370,cfg_Y_START-1)-E370+1))</f>
        <v>0</v>
      </c>
      <c r="S370" s="65" t="n">
        <f aca="false">IF(OR(OR($B370="",$E370="",$F370=""),L370&lt;&gt;"لا"),0,MAX(0,MIN(F370,cfg_VAL_DATE)-E370+1))</f>
        <v>0</v>
      </c>
      <c r="T370" s="65" t="n">
        <f aca="false">IF(OR(OR($B370="",$E370="",$F370=""),K370&lt;&gt;"نعم"),0,IF(M370="نعم",IF(AND(ISNUMBER(O370),N(O370)&lt;=cfg_VAL_M),G370,0),MAX(0,MIN(F370,cfg_VAL_DATE)-MAX(E370,cfg_Y_START)+1)))</f>
        <v>0</v>
      </c>
      <c r="V370" s="65" t="n">
        <f aca="false">IF(OR($B370="",$E370="",$F370=""),0,MAX(0,MIN($F370,EOMONTH(DATE(cfg_FY,1,1),0))-MAX($E370,DATE(cfg_FY,1,1))+1)*(1-IF($M370="نعم",0,N($J370))))</f>
        <v>0</v>
      </c>
      <c r="W370" s="65" t="n">
        <f aca="false">IF(OR($B370="",$E370="",$F370=""),0,MAX(0,MIN($F370,EOMONTH(DATE(cfg_FY,2,1),0))-MAX($E370,DATE(cfg_FY,2,1))+1)*(1-IF($M370="نعم",0,N($J370))))</f>
        <v>0</v>
      </c>
      <c r="X370" s="65" t="n">
        <f aca="false">IF(OR($B370="",$E370="",$F370=""),0,MAX(0,MIN($F370,EOMONTH(DATE(cfg_FY,3,1),0))-MAX($E370,DATE(cfg_FY,3,1))+1)*(1-IF($M370="نعم",0,N($J370))))</f>
        <v>0</v>
      </c>
      <c r="Y370" s="65" t="n">
        <f aca="false">IF(OR($B370="",$E370="",$F370=""),0,MAX(0,MIN($F370,EOMONTH(DATE(cfg_FY,4,1),0))-MAX($E370,DATE(cfg_FY,4,1))+1)*(1-IF($M370="نعم",0,N($J370))))</f>
        <v>0</v>
      </c>
      <c r="Z370" s="65" t="n">
        <f aca="false">IF(OR($B370="",$E370="",$F370=""),0,MAX(0,MIN($F370,EOMONTH(DATE(cfg_FY,5,1),0))-MAX($E370,DATE(cfg_FY,5,1))+1)*(1-IF($M370="نعم",0,N($J370))))</f>
        <v>0</v>
      </c>
      <c r="AA370" s="65" t="n">
        <f aca="false">IF(OR($B370="",$E370="",$F370=""),0,MAX(0,MIN($F370,EOMONTH(DATE(cfg_FY,6,1),0))-MAX($E370,DATE(cfg_FY,6,1))+1)*(1-IF($M370="نعم",0,N($J370))))</f>
        <v>0</v>
      </c>
      <c r="AB370" s="65" t="n">
        <f aca="false">IF(OR($B370="",$E370="",$F370=""),0,MAX(0,MIN($F370,EOMONTH(DATE(cfg_FY,7,1),0))-MAX($E370,DATE(cfg_FY,7,1))+1)*(1-IF($M370="نعم",0,N($J370))))</f>
        <v>0</v>
      </c>
      <c r="AC370" s="65" t="n">
        <f aca="false">IF(OR($B370="",$E370="",$F370=""),0,MAX(0,MIN($F370,EOMONTH(DATE(cfg_FY,8,1),0))-MAX($E370,DATE(cfg_FY,8,1))+1)*(1-IF($M370="نعم",0,N($J370))))</f>
        <v>0</v>
      </c>
      <c r="AD370" s="65" t="n">
        <f aca="false">IF(OR($B370="",$E370="",$F370=""),0,MAX(0,MIN($F370,EOMONTH(DATE(cfg_FY,9,1),0))-MAX($E370,DATE(cfg_FY,9,1))+1)*(1-IF($M370="نعم",0,N($J370))))</f>
        <v>0</v>
      </c>
      <c r="AE370" s="65" t="n">
        <f aca="false">IF(OR($B370="",$E370="",$F370=""),0,MAX(0,MIN($F370,EOMONTH(DATE(cfg_FY,10,1),0))-MAX($E370,DATE(cfg_FY,10,1))+1)*(1-IF($M370="نعم",0,N($J370))))</f>
        <v>0</v>
      </c>
      <c r="AF370" s="65" t="n">
        <f aca="false">IF(OR($B370="",$E370="",$F370=""),0,MAX(0,MIN($F370,EOMONTH(DATE(cfg_FY,11,1),0))-MAX($E370,DATE(cfg_FY,11,1))+1)*(1-IF($M370="نعم",0,N($J370))))</f>
        <v>0</v>
      </c>
      <c r="AG370" s="65" t="n">
        <f aca="false">IF(OR($B370="",$E370="",$F370=""),0,MAX(0,MIN($F370,EOMONTH(DATE(cfg_FY,12,1),0))-MAX($E370,DATE(cfg_FY,12,1))+1)*(1-IF($M370="نعم",0,N($J370))))</f>
        <v>0</v>
      </c>
      <c r="AH370" s="65" t="n">
        <f aca="false">IF(OR(OR($B370="",$E370="",$F370=""),$L370&lt;&gt;"لا"),0,MAX(0,MIN($F370,EOMONTH(DATE(cfg_FY,1,1),0))-$E370+1))</f>
        <v>0</v>
      </c>
      <c r="AI370" s="65" t="n">
        <f aca="false">IF(OR(OR($B370="",$E370="",$F370=""),$L370&lt;&gt;"لا"),0,MAX(0,MIN($F370,EOMONTH(DATE(cfg_FY,2,1),0))-$E370+1))</f>
        <v>0</v>
      </c>
      <c r="AJ370" s="65" t="n">
        <f aca="false">IF(OR(OR($B370="",$E370="",$F370=""),$L370&lt;&gt;"لا"),0,MAX(0,MIN($F370,EOMONTH(DATE(cfg_FY,3,1),0))-$E370+1))</f>
        <v>0</v>
      </c>
      <c r="AK370" s="65" t="n">
        <f aca="false">IF(OR(OR($B370="",$E370="",$F370=""),$L370&lt;&gt;"لا"),0,MAX(0,MIN($F370,EOMONTH(DATE(cfg_FY,4,1),0))-$E370+1))</f>
        <v>0</v>
      </c>
      <c r="AL370" s="65" t="n">
        <f aca="false">IF(OR(OR($B370="",$E370="",$F370=""),$L370&lt;&gt;"لا"),0,MAX(0,MIN($F370,EOMONTH(DATE(cfg_FY,5,1),0))-$E370+1))</f>
        <v>0</v>
      </c>
      <c r="AM370" s="65" t="n">
        <f aca="false">IF(OR(OR($B370="",$E370="",$F370=""),$L370&lt;&gt;"لا"),0,MAX(0,MIN($F370,EOMONTH(DATE(cfg_FY,6,1),0))-$E370+1))</f>
        <v>0</v>
      </c>
      <c r="AN370" s="65" t="n">
        <f aca="false">IF(OR(OR($B370="",$E370="",$F370=""),$L370&lt;&gt;"لا"),0,MAX(0,MIN($F370,EOMONTH(DATE(cfg_FY,7,1),0))-$E370+1))</f>
        <v>0</v>
      </c>
      <c r="AO370" s="65" t="n">
        <f aca="false">IF(OR(OR($B370="",$E370="",$F370=""),$L370&lt;&gt;"لا"),0,MAX(0,MIN($F370,EOMONTH(DATE(cfg_FY,8,1),0))-$E370+1))</f>
        <v>0</v>
      </c>
      <c r="AP370" s="65" t="n">
        <f aca="false">IF(OR(OR($B370="",$E370="",$F370=""),$L370&lt;&gt;"لا"),0,MAX(0,MIN($F370,EOMONTH(DATE(cfg_FY,9,1),0))-$E370+1))</f>
        <v>0</v>
      </c>
      <c r="AQ370" s="65" t="n">
        <f aca="false">IF(OR(OR($B370="",$E370="",$F370=""),$L370&lt;&gt;"لا"),0,MAX(0,MIN($F370,EOMONTH(DATE(cfg_FY,10,1),0))-$E370+1))</f>
        <v>0</v>
      </c>
      <c r="AR370" s="65" t="n">
        <f aca="false">IF(OR(OR($B370="",$E370="",$F370=""),$L370&lt;&gt;"لا"),0,MAX(0,MIN($F370,EOMONTH(DATE(cfg_FY,11,1),0))-$E370+1))</f>
        <v>0</v>
      </c>
      <c r="AS370" s="65" t="n">
        <f aca="false">IF(OR(OR($B370="",$E370="",$F370=""),$L370&lt;&gt;"لا"),0,MAX(0,MIN($F370,EOMONTH(DATE(cfg_FY,12,1),0))-$E370+1))</f>
        <v>0</v>
      </c>
      <c r="AT370" s="65" t="n">
        <f aca="false">IF(OR(OR($B370="",$E370="",$F370=""),$K370&lt;&gt;"نعم",$M370="نعم"),0,MAX(0,MIN($F370,EOMONTH(DATE(cfg_FY,1,1),0))-MAX($E370,DATE(cfg_FY,1,1))+1))</f>
        <v>0</v>
      </c>
      <c r="AU370" s="65" t="n">
        <f aca="false">IF(OR(OR($B370="",$E370="",$F370=""),$K370&lt;&gt;"نعم",$M370="نعم"),0,MAX(0,MIN($F370,EOMONTH(DATE(cfg_FY,2,1),0))-MAX($E370,DATE(cfg_FY,2,1))+1))</f>
        <v>0</v>
      </c>
      <c r="AV370" s="65" t="n">
        <f aca="false">IF(OR(OR($B370="",$E370="",$F370=""),$K370&lt;&gt;"نعم",$M370="نعم"),0,MAX(0,MIN($F370,EOMONTH(DATE(cfg_FY,3,1),0))-MAX($E370,DATE(cfg_FY,3,1))+1))</f>
        <v>0</v>
      </c>
      <c r="AW370" s="65" t="n">
        <f aca="false">IF(OR(OR($B370="",$E370="",$F370=""),$K370&lt;&gt;"نعم",$M370="نعم"),0,MAX(0,MIN($F370,EOMONTH(DATE(cfg_FY,4,1),0))-MAX($E370,DATE(cfg_FY,4,1))+1))</f>
        <v>0</v>
      </c>
      <c r="AX370" s="65" t="n">
        <f aca="false">IF(OR(OR($B370="",$E370="",$F370=""),$K370&lt;&gt;"نعم",$M370="نعم"),0,MAX(0,MIN($F370,EOMONTH(DATE(cfg_FY,5,1),0))-MAX($E370,DATE(cfg_FY,5,1))+1))</f>
        <v>0</v>
      </c>
      <c r="AY370" s="65" t="n">
        <f aca="false">IF(OR(OR($B370="",$E370="",$F370=""),$K370&lt;&gt;"نعم",$M370="نعم"),0,MAX(0,MIN($F370,EOMONTH(DATE(cfg_FY,6,1),0))-MAX($E370,DATE(cfg_FY,6,1))+1))</f>
        <v>0</v>
      </c>
      <c r="AZ370" s="65" t="n">
        <f aca="false">IF(OR(OR($B370="",$E370="",$F370=""),$K370&lt;&gt;"نعم",$M370="نعم"),0,MAX(0,MIN($F370,EOMONTH(DATE(cfg_FY,7,1),0))-MAX($E370,DATE(cfg_FY,7,1))+1))</f>
        <v>0</v>
      </c>
      <c r="BA370" s="65" t="n">
        <f aca="false">IF(OR(OR($B370="",$E370="",$F370=""),$K370&lt;&gt;"نعم",$M370="نعم"),0,MAX(0,MIN($F370,EOMONTH(DATE(cfg_FY,8,1),0))-MAX($E370,DATE(cfg_FY,8,1))+1))</f>
        <v>0</v>
      </c>
      <c r="BB370" s="65" t="n">
        <f aca="false">IF(OR(OR($B370="",$E370="",$F370=""),$K370&lt;&gt;"نعم",$M370="نعم"),0,MAX(0,MIN($F370,EOMONTH(DATE(cfg_FY,9,1),0))-MAX($E370,DATE(cfg_FY,9,1))+1))</f>
        <v>0</v>
      </c>
      <c r="BC370" s="65" t="n">
        <f aca="false">IF(OR(OR($B370="",$E370="",$F370=""),$K370&lt;&gt;"نعم",$M370="نعم"),0,MAX(0,MIN($F370,EOMONTH(DATE(cfg_FY,10,1),0))-MAX($E370,DATE(cfg_FY,10,1))+1))</f>
        <v>0</v>
      </c>
      <c r="BD370" s="65" t="n">
        <f aca="false">IF(OR(OR($B370="",$E370="",$F370=""),$K370&lt;&gt;"نعم",$M370="نعم"),0,MAX(0,MIN($F370,EOMONTH(DATE(cfg_FY,11,1),0))-MAX($E370,DATE(cfg_FY,11,1))+1))</f>
        <v>0</v>
      </c>
      <c r="BE370" s="65" t="n">
        <f aca="false">IF(OR(OR($B370="",$E370="",$F370=""),$K370&lt;&gt;"نعم",$M370="نعم"),0,MAX(0,MIN($F370,EOMONTH(DATE(cfg_FY,12,1),0))-MAX($E370,DATE(cfg_FY,12,1))+1))</f>
        <v>0</v>
      </c>
    </row>
    <row r="371" customFormat="false" ht="15" hidden="false" customHeight="false" outlineLevel="0" collapsed="false">
      <c r="A371" s="115" t="str">
        <f aca="false">IF(B371="","",ROW()-5)</f>
        <v/>
      </c>
      <c r="B371" s="118"/>
      <c r="C371" s="117" t="str">
        <f aca="false">IF(B371="","",IFERROR(INDEX(الموظفون!$C$6:$C$105,MATCH(B371,الموظفون!$B$6:$B$105,0)),"✖ رقم غير موجود"))</f>
        <v/>
      </c>
      <c r="D371" s="118"/>
      <c r="E371" s="119"/>
      <c r="F371" s="119"/>
      <c r="G371" s="133" t="str">
        <f aca="false">IF(OR($B371="",$E371="",$F371=""),"",MAX(0,F371-E371+1))</f>
        <v/>
      </c>
      <c r="H371" s="134" t="str">
        <f aca="false">IF(D371="","",IFERROR(VLOOKUP(D371,cfg_LT,2,FALSE()),1))</f>
        <v/>
      </c>
      <c r="I371" s="135"/>
      <c r="J371" s="134" t="str">
        <f aca="false">IF(D371="","",IF(I371&lt;&gt;"",I371,H371))</f>
        <v/>
      </c>
      <c r="K371" s="117" t="str">
        <f aca="false">IF(D371="","",IFERROR(VLOOKUP($D371,cfg_LT,3,FALSE()),""))</f>
        <v/>
      </c>
      <c r="L371" s="117" t="str">
        <f aca="false">IF(D371="","",IFERROR(VLOOKUP($D371,cfg_LT,4,FALSE()),""))</f>
        <v/>
      </c>
      <c r="M371" s="117" t="str">
        <f aca="false">IF(D371="","",IFERROR(VLOOKUP($D371,cfg_LT,5,FALSE()),""))</f>
        <v/>
      </c>
      <c r="N371" s="116" t="n">
        <f aca="false">IF(OR(OR($B371="",$E371="",$F371=""),M371&lt;&gt;"نعم"),0,G371*J371*IFERROR(INDEX(الموظفون!$R$6:$R$105,MATCH(B371,الموظفون!$B$6:$B$105,0)),0)/cfg_DAYS_M)</f>
        <v>0</v>
      </c>
      <c r="O371" s="115" t="str">
        <f aca="false">IF(OR(OR($B371="",$E371="",$F371=""),M371&lt;&gt;"نعم"),"",IF(YEAR(E371)=cfg_FY,MONTH(E371),""))</f>
        <v/>
      </c>
      <c r="P371" s="117" t="str">
        <f aca="false">IF(B371="","",IF(OR(D371="",E371="",F371=""),"⚠ أكمل النوع والتواريخ",IF(F371&lt;E371,"✖ النهاية قبل البداية",IF(COUNTIFS($B$6:$B$505,B371,$E$6:$E$505,"&lt;="&amp;F371,$F$6:$F$505,"&gt;="&amp;E371)&gt;1,"⚠ تداخل مع سجل آخر",IF(E371&gt;cfg_VAL_DATE,"⏳ قادمة",IF(F371&lt;cfg_VAL_DATE,"✔ منتهية","✈ جارية في تاريخ التقرير"))))))</f>
        <v/>
      </c>
      <c r="Q371" s="118"/>
      <c r="R371" s="133" t="n">
        <f aca="false">IF(OR(OR($B371="",$E371="",$F371=""),L371&lt;&gt;"لا"),0,MAX(0,MIN(F371,cfg_Y_START-1)-E371+1))</f>
        <v>0</v>
      </c>
      <c r="S371" s="133" t="n">
        <f aca="false">IF(OR(OR($B371="",$E371="",$F371=""),L371&lt;&gt;"لا"),0,MAX(0,MIN(F371,cfg_VAL_DATE)-E371+1))</f>
        <v>0</v>
      </c>
      <c r="T371" s="133" t="n">
        <f aca="false">IF(OR(OR($B371="",$E371="",$F371=""),K371&lt;&gt;"نعم"),0,IF(M371="نعم",IF(AND(ISNUMBER(O371),N(O371)&lt;=cfg_VAL_M),G371,0),MAX(0,MIN(F371,cfg_VAL_DATE)-MAX(E371,cfg_Y_START)+1)))</f>
        <v>0</v>
      </c>
      <c r="V371" s="133" t="n">
        <f aca="false">IF(OR($B371="",$E371="",$F371=""),0,MAX(0,MIN($F371,EOMONTH(DATE(cfg_FY,1,1),0))-MAX($E371,DATE(cfg_FY,1,1))+1)*(1-IF($M371="نعم",0,N($J371))))</f>
        <v>0</v>
      </c>
      <c r="W371" s="133" t="n">
        <f aca="false">IF(OR($B371="",$E371="",$F371=""),0,MAX(0,MIN($F371,EOMONTH(DATE(cfg_FY,2,1),0))-MAX($E371,DATE(cfg_FY,2,1))+1)*(1-IF($M371="نعم",0,N($J371))))</f>
        <v>0</v>
      </c>
      <c r="X371" s="133" t="n">
        <f aca="false">IF(OR($B371="",$E371="",$F371=""),0,MAX(0,MIN($F371,EOMONTH(DATE(cfg_FY,3,1),0))-MAX($E371,DATE(cfg_FY,3,1))+1)*(1-IF($M371="نعم",0,N($J371))))</f>
        <v>0</v>
      </c>
      <c r="Y371" s="133" t="n">
        <f aca="false">IF(OR($B371="",$E371="",$F371=""),0,MAX(0,MIN($F371,EOMONTH(DATE(cfg_FY,4,1),0))-MAX($E371,DATE(cfg_FY,4,1))+1)*(1-IF($M371="نعم",0,N($J371))))</f>
        <v>0</v>
      </c>
      <c r="Z371" s="133" t="n">
        <f aca="false">IF(OR($B371="",$E371="",$F371=""),0,MAX(0,MIN($F371,EOMONTH(DATE(cfg_FY,5,1),0))-MAX($E371,DATE(cfg_FY,5,1))+1)*(1-IF($M371="نعم",0,N($J371))))</f>
        <v>0</v>
      </c>
      <c r="AA371" s="133" t="n">
        <f aca="false">IF(OR($B371="",$E371="",$F371=""),0,MAX(0,MIN($F371,EOMONTH(DATE(cfg_FY,6,1),0))-MAX($E371,DATE(cfg_FY,6,1))+1)*(1-IF($M371="نعم",0,N($J371))))</f>
        <v>0</v>
      </c>
      <c r="AB371" s="133" t="n">
        <f aca="false">IF(OR($B371="",$E371="",$F371=""),0,MAX(0,MIN($F371,EOMONTH(DATE(cfg_FY,7,1),0))-MAX($E371,DATE(cfg_FY,7,1))+1)*(1-IF($M371="نعم",0,N($J371))))</f>
        <v>0</v>
      </c>
      <c r="AC371" s="133" t="n">
        <f aca="false">IF(OR($B371="",$E371="",$F371=""),0,MAX(0,MIN($F371,EOMONTH(DATE(cfg_FY,8,1),0))-MAX($E371,DATE(cfg_FY,8,1))+1)*(1-IF($M371="نعم",0,N($J371))))</f>
        <v>0</v>
      </c>
      <c r="AD371" s="133" t="n">
        <f aca="false">IF(OR($B371="",$E371="",$F371=""),0,MAX(0,MIN($F371,EOMONTH(DATE(cfg_FY,9,1),0))-MAX($E371,DATE(cfg_FY,9,1))+1)*(1-IF($M371="نعم",0,N($J371))))</f>
        <v>0</v>
      </c>
      <c r="AE371" s="133" t="n">
        <f aca="false">IF(OR($B371="",$E371="",$F371=""),0,MAX(0,MIN($F371,EOMONTH(DATE(cfg_FY,10,1),0))-MAX($E371,DATE(cfg_FY,10,1))+1)*(1-IF($M371="نعم",0,N($J371))))</f>
        <v>0</v>
      </c>
      <c r="AF371" s="133" t="n">
        <f aca="false">IF(OR($B371="",$E371="",$F371=""),0,MAX(0,MIN($F371,EOMONTH(DATE(cfg_FY,11,1),0))-MAX($E371,DATE(cfg_FY,11,1))+1)*(1-IF($M371="نعم",0,N($J371))))</f>
        <v>0</v>
      </c>
      <c r="AG371" s="133" t="n">
        <f aca="false">IF(OR($B371="",$E371="",$F371=""),0,MAX(0,MIN($F371,EOMONTH(DATE(cfg_FY,12,1),0))-MAX($E371,DATE(cfg_FY,12,1))+1)*(1-IF($M371="نعم",0,N($J371))))</f>
        <v>0</v>
      </c>
      <c r="AH371" s="133" t="n">
        <f aca="false">IF(OR(OR($B371="",$E371="",$F371=""),$L371&lt;&gt;"لا"),0,MAX(0,MIN($F371,EOMONTH(DATE(cfg_FY,1,1),0))-$E371+1))</f>
        <v>0</v>
      </c>
      <c r="AI371" s="133" t="n">
        <f aca="false">IF(OR(OR($B371="",$E371="",$F371=""),$L371&lt;&gt;"لا"),0,MAX(0,MIN($F371,EOMONTH(DATE(cfg_FY,2,1),0))-$E371+1))</f>
        <v>0</v>
      </c>
      <c r="AJ371" s="133" t="n">
        <f aca="false">IF(OR(OR($B371="",$E371="",$F371=""),$L371&lt;&gt;"لا"),0,MAX(0,MIN($F371,EOMONTH(DATE(cfg_FY,3,1),0))-$E371+1))</f>
        <v>0</v>
      </c>
      <c r="AK371" s="133" t="n">
        <f aca="false">IF(OR(OR($B371="",$E371="",$F371=""),$L371&lt;&gt;"لا"),0,MAX(0,MIN($F371,EOMONTH(DATE(cfg_FY,4,1),0))-$E371+1))</f>
        <v>0</v>
      </c>
      <c r="AL371" s="133" t="n">
        <f aca="false">IF(OR(OR($B371="",$E371="",$F371=""),$L371&lt;&gt;"لا"),0,MAX(0,MIN($F371,EOMONTH(DATE(cfg_FY,5,1),0))-$E371+1))</f>
        <v>0</v>
      </c>
      <c r="AM371" s="133" t="n">
        <f aca="false">IF(OR(OR($B371="",$E371="",$F371=""),$L371&lt;&gt;"لا"),0,MAX(0,MIN($F371,EOMONTH(DATE(cfg_FY,6,1),0))-$E371+1))</f>
        <v>0</v>
      </c>
      <c r="AN371" s="133" t="n">
        <f aca="false">IF(OR(OR($B371="",$E371="",$F371=""),$L371&lt;&gt;"لا"),0,MAX(0,MIN($F371,EOMONTH(DATE(cfg_FY,7,1),0))-$E371+1))</f>
        <v>0</v>
      </c>
      <c r="AO371" s="133" t="n">
        <f aca="false">IF(OR(OR($B371="",$E371="",$F371=""),$L371&lt;&gt;"لا"),0,MAX(0,MIN($F371,EOMONTH(DATE(cfg_FY,8,1),0))-$E371+1))</f>
        <v>0</v>
      </c>
      <c r="AP371" s="133" t="n">
        <f aca="false">IF(OR(OR($B371="",$E371="",$F371=""),$L371&lt;&gt;"لا"),0,MAX(0,MIN($F371,EOMONTH(DATE(cfg_FY,9,1),0))-$E371+1))</f>
        <v>0</v>
      </c>
      <c r="AQ371" s="133" t="n">
        <f aca="false">IF(OR(OR($B371="",$E371="",$F371=""),$L371&lt;&gt;"لا"),0,MAX(0,MIN($F371,EOMONTH(DATE(cfg_FY,10,1),0))-$E371+1))</f>
        <v>0</v>
      </c>
      <c r="AR371" s="133" t="n">
        <f aca="false">IF(OR(OR($B371="",$E371="",$F371=""),$L371&lt;&gt;"لا"),0,MAX(0,MIN($F371,EOMONTH(DATE(cfg_FY,11,1),0))-$E371+1))</f>
        <v>0</v>
      </c>
      <c r="AS371" s="133" t="n">
        <f aca="false">IF(OR(OR($B371="",$E371="",$F371=""),$L371&lt;&gt;"لا"),0,MAX(0,MIN($F371,EOMONTH(DATE(cfg_FY,12,1),0))-$E371+1))</f>
        <v>0</v>
      </c>
      <c r="AT371" s="133" t="n">
        <f aca="false">IF(OR(OR($B371="",$E371="",$F371=""),$K371&lt;&gt;"نعم",$M371="نعم"),0,MAX(0,MIN($F371,EOMONTH(DATE(cfg_FY,1,1),0))-MAX($E371,DATE(cfg_FY,1,1))+1))</f>
        <v>0</v>
      </c>
      <c r="AU371" s="133" t="n">
        <f aca="false">IF(OR(OR($B371="",$E371="",$F371=""),$K371&lt;&gt;"نعم",$M371="نعم"),0,MAX(0,MIN($F371,EOMONTH(DATE(cfg_FY,2,1),0))-MAX($E371,DATE(cfg_FY,2,1))+1))</f>
        <v>0</v>
      </c>
      <c r="AV371" s="133" t="n">
        <f aca="false">IF(OR(OR($B371="",$E371="",$F371=""),$K371&lt;&gt;"نعم",$M371="نعم"),0,MAX(0,MIN($F371,EOMONTH(DATE(cfg_FY,3,1),0))-MAX($E371,DATE(cfg_FY,3,1))+1))</f>
        <v>0</v>
      </c>
      <c r="AW371" s="133" t="n">
        <f aca="false">IF(OR(OR($B371="",$E371="",$F371=""),$K371&lt;&gt;"نعم",$M371="نعم"),0,MAX(0,MIN($F371,EOMONTH(DATE(cfg_FY,4,1),0))-MAX($E371,DATE(cfg_FY,4,1))+1))</f>
        <v>0</v>
      </c>
      <c r="AX371" s="133" t="n">
        <f aca="false">IF(OR(OR($B371="",$E371="",$F371=""),$K371&lt;&gt;"نعم",$M371="نعم"),0,MAX(0,MIN($F371,EOMONTH(DATE(cfg_FY,5,1),0))-MAX($E371,DATE(cfg_FY,5,1))+1))</f>
        <v>0</v>
      </c>
      <c r="AY371" s="133" t="n">
        <f aca="false">IF(OR(OR($B371="",$E371="",$F371=""),$K371&lt;&gt;"نعم",$M371="نعم"),0,MAX(0,MIN($F371,EOMONTH(DATE(cfg_FY,6,1),0))-MAX($E371,DATE(cfg_FY,6,1))+1))</f>
        <v>0</v>
      </c>
      <c r="AZ371" s="133" t="n">
        <f aca="false">IF(OR(OR($B371="",$E371="",$F371=""),$K371&lt;&gt;"نعم",$M371="نعم"),0,MAX(0,MIN($F371,EOMONTH(DATE(cfg_FY,7,1),0))-MAX($E371,DATE(cfg_FY,7,1))+1))</f>
        <v>0</v>
      </c>
      <c r="BA371" s="133" t="n">
        <f aca="false">IF(OR(OR($B371="",$E371="",$F371=""),$K371&lt;&gt;"نعم",$M371="نعم"),0,MAX(0,MIN($F371,EOMONTH(DATE(cfg_FY,8,1),0))-MAX($E371,DATE(cfg_FY,8,1))+1))</f>
        <v>0</v>
      </c>
      <c r="BB371" s="133" t="n">
        <f aca="false">IF(OR(OR($B371="",$E371="",$F371=""),$K371&lt;&gt;"نعم",$M371="نعم"),0,MAX(0,MIN($F371,EOMONTH(DATE(cfg_FY,9,1),0))-MAX($E371,DATE(cfg_FY,9,1))+1))</f>
        <v>0</v>
      </c>
      <c r="BC371" s="133" t="n">
        <f aca="false">IF(OR(OR($B371="",$E371="",$F371=""),$K371&lt;&gt;"نعم",$M371="نعم"),0,MAX(0,MIN($F371,EOMONTH(DATE(cfg_FY,10,1),0))-MAX($E371,DATE(cfg_FY,10,1))+1))</f>
        <v>0</v>
      </c>
      <c r="BD371" s="133" t="n">
        <f aca="false">IF(OR(OR($B371="",$E371="",$F371=""),$K371&lt;&gt;"نعم",$M371="نعم"),0,MAX(0,MIN($F371,EOMONTH(DATE(cfg_FY,11,1),0))-MAX($E371,DATE(cfg_FY,11,1))+1))</f>
        <v>0</v>
      </c>
      <c r="BE371" s="133" t="n">
        <f aca="false">IF(OR(OR($B371="",$E371="",$F371=""),$K371&lt;&gt;"نعم",$M371="نعم"),0,MAX(0,MIN($F371,EOMONTH(DATE(cfg_FY,12,1),0))-MAX($E371,DATE(cfg_FY,12,1))+1))</f>
        <v>0</v>
      </c>
    </row>
    <row r="372" customFormat="false" ht="15" hidden="false" customHeight="false" outlineLevel="0" collapsed="false">
      <c r="A372" s="106" t="str">
        <f aca="false">IF(B372="","",ROW()-5)</f>
        <v/>
      </c>
      <c r="B372" s="118"/>
      <c r="C372" s="114" t="str">
        <f aca="false">IF(B372="","",IFERROR(INDEX(الموظفون!$C$6:$C$105,MATCH(B372,الموظفون!$B$6:$B$105,0)),"✖ رقم غير موجود"))</f>
        <v/>
      </c>
      <c r="D372" s="118"/>
      <c r="E372" s="119"/>
      <c r="F372" s="119"/>
      <c r="G372" s="65" t="str">
        <f aca="false">IF(OR($B372="",$E372="",$F372=""),"",MAX(0,F372-E372+1))</f>
        <v/>
      </c>
      <c r="H372" s="66" t="str">
        <f aca="false">IF(D372="","",IFERROR(VLOOKUP(D372,cfg_LT,2,FALSE()),1))</f>
        <v/>
      </c>
      <c r="I372" s="135"/>
      <c r="J372" s="66" t="str">
        <f aca="false">IF(D372="","",IF(I372&lt;&gt;"",I372,H372))</f>
        <v/>
      </c>
      <c r="K372" s="114" t="str">
        <f aca="false">IF(D372="","",IFERROR(VLOOKUP($D372,cfg_LT,3,FALSE()),""))</f>
        <v/>
      </c>
      <c r="L372" s="114" t="str">
        <f aca="false">IF(D372="","",IFERROR(VLOOKUP($D372,cfg_LT,4,FALSE()),""))</f>
        <v/>
      </c>
      <c r="M372" s="114" t="str">
        <f aca="false">IF(D372="","",IFERROR(VLOOKUP($D372,cfg_LT,5,FALSE()),""))</f>
        <v/>
      </c>
      <c r="N372" s="111" t="n">
        <f aca="false">IF(OR(OR($B372="",$E372="",$F372=""),M372&lt;&gt;"نعم"),0,G372*J372*IFERROR(INDEX(الموظفون!$R$6:$R$105,MATCH(B372,الموظفون!$B$6:$B$105,0)),0)/cfg_DAYS_M)</f>
        <v>0</v>
      </c>
      <c r="O372" s="106" t="str">
        <f aca="false">IF(OR(OR($B372="",$E372="",$F372=""),M372&lt;&gt;"نعم"),"",IF(YEAR(E372)=cfg_FY,MONTH(E372),""))</f>
        <v/>
      </c>
      <c r="P372" s="114" t="str">
        <f aca="false">IF(B372="","",IF(OR(D372="",E372="",F372=""),"⚠ أكمل النوع والتواريخ",IF(F372&lt;E372,"✖ النهاية قبل البداية",IF(COUNTIFS($B$6:$B$505,B372,$E$6:$E$505,"&lt;="&amp;F372,$F$6:$F$505,"&gt;="&amp;E372)&gt;1,"⚠ تداخل مع سجل آخر",IF(E372&gt;cfg_VAL_DATE,"⏳ قادمة",IF(F372&lt;cfg_VAL_DATE,"✔ منتهية","✈ جارية في تاريخ التقرير"))))))</f>
        <v/>
      </c>
      <c r="Q372" s="118"/>
      <c r="R372" s="65" t="n">
        <f aca="false">IF(OR(OR($B372="",$E372="",$F372=""),L372&lt;&gt;"لا"),0,MAX(0,MIN(F372,cfg_Y_START-1)-E372+1))</f>
        <v>0</v>
      </c>
      <c r="S372" s="65" t="n">
        <f aca="false">IF(OR(OR($B372="",$E372="",$F372=""),L372&lt;&gt;"لا"),0,MAX(0,MIN(F372,cfg_VAL_DATE)-E372+1))</f>
        <v>0</v>
      </c>
      <c r="T372" s="65" t="n">
        <f aca="false">IF(OR(OR($B372="",$E372="",$F372=""),K372&lt;&gt;"نعم"),0,IF(M372="نعم",IF(AND(ISNUMBER(O372),N(O372)&lt;=cfg_VAL_M),G372,0),MAX(0,MIN(F372,cfg_VAL_DATE)-MAX(E372,cfg_Y_START)+1)))</f>
        <v>0</v>
      </c>
      <c r="V372" s="65" t="n">
        <f aca="false">IF(OR($B372="",$E372="",$F372=""),0,MAX(0,MIN($F372,EOMONTH(DATE(cfg_FY,1,1),0))-MAX($E372,DATE(cfg_FY,1,1))+1)*(1-IF($M372="نعم",0,N($J372))))</f>
        <v>0</v>
      </c>
      <c r="W372" s="65" t="n">
        <f aca="false">IF(OR($B372="",$E372="",$F372=""),0,MAX(0,MIN($F372,EOMONTH(DATE(cfg_FY,2,1),0))-MAX($E372,DATE(cfg_FY,2,1))+1)*(1-IF($M372="نعم",0,N($J372))))</f>
        <v>0</v>
      </c>
      <c r="X372" s="65" t="n">
        <f aca="false">IF(OR($B372="",$E372="",$F372=""),0,MAX(0,MIN($F372,EOMONTH(DATE(cfg_FY,3,1),0))-MAX($E372,DATE(cfg_FY,3,1))+1)*(1-IF($M372="نعم",0,N($J372))))</f>
        <v>0</v>
      </c>
      <c r="Y372" s="65" t="n">
        <f aca="false">IF(OR($B372="",$E372="",$F372=""),0,MAX(0,MIN($F372,EOMONTH(DATE(cfg_FY,4,1),0))-MAX($E372,DATE(cfg_FY,4,1))+1)*(1-IF($M372="نعم",0,N($J372))))</f>
        <v>0</v>
      </c>
      <c r="Z372" s="65" t="n">
        <f aca="false">IF(OR($B372="",$E372="",$F372=""),0,MAX(0,MIN($F372,EOMONTH(DATE(cfg_FY,5,1),0))-MAX($E372,DATE(cfg_FY,5,1))+1)*(1-IF($M372="نعم",0,N($J372))))</f>
        <v>0</v>
      </c>
      <c r="AA372" s="65" t="n">
        <f aca="false">IF(OR($B372="",$E372="",$F372=""),0,MAX(0,MIN($F372,EOMONTH(DATE(cfg_FY,6,1),0))-MAX($E372,DATE(cfg_FY,6,1))+1)*(1-IF($M372="نعم",0,N($J372))))</f>
        <v>0</v>
      </c>
      <c r="AB372" s="65" t="n">
        <f aca="false">IF(OR($B372="",$E372="",$F372=""),0,MAX(0,MIN($F372,EOMONTH(DATE(cfg_FY,7,1),0))-MAX($E372,DATE(cfg_FY,7,1))+1)*(1-IF($M372="نعم",0,N($J372))))</f>
        <v>0</v>
      </c>
      <c r="AC372" s="65" t="n">
        <f aca="false">IF(OR($B372="",$E372="",$F372=""),0,MAX(0,MIN($F372,EOMONTH(DATE(cfg_FY,8,1),0))-MAX($E372,DATE(cfg_FY,8,1))+1)*(1-IF($M372="نعم",0,N($J372))))</f>
        <v>0</v>
      </c>
      <c r="AD372" s="65" t="n">
        <f aca="false">IF(OR($B372="",$E372="",$F372=""),0,MAX(0,MIN($F372,EOMONTH(DATE(cfg_FY,9,1),0))-MAX($E372,DATE(cfg_FY,9,1))+1)*(1-IF($M372="نعم",0,N($J372))))</f>
        <v>0</v>
      </c>
      <c r="AE372" s="65" t="n">
        <f aca="false">IF(OR($B372="",$E372="",$F372=""),0,MAX(0,MIN($F372,EOMONTH(DATE(cfg_FY,10,1),0))-MAX($E372,DATE(cfg_FY,10,1))+1)*(1-IF($M372="نعم",0,N($J372))))</f>
        <v>0</v>
      </c>
      <c r="AF372" s="65" t="n">
        <f aca="false">IF(OR($B372="",$E372="",$F372=""),0,MAX(0,MIN($F372,EOMONTH(DATE(cfg_FY,11,1),0))-MAX($E372,DATE(cfg_FY,11,1))+1)*(1-IF($M372="نعم",0,N($J372))))</f>
        <v>0</v>
      </c>
      <c r="AG372" s="65" t="n">
        <f aca="false">IF(OR($B372="",$E372="",$F372=""),0,MAX(0,MIN($F372,EOMONTH(DATE(cfg_FY,12,1),0))-MAX($E372,DATE(cfg_FY,12,1))+1)*(1-IF($M372="نعم",0,N($J372))))</f>
        <v>0</v>
      </c>
      <c r="AH372" s="65" t="n">
        <f aca="false">IF(OR(OR($B372="",$E372="",$F372=""),$L372&lt;&gt;"لا"),0,MAX(0,MIN($F372,EOMONTH(DATE(cfg_FY,1,1),0))-$E372+1))</f>
        <v>0</v>
      </c>
      <c r="AI372" s="65" t="n">
        <f aca="false">IF(OR(OR($B372="",$E372="",$F372=""),$L372&lt;&gt;"لا"),0,MAX(0,MIN($F372,EOMONTH(DATE(cfg_FY,2,1),0))-$E372+1))</f>
        <v>0</v>
      </c>
      <c r="AJ372" s="65" t="n">
        <f aca="false">IF(OR(OR($B372="",$E372="",$F372=""),$L372&lt;&gt;"لا"),0,MAX(0,MIN($F372,EOMONTH(DATE(cfg_FY,3,1),0))-$E372+1))</f>
        <v>0</v>
      </c>
      <c r="AK372" s="65" t="n">
        <f aca="false">IF(OR(OR($B372="",$E372="",$F372=""),$L372&lt;&gt;"لا"),0,MAX(0,MIN($F372,EOMONTH(DATE(cfg_FY,4,1),0))-$E372+1))</f>
        <v>0</v>
      </c>
      <c r="AL372" s="65" t="n">
        <f aca="false">IF(OR(OR($B372="",$E372="",$F372=""),$L372&lt;&gt;"لا"),0,MAX(0,MIN($F372,EOMONTH(DATE(cfg_FY,5,1),0))-$E372+1))</f>
        <v>0</v>
      </c>
      <c r="AM372" s="65" t="n">
        <f aca="false">IF(OR(OR($B372="",$E372="",$F372=""),$L372&lt;&gt;"لا"),0,MAX(0,MIN($F372,EOMONTH(DATE(cfg_FY,6,1),0))-$E372+1))</f>
        <v>0</v>
      </c>
      <c r="AN372" s="65" t="n">
        <f aca="false">IF(OR(OR($B372="",$E372="",$F372=""),$L372&lt;&gt;"لا"),0,MAX(0,MIN($F372,EOMONTH(DATE(cfg_FY,7,1),0))-$E372+1))</f>
        <v>0</v>
      </c>
      <c r="AO372" s="65" t="n">
        <f aca="false">IF(OR(OR($B372="",$E372="",$F372=""),$L372&lt;&gt;"لا"),0,MAX(0,MIN($F372,EOMONTH(DATE(cfg_FY,8,1),0))-$E372+1))</f>
        <v>0</v>
      </c>
      <c r="AP372" s="65" t="n">
        <f aca="false">IF(OR(OR($B372="",$E372="",$F372=""),$L372&lt;&gt;"لا"),0,MAX(0,MIN($F372,EOMONTH(DATE(cfg_FY,9,1),0))-$E372+1))</f>
        <v>0</v>
      </c>
      <c r="AQ372" s="65" t="n">
        <f aca="false">IF(OR(OR($B372="",$E372="",$F372=""),$L372&lt;&gt;"لا"),0,MAX(0,MIN($F372,EOMONTH(DATE(cfg_FY,10,1),0))-$E372+1))</f>
        <v>0</v>
      </c>
      <c r="AR372" s="65" t="n">
        <f aca="false">IF(OR(OR($B372="",$E372="",$F372=""),$L372&lt;&gt;"لا"),0,MAX(0,MIN($F372,EOMONTH(DATE(cfg_FY,11,1),0))-$E372+1))</f>
        <v>0</v>
      </c>
      <c r="AS372" s="65" t="n">
        <f aca="false">IF(OR(OR($B372="",$E372="",$F372=""),$L372&lt;&gt;"لا"),0,MAX(0,MIN($F372,EOMONTH(DATE(cfg_FY,12,1),0))-$E372+1))</f>
        <v>0</v>
      </c>
      <c r="AT372" s="65" t="n">
        <f aca="false">IF(OR(OR($B372="",$E372="",$F372=""),$K372&lt;&gt;"نعم",$M372="نعم"),0,MAX(0,MIN($F372,EOMONTH(DATE(cfg_FY,1,1),0))-MAX($E372,DATE(cfg_FY,1,1))+1))</f>
        <v>0</v>
      </c>
      <c r="AU372" s="65" t="n">
        <f aca="false">IF(OR(OR($B372="",$E372="",$F372=""),$K372&lt;&gt;"نعم",$M372="نعم"),0,MAX(0,MIN($F372,EOMONTH(DATE(cfg_FY,2,1),0))-MAX($E372,DATE(cfg_FY,2,1))+1))</f>
        <v>0</v>
      </c>
      <c r="AV372" s="65" t="n">
        <f aca="false">IF(OR(OR($B372="",$E372="",$F372=""),$K372&lt;&gt;"نعم",$M372="نعم"),0,MAX(0,MIN($F372,EOMONTH(DATE(cfg_FY,3,1),0))-MAX($E372,DATE(cfg_FY,3,1))+1))</f>
        <v>0</v>
      </c>
      <c r="AW372" s="65" t="n">
        <f aca="false">IF(OR(OR($B372="",$E372="",$F372=""),$K372&lt;&gt;"نعم",$M372="نعم"),0,MAX(0,MIN($F372,EOMONTH(DATE(cfg_FY,4,1),0))-MAX($E372,DATE(cfg_FY,4,1))+1))</f>
        <v>0</v>
      </c>
      <c r="AX372" s="65" t="n">
        <f aca="false">IF(OR(OR($B372="",$E372="",$F372=""),$K372&lt;&gt;"نعم",$M372="نعم"),0,MAX(0,MIN($F372,EOMONTH(DATE(cfg_FY,5,1),0))-MAX($E372,DATE(cfg_FY,5,1))+1))</f>
        <v>0</v>
      </c>
      <c r="AY372" s="65" t="n">
        <f aca="false">IF(OR(OR($B372="",$E372="",$F372=""),$K372&lt;&gt;"نعم",$M372="نعم"),0,MAX(0,MIN($F372,EOMONTH(DATE(cfg_FY,6,1),0))-MAX($E372,DATE(cfg_FY,6,1))+1))</f>
        <v>0</v>
      </c>
      <c r="AZ372" s="65" t="n">
        <f aca="false">IF(OR(OR($B372="",$E372="",$F372=""),$K372&lt;&gt;"نعم",$M372="نعم"),0,MAX(0,MIN($F372,EOMONTH(DATE(cfg_FY,7,1),0))-MAX($E372,DATE(cfg_FY,7,1))+1))</f>
        <v>0</v>
      </c>
      <c r="BA372" s="65" t="n">
        <f aca="false">IF(OR(OR($B372="",$E372="",$F372=""),$K372&lt;&gt;"نعم",$M372="نعم"),0,MAX(0,MIN($F372,EOMONTH(DATE(cfg_FY,8,1),0))-MAX($E372,DATE(cfg_FY,8,1))+1))</f>
        <v>0</v>
      </c>
      <c r="BB372" s="65" t="n">
        <f aca="false">IF(OR(OR($B372="",$E372="",$F372=""),$K372&lt;&gt;"نعم",$M372="نعم"),0,MAX(0,MIN($F372,EOMONTH(DATE(cfg_FY,9,1),0))-MAX($E372,DATE(cfg_FY,9,1))+1))</f>
        <v>0</v>
      </c>
      <c r="BC372" s="65" t="n">
        <f aca="false">IF(OR(OR($B372="",$E372="",$F372=""),$K372&lt;&gt;"نعم",$M372="نعم"),0,MAX(0,MIN($F372,EOMONTH(DATE(cfg_FY,10,1),0))-MAX($E372,DATE(cfg_FY,10,1))+1))</f>
        <v>0</v>
      </c>
      <c r="BD372" s="65" t="n">
        <f aca="false">IF(OR(OR($B372="",$E372="",$F372=""),$K372&lt;&gt;"نعم",$M372="نعم"),0,MAX(0,MIN($F372,EOMONTH(DATE(cfg_FY,11,1),0))-MAX($E372,DATE(cfg_FY,11,1))+1))</f>
        <v>0</v>
      </c>
      <c r="BE372" s="65" t="n">
        <f aca="false">IF(OR(OR($B372="",$E372="",$F372=""),$K372&lt;&gt;"نعم",$M372="نعم"),0,MAX(0,MIN($F372,EOMONTH(DATE(cfg_FY,12,1),0))-MAX($E372,DATE(cfg_FY,12,1))+1))</f>
        <v>0</v>
      </c>
    </row>
    <row r="373" customFormat="false" ht="15" hidden="false" customHeight="false" outlineLevel="0" collapsed="false">
      <c r="A373" s="115" t="str">
        <f aca="false">IF(B373="","",ROW()-5)</f>
        <v/>
      </c>
      <c r="B373" s="118"/>
      <c r="C373" s="117" t="str">
        <f aca="false">IF(B373="","",IFERROR(INDEX(الموظفون!$C$6:$C$105,MATCH(B373,الموظفون!$B$6:$B$105,0)),"✖ رقم غير موجود"))</f>
        <v/>
      </c>
      <c r="D373" s="118"/>
      <c r="E373" s="119"/>
      <c r="F373" s="119"/>
      <c r="G373" s="133" t="str">
        <f aca="false">IF(OR($B373="",$E373="",$F373=""),"",MAX(0,F373-E373+1))</f>
        <v/>
      </c>
      <c r="H373" s="134" t="str">
        <f aca="false">IF(D373="","",IFERROR(VLOOKUP(D373,cfg_LT,2,FALSE()),1))</f>
        <v/>
      </c>
      <c r="I373" s="135"/>
      <c r="J373" s="134" t="str">
        <f aca="false">IF(D373="","",IF(I373&lt;&gt;"",I373,H373))</f>
        <v/>
      </c>
      <c r="K373" s="117" t="str">
        <f aca="false">IF(D373="","",IFERROR(VLOOKUP($D373,cfg_LT,3,FALSE()),""))</f>
        <v/>
      </c>
      <c r="L373" s="117" t="str">
        <f aca="false">IF(D373="","",IFERROR(VLOOKUP($D373,cfg_LT,4,FALSE()),""))</f>
        <v/>
      </c>
      <c r="M373" s="117" t="str">
        <f aca="false">IF(D373="","",IFERROR(VLOOKUP($D373,cfg_LT,5,FALSE()),""))</f>
        <v/>
      </c>
      <c r="N373" s="116" t="n">
        <f aca="false">IF(OR(OR($B373="",$E373="",$F373=""),M373&lt;&gt;"نعم"),0,G373*J373*IFERROR(INDEX(الموظفون!$R$6:$R$105,MATCH(B373,الموظفون!$B$6:$B$105,0)),0)/cfg_DAYS_M)</f>
        <v>0</v>
      </c>
      <c r="O373" s="115" t="str">
        <f aca="false">IF(OR(OR($B373="",$E373="",$F373=""),M373&lt;&gt;"نعم"),"",IF(YEAR(E373)=cfg_FY,MONTH(E373),""))</f>
        <v/>
      </c>
      <c r="P373" s="117" t="str">
        <f aca="false">IF(B373="","",IF(OR(D373="",E373="",F373=""),"⚠ أكمل النوع والتواريخ",IF(F373&lt;E373,"✖ النهاية قبل البداية",IF(COUNTIFS($B$6:$B$505,B373,$E$6:$E$505,"&lt;="&amp;F373,$F$6:$F$505,"&gt;="&amp;E373)&gt;1,"⚠ تداخل مع سجل آخر",IF(E373&gt;cfg_VAL_DATE,"⏳ قادمة",IF(F373&lt;cfg_VAL_DATE,"✔ منتهية","✈ جارية في تاريخ التقرير"))))))</f>
        <v/>
      </c>
      <c r="Q373" s="118"/>
      <c r="R373" s="133" t="n">
        <f aca="false">IF(OR(OR($B373="",$E373="",$F373=""),L373&lt;&gt;"لا"),0,MAX(0,MIN(F373,cfg_Y_START-1)-E373+1))</f>
        <v>0</v>
      </c>
      <c r="S373" s="133" t="n">
        <f aca="false">IF(OR(OR($B373="",$E373="",$F373=""),L373&lt;&gt;"لا"),0,MAX(0,MIN(F373,cfg_VAL_DATE)-E373+1))</f>
        <v>0</v>
      </c>
      <c r="T373" s="133" t="n">
        <f aca="false">IF(OR(OR($B373="",$E373="",$F373=""),K373&lt;&gt;"نعم"),0,IF(M373="نعم",IF(AND(ISNUMBER(O373),N(O373)&lt;=cfg_VAL_M),G373,0),MAX(0,MIN(F373,cfg_VAL_DATE)-MAX(E373,cfg_Y_START)+1)))</f>
        <v>0</v>
      </c>
      <c r="V373" s="133" t="n">
        <f aca="false">IF(OR($B373="",$E373="",$F373=""),0,MAX(0,MIN($F373,EOMONTH(DATE(cfg_FY,1,1),0))-MAX($E373,DATE(cfg_FY,1,1))+1)*(1-IF($M373="نعم",0,N($J373))))</f>
        <v>0</v>
      </c>
      <c r="W373" s="133" t="n">
        <f aca="false">IF(OR($B373="",$E373="",$F373=""),0,MAX(0,MIN($F373,EOMONTH(DATE(cfg_FY,2,1),0))-MAX($E373,DATE(cfg_FY,2,1))+1)*(1-IF($M373="نعم",0,N($J373))))</f>
        <v>0</v>
      </c>
      <c r="X373" s="133" t="n">
        <f aca="false">IF(OR($B373="",$E373="",$F373=""),0,MAX(0,MIN($F373,EOMONTH(DATE(cfg_FY,3,1),0))-MAX($E373,DATE(cfg_FY,3,1))+1)*(1-IF($M373="نعم",0,N($J373))))</f>
        <v>0</v>
      </c>
      <c r="Y373" s="133" t="n">
        <f aca="false">IF(OR($B373="",$E373="",$F373=""),0,MAX(0,MIN($F373,EOMONTH(DATE(cfg_FY,4,1),0))-MAX($E373,DATE(cfg_FY,4,1))+1)*(1-IF($M373="نعم",0,N($J373))))</f>
        <v>0</v>
      </c>
      <c r="Z373" s="133" t="n">
        <f aca="false">IF(OR($B373="",$E373="",$F373=""),0,MAX(0,MIN($F373,EOMONTH(DATE(cfg_FY,5,1),0))-MAX($E373,DATE(cfg_FY,5,1))+1)*(1-IF($M373="نعم",0,N($J373))))</f>
        <v>0</v>
      </c>
      <c r="AA373" s="133" t="n">
        <f aca="false">IF(OR($B373="",$E373="",$F373=""),0,MAX(0,MIN($F373,EOMONTH(DATE(cfg_FY,6,1),0))-MAX($E373,DATE(cfg_FY,6,1))+1)*(1-IF($M373="نعم",0,N($J373))))</f>
        <v>0</v>
      </c>
      <c r="AB373" s="133" t="n">
        <f aca="false">IF(OR($B373="",$E373="",$F373=""),0,MAX(0,MIN($F373,EOMONTH(DATE(cfg_FY,7,1),0))-MAX($E373,DATE(cfg_FY,7,1))+1)*(1-IF($M373="نعم",0,N($J373))))</f>
        <v>0</v>
      </c>
      <c r="AC373" s="133" t="n">
        <f aca="false">IF(OR($B373="",$E373="",$F373=""),0,MAX(0,MIN($F373,EOMONTH(DATE(cfg_FY,8,1),0))-MAX($E373,DATE(cfg_FY,8,1))+1)*(1-IF($M373="نعم",0,N($J373))))</f>
        <v>0</v>
      </c>
      <c r="AD373" s="133" t="n">
        <f aca="false">IF(OR($B373="",$E373="",$F373=""),0,MAX(0,MIN($F373,EOMONTH(DATE(cfg_FY,9,1),0))-MAX($E373,DATE(cfg_FY,9,1))+1)*(1-IF($M373="نعم",0,N($J373))))</f>
        <v>0</v>
      </c>
      <c r="AE373" s="133" t="n">
        <f aca="false">IF(OR($B373="",$E373="",$F373=""),0,MAX(0,MIN($F373,EOMONTH(DATE(cfg_FY,10,1),0))-MAX($E373,DATE(cfg_FY,10,1))+1)*(1-IF($M373="نعم",0,N($J373))))</f>
        <v>0</v>
      </c>
      <c r="AF373" s="133" t="n">
        <f aca="false">IF(OR($B373="",$E373="",$F373=""),0,MAX(0,MIN($F373,EOMONTH(DATE(cfg_FY,11,1),0))-MAX($E373,DATE(cfg_FY,11,1))+1)*(1-IF($M373="نعم",0,N($J373))))</f>
        <v>0</v>
      </c>
      <c r="AG373" s="133" t="n">
        <f aca="false">IF(OR($B373="",$E373="",$F373=""),0,MAX(0,MIN($F373,EOMONTH(DATE(cfg_FY,12,1),0))-MAX($E373,DATE(cfg_FY,12,1))+1)*(1-IF($M373="نعم",0,N($J373))))</f>
        <v>0</v>
      </c>
      <c r="AH373" s="133" t="n">
        <f aca="false">IF(OR(OR($B373="",$E373="",$F373=""),$L373&lt;&gt;"لا"),0,MAX(0,MIN($F373,EOMONTH(DATE(cfg_FY,1,1),0))-$E373+1))</f>
        <v>0</v>
      </c>
      <c r="AI373" s="133" t="n">
        <f aca="false">IF(OR(OR($B373="",$E373="",$F373=""),$L373&lt;&gt;"لا"),0,MAX(0,MIN($F373,EOMONTH(DATE(cfg_FY,2,1),0))-$E373+1))</f>
        <v>0</v>
      </c>
      <c r="AJ373" s="133" t="n">
        <f aca="false">IF(OR(OR($B373="",$E373="",$F373=""),$L373&lt;&gt;"لا"),0,MAX(0,MIN($F373,EOMONTH(DATE(cfg_FY,3,1),0))-$E373+1))</f>
        <v>0</v>
      </c>
      <c r="AK373" s="133" t="n">
        <f aca="false">IF(OR(OR($B373="",$E373="",$F373=""),$L373&lt;&gt;"لا"),0,MAX(0,MIN($F373,EOMONTH(DATE(cfg_FY,4,1),0))-$E373+1))</f>
        <v>0</v>
      </c>
      <c r="AL373" s="133" t="n">
        <f aca="false">IF(OR(OR($B373="",$E373="",$F373=""),$L373&lt;&gt;"لا"),0,MAX(0,MIN($F373,EOMONTH(DATE(cfg_FY,5,1),0))-$E373+1))</f>
        <v>0</v>
      </c>
      <c r="AM373" s="133" t="n">
        <f aca="false">IF(OR(OR($B373="",$E373="",$F373=""),$L373&lt;&gt;"لا"),0,MAX(0,MIN($F373,EOMONTH(DATE(cfg_FY,6,1),0))-$E373+1))</f>
        <v>0</v>
      </c>
      <c r="AN373" s="133" t="n">
        <f aca="false">IF(OR(OR($B373="",$E373="",$F373=""),$L373&lt;&gt;"لا"),0,MAX(0,MIN($F373,EOMONTH(DATE(cfg_FY,7,1),0))-$E373+1))</f>
        <v>0</v>
      </c>
      <c r="AO373" s="133" t="n">
        <f aca="false">IF(OR(OR($B373="",$E373="",$F373=""),$L373&lt;&gt;"لا"),0,MAX(0,MIN($F373,EOMONTH(DATE(cfg_FY,8,1),0))-$E373+1))</f>
        <v>0</v>
      </c>
      <c r="AP373" s="133" t="n">
        <f aca="false">IF(OR(OR($B373="",$E373="",$F373=""),$L373&lt;&gt;"لا"),0,MAX(0,MIN($F373,EOMONTH(DATE(cfg_FY,9,1),0))-$E373+1))</f>
        <v>0</v>
      </c>
      <c r="AQ373" s="133" t="n">
        <f aca="false">IF(OR(OR($B373="",$E373="",$F373=""),$L373&lt;&gt;"لا"),0,MAX(0,MIN($F373,EOMONTH(DATE(cfg_FY,10,1),0))-$E373+1))</f>
        <v>0</v>
      </c>
      <c r="AR373" s="133" t="n">
        <f aca="false">IF(OR(OR($B373="",$E373="",$F373=""),$L373&lt;&gt;"لا"),0,MAX(0,MIN($F373,EOMONTH(DATE(cfg_FY,11,1),0))-$E373+1))</f>
        <v>0</v>
      </c>
      <c r="AS373" s="133" t="n">
        <f aca="false">IF(OR(OR($B373="",$E373="",$F373=""),$L373&lt;&gt;"لا"),0,MAX(0,MIN($F373,EOMONTH(DATE(cfg_FY,12,1),0))-$E373+1))</f>
        <v>0</v>
      </c>
      <c r="AT373" s="133" t="n">
        <f aca="false">IF(OR(OR($B373="",$E373="",$F373=""),$K373&lt;&gt;"نعم",$M373="نعم"),0,MAX(0,MIN($F373,EOMONTH(DATE(cfg_FY,1,1),0))-MAX($E373,DATE(cfg_FY,1,1))+1))</f>
        <v>0</v>
      </c>
      <c r="AU373" s="133" t="n">
        <f aca="false">IF(OR(OR($B373="",$E373="",$F373=""),$K373&lt;&gt;"نعم",$M373="نعم"),0,MAX(0,MIN($F373,EOMONTH(DATE(cfg_FY,2,1),0))-MAX($E373,DATE(cfg_FY,2,1))+1))</f>
        <v>0</v>
      </c>
      <c r="AV373" s="133" t="n">
        <f aca="false">IF(OR(OR($B373="",$E373="",$F373=""),$K373&lt;&gt;"نعم",$M373="نعم"),0,MAX(0,MIN($F373,EOMONTH(DATE(cfg_FY,3,1),0))-MAX($E373,DATE(cfg_FY,3,1))+1))</f>
        <v>0</v>
      </c>
      <c r="AW373" s="133" t="n">
        <f aca="false">IF(OR(OR($B373="",$E373="",$F373=""),$K373&lt;&gt;"نعم",$M373="نعم"),0,MAX(0,MIN($F373,EOMONTH(DATE(cfg_FY,4,1),0))-MAX($E373,DATE(cfg_FY,4,1))+1))</f>
        <v>0</v>
      </c>
      <c r="AX373" s="133" t="n">
        <f aca="false">IF(OR(OR($B373="",$E373="",$F373=""),$K373&lt;&gt;"نعم",$M373="نعم"),0,MAX(0,MIN($F373,EOMONTH(DATE(cfg_FY,5,1),0))-MAX($E373,DATE(cfg_FY,5,1))+1))</f>
        <v>0</v>
      </c>
      <c r="AY373" s="133" t="n">
        <f aca="false">IF(OR(OR($B373="",$E373="",$F373=""),$K373&lt;&gt;"نعم",$M373="نعم"),0,MAX(0,MIN($F373,EOMONTH(DATE(cfg_FY,6,1),0))-MAX($E373,DATE(cfg_FY,6,1))+1))</f>
        <v>0</v>
      </c>
      <c r="AZ373" s="133" t="n">
        <f aca="false">IF(OR(OR($B373="",$E373="",$F373=""),$K373&lt;&gt;"نعم",$M373="نعم"),0,MAX(0,MIN($F373,EOMONTH(DATE(cfg_FY,7,1),0))-MAX($E373,DATE(cfg_FY,7,1))+1))</f>
        <v>0</v>
      </c>
      <c r="BA373" s="133" t="n">
        <f aca="false">IF(OR(OR($B373="",$E373="",$F373=""),$K373&lt;&gt;"نعم",$M373="نعم"),0,MAX(0,MIN($F373,EOMONTH(DATE(cfg_FY,8,1),0))-MAX($E373,DATE(cfg_FY,8,1))+1))</f>
        <v>0</v>
      </c>
      <c r="BB373" s="133" t="n">
        <f aca="false">IF(OR(OR($B373="",$E373="",$F373=""),$K373&lt;&gt;"نعم",$M373="نعم"),0,MAX(0,MIN($F373,EOMONTH(DATE(cfg_FY,9,1),0))-MAX($E373,DATE(cfg_FY,9,1))+1))</f>
        <v>0</v>
      </c>
      <c r="BC373" s="133" t="n">
        <f aca="false">IF(OR(OR($B373="",$E373="",$F373=""),$K373&lt;&gt;"نعم",$M373="نعم"),0,MAX(0,MIN($F373,EOMONTH(DATE(cfg_FY,10,1),0))-MAX($E373,DATE(cfg_FY,10,1))+1))</f>
        <v>0</v>
      </c>
      <c r="BD373" s="133" t="n">
        <f aca="false">IF(OR(OR($B373="",$E373="",$F373=""),$K373&lt;&gt;"نعم",$M373="نعم"),0,MAX(0,MIN($F373,EOMONTH(DATE(cfg_FY,11,1),0))-MAX($E373,DATE(cfg_FY,11,1))+1))</f>
        <v>0</v>
      </c>
      <c r="BE373" s="133" t="n">
        <f aca="false">IF(OR(OR($B373="",$E373="",$F373=""),$K373&lt;&gt;"نعم",$M373="نعم"),0,MAX(0,MIN($F373,EOMONTH(DATE(cfg_FY,12,1),0))-MAX($E373,DATE(cfg_FY,12,1))+1))</f>
        <v>0</v>
      </c>
    </row>
    <row r="374" customFormat="false" ht="15" hidden="false" customHeight="false" outlineLevel="0" collapsed="false">
      <c r="A374" s="106" t="str">
        <f aca="false">IF(B374="","",ROW()-5)</f>
        <v/>
      </c>
      <c r="B374" s="118"/>
      <c r="C374" s="114" t="str">
        <f aca="false">IF(B374="","",IFERROR(INDEX(الموظفون!$C$6:$C$105,MATCH(B374,الموظفون!$B$6:$B$105,0)),"✖ رقم غير موجود"))</f>
        <v/>
      </c>
      <c r="D374" s="118"/>
      <c r="E374" s="119"/>
      <c r="F374" s="119"/>
      <c r="G374" s="65" t="str">
        <f aca="false">IF(OR($B374="",$E374="",$F374=""),"",MAX(0,F374-E374+1))</f>
        <v/>
      </c>
      <c r="H374" s="66" t="str">
        <f aca="false">IF(D374="","",IFERROR(VLOOKUP(D374,cfg_LT,2,FALSE()),1))</f>
        <v/>
      </c>
      <c r="I374" s="135"/>
      <c r="J374" s="66" t="str">
        <f aca="false">IF(D374="","",IF(I374&lt;&gt;"",I374,H374))</f>
        <v/>
      </c>
      <c r="K374" s="114" t="str">
        <f aca="false">IF(D374="","",IFERROR(VLOOKUP($D374,cfg_LT,3,FALSE()),""))</f>
        <v/>
      </c>
      <c r="L374" s="114" t="str">
        <f aca="false">IF(D374="","",IFERROR(VLOOKUP($D374,cfg_LT,4,FALSE()),""))</f>
        <v/>
      </c>
      <c r="M374" s="114" t="str">
        <f aca="false">IF(D374="","",IFERROR(VLOOKUP($D374,cfg_LT,5,FALSE()),""))</f>
        <v/>
      </c>
      <c r="N374" s="111" t="n">
        <f aca="false">IF(OR(OR($B374="",$E374="",$F374=""),M374&lt;&gt;"نعم"),0,G374*J374*IFERROR(INDEX(الموظفون!$R$6:$R$105,MATCH(B374,الموظفون!$B$6:$B$105,0)),0)/cfg_DAYS_M)</f>
        <v>0</v>
      </c>
      <c r="O374" s="106" t="str">
        <f aca="false">IF(OR(OR($B374="",$E374="",$F374=""),M374&lt;&gt;"نعم"),"",IF(YEAR(E374)=cfg_FY,MONTH(E374),""))</f>
        <v/>
      </c>
      <c r="P374" s="114" t="str">
        <f aca="false">IF(B374="","",IF(OR(D374="",E374="",F374=""),"⚠ أكمل النوع والتواريخ",IF(F374&lt;E374,"✖ النهاية قبل البداية",IF(COUNTIFS($B$6:$B$505,B374,$E$6:$E$505,"&lt;="&amp;F374,$F$6:$F$505,"&gt;="&amp;E374)&gt;1,"⚠ تداخل مع سجل آخر",IF(E374&gt;cfg_VAL_DATE,"⏳ قادمة",IF(F374&lt;cfg_VAL_DATE,"✔ منتهية","✈ جارية في تاريخ التقرير"))))))</f>
        <v/>
      </c>
      <c r="Q374" s="118"/>
      <c r="R374" s="65" t="n">
        <f aca="false">IF(OR(OR($B374="",$E374="",$F374=""),L374&lt;&gt;"لا"),0,MAX(0,MIN(F374,cfg_Y_START-1)-E374+1))</f>
        <v>0</v>
      </c>
      <c r="S374" s="65" t="n">
        <f aca="false">IF(OR(OR($B374="",$E374="",$F374=""),L374&lt;&gt;"لا"),0,MAX(0,MIN(F374,cfg_VAL_DATE)-E374+1))</f>
        <v>0</v>
      </c>
      <c r="T374" s="65" t="n">
        <f aca="false">IF(OR(OR($B374="",$E374="",$F374=""),K374&lt;&gt;"نعم"),0,IF(M374="نعم",IF(AND(ISNUMBER(O374),N(O374)&lt;=cfg_VAL_M),G374,0),MAX(0,MIN(F374,cfg_VAL_DATE)-MAX(E374,cfg_Y_START)+1)))</f>
        <v>0</v>
      </c>
      <c r="V374" s="65" t="n">
        <f aca="false">IF(OR($B374="",$E374="",$F374=""),0,MAX(0,MIN($F374,EOMONTH(DATE(cfg_FY,1,1),0))-MAX($E374,DATE(cfg_FY,1,1))+1)*(1-IF($M374="نعم",0,N($J374))))</f>
        <v>0</v>
      </c>
      <c r="W374" s="65" t="n">
        <f aca="false">IF(OR($B374="",$E374="",$F374=""),0,MAX(0,MIN($F374,EOMONTH(DATE(cfg_FY,2,1),0))-MAX($E374,DATE(cfg_FY,2,1))+1)*(1-IF($M374="نعم",0,N($J374))))</f>
        <v>0</v>
      </c>
      <c r="X374" s="65" t="n">
        <f aca="false">IF(OR($B374="",$E374="",$F374=""),0,MAX(0,MIN($F374,EOMONTH(DATE(cfg_FY,3,1),0))-MAX($E374,DATE(cfg_FY,3,1))+1)*(1-IF($M374="نعم",0,N($J374))))</f>
        <v>0</v>
      </c>
      <c r="Y374" s="65" t="n">
        <f aca="false">IF(OR($B374="",$E374="",$F374=""),0,MAX(0,MIN($F374,EOMONTH(DATE(cfg_FY,4,1),0))-MAX($E374,DATE(cfg_FY,4,1))+1)*(1-IF($M374="نعم",0,N($J374))))</f>
        <v>0</v>
      </c>
      <c r="Z374" s="65" t="n">
        <f aca="false">IF(OR($B374="",$E374="",$F374=""),0,MAX(0,MIN($F374,EOMONTH(DATE(cfg_FY,5,1),0))-MAX($E374,DATE(cfg_FY,5,1))+1)*(1-IF($M374="نعم",0,N($J374))))</f>
        <v>0</v>
      </c>
      <c r="AA374" s="65" t="n">
        <f aca="false">IF(OR($B374="",$E374="",$F374=""),0,MAX(0,MIN($F374,EOMONTH(DATE(cfg_FY,6,1),0))-MAX($E374,DATE(cfg_FY,6,1))+1)*(1-IF($M374="نعم",0,N($J374))))</f>
        <v>0</v>
      </c>
      <c r="AB374" s="65" t="n">
        <f aca="false">IF(OR($B374="",$E374="",$F374=""),0,MAX(0,MIN($F374,EOMONTH(DATE(cfg_FY,7,1),0))-MAX($E374,DATE(cfg_FY,7,1))+1)*(1-IF($M374="نعم",0,N($J374))))</f>
        <v>0</v>
      </c>
      <c r="AC374" s="65" t="n">
        <f aca="false">IF(OR($B374="",$E374="",$F374=""),0,MAX(0,MIN($F374,EOMONTH(DATE(cfg_FY,8,1),0))-MAX($E374,DATE(cfg_FY,8,1))+1)*(1-IF($M374="نعم",0,N($J374))))</f>
        <v>0</v>
      </c>
      <c r="AD374" s="65" t="n">
        <f aca="false">IF(OR($B374="",$E374="",$F374=""),0,MAX(0,MIN($F374,EOMONTH(DATE(cfg_FY,9,1),0))-MAX($E374,DATE(cfg_FY,9,1))+1)*(1-IF($M374="نعم",0,N($J374))))</f>
        <v>0</v>
      </c>
      <c r="AE374" s="65" t="n">
        <f aca="false">IF(OR($B374="",$E374="",$F374=""),0,MAX(0,MIN($F374,EOMONTH(DATE(cfg_FY,10,1),0))-MAX($E374,DATE(cfg_FY,10,1))+1)*(1-IF($M374="نعم",0,N($J374))))</f>
        <v>0</v>
      </c>
      <c r="AF374" s="65" t="n">
        <f aca="false">IF(OR($B374="",$E374="",$F374=""),0,MAX(0,MIN($F374,EOMONTH(DATE(cfg_FY,11,1),0))-MAX($E374,DATE(cfg_FY,11,1))+1)*(1-IF($M374="نعم",0,N($J374))))</f>
        <v>0</v>
      </c>
      <c r="AG374" s="65" t="n">
        <f aca="false">IF(OR($B374="",$E374="",$F374=""),0,MAX(0,MIN($F374,EOMONTH(DATE(cfg_FY,12,1),0))-MAX($E374,DATE(cfg_FY,12,1))+1)*(1-IF($M374="نعم",0,N($J374))))</f>
        <v>0</v>
      </c>
      <c r="AH374" s="65" t="n">
        <f aca="false">IF(OR(OR($B374="",$E374="",$F374=""),$L374&lt;&gt;"لا"),0,MAX(0,MIN($F374,EOMONTH(DATE(cfg_FY,1,1),0))-$E374+1))</f>
        <v>0</v>
      </c>
      <c r="AI374" s="65" t="n">
        <f aca="false">IF(OR(OR($B374="",$E374="",$F374=""),$L374&lt;&gt;"لا"),0,MAX(0,MIN($F374,EOMONTH(DATE(cfg_FY,2,1),0))-$E374+1))</f>
        <v>0</v>
      </c>
      <c r="AJ374" s="65" t="n">
        <f aca="false">IF(OR(OR($B374="",$E374="",$F374=""),$L374&lt;&gt;"لا"),0,MAX(0,MIN($F374,EOMONTH(DATE(cfg_FY,3,1),0))-$E374+1))</f>
        <v>0</v>
      </c>
      <c r="AK374" s="65" t="n">
        <f aca="false">IF(OR(OR($B374="",$E374="",$F374=""),$L374&lt;&gt;"لا"),0,MAX(0,MIN($F374,EOMONTH(DATE(cfg_FY,4,1),0))-$E374+1))</f>
        <v>0</v>
      </c>
      <c r="AL374" s="65" t="n">
        <f aca="false">IF(OR(OR($B374="",$E374="",$F374=""),$L374&lt;&gt;"لا"),0,MAX(0,MIN($F374,EOMONTH(DATE(cfg_FY,5,1),0))-$E374+1))</f>
        <v>0</v>
      </c>
      <c r="AM374" s="65" t="n">
        <f aca="false">IF(OR(OR($B374="",$E374="",$F374=""),$L374&lt;&gt;"لا"),0,MAX(0,MIN($F374,EOMONTH(DATE(cfg_FY,6,1),0))-$E374+1))</f>
        <v>0</v>
      </c>
      <c r="AN374" s="65" t="n">
        <f aca="false">IF(OR(OR($B374="",$E374="",$F374=""),$L374&lt;&gt;"لا"),0,MAX(0,MIN($F374,EOMONTH(DATE(cfg_FY,7,1),0))-$E374+1))</f>
        <v>0</v>
      </c>
      <c r="AO374" s="65" t="n">
        <f aca="false">IF(OR(OR($B374="",$E374="",$F374=""),$L374&lt;&gt;"لا"),0,MAX(0,MIN($F374,EOMONTH(DATE(cfg_FY,8,1),0))-$E374+1))</f>
        <v>0</v>
      </c>
      <c r="AP374" s="65" t="n">
        <f aca="false">IF(OR(OR($B374="",$E374="",$F374=""),$L374&lt;&gt;"لا"),0,MAX(0,MIN($F374,EOMONTH(DATE(cfg_FY,9,1),0))-$E374+1))</f>
        <v>0</v>
      </c>
      <c r="AQ374" s="65" t="n">
        <f aca="false">IF(OR(OR($B374="",$E374="",$F374=""),$L374&lt;&gt;"لا"),0,MAX(0,MIN($F374,EOMONTH(DATE(cfg_FY,10,1),0))-$E374+1))</f>
        <v>0</v>
      </c>
      <c r="AR374" s="65" t="n">
        <f aca="false">IF(OR(OR($B374="",$E374="",$F374=""),$L374&lt;&gt;"لا"),0,MAX(0,MIN($F374,EOMONTH(DATE(cfg_FY,11,1),0))-$E374+1))</f>
        <v>0</v>
      </c>
      <c r="AS374" s="65" t="n">
        <f aca="false">IF(OR(OR($B374="",$E374="",$F374=""),$L374&lt;&gt;"لا"),0,MAX(0,MIN($F374,EOMONTH(DATE(cfg_FY,12,1),0))-$E374+1))</f>
        <v>0</v>
      </c>
      <c r="AT374" s="65" t="n">
        <f aca="false">IF(OR(OR($B374="",$E374="",$F374=""),$K374&lt;&gt;"نعم",$M374="نعم"),0,MAX(0,MIN($F374,EOMONTH(DATE(cfg_FY,1,1),0))-MAX($E374,DATE(cfg_FY,1,1))+1))</f>
        <v>0</v>
      </c>
      <c r="AU374" s="65" t="n">
        <f aca="false">IF(OR(OR($B374="",$E374="",$F374=""),$K374&lt;&gt;"نعم",$M374="نعم"),0,MAX(0,MIN($F374,EOMONTH(DATE(cfg_FY,2,1),0))-MAX($E374,DATE(cfg_FY,2,1))+1))</f>
        <v>0</v>
      </c>
      <c r="AV374" s="65" t="n">
        <f aca="false">IF(OR(OR($B374="",$E374="",$F374=""),$K374&lt;&gt;"نعم",$M374="نعم"),0,MAX(0,MIN($F374,EOMONTH(DATE(cfg_FY,3,1),0))-MAX($E374,DATE(cfg_FY,3,1))+1))</f>
        <v>0</v>
      </c>
      <c r="AW374" s="65" t="n">
        <f aca="false">IF(OR(OR($B374="",$E374="",$F374=""),$K374&lt;&gt;"نعم",$M374="نعم"),0,MAX(0,MIN($F374,EOMONTH(DATE(cfg_FY,4,1),0))-MAX($E374,DATE(cfg_FY,4,1))+1))</f>
        <v>0</v>
      </c>
      <c r="AX374" s="65" t="n">
        <f aca="false">IF(OR(OR($B374="",$E374="",$F374=""),$K374&lt;&gt;"نعم",$M374="نعم"),0,MAX(0,MIN($F374,EOMONTH(DATE(cfg_FY,5,1),0))-MAX($E374,DATE(cfg_FY,5,1))+1))</f>
        <v>0</v>
      </c>
      <c r="AY374" s="65" t="n">
        <f aca="false">IF(OR(OR($B374="",$E374="",$F374=""),$K374&lt;&gt;"نعم",$M374="نعم"),0,MAX(0,MIN($F374,EOMONTH(DATE(cfg_FY,6,1),0))-MAX($E374,DATE(cfg_FY,6,1))+1))</f>
        <v>0</v>
      </c>
      <c r="AZ374" s="65" t="n">
        <f aca="false">IF(OR(OR($B374="",$E374="",$F374=""),$K374&lt;&gt;"نعم",$M374="نعم"),0,MAX(0,MIN($F374,EOMONTH(DATE(cfg_FY,7,1),0))-MAX($E374,DATE(cfg_FY,7,1))+1))</f>
        <v>0</v>
      </c>
      <c r="BA374" s="65" t="n">
        <f aca="false">IF(OR(OR($B374="",$E374="",$F374=""),$K374&lt;&gt;"نعم",$M374="نعم"),0,MAX(0,MIN($F374,EOMONTH(DATE(cfg_FY,8,1),0))-MAX($E374,DATE(cfg_FY,8,1))+1))</f>
        <v>0</v>
      </c>
      <c r="BB374" s="65" t="n">
        <f aca="false">IF(OR(OR($B374="",$E374="",$F374=""),$K374&lt;&gt;"نعم",$M374="نعم"),0,MAX(0,MIN($F374,EOMONTH(DATE(cfg_FY,9,1),0))-MAX($E374,DATE(cfg_FY,9,1))+1))</f>
        <v>0</v>
      </c>
      <c r="BC374" s="65" t="n">
        <f aca="false">IF(OR(OR($B374="",$E374="",$F374=""),$K374&lt;&gt;"نعم",$M374="نعم"),0,MAX(0,MIN($F374,EOMONTH(DATE(cfg_FY,10,1),0))-MAX($E374,DATE(cfg_FY,10,1))+1))</f>
        <v>0</v>
      </c>
      <c r="BD374" s="65" t="n">
        <f aca="false">IF(OR(OR($B374="",$E374="",$F374=""),$K374&lt;&gt;"نعم",$M374="نعم"),0,MAX(0,MIN($F374,EOMONTH(DATE(cfg_FY,11,1),0))-MAX($E374,DATE(cfg_FY,11,1))+1))</f>
        <v>0</v>
      </c>
      <c r="BE374" s="65" t="n">
        <f aca="false">IF(OR(OR($B374="",$E374="",$F374=""),$K374&lt;&gt;"نعم",$M374="نعم"),0,MAX(0,MIN($F374,EOMONTH(DATE(cfg_FY,12,1),0))-MAX($E374,DATE(cfg_FY,12,1))+1))</f>
        <v>0</v>
      </c>
    </row>
    <row r="375" customFormat="false" ht="15" hidden="false" customHeight="false" outlineLevel="0" collapsed="false">
      <c r="A375" s="115" t="str">
        <f aca="false">IF(B375="","",ROW()-5)</f>
        <v/>
      </c>
      <c r="B375" s="118"/>
      <c r="C375" s="117" t="str">
        <f aca="false">IF(B375="","",IFERROR(INDEX(الموظفون!$C$6:$C$105,MATCH(B375,الموظفون!$B$6:$B$105,0)),"✖ رقم غير موجود"))</f>
        <v/>
      </c>
      <c r="D375" s="118"/>
      <c r="E375" s="119"/>
      <c r="F375" s="119"/>
      <c r="G375" s="133" t="str">
        <f aca="false">IF(OR($B375="",$E375="",$F375=""),"",MAX(0,F375-E375+1))</f>
        <v/>
      </c>
      <c r="H375" s="134" t="str">
        <f aca="false">IF(D375="","",IFERROR(VLOOKUP(D375,cfg_LT,2,FALSE()),1))</f>
        <v/>
      </c>
      <c r="I375" s="135"/>
      <c r="J375" s="134" t="str">
        <f aca="false">IF(D375="","",IF(I375&lt;&gt;"",I375,H375))</f>
        <v/>
      </c>
      <c r="K375" s="117" t="str">
        <f aca="false">IF(D375="","",IFERROR(VLOOKUP($D375,cfg_LT,3,FALSE()),""))</f>
        <v/>
      </c>
      <c r="L375" s="117" t="str">
        <f aca="false">IF(D375="","",IFERROR(VLOOKUP($D375,cfg_LT,4,FALSE()),""))</f>
        <v/>
      </c>
      <c r="M375" s="117" t="str">
        <f aca="false">IF(D375="","",IFERROR(VLOOKUP($D375,cfg_LT,5,FALSE()),""))</f>
        <v/>
      </c>
      <c r="N375" s="116" t="n">
        <f aca="false">IF(OR(OR($B375="",$E375="",$F375=""),M375&lt;&gt;"نعم"),0,G375*J375*IFERROR(INDEX(الموظفون!$R$6:$R$105,MATCH(B375,الموظفون!$B$6:$B$105,0)),0)/cfg_DAYS_M)</f>
        <v>0</v>
      </c>
      <c r="O375" s="115" t="str">
        <f aca="false">IF(OR(OR($B375="",$E375="",$F375=""),M375&lt;&gt;"نعم"),"",IF(YEAR(E375)=cfg_FY,MONTH(E375),""))</f>
        <v/>
      </c>
      <c r="P375" s="117" t="str">
        <f aca="false">IF(B375="","",IF(OR(D375="",E375="",F375=""),"⚠ أكمل النوع والتواريخ",IF(F375&lt;E375,"✖ النهاية قبل البداية",IF(COUNTIFS($B$6:$B$505,B375,$E$6:$E$505,"&lt;="&amp;F375,$F$6:$F$505,"&gt;="&amp;E375)&gt;1,"⚠ تداخل مع سجل آخر",IF(E375&gt;cfg_VAL_DATE,"⏳ قادمة",IF(F375&lt;cfg_VAL_DATE,"✔ منتهية","✈ جارية في تاريخ التقرير"))))))</f>
        <v/>
      </c>
      <c r="Q375" s="118"/>
      <c r="R375" s="133" t="n">
        <f aca="false">IF(OR(OR($B375="",$E375="",$F375=""),L375&lt;&gt;"لا"),0,MAX(0,MIN(F375,cfg_Y_START-1)-E375+1))</f>
        <v>0</v>
      </c>
      <c r="S375" s="133" t="n">
        <f aca="false">IF(OR(OR($B375="",$E375="",$F375=""),L375&lt;&gt;"لا"),0,MAX(0,MIN(F375,cfg_VAL_DATE)-E375+1))</f>
        <v>0</v>
      </c>
      <c r="T375" s="133" t="n">
        <f aca="false">IF(OR(OR($B375="",$E375="",$F375=""),K375&lt;&gt;"نعم"),0,IF(M375="نعم",IF(AND(ISNUMBER(O375),N(O375)&lt;=cfg_VAL_M),G375,0),MAX(0,MIN(F375,cfg_VAL_DATE)-MAX(E375,cfg_Y_START)+1)))</f>
        <v>0</v>
      </c>
      <c r="V375" s="133" t="n">
        <f aca="false">IF(OR($B375="",$E375="",$F375=""),0,MAX(0,MIN($F375,EOMONTH(DATE(cfg_FY,1,1),0))-MAX($E375,DATE(cfg_FY,1,1))+1)*(1-IF($M375="نعم",0,N($J375))))</f>
        <v>0</v>
      </c>
      <c r="W375" s="133" t="n">
        <f aca="false">IF(OR($B375="",$E375="",$F375=""),0,MAX(0,MIN($F375,EOMONTH(DATE(cfg_FY,2,1),0))-MAX($E375,DATE(cfg_FY,2,1))+1)*(1-IF($M375="نعم",0,N($J375))))</f>
        <v>0</v>
      </c>
      <c r="X375" s="133" t="n">
        <f aca="false">IF(OR($B375="",$E375="",$F375=""),0,MAX(0,MIN($F375,EOMONTH(DATE(cfg_FY,3,1),0))-MAX($E375,DATE(cfg_FY,3,1))+1)*(1-IF($M375="نعم",0,N($J375))))</f>
        <v>0</v>
      </c>
      <c r="Y375" s="133" t="n">
        <f aca="false">IF(OR($B375="",$E375="",$F375=""),0,MAX(0,MIN($F375,EOMONTH(DATE(cfg_FY,4,1),0))-MAX($E375,DATE(cfg_FY,4,1))+1)*(1-IF($M375="نعم",0,N($J375))))</f>
        <v>0</v>
      </c>
      <c r="Z375" s="133" t="n">
        <f aca="false">IF(OR($B375="",$E375="",$F375=""),0,MAX(0,MIN($F375,EOMONTH(DATE(cfg_FY,5,1),0))-MAX($E375,DATE(cfg_FY,5,1))+1)*(1-IF($M375="نعم",0,N($J375))))</f>
        <v>0</v>
      </c>
      <c r="AA375" s="133" t="n">
        <f aca="false">IF(OR($B375="",$E375="",$F375=""),0,MAX(0,MIN($F375,EOMONTH(DATE(cfg_FY,6,1),0))-MAX($E375,DATE(cfg_FY,6,1))+1)*(1-IF($M375="نعم",0,N($J375))))</f>
        <v>0</v>
      </c>
      <c r="AB375" s="133" t="n">
        <f aca="false">IF(OR($B375="",$E375="",$F375=""),0,MAX(0,MIN($F375,EOMONTH(DATE(cfg_FY,7,1),0))-MAX($E375,DATE(cfg_FY,7,1))+1)*(1-IF($M375="نعم",0,N($J375))))</f>
        <v>0</v>
      </c>
      <c r="AC375" s="133" t="n">
        <f aca="false">IF(OR($B375="",$E375="",$F375=""),0,MAX(0,MIN($F375,EOMONTH(DATE(cfg_FY,8,1),0))-MAX($E375,DATE(cfg_FY,8,1))+1)*(1-IF($M375="نعم",0,N($J375))))</f>
        <v>0</v>
      </c>
      <c r="AD375" s="133" t="n">
        <f aca="false">IF(OR($B375="",$E375="",$F375=""),0,MAX(0,MIN($F375,EOMONTH(DATE(cfg_FY,9,1),0))-MAX($E375,DATE(cfg_FY,9,1))+1)*(1-IF($M375="نعم",0,N($J375))))</f>
        <v>0</v>
      </c>
      <c r="AE375" s="133" t="n">
        <f aca="false">IF(OR($B375="",$E375="",$F375=""),0,MAX(0,MIN($F375,EOMONTH(DATE(cfg_FY,10,1),0))-MAX($E375,DATE(cfg_FY,10,1))+1)*(1-IF($M375="نعم",0,N($J375))))</f>
        <v>0</v>
      </c>
      <c r="AF375" s="133" t="n">
        <f aca="false">IF(OR($B375="",$E375="",$F375=""),0,MAX(0,MIN($F375,EOMONTH(DATE(cfg_FY,11,1),0))-MAX($E375,DATE(cfg_FY,11,1))+1)*(1-IF($M375="نعم",0,N($J375))))</f>
        <v>0</v>
      </c>
      <c r="AG375" s="133" t="n">
        <f aca="false">IF(OR($B375="",$E375="",$F375=""),0,MAX(0,MIN($F375,EOMONTH(DATE(cfg_FY,12,1),0))-MAX($E375,DATE(cfg_FY,12,1))+1)*(1-IF($M375="نعم",0,N($J375))))</f>
        <v>0</v>
      </c>
      <c r="AH375" s="133" t="n">
        <f aca="false">IF(OR(OR($B375="",$E375="",$F375=""),$L375&lt;&gt;"لا"),0,MAX(0,MIN($F375,EOMONTH(DATE(cfg_FY,1,1),0))-$E375+1))</f>
        <v>0</v>
      </c>
      <c r="AI375" s="133" t="n">
        <f aca="false">IF(OR(OR($B375="",$E375="",$F375=""),$L375&lt;&gt;"لا"),0,MAX(0,MIN($F375,EOMONTH(DATE(cfg_FY,2,1),0))-$E375+1))</f>
        <v>0</v>
      </c>
      <c r="AJ375" s="133" t="n">
        <f aca="false">IF(OR(OR($B375="",$E375="",$F375=""),$L375&lt;&gt;"لا"),0,MAX(0,MIN($F375,EOMONTH(DATE(cfg_FY,3,1),0))-$E375+1))</f>
        <v>0</v>
      </c>
      <c r="AK375" s="133" t="n">
        <f aca="false">IF(OR(OR($B375="",$E375="",$F375=""),$L375&lt;&gt;"لا"),0,MAX(0,MIN($F375,EOMONTH(DATE(cfg_FY,4,1),0))-$E375+1))</f>
        <v>0</v>
      </c>
      <c r="AL375" s="133" t="n">
        <f aca="false">IF(OR(OR($B375="",$E375="",$F375=""),$L375&lt;&gt;"لا"),0,MAX(0,MIN($F375,EOMONTH(DATE(cfg_FY,5,1),0))-$E375+1))</f>
        <v>0</v>
      </c>
      <c r="AM375" s="133" t="n">
        <f aca="false">IF(OR(OR($B375="",$E375="",$F375=""),$L375&lt;&gt;"لا"),0,MAX(0,MIN($F375,EOMONTH(DATE(cfg_FY,6,1),0))-$E375+1))</f>
        <v>0</v>
      </c>
      <c r="AN375" s="133" t="n">
        <f aca="false">IF(OR(OR($B375="",$E375="",$F375=""),$L375&lt;&gt;"لا"),0,MAX(0,MIN($F375,EOMONTH(DATE(cfg_FY,7,1),0))-$E375+1))</f>
        <v>0</v>
      </c>
      <c r="AO375" s="133" t="n">
        <f aca="false">IF(OR(OR($B375="",$E375="",$F375=""),$L375&lt;&gt;"لا"),0,MAX(0,MIN($F375,EOMONTH(DATE(cfg_FY,8,1),0))-$E375+1))</f>
        <v>0</v>
      </c>
      <c r="AP375" s="133" t="n">
        <f aca="false">IF(OR(OR($B375="",$E375="",$F375=""),$L375&lt;&gt;"لا"),0,MAX(0,MIN($F375,EOMONTH(DATE(cfg_FY,9,1),0))-$E375+1))</f>
        <v>0</v>
      </c>
      <c r="AQ375" s="133" t="n">
        <f aca="false">IF(OR(OR($B375="",$E375="",$F375=""),$L375&lt;&gt;"لا"),0,MAX(0,MIN($F375,EOMONTH(DATE(cfg_FY,10,1),0))-$E375+1))</f>
        <v>0</v>
      </c>
      <c r="AR375" s="133" t="n">
        <f aca="false">IF(OR(OR($B375="",$E375="",$F375=""),$L375&lt;&gt;"لا"),0,MAX(0,MIN($F375,EOMONTH(DATE(cfg_FY,11,1),0))-$E375+1))</f>
        <v>0</v>
      </c>
      <c r="AS375" s="133" t="n">
        <f aca="false">IF(OR(OR($B375="",$E375="",$F375=""),$L375&lt;&gt;"لا"),0,MAX(0,MIN($F375,EOMONTH(DATE(cfg_FY,12,1),0))-$E375+1))</f>
        <v>0</v>
      </c>
      <c r="AT375" s="133" t="n">
        <f aca="false">IF(OR(OR($B375="",$E375="",$F375=""),$K375&lt;&gt;"نعم",$M375="نعم"),0,MAX(0,MIN($F375,EOMONTH(DATE(cfg_FY,1,1),0))-MAX($E375,DATE(cfg_FY,1,1))+1))</f>
        <v>0</v>
      </c>
      <c r="AU375" s="133" t="n">
        <f aca="false">IF(OR(OR($B375="",$E375="",$F375=""),$K375&lt;&gt;"نعم",$M375="نعم"),0,MAX(0,MIN($F375,EOMONTH(DATE(cfg_FY,2,1),0))-MAX($E375,DATE(cfg_FY,2,1))+1))</f>
        <v>0</v>
      </c>
      <c r="AV375" s="133" t="n">
        <f aca="false">IF(OR(OR($B375="",$E375="",$F375=""),$K375&lt;&gt;"نعم",$M375="نعم"),0,MAX(0,MIN($F375,EOMONTH(DATE(cfg_FY,3,1),0))-MAX($E375,DATE(cfg_FY,3,1))+1))</f>
        <v>0</v>
      </c>
      <c r="AW375" s="133" t="n">
        <f aca="false">IF(OR(OR($B375="",$E375="",$F375=""),$K375&lt;&gt;"نعم",$M375="نعم"),0,MAX(0,MIN($F375,EOMONTH(DATE(cfg_FY,4,1),0))-MAX($E375,DATE(cfg_FY,4,1))+1))</f>
        <v>0</v>
      </c>
      <c r="AX375" s="133" t="n">
        <f aca="false">IF(OR(OR($B375="",$E375="",$F375=""),$K375&lt;&gt;"نعم",$M375="نعم"),0,MAX(0,MIN($F375,EOMONTH(DATE(cfg_FY,5,1),0))-MAX($E375,DATE(cfg_FY,5,1))+1))</f>
        <v>0</v>
      </c>
      <c r="AY375" s="133" t="n">
        <f aca="false">IF(OR(OR($B375="",$E375="",$F375=""),$K375&lt;&gt;"نعم",$M375="نعم"),0,MAX(0,MIN($F375,EOMONTH(DATE(cfg_FY,6,1),0))-MAX($E375,DATE(cfg_FY,6,1))+1))</f>
        <v>0</v>
      </c>
      <c r="AZ375" s="133" t="n">
        <f aca="false">IF(OR(OR($B375="",$E375="",$F375=""),$K375&lt;&gt;"نعم",$M375="نعم"),0,MAX(0,MIN($F375,EOMONTH(DATE(cfg_FY,7,1),0))-MAX($E375,DATE(cfg_FY,7,1))+1))</f>
        <v>0</v>
      </c>
      <c r="BA375" s="133" t="n">
        <f aca="false">IF(OR(OR($B375="",$E375="",$F375=""),$K375&lt;&gt;"نعم",$M375="نعم"),0,MAX(0,MIN($F375,EOMONTH(DATE(cfg_FY,8,1),0))-MAX($E375,DATE(cfg_FY,8,1))+1))</f>
        <v>0</v>
      </c>
      <c r="BB375" s="133" t="n">
        <f aca="false">IF(OR(OR($B375="",$E375="",$F375=""),$K375&lt;&gt;"نعم",$M375="نعم"),0,MAX(0,MIN($F375,EOMONTH(DATE(cfg_FY,9,1),0))-MAX($E375,DATE(cfg_FY,9,1))+1))</f>
        <v>0</v>
      </c>
      <c r="BC375" s="133" t="n">
        <f aca="false">IF(OR(OR($B375="",$E375="",$F375=""),$K375&lt;&gt;"نعم",$M375="نعم"),0,MAX(0,MIN($F375,EOMONTH(DATE(cfg_FY,10,1),0))-MAX($E375,DATE(cfg_FY,10,1))+1))</f>
        <v>0</v>
      </c>
      <c r="BD375" s="133" t="n">
        <f aca="false">IF(OR(OR($B375="",$E375="",$F375=""),$K375&lt;&gt;"نعم",$M375="نعم"),0,MAX(0,MIN($F375,EOMONTH(DATE(cfg_FY,11,1),0))-MAX($E375,DATE(cfg_FY,11,1))+1))</f>
        <v>0</v>
      </c>
      <c r="BE375" s="133" t="n">
        <f aca="false">IF(OR(OR($B375="",$E375="",$F375=""),$K375&lt;&gt;"نعم",$M375="نعم"),0,MAX(0,MIN($F375,EOMONTH(DATE(cfg_FY,12,1),0))-MAX($E375,DATE(cfg_FY,12,1))+1))</f>
        <v>0</v>
      </c>
    </row>
    <row r="376" customFormat="false" ht="15" hidden="false" customHeight="false" outlineLevel="0" collapsed="false">
      <c r="A376" s="106" t="str">
        <f aca="false">IF(B376="","",ROW()-5)</f>
        <v/>
      </c>
      <c r="B376" s="118"/>
      <c r="C376" s="114" t="str">
        <f aca="false">IF(B376="","",IFERROR(INDEX(الموظفون!$C$6:$C$105,MATCH(B376,الموظفون!$B$6:$B$105,0)),"✖ رقم غير موجود"))</f>
        <v/>
      </c>
      <c r="D376" s="118"/>
      <c r="E376" s="119"/>
      <c r="F376" s="119"/>
      <c r="G376" s="65" t="str">
        <f aca="false">IF(OR($B376="",$E376="",$F376=""),"",MAX(0,F376-E376+1))</f>
        <v/>
      </c>
      <c r="H376" s="66" t="str">
        <f aca="false">IF(D376="","",IFERROR(VLOOKUP(D376,cfg_LT,2,FALSE()),1))</f>
        <v/>
      </c>
      <c r="I376" s="135"/>
      <c r="J376" s="66" t="str">
        <f aca="false">IF(D376="","",IF(I376&lt;&gt;"",I376,H376))</f>
        <v/>
      </c>
      <c r="K376" s="114" t="str">
        <f aca="false">IF(D376="","",IFERROR(VLOOKUP($D376,cfg_LT,3,FALSE()),""))</f>
        <v/>
      </c>
      <c r="L376" s="114" t="str">
        <f aca="false">IF(D376="","",IFERROR(VLOOKUP($D376,cfg_LT,4,FALSE()),""))</f>
        <v/>
      </c>
      <c r="M376" s="114" t="str">
        <f aca="false">IF(D376="","",IFERROR(VLOOKUP($D376,cfg_LT,5,FALSE()),""))</f>
        <v/>
      </c>
      <c r="N376" s="111" t="n">
        <f aca="false">IF(OR(OR($B376="",$E376="",$F376=""),M376&lt;&gt;"نعم"),0,G376*J376*IFERROR(INDEX(الموظفون!$R$6:$R$105,MATCH(B376,الموظفون!$B$6:$B$105,0)),0)/cfg_DAYS_M)</f>
        <v>0</v>
      </c>
      <c r="O376" s="106" t="str">
        <f aca="false">IF(OR(OR($B376="",$E376="",$F376=""),M376&lt;&gt;"نعم"),"",IF(YEAR(E376)=cfg_FY,MONTH(E376),""))</f>
        <v/>
      </c>
      <c r="P376" s="114" t="str">
        <f aca="false">IF(B376="","",IF(OR(D376="",E376="",F376=""),"⚠ أكمل النوع والتواريخ",IF(F376&lt;E376,"✖ النهاية قبل البداية",IF(COUNTIFS($B$6:$B$505,B376,$E$6:$E$505,"&lt;="&amp;F376,$F$6:$F$505,"&gt;="&amp;E376)&gt;1,"⚠ تداخل مع سجل آخر",IF(E376&gt;cfg_VAL_DATE,"⏳ قادمة",IF(F376&lt;cfg_VAL_DATE,"✔ منتهية","✈ جارية في تاريخ التقرير"))))))</f>
        <v/>
      </c>
      <c r="Q376" s="118"/>
      <c r="R376" s="65" t="n">
        <f aca="false">IF(OR(OR($B376="",$E376="",$F376=""),L376&lt;&gt;"لا"),0,MAX(0,MIN(F376,cfg_Y_START-1)-E376+1))</f>
        <v>0</v>
      </c>
      <c r="S376" s="65" t="n">
        <f aca="false">IF(OR(OR($B376="",$E376="",$F376=""),L376&lt;&gt;"لا"),0,MAX(0,MIN(F376,cfg_VAL_DATE)-E376+1))</f>
        <v>0</v>
      </c>
      <c r="T376" s="65" t="n">
        <f aca="false">IF(OR(OR($B376="",$E376="",$F376=""),K376&lt;&gt;"نعم"),0,IF(M376="نعم",IF(AND(ISNUMBER(O376),N(O376)&lt;=cfg_VAL_M),G376,0),MAX(0,MIN(F376,cfg_VAL_DATE)-MAX(E376,cfg_Y_START)+1)))</f>
        <v>0</v>
      </c>
      <c r="V376" s="65" t="n">
        <f aca="false">IF(OR($B376="",$E376="",$F376=""),0,MAX(0,MIN($F376,EOMONTH(DATE(cfg_FY,1,1),0))-MAX($E376,DATE(cfg_FY,1,1))+1)*(1-IF($M376="نعم",0,N($J376))))</f>
        <v>0</v>
      </c>
      <c r="W376" s="65" t="n">
        <f aca="false">IF(OR($B376="",$E376="",$F376=""),0,MAX(0,MIN($F376,EOMONTH(DATE(cfg_FY,2,1),0))-MAX($E376,DATE(cfg_FY,2,1))+1)*(1-IF($M376="نعم",0,N($J376))))</f>
        <v>0</v>
      </c>
      <c r="X376" s="65" t="n">
        <f aca="false">IF(OR($B376="",$E376="",$F376=""),0,MAX(0,MIN($F376,EOMONTH(DATE(cfg_FY,3,1),0))-MAX($E376,DATE(cfg_FY,3,1))+1)*(1-IF($M376="نعم",0,N($J376))))</f>
        <v>0</v>
      </c>
      <c r="Y376" s="65" t="n">
        <f aca="false">IF(OR($B376="",$E376="",$F376=""),0,MAX(0,MIN($F376,EOMONTH(DATE(cfg_FY,4,1),0))-MAX($E376,DATE(cfg_FY,4,1))+1)*(1-IF($M376="نعم",0,N($J376))))</f>
        <v>0</v>
      </c>
      <c r="Z376" s="65" t="n">
        <f aca="false">IF(OR($B376="",$E376="",$F376=""),0,MAX(0,MIN($F376,EOMONTH(DATE(cfg_FY,5,1),0))-MAX($E376,DATE(cfg_FY,5,1))+1)*(1-IF($M376="نعم",0,N($J376))))</f>
        <v>0</v>
      </c>
      <c r="AA376" s="65" t="n">
        <f aca="false">IF(OR($B376="",$E376="",$F376=""),0,MAX(0,MIN($F376,EOMONTH(DATE(cfg_FY,6,1),0))-MAX($E376,DATE(cfg_FY,6,1))+1)*(1-IF($M376="نعم",0,N($J376))))</f>
        <v>0</v>
      </c>
      <c r="AB376" s="65" t="n">
        <f aca="false">IF(OR($B376="",$E376="",$F376=""),0,MAX(0,MIN($F376,EOMONTH(DATE(cfg_FY,7,1),0))-MAX($E376,DATE(cfg_FY,7,1))+1)*(1-IF($M376="نعم",0,N($J376))))</f>
        <v>0</v>
      </c>
      <c r="AC376" s="65" t="n">
        <f aca="false">IF(OR($B376="",$E376="",$F376=""),0,MAX(0,MIN($F376,EOMONTH(DATE(cfg_FY,8,1),0))-MAX($E376,DATE(cfg_FY,8,1))+1)*(1-IF($M376="نعم",0,N($J376))))</f>
        <v>0</v>
      </c>
      <c r="AD376" s="65" t="n">
        <f aca="false">IF(OR($B376="",$E376="",$F376=""),0,MAX(0,MIN($F376,EOMONTH(DATE(cfg_FY,9,1),0))-MAX($E376,DATE(cfg_FY,9,1))+1)*(1-IF($M376="نعم",0,N($J376))))</f>
        <v>0</v>
      </c>
      <c r="AE376" s="65" t="n">
        <f aca="false">IF(OR($B376="",$E376="",$F376=""),0,MAX(0,MIN($F376,EOMONTH(DATE(cfg_FY,10,1),0))-MAX($E376,DATE(cfg_FY,10,1))+1)*(1-IF($M376="نعم",0,N($J376))))</f>
        <v>0</v>
      </c>
      <c r="AF376" s="65" t="n">
        <f aca="false">IF(OR($B376="",$E376="",$F376=""),0,MAX(0,MIN($F376,EOMONTH(DATE(cfg_FY,11,1),0))-MAX($E376,DATE(cfg_FY,11,1))+1)*(1-IF($M376="نعم",0,N($J376))))</f>
        <v>0</v>
      </c>
      <c r="AG376" s="65" t="n">
        <f aca="false">IF(OR($B376="",$E376="",$F376=""),0,MAX(0,MIN($F376,EOMONTH(DATE(cfg_FY,12,1),0))-MAX($E376,DATE(cfg_FY,12,1))+1)*(1-IF($M376="نعم",0,N($J376))))</f>
        <v>0</v>
      </c>
      <c r="AH376" s="65" t="n">
        <f aca="false">IF(OR(OR($B376="",$E376="",$F376=""),$L376&lt;&gt;"لا"),0,MAX(0,MIN($F376,EOMONTH(DATE(cfg_FY,1,1),0))-$E376+1))</f>
        <v>0</v>
      </c>
      <c r="AI376" s="65" t="n">
        <f aca="false">IF(OR(OR($B376="",$E376="",$F376=""),$L376&lt;&gt;"لا"),0,MAX(0,MIN($F376,EOMONTH(DATE(cfg_FY,2,1),0))-$E376+1))</f>
        <v>0</v>
      </c>
      <c r="AJ376" s="65" t="n">
        <f aca="false">IF(OR(OR($B376="",$E376="",$F376=""),$L376&lt;&gt;"لا"),0,MAX(0,MIN($F376,EOMONTH(DATE(cfg_FY,3,1),0))-$E376+1))</f>
        <v>0</v>
      </c>
      <c r="AK376" s="65" t="n">
        <f aca="false">IF(OR(OR($B376="",$E376="",$F376=""),$L376&lt;&gt;"لا"),0,MAX(0,MIN($F376,EOMONTH(DATE(cfg_FY,4,1),0))-$E376+1))</f>
        <v>0</v>
      </c>
      <c r="AL376" s="65" t="n">
        <f aca="false">IF(OR(OR($B376="",$E376="",$F376=""),$L376&lt;&gt;"لا"),0,MAX(0,MIN($F376,EOMONTH(DATE(cfg_FY,5,1),0))-$E376+1))</f>
        <v>0</v>
      </c>
      <c r="AM376" s="65" t="n">
        <f aca="false">IF(OR(OR($B376="",$E376="",$F376=""),$L376&lt;&gt;"لا"),0,MAX(0,MIN($F376,EOMONTH(DATE(cfg_FY,6,1),0))-$E376+1))</f>
        <v>0</v>
      </c>
      <c r="AN376" s="65" t="n">
        <f aca="false">IF(OR(OR($B376="",$E376="",$F376=""),$L376&lt;&gt;"لا"),0,MAX(0,MIN($F376,EOMONTH(DATE(cfg_FY,7,1),0))-$E376+1))</f>
        <v>0</v>
      </c>
      <c r="AO376" s="65" t="n">
        <f aca="false">IF(OR(OR($B376="",$E376="",$F376=""),$L376&lt;&gt;"لا"),0,MAX(0,MIN($F376,EOMONTH(DATE(cfg_FY,8,1),0))-$E376+1))</f>
        <v>0</v>
      </c>
      <c r="AP376" s="65" t="n">
        <f aca="false">IF(OR(OR($B376="",$E376="",$F376=""),$L376&lt;&gt;"لا"),0,MAX(0,MIN($F376,EOMONTH(DATE(cfg_FY,9,1),0))-$E376+1))</f>
        <v>0</v>
      </c>
      <c r="AQ376" s="65" t="n">
        <f aca="false">IF(OR(OR($B376="",$E376="",$F376=""),$L376&lt;&gt;"لا"),0,MAX(0,MIN($F376,EOMONTH(DATE(cfg_FY,10,1),0))-$E376+1))</f>
        <v>0</v>
      </c>
      <c r="AR376" s="65" t="n">
        <f aca="false">IF(OR(OR($B376="",$E376="",$F376=""),$L376&lt;&gt;"لا"),0,MAX(0,MIN($F376,EOMONTH(DATE(cfg_FY,11,1),0))-$E376+1))</f>
        <v>0</v>
      </c>
      <c r="AS376" s="65" t="n">
        <f aca="false">IF(OR(OR($B376="",$E376="",$F376=""),$L376&lt;&gt;"لا"),0,MAX(0,MIN($F376,EOMONTH(DATE(cfg_FY,12,1),0))-$E376+1))</f>
        <v>0</v>
      </c>
      <c r="AT376" s="65" t="n">
        <f aca="false">IF(OR(OR($B376="",$E376="",$F376=""),$K376&lt;&gt;"نعم",$M376="نعم"),0,MAX(0,MIN($F376,EOMONTH(DATE(cfg_FY,1,1),0))-MAX($E376,DATE(cfg_FY,1,1))+1))</f>
        <v>0</v>
      </c>
      <c r="AU376" s="65" t="n">
        <f aca="false">IF(OR(OR($B376="",$E376="",$F376=""),$K376&lt;&gt;"نعم",$M376="نعم"),0,MAX(0,MIN($F376,EOMONTH(DATE(cfg_FY,2,1),0))-MAX($E376,DATE(cfg_FY,2,1))+1))</f>
        <v>0</v>
      </c>
      <c r="AV376" s="65" t="n">
        <f aca="false">IF(OR(OR($B376="",$E376="",$F376=""),$K376&lt;&gt;"نعم",$M376="نعم"),0,MAX(0,MIN($F376,EOMONTH(DATE(cfg_FY,3,1),0))-MAX($E376,DATE(cfg_FY,3,1))+1))</f>
        <v>0</v>
      </c>
      <c r="AW376" s="65" t="n">
        <f aca="false">IF(OR(OR($B376="",$E376="",$F376=""),$K376&lt;&gt;"نعم",$M376="نعم"),0,MAX(0,MIN($F376,EOMONTH(DATE(cfg_FY,4,1),0))-MAX($E376,DATE(cfg_FY,4,1))+1))</f>
        <v>0</v>
      </c>
      <c r="AX376" s="65" t="n">
        <f aca="false">IF(OR(OR($B376="",$E376="",$F376=""),$K376&lt;&gt;"نعم",$M376="نعم"),0,MAX(0,MIN($F376,EOMONTH(DATE(cfg_FY,5,1),0))-MAX($E376,DATE(cfg_FY,5,1))+1))</f>
        <v>0</v>
      </c>
      <c r="AY376" s="65" t="n">
        <f aca="false">IF(OR(OR($B376="",$E376="",$F376=""),$K376&lt;&gt;"نعم",$M376="نعم"),0,MAX(0,MIN($F376,EOMONTH(DATE(cfg_FY,6,1),0))-MAX($E376,DATE(cfg_FY,6,1))+1))</f>
        <v>0</v>
      </c>
      <c r="AZ376" s="65" t="n">
        <f aca="false">IF(OR(OR($B376="",$E376="",$F376=""),$K376&lt;&gt;"نعم",$M376="نعم"),0,MAX(0,MIN($F376,EOMONTH(DATE(cfg_FY,7,1),0))-MAX($E376,DATE(cfg_FY,7,1))+1))</f>
        <v>0</v>
      </c>
      <c r="BA376" s="65" t="n">
        <f aca="false">IF(OR(OR($B376="",$E376="",$F376=""),$K376&lt;&gt;"نعم",$M376="نعم"),0,MAX(0,MIN($F376,EOMONTH(DATE(cfg_FY,8,1),0))-MAX($E376,DATE(cfg_FY,8,1))+1))</f>
        <v>0</v>
      </c>
      <c r="BB376" s="65" t="n">
        <f aca="false">IF(OR(OR($B376="",$E376="",$F376=""),$K376&lt;&gt;"نعم",$M376="نعم"),0,MAX(0,MIN($F376,EOMONTH(DATE(cfg_FY,9,1),0))-MAX($E376,DATE(cfg_FY,9,1))+1))</f>
        <v>0</v>
      </c>
      <c r="BC376" s="65" t="n">
        <f aca="false">IF(OR(OR($B376="",$E376="",$F376=""),$K376&lt;&gt;"نعم",$M376="نعم"),0,MAX(0,MIN($F376,EOMONTH(DATE(cfg_FY,10,1),0))-MAX($E376,DATE(cfg_FY,10,1))+1))</f>
        <v>0</v>
      </c>
      <c r="BD376" s="65" t="n">
        <f aca="false">IF(OR(OR($B376="",$E376="",$F376=""),$K376&lt;&gt;"نعم",$M376="نعم"),0,MAX(0,MIN($F376,EOMONTH(DATE(cfg_FY,11,1),0))-MAX($E376,DATE(cfg_FY,11,1))+1))</f>
        <v>0</v>
      </c>
      <c r="BE376" s="65" t="n">
        <f aca="false">IF(OR(OR($B376="",$E376="",$F376=""),$K376&lt;&gt;"نعم",$M376="نعم"),0,MAX(0,MIN($F376,EOMONTH(DATE(cfg_FY,12,1),0))-MAX($E376,DATE(cfg_FY,12,1))+1))</f>
        <v>0</v>
      </c>
    </row>
    <row r="377" customFormat="false" ht="15" hidden="false" customHeight="false" outlineLevel="0" collapsed="false">
      <c r="A377" s="115" t="str">
        <f aca="false">IF(B377="","",ROW()-5)</f>
        <v/>
      </c>
      <c r="B377" s="118"/>
      <c r="C377" s="117" t="str">
        <f aca="false">IF(B377="","",IFERROR(INDEX(الموظفون!$C$6:$C$105,MATCH(B377,الموظفون!$B$6:$B$105,0)),"✖ رقم غير موجود"))</f>
        <v/>
      </c>
      <c r="D377" s="118"/>
      <c r="E377" s="119"/>
      <c r="F377" s="119"/>
      <c r="G377" s="133" t="str">
        <f aca="false">IF(OR($B377="",$E377="",$F377=""),"",MAX(0,F377-E377+1))</f>
        <v/>
      </c>
      <c r="H377" s="134" t="str">
        <f aca="false">IF(D377="","",IFERROR(VLOOKUP(D377,cfg_LT,2,FALSE()),1))</f>
        <v/>
      </c>
      <c r="I377" s="135"/>
      <c r="J377" s="134" t="str">
        <f aca="false">IF(D377="","",IF(I377&lt;&gt;"",I377,H377))</f>
        <v/>
      </c>
      <c r="K377" s="117" t="str">
        <f aca="false">IF(D377="","",IFERROR(VLOOKUP($D377,cfg_LT,3,FALSE()),""))</f>
        <v/>
      </c>
      <c r="L377" s="117" t="str">
        <f aca="false">IF(D377="","",IFERROR(VLOOKUP($D377,cfg_LT,4,FALSE()),""))</f>
        <v/>
      </c>
      <c r="M377" s="117" t="str">
        <f aca="false">IF(D377="","",IFERROR(VLOOKUP($D377,cfg_LT,5,FALSE()),""))</f>
        <v/>
      </c>
      <c r="N377" s="116" t="n">
        <f aca="false">IF(OR(OR($B377="",$E377="",$F377=""),M377&lt;&gt;"نعم"),0,G377*J377*IFERROR(INDEX(الموظفون!$R$6:$R$105,MATCH(B377,الموظفون!$B$6:$B$105,0)),0)/cfg_DAYS_M)</f>
        <v>0</v>
      </c>
      <c r="O377" s="115" t="str">
        <f aca="false">IF(OR(OR($B377="",$E377="",$F377=""),M377&lt;&gt;"نعم"),"",IF(YEAR(E377)=cfg_FY,MONTH(E377),""))</f>
        <v/>
      </c>
      <c r="P377" s="117" t="str">
        <f aca="false">IF(B377="","",IF(OR(D377="",E377="",F377=""),"⚠ أكمل النوع والتواريخ",IF(F377&lt;E377,"✖ النهاية قبل البداية",IF(COUNTIFS($B$6:$B$505,B377,$E$6:$E$505,"&lt;="&amp;F377,$F$6:$F$505,"&gt;="&amp;E377)&gt;1,"⚠ تداخل مع سجل آخر",IF(E377&gt;cfg_VAL_DATE,"⏳ قادمة",IF(F377&lt;cfg_VAL_DATE,"✔ منتهية","✈ جارية في تاريخ التقرير"))))))</f>
        <v/>
      </c>
      <c r="Q377" s="118"/>
      <c r="R377" s="133" t="n">
        <f aca="false">IF(OR(OR($B377="",$E377="",$F377=""),L377&lt;&gt;"لا"),0,MAX(0,MIN(F377,cfg_Y_START-1)-E377+1))</f>
        <v>0</v>
      </c>
      <c r="S377" s="133" t="n">
        <f aca="false">IF(OR(OR($B377="",$E377="",$F377=""),L377&lt;&gt;"لا"),0,MAX(0,MIN(F377,cfg_VAL_DATE)-E377+1))</f>
        <v>0</v>
      </c>
      <c r="T377" s="133" t="n">
        <f aca="false">IF(OR(OR($B377="",$E377="",$F377=""),K377&lt;&gt;"نعم"),0,IF(M377="نعم",IF(AND(ISNUMBER(O377),N(O377)&lt;=cfg_VAL_M),G377,0),MAX(0,MIN(F377,cfg_VAL_DATE)-MAX(E377,cfg_Y_START)+1)))</f>
        <v>0</v>
      </c>
      <c r="V377" s="133" t="n">
        <f aca="false">IF(OR($B377="",$E377="",$F377=""),0,MAX(0,MIN($F377,EOMONTH(DATE(cfg_FY,1,1),0))-MAX($E377,DATE(cfg_FY,1,1))+1)*(1-IF($M377="نعم",0,N($J377))))</f>
        <v>0</v>
      </c>
      <c r="W377" s="133" t="n">
        <f aca="false">IF(OR($B377="",$E377="",$F377=""),0,MAX(0,MIN($F377,EOMONTH(DATE(cfg_FY,2,1),0))-MAX($E377,DATE(cfg_FY,2,1))+1)*(1-IF($M377="نعم",0,N($J377))))</f>
        <v>0</v>
      </c>
      <c r="X377" s="133" t="n">
        <f aca="false">IF(OR($B377="",$E377="",$F377=""),0,MAX(0,MIN($F377,EOMONTH(DATE(cfg_FY,3,1),0))-MAX($E377,DATE(cfg_FY,3,1))+1)*(1-IF($M377="نعم",0,N($J377))))</f>
        <v>0</v>
      </c>
      <c r="Y377" s="133" t="n">
        <f aca="false">IF(OR($B377="",$E377="",$F377=""),0,MAX(0,MIN($F377,EOMONTH(DATE(cfg_FY,4,1),0))-MAX($E377,DATE(cfg_FY,4,1))+1)*(1-IF($M377="نعم",0,N($J377))))</f>
        <v>0</v>
      </c>
      <c r="Z377" s="133" t="n">
        <f aca="false">IF(OR($B377="",$E377="",$F377=""),0,MAX(0,MIN($F377,EOMONTH(DATE(cfg_FY,5,1),0))-MAX($E377,DATE(cfg_FY,5,1))+1)*(1-IF($M377="نعم",0,N($J377))))</f>
        <v>0</v>
      </c>
      <c r="AA377" s="133" t="n">
        <f aca="false">IF(OR($B377="",$E377="",$F377=""),0,MAX(0,MIN($F377,EOMONTH(DATE(cfg_FY,6,1),0))-MAX($E377,DATE(cfg_FY,6,1))+1)*(1-IF($M377="نعم",0,N($J377))))</f>
        <v>0</v>
      </c>
      <c r="AB377" s="133" t="n">
        <f aca="false">IF(OR($B377="",$E377="",$F377=""),0,MAX(0,MIN($F377,EOMONTH(DATE(cfg_FY,7,1),0))-MAX($E377,DATE(cfg_FY,7,1))+1)*(1-IF($M377="نعم",0,N($J377))))</f>
        <v>0</v>
      </c>
      <c r="AC377" s="133" t="n">
        <f aca="false">IF(OR($B377="",$E377="",$F377=""),0,MAX(0,MIN($F377,EOMONTH(DATE(cfg_FY,8,1),0))-MAX($E377,DATE(cfg_FY,8,1))+1)*(1-IF($M377="نعم",0,N($J377))))</f>
        <v>0</v>
      </c>
      <c r="AD377" s="133" t="n">
        <f aca="false">IF(OR($B377="",$E377="",$F377=""),0,MAX(0,MIN($F377,EOMONTH(DATE(cfg_FY,9,1),0))-MAX($E377,DATE(cfg_FY,9,1))+1)*(1-IF($M377="نعم",0,N($J377))))</f>
        <v>0</v>
      </c>
      <c r="AE377" s="133" t="n">
        <f aca="false">IF(OR($B377="",$E377="",$F377=""),0,MAX(0,MIN($F377,EOMONTH(DATE(cfg_FY,10,1),0))-MAX($E377,DATE(cfg_FY,10,1))+1)*(1-IF($M377="نعم",0,N($J377))))</f>
        <v>0</v>
      </c>
      <c r="AF377" s="133" t="n">
        <f aca="false">IF(OR($B377="",$E377="",$F377=""),0,MAX(0,MIN($F377,EOMONTH(DATE(cfg_FY,11,1),0))-MAX($E377,DATE(cfg_FY,11,1))+1)*(1-IF($M377="نعم",0,N($J377))))</f>
        <v>0</v>
      </c>
      <c r="AG377" s="133" t="n">
        <f aca="false">IF(OR($B377="",$E377="",$F377=""),0,MAX(0,MIN($F377,EOMONTH(DATE(cfg_FY,12,1),0))-MAX($E377,DATE(cfg_FY,12,1))+1)*(1-IF($M377="نعم",0,N($J377))))</f>
        <v>0</v>
      </c>
      <c r="AH377" s="133" t="n">
        <f aca="false">IF(OR(OR($B377="",$E377="",$F377=""),$L377&lt;&gt;"لا"),0,MAX(0,MIN($F377,EOMONTH(DATE(cfg_FY,1,1),0))-$E377+1))</f>
        <v>0</v>
      </c>
      <c r="AI377" s="133" t="n">
        <f aca="false">IF(OR(OR($B377="",$E377="",$F377=""),$L377&lt;&gt;"لا"),0,MAX(0,MIN($F377,EOMONTH(DATE(cfg_FY,2,1),0))-$E377+1))</f>
        <v>0</v>
      </c>
      <c r="AJ377" s="133" t="n">
        <f aca="false">IF(OR(OR($B377="",$E377="",$F377=""),$L377&lt;&gt;"لا"),0,MAX(0,MIN($F377,EOMONTH(DATE(cfg_FY,3,1),0))-$E377+1))</f>
        <v>0</v>
      </c>
      <c r="AK377" s="133" t="n">
        <f aca="false">IF(OR(OR($B377="",$E377="",$F377=""),$L377&lt;&gt;"لا"),0,MAX(0,MIN($F377,EOMONTH(DATE(cfg_FY,4,1),0))-$E377+1))</f>
        <v>0</v>
      </c>
      <c r="AL377" s="133" t="n">
        <f aca="false">IF(OR(OR($B377="",$E377="",$F377=""),$L377&lt;&gt;"لا"),0,MAX(0,MIN($F377,EOMONTH(DATE(cfg_FY,5,1),0))-$E377+1))</f>
        <v>0</v>
      </c>
      <c r="AM377" s="133" t="n">
        <f aca="false">IF(OR(OR($B377="",$E377="",$F377=""),$L377&lt;&gt;"لا"),0,MAX(0,MIN($F377,EOMONTH(DATE(cfg_FY,6,1),0))-$E377+1))</f>
        <v>0</v>
      </c>
      <c r="AN377" s="133" t="n">
        <f aca="false">IF(OR(OR($B377="",$E377="",$F377=""),$L377&lt;&gt;"لا"),0,MAX(0,MIN($F377,EOMONTH(DATE(cfg_FY,7,1),0))-$E377+1))</f>
        <v>0</v>
      </c>
      <c r="AO377" s="133" t="n">
        <f aca="false">IF(OR(OR($B377="",$E377="",$F377=""),$L377&lt;&gt;"لا"),0,MAX(0,MIN($F377,EOMONTH(DATE(cfg_FY,8,1),0))-$E377+1))</f>
        <v>0</v>
      </c>
      <c r="AP377" s="133" t="n">
        <f aca="false">IF(OR(OR($B377="",$E377="",$F377=""),$L377&lt;&gt;"لا"),0,MAX(0,MIN($F377,EOMONTH(DATE(cfg_FY,9,1),0))-$E377+1))</f>
        <v>0</v>
      </c>
      <c r="AQ377" s="133" t="n">
        <f aca="false">IF(OR(OR($B377="",$E377="",$F377=""),$L377&lt;&gt;"لا"),0,MAX(0,MIN($F377,EOMONTH(DATE(cfg_FY,10,1),0))-$E377+1))</f>
        <v>0</v>
      </c>
      <c r="AR377" s="133" t="n">
        <f aca="false">IF(OR(OR($B377="",$E377="",$F377=""),$L377&lt;&gt;"لا"),0,MAX(0,MIN($F377,EOMONTH(DATE(cfg_FY,11,1),0))-$E377+1))</f>
        <v>0</v>
      </c>
      <c r="AS377" s="133" t="n">
        <f aca="false">IF(OR(OR($B377="",$E377="",$F377=""),$L377&lt;&gt;"لا"),0,MAX(0,MIN($F377,EOMONTH(DATE(cfg_FY,12,1),0))-$E377+1))</f>
        <v>0</v>
      </c>
      <c r="AT377" s="133" t="n">
        <f aca="false">IF(OR(OR($B377="",$E377="",$F377=""),$K377&lt;&gt;"نعم",$M377="نعم"),0,MAX(0,MIN($F377,EOMONTH(DATE(cfg_FY,1,1),0))-MAX($E377,DATE(cfg_FY,1,1))+1))</f>
        <v>0</v>
      </c>
      <c r="AU377" s="133" t="n">
        <f aca="false">IF(OR(OR($B377="",$E377="",$F377=""),$K377&lt;&gt;"نعم",$M377="نعم"),0,MAX(0,MIN($F377,EOMONTH(DATE(cfg_FY,2,1),0))-MAX($E377,DATE(cfg_FY,2,1))+1))</f>
        <v>0</v>
      </c>
      <c r="AV377" s="133" t="n">
        <f aca="false">IF(OR(OR($B377="",$E377="",$F377=""),$K377&lt;&gt;"نعم",$M377="نعم"),0,MAX(0,MIN($F377,EOMONTH(DATE(cfg_FY,3,1),0))-MAX($E377,DATE(cfg_FY,3,1))+1))</f>
        <v>0</v>
      </c>
      <c r="AW377" s="133" t="n">
        <f aca="false">IF(OR(OR($B377="",$E377="",$F377=""),$K377&lt;&gt;"نعم",$M377="نعم"),0,MAX(0,MIN($F377,EOMONTH(DATE(cfg_FY,4,1),0))-MAX($E377,DATE(cfg_FY,4,1))+1))</f>
        <v>0</v>
      </c>
      <c r="AX377" s="133" t="n">
        <f aca="false">IF(OR(OR($B377="",$E377="",$F377=""),$K377&lt;&gt;"نعم",$M377="نعم"),0,MAX(0,MIN($F377,EOMONTH(DATE(cfg_FY,5,1),0))-MAX($E377,DATE(cfg_FY,5,1))+1))</f>
        <v>0</v>
      </c>
      <c r="AY377" s="133" t="n">
        <f aca="false">IF(OR(OR($B377="",$E377="",$F377=""),$K377&lt;&gt;"نعم",$M377="نعم"),0,MAX(0,MIN($F377,EOMONTH(DATE(cfg_FY,6,1),0))-MAX($E377,DATE(cfg_FY,6,1))+1))</f>
        <v>0</v>
      </c>
      <c r="AZ377" s="133" t="n">
        <f aca="false">IF(OR(OR($B377="",$E377="",$F377=""),$K377&lt;&gt;"نعم",$M377="نعم"),0,MAX(0,MIN($F377,EOMONTH(DATE(cfg_FY,7,1),0))-MAX($E377,DATE(cfg_FY,7,1))+1))</f>
        <v>0</v>
      </c>
      <c r="BA377" s="133" t="n">
        <f aca="false">IF(OR(OR($B377="",$E377="",$F377=""),$K377&lt;&gt;"نعم",$M377="نعم"),0,MAX(0,MIN($F377,EOMONTH(DATE(cfg_FY,8,1),0))-MAX($E377,DATE(cfg_FY,8,1))+1))</f>
        <v>0</v>
      </c>
      <c r="BB377" s="133" t="n">
        <f aca="false">IF(OR(OR($B377="",$E377="",$F377=""),$K377&lt;&gt;"نعم",$M377="نعم"),0,MAX(0,MIN($F377,EOMONTH(DATE(cfg_FY,9,1),0))-MAX($E377,DATE(cfg_FY,9,1))+1))</f>
        <v>0</v>
      </c>
      <c r="BC377" s="133" t="n">
        <f aca="false">IF(OR(OR($B377="",$E377="",$F377=""),$K377&lt;&gt;"نعم",$M377="نعم"),0,MAX(0,MIN($F377,EOMONTH(DATE(cfg_FY,10,1),0))-MAX($E377,DATE(cfg_FY,10,1))+1))</f>
        <v>0</v>
      </c>
      <c r="BD377" s="133" t="n">
        <f aca="false">IF(OR(OR($B377="",$E377="",$F377=""),$K377&lt;&gt;"نعم",$M377="نعم"),0,MAX(0,MIN($F377,EOMONTH(DATE(cfg_FY,11,1),0))-MAX($E377,DATE(cfg_FY,11,1))+1))</f>
        <v>0</v>
      </c>
      <c r="BE377" s="133" t="n">
        <f aca="false">IF(OR(OR($B377="",$E377="",$F377=""),$K377&lt;&gt;"نعم",$M377="نعم"),0,MAX(0,MIN($F377,EOMONTH(DATE(cfg_FY,12,1),0))-MAX($E377,DATE(cfg_FY,12,1))+1))</f>
        <v>0</v>
      </c>
    </row>
    <row r="378" customFormat="false" ht="15" hidden="false" customHeight="false" outlineLevel="0" collapsed="false">
      <c r="A378" s="106" t="str">
        <f aca="false">IF(B378="","",ROW()-5)</f>
        <v/>
      </c>
      <c r="B378" s="118"/>
      <c r="C378" s="114" t="str">
        <f aca="false">IF(B378="","",IFERROR(INDEX(الموظفون!$C$6:$C$105,MATCH(B378,الموظفون!$B$6:$B$105,0)),"✖ رقم غير موجود"))</f>
        <v/>
      </c>
      <c r="D378" s="118"/>
      <c r="E378" s="119"/>
      <c r="F378" s="119"/>
      <c r="G378" s="65" t="str">
        <f aca="false">IF(OR($B378="",$E378="",$F378=""),"",MAX(0,F378-E378+1))</f>
        <v/>
      </c>
      <c r="H378" s="66" t="str">
        <f aca="false">IF(D378="","",IFERROR(VLOOKUP(D378,cfg_LT,2,FALSE()),1))</f>
        <v/>
      </c>
      <c r="I378" s="135"/>
      <c r="J378" s="66" t="str">
        <f aca="false">IF(D378="","",IF(I378&lt;&gt;"",I378,H378))</f>
        <v/>
      </c>
      <c r="K378" s="114" t="str">
        <f aca="false">IF(D378="","",IFERROR(VLOOKUP($D378,cfg_LT,3,FALSE()),""))</f>
        <v/>
      </c>
      <c r="L378" s="114" t="str">
        <f aca="false">IF(D378="","",IFERROR(VLOOKUP($D378,cfg_LT,4,FALSE()),""))</f>
        <v/>
      </c>
      <c r="M378" s="114" t="str">
        <f aca="false">IF(D378="","",IFERROR(VLOOKUP($D378,cfg_LT,5,FALSE()),""))</f>
        <v/>
      </c>
      <c r="N378" s="111" t="n">
        <f aca="false">IF(OR(OR($B378="",$E378="",$F378=""),M378&lt;&gt;"نعم"),0,G378*J378*IFERROR(INDEX(الموظفون!$R$6:$R$105,MATCH(B378,الموظفون!$B$6:$B$105,0)),0)/cfg_DAYS_M)</f>
        <v>0</v>
      </c>
      <c r="O378" s="106" t="str">
        <f aca="false">IF(OR(OR($B378="",$E378="",$F378=""),M378&lt;&gt;"نعم"),"",IF(YEAR(E378)=cfg_FY,MONTH(E378),""))</f>
        <v/>
      </c>
      <c r="P378" s="114" t="str">
        <f aca="false">IF(B378="","",IF(OR(D378="",E378="",F378=""),"⚠ أكمل النوع والتواريخ",IF(F378&lt;E378,"✖ النهاية قبل البداية",IF(COUNTIFS($B$6:$B$505,B378,$E$6:$E$505,"&lt;="&amp;F378,$F$6:$F$505,"&gt;="&amp;E378)&gt;1,"⚠ تداخل مع سجل آخر",IF(E378&gt;cfg_VAL_DATE,"⏳ قادمة",IF(F378&lt;cfg_VAL_DATE,"✔ منتهية","✈ جارية في تاريخ التقرير"))))))</f>
        <v/>
      </c>
      <c r="Q378" s="118"/>
      <c r="R378" s="65" t="n">
        <f aca="false">IF(OR(OR($B378="",$E378="",$F378=""),L378&lt;&gt;"لا"),0,MAX(0,MIN(F378,cfg_Y_START-1)-E378+1))</f>
        <v>0</v>
      </c>
      <c r="S378" s="65" t="n">
        <f aca="false">IF(OR(OR($B378="",$E378="",$F378=""),L378&lt;&gt;"لا"),0,MAX(0,MIN(F378,cfg_VAL_DATE)-E378+1))</f>
        <v>0</v>
      </c>
      <c r="T378" s="65" t="n">
        <f aca="false">IF(OR(OR($B378="",$E378="",$F378=""),K378&lt;&gt;"نعم"),0,IF(M378="نعم",IF(AND(ISNUMBER(O378),N(O378)&lt;=cfg_VAL_M),G378,0),MAX(0,MIN(F378,cfg_VAL_DATE)-MAX(E378,cfg_Y_START)+1)))</f>
        <v>0</v>
      </c>
      <c r="V378" s="65" t="n">
        <f aca="false">IF(OR($B378="",$E378="",$F378=""),0,MAX(0,MIN($F378,EOMONTH(DATE(cfg_FY,1,1),0))-MAX($E378,DATE(cfg_FY,1,1))+1)*(1-IF($M378="نعم",0,N($J378))))</f>
        <v>0</v>
      </c>
      <c r="W378" s="65" t="n">
        <f aca="false">IF(OR($B378="",$E378="",$F378=""),0,MAX(0,MIN($F378,EOMONTH(DATE(cfg_FY,2,1),0))-MAX($E378,DATE(cfg_FY,2,1))+1)*(1-IF($M378="نعم",0,N($J378))))</f>
        <v>0</v>
      </c>
      <c r="X378" s="65" t="n">
        <f aca="false">IF(OR($B378="",$E378="",$F378=""),0,MAX(0,MIN($F378,EOMONTH(DATE(cfg_FY,3,1),0))-MAX($E378,DATE(cfg_FY,3,1))+1)*(1-IF($M378="نعم",0,N($J378))))</f>
        <v>0</v>
      </c>
      <c r="Y378" s="65" t="n">
        <f aca="false">IF(OR($B378="",$E378="",$F378=""),0,MAX(0,MIN($F378,EOMONTH(DATE(cfg_FY,4,1),0))-MAX($E378,DATE(cfg_FY,4,1))+1)*(1-IF($M378="نعم",0,N($J378))))</f>
        <v>0</v>
      </c>
      <c r="Z378" s="65" t="n">
        <f aca="false">IF(OR($B378="",$E378="",$F378=""),0,MAX(0,MIN($F378,EOMONTH(DATE(cfg_FY,5,1),0))-MAX($E378,DATE(cfg_FY,5,1))+1)*(1-IF($M378="نعم",0,N($J378))))</f>
        <v>0</v>
      </c>
      <c r="AA378" s="65" t="n">
        <f aca="false">IF(OR($B378="",$E378="",$F378=""),0,MAX(0,MIN($F378,EOMONTH(DATE(cfg_FY,6,1),0))-MAX($E378,DATE(cfg_FY,6,1))+1)*(1-IF($M378="نعم",0,N($J378))))</f>
        <v>0</v>
      </c>
      <c r="AB378" s="65" t="n">
        <f aca="false">IF(OR($B378="",$E378="",$F378=""),0,MAX(0,MIN($F378,EOMONTH(DATE(cfg_FY,7,1),0))-MAX($E378,DATE(cfg_FY,7,1))+1)*(1-IF($M378="نعم",0,N($J378))))</f>
        <v>0</v>
      </c>
      <c r="AC378" s="65" t="n">
        <f aca="false">IF(OR($B378="",$E378="",$F378=""),0,MAX(0,MIN($F378,EOMONTH(DATE(cfg_FY,8,1),0))-MAX($E378,DATE(cfg_FY,8,1))+1)*(1-IF($M378="نعم",0,N($J378))))</f>
        <v>0</v>
      </c>
      <c r="AD378" s="65" t="n">
        <f aca="false">IF(OR($B378="",$E378="",$F378=""),0,MAX(0,MIN($F378,EOMONTH(DATE(cfg_FY,9,1),0))-MAX($E378,DATE(cfg_FY,9,1))+1)*(1-IF($M378="نعم",0,N($J378))))</f>
        <v>0</v>
      </c>
      <c r="AE378" s="65" t="n">
        <f aca="false">IF(OR($B378="",$E378="",$F378=""),0,MAX(0,MIN($F378,EOMONTH(DATE(cfg_FY,10,1),0))-MAX($E378,DATE(cfg_FY,10,1))+1)*(1-IF($M378="نعم",0,N($J378))))</f>
        <v>0</v>
      </c>
      <c r="AF378" s="65" t="n">
        <f aca="false">IF(OR($B378="",$E378="",$F378=""),0,MAX(0,MIN($F378,EOMONTH(DATE(cfg_FY,11,1),0))-MAX($E378,DATE(cfg_FY,11,1))+1)*(1-IF($M378="نعم",0,N($J378))))</f>
        <v>0</v>
      </c>
      <c r="AG378" s="65" t="n">
        <f aca="false">IF(OR($B378="",$E378="",$F378=""),0,MAX(0,MIN($F378,EOMONTH(DATE(cfg_FY,12,1),0))-MAX($E378,DATE(cfg_FY,12,1))+1)*(1-IF($M378="نعم",0,N($J378))))</f>
        <v>0</v>
      </c>
      <c r="AH378" s="65" t="n">
        <f aca="false">IF(OR(OR($B378="",$E378="",$F378=""),$L378&lt;&gt;"لا"),0,MAX(0,MIN($F378,EOMONTH(DATE(cfg_FY,1,1),0))-$E378+1))</f>
        <v>0</v>
      </c>
      <c r="AI378" s="65" t="n">
        <f aca="false">IF(OR(OR($B378="",$E378="",$F378=""),$L378&lt;&gt;"لا"),0,MAX(0,MIN($F378,EOMONTH(DATE(cfg_FY,2,1),0))-$E378+1))</f>
        <v>0</v>
      </c>
      <c r="AJ378" s="65" t="n">
        <f aca="false">IF(OR(OR($B378="",$E378="",$F378=""),$L378&lt;&gt;"لا"),0,MAX(0,MIN($F378,EOMONTH(DATE(cfg_FY,3,1),0))-$E378+1))</f>
        <v>0</v>
      </c>
      <c r="AK378" s="65" t="n">
        <f aca="false">IF(OR(OR($B378="",$E378="",$F378=""),$L378&lt;&gt;"لا"),0,MAX(0,MIN($F378,EOMONTH(DATE(cfg_FY,4,1),0))-$E378+1))</f>
        <v>0</v>
      </c>
      <c r="AL378" s="65" t="n">
        <f aca="false">IF(OR(OR($B378="",$E378="",$F378=""),$L378&lt;&gt;"لا"),0,MAX(0,MIN($F378,EOMONTH(DATE(cfg_FY,5,1),0))-$E378+1))</f>
        <v>0</v>
      </c>
      <c r="AM378" s="65" t="n">
        <f aca="false">IF(OR(OR($B378="",$E378="",$F378=""),$L378&lt;&gt;"لا"),0,MAX(0,MIN($F378,EOMONTH(DATE(cfg_FY,6,1),0))-$E378+1))</f>
        <v>0</v>
      </c>
      <c r="AN378" s="65" t="n">
        <f aca="false">IF(OR(OR($B378="",$E378="",$F378=""),$L378&lt;&gt;"لا"),0,MAX(0,MIN($F378,EOMONTH(DATE(cfg_FY,7,1),0))-$E378+1))</f>
        <v>0</v>
      </c>
      <c r="AO378" s="65" t="n">
        <f aca="false">IF(OR(OR($B378="",$E378="",$F378=""),$L378&lt;&gt;"لا"),0,MAX(0,MIN($F378,EOMONTH(DATE(cfg_FY,8,1),0))-$E378+1))</f>
        <v>0</v>
      </c>
      <c r="AP378" s="65" t="n">
        <f aca="false">IF(OR(OR($B378="",$E378="",$F378=""),$L378&lt;&gt;"لا"),0,MAX(0,MIN($F378,EOMONTH(DATE(cfg_FY,9,1),0))-$E378+1))</f>
        <v>0</v>
      </c>
      <c r="AQ378" s="65" t="n">
        <f aca="false">IF(OR(OR($B378="",$E378="",$F378=""),$L378&lt;&gt;"لا"),0,MAX(0,MIN($F378,EOMONTH(DATE(cfg_FY,10,1),0))-$E378+1))</f>
        <v>0</v>
      </c>
      <c r="AR378" s="65" t="n">
        <f aca="false">IF(OR(OR($B378="",$E378="",$F378=""),$L378&lt;&gt;"لا"),0,MAX(0,MIN($F378,EOMONTH(DATE(cfg_FY,11,1),0))-$E378+1))</f>
        <v>0</v>
      </c>
      <c r="AS378" s="65" t="n">
        <f aca="false">IF(OR(OR($B378="",$E378="",$F378=""),$L378&lt;&gt;"لا"),0,MAX(0,MIN($F378,EOMONTH(DATE(cfg_FY,12,1),0))-$E378+1))</f>
        <v>0</v>
      </c>
      <c r="AT378" s="65" t="n">
        <f aca="false">IF(OR(OR($B378="",$E378="",$F378=""),$K378&lt;&gt;"نعم",$M378="نعم"),0,MAX(0,MIN($F378,EOMONTH(DATE(cfg_FY,1,1),0))-MAX($E378,DATE(cfg_FY,1,1))+1))</f>
        <v>0</v>
      </c>
      <c r="AU378" s="65" t="n">
        <f aca="false">IF(OR(OR($B378="",$E378="",$F378=""),$K378&lt;&gt;"نعم",$M378="نعم"),0,MAX(0,MIN($F378,EOMONTH(DATE(cfg_FY,2,1),0))-MAX($E378,DATE(cfg_FY,2,1))+1))</f>
        <v>0</v>
      </c>
      <c r="AV378" s="65" t="n">
        <f aca="false">IF(OR(OR($B378="",$E378="",$F378=""),$K378&lt;&gt;"نعم",$M378="نعم"),0,MAX(0,MIN($F378,EOMONTH(DATE(cfg_FY,3,1),0))-MAX($E378,DATE(cfg_FY,3,1))+1))</f>
        <v>0</v>
      </c>
      <c r="AW378" s="65" t="n">
        <f aca="false">IF(OR(OR($B378="",$E378="",$F378=""),$K378&lt;&gt;"نعم",$M378="نعم"),0,MAX(0,MIN($F378,EOMONTH(DATE(cfg_FY,4,1),0))-MAX($E378,DATE(cfg_FY,4,1))+1))</f>
        <v>0</v>
      </c>
      <c r="AX378" s="65" t="n">
        <f aca="false">IF(OR(OR($B378="",$E378="",$F378=""),$K378&lt;&gt;"نعم",$M378="نعم"),0,MAX(0,MIN($F378,EOMONTH(DATE(cfg_FY,5,1),0))-MAX($E378,DATE(cfg_FY,5,1))+1))</f>
        <v>0</v>
      </c>
      <c r="AY378" s="65" t="n">
        <f aca="false">IF(OR(OR($B378="",$E378="",$F378=""),$K378&lt;&gt;"نعم",$M378="نعم"),0,MAX(0,MIN($F378,EOMONTH(DATE(cfg_FY,6,1),0))-MAX($E378,DATE(cfg_FY,6,1))+1))</f>
        <v>0</v>
      </c>
      <c r="AZ378" s="65" t="n">
        <f aca="false">IF(OR(OR($B378="",$E378="",$F378=""),$K378&lt;&gt;"نعم",$M378="نعم"),0,MAX(0,MIN($F378,EOMONTH(DATE(cfg_FY,7,1),0))-MAX($E378,DATE(cfg_FY,7,1))+1))</f>
        <v>0</v>
      </c>
      <c r="BA378" s="65" t="n">
        <f aca="false">IF(OR(OR($B378="",$E378="",$F378=""),$K378&lt;&gt;"نعم",$M378="نعم"),0,MAX(0,MIN($F378,EOMONTH(DATE(cfg_FY,8,1),0))-MAX($E378,DATE(cfg_FY,8,1))+1))</f>
        <v>0</v>
      </c>
      <c r="BB378" s="65" t="n">
        <f aca="false">IF(OR(OR($B378="",$E378="",$F378=""),$K378&lt;&gt;"نعم",$M378="نعم"),0,MAX(0,MIN($F378,EOMONTH(DATE(cfg_FY,9,1),0))-MAX($E378,DATE(cfg_FY,9,1))+1))</f>
        <v>0</v>
      </c>
      <c r="BC378" s="65" t="n">
        <f aca="false">IF(OR(OR($B378="",$E378="",$F378=""),$K378&lt;&gt;"نعم",$M378="نعم"),0,MAX(0,MIN($F378,EOMONTH(DATE(cfg_FY,10,1),0))-MAX($E378,DATE(cfg_FY,10,1))+1))</f>
        <v>0</v>
      </c>
      <c r="BD378" s="65" t="n">
        <f aca="false">IF(OR(OR($B378="",$E378="",$F378=""),$K378&lt;&gt;"نعم",$M378="نعم"),0,MAX(0,MIN($F378,EOMONTH(DATE(cfg_FY,11,1),0))-MAX($E378,DATE(cfg_FY,11,1))+1))</f>
        <v>0</v>
      </c>
      <c r="BE378" s="65" t="n">
        <f aca="false">IF(OR(OR($B378="",$E378="",$F378=""),$K378&lt;&gt;"نعم",$M378="نعم"),0,MAX(0,MIN($F378,EOMONTH(DATE(cfg_FY,12,1),0))-MAX($E378,DATE(cfg_FY,12,1))+1))</f>
        <v>0</v>
      </c>
    </row>
    <row r="379" customFormat="false" ht="15" hidden="false" customHeight="false" outlineLevel="0" collapsed="false">
      <c r="A379" s="115" t="str">
        <f aca="false">IF(B379="","",ROW()-5)</f>
        <v/>
      </c>
      <c r="B379" s="118"/>
      <c r="C379" s="117" t="str">
        <f aca="false">IF(B379="","",IFERROR(INDEX(الموظفون!$C$6:$C$105,MATCH(B379,الموظفون!$B$6:$B$105,0)),"✖ رقم غير موجود"))</f>
        <v/>
      </c>
      <c r="D379" s="118"/>
      <c r="E379" s="119"/>
      <c r="F379" s="119"/>
      <c r="G379" s="133" t="str">
        <f aca="false">IF(OR($B379="",$E379="",$F379=""),"",MAX(0,F379-E379+1))</f>
        <v/>
      </c>
      <c r="H379" s="134" t="str">
        <f aca="false">IF(D379="","",IFERROR(VLOOKUP(D379,cfg_LT,2,FALSE()),1))</f>
        <v/>
      </c>
      <c r="I379" s="135"/>
      <c r="J379" s="134" t="str">
        <f aca="false">IF(D379="","",IF(I379&lt;&gt;"",I379,H379))</f>
        <v/>
      </c>
      <c r="K379" s="117" t="str">
        <f aca="false">IF(D379="","",IFERROR(VLOOKUP($D379,cfg_LT,3,FALSE()),""))</f>
        <v/>
      </c>
      <c r="L379" s="117" t="str">
        <f aca="false">IF(D379="","",IFERROR(VLOOKUP($D379,cfg_LT,4,FALSE()),""))</f>
        <v/>
      </c>
      <c r="M379" s="117" t="str">
        <f aca="false">IF(D379="","",IFERROR(VLOOKUP($D379,cfg_LT,5,FALSE()),""))</f>
        <v/>
      </c>
      <c r="N379" s="116" t="n">
        <f aca="false">IF(OR(OR($B379="",$E379="",$F379=""),M379&lt;&gt;"نعم"),0,G379*J379*IFERROR(INDEX(الموظفون!$R$6:$R$105,MATCH(B379,الموظفون!$B$6:$B$105,0)),0)/cfg_DAYS_M)</f>
        <v>0</v>
      </c>
      <c r="O379" s="115" t="str">
        <f aca="false">IF(OR(OR($B379="",$E379="",$F379=""),M379&lt;&gt;"نعم"),"",IF(YEAR(E379)=cfg_FY,MONTH(E379),""))</f>
        <v/>
      </c>
      <c r="P379" s="117" t="str">
        <f aca="false">IF(B379="","",IF(OR(D379="",E379="",F379=""),"⚠ أكمل النوع والتواريخ",IF(F379&lt;E379,"✖ النهاية قبل البداية",IF(COUNTIFS($B$6:$B$505,B379,$E$6:$E$505,"&lt;="&amp;F379,$F$6:$F$505,"&gt;="&amp;E379)&gt;1,"⚠ تداخل مع سجل آخر",IF(E379&gt;cfg_VAL_DATE,"⏳ قادمة",IF(F379&lt;cfg_VAL_DATE,"✔ منتهية","✈ جارية في تاريخ التقرير"))))))</f>
        <v/>
      </c>
      <c r="Q379" s="118"/>
      <c r="R379" s="133" t="n">
        <f aca="false">IF(OR(OR($B379="",$E379="",$F379=""),L379&lt;&gt;"لا"),0,MAX(0,MIN(F379,cfg_Y_START-1)-E379+1))</f>
        <v>0</v>
      </c>
      <c r="S379" s="133" t="n">
        <f aca="false">IF(OR(OR($B379="",$E379="",$F379=""),L379&lt;&gt;"لا"),0,MAX(0,MIN(F379,cfg_VAL_DATE)-E379+1))</f>
        <v>0</v>
      </c>
      <c r="T379" s="133" t="n">
        <f aca="false">IF(OR(OR($B379="",$E379="",$F379=""),K379&lt;&gt;"نعم"),0,IF(M379="نعم",IF(AND(ISNUMBER(O379),N(O379)&lt;=cfg_VAL_M),G379,0),MAX(0,MIN(F379,cfg_VAL_DATE)-MAX(E379,cfg_Y_START)+1)))</f>
        <v>0</v>
      </c>
      <c r="V379" s="133" t="n">
        <f aca="false">IF(OR($B379="",$E379="",$F379=""),0,MAX(0,MIN($F379,EOMONTH(DATE(cfg_FY,1,1),0))-MAX($E379,DATE(cfg_FY,1,1))+1)*(1-IF($M379="نعم",0,N($J379))))</f>
        <v>0</v>
      </c>
      <c r="W379" s="133" t="n">
        <f aca="false">IF(OR($B379="",$E379="",$F379=""),0,MAX(0,MIN($F379,EOMONTH(DATE(cfg_FY,2,1),0))-MAX($E379,DATE(cfg_FY,2,1))+1)*(1-IF($M379="نعم",0,N($J379))))</f>
        <v>0</v>
      </c>
      <c r="X379" s="133" t="n">
        <f aca="false">IF(OR($B379="",$E379="",$F379=""),0,MAX(0,MIN($F379,EOMONTH(DATE(cfg_FY,3,1),0))-MAX($E379,DATE(cfg_FY,3,1))+1)*(1-IF($M379="نعم",0,N($J379))))</f>
        <v>0</v>
      </c>
      <c r="Y379" s="133" t="n">
        <f aca="false">IF(OR($B379="",$E379="",$F379=""),0,MAX(0,MIN($F379,EOMONTH(DATE(cfg_FY,4,1),0))-MAX($E379,DATE(cfg_FY,4,1))+1)*(1-IF($M379="نعم",0,N($J379))))</f>
        <v>0</v>
      </c>
      <c r="Z379" s="133" t="n">
        <f aca="false">IF(OR($B379="",$E379="",$F379=""),0,MAX(0,MIN($F379,EOMONTH(DATE(cfg_FY,5,1),0))-MAX($E379,DATE(cfg_FY,5,1))+1)*(1-IF($M379="نعم",0,N($J379))))</f>
        <v>0</v>
      </c>
      <c r="AA379" s="133" t="n">
        <f aca="false">IF(OR($B379="",$E379="",$F379=""),0,MAX(0,MIN($F379,EOMONTH(DATE(cfg_FY,6,1),0))-MAX($E379,DATE(cfg_FY,6,1))+1)*(1-IF($M379="نعم",0,N($J379))))</f>
        <v>0</v>
      </c>
      <c r="AB379" s="133" t="n">
        <f aca="false">IF(OR($B379="",$E379="",$F379=""),0,MAX(0,MIN($F379,EOMONTH(DATE(cfg_FY,7,1),0))-MAX($E379,DATE(cfg_FY,7,1))+1)*(1-IF($M379="نعم",0,N($J379))))</f>
        <v>0</v>
      </c>
      <c r="AC379" s="133" t="n">
        <f aca="false">IF(OR($B379="",$E379="",$F379=""),0,MAX(0,MIN($F379,EOMONTH(DATE(cfg_FY,8,1),0))-MAX($E379,DATE(cfg_FY,8,1))+1)*(1-IF($M379="نعم",0,N($J379))))</f>
        <v>0</v>
      </c>
      <c r="AD379" s="133" t="n">
        <f aca="false">IF(OR($B379="",$E379="",$F379=""),0,MAX(0,MIN($F379,EOMONTH(DATE(cfg_FY,9,1),0))-MAX($E379,DATE(cfg_FY,9,1))+1)*(1-IF($M379="نعم",0,N($J379))))</f>
        <v>0</v>
      </c>
      <c r="AE379" s="133" t="n">
        <f aca="false">IF(OR($B379="",$E379="",$F379=""),0,MAX(0,MIN($F379,EOMONTH(DATE(cfg_FY,10,1),0))-MAX($E379,DATE(cfg_FY,10,1))+1)*(1-IF($M379="نعم",0,N($J379))))</f>
        <v>0</v>
      </c>
      <c r="AF379" s="133" t="n">
        <f aca="false">IF(OR($B379="",$E379="",$F379=""),0,MAX(0,MIN($F379,EOMONTH(DATE(cfg_FY,11,1),0))-MAX($E379,DATE(cfg_FY,11,1))+1)*(1-IF($M379="نعم",0,N($J379))))</f>
        <v>0</v>
      </c>
      <c r="AG379" s="133" t="n">
        <f aca="false">IF(OR($B379="",$E379="",$F379=""),0,MAX(0,MIN($F379,EOMONTH(DATE(cfg_FY,12,1),0))-MAX($E379,DATE(cfg_FY,12,1))+1)*(1-IF($M379="نعم",0,N($J379))))</f>
        <v>0</v>
      </c>
      <c r="AH379" s="133" t="n">
        <f aca="false">IF(OR(OR($B379="",$E379="",$F379=""),$L379&lt;&gt;"لا"),0,MAX(0,MIN($F379,EOMONTH(DATE(cfg_FY,1,1),0))-$E379+1))</f>
        <v>0</v>
      </c>
      <c r="AI379" s="133" t="n">
        <f aca="false">IF(OR(OR($B379="",$E379="",$F379=""),$L379&lt;&gt;"لا"),0,MAX(0,MIN($F379,EOMONTH(DATE(cfg_FY,2,1),0))-$E379+1))</f>
        <v>0</v>
      </c>
      <c r="AJ379" s="133" t="n">
        <f aca="false">IF(OR(OR($B379="",$E379="",$F379=""),$L379&lt;&gt;"لا"),0,MAX(0,MIN($F379,EOMONTH(DATE(cfg_FY,3,1),0))-$E379+1))</f>
        <v>0</v>
      </c>
      <c r="AK379" s="133" t="n">
        <f aca="false">IF(OR(OR($B379="",$E379="",$F379=""),$L379&lt;&gt;"لا"),0,MAX(0,MIN($F379,EOMONTH(DATE(cfg_FY,4,1),0))-$E379+1))</f>
        <v>0</v>
      </c>
      <c r="AL379" s="133" t="n">
        <f aca="false">IF(OR(OR($B379="",$E379="",$F379=""),$L379&lt;&gt;"لا"),0,MAX(0,MIN($F379,EOMONTH(DATE(cfg_FY,5,1),0))-$E379+1))</f>
        <v>0</v>
      </c>
      <c r="AM379" s="133" t="n">
        <f aca="false">IF(OR(OR($B379="",$E379="",$F379=""),$L379&lt;&gt;"لا"),0,MAX(0,MIN($F379,EOMONTH(DATE(cfg_FY,6,1),0))-$E379+1))</f>
        <v>0</v>
      </c>
      <c r="AN379" s="133" t="n">
        <f aca="false">IF(OR(OR($B379="",$E379="",$F379=""),$L379&lt;&gt;"لا"),0,MAX(0,MIN($F379,EOMONTH(DATE(cfg_FY,7,1),0))-$E379+1))</f>
        <v>0</v>
      </c>
      <c r="AO379" s="133" t="n">
        <f aca="false">IF(OR(OR($B379="",$E379="",$F379=""),$L379&lt;&gt;"لا"),0,MAX(0,MIN($F379,EOMONTH(DATE(cfg_FY,8,1),0))-$E379+1))</f>
        <v>0</v>
      </c>
      <c r="AP379" s="133" t="n">
        <f aca="false">IF(OR(OR($B379="",$E379="",$F379=""),$L379&lt;&gt;"لا"),0,MAX(0,MIN($F379,EOMONTH(DATE(cfg_FY,9,1),0))-$E379+1))</f>
        <v>0</v>
      </c>
      <c r="AQ379" s="133" t="n">
        <f aca="false">IF(OR(OR($B379="",$E379="",$F379=""),$L379&lt;&gt;"لا"),0,MAX(0,MIN($F379,EOMONTH(DATE(cfg_FY,10,1),0))-$E379+1))</f>
        <v>0</v>
      </c>
      <c r="AR379" s="133" t="n">
        <f aca="false">IF(OR(OR($B379="",$E379="",$F379=""),$L379&lt;&gt;"لا"),0,MAX(0,MIN($F379,EOMONTH(DATE(cfg_FY,11,1),0))-$E379+1))</f>
        <v>0</v>
      </c>
      <c r="AS379" s="133" t="n">
        <f aca="false">IF(OR(OR($B379="",$E379="",$F379=""),$L379&lt;&gt;"لا"),0,MAX(0,MIN($F379,EOMONTH(DATE(cfg_FY,12,1),0))-$E379+1))</f>
        <v>0</v>
      </c>
      <c r="AT379" s="133" t="n">
        <f aca="false">IF(OR(OR($B379="",$E379="",$F379=""),$K379&lt;&gt;"نعم",$M379="نعم"),0,MAX(0,MIN($F379,EOMONTH(DATE(cfg_FY,1,1),0))-MAX($E379,DATE(cfg_FY,1,1))+1))</f>
        <v>0</v>
      </c>
      <c r="AU379" s="133" t="n">
        <f aca="false">IF(OR(OR($B379="",$E379="",$F379=""),$K379&lt;&gt;"نعم",$M379="نعم"),0,MAX(0,MIN($F379,EOMONTH(DATE(cfg_FY,2,1),0))-MAX($E379,DATE(cfg_FY,2,1))+1))</f>
        <v>0</v>
      </c>
      <c r="AV379" s="133" t="n">
        <f aca="false">IF(OR(OR($B379="",$E379="",$F379=""),$K379&lt;&gt;"نعم",$M379="نعم"),0,MAX(0,MIN($F379,EOMONTH(DATE(cfg_FY,3,1),0))-MAX($E379,DATE(cfg_FY,3,1))+1))</f>
        <v>0</v>
      </c>
      <c r="AW379" s="133" t="n">
        <f aca="false">IF(OR(OR($B379="",$E379="",$F379=""),$K379&lt;&gt;"نعم",$M379="نعم"),0,MAX(0,MIN($F379,EOMONTH(DATE(cfg_FY,4,1),0))-MAX($E379,DATE(cfg_FY,4,1))+1))</f>
        <v>0</v>
      </c>
      <c r="AX379" s="133" t="n">
        <f aca="false">IF(OR(OR($B379="",$E379="",$F379=""),$K379&lt;&gt;"نعم",$M379="نعم"),0,MAX(0,MIN($F379,EOMONTH(DATE(cfg_FY,5,1),0))-MAX($E379,DATE(cfg_FY,5,1))+1))</f>
        <v>0</v>
      </c>
      <c r="AY379" s="133" t="n">
        <f aca="false">IF(OR(OR($B379="",$E379="",$F379=""),$K379&lt;&gt;"نعم",$M379="نعم"),0,MAX(0,MIN($F379,EOMONTH(DATE(cfg_FY,6,1),0))-MAX($E379,DATE(cfg_FY,6,1))+1))</f>
        <v>0</v>
      </c>
      <c r="AZ379" s="133" t="n">
        <f aca="false">IF(OR(OR($B379="",$E379="",$F379=""),$K379&lt;&gt;"نعم",$M379="نعم"),0,MAX(0,MIN($F379,EOMONTH(DATE(cfg_FY,7,1),0))-MAX($E379,DATE(cfg_FY,7,1))+1))</f>
        <v>0</v>
      </c>
      <c r="BA379" s="133" t="n">
        <f aca="false">IF(OR(OR($B379="",$E379="",$F379=""),$K379&lt;&gt;"نعم",$M379="نعم"),0,MAX(0,MIN($F379,EOMONTH(DATE(cfg_FY,8,1),0))-MAX($E379,DATE(cfg_FY,8,1))+1))</f>
        <v>0</v>
      </c>
      <c r="BB379" s="133" t="n">
        <f aca="false">IF(OR(OR($B379="",$E379="",$F379=""),$K379&lt;&gt;"نعم",$M379="نعم"),0,MAX(0,MIN($F379,EOMONTH(DATE(cfg_FY,9,1),0))-MAX($E379,DATE(cfg_FY,9,1))+1))</f>
        <v>0</v>
      </c>
      <c r="BC379" s="133" t="n">
        <f aca="false">IF(OR(OR($B379="",$E379="",$F379=""),$K379&lt;&gt;"نعم",$M379="نعم"),0,MAX(0,MIN($F379,EOMONTH(DATE(cfg_FY,10,1),0))-MAX($E379,DATE(cfg_FY,10,1))+1))</f>
        <v>0</v>
      </c>
      <c r="BD379" s="133" t="n">
        <f aca="false">IF(OR(OR($B379="",$E379="",$F379=""),$K379&lt;&gt;"نعم",$M379="نعم"),0,MAX(0,MIN($F379,EOMONTH(DATE(cfg_FY,11,1),0))-MAX($E379,DATE(cfg_FY,11,1))+1))</f>
        <v>0</v>
      </c>
      <c r="BE379" s="133" t="n">
        <f aca="false">IF(OR(OR($B379="",$E379="",$F379=""),$K379&lt;&gt;"نعم",$M379="نعم"),0,MAX(0,MIN($F379,EOMONTH(DATE(cfg_FY,12,1),0))-MAX($E379,DATE(cfg_FY,12,1))+1))</f>
        <v>0</v>
      </c>
    </row>
    <row r="380" customFormat="false" ht="15" hidden="false" customHeight="false" outlineLevel="0" collapsed="false">
      <c r="A380" s="106" t="str">
        <f aca="false">IF(B380="","",ROW()-5)</f>
        <v/>
      </c>
      <c r="B380" s="118"/>
      <c r="C380" s="114" t="str">
        <f aca="false">IF(B380="","",IFERROR(INDEX(الموظفون!$C$6:$C$105,MATCH(B380,الموظفون!$B$6:$B$105,0)),"✖ رقم غير موجود"))</f>
        <v/>
      </c>
      <c r="D380" s="118"/>
      <c r="E380" s="119"/>
      <c r="F380" s="119"/>
      <c r="G380" s="65" t="str">
        <f aca="false">IF(OR($B380="",$E380="",$F380=""),"",MAX(0,F380-E380+1))</f>
        <v/>
      </c>
      <c r="H380" s="66" t="str">
        <f aca="false">IF(D380="","",IFERROR(VLOOKUP(D380,cfg_LT,2,FALSE()),1))</f>
        <v/>
      </c>
      <c r="I380" s="135"/>
      <c r="J380" s="66" t="str">
        <f aca="false">IF(D380="","",IF(I380&lt;&gt;"",I380,H380))</f>
        <v/>
      </c>
      <c r="K380" s="114" t="str">
        <f aca="false">IF(D380="","",IFERROR(VLOOKUP($D380,cfg_LT,3,FALSE()),""))</f>
        <v/>
      </c>
      <c r="L380" s="114" t="str">
        <f aca="false">IF(D380="","",IFERROR(VLOOKUP($D380,cfg_LT,4,FALSE()),""))</f>
        <v/>
      </c>
      <c r="M380" s="114" t="str">
        <f aca="false">IF(D380="","",IFERROR(VLOOKUP($D380,cfg_LT,5,FALSE()),""))</f>
        <v/>
      </c>
      <c r="N380" s="111" t="n">
        <f aca="false">IF(OR(OR($B380="",$E380="",$F380=""),M380&lt;&gt;"نعم"),0,G380*J380*IFERROR(INDEX(الموظفون!$R$6:$R$105,MATCH(B380,الموظفون!$B$6:$B$105,0)),0)/cfg_DAYS_M)</f>
        <v>0</v>
      </c>
      <c r="O380" s="106" t="str">
        <f aca="false">IF(OR(OR($B380="",$E380="",$F380=""),M380&lt;&gt;"نعم"),"",IF(YEAR(E380)=cfg_FY,MONTH(E380),""))</f>
        <v/>
      </c>
      <c r="P380" s="114" t="str">
        <f aca="false">IF(B380="","",IF(OR(D380="",E380="",F380=""),"⚠ أكمل النوع والتواريخ",IF(F380&lt;E380,"✖ النهاية قبل البداية",IF(COUNTIFS($B$6:$B$505,B380,$E$6:$E$505,"&lt;="&amp;F380,$F$6:$F$505,"&gt;="&amp;E380)&gt;1,"⚠ تداخل مع سجل آخر",IF(E380&gt;cfg_VAL_DATE,"⏳ قادمة",IF(F380&lt;cfg_VAL_DATE,"✔ منتهية","✈ جارية في تاريخ التقرير"))))))</f>
        <v/>
      </c>
      <c r="Q380" s="118"/>
      <c r="R380" s="65" t="n">
        <f aca="false">IF(OR(OR($B380="",$E380="",$F380=""),L380&lt;&gt;"لا"),0,MAX(0,MIN(F380,cfg_Y_START-1)-E380+1))</f>
        <v>0</v>
      </c>
      <c r="S380" s="65" t="n">
        <f aca="false">IF(OR(OR($B380="",$E380="",$F380=""),L380&lt;&gt;"لا"),0,MAX(0,MIN(F380,cfg_VAL_DATE)-E380+1))</f>
        <v>0</v>
      </c>
      <c r="T380" s="65" t="n">
        <f aca="false">IF(OR(OR($B380="",$E380="",$F380=""),K380&lt;&gt;"نعم"),0,IF(M380="نعم",IF(AND(ISNUMBER(O380),N(O380)&lt;=cfg_VAL_M),G380,0),MAX(0,MIN(F380,cfg_VAL_DATE)-MAX(E380,cfg_Y_START)+1)))</f>
        <v>0</v>
      </c>
      <c r="V380" s="65" t="n">
        <f aca="false">IF(OR($B380="",$E380="",$F380=""),0,MAX(0,MIN($F380,EOMONTH(DATE(cfg_FY,1,1),0))-MAX($E380,DATE(cfg_FY,1,1))+1)*(1-IF($M380="نعم",0,N($J380))))</f>
        <v>0</v>
      </c>
      <c r="W380" s="65" t="n">
        <f aca="false">IF(OR($B380="",$E380="",$F380=""),0,MAX(0,MIN($F380,EOMONTH(DATE(cfg_FY,2,1),0))-MAX($E380,DATE(cfg_FY,2,1))+1)*(1-IF($M380="نعم",0,N($J380))))</f>
        <v>0</v>
      </c>
      <c r="X380" s="65" t="n">
        <f aca="false">IF(OR($B380="",$E380="",$F380=""),0,MAX(0,MIN($F380,EOMONTH(DATE(cfg_FY,3,1),0))-MAX($E380,DATE(cfg_FY,3,1))+1)*(1-IF($M380="نعم",0,N($J380))))</f>
        <v>0</v>
      </c>
      <c r="Y380" s="65" t="n">
        <f aca="false">IF(OR($B380="",$E380="",$F380=""),0,MAX(0,MIN($F380,EOMONTH(DATE(cfg_FY,4,1),0))-MAX($E380,DATE(cfg_FY,4,1))+1)*(1-IF($M380="نعم",0,N($J380))))</f>
        <v>0</v>
      </c>
      <c r="Z380" s="65" t="n">
        <f aca="false">IF(OR($B380="",$E380="",$F380=""),0,MAX(0,MIN($F380,EOMONTH(DATE(cfg_FY,5,1),0))-MAX($E380,DATE(cfg_FY,5,1))+1)*(1-IF($M380="نعم",0,N($J380))))</f>
        <v>0</v>
      </c>
      <c r="AA380" s="65" t="n">
        <f aca="false">IF(OR($B380="",$E380="",$F380=""),0,MAX(0,MIN($F380,EOMONTH(DATE(cfg_FY,6,1),0))-MAX($E380,DATE(cfg_FY,6,1))+1)*(1-IF($M380="نعم",0,N($J380))))</f>
        <v>0</v>
      </c>
      <c r="AB380" s="65" t="n">
        <f aca="false">IF(OR($B380="",$E380="",$F380=""),0,MAX(0,MIN($F380,EOMONTH(DATE(cfg_FY,7,1),0))-MAX($E380,DATE(cfg_FY,7,1))+1)*(1-IF($M380="نعم",0,N($J380))))</f>
        <v>0</v>
      </c>
      <c r="AC380" s="65" t="n">
        <f aca="false">IF(OR($B380="",$E380="",$F380=""),0,MAX(0,MIN($F380,EOMONTH(DATE(cfg_FY,8,1),0))-MAX($E380,DATE(cfg_FY,8,1))+1)*(1-IF($M380="نعم",0,N($J380))))</f>
        <v>0</v>
      </c>
      <c r="AD380" s="65" t="n">
        <f aca="false">IF(OR($B380="",$E380="",$F380=""),0,MAX(0,MIN($F380,EOMONTH(DATE(cfg_FY,9,1),0))-MAX($E380,DATE(cfg_FY,9,1))+1)*(1-IF($M380="نعم",0,N($J380))))</f>
        <v>0</v>
      </c>
      <c r="AE380" s="65" t="n">
        <f aca="false">IF(OR($B380="",$E380="",$F380=""),0,MAX(0,MIN($F380,EOMONTH(DATE(cfg_FY,10,1),0))-MAX($E380,DATE(cfg_FY,10,1))+1)*(1-IF($M380="نعم",0,N($J380))))</f>
        <v>0</v>
      </c>
      <c r="AF380" s="65" t="n">
        <f aca="false">IF(OR($B380="",$E380="",$F380=""),0,MAX(0,MIN($F380,EOMONTH(DATE(cfg_FY,11,1),0))-MAX($E380,DATE(cfg_FY,11,1))+1)*(1-IF($M380="نعم",0,N($J380))))</f>
        <v>0</v>
      </c>
      <c r="AG380" s="65" t="n">
        <f aca="false">IF(OR($B380="",$E380="",$F380=""),0,MAX(0,MIN($F380,EOMONTH(DATE(cfg_FY,12,1),0))-MAX($E380,DATE(cfg_FY,12,1))+1)*(1-IF($M380="نعم",0,N($J380))))</f>
        <v>0</v>
      </c>
      <c r="AH380" s="65" t="n">
        <f aca="false">IF(OR(OR($B380="",$E380="",$F380=""),$L380&lt;&gt;"لا"),0,MAX(0,MIN($F380,EOMONTH(DATE(cfg_FY,1,1),0))-$E380+1))</f>
        <v>0</v>
      </c>
      <c r="AI380" s="65" t="n">
        <f aca="false">IF(OR(OR($B380="",$E380="",$F380=""),$L380&lt;&gt;"لا"),0,MAX(0,MIN($F380,EOMONTH(DATE(cfg_FY,2,1),0))-$E380+1))</f>
        <v>0</v>
      </c>
      <c r="AJ380" s="65" t="n">
        <f aca="false">IF(OR(OR($B380="",$E380="",$F380=""),$L380&lt;&gt;"لا"),0,MAX(0,MIN($F380,EOMONTH(DATE(cfg_FY,3,1),0))-$E380+1))</f>
        <v>0</v>
      </c>
      <c r="AK380" s="65" t="n">
        <f aca="false">IF(OR(OR($B380="",$E380="",$F380=""),$L380&lt;&gt;"لا"),0,MAX(0,MIN($F380,EOMONTH(DATE(cfg_FY,4,1),0))-$E380+1))</f>
        <v>0</v>
      </c>
      <c r="AL380" s="65" t="n">
        <f aca="false">IF(OR(OR($B380="",$E380="",$F380=""),$L380&lt;&gt;"لا"),0,MAX(0,MIN($F380,EOMONTH(DATE(cfg_FY,5,1),0))-$E380+1))</f>
        <v>0</v>
      </c>
      <c r="AM380" s="65" t="n">
        <f aca="false">IF(OR(OR($B380="",$E380="",$F380=""),$L380&lt;&gt;"لا"),0,MAX(0,MIN($F380,EOMONTH(DATE(cfg_FY,6,1),0))-$E380+1))</f>
        <v>0</v>
      </c>
      <c r="AN380" s="65" t="n">
        <f aca="false">IF(OR(OR($B380="",$E380="",$F380=""),$L380&lt;&gt;"لا"),0,MAX(0,MIN($F380,EOMONTH(DATE(cfg_FY,7,1),0))-$E380+1))</f>
        <v>0</v>
      </c>
      <c r="AO380" s="65" t="n">
        <f aca="false">IF(OR(OR($B380="",$E380="",$F380=""),$L380&lt;&gt;"لا"),0,MAX(0,MIN($F380,EOMONTH(DATE(cfg_FY,8,1),0))-$E380+1))</f>
        <v>0</v>
      </c>
      <c r="AP380" s="65" t="n">
        <f aca="false">IF(OR(OR($B380="",$E380="",$F380=""),$L380&lt;&gt;"لا"),0,MAX(0,MIN($F380,EOMONTH(DATE(cfg_FY,9,1),0))-$E380+1))</f>
        <v>0</v>
      </c>
      <c r="AQ380" s="65" t="n">
        <f aca="false">IF(OR(OR($B380="",$E380="",$F380=""),$L380&lt;&gt;"لا"),0,MAX(0,MIN($F380,EOMONTH(DATE(cfg_FY,10,1),0))-$E380+1))</f>
        <v>0</v>
      </c>
      <c r="AR380" s="65" t="n">
        <f aca="false">IF(OR(OR($B380="",$E380="",$F380=""),$L380&lt;&gt;"لا"),0,MAX(0,MIN($F380,EOMONTH(DATE(cfg_FY,11,1),0))-$E380+1))</f>
        <v>0</v>
      </c>
      <c r="AS380" s="65" t="n">
        <f aca="false">IF(OR(OR($B380="",$E380="",$F380=""),$L380&lt;&gt;"لا"),0,MAX(0,MIN($F380,EOMONTH(DATE(cfg_FY,12,1),0))-$E380+1))</f>
        <v>0</v>
      </c>
      <c r="AT380" s="65" t="n">
        <f aca="false">IF(OR(OR($B380="",$E380="",$F380=""),$K380&lt;&gt;"نعم",$M380="نعم"),0,MAX(0,MIN($F380,EOMONTH(DATE(cfg_FY,1,1),0))-MAX($E380,DATE(cfg_FY,1,1))+1))</f>
        <v>0</v>
      </c>
      <c r="AU380" s="65" t="n">
        <f aca="false">IF(OR(OR($B380="",$E380="",$F380=""),$K380&lt;&gt;"نعم",$M380="نعم"),0,MAX(0,MIN($F380,EOMONTH(DATE(cfg_FY,2,1),0))-MAX($E380,DATE(cfg_FY,2,1))+1))</f>
        <v>0</v>
      </c>
      <c r="AV380" s="65" t="n">
        <f aca="false">IF(OR(OR($B380="",$E380="",$F380=""),$K380&lt;&gt;"نعم",$M380="نعم"),0,MAX(0,MIN($F380,EOMONTH(DATE(cfg_FY,3,1),0))-MAX($E380,DATE(cfg_FY,3,1))+1))</f>
        <v>0</v>
      </c>
      <c r="AW380" s="65" t="n">
        <f aca="false">IF(OR(OR($B380="",$E380="",$F380=""),$K380&lt;&gt;"نعم",$M380="نعم"),0,MAX(0,MIN($F380,EOMONTH(DATE(cfg_FY,4,1),0))-MAX($E380,DATE(cfg_FY,4,1))+1))</f>
        <v>0</v>
      </c>
      <c r="AX380" s="65" t="n">
        <f aca="false">IF(OR(OR($B380="",$E380="",$F380=""),$K380&lt;&gt;"نعم",$M380="نعم"),0,MAX(0,MIN($F380,EOMONTH(DATE(cfg_FY,5,1),0))-MAX($E380,DATE(cfg_FY,5,1))+1))</f>
        <v>0</v>
      </c>
      <c r="AY380" s="65" t="n">
        <f aca="false">IF(OR(OR($B380="",$E380="",$F380=""),$K380&lt;&gt;"نعم",$M380="نعم"),0,MAX(0,MIN($F380,EOMONTH(DATE(cfg_FY,6,1),0))-MAX($E380,DATE(cfg_FY,6,1))+1))</f>
        <v>0</v>
      </c>
      <c r="AZ380" s="65" t="n">
        <f aca="false">IF(OR(OR($B380="",$E380="",$F380=""),$K380&lt;&gt;"نعم",$M380="نعم"),0,MAX(0,MIN($F380,EOMONTH(DATE(cfg_FY,7,1),0))-MAX($E380,DATE(cfg_FY,7,1))+1))</f>
        <v>0</v>
      </c>
      <c r="BA380" s="65" t="n">
        <f aca="false">IF(OR(OR($B380="",$E380="",$F380=""),$K380&lt;&gt;"نعم",$M380="نعم"),0,MAX(0,MIN($F380,EOMONTH(DATE(cfg_FY,8,1),0))-MAX($E380,DATE(cfg_FY,8,1))+1))</f>
        <v>0</v>
      </c>
      <c r="BB380" s="65" t="n">
        <f aca="false">IF(OR(OR($B380="",$E380="",$F380=""),$K380&lt;&gt;"نعم",$M380="نعم"),0,MAX(0,MIN($F380,EOMONTH(DATE(cfg_FY,9,1),0))-MAX($E380,DATE(cfg_FY,9,1))+1))</f>
        <v>0</v>
      </c>
      <c r="BC380" s="65" t="n">
        <f aca="false">IF(OR(OR($B380="",$E380="",$F380=""),$K380&lt;&gt;"نعم",$M380="نعم"),0,MAX(0,MIN($F380,EOMONTH(DATE(cfg_FY,10,1),0))-MAX($E380,DATE(cfg_FY,10,1))+1))</f>
        <v>0</v>
      </c>
      <c r="BD380" s="65" t="n">
        <f aca="false">IF(OR(OR($B380="",$E380="",$F380=""),$K380&lt;&gt;"نعم",$M380="نعم"),0,MAX(0,MIN($F380,EOMONTH(DATE(cfg_FY,11,1),0))-MAX($E380,DATE(cfg_FY,11,1))+1))</f>
        <v>0</v>
      </c>
      <c r="BE380" s="65" t="n">
        <f aca="false">IF(OR(OR($B380="",$E380="",$F380=""),$K380&lt;&gt;"نعم",$M380="نعم"),0,MAX(0,MIN($F380,EOMONTH(DATE(cfg_FY,12,1),0))-MAX($E380,DATE(cfg_FY,12,1))+1))</f>
        <v>0</v>
      </c>
    </row>
    <row r="381" customFormat="false" ht="15" hidden="false" customHeight="false" outlineLevel="0" collapsed="false">
      <c r="A381" s="115" t="str">
        <f aca="false">IF(B381="","",ROW()-5)</f>
        <v/>
      </c>
      <c r="B381" s="118"/>
      <c r="C381" s="117" t="str">
        <f aca="false">IF(B381="","",IFERROR(INDEX(الموظفون!$C$6:$C$105,MATCH(B381,الموظفون!$B$6:$B$105,0)),"✖ رقم غير موجود"))</f>
        <v/>
      </c>
      <c r="D381" s="118"/>
      <c r="E381" s="119"/>
      <c r="F381" s="119"/>
      <c r="G381" s="133" t="str">
        <f aca="false">IF(OR($B381="",$E381="",$F381=""),"",MAX(0,F381-E381+1))</f>
        <v/>
      </c>
      <c r="H381" s="134" t="str">
        <f aca="false">IF(D381="","",IFERROR(VLOOKUP(D381,cfg_LT,2,FALSE()),1))</f>
        <v/>
      </c>
      <c r="I381" s="135"/>
      <c r="J381" s="134" t="str">
        <f aca="false">IF(D381="","",IF(I381&lt;&gt;"",I381,H381))</f>
        <v/>
      </c>
      <c r="K381" s="117" t="str">
        <f aca="false">IF(D381="","",IFERROR(VLOOKUP($D381,cfg_LT,3,FALSE()),""))</f>
        <v/>
      </c>
      <c r="L381" s="117" t="str">
        <f aca="false">IF(D381="","",IFERROR(VLOOKUP($D381,cfg_LT,4,FALSE()),""))</f>
        <v/>
      </c>
      <c r="M381" s="117" t="str">
        <f aca="false">IF(D381="","",IFERROR(VLOOKUP($D381,cfg_LT,5,FALSE()),""))</f>
        <v/>
      </c>
      <c r="N381" s="116" t="n">
        <f aca="false">IF(OR(OR($B381="",$E381="",$F381=""),M381&lt;&gt;"نعم"),0,G381*J381*IFERROR(INDEX(الموظفون!$R$6:$R$105,MATCH(B381,الموظفون!$B$6:$B$105,0)),0)/cfg_DAYS_M)</f>
        <v>0</v>
      </c>
      <c r="O381" s="115" t="str">
        <f aca="false">IF(OR(OR($B381="",$E381="",$F381=""),M381&lt;&gt;"نعم"),"",IF(YEAR(E381)=cfg_FY,MONTH(E381),""))</f>
        <v/>
      </c>
      <c r="P381" s="117" t="str">
        <f aca="false">IF(B381="","",IF(OR(D381="",E381="",F381=""),"⚠ أكمل النوع والتواريخ",IF(F381&lt;E381,"✖ النهاية قبل البداية",IF(COUNTIFS($B$6:$B$505,B381,$E$6:$E$505,"&lt;="&amp;F381,$F$6:$F$505,"&gt;="&amp;E381)&gt;1,"⚠ تداخل مع سجل آخر",IF(E381&gt;cfg_VAL_DATE,"⏳ قادمة",IF(F381&lt;cfg_VAL_DATE,"✔ منتهية","✈ جارية في تاريخ التقرير"))))))</f>
        <v/>
      </c>
      <c r="Q381" s="118"/>
      <c r="R381" s="133" t="n">
        <f aca="false">IF(OR(OR($B381="",$E381="",$F381=""),L381&lt;&gt;"لا"),0,MAX(0,MIN(F381,cfg_Y_START-1)-E381+1))</f>
        <v>0</v>
      </c>
      <c r="S381" s="133" t="n">
        <f aca="false">IF(OR(OR($B381="",$E381="",$F381=""),L381&lt;&gt;"لا"),0,MAX(0,MIN(F381,cfg_VAL_DATE)-E381+1))</f>
        <v>0</v>
      </c>
      <c r="T381" s="133" t="n">
        <f aca="false">IF(OR(OR($B381="",$E381="",$F381=""),K381&lt;&gt;"نعم"),0,IF(M381="نعم",IF(AND(ISNUMBER(O381),N(O381)&lt;=cfg_VAL_M),G381,0),MAX(0,MIN(F381,cfg_VAL_DATE)-MAX(E381,cfg_Y_START)+1)))</f>
        <v>0</v>
      </c>
      <c r="V381" s="133" t="n">
        <f aca="false">IF(OR($B381="",$E381="",$F381=""),0,MAX(0,MIN($F381,EOMONTH(DATE(cfg_FY,1,1),0))-MAX($E381,DATE(cfg_FY,1,1))+1)*(1-IF($M381="نعم",0,N($J381))))</f>
        <v>0</v>
      </c>
      <c r="W381" s="133" t="n">
        <f aca="false">IF(OR($B381="",$E381="",$F381=""),0,MAX(0,MIN($F381,EOMONTH(DATE(cfg_FY,2,1),0))-MAX($E381,DATE(cfg_FY,2,1))+1)*(1-IF($M381="نعم",0,N($J381))))</f>
        <v>0</v>
      </c>
      <c r="X381" s="133" t="n">
        <f aca="false">IF(OR($B381="",$E381="",$F381=""),0,MAX(0,MIN($F381,EOMONTH(DATE(cfg_FY,3,1),0))-MAX($E381,DATE(cfg_FY,3,1))+1)*(1-IF($M381="نعم",0,N($J381))))</f>
        <v>0</v>
      </c>
      <c r="Y381" s="133" t="n">
        <f aca="false">IF(OR($B381="",$E381="",$F381=""),0,MAX(0,MIN($F381,EOMONTH(DATE(cfg_FY,4,1),0))-MAX($E381,DATE(cfg_FY,4,1))+1)*(1-IF($M381="نعم",0,N($J381))))</f>
        <v>0</v>
      </c>
      <c r="Z381" s="133" t="n">
        <f aca="false">IF(OR($B381="",$E381="",$F381=""),0,MAX(0,MIN($F381,EOMONTH(DATE(cfg_FY,5,1),0))-MAX($E381,DATE(cfg_FY,5,1))+1)*(1-IF($M381="نعم",0,N($J381))))</f>
        <v>0</v>
      </c>
      <c r="AA381" s="133" t="n">
        <f aca="false">IF(OR($B381="",$E381="",$F381=""),0,MAX(0,MIN($F381,EOMONTH(DATE(cfg_FY,6,1),0))-MAX($E381,DATE(cfg_FY,6,1))+1)*(1-IF($M381="نعم",0,N($J381))))</f>
        <v>0</v>
      </c>
      <c r="AB381" s="133" t="n">
        <f aca="false">IF(OR($B381="",$E381="",$F381=""),0,MAX(0,MIN($F381,EOMONTH(DATE(cfg_FY,7,1),0))-MAX($E381,DATE(cfg_FY,7,1))+1)*(1-IF($M381="نعم",0,N($J381))))</f>
        <v>0</v>
      </c>
      <c r="AC381" s="133" t="n">
        <f aca="false">IF(OR($B381="",$E381="",$F381=""),0,MAX(0,MIN($F381,EOMONTH(DATE(cfg_FY,8,1),0))-MAX($E381,DATE(cfg_FY,8,1))+1)*(1-IF($M381="نعم",0,N($J381))))</f>
        <v>0</v>
      </c>
      <c r="AD381" s="133" t="n">
        <f aca="false">IF(OR($B381="",$E381="",$F381=""),0,MAX(0,MIN($F381,EOMONTH(DATE(cfg_FY,9,1),0))-MAX($E381,DATE(cfg_FY,9,1))+1)*(1-IF($M381="نعم",0,N($J381))))</f>
        <v>0</v>
      </c>
      <c r="AE381" s="133" t="n">
        <f aca="false">IF(OR($B381="",$E381="",$F381=""),0,MAX(0,MIN($F381,EOMONTH(DATE(cfg_FY,10,1),0))-MAX($E381,DATE(cfg_FY,10,1))+1)*(1-IF($M381="نعم",0,N($J381))))</f>
        <v>0</v>
      </c>
      <c r="AF381" s="133" t="n">
        <f aca="false">IF(OR($B381="",$E381="",$F381=""),0,MAX(0,MIN($F381,EOMONTH(DATE(cfg_FY,11,1),0))-MAX($E381,DATE(cfg_FY,11,1))+1)*(1-IF($M381="نعم",0,N($J381))))</f>
        <v>0</v>
      </c>
      <c r="AG381" s="133" t="n">
        <f aca="false">IF(OR($B381="",$E381="",$F381=""),0,MAX(0,MIN($F381,EOMONTH(DATE(cfg_FY,12,1),0))-MAX($E381,DATE(cfg_FY,12,1))+1)*(1-IF($M381="نعم",0,N($J381))))</f>
        <v>0</v>
      </c>
      <c r="AH381" s="133" t="n">
        <f aca="false">IF(OR(OR($B381="",$E381="",$F381=""),$L381&lt;&gt;"لا"),0,MAX(0,MIN($F381,EOMONTH(DATE(cfg_FY,1,1),0))-$E381+1))</f>
        <v>0</v>
      </c>
      <c r="AI381" s="133" t="n">
        <f aca="false">IF(OR(OR($B381="",$E381="",$F381=""),$L381&lt;&gt;"لا"),0,MAX(0,MIN($F381,EOMONTH(DATE(cfg_FY,2,1),0))-$E381+1))</f>
        <v>0</v>
      </c>
      <c r="AJ381" s="133" t="n">
        <f aca="false">IF(OR(OR($B381="",$E381="",$F381=""),$L381&lt;&gt;"لا"),0,MAX(0,MIN($F381,EOMONTH(DATE(cfg_FY,3,1),0))-$E381+1))</f>
        <v>0</v>
      </c>
      <c r="AK381" s="133" t="n">
        <f aca="false">IF(OR(OR($B381="",$E381="",$F381=""),$L381&lt;&gt;"لا"),0,MAX(0,MIN($F381,EOMONTH(DATE(cfg_FY,4,1),0))-$E381+1))</f>
        <v>0</v>
      </c>
      <c r="AL381" s="133" t="n">
        <f aca="false">IF(OR(OR($B381="",$E381="",$F381=""),$L381&lt;&gt;"لا"),0,MAX(0,MIN($F381,EOMONTH(DATE(cfg_FY,5,1),0))-$E381+1))</f>
        <v>0</v>
      </c>
      <c r="AM381" s="133" t="n">
        <f aca="false">IF(OR(OR($B381="",$E381="",$F381=""),$L381&lt;&gt;"لا"),0,MAX(0,MIN($F381,EOMONTH(DATE(cfg_FY,6,1),0))-$E381+1))</f>
        <v>0</v>
      </c>
      <c r="AN381" s="133" t="n">
        <f aca="false">IF(OR(OR($B381="",$E381="",$F381=""),$L381&lt;&gt;"لا"),0,MAX(0,MIN($F381,EOMONTH(DATE(cfg_FY,7,1),0))-$E381+1))</f>
        <v>0</v>
      </c>
      <c r="AO381" s="133" t="n">
        <f aca="false">IF(OR(OR($B381="",$E381="",$F381=""),$L381&lt;&gt;"لا"),0,MAX(0,MIN($F381,EOMONTH(DATE(cfg_FY,8,1),0))-$E381+1))</f>
        <v>0</v>
      </c>
      <c r="AP381" s="133" t="n">
        <f aca="false">IF(OR(OR($B381="",$E381="",$F381=""),$L381&lt;&gt;"لا"),0,MAX(0,MIN($F381,EOMONTH(DATE(cfg_FY,9,1),0))-$E381+1))</f>
        <v>0</v>
      </c>
      <c r="AQ381" s="133" t="n">
        <f aca="false">IF(OR(OR($B381="",$E381="",$F381=""),$L381&lt;&gt;"لا"),0,MAX(0,MIN($F381,EOMONTH(DATE(cfg_FY,10,1),0))-$E381+1))</f>
        <v>0</v>
      </c>
      <c r="AR381" s="133" t="n">
        <f aca="false">IF(OR(OR($B381="",$E381="",$F381=""),$L381&lt;&gt;"لا"),0,MAX(0,MIN($F381,EOMONTH(DATE(cfg_FY,11,1),0))-$E381+1))</f>
        <v>0</v>
      </c>
      <c r="AS381" s="133" t="n">
        <f aca="false">IF(OR(OR($B381="",$E381="",$F381=""),$L381&lt;&gt;"لا"),0,MAX(0,MIN($F381,EOMONTH(DATE(cfg_FY,12,1),0))-$E381+1))</f>
        <v>0</v>
      </c>
      <c r="AT381" s="133" t="n">
        <f aca="false">IF(OR(OR($B381="",$E381="",$F381=""),$K381&lt;&gt;"نعم",$M381="نعم"),0,MAX(0,MIN($F381,EOMONTH(DATE(cfg_FY,1,1),0))-MAX($E381,DATE(cfg_FY,1,1))+1))</f>
        <v>0</v>
      </c>
      <c r="AU381" s="133" t="n">
        <f aca="false">IF(OR(OR($B381="",$E381="",$F381=""),$K381&lt;&gt;"نعم",$M381="نعم"),0,MAX(0,MIN($F381,EOMONTH(DATE(cfg_FY,2,1),0))-MAX($E381,DATE(cfg_FY,2,1))+1))</f>
        <v>0</v>
      </c>
      <c r="AV381" s="133" t="n">
        <f aca="false">IF(OR(OR($B381="",$E381="",$F381=""),$K381&lt;&gt;"نعم",$M381="نعم"),0,MAX(0,MIN($F381,EOMONTH(DATE(cfg_FY,3,1),0))-MAX($E381,DATE(cfg_FY,3,1))+1))</f>
        <v>0</v>
      </c>
      <c r="AW381" s="133" t="n">
        <f aca="false">IF(OR(OR($B381="",$E381="",$F381=""),$K381&lt;&gt;"نعم",$M381="نعم"),0,MAX(0,MIN($F381,EOMONTH(DATE(cfg_FY,4,1),0))-MAX($E381,DATE(cfg_FY,4,1))+1))</f>
        <v>0</v>
      </c>
      <c r="AX381" s="133" t="n">
        <f aca="false">IF(OR(OR($B381="",$E381="",$F381=""),$K381&lt;&gt;"نعم",$M381="نعم"),0,MAX(0,MIN($F381,EOMONTH(DATE(cfg_FY,5,1),0))-MAX($E381,DATE(cfg_FY,5,1))+1))</f>
        <v>0</v>
      </c>
      <c r="AY381" s="133" t="n">
        <f aca="false">IF(OR(OR($B381="",$E381="",$F381=""),$K381&lt;&gt;"نعم",$M381="نعم"),0,MAX(0,MIN($F381,EOMONTH(DATE(cfg_FY,6,1),0))-MAX($E381,DATE(cfg_FY,6,1))+1))</f>
        <v>0</v>
      </c>
      <c r="AZ381" s="133" t="n">
        <f aca="false">IF(OR(OR($B381="",$E381="",$F381=""),$K381&lt;&gt;"نعم",$M381="نعم"),0,MAX(0,MIN($F381,EOMONTH(DATE(cfg_FY,7,1),0))-MAX($E381,DATE(cfg_FY,7,1))+1))</f>
        <v>0</v>
      </c>
      <c r="BA381" s="133" t="n">
        <f aca="false">IF(OR(OR($B381="",$E381="",$F381=""),$K381&lt;&gt;"نعم",$M381="نعم"),0,MAX(0,MIN($F381,EOMONTH(DATE(cfg_FY,8,1),0))-MAX($E381,DATE(cfg_FY,8,1))+1))</f>
        <v>0</v>
      </c>
      <c r="BB381" s="133" t="n">
        <f aca="false">IF(OR(OR($B381="",$E381="",$F381=""),$K381&lt;&gt;"نعم",$M381="نعم"),0,MAX(0,MIN($F381,EOMONTH(DATE(cfg_FY,9,1),0))-MAX($E381,DATE(cfg_FY,9,1))+1))</f>
        <v>0</v>
      </c>
      <c r="BC381" s="133" t="n">
        <f aca="false">IF(OR(OR($B381="",$E381="",$F381=""),$K381&lt;&gt;"نعم",$M381="نعم"),0,MAX(0,MIN($F381,EOMONTH(DATE(cfg_FY,10,1),0))-MAX($E381,DATE(cfg_FY,10,1))+1))</f>
        <v>0</v>
      </c>
      <c r="BD381" s="133" t="n">
        <f aca="false">IF(OR(OR($B381="",$E381="",$F381=""),$K381&lt;&gt;"نعم",$M381="نعم"),0,MAX(0,MIN($F381,EOMONTH(DATE(cfg_FY,11,1),0))-MAX($E381,DATE(cfg_FY,11,1))+1))</f>
        <v>0</v>
      </c>
      <c r="BE381" s="133" t="n">
        <f aca="false">IF(OR(OR($B381="",$E381="",$F381=""),$K381&lt;&gt;"نعم",$M381="نعم"),0,MAX(0,MIN($F381,EOMONTH(DATE(cfg_FY,12,1),0))-MAX($E381,DATE(cfg_FY,12,1))+1))</f>
        <v>0</v>
      </c>
    </row>
    <row r="382" customFormat="false" ht="15" hidden="false" customHeight="false" outlineLevel="0" collapsed="false">
      <c r="A382" s="106" t="str">
        <f aca="false">IF(B382="","",ROW()-5)</f>
        <v/>
      </c>
      <c r="B382" s="118"/>
      <c r="C382" s="114" t="str">
        <f aca="false">IF(B382="","",IFERROR(INDEX(الموظفون!$C$6:$C$105,MATCH(B382,الموظفون!$B$6:$B$105,0)),"✖ رقم غير موجود"))</f>
        <v/>
      </c>
      <c r="D382" s="118"/>
      <c r="E382" s="119"/>
      <c r="F382" s="119"/>
      <c r="G382" s="65" t="str">
        <f aca="false">IF(OR($B382="",$E382="",$F382=""),"",MAX(0,F382-E382+1))</f>
        <v/>
      </c>
      <c r="H382" s="66" t="str">
        <f aca="false">IF(D382="","",IFERROR(VLOOKUP(D382,cfg_LT,2,FALSE()),1))</f>
        <v/>
      </c>
      <c r="I382" s="135"/>
      <c r="J382" s="66" t="str">
        <f aca="false">IF(D382="","",IF(I382&lt;&gt;"",I382,H382))</f>
        <v/>
      </c>
      <c r="K382" s="114" t="str">
        <f aca="false">IF(D382="","",IFERROR(VLOOKUP($D382,cfg_LT,3,FALSE()),""))</f>
        <v/>
      </c>
      <c r="L382" s="114" t="str">
        <f aca="false">IF(D382="","",IFERROR(VLOOKUP($D382,cfg_LT,4,FALSE()),""))</f>
        <v/>
      </c>
      <c r="M382" s="114" t="str">
        <f aca="false">IF(D382="","",IFERROR(VLOOKUP($D382,cfg_LT,5,FALSE()),""))</f>
        <v/>
      </c>
      <c r="N382" s="111" t="n">
        <f aca="false">IF(OR(OR($B382="",$E382="",$F382=""),M382&lt;&gt;"نعم"),0,G382*J382*IFERROR(INDEX(الموظفون!$R$6:$R$105,MATCH(B382,الموظفون!$B$6:$B$105,0)),0)/cfg_DAYS_M)</f>
        <v>0</v>
      </c>
      <c r="O382" s="106" t="str">
        <f aca="false">IF(OR(OR($B382="",$E382="",$F382=""),M382&lt;&gt;"نعم"),"",IF(YEAR(E382)=cfg_FY,MONTH(E382),""))</f>
        <v/>
      </c>
      <c r="P382" s="114" t="str">
        <f aca="false">IF(B382="","",IF(OR(D382="",E382="",F382=""),"⚠ أكمل النوع والتواريخ",IF(F382&lt;E382,"✖ النهاية قبل البداية",IF(COUNTIFS($B$6:$B$505,B382,$E$6:$E$505,"&lt;="&amp;F382,$F$6:$F$505,"&gt;="&amp;E382)&gt;1,"⚠ تداخل مع سجل آخر",IF(E382&gt;cfg_VAL_DATE,"⏳ قادمة",IF(F382&lt;cfg_VAL_DATE,"✔ منتهية","✈ جارية في تاريخ التقرير"))))))</f>
        <v/>
      </c>
      <c r="Q382" s="118"/>
      <c r="R382" s="65" t="n">
        <f aca="false">IF(OR(OR($B382="",$E382="",$F382=""),L382&lt;&gt;"لا"),0,MAX(0,MIN(F382,cfg_Y_START-1)-E382+1))</f>
        <v>0</v>
      </c>
      <c r="S382" s="65" t="n">
        <f aca="false">IF(OR(OR($B382="",$E382="",$F382=""),L382&lt;&gt;"لا"),0,MAX(0,MIN(F382,cfg_VAL_DATE)-E382+1))</f>
        <v>0</v>
      </c>
      <c r="T382" s="65" t="n">
        <f aca="false">IF(OR(OR($B382="",$E382="",$F382=""),K382&lt;&gt;"نعم"),0,IF(M382="نعم",IF(AND(ISNUMBER(O382),N(O382)&lt;=cfg_VAL_M),G382,0),MAX(0,MIN(F382,cfg_VAL_DATE)-MAX(E382,cfg_Y_START)+1)))</f>
        <v>0</v>
      </c>
      <c r="V382" s="65" t="n">
        <f aca="false">IF(OR($B382="",$E382="",$F382=""),0,MAX(0,MIN($F382,EOMONTH(DATE(cfg_FY,1,1),0))-MAX($E382,DATE(cfg_FY,1,1))+1)*(1-IF($M382="نعم",0,N($J382))))</f>
        <v>0</v>
      </c>
      <c r="W382" s="65" t="n">
        <f aca="false">IF(OR($B382="",$E382="",$F382=""),0,MAX(0,MIN($F382,EOMONTH(DATE(cfg_FY,2,1),0))-MAX($E382,DATE(cfg_FY,2,1))+1)*(1-IF($M382="نعم",0,N($J382))))</f>
        <v>0</v>
      </c>
      <c r="X382" s="65" t="n">
        <f aca="false">IF(OR($B382="",$E382="",$F382=""),0,MAX(0,MIN($F382,EOMONTH(DATE(cfg_FY,3,1),0))-MAX($E382,DATE(cfg_FY,3,1))+1)*(1-IF($M382="نعم",0,N($J382))))</f>
        <v>0</v>
      </c>
      <c r="Y382" s="65" t="n">
        <f aca="false">IF(OR($B382="",$E382="",$F382=""),0,MAX(0,MIN($F382,EOMONTH(DATE(cfg_FY,4,1),0))-MAX($E382,DATE(cfg_FY,4,1))+1)*(1-IF($M382="نعم",0,N($J382))))</f>
        <v>0</v>
      </c>
      <c r="Z382" s="65" t="n">
        <f aca="false">IF(OR($B382="",$E382="",$F382=""),0,MAX(0,MIN($F382,EOMONTH(DATE(cfg_FY,5,1),0))-MAX($E382,DATE(cfg_FY,5,1))+1)*(1-IF($M382="نعم",0,N($J382))))</f>
        <v>0</v>
      </c>
      <c r="AA382" s="65" t="n">
        <f aca="false">IF(OR($B382="",$E382="",$F382=""),0,MAX(0,MIN($F382,EOMONTH(DATE(cfg_FY,6,1),0))-MAX($E382,DATE(cfg_FY,6,1))+1)*(1-IF($M382="نعم",0,N($J382))))</f>
        <v>0</v>
      </c>
      <c r="AB382" s="65" t="n">
        <f aca="false">IF(OR($B382="",$E382="",$F382=""),0,MAX(0,MIN($F382,EOMONTH(DATE(cfg_FY,7,1),0))-MAX($E382,DATE(cfg_FY,7,1))+1)*(1-IF($M382="نعم",0,N($J382))))</f>
        <v>0</v>
      </c>
      <c r="AC382" s="65" t="n">
        <f aca="false">IF(OR($B382="",$E382="",$F382=""),0,MAX(0,MIN($F382,EOMONTH(DATE(cfg_FY,8,1),0))-MAX($E382,DATE(cfg_FY,8,1))+1)*(1-IF($M382="نعم",0,N($J382))))</f>
        <v>0</v>
      </c>
      <c r="AD382" s="65" t="n">
        <f aca="false">IF(OR($B382="",$E382="",$F382=""),0,MAX(0,MIN($F382,EOMONTH(DATE(cfg_FY,9,1),0))-MAX($E382,DATE(cfg_FY,9,1))+1)*(1-IF($M382="نعم",0,N($J382))))</f>
        <v>0</v>
      </c>
      <c r="AE382" s="65" t="n">
        <f aca="false">IF(OR($B382="",$E382="",$F382=""),0,MAX(0,MIN($F382,EOMONTH(DATE(cfg_FY,10,1),0))-MAX($E382,DATE(cfg_FY,10,1))+1)*(1-IF($M382="نعم",0,N($J382))))</f>
        <v>0</v>
      </c>
      <c r="AF382" s="65" t="n">
        <f aca="false">IF(OR($B382="",$E382="",$F382=""),0,MAX(0,MIN($F382,EOMONTH(DATE(cfg_FY,11,1),0))-MAX($E382,DATE(cfg_FY,11,1))+1)*(1-IF($M382="نعم",0,N($J382))))</f>
        <v>0</v>
      </c>
      <c r="AG382" s="65" t="n">
        <f aca="false">IF(OR($B382="",$E382="",$F382=""),0,MAX(0,MIN($F382,EOMONTH(DATE(cfg_FY,12,1),0))-MAX($E382,DATE(cfg_FY,12,1))+1)*(1-IF($M382="نعم",0,N($J382))))</f>
        <v>0</v>
      </c>
      <c r="AH382" s="65" t="n">
        <f aca="false">IF(OR(OR($B382="",$E382="",$F382=""),$L382&lt;&gt;"لا"),0,MAX(0,MIN($F382,EOMONTH(DATE(cfg_FY,1,1),0))-$E382+1))</f>
        <v>0</v>
      </c>
      <c r="AI382" s="65" t="n">
        <f aca="false">IF(OR(OR($B382="",$E382="",$F382=""),$L382&lt;&gt;"لا"),0,MAX(0,MIN($F382,EOMONTH(DATE(cfg_FY,2,1),0))-$E382+1))</f>
        <v>0</v>
      </c>
      <c r="AJ382" s="65" t="n">
        <f aca="false">IF(OR(OR($B382="",$E382="",$F382=""),$L382&lt;&gt;"لا"),0,MAX(0,MIN($F382,EOMONTH(DATE(cfg_FY,3,1),0))-$E382+1))</f>
        <v>0</v>
      </c>
      <c r="AK382" s="65" t="n">
        <f aca="false">IF(OR(OR($B382="",$E382="",$F382=""),$L382&lt;&gt;"لا"),0,MAX(0,MIN($F382,EOMONTH(DATE(cfg_FY,4,1),0))-$E382+1))</f>
        <v>0</v>
      </c>
      <c r="AL382" s="65" t="n">
        <f aca="false">IF(OR(OR($B382="",$E382="",$F382=""),$L382&lt;&gt;"لا"),0,MAX(0,MIN($F382,EOMONTH(DATE(cfg_FY,5,1),0))-$E382+1))</f>
        <v>0</v>
      </c>
      <c r="AM382" s="65" t="n">
        <f aca="false">IF(OR(OR($B382="",$E382="",$F382=""),$L382&lt;&gt;"لا"),0,MAX(0,MIN($F382,EOMONTH(DATE(cfg_FY,6,1),0))-$E382+1))</f>
        <v>0</v>
      </c>
      <c r="AN382" s="65" t="n">
        <f aca="false">IF(OR(OR($B382="",$E382="",$F382=""),$L382&lt;&gt;"لا"),0,MAX(0,MIN($F382,EOMONTH(DATE(cfg_FY,7,1),0))-$E382+1))</f>
        <v>0</v>
      </c>
      <c r="AO382" s="65" t="n">
        <f aca="false">IF(OR(OR($B382="",$E382="",$F382=""),$L382&lt;&gt;"لا"),0,MAX(0,MIN($F382,EOMONTH(DATE(cfg_FY,8,1),0))-$E382+1))</f>
        <v>0</v>
      </c>
      <c r="AP382" s="65" t="n">
        <f aca="false">IF(OR(OR($B382="",$E382="",$F382=""),$L382&lt;&gt;"لا"),0,MAX(0,MIN($F382,EOMONTH(DATE(cfg_FY,9,1),0))-$E382+1))</f>
        <v>0</v>
      </c>
      <c r="AQ382" s="65" t="n">
        <f aca="false">IF(OR(OR($B382="",$E382="",$F382=""),$L382&lt;&gt;"لا"),0,MAX(0,MIN($F382,EOMONTH(DATE(cfg_FY,10,1),0))-$E382+1))</f>
        <v>0</v>
      </c>
      <c r="AR382" s="65" t="n">
        <f aca="false">IF(OR(OR($B382="",$E382="",$F382=""),$L382&lt;&gt;"لا"),0,MAX(0,MIN($F382,EOMONTH(DATE(cfg_FY,11,1),0))-$E382+1))</f>
        <v>0</v>
      </c>
      <c r="AS382" s="65" t="n">
        <f aca="false">IF(OR(OR($B382="",$E382="",$F382=""),$L382&lt;&gt;"لا"),0,MAX(0,MIN($F382,EOMONTH(DATE(cfg_FY,12,1),0))-$E382+1))</f>
        <v>0</v>
      </c>
      <c r="AT382" s="65" t="n">
        <f aca="false">IF(OR(OR($B382="",$E382="",$F382=""),$K382&lt;&gt;"نعم",$M382="نعم"),0,MAX(0,MIN($F382,EOMONTH(DATE(cfg_FY,1,1),0))-MAX($E382,DATE(cfg_FY,1,1))+1))</f>
        <v>0</v>
      </c>
      <c r="AU382" s="65" t="n">
        <f aca="false">IF(OR(OR($B382="",$E382="",$F382=""),$K382&lt;&gt;"نعم",$M382="نعم"),0,MAX(0,MIN($F382,EOMONTH(DATE(cfg_FY,2,1),0))-MAX($E382,DATE(cfg_FY,2,1))+1))</f>
        <v>0</v>
      </c>
      <c r="AV382" s="65" t="n">
        <f aca="false">IF(OR(OR($B382="",$E382="",$F382=""),$K382&lt;&gt;"نعم",$M382="نعم"),0,MAX(0,MIN($F382,EOMONTH(DATE(cfg_FY,3,1),0))-MAX($E382,DATE(cfg_FY,3,1))+1))</f>
        <v>0</v>
      </c>
      <c r="AW382" s="65" t="n">
        <f aca="false">IF(OR(OR($B382="",$E382="",$F382=""),$K382&lt;&gt;"نعم",$M382="نعم"),0,MAX(0,MIN($F382,EOMONTH(DATE(cfg_FY,4,1),0))-MAX($E382,DATE(cfg_FY,4,1))+1))</f>
        <v>0</v>
      </c>
      <c r="AX382" s="65" t="n">
        <f aca="false">IF(OR(OR($B382="",$E382="",$F382=""),$K382&lt;&gt;"نعم",$M382="نعم"),0,MAX(0,MIN($F382,EOMONTH(DATE(cfg_FY,5,1),0))-MAX($E382,DATE(cfg_FY,5,1))+1))</f>
        <v>0</v>
      </c>
      <c r="AY382" s="65" t="n">
        <f aca="false">IF(OR(OR($B382="",$E382="",$F382=""),$K382&lt;&gt;"نعم",$M382="نعم"),0,MAX(0,MIN($F382,EOMONTH(DATE(cfg_FY,6,1),0))-MAX($E382,DATE(cfg_FY,6,1))+1))</f>
        <v>0</v>
      </c>
      <c r="AZ382" s="65" t="n">
        <f aca="false">IF(OR(OR($B382="",$E382="",$F382=""),$K382&lt;&gt;"نعم",$M382="نعم"),0,MAX(0,MIN($F382,EOMONTH(DATE(cfg_FY,7,1),0))-MAX($E382,DATE(cfg_FY,7,1))+1))</f>
        <v>0</v>
      </c>
      <c r="BA382" s="65" t="n">
        <f aca="false">IF(OR(OR($B382="",$E382="",$F382=""),$K382&lt;&gt;"نعم",$M382="نعم"),0,MAX(0,MIN($F382,EOMONTH(DATE(cfg_FY,8,1),0))-MAX($E382,DATE(cfg_FY,8,1))+1))</f>
        <v>0</v>
      </c>
      <c r="BB382" s="65" t="n">
        <f aca="false">IF(OR(OR($B382="",$E382="",$F382=""),$K382&lt;&gt;"نعم",$M382="نعم"),0,MAX(0,MIN($F382,EOMONTH(DATE(cfg_FY,9,1),0))-MAX($E382,DATE(cfg_FY,9,1))+1))</f>
        <v>0</v>
      </c>
      <c r="BC382" s="65" t="n">
        <f aca="false">IF(OR(OR($B382="",$E382="",$F382=""),$K382&lt;&gt;"نعم",$M382="نعم"),0,MAX(0,MIN($F382,EOMONTH(DATE(cfg_FY,10,1),0))-MAX($E382,DATE(cfg_FY,10,1))+1))</f>
        <v>0</v>
      </c>
      <c r="BD382" s="65" t="n">
        <f aca="false">IF(OR(OR($B382="",$E382="",$F382=""),$K382&lt;&gt;"نعم",$M382="نعم"),0,MAX(0,MIN($F382,EOMONTH(DATE(cfg_FY,11,1),0))-MAX($E382,DATE(cfg_FY,11,1))+1))</f>
        <v>0</v>
      </c>
      <c r="BE382" s="65" t="n">
        <f aca="false">IF(OR(OR($B382="",$E382="",$F382=""),$K382&lt;&gt;"نعم",$M382="نعم"),0,MAX(0,MIN($F382,EOMONTH(DATE(cfg_FY,12,1),0))-MAX($E382,DATE(cfg_FY,12,1))+1))</f>
        <v>0</v>
      </c>
    </row>
    <row r="383" customFormat="false" ht="15" hidden="false" customHeight="false" outlineLevel="0" collapsed="false">
      <c r="A383" s="115" t="str">
        <f aca="false">IF(B383="","",ROW()-5)</f>
        <v/>
      </c>
      <c r="B383" s="118"/>
      <c r="C383" s="117" t="str">
        <f aca="false">IF(B383="","",IFERROR(INDEX(الموظفون!$C$6:$C$105,MATCH(B383,الموظفون!$B$6:$B$105,0)),"✖ رقم غير موجود"))</f>
        <v/>
      </c>
      <c r="D383" s="118"/>
      <c r="E383" s="119"/>
      <c r="F383" s="119"/>
      <c r="G383" s="133" t="str">
        <f aca="false">IF(OR($B383="",$E383="",$F383=""),"",MAX(0,F383-E383+1))</f>
        <v/>
      </c>
      <c r="H383" s="134" t="str">
        <f aca="false">IF(D383="","",IFERROR(VLOOKUP(D383,cfg_LT,2,FALSE()),1))</f>
        <v/>
      </c>
      <c r="I383" s="135"/>
      <c r="J383" s="134" t="str">
        <f aca="false">IF(D383="","",IF(I383&lt;&gt;"",I383,H383))</f>
        <v/>
      </c>
      <c r="K383" s="117" t="str">
        <f aca="false">IF(D383="","",IFERROR(VLOOKUP($D383,cfg_LT,3,FALSE()),""))</f>
        <v/>
      </c>
      <c r="L383" s="117" t="str">
        <f aca="false">IF(D383="","",IFERROR(VLOOKUP($D383,cfg_LT,4,FALSE()),""))</f>
        <v/>
      </c>
      <c r="M383" s="117" t="str">
        <f aca="false">IF(D383="","",IFERROR(VLOOKUP($D383,cfg_LT,5,FALSE()),""))</f>
        <v/>
      </c>
      <c r="N383" s="116" t="n">
        <f aca="false">IF(OR(OR($B383="",$E383="",$F383=""),M383&lt;&gt;"نعم"),0,G383*J383*IFERROR(INDEX(الموظفون!$R$6:$R$105,MATCH(B383,الموظفون!$B$6:$B$105,0)),0)/cfg_DAYS_M)</f>
        <v>0</v>
      </c>
      <c r="O383" s="115" t="str">
        <f aca="false">IF(OR(OR($B383="",$E383="",$F383=""),M383&lt;&gt;"نعم"),"",IF(YEAR(E383)=cfg_FY,MONTH(E383),""))</f>
        <v/>
      </c>
      <c r="P383" s="117" t="str">
        <f aca="false">IF(B383="","",IF(OR(D383="",E383="",F383=""),"⚠ أكمل النوع والتواريخ",IF(F383&lt;E383,"✖ النهاية قبل البداية",IF(COUNTIFS($B$6:$B$505,B383,$E$6:$E$505,"&lt;="&amp;F383,$F$6:$F$505,"&gt;="&amp;E383)&gt;1,"⚠ تداخل مع سجل آخر",IF(E383&gt;cfg_VAL_DATE,"⏳ قادمة",IF(F383&lt;cfg_VAL_DATE,"✔ منتهية","✈ جارية في تاريخ التقرير"))))))</f>
        <v/>
      </c>
      <c r="Q383" s="118"/>
      <c r="R383" s="133" t="n">
        <f aca="false">IF(OR(OR($B383="",$E383="",$F383=""),L383&lt;&gt;"لا"),0,MAX(0,MIN(F383,cfg_Y_START-1)-E383+1))</f>
        <v>0</v>
      </c>
      <c r="S383" s="133" t="n">
        <f aca="false">IF(OR(OR($B383="",$E383="",$F383=""),L383&lt;&gt;"لا"),0,MAX(0,MIN(F383,cfg_VAL_DATE)-E383+1))</f>
        <v>0</v>
      </c>
      <c r="T383" s="133" t="n">
        <f aca="false">IF(OR(OR($B383="",$E383="",$F383=""),K383&lt;&gt;"نعم"),0,IF(M383="نعم",IF(AND(ISNUMBER(O383),N(O383)&lt;=cfg_VAL_M),G383,0),MAX(0,MIN(F383,cfg_VAL_DATE)-MAX(E383,cfg_Y_START)+1)))</f>
        <v>0</v>
      </c>
      <c r="V383" s="133" t="n">
        <f aca="false">IF(OR($B383="",$E383="",$F383=""),0,MAX(0,MIN($F383,EOMONTH(DATE(cfg_FY,1,1),0))-MAX($E383,DATE(cfg_FY,1,1))+1)*(1-IF($M383="نعم",0,N($J383))))</f>
        <v>0</v>
      </c>
      <c r="W383" s="133" t="n">
        <f aca="false">IF(OR($B383="",$E383="",$F383=""),0,MAX(0,MIN($F383,EOMONTH(DATE(cfg_FY,2,1),0))-MAX($E383,DATE(cfg_FY,2,1))+1)*(1-IF($M383="نعم",0,N($J383))))</f>
        <v>0</v>
      </c>
      <c r="X383" s="133" t="n">
        <f aca="false">IF(OR($B383="",$E383="",$F383=""),0,MAX(0,MIN($F383,EOMONTH(DATE(cfg_FY,3,1),0))-MAX($E383,DATE(cfg_FY,3,1))+1)*(1-IF($M383="نعم",0,N($J383))))</f>
        <v>0</v>
      </c>
      <c r="Y383" s="133" t="n">
        <f aca="false">IF(OR($B383="",$E383="",$F383=""),0,MAX(0,MIN($F383,EOMONTH(DATE(cfg_FY,4,1),0))-MAX($E383,DATE(cfg_FY,4,1))+1)*(1-IF($M383="نعم",0,N($J383))))</f>
        <v>0</v>
      </c>
      <c r="Z383" s="133" t="n">
        <f aca="false">IF(OR($B383="",$E383="",$F383=""),0,MAX(0,MIN($F383,EOMONTH(DATE(cfg_FY,5,1),0))-MAX($E383,DATE(cfg_FY,5,1))+1)*(1-IF($M383="نعم",0,N($J383))))</f>
        <v>0</v>
      </c>
      <c r="AA383" s="133" t="n">
        <f aca="false">IF(OR($B383="",$E383="",$F383=""),0,MAX(0,MIN($F383,EOMONTH(DATE(cfg_FY,6,1),0))-MAX($E383,DATE(cfg_FY,6,1))+1)*(1-IF($M383="نعم",0,N($J383))))</f>
        <v>0</v>
      </c>
      <c r="AB383" s="133" t="n">
        <f aca="false">IF(OR($B383="",$E383="",$F383=""),0,MAX(0,MIN($F383,EOMONTH(DATE(cfg_FY,7,1),0))-MAX($E383,DATE(cfg_FY,7,1))+1)*(1-IF($M383="نعم",0,N($J383))))</f>
        <v>0</v>
      </c>
      <c r="AC383" s="133" t="n">
        <f aca="false">IF(OR($B383="",$E383="",$F383=""),0,MAX(0,MIN($F383,EOMONTH(DATE(cfg_FY,8,1),0))-MAX($E383,DATE(cfg_FY,8,1))+1)*(1-IF($M383="نعم",0,N($J383))))</f>
        <v>0</v>
      </c>
      <c r="AD383" s="133" t="n">
        <f aca="false">IF(OR($B383="",$E383="",$F383=""),0,MAX(0,MIN($F383,EOMONTH(DATE(cfg_FY,9,1),0))-MAX($E383,DATE(cfg_FY,9,1))+1)*(1-IF($M383="نعم",0,N($J383))))</f>
        <v>0</v>
      </c>
      <c r="AE383" s="133" t="n">
        <f aca="false">IF(OR($B383="",$E383="",$F383=""),0,MAX(0,MIN($F383,EOMONTH(DATE(cfg_FY,10,1),0))-MAX($E383,DATE(cfg_FY,10,1))+1)*(1-IF($M383="نعم",0,N($J383))))</f>
        <v>0</v>
      </c>
      <c r="AF383" s="133" t="n">
        <f aca="false">IF(OR($B383="",$E383="",$F383=""),0,MAX(0,MIN($F383,EOMONTH(DATE(cfg_FY,11,1),0))-MAX($E383,DATE(cfg_FY,11,1))+1)*(1-IF($M383="نعم",0,N($J383))))</f>
        <v>0</v>
      </c>
      <c r="AG383" s="133" t="n">
        <f aca="false">IF(OR($B383="",$E383="",$F383=""),0,MAX(0,MIN($F383,EOMONTH(DATE(cfg_FY,12,1),0))-MAX($E383,DATE(cfg_FY,12,1))+1)*(1-IF($M383="نعم",0,N($J383))))</f>
        <v>0</v>
      </c>
      <c r="AH383" s="133" t="n">
        <f aca="false">IF(OR(OR($B383="",$E383="",$F383=""),$L383&lt;&gt;"لا"),0,MAX(0,MIN($F383,EOMONTH(DATE(cfg_FY,1,1),0))-$E383+1))</f>
        <v>0</v>
      </c>
      <c r="AI383" s="133" t="n">
        <f aca="false">IF(OR(OR($B383="",$E383="",$F383=""),$L383&lt;&gt;"لا"),0,MAX(0,MIN($F383,EOMONTH(DATE(cfg_FY,2,1),0))-$E383+1))</f>
        <v>0</v>
      </c>
      <c r="AJ383" s="133" t="n">
        <f aca="false">IF(OR(OR($B383="",$E383="",$F383=""),$L383&lt;&gt;"لا"),0,MAX(0,MIN($F383,EOMONTH(DATE(cfg_FY,3,1),0))-$E383+1))</f>
        <v>0</v>
      </c>
      <c r="AK383" s="133" t="n">
        <f aca="false">IF(OR(OR($B383="",$E383="",$F383=""),$L383&lt;&gt;"لا"),0,MAX(0,MIN($F383,EOMONTH(DATE(cfg_FY,4,1),0))-$E383+1))</f>
        <v>0</v>
      </c>
      <c r="AL383" s="133" t="n">
        <f aca="false">IF(OR(OR($B383="",$E383="",$F383=""),$L383&lt;&gt;"لا"),0,MAX(0,MIN($F383,EOMONTH(DATE(cfg_FY,5,1),0))-$E383+1))</f>
        <v>0</v>
      </c>
      <c r="AM383" s="133" t="n">
        <f aca="false">IF(OR(OR($B383="",$E383="",$F383=""),$L383&lt;&gt;"لا"),0,MAX(0,MIN($F383,EOMONTH(DATE(cfg_FY,6,1),0))-$E383+1))</f>
        <v>0</v>
      </c>
      <c r="AN383" s="133" t="n">
        <f aca="false">IF(OR(OR($B383="",$E383="",$F383=""),$L383&lt;&gt;"لا"),0,MAX(0,MIN($F383,EOMONTH(DATE(cfg_FY,7,1),0))-$E383+1))</f>
        <v>0</v>
      </c>
      <c r="AO383" s="133" t="n">
        <f aca="false">IF(OR(OR($B383="",$E383="",$F383=""),$L383&lt;&gt;"لا"),0,MAX(0,MIN($F383,EOMONTH(DATE(cfg_FY,8,1),0))-$E383+1))</f>
        <v>0</v>
      </c>
      <c r="AP383" s="133" t="n">
        <f aca="false">IF(OR(OR($B383="",$E383="",$F383=""),$L383&lt;&gt;"لا"),0,MAX(0,MIN($F383,EOMONTH(DATE(cfg_FY,9,1),0))-$E383+1))</f>
        <v>0</v>
      </c>
      <c r="AQ383" s="133" t="n">
        <f aca="false">IF(OR(OR($B383="",$E383="",$F383=""),$L383&lt;&gt;"لا"),0,MAX(0,MIN($F383,EOMONTH(DATE(cfg_FY,10,1),0))-$E383+1))</f>
        <v>0</v>
      </c>
      <c r="AR383" s="133" t="n">
        <f aca="false">IF(OR(OR($B383="",$E383="",$F383=""),$L383&lt;&gt;"لا"),0,MAX(0,MIN($F383,EOMONTH(DATE(cfg_FY,11,1),0))-$E383+1))</f>
        <v>0</v>
      </c>
      <c r="AS383" s="133" t="n">
        <f aca="false">IF(OR(OR($B383="",$E383="",$F383=""),$L383&lt;&gt;"لا"),0,MAX(0,MIN($F383,EOMONTH(DATE(cfg_FY,12,1),0))-$E383+1))</f>
        <v>0</v>
      </c>
      <c r="AT383" s="133" t="n">
        <f aca="false">IF(OR(OR($B383="",$E383="",$F383=""),$K383&lt;&gt;"نعم",$M383="نعم"),0,MAX(0,MIN($F383,EOMONTH(DATE(cfg_FY,1,1),0))-MAX($E383,DATE(cfg_FY,1,1))+1))</f>
        <v>0</v>
      </c>
      <c r="AU383" s="133" t="n">
        <f aca="false">IF(OR(OR($B383="",$E383="",$F383=""),$K383&lt;&gt;"نعم",$M383="نعم"),0,MAX(0,MIN($F383,EOMONTH(DATE(cfg_FY,2,1),0))-MAX($E383,DATE(cfg_FY,2,1))+1))</f>
        <v>0</v>
      </c>
      <c r="AV383" s="133" t="n">
        <f aca="false">IF(OR(OR($B383="",$E383="",$F383=""),$K383&lt;&gt;"نعم",$M383="نعم"),0,MAX(0,MIN($F383,EOMONTH(DATE(cfg_FY,3,1),0))-MAX($E383,DATE(cfg_FY,3,1))+1))</f>
        <v>0</v>
      </c>
      <c r="AW383" s="133" t="n">
        <f aca="false">IF(OR(OR($B383="",$E383="",$F383=""),$K383&lt;&gt;"نعم",$M383="نعم"),0,MAX(0,MIN($F383,EOMONTH(DATE(cfg_FY,4,1),0))-MAX($E383,DATE(cfg_FY,4,1))+1))</f>
        <v>0</v>
      </c>
      <c r="AX383" s="133" t="n">
        <f aca="false">IF(OR(OR($B383="",$E383="",$F383=""),$K383&lt;&gt;"نعم",$M383="نعم"),0,MAX(0,MIN($F383,EOMONTH(DATE(cfg_FY,5,1),0))-MAX($E383,DATE(cfg_FY,5,1))+1))</f>
        <v>0</v>
      </c>
      <c r="AY383" s="133" t="n">
        <f aca="false">IF(OR(OR($B383="",$E383="",$F383=""),$K383&lt;&gt;"نعم",$M383="نعم"),0,MAX(0,MIN($F383,EOMONTH(DATE(cfg_FY,6,1),0))-MAX($E383,DATE(cfg_FY,6,1))+1))</f>
        <v>0</v>
      </c>
      <c r="AZ383" s="133" t="n">
        <f aca="false">IF(OR(OR($B383="",$E383="",$F383=""),$K383&lt;&gt;"نعم",$M383="نعم"),0,MAX(0,MIN($F383,EOMONTH(DATE(cfg_FY,7,1),0))-MAX($E383,DATE(cfg_FY,7,1))+1))</f>
        <v>0</v>
      </c>
      <c r="BA383" s="133" t="n">
        <f aca="false">IF(OR(OR($B383="",$E383="",$F383=""),$K383&lt;&gt;"نعم",$M383="نعم"),0,MAX(0,MIN($F383,EOMONTH(DATE(cfg_FY,8,1),0))-MAX($E383,DATE(cfg_FY,8,1))+1))</f>
        <v>0</v>
      </c>
      <c r="BB383" s="133" t="n">
        <f aca="false">IF(OR(OR($B383="",$E383="",$F383=""),$K383&lt;&gt;"نعم",$M383="نعم"),0,MAX(0,MIN($F383,EOMONTH(DATE(cfg_FY,9,1),0))-MAX($E383,DATE(cfg_FY,9,1))+1))</f>
        <v>0</v>
      </c>
      <c r="BC383" s="133" t="n">
        <f aca="false">IF(OR(OR($B383="",$E383="",$F383=""),$K383&lt;&gt;"نعم",$M383="نعم"),0,MAX(0,MIN($F383,EOMONTH(DATE(cfg_FY,10,1),0))-MAX($E383,DATE(cfg_FY,10,1))+1))</f>
        <v>0</v>
      </c>
      <c r="BD383" s="133" t="n">
        <f aca="false">IF(OR(OR($B383="",$E383="",$F383=""),$K383&lt;&gt;"نعم",$M383="نعم"),0,MAX(0,MIN($F383,EOMONTH(DATE(cfg_FY,11,1),0))-MAX($E383,DATE(cfg_FY,11,1))+1))</f>
        <v>0</v>
      </c>
      <c r="BE383" s="133" t="n">
        <f aca="false">IF(OR(OR($B383="",$E383="",$F383=""),$K383&lt;&gt;"نعم",$M383="نعم"),0,MAX(0,MIN($F383,EOMONTH(DATE(cfg_FY,12,1),0))-MAX($E383,DATE(cfg_FY,12,1))+1))</f>
        <v>0</v>
      </c>
    </row>
    <row r="384" customFormat="false" ht="15" hidden="false" customHeight="false" outlineLevel="0" collapsed="false">
      <c r="A384" s="106" t="str">
        <f aca="false">IF(B384="","",ROW()-5)</f>
        <v/>
      </c>
      <c r="B384" s="118"/>
      <c r="C384" s="114" t="str">
        <f aca="false">IF(B384="","",IFERROR(INDEX(الموظفون!$C$6:$C$105,MATCH(B384,الموظفون!$B$6:$B$105,0)),"✖ رقم غير موجود"))</f>
        <v/>
      </c>
      <c r="D384" s="118"/>
      <c r="E384" s="119"/>
      <c r="F384" s="119"/>
      <c r="G384" s="65" t="str">
        <f aca="false">IF(OR($B384="",$E384="",$F384=""),"",MAX(0,F384-E384+1))</f>
        <v/>
      </c>
      <c r="H384" s="66" t="str">
        <f aca="false">IF(D384="","",IFERROR(VLOOKUP(D384,cfg_LT,2,FALSE()),1))</f>
        <v/>
      </c>
      <c r="I384" s="135"/>
      <c r="J384" s="66" t="str">
        <f aca="false">IF(D384="","",IF(I384&lt;&gt;"",I384,H384))</f>
        <v/>
      </c>
      <c r="K384" s="114" t="str">
        <f aca="false">IF(D384="","",IFERROR(VLOOKUP($D384,cfg_LT,3,FALSE()),""))</f>
        <v/>
      </c>
      <c r="L384" s="114" t="str">
        <f aca="false">IF(D384="","",IFERROR(VLOOKUP($D384,cfg_LT,4,FALSE()),""))</f>
        <v/>
      </c>
      <c r="M384" s="114" t="str">
        <f aca="false">IF(D384="","",IFERROR(VLOOKUP($D384,cfg_LT,5,FALSE()),""))</f>
        <v/>
      </c>
      <c r="N384" s="111" t="n">
        <f aca="false">IF(OR(OR($B384="",$E384="",$F384=""),M384&lt;&gt;"نعم"),0,G384*J384*IFERROR(INDEX(الموظفون!$R$6:$R$105,MATCH(B384,الموظفون!$B$6:$B$105,0)),0)/cfg_DAYS_M)</f>
        <v>0</v>
      </c>
      <c r="O384" s="106" t="str">
        <f aca="false">IF(OR(OR($B384="",$E384="",$F384=""),M384&lt;&gt;"نعم"),"",IF(YEAR(E384)=cfg_FY,MONTH(E384),""))</f>
        <v/>
      </c>
      <c r="P384" s="114" t="str">
        <f aca="false">IF(B384="","",IF(OR(D384="",E384="",F384=""),"⚠ أكمل النوع والتواريخ",IF(F384&lt;E384,"✖ النهاية قبل البداية",IF(COUNTIFS($B$6:$B$505,B384,$E$6:$E$505,"&lt;="&amp;F384,$F$6:$F$505,"&gt;="&amp;E384)&gt;1,"⚠ تداخل مع سجل آخر",IF(E384&gt;cfg_VAL_DATE,"⏳ قادمة",IF(F384&lt;cfg_VAL_DATE,"✔ منتهية","✈ جارية في تاريخ التقرير"))))))</f>
        <v/>
      </c>
      <c r="Q384" s="118"/>
      <c r="R384" s="65" t="n">
        <f aca="false">IF(OR(OR($B384="",$E384="",$F384=""),L384&lt;&gt;"لا"),0,MAX(0,MIN(F384,cfg_Y_START-1)-E384+1))</f>
        <v>0</v>
      </c>
      <c r="S384" s="65" t="n">
        <f aca="false">IF(OR(OR($B384="",$E384="",$F384=""),L384&lt;&gt;"لا"),0,MAX(0,MIN(F384,cfg_VAL_DATE)-E384+1))</f>
        <v>0</v>
      </c>
      <c r="T384" s="65" t="n">
        <f aca="false">IF(OR(OR($B384="",$E384="",$F384=""),K384&lt;&gt;"نعم"),0,IF(M384="نعم",IF(AND(ISNUMBER(O384),N(O384)&lt;=cfg_VAL_M),G384,0),MAX(0,MIN(F384,cfg_VAL_DATE)-MAX(E384,cfg_Y_START)+1)))</f>
        <v>0</v>
      </c>
      <c r="V384" s="65" t="n">
        <f aca="false">IF(OR($B384="",$E384="",$F384=""),0,MAX(0,MIN($F384,EOMONTH(DATE(cfg_FY,1,1),0))-MAX($E384,DATE(cfg_FY,1,1))+1)*(1-IF($M384="نعم",0,N($J384))))</f>
        <v>0</v>
      </c>
      <c r="W384" s="65" t="n">
        <f aca="false">IF(OR($B384="",$E384="",$F384=""),0,MAX(0,MIN($F384,EOMONTH(DATE(cfg_FY,2,1),0))-MAX($E384,DATE(cfg_FY,2,1))+1)*(1-IF($M384="نعم",0,N($J384))))</f>
        <v>0</v>
      </c>
      <c r="X384" s="65" t="n">
        <f aca="false">IF(OR($B384="",$E384="",$F384=""),0,MAX(0,MIN($F384,EOMONTH(DATE(cfg_FY,3,1),0))-MAX($E384,DATE(cfg_FY,3,1))+1)*(1-IF($M384="نعم",0,N($J384))))</f>
        <v>0</v>
      </c>
      <c r="Y384" s="65" t="n">
        <f aca="false">IF(OR($B384="",$E384="",$F384=""),0,MAX(0,MIN($F384,EOMONTH(DATE(cfg_FY,4,1),0))-MAX($E384,DATE(cfg_FY,4,1))+1)*(1-IF($M384="نعم",0,N($J384))))</f>
        <v>0</v>
      </c>
      <c r="Z384" s="65" t="n">
        <f aca="false">IF(OR($B384="",$E384="",$F384=""),0,MAX(0,MIN($F384,EOMONTH(DATE(cfg_FY,5,1),0))-MAX($E384,DATE(cfg_FY,5,1))+1)*(1-IF($M384="نعم",0,N($J384))))</f>
        <v>0</v>
      </c>
      <c r="AA384" s="65" t="n">
        <f aca="false">IF(OR($B384="",$E384="",$F384=""),0,MAX(0,MIN($F384,EOMONTH(DATE(cfg_FY,6,1),0))-MAX($E384,DATE(cfg_FY,6,1))+1)*(1-IF($M384="نعم",0,N($J384))))</f>
        <v>0</v>
      </c>
      <c r="AB384" s="65" t="n">
        <f aca="false">IF(OR($B384="",$E384="",$F384=""),0,MAX(0,MIN($F384,EOMONTH(DATE(cfg_FY,7,1),0))-MAX($E384,DATE(cfg_FY,7,1))+1)*(1-IF($M384="نعم",0,N($J384))))</f>
        <v>0</v>
      </c>
      <c r="AC384" s="65" t="n">
        <f aca="false">IF(OR($B384="",$E384="",$F384=""),0,MAX(0,MIN($F384,EOMONTH(DATE(cfg_FY,8,1),0))-MAX($E384,DATE(cfg_FY,8,1))+1)*(1-IF($M384="نعم",0,N($J384))))</f>
        <v>0</v>
      </c>
      <c r="AD384" s="65" t="n">
        <f aca="false">IF(OR($B384="",$E384="",$F384=""),0,MAX(0,MIN($F384,EOMONTH(DATE(cfg_FY,9,1),0))-MAX($E384,DATE(cfg_FY,9,1))+1)*(1-IF($M384="نعم",0,N($J384))))</f>
        <v>0</v>
      </c>
      <c r="AE384" s="65" t="n">
        <f aca="false">IF(OR($B384="",$E384="",$F384=""),0,MAX(0,MIN($F384,EOMONTH(DATE(cfg_FY,10,1),0))-MAX($E384,DATE(cfg_FY,10,1))+1)*(1-IF($M384="نعم",0,N($J384))))</f>
        <v>0</v>
      </c>
      <c r="AF384" s="65" t="n">
        <f aca="false">IF(OR($B384="",$E384="",$F384=""),0,MAX(0,MIN($F384,EOMONTH(DATE(cfg_FY,11,1),0))-MAX($E384,DATE(cfg_FY,11,1))+1)*(1-IF($M384="نعم",0,N($J384))))</f>
        <v>0</v>
      </c>
      <c r="AG384" s="65" t="n">
        <f aca="false">IF(OR($B384="",$E384="",$F384=""),0,MAX(0,MIN($F384,EOMONTH(DATE(cfg_FY,12,1),0))-MAX($E384,DATE(cfg_FY,12,1))+1)*(1-IF($M384="نعم",0,N($J384))))</f>
        <v>0</v>
      </c>
      <c r="AH384" s="65" t="n">
        <f aca="false">IF(OR(OR($B384="",$E384="",$F384=""),$L384&lt;&gt;"لا"),0,MAX(0,MIN($F384,EOMONTH(DATE(cfg_FY,1,1),0))-$E384+1))</f>
        <v>0</v>
      </c>
      <c r="AI384" s="65" t="n">
        <f aca="false">IF(OR(OR($B384="",$E384="",$F384=""),$L384&lt;&gt;"لا"),0,MAX(0,MIN($F384,EOMONTH(DATE(cfg_FY,2,1),0))-$E384+1))</f>
        <v>0</v>
      </c>
      <c r="AJ384" s="65" t="n">
        <f aca="false">IF(OR(OR($B384="",$E384="",$F384=""),$L384&lt;&gt;"لا"),0,MAX(0,MIN($F384,EOMONTH(DATE(cfg_FY,3,1),0))-$E384+1))</f>
        <v>0</v>
      </c>
      <c r="AK384" s="65" t="n">
        <f aca="false">IF(OR(OR($B384="",$E384="",$F384=""),$L384&lt;&gt;"لا"),0,MAX(0,MIN($F384,EOMONTH(DATE(cfg_FY,4,1),0))-$E384+1))</f>
        <v>0</v>
      </c>
      <c r="AL384" s="65" t="n">
        <f aca="false">IF(OR(OR($B384="",$E384="",$F384=""),$L384&lt;&gt;"لا"),0,MAX(0,MIN($F384,EOMONTH(DATE(cfg_FY,5,1),0))-$E384+1))</f>
        <v>0</v>
      </c>
      <c r="AM384" s="65" t="n">
        <f aca="false">IF(OR(OR($B384="",$E384="",$F384=""),$L384&lt;&gt;"لا"),0,MAX(0,MIN($F384,EOMONTH(DATE(cfg_FY,6,1),0))-$E384+1))</f>
        <v>0</v>
      </c>
      <c r="AN384" s="65" t="n">
        <f aca="false">IF(OR(OR($B384="",$E384="",$F384=""),$L384&lt;&gt;"لا"),0,MAX(0,MIN($F384,EOMONTH(DATE(cfg_FY,7,1),0))-$E384+1))</f>
        <v>0</v>
      </c>
      <c r="AO384" s="65" t="n">
        <f aca="false">IF(OR(OR($B384="",$E384="",$F384=""),$L384&lt;&gt;"لا"),0,MAX(0,MIN($F384,EOMONTH(DATE(cfg_FY,8,1),0))-$E384+1))</f>
        <v>0</v>
      </c>
      <c r="AP384" s="65" t="n">
        <f aca="false">IF(OR(OR($B384="",$E384="",$F384=""),$L384&lt;&gt;"لا"),0,MAX(0,MIN($F384,EOMONTH(DATE(cfg_FY,9,1),0))-$E384+1))</f>
        <v>0</v>
      </c>
      <c r="AQ384" s="65" t="n">
        <f aca="false">IF(OR(OR($B384="",$E384="",$F384=""),$L384&lt;&gt;"لا"),0,MAX(0,MIN($F384,EOMONTH(DATE(cfg_FY,10,1),0))-$E384+1))</f>
        <v>0</v>
      </c>
      <c r="AR384" s="65" t="n">
        <f aca="false">IF(OR(OR($B384="",$E384="",$F384=""),$L384&lt;&gt;"لا"),0,MAX(0,MIN($F384,EOMONTH(DATE(cfg_FY,11,1),0))-$E384+1))</f>
        <v>0</v>
      </c>
      <c r="AS384" s="65" t="n">
        <f aca="false">IF(OR(OR($B384="",$E384="",$F384=""),$L384&lt;&gt;"لا"),0,MAX(0,MIN($F384,EOMONTH(DATE(cfg_FY,12,1),0))-$E384+1))</f>
        <v>0</v>
      </c>
      <c r="AT384" s="65" t="n">
        <f aca="false">IF(OR(OR($B384="",$E384="",$F384=""),$K384&lt;&gt;"نعم",$M384="نعم"),0,MAX(0,MIN($F384,EOMONTH(DATE(cfg_FY,1,1),0))-MAX($E384,DATE(cfg_FY,1,1))+1))</f>
        <v>0</v>
      </c>
      <c r="AU384" s="65" t="n">
        <f aca="false">IF(OR(OR($B384="",$E384="",$F384=""),$K384&lt;&gt;"نعم",$M384="نعم"),0,MAX(0,MIN($F384,EOMONTH(DATE(cfg_FY,2,1),0))-MAX($E384,DATE(cfg_FY,2,1))+1))</f>
        <v>0</v>
      </c>
      <c r="AV384" s="65" t="n">
        <f aca="false">IF(OR(OR($B384="",$E384="",$F384=""),$K384&lt;&gt;"نعم",$M384="نعم"),0,MAX(0,MIN($F384,EOMONTH(DATE(cfg_FY,3,1),0))-MAX($E384,DATE(cfg_FY,3,1))+1))</f>
        <v>0</v>
      </c>
      <c r="AW384" s="65" t="n">
        <f aca="false">IF(OR(OR($B384="",$E384="",$F384=""),$K384&lt;&gt;"نعم",$M384="نعم"),0,MAX(0,MIN($F384,EOMONTH(DATE(cfg_FY,4,1),0))-MAX($E384,DATE(cfg_FY,4,1))+1))</f>
        <v>0</v>
      </c>
      <c r="AX384" s="65" t="n">
        <f aca="false">IF(OR(OR($B384="",$E384="",$F384=""),$K384&lt;&gt;"نعم",$M384="نعم"),0,MAX(0,MIN($F384,EOMONTH(DATE(cfg_FY,5,1),0))-MAX($E384,DATE(cfg_FY,5,1))+1))</f>
        <v>0</v>
      </c>
      <c r="AY384" s="65" t="n">
        <f aca="false">IF(OR(OR($B384="",$E384="",$F384=""),$K384&lt;&gt;"نعم",$M384="نعم"),0,MAX(0,MIN($F384,EOMONTH(DATE(cfg_FY,6,1),0))-MAX($E384,DATE(cfg_FY,6,1))+1))</f>
        <v>0</v>
      </c>
      <c r="AZ384" s="65" t="n">
        <f aca="false">IF(OR(OR($B384="",$E384="",$F384=""),$K384&lt;&gt;"نعم",$M384="نعم"),0,MAX(0,MIN($F384,EOMONTH(DATE(cfg_FY,7,1),0))-MAX($E384,DATE(cfg_FY,7,1))+1))</f>
        <v>0</v>
      </c>
      <c r="BA384" s="65" t="n">
        <f aca="false">IF(OR(OR($B384="",$E384="",$F384=""),$K384&lt;&gt;"نعم",$M384="نعم"),0,MAX(0,MIN($F384,EOMONTH(DATE(cfg_FY,8,1),0))-MAX($E384,DATE(cfg_FY,8,1))+1))</f>
        <v>0</v>
      </c>
      <c r="BB384" s="65" t="n">
        <f aca="false">IF(OR(OR($B384="",$E384="",$F384=""),$K384&lt;&gt;"نعم",$M384="نعم"),0,MAX(0,MIN($F384,EOMONTH(DATE(cfg_FY,9,1),0))-MAX($E384,DATE(cfg_FY,9,1))+1))</f>
        <v>0</v>
      </c>
      <c r="BC384" s="65" t="n">
        <f aca="false">IF(OR(OR($B384="",$E384="",$F384=""),$K384&lt;&gt;"نعم",$M384="نعم"),0,MAX(0,MIN($F384,EOMONTH(DATE(cfg_FY,10,1),0))-MAX($E384,DATE(cfg_FY,10,1))+1))</f>
        <v>0</v>
      </c>
      <c r="BD384" s="65" t="n">
        <f aca="false">IF(OR(OR($B384="",$E384="",$F384=""),$K384&lt;&gt;"نعم",$M384="نعم"),0,MAX(0,MIN($F384,EOMONTH(DATE(cfg_FY,11,1),0))-MAX($E384,DATE(cfg_FY,11,1))+1))</f>
        <v>0</v>
      </c>
      <c r="BE384" s="65" t="n">
        <f aca="false">IF(OR(OR($B384="",$E384="",$F384=""),$K384&lt;&gt;"نعم",$M384="نعم"),0,MAX(0,MIN($F384,EOMONTH(DATE(cfg_FY,12,1),0))-MAX($E384,DATE(cfg_FY,12,1))+1))</f>
        <v>0</v>
      </c>
    </row>
    <row r="385" customFormat="false" ht="15" hidden="false" customHeight="false" outlineLevel="0" collapsed="false">
      <c r="A385" s="115" t="str">
        <f aca="false">IF(B385="","",ROW()-5)</f>
        <v/>
      </c>
      <c r="B385" s="118"/>
      <c r="C385" s="117" t="str">
        <f aca="false">IF(B385="","",IFERROR(INDEX(الموظفون!$C$6:$C$105,MATCH(B385,الموظفون!$B$6:$B$105,0)),"✖ رقم غير موجود"))</f>
        <v/>
      </c>
      <c r="D385" s="118"/>
      <c r="E385" s="119"/>
      <c r="F385" s="119"/>
      <c r="G385" s="133" t="str">
        <f aca="false">IF(OR($B385="",$E385="",$F385=""),"",MAX(0,F385-E385+1))</f>
        <v/>
      </c>
      <c r="H385" s="134" t="str">
        <f aca="false">IF(D385="","",IFERROR(VLOOKUP(D385,cfg_LT,2,FALSE()),1))</f>
        <v/>
      </c>
      <c r="I385" s="135"/>
      <c r="J385" s="134" t="str">
        <f aca="false">IF(D385="","",IF(I385&lt;&gt;"",I385,H385))</f>
        <v/>
      </c>
      <c r="K385" s="117" t="str">
        <f aca="false">IF(D385="","",IFERROR(VLOOKUP($D385,cfg_LT,3,FALSE()),""))</f>
        <v/>
      </c>
      <c r="L385" s="117" t="str">
        <f aca="false">IF(D385="","",IFERROR(VLOOKUP($D385,cfg_LT,4,FALSE()),""))</f>
        <v/>
      </c>
      <c r="M385" s="117" t="str">
        <f aca="false">IF(D385="","",IFERROR(VLOOKUP($D385,cfg_LT,5,FALSE()),""))</f>
        <v/>
      </c>
      <c r="N385" s="116" t="n">
        <f aca="false">IF(OR(OR($B385="",$E385="",$F385=""),M385&lt;&gt;"نعم"),0,G385*J385*IFERROR(INDEX(الموظفون!$R$6:$R$105,MATCH(B385,الموظفون!$B$6:$B$105,0)),0)/cfg_DAYS_M)</f>
        <v>0</v>
      </c>
      <c r="O385" s="115" t="str">
        <f aca="false">IF(OR(OR($B385="",$E385="",$F385=""),M385&lt;&gt;"نعم"),"",IF(YEAR(E385)=cfg_FY,MONTH(E385),""))</f>
        <v/>
      </c>
      <c r="P385" s="117" t="str">
        <f aca="false">IF(B385="","",IF(OR(D385="",E385="",F385=""),"⚠ أكمل النوع والتواريخ",IF(F385&lt;E385,"✖ النهاية قبل البداية",IF(COUNTIFS($B$6:$B$505,B385,$E$6:$E$505,"&lt;="&amp;F385,$F$6:$F$505,"&gt;="&amp;E385)&gt;1,"⚠ تداخل مع سجل آخر",IF(E385&gt;cfg_VAL_DATE,"⏳ قادمة",IF(F385&lt;cfg_VAL_DATE,"✔ منتهية","✈ جارية في تاريخ التقرير"))))))</f>
        <v/>
      </c>
      <c r="Q385" s="118"/>
      <c r="R385" s="133" t="n">
        <f aca="false">IF(OR(OR($B385="",$E385="",$F385=""),L385&lt;&gt;"لا"),0,MAX(0,MIN(F385,cfg_Y_START-1)-E385+1))</f>
        <v>0</v>
      </c>
      <c r="S385" s="133" t="n">
        <f aca="false">IF(OR(OR($B385="",$E385="",$F385=""),L385&lt;&gt;"لا"),0,MAX(0,MIN(F385,cfg_VAL_DATE)-E385+1))</f>
        <v>0</v>
      </c>
      <c r="T385" s="133" t="n">
        <f aca="false">IF(OR(OR($B385="",$E385="",$F385=""),K385&lt;&gt;"نعم"),0,IF(M385="نعم",IF(AND(ISNUMBER(O385),N(O385)&lt;=cfg_VAL_M),G385,0),MAX(0,MIN(F385,cfg_VAL_DATE)-MAX(E385,cfg_Y_START)+1)))</f>
        <v>0</v>
      </c>
      <c r="V385" s="133" t="n">
        <f aca="false">IF(OR($B385="",$E385="",$F385=""),0,MAX(0,MIN($F385,EOMONTH(DATE(cfg_FY,1,1),0))-MAX($E385,DATE(cfg_FY,1,1))+1)*(1-IF($M385="نعم",0,N($J385))))</f>
        <v>0</v>
      </c>
      <c r="W385" s="133" t="n">
        <f aca="false">IF(OR($B385="",$E385="",$F385=""),0,MAX(0,MIN($F385,EOMONTH(DATE(cfg_FY,2,1),0))-MAX($E385,DATE(cfg_FY,2,1))+1)*(1-IF($M385="نعم",0,N($J385))))</f>
        <v>0</v>
      </c>
      <c r="X385" s="133" t="n">
        <f aca="false">IF(OR($B385="",$E385="",$F385=""),0,MAX(0,MIN($F385,EOMONTH(DATE(cfg_FY,3,1),0))-MAX($E385,DATE(cfg_FY,3,1))+1)*(1-IF($M385="نعم",0,N($J385))))</f>
        <v>0</v>
      </c>
      <c r="Y385" s="133" t="n">
        <f aca="false">IF(OR($B385="",$E385="",$F385=""),0,MAX(0,MIN($F385,EOMONTH(DATE(cfg_FY,4,1),0))-MAX($E385,DATE(cfg_FY,4,1))+1)*(1-IF($M385="نعم",0,N($J385))))</f>
        <v>0</v>
      </c>
      <c r="Z385" s="133" t="n">
        <f aca="false">IF(OR($B385="",$E385="",$F385=""),0,MAX(0,MIN($F385,EOMONTH(DATE(cfg_FY,5,1),0))-MAX($E385,DATE(cfg_FY,5,1))+1)*(1-IF($M385="نعم",0,N($J385))))</f>
        <v>0</v>
      </c>
      <c r="AA385" s="133" t="n">
        <f aca="false">IF(OR($B385="",$E385="",$F385=""),0,MAX(0,MIN($F385,EOMONTH(DATE(cfg_FY,6,1),0))-MAX($E385,DATE(cfg_FY,6,1))+1)*(1-IF($M385="نعم",0,N($J385))))</f>
        <v>0</v>
      </c>
      <c r="AB385" s="133" t="n">
        <f aca="false">IF(OR($B385="",$E385="",$F385=""),0,MAX(0,MIN($F385,EOMONTH(DATE(cfg_FY,7,1),0))-MAX($E385,DATE(cfg_FY,7,1))+1)*(1-IF($M385="نعم",0,N($J385))))</f>
        <v>0</v>
      </c>
      <c r="AC385" s="133" t="n">
        <f aca="false">IF(OR($B385="",$E385="",$F385=""),0,MAX(0,MIN($F385,EOMONTH(DATE(cfg_FY,8,1),0))-MAX($E385,DATE(cfg_FY,8,1))+1)*(1-IF($M385="نعم",0,N($J385))))</f>
        <v>0</v>
      </c>
      <c r="AD385" s="133" t="n">
        <f aca="false">IF(OR($B385="",$E385="",$F385=""),0,MAX(0,MIN($F385,EOMONTH(DATE(cfg_FY,9,1),0))-MAX($E385,DATE(cfg_FY,9,1))+1)*(1-IF($M385="نعم",0,N($J385))))</f>
        <v>0</v>
      </c>
      <c r="AE385" s="133" t="n">
        <f aca="false">IF(OR($B385="",$E385="",$F385=""),0,MAX(0,MIN($F385,EOMONTH(DATE(cfg_FY,10,1),0))-MAX($E385,DATE(cfg_FY,10,1))+1)*(1-IF($M385="نعم",0,N($J385))))</f>
        <v>0</v>
      </c>
      <c r="AF385" s="133" t="n">
        <f aca="false">IF(OR($B385="",$E385="",$F385=""),0,MAX(0,MIN($F385,EOMONTH(DATE(cfg_FY,11,1),0))-MAX($E385,DATE(cfg_FY,11,1))+1)*(1-IF($M385="نعم",0,N($J385))))</f>
        <v>0</v>
      </c>
      <c r="AG385" s="133" t="n">
        <f aca="false">IF(OR($B385="",$E385="",$F385=""),0,MAX(0,MIN($F385,EOMONTH(DATE(cfg_FY,12,1),0))-MAX($E385,DATE(cfg_FY,12,1))+1)*(1-IF($M385="نعم",0,N($J385))))</f>
        <v>0</v>
      </c>
      <c r="AH385" s="133" t="n">
        <f aca="false">IF(OR(OR($B385="",$E385="",$F385=""),$L385&lt;&gt;"لا"),0,MAX(0,MIN($F385,EOMONTH(DATE(cfg_FY,1,1),0))-$E385+1))</f>
        <v>0</v>
      </c>
      <c r="AI385" s="133" t="n">
        <f aca="false">IF(OR(OR($B385="",$E385="",$F385=""),$L385&lt;&gt;"لا"),0,MAX(0,MIN($F385,EOMONTH(DATE(cfg_FY,2,1),0))-$E385+1))</f>
        <v>0</v>
      </c>
      <c r="AJ385" s="133" t="n">
        <f aca="false">IF(OR(OR($B385="",$E385="",$F385=""),$L385&lt;&gt;"لا"),0,MAX(0,MIN($F385,EOMONTH(DATE(cfg_FY,3,1),0))-$E385+1))</f>
        <v>0</v>
      </c>
      <c r="AK385" s="133" t="n">
        <f aca="false">IF(OR(OR($B385="",$E385="",$F385=""),$L385&lt;&gt;"لا"),0,MAX(0,MIN($F385,EOMONTH(DATE(cfg_FY,4,1),0))-$E385+1))</f>
        <v>0</v>
      </c>
      <c r="AL385" s="133" t="n">
        <f aca="false">IF(OR(OR($B385="",$E385="",$F385=""),$L385&lt;&gt;"لا"),0,MAX(0,MIN($F385,EOMONTH(DATE(cfg_FY,5,1),0))-$E385+1))</f>
        <v>0</v>
      </c>
      <c r="AM385" s="133" t="n">
        <f aca="false">IF(OR(OR($B385="",$E385="",$F385=""),$L385&lt;&gt;"لا"),0,MAX(0,MIN($F385,EOMONTH(DATE(cfg_FY,6,1),0))-$E385+1))</f>
        <v>0</v>
      </c>
      <c r="AN385" s="133" t="n">
        <f aca="false">IF(OR(OR($B385="",$E385="",$F385=""),$L385&lt;&gt;"لا"),0,MAX(0,MIN($F385,EOMONTH(DATE(cfg_FY,7,1),0))-$E385+1))</f>
        <v>0</v>
      </c>
      <c r="AO385" s="133" t="n">
        <f aca="false">IF(OR(OR($B385="",$E385="",$F385=""),$L385&lt;&gt;"لا"),0,MAX(0,MIN($F385,EOMONTH(DATE(cfg_FY,8,1),0))-$E385+1))</f>
        <v>0</v>
      </c>
      <c r="AP385" s="133" t="n">
        <f aca="false">IF(OR(OR($B385="",$E385="",$F385=""),$L385&lt;&gt;"لا"),0,MAX(0,MIN($F385,EOMONTH(DATE(cfg_FY,9,1),0))-$E385+1))</f>
        <v>0</v>
      </c>
      <c r="AQ385" s="133" t="n">
        <f aca="false">IF(OR(OR($B385="",$E385="",$F385=""),$L385&lt;&gt;"لا"),0,MAX(0,MIN($F385,EOMONTH(DATE(cfg_FY,10,1),0))-$E385+1))</f>
        <v>0</v>
      </c>
      <c r="AR385" s="133" t="n">
        <f aca="false">IF(OR(OR($B385="",$E385="",$F385=""),$L385&lt;&gt;"لا"),0,MAX(0,MIN($F385,EOMONTH(DATE(cfg_FY,11,1),0))-$E385+1))</f>
        <v>0</v>
      </c>
      <c r="AS385" s="133" t="n">
        <f aca="false">IF(OR(OR($B385="",$E385="",$F385=""),$L385&lt;&gt;"لا"),0,MAX(0,MIN($F385,EOMONTH(DATE(cfg_FY,12,1),0))-$E385+1))</f>
        <v>0</v>
      </c>
      <c r="AT385" s="133" t="n">
        <f aca="false">IF(OR(OR($B385="",$E385="",$F385=""),$K385&lt;&gt;"نعم",$M385="نعم"),0,MAX(0,MIN($F385,EOMONTH(DATE(cfg_FY,1,1),0))-MAX($E385,DATE(cfg_FY,1,1))+1))</f>
        <v>0</v>
      </c>
      <c r="AU385" s="133" t="n">
        <f aca="false">IF(OR(OR($B385="",$E385="",$F385=""),$K385&lt;&gt;"نعم",$M385="نعم"),0,MAX(0,MIN($F385,EOMONTH(DATE(cfg_FY,2,1),0))-MAX($E385,DATE(cfg_FY,2,1))+1))</f>
        <v>0</v>
      </c>
      <c r="AV385" s="133" t="n">
        <f aca="false">IF(OR(OR($B385="",$E385="",$F385=""),$K385&lt;&gt;"نعم",$M385="نعم"),0,MAX(0,MIN($F385,EOMONTH(DATE(cfg_FY,3,1),0))-MAX($E385,DATE(cfg_FY,3,1))+1))</f>
        <v>0</v>
      </c>
      <c r="AW385" s="133" t="n">
        <f aca="false">IF(OR(OR($B385="",$E385="",$F385=""),$K385&lt;&gt;"نعم",$M385="نعم"),0,MAX(0,MIN($F385,EOMONTH(DATE(cfg_FY,4,1),0))-MAX($E385,DATE(cfg_FY,4,1))+1))</f>
        <v>0</v>
      </c>
      <c r="AX385" s="133" t="n">
        <f aca="false">IF(OR(OR($B385="",$E385="",$F385=""),$K385&lt;&gt;"نعم",$M385="نعم"),0,MAX(0,MIN($F385,EOMONTH(DATE(cfg_FY,5,1),0))-MAX($E385,DATE(cfg_FY,5,1))+1))</f>
        <v>0</v>
      </c>
      <c r="AY385" s="133" t="n">
        <f aca="false">IF(OR(OR($B385="",$E385="",$F385=""),$K385&lt;&gt;"نعم",$M385="نعم"),0,MAX(0,MIN($F385,EOMONTH(DATE(cfg_FY,6,1),0))-MAX($E385,DATE(cfg_FY,6,1))+1))</f>
        <v>0</v>
      </c>
      <c r="AZ385" s="133" t="n">
        <f aca="false">IF(OR(OR($B385="",$E385="",$F385=""),$K385&lt;&gt;"نعم",$M385="نعم"),0,MAX(0,MIN($F385,EOMONTH(DATE(cfg_FY,7,1),0))-MAX($E385,DATE(cfg_FY,7,1))+1))</f>
        <v>0</v>
      </c>
      <c r="BA385" s="133" t="n">
        <f aca="false">IF(OR(OR($B385="",$E385="",$F385=""),$K385&lt;&gt;"نعم",$M385="نعم"),0,MAX(0,MIN($F385,EOMONTH(DATE(cfg_FY,8,1),0))-MAX($E385,DATE(cfg_FY,8,1))+1))</f>
        <v>0</v>
      </c>
      <c r="BB385" s="133" t="n">
        <f aca="false">IF(OR(OR($B385="",$E385="",$F385=""),$K385&lt;&gt;"نعم",$M385="نعم"),0,MAX(0,MIN($F385,EOMONTH(DATE(cfg_FY,9,1),0))-MAX($E385,DATE(cfg_FY,9,1))+1))</f>
        <v>0</v>
      </c>
      <c r="BC385" s="133" t="n">
        <f aca="false">IF(OR(OR($B385="",$E385="",$F385=""),$K385&lt;&gt;"نعم",$M385="نعم"),0,MAX(0,MIN($F385,EOMONTH(DATE(cfg_FY,10,1),0))-MAX($E385,DATE(cfg_FY,10,1))+1))</f>
        <v>0</v>
      </c>
      <c r="BD385" s="133" t="n">
        <f aca="false">IF(OR(OR($B385="",$E385="",$F385=""),$K385&lt;&gt;"نعم",$M385="نعم"),0,MAX(0,MIN($F385,EOMONTH(DATE(cfg_FY,11,1),0))-MAX($E385,DATE(cfg_FY,11,1))+1))</f>
        <v>0</v>
      </c>
      <c r="BE385" s="133" t="n">
        <f aca="false">IF(OR(OR($B385="",$E385="",$F385=""),$K385&lt;&gt;"نعم",$M385="نعم"),0,MAX(0,MIN($F385,EOMONTH(DATE(cfg_FY,12,1),0))-MAX($E385,DATE(cfg_FY,12,1))+1))</f>
        <v>0</v>
      </c>
    </row>
    <row r="386" customFormat="false" ht="15" hidden="false" customHeight="false" outlineLevel="0" collapsed="false">
      <c r="A386" s="106" t="str">
        <f aca="false">IF(B386="","",ROW()-5)</f>
        <v/>
      </c>
      <c r="B386" s="118"/>
      <c r="C386" s="114" t="str">
        <f aca="false">IF(B386="","",IFERROR(INDEX(الموظفون!$C$6:$C$105,MATCH(B386,الموظفون!$B$6:$B$105,0)),"✖ رقم غير موجود"))</f>
        <v/>
      </c>
      <c r="D386" s="118"/>
      <c r="E386" s="119"/>
      <c r="F386" s="119"/>
      <c r="G386" s="65" t="str">
        <f aca="false">IF(OR($B386="",$E386="",$F386=""),"",MAX(0,F386-E386+1))</f>
        <v/>
      </c>
      <c r="H386" s="66" t="str">
        <f aca="false">IF(D386="","",IFERROR(VLOOKUP(D386,cfg_LT,2,FALSE()),1))</f>
        <v/>
      </c>
      <c r="I386" s="135"/>
      <c r="J386" s="66" t="str">
        <f aca="false">IF(D386="","",IF(I386&lt;&gt;"",I386,H386))</f>
        <v/>
      </c>
      <c r="K386" s="114" t="str">
        <f aca="false">IF(D386="","",IFERROR(VLOOKUP($D386,cfg_LT,3,FALSE()),""))</f>
        <v/>
      </c>
      <c r="L386" s="114" t="str">
        <f aca="false">IF(D386="","",IFERROR(VLOOKUP($D386,cfg_LT,4,FALSE()),""))</f>
        <v/>
      </c>
      <c r="M386" s="114" t="str">
        <f aca="false">IF(D386="","",IFERROR(VLOOKUP($D386,cfg_LT,5,FALSE()),""))</f>
        <v/>
      </c>
      <c r="N386" s="111" t="n">
        <f aca="false">IF(OR(OR($B386="",$E386="",$F386=""),M386&lt;&gt;"نعم"),0,G386*J386*IFERROR(INDEX(الموظفون!$R$6:$R$105,MATCH(B386,الموظفون!$B$6:$B$105,0)),0)/cfg_DAYS_M)</f>
        <v>0</v>
      </c>
      <c r="O386" s="106" t="str">
        <f aca="false">IF(OR(OR($B386="",$E386="",$F386=""),M386&lt;&gt;"نعم"),"",IF(YEAR(E386)=cfg_FY,MONTH(E386),""))</f>
        <v/>
      </c>
      <c r="P386" s="114" t="str">
        <f aca="false">IF(B386="","",IF(OR(D386="",E386="",F386=""),"⚠ أكمل النوع والتواريخ",IF(F386&lt;E386,"✖ النهاية قبل البداية",IF(COUNTIFS($B$6:$B$505,B386,$E$6:$E$505,"&lt;="&amp;F386,$F$6:$F$505,"&gt;="&amp;E386)&gt;1,"⚠ تداخل مع سجل آخر",IF(E386&gt;cfg_VAL_DATE,"⏳ قادمة",IF(F386&lt;cfg_VAL_DATE,"✔ منتهية","✈ جارية في تاريخ التقرير"))))))</f>
        <v/>
      </c>
      <c r="Q386" s="118"/>
      <c r="R386" s="65" t="n">
        <f aca="false">IF(OR(OR($B386="",$E386="",$F386=""),L386&lt;&gt;"لا"),0,MAX(0,MIN(F386,cfg_Y_START-1)-E386+1))</f>
        <v>0</v>
      </c>
      <c r="S386" s="65" t="n">
        <f aca="false">IF(OR(OR($B386="",$E386="",$F386=""),L386&lt;&gt;"لا"),0,MAX(0,MIN(F386,cfg_VAL_DATE)-E386+1))</f>
        <v>0</v>
      </c>
      <c r="T386" s="65" t="n">
        <f aca="false">IF(OR(OR($B386="",$E386="",$F386=""),K386&lt;&gt;"نعم"),0,IF(M386="نعم",IF(AND(ISNUMBER(O386),N(O386)&lt;=cfg_VAL_M),G386,0),MAX(0,MIN(F386,cfg_VAL_DATE)-MAX(E386,cfg_Y_START)+1)))</f>
        <v>0</v>
      </c>
      <c r="V386" s="65" t="n">
        <f aca="false">IF(OR($B386="",$E386="",$F386=""),0,MAX(0,MIN($F386,EOMONTH(DATE(cfg_FY,1,1),0))-MAX($E386,DATE(cfg_FY,1,1))+1)*(1-IF($M386="نعم",0,N($J386))))</f>
        <v>0</v>
      </c>
      <c r="W386" s="65" t="n">
        <f aca="false">IF(OR($B386="",$E386="",$F386=""),0,MAX(0,MIN($F386,EOMONTH(DATE(cfg_FY,2,1),0))-MAX($E386,DATE(cfg_FY,2,1))+1)*(1-IF($M386="نعم",0,N($J386))))</f>
        <v>0</v>
      </c>
      <c r="X386" s="65" t="n">
        <f aca="false">IF(OR($B386="",$E386="",$F386=""),0,MAX(0,MIN($F386,EOMONTH(DATE(cfg_FY,3,1),0))-MAX($E386,DATE(cfg_FY,3,1))+1)*(1-IF($M386="نعم",0,N($J386))))</f>
        <v>0</v>
      </c>
      <c r="Y386" s="65" t="n">
        <f aca="false">IF(OR($B386="",$E386="",$F386=""),0,MAX(0,MIN($F386,EOMONTH(DATE(cfg_FY,4,1),0))-MAX($E386,DATE(cfg_FY,4,1))+1)*(1-IF($M386="نعم",0,N($J386))))</f>
        <v>0</v>
      </c>
      <c r="Z386" s="65" t="n">
        <f aca="false">IF(OR($B386="",$E386="",$F386=""),0,MAX(0,MIN($F386,EOMONTH(DATE(cfg_FY,5,1),0))-MAX($E386,DATE(cfg_FY,5,1))+1)*(1-IF($M386="نعم",0,N($J386))))</f>
        <v>0</v>
      </c>
      <c r="AA386" s="65" t="n">
        <f aca="false">IF(OR($B386="",$E386="",$F386=""),0,MAX(0,MIN($F386,EOMONTH(DATE(cfg_FY,6,1),0))-MAX($E386,DATE(cfg_FY,6,1))+1)*(1-IF($M386="نعم",0,N($J386))))</f>
        <v>0</v>
      </c>
      <c r="AB386" s="65" t="n">
        <f aca="false">IF(OR($B386="",$E386="",$F386=""),0,MAX(0,MIN($F386,EOMONTH(DATE(cfg_FY,7,1),0))-MAX($E386,DATE(cfg_FY,7,1))+1)*(1-IF($M386="نعم",0,N($J386))))</f>
        <v>0</v>
      </c>
      <c r="AC386" s="65" t="n">
        <f aca="false">IF(OR($B386="",$E386="",$F386=""),0,MAX(0,MIN($F386,EOMONTH(DATE(cfg_FY,8,1),0))-MAX($E386,DATE(cfg_FY,8,1))+1)*(1-IF($M386="نعم",0,N($J386))))</f>
        <v>0</v>
      </c>
      <c r="AD386" s="65" t="n">
        <f aca="false">IF(OR($B386="",$E386="",$F386=""),0,MAX(0,MIN($F386,EOMONTH(DATE(cfg_FY,9,1),0))-MAX($E386,DATE(cfg_FY,9,1))+1)*(1-IF($M386="نعم",0,N($J386))))</f>
        <v>0</v>
      </c>
      <c r="AE386" s="65" t="n">
        <f aca="false">IF(OR($B386="",$E386="",$F386=""),0,MAX(0,MIN($F386,EOMONTH(DATE(cfg_FY,10,1),0))-MAX($E386,DATE(cfg_FY,10,1))+1)*(1-IF($M386="نعم",0,N($J386))))</f>
        <v>0</v>
      </c>
      <c r="AF386" s="65" t="n">
        <f aca="false">IF(OR($B386="",$E386="",$F386=""),0,MAX(0,MIN($F386,EOMONTH(DATE(cfg_FY,11,1),0))-MAX($E386,DATE(cfg_FY,11,1))+1)*(1-IF($M386="نعم",0,N($J386))))</f>
        <v>0</v>
      </c>
      <c r="AG386" s="65" t="n">
        <f aca="false">IF(OR($B386="",$E386="",$F386=""),0,MAX(0,MIN($F386,EOMONTH(DATE(cfg_FY,12,1),0))-MAX($E386,DATE(cfg_FY,12,1))+1)*(1-IF($M386="نعم",0,N($J386))))</f>
        <v>0</v>
      </c>
      <c r="AH386" s="65" t="n">
        <f aca="false">IF(OR(OR($B386="",$E386="",$F386=""),$L386&lt;&gt;"لا"),0,MAX(0,MIN($F386,EOMONTH(DATE(cfg_FY,1,1),0))-$E386+1))</f>
        <v>0</v>
      </c>
      <c r="AI386" s="65" t="n">
        <f aca="false">IF(OR(OR($B386="",$E386="",$F386=""),$L386&lt;&gt;"لا"),0,MAX(0,MIN($F386,EOMONTH(DATE(cfg_FY,2,1),0))-$E386+1))</f>
        <v>0</v>
      </c>
      <c r="AJ386" s="65" t="n">
        <f aca="false">IF(OR(OR($B386="",$E386="",$F386=""),$L386&lt;&gt;"لا"),0,MAX(0,MIN($F386,EOMONTH(DATE(cfg_FY,3,1),0))-$E386+1))</f>
        <v>0</v>
      </c>
      <c r="AK386" s="65" t="n">
        <f aca="false">IF(OR(OR($B386="",$E386="",$F386=""),$L386&lt;&gt;"لا"),0,MAX(0,MIN($F386,EOMONTH(DATE(cfg_FY,4,1),0))-$E386+1))</f>
        <v>0</v>
      </c>
      <c r="AL386" s="65" t="n">
        <f aca="false">IF(OR(OR($B386="",$E386="",$F386=""),$L386&lt;&gt;"لا"),0,MAX(0,MIN($F386,EOMONTH(DATE(cfg_FY,5,1),0))-$E386+1))</f>
        <v>0</v>
      </c>
      <c r="AM386" s="65" t="n">
        <f aca="false">IF(OR(OR($B386="",$E386="",$F386=""),$L386&lt;&gt;"لا"),0,MAX(0,MIN($F386,EOMONTH(DATE(cfg_FY,6,1),0))-$E386+1))</f>
        <v>0</v>
      </c>
      <c r="AN386" s="65" t="n">
        <f aca="false">IF(OR(OR($B386="",$E386="",$F386=""),$L386&lt;&gt;"لا"),0,MAX(0,MIN($F386,EOMONTH(DATE(cfg_FY,7,1),0))-$E386+1))</f>
        <v>0</v>
      </c>
      <c r="AO386" s="65" t="n">
        <f aca="false">IF(OR(OR($B386="",$E386="",$F386=""),$L386&lt;&gt;"لا"),0,MAX(0,MIN($F386,EOMONTH(DATE(cfg_FY,8,1),0))-$E386+1))</f>
        <v>0</v>
      </c>
      <c r="AP386" s="65" t="n">
        <f aca="false">IF(OR(OR($B386="",$E386="",$F386=""),$L386&lt;&gt;"لا"),0,MAX(0,MIN($F386,EOMONTH(DATE(cfg_FY,9,1),0))-$E386+1))</f>
        <v>0</v>
      </c>
      <c r="AQ386" s="65" t="n">
        <f aca="false">IF(OR(OR($B386="",$E386="",$F386=""),$L386&lt;&gt;"لا"),0,MAX(0,MIN($F386,EOMONTH(DATE(cfg_FY,10,1),0))-$E386+1))</f>
        <v>0</v>
      </c>
      <c r="AR386" s="65" t="n">
        <f aca="false">IF(OR(OR($B386="",$E386="",$F386=""),$L386&lt;&gt;"لا"),0,MAX(0,MIN($F386,EOMONTH(DATE(cfg_FY,11,1),0))-$E386+1))</f>
        <v>0</v>
      </c>
      <c r="AS386" s="65" t="n">
        <f aca="false">IF(OR(OR($B386="",$E386="",$F386=""),$L386&lt;&gt;"لا"),0,MAX(0,MIN($F386,EOMONTH(DATE(cfg_FY,12,1),0))-$E386+1))</f>
        <v>0</v>
      </c>
      <c r="AT386" s="65" t="n">
        <f aca="false">IF(OR(OR($B386="",$E386="",$F386=""),$K386&lt;&gt;"نعم",$M386="نعم"),0,MAX(0,MIN($F386,EOMONTH(DATE(cfg_FY,1,1),0))-MAX($E386,DATE(cfg_FY,1,1))+1))</f>
        <v>0</v>
      </c>
      <c r="AU386" s="65" t="n">
        <f aca="false">IF(OR(OR($B386="",$E386="",$F386=""),$K386&lt;&gt;"نعم",$M386="نعم"),0,MAX(0,MIN($F386,EOMONTH(DATE(cfg_FY,2,1),0))-MAX($E386,DATE(cfg_FY,2,1))+1))</f>
        <v>0</v>
      </c>
      <c r="AV386" s="65" t="n">
        <f aca="false">IF(OR(OR($B386="",$E386="",$F386=""),$K386&lt;&gt;"نعم",$M386="نعم"),0,MAX(0,MIN($F386,EOMONTH(DATE(cfg_FY,3,1),0))-MAX($E386,DATE(cfg_FY,3,1))+1))</f>
        <v>0</v>
      </c>
      <c r="AW386" s="65" t="n">
        <f aca="false">IF(OR(OR($B386="",$E386="",$F386=""),$K386&lt;&gt;"نعم",$M386="نعم"),0,MAX(0,MIN($F386,EOMONTH(DATE(cfg_FY,4,1),0))-MAX($E386,DATE(cfg_FY,4,1))+1))</f>
        <v>0</v>
      </c>
      <c r="AX386" s="65" t="n">
        <f aca="false">IF(OR(OR($B386="",$E386="",$F386=""),$K386&lt;&gt;"نعم",$M386="نعم"),0,MAX(0,MIN($F386,EOMONTH(DATE(cfg_FY,5,1),0))-MAX($E386,DATE(cfg_FY,5,1))+1))</f>
        <v>0</v>
      </c>
      <c r="AY386" s="65" t="n">
        <f aca="false">IF(OR(OR($B386="",$E386="",$F386=""),$K386&lt;&gt;"نعم",$M386="نعم"),0,MAX(0,MIN($F386,EOMONTH(DATE(cfg_FY,6,1),0))-MAX($E386,DATE(cfg_FY,6,1))+1))</f>
        <v>0</v>
      </c>
      <c r="AZ386" s="65" t="n">
        <f aca="false">IF(OR(OR($B386="",$E386="",$F386=""),$K386&lt;&gt;"نعم",$M386="نعم"),0,MAX(0,MIN($F386,EOMONTH(DATE(cfg_FY,7,1),0))-MAX($E386,DATE(cfg_FY,7,1))+1))</f>
        <v>0</v>
      </c>
      <c r="BA386" s="65" t="n">
        <f aca="false">IF(OR(OR($B386="",$E386="",$F386=""),$K386&lt;&gt;"نعم",$M386="نعم"),0,MAX(0,MIN($F386,EOMONTH(DATE(cfg_FY,8,1),0))-MAX($E386,DATE(cfg_FY,8,1))+1))</f>
        <v>0</v>
      </c>
      <c r="BB386" s="65" t="n">
        <f aca="false">IF(OR(OR($B386="",$E386="",$F386=""),$K386&lt;&gt;"نعم",$M386="نعم"),0,MAX(0,MIN($F386,EOMONTH(DATE(cfg_FY,9,1),0))-MAX($E386,DATE(cfg_FY,9,1))+1))</f>
        <v>0</v>
      </c>
      <c r="BC386" s="65" t="n">
        <f aca="false">IF(OR(OR($B386="",$E386="",$F386=""),$K386&lt;&gt;"نعم",$M386="نعم"),0,MAX(0,MIN($F386,EOMONTH(DATE(cfg_FY,10,1),0))-MAX($E386,DATE(cfg_FY,10,1))+1))</f>
        <v>0</v>
      </c>
      <c r="BD386" s="65" t="n">
        <f aca="false">IF(OR(OR($B386="",$E386="",$F386=""),$K386&lt;&gt;"نعم",$M386="نعم"),0,MAX(0,MIN($F386,EOMONTH(DATE(cfg_FY,11,1),0))-MAX($E386,DATE(cfg_FY,11,1))+1))</f>
        <v>0</v>
      </c>
      <c r="BE386" s="65" t="n">
        <f aca="false">IF(OR(OR($B386="",$E386="",$F386=""),$K386&lt;&gt;"نعم",$M386="نعم"),0,MAX(0,MIN($F386,EOMONTH(DATE(cfg_FY,12,1),0))-MAX($E386,DATE(cfg_FY,12,1))+1))</f>
        <v>0</v>
      </c>
    </row>
    <row r="387" customFormat="false" ht="15" hidden="false" customHeight="false" outlineLevel="0" collapsed="false">
      <c r="A387" s="115" t="str">
        <f aca="false">IF(B387="","",ROW()-5)</f>
        <v/>
      </c>
      <c r="B387" s="118"/>
      <c r="C387" s="117" t="str">
        <f aca="false">IF(B387="","",IFERROR(INDEX(الموظفون!$C$6:$C$105,MATCH(B387,الموظفون!$B$6:$B$105,0)),"✖ رقم غير موجود"))</f>
        <v/>
      </c>
      <c r="D387" s="118"/>
      <c r="E387" s="119"/>
      <c r="F387" s="119"/>
      <c r="G387" s="133" t="str">
        <f aca="false">IF(OR($B387="",$E387="",$F387=""),"",MAX(0,F387-E387+1))</f>
        <v/>
      </c>
      <c r="H387" s="134" t="str">
        <f aca="false">IF(D387="","",IFERROR(VLOOKUP(D387,cfg_LT,2,FALSE()),1))</f>
        <v/>
      </c>
      <c r="I387" s="135"/>
      <c r="J387" s="134" t="str">
        <f aca="false">IF(D387="","",IF(I387&lt;&gt;"",I387,H387))</f>
        <v/>
      </c>
      <c r="K387" s="117" t="str">
        <f aca="false">IF(D387="","",IFERROR(VLOOKUP($D387,cfg_LT,3,FALSE()),""))</f>
        <v/>
      </c>
      <c r="L387" s="117" t="str">
        <f aca="false">IF(D387="","",IFERROR(VLOOKUP($D387,cfg_LT,4,FALSE()),""))</f>
        <v/>
      </c>
      <c r="M387" s="117" t="str">
        <f aca="false">IF(D387="","",IFERROR(VLOOKUP($D387,cfg_LT,5,FALSE()),""))</f>
        <v/>
      </c>
      <c r="N387" s="116" t="n">
        <f aca="false">IF(OR(OR($B387="",$E387="",$F387=""),M387&lt;&gt;"نعم"),0,G387*J387*IFERROR(INDEX(الموظفون!$R$6:$R$105,MATCH(B387,الموظفون!$B$6:$B$105,0)),0)/cfg_DAYS_M)</f>
        <v>0</v>
      </c>
      <c r="O387" s="115" t="str">
        <f aca="false">IF(OR(OR($B387="",$E387="",$F387=""),M387&lt;&gt;"نعم"),"",IF(YEAR(E387)=cfg_FY,MONTH(E387),""))</f>
        <v/>
      </c>
      <c r="P387" s="117" t="str">
        <f aca="false">IF(B387="","",IF(OR(D387="",E387="",F387=""),"⚠ أكمل النوع والتواريخ",IF(F387&lt;E387,"✖ النهاية قبل البداية",IF(COUNTIFS($B$6:$B$505,B387,$E$6:$E$505,"&lt;="&amp;F387,$F$6:$F$505,"&gt;="&amp;E387)&gt;1,"⚠ تداخل مع سجل آخر",IF(E387&gt;cfg_VAL_DATE,"⏳ قادمة",IF(F387&lt;cfg_VAL_DATE,"✔ منتهية","✈ جارية في تاريخ التقرير"))))))</f>
        <v/>
      </c>
      <c r="Q387" s="118"/>
      <c r="R387" s="133" t="n">
        <f aca="false">IF(OR(OR($B387="",$E387="",$F387=""),L387&lt;&gt;"لا"),0,MAX(0,MIN(F387,cfg_Y_START-1)-E387+1))</f>
        <v>0</v>
      </c>
      <c r="S387" s="133" t="n">
        <f aca="false">IF(OR(OR($B387="",$E387="",$F387=""),L387&lt;&gt;"لا"),0,MAX(0,MIN(F387,cfg_VAL_DATE)-E387+1))</f>
        <v>0</v>
      </c>
      <c r="T387" s="133" t="n">
        <f aca="false">IF(OR(OR($B387="",$E387="",$F387=""),K387&lt;&gt;"نعم"),0,IF(M387="نعم",IF(AND(ISNUMBER(O387),N(O387)&lt;=cfg_VAL_M),G387,0),MAX(0,MIN(F387,cfg_VAL_DATE)-MAX(E387,cfg_Y_START)+1)))</f>
        <v>0</v>
      </c>
      <c r="V387" s="133" t="n">
        <f aca="false">IF(OR($B387="",$E387="",$F387=""),0,MAX(0,MIN($F387,EOMONTH(DATE(cfg_FY,1,1),0))-MAX($E387,DATE(cfg_FY,1,1))+1)*(1-IF($M387="نعم",0,N($J387))))</f>
        <v>0</v>
      </c>
      <c r="W387" s="133" t="n">
        <f aca="false">IF(OR($B387="",$E387="",$F387=""),0,MAX(0,MIN($F387,EOMONTH(DATE(cfg_FY,2,1),0))-MAX($E387,DATE(cfg_FY,2,1))+1)*(1-IF($M387="نعم",0,N($J387))))</f>
        <v>0</v>
      </c>
      <c r="X387" s="133" t="n">
        <f aca="false">IF(OR($B387="",$E387="",$F387=""),0,MAX(0,MIN($F387,EOMONTH(DATE(cfg_FY,3,1),0))-MAX($E387,DATE(cfg_FY,3,1))+1)*(1-IF($M387="نعم",0,N($J387))))</f>
        <v>0</v>
      </c>
      <c r="Y387" s="133" t="n">
        <f aca="false">IF(OR($B387="",$E387="",$F387=""),0,MAX(0,MIN($F387,EOMONTH(DATE(cfg_FY,4,1),0))-MAX($E387,DATE(cfg_FY,4,1))+1)*(1-IF($M387="نعم",0,N($J387))))</f>
        <v>0</v>
      </c>
      <c r="Z387" s="133" t="n">
        <f aca="false">IF(OR($B387="",$E387="",$F387=""),0,MAX(0,MIN($F387,EOMONTH(DATE(cfg_FY,5,1),0))-MAX($E387,DATE(cfg_FY,5,1))+1)*(1-IF($M387="نعم",0,N($J387))))</f>
        <v>0</v>
      </c>
      <c r="AA387" s="133" t="n">
        <f aca="false">IF(OR($B387="",$E387="",$F387=""),0,MAX(0,MIN($F387,EOMONTH(DATE(cfg_FY,6,1),0))-MAX($E387,DATE(cfg_FY,6,1))+1)*(1-IF($M387="نعم",0,N($J387))))</f>
        <v>0</v>
      </c>
      <c r="AB387" s="133" t="n">
        <f aca="false">IF(OR($B387="",$E387="",$F387=""),0,MAX(0,MIN($F387,EOMONTH(DATE(cfg_FY,7,1),0))-MAX($E387,DATE(cfg_FY,7,1))+1)*(1-IF($M387="نعم",0,N($J387))))</f>
        <v>0</v>
      </c>
      <c r="AC387" s="133" t="n">
        <f aca="false">IF(OR($B387="",$E387="",$F387=""),0,MAX(0,MIN($F387,EOMONTH(DATE(cfg_FY,8,1),0))-MAX($E387,DATE(cfg_FY,8,1))+1)*(1-IF($M387="نعم",0,N($J387))))</f>
        <v>0</v>
      </c>
      <c r="AD387" s="133" t="n">
        <f aca="false">IF(OR($B387="",$E387="",$F387=""),0,MAX(0,MIN($F387,EOMONTH(DATE(cfg_FY,9,1),0))-MAX($E387,DATE(cfg_FY,9,1))+1)*(1-IF($M387="نعم",0,N($J387))))</f>
        <v>0</v>
      </c>
      <c r="AE387" s="133" t="n">
        <f aca="false">IF(OR($B387="",$E387="",$F387=""),0,MAX(0,MIN($F387,EOMONTH(DATE(cfg_FY,10,1),0))-MAX($E387,DATE(cfg_FY,10,1))+1)*(1-IF($M387="نعم",0,N($J387))))</f>
        <v>0</v>
      </c>
      <c r="AF387" s="133" t="n">
        <f aca="false">IF(OR($B387="",$E387="",$F387=""),0,MAX(0,MIN($F387,EOMONTH(DATE(cfg_FY,11,1),0))-MAX($E387,DATE(cfg_FY,11,1))+1)*(1-IF($M387="نعم",0,N($J387))))</f>
        <v>0</v>
      </c>
      <c r="AG387" s="133" t="n">
        <f aca="false">IF(OR($B387="",$E387="",$F387=""),0,MAX(0,MIN($F387,EOMONTH(DATE(cfg_FY,12,1),0))-MAX($E387,DATE(cfg_FY,12,1))+1)*(1-IF($M387="نعم",0,N($J387))))</f>
        <v>0</v>
      </c>
      <c r="AH387" s="133" t="n">
        <f aca="false">IF(OR(OR($B387="",$E387="",$F387=""),$L387&lt;&gt;"لا"),0,MAX(0,MIN($F387,EOMONTH(DATE(cfg_FY,1,1),0))-$E387+1))</f>
        <v>0</v>
      </c>
      <c r="AI387" s="133" t="n">
        <f aca="false">IF(OR(OR($B387="",$E387="",$F387=""),$L387&lt;&gt;"لا"),0,MAX(0,MIN($F387,EOMONTH(DATE(cfg_FY,2,1),0))-$E387+1))</f>
        <v>0</v>
      </c>
      <c r="AJ387" s="133" t="n">
        <f aca="false">IF(OR(OR($B387="",$E387="",$F387=""),$L387&lt;&gt;"لا"),0,MAX(0,MIN($F387,EOMONTH(DATE(cfg_FY,3,1),0))-$E387+1))</f>
        <v>0</v>
      </c>
      <c r="AK387" s="133" t="n">
        <f aca="false">IF(OR(OR($B387="",$E387="",$F387=""),$L387&lt;&gt;"لا"),0,MAX(0,MIN($F387,EOMONTH(DATE(cfg_FY,4,1),0))-$E387+1))</f>
        <v>0</v>
      </c>
      <c r="AL387" s="133" t="n">
        <f aca="false">IF(OR(OR($B387="",$E387="",$F387=""),$L387&lt;&gt;"لا"),0,MAX(0,MIN($F387,EOMONTH(DATE(cfg_FY,5,1),0))-$E387+1))</f>
        <v>0</v>
      </c>
      <c r="AM387" s="133" t="n">
        <f aca="false">IF(OR(OR($B387="",$E387="",$F387=""),$L387&lt;&gt;"لا"),0,MAX(0,MIN($F387,EOMONTH(DATE(cfg_FY,6,1),0))-$E387+1))</f>
        <v>0</v>
      </c>
      <c r="AN387" s="133" t="n">
        <f aca="false">IF(OR(OR($B387="",$E387="",$F387=""),$L387&lt;&gt;"لا"),0,MAX(0,MIN($F387,EOMONTH(DATE(cfg_FY,7,1),0))-$E387+1))</f>
        <v>0</v>
      </c>
      <c r="AO387" s="133" t="n">
        <f aca="false">IF(OR(OR($B387="",$E387="",$F387=""),$L387&lt;&gt;"لا"),0,MAX(0,MIN($F387,EOMONTH(DATE(cfg_FY,8,1),0))-$E387+1))</f>
        <v>0</v>
      </c>
      <c r="AP387" s="133" t="n">
        <f aca="false">IF(OR(OR($B387="",$E387="",$F387=""),$L387&lt;&gt;"لا"),0,MAX(0,MIN($F387,EOMONTH(DATE(cfg_FY,9,1),0))-$E387+1))</f>
        <v>0</v>
      </c>
      <c r="AQ387" s="133" t="n">
        <f aca="false">IF(OR(OR($B387="",$E387="",$F387=""),$L387&lt;&gt;"لا"),0,MAX(0,MIN($F387,EOMONTH(DATE(cfg_FY,10,1),0))-$E387+1))</f>
        <v>0</v>
      </c>
      <c r="AR387" s="133" t="n">
        <f aca="false">IF(OR(OR($B387="",$E387="",$F387=""),$L387&lt;&gt;"لا"),0,MAX(0,MIN($F387,EOMONTH(DATE(cfg_FY,11,1),0))-$E387+1))</f>
        <v>0</v>
      </c>
      <c r="AS387" s="133" t="n">
        <f aca="false">IF(OR(OR($B387="",$E387="",$F387=""),$L387&lt;&gt;"لا"),0,MAX(0,MIN($F387,EOMONTH(DATE(cfg_FY,12,1),0))-$E387+1))</f>
        <v>0</v>
      </c>
      <c r="AT387" s="133" t="n">
        <f aca="false">IF(OR(OR($B387="",$E387="",$F387=""),$K387&lt;&gt;"نعم",$M387="نعم"),0,MAX(0,MIN($F387,EOMONTH(DATE(cfg_FY,1,1),0))-MAX($E387,DATE(cfg_FY,1,1))+1))</f>
        <v>0</v>
      </c>
      <c r="AU387" s="133" t="n">
        <f aca="false">IF(OR(OR($B387="",$E387="",$F387=""),$K387&lt;&gt;"نعم",$M387="نعم"),0,MAX(0,MIN($F387,EOMONTH(DATE(cfg_FY,2,1),0))-MAX($E387,DATE(cfg_FY,2,1))+1))</f>
        <v>0</v>
      </c>
      <c r="AV387" s="133" t="n">
        <f aca="false">IF(OR(OR($B387="",$E387="",$F387=""),$K387&lt;&gt;"نعم",$M387="نعم"),0,MAX(0,MIN($F387,EOMONTH(DATE(cfg_FY,3,1),0))-MAX($E387,DATE(cfg_FY,3,1))+1))</f>
        <v>0</v>
      </c>
      <c r="AW387" s="133" t="n">
        <f aca="false">IF(OR(OR($B387="",$E387="",$F387=""),$K387&lt;&gt;"نعم",$M387="نعم"),0,MAX(0,MIN($F387,EOMONTH(DATE(cfg_FY,4,1),0))-MAX($E387,DATE(cfg_FY,4,1))+1))</f>
        <v>0</v>
      </c>
      <c r="AX387" s="133" t="n">
        <f aca="false">IF(OR(OR($B387="",$E387="",$F387=""),$K387&lt;&gt;"نعم",$M387="نعم"),0,MAX(0,MIN($F387,EOMONTH(DATE(cfg_FY,5,1),0))-MAX($E387,DATE(cfg_FY,5,1))+1))</f>
        <v>0</v>
      </c>
      <c r="AY387" s="133" t="n">
        <f aca="false">IF(OR(OR($B387="",$E387="",$F387=""),$K387&lt;&gt;"نعم",$M387="نعم"),0,MAX(0,MIN($F387,EOMONTH(DATE(cfg_FY,6,1),0))-MAX($E387,DATE(cfg_FY,6,1))+1))</f>
        <v>0</v>
      </c>
      <c r="AZ387" s="133" t="n">
        <f aca="false">IF(OR(OR($B387="",$E387="",$F387=""),$K387&lt;&gt;"نعم",$M387="نعم"),0,MAX(0,MIN($F387,EOMONTH(DATE(cfg_FY,7,1),0))-MAX($E387,DATE(cfg_FY,7,1))+1))</f>
        <v>0</v>
      </c>
      <c r="BA387" s="133" t="n">
        <f aca="false">IF(OR(OR($B387="",$E387="",$F387=""),$K387&lt;&gt;"نعم",$M387="نعم"),0,MAX(0,MIN($F387,EOMONTH(DATE(cfg_FY,8,1),0))-MAX($E387,DATE(cfg_FY,8,1))+1))</f>
        <v>0</v>
      </c>
      <c r="BB387" s="133" t="n">
        <f aca="false">IF(OR(OR($B387="",$E387="",$F387=""),$K387&lt;&gt;"نعم",$M387="نعم"),0,MAX(0,MIN($F387,EOMONTH(DATE(cfg_FY,9,1),0))-MAX($E387,DATE(cfg_FY,9,1))+1))</f>
        <v>0</v>
      </c>
      <c r="BC387" s="133" t="n">
        <f aca="false">IF(OR(OR($B387="",$E387="",$F387=""),$K387&lt;&gt;"نعم",$M387="نعم"),0,MAX(0,MIN($F387,EOMONTH(DATE(cfg_FY,10,1),0))-MAX($E387,DATE(cfg_FY,10,1))+1))</f>
        <v>0</v>
      </c>
      <c r="BD387" s="133" t="n">
        <f aca="false">IF(OR(OR($B387="",$E387="",$F387=""),$K387&lt;&gt;"نعم",$M387="نعم"),0,MAX(0,MIN($F387,EOMONTH(DATE(cfg_FY,11,1),0))-MAX($E387,DATE(cfg_FY,11,1))+1))</f>
        <v>0</v>
      </c>
      <c r="BE387" s="133" t="n">
        <f aca="false">IF(OR(OR($B387="",$E387="",$F387=""),$K387&lt;&gt;"نعم",$M387="نعم"),0,MAX(0,MIN($F387,EOMONTH(DATE(cfg_FY,12,1),0))-MAX($E387,DATE(cfg_FY,12,1))+1))</f>
        <v>0</v>
      </c>
    </row>
    <row r="388" customFormat="false" ht="15" hidden="false" customHeight="false" outlineLevel="0" collapsed="false">
      <c r="A388" s="106" t="str">
        <f aca="false">IF(B388="","",ROW()-5)</f>
        <v/>
      </c>
      <c r="B388" s="118"/>
      <c r="C388" s="114" t="str">
        <f aca="false">IF(B388="","",IFERROR(INDEX(الموظفون!$C$6:$C$105,MATCH(B388,الموظفون!$B$6:$B$105,0)),"✖ رقم غير موجود"))</f>
        <v/>
      </c>
      <c r="D388" s="118"/>
      <c r="E388" s="119"/>
      <c r="F388" s="119"/>
      <c r="G388" s="65" t="str">
        <f aca="false">IF(OR($B388="",$E388="",$F388=""),"",MAX(0,F388-E388+1))</f>
        <v/>
      </c>
      <c r="H388" s="66" t="str">
        <f aca="false">IF(D388="","",IFERROR(VLOOKUP(D388,cfg_LT,2,FALSE()),1))</f>
        <v/>
      </c>
      <c r="I388" s="135"/>
      <c r="J388" s="66" t="str">
        <f aca="false">IF(D388="","",IF(I388&lt;&gt;"",I388,H388))</f>
        <v/>
      </c>
      <c r="K388" s="114" t="str">
        <f aca="false">IF(D388="","",IFERROR(VLOOKUP($D388,cfg_LT,3,FALSE()),""))</f>
        <v/>
      </c>
      <c r="L388" s="114" t="str">
        <f aca="false">IF(D388="","",IFERROR(VLOOKUP($D388,cfg_LT,4,FALSE()),""))</f>
        <v/>
      </c>
      <c r="M388" s="114" t="str">
        <f aca="false">IF(D388="","",IFERROR(VLOOKUP($D388,cfg_LT,5,FALSE()),""))</f>
        <v/>
      </c>
      <c r="N388" s="111" t="n">
        <f aca="false">IF(OR(OR($B388="",$E388="",$F388=""),M388&lt;&gt;"نعم"),0,G388*J388*IFERROR(INDEX(الموظفون!$R$6:$R$105,MATCH(B388,الموظفون!$B$6:$B$105,0)),0)/cfg_DAYS_M)</f>
        <v>0</v>
      </c>
      <c r="O388" s="106" t="str">
        <f aca="false">IF(OR(OR($B388="",$E388="",$F388=""),M388&lt;&gt;"نعم"),"",IF(YEAR(E388)=cfg_FY,MONTH(E388),""))</f>
        <v/>
      </c>
      <c r="P388" s="114" t="str">
        <f aca="false">IF(B388="","",IF(OR(D388="",E388="",F388=""),"⚠ أكمل النوع والتواريخ",IF(F388&lt;E388,"✖ النهاية قبل البداية",IF(COUNTIFS($B$6:$B$505,B388,$E$6:$E$505,"&lt;="&amp;F388,$F$6:$F$505,"&gt;="&amp;E388)&gt;1,"⚠ تداخل مع سجل آخر",IF(E388&gt;cfg_VAL_DATE,"⏳ قادمة",IF(F388&lt;cfg_VAL_DATE,"✔ منتهية","✈ جارية في تاريخ التقرير"))))))</f>
        <v/>
      </c>
      <c r="Q388" s="118"/>
      <c r="R388" s="65" t="n">
        <f aca="false">IF(OR(OR($B388="",$E388="",$F388=""),L388&lt;&gt;"لا"),0,MAX(0,MIN(F388,cfg_Y_START-1)-E388+1))</f>
        <v>0</v>
      </c>
      <c r="S388" s="65" t="n">
        <f aca="false">IF(OR(OR($B388="",$E388="",$F388=""),L388&lt;&gt;"لا"),0,MAX(0,MIN(F388,cfg_VAL_DATE)-E388+1))</f>
        <v>0</v>
      </c>
      <c r="T388" s="65" t="n">
        <f aca="false">IF(OR(OR($B388="",$E388="",$F388=""),K388&lt;&gt;"نعم"),0,IF(M388="نعم",IF(AND(ISNUMBER(O388),N(O388)&lt;=cfg_VAL_M),G388,0),MAX(0,MIN(F388,cfg_VAL_DATE)-MAX(E388,cfg_Y_START)+1)))</f>
        <v>0</v>
      </c>
      <c r="V388" s="65" t="n">
        <f aca="false">IF(OR($B388="",$E388="",$F388=""),0,MAX(0,MIN($F388,EOMONTH(DATE(cfg_FY,1,1),0))-MAX($E388,DATE(cfg_FY,1,1))+1)*(1-IF($M388="نعم",0,N($J388))))</f>
        <v>0</v>
      </c>
      <c r="W388" s="65" t="n">
        <f aca="false">IF(OR($B388="",$E388="",$F388=""),0,MAX(0,MIN($F388,EOMONTH(DATE(cfg_FY,2,1),0))-MAX($E388,DATE(cfg_FY,2,1))+1)*(1-IF($M388="نعم",0,N($J388))))</f>
        <v>0</v>
      </c>
      <c r="X388" s="65" t="n">
        <f aca="false">IF(OR($B388="",$E388="",$F388=""),0,MAX(0,MIN($F388,EOMONTH(DATE(cfg_FY,3,1),0))-MAX($E388,DATE(cfg_FY,3,1))+1)*(1-IF($M388="نعم",0,N($J388))))</f>
        <v>0</v>
      </c>
      <c r="Y388" s="65" t="n">
        <f aca="false">IF(OR($B388="",$E388="",$F388=""),0,MAX(0,MIN($F388,EOMONTH(DATE(cfg_FY,4,1),0))-MAX($E388,DATE(cfg_FY,4,1))+1)*(1-IF($M388="نعم",0,N($J388))))</f>
        <v>0</v>
      </c>
      <c r="Z388" s="65" t="n">
        <f aca="false">IF(OR($B388="",$E388="",$F388=""),0,MAX(0,MIN($F388,EOMONTH(DATE(cfg_FY,5,1),0))-MAX($E388,DATE(cfg_FY,5,1))+1)*(1-IF($M388="نعم",0,N($J388))))</f>
        <v>0</v>
      </c>
      <c r="AA388" s="65" t="n">
        <f aca="false">IF(OR($B388="",$E388="",$F388=""),0,MAX(0,MIN($F388,EOMONTH(DATE(cfg_FY,6,1),0))-MAX($E388,DATE(cfg_FY,6,1))+1)*(1-IF($M388="نعم",0,N($J388))))</f>
        <v>0</v>
      </c>
      <c r="AB388" s="65" t="n">
        <f aca="false">IF(OR($B388="",$E388="",$F388=""),0,MAX(0,MIN($F388,EOMONTH(DATE(cfg_FY,7,1),0))-MAX($E388,DATE(cfg_FY,7,1))+1)*(1-IF($M388="نعم",0,N($J388))))</f>
        <v>0</v>
      </c>
      <c r="AC388" s="65" t="n">
        <f aca="false">IF(OR($B388="",$E388="",$F388=""),0,MAX(0,MIN($F388,EOMONTH(DATE(cfg_FY,8,1),0))-MAX($E388,DATE(cfg_FY,8,1))+1)*(1-IF($M388="نعم",0,N($J388))))</f>
        <v>0</v>
      </c>
      <c r="AD388" s="65" t="n">
        <f aca="false">IF(OR($B388="",$E388="",$F388=""),0,MAX(0,MIN($F388,EOMONTH(DATE(cfg_FY,9,1),0))-MAX($E388,DATE(cfg_FY,9,1))+1)*(1-IF($M388="نعم",0,N($J388))))</f>
        <v>0</v>
      </c>
      <c r="AE388" s="65" t="n">
        <f aca="false">IF(OR($B388="",$E388="",$F388=""),0,MAX(0,MIN($F388,EOMONTH(DATE(cfg_FY,10,1),0))-MAX($E388,DATE(cfg_FY,10,1))+1)*(1-IF($M388="نعم",0,N($J388))))</f>
        <v>0</v>
      </c>
      <c r="AF388" s="65" t="n">
        <f aca="false">IF(OR($B388="",$E388="",$F388=""),0,MAX(0,MIN($F388,EOMONTH(DATE(cfg_FY,11,1),0))-MAX($E388,DATE(cfg_FY,11,1))+1)*(1-IF($M388="نعم",0,N($J388))))</f>
        <v>0</v>
      </c>
      <c r="AG388" s="65" t="n">
        <f aca="false">IF(OR($B388="",$E388="",$F388=""),0,MAX(0,MIN($F388,EOMONTH(DATE(cfg_FY,12,1),0))-MAX($E388,DATE(cfg_FY,12,1))+1)*(1-IF($M388="نعم",0,N($J388))))</f>
        <v>0</v>
      </c>
      <c r="AH388" s="65" t="n">
        <f aca="false">IF(OR(OR($B388="",$E388="",$F388=""),$L388&lt;&gt;"لا"),0,MAX(0,MIN($F388,EOMONTH(DATE(cfg_FY,1,1),0))-$E388+1))</f>
        <v>0</v>
      </c>
      <c r="AI388" s="65" t="n">
        <f aca="false">IF(OR(OR($B388="",$E388="",$F388=""),$L388&lt;&gt;"لا"),0,MAX(0,MIN($F388,EOMONTH(DATE(cfg_FY,2,1),0))-$E388+1))</f>
        <v>0</v>
      </c>
      <c r="AJ388" s="65" t="n">
        <f aca="false">IF(OR(OR($B388="",$E388="",$F388=""),$L388&lt;&gt;"لا"),0,MAX(0,MIN($F388,EOMONTH(DATE(cfg_FY,3,1),0))-$E388+1))</f>
        <v>0</v>
      </c>
      <c r="AK388" s="65" t="n">
        <f aca="false">IF(OR(OR($B388="",$E388="",$F388=""),$L388&lt;&gt;"لا"),0,MAX(0,MIN($F388,EOMONTH(DATE(cfg_FY,4,1),0))-$E388+1))</f>
        <v>0</v>
      </c>
      <c r="AL388" s="65" t="n">
        <f aca="false">IF(OR(OR($B388="",$E388="",$F388=""),$L388&lt;&gt;"لا"),0,MAX(0,MIN($F388,EOMONTH(DATE(cfg_FY,5,1),0))-$E388+1))</f>
        <v>0</v>
      </c>
      <c r="AM388" s="65" t="n">
        <f aca="false">IF(OR(OR($B388="",$E388="",$F388=""),$L388&lt;&gt;"لا"),0,MAX(0,MIN($F388,EOMONTH(DATE(cfg_FY,6,1),0))-$E388+1))</f>
        <v>0</v>
      </c>
      <c r="AN388" s="65" t="n">
        <f aca="false">IF(OR(OR($B388="",$E388="",$F388=""),$L388&lt;&gt;"لا"),0,MAX(0,MIN($F388,EOMONTH(DATE(cfg_FY,7,1),0))-$E388+1))</f>
        <v>0</v>
      </c>
      <c r="AO388" s="65" t="n">
        <f aca="false">IF(OR(OR($B388="",$E388="",$F388=""),$L388&lt;&gt;"لا"),0,MAX(0,MIN($F388,EOMONTH(DATE(cfg_FY,8,1),0))-$E388+1))</f>
        <v>0</v>
      </c>
      <c r="AP388" s="65" t="n">
        <f aca="false">IF(OR(OR($B388="",$E388="",$F388=""),$L388&lt;&gt;"لا"),0,MAX(0,MIN($F388,EOMONTH(DATE(cfg_FY,9,1),0))-$E388+1))</f>
        <v>0</v>
      </c>
      <c r="AQ388" s="65" t="n">
        <f aca="false">IF(OR(OR($B388="",$E388="",$F388=""),$L388&lt;&gt;"لا"),0,MAX(0,MIN($F388,EOMONTH(DATE(cfg_FY,10,1),0))-$E388+1))</f>
        <v>0</v>
      </c>
      <c r="AR388" s="65" t="n">
        <f aca="false">IF(OR(OR($B388="",$E388="",$F388=""),$L388&lt;&gt;"لا"),0,MAX(0,MIN($F388,EOMONTH(DATE(cfg_FY,11,1),0))-$E388+1))</f>
        <v>0</v>
      </c>
      <c r="AS388" s="65" t="n">
        <f aca="false">IF(OR(OR($B388="",$E388="",$F388=""),$L388&lt;&gt;"لا"),0,MAX(0,MIN($F388,EOMONTH(DATE(cfg_FY,12,1),0))-$E388+1))</f>
        <v>0</v>
      </c>
      <c r="AT388" s="65" t="n">
        <f aca="false">IF(OR(OR($B388="",$E388="",$F388=""),$K388&lt;&gt;"نعم",$M388="نعم"),0,MAX(0,MIN($F388,EOMONTH(DATE(cfg_FY,1,1),0))-MAX($E388,DATE(cfg_FY,1,1))+1))</f>
        <v>0</v>
      </c>
      <c r="AU388" s="65" t="n">
        <f aca="false">IF(OR(OR($B388="",$E388="",$F388=""),$K388&lt;&gt;"نعم",$M388="نعم"),0,MAX(0,MIN($F388,EOMONTH(DATE(cfg_FY,2,1),0))-MAX($E388,DATE(cfg_FY,2,1))+1))</f>
        <v>0</v>
      </c>
      <c r="AV388" s="65" t="n">
        <f aca="false">IF(OR(OR($B388="",$E388="",$F388=""),$K388&lt;&gt;"نعم",$M388="نعم"),0,MAX(0,MIN($F388,EOMONTH(DATE(cfg_FY,3,1),0))-MAX($E388,DATE(cfg_FY,3,1))+1))</f>
        <v>0</v>
      </c>
      <c r="AW388" s="65" t="n">
        <f aca="false">IF(OR(OR($B388="",$E388="",$F388=""),$K388&lt;&gt;"نعم",$M388="نعم"),0,MAX(0,MIN($F388,EOMONTH(DATE(cfg_FY,4,1),0))-MAX($E388,DATE(cfg_FY,4,1))+1))</f>
        <v>0</v>
      </c>
      <c r="AX388" s="65" t="n">
        <f aca="false">IF(OR(OR($B388="",$E388="",$F388=""),$K388&lt;&gt;"نعم",$M388="نعم"),0,MAX(0,MIN($F388,EOMONTH(DATE(cfg_FY,5,1),0))-MAX($E388,DATE(cfg_FY,5,1))+1))</f>
        <v>0</v>
      </c>
      <c r="AY388" s="65" t="n">
        <f aca="false">IF(OR(OR($B388="",$E388="",$F388=""),$K388&lt;&gt;"نعم",$M388="نعم"),0,MAX(0,MIN($F388,EOMONTH(DATE(cfg_FY,6,1),0))-MAX($E388,DATE(cfg_FY,6,1))+1))</f>
        <v>0</v>
      </c>
      <c r="AZ388" s="65" t="n">
        <f aca="false">IF(OR(OR($B388="",$E388="",$F388=""),$K388&lt;&gt;"نعم",$M388="نعم"),0,MAX(0,MIN($F388,EOMONTH(DATE(cfg_FY,7,1),0))-MAX($E388,DATE(cfg_FY,7,1))+1))</f>
        <v>0</v>
      </c>
      <c r="BA388" s="65" t="n">
        <f aca="false">IF(OR(OR($B388="",$E388="",$F388=""),$K388&lt;&gt;"نعم",$M388="نعم"),0,MAX(0,MIN($F388,EOMONTH(DATE(cfg_FY,8,1),0))-MAX($E388,DATE(cfg_FY,8,1))+1))</f>
        <v>0</v>
      </c>
      <c r="BB388" s="65" t="n">
        <f aca="false">IF(OR(OR($B388="",$E388="",$F388=""),$K388&lt;&gt;"نعم",$M388="نعم"),0,MAX(0,MIN($F388,EOMONTH(DATE(cfg_FY,9,1),0))-MAX($E388,DATE(cfg_FY,9,1))+1))</f>
        <v>0</v>
      </c>
      <c r="BC388" s="65" t="n">
        <f aca="false">IF(OR(OR($B388="",$E388="",$F388=""),$K388&lt;&gt;"نعم",$M388="نعم"),0,MAX(0,MIN($F388,EOMONTH(DATE(cfg_FY,10,1),0))-MAX($E388,DATE(cfg_FY,10,1))+1))</f>
        <v>0</v>
      </c>
      <c r="BD388" s="65" t="n">
        <f aca="false">IF(OR(OR($B388="",$E388="",$F388=""),$K388&lt;&gt;"نعم",$M388="نعم"),0,MAX(0,MIN($F388,EOMONTH(DATE(cfg_FY,11,1),0))-MAX($E388,DATE(cfg_FY,11,1))+1))</f>
        <v>0</v>
      </c>
      <c r="BE388" s="65" t="n">
        <f aca="false">IF(OR(OR($B388="",$E388="",$F388=""),$K388&lt;&gt;"نعم",$M388="نعم"),0,MAX(0,MIN($F388,EOMONTH(DATE(cfg_FY,12,1),0))-MAX($E388,DATE(cfg_FY,12,1))+1))</f>
        <v>0</v>
      </c>
    </row>
    <row r="389" customFormat="false" ht="15" hidden="false" customHeight="false" outlineLevel="0" collapsed="false">
      <c r="A389" s="115" t="str">
        <f aca="false">IF(B389="","",ROW()-5)</f>
        <v/>
      </c>
      <c r="B389" s="118"/>
      <c r="C389" s="117" t="str">
        <f aca="false">IF(B389="","",IFERROR(INDEX(الموظفون!$C$6:$C$105,MATCH(B389,الموظفون!$B$6:$B$105,0)),"✖ رقم غير موجود"))</f>
        <v/>
      </c>
      <c r="D389" s="118"/>
      <c r="E389" s="119"/>
      <c r="F389" s="119"/>
      <c r="G389" s="133" t="str">
        <f aca="false">IF(OR($B389="",$E389="",$F389=""),"",MAX(0,F389-E389+1))</f>
        <v/>
      </c>
      <c r="H389" s="134" t="str">
        <f aca="false">IF(D389="","",IFERROR(VLOOKUP(D389,cfg_LT,2,FALSE()),1))</f>
        <v/>
      </c>
      <c r="I389" s="135"/>
      <c r="J389" s="134" t="str">
        <f aca="false">IF(D389="","",IF(I389&lt;&gt;"",I389,H389))</f>
        <v/>
      </c>
      <c r="K389" s="117" t="str">
        <f aca="false">IF(D389="","",IFERROR(VLOOKUP($D389,cfg_LT,3,FALSE()),""))</f>
        <v/>
      </c>
      <c r="L389" s="117" t="str">
        <f aca="false">IF(D389="","",IFERROR(VLOOKUP($D389,cfg_LT,4,FALSE()),""))</f>
        <v/>
      </c>
      <c r="M389" s="117" t="str">
        <f aca="false">IF(D389="","",IFERROR(VLOOKUP($D389,cfg_LT,5,FALSE()),""))</f>
        <v/>
      </c>
      <c r="N389" s="116" t="n">
        <f aca="false">IF(OR(OR($B389="",$E389="",$F389=""),M389&lt;&gt;"نعم"),0,G389*J389*IFERROR(INDEX(الموظفون!$R$6:$R$105,MATCH(B389,الموظفون!$B$6:$B$105,0)),0)/cfg_DAYS_M)</f>
        <v>0</v>
      </c>
      <c r="O389" s="115" t="str">
        <f aca="false">IF(OR(OR($B389="",$E389="",$F389=""),M389&lt;&gt;"نعم"),"",IF(YEAR(E389)=cfg_FY,MONTH(E389),""))</f>
        <v/>
      </c>
      <c r="P389" s="117" t="str">
        <f aca="false">IF(B389="","",IF(OR(D389="",E389="",F389=""),"⚠ أكمل النوع والتواريخ",IF(F389&lt;E389,"✖ النهاية قبل البداية",IF(COUNTIFS($B$6:$B$505,B389,$E$6:$E$505,"&lt;="&amp;F389,$F$6:$F$505,"&gt;="&amp;E389)&gt;1,"⚠ تداخل مع سجل آخر",IF(E389&gt;cfg_VAL_DATE,"⏳ قادمة",IF(F389&lt;cfg_VAL_DATE,"✔ منتهية","✈ جارية في تاريخ التقرير"))))))</f>
        <v/>
      </c>
      <c r="Q389" s="118"/>
      <c r="R389" s="133" t="n">
        <f aca="false">IF(OR(OR($B389="",$E389="",$F389=""),L389&lt;&gt;"لا"),0,MAX(0,MIN(F389,cfg_Y_START-1)-E389+1))</f>
        <v>0</v>
      </c>
      <c r="S389" s="133" t="n">
        <f aca="false">IF(OR(OR($B389="",$E389="",$F389=""),L389&lt;&gt;"لا"),0,MAX(0,MIN(F389,cfg_VAL_DATE)-E389+1))</f>
        <v>0</v>
      </c>
      <c r="T389" s="133" t="n">
        <f aca="false">IF(OR(OR($B389="",$E389="",$F389=""),K389&lt;&gt;"نعم"),0,IF(M389="نعم",IF(AND(ISNUMBER(O389),N(O389)&lt;=cfg_VAL_M),G389,0),MAX(0,MIN(F389,cfg_VAL_DATE)-MAX(E389,cfg_Y_START)+1)))</f>
        <v>0</v>
      </c>
      <c r="V389" s="133" t="n">
        <f aca="false">IF(OR($B389="",$E389="",$F389=""),0,MAX(0,MIN($F389,EOMONTH(DATE(cfg_FY,1,1),0))-MAX($E389,DATE(cfg_FY,1,1))+1)*(1-IF($M389="نعم",0,N($J389))))</f>
        <v>0</v>
      </c>
      <c r="W389" s="133" t="n">
        <f aca="false">IF(OR($B389="",$E389="",$F389=""),0,MAX(0,MIN($F389,EOMONTH(DATE(cfg_FY,2,1),0))-MAX($E389,DATE(cfg_FY,2,1))+1)*(1-IF($M389="نعم",0,N($J389))))</f>
        <v>0</v>
      </c>
      <c r="X389" s="133" t="n">
        <f aca="false">IF(OR($B389="",$E389="",$F389=""),0,MAX(0,MIN($F389,EOMONTH(DATE(cfg_FY,3,1),0))-MAX($E389,DATE(cfg_FY,3,1))+1)*(1-IF($M389="نعم",0,N($J389))))</f>
        <v>0</v>
      </c>
      <c r="Y389" s="133" t="n">
        <f aca="false">IF(OR($B389="",$E389="",$F389=""),0,MAX(0,MIN($F389,EOMONTH(DATE(cfg_FY,4,1),0))-MAX($E389,DATE(cfg_FY,4,1))+1)*(1-IF($M389="نعم",0,N($J389))))</f>
        <v>0</v>
      </c>
      <c r="Z389" s="133" t="n">
        <f aca="false">IF(OR($B389="",$E389="",$F389=""),0,MAX(0,MIN($F389,EOMONTH(DATE(cfg_FY,5,1),0))-MAX($E389,DATE(cfg_FY,5,1))+1)*(1-IF($M389="نعم",0,N($J389))))</f>
        <v>0</v>
      </c>
      <c r="AA389" s="133" t="n">
        <f aca="false">IF(OR($B389="",$E389="",$F389=""),0,MAX(0,MIN($F389,EOMONTH(DATE(cfg_FY,6,1),0))-MAX($E389,DATE(cfg_FY,6,1))+1)*(1-IF($M389="نعم",0,N($J389))))</f>
        <v>0</v>
      </c>
      <c r="AB389" s="133" t="n">
        <f aca="false">IF(OR($B389="",$E389="",$F389=""),0,MAX(0,MIN($F389,EOMONTH(DATE(cfg_FY,7,1),0))-MAX($E389,DATE(cfg_FY,7,1))+1)*(1-IF($M389="نعم",0,N($J389))))</f>
        <v>0</v>
      </c>
      <c r="AC389" s="133" t="n">
        <f aca="false">IF(OR($B389="",$E389="",$F389=""),0,MAX(0,MIN($F389,EOMONTH(DATE(cfg_FY,8,1),0))-MAX($E389,DATE(cfg_FY,8,1))+1)*(1-IF($M389="نعم",0,N($J389))))</f>
        <v>0</v>
      </c>
      <c r="AD389" s="133" t="n">
        <f aca="false">IF(OR($B389="",$E389="",$F389=""),0,MAX(0,MIN($F389,EOMONTH(DATE(cfg_FY,9,1),0))-MAX($E389,DATE(cfg_FY,9,1))+1)*(1-IF($M389="نعم",0,N($J389))))</f>
        <v>0</v>
      </c>
      <c r="AE389" s="133" t="n">
        <f aca="false">IF(OR($B389="",$E389="",$F389=""),0,MAX(0,MIN($F389,EOMONTH(DATE(cfg_FY,10,1),0))-MAX($E389,DATE(cfg_FY,10,1))+1)*(1-IF($M389="نعم",0,N($J389))))</f>
        <v>0</v>
      </c>
      <c r="AF389" s="133" t="n">
        <f aca="false">IF(OR($B389="",$E389="",$F389=""),0,MAX(0,MIN($F389,EOMONTH(DATE(cfg_FY,11,1),0))-MAX($E389,DATE(cfg_FY,11,1))+1)*(1-IF($M389="نعم",0,N($J389))))</f>
        <v>0</v>
      </c>
      <c r="AG389" s="133" t="n">
        <f aca="false">IF(OR($B389="",$E389="",$F389=""),0,MAX(0,MIN($F389,EOMONTH(DATE(cfg_FY,12,1),0))-MAX($E389,DATE(cfg_FY,12,1))+1)*(1-IF($M389="نعم",0,N($J389))))</f>
        <v>0</v>
      </c>
      <c r="AH389" s="133" t="n">
        <f aca="false">IF(OR(OR($B389="",$E389="",$F389=""),$L389&lt;&gt;"لا"),0,MAX(0,MIN($F389,EOMONTH(DATE(cfg_FY,1,1),0))-$E389+1))</f>
        <v>0</v>
      </c>
      <c r="AI389" s="133" t="n">
        <f aca="false">IF(OR(OR($B389="",$E389="",$F389=""),$L389&lt;&gt;"لا"),0,MAX(0,MIN($F389,EOMONTH(DATE(cfg_FY,2,1),0))-$E389+1))</f>
        <v>0</v>
      </c>
      <c r="AJ389" s="133" t="n">
        <f aca="false">IF(OR(OR($B389="",$E389="",$F389=""),$L389&lt;&gt;"لا"),0,MAX(0,MIN($F389,EOMONTH(DATE(cfg_FY,3,1),0))-$E389+1))</f>
        <v>0</v>
      </c>
      <c r="AK389" s="133" t="n">
        <f aca="false">IF(OR(OR($B389="",$E389="",$F389=""),$L389&lt;&gt;"لا"),0,MAX(0,MIN($F389,EOMONTH(DATE(cfg_FY,4,1),0))-$E389+1))</f>
        <v>0</v>
      </c>
      <c r="AL389" s="133" t="n">
        <f aca="false">IF(OR(OR($B389="",$E389="",$F389=""),$L389&lt;&gt;"لا"),0,MAX(0,MIN($F389,EOMONTH(DATE(cfg_FY,5,1),0))-$E389+1))</f>
        <v>0</v>
      </c>
      <c r="AM389" s="133" t="n">
        <f aca="false">IF(OR(OR($B389="",$E389="",$F389=""),$L389&lt;&gt;"لا"),0,MAX(0,MIN($F389,EOMONTH(DATE(cfg_FY,6,1),0))-$E389+1))</f>
        <v>0</v>
      </c>
      <c r="AN389" s="133" t="n">
        <f aca="false">IF(OR(OR($B389="",$E389="",$F389=""),$L389&lt;&gt;"لا"),0,MAX(0,MIN($F389,EOMONTH(DATE(cfg_FY,7,1),0))-$E389+1))</f>
        <v>0</v>
      </c>
      <c r="AO389" s="133" t="n">
        <f aca="false">IF(OR(OR($B389="",$E389="",$F389=""),$L389&lt;&gt;"لا"),0,MAX(0,MIN($F389,EOMONTH(DATE(cfg_FY,8,1),0))-$E389+1))</f>
        <v>0</v>
      </c>
      <c r="AP389" s="133" t="n">
        <f aca="false">IF(OR(OR($B389="",$E389="",$F389=""),$L389&lt;&gt;"لا"),0,MAX(0,MIN($F389,EOMONTH(DATE(cfg_FY,9,1),0))-$E389+1))</f>
        <v>0</v>
      </c>
      <c r="AQ389" s="133" t="n">
        <f aca="false">IF(OR(OR($B389="",$E389="",$F389=""),$L389&lt;&gt;"لا"),0,MAX(0,MIN($F389,EOMONTH(DATE(cfg_FY,10,1),0))-$E389+1))</f>
        <v>0</v>
      </c>
      <c r="AR389" s="133" t="n">
        <f aca="false">IF(OR(OR($B389="",$E389="",$F389=""),$L389&lt;&gt;"لا"),0,MAX(0,MIN($F389,EOMONTH(DATE(cfg_FY,11,1),0))-$E389+1))</f>
        <v>0</v>
      </c>
      <c r="AS389" s="133" t="n">
        <f aca="false">IF(OR(OR($B389="",$E389="",$F389=""),$L389&lt;&gt;"لا"),0,MAX(0,MIN($F389,EOMONTH(DATE(cfg_FY,12,1),0))-$E389+1))</f>
        <v>0</v>
      </c>
      <c r="AT389" s="133" t="n">
        <f aca="false">IF(OR(OR($B389="",$E389="",$F389=""),$K389&lt;&gt;"نعم",$M389="نعم"),0,MAX(0,MIN($F389,EOMONTH(DATE(cfg_FY,1,1),0))-MAX($E389,DATE(cfg_FY,1,1))+1))</f>
        <v>0</v>
      </c>
      <c r="AU389" s="133" t="n">
        <f aca="false">IF(OR(OR($B389="",$E389="",$F389=""),$K389&lt;&gt;"نعم",$M389="نعم"),0,MAX(0,MIN($F389,EOMONTH(DATE(cfg_FY,2,1),0))-MAX($E389,DATE(cfg_FY,2,1))+1))</f>
        <v>0</v>
      </c>
      <c r="AV389" s="133" t="n">
        <f aca="false">IF(OR(OR($B389="",$E389="",$F389=""),$K389&lt;&gt;"نعم",$M389="نعم"),0,MAX(0,MIN($F389,EOMONTH(DATE(cfg_FY,3,1),0))-MAX($E389,DATE(cfg_FY,3,1))+1))</f>
        <v>0</v>
      </c>
      <c r="AW389" s="133" t="n">
        <f aca="false">IF(OR(OR($B389="",$E389="",$F389=""),$K389&lt;&gt;"نعم",$M389="نعم"),0,MAX(0,MIN($F389,EOMONTH(DATE(cfg_FY,4,1),0))-MAX($E389,DATE(cfg_FY,4,1))+1))</f>
        <v>0</v>
      </c>
      <c r="AX389" s="133" t="n">
        <f aca="false">IF(OR(OR($B389="",$E389="",$F389=""),$K389&lt;&gt;"نعم",$M389="نعم"),0,MAX(0,MIN($F389,EOMONTH(DATE(cfg_FY,5,1),0))-MAX($E389,DATE(cfg_FY,5,1))+1))</f>
        <v>0</v>
      </c>
      <c r="AY389" s="133" t="n">
        <f aca="false">IF(OR(OR($B389="",$E389="",$F389=""),$K389&lt;&gt;"نعم",$M389="نعم"),0,MAX(0,MIN($F389,EOMONTH(DATE(cfg_FY,6,1),0))-MAX($E389,DATE(cfg_FY,6,1))+1))</f>
        <v>0</v>
      </c>
      <c r="AZ389" s="133" t="n">
        <f aca="false">IF(OR(OR($B389="",$E389="",$F389=""),$K389&lt;&gt;"نعم",$M389="نعم"),0,MAX(0,MIN($F389,EOMONTH(DATE(cfg_FY,7,1),0))-MAX($E389,DATE(cfg_FY,7,1))+1))</f>
        <v>0</v>
      </c>
      <c r="BA389" s="133" t="n">
        <f aca="false">IF(OR(OR($B389="",$E389="",$F389=""),$K389&lt;&gt;"نعم",$M389="نعم"),0,MAX(0,MIN($F389,EOMONTH(DATE(cfg_FY,8,1),0))-MAX($E389,DATE(cfg_FY,8,1))+1))</f>
        <v>0</v>
      </c>
      <c r="BB389" s="133" t="n">
        <f aca="false">IF(OR(OR($B389="",$E389="",$F389=""),$K389&lt;&gt;"نعم",$M389="نعم"),0,MAX(0,MIN($F389,EOMONTH(DATE(cfg_FY,9,1),0))-MAX($E389,DATE(cfg_FY,9,1))+1))</f>
        <v>0</v>
      </c>
      <c r="BC389" s="133" t="n">
        <f aca="false">IF(OR(OR($B389="",$E389="",$F389=""),$K389&lt;&gt;"نعم",$M389="نعم"),0,MAX(0,MIN($F389,EOMONTH(DATE(cfg_FY,10,1),0))-MAX($E389,DATE(cfg_FY,10,1))+1))</f>
        <v>0</v>
      </c>
      <c r="BD389" s="133" t="n">
        <f aca="false">IF(OR(OR($B389="",$E389="",$F389=""),$K389&lt;&gt;"نعم",$M389="نعم"),0,MAX(0,MIN($F389,EOMONTH(DATE(cfg_FY,11,1),0))-MAX($E389,DATE(cfg_FY,11,1))+1))</f>
        <v>0</v>
      </c>
      <c r="BE389" s="133" t="n">
        <f aca="false">IF(OR(OR($B389="",$E389="",$F389=""),$K389&lt;&gt;"نعم",$M389="نعم"),0,MAX(0,MIN($F389,EOMONTH(DATE(cfg_FY,12,1),0))-MAX($E389,DATE(cfg_FY,12,1))+1))</f>
        <v>0</v>
      </c>
    </row>
    <row r="390" customFormat="false" ht="15" hidden="false" customHeight="false" outlineLevel="0" collapsed="false">
      <c r="A390" s="106" t="str">
        <f aca="false">IF(B390="","",ROW()-5)</f>
        <v/>
      </c>
      <c r="B390" s="118"/>
      <c r="C390" s="114" t="str">
        <f aca="false">IF(B390="","",IFERROR(INDEX(الموظفون!$C$6:$C$105,MATCH(B390,الموظفون!$B$6:$B$105,0)),"✖ رقم غير موجود"))</f>
        <v/>
      </c>
      <c r="D390" s="118"/>
      <c r="E390" s="119"/>
      <c r="F390" s="119"/>
      <c r="G390" s="65" t="str">
        <f aca="false">IF(OR($B390="",$E390="",$F390=""),"",MAX(0,F390-E390+1))</f>
        <v/>
      </c>
      <c r="H390" s="66" t="str">
        <f aca="false">IF(D390="","",IFERROR(VLOOKUP(D390,cfg_LT,2,FALSE()),1))</f>
        <v/>
      </c>
      <c r="I390" s="135"/>
      <c r="J390" s="66" t="str">
        <f aca="false">IF(D390="","",IF(I390&lt;&gt;"",I390,H390))</f>
        <v/>
      </c>
      <c r="K390" s="114" t="str">
        <f aca="false">IF(D390="","",IFERROR(VLOOKUP($D390,cfg_LT,3,FALSE()),""))</f>
        <v/>
      </c>
      <c r="L390" s="114" t="str">
        <f aca="false">IF(D390="","",IFERROR(VLOOKUP($D390,cfg_LT,4,FALSE()),""))</f>
        <v/>
      </c>
      <c r="M390" s="114" t="str">
        <f aca="false">IF(D390="","",IFERROR(VLOOKUP($D390,cfg_LT,5,FALSE()),""))</f>
        <v/>
      </c>
      <c r="N390" s="111" t="n">
        <f aca="false">IF(OR(OR($B390="",$E390="",$F390=""),M390&lt;&gt;"نعم"),0,G390*J390*IFERROR(INDEX(الموظفون!$R$6:$R$105,MATCH(B390,الموظفون!$B$6:$B$105,0)),0)/cfg_DAYS_M)</f>
        <v>0</v>
      </c>
      <c r="O390" s="106" t="str">
        <f aca="false">IF(OR(OR($B390="",$E390="",$F390=""),M390&lt;&gt;"نعم"),"",IF(YEAR(E390)=cfg_FY,MONTH(E390),""))</f>
        <v/>
      </c>
      <c r="P390" s="114" t="str">
        <f aca="false">IF(B390="","",IF(OR(D390="",E390="",F390=""),"⚠ أكمل النوع والتواريخ",IF(F390&lt;E390,"✖ النهاية قبل البداية",IF(COUNTIFS($B$6:$B$505,B390,$E$6:$E$505,"&lt;="&amp;F390,$F$6:$F$505,"&gt;="&amp;E390)&gt;1,"⚠ تداخل مع سجل آخر",IF(E390&gt;cfg_VAL_DATE,"⏳ قادمة",IF(F390&lt;cfg_VAL_DATE,"✔ منتهية","✈ جارية في تاريخ التقرير"))))))</f>
        <v/>
      </c>
      <c r="Q390" s="118"/>
      <c r="R390" s="65" t="n">
        <f aca="false">IF(OR(OR($B390="",$E390="",$F390=""),L390&lt;&gt;"لا"),0,MAX(0,MIN(F390,cfg_Y_START-1)-E390+1))</f>
        <v>0</v>
      </c>
      <c r="S390" s="65" t="n">
        <f aca="false">IF(OR(OR($B390="",$E390="",$F390=""),L390&lt;&gt;"لا"),0,MAX(0,MIN(F390,cfg_VAL_DATE)-E390+1))</f>
        <v>0</v>
      </c>
      <c r="T390" s="65" t="n">
        <f aca="false">IF(OR(OR($B390="",$E390="",$F390=""),K390&lt;&gt;"نعم"),0,IF(M390="نعم",IF(AND(ISNUMBER(O390),N(O390)&lt;=cfg_VAL_M),G390,0),MAX(0,MIN(F390,cfg_VAL_DATE)-MAX(E390,cfg_Y_START)+1)))</f>
        <v>0</v>
      </c>
      <c r="V390" s="65" t="n">
        <f aca="false">IF(OR($B390="",$E390="",$F390=""),0,MAX(0,MIN($F390,EOMONTH(DATE(cfg_FY,1,1),0))-MAX($E390,DATE(cfg_FY,1,1))+1)*(1-IF($M390="نعم",0,N($J390))))</f>
        <v>0</v>
      </c>
      <c r="W390" s="65" t="n">
        <f aca="false">IF(OR($B390="",$E390="",$F390=""),0,MAX(0,MIN($F390,EOMONTH(DATE(cfg_FY,2,1),0))-MAX($E390,DATE(cfg_FY,2,1))+1)*(1-IF($M390="نعم",0,N($J390))))</f>
        <v>0</v>
      </c>
      <c r="X390" s="65" t="n">
        <f aca="false">IF(OR($B390="",$E390="",$F390=""),0,MAX(0,MIN($F390,EOMONTH(DATE(cfg_FY,3,1),0))-MAX($E390,DATE(cfg_FY,3,1))+1)*(1-IF($M390="نعم",0,N($J390))))</f>
        <v>0</v>
      </c>
      <c r="Y390" s="65" t="n">
        <f aca="false">IF(OR($B390="",$E390="",$F390=""),0,MAX(0,MIN($F390,EOMONTH(DATE(cfg_FY,4,1),0))-MAX($E390,DATE(cfg_FY,4,1))+1)*(1-IF($M390="نعم",0,N($J390))))</f>
        <v>0</v>
      </c>
      <c r="Z390" s="65" t="n">
        <f aca="false">IF(OR($B390="",$E390="",$F390=""),0,MAX(0,MIN($F390,EOMONTH(DATE(cfg_FY,5,1),0))-MAX($E390,DATE(cfg_FY,5,1))+1)*(1-IF($M390="نعم",0,N($J390))))</f>
        <v>0</v>
      </c>
      <c r="AA390" s="65" t="n">
        <f aca="false">IF(OR($B390="",$E390="",$F390=""),0,MAX(0,MIN($F390,EOMONTH(DATE(cfg_FY,6,1),0))-MAX($E390,DATE(cfg_FY,6,1))+1)*(1-IF($M390="نعم",0,N($J390))))</f>
        <v>0</v>
      </c>
      <c r="AB390" s="65" t="n">
        <f aca="false">IF(OR($B390="",$E390="",$F390=""),0,MAX(0,MIN($F390,EOMONTH(DATE(cfg_FY,7,1),0))-MAX($E390,DATE(cfg_FY,7,1))+1)*(1-IF($M390="نعم",0,N($J390))))</f>
        <v>0</v>
      </c>
      <c r="AC390" s="65" t="n">
        <f aca="false">IF(OR($B390="",$E390="",$F390=""),0,MAX(0,MIN($F390,EOMONTH(DATE(cfg_FY,8,1),0))-MAX($E390,DATE(cfg_FY,8,1))+1)*(1-IF($M390="نعم",0,N($J390))))</f>
        <v>0</v>
      </c>
      <c r="AD390" s="65" t="n">
        <f aca="false">IF(OR($B390="",$E390="",$F390=""),0,MAX(0,MIN($F390,EOMONTH(DATE(cfg_FY,9,1),0))-MAX($E390,DATE(cfg_FY,9,1))+1)*(1-IF($M390="نعم",0,N($J390))))</f>
        <v>0</v>
      </c>
      <c r="AE390" s="65" t="n">
        <f aca="false">IF(OR($B390="",$E390="",$F390=""),0,MAX(0,MIN($F390,EOMONTH(DATE(cfg_FY,10,1),0))-MAX($E390,DATE(cfg_FY,10,1))+1)*(1-IF($M390="نعم",0,N($J390))))</f>
        <v>0</v>
      </c>
      <c r="AF390" s="65" t="n">
        <f aca="false">IF(OR($B390="",$E390="",$F390=""),0,MAX(0,MIN($F390,EOMONTH(DATE(cfg_FY,11,1),0))-MAX($E390,DATE(cfg_FY,11,1))+1)*(1-IF($M390="نعم",0,N($J390))))</f>
        <v>0</v>
      </c>
      <c r="AG390" s="65" t="n">
        <f aca="false">IF(OR($B390="",$E390="",$F390=""),0,MAX(0,MIN($F390,EOMONTH(DATE(cfg_FY,12,1),0))-MAX($E390,DATE(cfg_FY,12,1))+1)*(1-IF($M390="نعم",0,N($J390))))</f>
        <v>0</v>
      </c>
      <c r="AH390" s="65" t="n">
        <f aca="false">IF(OR(OR($B390="",$E390="",$F390=""),$L390&lt;&gt;"لا"),0,MAX(0,MIN($F390,EOMONTH(DATE(cfg_FY,1,1),0))-$E390+1))</f>
        <v>0</v>
      </c>
      <c r="AI390" s="65" t="n">
        <f aca="false">IF(OR(OR($B390="",$E390="",$F390=""),$L390&lt;&gt;"لا"),0,MAX(0,MIN($F390,EOMONTH(DATE(cfg_FY,2,1),0))-$E390+1))</f>
        <v>0</v>
      </c>
      <c r="AJ390" s="65" t="n">
        <f aca="false">IF(OR(OR($B390="",$E390="",$F390=""),$L390&lt;&gt;"لا"),0,MAX(0,MIN($F390,EOMONTH(DATE(cfg_FY,3,1),0))-$E390+1))</f>
        <v>0</v>
      </c>
      <c r="AK390" s="65" t="n">
        <f aca="false">IF(OR(OR($B390="",$E390="",$F390=""),$L390&lt;&gt;"لا"),0,MAX(0,MIN($F390,EOMONTH(DATE(cfg_FY,4,1),0))-$E390+1))</f>
        <v>0</v>
      </c>
      <c r="AL390" s="65" t="n">
        <f aca="false">IF(OR(OR($B390="",$E390="",$F390=""),$L390&lt;&gt;"لا"),0,MAX(0,MIN($F390,EOMONTH(DATE(cfg_FY,5,1),0))-$E390+1))</f>
        <v>0</v>
      </c>
      <c r="AM390" s="65" t="n">
        <f aca="false">IF(OR(OR($B390="",$E390="",$F390=""),$L390&lt;&gt;"لا"),0,MAX(0,MIN($F390,EOMONTH(DATE(cfg_FY,6,1),0))-$E390+1))</f>
        <v>0</v>
      </c>
      <c r="AN390" s="65" t="n">
        <f aca="false">IF(OR(OR($B390="",$E390="",$F390=""),$L390&lt;&gt;"لا"),0,MAX(0,MIN($F390,EOMONTH(DATE(cfg_FY,7,1),0))-$E390+1))</f>
        <v>0</v>
      </c>
      <c r="AO390" s="65" t="n">
        <f aca="false">IF(OR(OR($B390="",$E390="",$F390=""),$L390&lt;&gt;"لا"),0,MAX(0,MIN($F390,EOMONTH(DATE(cfg_FY,8,1),0))-$E390+1))</f>
        <v>0</v>
      </c>
      <c r="AP390" s="65" t="n">
        <f aca="false">IF(OR(OR($B390="",$E390="",$F390=""),$L390&lt;&gt;"لا"),0,MAX(0,MIN($F390,EOMONTH(DATE(cfg_FY,9,1),0))-$E390+1))</f>
        <v>0</v>
      </c>
      <c r="AQ390" s="65" t="n">
        <f aca="false">IF(OR(OR($B390="",$E390="",$F390=""),$L390&lt;&gt;"لا"),0,MAX(0,MIN($F390,EOMONTH(DATE(cfg_FY,10,1),0))-$E390+1))</f>
        <v>0</v>
      </c>
      <c r="AR390" s="65" t="n">
        <f aca="false">IF(OR(OR($B390="",$E390="",$F390=""),$L390&lt;&gt;"لا"),0,MAX(0,MIN($F390,EOMONTH(DATE(cfg_FY,11,1),0))-$E390+1))</f>
        <v>0</v>
      </c>
      <c r="AS390" s="65" t="n">
        <f aca="false">IF(OR(OR($B390="",$E390="",$F390=""),$L390&lt;&gt;"لا"),0,MAX(0,MIN($F390,EOMONTH(DATE(cfg_FY,12,1),0))-$E390+1))</f>
        <v>0</v>
      </c>
      <c r="AT390" s="65" t="n">
        <f aca="false">IF(OR(OR($B390="",$E390="",$F390=""),$K390&lt;&gt;"نعم",$M390="نعم"),0,MAX(0,MIN($F390,EOMONTH(DATE(cfg_FY,1,1),0))-MAX($E390,DATE(cfg_FY,1,1))+1))</f>
        <v>0</v>
      </c>
      <c r="AU390" s="65" t="n">
        <f aca="false">IF(OR(OR($B390="",$E390="",$F390=""),$K390&lt;&gt;"نعم",$M390="نعم"),0,MAX(0,MIN($F390,EOMONTH(DATE(cfg_FY,2,1),0))-MAX($E390,DATE(cfg_FY,2,1))+1))</f>
        <v>0</v>
      </c>
      <c r="AV390" s="65" t="n">
        <f aca="false">IF(OR(OR($B390="",$E390="",$F390=""),$K390&lt;&gt;"نعم",$M390="نعم"),0,MAX(0,MIN($F390,EOMONTH(DATE(cfg_FY,3,1),0))-MAX($E390,DATE(cfg_FY,3,1))+1))</f>
        <v>0</v>
      </c>
      <c r="AW390" s="65" t="n">
        <f aca="false">IF(OR(OR($B390="",$E390="",$F390=""),$K390&lt;&gt;"نعم",$M390="نعم"),0,MAX(0,MIN($F390,EOMONTH(DATE(cfg_FY,4,1),0))-MAX($E390,DATE(cfg_FY,4,1))+1))</f>
        <v>0</v>
      </c>
      <c r="AX390" s="65" t="n">
        <f aca="false">IF(OR(OR($B390="",$E390="",$F390=""),$K390&lt;&gt;"نعم",$M390="نعم"),0,MAX(0,MIN($F390,EOMONTH(DATE(cfg_FY,5,1),0))-MAX($E390,DATE(cfg_FY,5,1))+1))</f>
        <v>0</v>
      </c>
      <c r="AY390" s="65" t="n">
        <f aca="false">IF(OR(OR($B390="",$E390="",$F390=""),$K390&lt;&gt;"نعم",$M390="نعم"),0,MAX(0,MIN($F390,EOMONTH(DATE(cfg_FY,6,1),0))-MAX($E390,DATE(cfg_FY,6,1))+1))</f>
        <v>0</v>
      </c>
      <c r="AZ390" s="65" t="n">
        <f aca="false">IF(OR(OR($B390="",$E390="",$F390=""),$K390&lt;&gt;"نعم",$M390="نعم"),0,MAX(0,MIN($F390,EOMONTH(DATE(cfg_FY,7,1),0))-MAX($E390,DATE(cfg_FY,7,1))+1))</f>
        <v>0</v>
      </c>
      <c r="BA390" s="65" t="n">
        <f aca="false">IF(OR(OR($B390="",$E390="",$F390=""),$K390&lt;&gt;"نعم",$M390="نعم"),0,MAX(0,MIN($F390,EOMONTH(DATE(cfg_FY,8,1),0))-MAX($E390,DATE(cfg_FY,8,1))+1))</f>
        <v>0</v>
      </c>
      <c r="BB390" s="65" t="n">
        <f aca="false">IF(OR(OR($B390="",$E390="",$F390=""),$K390&lt;&gt;"نعم",$M390="نعم"),0,MAX(0,MIN($F390,EOMONTH(DATE(cfg_FY,9,1),0))-MAX($E390,DATE(cfg_FY,9,1))+1))</f>
        <v>0</v>
      </c>
      <c r="BC390" s="65" t="n">
        <f aca="false">IF(OR(OR($B390="",$E390="",$F390=""),$K390&lt;&gt;"نعم",$M390="نعم"),0,MAX(0,MIN($F390,EOMONTH(DATE(cfg_FY,10,1),0))-MAX($E390,DATE(cfg_FY,10,1))+1))</f>
        <v>0</v>
      </c>
      <c r="BD390" s="65" t="n">
        <f aca="false">IF(OR(OR($B390="",$E390="",$F390=""),$K390&lt;&gt;"نعم",$M390="نعم"),0,MAX(0,MIN($F390,EOMONTH(DATE(cfg_FY,11,1),0))-MAX($E390,DATE(cfg_FY,11,1))+1))</f>
        <v>0</v>
      </c>
      <c r="BE390" s="65" t="n">
        <f aca="false">IF(OR(OR($B390="",$E390="",$F390=""),$K390&lt;&gt;"نعم",$M390="نعم"),0,MAX(0,MIN($F390,EOMONTH(DATE(cfg_FY,12,1),0))-MAX($E390,DATE(cfg_FY,12,1))+1))</f>
        <v>0</v>
      </c>
    </row>
    <row r="391" customFormat="false" ht="15" hidden="false" customHeight="false" outlineLevel="0" collapsed="false">
      <c r="A391" s="115" t="str">
        <f aca="false">IF(B391="","",ROW()-5)</f>
        <v/>
      </c>
      <c r="B391" s="118"/>
      <c r="C391" s="117" t="str">
        <f aca="false">IF(B391="","",IFERROR(INDEX(الموظفون!$C$6:$C$105,MATCH(B391,الموظفون!$B$6:$B$105,0)),"✖ رقم غير موجود"))</f>
        <v/>
      </c>
      <c r="D391" s="118"/>
      <c r="E391" s="119"/>
      <c r="F391" s="119"/>
      <c r="G391" s="133" t="str">
        <f aca="false">IF(OR($B391="",$E391="",$F391=""),"",MAX(0,F391-E391+1))</f>
        <v/>
      </c>
      <c r="H391" s="134" t="str">
        <f aca="false">IF(D391="","",IFERROR(VLOOKUP(D391,cfg_LT,2,FALSE()),1))</f>
        <v/>
      </c>
      <c r="I391" s="135"/>
      <c r="J391" s="134" t="str">
        <f aca="false">IF(D391="","",IF(I391&lt;&gt;"",I391,H391))</f>
        <v/>
      </c>
      <c r="K391" s="117" t="str">
        <f aca="false">IF(D391="","",IFERROR(VLOOKUP($D391,cfg_LT,3,FALSE()),""))</f>
        <v/>
      </c>
      <c r="L391" s="117" t="str">
        <f aca="false">IF(D391="","",IFERROR(VLOOKUP($D391,cfg_LT,4,FALSE()),""))</f>
        <v/>
      </c>
      <c r="M391" s="117" t="str">
        <f aca="false">IF(D391="","",IFERROR(VLOOKUP($D391,cfg_LT,5,FALSE()),""))</f>
        <v/>
      </c>
      <c r="N391" s="116" t="n">
        <f aca="false">IF(OR(OR($B391="",$E391="",$F391=""),M391&lt;&gt;"نعم"),0,G391*J391*IFERROR(INDEX(الموظفون!$R$6:$R$105,MATCH(B391,الموظفون!$B$6:$B$105,0)),0)/cfg_DAYS_M)</f>
        <v>0</v>
      </c>
      <c r="O391" s="115" t="str">
        <f aca="false">IF(OR(OR($B391="",$E391="",$F391=""),M391&lt;&gt;"نعم"),"",IF(YEAR(E391)=cfg_FY,MONTH(E391),""))</f>
        <v/>
      </c>
      <c r="P391" s="117" t="str">
        <f aca="false">IF(B391="","",IF(OR(D391="",E391="",F391=""),"⚠ أكمل النوع والتواريخ",IF(F391&lt;E391,"✖ النهاية قبل البداية",IF(COUNTIFS($B$6:$B$505,B391,$E$6:$E$505,"&lt;="&amp;F391,$F$6:$F$505,"&gt;="&amp;E391)&gt;1,"⚠ تداخل مع سجل آخر",IF(E391&gt;cfg_VAL_DATE,"⏳ قادمة",IF(F391&lt;cfg_VAL_DATE,"✔ منتهية","✈ جارية في تاريخ التقرير"))))))</f>
        <v/>
      </c>
      <c r="Q391" s="118"/>
      <c r="R391" s="133" t="n">
        <f aca="false">IF(OR(OR($B391="",$E391="",$F391=""),L391&lt;&gt;"لا"),0,MAX(0,MIN(F391,cfg_Y_START-1)-E391+1))</f>
        <v>0</v>
      </c>
      <c r="S391" s="133" t="n">
        <f aca="false">IF(OR(OR($B391="",$E391="",$F391=""),L391&lt;&gt;"لا"),0,MAX(0,MIN(F391,cfg_VAL_DATE)-E391+1))</f>
        <v>0</v>
      </c>
      <c r="T391" s="133" t="n">
        <f aca="false">IF(OR(OR($B391="",$E391="",$F391=""),K391&lt;&gt;"نعم"),0,IF(M391="نعم",IF(AND(ISNUMBER(O391),N(O391)&lt;=cfg_VAL_M),G391,0),MAX(0,MIN(F391,cfg_VAL_DATE)-MAX(E391,cfg_Y_START)+1)))</f>
        <v>0</v>
      </c>
      <c r="V391" s="133" t="n">
        <f aca="false">IF(OR($B391="",$E391="",$F391=""),0,MAX(0,MIN($F391,EOMONTH(DATE(cfg_FY,1,1),0))-MAX($E391,DATE(cfg_FY,1,1))+1)*(1-IF($M391="نعم",0,N($J391))))</f>
        <v>0</v>
      </c>
      <c r="W391" s="133" t="n">
        <f aca="false">IF(OR($B391="",$E391="",$F391=""),0,MAX(0,MIN($F391,EOMONTH(DATE(cfg_FY,2,1),0))-MAX($E391,DATE(cfg_FY,2,1))+1)*(1-IF($M391="نعم",0,N($J391))))</f>
        <v>0</v>
      </c>
      <c r="X391" s="133" t="n">
        <f aca="false">IF(OR($B391="",$E391="",$F391=""),0,MAX(0,MIN($F391,EOMONTH(DATE(cfg_FY,3,1),0))-MAX($E391,DATE(cfg_FY,3,1))+1)*(1-IF($M391="نعم",0,N($J391))))</f>
        <v>0</v>
      </c>
      <c r="Y391" s="133" t="n">
        <f aca="false">IF(OR($B391="",$E391="",$F391=""),0,MAX(0,MIN($F391,EOMONTH(DATE(cfg_FY,4,1),0))-MAX($E391,DATE(cfg_FY,4,1))+1)*(1-IF($M391="نعم",0,N($J391))))</f>
        <v>0</v>
      </c>
      <c r="Z391" s="133" t="n">
        <f aca="false">IF(OR($B391="",$E391="",$F391=""),0,MAX(0,MIN($F391,EOMONTH(DATE(cfg_FY,5,1),0))-MAX($E391,DATE(cfg_FY,5,1))+1)*(1-IF($M391="نعم",0,N($J391))))</f>
        <v>0</v>
      </c>
      <c r="AA391" s="133" t="n">
        <f aca="false">IF(OR($B391="",$E391="",$F391=""),0,MAX(0,MIN($F391,EOMONTH(DATE(cfg_FY,6,1),0))-MAX($E391,DATE(cfg_FY,6,1))+1)*(1-IF($M391="نعم",0,N($J391))))</f>
        <v>0</v>
      </c>
      <c r="AB391" s="133" t="n">
        <f aca="false">IF(OR($B391="",$E391="",$F391=""),0,MAX(0,MIN($F391,EOMONTH(DATE(cfg_FY,7,1),0))-MAX($E391,DATE(cfg_FY,7,1))+1)*(1-IF($M391="نعم",0,N($J391))))</f>
        <v>0</v>
      </c>
      <c r="AC391" s="133" t="n">
        <f aca="false">IF(OR($B391="",$E391="",$F391=""),0,MAX(0,MIN($F391,EOMONTH(DATE(cfg_FY,8,1),0))-MAX($E391,DATE(cfg_FY,8,1))+1)*(1-IF($M391="نعم",0,N($J391))))</f>
        <v>0</v>
      </c>
      <c r="AD391" s="133" t="n">
        <f aca="false">IF(OR($B391="",$E391="",$F391=""),0,MAX(0,MIN($F391,EOMONTH(DATE(cfg_FY,9,1),0))-MAX($E391,DATE(cfg_FY,9,1))+1)*(1-IF($M391="نعم",0,N($J391))))</f>
        <v>0</v>
      </c>
      <c r="AE391" s="133" t="n">
        <f aca="false">IF(OR($B391="",$E391="",$F391=""),0,MAX(0,MIN($F391,EOMONTH(DATE(cfg_FY,10,1),0))-MAX($E391,DATE(cfg_FY,10,1))+1)*(1-IF($M391="نعم",0,N($J391))))</f>
        <v>0</v>
      </c>
      <c r="AF391" s="133" t="n">
        <f aca="false">IF(OR($B391="",$E391="",$F391=""),0,MAX(0,MIN($F391,EOMONTH(DATE(cfg_FY,11,1),0))-MAX($E391,DATE(cfg_FY,11,1))+1)*(1-IF($M391="نعم",0,N($J391))))</f>
        <v>0</v>
      </c>
      <c r="AG391" s="133" t="n">
        <f aca="false">IF(OR($B391="",$E391="",$F391=""),0,MAX(0,MIN($F391,EOMONTH(DATE(cfg_FY,12,1),0))-MAX($E391,DATE(cfg_FY,12,1))+1)*(1-IF($M391="نعم",0,N($J391))))</f>
        <v>0</v>
      </c>
      <c r="AH391" s="133" t="n">
        <f aca="false">IF(OR(OR($B391="",$E391="",$F391=""),$L391&lt;&gt;"لا"),0,MAX(0,MIN($F391,EOMONTH(DATE(cfg_FY,1,1),0))-$E391+1))</f>
        <v>0</v>
      </c>
      <c r="AI391" s="133" t="n">
        <f aca="false">IF(OR(OR($B391="",$E391="",$F391=""),$L391&lt;&gt;"لا"),0,MAX(0,MIN($F391,EOMONTH(DATE(cfg_FY,2,1),0))-$E391+1))</f>
        <v>0</v>
      </c>
      <c r="AJ391" s="133" t="n">
        <f aca="false">IF(OR(OR($B391="",$E391="",$F391=""),$L391&lt;&gt;"لا"),0,MAX(0,MIN($F391,EOMONTH(DATE(cfg_FY,3,1),0))-$E391+1))</f>
        <v>0</v>
      </c>
      <c r="AK391" s="133" t="n">
        <f aca="false">IF(OR(OR($B391="",$E391="",$F391=""),$L391&lt;&gt;"لا"),0,MAX(0,MIN($F391,EOMONTH(DATE(cfg_FY,4,1),0))-$E391+1))</f>
        <v>0</v>
      </c>
      <c r="AL391" s="133" t="n">
        <f aca="false">IF(OR(OR($B391="",$E391="",$F391=""),$L391&lt;&gt;"لا"),0,MAX(0,MIN($F391,EOMONTH(DATE(cfg_FY,5,1),0))-$E391+1))</f>
        <v>0</v>
      </c>
      <c r="AM391" s="133" t="n">
        <f aca="false">IF(OR(OR($B391="",$E391="",$F391=""),$L391&lt;&gt;"لا"),0,MAX(0,MIN($F391,EOMONTH(DATE(cfg_FY,6,1),0))-$E391+1))</f>
        <v>0</v>
      </c>
      <c r="AN391" s="133" t="n">
        <f aca="false">IF(OR(OR($B391="",$E391="",$F391=""),$L391&lt;&gt;"لا"),0,MAX(0,MIN($F391,EOMONTH(DATE(cfg_FY,7,1),0))-$E391+1))</f>
        <v>0</v>
      </c>
      <c r="AO391" s="133" t="n">
        <f aca="false">IF(OR(OR($B391="",$E391="",$F391=""),$L391&lt;&gt;"لا"),0,MAX(0,MIN($F391,EOMONTH(DATE(cfg_FY,8,1),0))-$E391+1))</f>
        <v>0</v>
      </c>
      <c r="AP391" s="133" t="n">
        <f aca="false">IF(OR(OR($B391="",$E391="",$F391=""),$L391&lt;&gt;"لا"),0,MAX(0,MIN($F391,EOMONTH(DATE(cfg_FY,9,1),0))-$E391+1))</f>
        <v>0</v>
      </c>
      <c r="AQ391" s="133" t="n">
        <f aca="false">IF(OR(OR($B391="",$E391="",$F391=""),$L391&lt;&gt;"لا"),0,MAX(0,MIN($F391,EOMONTH(DATE(cfg_FY,10,1),0))-$E391+1))</f>
        <v>0</v>
      </c>
      <c r="AR391" s="133" t="n">
        <f aca="false">IF(OR(OR($B391="",$E391="",$F391=""),$L391&lt;&gt;"لا"),0,MAX(0,MIN($F391,EOMONTH(DATE(cfg_FY,11,1),0))-$E391+1))</f>
        <v>0</v>
      </c>
      <c r="AS391" s="133" t="n">
        <f aca="false">IF(OR(OR($B391="",$E391="",$F391=""),$L391&lt;&gt;"لا"),0,MAX(0,MIN($F391,EOMONTH(DATE(cfg_FY,12,1),0))-$E391+1))</f>
        <v>0</v>
      </c>
      <c r="AT391" s="133" t="n">
        <f aca="false">IF(OR(OR($B391="",$E391="",$F391=""),$K391&lt;&gt;"نعم",$M391="نعم"),0,MAX(0,MIN($F391,EOMONTH(DATE(cfg_FY,1,1),0))-MAX($E391,DATE(cfg_FY,1,1))+1))</f>
        <v>0</v>
      </c>
      <c r="AU391" s="133" t="n">
        <f aca="false">IF(OR(OR($B391="",$E391="",$F391=""),$K391&lt;&gt;"نعم",$M391="نعم"),0,MAX(0,MIN($F391,EOMONTH(DATE(cfg_FY,2,1),0))-MAX($E391,DATE(cfg_FY,2,1))+1))</f>
        <v>0</v>
      </c>
      <c r="AV391" s="133" t="n">
        <f aca="false">IF(OR(OR($B391="",$E391="",$F391=""),$K391&lt;&gt;"نعم",$M391="نعم"),0,MAX(0,MIN($F391,EOMONTH(DATE(cfg_FY,3,1),0))-MAX($E391,DATE(cfg_FY,3,1))+1))</f>
        <v>0</v>
      </c>
      <c r="AW391" s="133" t="n">
        <f aca="false">IF(OR(OR($B391="",$E391="",$F391=""),$K391&lt;&gt;"نعم",$M391="نعم"),0,MAX(0,MIN($F391,EOMONTH(DATE(cfg_FY,4,1),0))-MAX($E391,DATE(cfg_FY,4,1))+1))</f>
        <v>0</v>
      </c>
      <c r="AX391" s="133" t="n">
        <f aca="false">IF(OR(OR($B391="",$E391="",$F391=""),$K391&lt;&gt;"نعم",$M391="نعم"),0,MAX(0,MIN($F391,EOMONTH(DATE(cfg_FY,5,1),0))-MAX($E391,DATE(cfg_FY,5,1))+1))</f>
        <v>0</v>
      </c>
      <c r="AY391" s="133" t="n">
        <f aca="false">IF(OR(OR($B391="",$E391="",$F391=""),$K391&lt;&gt;"نعم",$M391="نعم"),0,MAX(0,MIN($F391,EOMONTH(DATE(cfg_FY,6,1),0))-MAX($E391,DATE(cfg_FY,6,1))+1))</f>
        <v>0</v>
      </c>
      <c r="AZ391" s="133" t="n">
        <f aca="false">IF(OR(OR($B391="",$E391="",$F391=""),$K391&lt;&gt;"نعم",$M391="نعم"),0,MAX(0,MIN($F391,EOMONTH(DATE(cfg_FY,7,1),0))-MAX($E391,DATE(cfg_FY,7,1))+1))</f>
        <v>0</v>
      </c>
      <c r="BA391" s="133" t="n">
        <f aca="false">IF(OR(OR($B391="",$E391="",$F391=""),$K391&lt;&gt;"نعم",$M391="نعم"),0,MAX(0,MIN($F391,EOMONTH(DATE(cfg_FY,8,1),0))-MAX($E391,DATE(cfg_FY,8,1))+1))</f>
        <v>0</v>
      </c>
      <c r="BB391" s="133" t="n">
        <f aca="false">IF(OR(OR($B391="",$E391="",$F391=""),$K391&lt;&gt;"نعم",$M391="نعم"),0,MAX(0,MIN($F391,EOMONTH(DATE(cfg_FY,9,1),0))-MAX($E391,DATE(cfg_FY,9,1))+1))</f>
        <v>0</v>
      </c>
      <c r="BC391" s="133" t="n">
        <f aca="false">IF(OR(OR($B391="",$E391="",$F391=""),$K391&lt;&gt;"نعم",$M391="نعم"),0,MAX(0,MIN($F391,EOMONTH(DATE(cfg_FY,10,1),0))-MAX($E391,DATE(cfg_FY,10,1))+1))</f>
        <v>0</v>
      </c>
      <c r="BD391" s="133" t="n">
        <f aca="false">IF(OR(OR($B391="",$E391="",$F391=""),$K391&lt;&gt;"نعم",$M391="نعم"),0,MAX(0,MIN($F391,EOMONTH(DATE(cfg_FY,11,1),0))-MAX($E391,DATE(cfg_FY,11,1))+1))</f>
        <v>0</v>
      </c>
      <c r="BE391" s="133" t="n">
        <f aca="false">IF(OR(OR($B391="",$E391="",$F391=""),$K391&lt;&gt;"نعم",$M391="نعم"),0,MAX(0,MIN($F391,EOMONTH(DATE(cfg_FY,12,1),0))-MAX($E391,DATE(cfg_FY,12,1))+1))</f>
        <v>0</v>
      </c>
    </row>
    <row r="392" customFormat="false" ht="15" hidden="false" customHeight="false" outlineLevel="0" collapsed="false">
      <c r="A392" s="106" t="str">
        <f aca="false">IF(B392="","",ROW()-5)</f>
        <v/>
      </c>
      <c r="B392" s="118"/>
      <c r="C392" s="114" t="str">
        <f aca="false">IF(B392="","",IFERROR(INDEX(الموظفون!$C$6:$C$105,MATCH(B392,الموظفون!$B$6:$B$105,0)),"✖ رقم غير موجود"))</f>
        <v/>
      </c>
      <c r="D392" s="118"/>
      <c r="E392" s="119"/>
      <c r="F392" s="119"/>
      <c r="G392" s="65" t="str">
        <f aca="false">IF(OR($B392="",$E392="",$F392=""),"",MAX(0,F392-E392+1))</f>
        <v/>
      </c>
      <c r="H392" s="66" t="str">
        <f aca="false">IF(D392="","",IFERROR(VLOOKUP(D392,cfg_LT,2,FALSE()),1))</f>
        <v/>
      </c>
      <c r="I392" s="135"/>
      <c r="J392" s="66" t="str">
        <f aca="false">IF(D392="","",IF(I392&lt;&gt;"",I392,H392))</f>
        <v/>
      </c>
      <c r="K392" s="114" t="str">
        <f aca="false">IF(D392="","",IFERROR(VLOOKUP($D392,cfg_LT,3,FALSE()),""))</f>
        <v/>
      </c>
      <c r="L392" s="114" t="str">
        <f aca="false">IF(D392="","",IFERROR(VLOOKUP($D392,cfg_LT,4,FALSE()),""))</f>
        <v/>
      </c>
      <c r="M392" s="114" t="str">
        <f aca="false">IF(D392="","",IFERROR(VLOOKUP($D392,cfg_LT,5,FALSE()),""))</f>
        <v/>
      </c>
      <c r="N392" s="111" t="n">
        <f aca="false">IF(OR(OR($B392="",$E392="",$F392=""),M392&lt;&gt;"نعم"),0,G392*J392*IFERROR(INDEX(الموظفون!$R$6:$R$105,MATCH(B392,الموظفون!$B$6:$B$105,0)),0)/cfg_DAYS_M)</f>
        <v>0</v>
      </c>
      <c r="O392" s="106" t="str">
        <f aca="false">IF(OR(OR($B392="",$E392="",$F392=""),M392&lt;&gt;"نعم"),"",IF(YEAR(E392)=cfg_FY,MONTH(E392),""))</f>
        <v/>
      </c>
      <c r="P392" s="114" t="str">
        <f aca="false">IF(B392="","",IF(OR(D392="",E392="",F392=""),"⚠ أكمل النوع والتواريخ",IF(F392&lt;E392,"✖ النهاية قبل البداية",IF(COUNTIFS($B$6:$B$505,B392,$E$6:$E$505,"&lt;="&amp;F392,$F$6:$F$505,"&gt;="&amp;E392)&gt;1,"⚠ تداخل مع سجل آخر",IF(E392&gt;cfg_VAL_DATE,"⏳ قادمة",IF(F392&lt;cfg_VAL_DATE,"✔ منتهية","✈ جارية في تاريخ التقرير"))))))</f>
        <v/>
      </c>
      <c r="Q392" s="118"/>
      <c r="R392" s="65" t="n">
        <f aca="false">IF(OR(OR($B392="",$E392="",$F392=""),L392&lt;&gt;"لا"),0,MAX(0,MIN(F392,cfg_Y_START-1)-E392+1))</f>
        <v>0</v>
      </c>
      <c r="S392" s="65" t="n">
        <f aca="false">IF(OR(OR($B392="",$E392="",$F392=""),L392&lt;&gt;"لا"),0,MAX(0,MIN(F392,cfg_VAL_DATE)-E392+1))</f>
        <v>0</v>
      </c>
      <c r="T392" s="65" t="n">
        <f aca="false">IF(OR(OR($B392="",$E392="",$F392=""),K392&lt;&gt;"نعم"),0,IF(M392="نعم",IF(AND(ISNUMBER(O392),N(O392)&lt;=cfg_VAL_M),G392,0),MAX(0,MIN(F392,cfg_VAL_DATE)-MAX(E392,cfg_Y_START)+1)))</f>
        <v>0</v>
      </c>
      <c r="V392" s="65" t="n">
        <f aca="false">IF(OR($B392="",$E392="",$F392=""),0,MAX(0,MIN($F392,EOMONTH(DATE(cfg_FY,1,1),0))-MAX($E392,DATE(cfg_FY,1,1))+1)*(1-IF($M392="نعم",0,N($J392))))</f>
        <v>0</v>
      </c>
      <c r="W392" s="65" t="n">
        <f aca="false">IF(OR($B392="",$E392="",$F392=""),0,MAX(0,MIN($F392,EOMONTH(DATE(cfg_FY,2,1),0))-MAX($E392,DATE(cfg_FY,2,1))+1)*(1-IF($M392="نعم",0,N($J392))))</f>
        <v>0</v>
      </c>
      <c r="X392" s="65" t="n">
        <f aca="false">IF(OR($B392="",$E392="",$F392=""),0,MAX(0,MIN($F392,EOMONTH(DATE(cfg_FY,3,1),0))-MAX($E392,DATE(cfg_FY,3,1))+1)*(1-IF($M392="نعم",0,N($J392))))</f>
        <v>0</v>
      </c>
      <c r="Y392" s="65" t="n">
        <f aca="false">IF(OR($B392="",$E392="",$F392=""),0,MAX(0,MIN($F392,EOMONTH(DATE(cfg_FY,4,1),0))-MAX($E392,DATE(cfg_FY,4,1))+1)*(1-IF($M392="نعم",0,N($J392))))</f>
        <v>0</v>
      </c>
      <c r="Z392" s="65" t="n">
        <f aca="false">IF(OR($B392="",$E392="",$F392=""),0,MAX(0,MIN($F392,EOMONTH(DATE(cfg_FY,5,1),0))-MAX($E392,DATE(cfg_FY,5,1))+1)*(1-IF($M392="نعم",0,N($J392))))</f>
        <v>0</v>
      </c>
      <c r="AA392" s="65" t="n">
        <f aca="false">IF(OR($B392="",$E392="",$F392=""),0,MAX(0,MIN($F392,EOMONTH(DATE(cfg_FY,6,1),0))-MAX($E392,DATE(cfg_FY,6,1))+1)*(1-IF($M392="نعم",0,N($J392))))</f>
        <v>0</v>
      </c>
      <c r="AB392" s="65" t="n">
        <f aca="false">IF(OR($B392="",$E392="",$F392=""),0,MAX(0,MIN($F392,EOMONTH(DATE(cfg_FY,7,1),0))-MAX($E392,DATE(cfg_FY,7,1))+1)*(1-IF($M392="نعم",0,N($J392))))</f>
        <v>0</v>
      </c>
      <c r="AC392" s="65" t="n">
        <f aca="false">IF(OR($B392="",$E392="",$F392=""),0,MAX(0,MIN($F392,EOMONTH(DATE(cfg_FY,8,1),0))-MAX($E392,DATE(cfg_FY,8,1))+1)*(1-IF($M392="نعم",0,N($J392))))</f>
        <v>0</v>
      </c>
      <c r="AD392" s="65" t="n">
        <f aca="false">IF(OR($B392="",$E392="",$F392=""),0,MAX(0,MIN($F392,EOMONTH(DATE(cfg_FY,9,1),0))-MAX($E392,DATE(cfg_FY,9,1))+1)*(1-IF($M392="نعم",0,N($J392))))</f>
        <v>0</v>
      </c>
      <c r="AE392" s="65" t="n">
        <f aca="false">IF(OR($B392="",$E392="",$F392=""),0,MAX(0,MIN($F392,EOMONTH(DATE(cfg_FY,10,1),0))-MAX($E392,DATE(cfg_FY,10,1))+1)*(1-IF($M392="نعم",0,N($J392))))</f>
        <v>0</v>
      </c>
      <c r="AF392" s="65" t="n">
        <f aca="false">IF(OR($B392="",$E392="",$F392=""),0,MAX(0,MIN($F392,EOMONTH(DATE(cfg_FY,11,1),0))-MAX($E392,DATE(cfg_FY,11,1))+1)*(1-IF($M392="نعم",0,N($J392))))</f>
        <v>0</v>
      </c>
      <c r="AG392" s="65" t="n">
        <f aca="false">IF(OR($B392="",$E392="",$F392=""),0,MAX(0,MIN($F392,EOMONTH(DATE(cfg_FY,12,1),0))-MAX($E392,DATE(cfg_FY,12,1))+1)*(1-IF($M392="نعم",0,N($J392))))</f>
        <v>0</v>
      </c>
      <c r="AH392" s="65" t="n">
        <f aca="false">IF(OR(OR($B392="",$E392="",$F392=""),$L392&lt;&gt;"لا"),0,MAX(0,MIN($F392,EOMONTH(DATE(cfg_FY,1,1),0))-$E392+1))</f>
        <v>0</v>
      </c>
      <c r="AI392" s="65" t="n">
        <f aca="false">IF(OR(OR($B392="",$E392="",$F392=""),$L392&lt;&gt;"لا"),0,MAX(0,MIN($F392,EOMONTH(DATE(cfg_FY,2,1),0))-$E392+1))</f>
        <v>0</v>
      </c>
      <c r="AJ392" s="65" t="n">
        <f aca="false">IF(OR(OR($B392="",$E392="",$F392=""),$L392&lt;&gt;"لا"),0,MAX(0,MIN($F392,EOMONTH(DATE(cfg_FY,3,1),0))-$E392+1))</f>
        <v>0</v>
      </c>
      <c r="AK392" s="65" t="n">
        <f aca="false">IF(OR(OR($B392="",$E392="",$F392=""),$L392&lt;&gt;"لا"),0,MAX(0,MIN($F392,EOMONTH(DATE(cfg_FY,4,1),0))-$E392+1))</f>
        <v>0</v>
      </c>
      <c r="AL392" s="65" t="n">
        <f aca="false">IF(OR(OR($B392="",$E392="",$F392=""),$L392&lt;&gt;"لا"),0,MAX(0,MIN($F392,EOMONTH(DATE(cfg_FY,5,1),0))-$E392+1))</f>
        <v>0</v>
      </c>
      <c r="AM392" s="65" t="n">
        <f aca="false">IF(OR(OR($B392="",$E392="",$F392=""),$L392&lt;&gt;"لا"),0,MAX(0,MIN($F392,EOMONTH(DATE(cfg_FY,6,1),0))-$E392+1))</f>
        <v>0</v>
      </c>
      <c r="AN392" s="65" t="n">
        <f aca="false">IF(OR(OR($B392="",$E392="",$F392=""),$L392&lt;&gt;"لا"),0,MAX(0,MIN($F392,EOMONTH(DATE(cfg_FY,7,1),0))-$E392+1))</f>
        <v>0</v>
      </c>
      <c r="AO392" s="65" t="n">
        <f aca="false">IF(OR(OR($B392="",$E392="",$F392=""),$L392&lt;&gt;"لا"),0,MAX(0,MIN($F392,EOMONTH(DATE(cfg_FY,8,1),0))-$E392+1))</f>
        <v>0</v>
      </c>
      <c r="AP392" s="65" t="n">
        <f aca="false">IF(OR(OR($B392="",$E392="",$F392=""),$L392&lt;&gt;"لا"),0,MAX(0,MIN($F392,EOMONTH(DATE(cfg_FY,9,1),0))-$E392+1))</f>
        <v>0</v>
      </c>
      <c r="AQ392" s="65" t="n">
        <f aca="false">IF(OR(OR($B392="",$E392="",$F392=""),$L392&lt;&gt;"لا"),0,MAX(0,MIN($F392,EOMONTH(DATE(cfg_FY,10,1),0))-$E392+1))</f>
        <v>0</v>
      </c>
      <c r="AR392" s="65" t="n">
        <f aca="false">IF(OR(OR($B392="",$E392="",$F392=""),$L392&lt;&gt;"لا"),0,MAX(0,MIN($F392,EOMONTH(DATE(cfg_FY,11,1),0))-$E392+1))</f>
        <v>0</v>
      </c>
      <c r="AS392" s="65" t="n">
        <f aca="false">IF(OR(OR($B392="",$E392="",$F392=""),$L392&lt;&gt;"لا"),0,MAX(0,MIN($F392,EOMONTH(DATE(cfg_FY,12,1),0))-$E392+1))</f>
        <v>0</v>
      </c>
      <c r="AT392" s="65" t="n">
        <f aca="false">IF(OR(OR($B392="",$E392="",$F392=""),$K392&lt;&gt;"نعم",$M392="نعم"),0,MAX(0,MIN($F392,EOMONTH(DATE(cfg_FY,1,1),0))-MAX($E392,DATE(cfg_FY,1,1))+1))</f>
        <v>0</v>
      </c>
      <c r="AU392" s="65" t="n">
        <f aca="false">IF(OR(OR($B392="",$E392="",$F392=""),$K392&lt;&gt;"نعم",$M392="نعم"),0,MAX(0,MIN($F392,EOMONTH(DATE(cfg_FY,2,1),0))-MAX($E392,DATE(cfg_FY,2,1))+1))</f>
        <v>0</v>
      </c>
      <c r="AV392" s="65" t="n">
        <f aca="false">IF(OR(OR($B392="",$E392="",$F392=""),$K392&lt;&gt;"نعم",$M392="نعم"),0,MAX(0,MIN($F392,EOMONTH(DATE(cfg_FY,3,1),0))-MAX($E392,DATE(cfg_FY,3,1))+1))</f>
        <v>0</v>
      </c>
      <c r="AW392" s="65" t="n">
        <f aca="false">IF(OR(OR($B392="",$E392="",$F392=""),$K392&lt;&gt;"نعم",$M392="نعم"),0,MAX(0,MIN($F392,EOMONTH(DATE(cfg_FY,4,1),0))-MAX($E392,DATE(cfg_FY,4,1))+1))</f>
        <v>0</v>
      </c>
      <c r="AX392" s="65" t="n">
        <f aca="false">IF(OR(OR($B392="",$E392="",$F392=""),$K392&lt;&gt;"نعم",$M392="نعم"),0,MAX(0,MIN($F392,EOMONTH(DATE(cfg_FY,5,1),0))-MAX($E392,DATE(cfg_FY,5,1))+1))</f>
        <v>0</v>
      </c>
      <c r="AY392" s="65" t="n">
        <f aca="false">IF(OR(OR($B392="",$E392="",$F392=""),$K392&lt;&gt;"نعم",$M392="نعم"),0,MAX(0,MIN($F392,EOMONTH(DATE(cfg_FY,6,1),0))-MAX($E392,DATE(cfg_FY,6,1))+1))</f>
        <v>0</v>
      </c>
      <c r="AZ392" s="65" t="n">
        <f aca="false">IF(OR(OR($B392="",$E392="",$F392=""),$K392&lt;&gt;"نعم",$M392="نعم"),0,MAX(0,MIN($F392,EOMONTH(DATE(cfg_FY,7,1),0))-MAX($E392,DATE(cfg_FY,7,1))+1))</f>
        <v>0</v>
      </c>
      <c r="BA392" s="65" t="n">
        <f aca="false">IF(OR(OR($B392="",$E392="",$F392=""),$K392&lt;&gt;"نعم",$M392="نعم"),0,MAX(0,MIN($F392,EOMONTH(DATE(cfg_FY,8,1),0))-MAX($E392,DATE(cfg_FY,8,1))+1))</f>
        <v>0</v>
      </c>
      <c r="BB392" s="65" t="n">
        <f aca="false">IF(OR(OR($B392="",$E392="",$F392=""),$K392&lt;&gt;"نعم",$M392="نعم"),0,MAX(0,MIN($F392,EOMONTH(DATE(cfg_FY,9,1),0))-MAX($E392,DATE(cfg_FY,9,1))+1))</f>
        <v>0</v>
      </c>
      <c r="BC392" s="65" t="n">
        <f aca="false">IF(OR(OR($B392="",$E392="",$F392=""),$K392&lt;&gt;"نعم",$M392="نعم"),0,MAX(0,MIN($F392,EOMONTH(DATE(cfg_FY,10,1),0))-MAX($E392,DATE(cfg_FY,10,1))+1))</f>
        <v>0</v>
      </c>
      <c r="BD392" s="65" t="n">
        <f aca="false">IF(OR(OR($B392="",$E392="",$F392=""),$K392&lt;&gt;"نعم",$M392="نعم"),0,MAX(0,MIN($F392,EOMONTH(DATE(cfg_FY,11,1),0))-MAX($E392,DATE(cfg_FY,11,1))+1))</f>
        <v>0</v>
      </c>
      <c r="BE392" s="65" t="n">
        <f aca="false">IF(OR(OR($B392="",$E392="",$F392=""),$K392&lt;&gt;"نعم",$M392="نعم"),0,MAX(0,MIN($F392,EOMONTH(DATE(cfg_FY,12,1),0))-MAX($E392,DATE(cfg_FY,12,1))+1))</f>
        <v>0</v>
      </c>
    </row>
    <row r="393" customFormat="false" ht="15" hidden="false" customHeight="false" outlineLevel="0" collapsed="false">
      <c r="A393" s="115" t="str">
        <f aca="false">IF(B393="","",ROW()-5)</f>
        <v/>
      </c>
      <c r="B393" s="118"/>
      <c r="C393" s="117" t="str">
        <f aca="false">IF(B393="","",IFERROR(INDEX(الموظفون!$C$6:$C$105,MATCH(B393,الموظفون!$B$6:$B$105,0)),"✖ رقم غير موجود"))</f>
        <v/>
      </c>
      <c r="D393" s="118"/>
      <c r="E393" s="119"/>
      <c r="F393" s="119"/>
      <c r="G393" s="133" t="str">
        <f aca="false">IF(OR($B393="",$E393="",$F393=""),"",MAX(0,F393-E393+1))</f>
        <v/>
      </c>
      <c r="H393" s="134" t="str">
        <f aca="false">IF(D393="","",IFERROR(VLOOKUP(D393,cfg_LT,2,FALSE()),1))</f>
        <v/>
      </c>
      <c r="I393" s="135"/>
      <c r="J393" s="134" t="str">
        <f aca="false">IF(D393="","",IF(I393&lt;&gt;"",I393,H393))</f>
        <v/>
      </c>
      <c r="K393" s="117" t="str">
        <f aca="false">IF(D393="","",IFERROR(VLOOKUP($D393,cfg_LT,3,FALSE()),""))</f>
        <v/>
      </c>
      <c r="L393" s="117" t="str">
        <f aca="false">IF(D393="","",IFERROR(VLOOKUP($D393,cfg_LT,4,FALSE()),""))</f>
        <v/>
      </c>
      <c r="M393" s="117" t="str">
        <f aca="false">IF(D393="","",IFERROR(VLOOKUP($D393,cfg_LT,5,FALSE()),""))</f>
        <v/>
      </c>
      <c r="N393" s="116" t="n">
        <f aca="false">IF(OR(OR($B393="",$E393="",$F393=""),M393&lt;&gt;"نعم"),0,G393*J393*IFERROR(INDEX(الموظفون!$R$6:$R$105,MATCH(B393,الموظفون!$B$6:$B$105,0)),0)/cfg_DAYS_M)</f>
        <v>0</v>
      </c>
      <c r="O393" s="115" t="str">
        <f aca="false">IF(OR(OR($B393="",$E393="",$F393=""),M393&lt;&gt;"نعم"),"",IF(YEAR(E393)=cfg_FY,MONTH(E393),""))</f>
        <v/>
      </c>
      <c r="P393" s="117" t="str">
        <f aca="false">IF(B393="","",IF(OR(D393="",E393="",F393=""),"⚠ أكمل النوع والتواريخ",IF(F393&lt;E393,"✖ النهاية قبل البداية",IF(COUNTIFS($B$6:$B$505,B393,$E$6:$E$505,"&lt;="&amp;F393,$F$6:$F$505,"&gt;="&amp;E393)&gt;1,"⚠ تداخل مع سجل آخر",IF(E393&gt;cfg_VAL_DATE,"⏳ قادمة",IF(F393&lt;cfg_VAL_DATE,"✔ منتهية","✈ جارية في تاريخ التقرير"))))))</f>
        <v/>
      </c>
      <c r="Q393" s="118"/>
      <c r="R393" s="133" t="n">
        <f aca="false">IF(OR(OR($B393="",$E393="",$F393=""),L393&lt;&gt;"لا"),0,MAX(0,MIN(F393,cfg_Y_START-1)-E393+1))</f>
        <v>0</v>
      </c>
      <c r="S393" s="133" t="n">
        <f aca="false">IF(OR(OR($B393="",$E393="",$F393=""),L393&lt;&gt;"لا"),0,MAX(0,MIN(F393,cfg_VAL_DATE)-E393+1))</f>
        <v>0</v>
      </c>
      <c r="T393" s="133" t="n">
        <f aca="false">IF(OR(OR($B393="",$E393="",$F393=""),K393&lt;&gt;"نعم"),0,IF(M393="نعم",IF(AND(ISNUMBER(O393),N(O393)&lt;=cfg_VAL_M),G393,0),MAX(0,MIN(F393,cfg_VAL_DATE)-MAX(E393,cfg_Y_START)+1)))</f>
        <v>0</v>
      </c>
      <c r="V393" s="133" t="n">
        <f aca="false">IF(OR($B393="",$E393="",$F393=""),0,MAX(0,MIN($F393,EOMONTH(DATE(cfg_FY,1,1),0))-MAX($E393,DATE(cfg_FY,1,1))+1)*(1-IF($M393="نعم",0,N($J393))))</f>
        <v>0</v>
      </c>
      <c r="W393" s="133" t="n">
        <f aca="false">IF(OR($B393="",$E393="",$F393=""),0,MAX(0,MIN($F393,EOMONTH(DATE(cfg_FY,2,1),0))-MAX($E393,DATE(cfg_FY,2,1))+1)*(1-IF($M393="نعم",0,N($J393))))</f>
        <v>0</v>
      </c>
      <c r="X393" s="133" t="n">
        <f aca="false">IF(OR($B393="",$E393="",$F393=""),0,MAX(0,MIN($F393,EOMONTH(DATE(cfg_FY,3,1),0))-MAX($E393,DATE(cfg_FY,3,1))+1)*(1-IF($M393="نعم",0,N($J393))))</f>
        <v>0</v>
      </c>
      <c r="Y393" s="133" t="n">
        <f aca="false">IF(OR($B393="",$E393="",$F393=""),0,MAX(0,MIN($F393,EOMONTH(DATE(cfg_FY,4,1),0))-MAX($E393,DATE(cfg_FY,4,1))+1)*(1-IF($M393="نعم",0,N($J393))))</f>
        <v>0</v>
      </c>
      <c r="Z393" s="133" t="n">
        <f aca="false">IF(OR($B393="",$E393="",$F393=""),0,MAX(0,MIN($F393,EOMONTH(DATE(cfg_FY,5,1),0))-MAX($E393,DATE(cfg_FY,5,1))+1)*(1-IF($M393="نعم",0,N($J393))))</f>
        <v>0</v>
      </c>
      <c r="AA393" s="133" t="n">
        <f aca="false">IF(OR($B393="",$E393="",$F393=""),0,MAX(0,MIN($F393,EOMONTH(DATE(cfg_FY,6,1),0))-MAX($E393,DATE(cfg_FY,6,1))+1)*(1-IF($M393="نعم",0,N($J393))))</f>
        <v>0</v>
      </c>
      <c r="AB393" s="133" t="n">
        <f aca="false">IF(OR($B393="",$E393="",$F393=""),0,MAX(0,MIN($F393,EOMONTH(DATE(cfg_FY,7,1),0))-MAX($E393,DATE(cfg_FY,7,1))+1)*(1-IF($M393="نعم",0,N($J393))))</f>
        <v>0</v>
      </c>
      <c r="AC393" s="133" t="n">
        <f aca="false">IF(OR($B393="",$E393="",$F393=""),0,MAX(0,MIN($F393,EOMONTH(DATE(cfg_FY,8,1),0))-MAX($E393,DATE(cfg_FY,8,1))+1)*(1-IF($M393="نعم",0,N($J393))))</f>
        <v>0</v>
      </c>
      <c r="AD393" s="133" t="n">
        <f aca="false">IF(OR($B393="",$E393="",$F393=""),0,MAX(0,MIN($F393,EOMONTH(DATE(cfg_FY,9,1),0))-MAX($E393,DATE(cfg_FY,9,1))+1)*(1-IF($M393="نعم",0,N($J393))))</f>
        <v>0</v>
      </c>
      <c r="AE393" s="133" t="n">
        <f aca="false">IF(OR($B393="",$E393="",$F393=""),0,MAX(0,MIN($F393,EOMONTH(DATE(cfg_FY,10,1),0))-MAX($E393,DATE(cfg_FY,10,1))+1)*(1-IF($M393="نعم",0,N($J393))))</f>
        <v>0</v>
      </c>
      <c r="AF393" s="133" t="n">
        <f aca="false">IF(OR($B393="",$E393="",$F393=""),0,MAX(0,MIN($F393,EOMONTH(DATE(cfg_FY,11,1),0))-MAX($E393,DATE(cfg_FY,11,1))+1)*(1-IF($M393="نعم",0,N($J393))))</f>
        <v>0</v>
      </c>
      <c r="AG393" s="133" t="n">
        <f aca="false">IF(OR($B393="",$E393="",$F393=""),0,MAX(0,MIN($F393,EOMONTH(DATE(cfg_FY,12,1),0))-MAX($E393,DATE(cfg_FY,12,1))+1)*(1-IF($M393="نعم",0,N($J393))))</f>
        <v>0</v>
      </c>
      <c r="AH393" s="133" t="n">
        <f aca="false">IF(OR(OR($B393="",$E393="",$F393=""),$L393&lt;&gt;"لا"),0,MAX(0,MIN($F393,EOMONTH(DATE(cfg_FY,1,1),0))-$E393+1))</f>
        <v>0</v>
      </c>
      <c r="AI393" s="133" t="n">
        <f aca="false">IF(OR(OR($B393="",$E393="",$F393=""),$L393&lt;&gt;"لا"),0,MAX(0,MIN($F393,EOMONTH(DATE(cfg_FY,2,1),0))-$E393+1))</f>
        <v>0</v>
      </c>
      <c r="AJ393" s="133" t="n">
        <f aca="false">IF(OR(OR($B393="",$E393="",$F393=""),$L393&lt;&gt;"لا"),0,MAX(0,MIN($F393,EOMONTH(DATE(cfg_FY,3,1),0))-$E393+1))</f>
        <v>0</v>
      </c>
      <c r="AK393" s="133" t="n">
        <f aca="false">IF(OR(OR($B393="",$E393="",$F393=""),$L393&lt;&gt;"لا"),0,MAX(0,MIN($F393,EOMONTH(DATE(cfg_FY,4,1),0))-$E393+1))</f>
        <v>0</v>
      </c>
      <c r="AL393" s="133" t="n">
        <f aca="false">IF(OR(OR($B393="",$E393="",$F393=""),$L393&lt;&gt;"لا"),0,MAX(0,MIN($F393,EOMONTH(DATE(cfg_FY,5,1),0))-$E393+1))</f>
        <v>0</v>
      </c>
      <c r="AM393" s="133" t="n">
        <f aca="false">IF(OR(OR($B393="",$E393="",$F393=""),$L393&lt;&gt;"لا"),0,MAX(0,MIN($F393,EOMONTH(DATE(cfg_FY,6,1),0))-$E393+1))</f>
        <v>0</v>
      </c>
      <c r="AN393" s="133" t="n">
        <f aca="false">IF(OR(OR($B393="",$E393="",$F393=""),$L393&lt;&gt;"لا"),0,MAX(0,MIN($F393,EOMONTH(DATE(cfg_FY,7,1),0))-$E393+1))</f>
        <v>0</v>
      </c>
      <c r="AO393" s="133" t="n">
        <f aca="false">IF(OR(OR($B393="",$E393="",$F393=""),$L393&lt;&gt;"لا"),0,MAX(0,MIN($F393,EOMONTH(DATE(cfg_FY,8,1),0))-$E393+1))</f>
        <v>0</v>
      </c>
      <c r="AP393" s="133" t="n">
        <f aca="false">IF(OR(OR($B393="",$E393="",$F393=""),$L393&lt;&gt;"لا"),0,MAX(0,MIN($F393,EOMONTH(DATE(cfg_FY,9,1),0))-$E393+1))</f>
        <v>0</v>
      </c>
      <c r="AQ393" s="133" t="n">
        <f aca="false">IF(OR(OR($B393="",$E393="",$F393=""),$L393&lt;&gt;"لا"),0,MAX(0,MIN($F393,EOMONTH(DATE(cfg_FY,10,1),0))-$E393+1))</f>
        <v>0</v>
      </c>
      <c r="AR393" s="133" t="n">
        <f aca="false">IF(OR(OR($B393="",$E393="",$F393=""),$L393&lt;&gt;"لا"),0,MAX(0,MIN($F393,EOMONTH(DATE(cfg_FY,11,1),0))-$E393+1))</f>
        <v>0</v>
      </c>
      <c r="AS393" s="133" t="n">
        <f aca="false">IF(OR(OR($B393="",$E393="",$F393=""),$L393&lt;&gt;"لا"),0,MAX(0,MIN($F393,EOMONTH(DATE(cfg_FY,12,1),0))-$E393+1))</f>
        <v>0</v>
      </c>
      <c r="AT393" s="133" t="n">
        <f aca="false">IF(OR(OR($B393="",$E393="",$F393=""),$K393&lt;&gt;"نعم",$M393="نعم"),0,MAX(0,MIN($F393,EOMONTH(DATE(cfg_FY,1,1),0))-MAX($E393,DATE(cfg_FY,1,1))+1))</f>
        <v>0</v>
      </c>
      <c r="AU393" s="133" t="n">
        <f aca="false">IF(OR(OR($B393="",$E393="",$F393=""),$K393&lt;&gt;"نعم",$M393="نعم"),0,MAX(0,MIN($F393,EOMONTH(DATE(cfg_FY,2,1),0))-MAX($E393,DATE(cfg_FY,2,1))+1))</f>
        <v>0</v>
      </c>
      <c r="AV393" s="133" t="n">
        <f aca="false">IF(OR(OR($B393="",$E393="",$F393=""),$K393&lt;&gt;"نعم",$M393="نعم"),0,MAX(0,MIN($F393,EOMONTH(DATE(cfg_FY,3,1),0))-MAX($E393,DATE(cfg_FY,3,1))+1))</f>
        <v>0</v>
      </c>
      <c r="AW393" s="133" t="n">
        <f aca="false">IF(OR(OR($B393="",$E393="",$F393=""),$K393&lt;&gt;"نعم",$M393="نعم"),0,MAX(0,MIN($F393,EOMONTH(DATE(cfg_FY,4,1),0))-MAX($E393,DATE(cfg_FY,4,1))+1))</f>
        <v>0</v>
      </c>
      <c r="AX393" s="133" t="n">
        <f aca="false">IF(OR(OR($B393="",$E393="",$F393=""),$K393&lt;&gt;"نعم",$M393="نعم"),0,MAX(0,MIN($F393,EOMONTH(DATE(cfg_FY,5,1),0))-MAX($E393,DATE(cfg_FY,5,1))+1))</f>
        <v>0</v>
      </c>
      <c r="AY393" s="133" t="n">
        <f aca="false">IF(OR(OR($B393="",$E393="",$F393=""),$K393&lt;&gt;"نعم",$M393="نعم"),0,MAX(0,MIN($F393,EOMONTH(DATE(cfg_FY,6,1),0))-MAX($E393,DATE(cfg_FY,6,1))+1))</f>
        <v>0</v>
      </c>
      <c r="AZ393" s="133" t="n">
        <f aca="false">IF(OR(OR($B393="",$E393="",$F393=""),$K393&lt;&gt;"نعم",$M393="نعم"),0,MAX(0,MIN($F393,EOMONTH(DATE(cfg_FY,7,1),0))-MAX($E393,DATE(cfg_FY,7,1))+1))</f>
        <v>0</v>
      </c>
      <c r="BA393" s="133" t="n">
        <f aca="false">IF(OR(OR($B393="",$E393="",$F393=""),$K393&lt;&gt;"نعم",$M393="نعم"),0,MAX(0,MIN($F393,EOMONTH(DATE(cfg_FY,8,1),0))-MAX($E393,DATE(cfg_FY,8,1))+1))</f>
        <v>0</v>
      </c>
      <c r="BB393" s="133" t="n">
        <f aca="false">IF(OR(OR($B393="",$E393="",$F393=""),$K393&lt;&gt;"نعم",$M393="نعم"),0,MAX(0,MIN($F393,EOMONTH(DATE(cfg_FY,9,1),0))-MAX($E393,DATE(cfg_FY,9,1))+1))</f>
        <v>0</v>
      </c>
      <c r="BC393" s="133" t="n">
        <f aca="false">IF(OR(OR($B393="",$E393="",$F393=""),$K393&lt;&gt;"نعم",$M393="نعم"),0,MAX(0,MIN($F393,EOMONTH(DATE(cfg_FY,10,1),0))-MAX($E393,DATE(cfg_FY,10,1))+1))</f>
        <v>0</v>
      </c>
      <c r="BD393" s="133" t="n">
        <f aca="false">IF(OR(OR($B393="",$E393="",$F393=""),$K393&lt;&gt;"نعم",$M393="نعم"),0,MAX(0,MIN($F393,EOMONTH(DATE(cfg_FY,11,1),0))-MAX($E393,DATE(cfg_FY,11,1))+1))</f>
        <v>0</v>
      </c>
      <c r="BE393" s="133" t="n">
        <f aca="false">IF(OR(OR($B393="",$E393="",$F393=""),$K393&lt;&gt;"نعم",$M393="نعم"),0,MAX(0,MIN($F393,EOMONTH(DATE(cfg_FY,12,1),0))-MAX($E393,DATE(cfg_FY,12,1))+1))</f>
        <v>0</v>
      </c>
    </row>
    <row r="394" customFormat="false" ht="15" hidden="false" customHeight="false" outlineLevel="0" collapsed="false">
      <c r="A394" s="106" t="str">
        <f aca="false">IF(B394="","",ROW()-5)</f>
        <v/>
      </c>
      <c r="B394" s="118"/>
      <c r="C394" s="114" t="str">
        <f aca="false">IF(B394="","",IFERROR(INDEX(الموظفون!$C$6:$C$105,MATCH(B394,الموظفون!$B$6:$B$105,0)),"✖ رقم غير موجود"))</f>
        <v/>
      </c>
      <c r="D394" s="118"/>
      <c r="E394" s="119"/>
      <c r="F394" s="119"/>
      <c r="G394" s="65" t="str">
        <f aca="false">IF(OR($B394="",$E394="",$F394=""),"",MAX(0,F394-E394+1))</f>
        <v/>
      </c>
      <c r="H394" s="66" t="str">
        <f aca="false">IF(D394="","",IFERROR(VLOOKUP(D394,cfg_LT,2,FALSE()),1))</f>
        <v/>
      </c>
      <c r="I394" s="135"/>
      <c r="J394" s="66" t="str">
        <f aca="false">IF(D394="","",IF(I394&lt;&gt;"",I394,H394))</f>
        <v/>
      </c>
      <c r="K394" s="114" t="str">
        <f aca="false">IF(D394="","",IFERROR(VLOOKUP($D394,cfg_LT,3,FALSE()),""))</f>
        <v/>
      </c>
      <c r="L394" s="114" t="str">
        <f aca="false">IF(D394="","",IFERROR(VLOOKUP($D394,cfg_LT,4,FALSE()),""))</f>
        <v/>
      </c>
      <c r="M394" s="114" t="str">
        <f aca="false">IF(D394="","",IFERROR(VLOOKUP($D394,cfg_LT,5,FALSE()),""))</f>
        <v/>
      </c>
      <c r="N394" s="111" t="n">
        <f aca="false">IF(OR(OR($B394="",$E394="",$F394=""),M394&lt;&gt;"نعم"),0,G394*J394*IFERROR(INDEX(الموظفون!$R$6:$R$105,MATCH(B394,الموظفون!$B$6:$B$105,0)),0)/cfg_DAYS_M)</f>
        <v>0</v>
      </c>
      <c r="O394" s="106" t="str">
        <f aca="false">IF(OR(OR($B394="",$E394="",$F394=""),M394&lt;&gt;"نعم"),"",IF(YEAR(E394)=cfg_FY,MONTH(E394),""))</f>
        <v/>
      </c>
      <c r="P394" s="114" t="str">
        <f aca="false">IF(B394="","",IF(OR(D394="",E394="",F394=""),"⚠ أكمل النوع والتواريخ",IF(F394&lt;E394,"✖ النهاية قبل البداية",IF(COUNTIFS($B$6:$B$505,B394,$E$6:$E$505,"&lt;="&amp;F394,$F$6:$F$505,"&gt;="&amp;E394)&gt;1,"⚠ تداخل مع سجل آخر",IF(E394&gt;cfg_VAL_DATE,"⏳ قادمة",IF(F394&lt;cfg_VAL_DATE,"✔ منتهية","✈ جارية في تاريخ التقرير"))))))</f>
        <v/>
      </c>
      <c r="Q394" s="118"/>
      <c r="R394" s="65" t="n">
        <f aca="false">IF(OR(OR($B394="",$E394="",$F394=""),L394&lt;&gt;"لا"),0,MAX(0,MIN(F394,cfg_Y_START-1)-E394+1))</f>
        <v>0</v>
      </c>
      <c r="S394" s="65" t="n">
        <f aca="false">IF(OR(OR($B394="",$E394="",$F394=""),L394&lt;&gt;"لا"),0,MAX(0,MIN(F394,cfg_VAL_DATE)-E394+1))</f>
        <v>0</v>
      </c>
      <c r="T394" s="65" t="n">
        <f aca="false">IF(OR(OR($B394="",$E394="",$F394=""),K394&lt;&gt;"نعم"),0,IF(M394="نعم",IF(AND(ISNUMBER(O394),N(O394)&lt;=cfg_VAL_M),G394,0),MAX(0,MIN(F394,cfg_VAL_DATE)-MAX(E394,cfg_Y_START)+1)))</f>
        <v>0</v>
      </c>
      <c r="V394" s="65" t="n">
        <f aca="false">IF(OR($B394="",$E394="",$F394=""),0,MAX(0,MIN($F394,EOMONTH(DATE(cfg_FY,1,1),0))-MAX($E394,DATE(cfg_FY,1,1))+1)*(1-IF($M394="نعم",0,N($J394))))</f>
        <v>0</v>
      </c>
      <c r="W394" s="65" t="n">
        <f aca="false">IF(OR($B394="",$E394="",$F394=""),0,MAX(0,MIN($F394,EOMONTH(DATE(cfg_FY,2,1),0))-MAX($E394,DATE(cfg_FY,2,1))+1)*(1-IF($M394="نعم",0,N($J394))))</f>
        <v>0</v>
      </c>
      <c r="X394" s="65" t="n">
        <f aca="false">IF(OR($B394="",$E394="",$F394=""),0,MAX(0,MIN($F394,EOMONTH(DATE(cfg_FY,3,1),0))-MAX($E394,DATE(cfg_FY,3,1))+1)*(1-IF($M394="نعم",0,N($J394))))</f>
        <v>0</v>
      </c>
      <c r="Y394" s="65" t="n">
        <f aca="false">IF(OR($B394="",$E394="",$F394=""),0,MAX(0,MIN($F394,EOMONTH(DATE(cfg_FY,4,1),0))-MAX($E394,DATE(cfg_FY,4,1))+1)*(1-IF($M394="نعم",0,N($J394))))</f>
        <v>0</v>
      </c>
      <c r="Z394" s="65" t="n">
        <f aca="false">IF(OR($B394="",$E394="",$F394=""),0,MAX(0,MIN($F394,EOMONTH(DATE(cfg_FY,5,1),0))-MAX($E394,DATE(cfg_FY,5,1))+1)*(1-IF($M394="نعم",0,N($J394))))</f>
        <v>0</v>
      </c>
      <c r="AA394" s="65" t="n">
        <f aca="false">IF(OR($B394="",$E394="",$F394=""),0,MAX(0,MIN($F394,EOMONTH(DATE(cfg_FY,6,1),0))-MAX($E394,DATE(cfg_FY,6,1))+1)*(1-IF($M394="نعم",0,N($J394))))</f>
        <v>0</v>
      </c>
      <c r="AB394" s="65" t="n">
        <f aca="false">IF(OR($B394="",$E394="",$F394=""),0,MAX(0,MIN($F394,EOMONTH(DATE(cfg_FY,7,1),0))-MAX($E394,DATE(cfg_FY,7,1))+1)*(1-IF($M394="نعم",0,N($J394))))</f>
        <v>0</v>
      </c>
      <c r="AC394" s="65" t="n">
        <f aca="false">IF(OR($B394="",$E394="",$F394=""),0,MAX(0,MIN($F394,EOMONTH(DATE(cfg_FY,8,1),0))-MAX($E394,DATE(cfg_FY,8,1))+1)*(1-IF($M394="نعم",0,N($J394))))</f>
        <v>0</v>
      </c>
      <c r="AD394" s="65" t="n">
        <f aca="false">IF(OR($B394="",$E394="",$F394=""),0,MAX(0,MIN($F394,EOMONTH(DATE(cfg_FY,9,1),0))-MAX($E394,DATE(cfg_FY,9,1))+1)*(1-IF($M394="نعم",0,N($J394))))</f>
        <v>0</v>
      </c>
      <c r="AE394" s="65" t="n">
        <f aca="false">IF(OR($B394="",$E394="",$F394=""),0,MAX(0,MIN($F394,EOMONTH(DATE(cfg_FY,10,1),0))-MAX($E394,DATE(cfg_FY,10,1))+1)*(1-IF($M394="نعم",0,N($J394))))</f>
        <v>0</v>
      </c>
      <c r="AF394" s="65" t="n">
        <f aca="false">IF(OR($B394="",$E394="",$F394=""),0,MAX(0,MIN($F394,EOMONTH(DATE(cfg_FY,11,1),0))-MAX($E394,DATE(cfg_FY,11,1))+1)*(1-IF($M394="نعم",0,N($J394))))</f>
        <v>0</v>
      </c>
      <c r="AG394" s="65" t="n">
        <f aca="false">IF(OR($B394="",$E394="",$F394=""),0,MAX(0,MIN($F394,EOMONTH(DATE(cfg_FY,12,1),0))-MAX($E394,DATE(cfg_FY,12,1))+1)*(1-IF($M394="نعم",0,N($J394))))</f>
        <v>0</v>
      </c>
      <c r="AH394" s="65" t="n">
        <f aca="false">IF(OR(OR($B394="",$E394="",$F394=""),$L394&lt;&gt;"لا"),0,MAX(0,MIN($F394,EOMONTH(DATE(cfg_FY,1,1),0))-$E394+1))</f>
        <v>0</v>
      </c>
      <c r="AI394" s="65" t="n">
        <f aca="false">IF(OR(OR($B394="",$E394="",$F394=""),$L394&lt;&gt;"لا"),0,MAX(0,MIN($F394,EOMONTH(DATE(cfg_FY,2,1),0))-$E394+1))</f>
        <v>0</v>
      </c>
      <c r="AJ394" s="65" t="n">
        <f aca="false">IF(OR(OR($B394="",$E394="",$F394=""),$L394&lt;&gt;"لا"),0,MAX(0,MIN($F394,EOMONTH(DATE(cfg_FY,3,1),0))-$E394+1))</f>
        <v>0</v>
      </c>
      <c r="AK394" s="65" t="n">
        <f aca="false">IF(OR(OR($B394="",$E394="",$F394=""),$L394&lt;&gt;"لا"),0,MAX(0,MIN($F394,EOMONTH(DATE(cfg_FY,4,1),0))-$E394+1))</f>
        <v>0</v>
      </c>
      <c r="AL394" s="65" t="n">
        <f aca="false">IF(OR(OR($B394="",$E394="",$F394=""),$L394&lt;&gt;"لا"),0,MAX(0,MIN($F394,EOMONTH(DATE(cfg_FY,5,1),0))-$E394+1))</f>
        <v>0</v>
      </c>
      <c r="AM394" s="65" t="n">
        <f aca="false">IF(OR(OR($B394="",$E394="",$F394=""),$L394&lt;&gt;"لا"),0,MAX(0,MIN($F394,EOMONTH(DATE(cfg_FY,6,1),0))-$E394+1))</f>
        <v>0</v>
      </c>
      <c r="AN394" s="65" t="n">
        <f aca="false">IF(OR(OR($B394="",$E394="",$F394=""),$L394&lt;&gt;"لا"),0,MAX(0,MIN($F394,EOMONTH(DATE(cfg_FY,7,1),0))-$E394+1))</f>
        <v>0</v>
      </c>
      <c r="AO394" s="65" t="n">
        <f aca="false">IF(OR(OR($B394="",$E394="",$F394=""),$L394&lt;&gt;"لا"),0,MAX(0,MIN($F394,EOMONTH(DATE(cfg_FY,8,1),0))-$E394+1))</f>
        <v>0</v>
      </c>
      <c r="AP394" s="65" t="n">
        <f aca="false">IF(OR(OR($B394="",$E394="",$F394=""),$L394&lt;&gt;"لا"),0,MAX(0,MIN($F394,EOMONTH(DATE(cfg_FY,9,1),0))-$E394+1))</f>
        <v>0</v>
      </c>
      <c r="AQ394" s="65" t="n">
        <f aca="false">IF(OR(OR($B394="",$E394="",$F394=""),$L394&lt;&gt;"لا"),0,MAX(0,MIN($F394,EOMONTH(DATE(cfg_FY,10,1),0))-$E394+1))</f>
        <v>0</v>
      </c>
      <c r="AR394" s="65" t="n">
        <f aca="false">IF(OR(OR($B394="",$E394="",$F394=""),$L394&lt;&gt;"لا"),0,MAX(0,MIN($F394,EOMONTH(DATE(cfg_FY,11,1),0))-$E394+1))</f>
        <v>0</v>
      </c>
      <c r="AS394" s="65" t="n">
        <f aca="false">IF(OR(OR($B394="",$E394="",$F394=""),$L394&lt;&gt;"لا"),0,MAX(0,MIN($F394,EOMONTH(DATE(cfg_FY,12,1),0))-$E394+1))</f>
        <v>0</v>
      </c>
      <c r="AT394" s="65" t="n">
        <f aca="false">IF(OR(OR($B394="",$E394="",$F394=""),$K394&lt;&gt;"نعم",$M394="نعم"),0,MAX(0,MIN($F394,EOMONTH(DATE(cfg_FY,1,1),0))-MAX($E394,DATE(cfg_FY,1,1))+1))</f>
        <v>0</v>
      </c>
      <c r="AU394" s="65" t="n">
        <f aca="false">IF(OR(OR($B394="",$E394="",$F394=""),$K394&lt;&gt;"نعم",$M394="نعم"),0,MAX(0,MIN($F394,EOMONTH(DATE(cfg_FY,2,1),0))-MAX($E394,DATE(cfg_FY,2,1))+1))</f>
        <v>0</v>
      </c>
      <c r="AV394" s="65" t="n">
        <f aca="false">IF(OR(OR($B394="",$E394="",$F394=""),$K394&lt;&gt;"نعم",$M394="نعم"),0,MAX(0,MIN($F394,EOMONTH(DATE(cfg_FY,3,1),0))-MAX($E394,DATE(cfg_FY,3,1))+1))</f>
        <v>0</v>
      </c>
      <c r="AW394" s="65" t="n">
        <f aca="false">IF(OR(OR($B394="",$E394="",$F394=""),$K394&lt;&gt;"نعم",$M394="نعم"),0,MAX(0,MIN($F394,EOMONTH(DATE(cfg_FY,4,1),0))-MAX($E394,DATE(cfg_FY,4,1))+1))</f>
        <v>0</v>
      </c>
      <c r="AX394" s="65" t="n">
        <f aca="false">IF(OR(OR($B394="",$E394="",$F394=""),$K394&lt;&gt;"نعم",$M394="نعم"),0,MAX(0,MIN($F394,EOMONTH(DATE(cfg_FY,5,1),0))-MAX($E394,DATE(cfg_FY,5,1))+1))</f>
        <v>0</v>
      </c>
      <c r="AY394" s="65" t="n">
        <f aca="false">IF(OR(OR($B394="",$E394="",$F394=""),$K394&lt;&gt;"نعم",$M394="نعم"),0,MAX(0,MIN($F394,EOMONTH(DATE(cfg_FY,6,1),0))-MAX($E394,DATE(cfg_FY,6,1))+1))</f>
        <v>0</v>
      </c>
      <c r="AZ394" s="65" t="n">
        <f aca="false">IF(OR(OR($B394="",$E394="",$F394=""),$K394&lt;&gt;"نعم",$M394="نعم"),0,MAX(0,MIN($F394,EOMONTH(DATE(cfg_FY,7,1),0))-MAX($E394,DATE(cfg_FY,7,1))+1))</f>
        <v>0</v>
      </c>
      <c r="BA394" s="65" t="n">
        <f aca="false">IF(OR(OR($B394="",$E394="",$F394=""),$K394&lt;&gt;"نعم",$M394="نعم"),0,MAX(0,MIN($F394,EOMONTH(DATE(cfg_FY,8,1),0))-MAX($E394,DATE(cfg_FY,8,1))+1))</f>
        <v>0</v>
      </c>
      <c r="BB394" s="65" t="n">
        <f aca="false">IF(OR(OR($B394="",$E394="",$F394=""),$K394&lt;&gt;"نعم",$M394="نعم"),0,MAX(0,MIN($F394,EOMONTH(DATE(cfg_FY,9,1),0))-MAX($E394,DATE(cfg_FY,9,1))+1))</f>
        <v>0</v>
      </c>
      <c r="BC394" s="65" t="n">
        <f aca="false">IF(OR(OR($B394="",$E394="",$F394=""),$K394&lt;&gt;"نعم",$M394="نعم"),0,MAX(0,MIN($F394,EOMONTH(DATE(cfg_FY,10,1),0))-MAX($E394,DATE(cfg_FY,10,1))+1))</f>
        <v>0</v>
      </c>
      <c r="BD394" s="65" t="n">
        <f aca="false">IF(OR(OR($B394="",$E394="",$F394=""),$K394&lt;&gt;"نعم",$M394="نعم"),0,MAX(0,MIN($F394,EOMONTH(DATE(cfg_FY,11,1),0))-MAX($E394,DATE(cfg_FY,11,1))+1))</f>
        <v>0</v>
      </c>
      <c r="BE394" s="65" t="n">
        <f aca="false">IF(OR(OR($B394="",$E394="",$F394=""),$K394&lt;&gt;"نعم",$M394="نعم"),0,MAX(0,MIN($F394,EOMONTH(DATE(cfg_FY,12,1),0))-MAX($E394,DATE(cfg_FY,12,1))+1))</f>
        <v>0</v>
      </c>
    </row>
    <row r="395" customFormat="false" ht="15" hidden="false" customHeight="false" outlineLevel="0" collapsed="false">
      <c r="A395" s="115" t="str">
        <f aca="false">IF(B395="","",ROW()-5)</f>
        <v/>
      </c>
      <c r="B395" s="118"/>
      <c r="C395" s="117" t="str">
        <f aca="false">IF(B395="","",IFERROR(INDEX(الموظفون!$C$6:$C$105,MATCH(B395,الموظفون!$B$6:$B$105,0)),"✖ رقم غير موجود"))</f>
        <v/>
      </c>
      <c r="D395" s="118"/>
      <c r="E395" s="119"/>
      <c r="F395" s="119"/>
      <c r="G395" s="133" t="str">
        <f aca="false">IF(OR($B395="",$E395="",$F395=""),"",MAX(0,F395-E395+1))</f>
        <v/>
      </c>
      <c r="H395" s="134" t="str">
        <f aca="false">IF(D395="","",IFERROR(VLOOKUP(D395,cfg_LT,2,FALSE()),1))</f>
        <v/>
      </c>
      <c r="I395" s="135"/>
      <c r="J395" s="134" t="str">
        <f aca="false">IF(D395="","",IF(I395&lt;&gt;"",I395,H395))</f>
        <v/>
      </c>
      <c r="K395" s="117" t="str">
        <f aca="false">IF(D395="","",IFERROR(VLOOKUP($D395,cfg_LT,3,FALSE()),""))</f>
        <v/>
      </c>
      <c r="L395" s="117" t="str">
        <f aca="false">IF(D395="","",IFERROR(VLOOKUP($D395,cfg_LT,4,FALSE()),""))</f>
        <v/>
      </c>
      <c r="M395" s="117" t="str">
        <f aca="false">IF(D395="","",IFERROR(VLOOKUP($D395,cfg_LT,5,FALSE()),""))</f>
        <v/>
      </c>
      <c r="N395" s="116" t="n">
        <f aca="false">IF(OR(OR($B395="",$E395="",$F395=""),M395&lt;&gt;"نعم"),0,G395*J395*IFERROR(INDEX(الموظفون!$R$6:$R$105,MATCH(B395,الموظفون!$B$6:$B$105,0)),0)/cfg_DAYS_M)</f>
        <v>0</v>
      </c>
      <c r="O395" s="115" t="str">
        <f aca="false">IF(OR(OR($B395="",$E395="",$F395=""),M395&lt;&gt;"نعم"),"",IF(YEAR(E395)=cfg_FY,MONTH(E395),""))</f>
        <v/>
      </c>
      <c r="P395" s="117" t="str">
        <f aca="false">IF(B395="","",IF(OR(D395="",E395="",F395=""),"⚠ أكمل النوع والتواريخ",IF(F395&lt;E395,"✖ النهاية قبل البداية",IF(COUNTIFS($B$6:$B$505,B395,$E$6:$E$505,"&lt;="&amp;F395,$F$6:$F$505,"&gt;="&amp;E395)&gt;1,"⚠ تداخل مع سجل آخر",IF(E395&gt;cfg_VAL_DATE,"⏳ قادمة",IF(F395&lt;cfg_VAL_DATE,"✔ منتهية","✈ جارية في تاريخ التقرير"))))))</f>
        <v/>
      </c>
      <c r="Q395" s="118"/>
      <c r="R395" s="133" t="n">
        <f aca="false">IF(OR(OR($B395="",$E395="",$F395=""),L395&lt;&gt;"لا"),0,MAX(0,MIN(F395,cfg_Y_START-1)-E395+1))</f>
        <v>0</v>
      </c>
      <c r="S395" s="133" t="n">
        <f aca="false">IF(OR(OR($B395="",$E395="",$F395=""),L395&lt;&gt;"لا"),0,MAX(0,MIN(F395,cfg_VAL_DATE)-E395+1))</f>
        <v>0</v>
      </c>
      <c r="T395" s="133" t="n">
        <f aca="false">IF(OR(OR($B395="",$E395="",$F395=""),K395&lt;&gt;"نعم"),0,IF(M395="نعم",IF(AND(ISNUMBER(O395),N(O395)&lt;=cfg_VAL_M),G395,0),MAX(0,MIN(F395,cfg_VAL_DATE)-MAX(E395,cfg_Y_START)+1)))</f>
        <v>0</v>
      </c>
      <c r="V395" s="133" t="n">
        <f aca="false">IF(OR($B395="",$E395="",$F395=""),0,MAX(0,MIN($F395,EOMONTH(DATE(cfg_FY,1,1),0))-MAX($E395,DATE(cfg_FY,1,1))+1)*(1-IF($M395="نعم",0,N($J395))))</f>
        <v>0</v>
      </c>
      <c r="W395" s="133" t="n">
        <f aca="false">IF(OR($B395="",$E395="",$F395=""),0,MAX(0,MIN($F395,EOMONTH(DATE(cfg_FY,2,1),0))-MAX($E395,DATE(cfg_FY,2,1))+1)*(1-IF($M395="نعم",0,N($J395))))</f>
        <v>0</v>
      </c>
      <c r="X395" s="133" t="n">
        <f aca="false">IF(OR($B395="",$E395="",$F395=""),0,MAX(0,MIN($F395,EOMONTH(DATE(cfg_FY,3,1),0))-MAX($E395,DATE(cfg_FY,3,1))+1)*(1-IF($M395="نعم",0,N($J395))))</f>
        <v>0</v>
      </c>
      <c r="Y395" s="133" t="n">
        <f aca="false">IF(OR($B395="",$E395="",$F395=""),0,MAX(0,MIN($F395,EOMONTH(DATE(cfg_FY,4,1),0))-MAX($E395,DATE(cfg_FY,4,1))+1)*(1-IF($M395="نعم",0,N($J395))))</f>
        <v>0</v>
      </c>
      <c r="Z395" s="133" t="n">
        <f aca="false">IF(OR($B395="",$E395="",$F395=""),0,MAX(0,MIN($F395,EOMONTH(DATE(cfg_FY,5,1),0))-MAX($E395,DATE(cfg_FY,5,1))+1)*(1-IF($M395="نعم",0,N($J395))))</f>
        <v>0</v>
      </c>
      <c r="AA395" s="133" t="n">
        <f aca="false">IF(OR($B395="",$E395="",$F395=""),0,MAX(0,MIN($F395,EOMONTH(DATE(cfg_FY,6,1),0))-MAX($E395,DATE(cfg_FY,6,1))+1)*(1-IF($M395="نعم",0,N($J395))))</f>
        <v>0</v>
      </c>
      <c r="AB395" s="133" t="n">
        <f aca="false">IF(OR($B395="",$E395="",$F395=""),0,MAX(0,MIN($F395,EOMONTH(DATE(cfg_FY,7,1),0))-MAX($E395,DATE(cfg_FY,7,1))+1)*(1-IF($M395="نعم",0,N($J395))))</f>
        <v>0</v>
      </c>
      <c r="AC395" s="133" t="n">
        <f aca="false">IF(OR($B395="",$E395="",$F395=""),0,MAX(0,MIN($F395,EOMONTH(DATE(cfg_FY,8,1),0))-MAX($E395,DATE(cfg_FY,8,1))+1)*(1-IF($M395="نعم",0,N($J395))))</f>
        <v>0</v>
      </c>
      <c r="AD395" s="133" t="n">
        <f aca="false">IF(OR($B395="",$E395="",$F395=""),0,MAX(0,MIN($F395,EOMONTH(DATE(cfg_FY,9,1),0))-MAX($E395,DATE(cfg_FY,9,1))+1)*(1-IF($M395="نعم",0,N($J395))))</f>
        <v>0</v>
      </c>
      <c r="AE395" s="133" t="n">
        <f aca="false">IF(OR($B395="",$E395="",$F395=""),0,MAX(0,MIN($F395,EOMONTH(DATE(cfg_FY,10,1),0))-MAX($E395,DATE(cfg_FY,10,1))+1)*(1-IF($M395="نعم",0,N($J395))))</f>
        <v>0</v>
      </c>
      <c r="AF395" s="133" t="n">
        <f aca="false">IF(OR($B395="",$E395="",$F395=""),0,MAX(0,MIN($F395,EOMONTH(DATE(cfg_FY,11,1),0))-MAX($E395,DATE(cfg_FY,11,1))+1)*(1-IF($M395="نعم",0,N($J395))))</f>
        <v>0</v>
      </c>
      <c r="AG395" s="133" t="n">
        <f aca="false">IF(OR($B395="",$E395="",$F395=""),0,MAX(0,MIN($F395,EOMONTH(DATE(cfg_FY,12,1),0))-MAX($E395,DATE(cfg_FY,12,1))+1)*(1-IF($M395="نعم",0,N($J395))))</f>
        <v>0</v>
      </c>
      <c r="AH395" s="133" t="n">
        <f aca="false">IF(OR(OR($B395="",$E395="",$F395=""),$L395&lt;&gt;"لا"),0,MAX(0,MIN($F395,EOMONTH(DATE(cfg_FY,1,1),0))-$E395+1))</f>
        <v>0</v>
      </c>
      <c r="AI395" s="133" t="n">
        <f aca="false">IF(OR(OR($B395="",$E395="",$F395=""),$L395&lt;&gt;"لا"),0,MAX(0,MIN($F395,EOMONTH(DATE(cfg_FY,2,1),0))-$E395+1))</f>
        <v>0</v>
      </c>
      <c r="AJ395" s="133" t="n">
        <f aca="false">IF(OR(OR($B395="",$E395="",$F395=""),$L395&lt;&gt;"لا"),0,MAX(0,MIN($F395,EOMONTH(DATE(cfg_FY,3,1),0))-$E395+1))</f>
        <v>0</v>
      </c>
      <c r="AK395" s="133" t="n">
        <f aca="false">IF(OR(OR($B395="",$E395="",$F395=""),$L395&lt;&gt;"لا"),0,MAX(0,MIN($F395,EOMONTH(DATE(cfg_FY,4,1),0))-$E395+1))</f>
        <v>0</v>
      </c>
      <c r="AL395" s="133" t="n">
        <f aca="false">IF(OR(OR($B395="",$E395="",$F395=""),$L395&lt;&gt;"لا"),0,MAX(0,MIN($F395,EOMONTH(DATE(cfg_FY,5,1),0))-$E395+1))</f>
        <v>0</v>
      </c>
      <c r="AM395" s="133" t="n">
        <f aca="false">IF(OR(OR($B395="",$E395="",$F395=""),$L395&lt;&gt;"لا"),0,MAX(0,MIN($F395,EOMONTH(DATE(cfg_FY,6,1),0))-$E395+1))</f>
        <v>0</v>
      </c>
      <c r="AN395" s="133" t="n">
        <f aca="false">IF(OR(OR($B395="",$E395="",$F395=""),$L395&lt;&gt;"لا"),0,MAX(0,MIN($F395,EOMONTH(DATE(cfg_FY,7,1),0))-$E395+1))</f>
        <v>0</v>
      </c>
      <c r="AO395" s="133" t="n">
        <f aca="false">IF(OR(OR($B395="",$E395="",$F395=""),$L395&lt;&gt;"لا"),0,MAX(0,MIN($F395,EOMONTH(DATE(cfg_FY,8,1),0))-$E395+1))</f>
        <v>0</v>
      </c>
      <c r="AP395" s="133" t="n">
        <f aca="false">IF(OR(OR($B395="",$E395="",$F395=""),$L395&lt;&gt;"لا"),0,MAX(0,MIN($F395,EOMONTH(DATE(cfg_FY,9,1),0))-$E395+1))</f>
        <v>0</v>
      </c>
      <c r="AQ395" s="133" t="n">
        <f aca="false">IF(OR(OR($B395="",$E395="",$F395=""),$L395&lt;&gt;"لا"),0,MAX(0,MIN($F395,EOMONTH(DATE(cfg_FY,10,1),0))-$E395+1))</f>
        <v>0</v>
      </c>
      <c r="AR395" s="133" t="n">
        <f aca="false">IF(OR(OR($B395="",$E395="",$F395=""),$L395&lt;&gt;"لا"),0,MAX(0,MIN($F395,EOMONTH(DATE(cfg_FY,11,1),0))-$E395+1))</f>
        <v>0</v>
      </c>
      <c r="AS395" s="133" t="n">
        <f aca="false">IF(OR(OR($B395="",$E395="",$F395=""),$L395&lt;&gt;"لا"),0,MAX(0,MIN($F395,EOMONTH(DATE(cfg_FY,12,1),0))-$E395+1))</f>
        <v>0</v>
      </c>
      <c r="AT395" s="133" t="n">
        <f aca="false">IF(OR(OR($B395="",$E395="",$F395=""),$K395&lt;&gt;"نعم",$M395="نعم"),0,MAX(0,MIN($F395,EOMONTH(DATE(cfg_FY,1,1),0))-MAX($E395,DATE(cfg_FY,1,1))+1))</f>
        <v>0</v>
      </c>
      <c r="AU395" s="133" t="n">
        <f aca="false">IF(OR(OR($B395="",$E395="",$F395=""),$K395&lt;&gt;"نعم",$M395="نعم"),0,MAX(0,MIN($F395,EOMONTH(DATE(cfg_FY,2,1),0))-MAX($E395,DATE(cfg_FY,2,1))+1))</f>
        <v>0</v>
      </c>
      <c r="AV395" s="133" t="n">
        <f aca="false">IF(OR(OR($B395="",$E395="",$F395=""),$K395&lt;&gt;"نعم",$M395="نعم"),0,MAX(0,MIN($F395,EOMONTH(DATE(cfg_FY,3,1),0))-MAX($E395,DATE(cfg_FY,3,1))+1))</f>
        <v>0</v>
      </c>
      <c r="AW395" s="133" t="n">
        <f aca="false">IF(OR(OR($B395="",$E395="",$F395=""),$K395&lt;&gt;"نعم",$M395="نعم"),0,MAX(0,MIN($F395,EOMONTH(DATE(cfg_FY,4,1),0))-MAX($E395,DATE(cfg_FY,4,1))+1))</f>
        <v>0</v>
      </c>
      <c r="AX395" s="133" t="n">
        <f aca="false">IF(OR(OR($B395="",$E395="",$F395=""),$K395&lt;&gt;"نعم",$M395="نعم"),0,MAX(0,MIN($F395,EOMONTH(DATE(cfg_FY,5,1),0))-MAX($E395,DATE(cfg_FY,5,1))+1))</f>
        <v>0</v>
      </c>
      <c r="AY395" s="133" t="n">
        <f aca="false">IF(OR(OR($B395="",$E395="",$F395=""),$K395&lt;&gt;"نعم",$M395="نعم"),0,MAX(0,MIN($F395,EOMONTH(DATE(cfg_FY,6,1),0))-MAX($E395,DATE(cfg_FY,6,1))+1))</f>
        <v>0</v>
      </c>
      <c r="AZ395" s="133" t="n">
        <f aca="false">IF(OR(OR($B395="",$E395="",$F395=""),$K395&lt;&gt;"نعم",$M395="نعم"),0,MAX(0,MIN($F395,EOMONTH(DATE(cfg_FY,7,1),0))-MAX($E395,DATE(cfg_FY,7,1))+1))</f>
        <v>0</v>
      </c>
      <c r="BA395" s="133" t="n">
        <f aca="false">IF(OR(OR($B395="",$E395="",$F395=""),$K395&lt;&gt;"نعم",$M395="نعم"),0,MAX(0,MIN($F395,EOMONTH(DATE(cfg_FY,8,1),0))-MAX($E395,DATE(cfg_FY,8,1))+1))</f>
        <v>0</v>
      </c>
      <c r="BB395" s="133" t="n">
        <f aca="false">IF(OR(OR($B395="",$E395="",$F395=""),$K395&lt;&gt;"نعم",$M395="نعم"),0,MAX(0,MIN($F395,EOMONTH(DATE(cfg_FY,9,1),0))-MAX($E395,DATE(cfg_FY,9,1))+1))</f>
        <v>0</v>
      </c>
      <c r="BC395" s="133" t="n">
        <f aca="false">IF(OR(OR($B395="",$E395="",$F395=""),$K395&lt;&gt;"نعم",$M395="نعم"),0,MAX(0,MIN($F395,EOMONTH(DATE(cfg_FY,10,1),0))-MAX($E395,DATE(cfg_FY,10,1))+1))</f>
        <v>0</v>
      </c>
      <c r="BD395" s="133" t="n">
        <f aca="false">IF(OR(OR($B395="",$E395="",$F395=""),$K395&lt;&gt;"نعم",$M395="نعم"),0,MAX(0,MIN($F395,EOMONTH(DATE(cfg_FY,11,1),0))-MAX($E395,DATE(cfg_FY,11,1))+1))</f>
        <v>0</v>
      </c>
      <c r="BE395" s="133" t="n">
        <f aca="false">IF(OR(OR($B395="",$E395="",$F395=""),$K395&lt;&gt;"نعم",$M395="نعم"),0,MAX(0,MIN($F395,EOMONTH(DATE(cfg_FY,12,1),0))-MAX($E395,DATE(cfg_FY,12,1))+1))</f>
        <v>0</v>
      </c>
    </row>
    <row r="396" customFormat="false" ht="15" hidden="false" customHeight="false" outlineLevel="0" collapsed="false">
      <c r="A396" s="106" t="str">
        <f aca="false">IF(B396="","",ROW()-5)</f>
        <v/>
      </c>
      <c r="B396" s="118"/>
      <c r="C396" s="114" t="str">
        <f aca="false">IF(B396="","",IFERROR(INDEX(الموظفون!$C$6:$C$105,MATCH(B396,الموظفون!$B$6:$B$105,0)),"✖ رقم غير موجود"))</f>
        <v/>
      </c>
      <c r="D396" s="118"/>
      <c r="E396" s="119"/>
      <c r="F396" s="119"/>
      <c r="G396" s="65" t="str">
        <f aca="false">IF(OR($B396="",$E396="",$F396=""),"",MAX(0,F396-E396+1))</f>
        <v/>
      </c>
      <c r="H396" s="66" t="str">
        <f aca="false">IF(D396="","",IFERROR(VLOOKUP(D396,cfg_LT,2,FALSE()),1))</f>
        <v/>
      </c>
      <c r="I396" s="135"/>
      <c r="J396" s="66" t="str">
        <f aca="false">IF(D396="","",IF(I396&lt;&gt;"",I396,H396))</f>
        <v/>
      </c>
      <c r="K396" s="114" t="str">
        <f aca="false">IF(D396="","",IFERROR(VLOOKUP($D396,cfg_LT,3,FALSE()),""))</f>
        <v/>
      </c>
      <c r="L396" s="114" t="str">
        <f aca="false">IF(D396="","",IFERROR(VLOOKUP($D396,cfg_LT,4,FALSE()),""))</f>
        <v/>
      </c>
      <c r="M396" s="114" t="str">
        <f aca="false">IF(D396="","",IFERROR(VLOOKUP($D396,cfg_LT,5,FALSE()),""))</f>
        <v/>
      </c>
      <c r="N396" s="111" t="n">
        <f aca="false">IF(OR(OR($B396="",$E396="",$F396=""),M396&lt;&gt;"نعم"),0,G396*J396*IFERROR(INDEX(الموظفون!$R$6:$R$105,MATCH(B396,الموظفون!$B$6:$B$105,0)),0)/cfg_DAYS_M)</f>
        <v>0</v>
      </c>
      <c r="O396" s="106" t="str">
        <f aca="false">IF(OR(OR($B396="",$E396="",$F396=""),M396&lt;&gt;"نعم"),"",IF(YEAR(E396)=cfg_FY,MONTH(E396),""))</f>
        <v/>
      </c>
      <c r="P396" s="114" t="str">
        <f aca="false">IF(B396="","",IF(OR(D396="",E396="",F396=""),"⚠ أكمل النوع والتواريخ",IF(F396&lt;E396,"✖ النهاية قبل البداية",IF(COUNTIFS($B$6:$B$505,B396,$E$6:$E$505,"&lt;="&amp;F396,$F$6:$F$505,"&gt;="&amp;E396)&gt;1,"⚠ تداخل مع سجل آخر",IF(E396&gt;cfg_VAL_DATE,"⏳ قادمة",IF(F396&lt;cfg_VAL_DATE,"✔ منتهية","✈ جارية في تاريخ التقرير"))))))</f>
        <v/>
      </c>
      <c r="Q396" s="118"/>
      <c r="R396" s="65" t="n">
        <f aca="false">IF(OR(OR($B396="",$E396="",$F396=""),L396&lt;&gt;"لا"),0,MAX(0,MIN(F396,cfg_Y_START-1)-E396+1))</f>
        <v>0</v>
      </c>
      <c r="S396" s="65" t="n">
        <f aca="false">IF(OR(OR($B396="",$E396="",$F396=""),L396&lt;&gt;"لا"),0,MAX(0,MIN(F396,cfg_VAL_DATE)-E396+1))</f>
        <v>0</v>
      </c>
      <c r="T396" s="65" t="n">
        <f aca="false">IF(OR(OR($B396="",$E396="",$F396=""),K396&lt;&gt;"نعم"),0,IF(M396="نعم",IF(AND(ISNUMBER(O396),N(O396)&lt;=cfg_VAL_M),G396,0),MAX(0,MIN(F396,cfg_VAL_DATE)-MAX(E396,cfg_Y_START)+1)))</f>
        <v>0</v>
      </c>
      <c r="V396" s="65" t="n">
        <f aca="false">IF(OR($B396="",$E396="",$F396=""),0,MAX(0,MIN($F396,EOMONTH(DATE(cfg_FY,1,1),0))-MAX($E396,DATE(cfg_FY,1,1))+1)*(1-IF($M396="نعم",0,N($J396))))</f>
        <v>0</v>
      </c>
      <c r="W396" s="65" t="n">
        <f aca="false">IF(OR($B396="",$E396="",$F396=""),0,MAX(0,MIN($F396,EOMONTH(DATE(cfg_FY,2,1),0))-MAX($E396,DATE(cfg_FY,2,1))+1)*(1-IF($M396="نعم",0,N($J396))))</f>
        <v>0</v>
      </c>
      <c r="X396" s="65" t="n">
        <f aca="false">IF(OR($B396="",$E396="",$F396=""),0,MAX(0,MIN($F396,EOMONTH(DATE(cfg_FY,3,1),0))-MAX($E396,DATE(cfg_FY,3,1))+1)*(1-IF($M396="نعم",0,N($J396))))</f>
        <v>0</v>
      </c>
      <c r="Y396" s="65" t="n">
        <f aca="false">IF(OR($B396="",$E396="",$F396=""),0,MAX(0,MIN($F396,EOMONTH(DATE(cfg_FY,4,1),0))-MAX($E396,DATE(cfg_FY,4,1))+1)*(1-IF($M396="نعم",0,N($J396))))</f>
        <v>0</v>
      </c>
      <c r="Z396" s="65" t="n">
        <f aca="false">IF(OR($B396="",$E396="",$F396=""),0,MAX(0,MIN($F396,EOMONTH(DATE(cfg_FY,5,1),0))-MAX($E396,DATE(cfg_FY,5,1))+1)*(1-IF($M396="نعم",0,N($J396))))</f>
        <v>0</v>
      </c>
      <c r="AA396" s="65" t="n">
        <f aca="false">IF(OR($B396="",$E396="",$F396=""),0,MAX(0,MIN($F396,EOMONTH(DATE(cfg_FY,6,1),0))-MAX($E396,DATE(cfg_FY,6,1))+1)*(1-IF($M396="نعم",0,N($J396))))</f>
        <v>0</v>
      </c>
      <c r="AB396" s="65" t="n">
        <f aca="false">IF(OR($B396="",$E396="",$F396=""),0,MAX(0,MIN($F396,EOMONTH(DATE(cfg_FY,7,1),0))-MAX($E396,DATE(cfg_FY,7,1))+1)*(1-IF($M396="نعم",0,N($J396))))</f>
        <v>0</v>
      </c>
      <c r="AC396" s="65" t="n">
        <f aca="false">IF(OR($B396="",$E396="",$F396=""),0,MAX(0,MIN($F396,EOMONTH(DATE(cfg_FY,8,1),0))-MAX($E396,DATE(cfg_FY,8,1))+1)*(1-IF($M396="نعم",0,N($J396))))</f>
        <v>0</v>
      </c>
      <c r="AD396" s="65" t="n">
        <f aca="false">IF(OR($B396="",$E396="",$F396=""),0,MAX(0,MIN($F396,EOMONTH(DATE(cfg_FY,9,1),0))-MAX($E396,DATE(cfg_FY,9,1))+1)*(1-IF($M396="نعم",0,N($J396))))</f>
        <v>0</v>
      </c>
      <c r="AE396" s="65" t="n">
        <f aca="false">IF(OR($B396="",$E396="",$F396=""),0,MAX(0,MIN($F396,EOMONTH(DATE(cfg_FY,10,1),0))-MAX($E396,DATE(cfg_FY,10,1))+1)*(1-IF($M396="نعم",0,N($J396))))</f>
        <v>0</v>
      </c>
      <c r="AF396" s="65" t="n">
        <f aca="false">IF(OR($B396="",$E396="",$F396=""),0,MAX(0,MIN($F396,EOMONTH(DATE(cfg_FY,11,1),0))-MAX($E396,DATE(cfg_FY,11,1))+1)*(1-IF($M396="نعم",0,N($J396))))</f>
        <v>0</v>
      </c>
      <c r="AG396" s="65" t="n">
        <f aca="false">IF(OR($B396="",$E396="",$F396=""),0,MAX(0,MIN($F396,EOMONTH(DATE(cfg_FY,12,1),0))-MAX($E396,DATE(cfg_FY,12,1))+1)*(1-IF($M396="نعم",0,N($J396))))</f>
        <v>0</v>
      </c>
      <c r="AH396" s="65" t="n">
        <f aca="false">IF(OR(OR($B396="",$E396="",$F396=""),$L396&lt;&gt;"لا"),0,MAX(0,MIN($F396,EOMONTH(DATE(cfg_FY,1,1),0))-$E396+1))</f>
        <v>0</v>
      </c>
      <c r="AI396" s="65" t="n">
        <f aca="false">IF(OR(OR($B396="",$E396="",$F396=""),$L396&lt;&gt;"لا"),0,MAX(0,MIN($F396,EOMONTH(DATE(cfg_FY,2,1),0))-$E396+1))</f>
        <v>0</v>
      </c>
      <c r="AJ396" s="65" t="n">
        <f aca="false">IF(OR(OR($B396="",$E396="",$F396=""),$L396&lt;&gt;"لا"),0,MAX(0,MIN($F396,EOMONTH(DATE(cfg_FY,3,1),0))-$E396+1))</f>
        <v>0</v>
      </c>
      <c r="AK396" s="65" t="n">
        <f aca="false">IF(OR(OR($B396="",$E396="",$F396=""),$L396&lt;&gt;"لا"),0,MAX(0,MIN($F396,EOMONTH(DATE(cfg_FY,4,1),0))-$E396+1))</f>
        <v>0</v>
      </c>
      <c r="AL396" s="65" t="n">
        <f aca="false">IF(OR(OR($B396="",$E396="",$F396=""),$L396&lt;&gt;"لا"),0,MAX(0,MIN($F396,EOMONTH(DATE(cfg_FY,5,1),0))-$E396+1))</f>
        <v>0</v>
      </c>
      <c r="AM396" s="65" t="n">
        <f aca="false">IF(OR(OR($B396="",$E396="",$F396=""),$L396&lt;&gt;"لا"),0,MAX(0,MIN($F396,EOMONTH(DATE(cfg_FY,6,1),0))-$E396+1))</f>
        <v>0</v>
      </c>
      <c r="AN396" s="65" t="n">
        <f aca="false">IF(OR(OR($B396="",$E396="",$F396=""),$L396&lt;&gt;"لا"),0,MAX(0,MIN($F396,EOMONTH(DATE(cfg_FY,7,1),0))-$E396+1))</f>
        <v>0</v>
      </c>
      <c r="AO396" s="65" t="n">
        <f aca="false">IF(OR(OR($B396="",$E396="",$F396=""),$L396&lt;&gt;"لا"),0,MAX(0,MIN($F396,EOMONTH(DATE(cfg_FY,8,1),0))-$E396+1))</f>
        <v>0</v>
      </c>
      <c r="AP396" s="65" t="n">
        <f aca="false">IF(OR(OR($B396="",$E396="",$F396=""),$L396&lt;&gt;"لا"),0,MAX(0,MIN($F396,EOMONTH(DATE(cfg_FY,9,1),0))-$E396+1))</f>
        <v>0</v>
      </c>
      <c r="AQ396" s="65" t="n">
        <f aca="false">IF(OR(OR($B396="",$E396="",$F396=""),$L396&lt;&gt;"لا"),0,MAX(0,MIN($F396,EOMONTH(DATE(cfg_FY,10,1),0))-$E396+1))</f>
        <v>0</v>
      </c>
      <c r="AR396" s="65" t="n">
        <f aca="false">IF(OR(OR($B396="",$E396="",$F396=""),$L396&lt;&gt;"لا"),0,MAX(0,MIN($F396,EOMONTH(DATE(cfg_FY,11,1),0))-$E396+1))</f>
        <v>0</v>
      </c>
      <c r="AS396" s="65" t="n">
        <f aca="false">IF(OR(OR($B396="",$E396="",$F396=""),$L396&lt;&gt;"لا"),0,MAX(0,MIN($F396,EOMONTH(DATE(cfg_FY,12,1),0))-$E396+1))</f>
        <v>0</v>
      </c>
      <c r="AT396" s="65" t="n">
        <f aca="false">IF(OR(OR($B396="",$E396="",$F396=""),$K396&lt;&gt;"نعم",$M396="نعم"),0,MAX(0,MIN($F396,EOMONTH(DATE(cfg_FY,1,1),0))-MAX($E396,DATE(cfg_FY,1,1))+1))</f>
        <v>0</v>
      </c>
      <c r="AU396" s="65" t="n">
        <f aca="false">IF(OR(OR($B396="",$E396="",$F396=""),$K396&lt;&gt;"نعم",$M396="نعم"),0,MAX(0,MIN($F396,EOMONTH(DATE(cfg_FY,2,1),0))-MAX($E396,DATE(cfg_FY,2,1))+1))</f>
        <v>0</v>
      </c>
      <c r="AV396" s="65" t="n">
        <f aca="false">IF(OR(OR($B396="",$E396="",$F396=""),$K396&lt;&gt;"نعم",$M396="نعم"),0,MAX(0,MIN($F396,EOMONTH(DATE(cfg_FY,3,1),0))-MAX($E396,DATE(cfg_FY,3,1))+1))</f>
        <v>0</v>
      </c>
      <c r="AW396" s="65" t="n">
        <f aca="false">IF(OR(OR($B396="",$E396="",$F396=""),$K396&lt;&gt;"نعم",$M396="نعم"),0,MAX(0,MIN($F396,EOMONTH(DATE(cfg_FY,4,1),0))-MAX($E396,DATE(cfg_FY,4,1))+1))</f>
        <v>0</v>
      </c>
      <c r="AX396" s="65" t="n">
        <f aca="false">IF(OR(OR($B396="",$E396="",$F396=""),$K396&lt;&gt;"نعم",$M396="نعم"),0,MAX(0,MIN($F396,EOMONTH(DATE(cfg_FY,5,1),0))-MAX($E396,DATE(cfg_FY,5,1))+1))</f>
        <v>0</v>
      </c>
      <c r="AY396" s="65" t="n">
        <f aca="false">IF(OR(OR($B396="",$E396="",$F396=""),$K396&lt;&gt;"نعم",$M396="نعم"),0,MAX(0,MIN($F396,EOMONTH(DATE(cfg_FY,6,1),0))-MAX($E396,DATE(cfg_FY,6,1))+1))</f>
        <v>0</v>
      </c>
      <c r="AZ396" s="65" t="n">
        <f aca="false">IF(OR(OR($B396="",$E396="",$F396=""),$K396&lt;&gt;"نعم",$M396="نعم"),0,MAX(0,MIN($F396,EOMONTH(DATE(cfg_FY,7,1),0))-MAX($E396,DATE(cfg_FY,7,1))+1))</f>
        <v>0</v>
      </c>
      <c r="BA396" s="65" t="n">
        <f aca="false">IF(OR(OR($B396="",$E396="",$F396=""),$K396&lt;&gt;"نعم",$M396="نعم"),0,MAX(0,MIN($F396,EOMONTH(DATE(cfg_FY,8,1),0))-MAX($E396,DATE(cfg_FY,8,1))+1))</f>
        <v>0</v>
      </c>
      <c r="BB396" s="65" t="n">
        <f aca="false">IF(OR(OR($B396="",$E396="",$F396=""),$K396&lt;&gt;"نعم",$M396="نعم"),0,MAX(0,MIN($F396,EOMONTH(DATE(cfg_FY,9,1),0))-MAX($E396,DATE(cfg_FY,9,1))+1))</f>
        <v>0</v>
      </c>
      <c r="BC396" s="65" t="n">
        <f aca="false">IF(OR(OR($B396="",$E396="",$F396=""),$K396&lt;&gt;"نعم",$M396="نعم"),0,MAX(0,MIN($F396,EOMONTH(DATE(cfg_FY,10,1),0))-MAX($E396,DATE(cfg_FY,10,1))+1))</f>
        <v>0</v>
      </c>
      <c r="BD396" s="65" t="n">
        <f aca="false">IF(OR(OR($B396="",$E396="",$F396=""),$K396&lt;&gt;"نعم",$M396="نعم"),0,MAX(0,MIN($F396,EOMONTH(DATE(cfg_FY,11,1),0))-MAX($E396,DATE(cfg_FY,11,1))+1))</f>
        <v>0</v>
      </c>
      <c r="BE396" s="65" t="n">
        <f aca="false">IF(OR(OR($B396="",$E396="",$F396=""),$K396&lt;&gt;"نعم",$M396="نعم"),0,MAX(0,MIN($F396,EOMONTH(DATE(cfg_FY,12,1),0))-MAX($E396,DATE(cfg_FY,12,1))+1))</f>
        <v>0</v>
      </c>
    </row>
    <row r="397" customFormat="false" ht="15" hidden="false" customHeight="false" outlineLevel="0" collapsed="false">
      <c r="A397" s="115" t="str">
        <f aca="false">IF(B397="","",ROW()-5)</f>
        <v/>
      </c>
      <c r="B397" s="118"/>
      <c r="C397" s="117" t="str">
        <f aca="false">IF(B397="","",IFERROR(INDEX(الموظفون!$C$6:$C$105,MATCH(B397,الموظفون!$B$6:$B$105,0)),"✖ رقم غير موجود"))</f>
        <v/>
      </c>
      <c r="D397" s="118"/>
      <c r="E397" s="119"/>
      <c r="F397" s="119"/>
      <c r="G397" s="133" t="str">
        <f aca="false">IF(OR($B397="",$E397="",$F397=""),"",MAX(0,F397-E397+1))</f>
        <v/>
      </c>
      <c r="H397" s="134" t="str">
        <f aca="false">IF(D397="","",IFERROR(VLOOKUP(D397,cfg_LT,2,FALSE()),1))</f>
        <v/>
      </c>
      <c r="I397" s="135"/>
      <c r="J397" s="134" t="str">
        <f aca="false">IF(D397="","",IF(I397&lt;&gt;"",I397,H397))</f>
        <v/>
      </c>
      <c r="K397" s="117" t="str">
        <f aca="false">IF(D397="","",IFERROR(VLOOKUP($D397,cfg_LT,3,FALSE()),""))</f>
        <v/>
      </c>
      <c r="L397" s="117" t="str">
        <f aca="false">IF(D397="","",IFERROR(VLOOKUP($D397,cfg_LT,4,FALSE()),""))</f>
        <v/>
      </c>
      <c r="M397" s="117" t="str">
        <f aca="false">IF(D397="","",IFERROR(VLOOKUP($D397,cfg_LT,5,FALSE()),""))</f>
        <v/>
      </c>
      <c r="N397" s="116" t="n">
        <f aca="false">IF(OR(OR($B397="",$E397="",$F397=""),M397&lt;&gt;"نعم"),0,G397*J397*IFERROR(INDEX(الموظفون!$R$6:$R$105,MATCH(B397,الموظفون!$B$6:$B$105,0)),0)/cfg_DAYS_M)</f>
        <v>0</v>
      </c>
      <c r="O397" s="115" t="str">
        <f aca="false">IF(OR(OR($B397="",$E397="",$F397=""),M397&lt;&gt;"نعم"),"",IF(YEAR(E397)=cfg_FY,MONTH(E397),""))</f>
        <v/>
      </c>
      <c r="P397" s="117" t="str">
        <f aca="false">IF(B397="","",IF(OR(D397="",E397="",F397=""),"⚠ أكمل النوع والتواريخ",IF(F397&lt;E397,"✖ النهاية قبل البداية",IF(COUNTIFS($B$6:$B$505,B397,$E$6:$E$505,"&lt;="&amp;F397,$F$6:$F$505,"&gt;="&amp;E397)&gt;1,"⚠ تداخل مع سجل آخر",IF(E397&gt;cfg_VAL_DATE,"⏳ قادمة",IF(F397&lt;cfg_VAL_DATE,"✔ منتهية","✈ جارية في تاريخ التقرير"))))))</f>
        <v/>
      </c>
      <c r="Q397" s="118"/>
      <c r="R397" s="133" t="n">
        <f aca="false">IF(OR(OR($B397="",$E397="",$F397=""),L397&lt;&gt;"لا"),0,MAX(0,MIN(F397,cfg_Y_START-1)-E397+1))</f>
        <v>0</v>
      </c>
      <c r="S397" s="133" t="n">
        <f aca="false">IF(OR(OR($B397="",$E397="",$F397=""),L397&lt;&gt;"لا"),0,MAX(0,MIN(F397,cfg_VAL_DATE)-E397+1))</f>
        <v>0</v>
      </c>
      <c r="T397" s="133" t="n">
        <f aca="false">IF(OR(OR($B397="",$E397="",$F397=""),K397&lt;&gt;"نعم"),0,IF(M397="نعم",IF(AND(ISNUMBER(O397),N(O397)&lt;=cfg_VAL_M),G397,0),MAX(0,MIN(F397,cfg_VAL_DATE)-MAX(E397,cfg_Y_START)+1)))</f>
        <v>0</v>
      </c>
      <c r="V397" s="133" t="n">
        <f aca="false">IF(OR($B397="",$E397="",$F397=""),0,MAX(0,MIN($F397,EOMONTH(DATE(cfg_FY,1,1),0))-MAX($E397,DATE(cfg_FY,1,1))+1)*(1-IF($M397="نعم",0,N($J397))))</f>
        <v>0</v>
      </c>
      <c r="W397" s="133" t="n">
        <f aca="false">IF(OR($B397="",$E397="",$F397=""),0,MAX(0,MIN($F397,EOMONTH(DATE(cfg_FY,2,1),0))-MAX($E397,DATE(cfg_FY,2,1))+1)*(1-IF($M397="نعم",0,N($J397))))</f>
        <v>0</v>
      </c>
      <c r="X397" s="133" t="n">
        <f aca="false">IF(OR($B397="",$E397="",$F397=""),0,MAX(0,MIN($F397,EOMONTH(DATE(cfg_FY,3,1),0))-MAX($E397,DATE(cfg_FY,3,1))+1)*(1-IF($M397="نعم",0,N($J397))))</f>
        <v>0</v>
      </c>
      <c r="Y397" s="133" t="n">
        <f aca="false">IF(OR($B397="",$E397="",$F397=""),0,MAX(0,MIN($F397,EOMONTH(DATE(cfg_FY,4,1),0))-MAX($E397,DATE(cfg_FY,4,1))+1)*(1-IF($M397="نعم",0,N($J397))))</f>
        <v>0</v>
      </c>
      <c r="Z397" s="133" t="n">
        <f aca="false">IF(OR($B397="",$E397="",$F397=""),0,MAX(0,MIN($F397,EOMONTH(DATE(cfg_FY,5,1),0))-MAX($E397,DATE(cfg_FY,5,1))+1)*(1-IF($M397="نعم",0,N($J397))))</f>
        <v>0</v>
      </c>
      <c r="AA397" s="133" t="n">
        <f aca="false">IF(OR($B397="",$E397="",$F397=""),0,MAX(0,MIN($F397,EOMONTH(DATE(cfg_FY,6,1),0))-MAX($E397,DATE(cfg_FY,6,1))+1)*(1-IF($M397="نعم",0,N($J397))))</f>
        <v>0</v>
      </c>
      <c r="AB397" s="133" t="n">
        <f aca="false">IF(OR($B397="",$E397="",$F397=""),0,MAX(0,MIN($F397,EOMONTH(DATE(cfg_FY,7,1),0))-MAX($E397,DATE(cfg_FY,7,1))+1)*(1-IF($M397="نعم",0,N($J397))))</f>
        <v>0</v>
      </c>
      <c r="AC397" s="133" t="n">
        <f aca="false">IF(OR($B397="",$E397="",$F397=""),0,MAX(0,MIN($F397,EOMONTH(DATE(cfg_FY,8,1),0))-MAX($E397,DATE(cfg_FY,8,1))+1)*(1-IF($M397="نعم",0,N($J397))))</f>
        <v>0</v>
      </c>
      <c r="AD397" s="133" t="n">
        <f aca="false">IF(OR($B397="",$E397="",$F397=""),0,MAX(0,MIN($F397,EOMONTH(DATE(cfg_FY,9,1),0))-MAX($E397,DATE(cfg_FY,9,1))+1)*(1-IF($M397="نعم",0,N($J397))))</f>
        <v>0</v>
      </c>
      <c r="AE397" s="133" t="n">
        <f aca="false">IF(OR($B397="",$E397="",$F397=""),0,MAX(0,MIN($F397,EOMONTH(DATE(cfg_FY,10,1),0))-MAX($E397,DATE(cfg_FY,10,1))+1)*(1-IF($M397="نعم",0,N($J397))))</f>
        <v>0</v>
      </c>
      <c r="AF397" s="133" t="n">
        <f aca="false">IF(OR($B397="",$E397="",$F397=""),0,MAX(0,MIN($F397,EOMONTH(DATE(cfg_FY,11,1),0))-MAX($E397,DATE(cfg_FY,11,1))+1)*(1-IF($M397="نعم",0,N($J397))))</f>
        <v>0</v>
      </c>
      <c r="AG397" s="133" t="n">
        <f aca="false">IF(OR($B397="",$E397="",$F397=""),0,MAX(0,MIN($F397,EOMONTH(DATE(cfg_FY,12,1),0))-MAX($E397,DATE(cfg_FY,12,1))+1)*(1-IF($M397="نعم",0,N($J397))))</f>
        <v>0</v>
      </c>
      <c r="AH397" s="133" t="n">
        <f aca="false">IF(OR(OR($B397="",$E397="",$F397=""),$L397&lt;&gt;"لا"),0,MAX(0,MIN($F397,EOMONTH(DATE(cfg_FY,1,1),0))-$E397+1))</f>
        <v>0</v>
      </c>
      <c r="AI397" s="133" t="n">
        <f aca="false">IF(OR(OR($B397="",$E397="",$F397=""),$L397&lt;&gt;"لا"),0,MAX(0,MIN($F397,EOMONTH(DATE(cfg_FY,2,1),0))-$E397+1))</f>
        <v>0</v>
      </c>
      <c r="AJ397" s="133" t="n">
        <f aca="false">IF(OR(OR($B397="",$E397="",$F397=""),$L397&lt;&gt;"لا"),0,MAX(0,MIN($F397,EOMONTH(DATE(cfg_FY,3,1),0))-$E397+1))</f>
        <v>0</v>
      </c>
      <c r="AK397" s="133" t="n">
        <f aca="false">IF(OR(OR($B397="",$E397="",$F397=""),$L397&lt;&gt;"لا"),0,MAX(0,MIN($F397,EOMONTH(DATE(cfg_FY,4,1),0))-$E397+1))</f>
        <v>0</v>
      </c>
      <c r="AL397" s="133" t="n">
        <f aca="false">IF(OR(OR($B397="",$E397="",$F397=""),$L397&lt;&gt;"لا"),0,MAX(0,MIN($F397,EOMONTH(DATE(cfg_FY,5,1),0))-$E397+1))</f>
        <v>0</v>
      </c>
      <c r="AM397" s="133" t="n">
        <f aca="false">IF(OR(OR($B397="",$E397="",$F397=""),$L397&lt;&gt;"لا"),0,MAX(0,MIN($F397,EOMONTH(DATE(cfg_FY,6,1),0))-$E397+1))</f>
        <v>0</v>
      </c>
      <c r="AN397" s="133" t="n">
        <f aca="false">IF(OR(OR($B397="",$E397="",$F397=""),$L397&lt;&gt;"لا"),0,MAX(0,MIN($F397,EOMONTH(DATE(cfg_FY,7,1),0))-$E397+1))</f>
        <v>0</v>
      </c>
      <c r="AO397" s="133" t="n">
        <f aca="false">IF(OR(OR($B397="",$E397="",$F397=""),$L397&lt;&gt;"لا"),0,MAX(0,MIN($F397,EOMONTH(DATE(cfg_FY,8,1),0))-$E397+1))</f>
        <v>0</v>
      </c>
      <c r="AP397" s="133" t="n">
        <f aca="false">IF(OR(OR($B397="",$E397="",$F397=""),$L397&lt;&gt;"لا"),0,MAX(0,MIN($F397,EOMONTH(DATE(cfg_FY,9,1),0))-$E397+1))</f>
        <v>0</v>
      </c>
      <c r="AQ397" s="133" t="n">
        <f aca="false">IF(OR(OR($B397="",$E397="",$F397=""),$L397&lt;&gt;"لا"),0,MAX(0,MIN($F397,EOMONTH(DATE(cfg_FY,10,1),0))-$E397+1))</f>
        <v>0</v>
      </c>
      <c r="AR397" s="133" t="n">
        <f aca="false">IF(OR(OR($B397="",$E397="",$F397=""),$L397&lt;&gt;"لا"),0,MAX(0,MIN($F397,EOMONTH(DATE(cfg_FY,11,1),0))-$E397+1))</f>
        <v>0</v>
      </c>
      <c r="AS397" s="133" t="n">
        <f aca="false">IF(OR(OR($B397="",$E397="",$F397=""),$L397&lt;&gt;"لا"),0,MAX(0,MIN($F397,EOMONTH(DATE(cfg_FY,12,1),0))-$E397+1))</f>
        <v>0</v>
      </c>
      <c r="AT397" s="133" t="n">
        <f aca="false">IF(OR(OR($B397="",$E397="",$F397=""),$K397&lt;&gt;"نعم",$M397="نعم"),0,MAX(0,MIN($F397,EOMONTH(DATE(cfg_FY,1,1),0))-MAX($E397,DATE(cfg_FY,1,1))+1))</f>
        <v>0</v>
      </c>
      <c r="AU397" s="133" t="n">
        <f aca="false">IF(OR(OR($B397="",$E397="",$F397=""),$K397&lt;&gt;"نعم",$M397="نعم"),0,MAX(0,MIN($F397,EOMONTH(DATE(cfg_FY,2,1),0))-MAX($E397,DATE(cfg_FY,2,1))+1))</f>
        <v>0</v>
      </c>
      <c r="AV397" s="133" t="n">
        <f aca="false">IF(OR(OR($B397="",$E397="",$F397=""),$K397&lt;&gt;"نعم",$M397="نعم"),0,MAX(0,MIN($F397,EOMONTH(DATE(cfg_FY,3,1),0))-MAX($E397,DATE(cfg_FY,3,1))+1))</f>
        <v>0</v>
      </c>
      <c r="AW397" s="133" t="n">
        <f aca="false">IF(OR(OR($B397="",$E397="",$F397=""),$K397&lt;&gt;"نعم",$M397="نعم"),0,MAX(0,MIN($F397,EOMONTH(DATE(cfg_FY,4,1),0))-MAX($E397,DATE(cfg_FY,4,1))+1))</f>
        <v>0</v>
      </c>
      <c r="AX397" s="133" t="n">
        <f aca="false">IF(OR(OR($B397="",$E397="",$F397=""),$K397&lt;&gt;"نعم",$M397="نعم"),0,MAX(0,MIN($F397,EOMONTH(DATE(cfg_FY,5,1),0))-MAX($E397,DATE(cfg_FY,5,1))+1))</f>
        <v>0</v>
      </c>
      <c r="AY397" s="133" t="n">
        <f aca="false">IF(OR(OR($B397="",$E397="",$F397=""),$K397&lt;&gt;"نعم",$M397="نعم"),0,MAX(0,MIN($F397,EOMONTH(DATE(cfg_FY,6,1),0))-MAX($E397,DATE(cfg_FY,6,1))+1))</f>
        <v>0</v>
      </c>
      <c r="AZ397" s="133" t="n">
        <f aca="false">IF(OR(OR($B397="",$E397="",$F397=""),$K397&lt;&gt;"نعم",$M397="نعم"),0,MAX(0,MIN($F397,EOMONTH(DATE(cfg_FY,7,1),0))-MAX($E397,DATE(cfg_FY,7,1))+1))</f>
        <v>0</v>
      </c>
      <c r="BA397" s="133" t="n">
        <f aca="false">IF(OR(OR($B397="",$E397="",$F397=""),$K397&lt;&gt;"نعم",$M397="نعم"),0,MAX(0,MIN($F397,EOMONTH(DATE(cfg_FY,8,1),0))-MAX($E397,DATE(cfg_FY,8,1))+1))</f>
        <v>0</v>
      </c>
      <c r="BB397" s="133" t="n">
        <f aca="false">IF(OR(OR($B397="",$E397="",$F397=""),$K397&lt;&gt;"نعم",$M397="نعم"),0,MAX(0,MIN($F397,EOMONTH(DATE(cfg_FY,9,1),0))-MAX($E397,DATE(cfg_FY,9,1))+1))</f>
        <v>0</v>
      </c>
      <c r="BC397" s="133" t="n">
        <f aca="false">IF(OR(OR($B397="",$E397="",$F397=""),$K397&lt;&gt;"نعم",$M397="نعم"),0,MAX(0,MIN($F397,EOMONTH(DATE(cfg_FY,10,1),0))-MAX($E397,DATE(cfg_FY,10,1))+1))</f>
        <v>0</v>
      </c>
      <c r="BD397" s="133" t="n">
        <f aca="false">IF(OR(OR($B397="",$E397="",$F397=""),$K397&lt;&gt;"نعم",$M397="نعم"),0,MAX(0,MIN($F397,EOMONTH(DATE(cfg_FY,11,1),0))-MAX($E397,DATE(cfg_FY,11,1))+1))</f>
        <v>0</v>
      </c>
      <c r="BE397" s="133" t="n">
        <f aca="false">IF(OR(OR($B397="",$E397="",$F397=""),$K397&lt;&gt;"نعم",$M397="نعم"),0,MAX(0,MIN($F397,EOMONTH(DATE(cfg_FY,12,1),0))-MAX($E397,DATE(cfg_FY,12,1))+1))</f>
        <v>0</v>
      </c>
    </row>
    <row r="398" customFormat="false" ht="15" hidden="false" customHeight="false" outlineLevel="0" collapsed="false">
      <c r="A398" s="106" t="str">
        <f aca="false">IF(B398="","",ROW()-5)</f>
        <v/>
      </c>
      <c r="B398" s="118"/>
      <c r="C398" s="114" t="str">
        <f aca="false">IF(B398="","",IFERROR(INDEX(الموظفون!$C$6:$C$105,MATCH(B398,الموظفون!$B$6:$B$105,0)),"✖ رقم غير موجود"))</f>
        <v/>
      </c>
      <c r="D398" s="118"/>
      <c r="E398" s="119"/>
      <c r="F398" s="119"/>
      <c r="G398" s="65" t="str">
        <f aca="false">IF(OR($B398="",$E398="",$F398=""),"",MAX(0,F398-E398+1))</f>
        <v/>
      </c>
      <c r="H398" s="66" t="str">
        <f aca="false">IF(D398="","",IFERROR(VLOOKUP(D398,cfg_LT,2,FALSE()),1))</f>
        <v/>
      </c>
      <c r="I398" s="135"/>
      <c r="J398" s="66" t="str">
        <f aca="false">IF(D398="","",IF(I398&lt;&gt;"",I398,H398))</f>
        <v/>
      </c>
      <c r="K398" s="114" t="str">
        <f aca="false">IF(D398="","",IFERROR(VLOOKUP($D398,cfg_LT,3,FALSE()),""))</f>
        <v/>
      </c>
      <c r="L398" s="114" t="str">
        <f aca="false">IF(D398="","",IFERROR(VLOOKUP($D398,cfg_LT,4,FALSE()),""))</f>
        <v/>
      </c>
      <c r="M398" s="114" t="str">
        <f aca="false">IF(D398="","",IFERROR(VLOOKUP($D398,cfg_LT,5,FALSE()),""))</f>
        <v/>
      </c>
      <c r="N398" s="111" t="n">
        <f aca="false">IF(OR(OR($B398="",$E398="",$F398=""),M398&lt;&gt;"نعم"),0,G398*J398*IFERROR(INDEX(الموظفون!$R$6:$R$105,MATCH(B398,الموظفون!$B$6:$B$105,0)),0)/cfg_DAYS_M)</f>
        <v>0</v>
      </c>
      <c r="O398" s="106" t="str">
        <f aca="false">IF(OR(OR($B398="",$E398="",$F398=""),M398&lt;&gt;"نعم"),"",IF(YEAR(E398)=cfg_FY,MONTH(E398),""))</f>
        <v/>
      </c>
      <c r="P398" s="114" t="str">
        <f aca="false">IF(B398="","",IF(OR(D398="",E398="",F398=""),"⚠ أكمل النوع والتواريخ",IF(F398&lt;E398,"✖ النهاية قبل البداية",IF(COUNTIFS($B$6:$B$505,B398,$E$6:$E$505,"&lt;="&amp;F398,$F$6:$F$505,"&gt;="&amp;E398)&gt;1,"⚠ تداخل مع سجل آخر",IF(E398&gt;cfg_VAL_DATE,"⏳ قادمة",IF(F398&lt;cfg_VAL_DATE,"✔ منتهية","✈ جارية في تاريخ التقرير"))))))</f>
        <v/>
      </c>
      <c r="Q398" s="118"/>
      <c r="R398" s="65" t="n">
        <f aca="false">IF(OR(OR($B398="",$E398="",$F398=""),L398&lt;&gt;"لا"),0,MAX(0,MIN(F398,cfg_Y_START-1)-E398+1))</f>
        <v>0</v>
      </c>
      <c r="S398" s="65" t="n">
        <f aca="false">IF(OR(OR($B398="",$E398="",$F398=""),L398&lt;&gt;"لا"),0,MAX(0,MIN(F398,cfg_VAL_DATE)-E398+1))</f>
        <v>0</v>
      </c>
      <c r="T398" s="65" t="n">
        <f aca="false">IF(OR(OR($B398="",$E398="",$F398=""),K398&lt;&gt;"نعم"),0,IF(M398="نعم",IF(AND(ISNUMBER(O398),N(O398)&lt;=cfg_VAL_M),G398,0),MAX(0,MIN(F398,cfg_VAL_DATE)-MAX(E398,cfg_Y_START)+1)))</f>
        <v>0</v>
      </c>
      <c r="V398" s="65" t="n">
        <f aca="false">IF(OR($B398="",$E398="",$F398=""),0,MAX(0,MIN($F398,EOMONTH(DATE(cfg_FY,1,1),0))-MAX($E398,DATE(cfg_FY,1,1))+1)*(1-IF($M398="نعم",0,N($J398))))</f>
        <v>0</v>
      </c>
      <c r="W398" s="65" t="n">
        <f aca="false">IF(OR($B398="",$E398="",$F398=""),0,MAX(0,MIN($F398,EOMONTH(DATE(cfg_FY,2,1),0))-MAX($E398,DATE(cfg_FY,2,1))+1)*(1-IF($M398="نعم",0,N($J398))))</f>
        <v>0</v>
      </c>
      <c r="X398" s="65" t="n">
        <f aca="false">IF(OR($B398="",$E398="",$F398=""),0,MAX(0,MIN($F398,EOMONTH(DATE(cfg_FY,3,1),0))-MAX($E398,DATE(cfg_FY,3,1))+1)*(1-IF($M398="نعم",0,N($J398))))</f>
        <v>0</v>
      </c>
      <c r="Y398" s="65" t="n">
        <f aca="false">IF(OR($B398="",$E398="",$F398=""),0,MAX(0,MIN($F398,EOMONTH(DATE(cfg_FY,4,1),0))-MAX($E398,DATE(cfg_FY,4,1))+1)*(1-IF($M398="نعم",0,N($J398))))</f>
        <v>0</v>
      </c>
      <c r="Z398" s="65" t="n">
        <f aca="false">IF(OR($B398="",$E398="",$F398=""),0,MAX(0,MIN($F398,EOMONTH(DATE(cfg_FY,5,1),0))-MAX($E398,DATE(cfg_FY,5,1))+1)*(1-IF($M398="نعم",0,N($J398))))</f>
        <v>0</v>
      </c>
      <c r="AA398" s="65" t="n">
        <f aca="false">IF(OR($B398="",$E398="",$F398=""),0,MAX(0,MIN($F398,EOMONTH(DATE(cfg_FY,6,1),0))-MAX($E398,DATE(cfg_FY,6,1))+1)*(1-IF($M398="نعم",0,N($J398))))</f>
        <v>0</v>
      </c>
      <c r="AB398" s="65" t="n">
        <f aca="false">IF(OR($B398="",$E398="",$F398=""),0,MAX(0,MIN($F398,EOMONTH(DATE(cfg_FY,7,1),0))-MAX($E398,DATE(cfg_FY,7,1))+1)*(1-IF($M398="نعم",0,N($J398))))</f>
        <v>0</v>
      </c>
      <c r="AC398" s="65" t="n">
        <f aca="false">IF(OR($B398="",$E398="",$F398=""),0,MAX(0,MIN($F398,EOMONTH(DATE(cfg_FY,8,1),0))-MAX($E398,DATE(cfg_FY,8,1))+1)*(1-IF($M398="نعم",0,N($J398))))</f>
        <v>0</v>
      </c>
      <c r="AD398" s="65" t="n">
        <f aca="false">IF(OR($B398="",$E398="",$F398=""),0,MAX(0,MIN($F398,EOMONTH(DATE(cfg_FY,9,1),0))-MAX($E398,DATE(cfg_FY,9,1))+1)*(1-IF($M398="نعم",0,N($J398))))</f>
        <v>0</v>
      </c>
      <c r="AE398" s="65" t="n">
        <f aca="false">IF(OR($B398="",$E398="",$F398=""),0,MAX(0,MIN($F398,EOMONTH(DATE(cfg_FY,10,1),0))-MAX($E398,DATE(cfg_FY,10,1))+1)*(1-IF($M398="نعم",0,N($J398))))</f>
        <v>0</v>
      </c>
      <c r="AF398" s="65" t="n">
        <f aca="false">IF(OR($B398="",$E398="",$F398=""),0,MAX(0,MIN($F398,EOMONTH(DATE(cfg_FY,11,1),0))-MAX($E398,DATE(cfg_FY,11,1))+1)*(1-IF($M398="نعم",0,N($J398))))</f>
        <v>0</v>
      </c>
      <c r="AG398" s="65" t="n">
        <f aca="false">IF(OR($B398="",$E398="",$F398=""),0,MAX(0,MIN($F398,EOMONTH(DATE(cfg_FY,12,1),0))-MAX($E398,DATE(cfg_FY,12,1))+1)*(1-IF($M398="نعم",0,N($J398))))</f>
        <v>0</v>
      </c>
      <c r="AH398" s="65" t="n">
        <f aca="false">IF(OR(OR($B398="",$E398="",$F398=""),$L398&lt;&gt;"لا"),0,MAX(0,MIN($F398,EOMONTH(DATE(cfg_FY,1,1),0))-$E398+1))</f>
        <v>0</v>
      </c>
      <c r="AI398" s="65" t="n">
        <f aca="false">IF(OR(OR($B398="",$E398="",$F398=""),$L398&lt;&gt;"لا"),0,MAX(0,MIN($F398,EOMONTH(DATE(cfg_FY,2,1),0))-$E398+1))</f>
        <v>0</v>
      </c>
      <c r="AJ398" s="65" t="n">
        <f aca="false">IF(OR(OR($B398="",$E398="",$F398=""),$L398&lt;&gt;"لا"),0,MAX(0,MIN($F398,EOMONTH(DATE(cfg_FY,3,1),0))-$E398+1))</f>
        <v>0</v>
      </c>
      <c r="AK398" s="65" t="n">
        <f aca="false">IF(OR(OR($B398="",$E398="",$F398=""),$L398&lt;&gt;"لا"),0,MAX(0,MIN($F398,EOMONTH(DATE(cfg_FY,4,1),0))-$E398+1))</f>
        <v>0</v>
      </c>
      <c r="AL398" s="65" t="n">
        <f aca="false">IF(OR(OR($B398="",$E398="",$F398=""),$L398&lt;&gt;"لا"),0,MAX(0,MIN($F398,EOMONTH(DATE(cfg_FY,5,1),0))-$E398+1))</f>
        <v>0</v>
      </c>
      <c r="AM398" s="65" t="n">
        <f aca="false">IF(OR(OR($B398="",$E398="",$F398=""),$L398&lt;&gt;"لا"),0,MAX(0,MIN($F398,EOMONTH(DATE(cfg_FY,6,1),0))-$E398+1))</f>
        <v>0</v>
      </c>
      <c r="AN398" s="65" t="n">
        <f aca="false">IF(OR(OR($B398="",$E398="",$F398=""),$L398&lt;&gt;"لا"),0,MAX(0,MIN($F398,EOMONTH(DATE(cfg_FY,7,1),0))-$E398+1))</f>
        <v>0</v>
      </c>
      <c r="AO398" s="65" t="n">
        <f aca="false">IF(OR(OR($B398="",$E398="",$F398=""),$L398&lt;&gt;"لا"),0,MAX(0,MIN($F398,EOMONTH(DATE(cfg_FY,8,1),0))-$E398+1))</f>
        <v>0</v>
      </c>
      <c r="AP398" s="65" t="n">
        <f aca="false">IF(OR(OR($B398="",$E398="",$F398=""),$L398&lt;&gt;"لا"),0,MAX(0,MIN($F398,EOMONTH(DATE(cfg_FY,9,1),0))-$E398+1))</f>
        <v>0</v>
      </c>
      <c r="AQ398" s="65" t="n">
        <f aca="false">IF(OR(OR($B398="",$E398="",$F398=""),$L398&lt;&gt;"لا"),0,MAX(0,MIN($F398,EOMONTH(DATE(cfg_FY,10,1),0))-$E398+1))</f>
        <v>0</v>
      </c>
      <c r="AR398" s="65" t="n">
        <f aca="false">IF(OR(OR($B398="",$E398="",$F398=""),$L398&lt;&gt;"لا"),0,MAX(0,MIN($F398,EOMONTH(DATE(cfg_FY,11,1),0))-$E398+1))</f>
        <v>0</v>
      </c>
      <c r="AS398" s="65" t="n">
        <f aca="false">IF(OR(OR($B398="",$E398="",$F398=""),$L398&lt;&gt;"لا"),0,MAX(0,MIN($F398,EOMONTH(DATE(cfg_FY,12,1),0))-$E398+1))</f>
        <v>0</v>
      </c>
      <c r="AT398" s="65" t="n">
        <f aca="false">IF(OR(OR($B398="",$E398="",$F398=""),$K398&lt;&gt;"نعم",$M398="نعم"),0,MAX(0,MIN($F398,EOMONTH(DATE(cfg_FY,1,1),0))-MAX($E398,DATE(cfg_FY,1,1))+1))</f>
        <v>0</v>
      </c>
      <c r="AU398" s="65" t="n">
        <f aca="false">IF(OR(OR($B398="",$E398="",$F398=""),$K398&lt;&gt;"نعم",$M398="نعم"),0,MAX(0,MIN($F398,EOMONTH(DATE(cfg_FY,2,1),0))-MAX($E398,DATE(cfg_FY,2,1))+1))</f>
        <v>0</v>
      </c>
      <c r="AV398" s="65" t="n">
        <f aca="false">IF(OR(OR($B398="",$E398="",$F398=""),$K398&lt;&gt;"نعم",$M398="نعم"),0,MAX(0,MIN($F398,EOMONTH(DATE(cfg_FY,3,1),0))-MAX($E398,DATE(cfg_FY,3,1))+1))</f>
        <v>0</v>
      </c>
      <c r="AW398" s="65" t="n">
        <f aca="false">IF(OR(OR($B398="",$E398="",$F398=""),$K398&lt;&gt;"نعم",$M398="نعم"),0,MAX(0,MIN($F398,EOMONTH(DATE(cfg_FY,4,1),0))-MAX($E398,DATE(cfg_FY,4,1))+1))</f>
        <v>0</v>
      </c>
      <c r="AX398" s="65" t="n">
        <f aca="false">IF(OR(OR($B398="",$E398="",$F398=""),$K398&lt;&gt;"نعم",$M398="نعم"),0,MAX(0,MIN($F398,EOMONTH(DATE(cfg_FY,5,1),0))-MAX($E398,DATE(cfg_FY,5,1))+1))</f>
        <v>0</v>
      </c>
      <c r="AY398" s="65" t="n">
        <f aca="false">IF(OR(OR($B398="",$E398="",$F398=""),$K398&lt;&gt;"نعم",$M398="نعم"),0,MAX(0,MIN($F398,EOMONTH(DATE(cfg_FY,6,1),0))-MAX($E398,DATE(cfg_FY,6,1))+1))</f>
        <v>0</v>
      </c>
      <c r="AZ398" s="65" t="n">
        <f aca="false">IF(OR(OR($B398="",$E398="",$F398=""),$K398&lt;&gt;"نعم",$M398="نعم"),0,MAX(0,MIN($F398,EOMONTH(DATE(cfg_FY,7,1),0))-MAX($E398,DATE(cfg_FY,7,1))+1))</f>
        <v>0</v>
      </c>
      <c r="BA398" s="65" t="n">
        <f aca="false">IF(OR(OR($B398="",$E398="",$F398=""),$K398&lt;&gt;"نعم",$M398="نعم"),0,MAX(0,MIN($F398,EOMONTH(DATE(cfg_FY,8,1),0))-MAX($E398,DATE(cfg_FY,8,1))+1))</f>
        <v>0</v>
      </c>
      <c r="BB398" s="65" t="n">
        <f aca="false">IF(OR(OR($B398="",$E398="",$F398=""),$K398&lt;&gt;"نعم",$M398="نعم"),0,MAX(0,MIN($F398,EOMONTH(DATE(cfg_FY,9,1),0))-MAX($E398,DATE(cfg_FY,9,1))+1))</f>
        <v>0</v>
      </c>
      <c r="BC398" s="65" t="n">
        <f aca="false">IF(OR(OR($B398="",$E398="",$F398=""),$K398&lt;&gt;"نعم",$M398="نعم"),0,MAX(0,MIN($F398,EOMONTH(DATE(cfg_FY,10,1),0))-MAX($E398,DATE(cfg_FY,10,1))+1))</f>
        <v>0</v>
      </c>
      <c r="BD398" s="65" t="n">
        <f aca="false">IF(OR(OR($B398="",$E398="",$F398=""),$K398&lt;&gt;"نعم",$M398="نعم"),0,MAX(0,MIN($F398,EOMONTH(DATE(cfg_FY,11,1),0))-MAX($E398,DATE(cfg_FY,11,1))+1))</f>
        <v>0</v>
      </c>
      <c r="BE398" s="65" t="n">
        <f aca="false">IF(OR(OR($B398="",$E398="",$F398=""),$K398&lt;&gt;"نعم",$M398="نعم"),0,MAX(0,MIN($F398,EOMONTH(DATE(cfg_FY,12,1),0))-MAX($E398,DATE(cfg_FY,12,1))+1))</f>
        <v>0</v>
      </c>
    </row>
    <row r="399" customFormat="false" ht="15" hidden="false" customHeight="false" outlineLevel="0" collapsed="false">
      <c r="A399" s="115" t="str">
        <f aca="false">IF(B399="","",ROW()-5)</f>
        <v/>
      </c>
      <c r="B399" s="118"/>
      <c r="C399" s="117" t="str">
        <f aca="false">IF(B399="","",IFERROR(INDEX(الموظفون!$C$6:$C$105,MATCH(B399,الموظفون!$B$6:$B$105,0)),"✖ رقم غير موجود"))</f>
        <v/>
      </c>
      <c r="D399" s="118"/>
      <c r="E399" s="119"/>
      <c r="F399" s="119"/>
      <c r="G399" s="133" t="str">
        <f aca="false">IF(OR($B399="",$E399="",$F399=""),"",MAX(0,F399-E399+1))</f>
        <v/>
      </c>
      <c r="H399" s="134" t="str">
        <f aca="false">IF(D399="","",IFERROR(VLOOKUP(D399,cfg_LT,2,FALSE()),1))</f>
        <v/>
      </c>
      <c r="I399" s="135"/>
      <c r="J399" s="134" t="str">
        <f aca="false">IF(D399="","",IF(I399&lt;&gt;"",I399,H399))</f>
        <v/>
      </c>
      <c r="K399" s="117" t="str">
        <f aca="false">IF(D399="","",IFERROR(VLOOKUP($D399,cfg_LT,3,FALSE()),""))</f>
        <v/>
      </c>
      <c r="L399" s="117" t="str">
        <f aca="false">IF(D399="","",IFERROR(VLOOKUP($D399,cfg_LT,4,FALSE()),""))</f>
        <v/>
      </c>
      <c r="M399" s="117" t="str">
        <f aca="false">IF(D399="","",IFERROR(VLOOKUP($D399,cfg_LT,5,FALSE()),""))</f>
        <v/>
      </c>
      <c r="N399" s="116" t="n">
        <f aca="false">IF(OR(OR($B399="",$E399="",$F399=""),M399&lt;&gt;"نعم"),0,G399*J399*IFERROR(INDEX(الموظفون!$R$6:$R$105,MATCH(B399,الموظفون!$B$6:$B$105,0)),0)/cfg_DAYS_M)</f>
        <v>0</v>
      </c>
      <c r="O399" s="115" t="str">
        <f aca="false">IF(OR(OR($B399="",$E399="",$F399=""),M399&lt;&gt;"نعم"),"",IF(YEAR(E399)=cfg_FY,MONTH(E399),""))</f>
        <v/>
      </c>
      <c r="P399" s="117" t="str">
        <f aca="false">IF(B399="","",IF(OR(D399="",E399="",F399=""),"⚠ أكمل النوع والتواريخ",IF(F399&lt;E399,"✖ النهاية قبل البداية",IF(COUNTIFS($B$6:$B$505,B399,$E$6:$E$505,"&lt;="&amp;F399,$F$6:$F$505,"&gt;="&amp;E399)&gt;1,"⚠ تداخل مع سجل آخر",IF(E399&gt;cfg_VAL_DATE,"⏳ قادمة",IF(F399&lt;cfg_VAL_DATE,"✔ منتهية","✈ جارية في تاريخ التقرير"))))))</f>
        <v/>
      </c>
      <c r="Q399" s="118"/>
      <c r="R399" s="133" t="n">
        <f aca="false">IF(OR(OR($B399="",$E399="",$F399=""),L399&lt;&gt;"لا"),0,MAX(0,MIN(F399,cfg_Y_START-1)-E399+1))</f>
        <v>0</v>
      </c>
      <c r="S399" s="133" t="n">
        <f aca="false">IF(OR(OR($B399="",$E399="",$F399=""),L399&lt;&gt;"لا"),0,MAX(0,MIN(F399,cfg_VAL_DATE)-E399+1))</f>
        <v>0</v>
      </c>
      <c r="T399" s="133" t="n">
        <f aca="false">IF(OR(OR($B399="",$E399="",$F399=""),K399&lt;&gt;"نعم"),0,IF(M399="نعم",IF(AND(ISNUMBER(O399),N(O399)&lt;=cfg_VAL_M),G399,0),MAX(0,MIN(F399,cfg_VAL_DATE)-MAX(E399,cfg_Y_START)+1)))</f>
        <v>0</v>
      </c>
      <c r="V399" s="133" t="n">
        <f aca="false">IF(OR($B399="",$E399="",$F399=""),0,MAX(0,MIN($F399,EOMONTH(DATE(cfg_FY,1,1),0))-MAX($E399,DATE(cfg_FY,1,1))+1)*(1-IF($M399="نعم",0,N($J399))))</f>
        <v>0</v>
      </c>
      <c r="W399" s="133" t="n">
        <f aca="false">IF(OR($B399="",$E399="",$F399=""),0,MAX(0,MIN($F399,EOMONTH(DATE(cfg_FY,2,1),0))-MAX($E399,DATE(cfg_FY,2,1))+1)*(1-IF($M399="نعم",0,N($J399))))</f>
        <v>0</v>
      </c>
      <c r="X399" s="133" t="n">
        <f aca="false">IF(OR($B399="",$E399="",$F399=""),0,MAX(0,MIN($F399,EOMONTH(DATE(cfg_FY,3,1),0))-MAX($E399,DATE(cfg_FY,3,1))+1)*(1-IF($M399="نعم",0,N($J399))))</f>
        <v>0</v>
      </c>
      <c r="Y399" s="133" t="n">
        <f aca="false">IF(OR($B399="",$E399="",$F399=""),0,MAX(0,MIN($F399,EOMONTH(DATE(cfg_FY,4,1),0))-MAX($E399,DATE(cfg_FY,4,1))+1)*(1-IF($M399="نعم",0,N($J399))))</f>
        <v>0</v>
      </c>
      <c r="Z399" s="133" t="n">
        <f aca="false">IF(OR($B399="",$E399="",$F399=""),0,MAX(0,MIN($F399,EOMONTH(DATE(cfg_FY,5,1),0))-MAX($E399,DATE(cfg_FY,5,1))+1)*(1-IF($M399="نعم",0,N($J399))))</f>
        <v>0</v>
      </c>
      <c r="AA399" s="133" t="n">
        <f aca="false">IF(OR($B399="",$E399="",$F399=""),0,MAX(0,MIN($F399,EOMONTH(DATE(cfg_FY,6,1),0))-MAX($E399,DATE(cfg_FY,6,1))+1)*(1-IF($M399="نعم",0,N($J399))))</f>
        <v>0</v>
      </c>
      <c r="AB399" s="133" t="n">
        <f aca="false">IF(OR($B399="",$E399="",$F399=""),0,MAX(0,MIN($F399,EOMONTH(DATE(cfg_FY,7,1),0))-MAX($E399,DATE(cfg_FY,7,1))+1)*(1-IF($M399="نعم",0,N($J399))))</f>
        <v>0</v>
      </c>
      <c r="AC399" s="133" t="n">
        <f aca="false">IF(OR($B399="",$E399="",$F399=""),0,MAX(0,MIN($F399,EOMONTH(DATE(cfg_FY,8,1),0))-MAX($E399,DATE(cfg_FY,8,1))+1)*(1-IF($M399="نعم",0,N($J399))))</f>
        <v>0</v>
      </c>
      <c r="AD399" s="133" t="n">
        <f aca="false">IF(OR($B399="",$E399="",$F399=""),0,MAX(0,MIN($F399,EOMONTH(DATE(cfg_FY,9,1),0))-MAX($E399,DATE(cfg_FY,9,1))+1)*(1-IF($M399="نعم",0,N($J399))))</f>
        <v>0</v>
      </c>
      <c r="AE399" s="133" t="n">
        <f aca="false">IF(OR($B399="",$E399="",$F399=""),0,MAX(0,MIN($F399,EOMONTH(DATE(cfg_FY,10,1),0))-MAX($E399,DATE(cfg_FY,10,1))+1)*(1-IF($M399="نعم",0,N($J399))))</f>
        <v>0</v>
      </c>
      <c r="AF399" s="133" t="n">
        <f aca="false">IF(OR($B399="",$E399="",$F399=""),0,MAX(0,MIN($F399,EOMONTH(DATE(cfg_FY,11,1),0))-MAX($E399,DATE(cfg_FY,11,1))+1)*(1-IF($M399="نعم",0,N($J399))))</f>
        <v>0</v>
      </c>
      <c r="AG399" s="133" t="n">
        <f aca="false">IF(OR($B399="",$E399="",$F399=""),0,MAX(0,MIN($F399,EOMONTH(DATE(cfg_FY,12,1),0))-MAX($E399,DATE(cfg_FY,12,1))+1)*(1-IF($M399="نعم",0,N($J399))))</f>
        <v>0</v>
      </c>
      <c r="AH399" s="133" t="n">
        <f aca="false">IF(OR(OR($B399="",$E399="",$F399=""),$L399&lt;&gt;"لا"),0,MAX(0,MIN($F399,EOMONTH(DATE(cfg_FY,1,1),0))-$E399+1))</f>
        <v>0</v>
      </c>
      <c r="AI399" s="133" t="n">
        <f aca="false">IF(OR(OR($B399="",$E399="",$F399=""),$L399&lt;&gt;"لا"),0,MAX(0,MIN($F399,EOMONTH(DATE(cfg_FY,2,1),0))-$E399+1))</f>
        <v>0</v>
      </c>
      <c r="AJ399" s="133" t="n">
        <f aca="false">IF(OR(OR($B399="",$E399="",$F399=""),$L399&lt;&gt;"لا"),0,MAX(0,MIN($F399,EOMONTH(DATE(cfg_FY,3,1),0))-$E399+1))</f>
        <v>0</v>
      </c>
      <c r="AK399" s="133" t="n">
        <f aca="false">IF(OR(OR($B399="",$E399="",$F399=""),$L399&lt;&gt;"لا"),0,MAX(0,MIN($F399,EOMONTH(DATE(cfg_FY,4,1),0))-$E399+1))</f>
        <v>0</v>
      </c>
      <c r="AL399" s="133" t="n">
        <f aca="false">IF(OR(OR($B399="",$E399="",$F399=""),$L399&lt;&gt;"لا"),0,MAX(0,MIN($F399,EOMONTH(DATE(cfg_FY,5,1),0))-$E399+1))</f>
        <v>0</v>
      </c>
      <c r="AM399" s="133" t="n">
        <f aca="false">IF(OR(OR($B399="",$E399="",$F399=""),$L399&lt;&gt;"لا"),0,MAX(0,MIN($F399,EOMONTH(DATE(cfg_FY,6,1),0))-$E399+1))</f>
        <v>0</v>
      </c>
      <c r="AN399" s="133" t="n">
        <f aca="false">IF(OR(OR($B399="",$E399="",$F399=""),$L399&lt;&gt;"لا"),0,MAX(0,MIN($F399,EOMONTH(DATE(cfg_FY,7,1),0))-$E399+1))</f>
        <v>0</v>
      </c>
      <c r="AO399" s="133" t="n">
        <f aca="false">IF(OR(OR($B399="",$E399="",$F399=""),$L399&lt;&gt;"لا"),0,MAX(0,MIN($F399,EOMONTH(DATE(cfg_FY,8,1),0))-$E399+1))</f>
        <v>0</v>
      </c>
      <c r="AP399" s="133" t="n">
        <f aca="false">IF(OR(OR($B399="",$E399="",$F399=""),$L399&lt;&gt;"لا"),0,MAX(0,MIN($F399,EOMONTH(DATE(cfg_FY,9,1),0))-$E399+1))</f>
        <v>0</v>
      </c>
      <c r="AQ399" s="133" t="n">
        <f aca="false">IF(OR(OR($B399="",$E399="",$F399=""),$L399&lt;&gt;"لا"),0,MAX(0,MIN($F399,EOMONTH(DATE(cfg_FY,10,1),0))-$E399+1))</f>
        <v>0</v>
      </c>
      <c r="AR399" s="133" t="n">
        <f aca="false">IF(OR(OR($B399="",$E399="",$F399=""),$L399&lt;&gt;"لا"),0,MAX(0,MIN($F399,EOMONTH(DATE(cfg_FY,11,1),0))-$E399+1))</f>
        <v>0</v>
      </c>
      <c r="AS399" s="133" t="n">
        <f aca="false">IF(OR(OR($B399="",$E399="",$F399=""),$L399&lt;&gt;"لا"),0,MAX(0,MIN($F399,EOMONTH(DATE(cfg_FY,12,1),0))-$E399+1))</f>
        <v>0</v>
      </c>
      <c r="AT399" s="133" t="n">
        <f aca="false">IF(OR(OR($B399="",$E399="",$F399=""),$K399&lt;&gt;"نعم",$M399="نعم"),0,MAX(0,MIN($F399,EOMONTH(DATE(cfg_FY,1,1),0))-MAX($E399,DATE(cfg_FY,1,1))+1))</f>
        <v>0</v>
      </c>
      <c r="AU399" s="133" t="n">
        <f aca="false">IF(OR(OR($B399="",$E399="",$F399=""),$K399&lt;&gt;"نعم",$M399="نعم"),0,MAX(0,MIN($F399,EOMONTH(DATE(cfg_FY,2,1),0))-MAX($E399,DATE(cfg_FY,2,1))+1))</f>
        <v>0</v>
      </c>
      <c r="AV399" s="133" t="n">
        <f aca="false">IF(OR(OR($B399="",$E399="",$F399=""),$K399&lt;&gt;"نعم",$M399="نعم"),0,MAX(0,MIN($F399,EOMONTH(DATE(cfg_FY,3,1),0))-MAX($E399,DATE(cfg_FY,3,1))+1))</f>
        <v>0</v>
      </c>
      <c r="AW399" s="133" t="n">
        <f aca="false">IF(OR(OR($B399="",$E399="",$F399=""),$K399&lt;&gt;"نعم",$M399="نعم"),0,MAX(0,MIN($F399,EOMONTH(DATE(cfg_FY,4,1),0))-MAX($E399,DATE(cfg_FY,4,1))+1))</f>
        <v>0</v>
      </c>
      <c r="AX399" s="133" t="n">
        <f aca="false">IF(OR(OR($B399="",$E399="",$F399=""),$K399&lt;&gt;"نعم",$M399="نعم"),0,MAX(0,MIN($F399,EOMONTH(DATE(cfg_FY,5,1),0))-MAX($E399,DATE(cfg_FY,5,1))+1))</f>
        <v>0</v>
      </c>
      <c r="AY399" s="133" t="n">
        <f aca="false">IF(OR(OR($B399="",$E399="",$F399=""),$K399&lt;&gt;"نعم",$M399="نعم"),0,MAX(0,MIN($F399,EOMONTH(DATE(cfg_FY,6,1),0))-MAX($E399,DATE(cfg_FY,6,1))+1))</f>
        <v>0</v>
      </c>
      <c r="AZ399" s="133" t="n">
        <f aca="false">IF(OR(OR($B399="",$E399="",$F399=""),$K399&lt;&gt;"نعم",$M399="نعم"),0,MAX(0,MIN($F399,EOMONTH(DATE(cfg_FY,7,1),0))-MAX($E399,DATE(cfg_FY,7,1))+1))</f>
        <v>0</v>
      </c>
      <c r="BA399" s="133" t="n">
        <f aca="false">IF(OR(OR($B399="",$E399="",$F399=""),$K399&lt;&gt;"نعم",$M399="نعم"),0,MAX(0,MIN($F399,EOMONTH(DATE(cfg_FY,8,1),0))-MAX($E399,DATE(cfg_FY,8,1))+1))</f>
        <v>0</v>
      </c>
      <c r="BB399" s="133" t="n">
        <f aca="false">IF(OR(OR($B399="",$E399="",$F399=""),$K399&lt;&gt;"نعم",$M399="نعم"),0,MAX(0,MIN($F399,EOMONTH(DATE(cfg_FY,9,1),0))-MAX($E399,DATE(cfg_FY,9,1))+1))</f>
        <v>0</v>
      </c>
      <c r="BC399" s="133" t="n">
        <f aca="false">IF(OR(OR($B399="",$E399="",$F399=""),$K399&lt;&gt;"نعم",$M399="نعم"),0,MAX(0,MIN($F399,EOMONTH(DATE(cfg_FY,10,1),0))-MAX($E399,DATE(cfg_FY,10,1))+1))</f>
        <v>0</v>
      </c>
      <c r="BD399" s="133" t="n">
        <f aca="false">IF(OR(OR($B399="",$E399="",$F399=""),$K399&lt;&gt;"نعم",$M399="نعم"),0,MAX(0,MIN($F399,EOMONTH(DATE(cfg_FY,11,1),0))-MAX($E399,DATE(cfg_FY,11,1))+1))</f>
        <v>0</v>
      </c>
      <c r="BE399" s="133" t="n">
        <f aca="false">IF(OR(OR($B399="",$E399="",$F399=""),$K399&lt;&gt;"نعم",$M399="نعم"),0,MAX(0,MIN($F399,EOMONTH(DATE(cfg_FY,12,1),0))-MAX($E399,DATE(cfg_FY,12,1))+1))</f>
        <v>0</v>
      </c>
    </row>
    <row r="400" customFormat="false" ht="15" hidden="false" customHeight="false" outlineLevel="0" collapsed="false">
      <c r="A400" s="106" t="str">
        <f aca="false">IF(B400="","",ROW()-5)</f>
        <v/>
      </c>
      <c r="B400" s="118"/>
      <c r="C400" s="114" t="str">
        <f aca="false">IF(B400="","",IFERROR(INDEX(الموظفون!$C$6:$C$105,MATCH(B400,الموظفون!$B$6:$B$105,0)),"✖ رقم غير موجود"))</f>
        <v/>
      </c>
      <c r="D400" s="118"/>
      <c r="E400" s="119"/>
      <c r="F400" s="119"/>
      <c r="G400" s="65" t="str">
        <f aca="false">IF(OR($B400="",$E400="",$F400=""),"",MAX(0,F400-E400+1))</f>
        <v/>
      </c>
      <c r="H400" s="66" t="str">
        <f aca="false">IF(D400="","",IFERROR(VLOOKUP(D400,cfg_LT,2,FALSE()),1))</f>
        <v/>
      </c>
      <c r="I400" s="135"/>
      <c r="J400" s="66" t="str">
        <f aca="false">IF(D400="","",IF(I400&lt;&gt;"",I400,H400))</f>
        <v/>
      </c>
      <c r="K400" s="114" t="str">
        <f aca="false">IF(D400="","",IFERROR(VLOOKUP($D400,cfg_LT,3,FALSE()),""))</f>
        <v/>
      </c>
      <c r="L400" s="114" t="str">
        <f aca="false">IF(D400="","",IFERROR(VLOOKUP($D400,cfg_LT,4,FALSE()),""))</f>
        <v/>
      </c>
      <c r="M400" s="114" t="str">
        <f aca="false">IF(D400="","",IFERROR(VLOOKUP($D400,cfg_LT,5,FALSE()),""))</f>
        <v/>
      </c>
      <c r="N400" s="111" t="n">
        <f aca="false">IF(OR(OR($B400="",$E400="",$F400=""),M400&lt;&gt;"نعم"),0,G400*J400*IFERROR(INDEX(الموظفون!$R$6:$R$105,MATCH(B400,الموظفون!$B$6:$B$105,0)),0)/cfg_DAYS_M)</f>
        <v>0</v>
      </c>
      <c r="O400" s="106" t="str">
        <f aca="false">IF(OR(OR($B400="",$E400="",$F400=""),M400&lt;&gt;"نعم"),"",IF(YEAR(E400)=cfg_FY,MONTH(E400),""))</f>
        <v/>
      </c>
      <c r="P400" s="114" t="str">
        <f aca="false">IF(B400="","",IF(OR(D400="",E400="",F400=""),"⚠ أكمل النوع والتواريخ",IF(F400&lt;E400,"✖ النهاية قبل البداية",IF(COUNTIFS($B$6:$B$505,B400,$E$6:$E$505,"&lt;="&amp;F400,$F$6:$F$505,"&gt;="&amp;E400)&gt;1,"⚠ تداخل مع سجل آخر",IF(E400&gt;cfg_VAL_DATE,"⏳ قادمة",IF(F400&lt;cfg_VAL_DATE,"✔ منتهية","✈ جارية في تاريخ التقرير"))))))</f>
        <v/>
      </c>
      <c r="Q400" s="118"/>
      <c r="R400" s="65" t="n">
        <f aca="false">IF(OR(OR($B400="",$E400="",$F400=""),L400&lt;&gt;"لا"),0,MAX(0,MIN(F400,cfg_Y_START-1)-E400+1))</f>
        <v>0</v>
      </c>
      <c r="S400" s="65" t="n">
        <f aca="false">IF(OR(OR($B400="",$E400="",$F400=""),L400&lt;&gt;"لا"),0,MAX(0,MIN(F400,cfg_VAL_DATE)-E400+1))</f>
        <v>0</v>
      </c>
      <c r="T400" s="65" t="n">
        <f aca="false">IF(OR(OR($B400="",$E400="",$F400=""),K400&lt;&gt;"نعم"),0,IF(M400="نعم",IF(AND(ISNUMBER(O400),N(O400)&lt;=cfg_VAL_M),G400,0),MAX(0,MIN(F400,cfg_VAL_DATE)-MAX(E400,cfg_Y_START)+1)))</f>
        <v>0</v>
      </c>
      <c r="V400" s="65" t="n">
        <f aca="false">IF(OR($B400="",$E400="",$F400=""),0,MAX(0,MIN($F400,EOMONTH(DATE(cfg_FY,1,1),0))-MAX($E400,DATE(cfg_FY,1,1))+1)*(1-IF($M400="نعم",0,N($J400))))</f>
        <v>0</v>
      </c>
      <c r="W400" s="65" t="n">
        <f aca="false">IF(OR($B400="",$E400="",$F400=""),0,MAX(0,MIN($F400,EOMONTH(DATE(cfg_FY,2,1),0))-MAX($E400,DATE(cfg_FY,2,1))+1)*(1-IF($M400="نعم",0,N($J400))))</f>
        <v>0</v>
      </c>
      <c r="X400" s="65" t="n">
        <f aca="false">IF(OR($B400="",$E400="",$F400=""),0,MAX(0,MIN($F400,EOMONTH(DATE(cfg_FY,3,1),0))-MAX($E400,DATE(cfg_FY,3,1))+1)*(1-IF($M400="نعم",0,N($J400))))</f>
        <v>0</v>
      </c>
      <c r="Y400" s="65" t="n">
        <f aca="false">IF(OR($B400="",$E400="",$F400=""),0,MAX(0,MIN($F400,EOMONTH(DATE(cfg_FY,4,1),0))-MAX($E400,DATE(cfg_FY,4,1))+1)*(1-IF($M400="نعم",0,N($J400))))</f>
        <v>0</v>
      </c>
      <c r="Z400" s="65" t="n">
        <f aca="false">IF(OR($B400="",$E400="",$F400=""),0,MAX(0,MIN($F400,EOMONTH(DATE(cfg_FY,5,1),0))-MAX($E400,DATE(cfg_FY,5,1))+1)*(1-IF($M400="نعم",0,N($J400))))</f>
        <v>0</v>
      </c>
      <c r="AA400" s="65" t="n">
        <f aca="false">IF(OR($B400="",$E400="",$F400=""),0,MAX(0,MIN($F400,EOMONTH(DATE(cfg_FY,6,1),0))-MAX($E400,DATE(cfg_FY,6,1))+1)*(1-IF($M400="نعم",0,N($J400))))</f>
        <v>0</v>
      </c>
      <c r="AB400" s="65" t="n">
        <f aca="false">IF(OR($B400="",$E400="",$F400=""),0,MAX(0,MIN($F400,EOMONTH(DATE(cfg_FY,7,1),0))-MAX($E400,DATE(cfg_FY,7,1))+1)*(1-IF($M400="نعم",0,N($J400))))</f>
        <v>0</v>
      </c>
      <c r="AC400" s="65" t="n">
        <f aca="false">IF(OR($B400="",$E400="",$F400=""),0,MAX(0,MIN($F400,EOMONTH(DATE(cfg_FY,8,1),0))-MAX($E400,DATE(cfg_FY,8,1))+1)*(1-IF($M400="نعم",0,N($J400))))</f>
        <v>0</v>
      </c>
      <c r="AD400" s="65" t="n">
        <f aca="false">IF(OR($B400="",$E400="",$F400=""),0,MAX(0,MIN($F400,EOMONTH(DATE(cfg_FY,9,1),0))-MAX($E400,DATE(cfg_FY,9,1))+1)*(1-IF($M400="نعم",0,N($J400))))</f>
        <v>0</v>
      </c>
      <c r="AE400" s="65" t="n">
        <f aca="false">IF(OR($B400="",$E400="",$F400=""),0,MAX(0,MIN($F400,EOMONTH(DATE(cfg_FY,10,1),0))-MAX($E400,DATE(cfg_FY,10,1))+1)*(1-IF($M400="نعم",0,N($J400))))</f>
        <v>0</v>
      </c>
      <c r="AF400" s="65" t="n">
        <f aca="false">IF(OR($B400="",$E400="",$F400=""),0,MAX(0,MIN($F400,EOMONTH(DATE(cfg_FY,11,1),0))-MAX($E400,DATE(cfg_FY,11,1))+1)*(1-IF($M400="نعم",0,N($J400))))</f>
        <v>0</v>
      </c>
      <c r="AG400" s="65" t="n">
        <f aca="false">IF(OR($B400="",$E400="",$F400=""),0,MAX(0,MIN($F400,EOMONTH(DATE(cfg_FY,12,1),0))-MAX($E400,DATE(cfg_FY,12,1))+1)*(1-IF($M400="نعم",0,N($J400))))</f>
        <v>0</v>
      </c>
      <c r="AH400" s="65" t="n">
        <f aca="false">IF(OR(OR($B400="",$E400="",$F400=""),$L400&lt;&gt;"لا"),0,MAX(0,MIN($F400,EOMONTH(DATE(cfg_FY,1,1),0))-$E400+1))</f>
        <v>0</v>
      </c>
      <c r="AI400" s="65" t="n">
        <f aca="false">IF(OR(OR($B400="",$E400="",$F400=""),$L400&lt;&gt;"لا"),0,MAX(0,MIN($F400,EOMONTH(DATE(cfg_FY,2,1),0))-$E400+1))</f>
        <v>0</v>
      </c>
      <c r="AJ400" s="65" t="n">
        <f aca="false">IF(OR(OR($B400="",$E400="",$F400=""),$L400&lt;&gt;"لا"),0,MAX(0,MIN($F400,EOMONTH(DATE(cfg_FY,3,1),0))-$E400+1))</f>
        <v>0</v>
      </c>
      <c r="AK400" s="65" t="n">
        <f aca="false">IF(OR(OR($B400="",$E400="",$F400=""),$L400&lt;&gt;"لا"),0,MAX(0,MIN($F400,EOMONTH(DATE(cfg_FY,4,1),0))-$E400+1))</f>
        <v>0</v>
      </c>
      <c r="AL400" s="65" t="n">
        <f aca="false">IF(OR(OR($B400="",$E400="",$F400=""),$L400&lt;&gt;"لا"),0,MAX(0,MIN($F400,EOMONTH(DATE(cfg_FY,5,1),0))-$E400+1))</f>
        <v>0</v>
      </c>
      <c r="AM400" s="65" t="n">
        <f aca="false">IF(OR(OR($B400="",$E400="",$F400=""),$L400&lt;&gt;"لا"),0,MAX(0,MIN($F400,EOMONTH(DATE(cfg_FY,6,1),0))-$E400+1))</f>
        <v>0</v>
      </c>
      <c r="AN400" s="65" t="n">
        <f aca="false">IF(OR(OR($B400="",$E400="",$F400=""),$L400&lt;&gt;"لا"),0,MAX(0,MIN($F400,EOMONTH(DATE(cfg_FY,7,1),0))-$E400+1))</f>
        <v>0</v>
      </c>
      <c r="AO400" s="65" t="n">
        <f aca="false">IF(OR(OR($B400="",$E400="",$F400=""),$L400&lt;&gt;"لا"),0,MAX(0,MIN($F400,EOMONTH(DATE(cfg_FY,8,1),0))-$E400+1))</f>
        <v>0</v>
      </c>
      <c r="AP400" s="65" t="n">
        <f aca="false">IF(OR(OR($B400="",$E400="",$F400=""),$L400&lt;&gt;"لا"),0,MAX(0,MIN($F400,EOMONTH(DATE(cfg_FY,9,1),0))-$E400+1))</f>
        <v>0</v>
      </c>
      <c r="AQ400" s="65" t="n">
        <f aca="false">IF(OR(OR($B400="",$E400="",$F400=""),$L400&lt;&gt;"لا"),0,MAX(0,MIN($F400,EOMONTH(DATE(cfg_FY,10,1),0))-$E400+1))</f>
        <v>0</v>
      </c>
      <c r="AR400" s="65" t="n">
        <f aca="false">IF(OR(OR($B400="",$E400="",$F400=""),$L400&lt;&gt;"لا"),0,MAX(0,MIN($F400,EOMONTH(DATE(cfg_FY,11,1),0))-$E400+1))</f>
        <v>0</v>
      </c>
      <c r="AS400" s="65" t="n">
        <f aca="false">IF(OR(OR($B400="",$E400="",$F400=""),$L400&lt;&gt;"لا"),0,MAX(0,MIN($F400,EOMONTH(DATE(cfg_FY,12,1),0))-$E400+1))</f>
        <v>0</v>
      </c>
      <c r="AT400" s="65" t="n">
        <f aca="false">IF(OR(OR($B400="",$E400="",$F400=""),$K400&lt;&gt;"نعم",$M400="نعم"),0,MAX(0,MIN($F400,EOMONTH(DATE(cfg_FY,1,1),0))-MAX($E400,DATE(cfg_FY,1,1))+1))</f>
        <v>0</v>
      </c>
      <c r="AU400" s="65" t="n">
        <f aca="false">IF(OR(OR($B400="",$E400="",$F400=""),$K400&lt;&gt;"نعم",$M400="نعم"),0,MAX(0,MIN($F400,EOMONTH(DATE(cfg_FY,2,1),0))-MAX($E400,DATE(cfg_FY,2,1))+1))</f>
        <v>0</v>
      </c>
      <c r="AV400" s="65" t="n">
        <f aca="false">IF(OR(OR($B400="",$E400="",$F400=""),$K400&lt;&gt;"نعم",$M400="نعم"),0,MAX(0,MIN($F400,EOMONTH(DATE(cfg_FY,3,1),0))-MAX($E400,DATE(cfg_FY,3,1))+1))</f>
        <v>0</v>
      </c>
      <c r="AW400" s="65" t="n">
        <f aca="false">IF(OR(OR($B400="",$E400="",$F400=""),$K400&lt;&gt;"نعم",$M400="نعم"),0,MAX(0,MIN($F400,EOMONTH(DATE(cfg_FY,4,1),0))-MAX($E400,DATE(cfg_FY,4,1))+1))</f>
        <v>0</v>
      </c>
      <c r="AX400" s="65" t="n">
        <f aca="false">IF(OR(OR($B400="",$E400="",$F400=""),$K400&lt;&gt;"نعم",$M400="نعم"),0,MAX(0,MIN($F400,EOMONTH(DATE(cfg_FY,5,1),0))-MAX($E400,DATE(cfg_FY,5,1))+1))</f>
        <v>0</v>
      </c>
      <c r="AY400" s="65" t="n">
        <f aca="false">IF(OR(OR($B400="",$E400="",$F400=""),$K400&lt;&gt;"نعم",$M400="نعم"),0,MAX(0,MIN($F400,EOMONTH(DATE(cfg_FY,6,1),0))-MAX($E400,DATE(cfg_FY,6,1))+1))</f>
        <v>0</v>
      </c>
      <c r="AZ400" s="65" t="n">
        <f aca="false">IF(OR(OR($B400="",$E400="",$F400=""),$K400&lt;&gt;"نعم",$M400="نعم"),0,MAX(0,MIN($F400,EOMONTH(DATE(cfg_FY,7,1),0))-MAX($E400,DATE(cfg_FY,7,1))+1))</f>
        <v>0</v>
      </c>
      <c r="BA400" s="65" t="n">
        <f aca="false">IF(OR(OR($B400="",$E400="",$F400=""),$K400&lt;&gt;"نعم",$M400="نعم"),0,MAX(0,MIN($F400,EOMONTH(DATE(cfg_FY,8,1),0))-MAX($E400,DATE(cfg_FY,8,1))+1))</f>
        <v>0</v>
      </c>
      <c r="BB400" s="65" t="n">
        <f aca="false">IF(OR(OR($B400="",$E400="",$F400=""),$K400&lt;&gt;"نعم",$M400="نعم"),0,MAX(0,MIN($F400,EOMONTH(DATE(cfg_FY,9,1),0))-MAX($E400,DATE(cfg_FY,9,1))+1))</f>
        <v>0</v>
      </c>
      <c r="BC400" s="65" t="n">
        <f aca="false">IF(OR(OR($B400="",$E400="",$F400=""),$K400&lt;&gt;"نعم",$M400="نعم"),0,MAX(0,MIN($F400,EOMONTH(DATE(cfg_FY,10,1),0))-MAX($E400,DATE(cfg_FY,10,1))+1))</f>
        <v>0</v>
      </c>
      <c r="BD400" s="65" t="n">
        <f aca="false">IF(OR(OR($B400="",$E400="",$F400=""),$K400&lt;&gt;"نعم",$M400="نعم"),0,MAX(0,MIN($F400,EOMONTH(DATE(cfg_FY,11,1),0))-MAX($E400,DATE(cfg_FY,11,1))+1))</f>
        <v>0</v>
      </c>
      <c r="BE400" s="65" t="n">
        <f aca="false">IF(OR(OR($B400="",$E400="",$F400=""),$K400&lt;&gt;"نعم",$M400="نعم"),0,MAX(0,MIN($F400,EOMONTH(DATE(cfg_FY,12,1),0))-MAX($E400,DATE(cfg_FY,12,1))+1))</f>
        <v>0</v>
      </c>
    </row>
    <row r="401" customFormat="false" ht="15" hidden="false" customHeight="false" outlineLevel="0" collapsed="false">
      <c r="A401" s="115" t="str">
        <f aca="false">IF(B401="","",ROW()-5)</f>
        <v/>
      </c>
      <c r="B401" s="118"/>
      <c r="C401" s="117" t="str">
        <f aca="false">IF(B401="","",IFERROR(INDEX(الموظفون!$C$6:$C$105,MATCH(B401,الموظفون!$B$6:$B$105,0)),"✖ رقم غير موجود"))</f>
        <v/>
      </c>
      <c r="D401" s="118"/>
      <c r="E401" s="119"/>
      <c r="F401" s="119"/>
      <c r="G401" s="133" t="str">
        <f aca="false">IF(OR($B401="",$E401="",$F401=""),"",MAX(0,F401-E401+1))</f>
        <v/>
      </c>
      <c r="H401" s="134" t="str">
        <f aca="false">IF(D401="","",IFERROR(VLOOKUP(D401,cfg_LT,2,FALSE()),1))</f>
        <v/>
      </c>
      <c r="I401" s="135"/>
      <c r="J401" s="134" t="str">
        <f aca="false">IF(D401="","",IF(I401&lt;&gt;"",I401,H401))</f>
        <v/>
      </c>
      <c r="K401" s="117" t="str">
        <f aca="false">IF(D401="","",IFERROR(VLOOKUP($D401,cfg_LT,3,FALSE()),""))</f>
        <v/>
      </c>
      <c r="L401" s="117" t="str">
        <f aca="false">IF(D401="","",IFERROR(VLOOKUP($D401,cfg_LT,4,FALSE()),""))</f>
        <v/>
      </c>
      <c r="M401" s="117" t="str">
        <f aca="false">IF(D401="","",IFERROR(VLOOKUP($D401,cfg_LT,5,FALSE()),""))</f>
        <v/>
      </c>
      <c r="N401" s="116" t="n">
        <f aca="false">IF(OR(OR($B401="",$E401="",$F401=""),M401&lt;&gt;"نعم"),0,G401*J401*IFERROR(INDEX(الموظفون!$R$6:$R$105,MATCH(B401,الموظفون!$B$6:$B$105,0)),0)/cfg_DAYS_M)</f>
        <v>0</v>
      </c>
      <c r="O401" s="115" t="str">
        <f aca="false">IF(OR(OR($B401="",$E401="",$F401=""),M401&lt;&gt;"نعم"),"",IF(YEAR(E401)=cfg_FY,MONTH(E401),""))</f>
        <v/>
      </c>
      <c r="P401" s="117" t="str">
        <f aca="false">IF(B401="","",IF(OR(D401="",E401="",F401=""),"⚠ أكمل النوع والتواريخ",IF(F401&lt;E401,"✖ النهاية قبل البداية",IF(COUNTIFS($B$6:$B$505,B401,$E$6:$E$505,"&lt;="&amp;F401,$F$6:$F$505,"&gt;="&amp;E401)&gt;1,"⚠ تداخل مع سجل آخر",IF(E401&gt;cfg_VAL_DATE,"⏳ قادمة",IF(F401&lt;cfg_VAL_DATE,"✔ منتهية","✈ جارية في تاريخ التقرير"))))))</f>
        <v/>
      </c>
      <c r="Q401" s="118"/>
      <c r="R401" s="133" t="n">
        <f aca="false">IF(OR(OR($B401="",$E401="",$F401=""),L401&lt;&gt;"لا"),0,MAX(0,MIN(F401,cfg_Y_START-1)-E401+1))</f>
        <v>0</v>
      </c>
      <c r="S401" s="133" t="n">
        <f aca="false">IF(OR(OR($B401="",$E401="",$F401=""),L401&lt;&gt;"لا"),0,MAX(0,MIN(F401,cfg_VAL_DATE)-E401+1))</f>
        <v>0</v>
      </c>
      <c r="T401" s="133" t="n">
        <f aca="false">IF(OR(OR($B401="",$E401="",$F401=""),K401&lt;&gt;"نعم"),0,IF(M401="نعم",IF(AND(ISNUMBER(O401),N(O401)&lt;=cfg_VAL_M),G401,0),MAX(0,MIN(F401,cfg_VAL_DATE)-MAX(E401,cfg_Y_START)+1)))</f>
        <v>0</v>
      </c>
      <c r="V401" s="133" t="n">
        <f aca="false">IF(OR($B401="",$E401="",$F401=""),0,MAX(0,MIN($F401,EOMONTH(DATE(cfg_FY,1,1),0))-MAX($E401,DATE(cfg_FY,1,1))+1)*(1-IF($M401="نعم",0,N($J401))))</f>
        <v>0</v>
      </c>
      <c r="W401" s="133" t="n">
        <f aca="false">IF(OR($B401="",$E401="",$F401=""),0,MAX(0,MIN($F401,EOMONTH(DATE(cfg_FY,2,1),0))-MAX($E401,DATE(cfg_FY,2,1))+1)*(1-IF($M401="نعم",0,N($J401))))</f>
        <v>0</v>
      </c>
      <c r="X401" s="133" t="n">
        <f aca="false">IF(OR($B401="",$E401="",$F401=""),0,MAX(0,MIN($F401,EOMONTH(DATE(cfg_FY,3,1),0))-MAX($E401,DATE(cfg_FY,3,1))+1)*(1-IF($M401="نعم",0,N($J401))))</f>
        <v>0</v>
      </c>
      <c r="Y401" s="133" t="n">
        <f aca="false">IF(OR($B401="",$E401="",$F401=""),0,MAX(0,MIN($F401,EOMONTH(DATE(cfg_FY,4,1),0))-MAX($E401,DATE(cfg_FY,4,1))+1)*(1-IF($M401="نعم",0,N($J401))))</f>
        <v>0</v>
      </c>
      <c r="Z401" s="133" t="n">
        <f aca="false">IF(OR($B401="",$E401="",$F401=""),0,MAX(0,MIN($F401,EOMONTH(DATE(cfg_FY,5,1),0))-MAX($E401,DATE(cfg_FY,5,1))+1)*(1-IF($M401="نعم",0,N($J401))))</f>
        <v>0</v>
      </c>
      <c r="AA401" s="133" t="n">
        <f aca="false">IF(OR($B401="",$E401="",$F401=""),0,MAX(0,MIN($F401,EOMONTH(DATE(cfg_FY,6,1),0))-MAX($E401,DATE(cfg_FY,6,1))+1)*(1-IF($M401="نعم",0,N($J401))))</f>
        <v>0</v>
      </c>
      <c r="AB401" s="133" t="n">
        <f aca="false">IF(OR($B401="",$E401="",$F401=""),0,MAX(0,MIN($F401,EOMONTH(DATE(cfg_FY,7,1),0))-MAX($E401,DATE(cfg_FY,7,1))+1)*(1-IF($M401="نعم",0,N($J401))))</f>
        <v>0</v>
      </c>
      <c r="AC401" s="133" t="n">
        <f aca="false">IF(OR($B401="",$E401="",$F401=""),0,MAX(0,MIN($F401,EOMONTH(DATE(cfg_FY,8,1),0))-MAX($E401,DATE(cfg_FY,8,1))+1)*(1-IF($M401="نعم",0,N($J401))))</f>
        <v>0</v>
      </c>
      <c r="AD401" s="133" t="n">
        <f aca="false">IF(OR($B401="",$E401="",$F401=""),0,MAX(0,MIN($F401,EOMONTH(DATE(cfg_FY,9,1),0))-MAX($E401,DATE(cfg_FY,9,1))+1)*(1-IF($M401="نعم",0,N($J401))))</f>
        <v>0</v>
      </c>
      <c r="AE401" s="133" t="n">
        <f aca="false">IF(OR($B401="",$E401="",$F401=""),0,MAX(0,MIN($F401,EOMONTH(DATE(cfg_FY,10,1),0))-MAX($E401,DATE(cfg_FY,10,1))+1)*(1-IF($M401="نعم",0,N($J401))))</f>
        <v>0</v>
      </c>
      <c r="AF401" s="133" t="n">
        <f aca="false">IF(OR($B401="",$E401="",$F401=""),0,MAX(0,MIN($F401,EOMONTH(DATE(cfg_FY,11,1),0))-MAX($E401,DATE(cfg_FY,11,1))+1)*(1-IF($M401="نعم",0,N($J401))))</f>
        <v>0</v>
      </c>
      <c r="AG401" s="133" t="n">
        <f aca="false">IF(OR($B401="",$E401="",$F401=""),0,MAX(0,MIN($F401,EOMONTH(DATE(cfg_FY,12,1),0))-MAX($E401,DATE(cfg_FY,12,1))+1)*(1-IF($M401="نعم",0,N($J401))))</f>
        <v>0</v>
      </c>
      <c r="AH401" s="133" t="n">
        <f aca="false">IF(OR(OR($B401="",$E401="",$F401=""),$L401&lt;&gt;"لا"),0,MAX(0,MIN($F401,EOMONTH(DATE(cfg_FY,1,1),0))-$E401+1))</f>
        <v>0</v>
      </c>
      <c r="AI401" s="133" t="n">
        <f aca="false">IF(OR(OR($B401="",$E401="",$F401=""),$L401&lt;&gt;"لا"),0,MAX(0,MIN($F401,EOMONTH(DATE(cfg_FY,2,1),0))-$E401+1))</f>
        <v>0</v>
      </c>
      <c r="AJ401" s="133" t="n">
        <f aca="false">IF(OR(OR($B401="",$E401="",$F401=""),$L401&lt;&gt;"لا"),0,MAX(0,MIN($F401,EOMONTH(DATE(cfg_FY,3,1),0))-$E401+1))</f>
        <v>0</v>
      </c>
      <c r="AK401" s="133" t="n">
        <f aca="false">IF(OR(OR($B401="",$E401="",$F401=""),$L401&lt;&gt;"لا"),0,MAX(0,MIN($F401,EOMONTH(DATE(cfg_FY,4,1),0))-$E401+1))</f>
        <v>0</v>
      </c>
      <c r="AL401" s="133" t="n">
        <f aca="false">IF(OR(OR($B401="",$E401="",$F401=""),$L401&lt;&gt;"لا"),0,MAX(0,MIN($F401,EOMONTH(DATE(cfg_FY,5,1),0))-$E401+1))</f>
        <v>0</v>
      </c>
      <c r="AM401" s="133" t="n">
        <f aca="false">IF(OR(OR($B401="",$E401="",$F401=""),$L401&lt;&gt;"لا"),0,MAX(0,MIN($F401,EOMONTH(DATE(cfg_FY,6,1),0))-$E401+1))</f>
        <v>0</v>
      </c>
      <c r="AN401" s="133" t="n">
        <f aca="false">IF(OR(OR($B401="",$E401="",$F401=""),$L401&lt;&gt;"لا"),0,MAX(0,MIN($F401,EOMONTH(DATE(cfg_FY,7,1),0))-$E401+1))</f>
        <v>0</v>
      </c>
      <c r="AO401" s="133" t="n">
        <f aca="false">IF(OR(OR($B401="",$E401="",$F401=""),$L401&lt;&gt;"لا"),0,MAX(0,MIN($F401,EOMONTH(DATE(cfg_FY,8,1),0))-$E401+1))</f>
        <v>0</v>
      </c>
      <c r="AP401" s="133" t="n">
        <f aca="false">IF(OR(OR($B401="",$E401="",$F401=""),$L401&lt;&gt;"لا"),0,MAX(0,MIN($F401,EOMONTH(DATE(cfg_FY,9,1),0))-$E401+1))</f>
        <v>0</v>
      </c>
      <c r="AQ401" s="133" t="n">
        <f aca="false">IF(OR(OR($B401="",$E401="",$F401=""),$L401&lt;&gt;"لا"),0,MAX(0,MIN($F401,EOMONTH(DATE(cfg_FY,10,1),0))-$E401+1))</f>
        <v>0</v>
      </c>
      <c r="AR401" s="133" t="n">
        <f aca="false">IF(OR(OR($B401="",$E401="",$F401=""),$L401&lt;&gt;"لا"),0,MAX(0,MIN($F401,EOMONTH(DATE(cfg_FY,11,1),0))-$E401+1))</f>
        <v>0</v>
      </c>
      <c r="AS401" s="133" t="n">
        <f aca="false">IF(OR(OR($B401="",$E401="",$F401=""),$L401&lt;&gt;"لا"),0,MAX(0,MIN($F401,EOMONTH(DATE(cfg_FY,12,1),0))-$E401+1))</f>
        <v>0</v>
      </c>
      <c r="AT401" s="133" t="n">
        <f aca="false">IF(OR(OR($B401="",$E401="",$F401=""),$K401&lt;&gt;"نعم",$M401="نعم"),0,MAX(0,MIN($F401,EOMONTH(DATE(cfg_FY,1,1),0))-MAX($E401,DATE(cfg_FY,1,1))+1))</f>
        <v>0</v>
      </c>
      <c r="AU401" s="133" t="n">
        <f aca="false">IF(OR(OR($B401="",$E401="",$F401=""),$K401&lt;&gt;"نعم",$M401="نعم"),0,MAX(0,MIN($F401,EOMONTH(DATE(cfg_FY,2,1),0))-MAX($E401,DATE(cfg_FY,2,1))+1))</f>
        <v>0</v>
      </c>
      <c r="AV401" s="133" t="n">
        <f aca="false">IF(OR(OR($B401="",$E401="",$F401=""),$K401&lt;&gt;"نعم",$M401="نعم"),0,MAX(0,MIN($F401,EOMONTH(DATE(cfg_FY,3,1),0))-MAX($E401,DATE(cfg_FY,3,1))+1))</f>
        <v>0</v>
      </c>
      <c r="AW401" s="133" t="n">
        <f aca="false">IF(OR(OR($B401="",$E401="",$F401=""),$K401&lt;&gt;"نعم",$M401="نعم"),0,MAX(0,MIN($F401,EOMONTH(DATE(cfg_FY,4,1),0))-MAX($E401,DATE(cfg_FY,4,1))+1))</f>
        <v>0</v>
      </c>
      <c r="AX401" s="133" t="n">
        <f aca="false">IF(OR(OR($B401="",$E401="",$F401=""),$K401&lt;&gt;"نعم",$M401="نعم"),0,MAX(0,MIN($F401,EOMONTH(DATE(cfg_FY,5,1),0))-MAX($E401,DATE(cfg_FY,5,1))+1))</f>
        <v>0</v>
      </c>
      <c r="AY401" s="133" t="n">
        <f aca="false">IF(OR(OR($B401="",$E401="",$F401=""),$K401&lt;&gt;"نعم",$M401="نعم"),0,MAX(0,MIN($F401,EOMONTH(DATE(cfg_FY,6,1),0))-MAX($E401,DATE(cfg_FY,6,1))+1))</f>
        <v>0</v>
      </c>
      <c r="AZ401" s="133" t="n">
        <f aca="false">IF(OR(OR($B401="",$E401="",$F401=""),$K401&lt;&gt;"نعم",$M401="نعم"),0,MAX(0,MIN($F401,EOMONTH(DATE(cfg_FY,7,1),0))-MAX($E401,DATE(cfg_FY,7,1))+1))</f>
        <v>0</v>
      </c>
      <c r="BA401" s="133" t="n">
        <f aca="false">IF(OR(OR($B401="",$E401="",$F401=""),$K401&lt;&gt;"نعم",$M401="نعم"),0,MAX(0,MIN($F401,EOMONTH(DATE(cfg_FY,8,1),0))-MAX($E401,DATE(cfg_FY,8,1))+1))</f>
        <v>0</v>
      </c>
      <c r="BB401" s="133" t="n">
        <f aca="false">IF(OR(OR($B401="",$E401="",$F401=""),$K401&lt;&gt;"نعم",$M401="نعم"),0,MAX(0,MIN($F401,EOMONTH(DATE(cfg_FY,9,1),0))-MAX($E401,DATE(cfg_FY,9,1))+1))</f>
        <v>0</v>
      </c>
      <c r="BC401" s="133" t="n">
        <f aca="false">IF(OR(OR($B401="",$E401="",$F401=""),$K401&lt;&gt;"نعم",$M401="نعم"),0,MAX(0,MIN($F401,EOMONTH(DATE(cfg_FY,10,1),0))-MAX($E401,DATE(cfg_FY,10,1))+1))</f>
        <v>0</v>
      </c>
      <c r="BD401" s="133" t="n">
        <f aca="false">IF(OR(OR($B401="",$E401="",$F401=""),$K401&lt;&gt;"نعم",$M401="نعم"),0,MAX(0,MIN($F401,EOMONTH(DATE(cfg_FY,11,1),0))-MAX($E401,DATE(cfg_FY,11,1))+1))</f>
        <v>0</v>
      </c>
      <c r="BE401" s="133" t="n">
        <f aca="false">IF(OR(OR($B401="",$E401="",$F401=""),$K401&lt;&gt;"نعم",$M401="نعم"),0,MAX(0,MIN($F401,EOMONTH(DATE(cfg_FY,12,1),0))-MAX($E401,DATE(cfg_FY,12,1))+1))</f>
        <v>0</v>
      </c>
    </row>
    <row r="402" customFormat="false" ht="15" hidden="false" customHeight="false" outlineLevel="0" collapsed="false">
      <c r="A402" s="106" t="str">
        <f aca="false">IF(B402="","",ROW()-5)</f>
        <v/>
      </c>
      <c r="B402" s="118"/>
      <c r="C402" s="114" t="str">
        <f aca="false">IF(B402="","",IFERROR(INDEX(الموظفون!$C$6:$C$105,MATCH(B402,الموظفون!$B$6:$B$105,0)),"✖ رقم غير موجود"))</f>
        <v/>
      </c>
      <c r="D402" s="118"/>
      <c r="E402" s="119"/>
      <c r="F402" s="119"/>
      <c r="G402" s="65" t="str">
        <f aca="false">IF(OR($B402="",$E402="",$F402=""),"",MAX(0,F402-E402+1))</f>
        <v/>
      </c>
      <c r="H402" s="66" t="str">
        <f aca="false">IF(D402="","",IFERROR(VLOOKUP(D402,cfg_LT,2,FALSE()),1))</f>
        <v/>
      </c>
      <c r="I402" s="135"/>
      <c r="J402" s="66" t="str">
        <f aca="false">IF(D402="","",IF(I402&lt;&gt;"",I402,H402))</f>
        <v/>
      </c>
      <c r="K402" s="114" t="str">
        <f aca="false">IF(D402="","",IFERROR(VLOOKUP($D402,cfg_LT,3,FALSE()),""))</f>
        <v/>
      </c>
      <c r="L402" s="114" t="str">
        <f aca="false">IF(D402="","",IFERROR(VLOOKUP($D402,cfg_LT,4,FALSE()),""))</f>
        <v/>
      </c>
      <c r="M402" s="114" t="str">
        <f aca="false">IF(D402="","",IFERROR(VLOOKUP($D402,cfg_LT,5,FALSE()),""))</f>
        <v/>
      </c>
      <c r="N402" s="111" t="n">
        <f aca="false">IF(OR(OR($B402="",$E402="",$F402=""),M402&lt;&gt;"نعم"),0,G402*J402*IFERROR(INDEX(الموظفون!$R$6:$R$105,MATCH(B402,الموظفون!$B$6:$B$105,0)),0)/cfg_DAYS_M)</f>
        <v>0</v>
      </c>
      <c r="O402" s="106" t="str">
        <f aca="false">IF(OR(OR($B402="",$E402="",$F402=""),M402&lt;&gt;"نعم"),"",IF(YEAR(E402)=cfg_FY,MONTH(E402),""))</f>
        <v/>
      </c>
      <c r="P402" s="114" t="str">
        <f aca="false">IF(B402="","",IF(OR(D402="",E402="",F402=""),"⚠ أكمل النوع والتواريخ",IF(F402&lt;E402,"✖ النهاية قبل البداية",IF(COUNTIFS($B$6:$B$505,B402,$E$6:$E$505,"&lt;="&amp;F402,$F$6:$F$505,"&gt;="&amp;E402)&gt;1,"⚠ تداخل مع سجل آخر",IF(E402&gt;cfg_VAL_DATE,"⏳ قادمة",IF(F402&lt;cfg_VAL_DATE,"✔ منتهية","✈ جارية في تاريخ التقرير"))))))</f>
        <v/>
      </c>
      <c r="Q402" s="118"/>
      <c r="R402" s="65" t="n">
        <f aca="false">IF(OR(OR($B402="",$E402="",$F402=""),L402&lt;&gt;"لا"),0,MAX(0,MIN(F402,cfg_Y_START-1)-E402+1))</f>
        <v>0</v>
      </c>
      <c r="S402" s="65" t="n">
        <f aca="false">IF(OR(OR($B402="",$E402="",$F402=""),L402&lt;&gt;"لا"),0,MAX(0,MIN(F402,cfg_VAL_DATE)-E402+1))</f>
        <v>0</v>
      </c>
      <c r="T402" s="65" t="n">
        <f aca="false">IF(OR(OR($B402="",$E402="",$F402=""),K402&lt;&gt;"نعم"),0,IF(M402="نعم",IF(AND(ISNUMBER(O402),N(O402)&lt;=cfg_VAL_M),G402,0),MAX(0,MIN(F402,cfg_VAL_DATE)-MAX(E402,cfg_Y_START)+1)))</f>
        <v>0</v>
      </c>
      <c r="V402" s="65" t="n">
        <f aca="false">IF(OR($B402="",$E402="",$F402=""),0,MAX(0,MIN($F402,EOMONTH(DATE(cfg_FY,1,1),0))-MAX($E402,DATE(cfg_FY,1,1))+1)*(1-IF($M402="نعم",0,N($J402))))</f>
        <v>0</v>
      </c>
      <c r="W402" s="65" t="n">
        <f aca="false">IF(OR($B402="",$E402="",$F402=""),0,MAX(0,MIN($F402,EOMONTH(DATE(cfg_FY,2,1),0))-MAX($E402,DATE(cfg_FY,2,1))+1)*(1-IF($M402="نعم",0,N($J402))))</f>
        <v>0</v>
      </c>
      <c r="X402" s="65" t="n">
        <f aca="false">IF(OR($B402="",$E402="",$F402=""),0,MAX(0,MIN($F402,EOMONTH(DATE(cfg_FY,3,1),0))-MAX($E402,DATE(cfg_FY,3,1))+1)*(1-IF($M402="نعم",0,N($J402))))</f>
        <v>0</v>
      </c>
      <c r="Y402" s="65" t="n">
        <f aca="false">IF(OR($B402="",$E402="",$F402=""),0,MAX(0,MIN($F402,EOMONTH(DATE(cfg_FY,4,1),0))-MAX($E402,DATE(cfg_FY,4,1))+1)*(1-IF($M402="نعم",0,N($J402))))</f>
        <v>0</v>
      </c>
      <c r="Z402" s="65" t="n">
        <f aca="false">IF(OR($B402="",$E402="",$F402=""),0,MAX(0,MIN($F402,EOMONTH(DATE(cfg_FY,5,1),0))-MAX($E402,DATE(cfg_FY,5,1))+1)*(1-IF($M402="نعم",0,N($J402))))</f>
        <v>0</v>
      </c>
      <c r="AA402" s="65" t="n">
        <f aca="false">IF(OR($B402="",$E402="",$F402=""),0,MAX(0,MIN($F402,EOMONTH(DATE(cfg_FY,6,1),0))-MAX($E402,DATE(cfg_FY,6,1))+1)*(1-IF($M402="نعم",0,N($J402))))</f>
        <v>0</v>
      </c>
      <c r="AB402" s="65" t="n">
        <f aca="false">IF(OR($B402="",$E402="",$F402=""),0,MAX(0,MIN($F402,EOMONTH(DATE(cfg_FY,7,1),0))-MAX($E402,DATE(cfg_FY,7,1))+1)*(1-IF($M402="نعم",0,N($J402))))</f>
        <v>0</v>
      </c>
      <c r="AC402" s="65" t="n">
        <f aca="false">IF(OR($B402="",$E402="",$F402=""),0,MAX(0,MIN($F402,EOMONTH(DATE(cfg_FY,8,1),0))-MAX($E402,DATE(cfg_FY,8,1))+1)*(1-IF($M402="نعم",0,N($J402))))</f>
        <v>0</v>
      </c>
      <c r="AD402" s="65" t="n">
        <f aca="false">IF(OR($B402="",$E402="",$F402=""),0,MAX(0,MIN($F402,EOMONTH(DATE(cfg_FY,9,1),0))-MAX($E402,DATE(cfg_FY,9,1))+1)*(1-IF($M402="نعم",0,N($J402))))</f>
        <v>0</v>
      </c>
      <c r="AE402" s="65" t="n">
        <f aca="false">IF(OR($B402="",$E402="",$F402=""),0,MAX(0,MIN($F402,EOMONTH(DATE(cfg_FY,10,1),0))-MAX($E402,DATE(cfg_FY,10,1))+1)*(1-IF($M402="نعم",0,N($J402))))</f>
        <v>0</v>
      </c>
      <c r="AF402" s="65" t="n">
        <f aca="false">IF(OR($B402="",$E402="",$F402=""),0,MAX(0,MIN($F402,EOMONTH(DATE(cfg_FY,11,1),0))-MAX($E402,DATE(cfg_FY,11,1))+1)*(1-IF($M402="نعم",0,N($J402))))</f>
        <v>0</v>
      </c>
      <c r="AG402" s="65" t="n">
        <f aca="false">IF(OR($B402="",$E402="",$F402=""),0,MAX(0,MIN($F402,EOMONTH(DATE(cfg_FY,12,1),0))-MAX($E402,DATE(cfg_FY,12,1))+1)*(1-IF($M402="نعم",0,N($J402))))</f>
        <v>0</v>
      </c>
      <c r="AH402" s="65" t="n">
        <f aca="false">IF(OR(OR($B402="",$E402="",$F402=""),$L402&lt;&gt;"لا"),0,MAX(0,MIN($F402,EOMONTH(DATE(cfg_FY,1,1),0))-$E402+1))</f>
        <v>0</v>
      </c>
      <c r="AI402" s="65" t="n">
        <f aca="false">IF(OR(OR($B402="",$E402="",$F402=""),$L402&lt;&gt;"لا"),0,MAX(0,MIN($F402,EOMONTH(DATE(cfg_FY,2,1),0))-$E402+1))</f>
        <v>0</v>
      </c>
      <c r="AJ402" s="65" t="n">
        <f aca="false">IF(OR(OR($B402="",$E402="",$F402=""),$L402&lt;&gt;"لا"),0,MAX(0,MIN($F402,EOMONTH(DATE(cfg_FY,3,1),0))-$E402+1))</f>
        <v>0</v>
      </c>
      <c r="AK402" s="65" t="n">
        <f aca="false">IF(OR(OR($B402="",$E402="",$F402=""),$L402&lt;&gt;"لا"),0,MAX(0,MIN($F402,EOMONTH(DATE(cfg_FY,4,1),0))-$E402+1))</f>
        <v>0</v>
      </c>
      <c r="AL402" s="65" t="n">
        <f aca="false">IF(OR(OR($B402="",$E402="",$F402=""),$L402&lt;&gt;"لا"),0,MAX(0,MIN($F402,EOMONTH(DATE(cfg_FY,5,1),0))-$E402+1))</f>
        <v>0</v>
      </c>
      <c r="AM402" s="65" t="n">
        <f aca="false">IF(OR(OR($B402="",$E402="",$F402=""),$L402&lt;&gt;"لا"),0,MAX(0,MIN($F402,EOMONTH(DATE(cfg_FY,6,1),0))-$E402+1))</f>
        <v>0</v>
      </c>
      <c r="AN402" s="65" t="n">
        <f aca="false">IF(OR(OR($B402="",$E402="",$F402=""),$L402&lt;&gt;"لا"),0,MAX(0,MIN($F402,EOMONTH(DATE(cfg_FY,7,1),0))-$E402+1))</f>
        <v>0</v>
      </c>
      <c r="AO402" s="65" t="n">
        <f aca="false">IF(OR(OR($B402="",$E402="",$F402=""),$L402&lt;&gt;"لا"),0,MAX(0,MIN($F402,EOMONTH(DATE(cfg_FY,8,1),0))-$E402+1))</f>
        <v>0</v>
      </c>
      <c r="AP402" s="65" t="n">
        <f aca="false">IF(OR(OR($B402="",$E402="",$F402=""),$L402&lt;&gt;"لا"),0,MAX(0,MIN($F402,EOMONTH(DATE(cfg_FY,9,1),0))-$E402+1))</f>
        <v>0</v>
      </c>
      <c r="AQ402" s="65" t="n">
        <f aca="false">IF(OR(OR($B402="",$E402="",$F402=""),$L402&lt;&gt;"لا"),0,MAX(0,MIN($F402,EOMONTH(DATE(cfg_FY,10,1),0))-$E402+1))</f>
        <v>0</v>
      </c>
      <c r="AR402" s="65" t="n">
        <f aca="false">IF(OR(OR($B402="",$E402="",$F402=""),$L402&lt;&gt;"لا"),0,MAX(0,MIN($F402,EOMONTH(DATE(cfg_FY,11,1),0))-$E402+1))</f>
        <v>0</v>
      </c>
      <c r="AS402" s="65" t="n">
        <f aca="false">IF(OR(OR($B402="",$E402="",$F402=""),$L402&lt;&gt;"لا"),0,MAX(0,MIN($F402,EOMONTH(DATE(cfg_FY,12,1),0))-$E402+1))</f>
        <v>0</v>
      </c>
      <c r="AT402" s="65" t="n">
        <f aca="false">IF(OR(OR($B402="",$E402="",$F402=""),$K402&lt;&gt;"نعم",$M402="نعم"),0,MAX(0,MIN($F402,EOMONTH(DATE(cfg_FY,1,1),0))-MAX($E402,DATE(cfg_FY,1,1))+1))</f>
        <v>0</v>
      </c>
      <c r="AU402" s="65" t="n">
        <f aca="false">IF(OR(OR($B402="",$E402="",$F402=""),$K402&lt;&gt;"نعم",$M402="نعم"),0,MAX(0,MIN($F402,EOMONTH(DATE(cfg_FY,2,1),0))-MAX($E402,DATE(cfg_FY,2,1))+1))</f>
        <v>0</v>
      </c>
      <c r="AV402" s="65" t="n">
        <f aca="false">IF(OR(OR($B402="",$E402="",$F402=""),$K402&lt;&gt;"نعم",$M402="نعم"),0,MAX(0,MIN($F402,EOMONTH(DATE(cfg_FY,3,1),0))-MAX($E402,DATE(cfg_FY,3,1))+1))</f>
        <v>0</v>
      </c>
      <c r="AW402" s="65" t="n">
        <f aca="false">IF(OR(OR($B402="",$E402="",$F402=""),$K402&lt;&gt;"نعم",$M402="نعم"),0,MAX(0,MIN($F402,EOMONTH(DATE(cfg_FY,4,1),0))-MAX($E402,DATE(cfg_FY,4,1))+1))</f>
        <v>0</v>
      </c>
      <c r="AX402" s="65" t="n">
        <f aca="false">IF(OR(OR($B402="",$E402="",$F402=""),$K402&lt;&gt;"نعم",$M402="نعم"),0,MAX(0,MIN($F402,EOMONTH(DATE(cfg_FY,5,1),0))-MAX($E402,DATE(cfg_FY,5,1))+1))</f>
        <v>0</v>
      </c>
      <c r="AY402" s="65" t="n">
        <f aca="false">IF(OR(OR($B402="",$E402="",$F402=""),$K402&lt;&gt;"نعم",$M402="نعم"),0,MAX(0,MIN($F402,EOMONTH(DATE(cfg_FY,6,1),0))-MAX($E402,DATE(cfg_FY,6,1))+1))</f>
        <v>0</v>
      </c>
      <c r="AZ402" s="65" t="n">
        <f aca="false">IF(OR(OR($B402="",$E402="",$F402=""),$K402&lt;&gt;"نعم",$M402="نعم"),0,MAX(0,MIN($F402,EOMONTH(DATE(cfg_FY,7,1),0))-MAX($E402,DATE(cfg_FY,7,1))+1))</f>
        <v>0</v>
      </c>
      <c r="BA402" s="65" t="n">
        <f aca="false">IF(OR(OR($B402="",$E402="",$F402=""),$K402&lt;&gt;"نعم",$M402="نعم"),0,MAX(0,MIN($F402,EOMONTH(DATE(cfg_FY,8,1),0))-MAX($E402,DATE(cfg_FY,8,1))+1))</f>
        <v>0</v>
      </c>
      <c r="BB402" s="65" t="n">
        <f aca="false">IF(OR(OR($B402="",$E402="",$F402=""),$K402&lt;&gt;"نعم",$M402="نعم"),0,MAX(0,MIN($F402,EOMONTH(DATE(cfg_FY,9,1),0))-MAX($E402,DATE(cfg_FY,9,1))+1))</f>
        <v>0</v>
      </c>
      <c r="BC402" s="65" t="n">
        <f aca="false">IF(OR(OR($B402="",$E402="",$F402=""),$K402&lt;&gt;"نعم",$M402="نعم"),0,MAX(0,MIN($F402,EOMONTH(DATE(cfg_FY,10,1),0))-MAX($E402,DATE(cfg_FY,10,1))+1))</f>
        <v>0</v>
      </c>
      <c r="BD402" s="65" t="n">
        <f aca="false">IF(OR(OR($B402="",$E402="",$F402=""),$K402&lt;&gt;"نعم",$M402="نعم"),0,MAX(0,MIN($F402,EOMONTH(DATE(cfg_FY,11,1),0))-MAX($E402,DATE(cfg_FY,11,1))+1))</f>
        <v>0</v>
      </c>
      <c r="BE402" s="65" t="n">
        <f aca="false">IF(OR(OR($B402="",$E402="",$F402=""),$K402&lt;&gt;"نعم",$M402="نعم"),0,MAX(0,MIN($F402,EOMONTH(DATE(cfg_FY,12,1),0))-MAX($E402,DATE(cfg_FY,12,1))+1))</f>
        <v>0</v>
      </c>
    </row>
    <row r="403" customFormat="false" ht="15" hidden="false" customHeight="false" outlineLevel="0" collapsed="false">
      <c r="A403" s="115" t="str">
        <f aca="false">IF(B403="","",ROW()-5)</f>
        <v/>
      </c>
      <c r="B403" s="118"/>
      <c r="C403" s="117" t="str">
        <f aca="false">IF(B403="","",IFERROR(INDEX(الموظفون!$C$6:$C$105,MATCH(B403,الموظفون!$B$6:$B$105,0)),"✖ رقم غير موجود"))</f>
        <v/>
      </c>
      <c r="D403" s="118"/>
      <c r="E403" s="119"/>
      <c r="F403" s="119"/>
      <c r="G403" s="133" t="str">
        <f aca="false">IF(OR($B403="",$E403="",$F403=""),"",MAX(0,F403-E403+1))</f>
        <v/>
      </c>
      <c r="H403" s="134" t="str">
        <f aca="false">IF(D403="","",IFERROR(VLOOKUP(D403,cfg_LT,2,FALSE()),1))</f>
        <v/>
      </c>
      <c r="I403" s="135"/>
      <c r="J403" s="134" t="str">
        <f aca="false">IF(D403="","",IF(I403&lt;&gt;"",I403,H403))</f>
        <v/>
      </c>
      <c r="K403" s="117" t="str">
        <f aca="false">IF(D403="","",IFERROR(VLOOKUP($D403,cfg_LT,3,FALSE()),""))</f>
        <v/>
      </c>
      <c r="L403" s="117" t="str">
        <f aca="false">IF(D403="","",IFERROR(VLOOKUP($D403,cfg_LT,4,FALSE()),""))</f>
        <v/>
      </c>
      <c r="M403" s="117" t="str">
        <f aca="false">IF(D403="","",IFERROR(VLOOKUP($D403,cfg_LT,5,FALSE()),""))</f>
        <v/>
      </c>
      <c r="N403" s="116" t="n">
        <f aca="false">IF(OR(OR($B403="",$E403="",$F403=""),M403&lt;&gt;"نعم"),0,G403*J403*IFERROR(INDEX(الموظفون!$R$6:$R$105,MATCH(B403,الموظفون!$B$6:$B$105,0)),0)/cfg_DAYS_M)</f>
        <v>0</v>
      </c>
      <c r="O403" s="115" t="str">
        <f aca="false">IF(OR(OR($B403="",$E403="",$F403=""),M403&lt;&gt;"نعم"),"",IF(YEAR(E403)=cfg_FY,MONTH(E403),""))</f>
        <v/>
      </c>
      <c r="P403" s="117" t="str">
        <f aca="false">IF(B403="","",IF(OR(D403="",E403="",F403=""),"⚠ أكمل النوع والتواريخ",IF(F403&lt;E403,"✖ النهاية قبل البداية",IF(COUNTIFS($B$6:$B$505,B403,$E$6:$E$505,"&lt;="&amp;F403,$F$6:$F$505,"&gt;="&amp;E403)&gt;1,"⚠ تداخل مع سجل آخر",IF(E403&gt;cfg_VAL_DATE,"⏳ قادمة",IF(F403&lt;cfg_VAL_DATE,"✔ منتهية","✈ جارية في تاريخ التقرير"))))))</f>
        <v/>
      </c>
      <c r="Q403" s="118"/>
      <c r="R403" s="133" t="n">
        <f aca="false">IF(OR(OR($B403="",$E403="",$F403=""),L403&lt;&gt;"لا"),0,MAX(0,MIN(F403,cfg_Y_START-1)-E403+1))</f>
        <v>0</v>
      </c>
      <c r="S403" s="133" t="n">
        <f aca="false">IF(OR(OR($B403="",$E403="",$F403=""),L403&lt;&gt;"لا"),0,MAX(0,MIN(F403,cfg_VAL_DATE)-E403+1))</f>
        <v>0</v>
      </c>
      <c r="T403" s="133" t="n">
        <f aca="false">IF(OR(OR($B403="",$E403="",$F403=""),K403&lt;&gt;"نعم"),0,IF(M403="نعم",IF(AND(ISNUMBER(O403),N(O403)&lt;=cfg_VAL_M),G403,0),MAX(0,MIN(F403,cfg_VAL_DATE)-MAX(E403,cfg_Y_START)+1)))</f>
        <v>0</v>
      </c>
      <c r="V403" s="133" t="n">
        <f aca="false">IF(OR($B403="",$E403="",$F403=""),0,MAX(0,MIN($F403,EOMONTH(DATE(cfg_FY,1,1),0))-MAX($E403,DATE(cfg_FY,1,1))+1)*(1-IF($M403="نعم",0,N($J403))))</f>
        <v>0</v>
      </c>
      <c r="W403" s="133" t="n">
        <f aca="false">IF(OR($B403="",$E403="",$F403=""),0,MAX(0,MIN($F403,EOMONTH(DATE(cfg_FY,2,1),0))-MAX($E403,DATE(cfg_FY,2,1))+1)*(1-IF($M403="نعم",0,N($J403))))</f>
        <v>0</v>
      </c>
      <c r="X403" s="133" t="n">
        <f aca="false">IF(OR($B403="",$E403="",$F403=""),0,MAX(0,MIN($F403,EOMONTH(DATE(cfg_FY,3,1),0))-MAX($E403,DATE(cfg_FY,3,1))+1)*(1-IF($M403="نعم",0,N($J403))))</f>
        <v>0</v>
      </c>
      <c r="Y403" s="133" t="n">
        <f aca="false">IF(OR($B403="",$E403="",$F403=""),0,MAX(0,MIN($F403,EOMONTH(DATE(cfg_FY,4,1),0))-MAX($E403,DATE(cfg_FY,4,1))+1)*(1-IF($M403="نعم",0,N($J403))))</f>
        <v>0</v>
      </c>
      <c r="Z403" s="133" t="n">
        <f aca="false">IF(OR($B403="",$E403="",$F403=""),0,MAX(0,MIN($F403,EOMONTH(DATE(cfg_FY,5,1),0))-MAX($E403,DATE(cfg_FY,5,1))+1)*(1-IF($M403="نعم",0,N($J403))))</f>
        <v>0</v>
      </c>
      <c r="AA403" s="133" t="n">
        <f aca="false">IF(OR($B403="",$E403="",$F403=""),0,MAX(0,MIN($F403,EOMONTH(DATE(cfg_FY,6,1),0))-MAX($E403,DATE(cfg_FY,6,1))+1)*(1-IF($M403="نعم",0,N($J403))))</f>
        <v>0</v>
      </c>
      <c r="AB403" s="133" t="n">
        <f aca="false">IF(OR($B403="",$E403="",$F403=""),0,MAX(0,MIN($F403,EOMONTH(DATE(cfg_FY,7,1),0))-MAX($E403,DATE(cfg_FY,7,1))+1)*(1-IF($M403="نعم",0,N($J403))))</f>
        <v>0</v>
      </c>
      <c r="AC403" s="133" t="n">
        <f aca="false">IF(OR($B403="",$E403="",$F403=""),0,MAX(0,MIN($F403,EOMONTH(DATE(cfg_FY,8,1),0))-MAX($E403,DATE(cfg_FY,8,1))+1)*(1-IF($M403="نعم",0,N($J403))))</f>
        <v>0</v>
      </c>
      <c r="AD403" s="133" t="n">
        <f aca="false">IF(OR($B403="",$E403="",$F403=""),0,MAX(0,MIN($F403,EOMONTH(DATE(cfg_FY,9,1),0))-MAX($E403,DATE(cfg_FY,9,1))+1)*(1-IF($M403="نعم",0,N($J403))))</f>
        <v>0</v>
      </c>
      <c r="AE403" s="133" t="n">
        <f aca="false">IF(OR($B403="",$E403="",$F403=""),0,MAX(0,MIN($F403,EOMONTH(DATE(cfg_FY,10,1),0))-MAX($E403,DATE(cfg_FY,10,1))+1)*(1-IF($M403="نعم",0,N($J403))))</f>
        <v>0</v>
      </c>
      <c r="AF403" s="133" t="n">
        <f aca="false">IF(OR($B403="",$E403="",$F403=""),0,MAX(0,MIN($F403,EOMONTH(DATE(cfg_FY,11,1),0))-MAX($E403,DATE(cfg_FY,11,1))+1)*(1-IF($M403="نعم",0,N($J403))))</f>
        <v>0</v>
      </c>
      <c r="AG403" s="133" t="n">
        <f aca="false">IF(OR($B403="",$E403="",$F403=""),0,MAX(0,MIN($F403,EOMONTH(DATE(cfg_FY,12,1),0))-MAX($E403,DATE(cfg_FY,12,1))+1)*(1-IF($M403="نعم",0,N($J403))))</f>
        <v>0</v>
      </c>
      <c r="AH403" s="133" t="n">
        <f aca="false">IF(OR(OR($B403="",$E403="",$F403=""),$L403&lt;&gt;"لا"),0,MAX(0,MIN($F403,EOMONTH(DATE(cfg_FY,1,1),0))-$E403+1))</f>
        <v>0</v>
      </c>
      <c r="AI403" s="133" t="n">
        <f aca="false">IF(OR(OR($B403="",$E403="",$F403=""),$L403&lt;&gt;"لا"),0,MAX(0,MIN($F403,EOMONTH(DATE(cfg_FY,2,1),0))-$E403+1))</f>
        <v>0</v>
      </c>
      <c r="AJ403" s="133" t="n">
        <f aca="false">IF(OR(OR($B403="",$E403="",$F403=""),$L403&lt;&gt;"لا"),0,MAX(0,MIN($F403,EOMONTH(DATE(cfg_FY,3,1),0))-$E403+1))</f>
        <v>0</v>
      </c>
      <c r="AK403" s="133" t="n">
        <f aca="false">IF(OR(OR($B403="",$E403="",$F403=""),$L403&lt;&gt;"لا"),0,MAX(0,MIN($F403,EOMONTH(DATE(cfg_FY,4,1),0))-$E403+1))</f>
        <v>0</v>
      </c>
      <c r="AL403" s="133" t="n">
        <f aca="false">IF(OR(OR($B403="",$E403="",$F403=""),$L403&lt;&gt;"لا"),0,MAX(0,MIN($F403,EOMONTH(DATE(cfg_FY,5,1),0))-$E403+1))</f>
        <v>0</v>
      </c>
      <c r="AM403" s="133" t="n">
        <f aca="false">IF(OR(OR($B403="",$E403="",$F403=""),$L403&lt;&gt;"لا"),0,MAX(0,MIN($F403,EOMONTH(DATE(cfg_FY,6,1),0))-$E403+1))</f>
        <v>0</v>
      </c>
      <c r="AN403" s="133" t="n">
        <f aca="false">IF(OR(OR($B403="",$E403="",$F403=""),$L403&lt;&gt;"لا"),0,MAX(0,MIN($F403,EOMONTH(DATE(cfg_FY,7,1),0))-$E403+1))</f>
        <v>0</v>
      </c>
      <c r="AO403" s="133" t="n">
        <f aca="false">IF(OR(OR($B403="",$E403="",$F403=""),$L403&lt;&gt;"لا"),0,MAX(0,MIN($F403,EOMONTH(DATE(cfg_FY,8,1),0))-$E403+1))</f>
        <v>0</v>
      </c>
      <c r="AP403" s="133" t="n">
        <f aca="false">IF(OR(OR($B403="",$E403="",$F403=""),$L403&lt;&gt;"لا"),0,MAX(0,MIN($F403,EOMONTH(DATE(cfg_FY,9,1),0))-$E403+1))</f>
        <v>0</v>
      </c>
      <c r="AQ403" s="133" t="n">
        <f aca="false">IF(OR(OR($B403="",$E403="",$F403=""),$L403&lt;&gt;"لا"),0,MAX(0,MIN($F403,EOMONTH(DATE(cfg_FY,10,1),0))-$E403+1))</f>
        <v>0</v>
      </c>
      <c r="AR403" s="133" t="n">
        <f aca="false">IF(OR(OR($B403="",$E403="",$F403=""),$L403&lt;&gt;"لا"),0,MAX(0,MIN($F403,EOMONTH(DATE(cfg_FY,11,1),0))-$E403+1))</f>
        <v>0</v>
      </c>
      <c r="AS403" s="133" t="n">
        <f aca="false">IF(OR(OR($B403="",$E403="",$F403=""),$L403&lt;&gt;"لا"),0,MAX(0,MIN($F403,EOMONTH(DATE(cfg_FY,12,1),0))-$E403+1))</f>
        <v>0</v>
      </c>
      <c r="AT403" s="133" t="n">
        <f aca="false">IF(OR(OR($B403="",$E403="",$F403=""),$K403&lt;&gt;"نعم",$M403="نعم"),0,MAX(0,MIN($F403,EOMONTH(DATE(cfg_FY,1,1),0))-MAX($E403,DATE(cfg_FY,1,1))+1))</f>
        <v>0</v>
      </c>
      <c r="AU403" s="133" t="n">
        <f aca="false">IF(OR(OR($B403="",$E403="",$F403=""),$K403&lt;&gt;"نعم",$M403="نعم"),0,MAX(0,MIN($F403,EOMONTH(DATE(cfg_FY,2,1),0))-MAX($E403,DATE(cfg_FY,2,1))+1))</f>
        <v>0</v>
      </c>
      <c r="AV403" s="133" t="n">
        <f aca="false">IF(OR(OR($B403="",$E403="",$F403=""),$K403&lt;&gt;"نعم",$M403="نعم"),0,MAX(0,MIN($F403,EOMONTH(DATE(cfg_FY,3,1),0))-MAX($E403,DATE(cfg_FY,3,1))+1))</f>
        <v>0</v>
      </c>
      <c r="AW403" s="133" t="n">
        <f aca="false">IF(OR(OR($B403="",$E403="",$F403=""),$K403&lt;&gt;"نعم",$M403="نعم"),0,MAX(0,MIN($F403,EOMONTH(DATE(cfg_FY,4,1),0))-MAX($E403,DATE(cfg_FY,4,1))+1))</f>
        <v>0</v>
      </c>
      <c r="AX403" s="133" t="n">
        <f aca="false">IF(OR(OR($B403="",$E403="",$F403=""),$K403&lt;&gt;"نعم",$M403="نعم"),0,MAX(0,MIN($F403,EOMONTH(DATE(cfg_FY,5,1),0))-MAX($E403,DATE(cfg_FY,5,1))+1))</f>
        <v>0</v>
      </c>
      <c r="AY403" s="133" t="n">
        <f aca="false">IF(OR(OR($B403="",$E403="",$F403=""),$K403&lt;&gt;"نعم",$M403="نعم"),0,MAX(0,MIN($F403,EOMONTH(DATE(cfg_FY,6,1),0))-MAX($E403,DATE(cfg_FY,6,1))+1))</f>
        <v>0</v>
      </c>
      <c r="AZ403" s="133" t="n">
        <f aca="false">IF(OR(OR($B403="",$E403="",$F403=""),$K403&lt;&gt;"نعم",$M403="نعم"),0,MAX(0,MIN($F403,EOMONTH(DATE(cfg_FY,7,1),0))-MAX($E403,DATE(cfg_FY,7,1))+1))</f>
        <v>0</v>
      </c>
      <c r="BA403" s="133" t="n">
        <f aca="false">IF(OR(OR($B403="",$E403="",$F403=""),$K403&lt;&gt;"نعم",$M403="نعم"),0,MAX(0,MIN($F403,EOMONTH(DATE(cfg_FY,8,1),0))-MAX($E403,DATE(cfg_FY,8,1))+1))</f>
        <v>0</v>
      </c>
      <c r="BB403" s="133" t="n">
        <f aca="false">IF(OR(OR($B403="",$E403="",$F403=""),$K403&lt;&gt;"نعم",$M403="نعم"),0,MAX(0,MIN($F403,EOMONTH(DATE(cfg_FY,9,1),0))-MAX($E403,DATE(cfg_FY,9,1))+1))</f>
        <v>0</v>
      </c>
      <c r="BC403" s="133" t="n">
        <f aca="false">IF(OR(OR($B403="",$E403="",$F403=""),$K403&lt;&gt;"نعم",$M403="نعم"),0,MAX(0,MIN($F403,EOMONTH(DATE(cfg_FY,10,1),0))-MAX($E403,DATE(cfg_FY,10,1))+1))</f>
        <v>0</v>
      </c>
      <c r="BD403" s="133" t="n">
        <f aca="false">IF(OR(OR($B403="",$E403="",$F403=""),$K403&lt;&gt;"نعم",$M403="نعم"),0,MAX(0,MIN($F403,EOMONTH(DATE(cfg_FY,11,1),0))-MAX($E403,DATE(cfg_FY,11,1))+1))</f>
        <v>0</v>
      </c>
      <c r="BE403" s="133" t="n">
        <f aca="false">IF(OR(OR($B403="",$E403="",$F403=""),$K403&lt;&gt;"نعم",$M403="نعم"),0,MAX(0,MIN($F403,EOMONTH(DATE(cfg_FY,12,1),0))-MAX($E403,DATE(cfg_FY,12,1))+1))</f>
        <v>0</v>
      </c>
    </row>
    <row r="404" customFormat="false" ht="15" hidden="false" customHeight="false" outlineLevel="0" collapsed="false">
      <c r="A404" s="106" t="str">
        <f aca="false">IF(B404="","",ROW()-5)</f>
        <v/>
      </c>
      <c r="B404" s="118"/>
      <c r="C404" s="114" t="str">
        <f aca="false">IF(B404="","",IFERROR(INDEX(الموظفون!$C$6:$C$105,MATCH(B404,الموظفون!$B$6:$B$105,0)),"✖ رقم غير موجود"))</f>
        <v/>
      </c>
      <c r="D404" s="118"/>
      <c r="E404" s="119"/>
      <c r="F404" s="119"/>
      <c r="G404" s="65" t="str">
        <f aca="false">IF(OR($B404="",$E404="",$F404=""),"",MAX(0,F404-E404+1))</f>
        <v/>
      </c>
      <c r="H404" s="66" t="str">
        <f aca="false">IF(D404="","",IFERROR(VLOOKUP(D404,cfg_LT,2,FALSE()),1))</f>
        <v/>
      </c>
      <c r="I404" s="135"/>
      <c r="J404" s="66" t="str">
        <f aca="false">IF(D404="","",IF(I404&lt;&gt;"",I404,H404))</f>
        <v/>
      </c>
      <c r="K404" s="114" t="str">
        <f aca="false">IF(D404="","",IFERROR(VLOOKUP($D404,cfg_LT,3,FALSE()),""))</f>
        <v/>
      </c>
      <c r="L404" s="114" t="str">
        <f aca="false">IF(D404="","",IFERROR(VLOOKUP($D404,cfg_LT,4,FALSE()),""))</f>
        <v/>
      </c>
      <c r="M404" s="114" t="str">
        <f aca="false">IF(D404="","",IFERROR(VLOOKUP($D404,cfg_LT,5,FALSE()),""))</f>
        <v/>
      </c>
      <c r="N404" s="111" t="n">
        <f aca="false">IF(OR(OR($B404="",$E404="",$F404=""),M404&lt;&gt;"نعم"),0,G404*J404*IFERROR(INDEX(الموظفون!$R$6:$R$105,MATCH(B404,الموظفون!$B$6:$B$105,0)),0)/cfg_DAYS_M)</f>
        <v>0</v>
      </c>
      <c r="O404" s="106" t="str">
        <f aca="false">IF(OR(OR($B404="",$E404="",$F404=""),M404&lt;&gt;"نعم"),"",IF(YEAR(E404)=cfg_FY,MONTH(E404),""))</f>
        <v/>
      </c>
      <c r="P404" s="114" t="str">
        <f aca="false">IF(B404="","",IF(OR(D404="",E404="",F404=""),"⚠ أكمل النوع والتواريخ",IF(F404&lt;E404,"✖ النهاية قبل البداية",IF(COUNTIFS($B$6:$B$505,B404,$E$6:$E$505,"&lt;="&amp;F404,$F$6:$F$505,"&gt;="&amp;E404)&gt;1,"⚠ تداخل مع سجل آخر",IF(E404&gt;cfg_VAL_DATE,"⏳ قادمة",IF(F404&lt;cfg_VAL_DATE,"✔ منتهية","✈ جارية في تاريخ التقرير"))))))</f>
        <v/>
      </c>
      <c r="Q404" s="118"/>
      <c r="R404" s="65" t="n">
        <f aca="false">IF(OR(OR($B404="",$E404="",$F404=""),L404&lt;&gt;"لا"),0,MAX(0,MIN(F404,cfg_Y_START-1)-E404+1))</f>
        <v>0</v>
      </c>
      <c r="S404" s="65" t="n">
        <f aca="false">IF(OR(OR($B404="",$E404="",$F404=""),L404&lt;&gt;"لا"),0,MAX(0,MIN(F404,cfg_VAL_DATE)-E404+1))</f>
        <v>0</v>
      </c>
      <c r="T404" s="65" t="n">
        <f aca="false">IF(OR(OR($B404="",$E404="",$F404=""),K404&lt;&gt;"نعم"),0,IF(M404="نعم",IF(AND(ISNUMBER(O404),N(O404)&lt;=cfg_VAL_M),G404,0),MAX(0,MIN(F404,cfg_VAL_DATE)-MAX(E404,cfg_Y_START)+1)))</f>
        <v>0</v>
      </c>
      <c r="V404" s="65" t="n">
        <f aca="false">IF(OR($B404="",$E404="",$F404=""),0,MAX(0,MIN($F404,EOMONTH(DATE(cfg_FY,1,1),0))-MAX($E404,DATE(cfg_FY,1,1))+1)*(1-IF($M404="نعم",0,N($J404))))</f>
        <v>0</v>
      </c>
      <c r="W404" s="65" t="n">
        <f aca="false">IF(OR($B404="",$E404="",$F404=""),0,MAX(0,MIN($F404,EOMONTH(DATE(cfg_FY,2,1),0))-MAX($E404,DATE(cfg_FY,2,1))+1)*(1-IF($M404="نعم",0,N($J404))))</f>
        <v>0</v>
      </c>
      <c r="X404" s="65" t="n">
        <f aca="false">IF(OR($B404="",$E404="",$F404=""),0,MAX(0,MIN($F404,EOMONTH(DATE(cfg_FY,3,1),0))-MAX($E404,DATE(cfg_FY,3,1))+1)*(1-IF($M404="نعم",0,N($J404))))</f>
        <v>0</v>
      </c>
      <c r="Y404" s="65" t="n">
        <f aca="false">IF(OR($B404="",$E404="",$F404=""),0,MAX(0,MIN($F404,EOMONTH(DATE(cfg_FY,4,1),0))-MAX($E404,DATE(cfg_FY,4,1))+1)*(1-IF($M404="نعم",0,N($J404))))</f>
        <v>0</v>
      </c>
      <c r="Z404" s="65" t="n">
        <f aca="false">IF(OR($B404="",$E404="",$F404=""),0,MAX(0,MIN($F404,EOMONTH(DATE(cfg_FY,5,1),0))-MAX($E404,DATE(cfg_FY,5,1))+1)*(1-IF($M404="نعم",0,N($J404))))</f>
        <v>0</v>
      </c>
      <c r="AA404" s="65" t="n">
        <f aca="false">IF(OR($B404="",$E404="",$F404=""),0,MAX(0,MIN($F404,EOMONTH(DATE(cfg_FY,6,1),0))-MAX($E404,DATE(cfg_FY,6,1))+1)*(1-IF($M404="نعم",0,N($J404))))</f>
        <v>0</v>
      </c>
      <c r="AB404" s="65" t="n">
        <f aca="false">IF(OR($B404="",$E404="",$F404=""),0,MAX(0,MIN($F404,EOMONTH(DATE(cfg_FY,7,1),0))-MAX($E404,DATE(cfg_FY,7,1))+1)*(1-IF($M404="نعم",0,N($J404))))</f>
        <v>0</v>
      </c>
      <c r="AC404" s="65" t="n">
        <f aca="false">IF(OR($B404="",$E404="",$F404=""),0,MAX(0,MIN($F404,EOMONTH(DATE(cfg_FY,8,1),0))-MAX($E404,DATE(cfg_FY,8,1))+1)*(1-IF($M404="نعم",0,N($J404))))</f>
        <v>0</v>
      </c>
      <c r="AD404" s="65" t="n">
        <f aca="false">IF(OR($B404="",$E404="",$F404=""),0,MAX(0,MIN($F404,EOMONTH(DATE(cfg_FY,9,1),0))-MAX($E404,DATE(cfg_FY,9,1))+1)*(1-IF($M404="نعم",0,N($J404))))</f>
        <v>0</v>
      </c>
      <c r="AE404" s="65" t="n">
        <f aca="false">IF(OR($B404="",$E404="",$F404=""),0,MAX(0,MIN($F404,EOMONTH(DATE(cfg_FY,10,1),0))-MAX($E404,DATE(cfg_FY,10,1))+1)*(1-IF($M404="نعم",0,N($J404))))</f>
        <v>0</v>
      </c>
      <c r="AF404" s="65" t="n">
        <f aca="false">IF(OR($B404="",$E404="",$F404=""),0,MAX(0,MIN($F404,EOMONTH(DATE(cfg_FY,11,1),0))-MAX($E404,DATE(cfg_FY,11,1))+1)*(1-IF($M404="نعم",0,N($J404))))</f>
        <v>0</v>
      </c>
      <c r="AG404" s="65" t="n">
        <f aca="false">IF(OR($B404="",$E404="",$F404=""),0,MAX(0,MIN($F404,EOMONTH(DATE(cfg_FY,12,1),0))-MAX($E404,DATE(cfg_FY,12,1))+1)*(1-IF($M404="نعم",0,N($J404))))</f>
        <v>0</v>
      </c>
      <c r="AH404" s="65" t="n">
        <f aca="false">IF(OR(OR($B404="",$E404="",$F404=""),$L404&lt;&gt;"لا"),0,MAX(0,MIN($F404,EOMONTH(DATE(cfg_FY,1,1),0))-$E404+1))</f>
        <v>0</v>
      </c>
      <c r="AI404" s="65" t="n">
        <f aca="false">IF(OR(OR($B404="",$E404="",$F404=""),$L404&lt;&gt;"لا"),0,MAX(0,MIN($F404,EOMONTH(DATE(cfg_FY,2,1),0))-$E404+1))</f>
        <v>0</v>
      </c>
      <c r="AJ404" s="65" t="n">
        <f aca="false">IF(OR(OR($B404="",$E404="",$F404=""),$L404&lt;&gt;"لا"),0,MAX(0,MIN($F404,EOMONTH(DATE(cfg_FY,3,1),0))-$E404+1))</f>
        <v>0</v>
      </c>
      <c r="AK404" s="65" t="n">
        <f aca="false">IF(OR(OR($B404="",$E404="",$F404=""),$L404&lt;&gt;"لا"),0,MAX(0,MIN($F404,EOMONTH(DATE(cfg_FY,4,1),0))-$E404+1))</f>
        <v>0</v>
      </c>
      <c r="AL404" s="65" t="n">
        <f aca="false">IF(OR(OR($B404="",$E404="",$F404=""),$L404&lt;&gt;"لا"),0,MAX(0,MIN($F404,EOMONTH(DATE(cfg_FY,5,1),0))-$E404+1))</f>
        <v>0</v>
      </c>
      <c r="AM404" s="65" t="n">
        <f aca="false">IF(OR(OR($B404="",$E404="",$F404=""),$L404&lt;&gt;"لا"),0,MAX(0,MIN($F404,EOMONTH(DATE(cfg_FY,6,1),0))-$E404+1))</f>
        <v>0</v>
      </c>
      <c r="AN404" s="65" t="n">
        <f aca="false">IF(OR(OR($B404="",$E404="",$F404=""),$L404&lt;&gt;"لا"),0,MAX(0,MIN($F404,EOMONTH(DATE(cfg_FY,7,1),0))-$E404+1))</f>
        <v>0</v>
      </c>
      <c r="AO404" s="65" t="n">
        <f aca="false">IF(OR(OR($B404="",$E404="",$F404=""),$L404&lt;&gt;"لا"),0,MAX(0,MIN($F404,EOMONTH(DATE(cfg_FY,8,1),0))-$E404+1))</f>
        <v>0</v>
      </c>
      <c r="AP404" s="65" t="n">
        <f aca="false">IF(OR(OR($B404="",$E404="",$F404=""),$L404&lt;&gt;"لا"),0,MAX(0,MIN($F404,EOMONTH(DATE(cfg_FY,9,1),0))-$E404+1))</f>
        <v>0</v>
      </c>
      <c r="AQ404" s="65" t="n">
        <f aca="false">IF(OR(OR($B404="",$E404="",$F404=""),$L404&lt;&gt;"لا"),0,MAX(0,MIN($F404,EOMONTH(DATE(cfg_FY,10,1),0))-$E404+1))</f>
        <v>0</v>
      </c>
      <c r="AR404" s="65" t="n">
        <f aca="false">IF(OR(OR($B404="",$E404="",$F404=""),$L404&lt;&gt;"لا"),0,MAX(0,MIN($F404,EOMONTH(DATE(cfg_FY,11,1),0))-$E404+1))</f>
        <v>0</v>
      </c>
      <c r="AS404" s="65" t="n">
        <f aca="false">IF(OR(OR($B404="",$E404="",$F404=""),$L404&lt;&gt;"لا"),0,MAX(0,MIN($F404,EOMONTH(DATE(cfg_FY,12,1),0))-$E404+1))</f>
        <v>0</v>
      </c>
      <c r="AT404" s="65" t="n">
        <f aca="false">IF(OR(OR($B404="",$E404="",$F404=""),$K404&lt;&gt;"نعم",$M404="نعم"),0,MAX(0,MIN($F404,EOMONTH(DATE(cfg_FY,1,1),0))-MAX($E404,DATE(cfg_FY,1,1))+1))</f>
        <v>0</v>
      </c>
      <c r="AU404" s="65" t="n">
        <f aca="false">IF(OR(OR($B404="",$E404="",$F404=""),$K404&lt;&gt;"نعم",$M404="نعم"),0,MAX(0,MIN($F404,EOMONTH(DATE(cfg_FY,2,1),0))-MAX($E404,DATE(cfg_FY,2,1))+1))</f>
        <v>0</v>
      </c>
      <c r="AV404" s="65" t="n">
        <f aca="false">IF(OR(OR($B404="",$E404="",$F404=""),$K404&lt;&gt;"نعم",$M404="نعم"),0,MAX(0,MIN($F404,EOMONTH(DATE(cfg_FY,3,1),0))-MAX($E404,DATE(cfg_FY,3,1))+1))</f>
        <v>0</v>
      </c>
      <c r="AW404" s="65" t="n">
        <f aca="false">IF(OR(OR($B404="",$E404="",$F404=""),$K404&lt;&gt;"نعم",$M404="نعم"),0,MAX(0,MIN($F404,EOMONTH(DATE(cfg_FY,4,1),0))-MAX($E404,DATE(cfg_FY,4,1))+1))</f>
        <v>0</v>
      </c>
      <c r="AX404" s="65" t="n">
        <f aca="false">IF(OR(OR($B404="",$E404="",$F404=""),$K404&lt;&gt;"نعم",$M404="نعم"),0,MAX(0,MIN($F404,EOMONTH(DATE(cfg_FY,5,1),0))-MAX($E404,DATE(cfg_FY,5,1))+1))</f>
        <v>0</v>
      </c>
      <c r="AY404" s="65" t="n">
        <f aca="false">IF(OR(OR($B404="",$E404="",$F404=""),$K404&lt;&gt;"نعم",$M404="نعم"),0,MAX(0,MIN($F404,EOMONTH(DATE(cfg_FY,6,1),0))-MAX($E404,DATE(cfg_FY,6,1))+1))</f>
        <v>0</v>
      </c>
      <c r="AZ404" s="65" t="n">
        <f aca="false">IF(OR(OR($B404="",$E404="",$F404=""),$K404&lt;&gt;"نعم",$M404="نعم"),0,MAX(0,MIN($F404,EOMONTH(DATE(cfg_FY,7,1),0))-MAX($E404,DATE(cfg_FY,7,1))+1))</f>
        <v>0</v>
      </c>
      <c r="BA404" s="65" t="n">
        <f aca="false">IF(OR(OR($B404="",$E404="",$F404=""),$K404&lt;&gt;"نعم",$M404="نعم"),0,MAX(0,MIN($F404,EOMONTH(DATE(cfg_FY,8,1),0))-MAX($E404,DATE(cfg_FY,8,1))+1))</f>
        <v>0</v>
      </c>
      <c r="BB404" s="65" t="n">
        <f aca="false">IF(OR(OR($B404="",$E404="",$F404=""),$K404&lt;&gt;"نعم",$M404="نعم"),0,MAX(0,MIN($F404,EOMONTH(DATE(cfg_FY,9,1),0))-MAX($E404,DATE(cfg_FY,9,1))+1))</f>
        <v>0</v>
      </c>
      <c r="BC404" s="65" t="n">
        <f aca="false">IF(OR(OR($B404="",$E404="",$F404=""),$K404&lt;&gt;"نعم",$M404="نعم"),0,MAX(0,MIN($F404,EOMONTH(DATE(cfg_FY,10,1),0))-MAX($E404,DATE(cfg_FY,10,1))+1))</f>
        <v>0</v>
      </c>
      <c r="BD404" s="65" t="n">
        <f aca="false">IF(OR(OR($B404="",$E404="",$F404=""),$K404&lt;&gt;"نعم",$M404="نعم"),0,MAX(0,MIN($F404,EOMONTH(DATE(cfg_FY,11,1),0))-MAX($E404,DATE(cfg_FY,11,1))+1))</f>
        <v>0</v>
      </c>
      <c r="BE404" s="65" t="n">
        <f aca="false">IF(OR(OR($B404="",$E404="",$F404=""),$K404&lt;&gt;"نعم",$M404="نعم"),0,MAX(0,MIN($F404,EOMONTH(DATE(cfg_FY,12,1),0))-MAX($E404,DATE(cfg_FY,12,1))+1))</f>
        <v>0</v>
      </c>
    </row>
    <row r="405" customFormat="false" ht="15" hidden="false" customHeight="false" outlineLevel="0" collapsed="false">
      <c r="A405" s="115" t="str">
        <f aca="false">IF(B405="","",ROW()-5)</f>
        <v/>
      </c>
      <c r="B405" s="118"/>
      <c r="C405" s="117" t="str">
        <f aca="false">IF(B405="","",IFERROR(INDEX(الموظفون!$C$6:$C$105,MATCH(B405,الموظفون!$B$6:$B$105,0)),"✖ رقم غير موجود"))</f>
        <v/>
      </c>
      <c r="D405" s="118"/>
      <c r="E405" s="119"/>
      <c r="F405" s="119"/>
      <c r="G405" s="133" t="str">
        <f aca="false">IF(OR($B405="",$E405="",$F405=""),"",MAX(0,F405-E405+1))</f>
        <v/>
      </c>
      <c r="H405" s="134" t="str">
        <f aca="false">IF(D405="","",IFERROR(VLOOKUP(D405,cfg_LT,2,FALSE()),1))</f>
        <v/>
      </c>
      <c r="I405" s="135"/>
      <c r="J405" s="134" t="str">
        <f aca="false">IF(D405="","",IF(I405&lt;&gt;"",I405,H405))</f>
        <v/>
      </c>
      <c r="K405" s="117" t="str">
        <f aca="false">IF(D405="","",IFERROR(VLOOKUP($D405,cfg_LT,3,FALSE()),""))</f>
        <v/>
      </c>
      <c r="L405" s="117" t="str">
        <f aca="false">IF(D405="","",IFERROR(VLOOKUP($D405,cfg_LT,4,FALSE()),""))</f>
        <v/>
      </c>
      <c r="M405" s="117" t="str">
        <f aca="false">IF(D405="","",IFERROR(VLOOKUP($D405,cfg_LT,5,FALSE()),""))</f>
        <v/>
      </c>
      <c r="N405" s="116" t="n">
        <f aca="false">IF(OR(OR($B405="",$E405="",$F405=""),M405&lt;&gt;"نعم"),0,G405*J405*IFERROR(INDEX(الموظفون!$R$6:$R$105,MATCH(B405,الموظفون!$B$6:$B$105,0)),0)/cfg_DAYS_M)</f>
        <v>0</v>
      </c>
      <c r="O405" s="115" t="str">
        <f aca="false">IF(OR(OR($B405="",$E405="",$F405=""),M405&lt;&gt;"نعم"),"",IF(YEAR(E405)=cfg_FY,MONTH(E405),""))</f>
        <v/>
      </c>
      <c r="P405" s="117" t="str">
        <f aca="false">IF(B405="","",IF(OR(D405="",E405="",F405=""),"⚠ أكمل النوع والتواريخ",IF(F405&lt;E405,"✖ النهاية قبل البداية",IF(COUNTIFS($B$6:$B$505,B405,$E$6:$E$505,"&lt;="&amp;F405,$F$6:$F$505,"&gt;="&amp;E405)&gt;1,"⚠ تداخل مع سجل آخر",IF(E405&gt;cfg_VAL_DATE,"⏳ قادمة",IF(F405&lt;cfg_VAL_DATE,"✔ منتهية","✈ جارية في تاريخ التقرير"))))))</f>
        <v/>
      </c>
      <c r="Q405" s="118"/>
      <c r="R405" s="133" t="n">
        <f aca="false">IF(OR(OR($B405="",$E405="",$F405=""),L405&lt;&gt;"لا"),0,MAX(0,MIN(F405,cfg_Y_START-1)-E405+1))</f>
        <v>0</v>
      </c>
      <c r="S405" s="133" t="n">
        <f aca="false">IF(OR(OR($B405="",$E405="",$F405=""),L405&lt;&gt;"لا"),0,MAX(0,MIN(F405,cfg_VAL_DATE)-E405+1))</f>
        <v>0</v>
      </c>
      <c r="T405" s="133" t="n">
        <f aca="false">IF(OR(OR($B405="",$E405="",$F405=""),K405&lt;&gt;"نعم"),0,IF(M405="نعم",IF(AND(ISNUMBER(O405),N(O405)&lt;=cfg_VAL_M),G405,0),MAX(0,MIN(F405,cfg_VAL_DATE)-MAX(E405,cfg_Y_START)+1)))</f>
        <v>0</v>
      </c>
      <c r="V405" s="133" t="n">
        <f aca="false">IF(OR($B405="",$E405="",$F405=""),0,MAX(0,MIN($F405,EOMONTH(DATE(cfg_FY,1,1),0))-MAX($E405,DATE(cfg_FY,1,1))+1)*(1-IF($M405="نعم",0,N($J405))))</f>
        <v>0</v>
      </c>
      <c r="W405" s="133" t="n">
        <f aca="false">IF(OR($B405="",$E405="",$F405=""),0,MAX(0,MIN($F405,EOMONTH(DATE(cfg_FY,2,1),0))-MAX($E405,DATE(cfg_FY,2,1))+1)*(1-IF($M405="نعم",0,N($J405))))</f>
        <v>0</v>
      </c>
      <c r="X405" s="133" t="n">
        <f aca="false">IF(OR($B405="",$E405="",$F405=""),0,MAX(0,MIN($F405,EOMONTH(DATE(cfg_FY,3,1),0))-MAX($E405,DATE(cfg_FY,3,1))+1)*(1-IF($M405="نعم",0,N($J405))))</f>
        <v>0</v>
      </c>
      <c r="Y405" s="133" t="n">
        <f aca="false">IF(OR($B405="",$E405="",$F405=""),0,MAX(0,MIN($F405,EOMONTH(DATE(cfg_FY,4,1),0))-MAX($E405,DATE(cfg_FY,4,1))+1)*(1-IF($M405="نعم",0,N($J405))))</f>
        <v>0</v>
      </c>
      <c r="Z405" s="133" t="n">
        <f aca="false">IF(OR($B405="",$E405="",$F405=""),0,MAX(0,MIN($F405,EOMONTH(DATE(cfg_FY,5,1),0))-MAX($E405,DATE(cfg_FY,5,1))+1)*(1-IF($M405="نعم",0,N($J405))))</f>
        <v>0</v>
      </c>
      <c r="AA405" s="133" t="n">
        <f aca="false">IF(OR($B405="",$E405="",$F405=""),0,MAX(0,MIN($F405,EOMONTH(DATE(cfg_FY,6,1),0))-MAX($E405,DATE(cfg_FY,6,1))+1)*(1-IF($M405="نعم",0,N($J405))))</f>
        <v>0</v>
      </c>
      <c r="AB405" s="133" t="n">
        <f aca="false">IF(OR($B405="",$E405="",$F405=""),0,MAX(0,MIN($F405,EOMONTH(DATE(cfg_FY,7,1),0))-MAX($E405,DATE(cfg_FY,7,1))+1)*(1-IF($M405="نعم",0,N($J405))))</f>
        <v>0</v>
      </c>
      <c r="AC405" s="133" t="n">
        <f aca="false">IF(OR($B405="",$E405="",$F405=""),0,MAX(0,MIN($F405,EOMONTH(DATE(cfg_FY,8,1),0))-MAX($E405,DATE(cfg_FY,8,1))+1)*(1-IF($M405="نعم",0,N($J405))))</f>
        <v>0</v>
      </c>
      <c r="AD405" s="133" t="n">
        <f aca="false">IF(OR($B405="",$E405="",$F405=""),0,MAX(0,MIN($F405,EOMONTH(DATE(cfg_FY,9,1),0))-MAX($E405,DATE(cfg_FY,9,1))+1)*(1-IF($M405="نعم",0,N($J405))))</f>
        <v>0</v>
      </c>
      <c r="AE405" s="133" t="n">
        <f aca="false">IF(OR($B405="",$E405="",$F405=""),0,MAX(0,MIN($F405,EOMONTH(DATE(cfg_FY,10,1),0))-MAX($E405,DATE(cfg_FY,10,1))+1)*(1-IF($M405="نعم",0,N($J405))))</f>
        <v>0</v>
      </c>
      <c r="AF405" s="133" t="n">
        <f aca="false">IF(OR($B405="",$E405="",$F405=""),0,MAX(0,MIN($F405,EOMONTH(DATE(cfg_FY,11,1),0))-MAX($E405,DATE(cfg_FY,11,1))+1)*(1-IF($M405="نعم",0,N($J405))))</f>
        <v>0</v>
      </c>
      <c r="AG405" s="133" t="n">
        <f aca="false">IF(OR($B405="",$E405="",$F405=""),0,MAX(0,MIN($F405,EOMONTH(DATE(cfg_FY,12,1),0))-MAX($E405,DATE(cfg_FY,12,1))+1)*(1-IF($M405="نعم",0,N($J405))))</f>
        <v>0</v>
      </c>
      <c r="AH405" s="133" t="n">
        <f aca="false">IF(OR(OR($B405="",$E405="",$F405=""),$L405&lt;&gt;"لا"),0,MAX(0,MIN($F405,EOMONTH(DATE(cfg_FY,1,1),0))-$E405+1))</f>
        <v>0</v>
      </c>
      <c r="AI405" s="133" t="n">
        <f aca="false">IF(OR(OR($B405="",$E405="",$F405=""),$L405&lt;&gt;"لا"),0,MAX(0,MIN($F405,EOMONTH(DATE(cfg_FY,2,1),0))-$E405+1))</f>
        <v>0</v>
      </c>
      <c r="AJ405" s="133" t="n">
        <f aca="false">IF(OR(OR($B405="",$E405="",$F405=""),$L405&lt;&gt;"لا"),0,MAX(0,MIN($F405,EOMONTH(DATE(cfg_FY,3,1),0))-$E405+1))</f>
        <v>0</v>
      </c>
      <c r="AK405" s="133" t="n">
        <f aca="false">IF(OR(OR($B405="",$E405="",$F405=""),$L405&lt;&gt;"لا"),0,MAX(0,MIN($F405,EOMONTH(DATE(cfg_FY,4,1),0))-$E405+1))</f>
        <v>0</v>
      </c>
      <c r="AL405" s="133" t="n">
        <f aca="false">IF(OR(OR($B405="",$E405="",$F405=""),$L405&lt;&gt;"لا"),0,MAX(0,MIN($F405,EOMONTH(DATE(cfg_FY,5,1),0))-$E405+1))</f>
        <v>0</v>
      </c>
      <c r="AM405" s="133" t="n">
        <f aca="false">IF(OR(OR($B405="",$E405="",$F405=""),$L405&lt;&gt;"لا"),0,MAX(0,MIN($F405,EOMONTH(DATE(cfg_FY,6,1),0))-$E405+1))</f>
        <v>0</v>
      </c>
      <c r="AN405" s="133" t="n">
        <f aca="false">IF(OR(OR($B405="",$E405="",$F405=""),$L405&lt;&gt;"لا"),0,MAX(0,MIN($F405,EOMONTH(DATE(cfg_FY,7,1),0))-$E405+1))</f>
        <v>0</v>
      </c>
      <c r="AO405" s="133" t="n">
        <f aca="false">IF(OR(OR($B405="",$E405="",$F405=""),$L405&lt;&gt;"لا"),0,MAX(0,MIN($F405,EOMONTH(DATE(cfg_FY,8,1),0))-$E405+1))</f>
        <v>0</v>
      </c>
      <c r="AP405" s="133" t="n">
        <f aca="false">IF(OR(OR($B405="",$E405="",$F405=""),$L405&lt;&gt;"لا"),0,MAX(0,MIN($F405,EOMONTH(DATE(cfg_FY,9,1),0))-$E405+1))</f>
        <v>0</v>
      </c>
      <c r="AQ405" s="133" t="n">
        <f aca="false">IF(OR(OR($B405="",$E405="",$F405=""),$L405&lt;&gt;"لا"),0,MAX(0,MIN($F405,EOMONTH(DATE(cfg_FY,10,1),0))-$E405+1))</f>
        <v>0</v>
      </c>
      <c r="AR405" s="133" t="n">
        <f aca="false">IF(OR(OR($B405="",$E405="",$F405=""),$L405&lt;&gt;"لا"),0,MAX(0,MIN($F405,EOMONTH(DATE(cfg_FY,11,1),0))-$E405+1))</f>
        <v>0</v>
      </c>
      <c r="AS405" s="133" t="n">
        <f aca="false">IF(OR(OR($B405="",$E405="",$F405=""),$L405&lt;&gt;"لا"),0,MAX(0,MIN($F405,EOMONTH(DATE(cfg_FY,12,1),0))-$E405+1))</f>
        <v>0</v>
      </c>
      <c r="AT405" s="133" t="n">
        <f aca="false">IF(OR(OR($B405="",$E405="",$F405=""),$K405&lt;&gt;"نعم",$M405="نعم"),0,MAX(0,MIN($F405,EOMONTH(DATE(cfg_FY,1,1),0))-MAX($E405,DATE(cfg_FY,1,1))+1))</f>
        <v>0</v>
      </c>
      <c r="AU405" s="133" t="n">
        <f aca="false">IF(OR(OR($B405="",$E405="",$F405=""),$K405&lt;&gt;"نعم",$M405="نعم"),0,MAX(0,MIN($F405,EOMONTH(DATE(cfg_FY,2,1),0))-MAX($E405,DATE(cfg_FY,2,1))+1))</f>
        <v>0</v>
      </c>
      <c r="AV405" s="133" t="n">
        <f aca="false">IF(OR(OR($B405="",$E405="",$F405=""),$K405&lt;&gt;"نعم",$M405="نعم"),0,MAX(0,MIN($F405,EOMONTH(DATE(cfg_FY,3,1),0))-MAX($E405,DATE(cfg_FY,3,1))+1))</f>
        <v>0</v>
      </c>
      <c r="AW405" s="133" t="n">
        <f aca="false">IF(OR(OR($B405="",$E405="",$F405=""),$K405&lt;&gt;"نعم",$M405="نعم"),0,MAX(0,MIN($F405,EOMONTH(DATE(cfg_FY,4,1),0))-MAX($E405,DATE(cfg_FY,4,1))+1))</f>
        <v>0</v>
      </c>
      <c r="AX405" s="133" t="n">
        <f aca="false">IF(OR(OR($B405="",$E405="",$F405=""),$K405&lt;&gt;"نعم",$M405="نعم"),0,MAX(0,MIN($F405,EOMONTH(DATE(cfg_FY,5,1),0))-MAX($E405,DATE(cfg_FY,5,1))+1))</f>
        <v>0</v>
      </c>
      <c r="AY405" s="133" t="n">
        <f aca="false">IF(OR(OR($B405="",$E405="",$F405=""),$K405&lt;&gt;"نعم",$M405="نعم"),0,MAX(0,MIN($F405,EOMONTH(DATE(cfg_FY,6,1),0))-MAX($E405,DATE(cfg_FY,6,1))+1))</f>
        <v>0</v>
      </c>
      <c r="AZ405" s="133" t="n">
        <f aca="false">IF(OR(OR($B405="",$E405="",$F405=""),$K405&lt;&gt;"نعم",$M405="نعم"),0,MAX(0,MIN($F405,EOMONTH(DATE(cfg_FY,7,1),0))-MAX($E405,DATE(cfg_FY,7,1))+1))</f>
        <v>0</v>
      </c>
      <c r="BA405" s="133" t="n">
        <f aca="false">IF(OR(OR($B405="",$E405="",$F405=""),$K405&lt;&gt;"نعم",$M405="نعم"),0,MAX(0,MIN($F405,EOMONTH(DATE(cfg_FY,8,1),0))-MAX($E405,DATE(cfg_FY,8,1))+1))</f>
        <v>0</v>
      </c>
      <c r="BB405" s="133" t="n">
        <f aca="false">IF(OR(OR($B405="",$E405="",$F405=""),$K405&lt;&gt;"نعم",$M405="نعم"),0,MAX(0,MIN($F405,EOMONTH(DATE(cfg_FY,9,1),0))-MAX($E405,DATE(cfg_FY,9,1))+1))</f>
        <v>0</v>
      </c>
      <c r="BC405" s="133" t="n">
        <f aca="false">IF(OR(OR($B405="",$E405="",$F405=""),$K405&lt;&gt;"نعم",$M405="نعم"),0,MAX(0,MIN($F405,EOMONTH(DATE(cfg_FY,10,1),0))-MAX($E405,DATE(cfg_FY,10,1))+1))</f>
        <v>0</v>
      </c>
      <c r="BD405" s="133" t="n">
        <f aca="false">IF(OR(OR($B405="",$E405="",$F405=""),$K405&lt;&gt;"نعم",$M405="نعم"),0,MAX(0,MIN($F405,EOMONTH(DATE(cfg_FY,11,1),0))-MAX($E405,DATE(cfg_FY,11,1))+1))</f>
        <v>0</v>
      </c>
      <c r="BE405" s="133" t="n">
        <f aca="false">IF(OR(OR($B405="",$E405="",$F405=""),$K405&lt;&gt;"نعم",$M405="نعم"),0,MAX(0,MIN($F405,EOMONTH(DATE(cfg_FY,12,1),0))-MAX($E405,DATE(cfg_FY,12,1))+1))</f>
        <v>0</v>
      </c>
    </row>
    <row r="406" customFormat="false" ht="15" hidden="false" customHeight="false" outlineLevel="0" collapsed="false">
      <c r="A406" s="106" t="str">
        <f aca="false">IF(B406="","",ROW()-5)</f>
        <v/>
      </c>
      <c r="B406" s="118"/>
      <c r="C406" s="114" t="str">
        <f aca="false">IF(B406="","",IFERROR(INDEX(الموظفون!$C$6:$C$105,MATCH(B406,الموظفون!$B$6:$B$105,0)),"✖ رقم غير موجود"))</f>
        <v/>
      </c>
      <c r="D406" s="118"/>
      <c r="E406" s="119"/>
      <c r="F406" s="119"/>
      <c r="G406" s="65" t="str">
        <f aca="false">IF(OR($B406="",$E406="",$F406=""),"",MAX(0,F406-E406+1))</f>
        <v/>
      </c>
      <c r="H406" s="66" t="str">
        <f aca="false">IF(D406="","",IFERROR(VLOOKUP(D406,cfg_LT,2,FALSE()),1))</f>
        <v/>
      </c>
      <c r="I406" s="135"/>
      <c r="J406" s="66" t="str">
        <f aca="false">IF(D406="","",IF(I406&lt;&gt;"",I406,H406))</f>
        <v/>
      </c>
      <c r="K406" s="114" t="str">
        <f aca="false">IF(D406="","",IFERROR(VLOOKUP($D406,cfg_LT,3,FALSE()),""))</f>
        <v/>
      </c>
      <c r="L406" s="114" t="str">
        <f aca="false">IF(D406="","",IFERROR(VLOOKUP($D406,cfg_LT,4,FALSE()),""))</f>
        <v/>
      </c>
      <c r="M406" s="114" t="str">
        <f aca="false">IF(D406="","",IFERROR(VLOOKUP($D406,cfg_LT,5,FALSE()),""))</f>
        <v/>
      </c>
      <c r="N406" s="111" t="n">
        <f aca="false">IF(OR(OR($B406="",$E406="",$F406=""),M406&lt;&gt;"نعم"),0,G406*J406*IFERROR(INDEX(الموظفون!$R$6:$R$105,MATCH(B406,الموظفون!$B$6:$B$105,0)),0)/cfg_DAYS_M)</f>
        <v>0</v>
      </c>
      <c r="O406" s="106" t="str">
        <f aca="false">IF(OR(OR($B406="",$E406="",$F406=""),M406&lt;&gt;"نعم"),"",IF(YEAR(E406)=cfg_FY,MONTH(E406),""))</f>
        <v/>
      </c>
      <c r="P406" s="114" t="str">
        <f aca="false">IF(B406="","",IF(OR(D406="",E406="",F406=""),"⚠ أكمل النوع والتواريخ",IF(F406&lt;E406,"✖ النهاية قبل البداية",IF(COUNTIFS($B$6:$B$505,B406,$E$6:$E$505,"&lt;="&amp;F406,$F$6:$F$505,"&gt;="&amp;E406)&gt;1,"⚠ تداخل مع سجل آخر",IF(E406&gt;cfg_VAL_DATE,"⏳ قادمة",IF(F406&lt;cfg_VAL_DATE,"✔ منتهية","✈ جارية في تاريخ التقرير"))))))</f>
        <v/>
      </c>
      <c r="Q406" s="118"/>
      <c r="R406" s="65" t="n">
        <f aca="false">IF(OR(OR($B406="",$E406="",$F406=""),L406&lt;&gt;"لا"),0,MAX(0,MIN(F406,cfg_Y_START-1)-E406+1))</f>
        <v>0</v>
      </c>
      <c r="S406" s="65" t="n">
        <f aca="false">IF(OR(OR($B406="",$E406="",$F406=""),L406&lt;&gt;"لا"),0,MAX(0,MIN(F406,cfg_VAL_DATE)-E406+1))</f>
        <v>0</v>
      </c>
      <c r="T406" s="65" t="n">
        <f aca="false">IF(OR(OR($B406="",$E406="",$F406=""),K406&lt;&gt;"نعم"),0,IF(M406="نعم",IF(AND(ISNUMBER(O406),N(O406)&lt;=cfg_VAL_M),G406,0),MAX(0,MIN(F406,cfg_VAL_DATE)-MAX(E406,cfg_Y_START)+1)))</f>
        <v>0</v>
      </c>
      <c r="V406" s="65" t="n">
        <f aca="false">IF(OR($B406="",$E406="",$F406=""),0,MAX(0,MIN($F406,EOMONTH(DATE(cfg_FY,1,1),0))-MAX($E406,DATE(cfg_FY,1,1))+1)*(1-IF($M406="نعم",0,N($J406))))</f>
        <v>0</v>
      </c>
      <c r="W406" s="65" t="n">
        <f aca="false">IF(OR($B406="",$E406="",$F406=""),0,MAX(0,MIN($F406,EOMONTH(DATE(cfg_FY,2,1),0))-MAX($E406,DATE(cfg_FY,2,1))+1)*(1-IF($M406="نعم",0,N($J406))))</f>
        <v>0</v>
      </c>
      <c r="X406" s="65" t="n">
        <f aca="false">IF(OR($B406="",$E406="",$F406=""),0,MAX(0,MIN($F406,EOMONTH(DATE(cfg_FY,3,1),0))-MAX($E406,DATE(cfg_FY,3,1))+1)*(1-IF($M406="نعم",0,N($J406))))</f>
        <v>0</v>
      </c>
      <c r="Y406" s="65" t="n">
        <f aca="false">IF(OR($B406="",$E406="",$F406=""),0,MAX(0,MIN($F406,EOMONTH(DATE(cfg_FY,4,1),0))-MAX($E406,DATE(cfg_FY,4,1))+1)*(1-IF($M406="نعم",0,N($J406))))</f>
        <v>0</v>
      </c>
      <c r="Z406" s="65" t="n">
        <f aca="false">IF(OR($B406="",$E406="",$F406=""),0,MAX(0,MIN($F406,EOMONTH(DATE(cfg_FY,5,1),0))-MAX($E406,DATE(cfg_FY,5,1))+1)*(1-IF($M406="نعم",0,N($J406))))</f>
        <v>0</v>
      </c>
      <c r="AA406" s="65" t="n">
        <f aca="false">IF(OR($B406="",$E406="",$F406=""),0,MAX(0,MIN($F406,EOMONTH(DATE(cfg_FY,6,1),0))-MAX($E406,DATE(cfg_FY,6,1))+1)*(1-IF($M406="نعم",0,N($J406))))</f>
        <v>0</v>
      </c>
      <c r="AB406" s="65" t="n">
        <f aca="false">IF(OR($B406="",$E406="",$F406=""),0,MAX(0,MIN($F406,EOMONTH(DATE(cfg_FY,7,1),0))-MAX($E406,DATE(cfg_FY,7,1))+1)*(1-IF($M406="نعم",0,N($J406))))</f>
        <v>0</v>
      </c>
      <c r="AC406" s="65" t="n">
        <f aca="false">IF(OR($B406="",$E406="",$F406=""),0,MAX(0,MIN($F406,EOMONTH(DATE(cfg_FY,8,1),0))-MAX($E406,DATE(cfg_FY,8,1))+1)*(1-IF($M406="نعم",0,N($J406))))</f>
        <v>0</v>
      </c>
      <c r="AD406" s="65" t="n">
        <f aca="false">IF(OR($B406="",$E406="",$F406=""),0,MAX(0,MIN($F406,EOMONTH(DATE(cfg_FY,9,1),0))-MAX($E406,DATE(cfg_FY,9,1))+1)*(1-IF($M406="نعم",0,N($J406))))</f>
        <v>0</v>
      </c>
      <c r="AE406" s="65" t="n">
        <f aca="false">IF(OR($B406="",$E406="",$F406=""),0,MAX(0,MIN($F406,EOMONTH(DATE(cfg_FY,10,1),0))-MAX($E406,DATE(cfg_FY,10,1))+1)*(1-IF($M406="نعم",0,N($J406))))</f>
        <v>0</v>
      </c>
      <c r="AF406" s="65" t="n">
        <f aca="false">IF(OR($B406="",$E406="",$F406=""),0,MAX(0,MIN($F406,EOMONTH(DATE(cfg_FY,11,1),0))-MAX($E406,DATE(cfg_FY,11,1))+1)*(1-IF($M406="نعم",0,N($J406))))</f>
        <v>0</v>
      </c>
      <c r="AG406" s="65" t="n">
        <f aca="false">IF(OR($B406="",$E406="",$F406=""),0,MAX(0,MIN($F406,EOMONTH(DATE(cfg_FY,12,1),0))-MAX($E406,DATE(cfg_FY,12,1))+1)*(1-IF($M406="نعم",0,N($J406))))</f>
        <v>0</v>
      </c>
      <c r="AH406" s="65" t="n">
        <f aca="false">IF(OR(OR($B406="",$E406="",$F406=""),$L406&lt;&gt;"لا"),0,MAX(0,MIN($F406,EOMONTH(DATE(cfg_FY,1,1),0))-$E406+1))</f>
        <v>0</v>
      </c>
      <c r="AI406" s="65" t="n">
        <f aca="false">IF(OR(OR($B406="",$E406="",$F406=""),$L406&lt;&gt;"لا"),0,MAX(0,MIN($F406,EOMONTH(DATE(cfg_FY,2,1),0))-$E406+1))</f>
        <v>0</v>
      </c>
      <c r="AJ406" s="65" t="n">
        <f aca="false">IF(OR(OR($B406="",$E406="",$F406=""),$L406&lt;&gt;"لا"),0,MAX(0,MIN($F406,EOMONTH(DATE(cfg_FY,3,1),0))-$E406+1))</f>
        <v>0</v>
      </c>
      <c r="AK406" s="65" t="n">
        <f aca="false">IF(OR(OR($B406="",$E406="",$F406=""),$L406&lt;&gt;"لا"),0,MAX(0,MIN($F406,EOMONTH(DATE(cfg_FY,4,1),0))-$E406+1))</f>
        <v>0</v>
      </c>
      <c r="AL406" s="65" t="n">
        <f aca="false">IF(OR(OR($B406="",$E406="",$F406=""),$L406&lt;&gt;"لا"),0,MAX(0,MIN($F406,EOMONTH(DATE(cfg_FY,5,1),0))-$E406+1))</f>
        <v>0</v>
      </c>
      <c r="AM406" s="65" t="n">
        <f aca="false">IF(OR(OR($B406="",$E406="",$F406=""),$L406&lt;&gt;"لا"),0,MAX(0,MIN($F406,EOMONTH(DATE(cfg_FY,6,1),0))-$E406+1))</f>
        <v>0</v>
      </c>
      <c r="AN406" s="65" t="n">
        <f aca="false">IF(OR(OR($B406="",$E406="",$F406=""),$L406&lt;&gt;"لا"),0,MAX(0,MIN($F406,EOMONTH(DATE(cfg_FY,7,1),0))-$E406+1))</f>
        <v>0</v>
      </c>
      <c r="AO406" s="65" t="n">
        <f aca="false">IF(OR(OR($B406="",$E406="",$F406=""),$L406&lt;&gt;"لا"),0,MAX(0,MIN($F406,EOMONTH(DATE(cfg_FY,8,1),0))-$E406+1))</f>
        <v>0</v>
      </c>
      <c r="AP406" s="65" t="n">
        <f aca="false">IF(OR(OR($B406="",$E406="",$F406=""),$L406&lt;&gt;"لا"),0,MAX(0,MIN($F406,EOMONTH(DATE(cfg_FY,9,1),0))-$E406+1))</f>
        <v>0</v>
      </c>
      <c r="AQ406" s="65" t="n">
        <f aca="false">IF(OR(OR($B406="",$E406="",$F406=""),$L406&lt;&gt;"لا"),0,MAX(0,MIN($F406,EOMONTH(DATE(cfg_FY,10,1),0))-$E406+1))</f>
        <v>0</v>
      </c>
      <c r="AR406" s="65" t="n">
        <f aca="false">IF(OR(OR($B406="",$E406="",$F406=""),$L406&lt;&gt;"لا"),0,MAX(0,MIN($F406,EOMONTH(DATE(cfg_FY,11,1),0))-$E406+1))</f>
        <v>0</v>
      </c>
      <c r="AS406" s="65" t="n">
        <f aca="false">IF(OR(OR($B406="",$E406="",$F406=""),$L406&lt;&gt;"لا"),0,MAX(0,MIN($F406,EOMONTH(DATE(cfg_FY,12,1),0))-$E406+1))</f>
        <v>0</v>
      </c>
      <c r="AT406" s="65" t="n">
        <f aca="false">IF(OR(OR($B406="",$E406="",$F406=""),$K406&lt;&gt;"نعم",$M406="نعم"),0,MAX(0,MIN($F406,EOMONTH(DATE(cfg_FY,1,1),0))-MAX($E406,DATE(cfg_FY,1,1))+1))</f>
        <v>0</v>
      </c>
      <c r="AU406" s="65" t="n">
        <f aca="false">IF(OR(OR($B406="",$E406="",$F406=""),$K406&lt;&gt;"نعم",$M406="نعم"),0,MAX(0,MIN($F406,EOMONTH(DATE(cfg_FY,2,1),0))-MAX($E406,DATE(cfg_FY,2,1))+1))</f>
        <v>0</v>
      </c>
      <c r="AV406" s="65" t="n">
        <f aca="false">IF(OR(OR($B406="",$E406="",$F406=""),$K406&lt;&gt;"نعم",$M406="نعم"),0,MAX(0,MIN($F406,EOMONTH(DATE(cfg_FY,3,1),0))-MAX($E406,DATE(cfg_FY,3,1))+1))</f>
        <v>0</v>
      </c>
      <c r="AW406" s="65" t="n">
        <f aca="false">IF(OR(OR($B406="",$E406="",$F406=""),$K406&lt;&gt;"نعم",$M406="نعم"),0,MAX(0,MIN($F406,EOMONTH(DATE(cfg_FY,4,1),0))-MAX($E406,DATE(cfg_FY,4,1))+1))</f>
        <v>0</v>
      </c>
      <c r="AX406" s="65" t="n">
        <f aca="false">IF(OR(OR($B406="",$E406="",$F406=""),$K406&lt;&gt;"نعم",$M406="نعم"),0,MAX(0,MIN($F406,EOMONTH(DATE(cfg_FY,5,1),0))-MAX($E406,DATE(cfg_FY,5,1))+1))</f>
        <v>0</v>
      </c>
      <c r="AY406" s="65" t="n">
        <f aca="false">IF(OR(OR($B406="",$E406="",$F406=""),$K406&lt;&gt;"نعم",$M406="نعم"),0,MAX(0,MIN($F406,EOMONTH(DATE(cfg_FY,6,1),0))-MAX($E406,DATE(cfg_FY,6,1))+1))</f>
        <v>0</v>
      </c>
      <c r="AZ406" s="65" t="n">
        <f aca="false">IF(OR(OR($B406="",$E406="",$F406=""),$K406&lt;&gt;"نعم",$M406="نعم"),0,MAX(0,MIN($F406,EOMONTH(DATE(cfg_FY,7,1),0))-MAX($E406,DATE(cfg_FY,7,1))+1))</f>
        <v>0</v>
      </c>
      <c r="BA406" s="65" t="n">
        <f aca="false">IF(OR(OR($B406="",$E406="",$F406=""),$K406&lt;&gt;"نعم",$M406="نعم"),0,MAX(0,MIN($F406,EOMONTH(DATE(cfg_FY,8,1),0))-MAX($E406,DATE(cfg_FY,8,1))+1))</f>
        <v>0</v>
      </c>
      <c r="BB406" s="65" t="n">
        <f aca="false">IF(OR(OR($B406="",$E406="",$F406=""),$K406&lt;&gt;"نعم",$M406="نعم"),0,MAX(0,MIN($F406,EOMONTH(DATE(cfg_FY,9,1),0))-MAX($E406,DATE(cfg_FY,9,1))+1))</f>
        <v>0</v>
      </c>
      <c r="BC406" s="65" t="n">
        <f aca="false">IF(OR(OR($B406="",$E406="",$F406=""),$K406&lt;&gt;"نعم",$M406="نعم"),0,MAX(0,MIN($F406,EOMONTH(DATE(cfg_FY,10,1),0))-MAX($E406,DATE(cfg_FY,10,1))+1))</f>
        <v>0</v>
      </c>
      <c r="BD406" s="65" t="n">
        <f aca="false">IF(OR(OR($B406="",$E406="",$F406=""),$K406&lt;&gt;"نعم",$M406="نعم"),0,MAX(0,MIN($F406,EOMONTH(DATE(cfg_FY,11,1),0))-MAX($E406,DATE(cfg_FY,11,1))+1))</f>
        <v>0</v>
      </c>
      <c r="BE406" s="65" t="n">
        <f aca="false">IF(OR(OR($B406="",$E406="",$F406=""),$K406&lt;&gt;"نعم",$M406="نعم"),0,MAX(0,MIN($F406,EOMONTH(DATE(cfg_FY,12,1),0))-MAX($E406,DATE(cfg_FY,12,1))+1))</f>
        <v>0</v>
      </c>
    </row>
    <row r="407" customFormat="false" ht="15" hidden="false" customHeight="false" outlineLevel="0" collapsed="false">
      <c r="A407" s="115" t="str">
        <f aca="false">IF(B407="","",ROW()-5)</f>
        <v/>
      </c>
      <c r="B407" s="118"/>
      <c r="C407" s="117" t="str">
        <f aca="false">IF(B407="","",IFERROR(INDEX(الموظفون!$C$6:$C$105,MATCH(B407,الموظفون!$B$6:$B$105,0)),"✖ رقم غير موجود"))</f>
        <v/>
      </c>
      <c r="D407" s="118"/>
      <c r="E407" s="119"/>
      <c r="F407" s="119"/>
      <c r="G407" s="133" t="str">
        <f aca="false">IF(OR($B407="",$E407="",$F407=""),"",MAX(0,F407-E407+1))</f>
        <v/>
      </c>
      <c r="H407" s="134" t="str">
        <f aca="false">IF(D407="","",IFERROR(VLOOKUP(D407,cfg_LT,2,FALSE()),1))</f>
        <v/>
      </c>
      <c r="I407" s="135"/>
      <c r="J407" s="134" t="str">
        <f aca="false">IF(D407="","",IF(I407&lt;&gt;"",I407,H407))</f>
        <v/>
      </c>
      <c r="K407" s="117" t="str">
        <f aca="false">IF(D407="","",IFERROR(VLOOKUP($D407,cfg_LT,3,FALSE()),""))</f>
        <v/>
      </c>
      <c r="L407" s="117" t="str">
        <f aca="false">IF(D407="","",IFERROR(VLOOKUP($D407,cfg_LT,4,FALSE()),""))</f>
        <v/>
      </c>
      <c r="M407" s="117" t="str">
        <f aca="false">IF(D407="","",IFERROR(VLOOKUP($D407,cfg_LT,5,FALSE()),""))</f>
        <v/>
      </c>
      <c r="N407" s="116" t="n">
        <f aca="false">IF(OR(OR($B407="",$E407="",$F407=""),M407&lt;&gt;"نعم"),0,G407*J407*IFERROR(INDEX(الموظفون!$R$6:$R$105,MATCH(B407,الموظفون!$B$6:$B$105,0)),0)/cfg_DAYS_M)</f>
        <v>0</v>
      </c>
      <c r="O407" s="115" t="str">
        <f aca="false">IF(OR(OR($B407="",$E407="",$F407=""),M407&lt;&gt;"نعم"),"",IF(YEAR(E407)=cfg_FY,MONTH(E407),""))</f>
        <v/>
      </c>
      <c r="P407" s="117" t="str">
        <f aca="false">IF(B407="","",IF(OR(D407="",E407="",F407=""),"⚠ أكمل النوع والتواريخ",IF(F407&lt;E407,"✖ النهاية قبل البداية",IF(COUNTIFS($B$6:$B$505,B407,$E$6:$E$505,"&lt;="&amp;F407,$F$6:$F$505,"&gt;="&amp;E407)&gt;1,"⚠ تداخل مع سجل آخر",IF(E407&gt;cfg_VAL_DATE,"⏳ قادمة",IF(F407&lt;cfg_VAL_DATE,"✔ منتهية","✈ جارية في تاريخ التقرير"))))))</f>
        <v/>
      </c>
      <c r="Q407" s="118"/>
      <c r="R407" s="133" t="n">
        <f aca="false">IF(OR(OR($B407="",$E407="",$F407=""),L407&lt;&gt;"لا"),0,MAX(0,MIN(F407,cfg_Y_START-1)-E407+1))</f>
        <v>0</v>
      </c>
      <c r="S407" s="133" t="n">
        <f aca="false">IF(OR(OR($B407="",$E407="",$F407=""),L407&lt;&gt;"لا"),0,MAX(0,MIN(F407,cfg_VAL_DATE)-E407+1))</f>
        <v>0</v>
      </c>
      <c r="T407" s="133" t="n">
        <f aca="false">IF(OR(OR($B407="",$E407="",$F407=""),K407&lt;&gt;"نعم"),0,IF(M407="نعم",IF(AND(ISNUMBER(O407),N(O407)&lt;=cfg_VAL_M),G407,0),MAX(0,MIN(F407,cfg_VAL_DATE)-MAX(E407,cfg_Y_START)+1)))</f>
        <v>0</v>
      </c>
      <c r="V407" s="133" t="n">
        <f aca="false">IF(OR($B407="",$E407="",$F407=""),0,MAX(0,MIN($F407,EOMONTH(DATE(cfg_FY,1,1),0))-MAX($E407,DATE(cfg_FY,1,1))+1)*(1-IF($M407="نعم",0,N($J407))))</f>
        <v>0</v>
      </c>
      <c r="W407" s="133" t="n">
        <f aca="false">IF(OR($B407="",$E407="",$F407=""),0,MAX(0,MIN($F407,EOMONTH(DATE(cfg_FY,2,1),0))-MAX($E407,DATE(cfg_FY,2,1))+1)*(1-IF($M407="نعم",0,N($J407))))</f>
        <v>0</v>
      </c>
      <c r="X407" s="133" t="n">
        <f aca="false">IF(OR($B407="",$E407="",$F407=""),0,MAX(0,MIN($F407,EOMONTH(DATE(cfg_FY,3,1),0))-MAX($E407,DATE(cfg_FY,3,1))+1)*(1-IF($M407="نعم",0,N($J407))))</f>
        <v>0</v>
      </c>
      <c r="Y407" s="133" t="n">
        <f aca="false">IF(OR($B407="",$E407="",$F407=""),0,MAX(0,MIN($F407,EOMONTH(DATE(cfg_FY,4,1),0))-MAX($E407,DATE(cfg_FY,4,1))+1)*(1-IF($M407="نعم",0,N($J407))))</f>
        <v>0</v>
      </c>
      <c r="Z407" s="133" t="n">
        <f aca="false">IF(OR($B407="",$E407="",$F407=""),0,MAX(0,MIN($F407,EOMONTH(DATE(cfg_FY,5,1),0))-MAX($E407,DATE(cfg_FY,5,1))+1)*(1-IF($M407="نعم",0,N($J407))))</f>
        <v>0</v>
      </c>
      <c r="AA407" s="133" t="n">
        <f aca="false">IF(OR($B407="",$E407="",$F407=""),0,MAX(0,MIN($F407,EOMONTH(DATE(cfg_FY,6,1),0))-MAX($E407,DATE(cfg_FY,6,1))+1)*(1-IF($M407="نعم",0,N($J407))))</f>
        <v>0</v>
      </c>
      <c r="AB407" s="133" t="n">
        <f aca="false">IF(OR($B407="",$E407="",$F407=""),0,MAX(0,MIN($F407,EOMONTH(DATE(cfg_FY,7,1),0))-MAX($E407,DATE(cfg_FY,7,1))+1)*(1-IF($M407="نعم",0,N($J407))))</f>
        <v>0</v>
      </c>
      <c r="AC407" s="133" t="n">
        <f aca="false">IF(OR($B407="",$E407="",$F407=""),0,MAX(0,MIN($F407,EOMONTH(DATE(cfg_FY,8,1),0))-MAX($E407,DATE(cfg_FY,8,1))+1)*(1-IF($M407="نعم",0,N($J407))))</f>
        <v>0</v>
      </c>
      <c r="AD407" s="133" t="n">
        <f aca="false">IF(OR($B407="",$E407="",$F407=""),0,MAX(0,MIN($F407,EOMONTH(DATE(cfg_FY,9,1),0))-MAX($E407,DATE(cfg_FY,9,1))+1)*(1-IF($M407="نعم",0,N($J407))))</f>
        <v>0</v>
      </c>
      <c r="AE407" s="133" t="n">
        <f aca="false">IF(OR($B407="",$E407="",$F407=""),0,MAX(0,MIN($F407,EOMONTH(DATE(cfg_FY,10,1),0))-MAX($E407,DATE(cfg_FY,10,1))+1)*(1-IF($M407="نعم",0,N($J407))))</f>
        <v>0</v>
      </c>
      <c r="AF407" s="133" t="n">
        <f aca="false">IF(OR($B407="",$E407="",$F407=""),0,MAX(0,MIN($F407,EOMONTH(DATE(cfg_FY,11,1),0))-MAX($E407,DATE(cfg_FY,11,1))+1)*(1-IF($M407="نعم",0,N($J407))))</f>
        <v>0</v>
      </c>
      <c r="AG407" s="133" t="n">
        <f aca="false">IF(OR($B407="",$E407="",$F407=""),0,MAX(0,MIN($F407,EOMONTH(DATE(cfg_FY,12,1),0))-MAX($E407,DATE(cfg_FY,12,1))+1)*(1-IF($M407="نعم",0,N($J407))))</f>
        <v>0</v>
      </c>
      <c r="AH407" s="133" t="n">
        <f aca="false">IF(OR(OR($B407="",$E407="",$F407=""),$L407&lt;&gt;"لا"),0,MAX(0,MIN($F407,EOMONTH(DATE(cfg_FY,1,1),0))-$E407+1))</f>
        <v>0</v>
      </c>
      <c r="AI407" s="133" t="n">
        <f aca="false">IF(OR(OR($B407="",$E407="",$F407=""),$L407&lt;&gt;"لا"),0,MAX(0,MIN($F407,EOMONTH(DATE(cfg_FY,2,1),0))-$E407+1))</f>
        <v>0</v>
      </c>
      <c r="AJ407" s="133" t="n">
        <f aca="false">IF(OR(OR($B407="",$E407="",$F407=""),$L407&lt;&gt;"لا"),0,MAX(0,MIN($F407,EOMONTH(DATE(cfg_FY,3,1),0))-$E407+1))</f>
        <v>0</v>
      </c>
      <c r="AK407" s="133" t="n">
        <f aca="false">IF(OR(OR($B407="",$E407="",$F407=""),$L407&lt;&gt;"لا"),0,MAX(0,MIN($F407,EOMONTH(DATE(cfg_FY,4,1),0))-$E407+1))</f>
        <v>0</v>
      </c>
      <c r="AL407" s="133" t="n">
        <f aca="false">IF(OR(OR($B407="",$E407="",$F407=""),$L407&lt;&gt;"لا"),0,MAX(0,MIN($F407,EOMONTH(DATE(cfg_FY,5,1),0))-$E407+1))</f>
        <v>0</v>
      </c>
      <c r="AM407" s="133" t="n">
        <f aca="false">IF(OR(OR($B407="",$E407="",$F407=""),$L407&lt;&gt;"لا"),0,MAX(0,MIN($F407,EOMONTH(DATE(cfg_FY,6,1),0))-$E407+1))</f>
        <v>0</v>
      </c>
      <c r="AN407" s="133" t="n">
        <f aca="false">IF(OR(OR($B407="",$E407="",$F407=""),$L407&lt;&gt;"لا"),0,MAX(0,MIN($F407,EOMONTH(DATE(cfg_FY,7,1),0))-$E407+1))</f>
        <v>0</v>
      </c>
      <c r="AO407" s="133" t="n">
        <f aca="false">IF(OR(OR($B407="",$E407="",$F407=""),$L407&lt;&gt;"لا"),0,MAX(0,MIN($F407,EOMONTH(DATE(cfg_FY,8,1),0))-$E407+1))</f>
        <v>0</v>
      </c>
      <c r="AP407" s="133" t="n">
        <f aca="false">IF(OR(OR($B407="",$E407="",$F407=""),$L407&lt;&gt;"لا"),0,MAX(0,MIN($F407,EOMONTH(DATE(cfg_FY,9,1),0))-$E407+1))</f>
        <v>0</v>
      </c>
      <c r="AQ407" s="133" t="n">
        <f aca="false">IF(OR(OR($B407="",$E407="",$F407=""),$L407&lt;&gt;"لا"),0,MAX(0,MIN($F407,EOMONTH(DATE(cfg_FY,10,1),0))-$E407+1))</f>
        <v>0</v>
      </c>
      <c r="AR407" s="133" t="n">
        <f aca="false">IF(OR(OR($B407="",$E407="",$F407=""),$L407&lt;&gt;"لا"),0,MAX(0,MIN($F407,EOMONTH(DATE(cfg_FY,11,1),0))-$E407+1))</f>
        <v>0</v>
      </c>
      <c r="AS407" s="133" t="n">
        <f aca="false">IF(OR(OR($B407="",$E407="",$F407=""),$L407&lt;&gt;"لا"),0,MAX(0,MIN($F407,EOMONTH(DATE(cfg_FY,12,1),0))-$E407+1))</f>
        <v>0</v>
      </c>
      <c r="AT407" s="133" t="n">
        <f aca="false">IF(OR(OR($B407="",$E407="",$F407=""),$K407&lt;&gt;"نعم",$M407="نعم"),0,MAX(0,MIN($F407,EOMONTH(DATE(cfg_FY,1,1),0))-MAX($E407,DATE(cfg_FY,1,1))+1))</f>
        <v>0</v>
      </c>
      <c r="AU407" s="133" t="n">
        <f aca="false">IF(OR(OR($B407="",$E407="",$F407=""),$K407&lt;&gt;"نعم",$M407="نعم"),0,MAX(0,MIN($F407,EOMONTH(DATE(cfg_FY,2,1),0))-MAX($E407,DATE(cfg_FY,2,1))+1))</f>
        <v>0</v>
      </c>
      <c r="AV407" s="133" t="n">
        <f aca="false">IF(OR(OR($B407="",$E407="",$F407=""),$K407&lt;&gt;"نعم",$M407="نعم"),0,MAX(0,MIN($F407,EOMONTH(DATE(cfg_FY,3,1),0))-MAX($E407,DATE(cfg_FY,3,1))+1))</f>
        <v>0</v>
      </c>
      <c r="AW407" s="133" t="n">
        <f aca="false">IF(OR(OR($B407="",$E407="",$F407=""),$K407&lt;&gt;"نعم",$M407="نعم"),0,MAX(0,MIN($F407,EOMONTH(DATE(cfg_FY,4,1),0))-MAX($E407,DATE(cfg_FY,4,1))+1))</f>
        <v>0</v>
      </c>
      <c r="AX407" s="133" t="n">
        <f aca="false">IF(OR(OR($B407="",$E407="",$F407=""),$K407&lt;&gt;"نعم",$M407="نعم"),0,MAX(0,MIN($F407,EOMONTH(DATE(cfg_FY,5,1),0))-MAX($E407,DATE(cfg_FY,5,1))+1))</f>
        <v>0</v>
      </c>
      <c r="AY407" s="133" t="n">
        <f aca="false">IF(OR(OR($B407="",$E407="",$F407=""),$K407&lt;&gt;"نعم",$M407="نعم"),0,MAX(0,MIN($F407,EOMONTH(DATE(cfg_FY,6,1),0))-MAX($E407,DATE(cfg_FY,6,1))+1))</f>
        <v>0</v>
      </c>
      <c r="AZ407" s="133" t="n">
        <f aca="false">IF(OR(OR($B407="",$E407="",$F407=""),$K407&lt;&gt;"نعم",$M407="نعم"),0,MAX(0,MIN($F407,EOMONTH(DATE(cfg_FY,7,1),0))-MAX($E407,DATE(cfg_FY,7,1))+1))</f>
        <v>0</v>
      </c>
      <c r="BA407" s="133" t="n">
        <f aca="false">IF(OR(OR($B407="",$E407="",$F407=""),$K407&lt;&gt;"نعم",$M407="نعم"),0,MAX(0,MIN($F407,EOMONTH(DATE(cfg_FY,8,1),0))-MAX($E407,DATE(cfg_FY,8,1))+1))</f>
        <v>0</v>
      </c>
      <c r="BB407" s="133" t="n">
        <f aca="false">IF(OR(OR($B407="",$E407="",$F407=""),$K407&lt;&gt;"نعم",$M407="نعم"),0,MAX(0,MIN($F407,EOMONTH(DATE(cfg_FY,9,1),0))-MAX($E407,DATE(cfg_FY,9,1))+1))</f>
        <v>0</v>
      </c>
      <c r="BC407" s="133" t="n">
        <f aca="false">IF(OR(OR($B407="",$E407="",$F407=""),$K407&lt;&gt;"نعم",$M407="نعم"),0,MAX(0,MIN($F407,EOMONTH(DATE(cfg_FY,10,1),0))-MAX($E407,DATE(cfg_FY,10,1))+1))</f>
        <v>0</v>
      </c>
      <c r="BD407" s="133" t="n">
        <f aca="false">IF(OR(OR($B407="",$E407="",$F407=""),$K407&lt;&gt;"نعم",$M407="نعم"),0,MAX(0,MIN($F407,EOMONTH(DATE(cfg_FY,11,1),0))-MAX($E407,DATE(cfg_FY,11,1))+1))</f>
        <v>0</v>
      </c>
      <c r="BE407" s="133" t="n">
        <f aca="false">IF(OR(OR($B407="",$E407="",$F407=""),$K407&lt;&gt;"نعم",$M407="نعم"),0,MAX(0,MIN($F407,EOMONTH(DATE(cfg_FY,12,1),0))-MAX($E407,DATE(cfg_FY,12,1))+1))</f>
        <v>0</v>
      </c>
    </row>
    <row r="408" customFormat="false" ht="15" hidden="false" customHeight="false" outlineLevel="0" collapsed="false">
      <c r="A408" s="106" t="str">
        <f aca="false">IF(B408="","",ROW()-5)</f>
        <v/>
      </c>
      <c r="B408" s="118"/>
      <c r="C408" s="114" t="str">
        <f aca="false">IF(B408="","",IFERROR(INDEX(الموظفون!$C$6:$C$105,MATCH(B408,الموظفون!$B$6:$B$105,0)),"✖ رقم غير موجود"))</f>
        <v/>
      </c>
      <c r="D408" s="118"/>
      <c r="E408" s="119"/>
      <c r="F408" s="119"/>
      <c r="G408" s="65" t="str">
        <f aca="false">IF(OR($B408="",$E408="",$F408=""),"",MAX(0,F408-E408+1))</f>
        <v/>
      </c>
      <c r="H408" s="66" t="str">
        <f aca="false">IF(D408="","",IFERROR(VLOOKUP(D408,cfg_LT,2,FALSE()),1))</f>
        <v/>
      </c>
      <c r="I408" s="135"/>
      <c r="J408" s="66" t="str">
        <f aca="false">IF(D408="","",IF(I408&lt;&gt;"",I408,H408))</f>
        <v/>
      </c>
      <c r="K408" s="114" t="str">
        <f aca="false">IF(D408="","",IFERROR(VLOOKUP($D408,cfg_LT,3,FALSE()),""))</f>
        <v/>
      </c>
      <c r="L408" s="114" t="str">
        <f aca="false">IF(D408="","",IFERROR(VLOOKUP($D408,cfg_LT,4,FALSE()),""))</f>
        <v/>
      </c>
      <c r="M408" s="114" t="str">
        <f aca="false">IF(D408="","",IFERROR(VLOOKUP($D408,cfg_LT,5,FALSE()),""))</f>
        <v/>
      </c>
      <c r="N408" s="111" t="n">
        <f aca="false">IF(OR(OR($B408="",$E408="",$F408=""),M408&lt;&gt;"نعم"),0,G408*J408*IFERROR(INDEX(الموظفون!$R$6:$R$105,MATCH(B408,الموظفون!$B$6:$B$105,0)),0)/cfg_DAYS_M)</f>
        <v>0</v>
      </c>
      <c r="O408" s="106" t="str">
        <f aca="false">IF(OR(OR($B408="",$E408="",$F408=""),M408&lt;&gt;"نعم"),"",IF(YEAR(E408)=cfg_FY,MONTH(E408),""))</f>
        <v/>
      </c>
      <c r="P408" s="114" t="str">
        <f aca="false">IF(B408="","",IF(OR(D408="",E408="",F408=""),"⚠ أكمل النوع والتواريخ",IF(F408&lt;E408,"✖ النهاية قبل البداية",IF(COUNTIFS($B$6:$B$505,B408,$E$6:$E$505,"&lt;="&amp;F408,$F$6:$F$505,"&gt;="&amp;E408)&gt;1,"⚠ تداخل مع سجل آخر",IF(E408&gt;cfg_VAL_DATE,"⏳ قادمة",IF(F408&lt;cfg_VAL_DATE,"✔ منتهية","✈ جارية في تاريخ التقرير"))))))</f>
        <v/>
      </c>
      <c r="Q408" s="118"/>
      <c r="R408" s="65" t="n">
        <f aca="false">IF(OR(OR($B408="",$E408="",$F408=""),L408&lt;&gt;"لا"),0,MAX(0,MIN(F408,cfg_Y_START-1)-E408+1))</f>
        <v>0</v>
      </c>
      <c r="S408" s="65" t="n">
        <f aca="false">IF(OR(OR($B408="",$E408="",$F408=""),L408&lt;&gt;"لا"),0,MAX(0,MIN(F408,cfg_VAL_DATE)-E408+1))</f>
        <v>0</v>
      </c>
      <c r="T408" s="65" t="n">
        <f aca="false">IF(OR(OR($B408="",$E408="",$F408=""),K408&lt;&gt;"نعم"),0,IF(M408="نعم",IF(AND(ISNUMBER(O408),N(O408)&lt;=cfg_VAL_M),G408,0),MAX(0,MIN(F408,cfg_VAL_DATE)-MAX(E408,cfg_Y_START)+1)))</f>
        <v>0</v>
      </c>
      <c r="V408" s="65" t="n">
        <f aca="false">IF(OR($B408="",$E408="",$F408=""),0,MAX(0,MIN($F408,EOMONTH(DATE(cfg_FY,1,1),0))-MAX($E408,DATE(cfg_FY,1,1))+1)*(1-IF($M408="نعم",0,N($J408))))</f>
        <v>0</v>
      </c>
      <c r="W408" s="65" t="n">
        <f aca="false">IF(OR($B408="",$E408="",$F408=""),0,MAX(0,MIN($F408,EOMONTH(DATE(cfg_FY,2,1),0))-MAX($E408,DATE(cfg_FY,2,1))+1)*(1-IF($M408="نعم",0,N($J408))))</f>
        <v>0</v>
      </c>
      <c r="X408" s="65" t="n">
        <f aca="false">IF(OR($B408="",$E408="",$F408=""),0,MAX(0,MIN($F408,EOMONTH(DATE(cfg_FY,3,1),0))-MAX($E408,DATE(cfg_FY,3,1))+1)*(1-IF($M408="نعم",0,N($J408))))</f>
        <v>0</v>
      </c>
      <c r="Y408" s="65" t="n">
        <f aca="false">IF(OR($B408="",$E408="",$F408=""),0,MAX(0,MIN($F408,EOMONTH(DATE(cfg_FY,4,1),0))-MAX($E408,DATE(cfg_FY,4,1))+1)*(1-IF($M408="نعم",0,N($J408))))</f>
        <v>0</v>
      </c>
      <c r="Z408" s="65" t="n">
        <f aca="false">IF(OR($B408="",$E408="",$F408=""),0,MAX(0,MIN($F408,EOMONTH(DATE(cfg_FY,5,1),0))-MAX($E408,DATE(cfg_FY,5,1))+1)*(1-IF($M408="نعم",0,N($J408))))</f>
        <v>0</v>
      </c>
      <c r="AA408" s="65" t="n">
        <f aca="false">IF(OR($B408="",$E408="",$F408=""),0,MAX(0,MIN($F408,EOMONTH(DATE(cfg_FY,6,1),0))-MAX($E408,DATE(cfg_FY,6,1))+1)*(1-IF($M408="نعم",0,N($J408))))</f>
        <v>0</v>
      </c>
      <c r="AB408" s="65" t="n">
        <f aca="false">IF(OR($B408="",$E408="",$F408=""),0,MAX(0,MIN($F408,EOMONTH(DATE(cfg_FY,7,1),0))-MAX($E408,DATE(cfg_FY,7,1))+1)*(1-IF($M408="نعم",0,N($J408))))</f>
        <v>0</v>
      </c>
      <c r="AC408" s="65" t="n">
        <f aca="false">IF(OR($B408="",$E408="",$F408=""),0,MAX(0,MIN($F408,EOMONTH(DATE(cfg_FY,8,1),0))-MAX($E408,DATE(cfg_FY,8,1))+1)*(1-IF($M408="نعم",0,N($J408))))</f>
        <v>0</v>
      </c>
      <c r="AD408" s="65" t="n">
        <f aca="false">IF(OR($B408="",$E408="",$F408=""),0,MAX(0,MIN($F408,EOMONTH(DATE(cfg_FY,9,1),0))-MAX($E408,DATE(cfg_FY,9,1))+1)*(1-IF($M408="نعم",0,N($J408))))</f>
        <v>0</v>
      </c>
      <c r="AE408" s="65" t="n">
        <f aca="false">IF(OR($B408="",$E408="",$F408=""),0,MAX(0,MIN($F408,EOMONTH(DATE(cfg_FY,10,1),0))-MAX($E408,DATE(cfg_FY,10,1))+1)*(1-IF($M408="نعم",0,N($J408))))</f>
        <v>0</v>
      </c>
      <c r="AF408" s="65" t="n">
        <f aca="false">IF(OR($B408="",$E408="",$F408=""),0,MAX(0,MIN($F408,EOMONTH(DATE(cfg_FY,11,1),0))-MAX($E408,DATE(cfg_FY,11,1))+1)*(1-IF($M408="نعم",0,N($J408))))</f>
        <v>0</v>
      </c>
      <c r="AG408" s="65" t="n">
        <f aca="false">IF(OR($B408="",$E408="",$F408=""),0,MAX(0,MIN($F408,EOMONTH(DATE(cfg_FY,12,1),0))-MAX($E408,DATE(cfg_FY,12,1))+1)*(1-IF($M408="نعم",0,N($J408))))</f>
        <v>0</v>
      </c>
      <c r="AH408" s="65" t="n">
        <f aca="false">IF(OR(OR($B408="",$E408="",$F408=""),$L408&lt;&gt;"لا"),0,MAX(0,MIN($F408,EOMONTH(DATE(cfg_FY,1,1),0))-$E408+1))</f>
        <v>0</v>
      </c>
      <c r="AI408" s="65" t="n">
        <f aca="false">IF(OR(OR($B408="",$E408="",$F408=""),$L408&lt;&gt;"لا"),0,MAX(0,MIN($F408,EOMONTH(DATE(cfg_FY,2,1),0))-$E408+1))</f>
        <v>0</v>
      </c>
      <c r="AJ408" s="65" t="n">
        <f aca="false">IF(OR(OR($B408="",$E408="",$F408=""),$L408&lt;&gt;"لا"),0,MAX(0,MIN($F408,EOMONTH(DATE(cfg_FY,3,1),0))-$E408+1))</f>
        <v>0</v>
      </c>
      <c r="AK408" s="65" t="n">
        <f aca="false">IF(OR(OR($B408="",$E408="",$F408=""),$L408&lt;&gt;"لا"),0,MAX(0,MIN($F408,EOMONTH(DATE(cfg_FY,4,1),0))-$E408+1))</f>
        <v>0</v>
      </c>
      <c r="AL408" s="65" t="n">
        <f aca="false">IF(OR(OR($B408="",$E408="",$F408=""),$L408&lt;&gt;"لا"),0,MAX(0,MIN($F408,EOMONTH(DATE(cfg_FY,5,1),0))-$E408+1))</f>
        <v>0</v>
      </c>
      <c r="AM408" s="65" t="n">
        <f aca="false">IF(OR(OR($B408="",$E408="",$F408=""),$L408&lt;&gt;"لا"),0,MAX(0,MIN($F408,EOMONTH(DATE(cfg_FY,6,1),0))-$E408+1))</f>
        <v>0</v>
      </c>
      <c r="AN408" s="65" t="n">
        <f aca="false">IF(OR(OR($B408="",$E408="",$F408=""),$L408&lt;&gt;"لا"),0,MAX(0,MIN($F408,EOMONTH(DATE(cfg_FY,7,1),0))-$E408+1))</f>
        <v>0</v>
      </c>
      <c r="AO408" s="65" t="n">
        <f aca="false">IF(OR(OR($B408="",$E408="",$F408=""),$L408&lt;&gt;"لا"),0,MAX(0,MIN($F408,EOMONTH(DATE(cfg_FY,8,1),0))-$E408+1))</f>
        <v>0</v>
      </c>
      <c r="AP408" s="65" t="n">
        <f aca="false">IF(OR(OR($B408="",$E408="",$F408=""),$L408&lt;&gt;"لا"),0,MAX(0,MIN($F408,EOMONTH(DATE(cfg_FY,9,1),0))-$E408+1))</f>
        <v>0</v>
      </c>
      <c r="AQ408" s="65" t="n">
        <f aca="false">IF(OR(OR($B408="",$E408="",$F408=""),$L408&lt;&gt;"لا"),0,MAX(0,MIN($F408,EOMONTH(DATE(cfg_FY,10,1),0))-$E408+1))</f>
        <v>0</v>
      </c>
      <c r="AR408" s="65" t="n">
        <f aca="false">IF(OR(OR($B408="",$E408="",$F408=""),$L408&lt;&gt;"لا"),0,MAX(0,MIN($F408,EOMONTH(DATE(cfg_FY,11,1),0))-$E408+1))</f>
        <v>0</v>
      </c>
      <c r="AS408" s="65" t="n">
        <f aca="false">IF(OR(OR($B408="",$E408="",$F408=""),$L408&lt;&gt;"لا"),0,MAX(0,MIN($F408,EOMONTH(DATE(cfg_FY,12,1),0))-$E408+1))</f>
        <v>0</v>
      </c>
      <c r="AT408" s="65" t="n">
        <f aca="false">IF(OR(OR($B408="",$E408="",$F408=""),$K408&lt;&gt;"نعم",$M408="نعم"),0,MAX(0,MIN($F408,EOMONTH(DATE(cfg_FY,1,1),0))-MAX($E408,DATE(cfg_FY,1,1))+1))</f>
        <v>0</v>
      </c>
      <c r="AU408" s="65" t="n">
        <f aca="false">IF(OR(OR($B408="",$E408="",$F408=""),$K408&lt;&gt;"نعم",$M408="نعم"),0,MAX(0,MIN($F408,EOMONTH(DATE(cfg_FY,2,1),0))-MAX($E408,DATE(cfg_FY,2,1))+1))</f>
        <v>0</v>
      </c>
      <c r="AV408" s="65" t="n">
        <f aca="false">IF(OR(OR($B408="",$E408="",$F408=""),$K408&lt;&gt;"نعم",$M408="نعم"),0,MAX(0,MIN($F408,EOMONTH(DATE(cfg_FY,3,1),0))-MAX($E408,DATE(cfg_FY,3,1))+1))</f>
        <v>0</v>
      </c>
      <c r="AW408" s="65" t="n">
        <f aca="false">IF(OR(OR($B408="",$E408="",$F408=""),$K408&lt;&gt;"نعم",$M408="نعم"),0,MAX(0,MIN($F408,EOMONTH(DATE(cfg_FY,4,1),0))-MAX($E408,DATE(cfg_FY,4,1))+1))</f>
        <v>0</v>
      </c>
      <c r="AX408" s="65" t="n">
        <f aca="false">IF(OR(OR($B408="",$E408="",$F408=""),$K408&lt;&gt;"نعم",$M408="نعم"),0,MAX(0,MIN($F408,EOMONTH(DATE(cfg_FY,5,1),0))-MAX($E408,DATE(cfg_FY,5,1))+1))</f>
        <v>0</v>
      </c>
      <c r="AY408" s="65" t="n">
        <f aca="false">IF(OR(OR($B408="",$E408="",$F408=""),$K408&lt;&gt;"نعم",$M408="نعم"),0,MAX(0,MIN($F408,EOMONTH(DATE(cfg_FY,6,1),0))-MAX($E408,DATE(cfg_FY,6,1))+1))</f>
        <v>0</v>
      </c>
      <c r="AZ408" s="65" t="n">
        <f aca="false">IF(OR(OR($B408="",$E408="",$F408=""),$K408&lt;&gt;"نعم",$M408="نعم"),0,MAX(0,MIN($F408,EOMONTH(DATE(cfg_FY,7,1),0))-MAX($E408,DATE(cfg_FY,7,1))+1))</f>
        <v>0</v>
      </c>
      <c r="BA408" s="65" t="n">
        <f aca="false">IF(OR(OR($B408="",$E408="",$F408=""),$K408&lt;&gt;"نعم",$M408="نعم"),0,MAX(0,MIN($F408,EOMONTH(DATE(cfg_FY,8,1),0))-MAX($E408,DATE(cfg_FY,8,1))+1))</f>
        <v>0</v>
      </c>
      <c r="BB408" s="65" t="n">
        <f aca="false">IF(OR(OR($B408="",$E408="",$F408=""),$K408&lt;&gt;"نعم",$M408="نعم"),0,MAX(0,MIN($F408,EOMONTH(DATE(cfg_FY,9,1),0))-MAX($E408,DATE(cfg_FY,9,1))+1))</f>
        <v>0</v>
      </c>
      <c r="BC408" s="65" t="n">
        <f aca="false">IF(OR(OR($B408="",$E408="",$F408=""),$K408&lt;&gt;"نعم",$M408="نعم"),0,MAX(0,MIN($F408,EOMONTH(DATE(cfg_FY,10,1),0))-MAX($E408,DATE(cfg_FY,10,1))+1))</f>
        <v>0</v>
      </c>
      <c r="BD408" s="65" t="n">
        <f aca="false">IF(OR(OR($B408="",$E408="",$F408=""),$K408&lt;&gt;"نعم",$M408="نعم"),0,MAX(0,MIN($F408,EOMONTH(DATE(cfg_FY,11,1),0))-MAX($E408,DATE(cfg_FY,11,1))+1))</f>
        <v>0</v>
      </c>
      <c r="BE408" s="65" t="n">
        <f aca="false">IF(OR(OR($B408="",$E408="",$F408=""),$K408&lt;&gt;"نعم",$M408="نعم"),0,MAX(0,MIN($F408,EOMONTH(DATE(cfg_FY,12,1),0))-MAX($E408,DATE(cfg_FY,12,1))+1))</f>
        <v>0</v>
      </c>
    </row>
    <row r="409" customFormat="false" ht="15" hidden="false" customHeight="false" outlineLevel="0" collapsed="false">
      <c r="A409" s="115" t="str">
        <f aca="false">IF(B409="","",ROW()-5)</f>
        <v/>
      </c>
      <c r="B409" s="118"/>
      <c r="C409" s="117" t="str">
        <f aca="false">IF(B409="","",IFERROR(INDEX(الموظفون!$C$6:$C$105,MATCH(B409,الموظفون!$B$6:$B$105,0)),"✖ رقم غير موجود"))</f>
        <v/>
      </c>
      <c r="D409" s="118"/>
      <c r="E409" s="119"/>
      <c r="F409" s="119"/>
      <c r="G409" s="133" t="str">
        <f aca="false">IF(OR($B409="",$E409="",$F409=""),"",MAX(0,F409-E409+1))</f>
        <v/>
      </c>
      <c r="H409" s="134" t="str">
        <f aca="false">IF(D409="","",IFERROR(VLOOKUP(D409,cfg_LT,2,FALSE()),1))</f>
        <v/>
      </c>
      <c r="I409" s="135"/>
      <c r="J409" s="134" t="str">
        <f aca="false">IF(D409="","",IF(I409&lt;&gt;"",I409,H409))</f>
        <v/>
      </c>
      <c r="K409" s="117" t="str">
        <f aca="false">IF(D409="","",IFERROR(VLOOKUP($D409,cfg_LT,3,FALSE()),""))</f>
        <v/>
      </c>
      <c r="L409" s="117" t="str">
        <f aca="false">IF(D409="","",IFERROR(VLOOKUP($D409,cfg_LT,4,FALSE()),""))</f>
        <v/>
      </c>
      <c r="M409" s="117" t="str">
        <f aca="false">IF(D409="","",IFERROR(VLOOKUP($D409,cfg_LT,5,FALSE()),""))</f>
        <v/>
      </c>
      <c r="N409" s="116" t="n">
        <f aca="false">IF(OR(OR($B409="",$E409="",$F409=""),M409&lt;&gt;"نعم"),0,G409*J409*IFERROR(INDEX(الموظفون!$R$6:$R$105,MATCH(B409,الموظفون!$B$6:$B$105,0)),0)/cfg_DAYS_M)</f>
        <v>0</v>
      </c>
      <c r="O409" s="115" t="str">
        <f aca="false">IF(OR(OR($B409="",$E409="",$F409=""),M409&lt;&gt;"نعم"),"",IF(YEAR(E409)=cfg_FY,MONTH(E409),""))</f>
        <v/>
      </c>
      <c r="P409" s="117" t="str">
        <f aca="false">IF(B409="","",IF(OR(D409="",E409="",F409=""),"⚠ أكمل النوع والتواريخ",IF(F409&lt;E409,"✖ النهاية قبل البداية",IF(COUNTIFS($B$6:$B$505,B409,$E$6:$E$505,"&lt;="&amp;F409,$F$6:$F$505,"&gt;="&amp;E409)&gt;1,"⚠ تداخل مع سجل آخر",IF(E409&gt;cfg_VAL_DATE,"⏳ قادمة",IF(F409&lt;cfg_VAL_DATE,"✔ منتهية","✈ جارية في تاريخ التقرير"))))))</f>
        <v/>
      </c>
      <c r="Q409" s="118"/>
      <c r="R409" s="133" t="n">
        <f aca="false">IF(OR(OR($B409="",$E409="",$F409=""),L409&lt;&gt;"لا"),0,MAX(0,MIN(F409,cfg_Y_START-1)-E409+1))</f>
        <v>0</v>
      </c>
      <c r="S409" s="133" t="n">
        <f aca="false">IF(OR(OR($B409="",$E409="",$F409=""),L409&lt;&gt;"لا"),0,MAX(0,MIN(F409,cfg_VAL_DATE)-E409+1))</f>
        <v>0</v>
      </c>
      <c r="T409" s="133" t="n">
        <f aca="false">IF(OR(OR($B409="",$E409="",$F409=""),K409&lt;&gt;"نعم"),0,IF(M409="نعم",IF(AND(ISNUMBER(O409),N(O409)&lt;=cfg_VAL_M),G409,0),MAX(0,MIN(F409,cfg_VAL_DATE)-MAX(E409,cfg_Y_START)+1)))</f>
        <v>0</v>
      </c>
      <c r="V409" s="133" t="n">
        <f aca="false">IF(OR($B409="",$E409="",$F409=""),0,MAX(0,MIN($F409,EOMONTH(DATE(cfg_FY,1,1),0))-MAX($E409,DATE(cfg_FY,1,1))+1)*(1-IF($M409="نعم",0,N($J409))))</f>
        <v>0</v>
      </c>
      <c r="W409" s="133" t="n">
        <f aca="false">IF(OR($B409="",$E409="",$F409=""),0,MAX(0,MIN($F409,EOMONTH(DATE(cfg_FY,2,1),0))-MAX($E409,DATE(cfg_FY,2,1))+1)*(1-IF($M409="نعم",0,N($J409))))</f>
        <v>0</v>
      </c>
      <c r="X409" s="133" t="n">
        <f aca="false">IF(OR($B409="",$E409="",$F409=""),0,MAX(0,MIN($F409,EOMONTH(DATE(cfg_FY,3,1),0))-MAX($E409,DATE(cfg_FY,3,1))+1)*(1-IF($M409="نعم",0,N($J409))))</f>
        <v>0</v>
      </c>
      <c r="Y409" s="133" t="n">
        <f aca="false">IF(OR($B409="",$E409="",$F409=""),0,MAX(0,MIN($F409,EOMONTH(DATE(cfg_FY,4,1),0))-MAX($E409,DATE(cfg_FY,4,1))+1)*(1-IF($M409="نعم",0,N($J409))))</f>
        <v>0</v>
      </c>
      <c r="Z409" s="133" t="n">
        <f aca="false">IF(OR($B409="",$E409="",$F409=""),0,MAX(0,MIN($F409,EOMONTH(DATE(cfg_FY,5,1),0))-MAX($E409,DATE(cfg_FY,5,1))+1)*(1-IF($M409="نعم",0,N($J409))))</f>
        <v>0</v>
      </c>
      <c r="AA409" s="133" t="n">
        <f aca="false">IF(OR($B409="",$E409="",$F409=""),0,MAX(0,MIN($F409,EOMONTH(DATE(cfg_FY,6,1),0))-MAX($E409,DATE(cfg_FY,6,1))+1)*(1-IF($M409="نعم",0,N($J409))))</f>
        <v>0</v>
      </c>
      <c r="AB409" s="133" t="n">
        <f aca="false">IF(OR($B409="",$E409="",$F409=""),0,MAX(0,MIN($F409,EOMONTH(DATE(cfg_FY,7,1),0))-MAX($E409,DATE(cfg_FY,7,1))+1)*(1-IF($M409="نعم",0,N($J409))))</f>
        <v>0</v>
      </c>
      <c r="AC409" s="133" t="n">
        <f aca="false">IF(OR($B409="",$E409="",$F409=""),0,MAX(0,MIN($F409,EOMONTH(DATE(cfg_FY,8,1),0))-MAX($E409,DATE(cfg_FY,8,1))+1)*(1-IF($M409="نعم",0,N($J409))))</f>
        <v>0</v>
      </c>
      <c r="AD409" s="133" t="n">
        <f aca="false">IF(OR($B409="",$E409="",$F409=""),0,MAX(0,MIN($F409,EOMONTH(DATE(cfg_FY,9,1),0))-MAX($E409,DATE(cfg_FY,9,1))+1)*(1-IF($M409="نعم",0,N($J409))))</f>
        <v>0</v>
      </c>
      <c r="AE409" s="133" t="n">
        <f aca="false">IF(OR($B409="",$E409="",$F409=""),0,MAX(0,MIN($F409,EOMONTH(DATE(cfg_FY,10,1),0))-MAX($E409,DATE(cfg_FY,10,1))+1)*(1-IF($M409="نعم",0,N($J409))))</f>
        <v>0</v>
      </c>
      <c r="AF409" s="133" t="n">
        <f aca="false">IF(OR($B409="",$E409="",$F409=""),0,MAX(0,MIN($F409,EOMONTH(DATE(cfg_FY,11,1),0))-MAX($E409,DATE(cfg_FY,11,1))+1)*(1-IF($M409="نعم",0,N($J409))))</f>
        <v>0</v>
      </c>
      <c r="AG409" s="133" t="n">
        <f aca="false">IF(OR($B409="",$E409="",$F409=""),0,MAX(0,MIN($F409,EOMONTH(DATE(cfg_FY,12,1),0))-MAX($E409,DATE(cfg_FY,12,1))+1)*(1-IF($M409="نعم",0,N($J409))))</f>
        <v>0</v>
      </c>
      <c r="AH409" s="133" t="n">
        <f aca="false">IF(OR(OR($B409="",$E409="",$F409=""),$L409&lt;&gt;"لا"),0,MAX(0,MIN($F409,EOMONTH(DATE(cfg_FY,1,1),0))-$E409+1))</f>
        <v>0</v>
      </c>
      <c r="AI409" s="133" t="n">
        <f aca="false">IF(OR(OR($B409="",$E409="",$F409=""),$L409&lt;&gt;"لا"),0,MAX(0,MIN($F409,EOMONTH(DATE(cfg_FY,2,1),0))-$E409+1))</f>
        <v>0</v>
      </c>
      <c r="AJ409" s="133" t="n">
        <f aca="false">IF(OR(OR($B409="",$E409="",$F409=""),$L409&lt;&gt;"لا"),0,MAX(0,MIN($F409,EOMONTH(DATE(cfg_FY,3,1),0))-$E409+1))</f>
        <v>0</v>
      </c>
      <c r="AK409" s="133" t="n">
        <f aca="false">IF(OR(OR($B409="",$E409="",$F409=""),$L409&lt;&gt;"لا"),0,MAX(0,MIN($F409,EOMONTH(DATE(cfg_FY,4,1),0))-$E409+1))</f>
        <v>0</v>
      </c>
      <c r="AL409" s="133" t="n">
        <f aca="false">IF(OR(OR($B409="",$E409="",$F409=""),$L409&lt;&gt;"لا"),0,MAX(0,MIN($F409,EOMONTH(DATE(cfg_FY,5,1),0))-$E409+1))</f>
        <v>0</v>
      </c>
      <c r="AM409" s="133" t="n">
        <f aca="false">IF(OR(OR($B409="",$E409="",$F409=""),$L409&lt;&gt;"لا"),0,MAX(0,MIN($F409,EOMONTH(DATE(cfg_FY,6,1),0))-$E409+1))</f>
        <v>0</v>
      </c>
      <c r="AN409" s="133" t="n">
        <f aca="false">IF(OR(OR($B409="",$E409="",$F409=""),$L409&lt;&gt;"لا"),0,MAX(0,MIN($F409,EOMONTH(DATE(cfg_FY,7,1),0))-$E409+1))</f>
        <v>0</v>
      </c>
      <c r="AO409" s="133" t="n">
        <f aca="false">IF(OR(OR($B409="",$E409="",$F409=""),$L409&lt;&gt;"لا"),0,MAX(0,MIN($F409,EOMONTH(DATE(cfg_FY,8,1),0))-$E409+1))</f>
        <v>0</v>
      </c>
      <c r="AP409" s="133" t="n">
        <f aca="false">IF(OR(OR($B409="",$E409="",$F409=""),$L409&lt;&gt;"لا"),0,MAX(0,MIN($F409,EOMONTH(DATE(cfg_FY,9,1),0))-$E409+1))</f>
        <v>0</v>
      </c>
      <c r="AQ409" s="133" t="n">
        <f aca="false">IF(OR(OR($B409="",$E409="",$F409=""),$L409&lt;&gt;"لا"),0,MAX(0,MIN($F409,EOMONTH(DATE(cfg_FY,10,1),0))-$E409+1))</f>
        <v>0</v>
      </c>
      <c r="AR409" s="133" t="n">
        <f aca="false">IF(OR(OR($B409="",$E409="",$F409=""),$L409&lt;&gt;"لا"),0,MAX(0,MIN($F409,EOMONTH(DATE(cfg_FY,11,1),0))-$E409+1))</f>
        <v>0</v>
      </c>
      <c r="AS409" s="133" t="n">
        <f aca="false">IF(OR(OR($B409="",$E409="",$F409=""),$L409&lt;&gt;"لا"),0,MAX(0,MIN($F409,EOMONTH(DATE(cfg_FY,12,1),0))-$E409+1))</f>
        <v>0</v>
      </c>
      <c r="AT409" s="133" t="n">
        <f aca="false">IF(OR(OR($B409="",$E409="",$F409=""),$K409&lt;&gt;"نعم",$M409="نعم"),0,MAX(0,MIN($F409,EOMONTH(DATE(cfg_FY,1,1),0))-MAX($E409,DATE(cfg_FY,1,1))+1))</f>
        <v>0</v>
      </c>
      <c r="AU409" s="133" t="n">
        <f aca="false">IF(OR(OR($B409="",$E409="",$F409=""),$K409&lt;&gt;"نعم",$M409="نعم"),0,MAX(0,MIN($F409,EOMONTH(DATE(cfg_FY,2,1),0))-MAX($E409,DATE(cfg_FY,2,1))+1))</f>
        <v>0</v>
      </c>
      <c r="AV409" s="133" t="n">
        <f aca="false">IF(OR(OR($B409="",$E409="",$F409=""),$K409&lt;&gt;"نعم",$M409="نعم"),0,MAX(0,MIN($F409,EOMONTH(DATE(cfg_FY,3,1),0))-MAX($E409,DATE(cfg_FY,3,1))+1))</f>
        <v>0</v>
      </c>
      <c r="AW409" s="133" t="n">
        <f aca="false">IF(OR(OR($B409="",$E409="",$F409=""),$K409&lt;&gt;"نعم",$M409="نعم"),0,MAX(0,MIN($F409,EOMONTH(DATE(cfg_FY,4,1),0))-MAX($E409,DATE(cfg_FY,4,1))+1))</f>
        <v>0</v>
      </c>
      <c r="AX409" s="133" t="n">
        <f aca="false">IF(OR(OR($B409="",$E409="",$F409=""),$K409&lt;&gt;"نعم",$M409="نعم"),0,MAX(0,MIN($F409,EOMONTH(DATE(cfg_FY,5,1),0))-MAX($E409,DATE(cfg_FY,5,1))+1))</f>
        <v>0</v>
      </c>
      <c r="AY409" s="133" t="n">
        <f aca="false">IF(OR(OR($B409="",$E409="",$F409=""),$K409&lt;&gt;"نعم",$M409="نعم"),0,MAX(0,MIN($F409,EOMONTH(DATE(cfg_FY,6,1),0))-MAX($E409,DATE(cfg_FY,6,1))+1))</f>
        <v>0</v>
      </c>
      <c r="AZ409" s="133" t="n">
        <f aca="false">IF(OR(OR($B409="",$E409="",$F409=""),$K409&lt;&gt;"نعم",$M409="نعم"),0,MAX(0,MIN($F409,EOMONTH(DATE(cfg_FY,7,1),0))-MAX($E409,DATE(cfg_FY,7,1))+1))</f>
        <v>0</v>
      </c>
      <c r="BA409" s="133" t="n">
        <f aca="false">IF(OR(OR($B409="",$E409="",$F409=""),$K409&lt;&gt;"نعم",$M409="نعم"),0,MAX(0,MIN($F409,EOMONTH(DATE(cfg_FY,8,1),0))-MAX($E409,DATE(cfg_FY,8,1))+1))</f>
        <v>0</v>
      </c>
      <c r="BB409" s="133" t="n">
        <f aca="false">IF(OR(OR($B409="",$E409="",$F409=""),$K409&lt;&gt;"نعم",$M409="نعم"),0,MAX(0,MIN($F409,EOMONTH(DATE(cfg_FY,9,1),0))-MAX($E409,DATE(cfg_FY,9,1))+1))</f>
        <v>0</v>
      </c>
      <c r="BC409" s="133" t="n">
        <f aca="false">IF(OR(OR($B409="",$E409="",$F409=""),$K409&lt;&gt;"نعم",$M409="نعم"),0,MAX(0,MIN($F409,EOMONTH(DATE(cfg_FY,10,1),0))-MAX($E409,DATE(cfg_FY,10,1))+1))</f>
        <v>0</v>
      </c>
      <c r="BD409" s="133" t="n">
        <f aca="false">IF(OR(OR($B409="",$E409="",$F409=""),$K409&lt;&gt;"نعم",$M409="نعم"),0,MAX(0,MIN($F409,EOMONTH(DATE(cfg_FY,11,1),0))-MAX($E409,DATE(cfg_FY,11,1))+1))</f>
        <v>0</v>
      </c>
      <c r="BE409" s="133" t="n">
        <f aca="false">IF(OR(OR($B409="",$E409="",$F409=""),$K409&lt;&gt;"نعم",$M409="نعم"),0,MAX(0,MIN($F409,EOMONTH(DATE(cfg_FY,12,1),0))-MAX($E409,DATE(cfg_FY,12,1))+1))</f>
        <v>0</v>
      </c>
    </row>
    <row r="410" customFormat="false" ht="15" hidden="false" customHeight="false" outlineLevel="0" collapsed="false">
      <c r="A410" s="106" t="str">
        <f aca="false">IF(B410="","",ROW()-5)</f>
        <v/>
      </c>
      <c r="B410" s="118"/>
      <c r="C410" s="114" t="str">
        <f aca="false">IF(B410="","",IFERROR(INDEX(الموظفون!$C$6:$C$105,MATCH(B410,الموظفون!$B$6:$B$105,0)),"✖ رقم غير موجود"))</f>
        <v/>
      </c>
      <c r="D410" s="118"/>
      <c r="E410" s="119"/>
      <c r="F410" s="119"/>
      <c r="G410" s="65" t="str">
        <f aca="false">IF(OR($B410="",$E410="",$F410=""),"",MAX(0,F410-E410+1))</f>
        <v/>
      </c>
      <c r="H410" s="66" t="str">
        <f aca="false">IF(D410="","",IFERROR(VLOOKUP(D410,cfg_LT,2,FALSE()),1))</f>
        <v/>
      </c>
      <c r="I410" s="135"/>
      <c r="J410" s="66" t="str">
        <f aca="false">IF(D410="","",IF(I410&lt;&gt;"",I410,H410))</f>
        <v/>
      </c>
      <c r="K410" s="114" t="str">
        <f aca="false">IF(D410="","",IFERROR(VLOOKUP($D410,cfg_LT,3,FALSE()),""))</f>
        <v/>
      </c>
      <c r="L410" s="114" t="str">
        <f aca="false">IF(D410="","",IFERROR(VLOOKUP($D410,cfg_LT,4,FALSE()),""))</f>
        <v/>
      </c>
      <c r="M410" s="114" t="str">
        <f aca="false">IF(D410="","",IFERROR(VLOOKUP($D410,cfg_LT,5,FALSE()),""))</f>
        <v/>
      </c>
      <c r="N410" s="111" t="n">
        <f aca="false">IF(OR(OR($B410="",$E410="",$F410=""),M410&lt;&gt;"نعم"),0,G410*J410*IFERROR(INDEX(الموظفون!$R$6:$R$105,MATCH(B410,الموظفون!$B$6:$B$105,0)),0)/cfg_DAYS_M)</f>
        <v>0</v>
      </c>
      <c r="O410" s="106" t="str">
        <f aca="false">IF(OR(OR($B410="",$E410="",$F410=""),M410&lt;&gt;"نعم"),"",IF(YEAR(E410)=cfg_FY,MONTH(E410),""))</f>
        <v/>
      </c>
      <c r="P410" s="114" t="str">
        <f aca="false">IF(B410="","",IF(OR(D410="",E410="",F410=""),"⚠ أكمل النوع والتواريخ",IF(F410&lt;E410,"✖ النهاية قبل البداية",IF(COUNTIFS($B$6:$B$505,B410,$E$6:$E$505,"&lt;="&amp;F410,$F$6:$F$505,"&gt;="&amp;E410)&gt;1,"⚠ تداخل مع سجل آخر",IF(E410&gt;cfg_VAL_DATE,"⏳ قادمة",IF(F410&lt;cfg_VAL_DATE,"✔ منتهية","✈ جارية في تاريخ التقرير"))))))</f>
        <v/>
      </c>
      <c r="Q410" s="118"/>
      <c r="R410" s="65" t="n">
        <f aca="false">IF(OR(OR($B410="",$E410="",$F410=""),L410&lt;&gt;"لا"),0,MAX(0,MIN(F410,cfg_Y_START-1)-E410+1))</f>
        <v>0</v>
      </c>
      <c r="S410" s="65" t="n">
        <f aca="false">IF(OR(OR($B410="",$E410="",$F410=""),L410&lt;&gt;"لا"),0,MAX(0,MIN(F410,cfg_VAL_DATE)-E410+1))</f>
        <v>0</v>
      </c>
      <c r="T410" s="65" t="n">
        <f aca="false">IF(OR(OR($B410="",$E410="",$F410=""),K410&lt;&gt;"نعم"),0,IF(M410="نعم",IF(AND(ISNUMBER(O410),N(O410)&lt;=cfg_VAL_M),G410,0),MAX(0,MIN(F410,cfg_VAL_DATE)-MAX(E410,cfg_Y_START)+1)))</f>
        <v>0</v>
      </c>
      <c r="V410" s="65" t="n">
        <f aca="false">IF(OR($B410="",$E410="",$F410=""),0,MAX(0,MIN($F410,EOMONTH(DATE(cfg_FY,1,1),0))-MAX($E410,DATE(cfg_FY,1,1))+1)*(1-IF($M410="نعم",0,N($J410))))</f>
        <v>0</v>
      </c>
      <c r="W410" s="65" t="n">
        <f aca="false">IF(OR($B410="",$E410="",$F410=""),0,MAX(0,MIN($F410,EOMONTH(DATE(cfg_FY,2,1),0))-MAX($E410,DATE(cfg_FY,2,1))+1)*(1-IF($M410="نعم",0,N($J410))))</f>
        <v>0</v>
      </c>
      <c r="X410" s="65" t="n">
        <f aca="false">IF(OR($B410="",$E410="",$F410=""),0,MAX(0,MIN($F410,EOMONTH(DATE(cfg_FY,3,1),0))-MAX($E410,DATE(cfg_FY,3,1))+1)*(1-IF($M410="نعم",0,N($J410))))</f>
        <v>0</v>
      </c>
      <c r="Y410" s="65" t="n">
        <f aca="false">IF(OR($B410="",$E410="",$F410=""),0,MAX(0,MIN($F410,EOMONTH(DATE(cfg_FY,4,1),0))-MAX($E410,DATE(cfg_FY,4,1))+1)*(1-IF($M410="نعم",0,N($J410))))</f>
        <v>0</v>
      </c>
      <c r="Z410" s="65" t="n">
        <f aca="false">IF(OR($B410="",$E410="",$F410=""),0,MAX(0,MIN($F410,EOMONTH(DATE(cfg_FY,5,1),0))-MAX($E410,DATE(cfg_FY,5,1))+1)*(1-IF($M410="نعم",0,N($J410))))</f>
        <v>0</v>
      </c>
      <c r="AA410" s="65" t="n">
        <f aca="false">IF(OR($B410="",$E410="",$F410=""),0,MAX(0,MIN($F410,EOMONTH(DATE(cfg_FY,6,1),0))-MAX($E410,DATE(cfg_FY,6,1))+1)*(1-IF($M410="نعم",0,N($J410))))</f>
        <v>0</v>
      </c>
      <c r="AB410" s="65" t="n">
        <f aca="false">IF(OR($B410="",$E410="",$F410=""),0,MAX(0,MIN($F410,EOMONTH(DATE(cfg_FY,7,1),0))-MAX($E410,DATE(cfg_FY,7,1))+1)*(1-IF($M410="نعم",0,N($J410))))</f>
        <v>0</v>
      </c>
      <c r="AC410" s="65" t="n">
        <f aca="false">IF(OR($B410="",$E410="",$F410=""),0,MAX(0,MIN($F410,EOMONTH(DATE(cfg_FY,8,1),0))-MAX($E410,DATE(cfg_FY,8,1))+1)*(1-IF($M410="نعم",0,N($J410))))</f>
        <v>0</v>
      </c>
      <c r="AD410" s="65" t="n">
        <f aca="false">IF(OR($B410="",$E410="",$F410=""),0,MAX(0,MIN($F410,EOMONTH(DATE(cfg_FY,9,1),0))-MAX($E410,DATE(cfg_FY,9,1))+1)*(1-IF($M410="نعم",0,N($J410))))</f>
        <v>0</v>
      </c>
      <c r="AE410" s="65" t="n">
        <f aca="false">IF(OR($B410="",$E410="",$F410=""),0,MAX(0,MIN($F410,EOMONTH(DATE(cfg_FY,10,1),0))-MAX($E410,DATE(cfg_FY,10,1))+1)*(1-IF($M410="نعم",0,N($J410))))</f>
        <v>0</v>
      </c>
      <c r="AF410" s="65" t="n">
        <f aca="false">IF(OR($B410="",$E410="",$F410=""),0,MAX(0,MIN($F410,EOMONTH(DATE(cfg_FY,11,1),0))-MAX($E410,DATE(cfg_FY,11,1))+1)*(1-IF($M410="نعم",0,N($J410))))</f>
        <v>0</v>
      </c>
      <c r="AG410" s="65" t="n">
        <f aca="false">IF(OR($B410="",$E410="",$F410=""),0,MAX(0,MIN($F410,EOMONTH(DATE(cfg_FY,12,1),0))-MAX($E410,DATE(cfg_FY,12,1))+1)*(1-IF($M410="نعم",0,N($J410))))</f>
        <v>0</v>
      </c>
      <c r="AH410" s="65" t="n">
        <f aca="false">IF(OR(OR($B410="",$E410="",$F410=""),$L410&lt;&gt;"لا"),0,MAX(0,MIN($F410,EOMONTH(DATE(cfg_FY,1,1),0))-$E410+1))</f>
        <v>0</v>
      </c>
      <c r="AI410" s="65" t="n">
        <f aca="false">IF(OR(OR($B410="",$E410="",$F410=""),$L410&lt;&gt;"لا"),0,MAX(0,MIN($F410,EOMONTH(DATE(cfg_FY,2,1),0))-$E410+1))</f>
        <v>0</v>
      </c>
      <c r="AJ410" s="65" t="n">
        <f aca="false">IF(OR(OR($B410="",$E410="",$F410=""),$L410&lt;&gt;"لا"),0,MAX(0,MIN($F410,EOMONTH(DATE(cfg_FY,3,1),0))-$E410+1))</f>
        <v>0</v>
      </c>
      <c r="AK410" s="65" t="n">
        <f aca="false">IF(OR(OR($B410="",$E410="",$F410=""),$L410&lt;&gt;"لا"),0,MAX(0,MIN($F410,EOMONTH(DATE(cfg_FY,4,1),0))-$E410+1))</f>
        <v>0</v>
      </c>
      <c r="AL410" s="65" t="n">
        <f aca="false">IF(OR(OR($B410="",$E410="",$F410=""),$L410&lt;&gt;"لا"),0,MAX(0,MIN($F410,EOMONTH(DATE(cfg_FY,5,1),0))-$E410+1))</f>
        <v>0</v>
      </c>
      <c r="AM410" s="65" t="n">
        <f aca="false">IF(OR(OR($B410="",$E410="",$F410=""),$L410&lt;&gt;"لا"),0,MAX(0,MIN($F410,EOMONTH(DATE(cfg_FY,6,1),0))-$E410+1))</f>
        <v>0</v>
      </c>
      <c r="AN410" s="65" t="n">
        <f aca="false">IF(OR(OR($B410="",$E410="",$F410=""),$L410&lt;&gt;"لا"),0,MAX(0,MIN($F410,EOMONTH(DATE(cfg_FY,7,1),0))-$E410+1))</f>
        <v>0</v>
      </c>
      <c r="AO410" s="65" t="n">
        <f aca="false">IF(OR(OR($B410="",$E410="",$F410=""),$L410&lt;&gt;"لا"),0,MAX(0,MIN($F410,EOMONTH(DATE(cfg_FY,8,1),0))-$E410+1))</f>
        <v>0</v>
      </c>
      <c r="AP410" s="65" t="n">
        <f aca="false">IF(OR(OR($B410="",$E410="",$F410=""),$L410&lt;&gt;"لا"),0,MAX(0,MIN($F410,EOMONTH(DATE(cfg_FY,9,1),0))-$E410+1))</f>
        <v>0</v>
      </c>
      <c r="AQ410" s="65" t="n">
        <f aca="false">IF(OR(OR($B410="",$E410="",$F410=""),$L410&lt;&gt;"لا"),0,MAX(0,MIN($F410,EOMONTH(DATE(cfg_FY,10,1),0))-$E410+1))</f>
        <v>0</v>
      </c>
      <c r="AR410" s="65" t="n">
        <f aca="false">IF(OR(OR($B410="",$E410="",$F410=""),$L410&lt;&gt;"لا"),0,MAX(0,MIN($F410,EOMONTH(DATE(cfg_FY,11,1),0))-$E410+1))</f>
        <v>0</v>
      </c>
      <c r="AS410" s="65" t="n">
        <f aca="false">IF(OR(OR($B410="",$E410="",$F410=""),$L410&lt;&gt;"لا"),0,MAX(0,MIN($F410,EOMONTH(DATE(cfg_FY,12,1),0))-$E410+1))</f>
        <v>0</v>
      </c>
      <c r="AT410" s="65" t="n">
        <f aca="false">IF(OR(OR($B410="",$E410="",$F410=""),$K410&lt;&gt;"نعم",$M410="نعم"),0,MAX(0,MIN($F410,EOMONTH(DATE(cfg_FY,1,1),0))-MAX($E410,DATE(cfg_FY,1,1))+1))</f>
        <v>0</v>
      </c>
      <c r="AU410" s="65" t="n">
        <f aca="false">IF(OR(OR($B410="",$E410="",$F410=""),$K410&lt;&gt;"نعم",$M410="نعم"),0,MAX(0,MIN($F410,EOMONTH(DATE(cfg_FY,2,1),0))-MAX($E410,DATE(cfg_FY,2,1))+1))</f>
        <v>0</v>
      </c>
      <c r="AV410" s="65" t="n">
        <f aca="false">IF(OR(OR($B410="",$E410="",$F410=""),$K410&lt;&gt;"نعم",$M410="نعم"),0,MAX(0,MIN($F410,EOMONTH(DATE(cfg_FY,3,1),0))-MAX($E410,DATE(cfg_FY,3,1))+1))</f>
        <v>0</v>
      </c>
      <c r="AW410" s="65" t="n">
        <f aca="false">IF(OR(OR($B410="",$E410="",$F410=""),$K410&lt;&gt;"نعم",$M410="نعم"),0,MAX(0,MIN($F410,EOMONTH(DATE(cfg_FY,4,1),0))-MAX($E410,DATE(cfg_FY,4,1))+1))</f>
        <v>0</v>
      </c>
      <c r="AX410" s="65" t="n">
        <f aca="false">IF(OR(OR($B410="",$E410="",$F410=""),$K410&lt;&gt;"نعم",$M410="نعم"),0,MAX(0,MIN($F410,EOMONTH(DATE(cfg_FY,5,1),0))-MAX($E410,DATE(cfg_FY,5,1))+1))</f>
        <v>0</v>
      </c>
      <c r="AY410" s="65" t="n">
        <f aca="false">IF(OR(OR($B410="",$E410="",$F410=""),$K410&lt;&gt;"نعم",$M410="نعم"),0,MAX(0,MIN($F410,EOMONTH(DATE(cfg_FY,6,1),0))-MAX($E410,DATE(cfg_FY,6,1))+1))</f>
        <v>0</v>
      </c>
      <c r="AZ410" s="65" t="n">
        <f aca="false">IF(OR(OR($B410="",$E410="",$F410=""),$K410&lt;&gt;"نعم",$M410="نعم"),0,MAX(0,MIN($F410,EOMONTH(DATE(cfg_FY,7,1),0))-MAX($E410,DATE(cfg_FY,7,1))+1))</f>
        <v>0</v>
      </c>
      <c r="BA410" s="65" t="n">
        <f aca="false">IF(OR(OR($B410="",$E410="",$F410=""),$K410&lt;&gt;"نعم",$M410="نعم"),0,MAX(0,MIN($F410,EOMONTH(DATE(cfg_FY,8,1),0))-MAX($E410,DATE(cfg_FY,8,1))+1))</f>
        <v>0</v>
      </c>
      <c r="BB410" s="65" t="n">
        <f aca="false">IF(OR(OR($B410="",$E410="",$F410=""),$K410&lt;&gt;"نعم",$M410="نعم"),0,MAX(0,MIN($F410,EOMONTH(DATE(cfg_FY,9,1),0))-MAX($E410,DATE(cfg_FY,9,1))+1))</f>
        <v>0</v>
      </c>
      <c r="BC410" s="65" t="n">
        <f aca="false">IF(OR(OR($B410="",$E410="",$F410=""),$K410&lt;&gt;"نعم",$M410="نعم"),0,MAX(0,MIN($F410,EOMONTH(DATE(cfg_FY,10,1),0))-MAX($E410,DATE(cfg_FY,10,1))+1))</f>
        <v>0</v>
      </c>
      <c r="BD410" s="65" t="n">
        <f aca="false">IF(OR(OR($B410="",$E410="",$F410=""),$K410&lt;&gt;"نعم",$M410="نعم"),0,MAX(0,MIN($F410,EOMONTH(DATE(cfg_FY,11,1),0))-MAX($E410,DATE(cfg_FY,11,1))+1))</f>
        <v>0</v>
      </c>
      <c r="BE410" s="65" t="n">
        <f aca="false">IF(OR(OR($B410="",$E410="",$F410=""),$K410&lt;&gt;"نعم",$M410="نعم"),0,MAX(0,MIN($F410,EOMONTH(DATE(cfg_FY,12,1),0))-MAX($E410,DATE(cfg_FY,12,1))+1))</f>
        <v>0</v>
      </c>
    </row>
    <row r="411" customFormat="false" ht="15" hidden="false" customHeight="false" outlineLevel="0" collapsed="false">
      <c r="A411" s="115" t="str">
        <f aca="false">IF(B411="","",ROW()-5)</f>
        <v/>
      </c>
      <c r="B411" s="118"/>
      <c r="C411" s="117" t="str">
        <f aca="false">IF(B411="","",IFERROR(INDEX(الموظفون!$C$6:$C$105,MATCH(B411,الموظفون!$B$6:$B$105,0)),"✖ رقم غير موجود"))</f>
        <v/>
      </c>
      <c r="D411" s="118"/>
      <c r="E411" s="119"/>
      <c r="F411" s="119"/>
      <c r="G411" s="133" t="str">
        <f aca="false">IF(OR($B411="",$E411="",$F411=""),"",MAX(0,F411-E411+1))</f>
        <v/>
      </c>
      <c r="H411" s="134" t="str">
        <f aca="false">IF(D411="","",IFERROR(VLOOKUP(D411,cfg_LT,2,FALSE()),1))</f>
        <v/>
      </c>
      <c r="I411" s="135"/>
      <c r="J411" s="134" t="str">
        <f aca="false">IF(D411="","",IF(I411&lt;&gt;"",I411,H411))</f>
        <v/>
      </c>
      <c r="K411" s="117" t="str">
        <f aca="false">IF(D411="","",IFERROR(VLOOKUP($D411,cfg_LT,3,FALSE()),""))</f>
        <v/>
      </c>
      <c r="L411" s="117" t="str">
        <f aca="false">IF(D411="","",IFERROR(VLOOKUP($D411,cfg_LT,4,FALSE()),""))</f>
        <v/>
      </c>
      <c r="M411" s="117" t="str">
        <f aca="false">IF(D411="","",IFERROR(VLOOKUP($D411,cfg_LT,5,FALSE()),""))</f>
        <v/>
      </c>
      <c r="N411" s="116" t="n">
        <f aca="false">IF(OR(OR($B411="",$E411="",$F411=""),M411&lt;&gt;"نعم"),0,G411*J411*IFERROR(INDEX(الموظفون!$R$6:$R$105,MATCH(B411,الموظفون!$B$6:$B$105,0)),0)/cfg_DAYS_M)</f>
        <v>0</v>
      </c>
      <c r="O411" s="115" t="str">
        <f aca="false">IF(OR(OR($B411="",$E411="",$F411=""),M411&lt;&gt;"نعم"),"",IF(YEAR(E411)=cfg_FY,MONTH(E411),""))</f>
        <v/>
      </c>
      <c r="P411" s="117" t="str">
        <f aca="false">IF(B411="","",IF(OR(D411="",E411="",F411=""),"⚠ أكمل النوع والتواريخ",IF(F411&lt;E411,"✖ النهاية قبل البداية",IF(COUNTIFS($B$6:$B$505,B411,$E$6:$E$505,"&lt;="&amp;F411,$F$6:$F$505,"&gt;="&amp;E411)&gt;1,"⚠ تداخل مع سجل آخر",IF(E411&gt;cfg_VAL_DATE,"⏳ قادمة",IF(F411&lt;cfg_VAL_DATE,"✔ منتهية","✈ جارية في تاريخ التقرير"))))))</f>
        <v/>
      </c>
      <c r="Q411" s="118"/>
      <c r="R411" s="133" t="n">
        <f aca="false">IF(OR(OR($B411="",$E411="",$F411=""),L411&lt;&gt;"لا"),0,MAX(0,MIN(F411,cfg_Y_START-1)-E411+1))</f>
        <v>0</v>
      </c>
      <c r="S411" s="133" t="n">
        <f aca="false">IF(OR(OR($B411="",$E411="",$F411=""),L411&lt;&gt;"لا"),0,MAX(0,MIN(F411,cfg_VAL_DATE)-E411+1))</f>
        <v>0</v>
      </c>
      <c r="T411" s="133" t="n">
        <f aca="false">IF(OR(OR($B411="",$E411="",$F411=""),K411&lt;&gt;"نعم"),0,IF(M411="نعم",IF(AND(ISNUMBER(O411),N(O411)&lt;=cfg_VAL_M),G411,0),MAX(0,MIN(F411,cfg_VAL_DATE)-MAX(E411,cfg_Y_START)+1)))</f>
        <v>0</v>
      </c>
      <c r="V411" s="133" t="n">
        <f aca="false">IF(OR($B411="",$E411="",$F411=""),0,MAX(0,MIN($F411,EOMONTH(DATE(cfg_FY,1,1),0))-MAX($E411,DATE(cfg_FY,1,1))+1)*(1-IF($M411="نعم",0,N($J411))))</f>
        <v>0</v>
      </c>
      <c r="W411" s="133" t="n">
        <f aca="false">IF(OR($B411="",$E411="",$F411=""),0,MAX(0,MIN($F411,EOMONTH(DATE(cfg_FY,2,1),0))-MAX($E411,DATE(cfg_FY,2,1))+1)*(1-IF($M411="نعم",0,N($J411))))</f>
        <v>0</v>
      </c>
      <c r="X411" s="133" t="n">
        <f aca="false">IF(OR($B411="",$E411="",$F411=""),0,MAX(0,MIN($F411,EOMONTH(DATE(cfg_FY,3,1),0))-MAX($E411,DATE(cfg_FY,3,1))+1)*(1-IF($M411="نعم",0,N($J411))))</f>
        <v>0</v>
      </c>
      <c r="Y411" s="133" t="n">
        <f aca="false">IF(OR($B411="",$E411="",$F411=""),0,MAX(0,MIN($F411,EOMONTH(DATE(cfg_FY,4,1),0))-MAX($E411,DATE(cfg_FY,4,1))+1)*(1-IF($M411="نعم",0,N($J411))))</f>
        <v>0</v>
      </c>
      <c r="Z411" s="133" t="n">
        <f aca="false">IF(OR($B411="",$E411="",$F411=""),0,MAX(0,MIN($F411,EOMONTH(DATE(cfg_FY,5,1),0))-MAX($E411,DATE(cfg_FY,5,1))+1)*(1-IF($M411="نعم",0,N($J411))))</f>
        <v>0</v>
      </c>
      <c r="AA411" s="133" t="n">
        <f aca="false">IF(OR($B411="",$E411="",$F411=""),0,MAX(0,MIN($F411,EOMONTH(DATE(cfg_FY,6,1),0))-MAX($E411,DATE(cfg_FY,6,1))+1)*(1-IF($M411="نعم",0,N($J411))))</f>
        <v>0</v>
      </c>
      <c r="AB411" s="133" t="n">
        <f aca="false">IF(OR($B411="",$E411="",$F411=""),0,MAX(0,MIN($F411,EOMONTH(DATE(cfg_FY,7,1),0))-MAX($E411,DATE(cfg_FY,7,1))+1)*(1-IF($M411="نعم",0,N($J411))))</f>
        <v>0</v>
      </c>
      <c r="AC411" s="133" t="n">
        <f aca="false">IF(OR($B411="",$E411="",$F411=""),0,MAX(0,MIN($F411,EOMONTH(DATE(cfg_FY,8,1),0))-MAX($E411,DATE(cfg_FY,8,1))+1)*(1-IF($M411="نعم",0,N($J411))))</f>
        <v>0</v>
      </c>
      <c r="AD411" s="133" t="n">
        <f aca="false">IF(OR($B411="",$E411="",$F411=""),0,MAX(0,MIN($F411,EOMONTH(DATE(cfg_FY,9,1),0))-MAX($E411,DATE(cfg_FY,9,1))+1)*(1-IF($M411="نعم",0,N($J411))))</f>
        <v>0</v>
      </c>
      <c r="AE411" s="133" t="n">
        <f aca="false">IF(OR($B411="",$E411="",$F411=""),0,MAX(0,MIN($F411,EOMONTH(DATE(cfg_FY,10,1),0))-MAX($E411,DATE(cfg_FY,10,1))+1)*(1-IF($M411="نعم",0,N($J411))))</f>
        <v>0</v>
      </c>
      <c r="AF411" s="133" t="n">
        <f aca="false">IF(OR($B411="",$E411="",$F411=""),0,MAX(0,MIN($F411,EOMONTH(DATE(cfg_FY,11,1),0))-MAX($E411,DATE(cfg_FY,11,1))+1)*(1-IF($M411="نعم",0,N($J411))))</f>
        <v>0</v>
      </c>
      <c r="AG411" s="133" t="n">
        <f aca="false">IF(OR($B411="",$E411="",$F411=""),0,MAX(0,MIN($F411,EOMONTH(DATE(cfg_FY,12,1),0))-MAX($E411,DATE(cfg_FY,12,1))+1)*(1-IF($M411="نعم",0,N($J411))))</f>
        <v>0</v>
      </c>
      <c r="AH411" s="133" t="n">
        <f aca="false">IF(OR(OR($B411="",$E411="",$F411=""),$L411&lt;&gt;"لا"),0,MAX(0,MIN($F411,EOMONTH(DATE(cfg_FY,1,1),0))-$E411+1))</f>
        <v>0</v>
      </c>
      <c r="AI411" s="133" t="n">
        <f aca="false">IF(OR(OR($B411="",$E411="",$F411=""),$L411&lt;&gt;"لا"),0,MAX(0,MIN($F411,EOMONTH(DATE(cfg_FY,2,1),0))-$E411+1))</f>
        <v>0</v>
      </c>
      <c r="AJ411" s="133" t="n">
        <f aca="false">IF(OR(OR($B411="",$E411="",$F411=""),$L411&lt;&gt;"لا"),0,MAX(0,MIN($F411,EOMONTH(DATE(cfg_FY,3,1),0))-$E411+1))</f>
        <v>0</v>
      </c>
      <c r="AK411" s="133" t="n">
        <f aca="false">IF(OR(OR($B411="",$E411="",$F411=""),$L411&lt;&gt;"لا"),0,MAX(0,MIN($F411,EOMONTH(DATE(cfg_FY,4,1),0))-$E411+1))</f>
        <v>0</v>
      </c>
      <c r="AL411" s="133" t="n">
        <f aca="false">IF(OR(OR($B411="",$E411="",$F411=""),$L411&lt;&gt;"لا"),0,MAX(0,MIN($F411,EOMONTH(DATE(cfg_FY,5,1),0))-$E411+1))</f>
        <v>0</v>
      </c>
      <c r="AM411" s="133" t="n">
        <f aca="false">IF(OR(OR($B411="",$E411="",$F411=""),$L411&lt;&gt;"لا"),0,MAX(0,MIN($F411,EOMONTH(DATE(cfg_FY,6,1),0))-$E411+1))</f>
        <v>0</v>
      </c>
      <c r="AN411" s="133" t="n">
        <f aca="false">IF(OR(OR($B411="",$E411="",$F411=""),$L411&lt;&gt;"لا"),0,MAX(0,MIN($F411,EOMONTH(DATE(cfg_FY,7,1),0))-$E411+1))</f>
        <v>0</v>
      </c>
      <c r="AO411" s="133" t="n">
        <f aca="false">IF(OR(OR($B411="",$E411="",$F411=""),$L411&lt;&gt;"لا"),0,MAX(0,MIN($F411,EOMONTH(DATE(cfg_FY,8,1),0))-$E411+1))</f>
        <v>0</v>
      </c>
      <c r="AP411" s="133" t="n">
        <f aca="false">IF(OR(OR($B411="",$E411="",$F411=""),$L411&lt;&gt;"لا"),0,MAX(0,MIN($F411,EOMONTH(DATE(cfg_FY,9,1),0))-$E411+1))</f>
        <v>0</v>
      </c>
      <c r="AQ411" s="133" t="n">
        <f aca="false">IF(OR(OR($B411="",$E411="",$F411=""),$L411&lt;&gt;"لا"),0,MAX(0,MIN($F411,EOMONTH(DATE(cfg_FY,10,1),0))-$E411+1))</f>
        <v>0</v>
      </c>
      <c r="AR411" s="133" t="n">
        <f aca="false">IF(OR(OR($B411="",$E411="",$F411=""),$L411&lt;&gt;"لا"),0,MAX(0,MIN($F411,EOMONTH(DATE(cfg_FY,11,1),0))-$E411+1))</f>
        <v>0</v>
      </c>
      <c r="AS411" s="133" t="n">
        <f aca="false">IF(OR(OR($B411="",$E411="",$F411=""),$L411&lt;&gt;"لا"),0,MAX(0,MIN($F411,EOMONTH(DATE(cfg_FY,12,1),0))-$E411+1))</f>
        <v>0</v>
      </c>
      <c r="AT411" s="133" t="n">
        <f aca="false">IF(OR(OR($B411="",$E411="",$F411=""),$K411&lt;&gt;"نعم",$M411="نعم"),0,MAX(0,MIN($F411,EOMONTH(DATE(cfg_FY,1,1),0))-MAX($E411,DATE(cfg_FY,1,1))+1))</f>
        <v>0</v>
      </c>
      <c r="AU411" s="133" t="n">
        <f aca="false">IF(OR(OR($B411="",$E411="",$F411=""),$K411&lt;&gt;"نعم",$M411="نعم"),0,MAX(0,MIN($F411,EOMONTH(DATE(cfg_FY,2,1),0))-MAX($E411,DATE(cfg_FY,2,1))+1))</f>
        <v>0</v>
      </c>
      <c r="AV411" s="133" t="n">
        <f aca="false">IF(OR(OR($B411="",$E411="",$F411=""),$K411&lt;&gt;"نعم",$M411="نعم"),0,MAX(0,MIN($F411,EOMONTH(DATE(cfg_FY,3,1),0))-MAX($E411,DATE(cfg_FY,3,1))+1))</f>
        <v>0</v>
      </c>
      <c r="AW411" s="133" t="n">
        <f aca="false">IF(OR(OR($B411="",$E411="",$F411=""),$K411&lt;&gt;"نعم",$M411="نعم"),0,MAX(0,MIN($F411,EOMONTH(DATE(cfg_FY,4,1),0))-MAX($E411,DATE(cfg_FY,4,1))+1))</f>
        <v>0</v>
      </c>
      <c r="AX411" s="133" t="n">
        <f aca="false">IF(OR(OR($B411="",$E411="",$F411=""),$K411&lt;&gt;"نعم",$M411="نعم"),0,MAX(0,MIN($F411,EOMONTH(DATE(cfg_FY,5,1),0))-MAX($E411,DATE(cfg_FY,5,1))+1))</f>
        <v>0</v>
      </c>
      <c r="AY411" s="133" t="n">
        <f aca="false">IF(OR(OR($B411="",$E411="",$F411=""),$K411&lt;&gt;"نعم",$M411="نعم"),0,MAX(0,MIN($F411,EOMONTH(DATE(cfg_FY,6,1),0))-MAX($E411,DATE(cfg_FY,6,1))+1))</f>
        <v>0</v>
      </c>
      <c r="AZ411" s="133" t="n">
        <f aca="false">IF(OR(OR($B411="",$E411="",$F411=""),$K411&lt;&gt;"نعم",$M411="نعم"),0,MAX(0,MIN($F411,EOMONTH(DATE(cfg_FY,7,1),0))-MAX($E411,DATE(cfg_FY,7,1))+1))</f>
        <v>0</v>
      </c>
      <c r="BA411" s="133" t="n">
        <f aca="false">IF(OR(OR($B411="",$E411="",$F411=""),$K411&lt;&gt;"نعم",$M411="نعم"),0,MAX(0,MIN($F411,EOMONTH(DATE(cfg_FY,8,1),0))-MAX($E411,DATE(cfg_FY,8,1))+1))</f>
        <v>0</v>
      </c>
      <c r="BB411" s="133" t="n">
        <f aca="false">IF(OR(OR($B411="",$E411="",$F411=""),$K411&lt;&gt;"نعم",$M411="نعم"),0,MAX(0,MIN($F411,EOMONTH(DATE(cfg_FY,9,1),0))-MAX($E411,DATE(cfg_FY,9,1))+1))</f>
        <v>0</v>
      </c>
      <c r="BC411" s="133" t="n">
        <f aca="false">IF(OR(OR($B411="",$E411="",$F411=""),$K411&lt;&gt;"نعم",$M411="نعم"),0,MAX(0,MIN($F411,EOMONTH(DATE(cfg_FY,10,1),0))-MAX($E411,DATE(cfg_FY,10,1))+1))</f>
        <v>0</v>
      </c>
      <c r="BD411" s="133" t="n">
        <f aca="false">IF(OR(OR($B411="",$E411="",$F411=""),$K411&lt;&gt;"نعم",$M411="نعم"),0,MAX(0,MIN($F411,EOMONTH(DATE(cfg_FY,11,1),0))-MAX($E411,DATE(cfg_FY,11,1))+1))</f>
        <v>0</v>
      </c>
      <c r="BE411" s="133" t="n">
        <f aca="false">IF(OR(OR($B411="",$E411="",$F411=""),$K411&lt;&gt;"نعم",$M411="نعم"),0,MAX(0,MIN($F411,EOMONTH(DATE(cfg_FY,12,1),0))-MAX($E411,DATE(cfg_FY,12,1))+1))</f>
        <v>0</v>
      </c>
    </row>
    <row r="412" customFormat="false" ht="15" hidden="false" customHeight="false" outlineLevel="0" collapsed="false">
      <c r="A412" s="106" t="str">
        <f aca="false">IF(B412="","",ROW()-5)</f>
        <v/>
      </c>
      <c r="B412" s="118"/>
      <c r="C412" s="114" t="str">
        <f aca="false">IF(B412="","",IFERROR(INDEX(الموظفون!$C$6:$C$105,MATCH(B412,الموظفون!$B$6:$B$105,0)),"✖ رقم غير موجود"))</f>
        <v/>
      </c>
      <c r="D412" s="118"/>
      <c r="E412" s="119"/>
      <c r="F412" s="119"/>
      <c r="G412" s="65" t="str">
        <f aca="false">IF(OR($B412="",$E412="",$F412=""),"",MAX(0,F412-E412+1))</f>
        <v/>
      </c>
      <c r="H412" s="66" t="str">
        <f aca="false">IF(D412="","",IFERROR(VLOOKUP(D412,cfg_LT,2,FALSE()),1))</f>
        <v/>
      </c>
      <c r="I412" s="135"/>
      <c r="J412" s="66" t="str">
        <f aca="false">IF(D412="","",IF(I412&lt;&gt;"",I412,H412))</f>
        <v/>
      </c>
      <c r="K412" s="114" t="str">
        <f aca="false">IF(D412="","",IFERROR(VLOOKUP($D412,cfg_LT,3,FALSE()),""))</f>
        <v/>
      </c>
      <c r="L412" s="114" t="str">
        <f aca="false">IF(D412="","",IFERROR(VLOOKUP($D412,cfg_LT,4,FALSE()),""))</f>
        <v/>
      </c>
      <c r="M412" s="114" t="str">
        <f aca="false">IF(D412="","",IFERROR(VLOOKUP($D412,cfg_LT,5,FALSE()),""))</f>
        <v/>
      </c>
      <c r="N412" s="111" t="n">
        <f aca="false">IF(OR(OR($B412="",$E412="",$F412=""),M412&lt;&gt;"نعم"),0,G412*J412*IFERROR(INDEX(الموظفون!$R$6:$R$105,MATCH(B412,الموظفون!$B$6:$B$105,0)),0)/cfg_DAYS_M)</f>
        <v>0</v>
      </c>
      <c r="O412" s="106" t="str">
        <f aca="false">IF(OR(OR($B412="",$E412="",$F412=""),M412&lt;&gt;"نعم"),"",IF(YEAR(E412)=cfg_FY,MONTH(E412),""))</f>
        <v/>
      </c>
      <c r="P412" s="114" t="str">
        <f aca="false">IF(B412="","",IF(OR(D412="",E412="",F412=""),"⚠ أكمل النوع والتواريخ",IF(F412&lt;E412,"✖ النهاية قبل البداية",IF(COUNTIFS($B$6:$B$505,B412,$E$6:$E$505,"&lt;="&amp;F412,$F$6:$F$505,"&gt;="&amp;E412)&gt;1,"⚠ تداخل مع سجل آخر",IF(E412&gt;cfg_VAL_DATE,"⏳ قادمة",IF(F412&lt;cfg_VAL_DATE,"✔ منتهية","✈ جارية في تاريخ التقرير"))))))</f>
        <v/>
      </c>
      <c r="Q412" s="118"/>
      <c r="R412" s="65" t="n">
        <f aca="false">IF(OR(OR($B412="",$E412="",$F412=""),L412&lt;&gt;"لا"),0,MAX(0,MIN(F412,cfg_Y_START-1)-E412+1))</f>
        <v>0</v>
      </c>
      <c r="S412" s="65" t="n">
        <f aca="false">IF(OR(OR($B412="",$E412="",$F412=""),L412&lt;&gt;"لا"),0,MAX(0,MIN(F412,cfg_VAL_DATE)-E412+1))</f>
        <v>0</v>
      </c>
      <c r="T412" s="65" t="n">
        <f aca="false">IF(OR(OR($B412="",$E412="",$F412=""),K412&lt;&gt;"نعم"),0,IF(M412="نعم",IF(AND(ISNUMBER(O412),N(O412)&lt;=cfg_VAL_M),G412,0),MAX(0,MIN(F412,cfg_VAL_DATE)-MAX(E412,cfg_Y_START)+1)))</f>
        <v>0</v>
      </c>
      <c r="V412" s="65" t="n">
        <f aca="false">IF(OR($B412="",$E412="",$F412=""),0,MAX(0,MIN($F412,EOMONTH(DATE(cfg_FY,1,1),0))-MAX($E412,DATE(cfg_FY,1,1))+1)*(1-IF($M412="نعم",0,N($J412))))</f>
        <v>0</v>
      </c>
      <c r="W412" s="65" t="n">
        <f aca="false">IF(OR($B412="",$E412="",$F412=""),0,MAX(0,MIN($F412,EOMONTH(DATE(cfg_FY,2,1),0))-MAX($E412,DATE(cfg_FY,2,1))+1)*(1-IF($M412="نعم",0,N($J412))))</f>
        <v>0</v>
      </c>
      <c r="X412" s="65" t="n">
        <f aca="false">IF(OR($B412="",$E412="",$F412=""),0,MAX(0,MIN($F412,EOMONTH(DATE(cfg_FY,3,1),0))-MAX($E412,DATE(cfg_FY,3,1))+1)*(1-IF($M412="نعم",0,N($J412))))</f>
        <v>0</v>
      </c>
      <c r="Y412" s="65" t="n">
        <f aca="false">IF(OR($B412="",$E412="",$F412=""),0,MAX(0,MIN($F412,EOMONTH(DATE(cfg_FY,4,1),0))-MAX($E412,DATE(cfg_FY,4,1))+1)*(1-IF($M412="نعم",0,N($J412))))</f>
        <v>0</v>
      </c>
      <c r="Z412" s="65" t="n">
        <f aca="false">IF(OR($B412="",$E412="",$F412=""),0,MAX(0,MIN($F412,EOMONTH(DATE(cfg_FY,5,1),0))-MAX($E412,DATE(cfg_FY,5,1))+1)*(1-IF($M412="نعم",0,N($J412))))</f>
        <v>0</v>
      </c>
      <c r="AA412" s="65" t="n">
        <f aca="false">IF(OR($B412="",$E412="",$F412=""),0,MAX(0,MIN($F412,EOMONTH(DATE(cfg_FY,6,1),0))-MAX($E412,DATE(cfg_FY,6,1))+1)*(1-IF($M412="نعم",0,N($J412))))</f>
        <v>0</v>
      </c>
      <c r="AB412" s="65" t="n">
        <f aca="false">IF(OR($B412="",$E412="",$F412=""),0,MAX(0,MIN($F412,EOMONTH(DATE(cfg_FY,7,1),0))-MAX($E412,DATE(cfg_FY,7,1))+1)*(1-IF($M412="نعم",0,N($J412))))</f>
        <v>0</v>
      </c>
      <c r="AC412" s="65" t="n">
        <f aca="false">IF(OR($B412="",$E412="",$F412=""),0,MAX(0,MIN($F412,EOMONTH(DATE(cfg_FY,8,1),0))-MAX($E412,DATE(cfg_FY,8,1))+1)*(1-IF($M412="نعم",0,N($J412))))</f>
        <v>0</v>
      </c>
      <c r="AD412" s="65" t="n">
        <f aca="false">IF(OR($B412="",$E412="",$F412=""),0,MAX(0,MIN($F412,EOMONTH(DATE(cfg_FY,9,1),0))-MAX($E412,DATE(cfg_FY,9,1))+1)*(1-IF($M412="نعم",0,N($J412))))</f>
        <v>0</v>
      </c>
      <c r="AE412" s="65" t="n">
        <f aca="false">IF(OR($B412="",$E412="",$F412=""),0,MAX(0,MIN($F412,EOMONTH(DATE(cfg_FY,10,1),0))-MAX($E412,DATE(cfg_FY,10,1))+1)*(1-IF($M412="نعم",0,N($J412))))</f>
        <v>0</v>
      </c>
      <c r="AF412" s="65" t="n">
        <f aca="false">IF(OR($B412="",$E412="",$F412=""),0,MAX(0,MIN($F412,EOMONTH(DATE(cfg_FY,11,1),0))-MAX($E412,DATE(cfg_FY,11,1))+1)*(1-IF($M412="نعم",0,N($J412))))</f>
        <v>0</v>
      </c>
      <c r="AG412" s="65" t="n">
        <f aca="false">IF(OR($B412="",$E412="",$F412=""),0,MAX(0,MIN($F412,EOMONTH(DATE(cfg_FY,12,1),0))-MAX($E412,DATE(cfg_FY,12,1))+1)*(1-IF($M412="نعم",0,N($J412))))</f>
        <v>0</v>
      </c>
      <c r="AH412" s="65" t="n">
        <f aca="false">IF(OR(OR($B412="",$E412="",$F412=""),$L412&lt;&gt;"لا"),0,MAX(0,MIN($F412,EOMONTH(DATE(cfg_FY,1,1),0))-$E412+1))</f>
        <v>0</v>
      </c>
      <c r="AI412" s="65" t="n">
        <f aca="false">IF(OR(OR($B412="",$E412="",$F412=""),$L412&lt;&gt;"لا"),0,MAX(0,MIN($F412,EOMONTH(DATE(cfg_FY,2,1),0))-$E412+1))</f>
        <v>0</v>
      </c>
      <c r="AJ412" s="65" t="n">
        <f aca="false">IF(OR(OR($B412="",$E412="",$F412=""),$L412&lt;&gt;"لا"),0,MAX(0,MIN($F412,EOMONTH(DATE(cfg_FY,3,1),0))-$E412+1))</f>
        <v>0</v>
      </c>
      <c r="AK412" s="65" t="n">
        <f aca="false">IF(OR(OR($B412="",$E412="",$F412=""),$L412&lt;&gt;"لا"),0,MAX(0,MIN($F412,EOMONTH(DATE(cfg_FY,4,1),0))-$E412+1))</f>
        <v>0</v>
      </c>
      <c r="AL412" s="65" t="n">
        <f aca="false">IF(OR(OR($B412="",$E412="",$F412=""),$L412&lt;&gt;"لا"),0,MAX(0,MIN($F412,EOMONTH(DATE(cfg_FY,5,1),0))-$E412+1))</f>
        <v>0</v>
      </c>
      <c r="AM412" s="65" t="n">
        <f aca="false">IF(OR(OR($B412="",$E412="",$F412=""),$L412&lt;&gt;"لا"),0,MAX(0,MIN($F412,EOMONTH(DATE(cfg_FY,6,1),0))-$E412+1))</f>
        <v>0</v>
      </c>
      <c r="AN412" s="65" t="n">
        <f aca="false">IF(OR(OR($B412="",$E412="",$F412=""),$L412&lt;&gt;"لا"),0,MAX(0,MIN($F412,EOMONTH(DATE(cfg_FY,7,1),0))-$E412+1))</f>
        <v>0</v>
      </c>
      <c r="AO412" s="65" t="n">
        <f aca="false">IF(OR(OR($B412="",$E412="",$F412=""),$L412&lt;&gt;"لا"),0,MAX(0,MIN($F412,EOMONTH(DATE(cfg_FY,8,1),0))-$E412+1))</f>
        <v>0</v>
      </c>
      <c r="AP412" s="65" t="n">
        <f aca="false">IF(OR(OR($B412="",$E412="",$F412=""),$L412&lt;&gt;"لا"),0,MAX(0,MIN($F412,EOMONTH(DATE(cfg_FY,9,1),0))-$E412+1))</f>
        <v>0</v>
      </c>
      <c r="AQ412" s="65" t="n">
        <f aca="false">IF(OR(OR($B412="",$E412="",$F412=""),$L412&lt;&gt;"لا"),0,MAX(0,MIN($F412,EOMONTH(DATE(cfg_FY,10,1),0))-$E412+1))</f>
        <v>0</v>
      </c>
      <c r="AR412" s="65" t="n">
        <f aca="false">IF(OR(OR($B412="",$E412="",$F412=""),$L412&lt;&gt;"لا"),0,MAX(0,MIN($F412,EOMONTH(DATE(cfg_FY,11,1),0))-$E412+1))</f>
        <v>0</v>
      </c>
      <c r="AS412" s="65" t="n">
        <f aca="false">IF(OR(OR($B412="",$E412="",$F412=""),$L412&lt;&gt;"لا"),0,MAX(0,MIN($F412,EOMONTH(DATE(cfg_FY,12,1),0))-$E412+1))</f>
        <v>0</v>
      </c>
      <c r="AT412" s="65" t="n">
        <f aca="false">IF(OR(OR($B412="",$E412="",$F412=""),$K412&lt;&gt;"نعم",$M412="نعم"),0,MAX(0,MIN($F412,EOMONTH(DATE(cfg_FY,1,1),0))-MAX($E412,DATE(cfg_FY,1,1))+1))</f>
        <v>0</v>
      </c>
      <c r="AU412" s="65" t="n">
        <f aca="false">IF(OR(OR($B412="",$E412="",$F412=""),$K412&lt;&gt;"نعم",$M412="نعم"),0,MAX(0,MIN($F412,EOMONTH(DATE(cfg_FY,2,1),0))-MAX($E412,DATE(cfg_FY,2,1))+1))</f>
        <v>0</v>
      </c>
      <c r="AV412" s="65" t="n">
        <f aca="false">IF(OR(OR($B412="",$E412="",$F412=""),$K412&lt;&gt;"نعم",$M412="نعم"),0,MAX(0,MIN($F412,EOMONTH(DATE(cfg_FY,3,1),0))-MAX($E412,DATE(cfg_FY,3,1))+1))</f>
        <v>0</v>
      </c>
      <c r="AW412" s="65" t="n">
        <f aca="false">IF(OR(OR($B412="",$E412="",$F412=""),$K412&lt;&gt;"نعم",$M412="نعم"),0,MAX(0,MIN($F412,EOMONTH(DATE(cfg_FY,4,1),0))-MAX($E412,DATE(cfg_FY,4,1))+1))</f>
        <v>0</v>
      </c>
      <c r="AX412" s="65" t="n">
        <f aca="false">IF(OR(OR($B412="",$E412="",$F412=""),$K412&lt;&gt;"نعم",$M412="نعم"),0,MAX(0,MIN($F412,EOMONTH(DATE(cfg_FY,5,1),0))-MAX($E412,DATE(cfg_FY,5,1))+1))</f>
        <v>0</v>
      </c>
      <c r="AY412" s="65" t="n">
        <f aca="false">IF(OR(OR($B412="",$E412="",$F412=""),$K412&lt;&gt;"نعم",$M412="نعم"),0,MAX(0,MIN($F412,EOMONTH(DATE(cfg_FY,6,1),0))-MAX($E412,DATE(cfg_FY,6,1))+1))</f>
        <v>0</v>
      </c>
      <c r="AZ412" s="65" t="n">
        <f aca="false">IF(OR(OR($B412="",$E412="",$F412=""),$K412&lt;&gt;"نعم",$M412="نعم"),0,MAX(0,MIN($F412,EOMONTH(DATE(cfg_FY,7,1),0))-MAX($E412,DATE(cfg_FY,7,1))+1))</f>
        <v>0</v>
      </c>
      <c r="BA412" s="65" t="n">
        <f aca="false">IF(OR(OR($B412="",$E412="",$F412=""),$K412&lt;&gt;"نعم",$M412="نعم"),0,MAX(0,MIN($F412,EOMONTH(DATE(cfg_FY,8,1),0))-MAX($E412,DATE(cfg_FY,8,1))+1))</f>
        <v>0</v>
      </c>
      <c r="BB412" s="65" t="n">
        <f aca="false">IF(OR(OR($B412="",$E412="",$F412=""),$K412&lt;&gt;"نعم",$M412="نعم"),0,MAX(0,MIN($F412,EOMONTH(DATE(cfg_FY,9,1),0))-MAX($E412,DATE(cfg_FY,9,1))+1))</f>
        <v>0</v>
      </c>
      <c r="BC412" s="65" t="n">
        <f aca="false">IF(OR(OR($B412="",$E412="",$F412=""),$K412&lt;&gt;"نعم",$M412="نعم"),0,MAX(0,MIN($F412,EOMONTH(DATE(cfg_FY,10,1),0))-MAX($E412,DATE(cfg_FY,10,1))+1))</f>
        <v>0</v>
      </c>
      <c r="BD412" s="65" t="n">
        <f aca="false">IF(OR(OR($B412="",$E412="",$F412=""),$K412&lt;&gt;"نعم",$M412="نعم"),0,MAX(0,MIN($F412,EOMONTH(DATE(cfg_FY,11,1),0))-MAX($E412,DATE(cfg_FY,11,1))+1))</f>
        <v>0</v>
      </c>
      <c r="BE412" s="65" t="n">
        <f aca="false">IF(OR(OR($B412="",$E412="",$F412=""),$K412&lt;&gt;"نعم",$M412="نعم"),0,MAX(0,MIN($F412,EOMONTH(DATE(cfg_FY,12,1),0))-MAX($E412,DATE(cfg_FY,12,1))+1))</f>
        <v>0</v>
      </c>
    </row>
    <row r="413" customFormat="false" ht="15" hidden="false" customHeight="false" outlineLevel="0" collapsed="false">
      <c r="A413" s="115" t="str">
        <f aca="false">IF(B413="","",ROW()-5)</f>
        <v/>
      </c>
      <c r="B413" s="118"/>
      <c r="C413" s="117" t="str">
        <f aca="false">IF(B413="","",IFERROR(INDEX(الموظفون!$C$6:$C$105,MATCH(B413,الموظفون!$B$6:$B$105,0)),"✖ رقم غير موجود"))</f>
        <v/>
      </c>
      <c r="D413" s="118"/>
      <c r="E413" s="119"/>
      <c r="F413" s="119"/>
      <c r="G413" s="133" t="str">
        <f aca="false">IF(OR($B413="",$E413="",$F413=""),"",MAX(0,F413-E413+1))</f>
        <v/>
      </c>
      <c r="H413" s="134" t="str">
        <f aca="false">IF(D413="","",IFERROR(VLOOKUP(D413,cfg_LT,2,FALSE()),1))</f>
        <v/>
      </c>
      <c r="I413" s="135"/>
      <c r="J413" s="134" t="str">
        <f aca="false">IF(D413="","",IF(I413&lt;&gt;"",I413,H413))</f>
        <v/>
      </c>
      <c r="K413" s="117" t="str">
        <f aca="false">IF(D413="","",IFERROR(VLOOKUP($D413,cfg_LT,3,FALSE()),""))</f>
        <v/>
      </c>
      <c r="L413" s="117" t="str">
        <f aca="false">IF(D413="","",IFERROR(VLOOKUP($D413,cfg_LT,4,FALSE()),""))</f>
        <v/>
      </c>
      <c r="M413" s="117" t="str">
        <f aca="false">IF(D413="","",IFERROR(VLOOKUP($D413,cfg_LT,5,FALSE()),""))</f>
        <v/>
      </c>
      <c r="N413" s="116" t="n">
        <f aca="false">IF(OR(OR($B413="",$E413="",$F413=""),M413&lt;&gt;"نعم"),0,G413*J413*IFERROR(INDEX(الموظفون!$R$6:$R$105,MATCH(B413,الموظفون!$B$6:$B$105,0)),0)/cfg_DAYS_M)</f>
        <v>0</v>
      </c>
      <c r="O413" s="115" t="str">
        <f aca="false">IF(OR(OR($B413="",$E413="",$F413=""),M413&lt;&gt;"نعم"),"",IF(YEAR(E413)=cfg_FY,MONTH(E413),""))</f>
        <v/>
      </c>
      <c r="P413" s="117" t="str">
        <f aca="false">IF(B413="","",IF(OR(D413="",E413="",F413=""),"⚠ أكمل النوع والتواريخ",IF(F413&lt;E413,"✖ النهاية قبل البداية",IF(COUNTIFS($B$6:$B$505,B413,$E$6:$E$505,"&lt;="&amp;F413,$F$6:$F$505,"&gt;="&amp;E413)&gt;1,"⚠ تداخل مع سجل آخر",IF(E413&gt;cfg_VAL_DATE,"⏳ قادمة",IF(F413&lt;cfg_VAL_DATE,"✔ منتهية","✈ جارية في تاريخ التقرير"))))))</f>
        <v/>
      </c>
      <c r="Q413" s="118"/>
      <c r="R413" s="133" t="n">
        <f aca="false">IF(OR(OR($B413="",$E413="",$F413=""),L413&lt;&gt;"لا"),0,MAX(0,MIN(F413,cfg_Y_START-1)-E413+1))</f>
        <v>0</v>
      </c>
      <c r="S413" s="133" t="n">
        <f aca="false">IF(OR(OR($B413="",$E413="",$F413=""),L413&lt;&gt;"لا"),0,MAX(0,MIN(F413,cfg_VAL_DATE)-E413+1))</f>
        <v>0</v>
      </c>
      <c r="T413" s="133" t="n">
        <f aca="false">IF(OR(OR($B413="",$E413="",$F413=""),K413&lt;&gt;"نعم"),0,IF(M413="نعم",IF(AND(ISNUMBER(O413),N(O413)&lt;=cfg_VAL_M),G413,0),MAX(0,MIN(F413,cfg_VAL_DATE)-MAX(E413,cfg_Y_START)+1)))</f>
        <v>0</v>
      </c>
      <c r="V413" s="133" t="n">
        <f aca="false">IF(OR($B413="",$E413="",$F413=""),0,MAX(0,MIN($F413,EOMONTH(DATE(cfg_FY,1,1),0))-MAX($E413,DATE(cfg_FY,1,1))+1)*(1-IF($M413="نعم",0,N($J413))))</f>
        <v>0</v>
      </c>
      <c r="W413" s="133" t="n">
        <f aca="false">IF(OR($B413="",$E413="",$F413=""),0,MAX(0,MIN($F413,EOMONTH(DATE(cfg_FY,2,1),0))-MAX($E413,DATE(cfg_FY,2,1))+1)*(1-IF($M413="نعم",0,N($J413))))</f>
        <v>0</v>
      </c>
      <c r="X413" s="133" t="n">
        <f aca="false">IF(OR($B413="",$E413="",$F413=""),0,MAX(0,MIN($F413,EOMONTH(DATE(cfg_FY,3,1),0))-MAX($E413,DATE(cfg_FY,3,1))+1)*(1-IF($M413="نعم",0,N($J413))))</f>
        <v>0</v>
      </c>
      <c r="Y413" s="133" t="n">
        <f aca="false">IF(OR($B413="",$E413="",$F413=""),0,MAX(0,MIN($F413,EOMONTH(DATE(cfg_FY,4,1),0))-MAX($E413,DATE(cfg_FY,4,1))+1)*(1-IF($M413="نعم",0,N($J413))))</f>
        <v>0</v>
      </c>
      <c r="Z413" s="133" t="n">
        <f aca="false">IF(OR($B413="",$E413="",$F413=""),0,MAX(0,MIN($F413,EOMONTH(DATE(cfg_FY,5,1),0))-MAX($E413,DATE(cfg_FY,5,1))+1)*(1-IF($M413="نعم",0,N($J413))))</f>
        <v>0</v>
      </c>
      <c r="AA413" s="133" t="n">
        <f aca="false">IF(OR($B413="",$E413="",$F413=""),0,MAX(0,MIN($F413,EOMONTH(DATE(cfg_FY,6,1),0))-MAX($E413,DATE(cfg_FY,6,1))+1)*(1-IF($M413="نعم",0,N($J413))))</f>
        <v>0</v>
      </c>
      <c r="AB413" s="133" t="n">
        <f aca="false">IF(OR($B413="",$E413="",$F413=""),0,MAX(0,MIN($F413,EOMONTH(DATE(cfg_FY,7,1),0))-MAX($E413,DATE(cfg_FY,7,1))+1)*(1-IF($M413="نعم",0,N($J413))))</f>
        <v>0</v>
      </c>
      <c r="AC413" s="133" t="n">
        <f aca="false">IF(OR($B413="",$E413="",$F413=""),0,MAX(0,MIN($F413,EOMONTH(DATE(cfg_FY,8,1),0))-MAX($E413,DATE(cfg_FY,8,1))+1)*(1-IF($M413="نعم",0,N($J413))))</f>
        <v>0</v>
      </c>
      <c r="AD413" s="133" t="n">
        <f aca="false">IF(OR($B413="",$E413="",$F413=""),0,MAX(0,MIN($F413,EOMONTH(DATE(cfg_FY,9,1),0))-MAX($E413,DATE(cfg_FY,9,1))+1)*(1-IF($M413="نعم",0,N($J413))))</f>
        <v>0</v>
      </c>
      <c r="AE413" s="133" t="n">
        <f aca="false">IF(OR($B413="",$E413="",$F413=""),0,MAX(0,MIN($F413,EOMONTH(DATE(cfg_FY,10,1),0))-MAX($E413,DATE(cfg_FY,10,1))+1)*(1-IF($M413="نعم",0,N($J413))))</f>
        <v>0</v>
      </c>
      <c r="AF413" s="133" t="n">
        <f aca="false">IF(OR($B413="",$E413="",$F413=""),0,MAX(0,MIN($F413,EOMONTH(DATE(cfg_FY,11,1),0))-MAX($E413,DATE(cfg_FY,11,1))+1)*(1-IF($M413="نعم",0,N($J413))))</f>
        <v>0</v>
      </c>
      <c r="AG413" s="133" t="n">
        <f aca="false">IF(OR($B413="",$E413="",$F413=""),0,MAX(0,MIN($F413,EOMONTH(DATE(cfg_FY,12,1),0))-MAX($E413,DATE(cfg_FY,12,1))+1)*(1-IF($M413="نعم",0,N($J413))))</f>
        <v>0</v>
      </c>
      <c r="AH413" s="133" t="n">
        <f aca="false">IF(OR(OR($B413="",$E413="",$F413=""),$L413&lt;&gt;"لا"),0,MAX(0,MIN($F413,EOMONTH(DATE(cfg_FY,1,1),0))-$E413+1))</f>
        <v>0</v>
      </c>
      <c r="AI413" s="133" t="n">
        <f aca="false">IF(OR(OR($B413="",$E413="",$F413=""),$L413&lt;&gt;"لا"),0,MAX(0,MIN($F413,EOMONTH(DATE(cfg_FY,2,1),0))-$E413+1))</f>
        <v>0</v>
      </c>
      <c r="AJ413" s="133" t="n">
        <f aca="false">IF(OR(OR($B413="",$E413="",$F413=""),$L413&lt;&gt;"لا"),0,MAX(0,MIN($F413,EOMONTH(DATE(cfg_FY,3,1),0))-$E413+1))</f>
        <v>0</v>
      </c>
      <c r="AK413" s="133" t="n">
        <f aca="false">IF(OR(OR($B413="",$E413="",$F413=""),$L413&lt;&gt;"لا"),0,MAX(0,MIN($F413,EOMONTH(DATE(cfg_FY,4,1),0))-$E413+1))</f>
        <v>0</v>
      </c>
      <c r="AL413" s="133" t="n">
        <f aca="false">IF(OR(OR($B413="",$E413="",$F413=""),$L413&lt;&gt;"لا"),0,MAX(0,MIN($F413,EOMONTH(DATE(cfg_FY,5,1),0))-$E413+1))</f>
        <v>0</v>
      </c>
      <c r="AM413" s="133" t="n">
        <f aca="false">IF(OR(OR($B413="",$E413="",$F413=""),$L413&lt;&gt;"لا"),0,MAX(0,MIN($F413,EOMONTH(DATE(cfg_FY,6,1),0))-$E413+1))</f>
        <v>0</v>
      </c>
      <c r="AN413" s="133" t="n">
        <f aca="false">IF(OR(OR($B413="",$E413="",$F413=""),$L413&lt;&gt;"لا"),0,MAX(0,MIN($F413,EOMONTH(DATE(cfg_FY,7,1),0))-$E413+1))</f>
        <v>0</v>
      </c>
      <c r="AO413" s="133" t="n">
        <f aca="false">IF(OR(OR($B413="",$E413="",$F413=""),$L413&lt;&gt;"لا"),0,MAX(0,MIN($F413,EOMONTH(DATE(cfg_FY,8,1),0))-$E413+1))</f>
        <v>0</v>
      </c>
      <c r="AP413" s="133" t="n">
        <f aca="false">IF(OR(OR($B413="",$E413="",$F413=""),$L413&lt;&gt;"لا"),0,MAX(0,MIN($F413,EOMONTH(DATE(cfg_FY,9,1),0))-$E413+1))</f>
        <v>0</v>
      </c>
      <c r="AQ413" s="133" t="n">
        <f aca="false">IF(OR(OR($B413="",$E413="",$F413=""),$L413&lt;&gt;"لا"),0,MAX(0,MIN($F413,EOMONTH(DATE(cfg_FY,10,1),0))-$E413+1))</f>
        <v>0</v>
      </c>
      <c r="AR413" s="133" t="n">
        <f aca="false">IF(OR(OR($B413="",$E413="",$F413=""),$L413&lt;&gt;"لا"),0,MAX(0,MIN($F413,EOMONTH(DATE(cfg_FY,11,1),0))-$E413+1))</f>
        <v>0</v>
      </c>
      <c r="AS413" s="133" t="n">
        <f aca="false">IF(OR(OR($B413="",$E413="",$F413=""),$L413&lt;&gt;"لا"),0,MAX(0,MIN($F413,EOMONTH(DATE(cfg_FY,12,1),0))-$E413+1))</f>
        <v>0</v>
      </c>
      <c r="AT413" s="133" t="n">
        <f aca="false">IF(OR(OR($B413="",$E413="",$F413=""),$K413&lt;&gt;"نعم",$M413="نعم"),0,MAX(0,MIN($F413,EOMONTH(DATE(cfg_FY,1,1),0))-MAX($E413,DATE(cfg_FY,1,1))+1))</f>
        <v>0</v>
      </c>
      <c r="AU413" s="133" t="n">
        <f aca="false">IF(OR(OR($B413="",$E413="",$F413=""),$K413&lt;&gt;"نعم",$M413="نعم"),0,MAX(0,MIN($F413,EOMONTH(DATE(cfg_FY,2,1),0))-MAX($E413,DATE(cfg_FY,2,1))+1))</f>
        <v>0</v>
      </c>
      <c r="AV413" s="133" t="n">
        <f aca="false">IF(OR(OR($B413="",$E413="",$F413=""),$K413&lt;&gt;"نعم",$M413="نعم"),0,MAX(0,MIN($F413,EOMONTH(DATE(cfg_FY,3,1),0))-MAX($E413,DATE(cfg_FY,3,1))+1))</f>
        <v>0</v>
      </c>
      <c r="AW413" s="133" t="n">
        <f aca="false">IF(OR(OR($B413="",$E413="",$F413=""),$K413&lt;&gt;"نعم",$M413="نعم"),0,MAX(0,MIN($F413,EOMONTH(DATE(cfg_FY,4,1),0))-MAX($E413,DATE(cfg_FY,4,1))+1))</f>
        <v>0</v>
      </c>
      <c r="AX413" s="133" t="n">
        <f aca="false">IF(OR(OR($B413="",$E413="",$F413=""),$K413&lt;&gt;"نعم",$M413="نعم"),0,MAX(0,MIN($F413,EOMONTH(DATE(cfg_FY,5,1),0))-MAX($E413,DATE(cfg_FY,5,1))+1))</f>
        <v>0</v>
      </c>
      <c r="AY413" s="133" t="n">
        <f aca="false">IF(OR(OR($B413="",$E413="",$F413=""),$K413&lt;&gt;"نعم",$M413="نعم"),0,MAX(0,MIN($F413,EOMONTH(DATE(cfg_FY,6,1),0))-MAX($E413,DATE(cfg_FY,6,1))+1))</f>
        <v>0</v>
      </c>
      <c r="AZ413" s="133" t="n">
        <f aca="false">IF(OR(OR($B413="",$E413="",$F413=""),$K413&lt;&gt;"نعم",$M413="نعم"),0,MAX(0,MIN($F413,EOMONTH(DATE(cfg_FY,7,1),0))-MAX($E413,DATE(cfg_FY,7,1))+1))</f>
        <v>0</v>
      </c>
      <c r="BA413" s="133" t="n">
        <f aca="false">IF(OR(OR($B413="",$E413="",$F413=""),$K413&lt;&gt;"نعم",$M413="نعم"),0,MAX(0,MIN($F413,EOMONTH(DATE(cfg_FY,8,1),0))-MAX($E413,DATE(cfg_FY,8,1))+1))</f>
        <v>0</v>
      </c>
      <c r="BB413" s="133" t="n">
        <f aca="false">IF(OR(OR($B413="",$E413="",$F413=""),$K413&lt;&gt;"نعم",$M413="نعم"),0,MAX(0,MIN($F413,EOMONTH(DATE(cfg_FY,9,1),0))-MAX($E413,DATE(cfg_FY,9,1))+1))</f>
        <v>0</v>
      </c>
      <c r="BC413" s="133" t="n">
        <f aca="false">IF(OR(OR($B413="",$E413="",$F413=""),$K413&lt;&gt;"نعم",$M413="نعم"),0,MAX(0,MIN($F413,EOMONTH(DATE(cfg_FY,10,1),0))-MAX($E413,DATE(cfg_FY,10,1))+1))</f>
        <v>0</v>
      </c>
      <c r="BD413" s="133" t="n">
        <f aca="false">IF(OR(OR($B413="",$E413="",$F413=""),$K413&lt;&gt;"نعم",$M413="نعم"),0,MAX(0,MIN($F413,EOMONTH(DATE(cfg_FY,11,1),0))-MAX($E413,DATE(cfg_FY,11,1))+1))</f>
        <v>0</v>
      </c>
      <c r="BE413" s="133" t="n">
        <f aca="false">IF(OR(OR($B413="",$E413="",$F413=""),$K413&lt;&gt;"نعم",$M413="نعم"),0,MAX(0,MIN($F413,EOMONTH(DATE(cfg_FY,12,1),0))-MAX($E413,DATE(cfg_FY,12,1))+1))</f>
        <v>0</v>
      </c>
    </row>
    <row r="414" customFormat="false" ht="15" hidden="false" customHeight="false" outlineLevel="0" collapsed="false">
      <c r="A414" s="106" t="str">
        <f aca="false">IF(B414="","",ROW()-5)</f>
        <v/>
      </c>
      <c r="B414" s="118"/>
      <c r="C414" s="114" t="str">
        <f aca="false">IF(B414="","",IFERROR(INDEX(الموظفون!$C$6:$C$105,MATCH(B414,الموظفون!$B$6:$B$105,0)),"✖ رقم غير موجود"))</f>
        <v/>
      </c>
      <c r="D414" s="118"/>
      <c r="E414" s="119"/>
      <c r="F414" s="119"/>
      <c r="G414" s="65" t="str">
        <f aca="false">IF(OR($B414="",$E414="",$F414=""),"",MAX(0,F414-E414+1))</f>
        <v/>
      </c>
      <c r="H414" s="66" t="str">
        <f aca="false">IF(D414="","",IFERROR(VLOOKUP(D414,cfg_LT,2,FALSE()),1))</f>
        <v/>
      </c>
      <c r="I414" s="135"/>
      <c r="J414" s="66" t="str">
        <f aca="false">IF(D414="","",IF(I414&lt;&gt;"",I414,H414))</f>
        <v/>
      </c>
      <c r="K414" s="114" t="str">
        <f aca="false">IF(D414="","",IFERROR(VLOOKUP($D414,cfg_LT,3,FALSE()),""))</f>
        <v/>
      </c>
      <c r="L414" s="114" t="str">
        <f aca="false">IF(D414="","",IFERROR(VLOOKUP($D414,cfg_LT,4,FALSE()),""))</f>
        <v/>
      </c>
      <c r="M414" s="114" t="str">
        <f aca="false">IF(D414="","",IFERROR(VLOOKUP($D414,cfg_LT,5,FALSE()),""))</f>
        <v/>
      </c>
      <c r="N414" s="111" t="n">
        <f aca="false">IF(OR(OR($B414="",$E414="",$F414=""),M414&lt;&gt;"نعم"),0,G414*J414*IFERROR(INDEX(الموظفون!$R$6:$R$105,MATCH(B414,الموظفون!$B$6:$B$105,0)),0)/cfg_DAYS_M)</f>
        <v>0</v>
      </c>
      <c r="O414" s="106" t="str">
        <f aca="false">IF(OR(OR($B414="",$E414="",$F414=""),M414&lt;&gt;"نعم"),"",IF(YEAR(E414)=cfg_FY,MONTH(E414),""))</f>
        <v/>
      </c>
      <c r="P414" s="114" t="str">
        <f aca="false">IF(B414="","",IF(OR(D414="",E414="",F414=""),"⚠ أكمل النوع والتواريخ",IF(F414&lt;E414,"✖ النهاية قبل البداية",IF(COUNTIFS($B$6:$B$505,B414,$E$6:$E$505,"&lt;="&amp;F414,$F$6:$F$505,"&gt;="&amp;E414)&gt;1,"⚠ تداخل مع سجل آخر",IF(E414&gt;cfg_VAL_DATE,"⏳ قادمة",IF(F414&lt;cfg_VAL_DATE,"✔ منتهية","✈ جارية في تاريخ التقرير"))))))</f>
        <v/>
      </c>
      <c r="Q414" s="118"/>
      <c r="R414" s="65" t="n">
        <f aca="false">IF(OR(OR($B414="",$E414="",$F414=""),L414&lt;&gt;"لا"),0,MAX(0,MIN(F414,cfg_Y_START-1)-E414+1))</f>
        <v>0</v>
      </c>
      <c r="S414" s="65" t="n">
        <f aca="false">IF(OR(OR($B414="",$E414="",$F414=""),L414&lt;&gt;"لا"),0,MAX(0,MIN(F414,cfg_VAL_DATE)-E414+1))</f>
        <v>0</v>
      </c>
      <c r="T414" s="65" t="n">
        <f aca="false">IF(OR(OR($B414="",$E414="",$F414=""),K414&lt;&gt;"نعم"),0,IF(M414="نعم",IF(AND(ISNUMBER(O414),N(O414)&lt;=cfg_VAL_M),G414,0),MAX(0,MIN(F414,cfg_VAL_DATE)-MAX(E414,cfg_Y_START)+1)))</f>
        <v>0</v>
      </c>
      <c r="V414" s="65" t="n">
        <f aca="false">IF(OR($B414="",$E414="",$F414=""),0,MAX(0,MIN($F414,EOMONTH(DATE(cfg_FY,1,1),0))-MAX($E414,DATE(cfg_FY,1,1))+1)*(1-IF($M414="نعم",0,N($J414))))</f>
        <v>0</v>
      </c>
      <c r="W414" s="65" t="n">
        <f aca="false">IF(OR($B414="",$E414="",$F414=""),0,MAX(0,MIN($F414,EOMONTH(DATE(cfg_FY,2,1),0))-MAX($E414,DATE(cfg_FY,2,1))+1)*(1-IF($M414="نعم",0,N($J414))))</f>
        <v>0</v>
      </c>
      <c r="X414" s="65" t="n">
        <f aca="false">IF(OR($B414="",$E414="",$F414=""),0,MAX(0,MIN($F414,EOMONTH(DATE(cfg_FY,3,1),0))-MAX($E414,DATE(cfg_FY,3,1))+1)*(1-IF($M414="نعم",0,N($J414))))</f>
        <v>0</v>
      </c>
      <c r="Y414" s="65" t="n">
        <f aca="false">IF(OR($B414="",$E414="",$F414=""),0,MAX(0,MIN($F414,EOMONTH(DATE(cfg_FY,4,1),0))-MAX($E414,DATE(cfg_FY,4,1))+1)*(1-IF($M414="نعم",0,N($J414))))</f>
        <v>0</v>
      </c>
      <c r="Z414" s="65" t="n">
        <f aca="false">IF(OR($B414="",$E414="",$F414=""),0,MAX(0,MIN($F414,EOMONTH(DATE(cfg_FY,5,1),0))-MAX($E414,DATE(cfg_FY,5,1))+1)*(1-IF($M414="نعم",0,N($J414))))</f>
        <v>0</v>
      </c>
      <c r="AA414" s="65" t="n">
        <f aca="false">IF(OR($B414="",$E414="",$F414=""),0,MAX(0,MIN($F414,EOMONTH(DATE(cfg_FY,6,1),0))-MAX($E414,DATE(cfg_FY,6,1))+1)*(1-IF($M414="نعم",0,N($J414))))</f>
        <v>0</v>
      </c>
      <c r="AB414" s="65" t="n">
        <f aca="false">IF(OR($B414="",$E414="",$F414=""),0,MAX(0,MIN($F414,EOMONTH(DATE(cfg_FY,7,1),0))-MAX($E414,DATE(cfg_FY,7,1))+1)*(1-IF($M414="نعم",0,N($J414))))</f>
        <v>0</v>
      </c>
      <c r="AC414" s="65" t="n">
        <f aca="false">IF(OR($B414="",$E414="",$F414=""),0,MAX(0,MIN($F414,EOMONTH(DATE(cfg_FY,8,1),0))-MAX($E414,DATE(cfg_FY,8,1))+1)*(1-IF($M414="نعم",0,N($J414))))</f>
        <v>0</v>
      </c>
      <c r="AD414" s="65" t="n">
        <f aca="false">IF(OR($B414="",$E414="",$F414=""),0,MAX(0,MIN($F414,EOMONTH(DATE(cfg_FY,9,1),0))-MAX($E414,DATE(cfg_FY,9,1))+1)*(1-IF($M414="نعم",0,N($J414))))</f>
        <v>0</v>
      </c>
      <c r="AE414" s="65" t="n">
        <f aca="false">IF(OR($B414="",$E414="",$F414=""),0,MAX(0,MIN($F414,EOMONTH(DATE(cfg_FY,10,1),0))-MAX($E414,DATE(cfg_FY,10,1))+1)*(1-IF($M414="نعم",0,N($J414))))</f>
        <v>0</v>
      </c>
      <c r="AF414" s="65" t="n">
        <f aca="false">IF(OR($B414="",$E414="",$F414=""),0,MAX(0,MIN($F414,EOMONTH(DATE(cfg_FY,11,1),0))-MAX($E414,DATE(cfg_FY,11,1))+1)*(1-IF($M414="نعم",0,N($J414))))</f>
        <v>0</v>
      </c>
      <c r="AG414" s="65" t="n">
        <f aca="false">IF(OR($B414="",$E414="",$F414=""),0,MAX(0,MIN($F414,EOMONTH(DATE(cfg_FY,12,1),0))-MAX($E414,DATE(cfg_FY,12,1))+1)*(1-IF($M414="نعم",0,N($J414))))</f>
        <v>0</v>
      </c>
      <c r="AH414" s="65" t="n">
        <f aca="false">IF(OR(OR($B414="",$E414="",$F414=""),$L414&lt;&gt;"لا"),0,MAX(0,MIN($F414,EOMONTH(DATE(cfg_FY,1,1),0))-$E414+1))</f>
        <v>0</v>
      </c>
      <c r="AI414" s="65" t="n">
        <f aca="false">IF(OR(OR($B414="",$E414="",$F414=""),$L414&lt;&gt;"لا"),0,MAX(0,MIN($F414,EOMONTH(DATE(cfg_FY,2,1),0))-$E414+1))</f>
        <v>0</v>
      </c>
      <c r="AJ414" s="65" t="n">
        <f aca="false">IF(OR(OR($B414="",$E414="",$F414=""),$L414&lt;&gt;"لا"),0,MAX(0,MIN($F414,EOMONTH(DATE(cfg_FY,3,1),0))-$E414+1))</f>
        <v>0</v>
      </c>
      <c r="AK414" s="65" t="n">
        <f aca="false">IF(OR(OR($B414="",$E414="",$F414=""),$L414&lt;&gt;"لا"),0,MAX(0,MIN($F414,EOMONTH(DATE(cfg_FY,4,1),0))-$E414+1))</f>
        <v>0</v>
      </c>
      <c r="AL414" s="65" t="n">
        <f aca="false">IF(OR(OR($B414="",$E414="",$F414=""),$L414&lt;&gt;"لا"),0,MAX(0,MIN($F414,EOMONTH(DATE(cfg_FY,5,1),0))-$E414+1))</f>
        <v>0</v>
      </c>
      <c r="AM414" s="65" t="n">
        <f aca="false">IF(OR(OR($B414="",$E414="",$F414=""),$L414&lt;&gt;"لا"),0,MAX(0,MIN($F414,EOMONTH(DATE(cfg_FY,6,1),0))-$E414+1))</f>
        <v>0</v>
      </c>
      <c r="AN414" s="65" t="n">
        <f aca="false">IF(OR(OR($B414="",$E414="",$F414=""),$L414&lt;&gt;"لا"),0,MAX(0,MIN($F414,EOMONTH(DATE(cfg_FY,7,1),0))-$E414+1))</f>
        <v>0</v>
      </c>
      <c r="AO414" s="65" t="n">
        <f aca="false">IF(OR(OR($B414="",$E414="",$F414=""),$L414&lt;&gt;"لا"),0,MAX(0,MIN($F414,EOMONTH(DATE(cfg_FY,8,1),0))-$E414+1))</f>
        <v>0</v>
      </c>
      <c r="AP414" s="65" t="n">
        <f aca="false">IF(OR(OR($B414="",$E414="",$F414=""),$L414&lt;&gt;"لا"),0,MAX(0,MIN($F414,EOMONTH(DATE(cfg_FY,9,1),0))-$E414+1))</f>
        <v>0</v>
      </c>
      <c r="AQ414" s="65" t="n">
        <f aca="false">IF(OR(OR($B414="",$E414="",$F414=""),$L414&lt;&gt;"لا"),0,MAX(0,MIN($F414,EOMONTH(DATE(cfg_FY,10,1),0))-$E414+1))</f>
        <v>0</v>
      </c>
      <c r="AR414" s="65" t="n">
        <f aca="false">IF(OR(OR($B414="",$E414="",$F414=""),$L414&lt;&gt;"لا"),0,MAX(0,MIN($F414,EOMONTH(DATE(cfg_FY,11,1),0))-$E414+1))</f>
        <v>0</v>
      </c>
      <c r="AS414" s="65" t="n">
        <f aca="false">IF(OR(OR($B414="",$E414="",$F414=""),$L414&lt;&gt;"لا"),0,MAX(0,MIN($F414,EOMONTH(DATE(cfg_FY,12,1),0))-$E414+1))</f>
        <v>0</v>
      </c>
      <c r="AT414" s="65" t="n">
        <f aca="false">IF(OR(OR($B414="",$E414="",$F414=""),$K414&lt;&gt;"نعم",$M414="نعم"),0,MAX(0,MIN($F414,EOMONTH(DATE(cfg_FY,1,1),0))-MAX($E414,DATE(cfg_FY,1,1))+1))</f>
        <v>0</v>
      </c>
      <c r="AU414" s="65" t="n">
        <f aca="false">IF(OR(OR($B414="",$E414="",$F414=""),$K414&lt;&gt;"نعم",$M414="نعم"),0,MAX(0,MIN($F414,EOMONTH(DATE(cfg_FY,2,1),0))-MAX($E414,DATE(cfg_FY,2,1))+1))</f>
        <v>0</v>
      </c>
      <c r="AV414" s="65" t="n">
        <f aca="false">IF(OR(OR($B414="",$E414="",$F414=""),$K414&lt;&gt;"نعم",$M414="نعم"),0,MAX(0,MIN($F414,EOMONTH(DATE(cfg_FY,3,1),0))-MAX($E414,DATE(cfg_FY,3,1))+1))</f>
        <v>0</v>
      </c>
      <c r="AW414" s="65" t="n">
        <f aca="false">IF(OR(OR($B414="",$E414="",$F414=""),$K414&lt;&gt;"نعم",$M414="نعم"),0,MAX(0,MIN($F414,EOMONTH(DATE(cfg_FY,4,1),0))-MAX($E414,DATE(cfg_FY,4,1))+1))</f>
        <v>0</v>
      </c>
      <c r="AX414" s="65" t="n">
        <f aca="false">IF(OR(OR($B414="",$E414="",$F414=""),$K414&lt;&gt;"نعم",$M414="نعم"),0,MAX(0,MIN($F414,EOMONTH(DATE(cfg_FY,5,1),0))-MAX($E414,DATE(cfg_FY,5,1))+1))</f>
        <v>0</v>
      </c>
      <c r="AY414" s="65" t="n">
        <f aca="false">IF(OR(OR($B414="",$E414="",$F414=""),$K414&lt;&gt;"نعم",$M414="نعم"),0,MAX(0,MIN($F414,EOMONTH(DATE(cfg_FY,6,1),0))-MAX($E414,DATE(cfg_FY,6,1))+1))</f>
        <v>0</v>
      </c>
      <c r="AZ414" s="65" t="n">
        <f aca="false">IF(OR(OR($B414="",$E414="",$F414=""),$K414&lt;&gt;"نعم",$M414="نعم"),0,MAX(0,MIN($F414,EOMONTH(DATE(cfg_FY,7,1),0))-MAX($E414,DATE(cfg_FY,7,1))+1))</f>
        <v>0</v>
      </c>
      <c r="BA414" s="65" t="n">
        <f aca="false">IF(OR(OR($B414="",$E414="",$F414=""),$K414&lt;&gt;"نعم",$M414="نعم"),0,MAX(0,MIN($F414,EOMONTH(DATE(cfg_FY,8,1),0))-MAX($E414,DATE(cfg_FY,8,1))+1))</f>
        <v>0</v>
      </c>
      <c r="BB414" s="65" t="n">
        <f aca="false">IF(OR(OR($B414="",$E414="",$F414=""),$K414&lt;&gt;"نعم",$M414="نعم"),0,MAX(0,MIN($F414,EOMONTH(DATE(cfg_FY,9,1),0))-MAX($E414,DATE(cfg_FY,9,1))+1))</f>
        <v>0</v>
      </c>
      <c r="BC414" s="65" t="n">
        <f aca="false">IF(OR(OR($B414="",$E414="",$F414=""),$K414&lt;&gt;"نعم",$M414="نعم"),0,MAX(0,MIN($F414,EOMONTH(DATE(cfg_FY,10,1),0))-MAX($E414,DATE(cfg_FY,10,1))+1))</f>
        <v>0</v>
      </c>
      <c r="BD414" s="65" t="n">
        <f aca="false">IF(OR(OR($B414="",$E414="",$F414=""),$K414&lt;&gt;"نعم",$M414="نعم"),0,MAX(0,MIN($F414,EOMONTH(DATE(cfg_FY,11,1),0))-MAX($E414,DATE(cfg_FY,11,1))+1))</f>
        <v>0</v>
      </c>
      <c r="BE414" s="65" t="n">
        <f aca="false">IF(OR(OR($B414="",$E414="",$F414=""),$K414&lt;&gt;"نعم",$M414="نعم"),0,MAX(0,MIN($F414,EOMONTH(DATE(cfg_FY,12,1),0))-MAX($E414,DATE(cfg_FY,12,1))+1))</f>
        <v>0</v>
      </c>
    </row>
    <row r="415" customFormat="false" ht="15" hidden="false" customHeight="false" outlineLevel="0" collapsed="false">
      <c r="A415" s="115" t="str">
        <f aca="false">IF(B415="","",ROW()-5)</f>
        <v/>
      </c>
      <c r="B415" s="118"/>
      <c r="C415" s="117" t="str">
        <f aca="false">IF(B415="","",IFERROR(INDEX(الموظفون!$C$6:$C$105,MATCH(B415,الموظفون!$B$6:$B$105,0)),"✖ رقم غير موجود"))</f>
        <v/>
      </c>
      <c r="D415" s="118"/>
      <c r="E415" s="119"/>
      <c r="F415" s="119"/>
      <c r="G415" s="133" t="str">
        <f aca="false">IF(OR($B415="",$E415="",$F415=""),"",MAX(0,F415-E415+1))</f>
        <v/>
      </c>
      <c r="H415" s="134" t="str">
        <f aca="false">IF(D415="","",IFERROR(VLOOKUP(D415,cfg_LT,2,FALSE()),1))</f>
        <v/>
      </c>
      <c r="I415" s="135"/>
      <c r="J415" s="134" t="str">
        <f aca="false">IF(D415="","",IF(I415&lt;&gt;"",I415,H415))</f>
        <v/>
      </c>
      <c r="K415" s="117" t="str">
        <f aca="false">IF(D415="","",IFERROR(VLOOKUP($D415,cfg_LT,3,FALSE()),""))</f>
        <v/>
      </c>
      <c r="L415" s="117" t="str">
        <f aca="false">IF(D415="","",IFERROR(VLOOKUP($D415,cfg_LT,4,FALSE()),""))</f>
        <v/>
      </c>
      <c r="M415" s="117" t="str">
        <f aca="false">IF(D415="","",IFERROR(VLOOKUP($D415,cfg_LT,5,FALSE()),""))</f>
        <v/>
      </c>
      <c r="N415" s="116" t="n">
        <f aca="false">IF(OR(OR($B415="",$E415="",$F415=""),M415&lt;&gt;"نعم"),0,G415*J415*IFERROR(INDEX(الموظفون!$R$6:$R$105,MATCH(B415,الموظفون!$B$6:$B$105,0)),0)/cfg_DAYS_M)</f>
        <v>0</v>
      </c>
      <c r="O415" s="115" t="str">
        <f aca="false">IF(OR(OR($B415="",$E415="",$F415=""),M415&lt;&gt;"نعم"),"",IF(YEAR(E415)=cfg_FY,MONTH(E415),""))</f>
        <v/>
      </c>
      <c r="P415" s="117" t="str">
        <f aca="false">IF(B415="","",IF(OR(D415="",E415="",F415=""),"⚠ أكمل النوع والتواريخ",IF(F415&lt;E415,"✖ النهاية قبل البداية",IF(COUNTIFS($B$6:$B$505,B415,$E$6:$E$505,"&lt;="&amp;F415,$F$6:$F$505,"&gt;="&amp;E415)&gt;1,"⚠ تداخل مع سجل آخر",IF(E415&gt;cfg_VAL_DATE,"⏳ قادمة",IF(F415&lt;cfg_VAL_DATE,"✔ منتهية","✈ جارية في تاريخ التقرير"))))))</f>
        <v/>
      </c>
      <c r="Q415" s="118"/>
      <c r="R415" s="133" t="n">
        <f aca="false">IF(OR(OR($B415="",$E415="",$F415=""),L415&lt;&gt;"لا"),0,MAX(0,MIN(F415,cfg_Y_START-1)-E415+1))</f>
        <v>0</v>
      </c>
      <c r="S415" s="133" t="n">
        <f aca="false">IF(OR(OR($B415="",$E415="",$F415=""),L415&lt;&gt;"لا"),0,MAX(0,MIN(F415,cfg_VAL_DATE)-E415+1))</f>
        <v>0</v>
      </c>
      <c r="T415" s="133" t="n">
        <f aca="false">IF(OR(OR($B415="",$E415="",$F415=""),K415&lt;&gt;"نعم"),0,IF(M415="نعم",IF(AND(ISNUMBER(O415),N(O415)&lt;=cfg_VAL_M),G415,0),MAX(0,MIN(F415,cfg_VAL_DATE)-MAX(E415,cfg_Y_START)+1)))</f>
        <v>0</v>
      </c>
      <c r="V415" s="133" t="n">
        <f aca="false">IF(OR($B415="",$E415="",$F415=""),0,MAX(0,MIN($F415,EOMONTH(DATE(cfg_FY,1,1),0))-MAX($E415,DATE(cfg_FY,1,1))+1)*(1-IF($M415="نعم",0,N($J415))))</f>
        <v>0</v>
      </c>
      <c r="W415" s="133" t="n">
        <f aca="false">IF(OR($B415="",$E415="",$F415=""),0,MAX(0,MIN($F415,EOMONTH(DATE(cfg_FY,2,1),0))-MAX($E415,DATE(cfg_FY,2,1))+1)*(1-IF($M415="نعم",0,N($J415))))</f>
        <v>0</v>
      </c>
      <c r="X415" s="133" t="n">
        <f aca="false">IF(OR($B415="",$E415="",$F415=""),0,MAX(0,MIN($F415,EOMONTH(DATE(cfg_FY,3,1),0))-MAX($E415,DATE(cfg_FY,3,1))+1)*(1-IF($M415="نعم",0,N($J415))))</f>
        <v>0</v>
      </c>
      <c r="Y415" s="133" t="n">
        <f aca="false">IF(OR($B415="",$E415="",$F415=""),0,MAX(0,MIN($F415,EOMONTH(DATE(cfg_FY,4,1),0))-MAX($E415,DATE(cfg_FY,4,1))+1)*(1-IF($M415="نعم",0,N($J415))))</f>
        <v>0</v>
      </c>
      <c r="Z415" s="133" t="n">
        <f aca="false">IF(OR($B415="",$E415="",$F415=""),0,MAX(0,MIN($F415,EOMONTH(DATE(cfg_FY,5,1),0))-MAX($E415,DATE(cfg_FY,5,1))+1)*(1-IF($M415="نعم",0,N($J415))))</f>
        <v>0</v>
      </c>
      <c r="AA415" s="133" t="n">
        <f aca="false">IF(OR($B415="",$E415="",$F415=""),0,MAX(0,MIN($F415,EOMONTH(DATE(cfg_FY,6,1),0))-MAX($E415,DATE(cfg_FY,6,1))+1)*(1-IF($M415="نعم",0,N($J415))))</f>
        <v>0</v>
      </c>
      <c r="AB415" s="133" t="n">
        <f aca="false">IF(OR($B415="",$E415="",$F415=""),0,MAX(0,MIN($F415,EOMONTH(DATE(cfg_FY,7,1),0))-MAX($E415,DATE(cfg_FY,7,1))+1)*(1-IF($M415="نعم",0,N($J415))))</f>
        <v>0</v>
      </c>
      <c r="AC415" s="133" t="n">
        <f aca="false">IF(OR($B415="",$E415="",$F415=""),0,MAX(0,MIN($F415,EOMONTH(DATE(cfg_FY,8,1),0))-MAX($E415,DATE(cfg_FY,8,1))+1)*(1-IF($M415="نعم",0,N($J415))))</f>
        <v>0</v>
      </c>
      <c r="AD415" s="133" t="n">
        <f aca="false">IF(OR($B415="",$E415="",$F415=""),0,MAX(0,MIN($F415,EOMONTH(DATE(cfg_FY,9,1),0))-MAX($E415,DATE(cfg_FY,9,1))+1)*(1-IF($M415="نعم",0,N($J415))))</f>
        <v>0</v>
      </c>
      <c r="AE415" s="133" t="n">
        <f aca="false">IF(OR($B415="",$E415="",$F415=""),0,MAX(0,MIN($F415,EOMONTH(DATE(cfg_FY,10,1),0))-MAX($E415,DATE(cfg_FY,10,1))+1)*(1-IF($M415="نعم",0,N($J415))))</f>
        <v>0</v>
      </c>
      <c r="AF415" s="133" t="n">
        <f aca="false">IF(OR($B415="",$E415="",$F415=""),0,MAX(0,MIN($F415,EOMONTH(DATE(cfg_FY,11,1),0))-MAX($E415,DATE(cfg_FY,11,1))+1)*(1-IF($M415="نعم",0,N($J415))))</f>
        <v>0</v>
      </c>
      <c r="AG415" s="133" t="n">
        <f aca="false">IF(OR($B415="",$E415="",$F415=""),0,MAX(0,MIN($F415,EOMONTH(DATE(cfg_FY,12,1),0))-MAX($E415,DATE(cfg_FY,12,1))+1)*(1-IF($M415="نعم",0,N($J415))))</f>
        <v>0</v>
      </c>
      <c r="AH415" s="133" t="n">
        <f aca="false">IF(OR(OR($B415="",$E415="",$F415=""),$L415&lt;&gt;"لا"),0,MAX(0,MIN($F415,EOMONTH(DATE(cfg_FY,1,1),0))-$E415+1))</f>
        <v>0</v>
      </c>
      <c r="AI415" s="133" t="n">
        <f aca="false">IF(OR(OR($B415="",$E415="",$F415=""),$L415&lt;&gt;"لا"),0,MAX(0,MIN($F415,EOMONTH(DATE(cfg_FY,2,1),0))-$E415+1))</f>
        <v>0</v>
      </c>
      <c r="AJ415" s="133" t="n">
        <f aca="false">IF(OR(OR($B415="",$E415="",$F415=""),$L415&lt;&gt;"لا"),0,MAX(0,MIN($F415,EOMONTH(DATE(cfg_FY,3,1),0))-$E415+1))</f>
        <v>0</v>
      </c>
      <c r="AK415" s="133" t="n">
        <f aca="false">IF(OR(OR($B415="",$E415="",$F415=""),$L415&lt;&gt;"لا"),0,MAX(0,MIN($F415,EOMONTH(DATE(cfg_FY,4,1),0))-$E415+1))</f>
        <v>0</v>
      </c>
      <c r="AL415" s="133" t="n">
        <f aca="false">IF(OR(OR($B415="",$E415="",$F415=""),$L415&lt;&gt;"لا"),0,MAX(0,MIN($F415,EOMONTH(DATE(cfg_FY,5,1),0))-$E415+1))</f>
        <v>0</v>
      </c>
      <c r="AM415" s="133" t="n">
        <f aca="false">IF(OR(OR($B415="",$E415="",$F415=""),$L415&lt;&gt;"لا"),0,MAX(0,MIN($F415,EOMONTH(DATE(cfg_FY,6,1),0))-$E415+1))</f>
        <v>0</v>
      </c>
      <c r="AN415" s="133" t="n">
        <f aca="false">IF(OR(OR($B415="",$E415="",$F415=""),$L415&lt;&gt;"لا"),0,MAX(0,MIN($F415,EOMONTH(DATE(cfg_FY,7,1),0))-$E415+1))</f>
        <v>0</v>
      </c>
      <c r="AO415" s="133" t="n">
        <f aca="false">IF(OR(OR($B415="",$E415="",$F415=""),$L415&lt;&gt;"لا"),0,MAX(0,MIN($F415,EOMONTH(DATE(cfg_FY,8,1),0))-$E415+1))</f>
        <v>0</v>
      </c>
      <c r="AP415" s="133" t="n">
        <f aca="false">IF(OR(OR($B415="",$E415="",$F415=""),$L415&lt;&gt;"لا"),0,MAX(0,MIN($F415,EOMONTH(DATE(cfg_FY,9,1),0))-$E415+1))</f>
        <v>0</v>
      </c>
      <c r="AQ415" s="133" t="n">
        <f aca="false">IF(OR(OR($B415="",$E415="",$F415=""),$L415&lt;&gt;"لا"),0,MAX(0,MIN($F415,EOMONTH(DATE(cfg_FY,10,1),0))-$E415+1))</f>
        <v>0</v>
      </c>
      <c r="AR415" s="133" t="n">
        <f aca="false">IF(OR(OR($B415="",$E415="",$F415=""),$L415&lt;&gt;"لا"),0,MAX(0,MIN($F415,EOMONTH(DATE(cfg_FY,11,1),0))-$E415+1))</f>
        <v>0</v>
      </c>
      <c r="AS415" s="133" t="n">
        <f aca="false">IF(OR(OR($B415="",$E415="",$F415=""),$L415&lt;&gt;"لا"),0,MAX(0,MIN($F415,EOMONTH(DATE(cfg_FY,12,1),0))-$E415+1))</f>
        <v>0</v>
      </c>
      <c r="AT415" s="133" t="n">
        <f aca="false">IF(OR(OR($B415="",$E415="",$F415=""),$K415&lt;&gt;"نعم",$M415="نعم"),0,MAX(0,MIN($F415,EOMONTH(DATE(cfg_FY,1,1),0))-MAX($E415,DATE(cfg_FY,1,1))+1))</f>
        <v>0</v>
      </c>
      <c r="AU415" s="133" t="n">
        <f aca="false">IF(OR(OR($B415="",$E415="",$F415=""),$K415&lt;&gt;"نعم",$M415="نعم"),0,MAX(0,MIN($F415,EOMONTH(DATE(cfg_FY,2,1),0))-MAX($E415,DATE(cfg_FY,2,1))+1))</f>
        <v>0</v>
      </c>
      <c r="AV415" s="133" t="n">
        <f aca="false">IF(OR(OR($B415="",$E415="",$F415=""),$K415&lt;&gt;"نعم",$M415="نعم"),0,MAX(0,MIN($F415,EOMONTH(DATE(cfg_FY,3,1),0))-MAX($E415,DATE(cfg_FY,3,1))+1))</f>
        <v>0</v>
      </c>
      <c r="AW415" s="133" t="n">
        <f aca="false">IF(OR(OR($B415="",$E415="",$F415=""),$K415&lt;&gt;"نعم",$M415="نعم"),0,MAX(0,MIN($F415,EOMONTH(DATE(cfg_FY,4,1),0))-MAX($E415,DATE(cfg_FY,4,1))+1))</f>
        <v>0</v>
      </c>
      <c r="AX415" s="133" t="n">
        <f aca="false">IF(OR(OR($B415="",$E415="",$F415=""),$K415&lt;&gt;"نعم",$M415="نعم"),0,MAX(0,MIN($F415,EOMONTH(DATE(cfg_FY,5,1),0))-MAX($E415,DATE(cfg_FY,5,1))+1))</f>
        <v>0</v>
      </c>
      <c r="AY415" s="133" t="n">
        <f aca="false">IF(OR(OR($B415="",$E415="",$F415=""),$K415&lt;&gt;"نعم",$M415="نعم"),0,MAX(0,MIN($F415,EOMONTH(DATE(cfg_FY,6,1),0))-MAX($E415,DATE(cfg_FY,6,1))+1))</f>
        <v>0</v>
      </c>
      <c r="AZ415" s="133" t="n">
        <f aca="false">IF(OR(OR($B415="",$E415="",$F415=""),$K415&lt;&gt;"نعم",$M415="نعم"),0,MAX(0,MIN($F415,EOMONTH(DATE(cfg_FY,7,1),0))-MAX($E415,DATE(cfg_FY,7,1))+1))</f>
        <v>0</v>
      </c>
      <c r="BA415" s="133" t="n">
        <f aca="false">IF(OR(OR($B415="",$E415="",$F415=""),$K415&lt;&gt;"نعم",$M415="نعم"),0,MAX(0,MIN($F415,EOMONTH(DATE(cfg_FY,8,1),0))-MAX($E415,DATE(cfg_FY,8,1))+1))</f>
        <v>0</v>
      </c>
      <c r="BB415" s="133" t="n">
        <f aca="false">IF(OR(OR($B415="",$E415="",$F415=""),$K415&lt;&gt;"نعم",$M415="نعم"),0,MAX(0,MIN($F415,EOMONTH(DATE(cfg_FY,9,1),0))-MAX($E415,DATE(cfg_FY,9,1))+1))</f>
        <v>0</v>
      </c>
      <c r="BC415" s="133" t="n">
        <f aca="false">IF(OR(OR($B415="",$E415="",$F415=""),$K415&lt;&gt;"نعم",$M415="نعم"),0,MAX(0,MIN($F415,EOMONTH(DATE(cfg_FY,10,1),0))-MAX($E415,DATE(cfg_FY,10,1))+1))</f>
        <v>0</v>
      </c>
      <c r="BD415" s="133" t="n">
        <f aca="false">IF(OR(OR($B415="",$E415="",$F415=""),$K415&lt;&gt;"نعم",$M415="نعم"),0,MAX(0,MIN($F415,EOMONTH(DATE(cfg_FY,11,1),0))-MAX($E415,DATE(cfg_FY,11,1))+1))</f>
        <v>0</v>
      </c>
      <c r="BE415" s="133" t="n">
        <f aca="false">IF(OR(OR($B415="",$E415="",$F415=""),$K415&lt;&gt;"نعم",$M415="نعم"),0,MAX(0,MIN($F415,EOMONTH(DATE(cfg_FY,12,1),0))-MAX($E415,DATE(cfg_FY,12,1))+1))</f>
        <v>0</v>
      </c>
    </row>
    <row r="416" customFormat="false" ht="15" hidden="false" customHeight="false" outlineLevel="0" collapsed="false">
      <c r="A416" s="106" t="str">
        <f aca="false">IF(B416="","",ROW()-5)</f>
        <v/>
      </c>
      <c r="B416" s="118"/>
      <c r="C416" s="114" t="str">
        <f aca="false">IF(B416="","",IFERROR(INDEX(الموظفون!$C$6:$C$105,MATCH(B416,الموظفون!$B$6:$B$105,0)),"✖ رقم غير موجود"))</f>
        <v/>
      </c>
      <c r="D416" s="118"/>
      <c r="E416" s="119"/>
      <c r="F416" s="119"/>
      <c r="G416" s="65" t="str">
        <f aca="false">IF(OR($B416="",$E416="",$F416=""),"",MAX(0,F416-E416+1))</f>
        <v/>
      </c>
      <c r="H416" s="66" t="str">
        <f aca="false">IF(D416="","",IFERROR(VLOOKUP(D416,cfg_LT,2,FALSE()),1))</f>
        <v/>
      </c>
      <c r="I416" s="135"/>
      <c r="J416" s="66" t="str">
        <f aca="false">IF(D416="","",IF(I416&lt;&gt;"",I416,H416))</f>
        <v/>
      </c>
      <c r="K416" s="114" t="str">
        <f aca="false">IF(D416="","",IFERROR(VLOOKUP($D416,cfg_LT,3,FALSE()),""))</f>
        <v/>
      </c>
      <c r="L416" s="114" t="str">
        <f aca="false">IF(D416="","",IFERROR(VLOOKUP($D416,cfg_LT,4,FALSE()),""))</f>
        <v/>
      </c>
      <c r="M416" s="114" t="str">
        <f aca="false">IF(D416="","",IFERROR(VLOOKUP($D416,cfg_LT,5,FALSE()),""))</f>
        <v/>
      </c>
      <c r="N416" s="111" t="n">
        <f aca="false">IF(OR(OR($B416="",$E416="",$F416=""),M416&lt;&gt;"نعم"),0,G416*J416*IFERROR(INDEX(الموظفون!$R$6:$R$105,MATCH(B416,الموظفون!$B$6:$B$105,0)),0)/cfg_DAYS_M)</f>
        <v>0</v>
      </c>
      <c r="O416" s="106" t="str">
        <f aca="false">IF(OR(OR($B416="",$E416="",$F416=""),M416&lt;&gt;"نعم"),"",IF(YEAR(E416)=cfg_FY,MONTH(E416),""))</f>
        <v/>
      </c>
      <c r="P416" s="114" t="str">
        <f aca="false">IF(B416="","",IF(OR(D416="",E416="",F416=""),"⚠ أكمل النوع والتواريخ",IF(F416&lt;E416,"✖ النهاية قبل البداية",IF(COUNTIFS($B$6:$B$505,B416,$E$6:$E$505,"&lt;="&amp;F416,$F$6:$F$505,"&gt;="&amp;E416)&gt;1,"⚠ تداخل مع سجل آخر",IF(E416&gt;cfg_VAL_DATE,"⏳ قادمة",IF(F416&lt;cfg_VAL_DATE,"✔ منتهية","✈ جارية في تاريخ التقرير"))))))</f>
        <v/>
      </c>
      <c r="Q416" s="118"/>
      <c r="R416" s="65" t="n">
        <f aca="false">IF(OR(OR($B416="",$E416="",$F416=""),L416&lt;&gt;"لا"),0,MAX(0,MIN(F416,cfg_Y_START-1)-E416+1))</f>
        <v>0</v>
      </c>
      <c r="S416" s="65" t="n">
        <f aca="false">IF(OR(OR($B416="",$E416="",$F416=""),L416&lt;&gt;"لا"),0,MAX(0,MIN(F416,cfg_VAL_DATE)-E416+1))</f>
        <v>0</v>
      </c>
      <c r="T416" s="65" t="n">
        <f aca="false">IF(OR(OR($B416="",$E416="",$F416=""),K416&lt;&gt;"نعم"),0,IF(M416="نعم",IF(AND(ISNUMBER(O416),N(O416)&lt;=cfg_VAL_M),G416,0),MAX(0,MIN(F416,cfg_VAL_DATE)-MAX(E416,cfg_Y_START)+1)))</f>
        <v>0</v>
      </c>
      <c r="V416" s="65" t="n">
        <f aca="false">IF(OR($B416="",$E416="",$F416=""),0,MAX(0,MIN($F416,EOMONTH(DATE(cfg_FY,1,1),0))-MAX($E416,DATE(cfg_FY,1,1))+1)*(1-IF($M416="نعم",0,N($J416))))</f>
        <v>0</v>
      </c>
      <c r="W416" s="65" t="n">
        <f aca="false">IF(OR($B416="",$E416="",$F416=""),0,MAX(0,MIN($F416,EOMONTH(DATE(cfg_FY,2,1),0))-MAX($E416,DATE(cfg_FY,2,1))+1)*(1-IF($M416="نعم",0,N($J416))))</f>
        <v>0</v>
      </c>
      <c r="X416" s="65" t="n">
        <f aca="false">IF(OR($B416="",$E416="",$F416=""),0,MAX(0,MIN($F416,EOMONTH(DATE(cfg_FY,3,1),0))-MAX($E416,DATE(cfg_FY,3,1))+1)*(1-IF($M416="نعم",0,N($J416))))</f>
        <v>0</v>
      </c>
      <c r="Y416" s="65" t="n">
        <f aca="false">IF(OR($B416="",$E416="",$F416=""),0,MAX(0,MIN($F416,EOMONTH(DATE(cfg_FY,4,1),0))-MAX($E416,DATE(cfg_FY,4,1))+1)*(1-IF($M416="نعم",0,N($J416))))</f>
        <v>0</v>
      </c>
      <c r="Z416" s="65" t="n">
        <f aca="false">IF(OR($B416="",$E416="",$F416=""),0,MAX(0,MIN($F416,EOMONTH(DATE(cfg_FY,5,1),0))-MAX($E416,DATE(cfg_FY,5,1))+1)*(1-IF($M416="نعم",0,N($J416))))</f>
        <v>0</v>
      </c>
      <c r="AA416" s="65" t="n">
        <f aca="false">IF(OR($B416="",$E416="",$F416=""),0,MAX(0,MIN($F416,EOMONTH(DATE(cfg_FY,6,1),0))-MAX($E416,DATE(cfg_FY,6,1))+1)*(1-IF($M416="نعم",0,N($J416))))</f>
        <v>0</v>
      </c>
      <c r="AB416" s="65" t="n">
        <f aca="false">IF(OR($B416="",$E416="",$F416=""),0,MAX(0,MIN($F416,EOMONTH(DATE(cfg_FY,7,1),0))-MAX($E416,DATE(cfg_FY,7,1))+1)*(1-IF($M416="نعم",0,N($J416))))</f>
        <v>0</v>
      </c>
      <c r="AC416" s="65" t="n">
        <f aca="false">IF(OR($B416="",$E416="",$F416=""),0,MAX(0,MIN($F416,EOMONTH(DATE(cfg_FY,8,1),0))-MAX($E416,DATE(cfg_FY,8,1))+1)*(1-IF($M416="نعم",0,N($J416))))</f>
        <v>0</v>
      </c>
      <c r="AD416" s="65" t="n">
        <f aca="false">IF(OR($B416="",$E416="",$F416=""),0,MAX(0,MIN($F416,EOMONTH(DATE(cfg_FY,9,1),0))-MAX($E416,DATE(cfg_FY,9,1))+1)*(1-IF($M416="نعم",0,N($J416))))</f>
        <v>0</v>
      </c>
      <c r="AE416" s="65" t="n">
        <f aca="false">IF(OR($B416="",$E416="",$F416=""),0,MAX(0,MIN($F416,EOMONTH(DATE(cfg_FY,10,1),0))-MAX($E416,DATE(cfg_FY,10,1))+1)*(1-IF($M416="نعم",0,N($J416))))</f>
        <v>0</v>
      </c>
      <c r="AF416" s="65" t="n">
        <f aca="false">IF(OR($B416="",$E416="",$F416=""),0,MAX(0,MIN($F416,EOMONTH(DATE(cfg_FY,11,1),0))-MAX($E416,DATE(cfg_FY,11,1))+1)*(1-IF($M416="نعم",0,N($J416))))</f>
        <v>0</v>
      </c>
      <c r="AG416" s="65" t="n">
        <f aca="false">IF(OR($B416="",$E416="",$F416=""),0,MAX(0,MIN($F416,EOMONTH(DATE(cfg_FY,12,1),0))-MAX($E416,DATE(cfg_FY,12,1))+1)*(1-IF($M416="نعم",0,N($J416))))</f>
        <v>0</v>
      </c>
      <c r="AH416" s="65" t="n">
        <f aca="false">IF(OR(OR($B416="",$E416="",$F416=""),$L416&lt;&gt;"لا"),0,MAX(0,MIN($F416,EOMONTH(DATE(cfg_FY,1,1),0))-$E416+1))</f>
        <v>0</v>
      </c>
      <c r="AI416" s="65" t="n">
        <f aca="false">IF(OR(OR($B416="",$E416="",$F416=""),$L416&lt;&gt;"لا"),0,MAX(0,MIN($F416,EOMONTH(DATE(cfg_FY,2,1),0))-$E416+1))</f>
        <v>0</v>
      </c>
      <c r="AJ416" s="65" t="n">
        <f aca="false">IF(OR(OR($B416="",$E416="",$F416=""),$L416&lt;&gt;"لا"),0,MAX(0,MIN($F416,EOMONTH(DATE(cfg_FY,3,1),0))-$E416+1))</f>
        <v>0</v>
      </c>
      <c r="AK416" s="65" t="n">
        <f aca="false">IF(OR(OR($B416="",$E416="",$F416=""),$L416&lt;&gt;"لا"),0,MAX(0,MIN($F416,EOMONTH(DATE(cfg_FY,4,1),0))-$E416+1))</f>
        <v>0</v>
      </c>
      <c r="AL416" s="65" t="n">
        <f aca="false">IF(OR(OR($B416="",$E416="",$F416=""),$L416&lt;&gt;"لا"),0,MAX(0,MIN($F416,EOMONTH(DATE(cfg_FY,5,1),0))-$E416+1))</f>
        <v>0</v>
      </c>
      <c r="AM416" s="65" t="n">
        <f aca="false">IF(OR(OR($B416="",$E416="",$F416=""),$L416&lt;&gt;"لا"),0,MAX(0,MIN($F416,EOMONTH(DATE(cfg_FY,6,1),0))-$E416+1))</f>
        <v>0</v>
      </c>
      <c r="AN416" s="65" t="n">
        <f aca="false">IF(OR(OR($B416="",$E416="",$F416=""),$L416&lt;&gt;"لا"),0,MAX(0,MIN($F416,EOMONTH(DATE(cfg_FY,7,1),0))-$E416+1))</f>
        <v>0</v>
      </c>
      <c r="AO416" s="65" t="n">
        <f aca="false">IF(OR(OR($B416="",$E416="",$F416=""),$L416&lt;&gt;"لا"),0,MAX(0,MIN($F416,EOMONTH(DATE(cfg_FY,8,1),0))-$E416+1))</f>
        <v>0</v>
      </c>
      <c r="AP416" s="65" t="n">
        <f aca="false">IF(OR(OR($B416="",$E416="",$F416=""),$L416&lt;&gt;"لا"),0,MAX(0,MIN($F416,EOMONTH(DATE(cfg_FY,9,1),0))-$E416+1))</f>
        <v>0</v>
      </c>
      <c r="AQ416" s="65" t="n">
        <f aca="false">IF(OR(OR($B416="",$E416="",$F416=""),$L416&lt;&gt;"لا"),0,MAX(0,MIN($F416,EOMONTH(DATE(cfg_FY,10,1),0))-$E416+1))</f>
        <v>0</v>
      </c>
      <c r="AR416" s="65" t="n">
        <f aca="false">IF(OR(OR($B416="",$E416="",$F416=""),$L416&lt;&gt;"لا"),0,MAX(0,MIN($F416,EOMONTH(DATE(cfg_FY,11,1),0))-$E416+1))</f>
        <v>0</v>
      </c>
      <c r="AS416" s="65" t="n">
        <f aca="false">IF(OR(OR($B416="",$E416="",$F416=""),$L416&lt;&gt;"لا"),0,MAX(0,MIN($F416,EOMONTH(DATE(cfg_FY,12,1),0))-$E416+1))</f>
        <v>0</v>
      </c>
      <c r="AT416" s="65" t="n">
        <f aca="false">IF(OR(OR($B416="",$E416="",$F416=""),$K416&lt;&gt;"نعم",$M416="نعم"),0,MAX(0,MIN($F416,EOMONTH(DATE(cfg_FY,1,1),0))-MAX($E416,DATE(cfg_FY,1,1))+1))</f>
        <v>0</v>
      </c>
      <c r="AU416" s="65" t="n">
        <f aca="false">IF(OR(OR($B416="",$E416="",$F416=""),$K416&lt;&gt;"نعم",$M416="نعم"),0,MAX(0,MIN($F416,EOMONTH(DATE(cfg_FY,2,1),0))-MAX($E416,DATE(cfg_FY,2,1))+1))</f>
        <v>0</v>
      </c>
      <c r="AV416" s="65" t="n">
        <f aca="false">IF(OR(OR($B416="",$E416="",$F416=""),$K416&lt;&gt;"نعم",$M416="نعم"),0,MAX(0,MIN($F416,EOMONTH(DATE(cfg_FY,3,1),0))-MAX($E416,DATE(cfg_FY,3,1))+1))</f>
        <v>0</v>
      </c>
      <c r="AW416" s="65" t="n">
        <f aca="false">IF(OR(OR($B416="",$E416="",$F416=""),$K416&lt;&gt;"نعم",$M416="نعم"),0,MAX(0,MIN($F416,EOMONTH(DATE(cfg_FY,4,1),0))-MAX($E416,DATE(cfg_FY,4,1))+1))</f>
        <v>0</v>
      </c>
      <c r="AX416" s="65" t="n">
        <f aca="false">IF(OR(OR($B416="",$E416="",$F416=""),$K416&lt;&gt;"نعم",$M416="نعم"),0,MAX(0,MIN($F416,EOMONTH(DATE(cfg_FY,5,1),0))-MAX($E416,DATE(cfg_FY,5,1))+1))</f>
        <v>0</v>
      </c>
      <c r="AY416" s="65" t="n">
        <f aca="false">IF(OR(OR($B416="",$E416="",$F416=""),$K416&lt;&gt;"نعم",$M416="نعم"),0,MAX(0,MIN($F416,EOMONTH(DATE(cfg_FY,6,1),0))-MAX($E416,DATE(cfg_FY,6,1))+1))</f>
        <v>0</v>
      </c>
      <c r="AZ416" s="65" t="n">
        <f aca="false">IF(OR(OR($B416="",$E416="",$F416=""),$K416&lt;&gt;"نعم",$M416="نعم"),0,MAX(0,MIN($F416,EOMONTH(DATE(cfg_FY,7,1),0))-MAX($E416,DATE(cfg_FY,7,1))+1))</f>
        <v>0</v>
      </c>
      <c r="BA416" s="65" t="n">
        <f aca="false">IF(OR(OR($B416="",$E416="",$F416=""),$K416&lt;&gt;"نعم",$M416="نعم"),0,MAX(0,MIN($F416,EOMONTH(DATE(cfg_FY,8,1),0))-MAX($E416,DATE(cfg_FY,8,1))+1))</f>
        <v>0</v>
      </c>
      <c r="BB416" s="65" t="n">
        <f aca="false">IF(OR(OR($B416="",$E416="",$F416=""),$K416&lt;&gt;"نعم",$M416="نعم"),0,MAX(0,MIN($F416,EOMONTH(DATE(cfg_FY,9,1),0))-MAX($E416,DATE(cfg_FY,9,1))+1))</f>
        <v>0</v>
      </c>
      <c r="BC416" s="65" t="n">
        <f aca="false">IF(OR(OR($B416="",$E416="",$F416=""),$K416&lt;&gt;"نعم",$M416="نعم"),0,MAX(0,MIN($F416,EOMONTH(DATE(cfg_FY,10,1),0))-MAX($E416,DATE(cfg_FY,10,1))+1))</f>
        <v>0</v>
      </c>
      <c r="BD416" s="65" t="n">
        <f aca="false">IF(OR(OR($B416="",$E416="",$F416=""),$K416&lt;&gt;"نعم",$M416="نعم"),0,MAX(0,MIN($F416,EOMONTH(DATE(cfg_FY,11,1),0))-MAX($E416,DATE(cfg_FY,11,1))+1))</f>
        <v>0</v>
      </c>
      <c r="BE416" s="65" t="n">
        <f aca="false">IF(OR(OR($B416="",$E416="",$F416=""),$K416&lt;&gt;"نعم",$M416="نعم"),0,MAX(0,MIN($F416,EOMONTH(DATE(cfg_FY,12,1),0))-MAX($E416,DATE(cfg_FY,12,1))+1))</f>
        <v>0</v>
      </c>
    </row>
    <row r="417" customFormat="false" ht="15" hidden="false" customHeight="false" outlineLevel="0" collapsed="false">
      <c r="A417" s="115" t="str">
        <f aca="false">IF(B417="","",ROW()-5)</f>
        <v/>
      </c>
      <c r="B417" s="118"/>
      <c r="C417" s="117" t="str">
        <f aca="false">IF(B417="","",IFERROR(INDEX(الموظفون!$C$6:$C$105,MATCH(B417,الموظفون!$B$6:$B$105,0)),"✖ رقم غير موجود"))</f>
        <v/>
      </c>
      <c r="D417" s="118"/>
      <c r="E417" s="119"/>
      <c r="F417" s="119"/>
      <c r="G417" s="133" t="str">
        <f aca="false">IF(OR($B417="",$E417="",$F417=""),"",MAX(0,F417-E417+1))</f>
        <v/>
      </c>
      <c r="H417" s="134" t="str">
        <f aca="false">IF(D417="","",IFERROR(VLOOKUP(D417,cfg_LT,2,FALSE()),1))</f>
        <v/>
      </c>
      <c r="I417" s="135"/>
      <c r="J417" s="134" t="str">
        <f aca="false">IF(D417="","",IF(I417&lt;&gt;"",I417,H417))</f>
        <v/>
      </c>
      <c r="K417" s="117" t="str">
        <f aca="false">IF(D417="","",IFERROR(VLOOKUP($D417,cfg_LT,3,FALSE()),""))</f>
        <v/>
      </c>
      <c r="L417" s="117" t="str">
        <f aca="false">IF(D417="","",IFERROR(VLOOKUP($D417,cfg_LT,4,FALSE()),""))</f>
        <v/>
      </c>
      <c r="M417" s="117" t="str">
        <f aca="false">IF(D417="","",IFERROR(VLOOKUP($D417,cfg_LT,5,FALSE()),""))</f>
        <v/>
      </c>
      <c r="N417" s="116" t="n">
        <f aca="false">IF(OR(OR($B417="",$E417="",$F417=""),M417&lt;&gt;"نعم"),0,G417*J417*IFERROR(INDEX(الموظفون!$R$6:$R$105,MATCH(B417,الموظفون!$B$6:$B$105,0)),0)/cfg_DAYS_M)</f>
        <v>0</v>
      </c>
      <c r="O417" s="115" t="str">
        <f aca="false">IF(OR(OR($B417="",$E417="",$F417=""),M417&lt;&gt;"نعم"),"",IF(YEAR(E417)=cfg_FY,MONTH(E417),""))</f>
        <v/>
      </c>
      <c r="P417" s="117" t="str">
        <f aca="false">IF(B417="","",IF(OR(D417="",E417="",F417=""),"⚠ أكمل النوع والتواريخ",IF(F417&lt;E417,"✖ النهاية قبل البداية",IF(COUNTIFS($B$6:$B$505,B417,$E$6:$E$505,"&lt;="&amp;F417,$F$6:$F$505,"&gt;="&amp;E417)&gt;1,"⚠ تداخل مع سجل آخر",IF(E417&gt;cfg_VAL_DATE,"⏳ قادمة",IF(F417&lt;cfg_VAL_DATE,"✔ منتهية","✈ جارية في تاريخ التقرير"))))))</f>
        <v/>
      </c>
      <c r="Q417" s="118"/>
      <c r="R417" s="133" t="n">
        <f aca="false">IF(OR(OR($B417="",$E417="",$F417=""),L417&lt;&gt;"لا"),0,MAX(0,MIN(F417,cfg_Y_START-1)-E417+1))</f>
        <v>0</v>
      </c>
      <c r="S417" s="133" t="n">
        <f aca="false">IF(OR(OR($B417="",$E417="",$F417=""),L417&lt;&gt;"لا"),0,MAX(0,MIN(F417,cfg_VAL_DATE)-E417+1))</f>
        <v>0</v>
      </c>
      <c r="T417" s="133" t="n">
        <f aca="false">IF(OR(OR($B417="",$E417="",$F417=""),K417&lt;&gt;"نعم"),0,IF(M417="نعم",IF(AND(ISNUMBER(O417),N(O417)&lt;=cfg_VAL_M),G417,0),MAX(0,MIN(F417,cfg_VAL_DATE)-MAX(E417,cfg_Y_START)+1)))</f>
        <v>0</v>
      </c>
      <c r="V417" s="133" t="n">
        <f aca="false">IF(OR($B417="",$E417="",$F417=""),0,MAX(0,MIN($F417,EOMONTH(DATE(cfg_FY,1,1),0))-MAX($E417,DATE(cfg_FY,1,1))+1)*(1-IF($M417="نعم",0,N($J417))))</f>
        <v>0</v>
      </c>
      <c r="W417" s="133" t="n">
        <f aca="false">IF(OR($B417="",$E417="",$F417=""),0,MAX(0,MIN($F417,EOMONTH(DATE(cfg_FY,2,1),0))-MAX($E417,DATE(cfg_FY,2,1))+1)*(1-IF($M417="نعم",0,N($J417))))</f>
        <v>0</v>
      </c>
      <c r="X417" s="133" t="n">
        <f aca="false">IF(OR($B417="",$E417="",$F417=""),0,MAX(0,MIN($F417,EOMONTH(DATE(cfg_FY,3,1),0))-MAX($E417,DATE(cfg_FY,3,1))+1)*(1-IF($M417="نعم",0,N($J417))))</f>
        <v>0</v>
      </c>
      <c r="Y417" s="133" t="n">
        <f aca="false">IF(OR($B417="",$E417="",$F417=""),0,MAX(0,MIN($F417,EOMONTH(DATE(cfg_FY,4,1),0))-MAX($E417,DATE(cfg_FY,4,1))+1)*(1-IF($M417="نعم",0,N($J417))))</f>
        <v>0</v>
      </c>
      <c r="Z417" s="133" t="n">
        <f aca="false">IF(OR($B417="",$E417="",$F417=""),0,MAX(0,MIN($F417,EOMONTH(DATE(cfg_FY,5,1),0))-MAX($E417,DATE(cfg_FY,5,1))+1)*(1-IF($M417="نعم",0,N($J417))))</f>
        <v>0</v>
      </c>
      <c r="AA417" s="133" t="n">
        <f aca="false">IF(OR($B417="",$E417="",$F417=""),0,MAX(0,MIN($F417,EOMONTH(DATE(cfg_FY,6,1),0))-MAX($E417,DATE(cfg_FY,6,1))+1)*(1-IF($M417="نعم",0,N($J417))))</f>
        <v>0</v>
      </c>
      <c r="AB417" s="133" t="n">
        <f aca="false">IF(OR($B417="",$E417="",$F417=""),0,MAX(0,MIN($F417,EOMONTH(DATE(cfg_FY,7,1),0))-MAX($E417,DATE(cfg_FY,7,1))+1)*(1-IF($M417="نعم",0,N($J417))))</f>
        <v>0</v>
      </c>
      <c r="AC417" s="133" t="n">
        <f aca="false">IF(OR($B417="",$E417="",$F417=""),0,MAX(0,MIN($F417,EOMONTH(DATE(cfg_FY,8,1),0))-MAX($E417,DATE(cfg_FY,8,1))+1)*(1-IF($M417="نعم",0,N($J417))))</f>
        <v>0</v>
      </c>
      <c r="AD417" s="133" t="n">
        <f aca="false">IF(OR($B417="",$E417="",$F417=""),0,MAX(0,MIN($F417,EOMONTH(DATE(cfg_FY,9,1),0))-MAX($E417,DATE(cfg_FY,9,1))+1)*(1-IF($M417="نعم",0,N($J417))))</f>
        <v>0</v>
      </c>
      <c r="AE417" s="133" t="n">
        <f aca="false">IF(OR($B417="",$E417="",$F417=""),0,MAX(0,MIN($F417,EOMONTH(DATE(cfg_FY,10,1),0))-MAX($E417,DATE(cfg_FY,10,1))+1)*(1-IF($M417="نعم",0,N($J417))))</f>
        <v>0</v>
      </c>
      <c r="AF417" s="133" t="n">
        <f aca="false">IF(OR($B417="",$E417="",$F417=""),0,MAX(0,MIN($F417,EOMONTH(DATE(cfg_FY,11,1),0))-MAX($E417,DATE(cfg_FY,11,1))+1)*(1-IF($M417="نعم",0,N($J417))))</f>
        <v>0</v>
      </c>
      <c r="AG417" s="133" t="n">
        <f aca="false">IF(OR($B417="",$E417="",$F417=""),0,MAX(0,MIN($F417,EOMONTH(DATE(cfg_FY,12,1),0))-MAX($E417,DATE(cfg_FY,12,1))+1)*(1-IF($M417="نعم",0,N($J417))))</f>
        <v>0</v>
      </c>
      <c r="AH417" s="133" t="n">
        <f aca="false">IF(OR(OR($B417="",$E417="",$F417=""),$L417&lt;&gt;"لا"),0,MAX(0,MIN($F417,EOMONTH(DATE(cfg_FY,1,1),0))-$E417+1))</f>
        <v>0</v>
      </c>
      <c r="AI417" s="133" t="n">
        <f aca="false">IF(OR(OR($B417="",$E417="",$F417=""),$L417&lt;&gt;"لا"),0,MAX(0,MIN($F417,EOMONTH(DATE(cfg_FY,2,1),0))-$E417+1))</f>
        <v>0</v>
      </c>
      <c r="AJ417" s="133" t="n">
        <f aca="false">IF(OR(OR($B417="",$E417="",$F417=""),$L417&lt;&gt;"لا"),0,MAX(0,MIN($F417,EOMONTH(DATE(cfg_FY,3,1),0))-$E417+1))</f>
        <v>0</v>
      </c>
      <c r="AK417" s="133" t="n">
        <f aca="false">IF(OR(OR($B417="",$E417="",$F417=""),$L417&lt;&gt;"لا"),0,MAX(0,MIN($F417,EOMONTH(DATE(cfg_FY,4,1),0))-$E417+1))</f>
        <v>0</v>
      </c>
      <c r="AL417" s="133" t="n">
        <f aca="false">IF(OR(OR($B417="",$E417="",$F417=""),$L417&lt;&gt;"لا"),0,MAX(0,MIN($F417,EOMONTH(DATE(cfg_FY,5,1),0))-$E417+1))</f>
        <v>0</v>
      </c>
      <c r="AM417" s="133" t="n">
        <f aca="false">IF(OR(OR($B417="",$E417="",$F417=""),$L417&lt;&gt;"لا"),0,MAX(0,MIN($F417,EOMONTH(DATE(cfg_FY,6,1),0))-$E417+1))</f>
        <v>0</v>
      </c>
      <c r="AN417" s="133" t="n">
        <f aca="false">IF(OR(OR($B417="",$E417="",$F417=""),$L417&lt;&gt;"لا"),0,MAX(0,MIN($F417,EOMONTH(DATE(cfg_FY,7,1),0))-$E417+1))</f>
        <v>0</v>
      </c>
      <c r="AO417" s="133" t="n">
        <f aca="false">IF(OR(OR($B417="",$E417="",$F417=""),$L417&lt;&gt;"لا"),0,MAX(0,MIN($F417,EOMONTH(DATE(cfg_FY,8,1),0))-$E417+1))</f>
        <v>0</v>
      </c>
      <c r="AP417" s="133" t="n">
        <f aca="false">IF(OR(OR($B417="",$E417="",$F417=""),$L417&lt;&gt;"لا"),0,MAX(0,MIN($F417,EOMONTH(DATE(cfg_FY,9,1),0))-$E417+1))</f>
        <v>0</v>
      </c>
      <c r="AQ417" s="133" t="n">
        <f aca="false">IF(OR(OR($B417="",$E417="",$F417=""),$L417&lt;&gt;"لا"),0,MAX(0,MIN($F417,EOMONTH(DATE(cfg_FY,10,1),0))-$E417+1))</f>
        <v>0</v>
      </c>
      <c r="AR417" s="133" t="n">
        <f aca="false">IF(OR(OR($B417="",$E417="",$F417=""),$L417&lt;&gt;"لا"),0,MAX(0,MIN($F417,EOMONTH(DATE(cfg_FY,11,1),0))-$E417+1))</f>
        <v>0</v>
      </c>
      <c r="AS417" s="133" t="n">
        <f aca="false">IF(OR(OR($B417="",$E417="",$F417=""),$L417&lt;&gt;"لا"),0,MAX(0,MIN($F417,EOMONTH(DATE(cfg_FY,12,1),0))-$E417+1))</f>
        <v>0</v>
      </c>
      <c r="AT417" s="133" t="n">
        <f aca="false">IF(OR(OR($B417="",$E417="",$F417=""),$K417&lt;&gt;"نعم",$M417="نعم"),0,MAX(0,MIN($F417,EOMONTH(DATE(cfg_FY,1,1),0))-MAX($E417,DATE(cfg_FY,1,1))+1))</f>
        <v>0</v>
      </c>
      <c r="AU417" s="133" t="n">
        <f aca="false">IF(OR(OR($B417="",$E417="",$F417=""),$K417&lt;&gt;"نعم",$M417="نعم"),0,MAX(0,MIN($F417,EOMONTH(DATE(cfg_FY,2,1),0))-MAX($E417,DATE(cfg_FY,2,1))+1))</f>
        <v>0</v>
      </c>
      <c r="AV417" s="133" t="n">
        <f aca="false">IF(OR(OR($B417="",$E417="",$F417=""),$K417&lt;&gt;"نعم",$M417="نعم"),0,MAX(0,MIN($F417,EOMONTH(DATE(cfg_FY,3,1),0))-MAX($E417,DATE(cfg_FY,3,1))+1))</f>
        <v>0</v>
      </c>
      <c r="AW417" s="133" t="n">
        <f aca="false">IF(OR(OR($B417="",$E417="",$F417=""),$K417&lt;&gt;"نعم",$M417="نعم"),0,MAX(0,MIN($F417,EOMONTH(DATE(cfg_FY,4,1),0))-MAX($E417,DATE(cfg_FY,4,1))+1))</f>
        <v>0</v>
      </c>
      <c r="AX417" s="133" t="n">
        <f aca="false">IF(OR(OR($B417="",$E417="",$F417=""),$K417&lt;&gt;"نعم",$M417="نعم"),0,MAX(0,MIN($F417,EOMONTH(DATE(cfg_FY,5,1),0))-MAX($E417,DATE(cfg_FY,5,1))+1))</f>
        <v>0</v>
      </c>
      <c r="AY417" s="133" t="n">
        <f aca="false">IF(OR(OR($B417="",$E417="",$F417=""),$K417&lt;&gt;"نعم",$M417="نعم"),0,MAX(0,MIN($F417,EOMONTH(DATE(cfg_FY,6,1),0))-MAX($E417,DATE(cfg_FY,6,1))+1))</f>
        <v>0</v>
      </c>
      <c r="AZ417" s="133" t="n">
        <f aca="false">IF(OR(OR($B417="",$E417="",$F417=""),$K417&lt;&gt;"نعم",$M417="نعم"),0,MAX(0,MIN($F417,EOMONTH(DATE(cfg_FY,7,1),0))-MAX($E417,DATE(cfg_FY,7,1))+1))</f>
        <v>0</v>
      </c>
      <c r="BA417" s="133" t="n">
        <f aca="false">IF(OR(OR($B417="",$E417="",$F417=""),$K417&lt;&gt;"نعم",$M417="نعم"),0,MAX(0,MIN($F417,EOMONTH(DATE(cfg_FY,8,1),0))-MAX($E417,DATE(cfg_FY,8,1))+1))</f>
        <v>0</v>
      </c>
      <c r="BB417" s="133" t="n">
        <f aca="false">IF(OR(OR($B417="",$E417="",$F417=""),$K417&lt;&gt;"نعم",$M417="نعم"),0,MAX(0,MIN($F417,EOMONTH(DATE(cfg_FY,9,1),0))-MAX($E417,DATE(cfg_FY,9,1))+1))</f>
        <v>0</v>
      </c>
      <c r="BC417" s="133" t="n">
        <f aca="false">IF(OR(OR($B417="",$E417="",$F417=""),$K417&lt;&gt;"نعم",$M417="نعم"),0,MAX(0,MIN($F417,EOMONTH(DATE(cfg_FY,10,1),0))-MAX($E417,DATE(cfg_FY,10,1))+1))</f>
        <v>0</v>
      </c>
      <c r="BD417" s="133" t="n">
        <f aca="false">IF(OR(OR($B417="",$E417="",$F417=""),$K417&lt;&gt;"نعم",$M417="نعم"),0,MAX(0,MIN($F417,EOMONTH(DATE(cfg_FY,11,1),0))-MAX($E417,DATE(cfg_FY,11,1))+1))</f>
        <v>0</v>
      </c>
      <c r="BE417" s="133" t="n">
        <f aca="false">IF(OR(OR($B417="",$E417="",$F417=""),$K417&lt;&gt;"نعم",$M417="نعم"),0,MAX(0,MIN($F417,EOMONTH(DATE(cfg_FY,12,1),0))-MAX($E417,DATE(cfg_FY,12,1))+1))</f>
        <v>0</v>
      </c>
    </row>
    <row r="418" customFormat="false" ht="15" hidden="false" customHeight="false" outlineLevel="0" collapsed="false">
      <c r="A418" s="106" t="str">
        <f aca="false">IF(B418="","",ROW()-5)</f>
        <v/>
      </c>
      <c r="B418" s="118"/>
      <c r="C418" s="114" t="str">
        <f aca="false">IF(B418="","",IFERROR(INDEX(الموظفون!$C$6:$C$105,MATCH(B418,الموظفون!$B$6:$B$105,0)),"✖ رقم غير موجود"))</f>
        <v/>
      </c>
      <c r="D418" s="118"/>
      <c r="E418" s="119"/>
      <c r="F418" s="119"/>
      <c r="G418" s="65" t="str">
        <f aca="false">IF(OR($B418="",$E418="",$F418=""),"",MAX(0,F418-E418+1))</f>
        <v/>
      </c>
      <c r="H418" s="66" t="str">
        <f aca="false">IF(D418="","",IFERROR(VLOOKUP(D418,cfg_LT,2,FALSE()),1))</f>
        <v/>
      </c>
      <c r="I418" s="135"/>
      <c r="J418" s="66" t="str">
        <f aca="false">IF(D418="","",IF(I418&lt;&gt;"",I418,H418))</f>
        <v/>
      </c>
      <c r="K418" s="114" t="str">
        <f aca="false">IF(D418="","",IFERROR(VLOOKUP($D418,cfg_LT,3,FALSE()),""))</f>
        <v/>
      </c>
      <c r="L418" s="114" t="str">
        <f aca="false">IF(D418="","",IFERROR(VLOOKUP($D418,cfg_LT,4,FALSE()),""))</f>
        <v/>
      </c>
      <c r="M418" s="114" t="str">
        <f aca="false">IF(D418="","",IFERROR(VLOOKUP($D418,cfg_LT,5,FALSE()),""))</f>
        <v/>
      </c>
      <c r="N418" s="111" t="n">
        <f aca="false">IF(OR(OR($B418="",$E418="",$F418=""),M418&lt;&gt;"نعم"),0,G418*J418*IFERROR(INDEX(الموظفون!$R$6:$R$105,MATCH(B418,الموظفون!$B$6:$B$105,0)),0)/cfg_DAYS_M)</f>
        <v>0</v>
      </c>
      <c r="O418" s="106" t="str">
        <f aca="false">IF(OR(OR($B418="",$E418="",$F418=""),M418&lt;&gt;"نعم"),"",IF(YEAR(E418)=cfg_FY,MONTH(E418),""))</f>
        <v/>
      </c>
      <c r="P418" s="114" t="str">
        <f aca="false">IF(B418="","",IF(OR(D418="",E418="",F418=""),"⚠ أكمل النوع والتواريخ",IF(F418&lt;E418,"✖ النهاية قبل البداية",IF(COUNTIFS($B$6:$B$505,B418,$E$6:$E$505,"&lt;="&amp;F418,$F$6:$F$505,"&gt;="&amp;E418)&gt;1,"⚠ تداخل مع سجل آخر",IF(E418&gt;cfg_VAL_DATE,"⏳ قادمة",IF(F418&lt;cfg_VAL_DATE,"✔ منتهية","✈ جارية في تاريخ التقرير"))))))</f>
        <v/>
      </c>
      <c r="Q418" s="118"/>
      <c r="R418" s="65" t="n">
        <f aca="false">IF(OR(OR($B418="",$E418="",$F418=""),L418&lt;&gt;"لا"),0,MAX(0,MIN(F418,cfg_Y_START-1)-E418+1))</f>
        <v>0</v>
      </c>
      <c r="S418" s="65" t="n">
        <f aca="false">IF(OR(OR($B418="",$E418="",$F418=""),L418&lt;&gt;"لا"),0,MAX(0,MIN(F418,cfg_VAL_DATE)-E418+1))</f>
        <v>0</v>
      </c>
      <c r="T418" s="65" t="n">
        <f aca="false">IF(OR(OR($B418="",$E418="",$F418=""),K418&lt;&gt;"نعم"),0,IF(M418="نعم",IF(AND(ISNUMBER(O418),N(O418)&lt;=cfg_VAL_M),G418,0),MAX(0,MIN(F418,cfg_VAL_DATE)-MAX(E418,cfg_Y_START)+1)))</f>
        <v>0</v>
      </c>
      <c r="V418" s="65" t="n">
        <f aca="false">IF(OR($B418="",$E418="",$F418=""),0,MAX(0,MIN($F418,EOMONTH(DATE(cfg_FY,1,1),0))-MAX($E418,DATE(cfg_FY,1,1))+1)*(1-IF($M418="نعم",0,N($J418))))</f>
        <v>0</v>
      </c>
      <c r="W418" s="65" t="n">
        <f aca="false">IF(OR($B418="",$E418="",$F418=""),0,MAX(0,MIN($F418,EOMONTH(DATE(cfg_FY,2,1),0))-MAX($E418,DATE(cfg_FY,2,1))+1)*(1-IF($M418="نعم",0,N($J418))))</f>
        <v>0</v>
      </c>
      <c r="X418" s="65" t="n">
        <f aca="false">IF(OR($B418="",$E418="",$F418=""),0,MAX(0,MIN($F418,EOMONTH(DATE(cfg_FY,3,1),0))-MAX($E418,DATE(cfg_FY,3,1))+1)*(1-IF($M418="نعم",0,N($J418))))</f>
        <v>0</v>
      </c>
      <c r="Y418" s="65" t="n">
        <f aca="false">IF(OR($B418="",$E418="",$F418=""),0,MAX(0,MIN($F418,EOMONTH(DATE(cfg_FY,4,1),0))-MAX($E418,DATE(cfg_FY,4,1))+1)*(1-IF($M418="نعم",0,N($J418))))</f>
        <v>0</v>
      </c>
      <c r="Z418" s="65" t="n">
        <f aca="false">IF(OR($B418="",$E418="",$F418=""),0,MAX(0,MIN($F418,EOMONTH(DATE(cfg_FY,5,1),0))-MAX($E418,DATE(cfg_FY,5,1))+1)*(1-IF($M418="نعم",0,N($J418))))</f>
        <v>0</v>
      </c>
      <c r="AA418" s="65" t="n">
        <f aca="false">IF(OR($B418="",$E418="",$F418=""),0,MAX(0,MIN($F418,EOMONTH(DATE(cfg_FY,6,1),0))-MAX($E418,DATE(cfg_FY,6,1))+1)*(1-IF($M418="نعم",0,N($J418))))</f>
        <v>0</v>
      </c>
      <c r="AB418" s="65" t="n">
        <f aca="false">IF(OR($B418="",$E418="",$F418=""),0,MAX(0,MIN($F418,EOMONTH(DATE(cfg_FY,7,1),0))-MAX($E418,DATE(cfg_FY,7,1))+1)*(1-IF($M418="نعم",0,N($J418))))</f>
        <v>0</v>
      </c>
      <c r="AC418" s="65" t="n">
        <f aca="false">IF(OR($B418="",$E418="",$F418=""),0,MAX(0,MIN($F418,EOMONTH(DATE(cfg_FY,8,1),0))-MAX($E418,DATE(cfg_FY,8,1))+1)*(1-IF($M418="نعم",0,N($J418))))</f>
        <v>0</v>
      </c>
      <c r="AD418" s="65" t="n">
        <f aca="false">IF(OR($B418="",$E418="",$F418=""),0,MAX(0,MIN($F418,EOMONTH(DATE(cfg_FY,9,1),0))-MAX($E418,DATE(cfg_FY,9,1))+1)*(1-IF($M418="نعم",0,N($J418))))</f>
        <v>0</v>
      </c>
      <c r="AE418" s="65" t="n">
        <f aca="false">IF(OR($B418="",$E418="",$F418=""),0,MAX(0,MIN($F418,EOMONTH(DATE(cfg_FY,10,1),0))-MAX($E418,DATE(cfg_FY,10,1))+1)*(1-IF($M418="نعم",0,N($J418))))</f>
        <v>0</v>
      </c>
      <c r="AF418" s="65" t="n">
        <f aca="false">IF(OR($B418="",$E418="",$F418=""),0,MAX(0,MIN($F418,EOMONTH(DATE(cfg_FY,11,1),0))-MAX($E418,DATE(cfg_FY,11,1))+1)*(1-IF($M418="نعم",0,N($J418))))</f>
        <v>0</v>
      </c>
      <c r="AG418" s="65" t="n">
        <f aca="false">IF(OR($B418="",$E418="",$F418=""),0,MAX(0,MIN($F418,EOMONTH(DATE(cfg_FY,12,1),0))-MAX($E418,DATE(cfg_FY,12,1))+1)*(1-IF($M418="نعم",0,N($J418))))</f>
        <v>0</v>
      </c>
      <c r="AH418" s="65" t="n">
        <f aca="false">IF(OR(OR($B418="",$E418="",$F418=""),$L418&lt;&gt;"لا"),0,MAX(0,MIN($F418,EOMONTH(DATE(cfg_FY,1,1),0))-$E418+1))</f>
        <v>0</v>
      </c>
      <c r="AI418" s="65" t="n">
        <f aca="false">IF(OR(OR($B418="",$E418="",$F418=""),$L418&lt;&gt;"لا"),0,MAX(0,MIN($F418,EOMONTH(DATE(cfg_FY,2,1),0))-$E418+1))</f>
        <v>0</v>
      </c>
      <c r="AJ418" s="65" t="n">
        <f aca="false">IF(OR(OR($B418="",$E418="",$F418=""),$L418&lt;&gt;"لا"),0,MAX(0,MIN($F418,EOMONTH(DATE(cfg_FY,3,1),0))-$E418+1))</f>
        <v>0</v>
      </c>
      <c r="AK418" s="65" t="n">
        <f aca="false">IF(OR(OR($B418="",$E418="",$F418=""),$L418&lt;&gt;"لا"),0,MAX(0,MIN($F418,EOMONTH(DATE(cfg_FY,4,1),0))-$E418+1))</f>
        <v>0</v>
      </c>
      <c r="AL418" s="65" t="n">
        <f aca="false">IF(OR(OR($B418="",$E418="",$F418=""),$L418&lt;&gt;"لا"),0,MAX(0,MIN($F418,EOMONTH(DATE(cfg_FY,5,1),0))-$E418+1))</f>
        <v>0</v>
      </c>
      <c r="AM418" s="65" t="n">
        <f aca="false">IF(OR(OR($B418="",$E418="",$F418=""),$L418&lt;&gt;"لا"),0,MAX(0,MIN($F418,EOMONTH(DATE(cfg_FY,6,1),0))-$E418+1))</f>
        <v>0</v>
      </c>
      <c r="AN418" s="65" t="n">
        <f aca="false">IF(OR(OR($B418="",$E418="",$F418=""),$L418&lt;&gt;"لا"),0,MAX(0,MIN($F418,EOMONTH(DATE(cfg_FY,7,1),0))-$E418+1))</f>
        <v>0</v>
      </c>
      <c r="AO418" s="65" t="n">
        <f aca="false">IF(OR(OR($B418="",$E418="",$F418=""),$L418&lt;&gt;"لا"),0,MAX(0,MIN($F418,EOMONTH(DATE(cfg_FY,8,1),0))-$E418+1))</f>
        <v>0</v>
      </c>
      <c r="AP418" s="65" t="n">
        <f aca="false">IF(OR(OR($B418="",$E418="",$F418=""),$L418&lt;&gt;"لا"),0,MAX(0,MIN($F418,EOMONTH(DATE(cfg_FY,9,1),0))-$E418+1))</f>
        <v>0</v>
      </c>
      <c r="AQ418" s="65" t="n">
        <f aca="false">IF(OR(OR($B418="",$E418="",$F418=""),$L418&lt;&gt;"لا"),0,MAX(0,MIN($F418,EOMONTH(DATE(cfg_FY,10,1),0))-$E418+1))</f>
        <v>0</v>
      </c>
      <c r="AR418" s="65" t="n">
        <f aca="false">IF(OR(OR($B418="",$E418="",$F418=""),$L418&lt;&gt;"لا"),0,MAX(0,MIN($F418,EOMONTH(DATE(cfg_FY,11,1),0))-$E418+1))</f>
        <v>0</v>
      </c>
      <c r="AS418" s="65" t="n">
        <f aca="false">IF(OR(OR($B418="",$E418="",$F418=""),$L418&lt;&gt;"لا"),0,MAX(0,MIN($F418,EOMONTH(DATE(cfg_FY,12,1),0))-$E418+1))</f>
        <v>0</v>
      </c>
      <c r="AT418" s="65" t="n">
        <f aca="false">IF(OR(OR($B418="",$E418="",$F418=""),$K418&lt;&gt;"نعم",$M418="نعم"),0,MAX(0,MIN($F418,EOMONTH(DATE(cfg_FY,1,1),0))-MAX($E418,DATE(cfg_FY,1,1))+1))</f>
        <v>0</v>
      </c>
      <c r="AU418" s="65" t="n">
        <f aca="false">IF(OR(OR($B418="",$E418="",$F418=""),$K418&lt;&gt;"نعم",$M418="نعم"),0,MAX(0,MIN($F418,EOMONTH(DATE(cfg_FY,2,1),0))-MAX($E418,DATE(cfg_FY,2,1))+1))</f>
        <v>0</v>
      </c>
      <c r="AV418" s="65" t="n">
        <f aca="false">IF(OR(OR($B418="",$E418="",$F418=""),$K418&lt;&gt;"نعم",$M418="نعم"),0,MAX(0,MIN($F418,EOMONTH(DATE(cfg_FY,3,1),0))-MAX($E418,DATE(cfg_FY,3,1))+1))</f>
        <v>0</v>
      </c>
      <c r="AW418" s="65" t="n">
        <f aca="false">IF(OR(OR($B418="",$E418="",$F418=""),$K418&lt;&gt;"نعم",$M418="نعم"),0,MAX(0,MIN($F418,EOMONTH(DATE(cfg_FY,4,1),0))-MAX($E418,DATE(cfg_FY,4,1))+1))</f>
        <v>0</v>
      </c>
      <c r="AX418" s="65" t="n">
        <f aca="false">IF(OR(OR($B418="",$E418="",$F418=""),$K418&lt;&gt;"نعم",$M418="نعم"),0,MAX(0,MIN($F418,EOMONTH(DATE(cfg_FY,5,1),0))-MAX($E418,DATE(cfg_FY,5,1))+1))</f>
        <v>0</v>
      </c>
      <c r="AY418" s="65" t="n">
        <f aca="false">IF(OR(OR($B418="",$E418="",$F418=""),$K418&lt;&gt;"نعم",$M418="نعم"),0,MAX(0,MIN($F418,EOMONTH(DATE(cfg_FY,6,1),0))-MAX($E418,DATE(cfg_FY,6,1))+1))</f>
        <v>0</v>
      </c>
      <c r="AZ418" s="65" t="n">
        <f aca="false">IF(OR(OR($B418="",$E418="",$F418=""),$K418&lt;&gt;"نعم",$M418="نعم"),0,MAX(0,MIN($F418,EOMONTH(DATE(cfg_FY,7,1),0))-MAX($E418,DATE(cfg_FY,7,1))+1))</f>
        <v>0</v>
      </c>
      <c r="BA418" s="65" t="n">
        <f aca="false">IF(OR(OR($B418="",$E418="",$F418=""),$K418&lt;&gt;"نعم",$M418="نعم"),0,MAX(0,MIN($F418,EOMONTH(DATE(cfg_FY,8,1),0))-MAX($E418,DATE(cfg_FY,8,1))+1))</f>
        <v>0</v>
      </c>
      <c r="BB418" s="65" t="n">
        <f aca="false">IF(OR(OR($B418="",$E418="",$F418=""),$K418&lt;&gt;"نعم",$M418="نعم"),0,MAX(0,MIN($F418,EOMONTH(DATE(cfg_FY,9,1),0))-MAX($E418,DATE(cfg_FY,9,1))+1))</f>
        <v>0</v>
      </c>
      <c r="BC418" s="65" t="n">
        <f aca="false">IF(OR(OR($B418="",$E418="",$F418=""),$K418&lt;&gt;"نعم",$M418="نعم"),0,MAX(0,MIN($F418,EOMONTH(DATE(cfg_FY,10,1),0))-MAX($E418,DATE(cfg_FY,10,1))+1))</f>
        <v>0</v>
      </c>
      <c r="BD418" s="65" t="n">
        <f aca="false">IF(OR(OR($B418="",$E418="",$F418=""),$K418&lt;&gt;"نعم",$M418="نعم"),0,MAX(0,MIN($F418,EOMONTH(DATE(cfg_FY,11,1),0))-MAX($E418,DATE(cfg_FY,11,1))+1))</f>
        <v>0</v>
      </c>
      <c r="BE418" s="65" t="n">
        <f aca="false">IF(OR(OR($B418="",$E418="",$F418=""),$K418&lt;&gt;"نعم",$M418="نعم"),0,MAX(0,MIN($F418,EOMONTH(DATE(cfg_FY,12,1),0))-MAX($E418,DATE(cfg_FY,12,1))+1))</f>
        <v>0</v>
      </c>
    </row>
    <row r="419" customFormat="false" ht="15" hidden="false" customHeight="false" outlineLevel="0" collapsed="false">
      <c r="A419" s="115" t="str">
        <f aca="false">IF(B419="","",ROW()-5)</f>
        <v/>
      </c>
      <c r="B419" s="118"/>
      <c r="C419" s="117" t="str">
        <f aca="false">IF(B419="","",IFERROR(INDEX(الموظفون!$C$6:$C$105,MATCH(B419,الموظفون!$B$6:$B$105,0)),"✖ رقم غير موجود"))</f>
        <v/>
      </c>
      <c r="D419" s="118"/>
      <c r="E419" s="119"/>
      <c r="F419" s="119"/>
      <c r="G419" s="133" t="str">
        <f aca="false">IF(OR($B419="",$E419="",$F419=""),"",MAX(0,F419-E419+1))</f>
        <v/>
      </c>
      <c r="H419" s="134" t="str">
        <f aca="false">IF(D419="","",IFERROR(VLOOKUP(D419,cfg_LT,2,FALSE()),1))</f>
        <v/>
      </c>
      <c r="I419" s="135"/>
      <c r="J419" s="134" t="str">
        <f aca="false">IF(D419="","",IF(I419&lt;&gt;"",I419,H419))</f>
        <v/>
      </c>
      <c r="K419" s="117" t="str">
        <f aca="false">IF(D419="","",IFERROR(VLOOKUP($D419,cfg_LT,3,FALSE()),""))</f>
        <v/>
      </c>
      <c r="L419" s="117" t="str">
        <f aca="false">IF(D419="","",IFERROR(VLOOKUP($D419,cfg_LT,4,FALSE()),""))</f>
        <v/>
      </c>
      <c r="M419" s="117" t="str">
        <f aca="false">IF(D419="","",IFERROR(VLOOKUP($D419,cfg_LT,5,FALSE()),""))</f>
        <v/>
      </c>
      <c r="N419" s="116" t="n">
        <f aca="false">IF(OR(OR($B419="",$E419="",$F419=""),M419&lt;&gt;"نعم"),0,G419*J419*IFERROR(INDEX(الموظفون!$R$6:$R$105,MATCH(B419,الموظفون!$B$6:$B$105,0)),0)/cfg_DAYS_M)</f>
        <v>0</v>
      </c>
      <c r="O419" s="115" t="str">
        <f aca="false">IF(OR(OR($B419="",$E419="",$F419=""),M419&lt;&gt;"نعم"),"",IF(YEAR(E419)=cfg_FY,MONTH(E419),""))</f>
        <v/>
      </c>
      <c r="P419" s="117" t="str">
        <f aca="false">IF(B419="","",IF(OR(D419="",E419="",F419=""),"⚠ أكمل النوع والتواريخ",IF(F419&lt;E419,"✖ النهاية قبل البداية",IF(COUNTIFS($B$6:$B$505,B419,$E$6:$E$505,"&lt;="&amp;F419,$F$6:$F$505,"&gt;="&amp;E419)&gt;1,"⚠ تداخل مع سجل آخر",IF(E419&gt;cfg_VAL_DATE,"⏳ قادمة",IF(F419&lt;cfg_VAL_DATE,"✔ منتهية","✈ جارية في تاريخ التقرير"))))))</f>
        <v/>
      </c>
      <c r="Q419" s="118"/>
      <c r="R419" s="133" t="n">
        <f aca="false">IF(OR(OR($B419="",$E419="",$F419=""),L419&lt;&gt;"لا"),0,MAX(0,MIN(F419,cfg_Y_START-1)-E419+1))</f>
        <v>0</v>
      </c>
      <c r="S419" s="133" t="n">
        <f aca="false">IF(OR(OR($B419="",$E419="",$F419=""),L419&lt;&gt;"لا"),0,MAX(0,MIN(F419,cfg_VAL_DATE)-E419+1))</f>
        <v>0</v>
      </c>
      <c r="T419" s="133" t="n">
        <f aca="false">IF(OR(OR($B419="",$E419="",$F419=""),K419&lt;&gt;"نعم"),0,IF(M419="نعم",IF(AND(ISNUMBER(O419),N(O419)&lt;=cfg_VAL_M),G419,0),MAX(0,MIN(F419,cfg_VAL_DATE)-MAX(E419,cfg_Y_START)+1)))</f>
        <v>0</v>
      </c>
      <c r="V419" s="133" t="n">
        <f aca="false">IF(OR($B419="",$E419="",$F419=""),0,MAX(0,MIN($F419,EOMONTH(DATE(cfg_FY,1,1),0))-MAX($E419,DATE(cfg_FY,1,1))+1)*(1-IF($M419="نعم",0,N($J419))))</f>
        <v>0</v>
      </c>
      <c r="W419" s="133" t="n">
        <f aca="false">IF(OR($B419="",$E419="",$F419=""),0,MAX(0,MIN($F419,EOMONTH(DATE(cfg_FY,2,1),0))-MAX($E419,DATE(cfg_FY,2,1))+1)*(1-IF($M419="نعم",0,N($J419))))</f>
        <v>0</v>
      </c>
      <c r="X419" s="133" t="n">
        <f aca="false">IF(OR($B419="",$E419="",$F419=""),0,MAX(0,MIN($F419,EOMONTH(DATE(cfg_FY,3,1),0))-MAX($E419,DATE(cfg_FY,3,1))+1)*(1-IF($M419="نعم",0,N($J419))))</f>
        <v>0</v>
      </c>
      <c r="Y419" s="133" t="n">
        <f aca="false">IF(OR($B419="",$E419="",$F419=""),0,MAX(0,MIN($F419,EOMONTH(DATE(cfg_FY,4,1),0))-MAX($E419,DATE(cfg_FY,4,1))+1)*(1-IF($M419="نعم",0,N($J419))))</f>
        <v>0</v>
      </c>
      <c r="Z419" s="133" t="n">
        <f aca="false">IF(OR($B419="",$E419="",$F419=""),0,MAX(0,MIN($F419,EOMONTH(DATE(cfg_FY,5,1),0))-MAX($E419,DATE(cfg_FY,5,1))+1)*(1-IF($M419="نعم",0,N($J419))))</f>
        <v>0</v>
      </c>
      <c r="AA419" s="133" t="n">
        <f aca="false">IF(OR($B419="",$E419="",$F419=""),0,MAX(0,MIN($F419,EOMONTH(DATE(cfg_FY,6,1),0))-MAX($E419,DATE(cfg_FY,6,1))+1)*(1-IF($M419="نعم",0,N($J419))))</f>
        <v>0</v>
      </c>
      <c r="AB419" s="133" t="n">
        <f aca="false">IF(OR($B419="",$E419="",$F419=""),0,MAX(0,MIN($F419,EOMONTH(DATE(cfg_FY,7,1),0))-MAX($E419,DATE(cfg_FY,7,1))+1)*(1-IF($M419="نعم",0,N($J419))))</f>
        <v>0</v>
      </c>
      <c r="AC419" s="133" t="n">
        <f aca="false">IF(OR($B419="",$E419="",$F419=""),0,MAX(0,MIN($F419,EOMONTH(DATE(cfg_FY,8,1),0))-MAX($E419,DATE(cfg_FY,8,1))+1)*(1-IF($M419="نعم",0,N($J419))))</f>
        <v>0</v>
      </c>
      <c r="AD419" s="133" t="n">
        <f aca="false">IF(OR($B419="",$E419="",$F419=""),0,MAX(0,MIN($F419,EOMONTH(DATE(cfg_FY,9,1),0))-MAX($E419,DATE(cfg_FY,9,1))+1)*(1-IF($M419="نعم",0,N($J419))))</f>
        <v>0</v>
      </c>
      <c r="AE419" s="133" t="n">
        <f aca="false">IF(OR($B419="",$E419="",$F419=""),0,MAX(0,MIN($F419,EOMONTH(DATE(cfg_FY,10,1),0))-MAX($E419,DATE(cfg_FY,10,1))+1)*(1-IF($M419="نعم",0,N($J419))))</f>
        <v>0</v>
      </c>
      <c r="AF419" s="133" t="n">
        <f aca="false">IF(OR($B419="",$E419="",$F419=""),0,MAX(0,MIN($F419,EOMONTH(DATE(cfg_FY,11,1),0))-MAX($E419,DATE(cfg_FY,11,1))+1)*(1-IF($M419="نعم",0,N($J419))))</f>
        <v>0</v>
      </c>
      <c r="AG419" s="133" t="n">
        <f aca="false">IF(OR($B419="",$E419="",$F419=""),0,MAX(0,MIN($F419,EOMONTH(DATE(cfg_FY,12,1),0))-MAX($E419,DATE(cfg_FY,12,1))+1)*(1-IF($M419="نعم",0,N($J419))))</f>
        <v>0</v>
      </c>
      <c r="AH419" s="133" t="n">
        <f aca="false">IF(OR(OR($B419="",$E419="",$F419=""),$L419&lt;&gt;"لا"),0,MAX(0,MIN($F419,EOMONTH(DATE(cfg_FY,1,1),0))-$E419+1))</f>
        <v>0</v>
      </c>
      <c r="AI419" s="133" t="n">
        <f aca="false">IF(OR(OR($B419="",$E419="",$F419=""),$L419&lt;&gt;"لا"),0,MAX(0,MIN($F419,EOMONTH(DATE(cfg_FY,2,1),0))-$E419+1))</f>
        <v>0</v>
      </c>
      <c r="AJ419" s="133" t="n">
        <f aca="false">IF(OR(OR($B419="",$E419="",$F419=""),$L419&lt;&gt;"لا"),0,MAX(0,MIN($F419,EOMONTH(DATE(cfg_FY,3,1),0))-$E419+1))</f>
        <v>0</v>
      </c>
      <c r="AK419" s="133" t="n">
        <f aca="false">IF(OR(OR($B419="",$E419="",$F419=""),$L419&lt;&gt;"لا"),0,MAX(0,MIN($F419,EOMONTH(DATE(cfg_FY,4,1),0))-$E419+1))</f>
        <v>0</v>
      </c>
      <c r="AL419" s="133" t="n">
        <f aca="false">IF(OR(OR($B419="",$E419="",$F419=""),$L419&lt;&gt;"لا"),0,MAX(0,MIN($F419,EOMONTH(DATE(cfg_FY,5,1),0))-$E419+1))</f>
        <v>0</v>
      </c>
      <c r="AM419" s="133" t="n">
        <f aca="false">IF(OR(OR($B419="",$E419="",$F419=""),$L419&lt;&gt;"لا"),0,MAX(0,MIN($F419,EOMONTH(DATE(cfg_FY,6,1),0))-$E419+1))</f>
        <v>0</v>
      </c>
      <c r="AN419" s="133" t="n">
        <f aca="false">IF(OR(OR($B419="",$E419="",$F419=""),$L419&lt;&gt;"لا"),0,MAX(0,MIN($F419,EOMONTH(DATE(cfg_FY,7,1),0))-$E419+1))</f>
        <v>0</v>
      </c>
      <c r="AO419" s="133" t="n">
        <f aca="false">IF(OR(OR($B419="",$E419="",$F419=""),$L419&lt;&gt;"لا"),0,MAX(0,MIN($F419,EOMONTH(DATE(cfg_FY,8,1),0))-$E419+1))</f>
        <v>0</v>
      </c>
      <c r="AP419" s="133" t="n">
        <f aca="false">IF(OR(OR($B419="",$E419="",$F419=""),$L419&lt;&gt;"لا"),0,MAX(0,MIN($F419,EOMONTH(DATE(cfg_FY,9,1),0))-$E419+1))</f>
        <v>0</v>
      </c>
      <c r="AQ419" s="133" t="n">
        <f aca="false">IF(OR(OR($B419="",$E419="",$F419=""),$L419&lt;&gt;"لا"),0,MAX(0,MIN($F419,EOMONTH(DATE(cfg_FY,10,1),0))-$E419+1))</f>
        <v>0</v>
      </c>
      <c r="AR419" s="133" t="n">
        <f aca="false">IF(OR(OR($B419="",$E419="",$F419=""),$L419&lt;&gt;"لا"),0,MAX(0,MIN($F419,EOMONTH(DATE(cfg_FY,11,1),0))-$E419+1))</f>
        <v>0</v>
      </c>
      <c r="AS419" s="133" t="n">
        <f aca="false">IF(OR(OR($B419="",$E419="",$F419=""),$L419&lt;&gt;"لا"),0,MAX(0,MIN($F419,EOMONTH(DATE(cfg_FY,12,1),0))-$E419+1))</f>
        <v>0</v>
      </c>
      <c r="AT419" s="133" t="n">
        <f aca="false">IF(OR(OR($B419="",$E419="",$F419=""),$K419&lt;&gt;"نعم",$M419="نعم"),0,MAX(0,MIN($F419,EOMONTH(DATE(cfg_FY,1,1),0))-MAX($E419,DATE(cfg_FY,1,1))+1))</f>
        <v>0</v>
      </c>
      <c r="AU419" s="133" t="n">
        <f aca="false">IF(OR(OR($B419="",$E419="",$F419=""),$K419&lt;&gt;"نعم",$M419="نعم"),0,MAX(0,MIN($F419,EOMONTH(DATE(cfg_FY,2,1),0))-MAX($E419,DATE(cfg_FY,2,1))+1))</f>
        <v>0</v>
      </c>
      <c r="AV419" s="133" t="n">
        <f aca="false">IF(OR(OR($B419="",$E419="",$F419=""),$K419&lt;&gt;"نعم",$M419="نعم"),0,MAX(0,MIN($F419,EOMONTH(DATE(cfg_FY,3,1),0))-MAX($E419,DATE(cfg_FY,3,1))+1))</f>
        <v>0</v>
      </c>
      <c r="AW419" s="133" t="n">
        <f aca="false">IF(OR(OR($B419="",$E419="",$F419=""),$K419&lt;&gt;"نعم",$M419="نعم"),0,MAX(0,MIN($F419,EOMONTH(DATE(cfg_FY,4,1),0))-MAX($E419,DATE(cfg_FY,4,1))+1))</f>
        <v>0</v>
      </c>
      <c r="AX419" s="133" t="n">
        <f aca="false">IF(OR(OR($B419="",$E419="",$F419=""),$K419&lt;&gt;"نعم",$M419="نعم"),0,MAX(0,MIN($F419,EOMONTH(DATE(cfg_FY,5,1),0))-MAX($E419,DATE(cfg_FY,5,1))+1))</f>
        <v>0</v>
      </c>
      <c r="AY419" s="133" t="n">
        <f aca="false">IF(OR(OR($B419="",$E419="",$F419=""),$K419&lt;&gt;"نعم",$M419="نعم"),0,MAX(0,MIN($F419,EOMONTH(DATE(cfg_FY,6,1),0))-MAX($E419,DATE(cfg_FY,6,1))+1))</f>
        <v>0</v>
      </c>
      <c r="AZ419" s="133" t="n">
        <f aca="false">IF(OR(OR($B419="",$E419="",$F419=""),$K419&lt;&gt;"نعم",$M419="نعم"),0,MAX(0,MIN($F419,EOMONTH(DATE(cfg_FY,7,1),0))-MAX($E419,DATE(cfg_FY,7,1))+1))</f>
        <v>0</v>
      </c>
      <c r="BA419" s="133" t="n">
        <f aca="false">IF(OR(OR($B419="",$E419="",$F419=""),$K419&lt;&gt;"نعم",$M419="نعم"),0,MAX(0,MIN($F419,EOMONTH(DATE(cfg_FY,8,1),0))-MAX($E419,DATE(cfg_FY,8,1))+1))</f>
        <v>0</v>
      </c>
      <c r="BB419" s="133" t="n">
        <f aca="false">IF(OR(OR($B419="",$E419="",$F419=""),$K419&lt;&gt;"نعم",$M419="نعم"),0,MAX(0,MIN($F419,EOMONTH(DATE(cfg_FY,9,1),0))-MAX($E419,DATE(cfg_FY,9,1))+1))</f>
        <v>0</v>
      </c>
      <c r="BC419" s="133" t="n">
        <f aca="false">IF(OR(OR($B419="",$E419="",$F419=""),$K419&lt;&gt;"نعم",$M419="نعم"),0,MAX(0,MIN($F419,EOMONTH(DATE(cfg_FY,10,1),0))-MAX($E419,DATE(cfg_FY,10,1))+1))</f>
        <v>0</v>
      </c>
      <c r="BD419" s="133" t="n">
        <f aca="false">IF(OR(OR($B419="",$E419="",$F419=""),$K419&lt;&gt;"نعم",$M419="نعم"),0,MAX(0,MIN($F419,EOMONTH(DATE(cfg_FY,11,1),0))-MAX($E419,DATE(cfg_FY,11,1))+1))</f>
        <v>0</v>
      </c>
      <c r="BE419" s="133" t="n">
        <f aca="false">IF(OR(OR($B419="",$E419="",$F419=""),$K419&lt;&gt;"نعم",$M419="نعم"),0,MAX(0,MIN($F419,EOMONTH(DATE(cfg_FY,12,1),0))-MAX($E419,DATE(cfg_FY,12,1))+1))</f>
        <v>0</v>
      </c>
    </row>
    <row r="420" customFormat="false" ht="15" hidden="false" customHeight="false" outlineLevel="0" collapsed="false">
      <c r="A420" s="106" t="str">
        <f aca="false">IF(B420="","",ROW()-5)</f>
        <v/>
      </c>
      <c r="B420" s="118"/>
      <c r="C420" s="114" t="str">
        <f aca="false">IF(B420="","",IFERROR(INDEX(الموظفون!$C$6:$C$105,MATCH(B420,الموظفون!$B$6:$B$105,0)),"✖ رقم غير موجود"))</f>
        <v/>
      </c>
      <c r="D420" s="118"/>
      <c r="E420" s="119"/>
      <c r="F420" s="119"/>
      <c r="G420" s="65" t="str">
        <f aca="false">IF(OR($B420="",$E420="",$F420=""),"",MAX(0,F420-E420+1))</f>
        <v/>
      </c>
      <c r="H420" s="66" t="str">
        <f aca="false">IF(D420="","",IFERROR(VLOOKUP(D420,cfg_LT,2,FALSE()),1))</f>
        <v/>
      </c>
      <c r="I420" s="135"/>
      <c r="J420" s="66" t="str">
        <f aca="false">IF(D420="","",IF(I420&lt;&gt;"",I420,H420))</f>
        <v/>
      </c>
      <c r="K420" s="114" t="str">
        <f aca="false">IF(D420="","",IFERROR(VLOOKUP($D420,cfg_LT,3,FALSE()),""))</f>
        <v/>
      </c>
      <c r="L420" s="114" t="str">
        <f aca="false">IF(D420="","",IFERROR(VLOOKUP($D420,cfg_LT,4,FALSE()),""))</f>
        <v/>
      </c>
      <c r="M420" s="114" t="str">
        <f aca="false">IF(D420="","",IFERROR(VLOOKUP($D420,cfg_LT,5,FALSE()),""))</f>
        <v/>
      </c>
      <c r="N420" s="111" t="n">
        <f aca="false">IF(OR(OR($B420="",$E420="",$F420=""),M420&lt;&gt;"نعم"),0,G420*J420*IFERROR(INDEX(الموظفون!$R$6:$R$105,MATCH(B420,الموظفون!$B$6:$B$105,0)),0)/cfg_DAYS_M)</f>
        <v>0</v>
      </c>
      <c r="O420" s="106" t="str">
        <f aca="false">IF(OR(OR($B420="",$E420="",$F420=""),M420&lt;&gt;"نعم"),"",IF(YEAR(E420)=cfg_FY,MONTH(E420),""))</f>
        <v/>
      </c>
      <c r="P420" s="114" t="str">
        <f aca="false">IF(B420="","",IF(OR(D420="",E420="",F420=""),"⚠ أكمل النوع والتواريخ",IF(F420&lt;E420,"✖ النهاية قبل البداية",IF(COUNTIFS($B$6:$B$505,B420,$E$6:$E$505,"&lt;="&amp;F420,$F$6:$F$505,"&gt;="&amp;E420)&gt;1,"⚠ تداخل مع سجل آخر",IF(E420&gt;cfg_VAL_DATE,"⏳ قادمة",IF(F420&lt;cfg_VAL_DATE,"✔ منتهية","✈ جارية في تاريخ التقرير"))))))</f>
        <v/>
      </c>
      <c r="Q420" s="118"/>
      <c r="R420" s="65" t="n">
        <f aca="false">IF(OR(OR($B420="",$E420="",$F420=""),L420&lt;&gt;"لا"),0,MAX(0,MIN(F420,cfg_Y_START-1)-E420+1))</f>
        <v>0</v>
      </c>
      <c r="S420" s="65" t="n">
        <f aca="false">IF(OR(OR($B420="",$E420="",$F420=""),L420&lt;&gt;"لا"),0,MAX(0,MIN(F420,cfg_VAL_DATE)-E420+1))</f>
        <v>0</v>
      </c>
      <c r="T420" s="65" t="n">
        <f aca="false">IF(OR(OR($B420="",$E420="",$F420=""),K420&lt;&gt;"نعم"),0,IF(M420="نعم",IF(AND(ISNUMBER(O420),N(O420)&lt;=cfg_VAL_M),G420,0),MAX(0,MIN(F420,cfg_VAL_DATE)-MAX(E420,cfg_Y_START)+1)))</f>
        <v>0</v>
      </c>
      <c r="V420" s="65" t="n">
        <f aca="false">IF(OR($B420="",$E420="",$F420=""),0,MAX(0,MIN($F420,EOMONTH(DATE(cfg_FY,1,1),0))-MAX($E420,DATE(cfg_FY,1,1))+1)*(1-IF($M420="نعم",0,N($J420))))</f>
        <v>0</v>
      </c>
      <c r="W420" s="65" t="n">
        <f aca="false">IF(OR($B420="",$E420="",$F420=""),0,MAX(0,MIN($F420,EOMONTH(DATE(cfg_FY,2,1),0))-MAX($E420,DATE(cfg_FY,2,1))+1)*(1-IF($M420="نعم",0,N($J420))))</f>
        <v>0</v>
      </c>
      <c r="X420" s="65" t="n">
        <f aca="false">IF(OR($B420="",$E420="",$F420=""),0,MAX(0,MIN($F420,EOMONTH(DATE(cfg_FY,3,1),0))-MAX($E420,DATE(cfg_FY,3,1))+1)*(1-IF($M420="نعم",0,N($J420))))</f>
        <v>0</v>
      </c>
      <c r="Y420" s="65" t="n">
        <f aca="false">IF(OR($B420="",$E420="",$F420=""),0,MAX(0,MIN($F420,EOMONTH(DATE(cfg_FY,4,1),0))-MAX($E420,DATE(cfg_FY,4,1))+1)*(1-IF($M420="نعم",0,N($J420))))</f>
        <v>0</v>
      </c>
      <c r="Z420" s="65" t="n">
        <f aca="false">IF(OR($B420="",$E420="",$F420=""),0,MAX(0,MIN($F420,EOMONTH(DATE(cfg_FY,5,1),0))-MAX($E420,DATE(cfg_FY,5,1))+1)*(1-IF($M420="نعم",0,N($J420))))</f>
        <v>0</v>
      </c>
      <c r="AA420" s="65" t="n">
        <f aca="false">IF(OR($B420="",$E420="",$F420=""),0,MAX(0,MIN($F420,EOMONTH(DATE(cfg_FY,6,1),0))-MAX($E420,DATE(cfg_FY,6,1))+1)*(1-IF($M420="نعم",0,N($J420))))</f>
        <v>0</v>
      </c>
      <c r="AB420" s="65" t="n">
        <f aca="false">IF(OR($B420="",$E420="",$F420=""),0,MAX(0,MIN($F420,EOMONTH(DATE(cfg_FY,7,1),0))-MAX($E420,DATE(cfg_FY,7,1))+1)*(1-IF($M420="نعم",0,N($J420))))</f>
        <v>0</v>
      </c>
      <c r="AC420" s="65" t="n">
        <f aca="false">IF(OR($B420="",$E420="",$F420=""),0,MAX(0,MIN($F420,EOMONTH(DATE(cfg_FY,8,1),0))-MAX($E420,DATE(cfg_FY,8,1))+1)*(1-IF($M420="نعم",0,N($J420))))</f>
        <v>0</v>
      </c>
      <c r="AD420" s="65" t="n">
        <f aca="false">IF(OR($B420="",$E420="",$F420=""),0,MAX(0,MIN($F420,EOMONTH(DATE(cfg_FY,9,1),0))-MAX($E420,DATE(cfg_FY,9,1))+1)*(1-IF($M420="نعم",0,N($J420))))</f>
        <v>0</v>
      </c>
      <c r="AE420" s="65" t="n">
        <f aca="false">IF(OR($B420="",$E420="",$F420=""),0,MAX(0,MIN($F420,EOMONTH(DATE(cfg_FY,10,1),0))-MAX($E420,DATE(cfg_FY,10,1))+1)*(1-IF($M420="نعم",0,N($J420))))</f>
        <v>0</v>
      </c>
      <c r="AF420" s="65" t="n">
        <f aca="false">IF(OR($B420="",$E420="",$F420=""),0,MAX(0,MIN($F420,EOMONTH(DATE(cfg_FY,11,1),0))-MAX($E420,DATE(cfg_FY,11,1))+1)*(1-IF($M420="نعم",0,N($J420))))</f>
        <v>0</v>
      </c>
      <c r="AG420" s="65" t="n">
        <f aca="false">IF(OR($B420="",$E420="",$F420=""),0,MAX(0,MIN($F420,EOMONTH(DATE(cfg_FY,12,1),0))-MAX($E420,DATE(cfg_FY,12,1))+1)*(1-IF($M420="نعم",0,N($J420))))</f>
        <v>0</v>
      </c>
      <c r="AH420" s="65" t="n">
        <f aca="false">IF(OR(OR($B420="",$E420="",$F420=""),$L420&lt;&gt;"لا"),0,MAX(0,MIN($F420,EOMONTH(DATE(cfg_FY,1,1),0))-$E420+1))</f>
        <v>0</v>
      </c>
      <c r="AI420" s="65" t="n">
        <f aca="false">IF(OR(OR($B420="",$E420="",$F420=""),$L420&lt;&gt;"لا"),0,MAX(0,MIN($F420,EOMONTH(DATE(cfg_FY,2,1),0))-$E420+1))</f>
        <v>0</v>
      </c>
      <c r="AJ420" s="65" t="n">
        <f aca="false">IF(OR(OR($B420="",$E420="",$F420=""),$L420&lt;&gt;"لا"),0,MAX(0,MIN($F420,EOMONTH(DATE(cfg_FY,3,1),0))-$E420+1))</f>
        <v>0</v>
      </c>
      <c r="AK420" s="65" t="n">
        <f aca="false">IF(OR(OR($B420="",$E420="",$F420=""),$L420&lt;&gt;"لا"),0,MAX(0,MIN($F420,EOMONTH(DATE(cfg_FY,4,1),0))-$E420+1))</f>
        <v>0</v>
      </c>
      <c r="AL420" s="65" t="n">
        <f aca="false">IF(OR(OR($B420="",$E420="",$F420=""),$L420&lt;&gt;"لا"),0,MAX(0,MIN($F420,EOMONTH(DATE(cfg_FY,5,1),0))-$E420+1))</f>
        <v>0</v>
      </c>
      <c r="AM420" s="65" t="n">
        <f aca="false">IF(OR(OR($B420="",$E420="",$F420=""),$L420&lt;&gt;"لا"),0,MAX(0,MIN($F420,EOMONTH(DATE(cfg_FY,6,1),0))-$E420+1))</f>
        <v>0</v>
      </c>
      <c r="AN420" s="65" t="n">
        <f aca="false">IF(OR(OR($B420="",$E420="",$F420=""),$L420&lt;&gt;"لا"),0,MAX(0,MIN($F420,EOMONTH(DATE(cfg_FY,7,1),0))-$E420+1))</f>
        <v>0</v>
      </c>
      <c r="AO420" s="65" t="n">
        <f aca="false">IF(OR(OR($B420="",$E420="",$F420=""),$L420&lt;&gt;"لا"),0,MAX(0,MIN($F420,EOMONTH(DATE(cfg_FY,8,1),0))-$E420+1))</f>
        <v>0</v>
      </c>
      <c r="AP420" s="65" t="n">
        <f aca="false">IF(OR(OR($B420="",$E420="",$F420=""),$L420&lt;&gt;"لا"),0,MAX(0,MIN($F420,EOMONTH(DATE(cfg_FY,9,1),0))-$E420+1))</f>
        <v>0</v>
      </c>
      <c r="AQ420" s="65" t="n">
        <f aca="false">IF(OR(OR($B420="",$E420="",$F420=""),$L420&lt;&gt;"لا"),0,MAX(0,MIN($F420,EOMONTH(DATE(cfg_FY,10,1),0))-$E420+1))</f>
        <v>0</v>
      </c>
      <c r="AR420" s="65" t="n">
        <f aca="false">IF(OR(OR($B420="",$E420="",$F420=""),$L420&lt;&gt;"لا"),0,MAX(0,MIN($F420,EOMONTH(DATE(cfg_FY,11,1),0))-$E420+1))</f>
        <v>0</v>
      </c>
      <c r="AS420" s="65" t="n">
        <f aca="false">IF(OR(OR($B420="",$E420="",$F420=""),$L420&lt;&gt;"لا"),0,MAX(0,MIN($F420,EOMONTH(DATE(cfg_FY,12,1),0))-$E420+1))</f>
        <v>0</v>
      </c>
      <c r="AT420" s="65" t="n">
        <f aca="false">IF(OR(OR($B420="",$E420="",$F420=""),$K420&lt;&gt;"نعم",$M420="نعم"),0,MAX(0,MIN($F420,EOMONTH(DATE(cfg_FY,1,1),0))-MAX($E420,DATE(cfg_FY,1,1))+1))</f>
        <v>0</v>
      </c>
      <c r="AU420" s="65" t="n">
        <f aca="false">IF(OR(OR($B420="",$E420="",$F420=""),$K420&lt;&gt;"نعم",$M420="نعم"),0,MAX(0,MIN($F420,EOMONTH(DATE(cfg_FY,2,1),0))-MAX($E420,DATE(cfg_FY,2,1))+1))</f>
        <v>0</v>
      </c>
      <c r="AV420" s="65" t="n">
        <f aca="false">IF(OR(OR($B420="",$E420="",$F420=""),$K420&lt;&gt;"نعم",$M420="نعم"),0,MAX(0,MIN($F420,EOMONTH(DATE(cfg_FY,3,1),0))-MAX($E420,DATE(cfg_FY,3,1))+1))</f>
        <v>0</v>
      </c>
      <c r="AW420" s="65" t="n">
        <f aca="false">IF(OR(OR($B420="",$E420="",$F420=""),$K420&lt;&gt;"نعم",$M420="نعم"),0,MAX(0,MIN($F420,EOMONTH(DATE(cfg_FY,4,1),0))-MAX($E420,DATE(cfg_FY,4,1))+1))</f>
        <v>0</v>
      </c>
      <c r="AX420" s="65" t="n">
        <f aca="false">IF(OR(OR($B420="",$E420="",$F420=""),$K420&lt;&gt;"نعم",$M420="نعم"),0,MAX(0,MIN($F420,EOMONTH(DATE(cfg_FY,5,1),0))-MAX($E420,DATE(cfg_FY,5,1))+1))</f>
        <v>0</v>
      </c>
      <c r="AY420" s="65" t="n">
        <f aca="false">IF(OR(OR($B420="",$E420="",$F420=""),$K420&lt;&gt;"نعم",$M420="نعم"),0,MAX(0,MIN($F420,EOMONTH(DATE(cfg_FY,6,1),0))-MAX($E420,DATE(cfg_FY,6,1))+1))</f>
        <v>0</v>
      </c>
      <c r="AZ420" s="65" t="n">
        <f aca="false">IF(OR(OR($B420="",$E420="",$F420=""),$K420&lt;&gt;"نعم",$M420="نعم"),0,MAX(0,MIN($F420,EOMONTH(DATE(cfg_FY,7,1),0))-MAX($E420,DATE(cfg_FY,7,1))+1))</f>
        <v>0</v>
      </c>
      <c r="BA420" s="65" t="n">
        <f aca="false">IF(OR(OR($B420="",$E420="",$F420=""),$K420&lt;&gt;"نعم",$M420="نعم"),0,MAX(0,MIN($F420,EOMONTH(DATE(cfg_FY,8,1),0))-MAX($E420,DATE(cfg_FY,8,1))+1))</f>
        <v>0</v>
      </c>
      <c r="BB420" s="65" t="n">
        <f aca="false">IF(OR(OR($B420="",$E420="",$F420=""),$K420&lt;&gt;"نعم",$M420="نعم"),0,MAX(0,MIN($F420,EOMONTH(DATE(cfg_FY,9,1),0))-MAX($E420,DATE(cfg_FY,9,1))+1))</f>
        <v>0</v>
      </c>
      <c r="BC420" s="65" t="n">
        <f aca="false">IF(OR(OR($B420="",$E420="",$F420=""),$K420&lt;&gt;"نعم",$M420="نعم"),0,MAX(0,MIN($F420,EOMONTH(DATE(cfg_FY,10,1),0))-MAX($E420,DATE(cfg_FY,10,1))+1))</f>
        <v>0</v>
      </c>
      <c r="BD420" s="65" t="n">
        <f aca="false">IF(OR(OR($B420="",$E420="",$F420=""),$K420&lt;&gt;"نعم",$M420="نعم"),0,MAX(0,MIN($F420,EOMONTH(DATE(cfg_FY,11,1),0))-MAX($E420,DATE(cfg_FY,11,1))+1))</f>
        <v>0</v>
      </c>
      <c r="BE420" s="65" t="n">
        <f aca="false">IF(OR(OR($B420="",$E420="",$F420=""),$K420&lt;&gt;"نعم",$M420="نعم"),0,MAX(0,MIN($F420,EOMONTH(DATE(cfg_FY,12,1),0))-MAX($E420,DATE(cfg_FY,12,1))+1))</f>
        <v>0</v>
      </c>
    </row>
    <row r="421" customFormat="false" ht="15" hidden="false" customHeight="false" outlineLevel="0" collapsed="false">
      <c r="A421" s="115" t="str">
        <f aca="false">IF(B421="","",ROW()-5)</f>
        <v/>
      </c>
      <c r="B421" s="118"/>
      <c r="C421" s="117" t="str">
        <f aca="false">IF(B421="","",IFERROR(INDEX(الموظفون!$C$6:$C$105,MATCH(B421,الموظفون!$B$6:$B$105,0)),"✖ رقم غير موجود"))</f>
        <v/>
      </c>
      <c r="D421" s="118"/>
      <c r="E421" s="119"/>
      <c r="F421" s="119"/>
      <c r="G421" s="133" t="str">
        <f aca="false">IF(OR($B421="",$E421="",$F421=""),"",MAX(0,F421-E421+1))</f>
        <v/>
      </c>
      <c r="H421" s="134" t="str">
        <f aca="false">IF(D421="","",IFERROR(VLOOKUP(D421,cfg_LT,2,FALSE()),1))</f>
        <v/>
      </c>
      <c r="I421" s="135"/>
      <c r="J421" s="134" t="str">
        <f aca="false">IF(D421="","",IF(I421&lt;&gt;"",I421,H421))</f>
        <v/>
      </c>
      <c r="K421" s="117" t="str">
        <f aca="false">IF(D421="","",IFERROR(VLOOKUP($D421,cfg_LT,3,FALSE()),""))</f>
        <v/>
      </c>
      <c r="L421" s="117" t="str">
        <f aca="false">IF(D421="","",IFERROR(VLOOKUP($D421,cfg_LT,4,FALSE()),""))</f>
        <v/>
      </c>
      <c r="M421" s="117" t="str">
        <f aca="false">IF(D421="","",IFERROR(VLOOKUP($D421,cfg_LT,5,FALSE()),""))</f>
        <v/>
      </c>
      <c r="N421" s="116" t="n">
        <f aca="false">IF(OR(OR($B421="",$E421="",$F421=""),M421&lt;&gt;"نعم"),0,G421*J421*IFERROR(INDEX(الموظفون!$R$6:$R$105,MATCH(B421,الموظفون!$B$6:$B$105,0)),0)/cfg_DAYS_M)</f>
        <v>0</v>
      </c>
      <c r="O421" s="115" t="str">
        <f aca="false">IF(OR(OR($B421="",$E421="",$F421=""),M421&lt;&gt;"نعم"),"",IF(YEAR(E421)=cfg_FY,MONTH(E421),""))</f>
        <v/>
      </c>
      <c r="P421" s="117" t="str">
        <f aca="false">IF(B421="","",IF(OR(D421="",E421="",F421=""),"⚠ أكمل النوع والتواريخ",IF(F421&lt;E421,"✖ النهاية قبل البداية",IF(COUNTIFS($B$6:$B$505,B421,$E$6:$E$505,"&lt;="&amp;F421,$F$6:$F$505,"&gt;="&amp;E421)&gt;1,"⚠ تداخل مع سجل آخر",IF(E421&gt;cfg_VAL_DATE,"⏳ قادمة",IF(F421&lt;cfg_VAL_DATE,"✔ منتهية","✈ جارية في تاريخ التقرير"))))))</f>
        <v/>
      </c>
      <c r="Q421" s="118"/>
      <c r="R421" s="133" t="n">
        <f aca="false">IF(OR(OR($B421="",$E421="",$F421=""),L421&lt;&gt;"لا"),0,MAX(0,MIN(F421,cfg_Y_START-1)-E421+1))</f>
        <v>0</v>
      </c>
      <c r="S421" s="133" t="n">
        <f aca="false">IF(OR(OR($B421="",$E421="",$F421=""),L421&lt;&gt;"لا"),0,MAX(0,MIN(F421,cfg_VAL_DATE)-E421+1))</f>
        <v>0</v>
      </c>
      <c r="T421" s="133" t="n">
        <f aca="false">IF(OR(OR($B421="",$E421="",$F421=""),K421&lt;&gt;"نعم"),0,IF(M421="نعم",IF(AND(ISNUMBER(O421),N(O421)&lt;=cfg_VAL_M),G421,0),MAX(0,MIN(F421,cfg_VAL_DATE)-MAX(E421,cfg_Y_START)+1)))</f>
        <v>0</v>
      </c>
      <c r="V421" s="133" t="n">
        <f aca="false">IF(OR($B421="",$E421="",$F421=""),0,MAX(0,MIN($F421,EOMONTH(DATE(cfg_FY,1,1),0))-MAX($E421,DATE(cfg_FY,1,1))+1)*(1-IF($M421="نعم",0,N($J421))))</f>
        <v>0</v>
      </c>
      <c r="W421" s="133" t="n">
        <f aca="false">IF(OR($B421="",$E421="",$F421=""),0,MAX(0,MIN($F421,EOMONTH(DATE(cfg_FY,2,1),0))-MAX($E421,DATE(cfg_FY,2,1))+1)*(1-IF($M421="نعم",0,N($J421))))</f>
        <v>0</v>
      </c>
      <c r="X421" s="133" t="n">
        <f aca="false">IF(OR($B421="",$E421="",$F421=""),0,MAX(0,MIN($F421,EOMONTH(DATE(cfg_FY,3,1),0))-MAX($E421,DATE(cfg_FY,3,1))+1)*(1-IF($M421="نعم",0,N($J421))))</f>
        <v>0</v>
      </c>
      <c r="Y421" s="133" t="n">
        <f aca="false">IF(OR($B421="",$E421="",$F421=""),0,MAX(0,MIN($F421,EOMONTH(DATE(cfg_FY,4,1),0))-MAX($E421,DATE(cfg_FY,4,1))+1)*(1-IF($M421="نعم",0,N($J421))))</f>
        <v>0</v>
      </c>
      <c r="Z421" s="133" t="n">
        <f aca="false">IF(OR($B421="",$E421="",$F421=""),0,MAX(0,MIN($F421,EOMONTH(DATE(cfg_FY,5,1),0))-MAX($E421,DATE(cfg_FY,5,1))+1)*(1-IF($M421="نعم",0,N($J421))))</f>
        <v>0</v>
      </c>
      <c r="AA421" s="133" t="n">
        <f aca="false">IF(OR($B421="",$E421="",$F421=""),0,MAX(0,MIN($F421,EOMONTH(DATE(cfg_FY,6,1),0))-MAX($E421,DATE(cfg_FY,6,1))+1)*(1-IF($M421="نعم",0,N($J421))))</f>
        <v>0</v>
      </c>
      <c r="AB421" s="133" t="n">
        <f aca="false">IF(OR($B421="",$E421="",$F421=""),0,MAX(0,MIN($F421,EOMONTH(DATE(cfg_FY,7,1),0))-MAX($E421,DATE(cfg_FY,7,1))+1)*(1-IF($M421="نعم",0,N($J421))))</f>
        <v>0</v>
      </c>
      <c r="AC421" s="133" t="n">
        <f aca="false">IF(OR($B421="",$E421="",$F421=""),0,MAX(0,MIN($F421,EOMONTH(DATE(cfg_FY,8,1),0))-MAX($E421,DATE(cfg_FY,8,1))+1)*(1-IF($M421="نعم",0,N($J421))))</f>
        <v>0</v>
      </c>
      <c r="AD421" s="133" t="n">
        <f aca="false">IF(OR($B421="",$E421="",$F421=""),0,MAX(0,MIN($F421,EOMONTH(DATE(cfg_FY,9,1),0))-MAX($E421,DATE(cfg_FY,9,1))+1)*(1-IF($M421="نعم",0,N($J421))))</f>
        <v>0</v>
      </c>
      <c r="AE421" s="133" t="n">
        <f aca="false">IF(OR($B421="",$E421="",$F421=""),0,MAX(0,MIN($F421,EOMONTH(DATE(cfg_FY,10,1),0))-MAX($E421,DATE(cfg_FY,10,1))+1)*(1-IF($M421="نعم",0,N($J421))))</f>
        <v>0</v>
      </c>
      <c r="AF421" s="133" t="n">
        <f aca="false">IF(OR($B421="",$E421="",$F421=""),0,MAX(0,MIN($F421,EOMONTH(DATE(cfg_FY,11,1),0))-MAX($E421,DATE(cfg_FY,11,1))+1)*(1-IF($M421="نعم",0,N($J421))))</f>
        <v>0</v>
      </c>
      <c r="AG421" s="133" t="n">
        <f aca="false">IF(OR($B421="",$E421="",$F421=""),0,MAX(0,MIN($F421,EOMONTH(DATE(cfg_FY,12,1),0))-MAX($E421,DATE(cfg_FY,12,1))+1)*(1-IF($M421="نعم",0,N($J421))))</f>
        <v>0</v>
      </c>
      <c r="AH421" s="133" t="n">
        <f aca="false">IF(OR(OR($B421="",$E421="",$F421=""),$L421&lt;&gt;"لا"),0,MAX(0,MIN($F421,EOMONTH(DATE(cfg_FY,1,1),0))-$E421+1))</f>
        <v>0</v>
      </c>
      <c r="AI421" s="133" t="n">
        <f aca="false">IF(OR(OR($B421="",$E421="",$F421=""),$L421&lt;&gt;"لا"),0,MAX(0,MIN($F421,EOMONTH(DATE(cfg_FY,2,1),0))-$E421+1))</f>
        <v>0</v>
      </c>
      <c r="AJ421" s="133" t="n">
        <f aca="false">IF(OR(OR($B421="",$E421="",$F421=""),$L421&lt;&gt;"لا"),0,MAX(0,MIN($F421,EOMONTH(DATE(cfg_FY,3,1),0))-$E421+1))</f>
        <v>0</v>
      </c>
      <c r="AK421" s="133" t="n">
        <f aca="false">IF(OR(OR($B421="",$E421="",$F421=""),$L421&lt;&gt;"لا"),0,MAX(0,MIN($F421,EOMONTH(DATE(cfg_FY,4,1),0))-$E421+1))</f>
        <v>0</v>
      </c>
      <c r="AL421" s="133" t="n">
        <f aca="false">IF(OR(OR($B421="",$E421="",$F421=""),$L421&lt;&gt;"لا"),0,MAX(0,MIN($F421,EOMONTH(DATE(cfg_FY,5,1),0))-$E421+1))</f>
        <v>0</v>
      </c>
      <c r="AM421" s="133" t="n">
        <f aca="false">IF(OR(OR($B421="",$E421="",$F421=""),$L421&lt;&gt;"لا"),0,MAX(0,MIN($F421,EOMONTH(DATE(cfg_FY,6,1),0))-$E421+1))</f>
        <v>0</v>
      </c>
      <c r="AN421" s="133" t="n">
        <f aca="false">IF(OR(OR($B421="",$E421="",$F421=""),$L421&lt;&gt;"لا"),0,MAX(0,MIN($F421,EOMONTH(DATE(cfg_FY,7,1),0))-$E421+1))</f>
        <v>0</v>
      </c>
      <c r="AO421" s="133" t="n">
        <f aca="false">IF(OR(OR($B421="",$E421="",$F421=""),$L421&lt;&gt;"لا"),0,MAX(0,MIN($F421,EOMONTH(DATE(cfg_FY,8,1),0))-$E421+1))</f>
        <v>0</v>
      </c>
      <c r="AP421" s="133" t="n">
        <f aca="false">IF(OR(OR($B421="",$E421="",$F421=""),$L421&lt;&gt;"لا"),0,MAX(0,MIN($F421,EOMONTH(DATE(cfg_FY,9,1),0))-$E421+1))</f>
        <v>0</v>
      </c>
      <c r="AQ421" s="133" t="n">
        <f aca="false">IF(OR(OR($B421="",$E421="",$F421=""),$L421&lt;&gt;"لا"),0,MAX(0,MIN($F421,EOMONTH(DATE(cfg_FY,10,1),0))-$E421+1))</f>
        <v>0</v>
      </c>
      <c r="AR421" s="133" t="n">
        <f aca="false">IF(OR(OR($B421="",$E421="",$F421=""),$L421&lt;&gt;"لا"),0,MAX(0,MIN($F421,EOMONTH(DATE(cfg_FY,11,1),0))-$E421+1))</f>
        <v>0</v>
      </c>
      <c r="AS421" s="133" t="n">
        <f aca="false">IF(OR(OR($B421="",$E421="",$F421=""),$L421&lt;&gt;"لا"),0,MAX(0,MIN($F421,EOMONTH(DATE(cfg_FY,12,1),0))-$E421+1))</f>
        <v>0</v>
      </c>
      <c r="AT421" s="133" t="n">
        <f aca="false">IF(OR(OR($B421="",$E421="",$F421=""),$K421&lt;&gt;"نعم",$M421="نعم"),0,MAX(0,MIN($F421,EOMONTH(DATE(cfg_FY,1,1),0))-MAX($E421,DATE(cfg_FY,1,1))+1))</f>
        <v>0</v>
      </c>
      <c r="AU421" s="133" t="n">
        <f aca="false">IF(OR(OR($B421="",$E421="",$F421=""),$K421&lt;&gt;"نعم",$M421="نعم"),0,MAX(0,MIN($F421,EOMONTH(DATE(cfg_FY,2,1),0))-MAX($E421,DATE(cfg_FY,2,1))+1))</f>
        <v>0</v>
      </c>
      <c r="AV421" s="133" t="n">
        <f aca="false">IF(OR(OR($B421="",$E421="",$F421=""),$K421&lt;&gt;"نعم",$M421="نعم"),0,MAX(0,MIN($F421,EOMONTH(DATE(cfg_FY,3,1),0))-MAX($E421,DATE(cfg_FY,3,1))+1))</f>
        <v>0</v>
      </c>
      <c r="AW421" s="133" t="n">
        <f aca="false">IF(OR(OR($B421="",$E421="",$F421=""),$K421&lt;&gt;"نعم",$M421="نعم"),0,MAX(0,MIN($F421,EOMONTH(DATE(cfg_FY,4,1),0))-MAX($E421,DATE(cfg_FY,4,1))+1))</f>
        <v>0</v>
      </c>
      <c r="AX421" s="133" t="n">
        <f aca="false">IF(OR(OR($B421="",$E421="",$F421=""),$K421&lt;&gt;"نعم",$M421="نعم"),0,MAX(0,MIN($F421,EOMONTH(DATE(cfg_FY,5,1),0))-MAX($E421,DATE(cfg_FY,5,1))+1))</f>
        <v>0</v>
      </c>
      <c r="AY421" s="133" t="n">
        <f aca="false">IF(OR(OR($B421="",$E421="",$F421=""),$K421&lt;&gt;"نعم",$M421="نعم"),0,MAX(0,MIN($F421,EOMONTH(DATE(cfg_FY,6,1),0))-MAX($E421,DATE(cfg_FY,6,1))+1))</f>
        <v>0</v>
      </c>
      <c r="AZ421" s="133" t="n">
        <f aca="false">IF(OR(OR($B421="",$E421="",$F421=""),$K421&lt;&gt;"نعم",$M421="نعم"),0,MAX(0,MIN($F421,EOMONTH(DATE(cfg_FY,7,1),0))-MAX($E421,DATE(cfg_FY,7,1))+1))</f>
        <v>0</v>
      </c>
      <c r="BA421" s="133" t="n">
        <f aca="false">IF(OR(OR($B421="",$E421="",$F421=""),$K421&lt;&gt;"نعم",$M421="نعم"),0,MAX(0,MIN($F421,EOMONTH(DATE(cfg_FY,8,1),0))-MAX($E421,DATE(cfg_FY,8,1))+1))</f>
        <v>0</v>
      </c>
      <c r="BB421" s="133" t="n">
        <f aca="false">IF(OR(OR($B421="",$E421="",$F421=""),$K421&lt;&gt;"نعم",$M421="نعم"),0,MAX(0,MIN($F421,EOMONTH(DATE(cfg_FY,9,1),0))-MAX($E421,DATE(cfg_FY,9,1))+1))</f>
        <v>0</v>
      </c>
      <c r="BC421" s="133" t="n">
        <f aca="false">IF(OR(OR($B421="",$E421="",$F421=""),$K421&lt;&gt;"نعم",$M421="نعم"),0,MAX(0,MIN($F421,EOMONTH(DATE(cfg_FY,10,1),0))-MAX($E421,DATE(cfg_FY,10,1))+1))</f>
        <v>0</v>
      </c>
      <c r="BD421" s="133" t="n">
        <f aca="false">IF(OR(OR($B421="",$E421="",$F421=""),$K421&lt;&gt;"نعم",$M421="نعم"),0,MAX(0,MIN($F421,EOMONTH(DATE(cfg_FY,11,1),0))-MAX($E421,DATE(cfg_FY,11,1))+1))</f>
        <v>0</v>
      </c>
      <c r="BE421" s="133" t="n">
        <f aca="false">IF(OR(OR($B421="",$E421="",$F421=""),$K421&lt;&gt;"نعم",$M421="نعم"),0,MAX(0,MIN($F421,EOMONTH(DATE(cfg_FY,12,1),0))-MAX($E421,DATE(cfg_FY,12,1))+1))</f>
        <v>0</v>
      </c>
    </row>
    <row r="422" customFormat="false" ht="15" hidden="false" customHeight="false" outlineLevel="0" collapsed="false">
      <c r="A422" s="106" t="str">
        <f aca="false">IF(B422="","",ROW()-5)</f>
        <v/>
      </c>
      <c r="B422" s="118"/>
      <c r="C422" s="114" t="str">
        <f aca="false">IF(B422="","",IFERROR(INDEX(الموظفون!$C$6:$C$105,MATCH(B422,الموظفون!$B$6:$B$105,0)),"✖ رقم غير موجود"))</f>
        <v/>
      </c>
      <c r="D422" s="118"/>
      <c r="E422" s="119"/>
      <c r="F422" s="119"/>
      <c r="G422" s="65" t="str">
        <f aca="false">IF(OR($B422="",$E422="",$F422=""),"",MAX(0,F422-E422+1))</f>
        <v/>
      </c>
      <c r="H422" s="66" t="str">
        <f aca="false">IF(D422="","",IFERROR(VLOOKUP(D422,cfg_LT,2,FALSE()),1))</f>
        <v/>
      </c>
      <c r="I422" s="135"/>
      <c r="J422" s="66" t="str">
        <f aca="false">IF(D422="","",IF(I422&lt;&gt;"",I422,H422))</f>
        <v/>
      </c>
      <c r="K422" s="114" t="str">
        <f aca="false">IF(D422="","",IFERROR(VLOOKUP($D422,cfg_LT,3,FALSE()),""))</f>
        <v/>
      </c>
      <c r="L422" s="114" t="str">
        <f aca="false">IF(D422="","",IFERROR(VLOOKUP($D422,cfg_LT,4,FALSE()),""))</f>
        <v/>
      </c>
      <c r="M422" s="114" t="str">
        <f aca="false">IF(D422="","",IFERROR(VLOOKUP($D422,cfg_LT,5,FALSE()),""))</f>
        <v/>
      </c>
      <c r="N422" s="111" t="n">
        <f aca="false">IF(OR(OR($B422="",$E422="",$F422=""),M422&lt;&gt;"نعم"),0,G422*J422*IFERROR(INDEX(الموظفون!$R$6:$R$105,MATCH(B422,الموظفون!$B$6:$B$105,0)),0)/cfg_DAYS_M)</f>
        <v>0</v>
      </c>
      <c r="O422" s="106" t="str">
        <f aca="false">IF(OR(OR($B422="",$E422="",$F422=""),M422&lt;&gt;"نعم"),"",IF(YEAR(E422)=cfg_FY,MONTH(E422),""))</f>
        <v/>
      </c>
      <c r="P422" s="114" t="str">
        <f aca="false">IF(B422="","",IF(OR(D422="",E422="",F422=""),"⚠ أكمل النوع والتواريخ",IF(F422&lt;E422,"✖ النهاية قبل البداية",IF(COUNTIFS($B$6:$B$505,B422,$E$6:$E$505,"&lt;="&amp;F422,$F$6:$F$505,"&gt;="&amp;E422)&gt;1,"⚠ تداخل مع سجل آخر",IF(E422&gt;cfg_VAL_DATE,"⏳ قادمة",IF(F422&lt;cfg_VAL_DATE,"✔ منتهية","✈ جارية في تاريخ التقرير"))))))</f>
        <v/>
      </c>
      <c r="Q422" s="118"/>
      <c r="R422" s="65" t="n">
        <f aca="false">IF(OR(OR($B422="",$E422="",$F422=""),L422&lt;&gt;"لا"),0,MAX(0,MIN(F422,cfg_Y_START-1)-E422+1))</f>
        <v>0</v>
      </c>
      <c r="S422" s="65" t="n">
        <f aca="false">IF(OR(OR($B422="",$E422="",$F422=""),L422&lt;&gt;"لا"),0,MAX(0,MIN(F422,cfg_VAL_DATE)-E422+1))</f>
        <v>0</v>
      </c>
      <c r="T422" s="65" t="n">
        <f aca="false">IF(OR(OR($B422="",$E422="",$F422=""),K422&lt;&gt;"نعم"),0,IF(M422="نعم",IF(AND(ISNUMBER(O422),N(O422)&lt;=cfg_VAL_M),G422,0),MAX(0,MIN(F422,cfg_VAL_DATE)-MAX(E422,cfg_Y_START)+1)))</f>
        <v>0</v>
      </c>
      <c r="V422" s="65" t="n">
        <f aca="false">IF(OR($B422="",$E422="",$F422=""),0,MAX(0,MIN($F422,EOMONTH(DATE(cfg_FY,1,1),0))-MAX($E422,DATE(cfg_FY,1,1))+1)*(1-IF($M422="نعم",0,N($J422))))</f>
        <v>0</v>
      </c>
      <c r="W422" s="65" t="n">
        <f aca="false">IF(OR($B422="",$E422="",$F422=""),0,MAX(0,MIN($F422,EOMONTH(DATE(cfg_FY,2,1),0))-MAX($E422,DATE(cfg_FY,2,1))+1)*(1-IF($M422="نعم",0,N($J422))))</f>
        <v>0</v>
      </c>
      <c r="X422" s="65" t="n">
        <f aca="false">IF(OR($B422="",$E422="",$F422=""),0,MAX(0,MIN($F422,EOMONTH(DATE(cfg_FY,3,1),0))-MAX($E422,DATE(cfg_FY,3,1))+1)*(1-IF($M422="نعم",0,N($J422))))</f>
        <v>0</v>
      </c>
      <c r="Y422" s="65" t="n">
        <f aca="false">IF(OR($B422="",$E422="",$F422=""),0,MAX(0,MIN($F422,EOMONTH(DATE(cfg_FY,4,1),0))-MAX($E422,DATE(cfg_FY,4,1))+1)*(1-IF($M422="نعم",0,N($J422))))</f>
        <v>0</v>
      </c>
      <c r="Z422" s="65" t="n">
        <f aca="false">IF(OR($B422="",$E422="",$F422=""),0,MAX(0,MIN($F422,EOMONTH(DATE(cfg_FY,5,1),0))-MAX($E422,DATE(cfg_FY,5,1))+1)*(1-IF($M422="نعم",0,N($J422))))</f>
        <v>0</v>
      </c>
      <c r="AA422" s="65" t="n">
        <f aca="false">IF(OR($B422="",$E422="",$F422=""),0,MAX(0,MIN($F422,EOMONTH(DATE(cfg_FY,6,1),0))-MAX($E422,DATE(cfg_FY,6,1))+1)*(1-IF($M422="نعم",0,N($J422))))</f>
        <v>0</v>
      </c>
      <c r="AB422" s="65" t="n">
        <f aca="false">IF(OR($B422="",$E422="",$F422=""),0,MAX(0,MIN($F422,EOMONTH(DATE(cfg_FY,7,1),0))-MAX($E422,DATE(cfg_FY,7,1))+1)*(1-IF($M422="نعم",0,N($J422))))</f>
        <v>0</v>
      </c>
      <c r="AC422" s="65" t="n">
        <f aca="false">IF(OR($B422="",$E422="",$F422=""),0,MAX(0,MIN($F422,EOMONTH(DATE(cfg_FY,8,1),0))-MAX($E422,DATE(cfg_FY,8,1))+1)*(1-IF($M422="نعم",0,N($J422))))</f>
        <v>0</v>
      </c>
      <c r="AD422" s="65" t="n">
        <f aca="false">IF(OR($B422="",$E422="",$F422=""),0,MAX(0,MIN($F422,EOMONTH(DATE(cfg_FY,9,1),0))-MAX($E422,DATE(cfg_FY,9,1))+1)*(1-IF($M422="نعم",0,N($J422))))</f>
        <v>0</v>
      </c>
      <c r="AE422" s="65" t="n">
        <f aca="false">IF(OR($B422="",$E422="",$F422=""),0,MAX(0,MIN($F422,EOMONTH(DATE(cfg_FY,10,1),0))-MAX($E422,DATE(cfg_FY,10,1))+1)*(1-IF($M422="نعم",0,N($J422))))</f>
        <v>0</v>
      </c>
      <c r="AF422" s="65" t="n">
        <f aca="false">IF(OR($B422="",$E422="",$F422=""),0,MAX(0,MIN($F422,EOMONTH(DATE(cfg_FY,11,1),0))-MAX($E422,DATE(cfg_FY,11,1))+1)*(1-IF($M422="نعم",0,N($J422))))</f>
        <v>0</v>
      </c>
      <c r="AG422" s="65" t="n">
        <f aca="false">IF(OR($B422="",$E422="",$F422=""),0,MAX(0,MIN($F422,EOMONTH(DATE(cfg_FY,12,1),0))-MAX($E422,DATE(cfg_FY,12,1))+1)*(1-IF($M422="نعم",0,N($J422))))</f>
        <v>0</v>
      </c>
      <c r="AH422" s="65" t="n">
        <f aca="false">IF(OR(OR($B422="",$E422="",$F422=""),$L422&lt;&gt;"لا"),0,MAX(0,MIN($F422,EOMONTH(DATE(cfg_FY,1,1),0))-$E422+1))</f>
        <v>0</v>
      </c>
      <c r="AI422" s="65" t="n">
        <f aca="false">IF(OR(OR($B422="",$E422="",$F422=""),$L422&lt;&gt;"لا"),0,MAX(0,MIN($F422,EOMONTH(DATE(cfg_FY,2,1),0))-$E422+1))</f>
        <v>0</v>
      </c>
      <c r="AJ422" s="65" t="n">
        <f aca="false">IF(OR(OR($B422="",$E422="",$F422=""),$L422&lt;&gt;"لا"),0,MAX(0,MIN($F422,EOMONTH(DATE(cfg_FY,3,1),0))-$E422+1))</f>
        <v>0</v>
      </c>
      <c r="AK422" s="65" t="n">
        <f aca="false">IF(OR(OR($B422="",$E422="",$F422=""),$L422&lt;&gt;"لا"),0,MAX(0,MIN($F422,EOMONTH(DATE(cfg_FY,4,1),0))-$E422+1))</f>
        <v>0</v>
      </c>
      <c r="AL422" s="65" t="n">
        <f aca="false">IF(OR(OR($B422="",$E422="",$F422=""),$L422&lt;&gt;"لا"),0,MAX(0,MIN($F422,EOMONTH(DATE(cfg_FY,5,1),0))-$E422+1))</f>
        <v>0</v>
      </c>
      <c r="AM422" s="65" t="n">
        <f aca="false">IF(OR(OR($B422="",$E422="",$F422=""),$L422&lt;&gt;"لا"),0,MAX(0,MIN($F422,EOMONTH(DATE(cfg_FY,6,1),0))-$E422+1))</f>
        <v>0</v>
      </c>
      <c r="AN422" s="65" t="n">
        <f aca="false">IF(OR(OR($B422="",$E422="",$F422=""),$L422&lt;&gt;"لا"),0,MAX(0,MIN($F422,EOMONTH(DATE(cfg_FY,7,1),0))-$E422+1))</f>
        <v>0</v>
      </c>
      <c r="AO422" s="65" t="n">
        <f aca="false">IF(OR(OR($B422="",$E422="",$F422=""),$L422&lt;&gt;"لا"),0,MAX(0,MIN($F422,EOMONTH(DATE(cfg_FY,8,1),0))-$E422+1))</f>
        <v>0</v>
      </c>
      <c r="AP422" s="65" t="n">
        <f aca="false">IF(OR(OR($B422="",$E422="",$F422=""),$L422&lt;&gt;"لا"),0,MAX(0,MIN($F422,EOMONTH(DATE(cfg_FY,9,1),0))-$E422+1))</f>
        <v>0</v>
      </c>
      <c r="AQ422" s="65" t="n">
        <f aca="false">IF(OR(OR($B422="",$E422="",$F422=""),$L422&lt;&gt;"لا"),0,MAX(0,MIN($F422,EOMONTH(DATE(cfg_FY,10,1),0))-$E422+1))</f>
        <v>0</v>
      </c>
      <c r="AR422" s="65" t="n">
        <f aca="false">IF(OR(OR($B422="",$E422="",$F422=""),$L422&lt;&gt;"لا"),0,MAX(0,MIN($F422,EOMONTH(DATE(cfg_FY,11,1),0))-$E422+1))</f>
        <v>0</v>
      </c>
      <c r="AS422" s="65" t="n">
        <f aca="false">IF(OR(OR($B422="",$E422="",$F422=""),$L422&lt;&gt;"لا"),0,MAX(0,MIN($F422,EOMONTH(DATE(cfg_FY,12,1),0))-$E422+1))</f>
        <v>0</v>
      </c>
      <c r="AT422" s="65" t="n">
        <f aca="false">IF(OR(OR($B422="",$E422="",$F422=""),$K422&lt;&gt;"نعم",$M422="نعم"),0,MAX(0,MIN($F422,EOMONTH(DATE(cfg_FY,1,1),0))-MAX($E422,DATE(cfg_FY,1,1))+1))</f>
        <v>0</v>
      </c>
      <c r="AU422" s="65" t="n">
        <f aca="false">IF(OR(OR($B422="",$E422="",$F422=""),$K422&lt;&gt;"نعم",$M422="نعم"),0,MAX(0,MIN($F422,EOMONTH(DATE(cfg_FY,2,1),0))-MAX($E422,DATE(cfg_FY,2,1))+1))</f>
        <v>0</v>
      </c>
      <c r="AV422" s="65" t="n">
        <f aca="false">IF(OR(OR($B422="",$E422="",$F422=""),$K422&lt;&gt;"نعم",$M422="نعم"),0,MAX(0,MIN($F422,EOMONTH(DATE(cfg_FY,3,1),0))-MAX($E422,DATE(cfg_FY,3,1))+1))</f>
        <v>0</v>
      </c>
      <c r="AW422" s="65" t="n">
        <f aca="false">IF(OR(OR($B422="",$E422="",$F422=""),$K422&lt;&gt;"نعم",$M422="نعم"),0,MAX(0,MIN($F422,EOMONTH(DATE(cfg_FY,4,1),0))-MAX($E422,DATE(cfg_FY,4,1))+1))</f>
        <v>0</v>
      </c>
      <c r="AX422" s="65" t="n">
        <f aca="false">IF(OR(OR($B422="",$E422="",$F422=""),$K422&lt;&gt;"نعم",$M422="نعم"),0,MAX(0,MIN($F422,EOMONTH(DATE(cfg_FY,5,1),0))-MAX($E422,DATE(cfg_FY,5,1))+1))</f>
        <v>0</v>
      </c>
      <c r="AY422" s="65" t="n">
        <f aca="false">IF(OR(OR($B422="",$E422="",$F422=""),$K422&lt;&gt;"نعم",$M422="نعم"),0,MAX(0,MIN($F422,EOMONTH(DATE(cfg_FY,6,1),0))-MAX($E422,DATE(cfg_FY,6,1))+1))</f>
        <v>0</v>
      </c>
      <c r="AZ422" s="65" t="n">
        <f aca="false">IF(OR(OR($B422="",$E422="",$F422=""),$K422&lt;&gt;"نعم",$M422="نعم"),0,MAX(0,MIN($F422,EOMONTH(DATE(cfg_FY,7,1),0))-MAX($E422,DATE(cfg_FY,7,1))+1))</f>
        <v>0</v>
      </c>
      <c r="BA422" s="65" t="n">
        <f aca="false">IF(OR(OR($B422="",$E422="",$F422=""),$K422&lt;&gt;"نعم",$M422="نعم"),0,MAX(0,MIN($F422,EOMONTH(DATE(cfg_FY,8,1),0))-MAX($E422,DATE(cfg_FY,8,1))+1))</f>
        <v>0</v>
      </c>
      <c r="BB422" s="65" t="n">
        <f aca="false">IF(OR(OR($B422="",$E422="",$F422=""),$K422&lt;&gt;"نعم",$M422="نعم"),0,MAX(0,MIN($F422,EOMONTH(DATE(cfg_FY,9,1),0))-MAX($E422,DATE(cfg_FY,9,1))+1))</f>
        <v>0</v>
      </c>
      <c r="BC422" s="65" t="n">
        <f aca="false">IF(OR(OR($B422="",$E422="",$F422=""),$K422&lt;&gt;"نعم",$M422="نعم"),0,MAX(0,MIN($F422,EOMONTH(DATE(cfg_FY,10,1),0))-MAX($E422,DATE(cfg_FY,10,1))+1))</f>
        <v>0</v>
      </c>
      <c r="BD422" s="65" t="n">
        <f aca="false">IF(OR(OR($B422="",$E422="",$F422=""),$K422&lt;&gt;"نعم",$M422="نعم"),0,MAX(0,MIN($F422,EOMONTH(DATE(cfg_FY,11,1),0))-MAX($E422,DATE(cfg_FY,11,1))+1))</f>
        <v>0</v>
      </c>
      <c r="BE422" s="65" t="n">
        <f aca="false">IF(OR(OR($B422="",$E422="",$F422=""),$K422&lt;&gt;"نعم",$M422="نعم"),0,MAX(0,MIN($F422,EOMONTH(DATE(cfg_FY,12,1),0))-MAX($E422,DATE(cfg_FY,12,1))+1))</f>
        <v>0</v>
      </c>
    </row>
    <row r="423" customFormat="false" ht="15" hidden="false" customHeight="false" outlineLevel="0" collapsed="false">
      <c r="A423" s="115" t="str">
        <f aca="false">IF(B423="","",ROW()-5)</f>
        <v/>
      </c>
      <c r="B423" s="118"/>
      <c r="C423" s="117" t="str">
        <f aca="false">IF(B423="","",IFERROR(INDEX(الموظفون!$C$6:$C$105,MATCH(B423,الموظفون!$B$6:$B$105,0)),"✖ رقم غير موجود"))</f>
        <v/>
      </c>
      <c r="D423" s="118"/>
      <c r="E423" s="119"/>
      <c r="F423" s="119"/>
      <c r="G423" s="133" t="str">
        <f aca="false">IF(OR($B423="",$E423="",$F423=""),"",MAX(0,F423-E423+1))</f>
        <v/>
      </c>
      <c r="H423" s="134" t="str">
        <f aca="false">IF(D423="","",IFERROR(VLOOKUP(D423,cfg_LT,2,FALSE()),1))</f>
        <v/>
      </c>
      <c r="I423" s="135"/>
      <c r="J423" s="134" t="str">
        <f aca="false">IF(D423="","",IF(I423&lt;&gt;"",I423,H423))</f>
        <v/>
      </c>
      <c r="K423" s="117" t="str">
        <f aca="false">IF(D423="","",IFERROR(VLOOKUP($D423,cfg_LT,3,FALSE()),""))</f>
        <v/>
      </c>
      <c r="L423" s="117" t="str">
        <f aca="false">IF(D423="","",IFERROR(VLOOKUP($D423,cfg_LT,4,FALSE()),""))</f>
        <v/>
      </c>
      <c r="M423" s="117" t="str">
        <f aca="false">IF(D423="","",IFERROR(VLOOKUP($D423,cfg_LT,5,FALSE()),""))</f>
        <v/>
      </c>
      <c r="N423" s="116" t="n">
        <f aca="false">IF(OR(OR($B423="",$E423="",$F423=""),M423&lt;&gt;"نعم"),0,G423*J423*IFERROR(INDEX(الموظفون!$R$6:$R$105,MATCH(B423,الموظفون!$B$6:$B$105,0)),0)/cfg_DAYS_M)</f>
        <v>0</v>
      </c>
      <c r="O423" s="115" t="str">
        <f aca="false">IF(OR(OR($B423="",$E423="",$F423=""),M423&lt;&gt;"نعم"),"",IF(YEAR(E423)=cfg_FY,MONTH(E423),""))</f>
        <v/>
      </c>
      <c r="P423" s="117" t="str">
        <f aca="false">IF(B423="","",IF(OR(D423="",E423="",F423=""),"⚠ أكمل النوع والتواريخ",IF(F423&lt;E423,"✖ النهاية قبل البداية",IF(COUNTIFS($B$6:$B$505,B423,$E$6:$E$505,"&lt;="&amp;F423,$F$6:$F$505,"&gt;="&amp;E423)&gt;1,"⚠ تداخل مع سجل آخر",IF(E423&gt;cfg_VAL_DATE,"⏳ قادمة",IF(F423&lt;cfg_VAL_DATE,"✔ منتهية","✈ جارية في تاريخ التقرير"))))))</f>
        <v/>
      </c>
      <c r="Q423" s="118"/>
      <c r="R423" s="133" t="n">
        <f aca="false">IF(OR(OR($B423="",$E423="",$F423=""),L423&lt;&gt;"لا"),0,MAX(0,MIN(F423,cfg_Y_START-1)-E423+1))</f>
        <v>0</v>
      </c>
      <c r="S423" s="133" t="n">
        <f aca="false">IF(OR(OR($B423="",$E423="",$F423=""),L423&lt;&gt;"لا"),0,MAX(0,MIN(F423,cfg_VAL_DATE)-E423+1))</f>
        <v>0</v>
      </c>
      <c r="T423" s="133" t="n">
        <f aca="false">IF(OR(OR($B423="",$E423="",$F423=""),K423&lt;&gt;"نعم"),0,IF(M423="نعم",IF(AND(ISNUMBER(O423),N(O423)&lt;=cfg_VAL_M),G423,0),MAX(0,MIN(F423,cfg_VAL_DATE)-MAX(E423,cfg_Y_START)+1)))</f>
        <v>0</v>
      </c>
      <c r="V423" s="133" t="n">
        <f aca="false">IF(OR($B423="",$E423="",$F423=""),0,MAX(0,MIN($F423,EOMONTH(DATE(cfg_FY,1,1),0))-MAX($E423,DATE(cfg_FY,1,1))+1)*(1-IF($M423="نعم",0,N($J423))))</f>
        <v>0</v>
      </c>
      <c r="W423" s="133" t="n">
        <f aca="false">IF(OR($B423="",$E423="",$F423=""),0,MAX(0,MIN($F423,EOMONTH(DATE(cfg_FY,2,1),0))-MAX($E423,DATE(cfg_FY,2,1))+1)*(1-IF($M423="نعم",0,N($J423))))</f>
        <v>0</v>
      </c>
      <c r="X423" s="133" t="n">
        <f aca="false">IF(OR($B423="",$E423="",$F423=""),0,MAX(0,MIN($F423,EOMONTH(DATE(cfg_FY,3,1),0))-MAX($E423,DATE(cfg_FY,3,1))+1)*(1-IF($M423="نعم",0,N($J423))))</f>
        <v>0</v>
      </c>
      <c r="Y423" s="133" t="n">
        <f aca="false">IF(OR($B423="",$E423="",$F423=""),0,MAX(0,MIN($F423,EOMONTH(DATE(cfg_FY,4,1),0))-MAX($E423,DATE(cfg_FY,4,1))+1)*(1-IF($M423="نعم",0,N($J423))))</f>
        <v>0</v>
      </c>
      <c r="Z423" s="133" t="n">
        <f aca="false">IF(OR($B423="",$E423="",$F423=""),0,MAX(0,MIN($F423,EOMONTH(DATE(cfg_FY,5,1),0))-MAX($E423,DATE(cfg_FY,5,1))+1)*(1-IF($M423="نعم",0,N($J423))))</f>
        <v>0</v>
      </c>
      <c r="AA423" s="133" t="n">
        <f aca="false">IF(OR($B423="",$E423="",$F423=""),0,MAX(0,MIN($F423,EOMONTH(DATE(cfg_FY,6,1),0))-MAX($E423,DATE(cfg_FY,6,1))+1)*(1-IF($M423="نعم",0,N($J423))))</f>
        <v>0</v>
      </c>
      <c r="AB423" s="133" t="n">
        <f aca="false">IF(OR($B423="",$E423="",$F423=""),0,MAX(0,MIN($F423,EOMONTH(DATE(cfg_FY,7,1),0))-MAX($E423,DATE(cfg_FY,7,1))+1)*(1-IF($M423="نعم",0,N($J423))))</f>
        <v>0</v>
      </c>
      <c r="AC423" s="133" t="n">
        <f aca="false">IF(OR($B423="",$E423="",$F423=""),0,MAX(0,MIN($F423,EOMONTH(DATE(cfg_FY,8,1),0))-MAX($E423,DATE(cfg_FY,8,1))+1)*(1-IF($M423="نعم",0,N($J423))))</f>
        <v>0</v>
      </c>
      <c r="AD423" s="133" t="n">
        <f aca="false">IF(OR($B423="",$E423="",$F423=""),0,MAX(0,MIN($F423,EOMONTH(DATE(cfg_FY,9,1),0))-MAX($E423,DATE(cfg_FY,9,1))+1)*(1-IF($M423="نعم",0,N($J423))))</f>
        <v>0</v>
      </c>
      <c r="AE423" s="133" t="n">
        <f aca="false">IF(OR($B423="",$E423="",$F423=""),0,MAX(0,MIN($F423,EOMONTH(DATE(cfg_FY,10,1),0))-MAX($E423,DATE(cfg_FY,10,1))+1)*(1-IF($M423="نعم",0,N($J423))))</f>
        <v>0</v>
      </c>
      <c r="AF423" s="133" t="n">
        <f aca="false">IF(OR($B423="",$E423="",$F423=""),0,MAX(0,MIN($F423,EOMONTH(DATE(cfg_FY,11,1),0))-MAX($E423,DATE(cfg_FY,11,1))+1)*(1-IF($M423="نعم",0,N($J423))))</f>
        <v>0</v>
      </c>
      <c r="AG423" s="133" t="n">
        <f aca="false">IF(OR($B423="",$E423="",$F423=""),0,MAX(0,MIN($F423,EOMONTH(DATE(cfg_FY,12,1),0))-MAX($E423,DATE(cfg_FY,12,1))+1)*(1-IF($M423="نعم",0,N($J423))))</f>
        <v>0</v>
      </c>
      <c r="AH423" s="133" t="n">
        <f aca="false">IF(OR(OR($B423="",$E423="",$F423=""),$L423&lt;&gt;"لا"),0,MAX(0,MIN($F423,EOMONTH(DATE(cfg_FY,1,1),0))-$E423+1))</f>
        <v>0</v>
      </c>
      <c r="AI423" s="133" t="n">
        <f aca="false">IF(OR(OR($B423="",$E423="",$F423=""),$L423&lt;&gt;"لا"),0,MAX(0,MIN($F423,EOMONTH(DATE(cfg_FY,2,1),0))-$E423+1))</f>
        <v>0</v>
      </c>
      <c r="AJ423" s="133" t="n">
        <f aca="false">IF(OR(OR($B423="",$E423="",$F423=""),$L423&lt;&gt;"لا"),0,MAX(0,MIN($F423,EOMONTH(DATE(cfg_FY,3,1),0))-$E423+1))</f>
        <v>0</v>
      </c>
      <c r="AK423" s="133" t="n">
        <f aca="false">IF(OR(OR($B423="",$E423="",$F423=""),$L423&lt;&gt;"لا"),0,MAX(0,MIN($F423,EOMONTH(DATE(cfg_FY,4,1),0))-$E423+1))</f>
        <v>0</v>
      </c>
      <c r="AL423" s="133" t="n">
        <f aca="false">IF(OR(OR($B423="",$E423="",$F423=""),$L423&lt;&gt;"لا"),0,MAX(0,MIN($F423,EOMONTH(DATE(cfg_FY,5,1),0))-$E423+1))</f>
        <v>0</v>
      </c>
      <c r="AM423" s="133" t="n">
        <f aca="false">IF(OR(OR($B423="",$E423="",$F423=""),$L423&lt;&gt;"لا"),0,MAX(0,MIN($F423,EOMONTH(DATE(cfg_FY,6,1),0))-$E423+1))</f>
        <v>0</v>
      </c>
      <c r="AN423" s="133" t="n">
        <f aca="false">IF(OR(OR($B423="",$E423="",$F423=""),$L423&lt;&gt;"لا"),0,MAX(0,MIN($F423,EOMONTH(DATE(cfg_FY,7,1),0))-$E423+1))</f>
        <v>0</v>
      </c>
      <c r="AO423" s="133" t="n">
        <f aca="false">IF(OR(OR($B423="",$E423="",$F423=""),$L423&lt;&gt;"لا"),0,MAX(0,MIN($F423,EOMONTH(DATE(cfg_FY,8,1),0))-$E423+1))</f>
        <v>0</v>
      </c>
      <c r="AP423" s="133" t="n">
        <f aca="false">IF(OR(OR($B423="",$E423="",$F423=""),$L423&lt;&gt;"لا"),0,MAX(0,MIN($F423,EOMONTH(DATE(cfg_FY,9,1),0))-$E423+1))</f>
        <v>0</v>
      </c>
      <c r="AQ423" s="133" t="n">
        <f aca="false">IF(OR(OR($B423="",$E423="",$F423=""),$L423&lt;&gt;"لا"),0,MAX(0,MIN($F423,EOMONTH(DATE(cfg_FY,10,1),0))-$E423+1))</f>
        <v>0</v>
      </c>
      <c r="AR423" s="133" t="n">
        <f aca="false">IF(OR(OR($B423="",$E423="",$F423=""),$L423&lt;&gt;"لا"),0,MAX(0,MIN($F423,EOMONTH(DATE(cfg_FY,11,1),0))-$E423+1))</f>
        <v>0</v>
      </c>
      <c r="AS423" s="133" t="n">
        <f aca="false">IF(OR(OR($B423="",$E423="",$F423=""),$L423&lt;&gt;"لا"),0,MAX(0,MIN($F423,EOMONTH(DATE(cfg_FY,12,1),0))-$E423+1))</f>
        <v>0</v>
      </c>
      <c r="AT423" s="133" t="n">
        <f aca="false">IF(OR(OR($B423="",$E423="",$F423=""),$K423&lt;&gt;"نعم",$M423="نعم"),0,MAX(0,MIN($F423,EOMONTH(DATE(cfg_FY,1,1),0))-MAX($E423,DATE(cfg_FY,1,1))+1))</f>
        <v>0</v>
      </c>
      <c r="AU423" s="133" t="n">
        <f aca="false">IF(OR(OR($B423="",$E423="",$F423=""),$K423&lt;&gt;"نعم",$M423="نعم"),0,MAX(0,MIN($F423,EOMONTH(DATE(cfg_FY,2,1),0))-MAX($E423,DATE(cfg_FY,2,1))+1))</f>
        <v>0</v>
      </c>
      <c r="AV423" s="133" t="n">
        <f aca="false">IF(OR(OR($B423="",$E423="",$F423=""),$K423&lt;&gt;"نعم",$M423="نعم"),0,MAX(0,MIN($F423,EOMONTH(DATE(cfg_FY,3,1),0))-MAX($E423,DATE(cfg_FY,3,1))+1))</f>
        <v>0</v>
      </c>
      <c r="AW423" s="133" t="n">
        <f aca="false">IF(OR(OR($B423="",$E423="",$F423=""),$K423&lt;&gt;"نعم",$M423="نعم"),0,MAX(0,MIN($F423,EOMONTH(DATE(cfg_FY,4,1),0))-MAX($E423,DATE(cfg_FY,4,1))+1))</f>
        <v>0</v>
      </c>
      <c r="AX423" s="133" t="n">
        <f aca="false">IF(OR(OR($B423="",$E423="",$F423=""),$K423&lt;&gt;"نعم",$M423="نعم"),0,MAX(0,MIN($F423,EOMONTH(DATE(cfg_FY,5,1),0))-MAX($E423,DATE(cfg_FY,5,1))+1))</f>
        <v>0</v>
      </c>
      <c r="AY423" s="133" t="n">
        <f aca="false">IF(OR(OR($B423="",$E423="",$F423=""),$K423&lt;&gt;"نعم",$M423="نعم"),0,MAX(0,MIN($F423,EOMONTH(DATE(cfg_FY,6,1),0))-MAX($E423,DATE(cfg_FY,6,1))+1))</f>
        <v>0</v>
      </c>
      <c r="AZ423" s="133" t="n">
        <f aca="false">IF(OR(OR($B423="",$E423="",$F423=""),$K423&lt;&gt;"نعم",$M423="نعم"),0,MAX(0,MIN($F423,EOMONTH(DATE(cfg_FY,7,1),0))-MAX($E423,DATE(cfg_FY,7,1))+1))</f>
        <v>0</v>
      </c>
      <c r="BA423" s="133" t="n">
        <f aca="false">IF(OR(OR($B423="",$E423="",$F423=""),$K423&lt;&gt;"نعم",$M423="نعم"),0,MAX(0,MIN($F423,EOMONTH(DATE(cfg_FY,8,1),0))-MAX($E423,DATE(cfg_FY,8,1))+1))</f>
        <v>0</v>
      </c>
      <c r="BB423" s="133" t="n">
        <f aca="false">IF(OR(OR($B423="",$E423="",$F423=""),$K423&lt;&gt;"نعم",$M423="نعم"),0,MAX(0,MIN($F423,EOMONTH(DATE(cfg_FY,9,1),0))-MAX($E423,DATE(cfg_FY,9,1))+1))</f>
        <v>0</v>
      </c>
      <c r="BC423" s="133" t="n">
        <f aca="false">IF(OR(OR($B423="",$E423="",$F423=""),$K423&lt;&gt;"نعم",$M423="نعم"),0,MAX(0,MIN($F423,EOMONTH(DATE(cfg_FY,10,1),0))-MAX($E423,DATE(cfg_FY,10,1))+1))</f>
        <v>0</v>
      </c>
      <c r="BD423" s="133" t="n">
        <f aca="false">IF(OR(OR($B423="",$E423="",$F423=""),$K423&lt;&gt;"نعم",$M423="نعم"),0,MAX(0,MIN($F423,EOMONTH(DATE(cfg_FY,11,1),0))-MAX($E423,DATE(cfg_FY,11,1))+1))</f>
        <v>0</v>
      </c>
      <c r="BE423" s="133" t="n">
        <f aca="false">IF(OR(OR($B423="",$E423="",$F423=""),$K423&lt;&gt;"نعم",$M423="نعم"),0,MAX(0,MIN($F423,EOMONTH(DATE(cfg_FY,12,1),0))-MAX($E423,DATE(cfg_FY,12,1))+1))</f>
        <v>0</v>
      </c>
    </row>
    <row r="424" customFormat="false" ht="15" hidden="false" customHeight="false" outlineLevel="0" collapsed="false">
      <c r="A424" s="106" t="str">
        <f aca="false">IF(B424="","",ROW()-5)</f>
        <v/>
      </c>
      <c r="B424" s="118"/>
      <c r="C424" s="114" t="str">
        <f aca="false">IF(B424="","",IFERROR(INDEX(الموظفون!$C$6:$C$105,MATCH(B424,الموظفون!$B$6:$B$105,0)),"✖ رقم غير موجود"))</f>
        <v/>
      </c>
      <c r="D424" s="118"/>
      <c r="E424" s="119"/>
      <c r="F424" s="119"/>
      <c r="G424" s="65" t="str">
        <f aca="false">IF(OR($B424="",$E424="",$F424=""),"",MAX(0,F424-E424+1))</f>
        <v/>
      </c>
      <c r="H424" s="66" t="str">
        <f aca="false">IF(D424="","",IFERROR(VLOOKUP(D424,cfg_LT,2,FALSE()),1))</f>
        <v/>
      </c>
      <c r="I424" s="135"/>
      <c r="J424" s="66" t="str">
        <f aca="false">IF(D424="","",IF(I424&lt;&gt;"",I424,H424))</f>
        <v/>
      </c>
      <c r="K424" s="114" t="str">
        <f aca="false">IF(D424="","",IFERROR(VLOOKUP($D424,cfg_LT,3,FALSE()),""))</f>
        <v/>
      </c>
      <c r="L424" s="114" t="str">
        <f aca="false">IF(D424="","",IFERROR(VLOOKUP($D424,cfg_LT,4,FALSE()),""))</f>
        <v/>
      </c>
      <c r="M424" s="114" t="str">
        <f aca="false">IF(D424="","",IFERROR(VLOOKUP($D424,cfg_LT,5,FALSE()),""))</f>
        <v/>
      </c>
      <c r="N424" s="111" t="n">
        <f aca="false">IF(OR(OR($B424="",$E424="",$F424=""),M424&lt;&gt;"نعم"),0,G424*J424*IFERROR(INDEX(الموظفون!$R$6:$R$105,MATCH(B424,الموظفون!$B$6:$B$105,0)),0)/cfg_DAYS_M)</f>
        <v>0</v>
      </c>
      <c r="O424" s="106" t="str">
        <f aca="false">IF(OR(OR($B424="",$E424="",$F424=""),M424&lt;&gt;"نعم"),"",IF(YEAR(E424)=cfg_FY,MONTH(E424),""))</f>
        <v/>
      </c>
      <c r="P424" s="114" t="str">
        <f aca="false">IF(B424="","",IF(OR(D424="",E424="",F424=""),"⚠ أكمل النوع والتواريخ",IF(F424&lt;E424,"✖ النهاية قبل البداية",IF(COUNTIFS($B$6:$B$505,B424,$E$6:$E$505,"&lt;="&amp;F424,$F$6:$F$505,"&gt;="&amp;E424)&gt;1,"⚠ تداخل مع سجل آخر",IF(E424&gt;cfg_VAL_DATE,"⏳ قادمة",IF(F424&lt;cfg_VAL_DATE,"✔ منتهية","✈ جارية في تاريخ التقرير"))))))</f>
        <v/>
      </c>
      <c r="Q424" s="118"/>
      <c r="R424" s="65" t="n">
        <f aca="false">IF(OR(OR($B424="",$E424="",$F424=""),L424&lt;&gt;"لا"),0,MAX(0,MIN(F424,cfg_Y_START-1)-E424+1))</f>
        <v>0</v>
      </c>
      <c r="S424" s="65" t="n">
        <f aca="false">IF(OR(OR($B424="",$E424="",$F424=""),L424&lt;&gt;"لا"),0,MAX(0,MIN(F424,cfg_VAL_DATE)-E424+1))</f>
        <v>0</v>
      </c>
      <c r="T424" s="65" t="n">
        <f aca="false">IF(OR(OR($B424="",$E424="",$F424=""),K424&lt;&gt;"نعم"),0,IF(M424="نعم",IF(AND(ISNUMBER(O424),N(O424)&lt;=cfg_VAL_M),G424,0),MAX(0,MIN(F424,cfg_VAL_DATE)-MAX(E424,cfg_Y_START)+1)))</f>
        <v>0</v>
      </c>
      <c r="V424" s="65" t="n">
        <f aca="false">IF(OR($B424="",$E424="",$F424=""),0,MAX(0,MIN($F424,EOMONTH(DATE(cfg_FY,1,1),0))-MAX($E424,DATE(cfg_FY,1,1))+1)*(1-IF($M424="نعم",0,N($J424))))</f>
        <v>0</v>
      </c>
      <c r="W424" s="65" t="n">
        <f aca="false">IF(OR($B424="",$E424="",$F424=""),0,MAX(0,MIN($F424,EOMONTH(DATE(cfg_FY,2,1),0))-MAX($E424,DATE(cfg_FY,2,1))+1)*(1-IF($M424="نعم",0,N($J424))))</f>
        <v>0</v>
      </c>
      <c r="X424" s="65" t="n">
        <f aca="false">IF(OR($B424="",$E424="",$F424=""),0,MAX(0,MIN($F424,EOMONTH(DATE(cfg_FY,3,1),0))-MAX($E424,DATE(cfg_FY,3,1))+1)*(1-IF($M424="نعم",0,N($J424))))</f>
        <v>0</v>
      </c>
      <c r="Y424" s="65" t="n">
        <f aca="false">IF(OR($B424="",$E424="",$F424=""),0,MAX(0,MIN($F424,EOMONTH(DATE(cfg_FY,4,1),0))-MAX($E424,DATE(cfg_FY,4,1))+1)*(1-IF($M424="نعم",0,N($J424))))</f>
        <v>0</v>
      </c>
      <c r="Z424" s="65" t="n">
        <f aca="false">IF(OR($B424="",$E424="",$F424=""),0,MAX(0,MIN($F424,EOMONTH(DATE(cfg_FY,5,1),0))-MAX($E424,DATE(cfg_FY,5,1))+1)*(1-IF($M424="نعم",0,N($J424))))</f>
        <v>0</v>
      </c>
      <c r="AA424" s="65" t="n">
        <f aca="false">IF(OR($B424="",$E424="",$F424=""),0,MAX(0,MIN($F424,EOMONTH(DATE(cfg_FY,6,1),0))-MAX($E424,DATE(cfg_FY,6,1))+1)*(1-IF($M424="نعم",0,N($J424))))</f>
        <v>0</v>
      </c>
      <c r="AB424" s="65" t="n">
        <f aca="false">IF(OR($B424="",$E424="",$F424=""),0,MAX(0,MIN($F424,EOMONTH(DATE(cfg_FY,7,1),0))-MAX($E424,DATE(cfg_FY,7,1))+1)*(1-IF($M424="نعم",0,N($J424))))</f>
        <v>0</v>
      </c>
      <c r="AC424" s="65" t="n">
        <f aca="false">IF(OR($B424="",$E424="",$F424=""),0,MAX(0,MIN($F424,EOMONTH(DATE(cfg_FY,8,1),0))-MAX($E424,DATE(cfg_FY,8,1))+1)*(1-IF($M424="نعم",0,N($J424))))</f>
        <v>0</v>
      </c>
      <c r="AD424" s="65" t="n">
        <f aca="false">IF(OR($B424="",$E424="",$F424=""),0,MAX(0,MIN($F424,EOMONTH(DATE(cfg_FY,9,1),0))-MAX($E424,DATE(cfg_FY,9,1))+1)*(1-IF($M424="نعم",0,N($J424))))</f>
        <v>0</v>
      </c>
      <c r="AE424" s="65" t="n">
        <f aca="false">IF(OR($B424="",$E424="",$F424=""),0,MAX(0,MIN($F424,EOMONTH(DATE(cfg_FY,10,1),0))-MAX($E424,DATE(cfg_FY,10,1))+1)*(1-IF($M424="نعم",0,N($J424))))</f>
        <v>0</v>
      </c>
      <c r="AF424" s="65" t="n">
        <f aca="false">IF(OR($B424="",$E424="",$F424=""),0,MAX(0,MIN($F424,EOMONTH(DATE(cfg_FY,11,1),0))-MAX($E424,DATE(cfg_FY,11,1))+1)*(1-IF($M424="نعم",0,N($J424))))</f>
        <v>0</v>
      </c>
      <c r="AG424" s="65" t="n">
        <f aca="false">IF(OR($B424="",$E424="",$F424=""),0,MAX(0,MIN($F424,EOMONTH(DATE(cfg_FY,12,1),0))-MAX($E424,DATE(cfg_FY,12,1))+1)*(1-IF($M424="نعم",0,N($J424))))</f>
        <v>0</v>
      </c>
      <c r="AH424" s="65" t="n">
        <f aca="false">IF(OR(OR($B424="",$E424="",$F424=""),$L424&lt;&gt;"لا"),0,MAX(0,MIN($F424,EOMONTH(DATE(cfg_FY,1,1),0))-$E424+1))</f>
        <v>0</v>
      </c>
      <c r="AI424" s="65" t="n">
        <f aca="false">IF(OR(OR($B424="",$E424="",$F424=""),$L424&lt;&gt;"لا"),0,MAX(0,MIN($F424,EOMONTH(DATE(cfg_FY,2,1),0))-$E424+1))</f>
        <v>0</v>
      </c>
      <c r="AJ424" s="65" t="n">
        <f aca="false">IF(OR(OR($B424="",$E424="",$F424=""),$L424&lt;&gt;"لا"),0,MAX(0,MIN($F424,EOMONTH(DATE(cfg_FY,3,1),0))-$E424+1))</f>
        <v>0</v>
      </c>
      <c r="AK424" s="65" t="n">
        <f aca="false">IF(OR(OR($B424="",$E424="",$F424=""),$L424&lt;&gt;"لا"),0,MAX(0,MIN($F424,EOMONTH(DATE(cfg_FY,4,1),0))-$E424+1))</f>
        <v>0</v>
      </c>
      <c r="AL424" s="65" t="n">
        <f aca="false">IF(OR(OR($B424="",$E424="",$F424=""),$L424&lt;&gt;"لا"),0,MAX(0,MIN($F424,EOMONTH(DATE(cfg_FY,5,1),0))-$E424+1))</f>
        <v>0</v>
      </c>
      <c r="AM424" s="65" t="n">
        <f aca="false">IF(OR(OR($B424="",$E424="",$F424=""),$L424&lt;&gt;"لا"),0,MAX(0,MIN($F424,EOMONTH(DATE(cfg_FY,6,1),0))-$E424+1))</f>
        <v>0</v>
      </c>
      <c r="AN424" s="65" t="n">
        <f aca="false">IF(OR(OR($B424="",$E424="",$F424=""),$L424&lt;&gt;"لا"),0,MAX(0,MIN($F424,EOMONTH(DATE(cfg_FY,7,1),0))-$E424+1))</f>
        <v>0</v>
      </c>
      <c r="AO424" s="65" t="n">
        <f aca="false">IF(OR(OR($B424="",$E424="",$F424=""),$L424&lt;&gt;"لا"),0,MAX(0,MIN($F424,EOMONTH(DATE(cfg_FY,8,1),0))-$E424+1))</f>
        <v>0</v>
      </c>
      <c r="AP424" s="65" t="n">
        <f aca="false">IF(OR(OR($B424="",$E424="",$F424=""),$L424&lt;&gt;"لا"),0,MAX(0,MIN($F424,EOMONTH(DATE(cfg_FY,9,1),0))-$E424+1))</f>
        <v>0</v>
      </c>
      <c r="AQ424" s="65" t="n">
        <f aca="false">IF(OR(OR($B424="",$E424="",$F424=""),$L424&lt;&gt;"لا"),0,MAX(0,MIN($F424,EOMONTH(DATE(cfg_FY,10,1),0))-$E424+1))</f>
        <v>0</v>
      </c>
      <c r="AR424" s="65" t="n">
        <f aca="false">IF(OR(OR($B424="",$E424="",$F424=""),$L424&lt;&gt;"لا"),0,MAX(0,MIN($F424,EOMONTH(DATE(cfg_FY,11,1),0))-$E424+1))</f>
        <v>0</v>
      </c>
      <c r="AS424" s="65" t="n">
        <f aca="false">IF(OR(OR($B424="",$E424="",$F424=""),$L424&lt;&gt;"لا"),0,MAX(0,MIN($F424,EOMONTH(DATE(cfg_FY,12,1),0))-$E424+1))</f>
        <v>0</v>
      </c>
      <c r="AT424" s="65" t="n">
        <f aca="false">IF(OR(OR($B424="",$E424="",$F424=""),$K424&lt;&gt;"نعم",$M424="نعم"),0,MAX(0,MIN($F424,EOMONTH(DATE(cfg_FY,1,1),0))-MAX($E424,DATE(cfg_FY,1,1))+1))</f>
        <v>0</v>
      </c>
      <c r="AU424" s="65" t="n">
        <f aca="false">IF(OR(OR($B424="",$E424="",$F424=""),$K424&lt;&gt;"نعم",$M424="نعم"),0,MAX(0,MIN($F424,EOMONTH(DATE(cfg_FY,2,1),0))-MAX($E424,DATE(cfg_FY,2,1))+1))</f>
        <v>0</v>
      </c>
      <c r="AV424" s="65" t="n">
        <f aca="false">IF(OR(OR($B424="",$E424="",$F424=""),$K424&lt;&gt;"نعم",$M424="نعم"),0,MAX(0,MIN($F424,EOMONTH(DATE(cfg_FY,3,1),0))-MAX($E424,DATE(cfg_FY,3,1))+1))</f>
        <v>0</v>
      </c>
      <c r="AW424" s="65" t="n">
        <f aca="false">IF(OR(OR($B424="",$E424="",$F424=""),$K424&lt;&gt;"نعم",$M424="نعم"),0,MAX(0,MIN($F424,EOMONTH(DATE(cfg_FY,4,1),0))-MAX($E424,DATE(cfg_FY,4,1))+1))</f>
        <v>0</v>
      </c>
      <c r="AX424" s="65" t="n">
        <f aca="false">IF(OR(OR($B424="",$E424="",$F424=""),$K424&lt;&gt;"نعم",$M424="نعم"),0,MAX(0,MIN($F424,EOMONTH(DATE(cfg_FY,5,1),0))-MAX($E424,DATE(cfg_FY,5,1))+1))</f>
        <v>0</v>
      </c>
      <c r="AY424" s="65" t="n">
        <f aca="false">IF(OR(OR($B424="",$E424="",$F424=""),$K424&lt;&gt;"نعم",$M424="نعم"),0,MAX(0,MIN($F424,EOMONTH(DATE(cfg_FY,6,1),0))-MAX($E424,DATE(cfg_FY,6,1))+1))</f>
        <v>0</v>
      </c>
      <c r="AZ424" s="65" t="n">
        <f aca="false">IF(OR(OR($B424="",$E424="",$F424=""),$K424&lt;&gt;"نعم",$M424="نعم"),0,MAX(0,MIN($F424,EOMONTH(DATE(cfg_FY,7,1),0))-MAX($E424,DATE(cfg_FY,7,1))+1))</f>
        <v>0</v>
      </c>
      <c r="BA424" s="65" t="n">
        <f aca="false">IF(OR(OR($B424="",$E424="",$F424=""),$K424&lt;&gt;"نعم",$M424="نعم"),0,MAX(0,MIN($F424,EOMONTH(DATE(cfg_FY,8,1),0))-MAX($E424,DATE(cfg_FY,8,1))+1))</f>
        <v>0</v>
      </c>
      <c r="BB424" s="65" t="n">
        <f aca="false">IF(OR(OR($B424="",$E424="",$F424=""),$K424&lt;&gt;"نعم",$M424="نعم"),0,MAX(0,MIN($F424,EOMONTH(DATE(cfg_FY,9,1),0))-MAX($E424,DATE(cfg_FY,9,1))+1))</f>
        <v>0</v>
      </c>
      <c r="BC424" s="65" t="n">
        <f aca="false">IF(OR(OR($B424="",$E424="",$F424=""),$K424&lt;&gt;"نعم",$M424="نعم"),0,MAX(0,MIN($F424,EOMONTH(DATE(cfg_FY,10,1),0))-MAX($E424,DATE(cfg_FY,10,1))+1))</f>
        <v>0</v>
      </c>
      <c r="BD424" s="65" t="n">
        <f aca="false">IF(OR(OR($B424="",$E424="",$F424=""),$K424&lt;&gt;"نعم",$M424="نعم"),0,MAX(0,MIN($F424,EOMONTH(DATE(cfg_FY,11,1),0))-MAX($E424,DATE(cfg_FY,11,1))+1))</f>
        <v>0</v>
      </c>
      <c r="BE424" s="65" t="n">
        <f aca="false">IF(OR(OR($B424="",$E424="",$F424=""),$K424&lt;&gt;"نعم",$M424="نعم"),0,MAX(0,MIN($F424,EOMONTH(DATE(cfg_FY,12,1),0))-MAX($E424,DATE(cfg_FY,12,1))+1))</f>
        <v>0</v>
      </c>
    </row>
    <row r="425" customFormat="false" ht="15" hidden="false" customHeight="false" outlineLevel="0" collapsed="false">
      <c r="A425" s="115" t="str">
        <f aca="false">IF(B425="","",ROW()-5)</f>
        <v/>
      </c>
      <c r="B425" s="118"/>
      <c r="C425" s="117" t="str">
        <f aca="false">IF(B425="","",IFERROR(INDEX(الموظفون!$C$6:$C$105,MATCH(B425,الموظفون!$B$6:$B$105,0)),"✖ رقم غير موجود"))</f>
        <v/>
      </c>
      <c r="D425" s="118"/>
      <c r="E425" s="119"/>
      <c r="F425" s="119"/>
      <c r="G425" s="133" t="str">
        <f aca="false">IF(OR($B425="",$E425="",$F425=""),"",MAX(0,F425-E425+1))</f>
        <v/>
      </c>
      <c r="H425" s="134" t="str">
        <f aca="false">IF(D425="","",IFERROR(VLOOKUP(D425,cfg_LT,2,FALSE()),1))</f>
        <v/>
      </c>
      <c r="I425" s="135"/>
      <c r="J425" s="134" t="str">
        <f aca="false">IF(D425="","",IF(I425&lt;&gt;"",I425,H425))</f>
        <v/>
      </c>
      <c r="K425" s="117" t="str">
        <f aca="false">IF(D425="","",IFERROR(VLOOKUP($D425,cfg_LT,3,FALSE()),""))</f>
        <v/>
      </c>
      <c r="L425" s="117" t="str">
        <f aca="false">IF(D425="","",IFERROR(VLOOKUP($D425,cfg_LT,4,FALSE()),""))</f>
        <v/>
      </c>
      <c r="M425" s="117" t="str">
        <f aca="false">IF(D425="","",IFERROR(VLOOKUP($D425,cfg_LT,5,FALSE()),""))</f>
        <v/>
      </c>
      <c r="N425" s="116" t="n">
        <f aca="false">IF(OR(OR($B425="",$E425="",$F425=""),M425&lt;&gt;"نعم"),0,G425*J425*IFERROR(INDEX(الموظفون!$R$6:$R$105,MATCH(B425,الموظفون!$B$6:$B$105,0)),0)/cfg_DAYS_M)</f>
        <v>0</v>
      </c>
      <c r="O425" s="115" t="str">
        <f aca="false">IF(OR(OR($B425="",$E425="",$F425=""),M425&lt;&gt;"نعم"),"",IF(YEAR(E425)=cfg_FY,MONTH(E425),""))</f>
        <v/>
      </c>
      <c r="P425" s="117" t="str">
        <f aca="false">IF(B425="","",IF(OR(D425="",E425="",F425=""),"⚠ أكمل النوع والتواريخ",IF(F425&lt;E425,"✖ النهاية قبل البداية",IF(COUNTIFS($B$6:$B$505,B425,$E$6:$E$505,"&lt;="&amp;F425,$F$6:$F$505,"&gt;="&amp;E425)&gt;1,"⚠ تداخل مع سجل آخر",IF(E425&gt;cfg_VAL_DATE,"⏳ قادمة",IF(F425&lt;cfg_VAL_DATE,"✔ منتهية","✈ جارية في تاريخ التقرير"))))))</f>
        <v/>
      </c>
      <c r="Q425" s="118"/>
      <c r="R425" s="133" t="n">
        <f aca="false">IF(OR(OR($B425="",$E425="",$F425=""),L425&lt;&gt;"لا"),0,MAX(0,MIN(F425,cfg_Y_START-1)-E425+1))</f>
        <v>0</v>
      </c>
      <c r="S425" s="133" t="n">
        <f aca="false">IF(OR(OR($B425="",$E425="",$F425=""),L425&lt;&gt;"لا"),0,MAX(0,MIN(F425,cfg_VAL_DATE)-E425+1))</f>
        <v>0</v>
      </c>
      <c r="T425" s="133" t="n">
        <f aca="false">IF(OR(OR($B425="",$E425="",$F425=""),K425&lt;&gt;"نعم"),0,IF(M425="نعم",IF(AND(ISNUMBER(O425),N(O425)&lt;=cfg_VAL_M),G425,0),MAX(0,MIN(F425,cfg_VAL_DATE)-MAX(E425,cfg_Y_START)+1)))</f>
        <v>0</v>
      </c>
      <c r="V425" s="133" t="n">
        <f aca="false">IF(OR($B425="",$E425="",$F425=""),0,MAX(0,MIN($F425,EOMONTH(DATE(cfg_FY,1,1),0))-MAX($E425,DATE(cfg_FY,1,1))+1)*(1-IF($M425="نعم",0,N($J425))))</f>
        <v>0</v>
      </c>
      <c r="W425" s="133" t="n">
        <f aca="false">IF(OR($B425="",$E425="",$F425=""),0,MAX(0,MIN($F425,EOMONTH(DATE(cfg_FY,2,1),0))-MAX($E425,DATE(cfg_FY,2,1))+1)*(1-IF($M425="نعم",0,N($J425))))</f>
        <v>0</v>
      </c>
      <c r="X425" s="133" t="n">
        <f aca="false">IF(OR($B425="",$E425="",$F425=""),0,MAX(0,MIN($F425,EOMONTH(DATE(cfg_FY,3,1),0))-MAX($E425,DATE(cfg_FY,3,1))+1)*(1-IF($M425="نعم",0,N($J425))))</f>
        <v>0</v>
      </c>
      <c r="Y425" s="133" t="n">
        <f aca="false">IF(OR($B425="",$E425="",$F425=""),0,MAX(0,MIN($F425,EOMONTH(DATE(cfg_FY,4,1),0))-MAX($E425,DATE(cfg_FY,4,1))+1)*(1-IF($M425="نعم",0,N($J425))))</f>
        <v>0</v>
      </c>
      <c r="Z425" s="133" t="n">
        <f aca="false">IF(OR($B425="",$E425="",$F425=""),0,MAX(0,MIN($F425,EOMONTH(DATE(cfg_FY,5,1),0))-MAX($E425,DATE(cfg_FY,5,1))+1)*(1-IF($M425="نعم",0,N($J425))))</f>
        <v>0</v>
      </c>
      <c r="AA425" s="133" t="n">
        <f aca="false">IF(OR($B425="",$E425="",$F425=""),0,MAX(0,MIN($F425,EOMONTH(DATE(cfg_FY,6,1),0))-MAX($E425,DATE(cfg_FY,6,1))+1)*(1-IF($M425="نعم",0,N($J425))))</f>
        <v>0</v>
      </c>
      <c r="AB425" s="133" t="n">
        <f aca="false">IF(OR($B425="",$E425="",$F425=""),0,MAX(0,MIN($F425,EOMONTH(DATE(cfg_FY,7,1),0))-MAX($E425,DATE(cfg_FY,7,1))+1)*(1-IF($M425="نعم",0,N($J425))))</f>
        <v>0</v>
      </c>
      <c r="AC425" s="133" t="n">
        <f aca="false">IF(OR($B425="",$E425="",$F425=""),0,MAX(0,MIN($F425,EOMONTH(DATE(cfg_FY,8,1),0))-MAX($E425,DATE(cfg_FY,8,1))+1)*(1-IF($M425="نعم",0,N($J425))))</f>
        <v>0</v>
      </c>
      <c r="AD425" s="133" t="n">
        <f aca="false">IF(OR($B425="",$E425="",$F425=""),0,MAX(0,MIN($F425,EOMONTH(DATE(cfg_FY,9,1),0))-MAX($E425,DATE(cfg_FY,9,1))+1)*(1-IF($M425="نعم",0,N($J425))))</f>
        <v>0</v>
      </c>
      <c r="AE425" s="133" t="n">
        <f aca="false">IF(OR($B425="",$E425="",$F425=""),0,MAX(0,MIN($F425,EOMONTH(DATE(cfg_FY,10,1),0))-MAX($E425,DATE(cfg_FY,10,1))+1)*(1-IF($M425="نعم",0,N($J425))))</f>
        <v>0</v>
      </c>
      <c r="AF425" s="133" t="n">
        <f aca="false">IF(OR($B425="",$E425="",$F425=""),0,MAX(0,MIN($F425,EOMONTH(DATE(cfg_FY,11,1),0))-MAX($E425,DATE(cfg_FY,11,1))+1)*(1-IF($M425="نعم",0,N($J425))))</f>
        <v>0</v>
      </c>
      <c r="AG425" s="133" t="n">
        <f aca="false">IF(OR($B425="",$E425="",$F425=""),0,MAX(0,MIN($F425,EOMONTH(DATE(cfg_FY,12,1),0))-MAX($E425,DATE(cfg_FY,12,1))+1)*(1-IF($M425="نعم",0,N($J425))))</f>
        <v>0</v>
      </c>
      <c r="AH425" s="133" t="n">
        <f aca="false">IF(OR(OR($B425="",$E425="",$F425=""),$L425&lt;&gt;"لا"),0,MAX(0,MIN($F425,EOMONTH(DATE(cfg_FY,1,1),0))-$E425+1))</f>
        <v>0</v>
      </c>
      <c r="AI425" s="133" t="n">
        <f aca="false">IF(OR(OR($B425="",$E425="",$F425=""),$L425&lt;&gt;"لا"),0,MAX(0,MIN($F425,EOMONTH(DATE(cfg_FY,2,1),0))-$E425+1))</f>
        <v>0</v>
      </c>
      <c r="AJ425" s="133" t="n">
        <f aca="false">IF(OR(OR($B425="",$E425="",$F425=""),$L425&lt;&gt;"لا"),0,MAX(0,MIN($F425,EOMONTH(DATE(cfg_FY,3,1),0))-$E425+1))</f>
        <v>0</v>
      </c>
      <c r="AK425" s="133" t="n">
        <f aca="false">IF(OR(OR($B425="",$E425="",$F425=""),$L425&lt;&gt;"لا"),0,MAX(0,MIN($F425,EOMONTH(DATE(cfg_FY,4,1),0))-$E425+1))</f>
        <v>0</v>
      </c>
      <c r="AL425" s="133" t="n">
        <f aca="false">IF(OR(OR($B425="",$E425="",$F425=""),$L425&lt;&gt;"لا"),0,MAX(0,MIN($F425,EOMONTH(DATE(cfg_FY,5,1),0))-$E425+1))</f>
        <v>0</v>
      </c>
      <c r="AM425" s="133" t="n">
        <f aca="false">IF(OR(OR($B425="",$E425="",$F425=""),$L425&lt;&gt;"لا"),0,MAX(0,MIN($F425,EOMONTH(DATE(cfg_FY,6,1),0))-$E425+1))</f>
        <v>0</v>
      </c>
      <c r="AN425" s="133" t="n">
        <f aca="false">IF(OR(OR($B425="",$E425="",$F425=""),$L425&lt;&gt;"لا"),0,MAX(0,MIN($F425,EOMONTH(DATE(cfg_FY,7,1),0))-$E425+1))</f>
        <v>0</v>
      </c>
      <c r="AO425" s="133" t="n">
        <f aca="false">IF(OR(OR($B425="",$E425="",$F425=""),$L425&lt;&gt;"لا"),0,MAX(0,MIN($F425,EOMONTH(DATE(cfg_FY,8,1),0))-$E425+1))</f>
        <v>0</v>
      </c>
      <c r="AP425" s="133" t="n">
        <f aca="false">IF(OR(OR($B425="",$E425="",$F425=""),$L425&lt;&gt;"لا"),0,MAX(0,MIN($F425,EOMONTH(DATE(cfg_FY,9,1),0))-$E425+1))</f>
        <v>0</v>
      </c>
      <c r="AQ425" s="133" t="n">
        <f aca="false">IF(OR(OR($B425="",$E425="",$F425=""),$L425&lt;&gt;"لا"),0,MAX(0,MIN($F425,EOMONTH(DATE(cfg_FY,10,1),0))-$E425+1))</f>
        <v>0</v>
      </c>
      <c r="AR425" s="133" t="n">
        <f aca="false">IF(OR(OR($B425="",$E425="",$F425=""),$L425&lt;&gt;"لا"),0,MAX(0,MIN($F425,EOMONTH(DATE(cfg_FY,11,1),0))-$E425+1))</f>
        <v>0</v>
      </c>
      <c r="AS425" s="133" t="n">
        <f aca="false">IF(OR(OR($B425="",$E425="",$F425=""),$L425&lt;&gt;"لا"),0,MAX(0,MIN($F425,EOMONTH(DATE(cfg_FY,12,1),0))-$E425+1))</f>
        <v>0</v>
      </c>
      <c r="AT425" s="133" t="n">
        <f aca="false">IF(OR(OR($B425="",$E425="",$F425=""),$K425&lt;&gt;"نعم",$M425="نعم"),0,MAX(0,MIN($F425,EOMONTH(DATE(cfg_FY,1,1),0))-MAX($E425,DATE(cfg_FY,1,1))+1))</f>
        <v>0</v>
      </c>
      <c r="AU425" s="133" t="n">
        <f aca="false">IF(OR(OR($B425="",$E425="",$F425=""),$K425&lt;&gt;"نعم",$M425="نعم"),0,MAX(0,MIN($F425,EOMONTH(DATE(cfg_FY,2,1),0))-MAX($E425,DATE(cfg_FY,2,1))+1))</f>
        <v>0</v>
      </c>
      <c r="AV425" s="133" t="n">
        <f aca="false">IF(OR(OR($B425="",$E425="",$F425=""),$K425&lt;&gt;"نعم",$M425="نعم"),0,MAX(0,MIN($F425,EOMONTH(DATE(cfg_FY,3,1),0))-MAX($E425,DATE(cfg_FY,3,1))+1))</f>
        <v>0</v>
      </c>
      <c r="AW425" s="133" t="n">
        <f aca="false">IF(OR(OR($B425="",$E425="",$F425=""),$K425&lt;&gt;"نعم",$M425="نعم"),0,MAX(0,MIN($F425,EOMONTH(DATE(cfg_FY,4,1),0))-MAX($E425,DATE(cfg_FY,4,1))+1))</f>
        <v>0</v>
      </c>
      <c r="AX425" s="133" t="n">
        <f aca="false">IF(OR(OR($B425="",$E425="",$F425=""),$K425&lt;&gt;"نعم",$M425="نعم"),0,MAX(0,MIN($F425,EOMONTH(DATE(cfg_FY,5,1),0))-MAX($E425,DATE(cfg_FY,5,1))+1))</f>
        <v>0</v>
      </c>
      <c r="AY425" s="133" t="n">
        <f aca="false">IF(OR(OR($B425="",$E425="",$F425=""),$K425&lt;&gt;"نعم",$M425="نعم"),0,MAX(0,MIN($F425,EOMONTH(DATE(cfg_FY,6,1),0))-MAX($E425,DATE(cfg_FY,6,1))+1))</f>
        <v>0</v>
      </c>
      <c r="AZ425" s="133" t="n">
        <f aca="false">IF(OR(OR($B425="",$E425="",$F425=""),$K425&lt;&gt;"نعم",$M425="نعم"),0,MAX(0,MIN($F425,EOMONTH(DATE(cfg_FY,7,1),0))-MAX($E425,DATE(cfg_FY,7,1))+1))</f>
        <v>0</v>
      </c>
      <c r="BA425" s="133" t="n">
        <f aca="false">IF(OR(OR($B425="",$E425="",$F425=""),$K425&lt;&gt;"نعم",$M425="نعم"),0,MAX(0,MIN($F425,EOMONTH(DATE(cfg_FY,8,1),0))-MAX($E425,DATE(cfg_FY,8,1))+1))</f>
        <v>0</v>
      </c>
      <c r="BB425" s="133" t="n">
        <f aca="false">IF(OR(OR($B425="",$E425="",$F425=""),$K425&lt;&gt;"نعم",$M425="نعم"),0,MAX(0,MIN($F425,EOMONTH(DATE(cfg_FY,9,1),0))-MAX($E425,DATE(cfg_FY,9,1))+1))</f>
        <v>0</v>
      </c>
      <c r="BC425" s="133" t="n">
        <f aca="false">IF(OR(OR($B425="",$E425="",$F425=""),$K425&lt;&gt;"نعم",$M425="نعم"),0,MAX(0,MIN($F425,EOMONTH(DATE(cfg_FY,10,1),0))-MAX($E425,DATE(cfg_FY,10,1))+1))</f>
        <v>0</v>
      </c>
      <c r="BD425" s="133" t="n">
        <f aca="false">IF(OR(OR($B425="",$E425="",$F425=""),$K425&lt;&gt;"نعم",$M425="نعم"),0,MAX(0,MIN($F425,EOMONTH(DATE(cfg_FY,11,1),0))-MAX($E425,DATE(cfg_FY,11,1))+1))</f>
        <v>0</v>
      </c>
      <c r="BE425" s="133" t="n">
        <f aca="false">IF(OR(OR($B425="",$E425="",$F425=""),$K425&lt;&gt;"نعم",$M425="نعم"),0,MAX(0,MIN($F425,EOMONTH(DATE(cfg_FY,12,1),0))-MAX($E425,DATE(cfg_FY,12,1))+1))</f>
        <v>0</v>
      </c>
    </row>
    <row r="426" customFormat="false" ht="15" hidden="false" customHeight="false" outlineLevel="0" collapsed="false">
      <c r="A426" s="106" t="str">
        <f aca="false">IF(B426="","",ROW()-5)</f>
        <v/>
      </c>
      <c r="B426" s="118"/>
      <c r="C426" s="114" t="str">
        <f aca="false">IF(B426="","",IFERROR(INDEX(الموظفون!$C$6:$C$105,MATCH(B426,الموظفون!$B$6:$B$105,0)),"✖ رقم غير موجود"))</f>
        <v/>
      </c>
      <c r="D426" s="118"/>
      <c r="E426" s="119"/>
      <c r="F426" s="119"/>
      <c r="G426" s="65" t="str">
        <f aca="false">IF(OR($B426="",$E426="",$F426=""),"",MAX(0,F426-E426+1))</f>
        <v/>
      </c>
      <c r="H426" s="66" t="str">
        <f aca="false">IF(D426="","",IFERROR(VLOOKUP(D426,cfg_LT,2,FALSE()),1))</f>
        <v/>
      </c>
      <c r="I426" s="135"/>
      <c r="J426" s="66" t="str">
        <f aca="false">IF(D426="","",IF(I426&lt;&gt;"",I426,H426))</f>
        <v/>
      </c>
      <c r="K426" s="114" t="str">
        <f aca="false">IF(D426="","",IFERROR(VLOOKUP($D426,cfg_LT,3,FALSE()),""))</f>
        <v/>
      </c>
      <c r="L426" s="114" t="str">
        <f aca="false">IF(D426="","",IFERROR(VLOOKUP($D426,cfg_LT,4,FALSE()),""))</f>
        <v/>
      </c>
      <c r="M426" s="114" t="str">
        <f aca="false">IF(D426="","",IFERROR(VLOOKUP($D426,cfg_LT,5,FALSE()),""))</f>
        <v/>
      </c>
      <c r="N426" s="111" t="n">
        <f aca="false">IF(OR(OR($B426="",$E426="",$F426=""),M426&lt;&gt;"نعم"),0,G426*J426*IFERROR(INDEX(الموظفون!$R$6:$R$105,MATCH(B426,الموظفون!$B$6:$B$105,0)),0)/cfg_DAYS_M)</f>
        <v>0</v>
      </c>
      <c r="O426" s="106" t="str">
        <f aca="false">IF(OR(OR($B426="",$E426="",$F426=""),M426&lt;&gt;"نعم"),"",IF(YEAR(E426)=cfg_FY,MONTH(E426),""))</f>
        <v/>
      </c>
      <c r="P426" s="114" t="str">
        <f aca="false">IF(B426="","",IF(OR(D426="",E426="",F426=""),"⚠ أكمل النوع والتواريخ",IF(F426&lt;E426,"✖ النهاية قبل البداية",IF(COUNTIFS($B$6:$B$505,B426,$E$6:$E$505,"&lt;="&amp;F426,$F$6:$F$505,"&gt;="&amp;E426)&gt;1,"⚠ تداخل مع سجل آخر",IF(E426&gt;cfg_VAL_DATE,"⏳ قادمة",IF(F426&lt;cfg_VAL_DATE,"✔ منتهية","✈ جارية في تاريخ التقرير"))))))</f>
        <v/>
      </c>
      <c r="Q426" s="118"/>
      <c r="R426" s="65" t="n">
        <f aca="false">IF(OR(OR($B426="",$E426="",$F426=""),L426&lt;&gt;"لا"),0,MAX(0,MIN(F426,cfg_Y_START-1)-E426+1))</f>
        <v>0</v>
      </c>
      <c r="S426" s="65" t="n">
        <f aca="false">IF(OR(OR($B426="",$E426="",$F426=""),L426&lt;&gt;"لا"),0,MAX(0,MIN(F426,cfg_VAL_DATE)-E426+1))</f>
        <v>0</v>
      </c>
      <c r="T426" s="65" t="n">
        <f aca="false">IF(OR(OR($B426="",$E426="",$F426=""),K426&lt;&gt;"نعم"),0,IF(M426="نعم",IF(AND(ISNUMBER(O426),N(O426)&lt;=cfg_VAL_M),G426,0),MAX(0,MIN(F426,cfg_VAL_DATE)-MAX(E426,cfg_Y_START)+1)))</f>
        <v>0</v>
      </c>
      <c r="V426" s="65" t="n">
        <f aca="false">IF(OR($B426="",$E426="",$F426=""),0,MAX(0,MIN($F426,EOMONTH(DATE(cfg_FY,1,1),0))-MAX($E426,DATE(cfg_FY,1,1))+1)*(1-IF($M426="نعم",0,N($J426))))</f>
        <v>0</v>
      </c>
      <c r="W426" s="65" t="n">
        <f aca="false">IF(OR($B426="",$E426="",$F426=""),0,MAX(0,MIN($F426,EOMONTH(DATE(cfg_FY,2,1),0))-MAX($E426,DATE(cfg_FY,2,1))+1)*(1-IF($M426="نعم",0,N($J426))))</f>
        <v>0</v>
      </c>
      <c r="X426" s="65" t="n">
        <f aca="false">IF(OR($B426="",$E426="",$F426=""),0,MAX(0,MIN($F426,EOMONTH(DATE(cfg_FY,3,1),0))-MAX($E426,DATE(cfg_FY,3,1))+1)*(1-IF($M426="نعم",0,N($J426))))</f>
        <v>0</v>
      </c>
      <c r="Y426" s="65" t="n">
        <f aca="false">IF(OR($B426="",$E426="",$F426=""),0,MAX(0,MIN($F426,EOMONTH(DATE(cfg_FY,4,1),0))-MAX($E426,DATE(cfg_FY,4,1))+1)*(1-IF($M426="نعم",0,N($J426))))</f>
        <v>0</v>
      </c>
      <c r="Z426" s="65" t="n">
        <f aca="false">IF(OR($B426="",$E426="",$F426=""),0,MAX(0,MIN($F426,EOMONTH(DATE(cfg_FY,5,1),0))-MAX($E426,DATE(cfg_FY,5,1))+1)*(1-IF($M426="نعم",0,N($J426))))</f>
        <v>0</v>
      </c>
      <c r="AA426" s="65" t="n">
        <f aca="false">IF(OR($B426="",$E426="",$F426=""),0,MAX(0,MIN($F426,EOMONTH(DATE(cfg_FY,6,1),0))-MAX($E426,DATE(cfg_FY,6,1))+1)*(1-IF($M426="نعم",0,N($J426))))</f>
        <v>0</v>
      </c>
      <c r="AB426" s="65" t="n">
        <f aca="false">IF(OR($B426="",$E426="",$F426=""),0,MAX(0,MIN($F426,EOMONTH(DATE(cfg_FY,7,1),0))-MAX($E426,DATE(cfg_FY,7,1))+1)*(1-IF($M426="نعم",0,N($J426))))</f>
        <v>0</v>
      </c>
      <c r="AC426" s="65" t="n">
        <f aca="false">IF(OR($B426="",$E426="",$F426=""),0,MAX(0,MIN($F426,EOMONTH(DATE(cfg_FY,8,1),0))-MAX($E426,DATE(cfg_FY,8,1))+1)*(1-IF($M426="نعم",0,N($J426))))</f>
        <v>0</v>
      </c>
      <c r="AD426" s="65" t="n">
        <f aca="false">IF(OR($B426="",$E426="",$F426=""),0,MAX(0,MIN($F426,EOMONTH(DATE(cfg_FY,9,1),0))-MAX($E426,DATE(cfg_FY,9,1))+1)*(1-IF($M426="نعم",0,N($J426))))</f>
        <v>0</v>
      </c>
      <c r="AE426" s="65" t="n">
        <f aca="false">IF(OR($B426="",$E426="",$F426=""),0,MAX(0,MIN($F426,EOMONTH(DATE(cfg_FY,10,1),0))-MAX($E426,DATE(cfg_FY,10,1))+1)*(1-IF($M426="نعم",0,N($J426))))</f>
        <v>0</v>
      </c>
      <c r="AF426" s="65" t="n">
        <f aca="false">IF(OR($B426="",$E426="",$F426=""),0,MAX(0,MIN($F426,EOMONTH(DATE(cfg_FY,11,1),0))-MAX($E426,DATE(cfg_FY,11,1))+1)*(1-IF($M426="نعم",0,N($J426))))</f>
        <v>0</v>
      </c>
      <c r="AG426" s="65" t="n">
        <f aca="false">IF(OR($B426="",$E426="",$F426=""),0,MAX(0,MIN($F426,EOMONTH(DATE(cfg_FY,12,1),0))-MAX($E426,DATE(cfg_FY,12,1))+1)*(1-IF($M426="نعم",0,N($J426))))</f>
        <v>0</v>
      </c>
      <c r="AH426" s="65" t="n">
        <f aca="false">IF(OR(OR($B426="",$E426="",$F426=""),$L426&lt;&gt;"لا"),0,MAX(0,MIN($F426,EOMONTH(DATE(cfg_FY,1,1),0))-$E426+1))</f>
        <v>0</v>
      </c>
      <c r="AI426" s="65" t="n">
        <f aca="false">IF(OR(OR($B426="",$E426="",$F426=""),$L426&lt;&gt;"لا"),0,MAX(0,MIN($F426,EOMONTH(DATE(cfg_FY,2,1),0))-$E426+1))</f>
        <v>0</v>
      </c>
      <c r="AJ426" s="65" t="n">
        <f aca="false">IF(OR(OR($B426="",$E426="",$F426=""),$L426&lt;&gt;"لا"),0,MAX(0,MIN($F426,EOMONTH(DATE(cfg_FY,3,1),0))-$E426+1))</f>
        <v>0</v>
      </c>
      <c r="AK426" s="65" t="n">
        <f aca="false">IF(OR(OR($B426="",$E426="",$F426=""),$L426&lt;&gt;"لا"),0,MAX(0,MIN($F426,EOMONTH(DATE(cfg_FY,4,1),0))-$E426+1))</f>
        <v>0</v>
      </c>
      <c r="AL426" s="65" t="n">
        <f aca="false">IF(OR(OR($B426="",$E426="",$F426=""),$L426&lt;&gt;"لا"),0,MAX(0,MIN($F426,EOMONTH(DATE(cfg_FY,5,1),0))-$E426+1))</f>
        <v>0</v>
      </c>
      <c r="AM426" s="65" t="n">
        <f aca="false">IF(OR(OR($B426="",$E426="",$F426=""),$L426&lt;&gt;"لا"),0,MAX(0,MIN($F426,EOMONTH(DATE(cfg_FY,6,1),0))-$E426+1))</f>
        <v>0</v>
      </c>
      <c r="AN426" s="65" t="n">
        <f aca="false">IF(OR(OR($B426="",$E426="",$F426=""),$L426&lt;&gt;"لا"),0,MAX(0,MIN($F426,EOMONTH(DATE(cfg_FY,7,1),0))-$E426+1))</f>
        <v>0</v>
      </c>
      <c r="AO426" s="65" t="n">
        <f aca="false">IF(OR(OR($B426="",$E426="",$F426=""),$L426&lt;&gt;"لا"),0,MAX(0,MIN($F426,EOMONTH(DATE(cfg_FY,8,1),0))-$E426+1))</f>
        <v>0</v>
      </c>
      <c r="AP426" s="65" t="n">
        <f aca="false">IF(OR(OR($B426="",$E426="",$F426=""),$L426&lt;&gt;"لا"),0,MAX(0,MIN($F426,EOMONTH(DATE(cfg_FY,9,1),0))-$E426+1))</f>
        <v>0</v>
      </c>
      <c r="AQ426" s="65" t="n">
        <f aca="false">IF(OR(OR($B426="",$E426="",$F426=""),$L426&lt;&gt;"لا"),0,MAX(0,MIN($F426,EOMONTH(DATE(cfg_FY,10,1),0))-$E426+1))</f>
        <v>0</v>
      </c>
      <c r="AR426" s="65" t="n">
        <f aca="false">IF(OR(OR($B426="",$E426="",$F426=""),$L426&lt;&gt;"لا"),0,MAX(0,MIN($F426,EOMONTH(DATE(cfg_FY,11,1),0))-$E426+1))</f>
        <v>0</v>
      </c>
      <c r="AS426" s="65" t="n">
        <f aca="false">IF(OR(OR($B426="",$E426="",$F426=""),$L426&lt;&gt;"لا"),0,MAX(0,MIN($F426,EOMONTH(DATE(cfg_FY,12,1),0))-$E426+1))</f>
        <v>0</v>
      </c>
      <c r="AT426" s="65" t="n">
        <f aca="false">IF(OR(OR($B426="",$E426="",$F426=""),$K426&lt;&gt;"نعم",$M426="نعم"),0,MAX(0,MIN($F426,EOMONTH(DATE(cfg_FY,1,1),0))-MAX($E426,DATE(cfg_FY,1,1))+1))</f>
        <v>0</v>
      </c>
      <c r="AU426" s="65" t="n">
        <f aca="false">IF(OR(OR($B426="",$E426="",$F426=""),$K426&lt;&gt;"نعم",$M426="نعم"),0,MAX(0,MIN($F426,EOMONTH(DATE(cfg_FY,2,1),0))-MAX($E426,DATE(cfg_FY,2,1))+1))</f>
        <v>0</v>
      </c>
      <c r="AV426" s="65" t="n">
        <f aca="false">IF(OR(OR($B426="",$E426="",$F426=""),$K426&lt;&gt;"نعم",$M426="نعم"),0,MAX(0,MIN($F426,EOMONTH(DATE(cfg_FY,3,1),0))-MAX($E426,DATE(cfg_FY,3,1))+1))</f>
        <v>0</v>
      </c>
      <c r="AW426" s="65" t="n">
        <f aca="false">IF(OR(OR($B426="",$E426="",$F426=""),$K426&lt;&gt;"نعم",$M426="نعم"),0,MAX(0,MIN($F426,EOMONTH(DATE(cfg_FY,4,1),0))-MAX($E426,DATE(cfg_FY,4,1))+1))</f>
        <v>0</v>
      </c>
      <c r="AX426" s="65" t="n">
        <f aca="false">IF(OR(OR($B426="",$E426="",$F426=""),$K426&lt;&gt;"نعم",$M426="نعم"),0,MAX(0,MIN($F426,EOMONTH(DATE(cfg_FY,5,1),0))-MAX($E426,DATE(cfg_FY,5,1))+1))</f>
        <v>0</v>
      </c>
      <c r="AY426" s="65" t="n">
        <f aca="false">IF(OR(OR($B426="",$E426="",$F426=""),$K426&lt;&gt;"نعم",$M426="نعم"),0,MAX(0,MIN($F426,EOMONTH(DATE(cfg_FY,6,1),0))-MAX($E426,DATE(cfg_FY,6,1))+1))</f>
        <v>0</v>
      </c>
      <c r="AZ426" s="65" t="n">
        <f aca="false">IF(OR(OR($B426="",$E426="",$F426=""),$K426&lt;&gt;"نعم",$M426="نعم"),0,MAX(0,MIN($F426,EOMONTH(DATE(cfg_FY,7,1),0))-MAX($E426,DATE(cfg_FY,7,1))+1))</f>
        <v>0</v>
      </c>
      <c r="BA426" s="65" t="n">
        <f aca="false">IF(OR(OR($B426="",$E426="",$F426=""),$K426&lt;&gt;"نعم",$M426="نعم"),0,MAX(0,MIN($F426,EOMONTH(DATE(cfg_FY,8,1),0))-MAX($E426,DATE(cfg_FY,8,1))+1))</f>
        <v>0</v>
      </c>
      <c r="BB426" s="65" t="n">
        <f aca="false">IF(OR(OR($B426="",$E426="",$F426=""),$K426&lt;&gt;"نعم",$M426="نعم"),0,MAX(0,MIN($F426,EOMONTH(DATE(cfg_FY,9,1),0))-MAX($E426,DATE(cfg_FY,9,1))+1))</f>
        <v>0</v>
      </c>
      <c r="BC426" s="65" t="n">
        <f aca="false">IF(OR(OR($B426="",$E426="",$F426=""),$K426&lt;&gt;"نعم",$M426="نعم"),0,MAX(0,MIN($F426,EOMONTH(DATE(cfg_FY,10,1),0))-MAX($E426,DATE(cfg_FY,10,1))+1))</f>
        <v>0</v>
      </c>
      <c r="BD426" s="65" t="n">
        <f aca="false">IF(OR(OR($B426="",$E426="",$F426=""),$K426&lt;&gt;"نعم",$M426="نعم"),0,MAX(0,MIN($F426,EOMONTH(DATE(cfg_FY,11,1),0))-MAX($E426,DATE(cfg_FY,11,1))+1))</f>
        <v>0</v>
      </c>
      <c r="BE426" s="65" t="n">
        <f aca="false">IF(OR(OR($B426="",$E426="",$F426=""),$K426&lt;&gt;"نعم",$M426="نعم"),0,MAX(0,MIN($F426,EOMONTH(DATE(cfg_FY,12,1),0))-MAX($E426,DATE(cfg_FY,12,1))+1))</f>
        <v>0</v>
      </c>
    </row>
    <row r="427" customFormat="false" ht="15" hidden="false" customHeight="false" outlineLevel="0" collapsed="false">
      <c r="A427" s="115" t="str">
        <f aca="false">IF(B427="","",ROW()-5)</f>
        <v/>
      </c>
      <c r="B427" s="118"/>
      <c r="C427" s="117" t="str">
        <f aca="false">IF(B427="","",IFERROR(INDEX(الموظفون!$C$6:$C$105,MATCH(B427,الموظفون!$B$6:$B$105,0)),"✖ رقم غير موجود"))</f>
        <v/>
      </c>
      <c r="D427" s="118"/>
      <c r="E427" s="119"/>
      <c r="F427" s="119"/>
      <c r="G427" s="133" t="str">
        <f aca="false">IF(OR($B427="",$E427="",$F427=""),"",MAX(0,F427-E427+1))</f>
        <v/>
      </c>
      <c r="H427" s="134" t="str">
        <f aca="false">IF(D427="","",IFERROR(VLOOKUP(D427,cfg_LT,2,FALSE()),1))</f>
        <v/>
      </c>
      <c r="I427" s="135"/>
      <c r="J427" s="134" t="str">
        <f aca="false">IF(D427="","",IF(I427&lt;&gt;"",I427,H427))</f>
        <v/>
      </c>
      <c r="K427" s="117" t="str">
        <f aca="false">IF(D427="","",IFERROR(VLOOKUP($D427,cfg_LT,3,FALSE()),""))</f>
        <v/>
      </c>
      <c r="L427" s="117" t="str">
        <f aca="false">IF(D427="","",IFERROR(VLOOKUP($D427,cfg_LT,4,FALSE()),""))</f>
        <v/>
      </c>
      <c r="M427" s="117" t="str">
        <f aca="false">IF(D427="","",IFERROR(VLOOKUP($D427,cfg_LT,5,FALSE()),""))</f>
        <v/>
      </c>
      <c r="N427" s="116" t="n">
        <f aca="false">IF(OR(OR($B427="",$E427="",$F427=""),M427&lt;&gt;"نعم"),0,G427*J427*IFERROR(INDEX(الموظفون!$R$6:$R$105,MATCH(B427,الموظفون!$B$6:$B$105,0)),0)/cfg_DAYS_M)</f>
        <v>0</v>
      </c>
      <c r="O427" s="115" t="str">
        <f aca="false">IF(OR(OR($B427="",$E427="",$F427=""),M427&lt;&gt;"نعم"),"",IF(YEAR(E427)=cfg_FY,MONTH(E427),""))</f>
        <v/>
      </c>
      <c r="P427" s="117" t="str">
        <f aca="false">IF(B427="","",IF(OR(D427="",E427="",F427=""),"⚠ أكمل النوع والتواريخ",IF(F427&lt;E427,"✖ النهاية قبل البداية",IF(COUNTIFS($B$6:$B$505,B427,$E$6:$E$505,"&lt;="&amp;F427,$F$6:$F$505,"&gt;="&amp;E427)&gt;1,"⚠ تداخل مع سجل آخر",IF(E427&gt;cfg_VAL_DATE,"⏳ قادمة",IF(F427&lt;cfg_VAL_DATE,"✔ منتهية","✈ جارية في تاريخ التقرير"))))))</f>
        <v/>
      </c>
      <c r="Q427" s="118"/>
      <c r="R427" s="133" t="n">
        <f aca="false">IF(OR(OR($B427="",$E427="",$F427=""),L427&lt;&gt;"لا"),0,MAX(0,MIN(F427,cfg_Y_START-1)-E427+1))</f>
        <v>0</v>
      </c>
      <c r="S427" s="133" t="n">
        <f aca="false">IF(OR(OR($B427="",$E427="",$F427=""),L427&lt;&gt;"لا"),0,MAX(0,MIN(F427,cfg_VAL_DATE)-E427+1))</f>
        <v>0</v>
      </c>
      <c r="T427" s="133" t="n">
        <f aca="false">IF(OR(OR($B427="",$E427="",$F427=""),K427&lt;&gt;"نعم"),0,IF(M427="نعم",IF(AND(ISNUMBER(O427),N(O427)&lt;=cfg_VAL_M),G427,0),MAX(0,MIN(F427,cfg_VAL_DATE)-MAX(E427,cfg_Y_START)+1)))</f>
        <v>0</v>
      </c>
      <c r="V427" s="133" t="n">
        <f aca="false">IF(OR($B427="",$E427="",$F427=""),0,MAX(0,MIN($F427,EOMONTH(DATE(cfg_FY,1,1),0))-MAX($E427,DATE(cfg_FY,1,1))+1)*(1-IF($M427="نعم",0,N($J427))))</f>
        <v>0</v>
      </c>
      <c r="W427" s="133" t="n">
        <f aca="false">IF(OR($B427="",$E427="",$F427=""),0,MAX(0,MIN($F427,EOMONTH(DATE(cfg_FY,2,1),0))-MAX($E427,DATE(cfg_FY,2,1))+1)*(1-IF($M427="نعم",0,N($J427))))</f>
        <v>0</v>
      </c>
      <c r="X427" s="133" t="n">
        <f aca="false">IF(OR($B427="",$E427="",$F427=""),0,MAX(0,MIN($F427,EOMONTH(DATE(cfg_FY,3,1),0))-MAX($E427,DATE(cfg_FY,3,1))+1)*(1-IF($M427="نعم",0,N($J427))))</f>
        <v>0</v>
      </c>
      <c r="Y427" s="133" t="n">
        <f aca="false">IF(OR($B427="",$E427="",$F427=""),0,MAX(0,MIN($F427,EOMONTH(DATE(cfg_FY,4,1),0))-MAX($E427,DATE(cfg_FY,4,1))+1)*(1-IF($M427="نعم",0,N($J427))))</f>
        <v>0</v>
      </c>
      <c r="Z427" s="133" t="n">
        <f aca="false">IF(OR($B427="",$E427="",$F427=""),0,MAX(0,MIN($F427,EOMONTH(DATE(cfg_FY,5,1),0))-MAX($E427,DATE(cfg_FY,5,1))+1)*(1-IF($M427="نعم",0,N($J427))))</f>
        <v>0</v>
      </c>
      <c r="AA427" s="133" t="n">
        <f aca="false">IF(OR($B427="",$E427="",$F427=""),0,MAX(0,MIN($F427,EOMONTH(DATE(cfg_FY,6,1),0))-MAX($E427,DATE(cfg_FY,6,1))+1)*(1-IF($M427="نعم",0,N($J427))))</f>
        <v>0</v>
      </c>
      <c r="AB427" s="133" t="n">
        <f aca="false">IF(OR($B427="",$E427="",$F427=""),0,MAX(0,MIN($F427,EOMONTH(DATE(cfg_FY,7,1),0))-MAX($E427,DATE(cfg_FY,7,1))+1)*(1-IF($M427="نعم",0,N($J427))))</f>
        <v>0</v>
      </c>
      <c r="AC427" s="133" t="n">
        <f aca="false">IF(OR($B427="",$E427="",$F427=""),0,MAX(0,MIN($F427,EOMONTH(DATE(cfg_FY,8,1),0))-MAX($E427,DATE(cfg_FY,8,1))+1)*(1-IF($M427="نعم",0,N($J427))))</f>
        <v>0</v>
      </c>
      <c r="AD427" s="133" t="n">
        <f aca="false">IF(OR($B427="",$E427="",$F427=""),0,MAX(0,MIN($F427,EOMONTH(DATE(cfg_FY,9,1),0))-MAX($E427,DATE(cfg_FY,9,1))+1)*(1-IF($M427="نعم",0,N($J427))))</f>
        <v>0</v>
      </c>
      <c r="AE427" s="133" t="n">
        <f aca="false">IF(OR($B427="",$E427="",$F427=""),0,MAX(0,MIN($F427,EOMONTH(DATE(cfg_FY,10,1),0))-MAX($E427,DATE(cfg_FY,10,1))+1)*(1-IF($M427="نعم",0,N($J427))))</f>
        <v>0</v>
      </c>
      <c r="AF427" s="133" t="n">
        <f aca="false">IF(OR($B427="",$E427="",$F427=""),0,MAX(0,MIN($F427,EOMONTH(DATE(cfg_FY,11,1),0))-MAX($E427,DATE(cfg_FY,11,1))+1)*(1-IF($M427="نعم",0,N($J427))))</f>
        <v>0</v>
      </c>
      <c r="AG427" s="133" t="n">
        <f aca="false">IF(OR($B427="",$E427="",$F427=""),0,MAX(0,MIN($F427,EOMONTH(DATE(cfg_FY,12,1),0))-MAX($E427,DATE(cfg_FY,12,1))+1)*(1-IF($M427="نعم",0,N($J427))))</f>
        <v>0</v>
      </c>
      <c r="AH427" s="133" t="n">
        <f aca="false">IF(OR(OR($B427="",$E427="",$F427=""),$L427&lt;&gt;"لا"),0,MAX(0,MIN($F427,EOMONTH(DATE(cfg_FY,1,1),0))-$E427+1))</f>
        <v>0</v>
      </c>
      <c r="AI427" s="133" t="n">
        <f aca="false">IF(OR(OR($B427="",$E427="",$F427=""),$L427&lt;&gt;"لا"),0,MAX(0,MIN($F427,EOMONTH(DATE(cfg_FY,2,1),0))-$E427+1))</f>
        <v>0</v>
      </c>
      <c r="AJ427" s="133" t="n">
        <f aca="false">IF(OR(OR($B427="",$E427="",$F427=""),$L427&lt;&gt;"لا"),0,MAX(0,MIN($F427,EOMONTH(DATE(cfg_FY,3,1),0))-$E427+1))</f>
        <v>0</v>
      </c>
      <c r="AK427" s="133" t="n">
        <f aca="false">IF(OR(OR($B427="",$E427="",$F427=""),$L427&lt;&gt;"لا"),0,MAX(0,MIN($F427,EOMONTH(DATE(cfg_FY,4,1),0))-$E427+1))</f>
        <v>0</v>
      </c>
      <c r="AL427" s="133" t="n">
        <f aca="false">IF(OR(OR($B427="",$E427="",$F427=""),$L427&lt;&gt;"لا"),0,MAX(0,MIN($F427,EOMONTH(DATE(cfg_FY,5,1),0))-$E427+1))</f>
        <v>0</v>
      </c>
      <c r="AM427" s="133" t="n">
        <f aca="false">IF(OR(OR($B427="",$E427="",$F427=""),$L427&lt;&gt;"لا"),0,MAX(0,MIN($F427,EOMONTH(DATE(cfg_FY,6,1),0))-$E427+1))</f>
        <v>0</v>
      </c>
      <c r="AN427" s="133" t="n">
        <f aca="false">IF(OR(OR($B427="",$E427="",$F427=""),$L427&lt;&gt;"لا"),0,MAX(0,MIN($F427,EOMONTH(DATE(cfg_FY,7,1),0))-$E427+1))</f>
        <v>0</v>
      </c>
      <c r="AO427" s="133" t="n">
        <f aca="false">IF(OR(OR($B427="",$E427="",$F427=""),$L427&lt;&gt;"لا"),0,MAX(0,MIN($F427,EOMONTH(DATE(cfg_FY,8,1),0))-$E427+1))</f>
        <v>0</v>
      </c>
      <c r="AP427" s="133" t="n">
        <f aca="false">IF(OR(OR($B427="",$E427="",$F427=""),$L427&lt;&gt;"لا"),0,MAX(0,MIN($F427,EOMONTH(DATE(cfg_FY,9,1),0))-$E427+1))</f>
        <v>0</v>
      </c>
      <c r="AQ427" s="133" t="n">
        <f aca="false">IF(OR(OR($B427="",$E427="",$F427=""),$L427&lt;&gt;"لا"),0,MAX(0,MIN($F427,EOMONTH(DATE(cfg_FY,10,1),0))-$E427+1))</f>
        <v>0</v>
      </c>
      <c r="AR427" s="133" t="n">
        <f aca="false">IF(OR(OR($B427="",$E427="",$F427=""),$L427&lt;&gt;"لا"),0,MAX(0,MIN($F427,EOMONTH(DATE(cfg_FY,11,1),0))-$E427+1))</f>
        <v>0</v>
      </c>
      <c r="AS427" s="133" t="n">
        <f aca="false">IF(OR(OR($B427="",$E427="",$F427=""),$L427&lt;&gt;"لا"),0,MAX(0,MIN($F427,EOMONTH(DATE(cfg_FY,12,1),0))-$E427+1))</f>
        <v>0</v>
      </c>
      <c r="AT427" s="133" t="n">
        <f aca="false">IF(OR(OR($B427="",$E427="",$F427=""),$K427&lt;&gt;"نعم",$M427="نعم"),0,MAX(0,MIN($F427,EOMONTH(DATE(cfg_FY,1,1),0))-MAX($E427,DATE(cfg_FY,1,1))+1))</f>
        <v>0</v>
      </c>
      <c r="AU427" s="133" t="n">
        <f aca="false">IF(OR(OR($B427="",$E427="",$F427=""),$K427&lt;&gt;"نعم",$M427="نعم"),0,MAX(0,MIN($F427,EOMONTH(DATE(cfg_FY,2,1),0))-MAX($E427,DATE(cfg_FY,2,1))+1))</f>
        <v>0</v>
      </c>
      <c r="AV427" s="133" t="n">
        <f aca="false">IF(OR(OR($B427="",$E427="",$F427=""),$K427&lt;&gt;"نعم",$M427="نعم"),0,MAX(0,MIN($F427,EOMONTH(DATE(cfg_FY,3,1),0))-MAX($E427,DATE(cfg_FY,3,1))+1))</f>
        <v>0</v>
      </c>
      <c r="AW427" s="133" t="n">
        <f aca="false">IF(OR(OR($B427="",$E427="",$F427=""),$K427&lt;&gt;"نعم",$M427="نعم"),0,MAX(0,MIN($F427,EOMONTH(DATE(cfg_FY,4,1),0))-MAX($E427,DATE(cfg_FY,4,1))+1))</f>
        <v>0</v>
      </c>
      <c r="AX427" s="133" t="n">
        <f aca="false">IF(OR(OR($B427="",$E427="",$F427=""),$K427&lt;&gt;"نعم",$M427="نعم"),0,MAX(0,MIN($F427,EOMONTH(DATE(cfg_FY,5,1),0))-MAX($E427,DATE(cfg_FY,5,1))+1))</f>
        <v>0</v>
      </c>
      <c r="AY427" s="133" t="n">
        <f aca="false">IF(OR(OR($B427="",$E427="",$F427=""),$K427&lt;&gt;"نعم",$M427="نعم"),0,MAX(0,MIN($F427,EOMONTH(DATE(cfg_FY,6,1),0))-MAX($E427,DATE(cfg_FY,6,1))+1))</f>
        <v>0</v>
      </c>
      <c r="AZ427" s="133" t="n">
        <f aca="false">IF(OR(OR($B427="",$E427="",$F427=""),$K427&lt;&gt;"نعم",$M427="نعم"),0,MAX(0,MIN($F427,EOMONTH(DATE(cfg_FY,7,1),0))-MAX($E427,DATE(cfg_FY,7,1))+1))</f>
        <v>0</v>
      </c>
      <c r="BA427" s="133" t="n">
        <f aca="false">IF(OR(OR($B427="",$E427="",$F427=""),$K427&lt;&gt;"نعم",$M427="نعم"),0,MAX(0,MIN($F427,EOMONTH(DATE(cfg_FY,8,1),0))-MAX($E427,DATE(cfg_FY,8,1))+1))</f>
        <v>0</v>
      </c>
      <c r="BB427" s="133" t="n">
        <f aca="false">IF(OR(OR($B427="",$E427="",$F427=""),$K427&lt;&gt;"نعم",$M427="نعم"),0,MAX(0,MIN($F427,EOMONTH(DATE(cfg_FY,9,1),0))-MAX($E427,DATE(cfg_FY,9,1))+1))</f>
        <v>0</v>
      </c>
      <c r="BC427" s="133" t="n">
        <f aca="false">IF(OR(OR($B427="",$E427="",$F427=""),$K427&lt;&gt;"نعم",$M427="نعم"),0,MAX(0,MIN($F427,EOMONTH(DATE(cfg_FY,10,1),0))-MAX($E427,DATE(cfg_FY,10,1))+1))</f>
        <v>0</v>
      </c>
      <c r="BD427" s="133" t="n">
        <f aca="false">IF(OR(OR($B427="",$E427="",$F427=""),$K427&lt;&gt;"نعم",$M427="نعم"),0,MAX(0,MIN($F427,EOMONTH(DATE(cfg_FY,11,1),0))-MAX($E427,DATE(cfg_FY,11,1))+1))</f>
        <v>0</v>
      </c>
      <c r="BE427" s="133" t="n">
        <f aca="false">IF(OR(OR($B427="",$E427="",$F427=""),$K427&lt;&gt;"نعم",$M427="نعم"),0,MAX(0,MIN($F427,EOMONTH(DATE(cfg_FY,12,1),0))-MAX($E427,DATE(cfg_FY,12,1))+1))</f>
        <v>0</v>
      </c>
    </row>
    <row r="428" customFormat="false" ht="15" hidden="false" customHeight="false" outlineLevel="0" collapsed="false">
      <c r="A428" s="106" t="str">
        <f aca="false">IF(B428="","",ROW()-5)</f>
        <v/>
      </c>
      <c r="B428" s="118"/>
      <c r="C428" s="114" t="str">
        <f aca="false">IF(B428="","",IFERROR(INDEX(الموظفون!$C$6:$C$105,MATCH(B428,الموظفون!$B$6:$B$105,0)),"✖ رقم غير موجود"))</f>
        <v/>
      </c>
      <c r="D428" s="118"/>
      <c r="E428" s="119"/>
      <c r="F428" s="119"/>
      <c r="G428" s="65" t="str">
        <f aca="false">IF(OR($B428="",$E428="",$F428=""),"",MAX(0,F428-E428+1))</f>
        <v/>
      </c>
      <c r="H428" s="66" t="str">
        <f aca="false">IF(D428="","",IFERROR(VLOOKUP(D428,cfg_LT,2,FALSE()),1))</f>
        <v/>
      </c>
      <c r="I428" s="135"/>
      <c r="J428" s="66" t="str">
        <f aca="false">IF(D428="","",IF(I428&lt;&gt;"",I428,H428))</f>
        <v/>
      </c>
      <c r="K428" s="114" t="str">
        <f aca="false">IF(D428="","",IFERROR(VLOOKUP($D428,cfg_LT,3,FALSE()),""))</f>
        <v/>
      </c>
      <c r="L428" s="114" t="str">
        <f aca="false">IF(D428="","",IFERROR(VLOOKUP($D428,cfg_LT,4,FALSE()),""))</f>
        <v/>
      </c>
      <c r="M428" s="114" t="str">
        <f aca="false">IF(D428="","",IFERROR(VLOOKUP($D428,cfg_LT,5,FALSE()),""))</f>
        <v/>
      </c>
      <c r="N428" s="111" t="n">
        <f aca="false">IF(OR(OR($B428="",$E428="",$F428=""),M428&lt;&gt;"نعم"),0,G428*J428*IFERROR(INDEX(الموظفون!$R$6:$R$105,MATCH(B428,الموظفون!$B$6:$B$105,0)),0)/cfg_DAYS_M)</f>
        <v>0</v>
      </c>
      <c r="O428" s="106" t="str">
        <f aca="false">IF(OR(OR($B428="",$E428="",$F428=""),M428&lt;&gt;"نعم"),"",IF(YEAR(E428)=cfg_FY,MONTH(E428),""))</f>
        <v/>
      </c>
      <c r="P428" s="114" t="str">
        <f aca="false">IF(B428="","",IF(OR(D428="",E428="",F428=""),"⚠ أكمل النوع والتواريخ",IF(F428&lt;E428,"✖ النهاية قبل البداية",IF(COUNTIFS($B$6:$B$505,B428,$E$6:$E$505,"&lt;="&amp;F428,$F$6:$F$505,"&gt;="&amp;E428)&gt;1,"⚠ تداخل مع سجل آخر",IF(E428&gt;cfg_VAL_DATE,"⏳ قادمة",IF(F428&lt;cfg_VAL_DATE,"✔ منتهية","✈ جارية في تاريخ التقرير"))))))</f>
        <v/>
      </c>
      <c r="Q428" s="118"/>
      <c r="R428" s="65" t="n">
        <f aca="false">IF(OR(OR($B428="",$E428="",$F428=""),L428&lt;&gt;"لا"),0,MAX(0,MIN(F428,cfg_Y_START-1)-E428+1))</f>
        <v>0</v>
      </c>
      <c r="S428" s="65" t="n">
        <f aca="false">IF(OR(OR($B428="",$E428="",$F428=""),L428&lt;&gt;"لا"),0,MAX(0,MIN(F428,cfg_VAL_DATE)-E428+1))</f>
        <v>0</v>
      </c>
      <c r="T428" s="65" t="n">
        <f aca="false">IF(OR(OR($B428="",$E428="",$F428=""),K428&lt;&gt;"نعم"),0,IF(M428="نعم",IF(AND(ISNUMBER(O428),N(O428)&lt;=cfg_VAL_M),G428,0),MAX(0,MIN(F428,cfg_VAL_DATE)-MAX(E428,cfg_Y_START)+1)))</f>
        <v>0</v>
      </c>
      <c r="V428" s="65" t="n">
        <f aca="false">IF(OR($B428="",$E428="",$F428=""),0,MAX(0,MIN($F428,EOMONTH(DATE(cfg_FY,1,1),0))-MAX($E428,DATE(cfg_FY,1,1))+1)*(1-IF($M428="نعم",0,N($J428))))</f>
        <v>0</v>
      </c>
      <c r="W428" s="65" t="n">
        <f aca="false">IF(OR($B428="",$E428="",$F428=""),0,MAX(0,MIN($F428,EOMONTH(DATE(cfg_FY,2,1),0))-MAX($E428,DATE(cfg_FY,2,1))+1)*(1-IF($M428="نعم",0,N($J428))))</f>
        <v>0</v>
      </c>
      <c r="X428" s="65" t="n">
        <f aca="false">IF(OR($B428="",$E428="",$F428=""),0,MAX(0,MIN($F428,EOMONTH(DATE(cfg_FY,3,1),0))-MAX($E428,DATE(cfg_FY,3,1))+1)*(1-IF($M428="نعم",0,N($J428))))</f>
        <v>0</v>
      </c>
      <c r="Y428" s="65" t="n">
        <f aca="false">IF(OR($B428="",$E428="",$F428=""),0,MAX(0,MIN($F428,EOMONTH(DATE(cfg_FY,4,1),0))-MAX($E428,DATE(cfg_FY,4,1))+1)*(1-IF($M428="نعم",0,N($J428))))</f>
        <v>0</v>
      </c>
      <c r="Z428" s="65" t="n">
        <f aca="false">IF(OR($B428="",$E428="",$F428=""),0,MAX(0,MIN($F428,EOMONTH(DATE(cfg_FY,5,1),0))-MAX($E428,DATE(cfg_FY,5,1))+1)*(1-IF($M428="نعم",0,N($J428))))</f>
        <v>0</v>
      </c>
      <c r="AA428" s="65" t="n">
        <f aca="false">IF(OR($B428="",$E428="",$F428=""),0,MAX(0,MIN($F428,EOMONTH(DATE(cfg_FY,6,1),0))-MAX($E428,DATE(cfg_FY,6,1))+1)*(1-IF($M428="نعم",0,N($J428))))</f>
        <v>0</v>
      </c>
      <c r="AB428" s="65" t="n">
        <f aca="false">IF(OR($B428="",$E428="",$F428=""),0,MAX(0,MIN($F428,EOMONTH(DATE(cfg_FY,7,1),0))-MAX($E428,DATE(cfg_FY,7,1))+1)*(1-IF($M428="نعم",0,N($J428))))</f>
        <v>0</v>
      </c>
      <c r="AC428" s="65" t="n">
        <f aca="false">IF(OR($B428="",$E428="",$F428=""),0,MAX(0,MIN($F428,EOMONTH(DATE(cfg_FY,8,1),0))-MAX($E428,DATE(cfg_FY,8,1))+1)*(1-IF($M428="نعم",0,N($J428))))</f>
        <v>0</v>
      </c>
      <c r="AD428" s="65" t="n">
        <f aca="false">IF(OR($B428="",$E428="",$F428=""),0,MAX(0,MIN($F428,EOMONTH(DATE(cfg_FY,9,1),0))-MAX($E428,DATE(cfg_FY,9,1))+1)*(1-IF($M428="نعم",0,N($J428))))</f>
        <v>0</v>
      </c>
      <c r="AE428" s="65" t="n">
        <f aca="false">IF(OR($B428="",$E428="",$F428=""),0,MAX(0,MIN($F428,EOMONTH(DATE(cfg_FY,10,1),0))-MAX($E428,DATE(cfg_FY,10,1))+1)*(1-IF($M428="نعم",0,N($J428))))</f>
        <v>0</v>
      </c>
      <c r="AF428" s="65" t="n">
        <f aca="false">IF(OR($B428="",$E428="",$F428=""),0,MAX(0,MIN($F428,EOMONTH(DATE(cfg_FY,11,1),0))-MAX($E428,DATE(cfg_FY,11,1))+1)*(1-IF($M428="نعم",0,N($J428))))</f>
        <v>0</v>
      </c>
      <c r="AG428" s="65" t="n">
        <f aca="false">IF(OR($B428="",$E428="",$F428=""),0,MAX(0,MIN($F428,EOMONTH(DATE(cfg_FY,12,1),0))-MAX($E428,DATE(cfg_FY,12,1))+1)*(1-IF($M428="نعم",0,N($J428))))</f>
        <v>0</v>
      </c>
      <c r="AH428" s="65" t="n">
        <f aca="false">IF(OR(OR($B428="",$E428="",$F428=""),$L428&lt;&gt;"لا"),0,MAX(0,MIN($F428,EOMONTH(DATE(cfg_FY,1,1),0))-$E428+1))</f>
        <v>0</v>
      </c>
      <c r="AI428" s="65" t="n">
        <f aca="false">IF(OR(OR($B428="",$E428="",$F428=""),$L428&lt;&gt;"لا"),0,MAX(0,MIN($F428,EOMONTH(DATE(cfg_FY,2,1),0))-$E428+1))</f>
        <v>0</v>
      </c>
      <c r="AJ428" s="65" t="n">
        <f aca="false">IF(OR(OR($B428="",$E428="",$F428=""),$L428&lt;&gt;"لا"),0,MAX(0,MIN($F428,EOMONTH(DATE(cfg_FY,3,1),0))-$E428+1))</f>
        <v>0</v>
      </c>
      <c r="AK428" s="65" t="n">
        <f aca="false">IF(OR(OR($B428="",$E428="",$F428=""),$L428&lt;&gt;"لا"),0,MAX(0,MIN($F428,EOMONTH(DATE(cfg_FY,4,1),0))-$E428+1))</f>
        <v>0</v>
      </c>
      <c r="AL428" s="65" t="n">
        <f aca="false">IF(OR(OR($B428="",$E428="",$F428=""),$L428&lt;&gt;"لا"),0,MAX(0,MIN($F428,EOMONTH(DATE(cfg_FY,5,1),0))-$E428+1))</f>
        <v>0</v>
      </c>
      <c r="AM428" s="65" t="n">
        <f aca="false">IF(OR(OR($B428="",$E428="",$F428=""),$L428&lt;&gt;"لا"),0,MAX(0,MIN($F428,EOMONTH(DATE(cfg_FY,6,1),0))-$E428+1))</f>
        <v>0</v>
      </c>
      <c r="AN428" s="65" t="n">
        <f aca="false">IF(OR(OR($B428="",$E428="",$F428=""),$L428&lt;&gt;"لا"),0,MAX(0,MIN($F428,EOMONTH(DATE(cfg_FY,7,1),0))-$E428+1))</f>
        <v>0</v>
      </c>
      <c r="AO428" s="65" t="n">
        <f aca="false">IF(OR(OR($B428="",$E428="",$F428=""),$L428&lt;&gt;"لا"),0,MAX(0,MIN($F428,EOMONTH(DATE(cfg_FY,8,1),0))-$E428+1))</f>
        <v>0</v>
      </c>
      <c r="AP428" s="65" t="n">
        <f aca="false">IF(OR(OR($B428="",$E428="",$F428=""),$L428&lt;&gt;"لا"),0,MAX(0,MIN($F428,EOMONTH(DATE(cfg_FY,9,1),0))-$E428+1))</f>
        <v>0</v>
      </c>
      <c r="AQ428" s="65" t="n">
        <f aca="false">IF(OR(OR($B428="",$E428="",$F428=""),$L428&lt;&gt;"لا"),0,MAX(0,MIN($F428,EOMONTH(DATE(cfg_FY,10,1),0))-$E428+1))</f>
        <v>0</v>
      </c>
      <c r="AR428" s="65" t="n">
        <f aca="false">IF(OR(OR($B428="",$E428="",$F428=""),$L428&lt;&gt;"لا"),0,MAX(0,MIN($F428,EOMONTH(DATE(cfg_FY,11,1),0))-$E428+1))</f>
        <v>0</v>
      </c>
      <c r="AS428" s="65" t="n">
        <f aca="false">IF(OR(OR($B428="",$E428="",$F428=""),$L428&lt;&gt;"لا"),0,MAX(0,MIN($F428,EOMONTH(DATE(cfg_FY,12,1),0))-$E428+1))</f>
        <v>0</v>
      </c>
      <c r="AT428" s="65" t="n">
        <f aca="false">IF(OR(OR($B428="",$E428="",$F428=""),$K428&lt;&gt;"نعم",$M428="نعم"),0,MAX(0,MIN($F428,EOMONTH(DATE(cfg_FY,1,1),0))-MAX($E428,DATE(cfg_FY,1,1))+1))</f>
        <v>0</v>
      </c>
      <c r="AU428" s="65" t="n">
        <f aca="false">IF(OR(OR($B428="",$E428="",$F428=""),$K428&lt;&gt;"نعم",$M428="نعم"),0,MAX(0,MIN($F428,EOMONTH(DATE(cfg_FY,2,1),0))-MAX($E428,DATE(cfg_FY,2,1))+1))</f>
        <v>0</v>
      </c>
      <c r="AV428" s="65" t="n">
        <f aca="false">IF(OR(OR($B428="",$E428="",$F428=""),$K428&lt;&gt;"نعم",$M428="نعم"),0,MAX(0,MIN($F428,EOMONTH(DATE(cfg_FY,3,1),0))-MAX($E428,DATE(cfg_FY,3,1))+1))</f>
        <v>0</v>
      </c>
      <c r="AW428" s="65" t="n">
        <f aca="false">IF(OR(OR($B428="",$E428="",$F428=""),$K428&lt;&gt;"نعم",$M428="نعم"),0,MAX(0,MIN($F428,EOMONTH(DATE(cfg_FY,4,1),0))-MAX($E428,DATE(cfg_FY,4,1))+1))</f>
        <v>0</v>
      </c>
      <c r="AX428" s="65" t="n">
        <f aca="false">IF(OR(OR($B428="",$E428="",$F428=""),$K428&lt;&gt;"نعم",$M428="نعم"),0,MAX(0,MIN($F428,EOMONTH(DATE(cfg_FY,5,1),0))-MAX($E428,DATE(cfg_FY,5,1))+1))</f>
        <v>0</v>
      </c>
      <c r="AY428" s="65" t="n">
        <f aca="false">IF(OR(OR($B428="",$E428="",$F428=""),$K428&lt;&gt;"نعم",$M428="نعم"),0,MAX(0,MIN($F428,EOMONTH(DATE(cfg_FY,6,1),0))-MAX($E428,DATE(cfg_FY,6,1))+1))</f>
        <v>0</v>
      </c>
      <c r="AZ428" s="65" t="n">
        <f aca="false">IF(OR(OR($B428="",$E428="",$F428=""),$K428&lt;&gt;"نعم",$M428="نعم"),0,MAX(0,MIN($F428,EOMONTH(DATE(cfg_FY,7,1),0))-MAX($E428,DATE(cfg_FY,7,1))+1))</f>
        <v>0</v>
      </c>
      <c r="BA428" s="65" t="n">
        <f aca="false">IF(OR(OR($B428="",$E428="",$F428=""),$K428&lt;&gt;"نعم",$M428="نعم"),0,MAX(0,MIN($F428,EOMONTH(DATE(cfg_FY,8,1),0))-MAX($E428,DATE(cfg_FY,8,1))+1))</f>
        <v>0</v>
      </c>
      <c r="BB428" s="65" t="n">
        <f aca="false">IF(OR(OR($B428="",$E428="",$F428=""),$K428&lt;&gt;"نعم",$M428="نعم"),0,MAX(0,MIN($F428,EOMONTH(DATE(cfg_FY,9,1),0))-MAX($E428,DATE(cfg_FY,9,1))+1))</f>
        <v>0</v>
      </c>
      <c r="BC428" s="65" t="n">
        <f aca="false">IF(OR(OR($B428="",$E428="",$F428=""),$K428&lt;&gt;"نعم",$M428="نعم"),0,MAX(0,MIN($F428,EOMONTH(DATE(cfg_FY,10,1),0))-MAX($E428,DATE(cfg_FY,10,1))+1))</f>
        <v>0</v>
      </c>
      <c r="BD428" s="65" t="n">
        <f aca="false">IF(OR(OR($B428="",$E428="",$F428=""),$K428&lt;&gt;"نعم",$M428="نعم"),0,MAX(0,MIN($F428,EOMONTH(DATE(cfg_FY,11,1),0))-MAX($E428,DATE(cfg_FY,11,1))+1))</f>
        <v>0</v>
      </c>
      <c r="BE428" s="65" t="n">
        <f aca="false">IF(OR(OR($B428="",$E428="",$F428=""),$K428&lt;&gt;"نعم",$M428="نعم"),0,MAX(0,MIN($F428,EOMONTH(DATE(cfg_FY,12,1),0))-MAX($E428,DATE(cfg_FY,12,1))+1))</f>
        <v>0</v>
      </c>
    </row>
    <row r="429" customFormat="false" ht="15" hidden="false" customHeight="false" outlineLevel="0" collapsed="false">
      <c r="A429" s="115" t="str">
        <f aca="false">IF(B429="","",ROW()-5)</f>
        <v/>
      </c>
      <c r="B429" s="118"/>
      <c r="C429" s="117" t="str">
        <f aca="false">IF(B429="","",IFERROR(INDEX(الموظفون!$C$6:$C$105,MATCH(B429,الموظفون!$B$6:$B$105,0)),"✖ رقم غير موجود"))</f>
        <v/>
      </c>
      <c r="D429" s="118"/>
      <c r="E429" s="119"/>
      <c r="F429" s="119"/>
      <c r="G429" s="133" t="str">
        <f aca="false">IF(OR($B429="",$E429="",$F429=""),"",MAX(0,F429-E429+1))</f>
        <v/>
      </c>
      <c r="H429" s="134" t="str">
        <f aca="false">IF(D429="","",IFERROR(VLOOKUP(D429,cfg_LT,2,FALSE()),1))</f>
        <v/>
      </c>
      <c r="I429" s="135"/>
      <c r="J429" s="134" t="str">
        <f aca="false">IF(D429="","",IF(I429&lt;&gt;"",I429,H429))</f>
        <v/>
      </c>
      <c r="K429" s="117" t="str">
        <f aca="false">IF(D429="","",IFERROR(VLOOKUP($D429,cfg_LT,3,FALSE()),""))</f>
        <v/>
      </c>
      <c r="L429" s="117" t="str">
        <f aca="false">IF(D429="","",IFERROR(VLOOKUP($D429,cfg_LT,4,FALSE()),""))</f>
        <v/>
      </c>
      <c r="M429" s="117" t="str">
        <f aca="false">IF(D429="","",IFERROR(VLOOKUP($D429,cfg_LT,5,FALSE()),""))</f>
        <v/>
      </c>
      <c r="N429" s="116" t="n">
        <f aca="false">IF(OR(OR($B429="",$E429="",$F429=""),M429&lt;&gt;"نعم"),0,G429*J429*IFERROR(INDEX(الموظفون!$R$6:$R$105,MATCH(B429,الموظفون!$B$6:$B$105,0)),0)/cfg_DAYS_M)</f>
        <v>0</v>
      </c>
      <c r="O429" s="115" t="str">
        <f aca="false">IF(OR(OR($B429="",$E429="",$F429=""),M429&lt;&gt;"نعم"),"",IF(YEAR(E429)=cfg_FY,MONTH(E429),""))</f>
        <v/>
      </c>
      <c r="P429" s="117" t="str">
        <f aca="false">IF(B429="","",IF(OR(D429="",E429="",F429=""),"⚠ أكمل النوع والتواريخ",IF(F429&lt;E429,"✖ النهاية قبل البداية",IF(COUNTIFS($B$6:$B$505,B429,$E$6:$E$505,"&lt;="&amp;F429,$F$6:$F$505,"&gt;="&amp;E429)&gt;1,"⚠ تداخل مع سجل آخر",IF(E429&gt;cfg_VAL_DATE,"⏳ قادمة",IF(F429&lt;cfg_VAL_DATE,"✔ منتهية","✈ جارية في تاريخ التقرير"))))))</f>
        <v/>
      </c>
      <c r="Q429" s="118"/>
      <c r="R429" s="133" t="n">
        <f aca="false">IF(OR(OR($B429="",$E429="",$F429=""),L429&lt;&gt;"لا"),0,MAX(0,MIN(F429,cfg_Y_START-1)-E429+1))</f>
        <v>0</v>
      </c>
      <c r="S429" s="133" t="n">
        <f aca="false">IF(OR(OR($B429="",$E429="",$F429=""),L429&lt;&gt;"لا"),0,MAX(0,MIN(F429,cfg_VAL_DATE)-E429+1))</f>
        <v>0</v>
      </c>
      <c r="T429" s="133" t="n">
        <f aca="false">IF(OR(OR($B429="",$E429="",$F429=""),K429&lt;&gt;"نعم"),0,IF(M429="نعم",IF(AND(ISNUMBER(O429),N(O429)&lt;=cfg_VAL_M),G429,0),MAX(0,MIN(F429,cfg_VAL_DATE)-MAX(E429,cfg_Y_START)+1)))</f>
        <v>0</v>
      </c>
      <c r="V429" s="133" t="n">
        <f aca="false">IF(OR($B429="",$E429="",$F429=""),0,MAX(0,MIN($F429,EOMONTH(DATE(cfg_FY,1,1),0))-MAX($E429,DATE(cfg_FY,1,1))+1)*(1-IF($M429="نعم",0,N($J429))))</f>
        <v>0</v>
      </c>
      <c r="W429" s="133" t="n">
        <f aca="false">IF(OR($B429="",$E429="",$F429=""),0,MAX(0,MIN($F429,EOMONTH(DATE(cfg_FY,2,1),0))-MAX($E429,DATE(cfg_FY,2,1))+1)*(1-IF($M429="نعم",0,N($J429))))</f>
        <v>0</v>
      </c>
      <c r="X429" s="133" t="n">
        <f aca="false">IF(OR($B429="",$E429="",$F429=""),0,MAX(0,MIN($F429,EOMONTH(DATE(cfg_FY,3,1),0))-MAX($E429,DATE(cfg_FY,3,1))+1)*(1-IF($M429="نعم",0,N($J429))))</f>
        <v>0</v>
      </c>
      <c r="Y429" s="133" t="n">
        <f aca="false">IF(OR($B429="",$E429="",$F429=""),0,MAX(0,MIN($F429,EOMONTH(DATE(cfg_FY,4,1),0))-MAX($E429,DATE(cfg_FY,4,1))+1)*(1-IF($M429="نعم",0,N($J429))))</f>
        <v>0</v>
      </c>
      <c r="Z429" s="133" t="n">
        <f aca="false">IF(OR($B429="",$E429="",$F429=""),0,MAX(0,MIN($F429,EOMONTH(DATE(cfg_FY,5,1),0))-MAX($E429,DATE(cfg_FY,5,1))+1)*(1-IF($M429="نعم",0,N($J429))))</f>
        <v>0</v>
      </c>
      <c r="AA429" s="133" t="n">
        <f aca="false">IF(OR($B429="",$E429="",$F429=""),0,MAX(0,MIN($F429,EOMONTH(DATE(cfg_FY,6,1),0))-MAX($E429,DATE(cfg_FY,6,1))+1)*(1-IF($M429="نعم",0,N($J429))))</f>
        <v>0</v>
      </c>
      <c r="AB429" s="133" t="n">
        <f aca="false">IF(OR($B429="",$E429="",$F429=""),0,MAX(0,MIN($F429,EOMONTH(DATE(cfg_FY,7,1),0))-MAX($E429,DATE(cfg_FY,7,1))+1)*(1-IF($M429="نعم",0,N($J429))))</f>
        <v>0</v>
      </c>
      <c r="AC429" s="133" t="n">
        <f aca="false">IF(OR($B429="",$E429="",$F429=""),0,MAX(0,MIN($F429,EOMONTH(DATE(cfg_FY,8,1),0))-MAX($E429,DATE(cfg_FY,8,1))+1)*(1-IF($M429="نعم",0,N($J429))))</f>
        <v>0</v>
      </c>
      <c r="AD429" s="133" t="n">
        <f aca="false">IF(OR($B429="",$E429="",$F429=""),0,MAX(0,MIN($F429,EOMONTH(DATE(cfg_FY,9,1),0))-MAX($E429,DATE(cfg_FY,9,1))+1)*(1-IF($M429="نعم",0,N($J429))))</f>
        <v>0</v>
      </c>
      <c r="AE429" s="133" t="n">
        <f aca="false">IF(OR($B429="",$E429="",$F429=""),0,MAX(0,MIN($F429,EOMONTH(DATE(cfg_FY,10,1),0))-MAX($E429,DATE(cfg_FY,10,1))+1)*(1-IF($M429="نعم",0,N($J429))))</f>
        <v>0</v>
      </c>
      <c r="AF429" s="133" t="n">
        <f aca="false">IF(OR($B429="",$E429="",$F429=""),0,MAX(0,MIN($F429,EOMONTH(DATE(cfg_FY,11,1),0))-MAX($E429,DATE(cfg_FY,11,1))+1)*(1-IF($M429="نعم",0,N($J429))))</f>
        <v>0</v>
      </c>
      <c r="AG429" s="133" t="n">
        <f aca="false">IF(OR($B429="",$E429="",$F429=""),0,MAX(0,MIN($F429,EOMONTH(DATE(cfg_FY,12,1),0))-MAX($E429,DATE(cfg_FY,12,1))+1)*(1-IF($M429="نعم",0,N($J429))))</f>
        <v>0</v>
      </c>
      <c r="AH429" s="133" t="n">
        <f aca="false">IF(OR(OR($B429="",$E429="",$F429=""),$L429&lt;&gt;"لا"),0,MAX(0,MIN($F429,EOMONTH(DATE(cfg_FY,1,1),0))-$E429+1))</f>
        <v>0</v>
      </c>
      <c r="AI429" s="133" t="n">
        <f aca="false">IF(OR(OR($B429="",$E429="",$F429=""),$L429&lt;&gt;"لا"),0,MAX(0,MIN($F429,EOMONTH(DATE(cfg_FY,2,1),0))-$E429+1))</f>
        <v>0</v>
      </c>
      <c r="AJ429" s="133" t="n">
        <f aca="false">IF(OR(OR($B429="",$E429="",$F429=""),$L429&lt;&gt;"لا"),0,MAX(0,MIN($F429,EOMONTH(DATE(cfg_FY,3,1),0))-$E429+1))</f>
        <v>0</v>
      </c>
      <c r="AK429" s="133" t="n">
        <f aca="false">IF(OR(OR($B429="",$E429="",$F429=""),$L429&lt;&gt;"لا"),0,MAX(0,MIN($F429,EOMONTH(DATE(cfg_FY,4,1),0))-$E429+1))</f>
        <v>0</v>
      </c>
      <c r="AL429" s="133" t="n">
        <f aca="false">IF(OR(OR($B429="",$E429="",$F429=""),$L429&lt;&gt;"لا"),0,MAX(0,MIN($F429,EOMONTH(DATE(cfg_FY,5,1),0))-$E429+1))</f>
        <v>0</v>
      </c>
      <c r="AM429" s="133" t="n">
        <f aca="false">IF(OR(OR($B429="",$E429="",$F429=""),$L429&lt;&gt;"لا"),0,MAX(0,MIN($F429,EOMONTH(DATE(cfg_FY,6,1),0))-$E429+1))</f>
        <v>0</v>
      </c>
      <c r="AN429" s="133" t="n">
        <f aca="false">IF(OR(OR($B429="",$E429="",$F429=""),$L429&lt;&gt;"لا"),0,MAX(0,MIN($F429,EOMONTH(DATE(cfg_FY,7,1),0))-$E429+1))</f>
        <v>0</v>
      </c>
      <c r="AO429" s="133" t="n">
        <f aca="false">IF(OR(OR($B429="",$E429="",$F429=""),$L429&lt;&gt;"لا"),0,MAX(0,MIN($F429,EOMONTH(DATE(cfg_FY,8,1),0))-$E429+1))</f>
        <v>0</v>
      </c>
      <c r="AP429" s="133" t="n">
        <f aca="false">IF(OR(OR($B429="",$E429="",$F429=""),$L429&lt;&gt;"لا"),0,MAX(0,MIN($F429,EOMONTH(DATE(cfg_FY,9,1),0))-$E429+1))</f>
        <v>0</v>
      </c>
      <c r="AQ429" s="133" t="n">
        <f aca="false">IF(OR(OR($B429="",$E429="",$F429=""),$L429&lt;&gt;"لا"),0,MAX(0,MIN($F429,EOMONTH(DATE(cfg_FY,10,1),0))-$E429+1))</f>
        <v>0</v>
      </c>
      <c r="AR429" s="133" t="n">
        <f aca="false">IF(OR(OR($B429="",$E429="",$F429=""),$L429&lt;&gt;"لا"),0,MAX(0,MIN($F429,EOMONTH(DATE(cfg_FY,11,1),0))-$E429+1))</f>
        <v>0</v>
      </c>
      <c r="AS429" s="133" t="n">
        <f aca="false">IF(OR(OR($B429="",$E429="",$F429=""),$L429&lt;&gt;"لا"),0,MAX(0,MIN($F429,EOMONTH(DATE(cfg_FY,12,1),0))-$E429+1))</f>
        <v>0</v>
      </c>
      <c r="AT429" s="133" t="n">
        <f aca="false">IF(OR(OR($B429="",$E429="",$F429=""),$K429&lt;&gt;"نعم",$M429="نعم"),0,MAX(0,MIN($F429,EOMONTH(DATE(cfg_FY,1,1),0))-MAX($E429,DATE(cfg_FY,1,1))+1))</f>
        <v>0</v>
      </c>
      <c r="AU429" s="133" t="n">
        <f aca="false">IF(OR(OR($B429="",$E429="",$F429=""),$K429&lt;&gt;"نعم",$M429="نعم"),0,MAX(0,MIN($F429,EOMONTH(DATE(cfg_FY,2,1),0))-MAX($E429,DATE(cfg_FY,2,1))+1))</f>
        <v>0</v>
      </c>
      <c r="AV429" s="133" t="n">
        <f aca="false">IF(OR(OR($B429="",$E429="",$F429=""),$K429&lt;&gt;"نعم",$M429="نعم"),0,MAX(0,MIN($F429,EOMONTH(DATE(cfg_FY,3,1),0))-MAX($E429,DATE(cfg_FY,3,1))+1))</f>
        <v>0</v>
      </c>
      <c r="AW429" s="133" t="n">
        <f aca="false">IF(OR(OR($B429="",$E429="",$F429=""),$K429&lt;&gt;"نعم",$M429="نعم"),0,MAX(0,MIN($F429,EOMONTH(DATE(cfg_FY,4,1),0))-MAX($E429,DATE(cfg_FY,4,1))+1))</f>
        <v>0</v>
      </c>
      <c r="AX429" s="133" t="n">
        <f aca="false">IF(OR(OR($B429="",$E429="",$F429=""),$K429&lt;&gt;"نعم",$M429="نعم"),0,MAX(0,MIN($F429,EOMONTH(DATE(cfg_FY,5,1),0))-MAX($E429,DATE(cfg_FY,5,1))+1))</f>
        <v>0</v>
      </c>
      <c r="AY429" s="133" t="n">
        <f aca="false">IF(OR(OR($B429="",$E429="",$F429=""),$K429&lt;&gt;"نعم",$M429="نعم"),0,MAX(0,MIN($F429,EOMONTH(DATE(cfg_FY,6,1),0))-MAX($E429,DATE(cfg_FY,6,1))+1))</f>
        <v>0</v>
      </c>
      <c r="AZ429" s="133" t="n">
        <f aca="false">IF(OR(OR($B429="",$E429="",$F429=""),$K429&lt;&gt;"نعم",$M429="نعم"),0,MAX(0,MIN($F429,EOMONTH(DATE(cfg_FY,7,1),0))-MAX($E429,DATE(cfg_FY,7,1))+1))</f>
        <v>0</v>
      </c>
      <c r="BA429" s="133" t="n">
        <f aca="false">IF(OR(OR($B429="",$E429="",$F429=""),$K429&lt;&gt;"نعم",$M429="نعم"),0,MAX(0,MIN($F429,EOMONTH(DATE(cfg_FY,8,1),0))-MAX($E429,DATE(cfg_FY,8,1))+1))</f>
        <v>0</v>
      </c>
      <c r="BB429" s="133" t="n">
        <f aca="false">IF(OR(OR($B429="",$E429="",$F429=""),$K429&lt;&gt;"نعم",$M429="نعم"),0,MAX(0,MIN($F429,EOMONTH(DATE(cfg_FY,9,1),0))-MAX($E429,DATE(cfg_FY,9,1))+1))</f>
        <v>0</v>
      </c>
      <c r="BC429" s="133" t="n">
        <f aca="false">IF(OR(OR($B429="",$E429="",$F429=""),$K429&lt;&gt;"نعم",$M429="نعم"),0,MAX(0,MIN($F429,EOMONTH(DATE(cfg_FY,10,1),0))-MAX($E429,DATE(cfg_FY,10,1))+1))</f>
        <v>0</v>
      </c>
      <c r="BD429" s="133" t="n">
        <f aca="false">IF(OR(OR($B429="",$E429="",$F429=""),$K429&lt;&gt;"نعم",$M429="نعم"),0,MAX(0,MIN($F429,EOMONTH(DATE(cfg_FY,11,1),0))-MAX($E429,DATE(cfg_FY,11,1))+1))</f>
        <v>0</v>
      </c>
      <c r="BE429" s="133" t="n">
        <f aca="false">IF(OR(OR($B429="",$E429="",$F429=""),$K429&lt;&gt;"نعم",$M429="نعم"),0,MAX(0,MIN($F429,EOMONTH(DATE(cfg_FY,12,1),0))-MAX($E429,DATE(cfg_FY,12,1))+1))</f>
        <v>0</v>
      </c>
    </row>
    <row r="430" customFormat="false" ht="15" hidden="false" customHeight="false" outlineLevel="0" collapsed="false">
      <c r="A430" s="106" t="str">
        <f aca="false">IF(B430="","",ROW()-5)</f>
        <v/>
      </c>
      <c r="B430" s="118"/>
      <c r="C430" s="114" t="str">
        <f aca="false">IF(B430="","",IFERROR(INDEX(الموظفون!$C$6:$C$105,MATCH(B430,الموظفون!$B$6:$B$105,0)),"✖ رقم غير موجود"))</f>
        <v/>
      </c>
      <c r="D430" s="118"/>
      <c r="E430" s="119"/>
      <c r="F430" s="119"/>
      <c r="G430" s="65" t="str">
        <f aca="false">IF(OR($B430="",$E430="",$F430=""),"",MAX(0,F430-E430+1))</f>
        <v/>
      </c>
      <c r="H430" s="66" t="str">
        <f aca="false">IF(D430="","",IFERROR(VLOOKUP(D430,cfg_LT,2,FALSE()),1))</f>
        <v/>
      </c>
      <c r="I430" s="135"/>
      <c r="J430" s="66" t="str">
        <f aca="false">IF(D430="","",IF(I430&lt;&gt;"",I430,H430))</f>
        <v/>
      </c>
      <c r="K430" s="114" t="str">
        <f aca="false">IF(D430="","",IFERROR(VLOOKUP($D430,cfg_LT,3,FALSE()),""))</f>
        <v/>
      </c>
      <c r="L430" s="114" t="str">
        <f aca="false">IF(D430="","",IFERROR(VLOOKUP($D430,cfg_LT,4,FALSE()),""))</f>
        <v/>
      </c>
      <c r="M430" s="114" t="str">
        <f aca="false">IF(D430="","",IFERROR(VLOOKUP($D430,cfg_LT,5,FALSE()),""))</f>
        <v/>
      </c>
      <c r="N430" s="111" t="n">
        <f aca="false">IF(OR(OR($B430="",$E430="",$F430=""),M430&lt;&gt;"نعم"),0,G430*J430*IFERROR(INDEX(الموظفون!$R$6:$R$105,MATCH(B430,الموظفون!$B$6:$B$105,0)),0)/cfg_DAYS_M)</f>
        <v>0</v>
      </c>
      <c r="O430" s="106" t="str">
        <f aca="false">IF(OR(OR($B430="",$E430="",$F430=""),M430&lt;&gt;"نعم"),"",IF(YEAR(E430)=cfg_FY,MONTH(E430),""))</f>
        <v/>
      </c>
      <c r="P430" s="114" t="str">
        <f aca="false">IF(B430="","",IF(OR(D430="",E430="",F430=""),"⚠ أكمل النوع والتواريخ",IF(F430&lt;E430,"✖ النهاية قبل البداية",IF(COUNTIFS($B$6:$B$505,B430,$E$6:$E$505,"&lt;="&amp;F430,$F$6:$F$505,"&gt;="&amp;E430)&gt;1,"⚠ تداخل مع سجل آخر",IF(E430&gt;cfg_VAL_DATE,"⏳ قادمة",IF(F430&lt;cfg_VAL_DATE,"✔ منتهية","✈ جارية في تاريخ التقرير"))))))</f>
        <v/>
      </c>
      <c r="Q430" s="118"/>
      <c r="R430" s="65" t="n">
        <f aca="false">IF(OR(OR($B430="",$E430="",$F430=""),L430&lt;&gt;"لا"),0,MAX(0,MIN(F430,cfg_Y_START-1)-E430+1))</f>
        <v>0</v>
      </c>
      <c r="S430" s="65" t="n">
        <f aca="false">IF(OR(OR($B430="",$E430="",$F430=""),L430&lt;&gt;"لا"),0,MAX(0,MIN(F430,cfg_VAL_DATE)-E430+1))</f>
        <v>0</v>
      </c>
      <c r="T430" s="65" t="n">
        <f aca="false">IF(OR(OR($B430="",$E430="",$F430=""),K430&lt;&gt;"نعم"),0,IF(M430="نعم",IF(AND(ISNUMBER(O430),N(O430)&lt;=cfg_VAL_M),G430,0),MAX(0,MIN(F430,cfg_VAL_DATE)-MAX(E430,cfg_Y_START)+1)))</f>
        <v>0</v>
      </c>
      <c r="V430" s="65" t="n">
        <f aca="false">IF(OR($B430="",$E430="",$F430=""),0,MAX(0,MIN($F430,EOMONTH(DATE(cfg_FY,1,1),0))-MAX($E430,DATE(cfg_FY,1,1))+1)*(1-IF($M430="نعم",0,N($J430))))</f>
        <v>0</v>
      </c>
      <c r="W430" s="65" t="n">
        <f aca="false">IF(OR($B430="",$E430="",$F430=""),0,MAX(0,MIN($F430,EOMONTH(DATE(cfg_FY,2,1),0))-MAX($E430,DATE(cfg_FY,2,1))+1)*(1-IF($M430="نعم",0,N($J430))))</f>
        <v>0</v>
      </c>
      <c r="X430" s="65" t="n">
        <f aca="false">IF(OR($B430="",$E430="",$F430=""),0,MAX(0,MIN($F430,EOMONTH(DATE(cfg_FY,3,1),0))-MAX($E430,DATE(cfg_FY,3,1))+1)*(1-IF($M430="نعم",0,N($J430))))</f>
        <v>0</v>
      </c>
      <c r="Y430" s="65" t="n">
        <f aca="false">IF(OR($B430="",$E430="",$F430=""),0,MAX(0,MIN($F430,EOMONTH(DATE(cfg_FY,4,1),0))-MAX($E430,DATE(cfg_FY,4,1))+1)*(1-IF($M430="نعم",0,N($J430))))</f>
        <v>0</v>
      </c>
      <c r="Z430" s="65" t="n">
        <f aca="false">IF(OR($B430="",$E430="",$F430=""),0,MAX(0,MIN($F430,EOMONTH(DATE(cfg_FY,5,1),0))-MAX($E430,DATE(cfg_FY,5,1))+1)*(1-IF($M430="نعم",0,N($J430))))</f>
        <v>0</v>
      </c>
      <c r="AA430" s="65" t="n">
        <f aca="false">IF(OR($B430="",$E430="",$F430=""),0,MAX(0,MIN($F430,EOMONTH(DATE(cfg_FY,6,1),0))-MAX($E430,DATE(cfg_FY,6,1))+1)*(1-IF($M430="نعم",0,N($J430))))</f>
        <v>0</v>
      </c>
      <c r="AB430" s="65" t="n">
        <f aca="false">IF(OR($B430="",$E430="",$F430=""),0,MAX(0,MIN($F430,EOMONTH(DATE(cfg_FY,7,1),0))-MAX($E430,DATE(cfg_FY,7,1))+1)*(1-IF($M430="نعم",0,N($J430))))</f>
        <v>0</v>
      </c>
      <c r="AC430" s="65" t="n">
        <f aca="false">IF(OR($B430="",$E430="",$F430=""),0,MAX(0,MIN($F430,EOMONTH(DATE(cfg_FY,8,1),0))-MAX($E430,DATE(cfg_FY,8,1))+1)*(1-IF($M430="نعم",0,N($J430))))</f>
        <v>0</v>
      </c>
      <c r="AD430" s="65" t="n">
        <f aca="false">IF(OR($B430="",$E430="",$F430=""),0,MAX(0,MIN($F430,EOMONTH(DATE(cfg_FY,9,1),0))-MAX($E430,DATE(cfg_FY,9,1))+1)*(1-IF($M430="نعم",0,N($J430))))</f>
        <v>0</v>
      </c>
      <c r="AE430" s="65" t="n">
        <f aca="false">IF(OR($B430="",$E430="",$F430=""),0,MAX(0,MIN($F430,EOMONTH(DATE(cfg_FY,10,1),0))-MAX($E430,DATE(cfg_FY,10,1))+1)*(1-IF($M430="نعم",0,N($J430))))</f>
        <v>0</v>
      </c>
      <c r="AF430" s="65" t="n">
        <f aca="false">IF(OR($B430="",$E430="",$F430=""),0,MAX(0,MIN($F430,EOMONTH(DATE(cfg_FY,11,1),0))-MAX($E430,DATE(cfg_FY,11,1))+1)*(1-IF($M430="نعم",0,N($J430))))</f>
        <v>0</v>
      </c>
      <c r="AG430" s="65" t="n">
        <f aca="false">IF(OR($B430="",$E430="",$F430=""),0,MAX(0,MIN($F430,EOMONTH(DATE(cfg_FY,12,1),0))-MAX($E430,DATE(cfg_FY,12,1))+1)*(1-IF($M430="نعم",0,N($J430))))</f>
        <v>0</v>
      </c>
      <c r="AH430" s="65" t="n">
        <f aca="false">IF(OR(OR($B430="",$E430="",$F430=""),$L430&lt;&gt;"لا"),0,MAX(0,MIN($F430,EOMONTH(DATE(cfg_FY,1,1),0))-$E430+1))</f>
        <v>0</v>
      </c>
      <c r="AI430" s="65" t="n">
        <f aca="false">IF(OR(OR($B430="",$E430="",$F430=""),$L430&lt;&gt;"لا"),0,MAX(0,MIN($F430,EOMONTH(DATE(cfg_FY,2,1),0))-$E430+1))</f>
        <v>0</v>
      </c>
      <c r="AJ430" s="65" t="n">
        <f aca="false">IF(OR(OR($B430="",$E430="",$F430=""),$L430&lt;&gt;"لا"),0,MAX(0,MIN($F430,EOMONTH(DATE(cfg_FY,3,1),0))-$E430+1))</f>
        <v>0</v>
      </c>
      <c r="AK430" s="65" t="n">
        <f aca="false">IF(OR(OR($B430="",$E430="",$F430=""),$L430&lt;&gt;"لا"),0,MAX(0,MIN($F430,EOMONTH(DATE(cfg_FY,4,1),0))-$E430+1))</f>
        <v>0</v>
      </c>
      <c r="AL430" s="65" t="n">
        <f aca="false">IF(OR(OR($B430="",$E430="",$F430=""),$L430&lt;&gt;"لا"),0,MAX(0,MIN($F430,EOMONTH(DATE(cfg_FY,5,1),0))-$E430+1))</f>
        <v>0</v>
      </c>
      <c r="AM430" s="65" t="n">
        <f aca="false">IF(OR(OR($B430="",$E430="",$F430=""),$L430&lt;&gt;"لا"),0,MAX(0,MIN($F430,EOMONTH(DATE(cfg_FY,6,1),0))-$E430+1))</f>
        <v>0</v>
      </c>
      <c r="AN430" s="65" t="n">
        <f aca="false">IF(OR(OR($B430="",$E430="",$F430=""),$L430&lt;&gt;"لا"),0,MAX(0,MIN($F430,EOMONTH(DATE(cfg_FY,7,1),0))-$E430+1))</f>
        <v>0</v>
      </c>
      <c r="AO430" s="65" t="n">
        <f aca="false">IF(OR(OR($B430="",$E430="",$F430=""),$L430&lt;&gt;"لا"),0,MAX(0,MIN($F430,EOMONTH(DATE(cfg_FY,8,1),0))-$E430+1))</f>
        <v>0</v>
      </c>
      <c r="AP430" s="65" t="n">
        <f aca="false">IF(OR(OR($B430="",$E430="",$F430=""),$L430&lt;&gt;"لا"),0,MAX(0,MIN($F430,EOMONTH(DATE(cfg_FY,9,1),0))-$E430+1))</f>
        <v>0</v>
      </c>
      <c r="AQ430" s="65" t="n">
        <f aca="false">IF(OR(OR($B430="",$E430="",$F430=""),$L430&lt;&gt;"لا"),0,MAX(0,MIN($F430,EOMONTH(DATE(cfg_FY,10,1),0))-$E430+1))</f>
        <v>0</v>
      </c>
      <c r="AR430" s="65" t="n">
        <f aca="false">IF(OR(OR($B430="",$E430="",$F430=""),$L430&lt;&gt;"لا"),0,MAX(0,MIN($F430,EOMONTH(DATE(cfg_FY,11,1),0))-$E430+1))</f>
        <v>0</v>
      </c>
      <c r="AS430" s="65" t="n">
        <f aca="false">IF(OR(OR($B430="",$E430="",$F430=""),$L430&lt;&gt;"لا"),0,MAX(0,MIN($F430,EOMONTH(DATE(cfg_FY,12,1),0))-$E430+1))</f>
        <v>0</v>
      </c>
      <c r="AT430" s="65" t="n">
        <f aca="false">IF(OR(OR($B430="",$E430="",$F430=""),$K430&lt;&gt;"نعم",$M430="نعم"),0,MAX(0,MIN($F430,EOMONTH(DATE(cfg_FY,1,1),0))-MAX($E430,DATE(cfg_FY,1,1))+1))</f>
        <v>0</v>
      </c>
      <c r="AU430" s="65" t="n">
        <f aca="false">IF(OR(OR($B430="",$E430="",$F430=""),$K430&lt;&gt;"نعم",$M430="نعم"),0,MAX(0,MIN($F430,EOMONTH(DATE(cfg_FY,2,1),0))-MAX($E430,DATE(cfg_FY,2,1))+1))</f>
        <v>0</v>
      </c>
      <c r="AV430" s="65" t="n">
        <f aca="false">IF(OR(OR($B430="",$E430="",$F430=""),$K430&lt;&gt;"نعم",$M430="نعم"),0,MAX(0,MIN($F430,EOMONTH(DATE(cfg_FY,3,1),0))-MAX($E430,DATE(cfg_FY,3,1))+1))</f>
        <v>0</v>
      </c>
      <c r="AW430" s="65" t="n">
        <f aca="false">IF(OR(OR($B430="",$E430="",$F430=""),$K430&lt;&gt;"نعم",$M430="نعم"),0,MAX(0,MIN($F430,EOMONTH(DATE(cfg_FY,4,1),0))-MAX($E430,DATE(cfg_FY,4,1))+1))</f>
        <v>0</v>
      </c>
      <c r="AX430" s="65" t="n">
        <f aca="false">IF(OR(OR($B430="",$E430="",$F430=""),$K430&lt;&gt;"نعم",$M430="نعم"),0,MAX(0,MIN($F430,EOMONTH(DATE(cfg_FY,5,1),0))-MAX($E430,DATE(cfg_FY,5,1))+1))</f>
        <v>0</v>
      </c>
      <c r="AY430" s="65" t="n">
        <f aca="false">IF(OR(OR($B430="",$E430="",$F430=""),$K430&lt;&gt;"نعم",$M430="نعم"),0,MAX(0,MIN($F430,EOMONTH(DATE(cfg_FY,6,1),0))-MAX($E430,DATE(cfg_FY,6,1))+1))</f>
        <v>0</v>
      </c>
      <c r="AZ430" s="65" t="n">
        <f aca="false">IF(OR(OR($B430="",$E430="",$F430=""),$K430&lt;&gt;"نعم",$M430="نعم"),0,MAX(0,MIN($F430,EOMONTH(DATE(cfg_FY,7,1),0))-MAX($E430,DATE(cfg_FY,7,1))+1))</f>
        <v>0</v>
      </c>
      <c r="BA430" s="65" t="n">
        <f aca="false">IF(OR(OR($B430="",$E430="",$F430=""),$K430&lt;&gt;"نعم",$M430="نعم"),0,MAX(0,MIN($F430,EOMONTH(DATE(cfg_FY,8,1),0))-MAX($E430,DATE(cfg_FY,8,1))+1))</f>
        <v>0</v>
      </c>
      <c r="BB430" s="65" t="n">
        <f aca="false">IF(OR(OR($B430="",$E430="",$F430=""),$K430&lt;&gt;"نعم",$M430="نعم"),0,MAX(0,MIN($F430,EOMONTH(DATE(cfg_FY,9,1),0))-MAX($E430,DATE(cfg_FY,9,1))+1))</f>
        <v>0</v>
      </c>
      <c r="BC430" s="65" t="n">
        <f aca="false">IF(OR(OR($B430="",$E430="",$F430=""),$K430&lt;&gt;"نعم",$M430="نعم"),0,MAX(0,MIN($F430,EOMONTH(DATE(cfg_FY,10,1),0))-MAX($E430,DATE(cfg_FY,10,1))+1))</f>
        <v>0</v>
      </c>
      <c r="BD430" s="65" t="n">
        <f aca="false">IF(OR(OR($B430="",$E430="",$F430=""),$K430&lt;&gt;"نعم",$M430="نعم"),0,MAX(0,MIN($F430,EOMONTH(DATE(cfg_FY,11,1),0))-MAX($E430,DATE(cfg_FY,11,1))+1))</f>
        <v>0</v>
      </c>
      <c r="BE430" s="65" t="n">
        <f aca="false">IF(OR(OR($B430="",$E430="",$F430=""),$K430&lt;&gt;"نعم",$M430="نعم"),0,MAX(0,MIN($F430,EOMONTH(DATE(cfg_FY,12,1),0))-MAX($E430,DATE(cfg_FY,12,1))+1))</f>
        <v>0</v>
      </c>
    </row>
    <row r="431" customFormat="false" ht="15" hidden="false" customHeight="false" outlineLevel="0" collapsed="false">
      <c r="A431" s="115" t="str">
        <f aca="false">IF(B431="","",ROW()-5)</f>
        <v/>
      </c>
      <c r="B431" s="118"/>
      <c r="C431" s="117" t="str">
        <f aca="false">IF(B431="","",IFERROR(INDEX(الموظفون!$C$6:$C$105,MATCH(B431,الموظفون!$B$6:$B$105,0)),"✖ رقم غير موجود"))</f>
        <v/>
      </c>
      <c r="D431" s="118"/>
      <c r="E431" s="119"/>
      <c r="F431" s="119"/>
      <c r="G431" s="133" t="str">
        <f aca="false">IF(OR($B431="",$E431="",$F431=""),"",MAX(0,F431-E431+1))</f>
        <v/>
      </c>
      <c r="H431" s="134" t="str">
        <f aca="false">IF(D431="","",IFERROR(VLOOKUP(D431,cfg_LT,2,FALSE()),1))</f>
        <v/>
      </c>
      <c r="I431" s="135"/>
      <c r="J431" s="134" t="str">
        <f aca="false">IF(D431="","",IF(I431&lt;&gt;"",I431,H431))</f>
        <v/>
      </c>
      <c r="K431" s="117" t="str">
        <f aca="false">IF(D431="","",IFERROR(VLOOKUP($D431,cfg_LT,3,FALSE()),""))</f>
        <v/>
      </c>
      <c r="L431" s="117" t="str">
        <f aca="false">IF(D431="","",IFERROR(VLOOKUP($D431,cfg_LT,4,FALSE()),""))</f>
        <v/>
      </c>
      <c r="M431" s="117" t="str">
        <f aca="false">IF(D431="","",IFERROR(VLOOKUP($D431,cfg_LT,5,FALSE()),""))</f>
        <v/>
      </c>
      <c r="N431" s="116" t="n">
        <f aca="false">IF(OR(OR($B431="",$E431="",$F431=""),M431&lt;&gt;"نعم"),0,G431*J431*IFERROR(INDEX(الموظفون!$R$6:$R$105,MATCH(B431,الموظفون!$B$6:$B$105,0)),0)/cfg_DAYS_M)</f>
        <v>0</v>
      </c>
      <c r="O431" s="115" t="str">
        <f aca="false">IF(OR(OR($B431="",$E431="",$F431=""),M431&lt;&gt;"نعم"),"",IF(YEAR(E431)=cfg_FY,MONTH(E431),""))</f>
        <v/>
      </c>
      <c r="P431" s="117" t="str">
        <f aca="false">IF(B431="","",IF(OR(D431="",E431="",F431=""),"⚠ أكمل النوع والتواريخ",IF(F431&lt;E431,"✖ النهاية قبل البداية",IF(COUNTIFS($B$6:$B$505,B431,$E$6:$E$505,"&lt;="&amp;F431,$F$6:$F$505,"&gt;="&amp;E431)&gt;1,"⚠ تداخل مع سجل آخر",IF(E431&gt;cfg_VAL_DATE,"⏳ قادمة",IF(F431&lt;cfg_VAL_DATE,"✔ منتهية","✈ جارية في تاريخ التقرير"))))))</f>
        <v/>
      </c>
      <c r="Q431" s="118"/>
      <c r="R431" s="133" t="n">
        <f aca="false">IF(OR(OR($B431="",$E431="",$F431=""),L431&lt;&gt;"لا"),0,MAX(0,MIN(F431,cfg_Y_START-1)-E431+1))</f>
        <v>0</v>
      </c>
      <c r="S431" s="133" t="n">
        <f aca="false">IF(OR(OR($B431="",$E431="",$F431=""),L431&lt;&gt;"لا"),0,MAX(0,MIN(F431,cfg_VAL_DATE)-E431+1))</f>
        <v>0</v>
      </c>
      <c r="T431" s="133" t="n">
        <f aca="false">IF(OR(OR($B431="",$E431="",$F431=""),K431&lt;&gt;"نعم"),0,IF(M431="نعم",IF(AND(ISNUMBER(O431),N(O431)&lt;=cfg_VAL_M),G431,0),MAX(0,MIN(F431,cfg_VAL_DATE)-MAX(E431,cfg_Y_START)+1)))</f>
        <v>0</v>
      </c>
      <c r="V431" s="133" t="n">
        <f aca="false">IF(OR($B431="",$E431="",$F431=""),0,MAX(0,MIN($F431,EOMONTH(DATE(cfg_FY,1,1),0))-MAX($E431,DATE(cfg_FY,1,1))+1)*(1-IF($M431="نعم",0,N($J431))))</f>
        <v>0</v>
      </c>
      <c r="W431" s="133" t="n">
        <f aca="false">IF(OR($B431="",$E431="",$F431=""),0,MAX(0,MIN($F431,EOMONTH(DATE(cfg_FY,2,1),0))-MAX($E431,DATE(cfg_FY,2,1))+1)*(1-IF($M431="نعم",0,N($J431))))</f>
        <v>0</v>
      </c>
      <c r="X431" s="133" t="n">
        <f aca="false">IF(OR($B431="",$E431="",$F431=""),0,MAX(0,MIN($F431,EOMONTH(DATE(cfg_FY,3,1),0))-MAX($E431,DATE(cfg_FY,3,1))+1)*(1-IF($M431="نعم",0,N($J431))))</f>
        <v>0</v>
      </c>
      <c r="Y431" s="133" t="n">
        <f aca="false">IF(OR($B431="",$E431="",$F431=""),0,MAX(0,MIN($F431,EOMONTH(DATE(cfg_FY,4,1),0))-MAX($E431,DATE(cfg_FY,4,1))+1)*(1-IF($M431="نعم",0,N($J431))))</f>
        <v>0</v>
      </c>
      <c r="Z431" s="133" t="n">
        <f aca="false">IF(OR($B431="",$E431="",$F431=""),0,MAX(0,MIN($F431,EOMONTH(DATE(cfg_FY,5,1),0))-MAX($E431,DATE(cfg_FY,5,1))+1)*(1-IF($M431="نعم",0,N($J431))))</f>
        <v>0</v>
      </c>
      <c r="AA431" s="133" t="n">
        <f aca="false">IF(OR($B431="",$E431="",$F431=""),0,MAX(0,MIN($F431,EOMONTH(DATE(cfg_FY,6,1),0))-MAX($E431,DATE(cfg_FY,6,1))+1)*(1-IF($M431="نعم",0,N($J431))))</f>
        <v>0</v>
      </c>
      <c r="AB431" s="133" t="n">
        <f aca="false">IF(OR($B431="",$E431="",$F431=""),0,MAX(0,MIN($F431,EOMONTH(DATE(cfg_FY,7,1),0))-MAX($E431,DATE(cfg_FY,7,1))+1)*(1-IF($M431="نعم",0,N($J431))))</f>
        <v>0</v>
      </c>
      <c r="AC431" s="133" t="n">
        <f aca="false">IF(OR($B431="",$E431="",$F431=""),0,MAX(0,MIN($F431,EOMONTH(DATE(cfg_FY,8,1),0))-MAX($E431,DATE(cfg_FY,8,1))+1)*(1-IF($M431="نعم",0,N($J431))))</f>
        <v>0</v>
      </c>
      <c r="AD431" s="133" t="n">
        <f aca="false">IF(OR($B431="",$E431="",$F431=""),0,MAX(0,MIN($F431,EOMONTH(DATE(cfg_FY,9,1),0))-MAX($E431,DATE(cfg_FY,9,1))+1)*(1-IF($M431="نعم",0,N($J431))))</f>
        <v>0</v>
      </c>
      <c r="AE431" s="133" t="n">
        <f aca="false">IF(OR($B431="",$E431="",$F431=""),0,MAX(0,MIN($F431,EOMONTH(DATE(cfg_FY,10,1),0))-MAX($E431,DATE(cfg_FY,10,1))+1)*(1-IF($M431="نعم",0,N($J431))))</f>
        <v>0</v>
      </c>
      <c r="AF431" s="133" t="n">
        <f aca="false">IF(OR($B431="",$E431="",$F431=""),0,MAX(0,MIN($F431,EOMONTH(DATE(cfg_FY,11,1),0))-MAX($E431,DATE(cfg_FY,11,1))+1)*(1-IF($M431="نعم",0,N($J431))))</f>
        <v>0</v>
      </c>
      <c r="AG431" s="133" t="n">
        <f aca="false">IF(OR($B431="",$E431="",$F431=""),0,MAX(0,MIN($F431,EOMONTH(DATE(cfg_FY,12,1),0))-MAX($E431,DATE(cfg_FY,12,1))+1)*(1-IF($M431="نعم",0,N($J431))))</f>
        <v>0</v>
      </c>
      <c r="AH431" s="133" t="n">
        <f aca="false">IF(OR(OR($B431="",$E431="",$F431=""),$L431&lt;&gt;"لا"),0,MAX(0,MIN($F431,EOMONTH(DATE(cfg_FY,1,1),0))-$E431+1))</f>
        <v>0</v>
      </c>
      <c r="AI431" s="133" t="n">
        <f aca="false">IF(OR(OR($B431="",$E431="",$F431=""),$L431&lt;&gt;"لا"),0,MAX(0,MIN($F431,EOMONTH(DATE(cfg_FY,2,1),0))-$E431+1))</f>
        <v>0</v>
      </c>
      <c r="AJ431" s="133" t="n">
        <f aca="false">IF(OR(OR($B431="",$E431="",$F431=""),$L431&lt;&gt;"لا"),0,MAX(0,MIN($F431,EOMONTH(DATE(cfg_FY,3,1),0))-$E431+1))</f>
        <v>0</v>
      </c>
      <c r="AK431" s="133" t="n">
        <f aca="false">IF(OR(OR($B431="",$E431="",$F431=""),$L431&lt;&gt;"لا"),0,MAX(0,MIN($F431,EOMONTH(DATE(cfg_FY,4,1),0))-$E431+1))</f>
        <v>0</v>
      </c>
      <c r="AL431" s="133" t="n">
        <f aca="false">IF(OR(OR($B431="",$E431="",$F431=""),$L431&lt;&gt;"لا"),0,MAX(0,MIN($F431,EOMONTH(DATE(cfg_FY,5,1),0))-$E431+1))</f>
        <v>0</v>
      </c>
      <c r="AM431" s="133" t="n">
        <f aca="false">IF(OR(OR($B431="",$E431="",$F431=""),$L431&lt;&gt;"لا"),0,MAX(0,MIN($F431,EOMONTH(DATE(cfg_FY,6,1),0))-$E431+1))</f>
        <v>0</v>
      </c>
      <c r="AN431" s="133" t="n">
        <f aca="false">IF(OR(OR($B431="",$E431="",$F431=""),$L431&lt;&gt;"لا"),0,MAX(0,MIN($F431,EOMONTH(DATE(cfg_FY,7,1),0))-$E431+1))</f>
        <v>0</v>
      </c>
      <c r="AO431" s="133" t="n">
        <f aca="false">IF(OR(OR($B431="",$E431="",$F431=""),$L431&lt;&gt;"لا"),0,MAX(0,MIN($F431,EOMONTH(DATE(cfg_FY,8,1),0))-$E431+1))</f>
        <v>0</v>
      </c>
      <c r="AP431" s="133" t="n">
        <f aca="false">IF(OR(OR($B431="",$E431="",$F431=""),$L431&lt;&gt;"لا"),0,MAX(0,MIN($F431,EOMONTH(DATE(cfg_FY,9,1),0))-$E431+1))</f>
        <v>0</v>
      </c>
      <c r="AQ431" s="133" t="n">
        <f aca="false">IF(OR(OR($B431="",$E431="",$F431=""),$L431&lt;&gt;"لا"),0,MAX(0,MIN($F431,EOMONTH(DATE(cfg_FY,10,1),0))-$E431+1))</f>
        <v>0</v>
      </c>
      <c r="AR431" s="133" t="n">
        <f aca="false">IF(OR(OR($B431="",$E431="",$F431=""),$L431&lt;&gt;"لا"),0,MAX(0,MIN($F431,EOMONTH(DATE(cfg_FY,11,1),0))-$E431+1))</f>
        <v>0</v>
      </c>
      <c r="AS431" s="133" t="n">
        <f aca="false">IF(OR(OR($B431="",$E431="",$F431=""),$L431&lt;&gt;"لا"),0,MAX(0,MIN($F431,EOMONTH(DATE(cfg_FY,12,1),0))-$E431+1))</f>
        <v>0</v>
      </c>
      <c r="AT431" s="133" t="n">
        <f aca="false">IF(OR(OR($B431="",$E431="",$F431=""),$K431&lt;&gt;"نعم",$M431="نعم"),0,MAX(0,MIN($F431,EOMONTH(DATE(cfg_FY,1,1),0))-MAX($E431,DATE(cfg_FY,1,1))+1))</f>
        <v>0</v>
      </c>
      <c r="AU431" s="133" t="n">
        <f aca="false">IF(OR(OR($B431="",$E431="",$F431=""),$K431&lt;&gt;"نعم",$M431="نعم"),0,MAX(0,MIN($F431,EOMONTH(DATE(cfg_FY,2,1),0))-MAX($E431,DATE(cfg_FY,2,1))+1))</f>
        <v>0</v>
      </c>
      <c r="AV431" s="133" t="n">
        <f aca="false">IF(OR(OR($B431="",$E431="",$F431=""),$K431&lt;&gt;"نعم",$M431="نعم"),0,MAX(0,MIN($F431,EOMONTH(DATE(cfg_FY,3,1),0))-MAX($E431,DATE(cfg_FY,3,1))+1))</f>
        <v>0</v>
      </c>
      <c r="AW431" s="133" t="n">
        <f aca="false">IF(OR(OR($B431="",$E431="",$F431=""),$K431&lt;&gt;"نعم",$M431="نعم"),0,MAX(0,MIN($F431,EOMONTH(DATE(cfg_FY,4,1),0))-MAX($E431,DATE(cfg_FY,4,1))+1))</f>
        <v>0</v>
      </c>
      <c r="AX431" s="133" t="n">
        <f aca="false">IF(OR(OR($B431="",$E431="",$F431=""),$K431&lt;&gt;"نعم",$M431="نعم"),0,MAX(0,MIN($F431,EOMONTH(DATE(cfg_FY,5,1),0))-MAX($E431,DATE(cfg_FY,5,1))+1))</f>
        <v>0</v>
      </c>
      <c r="AY431" s="133" t="n">
        <f aca="false">IF(OR(OR($B431="",$E431="",$F431=""),$K431&lt;&gt;"نعم",$M431="نعم"),0,MAX(0,MIN($F431,EOMONTH(DATE(cfg_FY,6,1),0))-MAX($E431,DATE(cfg_FY,6,1))+1))</f>
        <v>0</v>
      </c>
      <c r="AZ431" s="133" t="n">
        <f aca="false">IF(OR(OR($B431="",$E431="",$F431=""),$K431&lt;&gt;"نعم",$M431="نعم"),0,MAX(0,MIN($F431,EOMONTH(DATE(cfg_FY,7,1),0))-MAX($E431,DATE(cfg_FY,7,1))+1))</f>
        <v>0</v>
      </c>
      <c r="BA431" s="133" t="n">
        <f aca="false">IF(OR(OR($B431="",$E431="",$F431=""),$K431&lt;&gt;"نعم",$M431="نعم"),0,MAX(0,MIN($F431,EOMONTH(DATE(cfg_FY,8,1),0))-MAX($E431,DATE(cfg_FY,8,1))+1))</f>
        <v>0</v>
      </c>
      <c r="BB431" s="133" t="n">
        <f aca="false">IF(OR(OR($B431="",$E431="",$F431=""),$K431&lt;&gt;"نعم",$M431="نعم"),0,MAX(0,MIN($F431,EOMONTH(DATE(cfg_FY,9,1),0))-MAX($E431,DATE(cfg_FY,9,1))+1))</f>
        <v>0</v>
      </c>
      <c r="BC431" s="133" t="n">
        <f aca="false">IF(OR(OR($B431="",$E431="",$F431=""),$K431&lt;&gt;"نعم",$M431="نعم"),0,MAX(0,MIN($F431,EOMONTH(DATE(cfg_FY,10,1),0))-MAX($E431,DATE(cfg_FY,10,1))+1))</f>
        <v>0</v>
      </c>
      <c r="BD431" s="133" t="n">
        <f aca="false">IF(OR(OR($B431="",$E431="",$F431=""),$K431&lt;&gt;"نعم",$M431="نعم"),0,MAX(0,MIN($F431,EOMONTH(DATE(cfg_FY,11,1),0))-MAX($E431,DATE(cfg_FY,11,1))+1))</f>
        <v>0</v>
      </c>
      <c r="BE431" s="133" t="n">
        <f aca="false">IF(OR(OR($B431="",$E431="",$F431=""),$K431&lt;&gt;"نعم",$M431="نعم"),0,MAX(0,MIN($F431,EOMONTH(DATE(cfg_FY,12,1),0))-MAX($E431,DATE(cfg_FY,12,1))+1))</f>
        <v>0</v>
      </c>
    </row>
    <row r="432" customFormat="false" ht="15" hidden="false" customHeight="false" outlineLevel="0" collapsed="false">
      <c r="A432" s="106" t="str">
        <f aca="false">IF(B432="","",ROW()-5)</f>
        <v/>
      </c>
      <c r="B432" s="118"/>
      <c r="C432" s="114" t="str">
        <f aca="false">IF(B432="","",IFERROR(INDEX(الموظفون!$C$6:$C$105,MATCH(B432,الموظفون!$B$6:$B$105,0)),"✖ رقم غير موجود"))</f>
        <v/>
      </c>
      <c r="D432" s="118"/>
      <c r="E432" s="119"/>
      <c r="F432" s="119"/>
      <c r="G432" s="65" t="str">
        <f aca="false">IF(OR($B432="",$E432="",$F432=""),"",MAX(0,F432-E432+1))</f>
        <v/>
      </c>
      <c r="H432" s="66" t="str">
        <f aca="false">IF(D432="","",IFERROR(VLOOKUP(D432,cfg_LT,2,FALSE()),1))</f>
        <v/>
      </c>
      <c r="I432" s="135"/>
      <c r="J432" s="66" t="str">
        <f aca="false">IF(D432="","",IF(I432&lt;&gt;"",I432,H432))</f>
        <v/>
      </c>
      <c r="K432" s="114" t="str">
        <f aca="false">IF(D432="","",IFERROR(VLOOKUP($D432,cfg_LT,3,FALSE()),""))</f>
        <v/>
      </c>
      <c r="L432" s="114" t="str">
        <f aca="false">IF(D432="","",IFERROR(VLOOKUP($D432,cfg_LT,4,FALSE()),""))</f>
        <v/>
      </c>
      <c r="M432" s="114" t="str">
        <f aca="false">IF(D432="","",IFERROR(VLOOKUP($D432,cfg_LT,5,FALSE()),""))</f>
        <v/>
      </c>
      <c r="N432" s="111" t="n">
        <f aca="false">IF(OR(OR($B432="",$E432="",$F432=""),M432&lt;&gt;"نعم"),0,G432*J432*IFERROR(INDEX(الموظفون!$R$6:$R$105,MATCH(B432,الموظفون!$B$6:$B$105,0)),0)/cfg_DAYS_M)</f>
        <v>0</v>
      </c>
      <c r="O432" s="106" t="str">
        <f aca="false">IF(OR(OR($B432="",$E432="",$F432=""),M432&lt;&gt;"نعم"),"",IF(YEAR(E432)=cfg_FY,MONTH(E432),""))</f>
        <v/>
      </c>
      <c r="P432" s="114" t="str">
        <f aca="false">IF(B432="","",IF(OR(D432="",E432="",F432=""),"⚠ أكمل النوع والتواريخ",IF(F432&lt;E432,"✖ النهاية قبل البداية",IF(COUNTIFS($B$6:$B$505,B432,$E$6:$E$505,"&lt;="&amp;F432,$F$6:$F$505,"&gt;="&amp;E432)&gt;1,"⚠ تداخل مع سجل آخر",IF(E432&gt;cfg_VAL_DATE,"⏳ قادمة",IF(F432&lt;cfg_VAL_DATE,"✔ منتهية","✈ جارية في تاريخ التقرير"))))))</f>
        <v/>
      </c>
      <c r="Q432" s="118"/>
      <c r="R432" s="65" t="n">
        <f aca="false">IF(OR(OR($B432="",$E432="",$F432=""),L432&lt;&gt;"لا"),0,MAX(0,MIN(F432,cfg_Y_START-1)-E432+1))</f>
        <v>0</v>
      </c>
      <c r="S432" s="65" t="n">
        <f aca="false">IF(OR(OR($B432="",$E432="",$F432=""),L432&lt;&gt;"لا"),0,MAX(0,MIN(F432,cfg_VAL_DATE)-E432+1))</f>
        <v>0</v>
      </c>
      <c r="T432" s="65" t="n">
        <f aca="false">IF(OR(OR($B432="",$E432="",$F432=""),K432&lt;&gt;"نعم"),0,IF(M432="نعم",IF(AND(ISNUMBER(O432),N(O432)&lt;=cfg_VAL_M),G432,0),MAX(0,MIN(F432,cfg_VAL_DATE)-MAX(E432,cfg_Y_START)+1)))</f>
        <v>0</v>
      </c>
      <c r="V432" s="65" t="n">
        <f aca="false">IF(OR($B432="",$E432="",$F432=""),0,MAX(0,MIN($F432,EOMONTH(DATE(cfg_FY,1,1),0))-MAX($E432,DATE(cfg_FY,1,1))+1)*(1-IF($M432="نعم",0,N($J432))))</f>
        <v>0</v>
      </c>
      <c r="W432" s="65" t="n">
        <f aca="false">IF(OR($B432="",$E432="",$F432=""),0,MAX(0,MIN($F432,EOMONTH(DATE(cfg_FY,2,1),0))-MAX($E432,DATE(cfg_FY,2,1))+1)*(1-IF($M432="نعم",0,N($J432))))</f>
        <v>0</v>
      </c>
      <c r="X432" s="65" t="n">
        <f aca="false">IF(OR($B432="",$E432="",$F432=""),0,MAX(0,MIN($F432,EOMONTH(DATE(cfg_FY,3,1),0))-MAX($E432,DATE(cfg_FY,3,1))+1)*(1-IF($M432="نعم",0,N($J432))))</f>
        <v>0</v>
      </c>
      <c r="Y432" s="65" t="n">
        <f aca="false">IF(OR($B432="",$E432="",$F432=""),0,MAX(0,MIN($F432,EOMONTH(DATE(cfg_FY,4,1),0))-MAX($E432,DATE(cfg_FY,4,1))+1)*(1-IF($M432="نعم",0,N($J432))))</f>
        <v>0</v>
      </c>
      <c r="Z432" s="65" t="n">
        <f aca="false">IF(OR($B432="",$E432="",$F432=""),0,MAX(0,MIN($F432,EOMONTH(DATE(cfg_FY,5,1),0))-MAX($E432,DATE(cfg_FY,5,1))+1)*(1-IF($M432="نعم",0,N($J432))))</f>
        <v>0</v>
      </c>
      <c r="AA432" s="65" t="n">
        <f aca="false">IF(OR($B432="",$E432="",$F432=""),0,MAX(0,MIN($F432,EOMONTH(DATE(cfg_FY,6,1),0))-MAX($E432,DATE(cfg_FY,6,1))+1)*(1-IF($M432="نعم",0,N($J432))))</f>
        <v>0</v>
      </c>
      <c r="AB432" s="65" t="n">
        <f aca="false">IF(OR($B432="",$E432="",$F432=""),0,MAX(0,MIN($F432,EOMONTH(DATE(cfg_FY,7,1),0))-MAX($E432,DATE(cfg_FY,7,1))+1)*(1-IF($M432="نعم",0,N($J432))))</f>
        <v>0</v>
      </c>
      <c r="AC432" s="65" t="n">
        <f aca="false">IF(OR($B432="",$E432="",$F432=""),0,MAX(0,MIN($F432,EOMONTH(DATE(cfg_FY,8,1),0))-MAX($E432,DATE(cfg_FY,8,1))+1)*(1-IF($M432="نعم",0,N($J432))))</f>
        <v>0</v>
      </c>
      <c r="AD432" s="65" t="n">
        <f aca="false">IF(OR($B432="",$E432="",$F432=""),0,MAX(0,MIN($F432,EOMONTH(DATE(cfg_FY,9,1),0))-MAX($E432,DATE(cfg_FY,9,1))+1)*(1-IF($M432="نعم",0,N($J432))))</f>
        <v>0</v>
      </c>
      <c r="AE432" s="65" t="n">
        <f aca="false">IF(OR($B432="",$E432="",$F432=""),0,MAX(0,MIN($F432,EOMONTH(DATE(cfg_FY,10,1),0))-MAX($E432,DATE(cfg_FY,10,1))+1)*(1-IF($M432="نعم",0,N($J432))))</f>
        <v>0</v>
      </c>
      <c r="AF432" s="65" t="n">
        <f aca="false">IF(OR($B432="",$E432="",$F432=""),0,MAX(0,MIN($F432,EOMONTH(DATE(cfg_FY,11,1),0))-MAX($E432,DATE(cfg_FY,11,1))+1)*(1-IF($M432="نعم",0,N($J432))))</f>
        <v>0</v>
      </c>
      <c r="AG432" s="65" t="n">
        <f aca="false">IF(OR($B432="",$E432="",$F432=""),0,MAX(0,MIN($F432,EOMONTH(DATE(cfg_FY,12,1),0))-MAX($E432,DATE(cfg_FY,12,1))+1)*(1-IF($M432="نعم",0,N($J432))))</f>
        <v>0</v>
      </c>
      <c r="AH432" s="65" t="n">
        <f aca="false">IF(OR(OR($B432="",$E432="",$F432=""),$L432&lt;&gt;"لا"),0,MAX(0,MIN($F432,EOMONTH(DATE(cfg_FY,1,1),0))-$E432+1))</f>
        <v>0</v>
      </c>
      <c r="AI432" s="65" t="n">
        <f aca="false">IF(OR(OR($B432="",$E432="",$F432=""),$L432&lt;&gt;"لا"),0,MAX(0,MIN($F432,EOMONTH(DATE(cfg_FY,2,1),0))-$E432+1))</f>
        <v>0</v>
      </c>
      <c r="AJ432" s="65" t="n">
        <f aca="false">IF(OR(OR($B432="",$E432="",$F432=""),$L432&lt;&gt;"لا"),0,MAX(0,MIN($F432,EOMONTH(DATE(cfg_FY,3,1),0))-$E432+1))</f>
        <v>0</v>
      </c>
      <c r="AK432" s="65" t="n">
        <f aca="false">IF(OR(OR($B432="",$E432="",$F432=""),$L432&lt;&gt;"لا"),0,MAX(0,MIN($F432,EOMONTH(DATE(cfg_FY,4,1),0))-$E432+1))</f>
        <v>0</v>
      </c>
      <c r="AL432" s="65" t="n">
        <f aca="false">IF(OR(OR($B432="",$E432="",$F432=""),$L432&lt;&gt;"لا"),0,MAX(0,MIN($F432,EOMONTH(DATE(cfg_FY,5,1),0))-$E432+1))</f>
        <v>0</v>
      </c>
      <c r="AM432" s="65" t="n">
        <f aca="false">IF(OR(OR($B432="",$E432="",$F432=""),$L432&lt;&gt;"لا"),0,MAX(0,MIN($F432,EOMONTH(DATE(cfg_FY,6,1),0))-$E432+1))</f>
        <v>0</v>
      </c>
      <c r="AN432" s="65" t="n">
        <f aca="false">IF(OR(OR($B432="",$E432="",$F432=""),$L432&lt;&gt;"لا"),0,MAX(0,MIN($F432,EOMONTH(DATE(cfg_FY,7,1),0))-$E432+1))</f>
        <v>0</v>
      </c>
      <c r="AO432" s="65" t="n">
        <f aca="false">IF(OR(OR($B432="",$E432="",$F432=""),$L432&lt;&gt;"لا"),0,MAX(0,MIN($F432,EOMONTH(DATE(cfg_FY,8,1),0))-$E432+1))</f>
        <v>0</v>
      </c>
      <c r="AP432" s="65" t="n">
        <f aca="false">IF(OR(OR($B432="",$E432="",$F432=""),$L432&lt;&gt;"لا"),0,MAX(0,MIN($F432,EOMONTH(DATE(cfg_FY,9,1),0))-$E432+1))</f>
        <v>0</v>
      </c>
      <c r="AQ432" s="65" t="n">
        <f aca="false">IF(OR(OR($B432="",$E432="",$F432=""),$L432&lt;&gt;"لا"),0,MAX(0,MIN($F432,EOMONTH(DATE(cfg_FY,10,1),0))-$E432+1))</f>
        <v>0</v>
      </c>
      <c r="AR432" s="65" t="n">
        <f aca="false">IF(OR(OR($B432="",$E432="",$F432=""),$L432&lt;&gt;"لا"),0,MAX(0,MIN($F432,EOMONTH(DATE(cfg_FY,11,1),0))-$E432+1))</f>
        <v>0</v>
      </c>
      <c r="AS432" s="65" t="n">
        <f aca="false">IF(OR(OR($B432="",$E432="",$F432=""),$L432&lt;&gt;"لا"),0,MAX(0,MIN($F432,EOMONTH(DATE(cfg_FY,12,1),0))-$E432+1))</f>
        <v>0</v>
      </c>
      <c r="AT432" s="65" t="n">
        <f aca="false">IF(OR(OR($B432="",$E432="",$F432=""),$K432&lt;&gt;"نعم",$M432="نعم"),0,MAX(0,MIN($F432,EOMONTH(DATE(cfg_FY,1,1),0))-MAX($E432,DATE(cfg_FY,1,1))+1))</f>
        <v>0</v>
      </c>
      <c r="AU432" s="65" t="n">
        <f aca="false">IF(OR(OR($B432="",$E432="",$F432=""),$K432&lt;&gt;"نعم",$M432="نعم"),0,MAX(0,MIN($F432,EOMONTH(DATE(cfg_FY,2,1),0))-MAX($E432,DATE(cfg_FY,2,1))+1))</f>
        <v>0</v>
      </c>
      <c r="AV432" s="65" t="n">
        <f aca="false">IF(OR(OR($B432="",$E432="",$F432=""),$K432&lt;&gt;"نعم",$M432="نعم"),0,MAX(0,MIN($F432,EOMONTH(DATE(cfg_FY,3,1),0))-MAX($E432,DATE(cfg_FY,3,1))+1))</f>
        <v>0</v>
      </c>
      <c r="AW432" s="65" t="n">
        <f aca="false">IF(OR(OR($B432="",$E432="",$F432=""),$K432&lt;&gt;"نعم",$M432="نعم"),0,MAX(0,MIN($F432,EOMONTH(DATE(cfg_FY,4,1),0))-MAX($E432,DATE(cfg_FY,4,1))+1))</f>
        <v>0</v>
      </c>
      <c r="AX432" s="65" t="n">
        <f aca="false">IF(OR(OR($B432="",$E432="",$F432=""),$K432&lt;&gt;"نعم",$M432="نعم"),0,MAX(0,MIN($F432,EOMONTH(DATE(cfg_FY,5,1),0))-MAX($E432,DATE(cfg_FY,5,1))+1))</f>
        <v>0</v>
      </c>
      <c r="AY432" s="65" t="n">
        <f aca="false">IF(OR(OR($B432="",$E432="",$F432=""),$K432&lt;&gt;"نعم",$M432="نعم"),0,MAX(0,MIN($F432,EOMONTH(DATE(cfg_FY,6,1),0))-MAX($E432,DATE(cfg_FY,6,1))+1))</f>
        <v>0</v>
      </c>
      <c r="AZ432" s="65" t="n">
        <f aca="false">IF(OR(OR($B432="",$E432="",$F432=""),$K432&lt;&gt;"نعم",$M432="نعم"),0,MAX(0,MIN($F432,EOMONTH(DATE(cfg_FY,7,1),0))-MAX($E432,DATE(cfg_FY,7,1))+1))</f>
        <v>0</v>
      </c>
      <c r="BA432" s="65" t="n">
        <f aca="false">IF(OR(OR($B432="",$E432="",$F432=""),$K432&lt;&gt;"نعم",$M432="نعم"),0,MAX(0,MIN($F432,EOMONTH(DATE(cfg_FY,8,1),0))-MAX($E432,DATE(cfg_FY,8,1))+1))</f>
        <v>0</v>
      </c>
      <c r="BB432" s="65" t="n">
        <f aca="false">IF(OR(OR($B432="",$E432="",$F432=""),$K432&lt;&gt;"نعم",$M432="نعم"),0,MAX(0,MIN($F432,EOMONTH(DATE(cfg_FY,9,1),0))-MAX($E432,DATE(cfg_FY,9,1))+1))</f>
        <v>0</v>
      </c>
      <c r="BC432" s="65" t="n">
        <f aca="false">IF(OR(OR($B432="",$E432="",$F432=""),$K432&lt;&gt;"نعم",$M432="نعم"),0,MAX(0,MIN($F432,EOMONTH(DATE(cfg_FY,10,1),0))-MAX($E432,DATE(cfg_FY,10,1))+1))</f>
        <v>0</v>
      </c>
      <c r="BD432" s="65" t="n">
        <f aca="false">IF(OR(OR($B432="",$E432="",$F432=""),$K432&lt;&gt;"نعم",$M432="نعم"),0,MAX(0,MIN($F432,EOMONTH(DATE(cfg_FY,11,1),0))-MAX($E432,DATE(cfg_FY,11,1))+1))</f>
        <v>0</v>
      </c>
      <c r="BE432" s="65" t="n">
        <f aca="false">IF(OR(OR($B432="",$E432="",$F432=""),$K432&lt;&gt;"نعم",$M432="نعم"),0,MAX(0,MIN($F432,EOMONTH(DATE(cfg_FY,12,1),0))-MAX($E432,DATE(cfg_FY,12,1))+1))</f>
        <v>0</v>
      </c>
    </row>
    <row r="433" customFormat="false" ht="15" hidden="false" customHeight="false" outlineLevel="0" collapsed="false">
      <c r="A433" s="115" t="str">
        <f aca="false">IF(B433="","",ROW()-5)</f>
        <v/>
      </c>
      <c r="B433" s="118"/>
      <c r="C433" s="117" t="str">
        <f aca="false">IF(B433="","",IFERROR(INDEX(الموظفون!$C$6:$C$105,MATCH(B433,الموظفون!$B$6:$B$105,0)),"✖ رقم غير موجود"))</f>
        <v/>
      </c>
      <c r="D433" s="118"/>
      <c r="E433" s="119"/>
      <c r="F433" s="119"/>
      <c r="G433" s="133" t="str">
        <f aca="false">IF(OR($B433="",$E433="",$F433=""),"",MAX(0,F433-E433+1))</f>
        <v/>
      </c>
      <c r="H433" s="134" t="str">
        <f aca="false">IF(D433="","",IFERROR(VLOOKUP(D433,cfg_LT,2,FALSE()),1))</f>
        <v/>
      </c>
      <c r="I433" s="135"/>
      <c r="J433" s="134" t="str">
        <f aca="false">IF(D433="","",IF(I433&lt;&gt;"",I433,H433))</f>
        <v/>
      </c>
      <c r="K433" s="117" t="str">
        <f aca="false">IF(D433="","",IFERROR(VLOOKUP($D433,cfg_LT,3,FALSE()),""))</f>
        <v/>
      </c>
      <c r="L433" s="117" t="str">
        <f aca="false">IF(D433="","",IFERROR(VLOOKUP($D433,cfg_LT,4,FALSE()),""))</f>
        <v/>
      </c>
      <c r="M433" s="117" t="str">
        <f aca="false">IF(D433="","",IFERROR(VLOOKUP($D433,cfg_LT,5,FALSE()),""))</f>
        <v/>
      </c>
      <c r="N433" s="116" t="n">
        <f aca="false">IF(OR(OR($B433="",$E433="",$F433=""),M433&lt;&gt;"نعم"),0,G433*J433*IFERROR(INDEX(الموظفون!$R$6:$R$105,MATCH(B433,الموظفون!$B$6:$B$105,0)),0)/cfg_DAYS_M)</f>
        <v>0</v>
      </c>
      <c r="O433" s="115" t="str">
        <f aca="false">IF(OR(OR($B433="",$E433="",$F433=""),M433&lt;&gt;"نعم"),"",IF(YEAR(E433)=cfg_FY,MONTH(E433),""))</f>
        <v/>
      </c>
      <c r="P433" s="117" t="str">
        <f aca="false">IF(B433="","",IF(OR(D433="",E433="",F433=""),"⚠ أكمل النوع والتواريخ",IF(F433&lt;E433,"✖ النهاية قبل البداية",IF(COUNTIFS($B$6:$B$505,B433,$E$6:$E$505,"&lt;="&amp;F433,$F$6:$F$505,"&gt;="&amp;E433)&gt;1,"⚠ تداخل مع سجل آخر",IF(E433&gt;cfg_VAL_DATE,"⏳ قادمة",IF(F433&lt;cfg_VAL_DATE,"✔ منتهية","✈ جارية في تاريخ التقرير"))))))</f>
        <v/>
      </c>
      <c r="Q433" s="118"/>
      <c r="R433" s="133" t="n">
        <f aca="false">IF(OR(OR($B433="",$E433="",$F433=""),L433&lt;&gt;"لا"),0,MAX(0,MIN(F433,cfg_Y_START-1)-E433+1))</f>
        <v>0</v>
      </c>
      <c r="S433" s="133" t="n">
        <f aca="false">IF(OR(OR($B433="",$E433="",$F433=""),L433&lt;&gt;"لا"),0,MAX(0,MIN(F433,cfg_VAL_DATE)-E433+1))</f>
        <v>0</v>
      </c>
      <c r="T433" s="133" t="n">
        <f aca="false">IF(OR(OR($B433="",$E433="",$F433=""),K433&lt;&gt;"نعم"),0,IF(M433="نعم",IF(AND(ISNUMBER(O433),N(O433)&lt;=cfg_VAL_M),G433,0),MAX(0,MIN(F433,cfg_VAL_DATE)-MAX(E433,cfg_Y_START)+1)))</f>
        <v>0</v>
      </c>
      <c r="V433" s="133" t="n">
        <f aca="false">IF(OR($B433="",$E433="",$F433=""),0,MAX(0,MIN($F433,EOMONTH(DATE(cfg_FY,1,1),0))-MAX($E433,DATE(cfg_FY,1,1))+1)*(1-IF($M433="نعم",0,N($J433))))</f>
        <v>0</v>
      </c>
      <c r="W433" s="133" t="n">
        <f aca="false">IF(OR($B433="",$E433="",$F433=""),0,MAX(0,MIN($F433,EOMONTH(DATE(cfg_FY,2,1),0))-MAX($E433,DATE(cfg_FY,2,1))+1)*(1-IF($M433="نعم",0,N($J433))))</f>
        <v>0</v>
      </c>
      <c r="X433" s="133" t="n">
        <f aca="false">IF(OR($B433="",$E433="",$F433=""),0,MAX(0,MIN($F433,EOMONTH(DATE(cfg_FY,3,1),0))-MAX($E433,DATE(cfg_FY,3,1))+1)*(1-IF($M433="نعم",0,N($J433))))</f>
        <v>0</v>
      </c>
      <c r="Y433" s="133" t="n">
        <f aca="false">IF(OR($B433="",$E433="",$F433=""),0,MAX(0,MIN($F433,EOMONTH(DATE(cfg_FY,4,1),0))-MAX($E433,DATE(cfg_FY,4,1))+1)*(1-IF($M433="نعم",0,N($J433))))</f>
        <v>0</v>
      </c>
      <c r="Z433" s="133" t="n">
        <f aca="false">IF(OR($B433="",$E433="",$F433=""),0,MAX(0,MIN($F433,EOMONTH(DATE(cfg_FY,5,1),0))-MAX($E433,DATE(cfg_FY,5,1))+1)*(1-IF($M433="نعم",0,N($J433))))</f>
        <v>0</v>
      </c>
      <c r="AA433" s="133" t="n">
        <f aca="false">IF(OR($B433="",$E433="",$F433=""),0,MAX(0,MIN($F433,EOMONTH(DATE(cfg_FY,6,1),0))-MAX($E433,DATE(cfg_FY,6,1))+1)*(1-IF($M433="نعم",0,N($J433))))</f>
        <v>0</v>
      </c>
      <c r="AB433" s="133" t="n">
        <f aca="false">IF(OR($B433="",$E433="",$F433=""),0,MAX(0,MIN($F433,EOMONTH(DATE(cfg_FY,7,1),0))-MAX($E433,DATE(cfg_FY,7,1))+1)*(1-IF($M433="نعم",0,N($J433))))</f>
        <v>0</v>
      </c>
      <c r="AC433" s="133" t="n">
        <f aca="false">IF(OR($B433="",$E433="",$F433=""),0,MAX(0,MIN($F433,EOMONTH(DATE(cfg_FY,8,1),0))-MAX($E433,DATE(cfg_FY,8,1))+1)*(1-IF($M433="نعم",0,N($J433))))</f>
        <v>0</v>
      </c>
      <c r="AD433" s="133" t="n">
        <f aca="false">IF(OR($B433="",$E433="",$F433=""),0,MAX(0,MIN($F433,EOMONTH(DATE(cfg_FY,9,1),0))-MAX($E433,DATE(cfg_FY,9,1))+1)*(1-IF($M433="نعم",0,N($J433))))</f>
        <v>0</v>
      </c>
      <c r="AE433" s="133" t="n">
        <f aca="false">IF(OR($B433="",$E433="",$F433=""),0,MAX(0,MIN($F433,EOMONTH(DATE(cfg_FY,10,1),0))-MAX($E433,DATE(cfg_FY,10,1))+1)*(1-IF($M433="نعم",0,N($J433))))</f>
        <v>0</v>
      </c>
      <c r="AF433" s="133" t="n">
        <f aca="false">IF(OR($B433="",$E433="",$F433=""),0,MAX(0,MIN($F433,EOMONTH(DATE(cfg_FY,11,1),0))-MAX($E433,DATE(cfg_FY,11,1))+1)*(1-IF($M433="نعم",0,N($J433))))</f>
        <v>0</v>
      </c>
      <c r="AG433" s="133" t="n">
        <f aca="false">IF(OR($B433="",$E433="",$F433=""),0,MAX(0,MIN($F433,EOMONTH(DATE(cfg_FY,12,1),0))-MAX($E433,DATE(cfg_FY,12,1))+1)*(1-IF($M433="نعم",0,N($J433))))</f>
        <v>0</v>
      </c>
      <c r="AH433" s="133" t="n">
        <f aca="false">IF(OR(OR($B433="",$E433="",$F433=""),$L433&lt;&gt;"لا"),0,MAX(0,MIN($F433,EOMONTH(DATE(cfg_FY,1,1),0))-$E433+1))</f>
        <v>0</v>
      </c>
      <c r="AI433" s="133" t="n">
        <f aca="false">IF(OR(OR($B433="",$E433="",$F433=""),$L433&lt;&gt;"لا"),0,MAX(0,MIN($F433,EOMONTH(DATE(cfg_FY,2,1),0))-$E433+1))</f>
        <v>0</v>
      </c>
      <c r="AJ433" s="133" t="n">
        <f aca="false">IF(OR(OR($B433="",$E433="",$F433=""),$L433&lt;&gt;"لا"),0,MAX(0,MIN($F433,EOMONTH(DATE(cfg_FY,3,1),0))-$E433+1))</f>
        <v>0</v>
      </c>
      <c r="AK433" s="133" t="n">
        <f aca="false">IF(OR(OR($B433="",$E433="",$F433=""),$L433&lt;&gt;"لا"),0,MAX(0,MIN($F433,EOMONTH(DATE(cfg_FY,4,1),0))-$E433+1))</f>
        <v>0</v>
      </c>
      <c r="AL433" s="133" t="n">
        <f aca="false">IF(OR(OR($B433="",$E433="",$F433=""),$L433&lt;&gt;"لا"),0,MAX(0,MIN($F433,EOMONTH(DATE(cfg_FY,5,1),0))-$E433+1))</f>
        <v>0</v>
      </c>
      <c r="AM433" s="133" t="n">
        <f aca="false">IF(OR(OR($B433="",$E433="",$F433=""),$L433&lt;&gt;"لا"),0,MAX(0,MIN($F433,EOMONTH(DATE(cfg_FY,6,1),0))-$E433+1))</f>
        <v>0</v>
      </c>
      <c r="AN433" s="133" t="n">
        <f aca="false">IF(OR(OR($B433="",$E433="",$F433=""),$L433&lt;&gt;"لا"),0,MAX(0,MIN($F433,EOMONTH(DATE(cfg_FY,7,1),0))-$E433+1))</f>
        <v>0</v>
      </c>
      <c r="AO433" s="133" t="n">
        <f aca="false">IF(OR(OR($B433="",$E433="",$F433=""),$L433&lt;&gt;"لا"),0,MAX(0,MIN($F433,EOMONTH(DATE(cfg_FY,8,1),0))-$E433+1))</f>
        <v>0</v>
      </c>
      <c r="AP433" s="133" t="n">
        <f aca="false">IF(OR(OR($B433="",$E433="",$F433=""),$L433&lt;&gt;"لا"),0,MAX(0,MIN($F433,EOMONTH(DATE(cfg_FY,9,1),0))-$E433+1))</f>
        <v>0</v>
      </c>
      <c r="AQ433" s="133" t="n">
        <f aca="false">IF(OR(OR($B433="",$E433="",$F433=""),$L433&lt;&gt;"لا"),0,MAX(0,MIN($F433,EOMONTH(DATE(cfg_FY,10,1),0))-$E433+1))</f>
        <v>0</v>
      </c>
      <c r="AR433" s="133" t="n">
        <f aca="false">IF(OR(OR($B433="",$E433="",$F433=""),$L433&lt;&gt;"لا"),0,MAX(0,MIN($F433,EOMONTH(DATE(cfg_FY,11,1),0))-$E433+1))</f>
        <v>0</v>
      </c>
      <c r="AS433" s="133" t="n">
        <f aca="false">IF(OR(OR($B433="",$E433="",$F433=""),$L433&lt;&gt;"لا"),0,MAX(0,MIN($F433,EOMONTH(DATE(cfg_FY,12,1),0))-$E433+1))</f>
        <v>0</v>
      </c>
      <c r="AT433" s="133" t="n">
        <f aca="false">IF(OR(OR($B433="",$E433="",$F433=""),$K433&lt;&gt;"نعم",$M433="نعم"),0,MAX(0,MIN($F433,EOMONTH(DATE(cfg_FY,1,1),0))-MAX($E433,DATE(cfg_FY,1,1))+1))</f>
        <v>0</v>
      </c>
      <c r="AU433" s="133" t="n">
        <f aca="false">IF(OR(OR($B433="",$E433="",$F433=""),$K433&lt;&gt;"نعم",$M433="نعم"),0,MAX(0,MIN($F433,EOMONTH(DATE(cfg_FY,2,1),0))-MAX($E433,DATE(cfg_FY,2,1))+1))</f>
        <v>0</v>
      </c>
      <c r="AV433" s="133" t="n">
        <f aca="false">IF(OR(OR($B433="",$E433="",$F433=""),$K433&lt;&gt;"نعم",$M433="نعم"),0,MAX(0,MIN($F433,EOMONTH(DATE(cfg_FY,3,1),0))-MAX($E433,DATE(cfg_FY,3,1))+1))</f>
        <v>0</v>
      </c>
      <c r="AW433" s="133" t="n">
        <f aca="false">IF(OR(OR($B433="",$E433="",$F433=""),$K433&lt;&gt;"نعم",$M433="نعم"),0,MAX(0,MIN($F433,EOMONTH(DATE(cfg_FY,4,1),0))-MAX($E433,DATE(cfg_FY,4,1))+1))</f>
        <v>0</v>
      </c>
      <c r="AX433" s="133" t="n">
        <f aca="false">IF(OR(OR($B433="",$E433="",$F433=""),$K433&lt;&gt;"نعم",$M433="نعم"),0,MAX(0,MIN($F433,EOMONTH(DATE(cfg_FY,5,1),0))-MAX($E433,DATE(cfg_FY,5,1))+1))</f>
        <v>0</v>
      </c>
      <c r="AY433" s="133" t="n">
        <f aca="false">IF(OR(OR($B433="",$E433="",$F433=""),$K433&lt;&gt;"نعم",$M433="نعم"),0,MAX(0,MIN($F433,EOMONTH(DATE(cfg_FY,6,1),0))-MAX($E433,DATE(cfg_FY,6,1))+1))</f>
        <v>0</v>
      </c>
      <c r="AZ433" s="133" t="n">
        <f aca="false">IF(OR(OR($B433="",$E433="",$F433=""),$K433&lt;&gt;"نعم",$M433="نعم"),0,MAX(0,MIN($F433,EOMONTH(DATE(cfg_FY,7,1),0))-MAX($E433,DATE(cfg_FY,7,1))+1))</f>
        <v>0</v>
      </c>
      <c r="BA433" s="133" t="n">
        <f aca="false">IF(OR(OR($B433="",$E433="",$F433=""),$K433&lt;&gt;"نعم",$M433="نعم"),0,MAX(0,MIN($F433,EOMONTH(DATE(cfg_FY,8,1),0))-MAX($E433,DATE(cfg_FY,8,1))+1))</f>
        <v>0</v>
      </c>
      <c r="BB433" s="133" t="n">
        <f aca="false">IF(OR(OR($B433="",$E433="",$F433=""),$K433&lt;&gt;"نعم",$M433="نعم"),0,MAX(0,MIN($F433,EOMONTH(DATE(cfg_FY,9,1),0))-MAX($E433,DATE(cfg_FY,9,1))+1))</f>
        <v>0</v>
      </c>
      <c r="BC433" s="133" t="n">
        <f aca="false">IF(OR(OR($B433="",$E433="",$F433=""),$K433&lt;&gt;"نعم",$M433="نعم"),0,MAX(0,MIN($F433,EOMONTH(DATE(cfg_FY,10,1),0))-MAX($E433,DATE(cfg_FY,10,1))+1))</f>
        <v>0</v>
      </c>
      <c r="BD433" s="133" t="n">
        <f aca="false">IF(OR(OR($B433="",$E433="",$F433=""),$K433&lt;&gt;"نعم",$M433="نعم"),0,MAX(0,MIN($F433,EOMONTH(DATE(cfg_FY,11,1),0))-MAX($E433,DATE(cfg_FY,11,1))+1))</f>
        <v>0</v>
      </c>
      <c r="BE433" s="133" t="n">
        <f aca="false">IF(OR(OR($B433="",$E433="",$F433=""),$K433&lt;&gt;"نعم",$M433="نعم"),0,MAX(0,MIN($F433,EOMONTH(DATE(cfg_FY,12,1),0))-MAX($E433,DATE(cfg_FY,12,1))+1))</f>
        <v>0</v>
      </c>
    </row>
    <row r="434" customFormat="false" ht="15" hidden="false" customHeight="false" outlineLevel="0" collapsed="false">
      <c r="A434" s="106" t="str">
        <f aca="false">IF(B434="","",ROW()-5)</f>
        <v/>
      </c>
      <c r="B434" s="118"/>
      <c r="C434" s="114" t="str">
        <f aca="false">IF(B434="","",IFERROR(INDEX(الموظفون!$C$6:$C$105,MATCH(B434,الموظفون!$B$6:$B$105,0)),"✖ رقم غير موجود"))</f>
        <v/>
      </c>
      <c r="D434" s="118"/>
      <c r="E434" s="119"/>
      <c r="F434" s="119"/>
      <c r="G434" s="65" t="str">
        <f aca="false">IF(OR($B434="",$E434="",$F434=""),"",MAX(0,F434-E434+1))</f>
        <v/>
      </c>
      <c r="H434" s="66" t="str">
        <f aca="false">IF(D434="","",IFERROR(VLOOKUP(D434,cfg_LT,2,FALSE()),1))</f>
        <v/>
      </c>
      <c r="I434" s="135"/>
      <c r="J434" s="66" t="str">
        <f aca="false">IF(D434="","",IF(I434&lt;&gt;"",I434,H434))</f>
        <v/>
      </c>
      <c r="K434" s="114" t="str">
        <f aca="false">IF(D434="","",IFERROR(VLOOKUP($D434,cfg_LT,3,FALSE()),""))</f>
        <v/>
      </c>
      <c r="L434" s="114" t="str">
        <f aca="false">IF(D434="","",IFERROR(VLOOKUP($D434,cfg_LT,4,FALSE()),""))</f>
        <v/>
      </c>
      <c r="M434" s="114" t="str">
        <f aca="false">IF(D434="","",IFERROR(VLOOKUP($D434,cfg_LT,5,FALSE()),""))</f>
        <v/>
      </c>
      <c r="N434" s="111" t="n">
        <f aca="false">IF(OR(OR($B434="",$E434="",$F434=""),M434&lt;&gt;"نعم"),0,G434*J434*IFERROR(INDEX(الموظفون!$R$6:$R$105,MATCH(B434,الموظفون!$B$6:$B$105,0)),0)/cfg_DAYS_M)</f>
        <v>0</v>
      </c>
      <c r="O434" s="106" t="str">
        <f aca="false">IF(OR(OR($B434="",$E434="",$F434=""),M434&lt;&gt;"نعم"),"",IF(YEAR(E434)=cfg_FY,MONTH(E434),""))</f>
        <v/>
      </c>
      <c r="P434" s="114" t="str">
        <f aca="false">IF(B434="","",IF(OR(D434="",E434="",F434=""),"⚠ أكمل النوع والتواريخ",IF(F434&lt;E434,"✖ النهاية قبل البداية",IF(COUNTIFS($B$6:$B$505,B434,$E$6:$E$505,"&lt;="&amp;F434,$F$6:$F$505,"&gt;="&amp;E434)&gt;1,"⚠ تداخل مع سجل آخر",IF(E434&gt;cfg_VAL_DATE,"⏳ قادمة",IF(F434&lt;cfg_VAL_DATE,"✔ منتهية","✈ جارية في تاريخ التقرير"))))))</f>
        <v/>
      </c>
      <c r="Q434" s="118"/>
      <c r="R434" s="65" t="n">
        <f aca="false">IF(OR(OR($B434="",$E434="",$F434=""),L434&lt;&gt;"لا"),0,MAX(0,MIN(F434,cfg_Y_START-1)-E434+1))</f>
        <v>0</v>
      </c>
      <c r="S434" s="65" t="n">
        <f aca="false">IF(OR(OR($B434="",$E434="",$F434=""),L434&lt;&gt;"لا"),0,MAX(0,MIN(F434,cfg_VAL_DATE)-E434+1))</f>
        <v>0</v>
      </c>
      <c r="T434" s="65" t="n">
        <f aca="false">IF(OR(OR($B434="",$E434="",$F434=""),K434&lt;&gt;"نعم"),0,IF(M434="نعم",IF(AND(ISNUMBER(O434),N(O434)&lt;=cfg_VAL_M),G434,0),MAX(0,MIN(F434,cfg_VAL_DATE)-MAX(E434,cfg_Y_START)+1)))</f>
        <v>0</v>
      </c>
      <c r="V434" s="65" t="n">
        <f aca="false">IF(OR($B434="",$E434="",$F434=""),0,MAX(0,MIN($F434,EOMONTH(DATE(cfg_FY,1,1),0))-MAX($E434,DATE(cfg_FY,1,1))+1)*(1-IF($M434="نعم",0,N($J434))))</f>
        <v>0</v>
      </c>
      <c r="W434" s="65" t="n">
        <f aca="false">IF(OR($B434="",$E434="",$F434=""),0,MAX(0,MIN($F434,EOMONTH(DATE(cfg_FY,2,1),0))-MAX($E434,DATE(cfg_FY,2,1))+1)*(1-IF($M434="نعم",0,N($J434))))</f>
        <v>0</v>
      </c>
      <c r="X434" s="65" t="n">
        <f aca="false">IF(OR($B434="",$E434="",$F434=""),0,MAX(0,MIN($F434,EOMONTH(DATE(cfg_FY,3,1),0))-MAX($E434,DATE(cfg_FY,3,1))+1)*(1-IF($M434="نعم",0,N($J434))))</f>
        <v>0</v>
      </c>
      <c r="Y434" s="65" t="n">
        <f aca="false">IF(OR($B434="",$E434="",$F434=""),0,MAX(0,MIN($F434,EOMONTH(DATE(cfg_FY,4,1),0))-MAX($E434,DATE(cfg_FY,4,1))+1)*(1-IF($M434="نعم",0,N($J434))))</f>
        <v>0</v>
      </c>
      <c r="Z434" s="65" t="n">
        <f aca="false">IF(OR($B434="",$E434="",$F434=""),0,MAX(0,MIN($F434,EOMONTH(DATE(cfg_FY,5,1),0))-MAX($E434,DATE(cfg_FY,5,1))+1)*(1-IF($M434="نعم",0,N($J434))))</f>
        <v>0</v>
      </c>
      <c r="AA434" s="65" t="n">
        <f aca="false">IF(OR($B434="",$E434="",$F434=""),0,MAX(0,MIN($F434,EOMONTH(DATE(cfg_FY,6,1),0))-MAX($E434,DATE(cfg_FY,6,1))+1)*(1-IF($M434="نعم",0,N($J434))))</f>
        <v>0</v>
      </c>
      <c r="AB434" s="65" t="n">
        <f aca="false">IF(OR($B434="",$E434="",$F434=""),0,MAX(0,MIN($F434,EOMONTH(DATE(cfg_FY,7,1),0))-MAX($E434,DATE(cfg_FY,7,1))+1)*(1-IF($M434="نعم",0,N($J434))))</f>
        <v>0</v>
      </c>
      <c r="AC434" s="65" t="n">
        <f aca="false">IF(OR($B434="",$E434="",$F434=""),0,MAX(0,MIN($F434,EOMONTH(DATE(cfg_FY,8,1),0))-MAX($E434,DATE(cfg_FY,8,1))+1)*(1-IF($M434="نعم",0,N($J434))))</f>
        <v>0</v>
      </c>
      <c r="AD434" s="65" t="n">
        <f aca="false">IF(OR($B434="",$E434="",$F434=""),0,MAX(0,MIN($F434,EOMONTH(DATE(cfg_FY,9,1),0))-MAX($E434,DATE(cfg_FY,9,1))+1)*(1-IF($M434="نعم",0,N($J434))))</f>
        <v>0</v>
      </c>
      <c r="AE434" s="65" t="n">
        <f aca="false">IF(OR($B434="",$E434="",$F434=""),0,MAX(0,MIN($F434,EOMONTH(DATE(cfg_FY,10,1),0))-MAX($E434,DATE(cfg_FY,10,1))+1)*(1-IF($M434="نعم",0,N($J434))))</f>
        <v>0</v>
      </c>
      <c r="AF434" s="65" t="n">
        <f aca="false">IF(OR($B434="",$E434="",$F434=""),0,MAX(0,MIN($F434,EOMONTH(DATE(cfg_FY,11,1),0))-MAX($E434,DATE(cfg_FY,11,1))+1)*(1-IF($M434="نعم",0,N($J434))))</f>
        <v>0</v>
      </c>
      <c r="AG434" s="65" t="n">
        <f aca="false">IF(OR($B434="",$E434="",$F434=""),0,MAX(0,MIN($F434,EOMONTH(DATE(cfg_FY,12,1),0))-MAX($E434,DATE(cfg_FY,12,1))+1)*(1-IF($M434="نعم",0,N($J434))))</f>
        <v>0</v>
      </c>
      <c r="AH434" s="65" t="n">
        <f aca="false">IF(OR(OR($B434="",$E434="",$F434=""),$L434&lt;&gt;"لا"),0,MAX(0,MIN($F434,EOMONTH(DATE(cfg_FY,1,1),0))-$E434+1))</f>
        <v>0</v>
      </c>
      <c r="AI434" s="65" t="n">
        <f aca="false">IF(OR(OR($B434="",$E434="",$F434=""),$L434&lt;&gt;"لا"),0,MAX(0,MIN($F434,EOMONTH(DATE(cfg_FY,2,1),0))-$E434+1))</f>
        <v>0</v>
      </c>
      <c r="AJ434" s="65" t="n">
        <f aca="false">IF(OR(OR($B434="",$E434="",$F434=""),$L434&lt;&gt;"لا"),0,MAX(0,MIN($F434,EOMONTH(DATE(cfg_FY,3,1),0))-$E434+1))</f>
        <v>0</v>
      </c>
      <c r="AK434" s="65" t="n">
        <f aca="false">IF(OR(OR($B434="",$E434="",$F434=""),$L434&lt;&gt;"لا"),0,MAX(0,MIN($F434,EOMONTH(DATE(cfg_FY,4,1),0))-$E434+1))</f>
        <v>0</v>
      </c>
      <c r="AL434" s="65" t="n">
        <f aca="false">IF(OR(OR($B434="",$E434="",$F434=""),$L434&lt;&gt;"لا"),0,MAX(0,MIN($F434,EOMONTH(DATE(cfg_FY,5,1),0))-$E434+1))</f>
        <v>0</v>
      </c>
      <c r="AM434" s="65" t="n">
        <f aca="false">IF(OR(OR($B434="",$E434="",$F434=""),$L434&lt;&gt;"لا"),0,MAX(0,MIN($F434,EOMONTH(DATE(cfg_FY,6,1),0))-$E434+1))</f>
        <v>0</v>
      </c>
      <c r="AN434" s="65" t="n">
        <f aca="false">IF(OR(OR($B434="",$E434="",$F434=""),$L434&lt;&gt;"لا"),0,MAX(0,MIN($F434,EOMONTH(DATE(cfg_FY,7,1),0))-$E434+1))</f>
        <v>0</v>
      </c>
      <c r="AO434" s="65" t="n">
        <f aca="false">IF(OR(OR($B434="",$E434="",$F434=""),$L434&lt;&gt;"لا"),0,MAX(0,MIN($F434,EOMONTH(DATE(cfg_FY,8,1),0))-$E434+1))</f>
        <v>0</v>
      </c>
      <c r="AP434" s="65" t="n">
        <f aca="false">IF(OR(OR($B434="",$E434="",$F434=""),$L434&lt;&gt;"لا"),0,MAX(0,MIN($F434,EOMONTH(DATE(cfg_FY,9,1),0))-$E434+1))</f>
        <v>0</v>
      </c>
      <c r="AQ434" s="65" t="n">
        <f aca="false">IF(OR(OR($B434="",$E434="",$F434=""),$L434&lt;&gt;"لا"),0,MAX(0,MIN($F434,EOMONTH(DATE(cfg_FY,10,1),0))-$E434+1))</f>
        <v>0</v>
      </c>
      <c r="AR434" s="65" t="n">
        <f aca="false">IF(OR(OR($B434="",$E434="",$F434=""),$L434&lt;&gt;"لا"),0,MAX(0,MIN($F434,EOMONTH(DATE(cfg_FY,11,1),0))-$E434+1))</f>
        <v>0</v>
      </c>
      <c r="AS434" s="65" t="n">
        <f aca="false">IF(OR(OR($B434="",$E434="",$F434=""),$L434&lt;&gt;"لا"),0,MAX(0,MIN($F434,EOMONTH(DATE(cfg_FY,12,1),0))-$E434+1))</f>
        <v>0</v>
      </c>
      <c r="AT434" s="65" t="n">
        <f aca="false">IF(OR(OR($B434="",$E434="",$F434=""),$K434&lt;&gt;"نعم",$M434="نعم"),0,MAX(0,MIN($F434,EOMONTH(DATE(cfg_FY,1,1),0))-MAX($E434,DATE(cfg_FY,1,1))+1))</f>
        <v>0</v>
      </c>
      <c r="AU434" s="65" t="n">
        <f aca="false">IF(OR(OR($B434="",$E434="",$F434=""),$K434&lt;&gt;"نعم",$M434="نعم"),0,MAX(0,MIN($F434,EOMONTH(DATE(cfg_FY,2,1),0))-MAX($E434,DATE(cfg_FY,2,1))+1))</f>
        <v>0</v>
      </c>
      <c r="AV434" s="65" t="n">
        <f aca="false">IF(OR(OR($B434="",$E434="",$F434=""),$K434&lt;&gt;"نعم",$M434="نعم"),0,MAX(0,MIN($F434,EOMONTH(DATE(cfg_FY,3,1),0))-MAX($E434,DATE(cfg_FY,3,1))+1))</f>
        <v>0</v>
      </c>
      <c r="AW434" s="65" t="n">
        <f aca="false">IF(OR(OR($B434="",$E434="",$F434=""),$K434&lt;&gt;"نعم",$M434="نعم"),0,MAX(0,MIN($F434,EOMONTH(DATE(cfg_FY,4,1),0))-MAX($E434,DATE(cfg_FY,4,1))+1))</f>
        <v>0</v>
      </c>
      <c r="AX434" s="65" t="n">
        <f aca="false">IF(OR(OR($B434="",$E434="",$F434=""),$K434&lt;&gt;"نعم",$M434="نعم"),0,MAX(0,MIN($F434,EOMONTH(DATE(cfg_FY,5,1),0))-MAX($E434,DATE(cfg_FY,5,1))+1))</f>
        <v>0</v>
      </c>
      <c r="AY434" s="65" t="n">
        <f aca="false">IF(OR(OR($B434="",$E434="",$F434=""),$K434&lt;&gt;"نعم",$M434="نعم"),0,MAX(0,MIN($F434,EOMONTH(DATE(cfg_FY,6,1),0))-MAX($E434,DATE(cfg_FY,6,1))+1))</f>
        <v>0</v>
      </c>
      <c r="AZ434" s="65" t="n">
        <f aca="false">IF(OR(OR($B434="",$E434="",$F434=""),$K434&lt;&gt;"نعم",$M434="نعم"),0,MAX(0,MIN($F434,EOMONTH(DATE(cfg_FY,7,1),0))-MAX($E434,DATE(cfg_FY,7,1))+1))</f>
        <v>0</v>
      </c>
      <c r="BA434" s="65" t="n">
        <f aca="false">IF(OR(OR($B434="",$E434="",$F434=""),$K434&lt;&gt;"نعم",$M434="نعم"),0,MAX(0,MIN($F434,EOMONTH(DATE(cfg_FY,8,1),0))-MAX($E434,DATE(cfg_FY,8,1))+1))</f>
        <v>0</v>
      </c>
      <c r="BB434" s="65" t="n">
        <f aca="false">IF(OR(OR($B434="",$E434="",$F434=""),$K434&lt;&gt;"نعم",$M434="نعم"),0,MAX(0,MIN($F434,EOMONTH(DATE(cfg_FY,9,1),0))-MAX($E434,DATE(cfg_FY,9,1))+1))</f>
        <v>0</v>
      </c>
      <c r="BC434" s="65" t="n">
        <f aca="false">IF(OR(OR($B434="",$E434="",$F434=""),$K434&lt;&gt;"نعم",$M434="نعم"),0,MAX(0,MIN($F434,EOMONTH(DATE(cfg_FY,10,1),0))-MAX($E434,DATE(cfg_FY,10,1))+1))</f>
        <v>0</v>
      </c>
      <c r="BD434" s="65" t="n">
        <f aca="false">IF(OR(OR($B434="",$E434="",$F434=""),$K434&lt;&gt;"نعم",$M434="نعم"),0,MAX(0,MIN($F434,EOMONTH(DATE(cfg_FY,11,1),0))-MAX($E434,DATE(cfg_FY,11,1))+1))</f>
        <v>0</v>
      </c>
      <c r="BE434" s="65" t="n">
        <f aca="false">IF(OR(OR($B434="",$E434="",$F434=""),$K434&lt;&gt;"نعم",$M434="نعم"),0,MAX(0,MIN($F434,EOMONTH(DATE(cfg_FY,12,1),0))-MAX($E434,DATE(cfg_FY,12,1))+1))</f>
        <v>0</v>
      </c>
    </row>
    <row r="435" customFormat="false" ht="15" hidden="false" customHeight="false" outlineLevel="0" collapsed="false">
      <c r="A435" s="115" t="str">
        <f aca="false">IF(B435="","",ROW()-5)</f>
        <v/>
      </c>
      <c r="B435" s="118"/>
      <c r="C435" s="117" t="str">
        <f aca="false">IF(B435="","",IFERROR(INDEX(الموظفون!$C$6:$C$105,MATCH(B435,الموظفون!$B$6:$B$105,0)),"✖ رقم غير موجود"))</f>
        <v/>
      </c>
      <c r="D435" s="118"/>
      <c r="E435" s="119"/>
      <c r="F435" s="119"/>
      <c r="G435" s="133" t="str">
        <f aca="false">IF(OR($B435="",$E435="",$F435=""),"",MAX(0,F435-E435+1))</f>
        <v/>
      </c>
      <c r="H435" s="134" t="str">
        <f aca="false">IF(D435="","",IFERROR(VLOOKUP(D435,cfg_LT,2,FALSE()),1))</f>
        <v/>
      </c>
      <c r="I435" s="135"/>
      <c r="J435" s="134" t="str">
        <f aca="false">IF(D435="","",IF(I435&lt;&gt;"",I435,H435))</f>
        <v/>
      </c>
      <c r="K435" s="117" t="str">
        <f aca="false">IF(D435="","",IFERROR(VLOOKUP($D435,cfg_LT,3,FALSE()),""))</f>
        <v/>
      </c>
      <c r="L435" s="117" t="str">
        <f aca="false">IF(D435="","",IFERROR(VLOOKUP($D435,cfg_LT,4,FALSE()),""))</f>
        <v/>
      </c>
      <c r="M435" s="117" t="str">
        <f aca="false">IF(D435="","",IFERROR(VLOOKUP($D435,cfg_LT,5,FALSE()),""))</f>
        <v/>
      </c>
      <c r="N435" s="116" t="n">
        <f aca="false">IF(OR(OR($B435="",$E435="",$F435=""),M435&lt;&gt;"نعم"),0,G435*J435*IFERROR(INDEX(الموظفون!$R$6:$R$105,MATCH(B435,الموظفون!$B$6:$B$105,0)),0)/cfg_DAYS_M)</f>
        <v>0</v>
      </c>
      <c r="O435" s="115" t="str">
        <f aca="false">IF(OR(OR($B435="",$E435="",$F435=""),M435&lt;&gt;"نعم"),"",IF(YEAR(E435)=cfg_FY,MONTH(E435),""))</f>
        <v/>
      </c>
      <c r="P435" s="117" t="str">
        <f aca="false">IF(B435="","",IF(OR(D435="",E435="",F435=""),"⚠ أكمل النوع والتواريخ",IF(F435&lt;E435,"✖ النهاية قبل البداية",IF(COUNTIFS($B$6:$B$505,B435,$E$6:$E$505,"&lt;="&amp;F435,$F$6:$F$505,"&gt;="&amp;E435)&gt;1,"⚠ تداخل مع سجل آخر",IF(E435&gt;cfg_VAL_DATE,"⏳ قادمة",IF(F435&lt;cfg_VAL_DATE,"✔ منتهية","✈ جارية في تاريخ التقرير"))))))</f>
        <v/>
      </c>
      <c r="Q435" s="118"/>
      <c r="R435" s="133" t="n">
        <f aca="false">IF(OR(OR($B435="",$E435="",$F435=""),L435&lt;&gt;"لا"),0,MAX(0,MIN(F435,cfg_Y_START-1)-E435+1))</f>
        <v>0</v>
      </c>
      <c r="S435" s="133" t="n">
        <f aca="false">IF(OR(OR($B435="",$E435="",$F435=""),L435&lt;&gt;"لا"),0,MAX(0,MIN(F435,cfg_VAL_DATE)-E435+1))</f>
        <v>0</v>
      </c>
      <c r="T435" s="133" t="n">
        <f aca="false">IF(OR(OR($B435="",$E435="",$F435=""),K435&lt;&gt;"نعم"),0,IF(M435="نعم",IF(AND(ISNUMBER(O435),N(O435)&lt;=cfg_VAL_M),G435,0),MAX(0,MIN(F435,cfg_VAL_DATE)-MAX(E435,cfg_Y_START)+1)))</f>
        <v>0</v>
      </c>
      <c r="V435" s="133" t="n">
        <f aca="false">IF(OR($B435="",$E435="",$F435=""),0,MAX(0,MIN($F435,EOMONTH(DATE(cfg_FY,1,1),0))-MAX($E435,DATE(cfg_FY,1,1))+1)*(1-IF($M435="نعم",0,N($J435))))</f>
        <v>0</v>
      </c>
      <c r="W435" s="133" t="n">
        <f aca="false">IF(OR($B435="",$E435="",$F435=""),0,MAX(0,MIN($F435,EOMONTH(DATE(cfg_FY,2,1),0))-MAX($E435,DATE(cfg_FY,2,1))+1)*(1-IF($M435="نعم",0,N($J435))))</f>
        <v>0</v>
      </c>
      <c r="X435" s="133" t="n">
        <f aca="false">IF(OR($B435="",$E435="",$F435=""),0,MAX(0,MIN($F435,EOMONTH(DATE(cfg_FY,3,1),0))-MAX($E435,DATE(cfg_FY,3,1))+1)*(1-IF($M435="نعم",0,N($J435))))</f>
        <v>0</v>
      </c>
      <c r="Y435" s="133" t="n">
        <f aca="false">IF(OR($B435="",$E435="",$F435=""),0,MAX(0,MIN($F435,EOMONTH(DATE(cfg_FY,4,1),0))-MAX($E435,DATE(cfg_FY,4,1))+1)*(1-IF($M435="نعم",0,N($J435))))</f>
        <v>0</v>
      </c>
      <c r="Z435" s="133" t="n">
        <f aca="false">IF(OR($B435="",$E435="",$F435=""),0,MAX(0,MIN($F435,EOMONTH(DATE(cfg_FY,5,1),0))-MAX($E435,DATE(cfg_FY,5,1))+1)*(1-IF($M435="نعم",0,N($J435))))</f>
        <v>0</v>
      </c>
      <c r="AA435" s="133" t="n">
        <f aca="false">IF(OR($B435="",$E435="",$F435=""),0,MAX(0,MIN($F435,EOMONTH(DATE(cfg_FY,6,1),0))-MAX($E435,DATE(cfg_FY,6,1))+1)*(1-IF($M435="نعم",0,N($J435))))</f>
        <v>0</v>
      </c>
      <c r="AB435" s="133" t="n">
        <f aca="false">IF(OR($B435="",$E435="",$F435=""),0,MAX(0,MIN($F435,EOMONTH(DATE(cfg_FY,7,1),0))-MAX($E435,DATE(cfg_FY,7,1))+1)*(1-IF($M435="نعم",0,N($J435))))</f>
        <v>0</v>
      </c>
      <c r="AC435" s="133" t="n">
        <f aca="false">IF(OR($B435="",$E435="",$F435=""),0,MAX(0,MIN($F435,EOMONTH(DATE(cfg_FY,8,1),0))-MAX($E435,DATE(cfg_FY,8,1))+1)*(1-IF($M435="نعم",0,N($J435))))</f>
        <v>0</v>
      </c>
      <c r="AD435" s="133" t="n">
        <f aca="false">IF(OR($B435="",$E435="",$F435=""),0,MAX(0,MIN($F435,EOMONTH(DATE(cfg_FY,9,1),0))-MAX($E435,DATE(cfg_FY,9,1))+1)*(1-IF($M435="نعم",0,N($J435))))</f>
        <v>0</v>
      </c>
      <c r="AE435" s="133" t="n">
        <f aca="false">IF(OR($B435="",$E435="",$F435=""),0,MAX(0,MIN($F435,EOMONTH(DATE(cfg_FY,10,1),0))-MAX($E435,DATE(cfg_FY,10,1))+1)*(1-IF($M435="نعم",0,N($J435))))</f>
        <v>0</v>
      </c>
      <c r="AF435" s="133" t="n">
        <f aca="false">IF(OR($B435="",$E435="",$F435=""),0,MAX(0,MIN($F435,EOMONTH(DATE(cfg_FY,11,1),0))-MAX($E435,DATE(cfg_FY,11,1))+1)*(1-IF($M435="نعم",0,N($J435))))</f>
        <v>0</v>
      </c>
      <c r="AG435" s="133" t="n">
        <f aca="false">IF(OR($B435="",$E435="",$F435=""),0,MAX(0,MIN($F435,EOMONTH(DATE(cfg_FY,12,1),0))-MAX($E435,DATE(cfg_FY,12,1))+1)*(1-IF($M435="نعم",0,N($J435))))</f>
        <v>0</v>
      </c>
      <c r="AH435" s="133" t="n">
        <f aca="false">IF(OR(OR($B435="",$E435="",$F435=""),$L435&lt;&gt;"لا"),0,MAX(0,MIN($F435,EOMONTH(DATE(cfg_FY,1,1),0))-$E435+1))</f>
        <v>0</v>
      </c>
      <c r="AI435" s="133" t="n">
        <f aca="false">IF(OR(OR($B435="",$E435="",$F435=""),$L435&lt;&gt;"لا"),0,MAX(0,MIN($F435,EOMONTH(DATE(cfg_FY,2,1),0))-$E435+1))</f>
        <v>0</v>
      </c>
      <c r="AJ435" s="133" t="n">
        <f aca="false">IF(OR(OR($B435="",$E435="",$F435=""),$L435&lt;&gt;"لا"),0,MAX(0,MIN($F435,EOMONTH(DATE(cfg_FY,3,1),0))-$E435+1))</f>
        <v>0</v>
      </c>
      <c r="AK435" s="133" t="n">
        <f aca="false">IF(OR(OR($B435="",$E435="",$F435=""),$L435&lt;&gt;"لا"),0,MAX(0,MIN($F435,EOMONTH(DATE(cfg_FY,4,1),0))-$E435+1))</f>
        <v>0</v>
      </c>
      <c r="AL435" s="133" t="n">
        <f aca="false">IF(OR(OR($B435="",$E435="",$F435=""),$L435&lt;&gt;"لا"),0,MAX(0,MIN($F435,EOMONTH(DATE(cfg_FY,5,1),0))-$E435+1))</f>
        <v>0</v>
      </c>
      <c r="AM435" s="133" t="n">
        <f aca="false">IF(OR(OR($B435="",$E435="",$F435=""),$L435&lt;&gt;"لا"),0,MAX(0,MIN($F435,EOMONTH(DATE(cfg_FY,6,1),0))-$E435+1))</f>
        <v>0</v>
      </c>
      <c r="AN435" s="133" t="n">
        <f aca="false">IF(OR(OR($B435="",$E435="",$F435=""),$L435&lt;&gt;"لا"),0,MAX(0,MIN($F435,EOMONTH(DATE(cfg_FY,7,1),0))-$E435+1))</f>
        <v>0</v>
      </c>
      <c r="AO435" s="133" t="n">
        <f aca="false">IF(OR(OR($B435="",$E435="",$F435=""),$L435&lt;&gt;"لا"),0,MAX(0,MIN($F435,EOMONTH(DATE(cfg_FY,8,1),0))-$E435+1))</f>
        <v>0</v>
      </c>
      <c r="AP435" s="133" t="n">
        <f aca="false">IF(OR(OR($B435="",$E435="",$F435=""),$L435&lt;&gt;"لا"),0,MAX(0,MIN($F435,EOMONTH(DATE(cfg_FY,9,1),0))-$E435+1))</f>
        <v>0</v>
      </c>
      <c r="AQ435" s="133" t="n">
        <f aca="false">IF(OR(OR($B435="",$E435="",$F435=""),$L435&lt;&gt;"لا"),0,MAX(0,MIN($F435,EOMONTH(DATE(cfg_FY,10,1),0))-$E435+1))</f>
        <v>0</v>
      </c>
      <c r="AR435" s="133" t="n">
        <f aca="false">IF(OR(OR($B435="",$E435="",$F435=""),$L435&lt;&gt;"لا"),0,MAX(0,MIN($F435,EOMONTH(DATE(cfg_FY,11,1),0))-$E435+1))</f>
        <v>0</v>
      </c>
      <c r="AS435" s="133" t="n">
        <f aca="false">IF(OR(OR($B435="",$E435="",$F435=""),$L435&lt;&gt;"لا"),0,MAX(0,MIN($F435,EOMONTH(DATE(cfg_FY,12,1),0))-$E435+1))</f>
        <v>0</v>
      </c>
      <c r="AT435" s="133" t="n">
        <f aca="false">IF(OR(OR($B435="",$E435="",$F435=""),$K435&lt;&gt;"نعم",$M435="نعم"),0,MAX(0,MIN($F435,EOMONTH(DATE(cfg_FY,1,1),0))-MAX($E435,DATE(cfg_FY,1,1))+1))</f>
        <v>0</v>
      </c>
      <c r="AU435" s="133" t="n">
        <f aca="false">IF(OR(OR($B435="",$E435="",$F435=""),$K435&lt;&gt;"نعم",$M435="نعم"),0,MAX(0,MIN($F435,EOMONTH(DATE(cfg_FY,2,1),0))-MAX($E435,DATE(cfg_FY,2,1))+1))</f>
        <v>0</v>
      </c>
      <c r="AV435" s="133" t="n">
        <f aca="false">IF(OR(OR($B435="",$E435="",$F435=""),$K435&lt;&gt;"نعم",$M435="نعم"),0,MAX(0,MIN($F435,EOMONTH(DATE(cfg_FY,3,1),0))-MAX($E435,DATE(cfg_FY,3,1))+1))</f>
        <v>0</v>
      </c>
      <c r="AW435" s="133" t="n">
        <f aca="false">IF(OR(OR($B435="",$E435="",$F435=""),$K435&lt;&gt;"نعم",$M435="نعم"),0,MAX(0,MIN($F435,EOMONTH(DATE(cfg_FY,4,1),0))-MAX($E435,DATE(cfg_FY,4,1))+1))</f>
        <v>0</v>
      </c>
      <c r="AX435" s="133" t="n">
        <f aca="false">IF(OR(OR($B435="",$E435="",$F435=""),$K435&lt;&gt;"نعم",$M435="نعم"),0,MAX(0,MIN($F435,EOMONTH(DATE(cfg_FY,5,1),0))-MAX($E435,DATE(cfg_FY,5,1))+1))</f>
        <v>0</v>
      </c>
      <c r="AY435" s="133" t="n">
        <f aca="false">IF(OR(OR($B435="",$E435="",$F435=""),$K435&lt;&gt;"نعم",$M435="نعم"),0,MAX(0,MIN($F435,EOMONTH(DATE(cfg_FY,6,1),0))-MAX($E435,DATE(cfg_FY,6,1))+1))</f>
        <v>0</v>
      </c>
      <c r="AZ435" s="133" t="n">
        <f aca="false">IF(OR(OR($B435="",$E435="",$F435=""),$K435&lt;&gt;"نعم",$M435="نعم"),0,MAX(0,MIN($F435,EOMONTH(DATE(cfg_FY,7,1),0))-MAX($E435,DATE(cfg_FY,7,1))+1))</f>
        <v>0</v>
      </c>
      <c r="BA435" s="133" t="n">
        <f aca="false">IF(OR(OR($B435="",$E435="",$F435=""),$K435&lt;&gt;"نعم",$M435="نعم"),0,MAX(0,MIN($F435,EOMONTH(DATE(cfg_FY,8,1),0))-MAX($E435,DATE(cfg_FY,8,1))+1))</f>
        <v>0</v>
      </c>
      <c r="BB435" s="133" t="n">
        <f aca="false">IF(OR(OR($B435="",$E435="",$F435=""),$K435&lt;&gt;"نعم",$M435="نعم"),0,MAX(0,MIN($F435,EOMONTH(DATE(cfg_FY,9,1),0))-MAX($E435,DATE(cfg_FY,9,1))+1))</f>
        <v>0</v>
      </c>
      <c r="BC435" s="133" t="n">
        <f aca="false">IF(OR(OR($B435="",$E435="",$F435=""),$K435&lt;&gt;"نعم",$M435="نعم"),0,MAX(0,MIN($F435,EOMONTH(DATE(cfg_FY,10,1),0))-MAX($E435,DATE(cfg_FY,10,1))+1))</f>
        <v>0</v>
      </c>
      <c r="BD435" s="133" t="n">
        <f aca="false">IF(OR(OR($B435="",$E435="",$F435=""),$K435&lt;&gt;"نعم",$M435="نعم"),0,MAX(0,MIN($F435,EOMONTH(DATE(cfg_FY,11,1),0))-MAX($E435,DATE(cfg_FY,11,1))+1))</f>
        <v>0</v>
      </c>
      <c r="BE435" s="133" t="n">
        <f aca="false">IF(OR(OR($B435="",$E435="",$F435=""),$K435&lt;&gt;"نعم",$M435="نعم"),0,MAX(0,MIN($F435,EOMONTH(DATE(cfg_FY,12,1),0))-MAX($E435,DATE(cfg_FY,12,1))+1))</f>
        <v>0</v>
      </c>
    </row>
    <row r="436" customFormat="false" ht="15" hidden="false" customHeight="false" outlineLevel="0" collapsed="false">
      <c r="A436" s="106" t="str">
        <f aca="false">IF(B436="","",ROW()-5)</f>
        <v/>
      </c>
      <c r="B436" s="118"/>
      <c r="C436" s="114" t="str">
        <f aca="false">IF(B436="","",IFERROR(INDEX(الموظفون!$C$6:$C$105,MATCH(B436,الموظفون!$B$6:$B$105,0)),"✖ رقم غير موجود"))</f>
        <v/>
      </c>
      <c r="D436" s="118"/>
      <c r="E436" s="119"/>
      <c r="F436" s="119"/>
      <c r="G436" s="65" t="str">
        <f aca="false">IF(OR($B436="",$E436="",$F436=""),"",MAX(0,F436-E436+1))</f>
        <v/>
      </c>
      <c r="H436" s="66" t="str">
        <f aca="false">IF(D436="","",IFERROR(VLOOKUP(D436,cfg_LT,2,FALSE()),1))</f>
        <v/>
      </c>
      <c r="I436" s="135"/>
      <c r="J436" s="66" t="str">
        <f aca="false">IF(D436="","",IF(I436&lt;&gt;"",I436,H436))</f>
        <v/>
      </c>
      <c r="K436" s="114" t="str">
        <f aca="false">IF(D436="","",IFERROR(VLOOKUP($D436,cfg_LT,3,FALSE()),""))</f>
        <v/>
      </c>
      <c r="L436" s="114" t="str">
        <f aca="false">IF(D436="","",IFERROR(VLOOKUP($D436,cfg_LT,4,FALSE()),""))</f>
        <v/>
      </c>
      <c r="M436" s="114" t="str">
        <f aca="false">IF(D436="","",IFERROR(VLOOKUP($D436,cfg_LT,5,FALSE()),""))</f>
        <v/>
      </c>
      <c r="N436" s="111" t="n">
        <f aca="false">IF(OR(OR($B436="",$E436="",$F436=""),M436&lt;&gt;"نعم"),0,G436*J436*IFERROR(INDEX(الموظفون!$R$6:$R$105,MATCH(B436,الموظفون!$B$6:$B$105,0)),0)/cfg_DAYS_M)</f>
        <v>0</v>
      </c>
      <c r="O436" s="106" t="str">
        <f aca="false">IF(OR(OR($B436="",$E436="",$F436=""),M436&lt;&gt;"نعم"),"",IF(YEAR(E436)=cfg_FY,MONTH(E436),""))</f>
        <v/>
      </c>
      <c r="P436" s="114" t="str">
        <f aca="false">IF(B436="","",IF(OR(D436="",E436="",F436=""),"⚠ أكمل النوع والتواريخ",IF(F436&lt;E436,"✖ النهاية قبل البداية",IF(COUNTIFS($B$6:$B$505,B436,$E$6:$E$505,"&lt;="&amp;F436,$F$6:$F$505,"&gt;="&amp;E436)&gt;1,"⚠ تداخل مع سجل آخر",IF(E436&gt;cfg_VAL_DATE,"⏳ قادمة",IF(F436&lt;cfg_VAL_DATE,"✔ منتهية","✈ جارية في تاريخ التقرير"))))))</f>
        <v/>
      </c>
      <c r="Q436" s="118"/>
      <c r="R436" s="65" t="n">
        <f aca="false">IF(OR(OR($B436="",$E436="",$F436=""),L436&lt;&gt;"لا"),0,MAX(0,MIN(F436,cfg_Y_START-1)-E436+1))</f>
        <v>0</v>
      </c>
      <c r="S436" s="65" t="n">
        <f aca="false">IF(OR(OR($B436="",$E436="",$F436=""),L436&lt;&gt;"لا"),0,MAX(0,MIN(F436,cfg_VAL_DATE)-E436+1))</f>
        <v>0</v>
      </c>
      <c r="T436" s="65" t="n">
        <f aca="false">IF(OR(OR($B436="",$E436="",$F436=""),K436&lt;&gt;"نعم"),0,IF(M436="نعم",IF(AND(ISNUMBER(O436),N(O436)&lt;=cfg_VAL_M),G436,0),MAX(0,MIN(F436,cfg_VAL_DATE)-MAX(E436,cfg_Y_START)+1)))</f>
        <v>0</v>
      </c>
      <c r="V436" s="65" t="n">
        <f aca="false">IF(OR($B436="",$E436="",$F436=""),0,MAX(0,MIN($F436,EOMONTH(DATE(cfg_FY,1,1),0))-MAX($E436,DATE(cfg_FY,1,1))+1)*(1-IF($M436="نعم",0,N($J436))))</f>
        <v>0</v>
      </c>
      <c r="W436" s="65" t="n">
        <f aca="false">IF(OR($B436="",$E436="",$F436=""),0,MAX(0,MIN($F436,EOMONTH(DATE(cfg_FY,2,1),0))-MAX($E436,DATE(cfg_FY,2,1))+1)*(1-IF($M436="نعم",0,N($J436))))</f>
        <v>0</v>
      </c>
      <c r="X436" s="65" t="n">
        <f aca="false">IF(OR($B436="",$E436="",$F436=""),0,MAX(0,MIN($F436,EOMONTH(DATE(cfg_FY,3,1),0))-MAX($E436,DATE(cfg_FY,3,1))+1)*(1-IF($M436="نعم",0,N($J436))))</f>
        <v>0</v>
      </c>
      <c r="Y436" s="65" t="n">
        <f aca="false">IF(OR($B436="",$E436="",$F436=""),0,MAX(0,MIN($F436,EOMONTH(DATE(cfg_FY,4,1),0))-MAX($E436,DATE(cfg_FY,4,1))+1)*(1-IF($M436="نعم",0,N($J436))))</f>
        <v>0</v>
      </c>
      <c r="Z436" s="65" t="n">
        <f aca="false">IF(OR($B436="",$E436="",$F436=""),0,MAX(0,MIN($F436,EOMONTH(DATE(cfg_FY,5,1),0))-MAX($E436,DATE(cfg_FY,5,1))+1)*(1-IF($M436="نعم",0,N($J436))))</f>
        <v>0</v>
      </c>
      <c r="AA436" s="65" t="n">
        <f aca="false">IF(OR($B436="",$E436="",$F436=""),0,MAX(0,MIN($F436,EOMONTH(DATE(cfg_FY,6,1),0))-MAX($E436,DATE(cfg_FY,6,1))+1)*(1-IF($M436="نعم",0,N($J436))))</f>
        <v>0</v>
      </c>
      <c r="AB436" s="65" t="n">
        <f aca="false">IF(OR($B436="",$E436="",$F436=""),0,MAX(0,MIN($F436,EOMONTH(DATE(cfg_FY,7,1),0))-MAX($E436,DATE(cfg_FY,7,1))+1)*(1-IF($M436="نعم",0,N($J436))))</f>
        <v>0</v>
      </c>
      <c r="AC436" s="65" t="n">
        <f aca="false">IF(OR($B436="",$E436="",$F436=""),0,MAX(0,MIN($F436,EOMONTH(DATE(cfg_FY,8,1),0))-MAX($E436,DATE(cfg_FY,8,1))+1)*(1-IF($M436="نعم",0,N($J436))))</f>
        <v>0</v>
      </c>
      <c r="AD436" s="65" t="n">
        <f aca="false">IF(OR($B436="",$E436="",$F436=""),0,MAX(0,MIN($F436,EOMONTH(DATE(cfg_FY,9,1),0))-MAX($E436,DATE(cfg_FY,9,1))+1)*(1-IF($M436="نعم",0,N($J436))))</f>
        <v>0</v>
      </c>
      <c r="AE436" s="65" t="n">
        <f aca="false">IF(OR($B436="",$E436="",$F436=""),0,MAX(0,MIN($F436,EOMONTH(DATE(cfg_FY,10,1),0))-MAX($E436,DATE(cfg_FY,10,1))+1)*(1-IF($M436="نعم",0,N($J436))))</f>
        <v>0</v>
      </c>
      <c r="AF436" s="65" t="n">
        <f aca="false">IF(OR($B436="",$E436="",$F436=""),0,MAX(0,MIN($F436,EOMONTH(DATE(cfg_FY,11,1),0))-MAX($E436,DATE(cfg_FY,11,1))+1)*(1-IF($M436="نعم",0,N($J436))))</f>
        <v>0</v>
      </c>
      <c r="AG436" s="65" t="n">
        <f aca="false">IF(OR($B436="",$E436="",$F436=""),0,MAX(0,MIN($F436,EOMONTH(DATE(cfg_FY,12,1),0))-MAX($E436,DATE(cfg_FY,12,1))+1)*(1-IF($M436="نعم",0,N($J436))))</f>
        <v>0</v>
      </c>
      <c r="AH436" s="65" t="n">
        <f aca="false">IF(OR(OR($B436="",$E436="",$F436=""),$L436&lt;&gt;"لا"),0,MAX(0,MIN($F436,EOMONTH(DATE(cfg_FY,1,1),0))-$E436+1))</f>
        <v>0</v>
      </c>
      <c r="AI436" s="65" t="n">
        <f aca="false">IF(OR(OR($B436="",$E436="",$F436=""),$L436&lt;&gt;"لا"),0,MAX(0,MIN($F436,EOMONTH(DATE(cfg_FY,2,1),0))-$E436+1))</f>
        <v>0</v>
      </c>
      <c r="AJ436" s="65" t="n">
        <f aca="false">IF(OR(OR($B436="",$E436="",$F436=""),$L436&lt;&gt;"لا"),0,MAX(0,MIN($F436,EOMONTH(DATE(cfg_FY,3,1),0))-$E436+1))</f>
        <v>0</v>
      </c>
      <c r="AK436" s="65" t="n">
        <f aca="false">IF(OR(OR($B436="",$E436="",$F436=""),$L436&lt;&gt;"لا"),0,MAX(0,MIN($F436,EOMONTH(DATE(cfg_FY,4,1),0))-$E436+1))</f>
        <v>0</v>
      </c>
      <c r="AL436" s="65" t="n">
        <f aca="false">IF(OR(OR($B436="",$E436="",$F436=""),$L436&lt;&gt;"لا"),0,MAX(0,MIN($F436,EOMONTH(DATE(cfg_FY,5,1),0))-$E436+1))</f>
        <v>0</v>
      </c>
      <c r="AM436" s="65" t="n">
        <f aca="false">IF(OR(OR($B436="",$E436="",$F436=""),$L436&lt;&gt;"لا"),0,MAX(0,MIN($F436,EOMONTH(DATE(cfg_FY,6,1),0))-$E436+1))</f>
        <v>0</v>
      </c>
      <c r="AN436" s="65" t="n">
        <f aca="false">IF(OR(OR($B436="",$E436="",$F436=""),$L436&lt;&gt;"لا"),0,MAX(0,MIN($F436,EOMONTH(DATE(cfg_FY,7,1),0))-$E436+1))</f>
        <v>0</v>
      </c>
      <c r="AO436" s="65" t="n">
        <f aca="false">IF(OR(OR($B436="",$E436="",$F436=""),$L436&lt;&gt;"لا"),0,MAX(0,MIN($F436,EOMONTH(DATE(cfg_FY,8,1),0))-$E436+1))</f>
        <v>0</v>
      </c>
      <c r="AP436" s="65" t="n">
        <f aca="false">IF(OR(OR($B436="",$E436="",$F436=""),$L436&lt;&gt;"لا"),0,MAX(0,MIN($F436,EOMONTH(DATE(cfg_FY,9,1),0))-$E436+1))</f>
        <v>0</v>
      </c>
      <c r="AQ436" s="65" t="n">
        <f aca="false">IF(OR(OR($B436="",$E436="",$F436=""),$L436&lt;&gt;"لا"),0,MAX(0,MIN($F436,EOMONTH(DATE(cfg_FY,10,1),0))-$E436+1))</f>
        <v>0</v>
      </c>
      <c r="AR436" s="65" t="n">
        <f aca="false">IF(OR(OR($B436="",$E436="",$F436=""),$L436&lt;&gt;"لا"),0,MAX(0,MIN($F436,EOMONTH(DATE(cfg_FY,11,1),0))-$E436+1))</f>
        <v>0</v>
      </c>
      <c r="AS436" s="65" t="n">
        <f aca="false">IF(OR(OR($B436="",$E436="",$F436=""),$L436&lt;&gt;"لا"),0,MAX(0,MIN($F436,EOMONTH(DATE(cfg_FY,12,1),0))-$E436+1))</f>
        <v>0</v>
      </c>
      <c r="AT436" s="65" t="n">
        <f aca="false">IF(OR(OR($B436="",$E436="",$F436=""),$K436&lt;&gt;"نعم",$M436="نعم"),0,MAX(0,MIN($F436,EOMONTH(DATE(cfg_FY,1,1),0))-MAX($E436,DATE(cfg_FY,1,1))+1))</f>
        <v>0</v>
      </c>
      <c r="AU436" s="65" t="n">
        <f aca="false">IF(OR(OR($B436="",$E436="",$F436=""),$K436&lt;&gt;"نعم",$M436="نعم"),0,MAX(0,MIN($F436,EOMONTH(DATE(cfg_FY,2,1),0))-MAX($E436,DATE(cfg_FY,2,1))+1))</f>
        <v>0</v>
      </c>
      <c r="AV436" s="65" t="n">
        <f aca="false">IF(OR(OR($B436="",$E436="",$F436=""),$K436&lt;&gt;"نعم",$M436="نعم"),0,MAX(0,MIN($F436,EOMONTH(DATE(cfg_FY,3,1),0))-MAX($E436,DATE(cfg_FY,3,1))+1))</f>
        <v>0</v>
      </c>
      <c r="AW436" s="65" t="n">
        <f aca="false">IF(OR(OR($B436="",$E436="",$F436=""),$K436&lt;&gt;"نعم",$M436="نعم"),0,MAX(0,MIN($F436,EOMONTH(DATE(cfg_FY,4,1),0))-MAX($E436,DATE(cfg_FY,4,1))+1))</f>
        <v>0</v>
      </c>
      <c r="AX436" s="65" t="n">
        <f aca="false">IF(OR(OR($B436="",$E436="",$F436=""),$K436&lt;&gt;"نعم",$M436="نعم"),0,MAX(0,MIN($F436,EOMONTH(DATE(cfg_FY,5,1),0))-MAX($E436,DATE(cfg_FY,5,1))+1))</f>
        <v>0</v>
      </c>
      <c r="AY436" s="65" t="n">
        <f aca="false">IF(OR(OR($B436="",$E436="",$F436=""),$K436&lt;&gt;"نعم",$M436="نعم"),0,MAX(0,MIN($F436,EOMONTH(DATE(cfg_FY,6,1),0))-MAX($E436,DATE(cfg_FY,6,1))+1))</f>
        <v>0</v>
      </c>
      <c r="AZ436" s="65" t="n">
        <f aca="false">IF(OR(OR($B436="",$E436="",$F436=""),$K436&lt;&gt;"نعم",$M436="نعم"),0,MAX(0,MIN($F436,EOMONTH(DATE(cfg_FY,7,1),0))-MAX($E436,DATE(cfg_FY,7,1))+1))</f>
        <v>0</v>
      </c>
      <c r="BA436" s="65" t="n">
        <f aca="false">IF(OR(OR($B436="",$E436="",$F436=""),$K436&lt;&gt;"نعم",$M436="نعم"),0,MAX(0,MIN($F436,EOMONTH(DATE(cfg_FY,8,1),0))-MAX($E436,DATE(cfg_FY,8,1))+1))</f>
        <v>0</v>
      </c>
      <c r="BB436" s="65" t="n">
        <f aca="false">IF(OR(OR($B436="",$E436="",$F436=""),$K436&lt;&gt;"نعم",$M436="نعم"),0,MAX(0,MIN($F436,EOMONTH(DATE(cfg_FY,9,1),0))-MAX($E436,DATE(cfg_FY,9,1))+1))</f>
        <v>0</v>
      </c>
      <c r="BC436" s="65" t="n">
        <f aca="false">IF(OR(OR($B436="",$E436="",$F436=""),$K436&lt;&gt;"نعم",$M436="نعم"),0,MAX(0,MIN($F436,EOMONTH(DATE(cfg_FY,10,1),0))-MAX($E436,DATE(cfg_FY,10,1))+1))</f>
        <v>0</v>
      </c>
      <c r="BD436" s="65" t="n">
        <f aca="false">IF(OR(OR($B436="",$E436="",$F436=""),$K436&lt;&gt;"نعم",$M436="نعم"),0,MAX(0,MIN($F436,EOMONTH(DATE(cfg_FY,11,1),0))-MAX($E436,DATE(cfg_FY,11,1))+1))</f>
        <v>0</v>
      </c>
      <c r="BE436" s="65" t="n">
        <f aca="false">IF(OR(OR($B436="",$E436="",$F436=""),$K436&lt;&gt;"نعم",$M436="نعم"),0,MAX(0,MIN($F436,EOMONTH(DATE(cfg_FY,12,1),0))-MAX($E436,DATE(cfg_FY,12,1))+1))</f>
        <v>0</v>
      </c>
    </row>
    <row r="437" customFormat="false" ht="15" hidden="false" customHeight="false" outlineLevel="0" collapsed="false">
      <c r="A437" s="115" t="str">
        <f aca="false">IF(B437="","",ROW()-5)</f>
        <v/>
      </c>
      <c r="B437" s="118"/>
      <c r="C437" s="117" t="str">
        <f aca="false">IF(B437="","",IFERROR(INDEX(الموظفون!$C$6:$C$105,MATCH(B437,الموظفون!$B$6:$B$105,0)),"✖ رقم غير موجود"))</f>
        <v/>
      </c>
      <c r="D437" s="118"/>
      <c r="E437" s="119"/>
      <c r="F437" s="119"/>
      <c r="G437" s="133" t="str">
        <f aca="false">IF(OR($B437="",$E437="",$F437=""),"",MAX(0,F437-E437+1))</f>
        <v/>
      </c>
      <c r="H437" s="134" t="str">
        <f aca="false">IF(D437="","",IFERROR(VLOOKUP(D437,cfg_LT,2,FALSE()),1))</f>
        <v/>
      </c>
      <c r="I437" s="135"/>
      <c r="J437" s="134" t="str">
        <f aca="false">IF(D437="","",IF(I437&lt;&gt;"",I437,H437))</f>
        <v/>
      </c>
      <c r="K437" s="117" t="str">
        <f aca="false">IF(D437="","",IFERROR(VLOOKUP($D437,cfg_LT,3,FALSE()),""))</f>
        <v/>
      </c>
      <c r="L437" s="117" t="str">
        <f aca="false">IF(D437="","",IFERROR(VLOOKUP($D437,cfg_LT,4,FALSE()),""))</f>
        <v/>
      </c>
      <c r="M437" s="117" t="str">
        <f aca="false">IF(D437="","",IFERROR(VLOOKUP($D437,cfg_LT,5,FALSE()),""))</f>
        <v/>
      </c>
      <c r="N437" s="116" t="n">
        <f aca="false">IF(OR(OR($B437="",$E437="",$F437=""),M437&lt;&gt;"نعم"),0,G437*J437*IFERROR(INDEX(الموظفون!$R$6:$R$105,MATCH(B437,الموظفون!$B$6:$B$105,0)),0)/cfg_DAYS_M)</f>
        <v>0</v>
      </c>
      <c r="O437" s="115" t="str">
        <f aca="false">IF(OR(OR($B437="",$E437="",$F437=""),M437&lt;&gt;"نعم"),"",IF(YEAR(E437)=cfg_FY,MONTH(E437),""))</f>
        <v/>
      </c>
      <c r="P437" s="117" t="str">
        <f aca="false">IF(B437="","",IF(OR(D437="",E437="",F437=""),"⚠ أكمل النوع والتواريخ",IF(F437&lt;E437,"✖ النهاية قبل البداية",IF(COUNTIFS($B$6:$B$505,B437,$E$6:$E$505,"&lt;="&amp;F437,$F$6:$F$505,"&gt;="&amp;E437)&gt;1,"⚠ تداخل مع سجل آخر",IF(E437&gt;cfg_VAL_DATE,"⏳ قادمة",IF(F437&lt;cfg_VAL_DATE,"✔ منتهية","✈ جارية في تاريخ التقرير"))))))</f>
        <v/>
      </c>
      <c r="Q437" s="118"/>
      <c r="R437" s="133" t="n">
        <f aca="false">IF(OR(OR($B437="",$E437="",$F437=""),L437&lt;&gt;"لا"),0,MAX(0,MIN(F437,cfg_Y_START-1)-E437+1))</f>
        <v>0</v>
      </c>
      <c r="S437" s="133" t="n">
        <f aca="false">IF(OR(OR($B437="",$E437="",$F437=""),L437&lt;&gt;"لا"),0,MAX(0,MIN(F437,cfg_VAL_DATE)-E437+1))</f>
        <v>0</v>
      </c>
      <c r="T437" s="133" t="n">
        <f aca="false">IF(OR(OR($B437="",$E437="",$F437=""),K437&lt;&gt;"نعم"),0,IF(M437="نعم",IF(AND(ISNUMBER(O437),N(O437)&lt;=cfg_VAL_M),G437,0),MAX(0,MIN(F437,cfg_VAL_DATE)-MAX(E437,cfg_Y_START)+1)))</f>
        <v>0</v>
      </c>
      <c r="V437" s="133" t="n">
        <f aca="false">IF(OR($B437="",$E437="",$F437=""),0,MAX(0,MIN($F437,EOMONTH(DATE(cfg_FY,1,1),0))-MAX($E437,DATE(cfg_FY,1,1))+1)*(1-IF($M437="نعم",0,N($J437))))</f>
        <v>0</v>
      </c>
      <c r="W437" s="133" t="n">
        <f aca="false">IF(OR($B437="",$E437="",$F437=""),0,MAX(0,MIN($F437,EOMONTH(DATE(cfg_FY,2,1),0))-MAX($E437,DATE(cfg_FY,2,1))+1)*(1-IF($M437="نعم",0,N($J437))))</f>
        <v>0</v>
      </c>
      <c r="X437" s="133" t="n">
        <f aca="false">IF(OR($B437="",$E437="",$F437=""),0,MAX(0,MIN($F437,EOMONTH(DATE(cfg_FY,3,1),0))-MAX($E437,DATE(cfg_FY,3,1))+1)*(1-IF($M437="نعم",0,N($J437))))</f>
        <v>0</v>
      </c>
      <c r="Y437" s="133" t="n">
        <f aca="false">IF(OR($B437="",$E437="",$F437=""),0,MAX(0,MIN($F437,EOMONTH(DATE(cfg_FY,4,1),0))-MAX($E437,DATE(cfg_FY,4,1))+1)*(1-IF($M437="نعم",0,N($J437))))</f>
        <v>0</v>
      </c>
      <c r="Z437" s="133" t="n">
        <f aca="false">IF(OR($B437="",$E437="",$F437=""),0,MAX(0,MIN($F437,EOMONTH(DATE(cfg_FY,5,1),0))-MAX($E437,DATE(cfg_FY,5,1))+1)*(1-IF($M437="نعم",0,N($J437))))</f>
        <v>0</v>
      </c>
      <c r="AA437" s="133" t="n">
        <f aca="false">IF(OR($B437="",$E437="",$F437=""),0,MAX(0,MIN($F437,EOMONTH(DATE(cfg_FY,6,1),0))-MAX($E437,DATE(cfg_FY,6,1))+1)*(1-IF($M437="نعم",0,N($J437))))</f>
        <v>0</v>
      </c>
      <c r="AB437" s="133" t="n">
        <f aca="false">IF(OR($B437="",$E437="",$F437=""),0,MAX(0,MIN($F437,EOMONTH(DATE(cfg_FY,7,1),0))-MAX($E437,DATE(cfg_FY,7,1))+1)*(1-IF($M437="نعم",0,N($J437))))</f>
        <v>0</v>
      </c>
      <c r="AC437" s="133" t="n">
        <f aca="false">IF(OR($B437="",$E437="",$F437=""),0,MAX(0,MIN($F437,EOMONTH(DATE(cfg_FY,8,1),0))-MAX($E437,DATE(cfg_FY,8,1))+1)*(1-IF($M437="نعم",0,N($J437))))</f>
        <v>0</v>
      </c>
      <c r="AD437" s="133" t="n">
        <f aca="false">IF(OR($B437="",$E437="",$F437=""),0,MAX(0,MIN($F437,EOMONTH(DATE(cfg_FY,9,1),0))-MAX($E437,DATE(cfg_FY,9,1))+1)*(1-IF($M437="نعم",0,N($J437))))</f>
        <v>0</v>
      </c>
      <c r="AE437" s="133" t="n">
        <f aca="false">IF(OR($B437="",$E437="",$F437=""),0,MAX(0,MIN($F437,EOMONTH(DATE(cfg_FY,10,1),0))-MAX($E437,DATE(cfg_FY,10,1))+1)*(1-IF($M437="نعم",0,N($J437))))</f>
        <v>0</v>
      </c>
      <c r="AF437" s="133" t="n">
        <f aca="false">IF(OR($B437="",$E437="",$F437=""),0,MAX(0,MIN($F437,EOMONTH(DATE(cfg_FY,11,1),0))-MAX($E437,DATE(cfg_FY,11,1))+1)*(1-IF($M437="نعم",0,N($J437))))</f>
        <v>0</v>
      </c>
      <c r="AG437" s="133" t="n">
        <f aca="false">IF(OR($B437="",$E437="",$F437=""),0,MAX(0,MIN($F437,EOMONTH(DATE(cfg_FY,12,1),0))-MAX($E437,DATE(cfg_FY,12,1))+1)*(1-IF($M437="نعم",0,N($J437))))</f>
        <v>0</v>
      </c>
      <c r="AH437" s="133" t="n">
        <f aca="false">IF(OR(OR($B437="",$E437="",$F437=""),$L437&lt;&gt;"لا"),0,MAX(0,MIN($F437,EOMONTH(DATE(cfg_FY,1,1),0))-$E437+1))</f>
        <v>0</v>
      </c>
      <c r="AI437" s="133" t="n">
        <f aca="false">IF(OR(OR($B437="",$E437="",$F437=""),$L437&lt;&gt;"لا"),0,MAX(0,MIN($F437,EOMONTH(DATE(cfg_FY,2,1),0))-$E437+1))</f>
        <v>0</v>
      </c>
      <c r="AJ437" s="133" t="n">
        <f aca="false">IF(OR(OR($B437="",$E437="",$F437=""),$L437&lt;&gt;"لا"),0,MAX(0,MIN($F437,EOMONTH(DATE(cfg_FY,3,1),0))-$E437+1))</f>
        <v>0</v>
      </c>
      <c r="AK437" s="133" t="n">
        <f aca="false">IF(OR(OR($B437="",$E437="",$F437=""),$L437&lt;&gt;"لا"),0,MAX(0,MIN($F437,EOMONTH(DATE(cfg_FY,4,1),0))-$E437+1))</f>
        <v>0</v>
      </c>
      <c r="AL437" s="133" t="n">
        <f aca="false">IF(OR(OR($B437="",$E437="",$F437=""),$L437&lt;&gt;"لا"),0,MAX(0,MIN($F437,EOMONTH(DATE(cfg_FY,5,1),0))-$E437+1))</f>
        <v>0</v>
      </c>
      <c r="AM437" s="133" t="n">
        <f aca="false">IF(OR(OR($B437="",$E437="",$F437=""),$L437&lt;&gt;"لا"),0,MAX(0,MIN($F437,EOMONTH(DATE(cfg_FY,6,1),0))-$E437+1))</f>
        <v>0</v>
      </c>
      <c r="AN437" s="133" t="n">
        <f aca="false">IF(OR(OR($B437="",$E437="",$F437=""),$L437&lt;&gt;"لا"),0,MAX(0,MIN($F437,EOMONTH(DATE(cfg_FY,7,1),0))-$E437+1))</f>
        <v>0</v>
      </c>
      <c r="AO437" s="133" t="n">
        <f aca="false">IF(OR(OR($B437="",$E437="",$F437=""),$L437&lt;&gt;"لا"),0,MAX(0,MIN($F437,EOMONTH(DATE(cfg_FY,8,1),0))-$E437+1))</f>
        <v>0</v>
      </c>
      <c r="AP437" s="133" t="n">
        <f aca="false">IF(OR(OR($B437="",$E437="",$F437=""),$L437&lt;&gt;"لا"),0,MAX(0,MIN($F437,EOMONTH(DATE(cfg_FY,9,1),0))-$E437+1))</f>
        <v>0</v>
      </c>
      <c r="AQ437" s="133" t="n">
        <f aca="false">IF(OR(OR($B437="",$E437="",$F437=""),$L437&lt;&gt;"لا"),0,MAX(0,MIN($F437,EOMONTH(DATE(cfg_FY,10,1),0))-$E437+1))</f>
        <v>0</v>
      </c>
      <c r="AR437" s="133" t="n">
        <f aca="false">IF(OR(OR($B437="",$E437="",$F437=""),$L437&lt;&gt;"لا"),0,MAX(0,MIN($F437,EOMONTH(DATE(cfg_FY,11,1),0))-$E437+1))</f>
        <v>0</v>
      </c>
      <c r="AS437" s="133" t="n">
        <f aca="false">IF(OR(OR($B437="",$E437="",$F437=""),$L437&lt;&gt;"لا"),0,MAX(0,MIN($F437,EOMONTH(DATE(cfg_FY,12,1),0))-$E437+1))</f>
        <v>0</v>
      </c>
      <c r="AT437" s="133" t="n">
        <f aca="false">IF(OR(OR($B437="",$E437="",$F437=""),$K437&lt;&gt;"نعم",$M437="نعم"),0,MAX(0,MIN($F437,EOMONTH(DATE(cfg_FY,1,1),0))-MAX($E437,DATE(cfg_FY,1,1))+1))</f>
        <v>0</v>
      </c>
      <c r="AU437" s="133" t="n">
        <f aca="false">IF(OR(OR($B437="",$E437="",$F437=""),$K437&lt;&gt;"نعم",$M437="نعم"),0,MAX(0,MIN($F437,EOMONTH(DATE(cfg_FY,2,1),0))-MAX($E437,DATE(cfg_FY,2,1))+1))</f>
        <v>0</v>
      </c>
      <c r="AV437" s="133" t="n">
        <f aca="false">IF(OR(OR($B437="",$E437="",$F437=""),$K437&lt;&gt;"نعم",$M437="نعم"),0,MAX(0,MIN($F437,EOMONTH(DATE(cfg_FY,3,1),0))-MAX($E437,DATE(cfg_FY,3,1))+1))</f>
        <v>0</v>
      </c>
      <c r="AW437" s="133" t="n">
        <f aca="false">IF(OR(OR($B437="",$E437="",$F437=""),$K437&lt;&gt;"نعم",$M437="نعم"),0,MAX(0,MIN($F437,EOMONTH(DATE(cfg_FY,4,1),0))-MAX($E437,DATE(cfg_FY,4,1))+1))</f>
        <v>0</v>
      </c>
      <c r="AX437" s="133" t="n">
        <f aca="false">IF(OR(OR($B437="",$E437="",$F437=""),$K437&lt;&gt;"نعم",$M437="نعم"),0,MAX(0,MIN($F437,EOMONTH(DATE(cfg_FY,5,1),0))-MAX($E437,DATE(cfg_FY,5,1))+1))</f>
        <v>0</v>
      </c>
      <c r="AY437" s="133" t="n">
        <f aca="false">IF(OR(OR($B437="",$E437="",$F437=""),$K437&lt;&gt;"نعم",$M437="نعم"),0,MAX(0,MIN($F437,EOMONTH(DATE(cfg_FY,6,1),0))-MAX($E437,DATE(cfg_FY,6,1))+1))</f>
        <v>0</v>
      </c>
      <c r="AZ437" s="133" t="n">
        <f aca="false">IF(OR(OR($B437="",$E437="",$F437=""),$K437&lt;&gt;"نعم",$M437="نعم"),0,MAX(0,MIN($F437,EOMONTH(DATE(cfg_FY,7,1),0))-MAX($E437,DATE(cfg_FY,7,1))+1))</f>
        <v>0</v>
      </c>
      <c r="BA437" s="133" t="n">
        <f aca="false">IF(OR(OR($B437="",$E437="",$F437=""),$K437&lt;&gt;"نعم",$M437="نعم"),0,MAX(0,MIN($F437,EOMONTH(DATE(cfg_FY,8,1),0))-MAX($E437,DATE(cfg_FY,8,1))+1))</f>
        <v>0</v>
      </c>
      <c r="BB437" s="133" t="n">
        <f aca="false">IF(OR(OR($B437="",$E437="",$F437=""),$K437&lt;&gt;"نعم",$M437="نعم"),0,MAX(0,MIN($F437,EOMONTH(DATE(cfg_FY,9,1),0))-MAX($E437,DATE(cfg_FY,9,1))+1))</f>
        <v>0</v>
      </c>
      <c r="BC437" s="133" t="n">
        <f aca="false">IF(OR(OR($B437="",$E437="",$F437=""),$K437&lt;&gt;"نعم",$M437="نعم"),0,MAX(0,MIN($F437,EOMONTH(DATE(cfg_FY,10,1),0))-MAX($E437,DATE(cfg_FY,10,1))+1))</f>
        <v>0</v>
      </c>
      <c r="BD437" s="133" t="n">
        <f aca="false">IF(OR(OR($B437="",$E437="",$F437=""),$K437&lt;&gt;"نعم",$M437="نعم"),0,MAX(0,MIN($F437,EOMONTH(DATE(cfg_FY,11,1),0))-MAX($E437,DATE(cfg_FY,11,1))+1))</f>
        <v>0</v>
      </c>
      <c r="BE437" s="133" t="n">
        <f aca="false">IF(OR(OR($B437="",$E437="",$F437=""),$K437&lt;&gt;"نعم",$M437="نعم"),0,MAX(0,MIN($F437,EOMONTH(DATE(cfg_FY,12,1),0))-MAX($E437,DATE(cfg_FY,12,1))+1))</f>
        <v>0</v>
      </c>
    </row>
    <row r="438" customFormat="false" ht="15" hidden="false" customHeight="false" outlineLevel="0" collapsed="false">
      <c r="A438" s="106" t="str">
        <f aca="false">IF(B438="","",ROW()-5)</f>
        <v/>
      </c>
      <c r="B438" s="118"/>
      <c r="C438" s="114" t="str">
        <f aca="false">IF(B438="","",IFERROR(INDEX(الموظفون!$C$6:$C$105,MATCH(B438,الموظفون!$B$6:$B$105,0)),"✖ رقم غير موجود"))</f>
        <v/>
      </c>
      <c r="D438" s="118"/>
      <c r="E438" s="119"/>
      <c r="F438" s="119"/>
      <c r="G438" s="65" t="str">
        <f aca="false">IF(OR($B438="",$E438="",$F438=""),"",MAX(0,F438-E438+1))</f>
        <v/>
      </c>
      <c r="H438" s="66" t="str">
        <f aca="false">IF(D438="","",IFERROR(VLOOKUP(D438,cfg_LT,2,FALSE()),1))</f>
        <v/>
      </c>
      <c r="I438" s="135"/>
      <c r="J438" s="66" t="str">
        <f aca="false">IF(D438="","",IF(I438&lt;&gt;"",I438,H438))</f>
        <v/>
      </c>
      <c r="K438" s="114" t="str">
        <f aca="false">IF(D438="","",IFERROR(VLOOKUP($D438,cfg_LT,3,FALSE()),""))</f>
        <v/>
      </c>
      <c r="L438" s="114" t="str">
        <f aca="false">IF(D438="","",IFERROR(VLOOKUP($D438,cfg_LT,4,FALSE()),""))</f>
        <v/>
      </c>
      <c r="M438" s="114" t="str">
        <f aca="false">IF(D438="","",IFERROR(VLOOKUP($D438,cfg_LT,5,FALSE()),""))</f>
        <v/>
      </c>
      <c r="N438" s="111" t="n">
        <f aca="false">IF(OR(OR($B438="",$E438="",$F438=""),M438&lt;&gt;"نعم"),0,G438*J438*IFERROR(INDEX(الموظفون!$R$6:$R$105,MATCH(B438,الموظفون!$B$6:$B$105,0)),0)/cfg_DAYS_M)</f>
        <v>0</v>
      </c>
      <c r="O438" s="106" t="str">
        <f aca="false">IF(OR(OR($B438="",$E438="",$F438=""),M438&lt;&gt;"نعم"),"",IF(YEAR(E438)=cfg_FY,MONTH(E438),""))</f>
        <v/>
      </c>
      <c r="P438" s="114" t="str">
        <f aca="false">IF(B438="","",IF(OR(D438="",E438="",F438=""),"⚠ أكمل النوع والتواريخ",IF(F438&lt;E438,"✖ النهاية قبل البداية",IF(COUNTIFS($B$6:$B$505,B438,$E$6:$E$505,"&lt;="&amp;F438,$F$6:$F$505,"&gt;="&amp;E438)&gt;1,"⚠ تداخل مع سجل آخر",IF(E438&gt;cfg_VAL_DATE,"⏳ قادمة",IF(F438&lt;cfg_VAL_DATE,"✔ منتهية","✈ جارية في تاريخ التقرير"))))))</f>
        <v/>
      </c>
      <c r="Q438" s="118"/>
      <c r="R438" s="65" t="n">
        <f aca="false">IF(OR(OR($B438="",$E438="",$F438=""),L438&lt;&gt;"لا"),0,MAX(0,MIN(F438,cfg_Y_START-1)-E438+1))</f>
        <v>0</v>
      </c>
      <c r="S438" s="65" t="n">
        <f aca="false">IF(OR(OR($B438="",$E438="",$F438=""),L438&lt;&gt;"لا"),0,MAX(0,MIN(F438,cfg_VAL_DATE)-E438+1))</f>
        <v>0</v>
      </c>
      <c r="T438" s="65" t="n">
        <f aca="false">IF(OR(OR($B438="",$E438="",$F438=""),K438&lt;&gt;"نعم"),0,IF(M438="نعم",IF(AND(ISNUMBER(O438),N(O438)&lt;=cfg_VAL_M),G438,0),MAX(0,MIN(F438,cfg_VAL_DATE)-MAX(E438,cfg_Y_START)+1)))</f>
        <v>0</v>
      </c>
      <c r="V438" s="65" t="n">
        <f aca="false">IF(OR($B438="",$E438="",$F438=""),0,MAX(0,MIN($F438,EOMONTH(DATE(cfg_FY,1,1),0))-MAX($E438,DATE(cfg_FY,1,1))+1)*(1-IF($M438="نعم",0,N($J438))))</f>
        <v>0</v>
      </c>
      <c r="W438" s="65" t="n">
        <f aca="false">IF(OR($B438="",$E438="",$F438=""),0,MAX(0,MIN($F438,EOMONTH(DATE(cfg_FY,2,1),0))-MAX($E438,DATE(cfg_FY,2,1))+1)*(1-IF($M438="نعم",0,N($J438))))</f>
        <v>0</v>
      </c>
      <c r="X438" s="65" t="n">
        <f aca="false">IF(OR($B438="",$E438="",$F438=""),0,MAX(0,MIN($F438,EOMONTH(DATE(cfg_FY,3,1),0))-MAX($E438,DATE(cfg_FY,3,1))+1)*(1-IF($M438="نعم",0,N($J438))))</f>
        <v>0</v>
      </c>
      <c r="Y438" s="65" t="n">
        <f aca="false">IF(OR($B438="",$E438="",$F438=""),0,MAX(0,MIN($F438,EOMONTH(DATE(cfg_FY,4,1),0))-MAX($E438,DATE(cfg_FY,4,1))+1)*(1-IF($M438="نعم",0,N($J438))))</f>
        <v>0</v>
      </c>
      <c r="Z438" s="65" t="n">
        <f aca="false">IF(OR($B438="",$E438="",$F438=""),0,MAX(0,MIN($F438,EOMONTH(DATE(cfg_FY,5,1),0))-MAX($E438,DATE(cfg_FY,5,1))+1)*(1-IF($M438="نعم",0,N($J438))))</f>
        <v>0</v>
      </c>
      <c r="AA438" s="65" t="n">
        <f aca="false">IF(OR($B438="",$E438="",$F438=""),0,MAX(0,MIN($F438,EOMONTH(DATE(cfg_FY,6,1),0))-MAX($E438,DATE(cfg_FY,6,1))+1)*(1-IF($M438="نعم",0,N($J438))))</f>
        <v>0</v>
      </c>
      <c r="AB438" s="65" t="n">
        <f aca="false">IF(OR($B438="",$E438="",$F438=""),0,MAX(0,MIN($F438,EOMONTH(DATE(cfg_FY,7,1),0))-MAX($E438,DATE(cfg_FY,7,1))+1)*(1-IF($M438="نعم",0,N($J438))))</f>
        <v>0</v>
      </c>
      <c r="AC438" s="65" t="n">
        <f aca="false">IF(OR($B438="",$E438="",$F438=""),0,MAX(0,MIN($F438,EOMONTH(DATE(cfg_FY,8,1),0))-MAX($E438,DATE(cfg_FY,8,1))+1)*(1-IF($M438="نعم",0,N($J438))))</f>
        <v>0</v>
      </c>
      <c r="AD438" s="65" t="n">
        <f aca="false">IF(OR($B438="",$E438="",$F438=""),0,MAX(0,MIN($F438,EOMONTH(DATE(cfg_FY,9,1),0))-MAX($E438,DATE(cfg_FY,9,1))+1)*(1-IF($M438="نعم",0,N($J438))))</f>
        <v>0</v>
      </c>
      <c r="AE438" s="65" t="n">
        <f aca="false">IF(OR($B438="",$E438="",$F438=""),0,MAX(0,MIN($F438,EOMONTH(DATE(cfg_FY,10,1),0))-MAX($E438,DATE(cfg_FY,10,1))+1)*(1-IF($M438="نعم",0,N($J438))))</f>
        <v>0</v>
      </c>
      <c r="AF438" s="65" t="n">
        <f aca="false">IF(OR($B438="",$E438="",$F438=""),0,MAX(0,MIN($F438,EOMONTH(DATE(cfg_FY,11,1),0))-MAX($E438,DATE(cfg_FY,11,1))+1)*(1-IF($M438="نعم",0,N($J438))))</f>
        <v>0</v>
      </c>
      <c r="AG438" s="65" t="n">
        <f aca="false">IF(OR($B438="",$E438="",$F438=""),0,MAX(0,MIN($F438,EOMONTH(DATE(cfg_FY,12,1),0))-MAX($E438,DATE(cfg_FY,12,1))+1)*(1-IF($M438="نعم",0,N($J438))))</f>
        <v>0</v>
      </c>
      <c r="AH438" s="65" t="n">
        <f aca="false">IF(OR(OR($B438="",$E438="",$F438=""),$L438&lt;&gt;"لا"),0,MAX(0,MIN($F438,EOMONTH(DATE(cfg_FY,1,1),0))-$E438+1))</f>
        <v>0</v>
      </c>
      <c r="AI438" s="65" t="n">
        <f aca="false">IF(OR(OR($B438="",$E438="",$F438=""),$L438&lt;&gt;"لا"),0,MAX(0,MIN($F438,EOMONTH(DATE(cfg_FY,2,1),0))-$E438+1))</f>
        <v>0</v>
      </c>
      <c r="AJ438" s="65" t="n">
        <f aca="false">IF(OR(OR($B438="",$E438="",$F438=""),$L438&lt;&gt;"لا"),0,MAX(0,MIN($F438,EOMONTH(DATE(cfg_FY,3,1),0))-$E438+1))</f>
        <v>0</v>
      </c>
      <c r="AK438" s="65" t="n">
        <f aca="false">IF(OR(OR($B438="",$E438="",$F438=""),$L438&lt;&gt;"لا"),0,MAX(0,MIN($F438,EOMONTH(DATE(cfg_FY,4,1),0))-$E438+1))</f>
        <v>0</v>
      </c>
      <c r="AL438" s="65" t="n">
        <f aca="false">IF(OR(OR($B438="",$E438="",$F438=""),$L438&lt;&gt;"لا"),0,MAX(0,MIN($F438,EOMONTH(DATE(cfg_FY,5,1),0))-$E438+1))</f>
        <v>0</v>
      </c>
      <c r="AM438" s="65" t="n">
        <f aca="false">IF(OR(OR($B438="",$E438="",$F438=""),$L438&lt;&gt;"لا"),0,MAX(0,MIN($F438,EOMONTH(DATE(cfg_FY,6,1),0))-$E438+1))</f>
        <v>0</v>
      </c>
      <c r="AN438" s="65" t="n">
        <f aca="false">IF(OR(OR($B438="",$E438="",$F438=""),$L438&lt;&gt;"لا"),0,MAX(0,MIN($F438,EOMONTH(DATE(cfg_FY,7,1),0))-$E438+1))</f>
        <v>0</v>
      </c>
      <c r="AO438" s="65" t="n">
        <f aca="false">IF(OR(OR($B438="",$E438="",$F438=""),$L438&lt;&gt;"لا"),0,MAX(0,MIN($F438,EOMONTH(DATE(cfg_FY,8,1),0))-$E438+1))</f>
        <v>0</v>
      </c>
      <c r="AP438" s="65" t="n">
        <f aca="false">IF(OR(OR($B438="",$E438="",$F438=""),$L438&lt;&gt;"لا"),0,MAX(0,MIN($F438,EOMONTH(DATE(cfg_FY,9,1),0))-$E438+1))</f>
        <v>0</v>
      </c>
      <c r="AQ438" s="65" t="n">
        <f aca="false">IF(OR(OR($B438="",$E438="",$F438=""),$L438&lt;&gt;"لا"),0,MAX(0,MIN($F438,EOMONTH(DATE(cfg_FY,10,1),0))-$E438+1))</f>
        <v>0</v>
      </c>
      <c r="AR438" s="65" t="n">
        <f aca="false">IF(OR(OR($B438="",$E438="",$F438=""),$L438&lt;&gt;"لا"),0,MAX(0,MIN($F438,EOMONTH(DATE(cfg_FY,11,1),0))-$E438+1))</f>
        <v>0</v>
      </c>
      <c r="AS438" s="65" t="n">
        <f aca="false">IF(OR(OR($B438="",$E438="",$F438=""),$L438&lt;&gt;"لا"),0,MAX(0,MIN($F438,EOMONTH(DATE(cfg_FY,12,1),0))-$E438+1))</f>
        <v>0</v>
      </c>
      <c r="AT438" s="65" t="n">
        <f aca="false">IF(OR(OR($B438="",$E438="",$F438=""),$K438&lt;&gt;"نعم",$M438="نعم"),0,MAX(0,MIN($F438,EOMONTH(DATE(cfg_FY,1,1),0))-MAX($E438,DATE(cfg_FY,1,1))+1))</f>
        <v>0</v>
      </c>
      <c r="AU438" s="65" t="n">
        <f aca="false">IF(OR(OR($B438="",$E438="",$F438=""),$K438&lt;&gt;"نعم",$M438="نعم"),0,MAX(0,MIN($F438,EOMONTH(DATE(cfg_FY,2,1),0))-MAX($E438,DATE(cfg_FY,2,1))+1))</f>
        <v>0</v>
      </c>
      <c r="AV438" s="65" t="n">
        <f aca="false">IF(OR(OR($B438="",$E438="",$F438=""),$K438&lt;&gt;"نعم",$M438="نعم"),0,MAX(0,MIN($F438,EOMONTH(DATE(cfg_FY,3,1),0))-MAX($E438,DATE(cfg_FY,3,1))+1))</f>
        <v>0</v>
      </c>
      <c r="AW438" s="65" t="n">
        <f aca="false">IF(OR(OR($B438="",$E438="",$F438=""),$K438&lt;&gt;"نعم",$M438="نعم"),0,MAX(0,MIN($F438,EOMONTH(DATE(cfg_FY,4,1),0))-MAX($E438,DATE(cfg_FY,4,1))+1))</f>
        <v>0</v>
      </c>
      <c r="AX438" s="65" t="n">
        <f aca="false">IF(OR(OR($B438="",$E438="",$F438=""),$K438&lt;&gt;"نعم",$M438="نعم"),0,MAX(0,MIN($F438,EOMONTH(DATE(cfg_FY,5,1),0))-MAX($E438,DATE(cfg_FY,5,1))+1))</f>
        <v>0</v>
      </c>
      <c r="AY438" s="65" t="n">
        <f aca="false">IF(OR(OR($B438="",$E438="",$F438=""),$K438&lt;&gt;"نعم",$M438="نعم"),0,MAX(0,MIN($F438,EOMONTH(DATE(cfg_FY,6,1),0))-MAX($E438,DATE(cfg_FY,6,1))+1))</f>
        <v>0</v>
      </c>
      <c r="AZ438" s="65" t="n">
        <f aca="false">IF(OR(OR($B438="",$E438="",$F438=""),$K438&lt;&gt;"نعم",$M438="نعم"),0,MAX(0,MIN($F438,EOMONTH(DATE(cfg_FY,7,1),0))-MAX($E438,DATE(cfg_FY,7,1))+1))</f>
        <v>0</v>
      </c>
      <c r="BA438" s="65" t="n">
        <f aca="false">IF(OR(OR($B438="",$E438="",$F438=""),$K438&lt;&gt;"نعم",$M438="نعم"),0,MAX(0,MIN($F438,EOMONTH(DATE(cfg_FY,8,1),0))-MAX($E438,DATE(cfg_FY,8,1))+1))</f>
        <v>0</v>
      </c>
      <c r="BB438" s="65" t="n">
        <f aca="false">IF(OR(OR($B438="",$E438="",$F438=""),$K438&lt;&gt;"نعم",$M438="نعم"),0,MAX(0,MIN($F438,EOMONTH(DATE(cfg_FY,9,1),0))-MAX($E438,DATE(cfg_FY,9,1))+1))</f>
        <v>0</v>
      </c>
      <c r="BC438" s="65" t="n">
        <f aca="false">IF(OR(OR($B438="",$E438="",$F438=""),$K438&lt;&gt;"نعم",$M438="نعم"),0,MAX(0,MIN($F438,EOMONTH(DATE(cfg_FY,10,1),0))-MAX($E438,DATE(cfg_FY,10,1))+1))</f>
        <v>0</v>
      </c>
      <c r="BD438" s="65" t="n">
        <f aca="false">IF(OR(OR($B438="",$E438="",$F438=""),$K438&lt;&gt;"نعم",$M438="نعم"),0,MAX(0,MIN($F438,EOMONTH(DATE(cfg_FY,11,1),0))-MAX($E438,DATE(cfg_FY,11,1))+1))</f>
        <v>0</v>
      </c>
      <c r="BE438" s="65" t="n">
        <f aca="false">IF(OR(OR($B438="",$E438="",$F438=""),$K438&lt;&gt;"نعم",$M438="نعم"),0,MAX(0,MIN($F438,EOMONTH(DATE(cfg_FY,12,1),0))-MAX($E438,DATE(cfg_FY,12,1))+1))</f>
        <v>0</v>
      </c>
    </row>
    <row r="439" customFormat="false" ht="15" hidden="false" customHeight="false" outlineLevel="0" collapsed="false">
      <c r="A439" s="115" t="str">
        <f aca="false">IF(B439="","",ROW()-5)</f>
        <v/>
      </c>
      <c r="B439" s="118"/>
      <c r="C439" s="117" t="str">
        <f aca="false">IF(B439="","",IFERROR(INDEX(الموظفون!$C$6:$C$105,MATCH(B439,الموظفون!$B$6:$B$105,0)),"✖ رقم غير موجود"))</f>
        <v/>
      </c>
      <c r="D439" s="118"/>
      <c r="E439" s="119"/>
      <c r="F439" s="119"/>
      <c r="G439" s="133" t="str">
        <f aca="false">IF(OR($B439="",$E439="",$F439=""),"",MAX(0,F439-E439+1))</f>
        <v/>
      </c>
      <c r="H439" s="134" t="str">
        <f aca="false">IF(D439="","",IFERROR(VLOOKUP(D439,cfg_LT,2,FALSE()),1))</f>
        <v/>
      </c>
      <c r="I439" s="135"/>
      <c r="J439" s="134" t="str">
        <f aca="false">IF(D439="","",IF(I439&lt;&gt;"",I439,H439))</f>
        <v/>
      </c>
      <c r="K439" s="117" t="str">
        <f aca="false">IF(D439="","",IFERROR(VLOOKUP($D439,cfg_LT,3,FALSE()),""))</f>
        <v/>
      </c>
      <c r="L439" s="117" t="str">
        <f aca="false">IF(D439="","",IFERROR(VLOOKUP($D439,cfg_LT,4,FALSE()),""))</f>
        <v/>
      </c>
      <c r="M439" s="117" t="str">
        <f aca="false">IF(D439="","",IFERROR(VLOOKUP($D439,cfg_LT,5,FALSE()),""))</f>
        <v/>
      </c>
      <c r="N439" s="116" t="n">
        <f aca="false">IF(OR(OR($B439="",$E439="",$F439=""),M439&lt;&gt;"نعم"),0,G439*J439*IFERROR(INDEX(الموظفون!$R$6:$R$105,MATCH(B439,الموظفون!$B$6:$B$105,0)),0)/cfg_DAYS_M)</f>
        <v>0</v>
      </c>
      <c r="O439" s="115" t="str">
        <f aca="false">IF(OR(OR($B439="",$E439="",$F439=""),M439&lt;&gt;"نعم"),"",IF(YEAR(E439)=cfg_FY,MONTH(E439),""))</f>
        <v/>
      </c>
      <c r="P439" s="117" t="str">
        <f aca="false">IF(B439="","",IF(OR(D439="",E439="",F439=""),"⚠ أكمل النوع والتواريخ",IF(F439&lt;E439,"✖ النهاية قبل البداية",IF(COUNTIFS($B$6:$B$505,B439,$E$6:$E$505,"&lt;="&amp;F439,$F$6:$F$505,"&gt;="&amp;E439)&gt;1,"⚠ تداخل مع سجل آخر",IF(E439&gt;cfg_VAL_DATE,"⏳ قادمة",IF(F439&lt;cfg_VAL_DATE,"✔ منتهية","✈ جارية في تاريخ التقرير"))))))</f>
        <v/>
      </c>
      <c r="Q439" s="118"/>
      <c r="R439" s="133" t="n">
        <f aca="false">IF(OR(OR($B439="",$E439="",$F439=""),L439&lt;&gt;"لا"),0,MAX(0,MIN(F439,cfg_Y_START-1)-E439+1))</f>
        <v>0</v>
      </c>
      <c r="S439" s="133" t="n">
        <f aca="false">IF(OR(OR($B439="",$E439="",$F439=""),L439&lt;&gt;"لا"),0,MAX(0,MIN(F439,cfg_VAL_DATE)-E439+1))</f>
        <v>0</v>
      </c>
      <c r="T439" s="133" t="n">
        <f aca="false">IF(OR(OR($B439="",$E439="",$F439=""),K439&lt;&gt;"نعم"),0,IF(M439="نعم",IF(AND(ISNUMBER(O439),N(O439)&lt;=cfg_VAL_M),G439,0),MAX(0,MIN(F439,cfg_VAL_DATE)-MAX(E439,cfg_Y_START)+1)))</f>
        <v>0</v>
      </c>
      <c r="V439" s="133" t="n">
        <f aca="false">IF(OR($B439="",$E439="",$F439=""),0,MAX(0,MIN($F439,EOMONTH(DATE(cfg_FY,1,1),0))-MAX($E439,DATE(cfg_FY,1,1))+1)*(1-IF($M439="نعم",0,N($J439))))</f>
        <v>0</v>
      </c>
      <c r="W439" s="133" t="n">
        <f aca="false">IF(OR($B439="",$E439="",$F439=""),0,MAX(0,MIN($F439,EOMONTH(DATE(cfg_FY,2,1),0))-MAX($E439,DATE(cfg_FY,2,1))+1)*(1-IF($M439="نعم",0,N($J439))))</f>
        <v>0</v>
      </c>
      <c r="X439" s="133" t="n">
        <f aca="false">IF(OR($B439="",$E439="",$F439=""),0,MAX(0,MIN($F439,EOMONTH(DATE(cfg_FY,3,1),0))-MAX($E439,DATE(cfg_FY,3,1))+1)*(1-IF($M439="نعم",0,N($J439))))</f>
        <v>0</v>
      </c>
      <c r="Y439" s="133" t="n">
        <f aca="false">IF(OR($B439="",$E439="",$F439=""),0,MAX(0,MIN($F439,EOMONTH(DATE(cfg_FY,4,1),0))-MAX($E439,DATE(cfg_FY,4,1))+1)*(1-IF($M439="نعم",0,N($J439))))</f>
        <v>0</v>
      </c>
      <c r="Z439" s="133" t="n">
        <f aca="false">IF(OR($B439="",$E439="",$F439=""),0,MAX(0,MIN($F439,EOMONTH(DATE(cfg_FY,5,1),0))-MAX($E439,DATE(cfg_FY,5,1))+1)*(1-IF($M439="نعم",0,N($J439))))</f>
        <v>0</v>
      </c>
      <c r="AA439" s="133" t="n">
        <f aca="false">IF(OR($B439="",$E439="",$F439=""),0,MAX(0,MIN($F439,EOMONTH(DATE(cfg_FY,6,1),0))-MAX($E439,DATE(cfg_FY,6,1))+1)*(1-IF($M439="نعم",0,N($J439))))</f>
        <v>0</v>
      </c>
      <c r="AB439" s="133" t="n">
        <f aca="false">IF(OR($B439="",$E439="",$F439=""),0,MAX(0,MIN($F439,EOMONTH(DATE(cfg_FY,7,1),0))-MAX($E439,DATE(cfg_FY,7,1))+1)*(1-IF($M439="نعم",0,N($J439))))</f>
        <v>0</v>
      </c>
      <c r="AC439" s="133" t="n">
        <f aca="false">IF(OR($B439="",$E439="",$F439=""),0,MAX(0,MIN($F439,EOMONTH(DATE(cfg_FY,8,1),0))-MAX($E439,DATE(cfg_FY,8,1))+1)*(1-IF($M439="نعم",0,N($J439))))</f>
        <v>0</v>
      </c>
      <c r="AD439" s="133" t="n">
        <f aca="false">IF(OR($B439="",$E439="",$F439=""),0,MAX(0,MIN($F439,EOMONTH(DATE(cfg_FY,9,1),0))-MAX($E439,DATE(cfg_FY,9,1))+1)*(1-IF($M439="نعم",0,N($J439))))</f>
        <v>0</v>
      </c>
      <c r="AE439" s="133" t="n">
        <f aca="false">IF(OR($B439="",$E439="",$F439=""),0,MAX(0,MIN($F439,EOMONTH(DATE(cfg_FY,10,1),0))-MAX($E439,DATE(cfg_FY,10,1))+1)*(1-IF($M439="نعم",0,N($J439))))</f>
        <v>0</v>
      </c>
      <c r="AF439" s="133" t="n">
        <f aca="false">IF(OR($B439="",$E439="",$F439=""),0,MAX(0,MIN($F439,EOMONTH(DATE(cfg_FY,11,1),0))-MAX($E439,DATE(cfg_FY,11,1))+1)*(1-IF($M439="نعم",0,N($J439))))</f>
        <v>0</v>
      </c>
      <c r="AG439" s="133" t="n">
        <f aca="false">IF(OR($B439="",$E439="",$F439=""),0,MAX(0,MIN($F439,EOMONTH(DATE(cfg_FY,12,1),0))-MAX($E439,DATE(cfg_FY,12,1))+1)*(1-IF($M439="نعم",0,N($J439))))</f>
        <v>0</v>
      </c>
      <c r="AH439" s="133" t="n">
        <f aca="false">IF(OR(OR($B439="",$E439="",$F439=""),$L439&lt;&gt;"لا"),0,MAX(0,MIN($F439,EOMONTH(DATE(cfg_FY,1,1),0))-$E439+1))</f>
        <v>0</v>
      </c>
      <c r="AI439" s="133" t="n">
        <f aca="false">IF(OR(OR($B439="",$E439="",$F439=""),$L439&lt;&gt;"لا"),0,MAX(0,MIN($F439,EOMONTH(DATE(cfg_FY,2,1),0))-$E439+1))</f>
        <v>0</v>
      </c>
      <c r="AJ439" s="133" t="n">
        <f aca="false">IF(OR(OR($B439="",$E439="",$F439=""),$L439&lt;&gt;"لا"),0,MAX(0,MIN($F439,EOMONTH(DATE(cfg_FY,3,1),0))-$E439+1))</f>
        <v>0</v>
      </c>
      <c r="AK439" s="133" t="n">
        <f aca="false">IF(OR(OR($B439="",$E439="",$F439=""),$L439&lt;&gt;"لا"),0,MAX(0,MIN($F439,EOMONTH(DATE(cfg_FY,4,1),0))-$E439+1))</f>
        <v>0</v>
      </c>
      <c r="AL439" s="133" t="n">
        <f aca="false">IF(OR(OR($B439="",$E439="",$F439=""),$L439&lt;&gt;"لا"),0,MAX(0,MIN($F439,EOMONTH(DATE(cfg_FY,5,1),0))-$E439+1))</f>
        <v>0</v>
      </c>
      <c r="AM439" s="133" t="n">
        <f aca="false">IF(OR(OR($B439="",$E439="",$F439=""),$L439&lt;&gt;"لا"),0,MAX(0,MIN($F439,EOMONTH(DATE(cfg_FY,6,1),0))-$E439+1))</f>
        <v>0</v>
      </c>
      <c r="AN439" s="133" t="n">
        <f aca="false">IF(OR(OR($B439="",$E439="",$F439=""),$L439&lt;&gt;"لا"),0,MAX(0,MIN($F439,EOMONTH(DATE(cfg_FY,7,1),0))-$E439+1))</f>
        <v>0</v>
      </c>
      <c r="AO439" s="133" t="n">
        <f aca="false">IF(OR(OR($B439="",$E439="",$F439=""),$L439&lt;&gt;"لا"),0,MAX(0,MIN($F439,EOMONTH(DATE(cfg_FY,8,1),0))-$E439+1))</f>
        <v>0</v>
      </c>
      <c r="AP439" s="133" t="n">
        <f aca="false">IF(OR(OR($B439="",$E439="",$F439=""),$L439&lt;&gt;"لا"),0,MAX(0,MIN($F439,EOMONTH(DATE(cfg_FY,9,1),0))-$E439+1))</f>
        <v>0</v>
      </c>
      <c r="AQ439" s="133" t="n">
        <f aca="false">IF(OR(OR($B439="",$E439="",$F439=""),$L439&lt;&gt;"لا"),0,MAX(0,MIN($F439,EOMONTH(DATE(cfg_FY,10,1),0))-$E439+1))</f>
        <v>0</v>
      </c>
      <c r="AR439" s="133" t="n">
        <f aca="false">IF(OR(OR($B439="",$E439="",$F439=""),$L439&lt;&gt;"لا"),0,MAX(0,MIN($F439,EOMONTH(DATE(cfg_FY,11,1),0))-$E439+1))</f>
        <v>0</v>
      </c>
      <c r="AS439" s="133" t="n">
        <f aca="false">IF(OR(OR($B439="",$E439="",$F439=""),$L439&lt;&gt;"لا"),0,MAX(0,MIN($F439,EOMONTH(DATE(cfg_FY,12,1),0))-$E439+1))</f>
        <v>0</v>
      </c>
      <c r="AT439" s="133" t="n">
        <f aca="false">IF(OR(OR($B439="",$E439="",$F439=""),$K439&lt;&gt;"نعم",$M439="نعم"),0,MAX(0,MIN($F439,EOMONTH(DATE(cfg_FY,1,1),0))-MAX($E439,DATE(cfg_FY,1,1))+1))</f>
        <v>0</v>
      </c>
      <c r="AU439" s="133" t="n">
        <f aca="false">IF(OR(OR($B439="",$E439="",$F439=""),$K439&lt;&gt;"نعم",$M439="نعم"),0,MAX(0,MIN($F439,EOMONTH(DATE(cfg_FY,2,1),0))-MAX($E439,DATE(cfg_FY,2,1))+1))</f>
        <v>0</v>
      </c>
      <c r="AV439" s="133" t="n">
        <f aca="false">IF(OR(OR($B439="",$E439="",$F439=""),$K439&lt;&gt;"نعم",$M439="نعم"),0,MAX(0,MIN($F439,EOMONTH(DATE(cfg_FY,3,1),0))-MAX($E439,DATE(cfg_FY,3,1))+1))</f>
        <v>0</v>
      </c>
      <c r="AW439" s="133" t="n">
        <f aca="false">IF(OR(OR($B439="",$E439="",$F439=""),$K439&lt;&gt;"نعم",$M439="نعم"),0,MAX(0,MIN($F439,EOMONTH(DATE(cfg_FY,4,1),0))-MAX($E439,DATE(cfg_FY,4,1))+1))</f>
        <v>0</v>
      </c>
      <c r="AX439" s="133" t="n">
        <f aca="false">IF(OR(OR($B439="",$E439="",$F439=""),$K439&lt;&gt;"نعم",$M439="نعم"),0,MAX(0,MIN($F439,EOMONTH(DATE(cfg_FY,5,1),0))-MAX($E439,DATE(cfg_FY,5,1))+1))</f>
        <v>0</v>
      </c>
      <c r="AY439" s="133" t="n">
        <f aca="false">IF(OR(OR($B439="",$E439="",$F439=""),$K439&lt;&gt;"نعم",$M439="نعم"),0,MAX(0,MIN($F439,EOMONTH(DATE(cfg_FY,6,1),0))-MAX($E439,DATE(cfg_FY,6,1))+1))</f>
        <v>0</v>
      </c>
      <c r="AZ439" s="133" t="n">
        <f aca="false">IF(OR(OR($B439="",$E439="",$F439=""),$K439&lt;&gt;"نعم",$M439="نعم"),0,MAX(0,MIN($F439,EOMONTH(DATE(cfg_FY,7,1),0))-MAX($E439,DATE(cfg_FY,7,1))+1))</f>
        <v>0</v>
      </c>
      <c r="BA439" s="133" t="n">
        <f aca="false">IF(OR(OR($B439="",$E439="",$F439=""),$K439&lt;&gt;"نعم",$M439="نعم"),0,MAX(0,MIN($F439,EOMONTH(DATE(cfg_FY,8,1),0))-MAX($E439,DATE(cfg_FY,8,1))+1))</f>
        <v>0</v>
      </c>
      <c r="BB439" s="133" t="n">
        <f aca="false">IF(OR(OR($B439="",$E439="",$F439=""),$K439&lt;&gt;"نعم",$M439="نعم"),0,MAX(0,MIN($F439,EOMONTH(DATE(cfg_FY,9,1),0))-MAX($E439,DATE(cfg_FY,9,1))+1))</f>
        <v>0</v>
      </c>
      <c r="BC439" s="133" t="n">
        <f aca="false">IF(OR(OR($B439="",$E439="",$F439=""),$K439&lt;&gt;"نعم",$M439="نعم"),0,MAX(0,MIN($F439,EOMONTH(DATE(cfg_FY,10,1),0))-MAX($E439,DATE(cfg_FY,10,1))+1))</f>
        <v>0</v>
      </c>
      <c r="BD439" s="133" t="n">
        <f aca="false">IF(OR(OR($B439="",$E439="",$F439=""),$K439&lt;&gt;"نعم",$M439="نعم"),0,MAX(0,MIN($F439,EOMONTH(DATE(cfg_FY,11,1),0))-MAX($E439,DATE(cfg_FY,11,1))+1))</f>
        <v>0</v>
      </c>
      <c r="BE439" s="133" t="n">
        <f aca="false">IF(OR(OR($B439="",$E439="",$F439=""),$K439&lt;&gt;"نعم",$M439="نعم"),0,MAX(0,MIN($F439,EOMONTH(DATE(cfg_FY,12,1),0))-MAX($E439,DATE(cfg_FY,12,1))+1))</f>
        <v>0</v>
      </c>
    </row>
    <row r="440" customFormat="false" ht="15" hidden="false" customHeight="false" outlineLevel="0" collapsed="false">
      <c r="A440" s="106" t="str">
        <f aca="false">IF(B440="","",ROW()-5)</f>
        <v/>
      </c>
      <c r="B440" s="118"/>
      <c r="C440" s="114" t="str">
        <f aca="false">IF(B440="","",IFERROR(INDEX(الموظفون!$C$6:$C$105,MATCH(B440,الموظفون!$B$6:$B$105,0)),"✖ رقم غير موجود"))</f>
        <v/>
      </c>
      <c r="D440" s="118"/>
      <c r="E440" s="119"/>
      <c r="F440" s="119"/>
      <c r="G440" s="65" t="str">
        <f aca="false">IF(OR($B440="",$E440="",$F440=""),"",MAX(0,F440-E440+1))</f>
        <v/>
      </c>
      <c r="H440" s="66" t="str">
        <f aca="false">IF(D440="","",IFERROR(VLOOKUP(D440,cfg_LT,2,FALSE()),1))</f>
        <v/>
      </c>
      <c r="I440" s="135"/>
      <c r="J440" s="66" t="str">
        <f aca="false">IF(D440="","",IF(I440&lt;&gt;"",I440,H440))</f>
        <v/>
      </c>
      <c r="K440" s="114" t="str">
        <f aca="false">IF(D440="","",IFERROR(VLOOKUP($D440,cfg_LT,3,FALSE()),""))</f>
        <v/>
      </c>
      <c r="L440" s="114" t="str">
        <f aca="false">IF(D440="","",IFERROR(VLOOKUP($D440,cfg_LT,4,FALSE()),""))</f>
        <v/>
      </c>
      <c r="M440" s="114" t="str">
        <f aca="false">IF(D440="","",IFERROR(VLOOKUP($D440,cfg_LT,5,FALSE()),""))</f>
        <v/>
      </c>
      <c r="N440" s="111" t="n">
        <f aca="false">IF(OR(OR($B440="",$E440="",$F440=""),M440&lt;&gt;"نعم"),0,G440*J440*IFERROR(INDEX(الموظفون!$R$6:$R$105,MATCH(B440,الموظفون!$B$6:$B$105,0)),0)/cfg_DAYS_M)</f>
        <v>0</v>
      </c>
      <c r="O440" s="106" t="str">
        <f aca="false">IF(OR(OR($B440="",$E440="",$F440=""),M440&lt;&gt;"نعم"),"",IF(YEAR(E440)=cfg_FY,MONTH(E440),""))</f>
        <v/>
      </c>
      <c r="P440" s="114" t="str">
        <f aca="false">IF(B440="","",IF(OR(D440="",E440="",F440=""),"⚠ أكمل النوع والتواريخ",IF(F440&lt;E440,"✖ النهاية قبل البداية",IF(COUNTIFS($B$6:$B$505,B440,$E$6:$E$505,"&lt;="&amp;F440,$F$6:$F$505,"&gt;="&amp;E440)&gt;1,"⚠ تداخل مع سجل آخر",IF(E440&gt;cfg_VAL_DATE,"⏳ قادمة",IF(F440&lt;cfg_VAL_DATE,"✔ منتهية","✈ جارية في تاريخ التقرير"))))))</f>
        <v/>
      </c>
      <c r="Q440" s="118"/>
      <c r="R440" s="65" t="n">
        <f aca="false">IF(OR(OR($B440="",$E440="",$F440=""),L440&lt;&gt;"لا"),0,MAX(0,MIN(F440,cfg_Y_START-1)-E440+1))</f>
        <v>0</v>
      </c>
      <c r="S440" s="65" t="n">
        <f aca="false">IF(OR(OR($B440="",$E440="",$F440=""),L440&lt;&gt;"لا"),0,MAX(0,MIN(F440,cfg_VAL_DATE)-E440+1))</f>
        <v>0</v>
      </c>
      <c r="T440" s="65" t="n">
        <f aca="false">IF(OR(OR($B440="",$E440="",$F440=""),K440&lt;&gt;"نعم"),0,IF(M440="نعم",IF(AND(ISNUMBER(O440),N(O440)&lt;=cfg_VAL_M),G440,0),MAX(0,MIN(F440,cfg_VAL_DATE)-MAX(E440,cfg_Y_START)+1)))</f>
        <v>0</v>
      </c>
      <c r="V440" s="65" t="n">
        <f aca="false">IF(OR($B440="",$E440="",$F440=""),0,MAX(0,MIN($F440,EOMONTH(DATE(cfg_FY,1,1),0))-MAX($E440,DATE(cfg_FY,1,1))+1)*(1-IF($M440="نعم",0,N($J440))))</f>
        <v>0</v>
      </c>
      <c r="W440" s="65" t="n">
        <f aca="false">IF(OR($B440="",$E440="",$F440=""),0,MAX(0,MIN($F440,EOMONTH(DATE(cfg_FY,2,1),0))-MAX($E440,DATE(cfg_FY,2,1))+1)*(1-IF($M440="نعم",0,N($J440))))</f>
        <v>0</v>
      </c>
      <c r="X440" s="65" t="n">
        <f aca="false">IF(OR($B440="",$E440="",$F440=""),0,MAX(0,MIN($F440,EOMONTH(DATE(cfg_FY,3,1),0))-MAX($E440,DATE(cfg_FY,3,1))+1)*(1-IF($M440="نعم",0,N($J440))))</f>
        <v>0</v>
      </c>
      <c r="Y440" s="65" t="n">
        <f aca="false">IF(OR($B440="",$E440="",$F440=""),0,MAX(0,MIN($F440,EOMONTH(DATE(cfg_FY,4,1),0))-MAX($E440,DATE(cfg_FY,4,1))+1)*(1-IF($M440="نعم",0,N($J440))))</f>
        <v>0</v>
      </c>
      <c r="Z440" s="65" t="n">
        <f aca="false">IF(OR($B440="",$E440="",$F440=""),0,MAX(0,MIN($F440,EOMONTH(DATE(cfg_FY,5,1),0))-MAX($E440,DATE(cfg_FY,5,1))+1)*(1-IF($M440="نعم",0,N($J440))))</f>
        <v>0</v>
      </c>
      <c r="AA440" s="65" t="n">
        <f aca="false">IF(OR($B440="",$E440="",$F440=""),0,MAX(0,MIN($F440,EOMONTH(DATE(cfg_FY,6,1),0))-MAX($E440,DATE(cfg_FY,6,1))+1)*(1-IF($M440="نعم",0,N($J440))))</f>
        <v>0</v>
      </c>
      <c r="AB440" s="65" t="n">
        <f aca="false">IF(OR($B440="",$E440="",$F440=""),0,MAX(0,MIN($F440,EOMONTH(DATE(cfg_FY,7,1),0))-MAX($E440,DATE(cfg_FY,7,1))+1)*(1-IF($M440="نعم",0,N($J440))))</f>
        <v>0</v>
      </c>
      <c r="AC440" s="65" t="n">
        <f aca="false">IF(OR($B440="",$E440="",$F440=""),0,MAX(0,MIN($F440,EOMONTH(DATE(cfg_FY,8,1),0))-MAX($E440,DATE(cfg_FY,8,1))+1)*(1-IF($M440="نعم",0,N($J440))))</f>
        <v>0</v>
      </c>
      <c r="AD440" s="65" t="n">
        <f aca="false">IF(OR($B440="",$E440="",$F440=""),0,MAX(0,MIN($F440,EOMONTH(DATE(cfg_FY,9,1),0))-MAX($E440,DATE(cfg_FY,9,1))+1)*(1-IF($M440="نعم",0,N($J440))))</f>
        <v>0</v>
      </c>
      <c r="AE440" s="65" t="n">
        <f aca="false">IF(OR($B440="",$E440="",$F440=""),0,MAX(0,MIN($F440,EOMONTH(DATE(cfg_FY,10,1),0))-MAX($E440,DATE(cfg_FY,10,1))+1)*(1-IF($M440="نعم",0,N($J440))))</f>
        <v>0</v>
      </c>
      <c r="AF440" s="65" t="n">
        <f aca="false">IF(OR($B440="",$E440="",$F440=""),0,MAX(0,MIN($F440,EOMONTH(DATE(cfg_FY,11,1),0))-MAX($E440,DATE(cfg_FY,11,1))+1)*(1-IF($M440="نعم",0,N($J440))))</f>
        <v>0</v>
      </c>
      <c r="AG440" s="65" t="n">
        <f aca="false">IF(OR($B440="",$E440="",$F440=""),0,MAX(0,MIN($F440,EOMONTH(DATE(cfg_FY,12,1),0))-MAX($E440,DATE(cfg_FY,12,1))+1)*(1-IF($M440="نعم",0,N($J440))))</f>
        <v>0</v>
      </c>
      <c r="AH440" s="65" t="n">
        <f aca="false">IF(OR(OR($B440="",$E440="",$F440=""),$L440&lt;&gt;"لا"),0,MAX(0,MIN($F440,EOMONTH(DATE(cfg_FY,1,1),0))-$E440+1))</f>
        <v>0</v>
      </c>
      <c r="AI440" s="65" t="n">
        <f aca="false">IF(OR(OR($B440="",$E440="",$F440=""),$L440&lt;&gt;"لا"),0,MAX(0,MIN($F440,EOMONTH(DATE(cfg_FY,2,1),0))-$E440+1))</f>
        <v>0</v>
      </c>
      <c r="AJ440" s="65" t="n">
        <f aca="false">IF(OR(OR($B440="",$E440="",$F440=""),$L440&lt;&gt;"لا"),0,MAX(0,MIN($F440,EOMONTH(DATE(cfg_FY,3,1),0))-$E440+1))</f>
        <v>0</v>
      </c>
      <c r="AK440" s="65" t="n">
        <f aca="false">IF(OR(OR($B440="",$E440="",$F440=""),$L440&lt;&gt;"لا"),0,MAX(0,MIN($F440,EOMONTH(DATE(cfg_FY,4,1),0))-$E440+1))</f>
        <v>0</v>
      </c>
      <c r="AL440" s="65" t="n">
        <f aca="false">IF(OR(OR($B440="",$E440="",$F440=""),$L440&lt;&gt;"لا"),0,MAX(0,MIN($F440,EOMONTH(DATE(cfg_FY,5,1),0))-$E440+1))</f>
        <v>0</v>
      </c>
      <c r="AM440" s="65" t="n">
        <f aca="false">IF(OR(OR($B440="",$E440="",$F440=""),$L440&lt;&gt;"لا"),0,MAX(0,MIN($F440,EOMONTH(DATE(cfg_FY,6,1),0))-$E440+1))</f>
        <v>0</v>
      </c>
      <c r="AN440" s="65" t="n">
        <f aca="false">IF(OR(OR($B440="",$E440="",$F440=""),$L440&lt;&gt;"لا"),0,MAX(0,MIN($F440,EOMONTH(DATE(cfg_FY,7,1),0))-$E440+1))</f>
        <v>0</v>
      </c>
      <c r="AO440" s="65" t="n">
        <f aca="false">IF(OR(OR($B440="",$E440="",$F440=""),$L440&lt;&gt;"لا"),0,MAX(0,MIN($F440,EOMONTH(DATE(cfg_FY,8,1),0))-$E440+1))</f>
        <v>0</v>
      </c>
      <c r="AP440" s="65" t="n">
        <f aca="false">IF(OR(OR($B440="",$E440="",$F440=""),$L440&lt;&gt;"لا"),0,MAX(0,MIN($F440,EOMONTH(DATE(cfg_FY,9,1),0))-$E440+1))</f>
        <v>0</v>
      </c>
      <c r="AQ440" s="65" t="n">
        <f aca="false">IF(OR(OR($B440="",$E440="",$F440=""),$L440&lt;&gt;"لا"),0,MAX(0,MIN($F440,EOMONTH(DATE(cfg_FY,10,1),0))-$E440+1))</f>
        <v>0</v>
      </c>
      <c r="AR440" s="65" t="n">
        <f aca="false">IF(OR(OR($B440="",$E440="",$F440=""),$L440&lt;&gt;"لا"),0,MAX(0,MIN($F440,EOMONTH(DATE(cfg_FY,11,1),0))-$E440+1))</f>
        <v>0</v>
      </c>
      <c r="AS440" s="65" t="n">
        <f aca="false">IF(OR(OR($B440="",$E440="",$F440=""),$L440&lt;&gt;"لا"),0,MAX(0,MIN($F440,EOMONTH(DATE(cfg_FY,12,1),0))-$E440+1))</f>
        <v>0</v>
      </c>
      <c r="AT440" s="65" t="n">
        <f aca="false">IF(OR(OR($B440="",$E440="",$F440=""),$K440&lt;&gt;"نعم",$M440="نعم"),0,MAX(0,MIN($F440,EOMONTH(DATE(cfg_FY,1,1),0))-MAX($E440,DATE(cfg_FY,1,1))+1))</f>
        <v>0</v>
      </c>
      <c r="AU440" s="65" t="n">
        <f aca="false">IF(OR(OR($B440="",$E440="",$F440=""),$K440&lt;&gt;"نعم",$M440="نعم"),0,MAX(0,MIN($F440,EOMONTH(DATE(cfg_FY,2,1),0))-MAX($E440,DATE(cfg_FY,2,1))+1))</f>
        <v>0</v>
      </c>
      <c r="AV440" s="65" t="n">
        <f aca="false">IF(OR(OR($B440="",$E440="",$F440=""),$K440&lt;&gt;"نعم",$M440="نعم"),0,MAX(0,MIN($F440,EOMONTH(DATE(cfg_FY,3,1),0))-MAX($E440,DATE(cfg_FY,3,1))+1))</f>
        <v>0</v>
      </c>
      <c r="AW440" s="65" t="n">
        <f aca="false">IF(OR(OR($B440="",$E440="",$F440=""),$K440&lt;&gt;"نعم",$M440="نعم"),0,MAX(0,MIN($F440,EOMONTH(DATE(cfg_FY,4,1),0))-MAX($E440,DATE(cfg_FY,4,1))+1))</f>
        <v>0</v>
      </c>
      <c r="AX440" s="65" t="n">
        <f aca="false">IF(OR(OR($B440="",$E440="",$F440=""),$K440&lt;&gt;"نعم",$M440="نعم"),0,MAX(0,MIN($F440,EOMONTH(DATE(cfg_FY,5,1),0))-MAX($E440,DATE(cfg_FY,5,1))+1))</f>
        <v>0</v>
      </c>
      <c r="AY440" s="65" t="n">
        <f aca="false">IF(OR(OR($B440="",$E440="",$F440=""),$K440&lt;&gt;"نعم",$M440="نعم"),0,MAX(0,MIN($F440,EOMONTH(DATE(cfg_FY,6,1),0))-MAX($E440,DATE(cfg_FY,6,1))+1))</f>
        <v>0</v>
      </c>
      <c r="AZ440" s="65" t="n">
        <f aca="false">IF(OR(OR($B440="",$E440="",$F440=""),$K440&lt;&gt;"نعم",$M440="نعم"),0,MAX(0,MIN($F440,EOMONTH(DATE(cfg_FY,7,1),0))-MAX($E440,DATE(cfg_FY,7,1))+1))</f>
        <v>0</v>
      </c>
      <c r="BA440" s="65" t="n">
        <f aca="false">IF(OR(OR($B440="",$E440="",$F440=""),$K440&lt;&gt;"نعم",$M440="نعم"),0,MAX(0,MIN($F440,EOMONTH(DATE(cfg_FY,8,1),0))-MAX($E440,DATE(cfg_FY,8,1))+1))</f>
        <v>0</v>
      </c>
      <c r="BB440" s="65" t="n">
        <f aca="false">IF(OR(OR($B440="",$E440="",$F440=""),$K440&lt;&gt;"نعم",$M440="نعم"),0,MAX(0,MIN($F440,EOMONTH(DATE(cfg_FY,9,1),0))-MAX($E440,DATE(cfg_FY,9,1))+1))</f>
        <v>0</v>
      </c>
      <c r="BC440" s="65" t="n">
        <f aca="false">IF(OR(OR($B440="",$E440="",$F440=""),$K440&lt;&gt;"نعم",$M440="نعم"),0,MAX(0,MIN($F440,EOMONTH(DATE(cfg_FY,10,1),0))-MAX($E440,DATE(cfg_FY,10,1))+1))</f>
        <v>0</v>
      </c>
      <c r="BD440" s="65" t="n">
        <f aca="false">IF(OR(OR($B440="",$E440="",$F440=""),$K440&lt;&gt;"نعم",$M440="نعم"),0,MAX(0,MIN($F440,EOMONTH(DATE(cfg_FY,11,1),0))-MAX($E440,DATE(cfg_FY,11,1))+1))</f>
        <v>0</v>
      </c>
      <c r="BE440" s="65" t="n">
        <f aca="false">IF(OR(OR($B440="",$E440="",$F440=""),$K440&lt;&gt;"نعم",$M440="نعم"),0,MAX(0,MIN($F440,EOMONTH(DATE(cfg_FY,12,1),0))-MAX($E440,DATE(cfg_FY,12,1))+1))</f>
        <v>0</v>
      </c>
    </row>
    <row r="441" customFormat="false" ht="15" hidden="false" customHeight="false" outlineLevel="0" collapsed="false">
      <c r="A441" s="115" t="str">
        <f aca="false">IF(B441="","",ROW()-5)</f>
        <v/>
      </c>
      <c r="B441" s="118"/>
      <c r="C441" s="117" t="str">
        <f aca="false">IF(B441="","",IFERROR(INDEX(الموظفون!$C$6:$C$105,MATCH(B441,الموظفون!$B$6:$B$105,0)),"✖ رقم غير موجود"))</f>
        <v/>
      </c>
      <c r="D441" s="118"/>
      <c r="E441" s="119"/>
      <c r="F441" s="119"/>
      <c r="G441" s="133" t="str">
        <f aca="false">IF(OR($B441="",$E441="",$F441=""),"",MAX(0,F441-E441+1))</f>
        <v/>
      </c>
      <c r="H441" s="134" t="str">
        <f aca="false">IF(D441="","",IFERROR(VLOOKUP(D441,cfg_LT,2,FALSE()),1))</f>
        <v/>
      </c>
      <c r="I441" s="135"/>
      <c r="J441" s="134" t="str">
        <f aca="false">IF(D441="","",IF(I441&lt;&gt;"",I441,H441))</f>
        <v/>
      </c>
      <c r="K441" s="117" t="str">
        <f aca="false">IF(D441="","",IFERROR(VLOOKUP($D441,cfg_LT,3,FALSE()),""))</f>
        <v/>
      </c>
      <c r="L441" s="117" t="str">
        <f aca="false">IF(D441="","",IFERROR(VLOOKUP($D441,cfg_LT,4,FALSE()),""))</f>
        <v/>
      </c>
      <c r="M441" s="117" t="str">
        <f aca="false">IF(D441="","",IFERROR(VLOOKUP($D441,cfg_LT,5,FALSE()),""))</f>
        <v/>
      </c>
      <c r="N441" s="116" t="n">
        <f aca="false">IF(OR(OR($B441="",$E441="",$F441=""),M441&lt;&gt;"نعم"),0,G441*J441*IFERROR(INDEX(الموظفون!$R$6:$R$105,MATCH(B441,الموظفون!$B$6:$B$105,0)),0)/cfg_DAYS_M)</f>
        <v>0</v>
      </c>
      <c r="O441" s="115" t="str">
        <f aca="false">IF(OR(OR($B441="",$E441="",$F441=""),M441&lt;&gt;"نعم"),"",IF(YEAR(E441)=cfg_FY,MONTH(E441),""))</f>
        <v/>
      </c>
      <c r="P441" s="117" t="str">
        <f aca="false">IF(B441="","",IF(OR(D441="",E441="",F441=""),"⚠ أكمل النوع والتواريخ",IF(F441&lt;E441,"✖ النهاية قبل البداية",IF(COUNTIFS($B$6:$B$505,B441,$E$6:$E$505,"&lt;="&amp;F441,$F$6:$F$505,"&gt;="&amp;E441)&gt;1,"⚠ تداخل مع سجل آخر",IF(E441&gt;cfg_VAL_DATE,"⏳ قادمة",IF(F441&lt;cfg_VAL_DATE,"✔ منتهية","✈ جارية في تاريخ التقرير"))))))</f>
        <v/>
      </c>
      <c r="Q441" s="118"/>
      <c r="R441" s="133" t="n">
        <f aca="false">IF(OR(OR($B441="",$E441="",$F441=""),L441&lt;&gt;"لا"),0,MAX(0,MIN(F441,cfg_Y_START-1)-E441+1))</f>
        <v>0</v>
      </c>
      <c r="S441" s="133" t="n">
        <f aca="false">IF(OR(OR($B441="",$E441="",$F441=""),L441&lt;&gt;"لا"),0,MAX(0,MIN(F441,cfg_VAL_DATE)-E441+1))</f>
        <v>0</v>
      </c>
      <c r="T441" s="133" t="n">
        <f aca="false">IF(OR(OR($B441="",$E441="",$F441=""),K441&lt;&gt;"نعم"),0,IF(M441="نعم",IF(AND(ISNUMBER(O441),N(O441)&lt;=cfg_VAL_M),G441,0),MAX(0,MIN(F441,cfg_VAL_DATE)-MAX(E441,cfg_Y_START)+1)))</f>
        <v>0</v>
      </c>
      <c r="V441" s="133" t="n">
        <f aca="false">IF(OR($B441="",$E441="",$F441=""),0,MAX(0,MIN($F441,EOMONTH(DATE(cfg_FY,1,1),0))-MAX($E441,DATE(cfg_FY,1,1))+1)*(1-IF($M441="نعم",0,N($J441))))</f>
        <v>0</v>
      </c>
      <c r="W441" s="133" t="n">
        <f aca="false">IF(OR($B441="",$E441="",$F441=""),0,MAX(0,MIN($F441,EOMONTH(DATE(cfg_FY,2,1),0))-MAX($E441,DATE(cfg_FY,2,1))+1)*(1-IF($M441="نعم",0,N($J441))))</f>
        <v>0</v>
      </c>
      <c r="X441" s="133" t="n">
        <f aca="false">IF(OR($B441="",$E441="",$F441=""),0,MAX(0,MIN($F441,EOMONTH(DATE(cfg_FY,3,1),0))-MAX($E441,DATE(cfg_FY,3,1))+1)*(1-IF($M441="نعم",0,N($J441))))</f>
        <v>0</v>
      </c>
      <c r="Y441" s="133" t="n">
        <f aca="false">IF(OR($B441="",$E441="",$F441=""),0,MAX(0,MIN($F441,EOMONTH(DATE(cfg_FY,4,1),0))-MAX($E441,DATE(cfg_FY,4,1))+1)*(1-IF($M441="نعم",0,N($J441))))</f>
        <v>0</v>
      </c>
      <c r="Z441" s="133" t="n">
        <f aca="false">IF(OR($B441="",$E441="",$F441=""),0,MAX(0,MIN($F441,EOMONTH(DATE(cfg_FY,5,1),0))-MAX($E441,DATE(cfg_FY,5,1))+1)*(1-IF($M441="نعم",0,N($J441))))</f>
        <v>0</v>
      </c>
      <c r="AA441" s="133" t="n">
        <f aca="false">IF(OR($B441="",$E441="",$F441=""),0,MAX(0,MIN($F441,EOMONTH(DATE(cfg_FY,6,1),0))-MAX($E441,DATE(cfg_FY,6,1))+1)*(1-IF($M441="نعم",0,N($J441))))</f>
        <v>0</v>
      </c>
      <c r="AB441" s="133" t="n">
        <f aca="false">IF(OR($B441="",$E441="",$F441=""),0,MAX(0,MIN($F441,EOMONTH(DATE(cfg_FY,7,1),0))-MAX($E441,DATE(cfg_FY,7,1))+1)*(1-IF($M441="نعم",0,N($J441))))</f>
        <v>0</v>
      </c>
      <c r="AC441" s="133" t="n">
        <f aca="false">IF(OR($B441="",$E441="",$F441=""),0,MAX(0,MIN($F441,EOMONTH(DATE(cfg_FY,8,1),0))-MAX($E441,DATE(cfg_FY,8,1))+1)*(1-IF($M441="نعم",0,N($J441))))</f>
        <v>0</v>
      </c>
      <c r="AD441" s="133" t="n">
        <f aca="false">IF(OR($B441="",$E441="",$F441=""),0,MAX(0,MIN($F441,EOMONTH(DATE(cfg_FY,9,1),0))-MAX($E441,DATE(cfg_FY,9,1))+1)*(1-IF($M441="نعم",0,N($J441))))</f>
        <v>0</v>
      </c>
      <c r="AE441" s="133" t="n">
        <f aca="false">IF(OR($B441="",$E441="",$F441=""),0,MAX(0,MIN($F441,EOMONTH(DATE(cfg_FY,10,1),0))-MAX($E441,DATE(cfg_FY,10,1))+1)*(1-IF($M441="نعم",0,N($J441))))</f>
        <v>0</v>
      </c>
      <c r="AF441" s="133" t="n">
        <f aca="false">IF(OR($B441="",$E441="",$F441=""),0,MAX(0,MIN($F441,EOMONTH(DATE(cfg_FY,11,1),0))-MAX($E441,DATE(cfg_FY,11,1))+1)*(1-IF($M441="نعم",0,N($J441))))</f>
        <v>0</v>
      </c>
      <c r="AG441" s="133" t="n">
        <f aca="false">IF(OR($B441="",$E441="",$F441=""),0,MAX(0,MIN($F441,EOMONTH(DATE(cfg_FY,12,1),0))-MAX($E441,DATE(cfg_FY,12,1))+1)*(1-IF($M441="نعم",0,N($J441))))</f>
        <v>0</v>
      </c>
      <c r="AH441" s="133" t="n">
        <f aca="false">IF(OR(OR($B441="",$E441="",$F441=""),$L441&lt;&gt;"لا"),0,MAX(0,MIN($F441,EOMONTH(DATE(cfg_FY,1,1),0))-$E441+1))</f>
        <v>0</v>
      </c>
      <c r="AI441" s="133" t="n">
        <f aca="false">IF(OR(OR($B441="",$E441="",$F441=""),$L441&lt;&gt;"لا"),0,MAX(0,MIN($F441,EOMONTH(DATE(cfg_FY,2,1),0))-$E441+1))</f>
        <v>0</v>
      </c>
      <c r="AJ441" s="133" t="n">
        <f aca="false">IF(OR(OR($B441="",$E441="",$F441=""),$L441&lt;&gt;"لا"),0,MAX(0,MIN($F441,EOMONTH(DATE(cfg_FY,3,1),0))-$E441+1))</f>
        <v>0</v>
      </c>
      <c r="AK441" s="133" t="n">
        <f aca="false">IF(OR(OR($B441="",$E441="",$F441=""),$L441&lt;&gt;"لا"),0,MAX(0,MIN($F441,EOMONTH(DATE(cfg_FY,4,1),0))-$E441+1))</f>
        <v>0</v>
      </c>
      <c r="AL441" s="133" t="n">
        <f aca="false">IF(OR(OR($B441="",$E441="",$F441=""),$L441&lt;&gt;"لا"),0,MAX(0,MIN($F441,EOMONTH(DATE(cfg_FY,5,1),0))-$E441+1))</f>
        <v>0</v>
      </c>
      <c r="AM441" s="133" t="n">
        <f aca="false">IF(OR(OR($B441="",$E441="",$F441=""),$L441&lt;&gt;"لا"),0,MAX(0,MIN($F441,EOMONTH(DATE(cfg_FY,6,1),0))-$E441+1))</f>
        <v>0</v>
      </c>
      <c r="AN441" s="133" t="n">
        <f aca="false">IF(OR(OR($B441="",$E441="",$F441=""),$L441&lt;&gt;"لا"),0,MAX(0,MIN($F441,EOMONTH(DATE(cfg_FY,7,1),0))-$E441+1))</f>
        <v>0</v>
      </c>
      <c r="AO441" s="133" t="n">
        <f aca="false">IF(OR(OR($B441="",$E441="",$F441=""),$L441&lt;&gt;"لا"),0,MAX(0,MIN($F441,EOMONTH(DATE(cfg_FY,8,1),0))-$E441+1))</f>
        <v>0</v>
      </c>
      <c r="AP441" s="133" t="n">
        <f aca="false">IF(OR(OR($B441="",$E441="",$F441=""),$L441&lt;&gt;"لا"),0,MAX(0,MIN($F441,EOMONTH(DATE(cfg_FY,9,1),0))-$E441+1))</f>
        <v>0</v>
      </c>
      <c r="AQ441" s="133" t="n">
        <f aca="false">IF(OR(OR($B441="",$E441="",$F441=""),$L441&lt;&gt;"لا"),0,MAX(0,MIN($F441,EOMONTH(DATE(cfg_FY,10,1),0))-$E441+1))</f>
        <v>0</v>
      </c>
      <c r="AR441" s="133" t="n">
        <f aca="false">IF(OR(OR($B441="",$E441="",$F441=""),$L441&lt;&gt;"لا"),0,MAX(0,MIN($F441,EOMONTH(DATE(cfg_FY,11,1),0))-$E441+1))</f>
        <v>0</v>
      </c>
      <c r="AS441" s="133" t="n">
        <f aca="false">IF(OR(OR($B441="",$E441="",$F441=""),$L441&lt;&gt;"لا"),0,MAX(0,MIN($F441,EOMONTH(DATE(cfg_FY,12,1),0))-$E441+1))</f>
        <v>0</v>
      </c>
      <c r="AT441" s="133" t="n">
        <f aca="false">IF(OR(OR($B441="",$E441="",$F441=""),$K441&lt;&gt;"نعم",$M441="نعم"),0,MAX(0,MIN($F441,EOMONTH(DATE(cfg_FY,1,1),0))-MAX($E441,DATE(cfg_FY,1,1))+1))</f>
        <v>0</v>
      </c>
      <c r="AU441" s="133" t="n">
        <f aca="false">IF(OR(OR($B441="",$E441="",$F441=""),$K441&lt;&gt;"نعم",$M441="نعم"),0,MAX(0,MIN($F441,EOMONTH(DATE(cfg_FY,2,1),0))-MAX($E441,DATE(cfg_FY,2,1))+1))</f>
        <v>0</v>
      </c>
      <c r="AV441" s="133" t="n">
        <f aca="false">IF(OR(OR($B441="",$E441="",$F441=""),$K441&lt;&gt;"نعم",$M441="نعم"),0,MAX(0,MIN($F441,EOMONTH(DATE(cfg_FY,3,1),0))-MAX($E441,DATE(cfg_FY,3,1))+1))</f>
        <v>0</v>
      </c>
      <c r="AW441" s="133" t="n">
        <f aca="false">IF(OR(OR($B441="",$E441="",$F441=""),$K441&lt;&gt;"نعم",$M441="نعم"),0,MAX(0,MIN($F441,EOMONTH(DATE(cfg_FY,4,1),0))-MAX($E441,DATE(cfg_FY,4,1))+1))</f>
        <v>0</v>
      </c>
      <c r="AX441" s="133" t="n">
        <f aca="false">IF(OR(OR($B441="",$E441="",$F441=""),$K441&lt;&gt;"نعم",$M441="نعم"),0,MAX(0,MIN($F441,EOMONTH(DATE(cfg_FY,5,1),0))-MAX($E441,DATE(cfg_FY,5,1))+1))</f>
        <v>0</v>
      </c>
      <c r="AY441" s="133" t="n">
        <f aca="false">IF(OR(OR($B441="",$E441="",$F441=""),$K441&lt;&gt;"نعم",$M441="نعم"),0,MAX(0,MIN($F441,EOMONTH(DATE(cfg_FY,6,1),0))-MAX($E441,DATE(cfg_FY,6,1))+1))</f>
        <v>0</v>
      </c>
      <c r="AZ441" s="133" t="n">
        <f aca="false">IF(OR(OR($B441="",$E441="",$F441=""),$K441&lt;&gt;"نعم",$M441="نعم"),0,MAX(0,MIN($F441,EOMONTH(DATE(cfg_FY,7,1),0))-MAX($E441,DATE(cfg_FY,7,1))+1))</f>
        <v>0</v>
      </c>
      <c r="BA441" s="133" t="n">
        <f aca="false">IF(OR(OR($B441="",$E441="",$F441=""),$K441&lt;&gt;"نعم",$M441="نعم"),0,MAX(0,MIN($F441,EOMONTH(DATE(cfg_FY,8,1),0))-MAX($E441,DATE(cfg_FY,8,1))+1))</f>
        <v>0</v>
      </c>
      <c r="BB441" s="133" t="n">
        <f aca="false">IF(OR(OR($B441="",$E441="",$F441=""),$K441&lt;&gt;"نعم",$M441="نعم"),0,MAX(0,MIN($F441,EOMONTH(DATE(cfg_FY,9,1),0))-MAX($E441,DATE(cfg_FY,9,1))+1))</f>
        <v>0</v>
      </c>
      <c r="BC441" s="133" t="n">
        <f aca="false">IF(OR(OR($B441="",$E441="",$F441=""),$K441&lt;&gt;"نعم",$M441="نعم"),0,MAX(0,MIN($F441,EOMONTH(DATE(cfg_FY,10,1),0))-MAX($E441,DATE(cfg_FY,10,1))+1))</f>
        <v>0</v>
      </c>
      <c r="BD441" s="133" t="n">
        <f aca="false">IF(OR(OR($B441="",$E441="",$F441=""),$K441&lt;&gt;"نعم",$M441="نعم"),0,MAX(0,MIN($F441,EOMONTH(DATE(cfg_FY,11,1),0))-MAX($E441,DATE(cfg_FY,11,1))+1))</f>
        <v>0</v>
      </c>
      <c r="BE441" s="133" t="n">
        <f aca="false">IF(OR(OR($B441="",$E441="",$F441=""),$K441&lt;&gt;"نعم",$M441="نعم"),0,MAX(0,MIN($F441,EOMONTH(DATE(cfg_FY,12,1),0))-MAX($E441,DATE(cfg_FY,12,1))+1))</f>
        <v>0</v>
      </c>
    </row>
    <row r="442" customFormat="false" ht="15" hidden="false" customHeight="false" outlineLevel="0" collapsed="false">
      <c r="A442" s="106" t="str">
        <f aca="false">IF(B442="","",ROW()-5)</f>
        <v/>
      </c>
      <c r="B442" s="118"/>
      <c r="C442" s="114" t="str">
        <f aca="false">IF(B442="","",IFERROR(INDEX(الموظفون!$C$6:$C$105,MATCH(B442,الموظفون!$B$6:$B$105,0)),"✖ رقم غير موجود"))</f>
        <v/>
      </c>
      <c r="D442" s="118"/>
      <c r="E442" s="119"/>
      <c r="F442" s="119"/>
      <c r="G442" s="65" t="str">
        <f aca="false">IF(OR($B442="",$E442="",$F442=""),"",MAX(0,F442-E442+1))</f>
        <v/>
      </c>
      <c r="H442" s="66" t="str">
        <f aca="false">IF(D442="","",IFERROR(VLOOKUP(D442,cfg_LT,2,FALSE()),1))</f>
        <v/>
      </c>
      <c r="I442" s="135"/>
      <c r="J442" s="66" t="str">
        <f aca="false">IF(D442="","",IF(I442&lt;&gt;"",I442,H442))</f>
        <v/>
      </c>
      <c r="K442" s="114" t="str">
        <f aca="false">IF(D442="","",IFERROR(VLOOKUP($D442,cfg_LT,3,FALSE()),""))</f>
        <v/>
      </c>
      <c r="L442" s="114" t="str">
        <f aca="false">IF(D442="","",IFERROR(VLOOKUP($D442,cfg_LT,4,FALSE()),""))</f>
        <v/>
      </c>
      <c r="M442" s="114" t="str">
        <f aca="false">IF(D442="","",IFERROR(VLOOKUP($D442,cfg_LT,5,FALSE()),""))</f>
        <v/>
      </c>
      <c r="N442" s="111" t="n">
        <f aca="false">IF(OR(OR($B442="",$E442="",$F442=""),M442&lt;&gt;"نعم"),0,G442*J442*IFERROR(INDEX(الموظفون!$R$6:$R$105,MATCH(B442,الموظفون!$B$6:$B$105,0)),0)/cfg_DAYS_M)</f>
        <v>0</v>
      </c>
      <c r="O442" s="106" t="str">
        <f aca="false">IF(OR(OR($B442="",$E442="",$F442=""),M442&lt;&gt;"نعم"),"",IF(YEAR(E442)=cfg_FY,MONTH(E442),""))</f>
        <v/>
      </c>
      <c r="P442" s="114" t="str">
        <f aca="false">IF(B442="","",IF(OR(D442="",E442="",F442=""),"⚠ أكمل النوع والتواريخ",IF(F442&lt;E442,"✖ النهاية قبل البداية",IF(COUNTIFS($B$6:$B$505,B442,$E$6:$E$505,"&lt;="&amp;F442,$F$6:$F$505,"&gt;="&amp;E442)&gt;1,"⚠ تداخل مع سجل آخر",IF(E442&gt;cfg_VAL_DATE,"⏳ قادمة",IF(F442&lt;cfg_VAL_DATE,"✔ منتهية","✈ جارية في تاريخ التقرير"))))))</f>
        <v/>
      </c>
      <c r="Q442" s="118"/>
      <c r="R442" s="65" t="n">
        <f aca="false">IF(OR(OR($B442="",$E442="",$F442=""),L442&lt;&gt;"لا"),0,MAX(0,MIN(F442,cfg_Y_START-1)-E442+1))</f>
        <v>0</v>
      </c>
      <c r="S442" s="65" t="n">
        <f aca="false">IF(OR(OR($B442="",$E442="",$F442=""),L442&lt;&gt;"لا"),0,MAX(0,MIN(F442,cfg_VAL_DATE)-E442+1))</f>
        <v>0</v>
      </c>
      <c r="T442" s="65" t="n">
        <f aca="false">IF(OR(OR($B442="",$E442="",$F442=""),K442&lt;&gt;"نعم"),0,IF(M442="نعم",IF(AND(ISNUMBER(O442),N(O442)&lt;=cfg_VAL_M),G442,0),MAX(0,MIN(F442,cfg_VAL_DATE)-MAX(E442,cfg_Y_START)+1)))</f>
        <v>0</v>
      </c>
      <c r="V442" s="65" t="n">
        <f aca="false">IF(OR($B442="",$E442="",$F442=""),0,MAX(0,MIN($F442,EOMONTH(DATE(cfg_FY,1,1),0))-MAX($E442,DATE(cfg_FY,1,1))+1)*(1-IF($M442="نعم",0,N($J442))))</f>
        <v>0</v>
      </c>
      <c r="W442" s="65" t="n">
        <f aca="false">IF(OR($B442="",$E442="",$F442=""),0,MAX(0,MIN($F442,EOMONTH(DATE(cfg_FY,2,1),0))-MAX($E442,DATE(cfg_FY,2,1))+1)*(1-IF($M442="نعم",0,N($J442))))</f>
        <v>0</v>
      </c>
      <c r="X442" s="65" t="n">
        <f aca="false">IF(OR($B442="",$E442="",$F442=""),0,MAX(0,MIN($F442,EOMONTH(DATE(cfg_FY,3,1),0))-MAX($E442,DATE(cfg_FY,3,1))+1)*(1-IF($M442="نعم",0,N($J442))))</f>
        <v>0</v>
      </c>
      <c r="Y442" s="65" t="n">
        <f aca="false">IF(OR($B442="",$E442="",$F442=""),0,MAX(0,MIN($F442,EOMONTH(DATE(cfg_FY,4,1),0))-MAX($E442,DATE(cfg_FY,4,1))+1)*(1-IF($M442="نعم",0,N($J442))))</f>
        <v>0</v>
      </c>
      <c r="Z442" s="65" t="n">
        <f aca="false">IF(OR($B442="",$E442="",$F442=""),0,MAX(0,MIN($F442,EOMONTH(DATE(cfg_FY,5,1),0))-MAX($E442,DATE(cfg_FY,5,1))+1)*(1-IF($M442="نعم",0,N($J442))))</f>
        <v>0</v>
      </c>
      <c r="AA442" s="65" t="n">
        <f aca="false">IF(OR($B442="",$E442="",$F442=""),0,MAX(0,MIN($F442,EOMONTH(DATE(cfg_FY,6,1),0))-MAX($E442,DATE(cfg_FY,6,1))+1)*(1-IF($M442="نعم",0,N($J442))))</f>
        <v>0</v>
      </c>
      <c r="AB442" s="65" t="n">
        <f aca="false">IF(OR($B442="",$E442="",$F442=""),0,MAX(0,MIN($F442,EOMONTH(DATE(cfg_FY,7,1),0))-MAX($E442,DATE(cfg_FY,7,1))+1)*(1-IF($M442="نعم",0,N($J442))))</f>
        <v>0</v>
      </c>
      <c r="AC442" s="65" t="n">
        <f aca="false">IF(OR($B442="",$E442="",$F442=""),0,MAX(0,MIN($F442,EOMONTH(DATE(cfg_FY,8,1),0))-MAX($E442,DATE(cfg_FY,8,1))+1)*(1-IF($M442="نعم",0,N($J442))))</f>
        <v>0</v>
      </c>
      <c r="AD442" s="65" t="n">
        <f aca="false">IF(OR($B442="",$E442="",$F442=""),0,MAX(0,MIN($F442,EOMONTH(DATE(cfg_FY,9,1),0))-MAX($E442,DATE(cfg_FY,9,1))+1)*(1-IF($M442="نعم",0,N($J442))))</f>
        <v>0</v>
      </c>
      <c r="AE442" s="65" t="n">
        <f aca="false">IF(OR($B442="",$E442="",$F442=""),0,MAX(0,MIN($F442,EOMONTH(DATE(cfg_FY,10,1),0))-MAX($E442,DATE(cfg_FY,10,1))+1)*(1-IF($M442="نعم",0,N($J442))))</f>
        <v>0</v>
      </c>
      <c r="AF442" s="65" t="n">
        <f aca="false">IF(OR($B442="",$E442="",$F442=""),0,MAX(0,MIN($F442,EOMONTH(DATE(cfg_FY,11,1),0))-MAX($E442,DATE(cfg_FY,11,1))+1)*(1-IF($M442="نعم",0,N($J442))))</f>
        <v>0</v>
      </c>
      <c r="AG442" s="65" t="n">
        <f aca="false">IF(OR($B442="",$E442="",$F442=""),0,MAX(0,MIN($F442,EOMONTH(DATE(cfg_FY,12,1),0))-MAX($E442,DATE(cfg_FY,12,1))+1)*(1-IF($M442="نعم",0,N($J442))))</f>
        <v>0</v>
      </c>
      <c r="AH442" s="65" t="n">
        <f aca="false">IF(OR(OR($B442="",$E442="",$F442=""),$L442&lt;&gt;"لا"),0,MAX(0,MIN($F442,EOMONTH(DATE(cfg_FY,1,1),0))-$E442+1))</f>
        <v>0</v>
      </c>
      <c r="AI442" s="65" t="n">
        <f aca="false">IF(OR(OR($B442="",$E442="",$F442=""),$L442&lt;&gt;"لا"),0,MAX(0,MIN($F442,EOMONTH(DATE(cfg_FY,2,1),0))-$E442+1))</f>
        <v>0</v>
      </c>
      <c r="AJ442" s="65" t="n">
        <f aca="false">IF(OR(OR($B442="",$E442="",$F442=""),$L442&lt;&gt;"لا"),0,MAX(0,MIN($F442,EOMONTH(DATE(cfg_FY,3,1),0))-$E442+1))</f>
        <v>0</v>
      </c>
      <c r="AK442" s="65" t="n">
        <f aca="false">IF(OR(OR($B442="",$E442="",$F442=""),$L442&lt;&gt;"لا"),0,MAX(0,MIN($F442,EOMONTH(DATE(cfg_FY,4,1),0))-$E442+1))</f>
        <v>0</v>
      </c>
      <c r="AL442" s="65" t="n">
        <f aca="false">IF(OR(OR($B442="",$E442="",$F442=""),$L442&lt;&gt;"لا"),0,MAX(0,MIN($F442,EOMONTH(DATE(cfg_FY,5,1),0))-$E442+1))</f>
        <v>0</v>
      </c>
      <c r="AM442" s="65" t="n">
        <f aca="false">IF(OR(OR($B442="",$E442="",$F442=""),$L442&lt;&gt;"لا"),0,MAX(0,MIN($F442,EOMONTH(DATE(cfg_FY,6,1),0))-$E442+1))</f>
        <v>0</v>
      </c>
      <c r="AN442" s="65" t="n">
        <f aca="false">IF(OR(OR($B442="",$E442="",$F442=""),$L442&lt;&gt;"لا"),0,MAX(0,MIN($F442,EOMONTH(DATE(cfg_FY,7,1),0))-$E442+1))</f>
        <v>0</v>
      </c>
      <c r="AO442" s="65" t="n">
        <f aca="false">IF(OR(OR($B442="",$E442="",$F442=""),$L442&lt;&gt;"لا"),0,MAX(0,MIN($F442,EOMONTH(DATE(cfg_FY,8,1),0))-$E442+1))</f>
        <v>0</v>
      </c>
      <c r="AP442" s="65" t="n">
        <f aca="false">IF(OR(OR($B442="",$E442="",$F442=""),$L442&lt;&gt;"لا"),0,MAX(0,MIN($F442,EOMONTH(DATE(cfg_FY,9,1),0))-$E442+1))</f>
        <v>0</v>
      </c>
      <c r="AQ442" s="65" t="n">
        <f aca="false">IF(OR(OR($B442="",$E442="",$F442=""),$L442&lt;&gt;"لا"),0,MAX(0,MIN($F442,EOMONTH(DATE(cfg_FY,10,1),0))-$E442+1))</f>
        <v>0</v>
      </c>
      <c r="AR442" s="65" t="n">
        <f aca="false">IF(OR(OR($B442="",$E442="",$F442=""),$L442&lt;&gt;"لا"),0,MAX(0,MIN($F442,EOMONTH(DATE(cfg_FY,11,1),0))-$E442+1))</f>
        <v>0</v>
      </c>
      <c r="AS442" s="65" t="n">
        <f aca="false">IF(OR(OR($B442="",$E442="",$F442=""),$L442&lt;&gt;"لا"),0,MAX(0,MIN($F442,EOMONTH(DATE(cfg_FY,12,1),0))-$E442+1))</f>
        <v>0</v>
      </c>
      <c r="AT442" s="65" t="n">
        <f aca="false">IF(OR(OR($B442="",$E442="",$F442=""),$K442&lt;&gt;"نعم",$M442="نعم"),0,MAX(0,MIN($F442,EOMONTH(DATE(cfg_FY,1,1),0))-MAX($E442,DATE(cfg_FY,1,1))+1))</f>
        <v>0</v>
      </c>
      <c r="AU442" s="65" t="n">
        <f aca="false">IF(OR(OR($B442="",$E442="",$F442=""),$K442&lt;&gt;"نعم",$M442="نعم"),0,MAX(0,MIN($F442,EOMONTH(DATE(cfg_FY,2,1),0))-MAX($E442,DATE(cfg_FY,2,1))+1))</f>
        <v>0</v>
      </c>
      <c r="AV442" s="65" t="n">
        <f aca="false">IF(OR(OR($B442="",$E442="",$F442=""),$K442&lt;&gt;"نعم",$M442="نعم"),0,MAX(0,MIN($F442,EOMONTH(DATE(cfg_FY,3,1),0))-MAX($E442,DATE(cfg_FY,3,1))+1))</f>
        <v>0</v>
      </c>
      <c r="AW442" s="65" t="n">
        <f aca="false">IF(OR(OR($B442="",$E442="",$F442=""),$K442&lt;&gt;"نعم",$M442="نعم"),0,MAX(0,MIN($F442,EOMONTH(DATE(cfg_FY,4,1),0))-MAX($E442,DATE(cfg_FY,4,1))+1))</f>
        <v>0</v>
      </c>
      <c r="AX442" s="65" t="n">
        <f aca="false">IF(OR(OR($B442="",$E442="",$F442=""),$K442&lt;&gt;"نعم",$M442="نعم"),0,MAX(0,MIN($F442,EOMONTH(DATE(cfg_FY,5,1),0))-MAX($E442,DATE(cfg_FY,5,1))+1))</f>
        <v>0</v>
      </c>
      <c r="AY442" s="65" t="n">
        <f aca="false">IF(OR(OR($B442="",$E442="",$F442=""),$K442&lt;&gt;"نعم",$M442="نعم"),0,MAX(0,MIN($F442,EOMONTH(DATE(cfg_FY,6,1),0))-MAX($E442,DATE(cfg_FY,6,1))+1))</f>
        <v>0</v>
      </c>
      <c r="AZ442" s="65" t="n">
        <f aca="false">IF(OR(OR($B442="",$E442="",$F442=""),$K442&lt;&gt;"نعم",$M442="نعم"),0,MAX(0,MIN($F442,EOMONTH(DATE(cfg_FY,7,1),0))-MAX($E442,DATE(cfg_FY,7,1))+1))</f>
        <v>0</v>
      </c>
      <c r="BA442" s="65" t="n">
        <f aca="false">IF(OR(OR($B442="",$E442="",$F442=""),$K442&lt;&gt;"نعم",$M442="نعم"),0,MAX(0,MIN($F442,EOMONTH(DATE(cfg_FY,8,1),0))-MAX($E442,DATE(cfg_FY,8,1))+1))</f>
        <v>0</v>
      </c>
      <c r="BB442" s="65" t="n">
        <f aca="false">IF(OR(OR($B442="",$E442="",$F442=""),$K442&lt;&gt;"نعم",$M442="نعم"),0,MAX(0,MIN($F442,EOMONTH(DATE(cfg_FY,9,1),0))-MAX($E442,DATE(cfg_FY,9,1))+1))</f>
        <v>0</v>
      </c>
      <c r="BC442" s="65" t="n">
        <f aca="false">IF(OR(OR($B442="",$E442="",$F442=""),$K442&lt;&gt;"نعم",$M442="نعم"),0,MAX(0,MIN($F442,EOMONTH(DATE(cfg_FY,10,1),0))-MAX($E442,DATE(cfg_FY,10,1))+1))</f>
        <v>0</v>
      </c>
      <c r="BD442" s="65" t="n">
        <f aca="false">IF(OR(OR($B442="",$E442="",$F442=""),$K442&lt;&gt;"نعم",$M442="نعم"),0,MAX(0,MIN($F442,EOMONTH(DATE(cfg_FY,11,1),0))-MAX($E442,DATE(cfg_FY,11,1))+1))</f>
        <v>0</v>
      </c>
      <c r="BE442" s="65" t="n">
        <f aca="false">IF(OR(OR($B442="",$E442="",$F442=""),$K442&lt;&gt;"نعم",$M442="نعم"),0,MAX(0,MIN($F442,EOMONTH(DATE(cfg_FY,12,1),0))-MAX($E442,DATE(cfg_FY,12,1))+1))</f>
        <v>0</v>
      </c>
    </row>
    <row r="443" customFormat="false" ht="15" hidden="false" customHeight="false" outlineLevel="0" collapsed="false">
      <c r="A443" s="115" t="str">
        <f aca="false">IF(B443="","",ROW()-5)</f>
        <v/>
      </c>
      <c r="B443" s="118"/>
      <c r="C443" s="117" t="str">
        <f aca="false">IF(B443="","",IFERROR(INDEX(الموظفون!$C$6:$C$105,MATCH(B443,الموظفون!$B$6:$B$105,0)),"✖ رقم غير موجود"))</f>
        <v/>
      </c>
      <c r="D443" s="118"/>
      <c r="E443" s="119"/>
      <c r="F443" s="119"/>
      <c r="G443" s="133" t="str">
        <f aca="false">IF(OR($B443="",$E443="",$F443=""),"",MAX(0,F443-E443+1))</f>
        <v/>
      </c>
      <c r="H443" s="134" t="str">
        <f aca="false">IF(D443="","",IFERROR(VLOOKUP(D443,cfg_LT,2,FALSE()),1))</f>
        <v/>
      </c>
      <c r="I443" s="135"/>
      <c r="J443" s="134" t="str">
        <f aca="false">IF(D443="","",IF(I443&lt;&gt;"",I443,H443))</f>
        <v/>
      </c>
      <c r="K443" s="117" t="str">
        <f aca="false">IF(D443="","",IFERROR(VLOOKUP($D443,cfg_LT,3,FALSE()),""))</f>
        <v/>
      </c>
      <c r="L443" s="117" t="str">
        <f aca="false">IF(D443="","",IFERROR(VLOOKUP($D443,cfg_LT,4,FALSE()),""))</f>
        <v/>
      </c>
      <c r="M443" s="117" t="str">
        <f aca="false">IF(D443="","",IFERROR(VLOOKUP($D443,cfg_LT,5,FALSE()),""))</f>
        <v/>
      </c>
      <c r="N443" s="116" t="n">
        <f aca="false">IF(OR(OR($B443="",$E443="",$F443=""),M443&lt;&gt;"نعم"),0,G443*J443*IFERROR(INDEX(الموظفون!$R$6:$R$105,MATCH(B443,الموظفون!$B$6:$B$105,0)),0)/cfg_DAYS_M)</f>
        <v>0</v>
      </c>
      <c r="O443" s="115" t="str">
        <f aca="false">IF(OR(OR($B443="",$E443="",$F443=""),M443&lt;&gt;"نعم"),"",IF(YEAR(E443)=cfg_FY,MONTH(E443),""))</f>
        <v/>
      </c>
      <c r="P443" s="117" t="str">
        <f aca="false">IF(B443="","",IF(OR(D443="",E443="",F443=""),"⚠ أكمل النوع والتواريخ",IF(F443&lt;E443,"✖ النهاية قبل البداية",IF(COUNTIFS($B$6:$B$505,B443,$E$6:$E$505,"&lt;="&amp;F443,$F$6:$F$505,"&gt;="&amp;E443)&gt;1,"⚠ تداخل مع سجل آخر",IF(E443&gt;cfg_VAL_DATE,"⏳ قادمة",IF(F443&lt;cfg_VAL_DATE,"✔ منتهية","✈ جارية في تاريخ التقرير"))))))</f>
        <v/>
      </c>
      <c r="Q443" s="118"/>
      <c r="R443" s="133" t="n">
        <f aca="false">IF(OR(OR($B443="",$E443="",$F443=""),L443&lt;&gt;"لا"),0,MAX(0,MIN(F443,cfg_Y_START-1)-E443+1))</f>
        <v>0</v>
      </c>
      <c r="S443" s="133" t="n">
        <f aca="false">IF(OR(OR($B443="",$E443="",$F443=""),L443&lt;&gt;"لا"),0,MAX(0,MIN(F443,cfg_VAL_DATE)-E443+1))</f>
        <v>0</v>
      </c>
      <c r="T443" s="133" t="n">
        <f aca="false">IF(OR(OR($B443="",$E443="",$F443=""),K443&lt;&gt;"نعم"),0,IF(M443="نعم",IF(AND(ISNUMBER(O443),N(O443)&lt;=cfg_VAL_M),G443,0),MAX(0,MIN(F443,cfg_VAL_DATE)-MAX(E443,cfg_Y_START)+1)))</f>
        <v>0</v>
      </c>
      <c r="V443" s="133" t="n">
        <f aca="false">IF(OR($B443="",$E443="",$F443=""),0,MAX(0,MIN($F443,EOMONTH(DATE(cfg_FY,1,1),0))-MAX($E443,DATE(cfg_FY,1,1))+1)*(1-IF($M443="نعم",0,N($J443))))</f>
        <v>0</v>
      </c>
      <c r="W443" s="133" t="n">
        <f aca="false">IF(OR($B443="",$E443="",$F443=""),0,MAX(0,MIN($F443,EOMONTH(DATE(cfg_FY,2,1),0))-MAX($E443,DATE(cfg_FY,2,1))+1)*(1-IF($M443="نعم",0,N($J443))))</f>
        <v>0</v>
      </c>
      <c r="X443" s="133" t="n">
        <f aca="false">IF(OR($B443="",$E443="",$F443=""),0,MAX(0,MIN($F443,EOMONTH(DATE(cfg_FY,3,1),0))-MAX($E443,DATE(cfg_FY,3,1))+1)*(1-IF($M443="نعم",0,N($J443))))</f>
        <v>0</v>
      </c>
      <c r="Y443" s="133" t="n">
        <f aca="false">IF(OR($B443="",$E443="",$F443=""),0,MAX(0,MIN($F443,EOMONTH(DATE(cfg_FY,4,1),0))-MAX($E443,DATE(cfg_FY,4,1))+1)*(1-IF($M443="نعم",0,N($J443))))</f>
        <v>0</v>
      </c>
      <c r="Z443" s="133" t="n">
        <f aca="false">IF(OR($B443="",$E443="",$F443=""),0,MAX(0,MIN($F443,EOMONTH(DATE(cfg_FY,5,1),0))-MAX($E443,DATE(cfg_FY,5,1))+1)*(1-IF($M443="نعم",0,N($J443))))</f>
        <v>0</v>
      </c>
      <c r="AA443" s="133" t="n">
        <f aca="false">IF(OR($B443="",$E443="",$F443=""),0,MAX(0,MIN($F443,EOMONTH(DATE(cfg_FY,6,1),0))-MAX($E443,DATE(cfg_FY,6,1))+1)*(1-IF($M443="نعم",0,N($J443))))</f>
        <v>0</v>
      </c>
      <c r="AB443" s="133" t="n">
        <f aca="false">IF(OR($B443="",$E443="",$F443=""),0,MAX(0,MIN($F443,EOMONTH(DATE(cfg_FY,7,1),0))-MAX($E443,DATE(cfg_FY,7,1))+1)*(1-IF($M443="نعم",0,N($J443))))</f>
        <v>0</v>
      </c>
      <c r="AC443" s="133" t="n">
        <f aca="false">IF(OR($B443="",$E443="",$F443=""),0,MAX(0,MIN($F443,EOMONTH(DATE(cfg_FY,8,1),0))-MAX($E443,DATE(cfg_FY,8,1))+1)*(1-IF($M443="نعم",0,N($J443))))</f>
        <v>0</v>
      </c>
      <c r="AD443" s="133" t="n">
        <f aca="false">IF(OR($B443="",$E443="",$F443=""),0,MAX(0,MIN($F443,EOMONTH(DATE(cfg_FY,9,1),0))-MAX($E443,DATE(cfg_FY,9,1))+1)*(1-IF($M443="نعم",0,N($J443))))</f>
        <v>0</v>
      </c>
      <c r="AE443" s="133" t="n">
        <f aca="false">IF(OR($B443="",$E443="",$F443=""),0,MAX(0,MIN($F443,EOMONTH(DATE(cfg_FY,10,1),0))-MAX($E443,DATE(cfg_FY,10,1))+1)*(1-IF($M443="نعم",0,N($J443))))</f>
        <v>0</v>
      </c>
      <c r="AF443" s="133" t="n">
        <f aca="false">IF(OR($B443="",$E443="",$F443=""),0,MAX(0,MIN($F443,EOMONTH(DATE(cfg_FY,11,1),0))-MAX($E443,DATE(cfg_FY,11,1))+1)*(1-IF($M443="نعم",0,N($J443))))</f>
        <v>0</v>
      </c>
      <c r="AG443" s="133" t="n">
        <f aca="false">IF(OR($B443="",$E443="",$F443=""),0,MAX(0,MIN($F443,EOMONTH(DATE(cfg_FY,12,1),0))-MAX($E443,DATE(cfg_FY,12,1))+1)*(1-IF($M443="نعم",0,N($J443))))</f>
        <v>0</v>
      </c>
      <c r="AH443" s="133" t="n">
        <f aca="false">IF(OR(OR($B443="",$E443="",$F443=""),$L443&lt;&gt;"لا"),0,MAX(0,MIN($F443,EOMONTH(DATE(cfg_FY,1,1),0))-$E443+1))</f>
        <v>0</v>
      </c>
      <c r="AI443" s="133" t="n">
        <f aca="false">IF(OR(OR($B443="",$E443="",$F443=""),$L443&lt;&gt;"لا"),0,MAX(0,MIN($F443,EOMONTH(DATE(cfg_FY,2,1),0))-$E443+1))</f>
        <v>0</v>
      </c>
      <c r="AJ443" s="133" t="n">
        <f aca="false">IF(OR(OR($B443="",$E443="",$F443=""),$L443&lt;&gt;"لا"),0,MAX(0,MIN($F443,EOMONTH(DATE(cfg_FY,3,1),0))-$E443+1))</f>
        <v>0</v>
      </c>
      <c r="AK443" s="133" t="n">
        <f aca="false">IF(OR(OR($B443="",$E443="",$F443=""),$L443&lt;&gt;"لا"),0,MAX(0,MIN($F443,EOMONTH(DATE(cfg_FY,4,1),0))-$E443+1))</f>
        <v>0</v>
      </c>
      <c r="AL443" s="133" t="n">
        <f aca="false">IF(OR(OR($B443="",$E443="",$F443=""),$L443&lt;&gt;"لا"),0,MAX(0,MIN($F443,EOMONTH(DATE(cfg_FY,5,1),0))-$E443+1))</f>
        <v>0</v>
      </c>
      <c r="AM443" s="133" t="n">
        <f aca="false">IF(OR(OR($B443="",$E443="",$F443=""),$L443&lt;&gt;"لا"),0,MAX(0,MIN($F443,EOMONTH(DATE(cfg_FY,6,1),0))-$E443+1))</f>
        <v>0</v>
      </c>
      <c r="AN443" s="133" t="n">
        <f aca="false">IF(OR(OR($B443="",$E443="",$F443=""),$L443&lt;&gt;"لا"),0,MAX(0,MIN($F443,EOMONTH(DATE(cfg_FY,7,1),0))-$E443+1))</f>
        <v>0</v>
      </c>
      <c r="AO443" s="133" t="n">
        <f aca="false">IF(OR(OR($B443="",$E443="",$F443=""),$L443&lt;&gt;"لا"),0,MAX(0,MIN($F443,EOMONTH(DATE(cfg_FY,8,1),0))-$E443+1))</f>
        <v>0</v>
      </c>
      <c r="AP443" s="133" t="n">
        <f aca="false">IF(OR(OR($B443="",$E443="",$F443=""),$L443&lt;&gt;"لا"),0,MAX(0,MIN($F443,EOMONTH(DATE(cfg_FY,9,1),0))-$E443+1))</f>
        <v>0</v>
      </c>
      <c r="AQ443" s="133" t="n">
        <f aca="false">IF(OR(OR($B443="",$E443="",$F443=""),$L443&lt;&gt;"لا"),0,MAX(0,MIN($F443,EOMONTH(DATE(cfg_FY,10,1),0))-$E443+1))</f>
        <v>0</v>
      </c>
      <c r="AR443" s="133" t="n">
        <f aca="false">IF(OR(OR($B443="",$E443="",$F443=""),$L443&lt;&gt;"لا"),0,MAX(0,MIN($F443,EOMONTH(DATE(cfg_FY,11,1),0))-$E443+1))</f>
        <v>0</v>
      </c>
      <c r="AS443" s="133" t="n">
        <f aca="false">IF(OR(OR($B443="",$E443="",$F443=""),$L443&lt;&gt;"لا"),0,MAX(0,MIN($F443,EOMONTH(DATE(cfg_FY,12,1),0))-$E443+1))</f>
        <v>0</v>
      </c>
      <c r="AT443" s="133" t="n">
        <f aca="false">IF(OR(OR($B443="",$E443="",$F443=""),$K443&lt;&gt;"نعم",$M443="نعم"),0,MAX(0,MIN($F443,EOMONTH(DATE(cfg_FY,1,1),0))-MAX($E443,DATE(cfg_FY,1,1))+1))</f>
        <v>0</v>
      </c>
      <c r="AU443" s="133" t="n">
        <f aca="false">IF(OR(OR($B443="",$E443="",$F443=""),$K443&lt;&gt;"نعم",$M443="نعم"),0,MAX(0,MIN($F443,EOMONTH(DATE(cfg_FY,2,1),0))-MAX($E443,DATE(cfg_FY,2,1))+1))</f>
        <v>0</v>
      </c>
      <c r="AV443" s="133" t="n">
        <f aca="false">IF(OR(OR($B443="",$E443="",$F443=""),$K443&lt;&gt;"نعم",$M443="نعم"),0,MAX(0,MIN($F443,EOMONTH(DATE(cfg_FY,3,1),0))-MAX($E443,DATE(cfg_FY,3,1))+1))</f>
        <v>0</v>
      </c>
      <c r="AW443" s="133" t="n">
        <f aca="false">IF(OR(OR($B443="",$E443="",$F443=""),$K443&lt;&gt;"نعم",$M443="نعم"),0,MAX(0,MIN($F443,EOMONTH(DATE(cfg_FY,4,1),0))-MAX($E443,DATE(cfg_FY,4,1))+1))</f>
        <v>0</v>
      </c>
      <c r="AX443" s="133" t="n">
        <f aca="false">IF(OR(OR($B443="",$E443="",$F443=""),$K443&lt;&gt;"نعم",$M443="نعم"),0,MAX(0,MIN($F443,EOMONTH(DATE(cfg_FY,5,1),0))-MAX($E443,DATE(cfg_FY,5,1))+1))</f>
        <v>0</v>
      </c>
      <c r="AY443" s="133" t="n">
        <f aca="false">IF(OR(OR($B443="",$E443="",$F443=""),$K443&lt;&gt;"نعم",$M443="نعم"),0,MAX(0,MIN($F443,EOMONTH(DATE(cfg_FY,6,1),0))-MAX($E443,DATE(cfg_FY,6,1))+1))</f>
        <v>0</v>
      </c>
      <c r="AZ443" s="133" t="n">
        <f aca="false">IF(OR(OR($B443="",$E443="",$F443=""),$K443&lt;&gt;"نعم",$M443="نعم"),0,MAX(0,MIN($F443,EOMONTH(DATE(cfg_FY,7,1),0))-MAX($E443,DATE(cfg_FY,7,1))+1))</f>
        <v>0</v>
      </c>
      <c r="BA443" s="133" t="n">
        <f aca="false">IF(OR(OR($B443="",$E443="",$F443=""),$K443&lt;&gt;"نعم",$M443="نعم"),0,MAX(0,MIN($F443,EOMONTH(DATE(cfg_FY,8,1),0))-MAX($E443,DATE(cfg_FY,8,1))+1))</f>
        <v>0</v>
      </c>
      <c r="BB443" s="133" t="n">
        <f aca="false">IF(OR(OR($B443="",$E443="",$F443=""),$K443&lt;&gt;"نعم",$M443="نعم"),0,MAX(0,MIN($F443,EOMONTH(DATE(cfg_FY,9,1),0))-MAX($E443,DATE(cfg_FY,9,1))+1))</f>
        <v>0</v>
      </c>
      <c r="BC443" s="133" t="n">
        <f aca="false">IF(OR(OR($B443="",$E443="",$F443=""),$K443&lt;&gt;"نعم",$M443="نعم"),0,MAX(0,MIN($F443,EOMONTH(DATE(cfg_FY,10,1),0))-MAX($E443,DATE(cfg_FY,10,1))+1))</f>
        <v>0</v>
      </c>
      <c r="BD443" s="133" t="n">
        <f aca="false">IF(OR(OR($B443="",$E443="",$F443=""),$K443&lt;&gt;"نعم",$M443="نعم"),0,MAX(0,MIN($F443,EOMONTH(DATE(cfg_FY,11,1),0))-MAX($E443,DATE(cfg_FY,11,1))+1))</f>
        <v>0</v>
      </c>
      <c r="BE443" s="133" t="n">
        <f aca="false">IF(OR(OR($B443="",$E443="",$F443=""),$K443&lt;&gt;"نعم",$M443="نعم"),0,MAX(0,MIN($F443,EOMONTH(DATE(cfg_FY,12,1),0))-MAX($E443,DATE(cfg_FY,12,1))+1))</f>
        <v>0</v>
      </c>
    </row>
    <row r="444" customFormat="false" ht="15" hidden="false" customHeight="false" outlineLevel="0" collapsed="false">
      <c r="A444" s="106" t="str">
        <f aca="false">IF(B444="","",ROW()-5)</f>
        <v/>
      </c>
      <c r="B444" s="118"/>
      <c r="C444" s="114" t="str">
        <f aca="false">IF(B444="","",IFERROR(INDEX(الموظفون!$C$6:$C$105,MATCH(B444,الموظفون!$B$6:$B$105,0)),"✖ رقم غير موجود"))</f>
        <v/>
      </c>
      <c r="D444" s="118"/>
      <c r="E444" s="119"/>
      <c r="F444" s="119"/>
      <c r="G444" s="65" t="str">
        <f aca="false">IF(OR($B444="",$E444="",$F444=""),"",MAX(0,F444-E444+1))</f>
        <v/>
      </c>
      <c r="H444" s="66" t="str">
        <f aca="false">IF(D444="","",IFERROR(VLOOKUP(D444,cfg_LT,2,FALSE()),1))</f>
        <v/>
      </c>
      <c r="I444" s="135"/>
      <c r="J444" s="66" t="str">
        <f aca="false">IF(D444="","",IF(I444&lt;&gt;"",I444,H444))</f>
        <v/>
      </c>
      <c r="K444" s="114" t="str">
        <f aca="false">IF(D444="","",IFERROR(VLOOKUP($D444,cfg_LT,3,FALSE()),""))</f>
        <v/>
      </c>
      <c r="L444" s="114" t="str">
        <f aca="false">IF(D444="","",IFERROR(VLOOKUP($D444,cfg_LT,4,FALSE()),""))</f>
        <v/>
      </c>
      <c r="M444" s="114" t="str">
        <f aca="false">IF(D444="","",IFERROR(VLOOKUP($D444,cfg_LT,5,FALSE()),""))</f>
        <v/>
      </c>
      <c r="N444" s="111" t="n">
        <f aca="false">IF(OR(OR($B444="",$E444="",$F444=""),M444&lt;&gt;"نعم"),0,G444*J444*IFERROR(INDEX(الموظفون!$R$6:$R$105,MATCH(B444,الموظفون!$B$6:$B$105,0)),0)/cfg_DAYS_M)</f>
        <v>0</v>
      </c>
      <c r="O444" s="106" t="str">
        <f aca="false">IF(OR(OR($B444="",$E444="",$F444=""),M444&lt;&gt;"نعم"),"",IF(YEAR(E444)=cfg_FY,MONTH(E444),""))</f>
        <v/>
      </c>
      <c r="P444" s="114" t="str">
        <f aca="false">IF(B444="","",IF(OR(D444="",E444="",F444=""),"⚠ أكمل النوع والتواريخ",IF(F444&lt;E444,"✖ النهاية قبل البداية",IF(COUNTIFS($B$6:$B$505,B444,$E$6:$E$505,"&lt;="&amp;F444,$F$6:$F$505,"&gt;="&amp;E444)&gt;1,"⚠ تداخل مع سجل آخر",IF(E444&gt;cfg_VAL_DATE,"⏳ قادمة",IF(F444&lt;cfg_VAL_DATE,"✔ منتهية","✈ جارية في تاريخ التقرير"))))))</f>
        <v/>
      </c>
      <c r="Q444" s="118"/>
      <c r="R444" s="65" t="n">
        <f aca="false">IF(OR(OR($B444="",$E444="",$F444=""),L444&lt;&gt;"لا"),0,MAX(0,MIN(F444,cfg_Y_START-1)-E444+1))</f>
        <v>0</v>
      </c>
      <c r="S444" s="65" t="n">
        <f aca="false">IF(OR(OR($B444="",$E444="",$F444=""),L444&lt;&gt;"لا"),0,MAX(0,MIN(F444,cfg_VAL_DATE)-E444+1))</f>
        <v>0</v>
      </c>
      <c r="T444" s="65" t="n">
        <f aca="false">IF(OR(OR($B444="",$E444="",$F444=""),K444&lt;&gt;"نعم"),0,IF(M444="نعم",IF(AND(ISNUMBER(O444),N(O444)&lt;=cfg_VAL_M),G444,0),MAX(0,MIN(F444,cfg_VAL_DATE)-MAX(E444,cfg_Y_START)+1)))</f>
        <v>0</v>
      </c>
      <c r="V444" s="65" t="n">
        <f aca="false">IF(OR($B444="",$E444="",$F444=""),0,MAX(0,MIN($F444,EOMONTH(DATE(cfg_FY,1,1),0))-MAX($E444,DATE(cfg_FY,1,1))+1)*(1-IF($M444="نعم",0,N($J444))))</f>
        <v>0</v>
      </c>
      <c r="W444" s="65" t="n">
        <f aca="false">IF(OR($B444="",$E444="",$F444=""),0,MAX(0,MIN($F444,EOMONTH(DATE(cfg_FY,2,1),0))-MAX($E444,DATE(cfg_FY,2,1))+1)*(1-IF($M444="نعم",0,N($J444))))</f>
        <v>0</v>
      </c>
      <c r="X444" s="65" t="n">
        <f aca="false">IF(OR($B444="",$E444="",$F444=""),0,MAX(0,MIN($F444,EOMONTH(DATE(cfg_FY,3,1),0))-MAX($E444,DATE(cfg_FY,3,1))+1)*(1-IF($M444="نعم",0,N($J444))))</f>
        <v>0</v>
      </c>
      <c r="Y444" s="65" t="n">
        <f aca="false">IF(OR($B444="",$E444="",$F444=""),0,MAX(0,MIN($F444,EOMONTH(DATE(cfg_FY,4,1),0))-MAX($E444,DATE(cfg_FY,4,1))+1)*(1-IF($M444="نعم",0,N($J444))))</f>
        <v>0</v>
      </c>
      <c r="Z444" s="65" t="n">
        <f aca="false">IF(OR($B444="",$E444="",$F444=""),0,MAX(0,MIN($F444,EOMONTH(DATE(cfg_FY,5,1),0))-MAX($E444,DATE(cfg_FY,5,1))+1)*(1-IF($M444="نعم",0,N($J444))))</f>
        <v>0</v>
      </c>
      <c r="AA444" s="65" t="n">
        <f aca="false">IF(OR($B444="",$E444="",$F444=""),0,MAX(0,MIN($F444,EOMONTH(DATE(cfg_FY,6,1),0))-MAX($E444,DATE(cfg_FY,6,1))+1)*(1-IF($M444="نعم",0,N($J444))))</f>
        <v>0</v>
      </c>
      <c r="AB444" s="65" t="n">
        <f aca="false">IF(OR($B444="",$E444="",$F444=""),0,MAX(0,MIN($F444,EOMONTH(DATE(cfg_FY,7,1),0))-MAX($E444,DATE(cfg_FY,7,1))+1)*(1-IF($M444="نعم",0,N($J444))))</f>
        <v>0</v>
      </c>
      <c r="AC444" s="65" t="n">
        <f aca="false">IF(OR($B444="",$E444="",$F444=""),0,MAX(0,MIN($F444,EOMONTH(DATE(cfg_FY,8,1),0))-MAX($E444,DATE(cfg_FY,8,1))+1)*(1-IF($M444="نعم",0,N($J444))))</f>
        <v>0</v>
      </c>
      <c r="AD444" s="65" t="n">
        <f aca="false">IF(OR($B444="",$E444="",$F444=""),0,MAX(0,MIN($F444,EOMONTH(DATE(cfg_FY,9,1),0))-MAX($E444,DATE(cfg_FY,9,1))+1)*(1-IF($M444="نعم",0,N($J444))))</f>
        <v>0</v>
      </c>
      <c r="AE444" s="65" t="n">
        <f aca="false">IF(OR($B444="",$E444="",$F444=""),0,MAX(0,MIN($F444,EOMONTH(DATE(cfg_FY,10,1),0))-MAX($E444,DATE(cfg_FY,10,1))+1)*(1-IF($M444="نعم",0,N($J444))))</f>
        <v>0</v>
      </c>
      <c r="AF444" s="65" t="n">
        <f aca="false">IF(OR($B444="",$E444="",$F444=""),0,MAX(0,MIN($F444,EOMONTH(DATE(cfg_FY,11,1),0))-MAX($E444,DATE(cfg_FY,11,1))+1)*(1-IF($M444="نعم",0,N($J444))))</f>
        <v>0</v>
      </c>
      <c r="AG444" s="65" t="n">
        <f aca="false">IF(OR($B444="",$E444="",$F444=""),0,MAX(0,MIN($F444,EOMONTH(DATE(cfg_FY,12,1),0))-MAX($E444,DATE(cfg_FY,12,1))+1)*(1-IF($M444="نعم",0,N($J444))))</f>
        <v>0</v>
      </c>
      <c r="AH444" s="65" t="n">
        <f aca="false">IF(OR(OR($B444="",$E444="",$F444=""),$L444&lt;&gt;"لا"),0,MAX(0,MIN($F444,EOMONTH(DATE(cfg_FY,1,1),0))-$E444+1))</f>
        <v>0</v>
      </c>
      <c r="AI444" s="65" t="n">
        <f aca="false">IF(OR(OR($B444="",$E444="",$F444=""),$L444&lt;&gt;"لا"),0,MAX(0,MIN($F444,EOMONTH(DATE(cfg_FY,2,1),0))-$E444+1))</f>
        <v>0</v>
      </c>
      <c r="AJ444" s="65" t="n">
        <f aca="false">IF(OR(OR($B444="",$E444="",$F444=""),$L444&lt;&gt;"لا"),0,MAX(0,MIN($F444,EOMONTH(DATE(cfg_FY,3,1),0))-$E444+1))</f>
        <v>0</v>
      </c>
      <c r="AK444" s="65" t="n">
        <f aca="false">IF(OR(OR($B444="",$E444="",$F444=""),$L444&lt;&gt;"لا"),0,MAX(0,MIN($F444,EOMONTH(DATE(cfg_FY,4,1),0))-$E444+1))</f>
        <v>0</v>
      </c>
      <c r="AL444" s="65" t="n">
        <f aca="false">IF(OR(OR($B444="",$E444="",$F444=""),$L444&lt;&gt;"لا"),0,MAX(0,MIN($F444,EOMONTH(DATE(cfg_FY,5,1),0))-$E444+1))</f>
        <v>0</v>
      </c>
      <c r="AM444" s="65" t="n">
        <f aca="false">IF(OR(OR($B444="",$E444="",$F444=""),$L444&lt;&gt;"لا"),0,MAX(0,MIN($F444,EOMONTH(DATE(cfg_FY,6,1),0))-$E444+1))</f>
        <v>0</v>
      </c>
      <c r="AN444" s="65" t="n">
        <f aca="false">IF(OR(OR($B444="",$E444="",$F444=""),$L444&lt;&gt;"لا"),0,MAX(0,MIN($F444,EOMONTH(DATE(cfg_FY,7,1),0))-$E444+1))</f>
        <v>0</v>
      </c>
      <c r="AO444" s="65" t="n">
        <f aca="false">IF(OR(OR($B444="",$E444="",$F444=""),$L444&lt;&gt;"لا"),0,MAX(0,MIN($F444,EOMONTH(DATE(cfg_FY,8,1),0))-$E444+1))</f>
        <v>0</v>
      </c>
      <c r="AP444" s="65" t="n">
        <f aca="false">IF(OR(OR($B444="",$E444="",$F444=""),$L444&lt;&gt;"لا"),0,MAX(0,MIN($F444,EOMONTH(DATE(cfg_FY,9,1),0))-$E444+1))</f>
        <v>0</v>
      </c>
      <c r="AQ444" s="65" t="n">
        <f aca="false">IF(OR(OR($B444="",$E444="",$F444=""),$L444&lt;&gt;"لا"),0,MAX(0,MIN($F444,EOMONTH(DATE(cfg_FY,10,1),0))-$E444+1))</f>
        <v>0</v>
      </c>
      <c r="AR444" s="65" t="n">
        <f aca="false">IF(OR(OR($B444="",$E444="",$F444=""),$L444&lt;&gt;"لا"),0,MAX(0,MIN($F444,EOMONTH(DATE(cfg_FY,11,1),0))-$E444+1))</f>
        <v>0</v>
      </c>
      <c r="AS444" s="65" t="n">
        <f aca="false">IF(OR(OR($B444="",$E444="",$F444=""),$L444&lt;&gt;"لا"),0,MAX(0,MIN($F444,EOMONTH(DATE(cfg_FY,12,1),0))-$E444+1))</f>
        <v>0</v>
      </c>
      <c r="AT444" s="65" t="n">
        <f aca="false">IF(OR(OR($B444="",$E444="",$F444=""),$K444&lt;&gt;"نعم",$M444="نعم"),0,MAX(0,MIN($F444,EOMONTH(DATE(cfg_FY,1,1),0))-MAX($E444,DATE(cfg_FY,1,1))+1))</f>
        <v>0</v>
      </c>
      <c r="AU444" s="65" t="n">
        <f aca="false">IF(OR(OR($B444="",$E444="",$F444=""),$K444&lt;&gt;"نعم",$M444="نعم"),0,MAX(0,MIN($F444,EOMONTH(DATE(cfg_FY,2,1),0))-MAX($E444,DATE(cfg_FY,2,1))+1))</f>
        <v>0</v>
      </c>
      <c r="AV444" s="65" t="n">
        <f aca="false">IF(OR(OR($B444="",$E444="",$F444=""),$K444&lt;&gt;"نعم",$M444="نعم"),0,MAX(0,MIN($F444,EOMONTH(DATE(cfg_FY,3,1),0))-MAX($E444,DATE(cfg_FY,3,1))+1))</f>
        <v>0</v>
      </c>
      <c r="AW444" s="65" t="n">
        <f aca="false">IF(OR(OR($B444="",$E444="",$F444=""),$K444&lt;&gt;"نعم",$M444="نعم"),0,MAX(0,MIN($F444,EOMONTH(DATE(cfg_FY,4,1),0))-MAX($E444,DATE(cfg_FY,4,1))+1))</f>
        <v>0</v>
      </c>
      <c r="AX444" s="65" t="n">
        <f aca="false">IF(OR(OR($B444="",$E444="",$F444=""),$K444&lt;&gt;"نعم",$M444="نعم"),0,MAX(0,MIN($F444,EOMONTH(DATE(cfg_FY,5,1),0))-MAX($E444,DATE(cfg_FY,5,1))+1))</f>
        <v>0</v>
      </c>
      <c r="AY444" s="65" t="n">
        <f aca="false">IF(OR(OR($B444="",$E444="",$F444=""),$K444&lt;&gt;"نعم",$M444="نعم"),0,MAX(0,MIN($F444,EOMONTH(DATE(cfg_FY,6,1),0))-MAX($E444,DATE(cfg_FY,6,1))+1))</f>
        <v>0</v>
      </c>
      <c r="AZ444" s="65" t="n">
        <f aca="false">IF(OR(OR($B444="",$E444="",$F444=""),$K444&lt;&gt;"نعم",$M444="نعم"),0,MAX(0,MIN($F444,EOMONTH(DATE(cfg_FY,7,1),0))-MAX($E444,DATE(cfg_FY,7,1))+1))</f>
        <v>0</v>
      </c>
      <c r="BA444" s="65" t="n">
        <f aca="false">IF(OR(OR($B444="",$E444="",$F444=""),$K444&lt;&gt;"نعم",$M444="نعم"),0,MAX(0,MIN($F444,EOMONTH(DATE(cfg_FY,8,1),0))-MAX($E444,DATE(cfg_FY,8,1))+1))</f>
        <v>0</v>
      </c>
      <c r="BB444" s="65" t="n">
        <f aca="false">IF(OR(OR($B444="",$E444="",$F444=""),$K444&lt;&gt;"نعم",$M444="نعم"),0,MAX(0,MIN($F444,EOMONTH(DATE(cfg_FY,9,1),0))-MAX($E444,DATE(cfg_FY,9,1))+1))</f>
        <v>0</v>
      </c>
      <c r="BC444" s="65" t="n">
        <f aca="false">IF(OR(OR($B444="",$E444="",$F444=""),$K444&lt;&gt;"نعم",$M444="نعم"),0,MAX(0,MIN($F444,EOMONTH(DATE(cfg_FY,10,1),0))-MAX($E444,DATE(cfg_FY,10,1))+1))</f>
        <v>0</v>
      </c>
      <c r="BD444" s="65" t="n">
        <f aca="false">IF(OR(OR($B444="",$E444="",$F444=""),$K444&lt;&gt;"نعم",$M444="نعم"),0,MAX(0,MIN($F444,EOMONTH(DATE(cfg_FY,11,1),0))-MAX($E444,DATE(cfg_FY,11,1))+1))</f>
        <v>0</v>
      </c>
      <c r="BE444" s="65" t="n">
        <f aca="false">IF(OR(OR($B444="",$E444="",$F444=""),$K444&lt;&gt;"نعم",$M444="نعم"),0,MAX(0,MIN($F444,EOMONTH(DATE(cfg_FY,12,1),0))-MAX($E444,DATE(cfg_FY,12,1))+1))</f>
        <v>0</v>
      </c>
    </row>
    <row r="445" customFormat="false" ht="15" hidden="false" customHeight="false" outlineLevel="0" collapsed="false">
      <c r="A445" s="115" t="str">
        <f aca="false">IF(B445="","",ROW()-5)</f>
        <v/>
      </c>
      <c r="B445" s="118"/>
      <c r="C445" s="117" t="str">
        <f aca="false">IF(B445="","",IFERROR(INDEX(الموظفون!$C$6:$C$105,MATCH(B445,الموظفون!$B$6:$B$105,0)),"✖ رقم غير موجود"))</f>
        <v/>
      </c>
      <c r="D445" s="118"/>
      <c r="E445" s="119"/>
      <c r="F445" s="119"/>
      <c r="G445" s="133" t="str">
        <f aca="false">IF(OR($B445="",$E445="",$F445=""),"",MAX(0,F445-E445+1))</f>
        <v/>
      </c>
      <c r="H445" s="134" t="str">
        <f aca="false">IF(D445="","",IFERROR(VLOOKUP(D445,cfg_LT,2,FALSE()),1))</f>
        <v/>
      </c>
      <c r="I445" s="135"/>
      <c r="J445" s="134" t="str">
        <f aca="false">IF(D445="","",IF(I445&lt;&gt;"",I445,H445))</f>
        <v/>
      </c>
      <c r="K445" s="117" t="str">
        <f aca="false">IF(D445="","",IFERROR(VLOOKUP($D445,cfg_LT,3,FALSE()),""))</f>
        <v/>
      </c>
      <c r="L445" s="117" t="str">
        <f aca="false">IF(D445="","",IFERROR(VLOOKUP($D445,cfg_LT,4,FALSE()),""))</f>
        <v/>
      </c>
      <c r="M445" s="117" t="str">
        <f aca="false">IF(D445="","",IFERROR(VLOOKUP($D445,cfg_LT,5,FALSE()),""))</f>
        <v/>
      </c>
      <c r="N445" s="116" t="n">
        <f aca="false">IF(OR(OR($B445="",$E445="",$F445=""),M445&lt;&gt;"نعم"),0,G445*J445*IFERROR(INDEX(الموظفون!$R$6:$R$105,MATCH(B445,الموظفون!$B$6:$B$105,0)),0)/cfg_DAYS_M)</f>
        <v>0</v>
      </c>
      <c r="O445" s="115" t="str">
        <f aca="false">IF(OR(OR($B445="",$E445="",$F445=""),M445&lt;&gt;"نعم"),"",IF(YEAR(E445)=cfg_FY,MONTH(E445),""))</f>
        <v/>
      </c>
      <c r="P445" s="117" t="str">
        <f aca="false">IF(B445="","",IF(OR(D445="",E445="",F445=""),"⚠ أكمل النوع والتواريخ",IF(F445&lt;E445,"✖ النهاية قبل البداية",IF(COUNTIFS($B$6:$B$505,B445,$E$6:$E$505,"&lt;="&amp;F445,$F$6:$F$505,"&gt;="&amp;E445)&gt;1,"⚠ تداخل مع سجل آخر",IF(E445&gt;cfg_VAL_DATE,"⏳ قادمة",IF(F445&lt;cfg_VAL_DATE,"✔ منتهية","✈ جارية في تاريخ التقرير"))))))</f>
        <v/>
      </c>
      <c r="Q445" s="118"/>
      <c r="R445" s="133" t="n">
        <f aca="false">IF(OR(OR($B445="",$E445="",$F445=""),L445&lt;&gt;"لا"),0,MAX(0,MIN(F445,cfg_Y_START-1)-E445+1))</f>
        <v>0</v>
      </c>
      <c r="S445" s="133" t="n">
        <f aca="false">IF(OR(OR($B445="",$E445="",$F445=""),L445&lt;&gt;"لا"),0,MAX(0,MIN(F445,cfg_VAL_DATE)-E445+1))</f>
        <v>0</v>
      </c>
      <c r="T445" s="133" t="n">
        <f aca="false">IF(OR(OR($B445="",$E445="",$F445=""),K445&lt;&gt;"نعم"),0,IF(M445="نعم",IF(AND(ISNUMBER(O445),N(O445)&lt;=cfg_VAL_M),G445,0),MAX(0,MIN(F445,cfg_VAL_DATE)-MAX(E445,cfg_Y_START)+1)))</f>
        <v>0</v>
      </c>
      <c r="V445" s="133" t="n">
        <f aca="false">IF(OR($B445="",$E445="",$F445=""),0,MAX(0,MIN($F445,EOMONTH(DATE(cfg_FY,1,1),0))-MAX($E445,DATE(cfg_FY,1,1))+1)*(1-IF($M445="نعم",0,N($J445))))</f>
        <v>0</v>
      </c>
      <c r="W445" s="133" t="n">
        <f aca="false">IF(OR($B445="",$E445="",$F445=""),0,MAX(0,MIN($F445,EOMONTH(DATE(cfg_FY,2,1),0))-MAX($E445,DATE(cfg_FY,2,1))+1)*(1-IF($M445="نعم",0,N($J445))))</f>
        <v>0</v>
      </c>
      <c r="X445" s="133" t="n">
        <f aca="false">IF(OR($B445="",$E445="",$F445=""),0,MAX(0,MIN($F445,EOMONTH(DATE(cfg_FY,3,1),0))-MAX($E445,DATE(cfg_FY,3,1))+1)*(1-IF($M445="نعم",0,N($J445))))</f>
        <v>0</v>
      </c>
      <c r="Y445" s="133" t="n">
        <f aca="false">IF(OR($B445="",$E445="",$F445=""),0,MAX(0,MIN($F445,EOMONTH(DATE(cfg_FY,4,1),0))-MAX($E445,DATE(cfg_FY,4,1))+1)*(1-IF($M445="نعم",0,N($J445))))</f>
        <v>0</v>
      </c>
      <c r="Z445" s="133" t="n">
        <f aca="false">IF(OR($B445="",$E445="",$F445=""),0,MAX(0,MIN($F445,EOMONTH(DATE(cfg_FY,5,1),0))-MAX($E445,DATE(cfg_FY,5,1))+1)*(1-IF($M445="نعم",0,N($J445))))</f>
        <v>0</v>
      </c>
      <c r="AA445" s="133" t="n">
        <f aca="false">IF(OR($B445="",$E445="",$F445=""),0,MAX(0,MIN($F445,EOMONTH(DATE(cfg_FY,6,1),0))-MAX($E445,DATE(cfg_FY,6,1))+1)*(1-IF($M445="نعم",0,N($J445))))</f>
        <v>0</v>
      </c>
      <c r="AB445" s="133" t="n">
        <f aca="false">IF(OR($B445="",$E445="",$F445=""),0,MAX(0,MIN($F445,EOMONTH(DATE(cfg_FY,7,1),0))-MAX($E445,DATE(cfg_FY,7,1))+1)*(1-IF($M445="نعم",0,N($J445))))</f>
        <v>0</v>
      </c>
      <c r="AC445" s="133" t="n">
        <f aca="false">IF(OR($B445="",$E445="",$F445=""),0,MAX(0,MIN($F445,EOMONTH(DATE(cfg_FY,8,1),0))-MAX($E445,DATE(cfg_FY,8,1))+1)*(1-IF($M445="نعم",0,N($J445))))</f>
        <v>0</v>
      </c>
      <c r="AD445" s="133" t="n">
        <f aca="false">IF(OR($B445="",$E445="",$F445=""),0,MAX(0,MIN($F445,EOMONTH(DATE(cfg_FY,9,1),0))-MAX($E445,DATE(cfg_FY,9,1))+1)*(1-IF($M445="نعم",0,N($J445))))</f>
        <v>0</v>
      </c>
      <c r="AE445" s="133" t="n">
        <f aca="false">IF(OR($B445="",$E445="",$F445=""),0,MAX(0,MIN($F445,EOMONTH(DATE(cfg_FY,10,1),0))-MAX($E445,DATE(cfg_FY,10,1))+1)*(1-IF($M445="نعم",0,N($J445))))</f>
        <v>0</v>
      </c>
      <c r="AF445" s="133" t="n">
        <f aca="false">IF(OR($B445="",$E445="",$F445=""),0,MAX(0,MIN($F445,EOMONTH(DATE(cfg_FY,11,1),0))-MAX($E445,DATE(cfg_FY,11,1))+1)*(1-IF($M445="نعم",0,N($J445))))</f>
        <v>0</v>
      </c>
      <c r="AG445" s="133" t="n">
        <f aca="false">IF(OR($B445="",$E445="",$F445=""),0,MAX(0,MIN($F445,EOMONTH(DATE(cfg_FY,12,1),0))-MAX($E445,DATE(cfg_FY,12,1))+1)*(1-IF($M445="نعم",0,N($J445))))</f>
        <v>0</v>
      </c>
      <c r="AH445" s="133" t="n">
        <f aca="false">IF(OR(OR($B445="",$E445="",$F445=""),$L445&lt;&gt;"لا"),0,MAX(0,MIN($F445,EOMONTH(DATE(cfg_FY,1,1),0))-$E445+1))</f>
        <v>0</v>
      </c>
      <c r="AI445" s="133" t="n">
        <f aca="false">IF(OR(OR($B445="",$E445="",$F445=""),$L445&lt;&gt;"لا"),0,MAX(0,MIN($F445,EOMONTH(DATE(cfg_FY,2,1),0))-$E445+1))</f>
        <v>0</v>
      </c>
      <c r="AJ445" s="133" t="n">
        <f aca="false">IF(OR(OR($B445="",$E445="",$F445=""),$L445&lt;&gt;"لا"),0,MAX(0,MIN($F445,EOMONTH(DATE(cfg_FY,3,1),0))-$E445+1))</f>
        <v>0</v>
      </c>
      <c r="AK445" s="133" t="n">
        <f aca="false">IF(OR(OR($B445="",$E445="",$F445=""),$L445&lt;&gt;"لا"),0,MAX(0,MIN($F445,EOMONTH(DATE(cfg_FY,4,1),0))-$E445+1))</f>
        <v>0</v>
      </c>
      <c r="AL445" s="133" t="n">
        <f aca="false">IF(OR(OR($B445="",$E445="",$F445=""),$L445&lt;&gt;"لا"),0,MAX(0,MIN($F445,EOMONTH(DATE(cfg_FY,5,1),0))-$E445+1))</f>
        <v>0</v>
      </c>
      <c r="AM445" s="133" t="n">
        <f aca="false">IF(OR(OR($B445="",$E445="",$F445=""),$L445&lt;&gt;"لا"),0,MAX(0,MIN($F445,EOMONTH(DATE(cfg_FY,6,1),0))-$E445+1))</f>
        <v>0</v>
      </c>
      <c r="AN445" s="133" t="n">
        <f aca="false">IF(OR(OR($B445="",$E445="",$F445=""),$L445&lt;&gt;"لا"),0,MAX(0,MIN($F445,EOMONTH(DATE(cfg_FY,7,1),0))-$E445+1))</f>
        <v>0</v>
      </c>
      <c r="AO445" s="133" t="n">
        <f aca="false">IF(OR(OR($B445="",$E445="",$F445=""),$L445&lt;&gt;"لا"),0,MAX(0,MIN($F445,EOMONTH(DATE(cfg_FY,8,1),0))-$E445+1))</f>
        <v>0</v>
      </c>
      <c r="AP445" s="133" t="n">
        <f aca="false">IF(OR(OR($B445="",$E445="",$F445=""),$L445&lt;&gt;"لا"),0,MAX(0,MIN($F445,EOMONTH(DATE(cfg_FY,9,1),0))-$E445+1))</f>
        <v>0</v>
      </c>
      <c r="AQ445" s="133" t="n">
        <f aca="false">IF(OR(OR($B445="",$E445="",$F445=""),$L445&lt;&gt;"لا"),0,MAX(0,MIN($F445,EOMONTH(DATE(cfg_FY,10,1),0))-$E445+1))</f>
        <v>0</v>
      </c>
      <c r="AR445" s="133" t="n">
        <f aca="false">IF(OR(OR($B445="",$E445="",$F445=""),$L445&lt;&gt;"لا"),0,MAX(0,MIN($F445,EOMONTH(DATE(cfg_FY,11,1),0))-$E445+1))</f>
        <v>0</v>
      </c>
      <c r="AS445" s="133" t="n">
        <f aca="false">IF(OR(OR($B445="",$E445="",$F445=""),$L445&lt;&gt;"لا"),0,MAX(0,MIN($F445,EOMONTH(DATE(cfg_FY,12,1),0))-$E445+1))</f>
        <v>0</v>
      </c>
      <c r="AT445" s="133" t="n">
        <f aca="false">IF(OR(OR($B445="",$E445="",$F445=""),$K445&lt;&gt;"نعم",$M445="نعم"),0,MAX(0,MIN($F445,EOMONTH(DATE(cfg_FY,1,1),0))-MAX($E445,DATE(cfg_FY,1,1))+1))</f>
        <v>0</v>
      </c>
      <c r="AU445" s="133" t="n">
        <f aca="false">IF(OR(OR($B445="",$E445="",$F445=""),$K445&lt;&gt;"نعم",$M445="نعم"),0,MAX(0,MIN($F445,EOMONTH(DATE(cfg_FY,2,1),0))-MAX($E445,DATE(cfg_FY,2,1))+1))</f>
        <v>0</v>
      </c>
      <c r="AV445" s="133" t="n">
        <f aca="false">IF(OR(OR($B445="",$E445="",$F445=""),$K445&lt;&gt;"نعم",$M445="نعم"),0,MAX(0,MIN($F445,EOMONTH(DATE(cfg_FY,3,1),0))-MAX($E445,DATE(cfg_FY,3,1))+1))</f>
        <v>0</v>
      </c>
      <c r="AW445" s="133" t="n">
        <f aca="false">IF(OR(OR($B445="",$E445="",$F445=""),$K445&lt;&gt;"نعم",$M445="نعم"),0,MAX(0,MIN($F445,EOMONTH(DATE(cfg_FY,4,1),0))-MAX($E445,DATE(cfg_FY,4,1))+1))</f>
        <v>0</v>
      </c>
      <c r="AX445" s="133" t="n">
        <f aca="false">IF(OR(OR($B445="",$E445="",$F445=""),$K445&lt;&gt;"نعم",$M445="نعم"),0,MAX(0,MIN($F445,EOMONTH(DATE(cfg_FY,5,1),0))-MAX($E445,DATE(cfg_FY,5,1))+1))</f>
        <v>0</v>
      </c>
      <c r="AY445" s="133" t="n">
        <f aca="false">IF(OR(OR($B445="",$E445="",$F445=""),$K445&lt;&gt;"نعم",$M445="نعم"),0,MAX(0,MIN($F445,EOMONTH(DATE(cfg_FY,6,1),0))-MAX($E445,DATE(cfg_FY,6,1))+1))</f>
        <v>0</v>
      </c>
      <c r="AZ445" s="133" t="n">
        <f aca="false">IF(OR(OR($B445="",$E445="",$F445=""),$K445&lt;&gt;"نعم",$M445="نعم"),0,MAX(0,MIN($F445,EOMONTH(DATE(cfg_FY,7,1),0))-MAX($E445,DATE(cfg_FY,7,1))+1))</f>
        <v>0</v>
      </c>
      <c r="BA445" s="133" t="n">
        <f aca="false">IF(OR(OR($B445="",$E445="",$F445=""),$K445&lt;&gt;"نعم",$M445="نعم"),0,MAX(0,MIN($F445,EOMONTH(DATE(cfg_FY,8,1),0))-MAX($E445,DATE(cfg_FY,8,1))+1))</f>
        <v>0</v>
      </c>
      <c r="BB445" s="133" t="n">
        <f aca="false">IF(OR(OR($B445="",$E445="",$F445=""),$K445&lt;&gt;"نعم",$M445="نعم"),0,MAX(0,MIN($F445,EOMONTH(DATE(cfg_FY,9,1),0))-MAX($E445,DATE(cfg_FY,9,1))+1))</f>
        <v>0</v>
      </c>
      <c r="BC445" s="133" t="n">
        <f aca="false">IF(OR(OR($B445="",$E445="",$F445=""),$K445&lt;&gt;"نعم",$M445="نعم"),0,MAX(0,MIN($F445,EOMONTH(DATE(cfg_FY,10,1),0))-MAX($E445,DATE(cfg_FY,10,1))+1))</f>
        <v>0</v>
      </c>
      <c r="BD445" s="133" t="n">
        <f aca="false">IF(OR(OR($B445="",$E445="",$F445=""),$K445&lt;&gt;"نعم",$M445="نعم"),0,MAX(0,MIN($F445,EOMONTH(DATE(cfg_FY,11,1),0))-MAX($E445,DATE(cfg_FY,11,1))+1))</f>
        <v>0</v>
      </c>
      <c r="BE445" s="133" t="n">
        <f aca="false">IF(OR(OR($B445="",$E445="",$F445=""),$K445&lt;&gt;"نعم",$M445="نعم"),0,MAX(0,MIN($F445,EOMONTH(DATE(cfg_FY,12,1),0))-MAX($E445,DATE(cfg_FY,12,1))+1))</f>
        <v>0</v>
      </c>
    </row>
    <row r="446" customFormat="false" ht="15" hidden="false" customHeight="false" outlineLevel="0" collapsed="false">
      <c r="A446" s="106" t="str">
        <f aca="false">IF(B446="","",ROW()-5)</f>
        <v/>
      </c>
      <c r="B446" s="118"/>
      <c r="C446" s="114" t="str">
        <f aca="false">IF(B446="","",IFERROR(INDEX(الموظفون!$C$6:$C$105,MATCH(B446,الموظفون!$B$6:$B$105,0)),"✖ رقم غير موجود"))</f>
        <v/>
      </c>
      <c r="D446" s="118"/>
      <c r="E446" s="119"/>
      <c r="F446" s="119"/>
      <c r="G446" s="65" t="str">
        <f aca="false">IF(OR($B446="",$E446="",$F446=""),"",MAX(0,F446-E446+1))</f>
        <v/>
      </c>
      <c r="H446" s="66" t="str">
        <f aca="false">IF(D446="","",IFERROR(VLOOKUP(D446,cfg_LT,2,FALSE()),1))</f>
        <v/>
      </c>
      <c r="I446" s="135"/>
      <c r="J446" s="66" t="str">
        <f aca="false">IF(D446="","",IF(I446&lt;&gt;"",I446,H446))</f>
        <v/>
      </c>
      <c r="K446" s="114" t="str">
        <f aca="false">IF(D446="","",IFERROR(VLOOKUP($D446,cfg_LT,3,FALSE()),""))</f>
        <v/>
      </c>
      <c r="L446" s="114" t="str">
        <f aca="false">IF(D446="","",IFERROR(VLOOKUP($D446,cfg_LT,4,FALSE()),""))</f>
        <v/>
      </c>
      <c r="M446" s="114" t="str">
        <f aca="false">IF(D446="","",IFERROR(VLOOKUP($D446,cfg_LT,5,FALSE()),""))</f>
        <v/>
      </c>
      <c r="N446" s="111" t="n">
        <f aca="false">IF(OR(OR($B446="",$E446="",$F446=""),M446&lt;&gt;"نعم"),0,G446*J446*IFERROR(INDEX(الموظفون!$R$6:$R$105,MATCH(B446,الموظفون!$B$6:$B$105,0)),0)/cfg_DAYS_M)</f>
        <v>0</v>
      </c>
      <c r="O446" s="106" t="str">
        <f aca="false">IF(OR(OR($B446="",$E446="",$F446=""),M446&lt;&gt;"نعم"),"",IF(YEAR(E446)=cfg_FY,MONTH(E446),""))</f>
        <v/>
      </c>
      <c r="P446" s="114" t="str">
        <f aca="false">IF(B446="","",IF(OR(D446="",E446="",F446=""),"⚠ أكمل النوع والتواريخ",IF(F446&lt;E446,"✖ النهاية قبل البداية",IF(COUNTIFS($B$6:$B$505,B446,$E$6:$E$505,"&lt;="&amp;F446,$F$6:$F$505,"&gt;="&amp;E446)&gt;1,"⚠ تداخل مع سجل آخر",IF(E446&gt;cfg_VAL_DATE,"⏳ قادمة",IF(F446&lt;cfg_VAL_DATE,"✔ منتهية","✈ جارية في تاريخ التقرير"))))))</f>
        <v/>
      </c>
      <c r="Q446" s="118"/>
      <c r="R446" s="65" t="n">
        <f aca="false">IF(OR(OR($B446="",$E446="",$F446=""),L446&lt;&gt;"لا"),0,MAX(0,MIN(F446,cfg_Y_START-1)-E446+1))</f>
        <v>0</v>
      </c>
      <c r="S446" s="65" t="n">
        <f aca="false">IF(OR(OR($B446="",$E446="",$F446=""),L446&lt;&gt;"لا"),0,MAX(0,MIN(F446,cfg_VAL_DATE)-E446+1))</f>
        <v>0</v>
      </c>
      <c r="T446" s="65" t="n">
        <f aca="false">IF(OR(OR($B446="",$E446="",$F446=""),K446&lt;&gt;"نعم"),0,IF(M446="نعم",IF(AND(ISNUMBER(O446),N(O446)&lt;=cfg_VAL_M),G446,0),MAX(0,MIN(F446,cfg_VAL_DATE)-MAX(E446,cfg_Y_START)+1)))</f>
        <v>0</v>
      </c>
      <c r="V446" s="65" t="n">
        <f aca="false">IF(OR($B446="",$E446="",$F446=""),0,MAX(0,MIN($F446,EOMONTH(DATE(cfg_FY,1,1),0))-MAX($E446,DATE(cfg_FY,1,1))+1)*(1-IF($M446="نعم",0,N($J446))))</f>
        <v>0</v>
      </c>
      <c r="W446" s="65" t="n">
        <f aca="false">IF(OR($B446="",$E446="",$F446=""),0,MAX(0,MIN($F446,EOMONTH(DATE(cfg_FY,2,1),0))-MAX($E446,DATE(cfg_FY,2,1))+1)*(1-IF($M446="نعم",0,N($J446))))</f>
        <v>0</v>
      </c>
      <c r="X446" s="65" t="n">
        <f aca="false">IF(OR($B446="",$E446="",$F446=""),0,MAX(0,MIN($F446,EOMONTH(DATE(cfg_FY,3,1),0))-MAX($E446,DATE(cfg_FY,3,1))+1)*(1-IF($M446="نعم",0,N($J446))))</f>
        <v>0</v>
      </c>
      <c r="Y446" s="65" t="n">
        <f aca="false">IF(OR($B446="",$E446="",$F446=""),0,MAX(0,MIN($F446,EOMONTH(DATE(cfg_FY,4,1),0))-MAX($E446,DATE(cfg_FY,4,1))+1)*(1-IF($M446="نعم",0,N($J446))))</f>
        <v>0</v>
      </c>
      <c r="Z446" s="65" t="n">
        <f aca="false">IF(OR($B446="",$E446="",$F446=""),0,MAX(0,MIN($F446,EOMONTH(DATE(cfg_FY,5,1),0))-MAX($E446,DATE(cfg_FY,5,1))+1)*(1-IF($M446="نعم",0,N($J446))))</f>
        <v>0</v>
      </c>
      <c r="AA446" s="65" t="n">
        <f aca="false">IF(OR($B446="",$E446="",$F446=""),0,MAX(0,MIN($F446,EOMONTH(DATE(cfg_FY,6,1),0))-MAX($E446,DATE(cfg_FY,6,1))+1)*(1-IF($M446="نعم",0,N($J446))))</f>
        <v>0</v>
      </c>
      <c r="AB446" s="65" t="n">
        <f aca="false">IF(OR($B446="",$E446="",$F446=""),0,MAX(0,MIN($F446,EOMONTH(DATE(cfg_FY,7,1),0))-MAX($E446,DATE(cfg_FY,7,1))+1)*(1-IF($M446="نعم",0,N($J446))))</f>
        <v>0</v>
      </c>
      <c r="AC446" s="65" t="n">
        <f aca="false">IF(OR($B446="",$E446="",$F446=""),0,MAX(0,MIN($F446,EOMONTH(DATE(cfg_FY,8,1),0))-MAX($E446,DATE(cfg_FY,8,1))+1)*(1-IF($M446="نعم",0,N($J446))))</f>
        <v>0</v>
      </c>
      <c r="AD446" s="65" t="n">
        <f aca="false">IF(OR($B446="",$E446="",$F446=""),0,MAX(0,MIN($F446,EOMONTH(DATE(cfg_FY,9,1),0))-MAX($E446,DATE(cfg_FY,9,1))+1)*(1-IF($M446="نعم",0,N($J446))))</f>
        <v>0</v>
      </c>
      <c r="AE446" s="65" t="n">
        <f aca="false">IF(OR($B446="",$E446="",$F446=""),0,MAX(0,MIN($F446,EOMONTH(DATE(cfg_FY,10,1),0))-MAX($E446,DATE(cfg_FY,10,1))+1)*(1-IF($M446="نعم",0,N($J446))))</f>
        <v>0</v>
      </c>
      <c r="AF446" s="65" t="n">
        <f aca="false">IF(OR($B446="",$E446="",$F446=""),0,MAX(0,MIN($F446,EOMONTH(DATE(cfg_FY,11,1),0))-MAX($E446,DATE(cfg_FY,11,1))+1)*(1-IF($M446="نعم",0,N($J446))))</f>
        <v>0</v>
      </c>
      <c r="AG446" s="65" t="n">
        <f aca="false">IF(OR($B446="",$E446="",$F446=""),0,MAX(0,MIN($F446,EOMONTH(DATE(cfg_FY,12,1),0))-MAX($E446,DATE(cfg_FY,12,1))+1)*(1-IF($M446="نعم",0,N($J446))))</f>
        <v>0</v>
      </c>
      <c r="AH446" s="65" t="n">
        <f aca="false">IF(OR(OR($B446="",$E446="",$F446=""),$L446&lt;&gt;"لا"),0,MAX(0,MIN($F446,EOMONTH(DATE(cfg_FY,1,1),0))-$E446+1))</f>
        <v>0</v>
      </c>
      <c r="AI446" s="65" t="n">
        <f aca="false">IF(OR(OR($B446="",$E446="",$F446=""),$L446&lt;&gt;"لا"),0,MAX(0,MIN($F446,EOMONTH(DATE(cfg_FY,2,1),0))-$E446+1))</f>
        <v>0</v>
      </c>
      <c r="AJ446" s="65" t="n">
        <f aca="false">IF(OR(OR($B446="",$E446="",$F446=""),$L446&lt;&gt;"لا"),0,MAX(0,MIN($F446,EOMONTH(DATE(cfg_FY,3,1),0))-$E446+1))</f>
        <v>0</v>
      </c>
      <c r="AK446" s="65" t="n">
        <f aca="false">IF(OR(OR($B446="",$E446="",$F446=""),$L446&lt;&gt;"لا"),0,MAX(0,MIN($F446,EOMONTH(DATE(cfg_FY,4,1),0))-$E446+1))</f>
        <v>0</v>
      </c>
      <c r="AL446" s="65" t="n">
        <f aca="false">IF(OR(OR($B446="",$E446="",$F446=""),$L446&lt;&gt;"لا"),0,MAX(0,MIN($F446,EOMONTH(DATE(cfg_FY,5,1),0))-$E446+1))</f>
        <v>0</v>
      </c>
      <c r="AM446" s="65" t="n">
        <f aca="false">IF(OR(OR($B446="",$E446="",$F446=""),$L446&lt;&gt;"لا"),0,MAX(0,MIN($F446,EOMONTH(DATE(cfg_FY,6,1),0))-$E446+1))</f>
        <v>0</v>
      </c>
      <c r="AN446" s="65" t="n">
        <f aca="false">IF(OR(OR($B446="",$E446="",$F446=""),$L446&lt;&gt;"لا"),0,MAX(0,MIN($F446,EOMONTH(DATE(cfg_FY,7,1),0))-$E446+1))</f>
        <v>0</v>
      </c>
      <c r="AO446" s="65" t="n">
        <f aca="false">IF(OR(OR($B446="",$E446="",$F446=""),$L446&lt;&gt;"لا"),0,MAX(0,MIN($F446,EOMONTH(DATE(cfg_FY,8,1),0))-$E446+1))</f>
        <v>0</v>
      </c>
      <c r="AP446" s="65" t="n">
        <f aca="false">IF(OR(OR($B446="",$E446="",$F446=""),$L446&lt;&gt;"لا"),0,MAX(0,MIN($F446,EOMONTH(DATE(cfg_FY,9,1),0))-$E446+1))</f>
        <v>0</v>
      </c>
      <c r="AQ446" s="65" t="n">
        <f aca="false">IF(OR(OR($B446="",$E446="",$F446=""),$L446&lt;&gt;"لا"),0,MAX(0,MIN($F446,EOMONTH(DATE(cfg_FY,10,1),0))-$E446+1))</f>
        <v>0</v>
      </c>
      <c r="AR446" s="65" t="n">
        <f aca="false">IF(OR(OR($B446="",$E446="",$F446=""),$L446&lt;&gt;"لا"),0,MAX(0,MIN($F446,EOMONTH(DATE(cfg_FY,11,1),0))-$E446+1))</f>
        <v>0</v>
      </c>
      <c r="AS446" s="65" t="n">
        <f aca="false">IF(OR(OR($B446="",$E446="",$F446=""),$L446&lt;&gt;"لا"),0,MAX(0,MIN($F446,EOMONTH(DATE(cfg_FY,12,1),0))-$E446+1))</f>
        <v>0</v>
      </c>
      <c r="AT446" s="65" t="n">
        <f aca="false">IF(OR(OR($B446="",$E446="",$F446=""),$K446&lt;&gt;"نعم",$M446="نعم"),0,MAX(0,MIN($F446,EOMONTH(DATE(cfg_FY,1,1),0))-MAX($E446,DATE(cfg_FY,1,1))+1))</f>
        <v>0</v>
      </c>
      <c r="AU446" s="65" t="n">
        <f aca="false">IF(OR(OR($B446="",$E446="",$F446=""),$K446&lt;&gt;"نعم",$M446="نعم"),0,MAX(0,MIN($F446,EOMONTH(DATE(cfg_FY,2,1),0))-MAX($E446,DATE(cfg_FY,2,1))+1))</f>
        <v>0</v>
      </c>
      <c r="AV446" s="65" t="n">
        <f aca="false">IF(OR(OR($B446="",$E446="",$F446=""),$K446&lt;&gt;"نعم",$M446="نعم"),0,MAX(0,MIN($F446,EOMONTH(DATE(cfg_FY,3,1),0))-MAX($E446,DATE(cfg_FY,3,1))+1))</f>
        <v>0</v>
      </c>
      <c r="AW446" s="65" t="n">
        <f aca="false">IF(OR(OR($B446="",$E446="",$F446=""),$K446&lt;&gt;"نعم",$M446="نعم"),0,MAX(0,MIN($F446,EOMONTH(DATE(cfg_FY,4,1),0))-MAX($E446,DATE(cfg_FY,4,1))+1))</f>
        <v>0</v>
      </c>
      <c r="AX446" s="65" t="n">
        <f aca="false">IF(OR(OR($B446="",$E446="",$F446=""),$K446&lt;&gt;"نعم",$M446="نعم"),0,MAX(0,MIN($F446,EOMONTH(DATE(cfg_FY,5,1),0))-MAX($E446,DATE(cfg_FY,5,1))+1))</f>
        <v>0</v>
      </c>
      <c r="AY446" s="65" t="n">
        <f aca="false">IF(OR(OR($B446="",$E446="",$F446=""),$K446&lt;&gt;"نعم",$M446="نعم"),0,MAX(0,MIN($F446,EOMONTH(DATE(cfg_FY,6,1),0))-MAX($E446,DATE(cfg_FY,6,1))+1))</f>
        <v>0</v>
      </c>
      <c r="AZ446" s="65" t="n">
        <f aca="false">IF(OR(OR($B446="",$E446="",$F446=""),$K446&lt;&gt;"نعم",$M446="نعم"),0,MAX(0,MIN($F446,EOMONTH(DATE(cfg_FY,7,1),0))-MAX($E446,DATE(cfg_FY,7,1))+1))</f>
        <v>0</v>
      </c>
      <c r="BA446" s="65" t="n">
        <f aca="false">IF(OR(OR($B446="",$E446="",$F446=""),$K446&lt;&gt;"نعم",$M446="نعم"),0,MAX(0,MIN($F446,EOMONTH(DATE(cfg_FY,8,1),0))-MAX($E446,DATE(cfg_FY,8,1))+1))</f>
        <v>0</v>
      </c>
      <c r="BB446" s="65" t="n">
        <f aca="false">IF(OR(OR($B446="",$E446="",$F446=""),$K446&lt;&gt;"نعم",$M446="نعم"),0,MAX(0,MIN($F446,EOMONTH(DATE(cfg_FY,9,1),0))-MAX($E446,DATE(cfg_FY,9,1))+1))</f>
        <v>0</v>
      </c>
      <c r="BC446" s="65" t="n">
        <f aca="false">IF(OR(OR($B446="",$E446="",$F446=""),$K446&lt;&gt;"نعم",$M446="نعم"),0,MAX(0,MIN($F446,EOMONTH(DATE(cfg_FY,10,1),0))-MAX($E446,DATE(cfg_FY,10,1))+1))</f>
        <v>0</v>
      </c>
      <c r="BD446" s="65" t="n">
        <f aca="false">IF(OR(OR($B446="",$E446="",$F446=""),$K446&lt;&gt;"نعم",$M446="نعم"),0,MAX(0,MIN($F446,EOMONTH(DATE(cfg_FY,11,1),0))-MAX($E446,DATE(cfg_FY,11,1))+1))</f>
        <v>0</v>
      </c>
      <c r="BE446" s="65" t="n">
        <f aca="false">IF(OR(OR($B446="",$E446="",$F446=""),$K446&lt;&gt;"نعم",$M446="نعم"),0,MAX(0,MIN($F446,EOMONTH(DATE(cfg_FY,12,1),0))-MAX($E446,DATE(cfg_FY,12,1))+1))</f>
        <v>0</v>
      </c>
    </row>
    <row r="447" customFormat="false" ht="15" hidden="false" customHeight="false" outlineLevel="0" collapsed="false">
      <c r="A447" s="115" t="str">
        <f aca="false">IF(B447="","",ROW()-5)</f>
        <v/>
      </c>
      <c r="B447" s="118"/>
      <c r="C447" s="117" t="str">
        <f aca="false">IF(B447="","",IFERROR(INDEX(الموظفون!$C$6:$C$105,MATCH(B447,الموظفون!$B$6:$B$105,0)),"✖ رقم غير موجود"))</f>
        <v/>
      </c>
      <c r="D447" s="118"/>
      <c r="E447" s="119"/>
      <c r="F447" s="119"/>
      <c r="G447" s="133" t="str">
        <f aca="false">IF(OR($B447="",$E447="",$F447=""),"",MAX(0,F447-E447+1))</f>
        <v/>
      </c>
      <c r="H447" s="134" t="str">
        <f aca="false">IF(D447="","",IFERROR(VLOOKUP(D447,cfg_LT,2,FALSE()),1))</f>
        <v/>
      </c>
      <c r="I447" s="135"/>
      <c r="J447" s="134" t="str">
        <f aca="false">IF(D447="","",IF(I447&lt;&gt;"",I447,H447))</f>
        <v/>
      </c>
      <c r="K447" s="117" t="str">
        <f aca="false">IF(D447="","",IFERROR(VLOOKUP($D447,cfg_LT,3,FALSE()),""))</f>
        <v/>
      </c>
      <c r="L447" s="117" t="str">
        <f aca="false">IF(D447="","",IFERROR(VLOOKUP($D447,cfg_LT,4,FALSE()),""))</f>
        <v/>
      </c>
      <c r="M447" s="117" t="str">
        <f aca="false">IF(D447="","",IFERROR(VLOOKUP($D447,cfg_LT,5,FALSE()),""))</f>
        <v/>
      </c>
      <c r="N447" s="116" t="n">
        <f aca="false">IF(OR(OR($B447="",$E447="",$F447=""),M447&lt;&gt;"نعم"),0,G447*J447*IFERROR(INDEX(الموظفون!$R$6:$R$105,MATCH(B447,الموظفون!$B$6:$B$105,0)),0)/cfg_DAYS_M)</f>
        <v>0</v>
      </c>
      <c r="O447" s="115" t="str">
        <f aca="false">IF(OR(OR($B447="",$E447="",$F447=""),M447&lt;&gt;"نعم"),"",IF(YEAR(E447)=cfg_FY,MONTH(E447),""))</f>
        <v/>
      </c>
      <c r="P447" s="117" t="str">
        <f aca="false">IF(B447="","",IF(OR(D447="",E447="",F447=""),"⚠ أكمل النوع والتواريخ",IF(F447&lt;E447,"✖ النهاية قبل البداية",IF(COUNTIFS($B$6:$B$505,B447,$E$6:$E$505,"&lt;="&amp;F447,$F$6:$F$505,"&gt;="&amp;E447)&gt;1,"⚠ تداخل مع سجل آخر",IF(E447&gt;cfg_VAL_DATE,"⏳ قادمة",IF(F447&lt;cfg_VAL_DATE,"✔ منتهية","✈ جارية في تاريخ التقرير"))))))</f>
        <v/>
      </c>
      <c r="Q447" s="118"/>
      <c r="R447" s="133" t="n">
        <f aca="false">IF(OR(OR($B447="",$E447="",$F447=""),L447&lt;&gt;"لا"),0,MAX(0,MIN(F447,cfg_Y_START-1)-E447+1))</f>
        <v>0</v>
      </c>
      <c r="S447" s="133" t="n">
        <f aca="false">IF(OR(OR($B447="",$E447="",$F447=""),L447&lt;&gt;"لا"),0,MAX(0,MIN(F447,cfg_VAL_DATE)-E447+1))</f>
        <v>0</v>
      </c>
      <c r="T447" s="133" t="n">
        <f aca="false">IF(OR(OR($B447="",$E447="",$F447=""),K447&lt;&gt;"نعم"),0,IF(M447="نعم",IF(AND(ISNUMBER(O447),N(O447)&lt;=cfg_VAL_M),G447,0),MAX(0,MIN(F447,cfg_VAL_DATE)-MAX(E447,cfg_Y_START)+1)))</f>
        <v>0</v>
      </c>
      <c r="V447" s="133" t="n">
        <f aca="false">IF(OR($B447="",$E447="",$F447=""),0,MAX(0,MIN($F447,EOMONTH(DATE(cfg_FY,1,1),0))-MAX($E447,DATE(cfg_FY,1,1))+1)*(1-IF($M447="نعم",0,N($J447))))</f>
        <v>0</v>
      </c>
      <c r="W447" s="133" t="n">
        <f aca="false">IF(OR($B447="",$E447="",$F447=""),0,MAX(0,MIN($F447,EOMONTH(DATE(cfg_FY,2,1),0))-MAX($E447,DATE(cfg_FY,2,1))+1)*(1-IF($M447="نعم",0,N($J447))))</f>
        <v>0</v>
      </c>
      <c r="X447" s="133" t="n">
        <f aca="false">IF(OR($B447="",$E447="",$F447=""),0,MAX(0,MIN($F447,EOMONTH(DATE(cfg_FY,3,1),0))-MAX($E447,DATE(cfg_FY,3,1))+1)*(1-IF($M447="نعم",0,N($J447))))</f>
        <v>0</v>
      </c>
      <c r="Y447" s="133" t="n">
        <f aca="false">IF(OR($B447="",$E447="",$F447=""),0,MAX(0,MIN($F447,EOMONTH(DATE(cfg_FY,4,1),0))-MAX($E447,DATE(cfg_FY,4,1))+1)*(1-IF($M447="نعم",0,N($J447))))</f>
        <v>0</v>
      </c>
      <c r="Z447" s="133" t="n">
        <f aca="false">IF(OR($B447="",$E447="",$F447=""),0,MAX(0,MIN($F447,EOMONTH(DATE(cfg_FY,5,1),0))-MAX($E447,DATE(cfg_FY,5,1))+1)*(1-IF($M447="نعم",0,N($J447))))</f>
        <v>0</v>
      </c>
      <c r="AA447" s="133" t="n">
        <f aca="false">IF(OR($B447="",$E447="",$F447=""),0,MAX(0,MIN($F447,EOMONTH(DATE(cfg_FY,6,1),0))-MAX($E447,DATE(cfg_FY,6,1))+1)*(1-IF($M447="نعم",0,N($J447))))</f>
        <v>0</v>
      </c>
      <c r="AB447" s="133" t="n">
        <f aca="false">IF(OR($B447="",$E447="",$F447=""),0,MAX(0,MIN($F447,EOMONTH(DATE(cfg_FY,7,1),0))-MAX($E447,DATE(cfg_FY,7,1))+1)*(1-IF($M447="نعم",0,N($J447))))</f>
        <v>0</v>
      </c>
      <c r="AC447" s="133" t="n">
        <f aca="false">IF(OR($B447="",$E447="",$F447=""),0,MAX(0,MIN($F447,EOMONTH(DATE(cfg_FY,8,1),0))-MAX($E447,DATE(cfg_FY,8,1))+1)*(1-IF($M447="نعم",0,N($J447))))</f>
        <v>0</v>
      </c>
      <c r="AD447" s="133" t="n">
        <f aca="false">IF(OR($B447="",$E447="",$F447=""),0,MAX(0,MIN($F447,EOMONTH(DATE(cfg_FY,9,1),0))-MAX($E447,DATE(cfg_FY,9,1))+1)*(1-IF($M447="نعم",0,N($J447))))</f>
        <v>0</v>
      </c>
      <c r="AE447" s="133" t="n">
        <f aca="false">IF(OR($B447="",$E447="",$F447=""),0,MAX(0,MIN($F447,EOMONTH(DATE(cfg_FY,10,1),0))-MAX($E447,DATE(cfg_FY,10,1))+1)*(1-IF($M447="نعم",0,N($J447))))</f>
        <v>0</v>
      </c>
      <c r="AF447" s="133" t="n">
        <f aca="false">IF(OR($B447="",$E447="",$F447=""),0,MAX(0,MIN($F447,EOMONTH(DATE(cfg_FY,11,1),0))-MAX($E447,DATE(cfg_FY,11,1))+1)*(1-IF($M447="نعم",0,N($J447))))</f>
        <v>0</v>
      </c>
      <c r="AG447" s="133" t="n">
        <f aca="false">IF(OR($B447="",$E447="",$F447=""),0,MAX(0,MIN($F447,EOMONTH(DATE(cfg_FY,12,1),0))-MAX($E447,DATE(cfg_FY,12,1))+1)*(1-IF($M447="نعم",0,N($J447))))</f>
        <v>0</v>
      </c>
      <c r="AH447" s="133" t="n">
        <f aca="false">IF(OR(OR($B447="",$E447="",$F447=""),$L447&lt;&gt;"لا"),0,MAX(0,MIN($F447,EOMONTH(DATE(cfg_FY,1,1),0))-$E447+1))</f>
        <v>0</v>
      </c>
      <c r="AI447" s="133" t="n">
        <f aca="false">IF(OR(OR($B447="",$E447="",$F447=""),$L447&lt;&gt;"لا"),0,MAX(0,MIN($F447,EOMONTH(DATE(cfg_FY,2,1),0))-$E447+1))</f>
        <v>0</v>
      </c>
      <c r="AJ447" s="133" t="n">
        <f aca="false">IF(OR(OR($B447="",$E447="",$F447=""),$L447&lt;&gt;"لا"),0,MAX(0,MIN($F447,EOMONTH(DATE(cfg_FY,3,1),0))-$E447+1))</f>
        <v>0</v>
      </c>
      <c r="AK447" s="133" t="n">
        <f aca="false">IF(OR(OR($B447="",$E447="",$F447=""),$L447&lt;&gt;"لا"),0,MAX(0,MIN($F447,EOMONTH(DATE(cfg_FY,4,1),0))-$E447+1))</f>
        <v>0</v>
      </c>
      <c r="AL447" s="133" t="n">
        <f aca="false">IF(OR(OR($B447="",$E447="",$F447=""),$L447&lt;&gt;"لا"),0,MAX(0,MIN($F447,EOMONTH(DATE(cfg_FY,5,1),0))-$E447+1))</f>
        <v>0</v>
      </c>
      <c r="AM447" s="133" t="n">
        <f aca="false">IF(OR(OR($B447="",$E447="",$F447=""),$L447&lt;&gt;"لا"),0,MAX(0,MIN($F447,EOMONTH(DATE(cfg_FY,6,1),0))-$E447+1))</f>
        <v>0</v>
      </c>
      <c r="AN447" s="133" t="n">
        <f aca="false">IF(OR(OR($B447="",$E447="",$F447=""),$L447&lt;&gt;"لا"),0,MAX(0,MIN($F447,EOMONTH(DATE(cfg_FY,7,1),0))-$E447+1))</f>
        <v>0</v>
      </c>
      <c r="AO447" s="133" t="n">
        <f aca="false">IF(OR(OR($B447="",$E447="",$F447=""),$L447&lt;&gt;"لا"),0,MAX(0,MIN($F447,EOMONTH(DATE(cfg_FY,8,1),0))-$E447+1))</f>
        <v>0</v>
      </c>
      <c r="AP447" s="133" t="n">
        <f aca="false">IF(OR(OR($B447="",$E447="",$F447=""),$L447&lt;&gt;"لا"),0,MAX(0,MIN($F447,EOMONTH(DATE(cfg_FY,9,1),0))-$E447+1))</f>
        <v>0</v>
      </c>
      <c r="AQ447" s="133" t="n">
        <f aca="false">IF(OR(OR($B447="",$E447="",$F447=""),$L447&lt;&gt;"لا"),0,MAX(0,MIN($F447,EOMONTH(DATE(cfg_FY,10,1),0))-$E447+1))</f>
        <v>0</v>
      </c>
      <c r="AR447" s="133" t="n">
        <f aca="false">IF(OR(OR($B447="",$E447="",$F447=""),$L447&lt;&gt;"لا"),0,MAX(0,MIN($F447,EOMONTH(DATE(cfg_FY,11,1),0))-$E447+1))</f>
        <v>0</v>
      </c>
      <c r="AS447" s="133" t="n">
        <f aca="false">IF(OR(OR($B447="",$E447="",$F447=""),$L447&lt;&gt;"لا"),0,MAX(0,MIN($F447,EOMONTH(DATE(cfg_FY,12,1),0))-$E447+1))</f>
        <v>0</v>
      </c>
      <c r="AT447" s="133" t="n">
        <f aca="false">IF(OR(OR($B447="",$E447="",$F447=""),$K447&lt;&gt;"نعم",$M447="نعم"),0,MAX(0,MIN($F447,EOMONTH(DATE(cfg_FY,1,1),0))-MAX($E447,DATE(cfg_FY,1,1))+1))</f>
        <v>0</v>
      </c>
      <c r="AU447" s="133" t="n">
        <f aca="false">IF(OR(OR($B447="",$E447="",$F447=""),$K447&lt;&gt;"نعم",$M447="نعم"),0,MAX(0,MIN($F447,EOMONTH(DATE(cfg_FY,2,1),0))-MAX($E447,DATE(cfg_FY,2,1))+1))</f>
        <v>0</v>
      </c>
      <c r="AV447" s="133" t="n">
        <f aca="false">IF(OR(OR($B447="",$E447="",$F447=""),$K447&lt;&gt;"نعم",$M447="نعم"),0,MAX(0,MIN($F447,EOMONTH(DATE(cfg_FY,3,1),0))-MAX($E447,DATE(cfg_FY,3,1))+1))</f>
        <v>0</v>
      </c>
      <c r="AW447" s="133" t="n">
        <f aca="false">IF(OR(OR($B447="",$E447="",$F447=""),$K447&lt;&gt;"نعم",$M447="نعم"),0,MAX(0,MIN($F447,EOMONTH(DATE(cfg_FY,4,1),0))-MAX($E447,DATE(cfg_FY,4,1))+1))</f>
        <v>0</v>
      </c>
      <c r="AX447" s="133" t="n">
        <f aca="false">IF(OR(OR($B447="",$E447="",$F447=""),$K447&lt;&gt;"نعم",$M447="نعم"),0,MAX(0,MIN($F447,EOMONTH(DATE(cfg_FY,5,1),0))-MAX($E447,DATE(cfg_FY,5,1))+1))</f>
        <v>0</v>
      </c>
      <c r="AY447" s="133" t="n">
        <f aca="false">IF(OR(OR($B447="",$E447="",$F447=""),$K447&lt;&gt;"نعم",$M447="نعم"),0,MAX(0,MIN($F447,EOMONTH(DATE(cfg_FY,6,1),0))-MAX($E447,DATE(cfg_FY,6,1))+1))</f>
        <v>0</v>
      </c>
      <c r="AZ447" s="133" t="n">
        <f aca="false">IF(OR(OR($B447="",$E447="",$F447=""),$K447&lt;&gt;"نعم",$M447="نعم"),0,MAX(0,MIN($F447,EOMONTH(DATE(cfg_FY,7,1),0))-MAX($E447,DATE(cfg_FY,7,1))+1))</f>
        <v>0</v>
      </c>
      <c r="BA447" s="133" t="n">
        <f aca="false">IF(OR(OR($B447="",$E447="",$F447=""),$K447&lt;&gt;"نعم",$M447="نعم"),0,MAX(0,MIN($F447,EOMONTH(DATE(cfg_FY,8,1),0))-MAX($E447,DATE(cfg_FY,8,1))+1))</f>
        <v>0</v>
      </c>
      <c r="BB447" s="133" t="n">
        <f aca="false">IF(OR(OR($B447="",$E447="",$F447=""),$K447&lt;&gt;"نعم",$M447="نعم"),0,MAX(0,MIN($F447,EOMONTH(DATE(cfg_FY,9,1),0))-MAX($E447,DATE(cfg_FY,9,1))+1))</f>
        <v>0</v>
      </c>
      <c r="BC447" s="133" t="n">
        <f aca="false">IF(OR(OR($B447="",$E447="",$F447=""),$K447&lt;&gt;"نعم",$M447="نعم"),0,MAX(0,MIN($F447,EOMONTH(DATE(cfg_FY,10,1),0))-MAX($E447,DATE(cfg_FY,10,1))+1))</f>
        <v>0</v>
      </c>
      <c r="BD447" s="133" t="n">
        <f aca="false">IF(OR(OR($B447="",$E447="",$F447=""),$K447&lt;&gt;"نعم",$M447="نعم"),0,MAX(0,MIN($F447,EOMONTH(DATE(cfg_FY,11,1),0))-MAX($E447,DATE(cfg_FY,11,1))+1))</f>
        <v>0</v>
      </c>
      <c r="BE447" s="133" t="n">
        <f aca="false">IF(OR(OR($B447="",$E447="",$F447=""),$K447&lt;&gt;"نعم",$M447="نعم"),0,MAX(0,MIN($F447,EOMONTH(DATE(cfg_FY,12,1),0))-MAX($E447,DATE(cfg_FY,12,1))+1))</f>
        <v>0</v>
      </c>
    </row>
    <row r="448" customFormat="false" ht="15" hidden="false" customHeight="false" outlineLevel="0" collapsed="false">
      <c r="A448" s="106" t="str">
        <f aca="false">IF(B448="","",ROW()-5)</f>
        <v/>
      </c>
      <c r="B448" s="118"/>
      <c r="C448" s="114" t="str">
        <f aca="false">IF(B448="","",IFERROR(INDEX(الموظفون!$C$6:$C$105,MATCH(B448,الموظفون!$B$6:$B$105,0)),"✖ رقم غير موجود"))</f>
        <v/>
      </c>
      <c r="D448" s="118"/>
      <c r="E448" s="119"/>
      <c r="F448" s="119"/>
      <c r="G448" s="65" t="str">
        <f aca="false">IF(OR($B448="",$E448="",$F448=""),"",MAX(0,F448-E448+1))</f>
        <v/>
      </c>
      <c r="H448" s="66" t="str">
        <f aca="false">IF(D448="","",IFERROR(VLOOKUP(D448,cfg_LT,2,FALSE()),1))</f>
        <v/>
      </c>
      <c r="I448" s="135"/>
      <c r="J448" s="66" t="str">
        <f aca="false">IF(D448="","",IF(I448&lt;&gt;"",I448,H448))</f>
        <v/>
      </c>
      <c r="K448" s="114" t="str">
        <f aca="false">IF(D448="","",IFERROR(VLOOKUP($D448,cfg_LT,3,FALSE()),""))</f>
        <v/>
      </c>
      <c r="L448" s="114" t="str">
        <f aca="false">IF(D448="","",IFERROR(VLOOKUP($D448,cfg_LT,4,FALSE()),""))</f>
        <v/>
      </c>
      <c r="M448" s="114" t="str">
        <f aca="false">IF(D448="","",IFERROR(VLOOKUP($D448,cfg_LT,5,FALSE()),""))</f>
        <v/>
      </c>
      <c r="N448" s="111" t="n">
        <f aca="false">IF(OR(OR($B448="",$E448="",$F448=""),M448&lt;&gt;"نعم"),0,G448*J448*IFERROR(INDEX(الموظفون!$R$6:$R$105,MATCH(B448,الموظفون!$B$6:$B$105,0)),0)/cfg_DAYS_M)</f>
        <v>0</v>
      </c>
      <c r="O448" s="106" t="str">
        <f aca="false">IF(OR(OR($B448="",$E448="",$F448=""),M448&lt;&gt;"نعم"),"",IF(YEAR(E448)=cfg_FY,MONTH(E448),""))</f>
        <v/>
      </c>
      <c r="P448" s="114" t="str">
        <f aca="false">IF(B448="","",IF(OR(D448="",E448="",F448=""),"⚠ أكمل النوع والتواريخ",IF(F448&lt;E448,"✖ النهاية قبل البداية",IF(COUNTIFS($B$6:$B$505,B448,$E$6:$E$505,"&lt;="&amp;F448,$F$6:$F$505,"&gt;="&amp;E448)&gt;1,"⚠ تداخل مع سجل آخر",IF(E448&gt;cfg_VAL_DATE,"⏳ قادمة",IF(F448&lt;cfg_VAL_DATE,"✔ منتهية","✈ جارية في تاريخ التقرير"))))))</f>
        <v/>
      </c>
      <c r="Q448" s="118"/>
      <c r="R448" s="65" t="n">
        <f aca="false">IF(OR(OR($B448="",$E448="",$F448=""),L448&lt;&gt;"لا"),0,MAX(0,MIN(F448,cfg_Y_START-1)-E448+1))</f>
        <v>0</v>
      </c>
      <c r="S448" s="65" t="n">
        <f aca="false">IF(OR(OR($B448="",$E448="",$F448=""),L448&lt;&gt;"لا"),0,MAX(0,MIN(F448,cfg_VAL_DATE)-E448+1))</f>
        <v>0</v>
      </c>
      <c r="T448" s="65" t="n">
        <f aca="false">IF(OR(OR($B448="",$E448="",$F448=""),K448&lt;&gt;"نعم"),0,IF(M448="نعم",IF(AND(ISNUMBER(O448),N(O448)&lt;=cfg_VAL_M),G448,0),MAX(0,MIN(F448,cfg_VAL_DATE)-MAX(E448,cfg_Y_START)+1)))</f>
        <v>0</v>
      </c>
      <c r="V448" s="65" t="n">
        <f aca="false">IF(OR($B448="",$E448="",$F448=""),0,MAX(0,MIN($F448,EOMONTH(DATE(cfg_FY,1,1),0))-MAX($E448,DATE(cfg_FY,1,1))+1)*(1-IF($M448="نعم",0,N($J448))))</f>
        <v>0</v>
      </c>
      <c r="W448" s="65" t="n">
        <f aca="false">IF(OR($B448="",$E448="",$F448=""),0,MAX(0,MIN($F448,EOMONTH(DATE(cfg_FY,2,1),0))-MAX($E448,DATE(cfg_FY,2,1))+1)*(1-IF($M448="نعم",0,N($J448))))</f>
        <v>0</v>
      </c>
      <c r="X448" s="65" t="n">
        <f aca="false">IF(OR($B448="",$E448="",$F448=""),0,MAX(0,MIN($F448,EOMONTH(DATE(cfg_FY,3,1),0))-MAX($E448,DATE(cfg_FY,3,1))+1)*(1-IF($M448="نعم",0,N($J448))))</f>
        <v>0</v>
      </c>
      <c r="Y448" s="65" t="n">
        <f aca="false">IF(OR($B448="",$E448="",$F448=""),0,MAX(0,MIN($F448,EOMONTH(DATE(cfg_FY,4,1),0))-MAX($E448,DATE(cfg_FY,4,1))+1)*(1-IF($M448="نعم",0,N($J448))))</f>
        <v>0</v>
      </c>
      <c r="Z448" s="65" t="n">
        <f aca="false">IF(OR($B448="",$E448="",$F448=""),0,MAX(0,MIN($F448,EOMONTH(DATE(cfg_FY,5,1),0))-MAX($E448,DATE(cfg_FY,5,1))+1)*(1-IF($M448="نعم",0,N($J448))))</f>
        <v>0</v>
      </c>
      <c r="AA448" s="65" t="n">
        <f aca="false">IF(OR($B448="",$E448="",$F448=""),0,MAX(0,MIN($F448,EOMONTH(DATE(cfg_FY,6,1),0))-MAX($E448,DATE(cfg_FY,6,1))+1)*(1-IF($M448="نعم",0,N($J448))))</f>
        <v>0</v>
      </c>
      <c r="AB448" s="65" t="n">
        <f aca="false">IF(OR($B448="",$E448="",$F448=""),0,MAX(0,MIN($F448,EOMONTH(DATE(cfg_FY,7,1),0))-MAX($E448,DATE(cfg_FY,7,1))+1)*(1-IF($M448="نعم",0,N($J448))))</f>
        <v>0</v>
      </c>
      <c r="AC448" s="65" t="n">
        <f aca="false">IF(OR($B448="",$E448="",$F448=""),0,MAX(0,MIN($F448,EOMONTH(DATE(cfg_FY,8,1),0))-MAX($E448,DATE(cfg_FY,8,1))+1)*(1-IF($M448="نعم",0,N($J448))))</f>
        <v>0</v>
      </c>
      <c r="AD448" s="65" t="n">
        <f aca="false">IF(OR($B448="",$E448="",$F448=""),0,MAX(0,MIN($F448,EOMONTH(DATE(cfg_FY,9,1),0))-MAX($E448,DATE(cfg_FY,9,1))+1)*(1-IF($M448="نعم",0,N($J448))))</f>
        <v>0</v>
      </c>
      <c r="AE448" s="65" t="n">
        <f aca="false">IF(OR($B448="",$E448="",$F448=""),0,MAX(0,MIN($F448,EOMONTH(DATE(cfg_FY,10,1),0))-MAX($E448,DATE(cfg_FY,10,1))+1)*(1-IF($M448="نعم",0,N($J448))))</f>
        <v>0</v>
      </c>
      <c r="AF448" s="65" t="n">
        <f aca="false">IF(OR($B448="",$E448="",$F448=""),0,MAX(0,MIN($F448,EOMONTH(DATE(cfg_FY,11,1),0))-MAX($E448,DATE(cfg_FY,11,1))+1)*(1-IF($M448="نعم",0,N($J448))))</f>
        <v>0</v>
      </c>
      <c r="AG448" s="65" t="n">
        <f aca="false">IF(OR($B448="",$E448="",$F448=""),0,MAX(0,MIN($F448,EOMONTH(DATE(cfg_FY,12,1),0))-MAX($E448,DATE(cfg_FY,12,1))+1)*(1-IF($M448="نعم",0,N($J448))))</f>
        <v>0</v>
      </c>
      <c r="AH448" s="65" t="n">
        <f aca="false">IF(OR(OR($B448="",$E448="",$F448=""),$L448&lt;&gt;"لا"),0,MAX(0,MIN($F448,EOMONTH(DATE(cfg_FY,1,1),0))-$E448+1))</f>
        <v>0</v>
      </c>
      <c r="AI448" s="65" t="n">
        <f aca="false">IF(OR(OR($B448="",$E448="",$F448=""),$L448&lt;&gt;"لا"),0,MAX(0,MIN($F448,EOMONTH(DATE(cfg_FY,2,1),0))-$E448+1))</f>
        <v>0</v>
      </c>
      <c r="AJ448" s="65" t="n">
        <f aca="false">IF(OR(OR($B448="",$E448="",$F448=""),$L448&lt;&gt;"لا"),0,MAX(0,MIN($F448,EOMONTH(DATE(cfg_FY,3,1),0))-$E448+1))</f>
        <v>0</v>
      </c>
      <c r="AK448" s="65" t="n">
        <f aca="false">IF(OR(OR($B448="",$E448="",$F448=""),$L448&lt;&gt;"لا"),0,MAX(0,MIN($F448,EOMONTH(DATE(cfg_FY,4,1),0))-$E448+1))</f>
        <v>0</v>
      </c>
      <c r="AL448" s="65" t="n">
        <f aca="false">IF(OR(OR($B448="",$E448="",$F448=""),$L448&lt;&gt;"لا"),0,MAX(0,MIN($F448,EOMONTH(DATE(cfg_FY,5,1),0))-$E448+1))</f>
        <v>0</v>
      </c>
      <c r="AM448" s="65" t="n">
        <f aca="false">IF(OR(OR($B448="",$E448="",$F448=""),$L448&lt;&gt;"لا"),0,MAX(0,MIN($F448,EOMONTH(DATE(cfg_FY,6,1),0))-$E448+1))</f>
        <v>0</v>
      </c>
      <c r="AN448" s="65" t="n">
        <f aca="false">IF(OR(OR($B448="",$E448="",$F448=""),$L448&lt;&gt;"لا"),0,MAX(0,MIN($F448,EOMONTH(DATE(cfg_FY,7,1),0))-$E448+1))</f>
        <v>0</v>
      </c>
      <c r="AO448" s="65" t="n">
        <f aca="false">IF(OR(OR($B448="",$E448="",$F448=""),$L448&lt;&gt;"لا"),0,MAX(0,MIN($F448,EOMONTH(DATE(cfg_FY,8,1),0))-$E448+1))</f>
        <v>0</v>
      </c>
      <c r="AP448" s="65" t="n">
        <f aca="false">IF(OR(OR($B448="",$E448="",$F448=""),$L448&lt;&gt;"لا"),0,MAX(0,MIN($F448,EOMONTH(DATE(cfg_FY,9,1),0))-$E448+1))</f>
        <v>0</v>
      </c>
      <c r="AQ448" s="65" t="n">
        <f aca="false">IF(OR(OR($B448="",$E448="",$F448=""),$L448&lt;&gt;"لا"),0,MAX(0,MIN($F448,EOMONTH(DATE(cfg_FY,10,1),0))-$E448+1))</f>
        <v>0</v>
      </c>
      <c r="AR448" s="65" t="n">
        <f aca="false">IF(OR(OR($B448="",$E448="",$F448=""),$L448&lt;&gt;"لا"),0,MAX(0,MIN($F448,EOMONTH(DATE(cfg_FY,11,1),0))-$E448+1))</f>
        <v>0</v>
      </c>
      <c r="AS448" s="65" t="n">
        <f aca="false">IF(OR(OR($B448="",$E448="",$F448=""),$L448&lt;&gt;"لا"),0,MAX(0,MIN($F448,EOMONTH(DATE(cfg_FY,12,1),0))-$E448+1))</f>
        <v>0</v>
      </c>
      <c r="AT448" s="65" t="n">
        <f aca="false">IF(OR(OR($B448="",$E448="",$F448=""),$K448&lt;&gt;"نعم",$M448="نعم"),0,MAX(0,MIN($F448,EOMONTH(DATE(cfg_FY,1,1),0))-MAX($E448,DATE(cfg_FY,1,1))+1))</f>
        <v>0</v>
      </c>
      <c r="AU448" s="65" t="n">
        <f aca="false">IF(OR(OR($B448="",$E448="",$F448=""),$K448&lt;&gt;"نعم",$M448="نعم"),0,MAX(0,MIN($F448,EOMONTH(DATE(cfg_FY,2,1),0))-MAX($E448,DATE(cfg_FY,2,1))+1))</f>
        <v>0</v>
      </c>
      <c r="AV448" s="65" t="n">
        <f aca="false">IF(OR(OR($B448="",$E448="",$F448=""),$K448&lt;&gt;"نعم",$M448="نعم"),0,MAX(0,MIN($F448,EOMONTH(DATE(cfg_FY,3,1),0))-MAX($E448,DATE(cfg_FY,3,1))+1))</f>
        <v>0</v>
      </c>
      <c r="AW448" s="65" t="n">
        <f aca="false">IF(OR(OR($B448="",$E448="",$F448=""),$K448&lt;&gt;"نعم",$M448="نعم"),0,MAX(0,MIN($F448,EOMONTH(DATE(cfg_FY,4,1),0))-MAX($E448,DATE(cfg_FY,4,1))+1))</f>
        <v>0</v>
      </c>
      <c r="AX448" s="65" t="n">
        <f aca="false">IF(OR(OR($B448="",$E448="",$F448=""),$K448&lt;&gt;"نعم",$M448="نعم"),0,MAX(0,MIN($F448,EOMONTH(DATE(cfg_FY,5,1),0))-MAX($E448,DATE(cfg_FY,5,1))+1))</f>
        <v>0</v>
      </c>
      <c r="AY448" s="65" t="n">
        <f aca="false">IF(OR(OR($B448="",$E448="",$F448=""),$K448&lt;&gt;"نعم",$M448="نعم"),0,MAX(0,MIN($F448,EOMONTH(DATE(cfg_FY,6,1),0))-MAX($E448,DATE(cfg_FY,6,1))+1))</f>
        <v>0</v>
      </c>
      <c r="AZ448" s="65" t="n">
        <f aca="false">IF(OR(OR($B448="",$E448="",$F448=""),$K448&lt;&gt;"نعم",$M448="نعم"),0,MAX(0,MIN($F448,EOMONTH(DATE(cfg_FY,7,1),0))-MAX($E448,DATE(cfg_FY,7,1))+1))</f>
        <v>0</v>
      </c>
      <c r="BA448" s="65" t="n">
        <f aca="false">IF(OR(OR($B448="",$E448="",$F448=""),$K448&lt;&gt;"نعم",$M448="نعم"),0,MAX(0,MIN($F448,EOMONTH(DATE(cfg_FY,8,1),0))-MAX($E448,DATE(cfg_FY,8,1))+1))</f>
        <v>0</v>
      </c>
      <c r="BB448" s="65" t="n">
        <f aca="false">IF(OR(OR($B448="",$E448="",$F448=""),$K448&lt;&gt;"نعم",$M448="نعم"),0,MAX(0,MIN($F448,EOMONTH(DATE(cfg_FY,9,1),0))-MAX($E448,DATE(cfg_FY,9,1))+1))</f>
        <v>0</v>
      </c>
      <c r="BC448" s="65" t="n">
        <f aca="false">IF(OR(OR($B448="",$E448="",$F448=""),$K448&lt;&gt;"نعم",$M448="نعم"),0,MAX(0,MIN($F448,EOMONTH(DATE(cfg_FY,10,1),0))-MAX($E448,DATE(cfg_FY,10,1))+1))</f>
        <v>0</v>
      </c>
      <c r="BD448" s="65" t="n">
        <f aca="false">IF(OR(OR($B448="",$E448="",$F448=""),$K448&lt;&gt;"نعم",$M448="نعم"),0,MAX(0,MIN($F448,EOMONTH(DATE(cfg_FY,11,1),0))-MAX($E448,DATE(cfg_FY,11,1))+1))</f>
        <v>0</v>
      </c>
      <c r="BE448" s="65" t="n">
        <f aca="false">IF(OR(OR($B448="",$E448="",$F448=""),$K448&lt;&gt;"نعم",$M448="نعم"),0,MAX(0,MIN($F448,EOMONTH(DATE(cfg_FY,12,1),0))-MAX($E448,DATE(cfg_FY,12,1))+1))</f>
        <v>0</v>
      </c>
    </row>
    <row r="449" customFormat="false" ht="15" hidden="false" customHeight="false" outlineLevel="0" collapsed="false">
      <c r="A449" s="115" t="str">
        <f aca="false">IF(B449="","",ROW()-5)</f>
        <v/>
      </c>
      <c r="B449" s="118"/>
      <c r="C449" s="117" t="str">
        <f aca="false">IF(B449="","",IFERROR(INDEX(الموظفون!$C$6:$C$105,MATCH(B449,الموظفون!$B$6:$B$105,0)),"✖ رقم غير موجود"))</f>
        <v/>
      </c>
      <c r="D449" s="118"/>
      <c r="E449" s="119"/>
      <c r="F449" s="119"/>
      <c r="G449" s="133" t="str">
        <f aca="false">IF(OR($B449="",$E449="",$F449=""),"",MAX(0,F449-E449+1))</f>
        <v/>
      </c>
      <c r="H449" s="134" t="str">
        <f aca="false">IF(D449="","",IFERROR(VLOOKUP(D449,cfg_LT,2,FALSE()),1))</f>
        <v/>
      </c>
      <c r="I449" s="135"/>
      <c r="J449" s="134" t="str">
        <f aca="false">IF(D449="","",IF(I449&lt;&gt;"",I449,H449))</f>
        <v/>
      </c>
      <c r="K449" s="117" t="str">
        <f aca="false">IF(D449="","",IFERROR(VLOOKUP($D449,cfg_LT,3,FALSE()),""))</f>
        <v/>
      </c>
      <c r="L449" s="117" t="str">
        <f aca="false">IF(D449="","",IFERROR(VLOOKUP($D449,cfg_LT,4,FALSE()),""))</f>
        <v/>
      </c>
      <c r="M449" s="117" t="str">
        <f aca="false">IF(D449="","",IFERROR(VLOOKUP($D449,cfg_LT,5,FALSE()),""))</f>
        <v/>
      </c>
      <c r="N449" s="116" t="n">
        <f aca="false">IF(OR(OR($B449="",$E449="",$F449=""),M449&lt;&gt;"نعم"),0,G449*J449*IFERROR(INDEX(الموظفون!$R$6:$R$105,MATCH(B449,الموظفون!$B$6:$B$105,0)),0)/cfg_DAYS_M)</f>
        <v>0</v>
      </c>
      <c r="O449" s="115" t="str">
        <f aca="false">IF(OR(OR($B449="",$E449="",$F449=""),M449&lt;&gt;"نعم"),"",IF(YEAR(E449)=cfg_FY,MONTH(E449),""))</f>
        <v/>
      </c>
      <c r="P449" s="117" t="str">
        <f aca="false">IF(B449="","",IF(OR(D449="",E449="",F449=""),"⚠ أكمل النوع والتواريخ",IF(F449&lt;E449,"✖ النهاية قبل البداية",IF(COUNTIFS($B$6:$B$505,B449,$E$6:$E$505,"&lt;="&amp;F449,$F$6:$F$505,"&gt;="&amp;E449)&gt;1,"⚠ تداخل مع سجل آخر",IF(E449&gt;cfg_VAL_DATE,"⏳ قادمة",IF(F449&lt;cfg_VAL_DATE,"✔ منتهية","✈ جارية في تاريخ التقرير"))))))</f>
        <v/>
      </c>
      <c r="Q449" s="118"/>
      <c r="R449" s="133" t="n">
        <f aca="false">IF(OR(OR($B449="",$E449="",$F449=""),L449&lt;&gt;"لا"),0,MAX(0,MIN(F449,cfg_Y_START-1)-E449+1))</f>
        <v>0</v>
      </c>
      <c r="S449" s="133" t="n">
        <f aca="false">IF(OR(OR($B449="",$E449="",$F449=""),L449&lt;&gt;"لا"),0,MAX(0,MIN(F449,cfg_VAL_DATE)-E449+1))</f>
        <v>0</v>
      </c>
      <c r="T449" s="133" t="n">
        <f aca="false">IF(OR(OR($B449="",$E449="",$F449=""),K449&lt;&gt;"نعم"),0,IF(M449="نعم",IF(AND(ISNUMBER(O449),N(O449)&lt;=cfg_VAL_M),G449,0),MAX(0,MIN(F449,cfg_VAL_DATE)-MAX(E449,cfg_Y_START)+1)))</f>
        <v>0</v>
      </c>
      <c r="V449" s="133" t="n">
        <f aca="false">IF(OR($B449="",$E449="",$F449=""),0,MAX(0,MIN($F449,EOMONTH(DATE(cfg_FY,1,1),0))-MAX($E449,DATE(cfg_FY,1,1))+1)*(1-IF($M449="نعم",0,N($J449))))</f>
        <v>0</v>
      </c>
      <c r="W449" s="133" t="n">
        <f aca="false">IF(OR($B449="",$E449="",$F449=""),0,MAX(0,MIN($F449,EOMONTH(DATE(cfg_FY,2,1),0))-MAX($E449,DATE(cfg_FY,2,1))+1)*(1-IF($M449="نعم",0,N($J449))))</f>
        <v>0</v>
      </c>
      <c r="X449" s="133" t="n">
        <f aca="false">IF(OR($B449="",$E449="",$F449=""),0,MAX(0,MIN($F449,EOMONTH(DATE(cfg_FY,3,1),0))-MAX($E449,DATE(cfg_FY,3,1))+1)*(1-IF($M449="نعم",0,N($J449))))</f>
        <v>0</v>
      </c>
      <c r="Y449" s="133" t="n">
        <f aca="false">IF(OR($B449="",$E449="",$F449=""),0,MAX(0,MIN($F449,EOMONTH(DATE(cfg_FY,4,1),0))-MAX($E449,DATE(cfg_FY,4,1))+1)*(1-IF($M449="نعم",0,N($J449))))</f>
        <v>0</v>
      </c>
      <c r="Z449" s="133" t="n">
        <f aca="false">IF(OR($B449="",$E449="",$F449=""),0,MAX(0,MIN($F449,EOMONTH(DATE(cfg_FY,5,1),0))-MAX($E449,DATE(cfg_FY,5,1))+1)*(1-IF($M449="نعم",0,N($J449))))</f>
        <v>0</v>
      </c>
      <c r="AA449" s="133" t="n">
        <f aca="false">IF(OR($B449="",$E449="",$F449=""),0,MAX(0,MIN($F449,EOMONTH(DATE(cfg_FY,6,1),0))-MAX($E449,DATE(cfg_FY,6,1))+1)*(1-IF($M449="نعم",0,N($J449))))</f>
        <v>0</v>
      </c>
      <c r="AB449" s="133" t="n">
        <f aca="false">IF(OR($B449="",$E449="",$F449=""),0,MAX(0,MIN($F449,EOMONTH(DATE(cfg_FY,7,1),0))-MAX($E449,DATE(cfg_FY,7,1))+1)*(1-IF($M449="نعم",0,N($J449))))</f>
        <v>0</v>
      </c>
      <c r="AC449" s="133" t="n">
        <f aca="false">IF(OR($B449="",$E449="",$F449=""),0,MAX(0,MIN($F449,EOMONTH(DATE(cfg_FY,8,1),0))-MAX($E449,DATE(cfg_FY,8,1))+1)*(1-IF($M449="نعم",0,N($J449))))</f>
        <v>0</v>
      </c>
      <c r="AD449" s="133" t="n">
        <f aca="false">IF(OR($B449="",$E449="",$F449=""),0,MAX(0,MIN($F449,EOMONTH(DATE(cfg_FY,9,1),0))-MAX($E449,DATE(cfg_FY,9,1))+1)*(1-IF($M449="نعم",0,N($J449))))</f>
        <v>0</v>
      </c>
      <c r="AE449" s="133" t="n">
        <f aca="false">IF(OR($B449="",$E449="",$F449=""),0,MAX(0,MIN($F449,EOMONTH(DATE(cfg_FY,10,1),0))-MAX($E449,DATE(cfg_FY,10,1))+1)*(1-IF($M449="نعم",0,N($J449))))</f>
        <v>0</v>
      </c>
      <c r="AF449" s="133" t="n">
        <f aca="false">IF(OR($B449="",$E449="",$F449=""),0,MAX(0,MIN($F449,EOMONTH(DATE(cfg_FY,11,1),0))-MAX($E449,DATE(cfg_FY,11,1))+1)*(1-IF($M449="نعم",0,N($J449))))</f>
        <v>0</v>
      </c>
      <c r="AG449" s="133" t="n">
        <f aca="false">IF(OR($B449="",$E449="",$F449=""),0,MAX(0,MIN($F449,EOMONTH(DATE(cfg_FY,12,1),0))-MAX($E449,DATE(cfg_FY,12,1))+1)*(1-IF($M449="نعم",0,N($J449))))</f>
        <v>0</v>
      </c>
      <c r="AH449" s="133" t="n">
        <f aca="false">IF(OR(OR($B449="",$E449="",$F449=""),$L449&lt;&gt;"لا"),0,MAX(0,MIN($F449,EOMONTH(DATE(cfg_FY,1,1),0))-$E449+1))</f>
        <v>0</v>
      </c>
      <c r="AI449" s="133" t="n">
        <f aca="false">IF(OR(OR($B449="",$E449="",$F449=""),$L449&lt;&gt;"لا"),0,MAX(0,MIN($F449,EOMONTH(DATE(cfg_FY,2,1),0))-$E449+1))</f>
        <v>0</v>
      </c>
      <c r="AJ449" s="133" t="n">
        <f aca="false">IF(OR(OR($B449="",$E449="",$F449=""),$L449&lt;&gt;"لا"),0,MAX(0,MIN($F449,EOMONTH(DATE(cfg_FY,3,1),0))-$E449+1))</f>
        <v>0</v>
      </c>
      <c r="AK449" s="133" t="n">
        <f aca="false">IF(OR(OR($B449="",$E449="",$F449=""),$L449&lt;&gt;"لا"),0,MAX(0,MIN($F449,EOMONTH(DATE(cfg_FY,4,1),0))-$E449+1))</f>
        <v>0</v>
      </c>
      <c r="AL449" s="133" t="n">
        <f aca="false">IF(OR(OR($B449="",$E449="",$F449=""),$L449&lt;&gt;"لا"),0,MAX(0,MIN($F449,EOMONTH(DATE(cfg_FY,5,1),0))-$E449+1))</f>
        <v>0</v>
      </c>
      <c r="AM449" s="133" t="n">
        <f aca="false">IF(OR(OR($B449="",$E449="",$F449=""),$L449&lt;&gt;"لا"),0,MAX(0,MIN($F449,EOMONTH(DATE(cfg_FY,6,1),0))-$E449+1))</f>
        <v>0</v>
      </c>
      <c r="AN449" s="133" t="n">
        <f aca="false">IF(OR(OR($B449="",$E449="",$F449=""),$L449&lt;&gt;"لا"),0,MAX(0,MIN($F449,EOMONTH(DATE(cfg_FY,7,1),0))-$E449+1))</f>
        <v>0</v>
      </c>
      <c r="AO449" s="133" t="n">
        <f aca="false">IF(OR(OR($B449="",$E449="",$F449=""),$L449&lt;&gt;"لا"),0,MAX(0,MIN($F449,EOMONTH(DATE(cfg_FY,8,1),0))-$E449+1))</f>
        <v>0</v>
      </c>
      <c r="AP449" s="133" t="n">
        <f aca="false">IF(OR(OR($B449="",$E449="",$F449=""),$L449&lt;&gt;"لا"),0,MAX(0,MIN($F449,EOMONTH(DATE(cfg_FY,9,1),0))-$E449+1))</f>
        <v>0</v>
      </c>
      <c r="AQ449" s="133" t="n">
        <f aca="false">IF(OR(OR($B449="",$E449="",$F449=""),$L449&lt;&gt;"لا"),0,MAX(0,MIN($F449,EOMONTH(DATE(cfg_FY,10,1),0))-$E449+1))</f>
        <v>0</v>
      </c>
      <c r="AR449" s="133" t="n">
        <f aca="false">IF(OR(OR($B449="",$E449="",$F449=""),$L449&lt;&gt;"لا"),0,MAX(0,MIN($F449,EOMONTH(DATE(cfg_FY,11,1),0))-$E449+1))</f>
        <v>0</v>
      </c>
      <c r="AS449" s="133" t="n">
        <f aca="false">IF(OR(OR($B449="",$E449="",$F449=""),$L449&lt;&gt;"لا"),0,MAX(0,MIN($F449,EOMONTH(DATE(cfg_FY,12,1),0))-$E449+1))</f>
        <v>0</v>
      </c>
      <c r="AT449" s="133" t="n">
        <f aca="false">IF(OR(OR($B449="",$E449="",$F449=""),$K449&lt;&gt;"نعم",$M449="نعم"),0,MAX(0,MIN($F449,EOMONTH(DATE(cfg_FY,1,1),0))-MAX($E449,DATE(cfg_FY,1,1))+1))</f>
        <v>0</v>
      </c>
      <c r="AU449" s="133" t="n">
        <f aca="false">IF(OR(OR($B449="",$E449="",$F449=""),$K449&lt;&gt;"نعم",$M449="نعم"),0,MAX(0,MIN($F449,EOMONTH(DATE(cfg_FY,2,1),0))-MAX($E449,DATE(cfg_FY,2,1))+1))</f>
        <v>0</v>
      </c>
      <c r="AV449" s="133" t="n">
        <f aca="false">IF(OR(OR($B449="",$E449="",$F449=""),$K449&lt;&gt;"نعم",$M449="نعم"),0,MAX(0,MIN($F449,EOMONTH(DATE(cfg_FY,3,1),0))-MAX($E449,DATE(cfg_FY,3,1))+1))</f>
        <v>0</v>
      </c>
      <c r="AW449" s="133" t="n">
        <f aca="false">IF(OR(OR($B449="",$E449="",$F449=""),$K449&lt;&gt;"نعم",$M449="نعم"),0,MAX(0,MIN($F449,EOMONTH(DATE(cfg_FY,4,1),0))-MAX($E449,DATE(cfg_FY,4,1))+1))</f>
        <v>0</v>
      </c>
      <c r="AX449" s="133" t="n">
        <f aca="false">IF(OR(OR($B449="",$E449="",$F449=""),$K449&lt;&gt;"نعم",$M449="نعم"),0,MAX(0,MIN($F449,EOMONTH(DATE(cfg_FY,5,1),0))-MAX($E449,DATE(cfg_FY,5,1))+1))</f>
        <v>0</v>
      </c>
      <c r="AY449" s="133" t="n">
        <f aca="false">IF(OR(OR($B449="",$E449="",$F449=""),$K449&lt;&gt;"نعم",$M449="نعم"),0,MAX(0,MIN($F449,EOMONTH(DATE(cfg_FY,6,1),0))-MAX($E449,DATE(cfg_FY,6,1))+1))</f>
        <v>0</v>
      </c>
      <c r="AZ449" s="133" t="n">
        <f aca="false">IF(OR(OR($B449="",$E449="",$F449=""),$K449&lt;&gt;"نعم",$M449="نعم"),0,MAX(0,MIN($F449,EOMONTH(DATE(cfg_FY,7,1),0))-MAX($E449,DATE(cfg_FY,7,1))+1))</f>
        <v>0</v>
      </c>
      <c r="BA449" s="133" t="n">
        <f aca="false">IF(OR(OR($B449="",$E449="",$F449=""),$K449&lt;&gt;"نعم",$M449="نعم"),0,MAX(0,MIN($F449,EOMONTH(DATE(cfg_FY,8,1),0))-MAX($E449,DATE(cfg_FY,8,1))+1))</f>
        <v>0</v>
      </c>
      <c r="BB449" s="133" t="n">
        <f aca="false">IF(OR(OR($B449="",$E449="",$F449=""),$K449&lt;&gt;"نعم",$M449="نعم"),0,MAX(0,MIN($F449,EOMONTH(DATE(cfg_FY,9,1),0))-MAX($E449,DATE(cfg_FY,9,1))+1))</f>
        <v>0</v>
      </c>
      <c r="BC449" s="133" t="n">
        <f aca="false">IF(OR(OR($B449="",$E449="",$F449=""),$K449&lt;&gt;"نعم",$M449="نعم"),0,MAX(0,MIN($F449,EOMONTH(DATE(cfg_FY,10,1),0))-MAX($E449,DATE(cfg_FY,10,1))+1))</f>
        <v>0</v>
      </c>
      <c r="BD449" s="133" t="n">
        <f aca="false">IF(OR(OR($B449="",$E449="",$F449=""),$K449&lt;&gt;"نعم",$M449="نعم"),0,MAX(0,MIN($F449,EOMONTH(DATE(cfg_FY,11,1),0))-MAX($E449,DATE(cfg_FY,11,1))+1))</f>
        <v>0</v>
      </c>
      <c r="BE449" s="133" t="n">
        <f aca="false">IF(OR(OR($B449="",$E449="",$F449=""),$K449&lt;&gt;"نعم",$M449="نعم"),0,MAX(0,MIN($F449,EOMONTH(DATE(cfg_FY,12,1),0))-MAX($E449,DATE(cfg_FY,12,1))+1))</f>
        <v>0</v>
      </c>
    </row>
    <row r="450" customFormat="false" ht="15" hidden="false" customHeight="false" outlineLevel="0" collapsed="false">
      <c r="A450" s="106" t="str">
        <f aca="false">IF(B450="","",ROW()-5)</f>
        <v/>
      </c>
      <c r="B450" s="118"/>
      <c r="C450" s="114" t="str">
        <f aca="false">IF(B450="","",IFERROR(INDEX(الموظفون!$C$6:$C$105,MATCH(B450,الموظفون!$B$6:$B$105,0)),"✖ رقم غير موجود"))</f>
        <v/>
      </c>
      <c r="D450" s="118"/>
      <c r="E450" s="119"/>
      <c r="F450" s="119"/>
      <c r="G450" s="65" t="str">
        <f aca="false">IF(OR($B450="",$E450="",$F450=""),"",MAX(0,F450-E450+1))</f>
        <v/>
      </c>
      <c r="H450" s="66" t="str">
        <f aca="false">IF(D450="","",IFERROR(VLOOKUP(D450,cfg_LT,2,FALSE()),1))</f>
        <v/>
      </c>
      <c r="I450" s="135"/>
      <c r="J450" s="66" t="str">
        <f aca="false">IF(D450="","",IF(I450&lt;&gt;"",I450,H450))</f>
        <v/>
      </c>
      <c r="K450" s="114" t="str">
        <f aca="false">IF(D450="","",IFERROR(VLOOKUP($D450,cfg_LT,3,FALSE()),""))</f>
        <v/>
      </c>
      <c r="L450" s="114" t="str">
        <f aca="false">IF(D450="","",IFERROR(VLOOKUP($D450,cfg_LT,4,FALSE()),""))</f>
        <v/>
      </c>
      <c r="M450" s="114" t="str">
        <f aca="false">IF(D450="","",IFERROR(VLOOKUP($D450,cfg_LT,5,FALSE()),""))</f>
        <v/>
      </c>
      <c r="N450" s="111" t="n">
        <f aca="false">IF(OR(OR($B450="",$E450="",$F450=""),M450&lt;&gt;"نعم"),0,G450*J450*IFERROR(INDEX(الموظفون!$R$6:$R$105,MATCH(B450,الموظفون!$B$6:$B$105,0)),0)/cfg_DAYS_M)</f>
        <v>0</v>
      </c>
      <c r="O450" s="106" t="str">
        <f aca="false">IF(OR(OR($B450="",$E450="",$F450=""),M450&lt;&gt;"نعم"),"",IF(YEAR(E450)=cfg_FY,MONTH(E450),""))</f>
        <v/>
      </c>
      <c r="P450" s="114" t="str">
        <f aca="false">IF(B450="","",IF(OR(D450="",E450="",F450=""),"⚠ أكمل النوع والتواريخ",IF(F450&lt;E450,"✖ النهاية قبل البداية",IF(COUNTIFS($B$6:$B$505,B450,$E$6:$E$505,"&lt;="&amp;F450,$F$6:$F$505,"&gt;="&amp;E450)&gt;1,"⚠ تداخل مع سجل آخر",IF(E450&gt;cfg_VAL_DATE,"⏳ قادمة",IF(F450&lt;cfg_VAL_DATE,"✔ منتهية","✈ جارية في تاريخ التقرير"))))))</f>
        <v/>
      </c>
      <c r="Q450" s="118"/>
      <c r="R450" s="65" t="n">
        <f aca="false">IF(OR(OR($B450="",$E450="",$F450=""),L450&lt;&gt;"لا"),0,MAX(0,MIN(F450,cfg_Y_START-1)-E450+1))</f>
        <v>0</v>
      </c>
      <c r="S450" s="65" t="n">
        <f aca="false">IF(OR(OR($B450="",$E450="",$F450=""),L450&lt;&gt;"لا"),0,MAX(0,MIN(F450,cfg_VAL_DATE)-E450+1))</f>
        <v>0</v>
      </c>
      <c r="T450" s="65" t="n">
        <f aca="false">IF(OR(OR($B450="",$E450="",$F450=""),K450&lt;&gt;"نعم"),0,IF(M450="نعم",IF(AND(ISNUMBER(O450),N(O450)&lt;=cfg_VAL_M),G450,0),MAX(0,MIN(F450,cfg_VAL_DATE)-MAX(E450,cfg_Y_START)+1)))</f>
        <v>0</v>
      </c>
      <c r="V450" s="65" t="n">
        <f aca="false">IF(OR($B450="",$E450="",$F450=""),0,MAX(0,MIN($F450,EOMONTH(DATE(cfg_FY,1,1),0))-MAX($E450,DATE(cfg_FY,1,1))+1)*(1-IF($M450="نعم",0,N($J450))))</f>
        <v>0</v>
      </c>
      <c r="W450" s="65" t="n">
        <f aca="false">IF(OR($B450="",$E450="",$F450=""),0,MAX(0,MIN($F450,EOMONTH(DATE(cfg_FY,2,1),0))-MAX($E450,DATE(cfg_FY,2,1))+1)*(1-IF($M450="نعم",0,N($J450))))</f>
        <v>0</v>
      </c>
      <c r="X450" s="65" t="n">
        <f aca="false">IF(OR($B450="",$E450="",$F450=""),0,MAX(0,MIN($F450,EOMONTH(DATE(cfg_FY,3,1),0))-MAX($E450,DATE(cfg_FY,3,1))+1)*(1-IF($M450="نعم",0,N($J450))))</f>
        <v>0</v>
      </c>
      <c r="Y450" s="65" t="n">
        <f aca="false">IF(OR($B450="",$E450="",$F450=""),0,MAX(0,MIN($F450,EOMONTH(DATE(cfg_FY,4,1),0))-MAX($E450,DATE(cfg_FY,4,1))+1)*(1-IF($M450="نعم",0,N($J450))))</f>
        <v>0</v>
      </c>
      <c r="Z450" s="65" t="n">
        <f aca="false">IF(OR($B450="",$E450="",$F450=""),0,MAX(0,MIN($F450,EOMONTH(DATE(cfg_FY,5,1),0))-MAX($E450,DATE(cfg_FY,5,1))+1)*(1-IF($M450="نعم",0,N($J450))))</f>
        <v>0</v>
      </c>
      <c r="AA450" s="65" t="n">
        <f aca="false">IF(OR($B450="",$E450="",$F450=""),0,MAX(0,MIN($F450,EOMONTH(DATE(cfg_FY,6,1),0))-MAX($E450,DATE(cfg_FY,6,1))+1)*(1-IF($M450="نعم",0,N($J450))))</f>
        <v>0</v>
      </c>
      <c r="AB450" s="65" t="n">
        <f aca="false">IF(OR($B450="",$E450="",$F450=""),0,MAX(0,MIN($F450,EOMONTH(DATE(cfg_FY,7,1),0))-MAX($E450,DATE(cfg_FY,7,1))+1)*(1-IF($M450="نعم",0,N($J450))))</f>
        <v>0</v>
      </c>
      <c r="AC450" s="65" t="n">
        <f aca="false">IF(OR($B450="",$E450="",$F450=""),0,MAX(0,MIN($F450,EOMONTH(DATE(cfg_FY,8,1),0))-MAX($E450,DATE(cfg_FY,8,1))+1)*(1-IF($M450="نعم",0,N($J450))))</f>
        <v>0</v>
      </c>
      <c r="AD450" s="65" t="n">
        <f aca="false">IF(OR($B450="",$E450="",$F450=""),0,MAX(0,MIN($F450,EOMONTH(DATE(cfg_FY,9,1),0))-MAX($E450,DATE(cfg_FY,9,1))+1)*(1-IF($M450="نعم",0,N($J450))))</f>
        <v>0</v>
      </c>
      <c r="AE450" s="65" t="n">
        <f aca="false">IF(OR($B450="",$E450="",$F450=""),0,MAX(0,MIN($F450,EOMONTH(DATE(cfg_FY,10,1),0))-MAX($E450,DATE(cfg_FY,10,1))+1)*(1-IF($M450="نعم",0,N($J450))))</f>
        <v>0</v>
      </c>
      <c r="AF450" s="65" t="n">
        <f aca="false">IF(OR($B450="",$E450="",$F450=""),0,MAX(0,MIN($F450,EOMONTH(DATE(cfg_FY,11,1),0))-MAX($E450,DATE(cfg_FY,11,1))+1)*(1-IF($M450="نعم",0,N($J450))))</f>
        <v>0</v>
      </c>
      <c r="AG450" s="65" t="n">
        <f aca="false">IF(OR($B450="",$E450="",$F450=""),0,MAX(0,MIN($F450,EOMONTH(DATE(cfg_FY,12,1),0))-MAX($E450,DATE(cfg_FY,12,1))+1)*(1-IF($M450="نعم",0,N($J450))))</f>
        <v>0</v>
      </c>
      <c r="AH450" s="65" t="n">
        <f aca="false">IF(OR(OR($B450="",$E450="",$F450=""),$L450&lt;&gt;"لا"),0,MAX(0,MIN($F450,EOMONTH(DATE(cfg_FY,1,1),0))-$E450+1))</f>
        <v>0</v>
      </c>
      <c r="AI450" s="65" t="n">
        <f aca="false">IF(OR(OR($B450="",$E450="",$F450=""),$L450&lt;&gt;"لا"),0,MAX(0,MIN($F450,EOMONTH(DATE(cfg_FY,2,1),0))-$E450+1))</f>
        <v>0</v>
      </c>
      <c r="AJ450" s="65" t="n">
        <f aca="false">IF(OR(OR($B450="",$E450="",$F450=""),$L450&lt;&gt;"لا"),0,MAX(0,MIN($F450,EOMONTH(DATE(cfg_FY,3,1),0))-$E450+1))</f>
        <v>0</v>
      </c>
      <c r="AK450" s="65" t="n">
        <f aca="false">IF(OR(OR($B450="",$E450="",$F450=""),$L450&lt;&gt;"لا"),0,MAX(0,MIN($F450,EOMONTH(DATE(cfg_FY,4,1),0))-$E450+1))</f>
        <v>0</v>
      </c>
      <c r="AL450" s="65" t="n">
        <f aca="false">IF(OR(OR($B450="",$E450="",$F450=""),$L450&lt;&gt;"لا"),0,MAX(0,MIN($F450,EOMONTH(DATE(cfg_FY,5,1),0))-$E450+1))</f>
        <v>0</v>
      </c>
      <c r="AM450" s="65" t="n">
        <f aca="false">IF(OR(OR($B450="",$E450="",$F450=""),$L450&lt;&gt;"لا"),0,MAX(0,MIN($F450,EOMONTH(DATE(cfg_FY,6,1),0))-$E450+1))</f>
        <v>0</v>
      </c>
      <c r="AN450" s="65" t="n">
        <f aca="false">IF(OR(OR($B450="",$E450="",$F450=""),$L450&lt;&gt;"لا"),0,MAX(0,MIN($F450,EOMONTH(DATE(cfg_FY,7,1),0))-$E450+1))</f>
        <v>0</v>
      </c>
      <c r="AO450" s="65" t="n">
        <f aca="false">IF(OR(OR($B450="",$E450="",$F450=""),$L450&lt;&gt;"لا"),0,MAX(0,MIN($F450,EOMONTH(DATE(cfg_FY,8,1),0))-$E450+1))</f>
        <v>0</v>
      </c>
      <c r="AP450" s="65" t="n">
        <f aca="false">IF(OR(OR($B450="",$E450="",$F450=""),$L450&lt;&gt;"لا"),0,MAX(0,MIN($F450,EOMONTH(DATE(cfg_FY,9,1),0))-$E450+1))</f>
        <v>0</v>
      </c>
      <c r="AQ450" s="65" t="n">
        <f aca="false">IF(OR(OR($B450="",$E450="",$F450=""),$L450&lt;&gt;"لا"),0,MAX(0,MIN($F450,EOMONTH(DATE(cfg_FY,10,1),0))-$E450+1))</f>
        <v>0</v>
      </c>
      <c r="AR450" s="65" t="n">
        <f aca="false">IF(OR(OR($B450="",$E450="",$F450=""),$L450&lt;&gt;"لا"),0,MAX(0,MIN($F450,EOMONTH(DATE(cfg_FY,11,1),0))-$E450+1))</f>
        <v>0</v>
      </c>
      <c r="AS450" s="65" t="n">
        <f aca="false">IF(OR(OR($B450="",$E450="",$F450=""),$L450&lt;&gt;"لا"),0,MAX(0,MIN($F450,EOMONTH(DATE(cfg_FY,12,1),0))-$E450+1))</f>
        <v>0</v>
      </c>
      <c r="AT450" s="65" t="n">
        <f aca="false">IF(OR(OR($B450="",$E450="",$F450=""),$K450&lt;&gt;"نعم",$M450="نعم"),0,MAX(0,MIN($F450,EOMONTH(DATE(cfg_FY,1,1),0))-MAX($E450,DATE(cfg_FY,1,1))+1))</f>
        <v>0</v>
      </c>
      <c r="AU450" s="65" t="n">
        <f aca="false">IF(OR(OR($B450="",$E450="",$F450=""),$K450&lt;&gt;"نعم",$M450="نعم"),0,MAX(0,MIN($F450,EOMONTH(DATE(cfg_FY,2,1),0))-MAX($E450,DATE(cfg_FY,2,1))+1))</f>
        <v>0</v>
      </c>
      <c r="AV450" s="65" t="n">
        <f aca="false">IF(OR(OR($B450="",$E450="",$F450=""),$K450&lt;&gt;"نعم",$M450="نعم"),0,MAX(0,MIN($F450,EOMONTH(DATE(cfg_FY,3,1),0))-MAX($E450,DATE(cfg_FY,3,1))+1))</f>
        <v>0</v>
      </c>
      <c r="AW450" s="65" t="n">
        <f aca="false">IF(OR(OR($B450="",$E450="",$F450=""),$K450&lt;&gt;"نعم",$M450="نعم"),0,MAX(0,MIN($F450,EOMONTH(DATE(cfg_FY,4,1),0))-MAX($E450,DATE(cfg_FY,4,1))+1))</f>
        <v>0</v>
      </c>
      <c r="AX450" s="65" t="n">
        <f aca="false">IF(OR(OR($B450="",$E450="",$F450=""),$K450&lt;&gt;"نعم",$M450="نعم"),0,MAX(0,MIN($F450,EOMONTH(DATE(cfg_FY,5,1),0))-MAX($E450,DATE(cfg_FY,5,1))+1))</f>
        <v>0</v>
      </c>
      <c r="AY450" s="65" t="n">
        <f aca="false">IF(OR(OR($B450="",$E450="",$F450=""),$K450&lt;&gt;"نعم",$M450="نعم"),0,MAX(0,MIN($F450,EOMONTH(DATE(cfg_FY,6,1),0))-MAX($E450,DATE(cfg_FY,6,1))+1))</f>
        <v>0</v>
      </c>
      <c r="AZ450" s="65" t="n">
        <f aca="false">IF(OR(OR($B450="",$E450="",$F450=""),$K450&lt;&gt;"نعم",$M450="نعم"),0,MAX(0,MIN($F450,EOMONTH(DATE(cfg_FY,7,1),0))-MAX($E450,DATE(cfg_FY,7,1))+1))</f>
        <v>0</v>
      </c>
      <c r="BA450" s="65" t="n">
        <f aca="false">IF(OR(OR($B450="",$E450="",$F450=""),$K450&lt;&gt;"نعم",$M450="نعم"),0,MAX(0,MIN($F450,EOMONTH(DATE(cfg_FY,8,1),0))-MAX($E450,DATE(cfg_FY,8,1))+1))</f>
        <v>0</v>
      </c>
      <c r="BB450" s="65" t="n">
        <f aca="false">IF(OR(OR($B450="",$E450="",$F450=""),$K450&lt;&gt;"نعم",$M450="نعم"),0,MAX(0,MIN($F450,EOMONTH(DATE(cfg_FY,9,1),0))-MAX($E450,DATE(cfg_FY,9,1))+1))</f>
        <v>0</v>
      </c>
      <c r="BC450" s="65" t="n">
        <f aca="false">IF(OR(OR($B450="",$E450="",$F450=""),$K450&lt;&gt;"نعم",$M450="نعم"),0,MAX(0,MIN($F450,EOMONTH(DATE(cfg_FY,10,1),0))-MAX($E450,DATE(cfg_FY,10,1))+1))</f>
        <v>0</v>
      </c>
      <c r="BD450" s="65" t="n">
        <f aca="false">IF(OR(OR($B450="",$E450="",$F450=""),$K450&lt;&gt;"نعم",$M450="نعم"),0,MAX(0,MIN($F450,EOMONTH(DATE(cfg_FY,11,1),0))-MAX($E450,DATE(cfg_FY,11,1))+1))</f>
        <v>0</v>
      </c>
      <c r="BE450" s="65" t="n">
        <f aca="false">IF(OR(OR($B450="",$E450="",$F450=""),$K450&lt;&gt;"نعم",$M450="نعم"),0,MAX(0,MIN($F450,EOMONTH(DATE(cfg_FY,12,1),0))-MAX($E450,DATE(cfg_FY,12,1))+1))</f>
        <v>0</v>
      </c>
    </row>
    <row r="451" customFormat="false" ht="15" hidden="false" customHeight="false" outlineLevel="0" collapsed="false">
      <c r="A451" s="115" t="str">
        <f aca="false">IF(B451="","",ROW()-5)</f>
        <v/>
      </c>
      <c r="B451" s="118"/>
      <c r="C451" s="117" t="str">
        <f aca="false">IF(B451="","",IFERROR(INDEX(الموظفون!$C$6:$C$105,MATCH(B451,الموظفون!$B$6:$B$105,0)),"✖ رقم غير موجود"))</f>
        <v/>
      </c>
      <c r="D451" s="118"/>
      <c r="E451" s="119"/>
      <c r="F451" s="119"/>
      <c r="G451" s="133" t="str">
        <f aca="false">IF(OR($B451="",$E451="",$F451=""),"",MAX(0,F451-E451+1))</f>
        <v/>
      </c>
      <c r="H451" s="134" t="str">
        <f aca="false">IF(D451="","",IFERROR(VLOOKUP(D451,cfg_LT,2,FALSE()),1))</f>
        <v/>
      </c>
      <c r="I451" s="135"/>
      <c r="J451" s="134" t="str">
        <f aca="false">IF(D451="","",IF(I451&lt;&gt;"",I451,H451))</f>
        <v/>
      </c>
      <c r="K451" s="117" t="str">
        <f aca="false">IF(D451="","",IFERROR(VLOOKUP($D451,cfg_LT,3,FALSE()),""))</f>
        <v/>
      </c>
      <c r="L451" s="117" t="str">
        <f aca="false">IF(D451="","",IFERROR(VLOOKUP($D451,cfg_LT,4,FALSE()),""))</f>
        <v/>
      </c>
      <c r="M451" s="117" t="str">
        <f aca="false">IF(D451="","",IFERROR(VLOOKUP($D451,cfg_LT,5,FALSE()),""))</f>
        <v/>
      </c>
      <c r="N451" s="116" t="n">
        <f aca="false">IF(OR(OR($B451="",$E451="",$F451=""),M451&lt;&gt;"نعم"),0,G451*J451*IFERROR(INDEX(الموظفون!$R$6:$R$105,MATCH(B451,الموظفون!$B$6:$B$105,0)),0)/cfg_DAYS_M)</f>
        <v>0</v>
      </c>
      <c r="O451" s="115" t="str">
        <f aca="false">IF(OR(OR($B451="",$E451="",$F451=""),M451&lt;&gt;"نعم"),"",IF(YEAR(E451)=cfg_FY,MONTH(E451),""))</f>
        <v/>
      </c>
      <c r="P451" s="117" t="str">
        <f aca="false">IF(B451="","",IF(OR(D451="",E451="",F451=""),"⚠ أكمل النوع والتواريخ",IF(F451&lt;E451,"✖ النهاية قبل البداية",IF(COUNTIFS($B$6:$B$505,B451,$E$6:$E$505,"&lt;="&amp;F451,$F$6:$F$505,"&gt;="&amp;E451)&gt;1,"⚠ تداخل مع سجل آخر",IF(E451&gt;cfg_VAL_DATE,"⏳ قادمة",IF(F451&lt;cfg_VAL_DATE,"✔ منتهية","✈ جارية في تاريخ التقرير"))))))</f>
        <v/>
      </c>
      <c r="Q451" s="118"/>
      <c r="R451" s="133" t="n">
        <f aca="false">IF(OR(OR($B451="",$E451="",$F451=""),L451&lt;&gt;"لا"),0,MAX(0,MIN(F451,cfg_Y_START-1)-E451+1))</f>
        <v>0</v>
      </c>
      <c r="S451" s="133" t="n">
        <f aca="false">IF(OR(OR($B451="",$E451="",$F451=""),L451&lt;&gt;"لا"),0,MAX(0,MIN(F451,cfg_VAL_DATE)-E451+1))</f>
        <v>0</v>
      </c>
      <c r="T451" s="133" t="n">
        <f aca="false">IF(OR(OR($B451="",$E451="",$F451=""),K451&lt;&gt;"نعم"),0,IF(M451="نعم",IF(AND(ISNUMBER(O451),N(O451)&lt;=cfg_VAL_M),G451,0),MAX(0,MIN(F451,cfg_VAL_DATE)-MAX(E451,cfg_Y_START)+1)))</f>
        <v>0</v>
      </c>
      <c r="V451" s="133" t="n">
        <f aca="false">IF(OR($B451="",$E451="",$F451=""),0,MAX(0,MIN($F451,EOMONTH(DATE(cfg_FY,1,1),0))-MAX($E451,DATE(cfg_FY,1,1))+1)*(1-IF($M451="نعم",0,N($J451))))</f>
        <v>0</v>
      </c>
      <c r="W451" s="133" t="n">
        <f aca="false">IF(OR($B451="",$E451="",$F451=""),0,MAX(0,MIN($F451,EOMONTH(DATE(cfg_FY,2,1),0))-MAX($E451,DATE(cfg_FY,2,1))+1)*(1-IF($M451="نعم",0,N($J451))))</f>
        <v>0</v>
      </c>
      <c r="X451" s="133" t="n">
        <f aca="false">IF(OR($B451="",$E451="",$F451=""),0,MAX(0,MIN($F451,EOMONTH(DATE(cfg_FY,3,1),0))-MAX($E451,DATE(cfg_FY,3,1))+1)*(1-IF($M451="نعم",0,N($J451))))</f>
        <v>0</v>
      </c>
      <c r="Y451" s="133" t="n">
        <f aca="false">IF(OR($B451="",$E451="",$F451=""),0,MAX(0,MIN($F451,EOMONTH(DATE(cfg_FY,4,1),0))-MAX($E451,DATE(cfg_FY,4,1))+1)*(1-IF($M451="نعم",0,N($J451))))</f>
        <v>0</v>
      </c>
      <c r="Z451" s="133" t="n">
        <f aca="false">IF(OR($B451="",$E451="",$F451=""),0,MAX(0,MIN($F451,EOMONTH(DATE(cfg_FY,5,1),0))-MAX($E451,DATE(cfg_FY,5,1))+1)*(1-IF($M451="نعم",0,N($J451))))</f>
        <v>0</v>
      </c>
      <c r="AA451" s="133" t="n">
        <f aca="false">IF(OR($B451="",$E451="",$F451=""),0,MAX(0,MIN($F451,EOMONTH(DATE(cfg_FY,6,1),0))-MAX($E451,DATE(cfg_FY,6,1))+1)*(1-IF($M451="نعم",0,N($J451))))</f>
        <v>0</v>
      </c>
      <c r="AB451" s="133" t="n">
        <f aca="false">IF(OR($B451="",$E451="",$F451=""),0,MAX(0,MIN($F451,EOMONTH(DATE(cfg_FY,7,1),0))-MAX($E451,DATE(cfg_FY,7,1))+1)*(1-IF($M451="نعم",0,N($J451))))</f>
        <v>0</v>
      </c>
      <c r="AC451" s="133" t="n">
        <f aca="false">IF(OR($B451="",$E451="",$F451=""),0,MAX(0,MIN($F451,EOMONTH(DATE(cfg_FY,8,1),0))-MAX($E451,DATE(cfg_FY,8,1))+1)*(1-IF($M451="نعم",0,N($J451))))</f>
        <v>0</v>
      </c>
      <c r="AD451" s="133" t="n">
        <f aca="false">IF(OR($B451="",$E451="",$F451=""),0,MAX(0,MIN($F451,EOMONTH(DATE(cfg_FY,9,1),0))-MAX($E451,DATE(cfg_FY,9,1))+1)*(1-IF($M451="نعم",0,N($J451))))</f>
        <v>0</v>
      </c>
      <c r="AE451" s="133" t="n">
        <f aca="false">IF(OR($B451="",$E451="",$F451=""),0,MAX(0,MIN($F451,EOMONTH(DATE(cfg_FY,10,1),0))-MAX($E451,DATE(cfg_FY,10,1))+1)*(1-IF($M451="نعم",0,N($J451))))</f>
        <v>0</v>
      </c>
      <c r="AF451" s="133" t="n">
        <f aca="false">IF(OR($B451="",$E451="",$F451=""),0,MAX(0,MIN($F451,EOMONTH(DATE(cfg_FY,11,1),0))-MAX($E451,DATE(cfg_FY,11,1))+1)*(1-IF($M451="نعم",0,N($J451))))</f>
        <v>0</v>
      </c>
      <c r="AG451" s="133" t="n">
        <f aca="false">IF(OR($B451="",$E451="",$F451=""),0,MAX(0,MIN($F451,EOMONTH(DATE(cfg_FY,12,1),0))-MAX($E451,DATE(cfg_FY,12,1))+1)*(1-IF($M451="نعم",0,N($J451))))</f>
        <v>0</v>
      </c>
      <c r="AH451" s="133" t="n">
        <f aca="false">IF(OR(OR($B451="",$E451="",$F451=""),$L451&lt;&gt;"لا"),0,MAX(0,MIN($F451,EOMONTH(DATE(cfg_FY,1,1),0))-$E451+1))</f>
        <v>0</v>
      </c>
      <c r="AI451" s="133" t="n">
        <f aca="false">IF(OR(OR($B451="",$E451="",$F451=""),$L451&lt;&gt;"لا"),0,MAX(0,MIN($F451,EOMONTH(DATE(cfg_FY,2,1),0))-$E451+1))</f>
        <v>0</v>
      </c>
      <c r="AJ451" s="133" t="n">
        <f aca="false">IF(OR(OR($B451="",$E451="",$F451=""),$L451&lt;&gt;"لا"),0,MAX(0,MIN($F451,EOMONTH(DATE(cfg_FY,3,1),0))-$E451+1))</f>
        <v>0</v>
      </c>
      <c r="AK451" s="133" t="n">
        <f aca="false">IF(OR(OR($B451="",$E451="",$F451=""),$L451&lt;&gt;"لا"),0,MAX(0,MIN($F451,EOMONTH(DATE(cfg_FY,4,1),0))-$E451+1))</f>
        <v>0</v>
      </c>
      <c r="AL451" s="133" t="n">
        <f aca="false">IF(OR(OR($B451="",$E451="",$F451=""),$L451&lt;&gt;"لا"),0,MAX(0,MIN($F451,EOMONTH(DATE(cfg_FY,5,1),0))-$E451+1))</f>
        <v>0</v>
      </c>
      <c r="AM451" s="133" t="n">
        <f aca="false">IF(OR(OR($B451="",$E451="",$F451=""),$L451&lt;&gt;"لا"),0,MAX(0,MIN($F451,EOMONTH(DATE(cfg_FY,6,1),0))-$E451+1))</f>
        <v>0</v>
      </c>
      <c r="AN451" s="133" t="n">
        <f aca="false">IF(OR(OR($B451="",$E451="",$F451=""),$L451&lt;&gt;"لا"),0,MAX(0,MIN($F451,EOMONTH(DATE(cfg_FY,7,1),0))-$E451+1))</f>
        <v>0</v>
      </c>
      <c r="AO451" s="133" t="n">
        <f aca="false">IF(OR(OR($B451="",$E451="",$F451=""),$L451&lt;&gt;"لا"),0,MAX(0,MIN($F451,EOMONTH(DATE(cfg_FY,8,1),0))-$E451+1))</f>
        <v>0</v>
      </c>
      <c r="AP451" s="133" t="n">
        <f aca="false">IF(OR(OR($B451="",$E451="",$F451=""),$L451&lt;&gt;"لا"),0,MAX(0,MIN($F451,EOMONTH(DATE(cfg_FY,9,1),0))-$E451+1))</f>
        <v>0</v>
      </c>
      <c r="AQ451" s="133" t="n">
        <f aca="false">IF(OR(OR($B451="",$E451="",$F451=""),$L451&lt;&gt;"لا"),0,MAX(0,MIN($F451,EOMONTH(DATE(cfg_FY,10,1),0))-$E451+1))</f>
        <v>0</v>
      </c>
      <c r="AR451" s="133" t="n">
        <f aca="false">IF(OR(OR($B451="",$E451="",$F451=""),$L451&lt;&gt;"لا"),0,MAX(0,MIN($F451,EOMONTH(DATE(cfg_FY,11,1),0))-$E451+1))</f>
        <v>0</v>
      </c>
      <c r="AS451" s="133" t="n">
        <f aca="false">IF(OR(OR($B451="",$E451="",$F451=""),$L451&lt;&gt;"لا"),0,MAX(0,MIN($F451,EOMONTH(DATE(cfg_FY,12,1),0))-$E451+1))</f>
        <v>0</v>
      </c>
      <c r="AT451" s="133" t="n">
        <f aca="false">IF(OR(OR($B451="",$E451="",$F451=""),$K451&lt;&gt;"نعم",$M451="نعم"),0,MAX(0,MIN($F451,EOMONTH(DATE(cfg_FY,1,1),0))-MAX($E451,DATE(cfg_FY,1,1))+1))</f>
        <v>0</v>
      </c>
      <c r="AU451" s="133" t="n">
        <f aca="false">IF(OR(OR($B451="",$E451="",$F451=""),$K451&lt;&gt;"نعم",$M451="نعم"),0,MAX(0,MIN($F451,EOMONTH(DATE(cfg_FY,2,1),0))-MAX($E451,DATE(cfg_FY,2,1))+1))</f>
        <v>0</v>
      </c>
      <c r="AV451" s="133" t="n">
        <f aca="false">IF(OR(OR($B451="",$E451="",$F451=""),$K451&lt;&gt;"نعم",$M451="نعم"),0,MAX(0,MIN($F451,EOMONTH(DATE(cfg_FY,3,1),0))-MAX($E451,DATE(cfg_FY,3,1))+1))</f>
        <v>0</v>
      </c>
      <c r="AW451" s="133" t="n">
        <f aca="false">IF(OR(OR($B451="",$E451="",$F451=""),$K451&lt;&gt;"نعم",$M451="نعم"),0,MAX(0,MIN($F451,EOMONTH(DATE(cfg_FY,4,1),0))-MAX($E451,DATE(cfg_FY,4,1))+1))</f>
        <v>0</v>
      </c>
      <c r="AX451" s="133" t="n">
        <f aca="false">IF(OR(OR($B451="",$E451="",$F451=""),$K451&lt;&gt;"نعم",$M451="نعم"),0,MAX(0,MIN($F451,EOMONTH(DATE(cfg_FY,5,1),0))-MAX($E451,DATE(cfg_FY,5,1))+1))</f>
        <v>0</v>
      </c>
      <c r="AY451" s="133" t="n">
        <f aca="false">IF(OR(OR($B451="",$E451="",$F451=""),$K451&lt;&gt;"نعم",$M451="نعم"),0,MAX(0,MIN($F451,EOMONTH(DATE(cfg_FY,6,1),0))-MAX($E451,DATE(cfg_FY,6,1))+1))</f>
        <v>0</v>
      </c>
      <c r="AZ451" s="133" t="n">
        <f aca="false">IF(OR(OR($B451="",$E451="",$F451=""),$K451&lt;&gt;"نعم",$M451="نعم"),0,MAX(0,MIN($F451,EOMONTH(DATE(cfg_FY,7,1),0))-MAX($E451,DATE(cfg_FY,7,1))+1))</f>
        <v>0</v>
      </c>
      <c r="BA451" s="133" t="n">
        <f aca="false">IF(OR(OR($B451="",$E451="",$F451=""),$K451&lt;&gt;"نعم",$M451="نعم"),0,MAX(0,MIN($F451,EOMONTH(DATE(cfg_FY,8,1),0))-MAX($E451,DATE(cfg_FY,8,1))+1))</f>
        <v>0</v>
      </c>
      <c r="BB451" s="133" t="n">
        <f aca="false">IF(OR(OR($B451="",$E451="",$F451=""),$K451&lt;&gt;"نعم",$M451="نعم"),0,MAX(0,MIN($F451,EOMONTH(DATE(cfg_FY,9,1),0))-MAX($E451,DATE(cfg_FY,9,1))+1))</f>
        <v>0</v>
      </c>
      <c r="BC451" s="133" t="n">
        <f aca="false">IF(OR(OR($B451="",$E451="",$F451=""),$K451&lt;&gt;"نعم",$M451="نعم"),0,MAX(0,MIN($F451,EOMONTH(DATE(cfg_FY,10,1),0))-MAX($E451,DATE(cfg_FY,10,1))+1))</f>
        <v>0</v>
      </c>
      <c r="BD451" s="133" t="n">
        <f aca="false">IF(OR(OR($B451="",$E451="",$F451=""),$K451&lt;&gt;"نعم",$M451="نعم"),0,MAX(0,MIN($F451,EOMONTH(DATE(cfg_FY,11,1),0))-MAX($E451,DATE(cfg_FY,11,1))+1))</f>
        <v>0</v>
      </c>
      <c r="BE451" s="133" t="n">
        <f aca="false">IF(OR(OR($B451="",$E451="",$F451=""),$K451&lt;&gt;"نعم",$M451="نعم"),0,MAX(0,MIN($F451,EOMONTH(DATE(cfg_FY,12,1),0))-MAX($E451,DATE(cfg_FY,12,1))+1))</f>
        <v>0</v>
      </c>
    </row>
    <row r="452" customFormat="false" ht="15" hidden="false" customHeight="false" outlineLevel="0" collapsed="false">
      <c r="A452" s="106" t="str">
        <f aca="false">IF(B452="","",ROW()-5)</f>
        <v/>
      </c>
      <c r="B452" s="118"/>
      <c r="C452" s="114" t="str">
        <f aca="false">IF(B452="","",IFERROR(INDEX(الموظفون!$C$6:$C$105,MATCH(B452,الموظفون!$B$6:$B$105,0)),"✖ رقم غير موجود"))</f>
        <v/>
      </c>
      <c r="D452" s="118"/>
      <c r="E452" s="119"/>
      <c r="F452" s="119"/>
      <c r="G452" s="65" t="str">
        <f aca="false">IF(OR($B452="",$E452="",$F452=""),"",MAX(0,F452-E452+1))</f>
        <v/>
      </c>
      <c r="H452" s="66" t="str">
        <f aca="false">IF(D452="","",IFERROR(VLOOKUP(D452,cfg_LT,2,FALSE()),1))</f>
        <v/>
      </c>
      <c r="I452" s="135"/>
      <c r="J452" s="66" t="str">
        <f aca="false">IF(D452="","",IF(I452&lt;&gt;"",I452,H452))</f>
        <v/>
      </c>
      <c r="K452" s="114" t="str">
        <f aca="false">IF(D452="","",IFERROR(VLOOKUP($D452,cfg_LT,3,FALSE()),""))</f>
        <v/>
      </c>
      <c r="L452" s="114" t="str">
        <f aca="false">IF(D452="","",IFERROR(VLOOKUP($D452,cfg_LT,4,FALSE()),""))</f>
        <v/>
      </c>
      <c r="M452" s="114" t="str">
        <f aca="false">IF(D452="","",IFERROR(VLOOKUP($D452,cfg_LT,5,FALSE()),""))</f>
        <v/>
      </c>
      <c r="N452" s="111" t="n">
        <f aca="false">IF(OR(OR($B452="",$E452="",$F452=""),M452&lt;&gt;"نعم"),0,G452*J452*IFERROR(INDEX(الموظفون!$R$6:$R$105,MATCH(B452,الموظفون!$B$6:$B$105,0)),0)/cfg_DAYS_M)</f>
        <v>0</v>
      </c>
      <c r="O452" s="106" t="str">
        <f aca="false">IF(OR(OR($B452="",$E452="",$F452=""),M452&lt;&gt;"نعم"),"",IF(YEAR(E452)=cfg_FY,MONTH(E452),""))</f>
        <v/>
      </c>
      <c r="P452" s="114" t="str">
        <f aca="false">IF(B452="","",IF(OR(D452="",E452="",F452=""),"⚠ أكمل النوع والتواريخ",IF(F452&lt;E452,"✖ النهاية قبل البداية",IF(COUNTIFS($B$6:$B$505,B452,$E$6:$E$505,"&lt;="&amp;F452,$F$6:$F$505,"&gt;="&amp;E452)&gt;1,"⚠ تداخل مع سجل آخر",IF(E452&gt;cfg_VAL_DATE,"⏳ قادمة",IF(F452&lt;cfg_VAL_DATE,"✔ منتهية","✈ جارية في تاريخ التقرير"))))))</f>
        <v/>
      </c>
      <c r="Q452" s="118"/>
      <c r="R452" s="65" t="n">
        <f aca="false">IF(OR(OR($B452="",$E452="",$F452=""),L452&lt;&gt;"لا"),0,MAX(0,MIN(F452,cfg_Y_START-1)-E452+1))</f>
        <v>0</v>
      </c>
      <c r="S452" s="65" t="n">
        <f aca="false">IF(OR(OR($B452="",$E452="",$F452=""),L452&lt;&gt;"لا"),0,MAX(0,MIN(F452,cfg_VAL_DATE)-E452+1))</f>
        <v>0</v>
      </c>
      <c r="T452" s="65" t="n">
        <f aca="false">IF(OR(OR($B452="",$E452="",$F452=""),K452&lt;&gt;"نعم"),0,IF(M452="نعم",IF(AND(ISNUMBER(O452),N(O452)&lt;=cfg_VAL_M),G452,0),MAX(0,MIN(F452,cfg_VAL_DATE)-MAX(E452,cfg_Y_START)+1)))</f>
        <v>0</v>
      </c>
      <c r="V452" s="65" t="n">
        <f aca="false">IF(OR($B452="",$E452="",$F452=""),0,MAX(0,MIN($F452,EOMONTH(DATE(cfg_FY,1,1),0))-MAX($E452,DATE(cfg_FY,1,1))+1)*(1-IF($M452="نعم",0,N($J452))))</f>
        <v>0</v>
      </c>
      <c r="W452" s="65" t="n">
        <f aca="false">IF(OR($B452="",$E452="",$F452=""),0,MAX(0,MIN($F452,EOMONTH(DATE(cfg_FY,2,1),0))-MAX($E452,DATE(cfg_FY,2,1))+1)*(1-IF($M452="نعم",0,N($J452))))</f>
        <v>0</v>
      </c>
      <c r="X452" s="65" t="n">
        <f aca="false">IF(OR($B452="",$E452="",$F452=""),0,MAX(0,MIN($F452,EOMONTH(DATE(cfg_FY,3,1),0))-MAX($E452,DATE(cfg_FY,3,1))+1)*(1-IF($M452="نعم",0,N($J452))))</f>
        <v>0</v>
      </c>
      <c r="Y452" s="65" t="n">
        <f aca="false">IF(OR($B452="",$E452="",$F452=""),0,MAX(0,MIN($F452,EOMONTH(DATE(cfg_FY,4,1),0))-MAX($E452,DATE(cfg_FY,4,1))+1)*(1-IF($M452="نعم",0,N($J452))))</f>
        <v>0</v>
      </c>
      <c r="Z452" s="65" t="n">
        <f aca="false">IF(OR($B452="",$E452="",$F452=""),0,MAX(0,MIN($F452,EOMONTH(DATE(cfg_FY,5,1),0))-MAX($E452,DATE(cfg_FY,5,1))+1)*(1-IF($M452="نعم",0,N($J452))))</f>
        <v>0</v>
      </c>
      <c r="AA452" s="65" t="n">
        <f aca="false">IF(OR($B452="",$E452="",$F452=""),0,MAX(0,MIN($F452,EOMONTH(DATE(cfg_FY,6,1),0))-MAX($E452,DATE(cfg_FY,6,1))+1)*(1-IF($M452="نعم",0,N($J452))))</f>
        <v>0</v>
      </c>
      <c r="AB452" s="65" t="n">
        <f aca="false">IF(OR($B452="",$E452="",$F452=""),0,MAX(0,MIN($F452,EOMONTH(DATE(cfg_FY,7,1),0))-MAX($E452,DATE(cfg_FY,7,1))+1)*(1-IF($M452="نعم",0,N($J452))))</f>
        <v>0</v>
      </c>
      <c r="AC452" s="65" t="n">
        <f aca="false">IF(OR($B452="",$E452="",$F452=""),0,MAX(0,MIN($F452,EOMONTH(DATE(cfg_FY,8,1),0))-MAX($E452,DATE(cfg_FY,8,1))+1)*(1-IF($M452="نعم",0,N($J452))))</f>
        <v>0</v>
      </c>
      <c r="AD452" s="65" t="n">
        <f aca="false">IF(OR($B452="",$E452="",$F452=""),0,MAX(0,MIN($F452,EOMONTH(DATE(cfg_FY,9,1),0))-MAX($E452,DATE(cfg_FY,9,1))+1)*(1-IF($M452="نعم",0,N($J452))))</f>
        <v>0</v>
      </c>
      <c r="AE452" s="65" t="n">
        <f aca="false">IF(OR($B452="",$E452="",$F452=""),0,MAX(0,MIN($F452,EOMONTH(DATE(cfg_FY,10,1),0))-MAX($E452,DATE(cfg_FY,10,1))+1)*(1-IF($M452="نعم",0,N($J452))))</f>
        <v>0</v>
      </c>
      <c r="AF452" s="65" t="n">
        <f aca="false">IF(OR($B452="",$E452="",$F452=""),0,MAX(0,MIN($F452,EOMONTH(DATE(cfg_FY,11,1),0))-MAX($E452,DATE(cfg_FY,11,1))+1)*(1-IF($M452="نعم",0,N($J452))))</f>
        <v>0</v>
      </c>
      <c r="AG452" s="65" t="n">
        <f aca="false">IF(OR($B452="",$E452="",$F452=""),0,MAX(0,MIN($F452,EOMONTH(DATE(cfg_FY,12,1),0))-MAX($E452,DATE(cfg_FY,12,1))+1)*(1-IF($M452="نعم",0,N($J452))))</f>
        <v>0</v>
      </c>
      <c r="AH452" s="65" t="n">
        <f aca="false">IF(OR(OR($B452="",$E452="",$F452=""),$L452&lt;&gt;"لا"),0,MAX(0,MIN($F452,EOMONTH(DATE(cfg_FY,1,1),0))-$E452+1))</f>
        <v>0</v>
      </c>
      <c r="AI452" s="65" t="n">
        <f aca="false">IF(OR(OR($B452="",$E452="",$F452=""),$L452&lt;&gt;"لا"),0,MAX(0,MIN($F452,EOMONTH(DATE(cfg_FY,2,1),0))-$E452+1))</f>
        <v>0</v>
      </c>
      <c r="AJ452" s="65" t="n">
        <f aca="false">IF(OR(OR($B452="",$E452="",$F452=""),$L452&lt;&gt;"لا"),0,MAX(0,MIN($F452,EOMONTH(DATE(cfg_FY,3,1),0))-$E452+1))</f>
        <v>0</v>
      </c>
      <c r="AK452" s="65" t="n">
        <f aca="false">IF(OR(OR($B452="",$E452="",$F452=""),$L452&lt;&gt;"لا"),0,MAX(0,MIN($F452,EOMONTH(DATE(cfg_FY,4,1),0))-$E452+1))</f>
        <v>0</v>
      </c>
      <c r="AL452" s="65" t="n">
        <f aca="false">IF(OR(OR($B452="",$E452="",$F452=""),$L452&lt;&gt;"لا"),0,MAX(0,MIN($F452,EOMONTH(DATE(cfg_FY,5,1),0))-$E452+1))</f>
        <v>0</v>
      </c>
      <c r="AM452" s="65" t="n">
        <f aca="false">IF(OR(OR($B452="",$E452="",$F452=""),$L452&lt;&gt;"لا"),0,MAX(0,MIN($F452,EOMONTH(DATE(cfg_FY,6,1),0))-$E452+1))</f>
        <v>0</v>
      </c>
      <c r="AN452" s="65" t="n">
        <f aca="false">IF(OR(OR($B452="",$E452="",$F452=""),$L452&lt;&gt;"لا"),0,MAX(0,MIN($F452,EOMONTH(DATE(cfg_FY,7,1),0))-$E452+1))</f>
        <v>0</v>
      </c>
      <c r="AO452" s="65" t="n">
        <f aca="false">IF(OR(OR($B452="",$E452="",$F452=""),$L452&lt;&gt;"لا"),0,MAX(0,MIN($F452,EOMONTH(DATE(cfg_FY,8,1),0))-$E452+1))</f>
        <v>0</v>
      </c>
      <c r="AP452" s="65" t="n">
        <f aca="false">IF(OR(OR($B452="",$E452="",$F452=""),$L452&lt;&gt;"لا"),0,MAX(0,MIN($F452,EOMONTH(DATE(cfg_FY,9,1),0))-$E452+1))</f>
        <v>0</v>
      </c>
      <c r="AQ452" s="65" t="n">
        <f aca="false">IF(OR(OR($B452="",$E452="",$F452=""),$L452&lt;&gt;"لا"),0,MAX(0,MIN($F452,EOMONTH(DATE(cfg_FY,10,1),0))-$E452+1))</f>
        <v>0</v>
      </c>
      <c r="AR452" s="65" t="n">
        <f aca="false">IF(OR(OR($B452="",$E452="",$F452=""),$L452&lt;&gt;"لا"),0,MAX(0,MIN($F452,EOMONTH(DATE(cfg_FY,11,1),0))-$E452+1))</f>
        <v>0</v>
      </c>
      <c r="AS452" s="65" t="n">
        <f aca="false">IF(OR(OR($B452="",$E452="",$F452=""),$L452&lt;&gt;"لا"),0,MAX(0,MIN($F452,EOMONTH(DATE(cfg_FY,12,1),0))-$E452+1))</f>
        <v>0</v>
      </c>
      <c r="AT452" s="65" t="n">
        <f aca="false">IF(OR(OR($B452="",$E452="",$F452=""),$K452&lt;&gt;"نعم",$M452="نعم"),0,MAX(0,MIN($F452,EOMONTH(DATE(cfg_FY,1,1),0))-MAX($E452,DATE(cfg_FY,1,1))+1))</f>
        <v>0</v>
      </c>
      <c r="AU452" s="65" t="n">
        <f aca="false">IF(OR(OR($B452="",$E452="",$F452=""),$K452&lt;&gt;"نعم",$M452="نعم"),0,MAX(0,MIN($F452,EOMONTH(DATE(cfg_FY,2,1),0))-MAX($E452,DATE(cfg_FY,2,1))+1))</f>
        <v>0</v>
      </c>
      <c r="AV452" s="65" t="n">
        <f aca="false">IF(OR(OR($B452="",$E452="",$F452=""),$K452&lt;&gt;"نعم",$M452="نعم"),0,MAX(0,MIN($F452,EOMONTH(DATE(cfg_FY,3,1),0))-MAX($E452,DATE(cfg_FY,3,1))+1))</f>
        <v>0</v>
      </c>
      <c r="AW452" s="65" t="n">
        <f aca="false">IF(OR(OR($B452="",$E452="",$F452=""),$K452&lt;&gt;"نعم",$M452="نعم"),0,MAX(0,MIN($F452,EOMONTH(DATE(cfg_FY,4,1),0))-MAX($E452,DATE(cfg_FY,4,1))+1))</f>
        <v>0</v>
      </c>
      <c r="AX452" s="65" t="n">
        <f aca="false">IF(OR(OR($B452="",$E452="",$F452=""),$K452&lt;&gt;"نعم",$M452="نعم"),0,MAX(0,MIN($F452,EOMONTH(DATE(cfg_FY,5,1),0))-MAX($E452,DATE(cfg_FY,5,1))+1))</f>
        <v>0</v>
      </c>
      <c r="AY452" s="65" t="n">
        <f aca="false">IF(OR(OR($B452="",$E452="",$F452=""),$K452&lt;&gt;"نعم",$M452="نعم"),0,MAX(0,MIN($F452,EOMONTH(DATE(cfg_FY,6,1),0))-MAX($E452,DATE(cfg_FY,6,1))+1))</f>
        <v>0</v>
      </c>
      <c r="AZ452" s="65" t="n">
        <f aca="false">IF(OR(OR($B452="",$E452="",$F452=""),$K452&lt;&gt;"نعم",$M452="نعم"),0,MAX(0,MIN($F452,EOMONTH(DATE(cfg_FY,7,1),0))-MAX($E452,DATE(cfg_FY,7,1))+1))</f>
        <v>0</v>
      </c>
      <c r="BA452" s="65" t="n">
        <f aca="false">IF(OR(OR($B452="",$E452="",$F452=""),$K452&lt;&gt;"نعم",$M452="نعم"),0,MAX(0,MIN($F452,EOMONTH(DATE(cfg_FY,8,1),0))-MAX($E452,DATE(cfg_FY,8,1))+1))</f>
        <v>0</v>
      </c>
      <c r="BB452" s="65" t="n">
        <f aca="false">IF(OR(OR($B452="",$E452="",$F452=""),$K452&lt;&gt;"نعم",$M452="نعم"),0,MAX(0,MIN($F452,EOMONTH(DATE(cfg_FY,9,1),0))-MAX($E452,DATE(cfg_FY,9,1))+1))</f>
        <v>0</v>
      </c>
      <c r="BC452" s="65" t="n">
        <f aca="false">IF(OR(OR($B452="",$E452="",$F452=""),$K452&lt;&gt;"نعم",$M452="نعم"),0,MAX(0,MIN($F452,EOMONTH(DATE(cfg_FY,10,1),0))-MAX($E452,DATE(cfg_FY,10,1))+1))</f>
        <v>0</v>
      </c>
      <c r="BD452" s="65" t="n">
        <f aca="false">IF(OR(OR($B452="",$E452="",$F452=""),$K452&lt;&gt;"نعم",$M452="نعم"),0,MAX(0,MIN($F452,EOMONTH(DATE(cfg_FY,11,1),0))-MAX($E452,DATE(cfg_FY,11,1))+1))</f>
        <v>0</v>
      </c>
      <c r="BE452" s="65" t="n">
        <f aca="false">IF(OR(OR($B452="",$E452="",$F452=""),$K452&lt;&gt;"نعم",$M452="نعم"),0,MAX(0,MIN($F452,EOMONTH(DATE(cfg_FY,12,1),0))-MAX($E452,DATE(cfg_FY,12,1))+1))</f>
        <v>0</v>
      </c>
    </row>
    <row r="453" customFormat="false" ht="15" hidden="false" customHeight="false" outlineLevel="0" collapsed="false">
      <c r="A453" s="115" t="str">
        <f aca="false">IF(B453="","",ROW()-5)</f>
        <v/>
      </c>
      <c r="B453" s="118"/>
      <c r="C453" s="117" t="str">
        <f aca="false">IF(B453="","",IFERROR(INDEX(الموظفون!$C$6:$C$105,MATCH(B453,الموظفون!$B$6:$B$105,0)),"✖ رقم غير موجود"))</f>
        <v/>
      </c>
      <c r="D453" s="118"/>
      <c r="E453" s="119"/>
      <c r="F453" s="119"/>
      <c r="G453" s="133" t="str">
        <f aca="false">IF(OR($B453="",$E453="",$F453=""),"",MAX(0,F453-E453+1))</f>
        <v/>
      </c>
      <c r="H453" s="134" t="str">
        <f aca="false">IF(D453="","",IFERROR(VLOOKUP(D453,cfg_LT,2,FALSE()),1))</f>
        <v/>
      </c>
      <c r="I453" s="135"/>
      <c r="J453" s="134" t="str">
        <f aca="false">IF(D453="","",IF(I453&lt;&gt;"",I453,H453))</f>
        <v/>
      </c>
      <c r="K453" s="117" t="str">
        <f aca="false">IF(D453="","",IFERROR(VLOOKUP($D453,cfg_LT,3,FALSE()),""))</f>
        <v/>
      </c>
      <c r="L453" s="117" t="str">
        <f aca="false">IF(D453="","",IFERROR(VLOOKUP($D453,cfg_LT,4,FALSE()),""))</f>
        <v/>
      </c>
      <c r="M453" s="117" t="str">
        <f aca="false">IF(D453="","",IFERROR(VLOOKUP($D453,cfg_LT,5,FALSE()),""))</f>
        <v/>
      </c>
      <c r="N453" s="116" t="n">
        <f aca="false">IF(OR(OR($B453="",$E453="",$F453=""),M453&lt;&gt;"نعم"),0,G453*J453*IFERROR(INDEX(الموظفون!$R$6:$R$105,MATCH(B453,الموظفون!$B$6:$B$105,0)),0)/cfg_DAYS_M)</f>
        <v>0</v>
      </c>
      <c r="O453" s="115" t="str">
        <f aca="false">IF(OR(OR($B453="",$E453="",$F453=""),M453&lt;&gt;"نعم"),"",IF(YEAR(E453)=cfg_FY,MONTH(E453),""))</f>
        <v/>
      </c>
      <c r="P453" s="117" t="str">
        <f aca="false">IF(B453="","",IF(OR(D453="",E453="",F453=""),"⚠ أكمل النوع والتواريخ",IF(F453&lt;E453,"✖ النهاية قبل البداية",IF(COUNTIFS($B$6:$B$505,B453,$E$6:$E$505,"&lt;="&amp;F453,$F$6:$F$505,"&gt;="&amp;E453)&gt;1,"⚠ تداخل مع سجل آخر",IF(E453&gt;cfg_VAL_DATE,"⏳ قادمة",IF(F453&lt;cfg_VAL_DATE,"✔ منتهية","✈ جارية في تاريخ التقرير"))))))</f>
        <v/>
      </c>
      <c r="Q453" s="118"/>
      <c r="R453" s="133" t="n">
        <f aca="false">IF(OR(OR($B453="",$E453="",$F453=""),L453&lt;&gt;"لا"),0,MAX(0,MIN(F453,cfg_Y_START-1)-E453+1))</f>
        <v>0</v>
      </c>
      <c r="S453" s="133" t="n">
        <f aca="false">IF(OR(OR($B453="",$E453="",$F453=""),L453&lt;&gt;"لا"),0,MAX(0,MIN(F453,cfg_VAL_DATE)-E453+1))</f>
        <v>0</v>
      </c>
      <c r="T453" s="133" t="n">
        <f aca="false">IF(OR(OR($B453="",$E453="",$F453=""),K453&lt;&gt;"نعم"),0,IF(M453="نعم",IF(AND(ISNUMBER(O453),N(O453)&lt;=cfg_VAL_M),G453,0),MAX(0,MIN(F453,cfg_VAL_DATE)-MAX(E453,cfg_Y_START)+1)))</f>
        <v>0</v>
      </c>
      <c r="V453" s="133" t="n">
        <f aca="false">IF(OR($B453="",$E453="",$F453=""),0,MAX(0,MIN($F453,EOMONTH(DATE(cfg_FY,1,1),0))-MAX($E453,DATE(cfg_FY,1,1))+1)*(1-IF($M453="نعم",0,N($J453))))</f>
        <v>0</v>
      </c>
      <c r="W453" s="133" t="n">
        <f aca="false">IF(OR($B453="",$E453="",$F453=""),0,MAX(0,MIN($F453,EOMONTH(DATE(cfg_FY,2,1),0))-MAX($E453,DATE(cfg_FY,2,1))+1)*(1-IF($M453="نعم",0,N($J453))))</f>
        <v>0</v>
      </c>
      <c r="X453" s="133" t="n">
        <f aca="false">IF(OR($B453="",$E453="",$F453=""),0,MAX(0,MIN($F453,EOMONTH(DATE(cfg_FY,3,1),0))-MAX($E453,DATE(cfg_FY,3,1))+1)*(1-IF($M453="نعم",0,N($J453))))</f>
        <v>0</v>
      </c>
      <c r="Y453" s="133" t="n">
        <f aca="false">IF(OR($B453="",$E453="",$F453=""),0,MAX(0,MIN($F453,EOMONTH(DATE(cfg_FY,4,1),0))-MAX($E453,DATE(cfg_FY,4,1))+1)*(1-IF($M453="نعم",0,N($J453))))</f>
        <v>0</v>
      </c>
      <c r="Z453" s="133" t="n">
        <f aca="false">IF(OR($B453="",$E453="",$F453=""),0,MAX(0,MIN($F453,EOMONTH(DATE(cfg_FY,5,1),0))-MAX($E453,DATE(cfg_FY,5,1))+1)*(1-IF($M453="نعم",0,N($J453))))</f>
        <v>0</v>
      </c>
      <c r="AA453" s="133" t="n">
        <f aca="false">IF(OR($B453="",$E453="",$F453=""),0,MAX(0,MIN($F453,EOMONTH(DATE(cfg_FY,6,1),0))-MAX($E453,DATE(cfg_FY,6,1))+1)*(1-IF($M453="نعم",0,N($J453))))</f>
        <v>0</v>
      </c>
      <c r="AB453" s="133" t="n">
        <f aca="false">IF(OR($B453="",$E453="",$F453=""),0,MAX(0,MIN($F453,EOMONTH(DATE(cfg_FY,7,1),0))-MAX($E453,DATE(cfg_FY,7,1))+1)*(1-IF($M453="نعم",0,N($J453))))</f>
        <v>0</v>
      </c>
      <c r="AC453" s="133" t="n">
        <f aca="false">IF(OR($B453="",$E453="",$F453=""),0,MAX(0,MIN($F453,EOMONTH(DATE(cfg_FY,8,1),0))-MAX($E453,DATE(cfg_FY,8,1))+1)*(1-IF($M453="نعم",0,N($J453))))</f>
        <v>0</v>
      </c>
      <c r="AD453" s="133" t="n">
        <f aca="false">IF(OR($B453="",$E453="",$F453=""),0,MAX(0,MIN($F453,EOMONTH(DATE(cfg_FY,9,1),0))-MAX($E453,DATE(cfg_FY,9,1))+1)*(1-IF($M453="نعم",0,N($J453))))</f>
        <v>0</v>
      </c>
      <c r="AE453" s="133" t="n">
        <f aca="false">IF(OR($B453="",$E453="",$F453=""),0,MAX(0,MIN($F453,EOMONTH(DATE(cfg_FY,10,1),0))-MAX($E453,DATE(cfg_FY,10,1))+1)*(1-IF($M453="نعم",0,N($J453))))</f>
        <v>0</v>
      </c>
      <c r="AF453" s="133" t="n">
        <f aca="false">IF(OR($B453="",$E453="",$F453=""),0,MAX(0,MIN($F453,EOMONTH(DATE(cfg_FY,11,1),0))-MAX($E453,DATE(cfg_FY,11,1))+1)*(1-IF($M453="نعم",0,N($J453))))</f>
        <v>0</v>
      </c>
      <c r="AG453" s="133" t="n">
        <f aca="false">IF(OR($B453="",$E453="",$F453=""),0,MAX(0,MIN($F453,EOMONTH(DATE(cfg_FY,12,1),0))-MAX($E453,DATE(cfg_FY,12,1))+1)*(1-IF($M453="نعم",0,N($J453))))</f>
        <v>0</v>
      </c>
      <c r="AH453" s="133" t="n">
        <f aca="false">IF(OR(OR($B453="",$E453="",$F453=""),$L453&lt;&gt;"لا"),0,MAX(0,MIN($F453,EOMONTH(DATE(cfg_FY,1,1),0))-$E453+1))</f>
        <v>0</v>
      </c>
      <c r="AI453" s="133" t="n">
        <f aca="false">IF(OR(OR($B453="",$E453="",$F453=""),$L453&lt;&gt;"لا"),0,MAX(0,MIN($F453,EOMONTH(DATE(cfg_FY,2,1),0))-$E453+1))</f>
        <v>0</v>
      </c>
      <c r="AJ453" s="133" t="n">
        <f aca="false">IF(OR(OR($B453="",$E453="",$F453=""),$L453&lt;&gt;"لا"),0,MAX(0,MIN($F453,EOMONTH(DATE(cfg_FY,3,1),0))-$E453+1))</f>
        <v>0</v>
      </c>
      <c r="AK453" s="133" t="n">
        <f aca="false">IF(OR(OR($B453="",$E453="",$F453=""),$L453&lt;&gt;"لا"),0,MAX(0,MIN($F453,EOMONTH(DATE(cfg_FY,4,1),0))-$E453+1))</f>
        <v>0</v>
      </c>
      <c r="AL453" s="133" t="n">
        <f aca="false">IF(OR(OR($B453="",$E453="",$F453=""),$L453&lt;&gt;"لا"),0,MAX(0,MIN($F453,EOMONTH(DATE(cfg_FY,5,1),0))-$E453+1))</f>
        <v>0</v>
      </c>
      <c r="AM453" s="133" t="n">
        <f aca="false">IF(OR(OR($B453="",$E453="",$F453=""),$L453&lt;&gt;"لا"),0,MAX(0,MIN($F453,EOMONTH(DATE(cfg_FY,6,1),0))-$E453+1))</f>
        <v>0</v>
      </c>
      <c r="AN453" s="133" t="n">
        <f aca="false">IF(OR(OR($B453="",$E453="",$F453=""),$L453&lt;&gt;"لا"),0,MAX(0,MIN($F453,EOMONTH(DATE(cfg_FY,7,1),0))-$E453+1))</f>
        <v>0</v>
      </c>
      <c r="AO453" s="133" t="n">
        <f aca="false">IF(OR(OR($B453="",$E453="",$F453=""),$L453&lt;&gt;"لا"),0,MAX(0,MIN($F453,EOMONTH(DATE(cfg_FY,8,1),0))-$E453+1))</f>
        <v>0</v>
      </c>
      <c r="AP453" s="133" t="n">
        <f aca="false">IF(OR(OR($B453="",$E453="",$F453=""),$L453&lt;&gt;"لا"),0,MAX(0,MIN($F453,EOMONTH(DATE(cfg_FY,9,1),0))-$E453+1))</f>
        <v>0</v>
      </c>
      <c r="AQ453" s="133" t="n">
        <f aca="false">IF(OR(OR($B453="",$E453="",$F453=""),$L453&lt;&gt;"لا"),0,MAX(0,MIN($F453,EOMONTH(DATE(cfg_FY,10,1),0))-$E453+1))</f>
        <v>0</v>
      </c>
      <c r="AR453" s="133" t="n">
        <f aca="false">IF(OR(OR($B453="",$E453="",$F453=""),$L453&lt;&gt;"لا"),0,MAX(0,MIN($F453,EOMONTH(DATE(cfg_FY,11,1),0))-$E453+1))</f>
        <v>0</v>
      </c>
      <c r="AS453" s="133" t="n">
        <f aca="false">IF(OR(OR($B453="",$E453="",$F453=""),$L453&lt;&gt;"لا"),0,MAX(0,MIN($F453,EOMONTH(DATE(cfg_FY,12,1),0))-$E453+1))</f>
        <v>0</v>
      </c>
      <c r="AT453" s="133" t="n">
        <f aca="false">IF(OR(OR($B453="",$E453="",$F453=""),$K453&lt;&gt;"نعم",$M453="نعم"),0,MAX(0,MIN($F453,EOMONTH(DATE(cfg_FY,1,1),0))-MAX($E453,DATE(cfg_FY,1,1))+1))</f>
        <v>0</v>
      </c>
      <c r="AU453" s="133" t="n">
        <f aca="false">IF(OR(OR($B453="",$E453="",$F453=""),$K453&lt;&gt;"نعم",$M453="نعم"),0,MAX(0,MIN($F453,EOMONTH(DATE(cfg_FY,2,1),0))-MAX($E453,DATE(cfg_FY,2,1))+1))</f>
        <v>0</v>
      </c>
      <c r="AV453" s="133" t="n">
        <f aca="false">IF(OR(OR($B453="",$E453="",$F453=""),$K453&lt;&gt;"نعم",$M453="نعم"),0,MAX(0,MIN($F453,EOMONTH(DATE(cfg_FY,3,1),0))-MAX($E453,DATE(cfg_FY,3,1))+1))</f>
        <v>0</v>
      </c>
      <c r="AW453" s="133" t="n">
        <f aca="false">IF(OR(OR($B453="",$E453="",$F453=""),$K453&lt;&gt;"نعم",$M453="نعم"),0,MAX(0,MIN($F453,EOMONTH(DATE(cfg_FY,4,1),0))-MAX($E453,DATE(cfg_FY,4,1))+1))</f>
        <v>0</v>
      </c>
      <c r="AX453" s="133" t="n">
        <f aca="false">IF(OR(OR($B453="",$E453="",$F453=""),$K453&lt;&gt;"نعم",$M453="نعم"),0,MAX(0,MIN($F453,EOMONTH(DATE(cfg_FY,5,1),0))-MAX($E453,DATE(cfg_FY,5,1))+1))</f>
        <v>0</v>
      </c>
      <c r="AY453" s="133" t="n">
        <f aca="false">IF(OR(OR($B453="",$E453="",$F453=""),$K453&lt;&gt;"نعم",$M453="نعم"),0,MAX(0,MIN($F453,EOMONTH(DATE(cfg_FY,6,1),0))-MAX($E453,DATE(cfg_FY,6,1))+1))</f>
        <v>0</v>
      </c>
      <c r="AZ453" s="133" t="n">
        <f aca="false">IF(OR(OR($B453="",$E453="",$F453=""),$K453&lt;&gt;"نعم",$M453="نعم"),0,MAX(0,MIN($F453,EOMONTH(DATE(cfg_FY,7,1),0))-MAX($E453,DATE(cfg_FY,7,1))+1))</f>
        <v>0</v>
      </c>
      <c r="BA453" s="133" t="n">
        <f aca="false">IF(OR(OR($B453="",$E453="",$F453=""),$K453&lt;&gt;"نعم",$M453="نعم"),0,MAX(0,MIN($F453,EOMONTH(DATE(cfg_FY,8,1),0))-MAX($E453,DATE(cfg_FY,8,1))+1))</f>
        <v>0</v>
      </c>
      <c r="BB453" s="133" t="n">
        <f aca="false">IF(OR(OR($B453="",$E453="",$F453=""),$K453&lt;&gt;"نعم",$M453="نعم"),0,MAX(0,MIN($F453,EOMONTH(DATE(cfg_FY,9,1),0))-MAX($E453,DATE(cfg_FY,9,1))+1))</f>
        <v>0</v>
      </c>
      <c r="BC453" s="133" t="n">
        <f aca="false">IF(OR(OR($B453="",$E453="",$F453=""),$K453&lt;&gt;"نعم",$M453="نعم"),0,MAX(0,MIN($F453,EOMONTH(DATE(cfg_FY,10,1),0))-MAX($E453,DATE(cfg_FY,10,1))+1))</f>
        <v>0</v>
      </c>
      <c r="BD453" s="133" t="n">
        <f aca="false">IF(OR(OR($B453="",$E453="",$F453=""),$K453&lt;&gt;"نعم",$M453="نعم"),0,MAX(0,MIN($F453,EOMONTH(DATE(cfg_FY,11,1),0))-MAX($E453,DATE(cfg_FY,11,1))+1))</f>
        <v>0</v>
      </c>
      <c r="BE453" s="133" t="n">
        <f aca="false">IF(OR(OR($B453="",$E453="",$F453=""),$K453&lt;&gt;"نعم",$M453="نعم"),0,MAX(0,MIN($F453,EOMONTH(DATE(cfg_FY,12,1),0))-MAX($E453,DATE(cfg_FY,12,1))+1))</f>
        <v>0</v>
      </c>
    </row>
    <row r="454" customFormat="false" ht="15" hidden="false" customHeight="false" outlineLevel="0" collapsed="false">
      <c r="A454" s="106" t="str">
        <f aca="false">IF(B454="","",ROW()-5)</f>
        <v/>
      </c>
      <c r="B454" s="118"/>
      <c r="C454" s="114" t="str">
        <f aca="false">IF(B454="","",IFERROR(INDEX(الموظفون!$C$6:$C$105,MATCH(B454,الموظفون!$B$6:$B$105,0)),"✖ رقم غير موجود"))</f>
        <v/>
      </c>
      <c r="D454" s="118"/>
      <c r="E454" s="119"/>
      <c r="F454" s="119"/>
      <c r="G454" s="65" t="str">
        <f aca="false">IF(OR($B454="",$E454="",$F454=""),"",MAX(0,F454-E454+1))</f>
        <v/>
      </c>
      <c r="H454" s="66" t="str">
        <f aca="false">IF(D454="","",IFERROR(VLOOKUP(D454,cfg_LT,2,FALSE()),1))</f>
        <v/>
      </c>
      <c r="I454" s="135"/>
      <c r="J454" s="66" t="str">
        <f aca="false">IF(D454="","",IF(I454&lt;&gt;"",I454,H454))</f>
        <v/>
      </c>
      <c r="K454" s="114" t="str">
        <f aca="false">IF(D454="","",IFERROR(VLOOKUP($D454,cfg_LT,3,FALSE()),""))</f>
        <v/>
      </c>
      <c r="L454" s="114" t="str">
        <f aca="false">IF(D454="","",IFERROR(VLOOKUP($D454,cfg_LT,4,FALSE()),""))</f>
        <v/>
      </c>
      <c r="M454" s="114" t="str">
        <f aca="false">IF(D454="","",IFERROR(VLOOKUP($D454,cfg_LT,5,FALSE()),""))</f>
        <v/>
      </c>
      <c r="N454" s="111" t="n">
        <f aca="false">IF(OR(OR($B454="",$E454="",$F454=""),M454&lt;&gt;"نعم"),0,G454*J454*IFERROR(INDEX(الموظفون!$R$6:$R$105,MATCH(B454,الموظفون!$B$6:$B$105,0)),0)/cfg_DAYS_M)</f>
        <v>0</v>
      </c>
      <c r="O454" s="106" t="str">
        <f aca="false">IF(OR(OR($B454="",$E454="",$F454=""),M454&lt;&gt;"نعم"),"",IF(YEAR(E454)=cfg_FY,MONTH(E454),""))</f>
        <v/>
      </c>
      <c r="P454" s="114" t="str">
        <f aca="false">IF(B454="","",IF(OR(D454="",E454="",F454=""),"⚠ أكمل النوع والتواريخ",IF(F454&lt;E454,"✖ النهاية قبل البداية",IF(COUNTIFS($B$6:$B$505,B454,$E$6:$E$505,"&lt;="&amp;F454,$F$6:$F$505,"&gt;="&amp;E454)&gt;1,"⚠ تداخل مع سجل آخر",IF(E454&gt;cfg_VAL_DATE,"⏳ قادمة",IF(F454&lt;cfg_VAL_DATE,"✔ منتهية","✈ جارية في تاريخ التقرير"))))))</f>
        <v/>
      </c>
      <c r="Q454" s="118"/>
      <c r="R454" s="65" t="n">
        <f aca="false">IF(OR(OR($B454="",$E454="",$F454=""),L454&lt;&gt;"لا"),0,MAX(0,MIN(F454,cfg_Y_START-1)-E454+1))</f>
        <v>0</v>
      </c>
      <c r="S454" s="65" t="n">
        <f aca="false">IF(OR(OR($B454="",$E454="",$F454=""),L454&lt;&gt;"لا"),0,MAX(0,MIN(F454,cfg_VAL_DATE)-E454+1))</f>
        <v>0</v>
      </c>
      <c r="T454" s="65" t="n">
        <f aca="false">IF(OR(OR($B454="",$E454="",$F454=""),K454&lt;&gt;"نعم"),0,IF(M454="نعم",IF(AND(ISNUMBER(O454),N(O454)&lt;=cfg_VAL_M),G454,0),MAX(0,MIN(F454,cfg_VAL_DATE)-MAX(E454,cfg_Y_START)+1)))</f>
        <v>0</v>
      </c>
      <c r="V454" s="65" t="n">
        <f aca="false">IF(OR($B454="",$E454="",$F454=""),0,MAX(0,MIN($F454,EOMONTH(DATE(cfg_FY,1,1),0))-MAX($E454,DATE(cfg_FY,1,1))+1)*(1-IF($M454="نعم",0,N($J454))))</f>
        <v>0</v>
      </c>
      <c r="W454" s="65" t="n">
        <f aca="false">IF(OR($B454="",$E454="",$F454=""),0,MAX(0,MIN($F454,EOMONTH(DATE(cfg_FY,2,1),0))-MAX($E454,DATE(cfg_FY,2,1))+1)*(1-IF($M454="نعم",0,N($J454))))</f>
        <v>0</v>
      </c>
      <c r="X454" s="65" t="n">
        <f aca="false">IF(OR($B454="",$E454="",$F454=""),0,MAX(0,MIN($F454,EOMONTH(DATE(cfg_FY,3,1),0))-MAX($E454,DATE(cfg_FY,3,1))+1)*(1-IF($M454="نعم",0,N($J454))))</f>
        <v>0</v>
      </c>
      <c r="Y454" s="65" t="n">
        <f aca="false">IF(OR($B454="",$E454="",$F454=""),0,MAX(0,MIN($F454,EOMONTH(DATE(cfg_FY,4,1),0))-MAX($E454,DATE(cfg_FY,4,1))+1)*(1-IF($M454="نعم",0,N($J454))))</f>
        <v>0</v>
      </c>
      <c r="Z454" s="65" t="n">
        <f aca="false">IF(OR($B454="",$E454="",$F454=""),0,MAX(0,MIN($F454,EOMONTH(DATE(cfg_FY,5,1),0))-MAX($E454,DATE(cfg_FY,5,1))+1)*(1-IF($M454="نعم",0,N($J454))))</f>
        <v>0</v>
      </c>
      <c r="AA454" s="65" t="n">
        <f aca="false">IF(OR($B454="",$E454="",$F454=""),0,MAX(0,MIN($F454,EOMONTH(DATE(cfg_FY,6,1),0))-MAX($E454,DATE(cfg_FY,6,1))+1)*(1-IF($M454="نعم",0,N($J454))))</f>
        <v>0</v>
      </c>
      <c r="AB454" s="65" t="n">
        <f aca="false">IF(OR($B454="",$E454="",$F454=""),0,MAX(0,MIN($F454,EOMONTH(DATE(cfg_FY,7,1),0))-MAX($E454,DATE(cfg_FY,7,1))+1)*(1-IF($M454="نعم",0,N($J454))))</f>
        <v>0</v>
      </c>
      <c r="AC454" s="65" t="n">
        <f aca="false">IF(OR($B454="",$E454="",$F454=""),0,MAX(0,MIN($F454,EOMONTH(DATE(cfg_FY,8,1),0))-MAX($E454,DATE(cfg_FY,8,1))+1)*(1-IF($M454="نعم",0,N($J454))))</f>
        <v>0</v>
      </c>
      <c r="AD454" s="65" t="n">
        <f aca="false">IF(OR($B454="",$E454="",$F454=""),0,MAX(0,MIN($F454,EOMONTH(DATE(cfg_FY,9,1),0))-MAX($E454,DATE(cfg_FY,9,1))+1)*(1-IF($M454="نعم",0,N($J454))))</f>
        <v>0</v>
      </c>
      <c r="AE454" s="65" t="n">
        <f aca="false">IF(OR($B454="",$E454="",$F454=""),0,MAX(0,MIN($F454,EOMONTH(DATE(cfg_FY,10,1),0))-MAX($E454,DATE(cfg_FY,10,1))+1)*(1-IF($M454="نعم",0,N($J454))))</f>
        <v>0</v>
      </c>
      <c r="AF454" s="65" t="n">
        <f aca="false">IF(OR($B454="",$E454="",$F454=""),0,MAX(0,MIN($F454,EOMONTH(DATE(cfg_FY,11,1),0))-MAX($E454,DATE(cfg_FY,11,1))+1)*(1-IF($M454="نعم",0,N($J454))))</f>
        <v>0</v>
      </c>
      <c r="AG454" s="65" t="n">
        <f aca="false">IF(OR($B454="",$E454="",$F454=""),0,MAX(0,MIN($F454,EOMONTH(DATE(cfg_FY,12,1),0))-MAX($E454,DATE(cfg_FY,12,1))+1)*(1-IF($M454="نعم",0,N($J454))))</f>
        <v>0</v>
      </c>
      <c r="AH454" s="65" t="n">
        <f aca="false">IF(OR(OR($B454="",$E454="",$F454=""),$L454&lt;&gt;"لا"),0,MAX(0,MIN($F454,EOMONTH(DATE(cfg_FY,1,1),0))-$E454+1))</f>
        <v>0</v>
      </c>
      <c r="AI454" s="65" t="n">
        <f aca="false">IF(OR(OR($B454="",$E454="",$F454=""),$L454&lt;&gt;"لا"),0,MAX(0,MIN($F454,EOMONTH(DATE(cfg_FY,2,1),0))-$E454+1))</f>
        <v>0</v>
      </c>
      <c r="AJ454" s="65" t="n">
        <f aca="false">IF(OR(OR($B454="",$E454="",$F454=""),$L454&lt;&gt;"لا"),0,MAX(0,MIN($F454,EOMONTH(DATE(cfg_FY,3,1),0))-$E454+1))</f>
        <v>0</v>
      </c>
      <c r="AK454" s="65" t="n">
        <f aca="false">IF(OR(OR($B454="",$E454="",$F454=""),$L454&lt;&gt;"لا"),0,MAX(0,MIN($F454,EOMONTH(DATE(cfg_FY,4,1),0))-$E454+1))</f>
        <v>0</v>
      </c>
      <c r="AL454" s="65" t="n">
        <f aca="false">IF(OR(OR($B454="",$E454="",$F454=""),$L454&lt;&gt;"لا"),0,MAX(0,MIN($F454,EOMONTH(DATE(cfg_FY,5,1),0))-$E454+1))</f>
        <v>0</v>
      </c>
      <c r="AM454" s="65" t="n">
        <f aca="false">IF(OR(OR($B454="",$E454="",$F454=""),$L454&lt;&gt;"لا"),0,MAX(0,MIN($F454,EOMONTH(DATE(cfg_FY,6,1),0))-$E454+1))</f>
        <v>0</v>
      </c>
      <c r="AN454" s="65" t="n">
        <f aca="false">IF(OR(OR($B454="",$E454="",$F454=""),$L454&lt;&gt;"لا"),0,MAX(0,MIN($F454,EOMONTH(DATE(cfg_FY,7,1),0))-$E454+1))</f>
        <v>0</v>
      </c>
      <c r="AO454" s="65" t="n">
        <f aca="false">IF(OR(OR($B454="",$E454="",$F454=""),$L454&lt;&gt;"لا"),0,MAX(0,MIN($F454,EOMONTH(DATE(cfg_FY,8,1),0))-$E454+1))</f>
        <v>0</v>
      </c>
      <c r="AP454" s="65" t="n">
        <f aca="false">IF(OR(OR($B454="",$E454="",$F454=""),$L454&lt;&gt;"لا"),0,MAX(0,MIN($F454,EOMONTH(DATE(cfg_FY,9,1),0))-$E454+1))</f>
        <v>0</v>
      </c>
      <c r="AQ454" s="65" t="n">
        <f aca="false">IF(OR(OR($B454="",$E454="",$F454=""),$L454&lt;&gt;"لا"),0,MAX(0,MIN($F454,EOMONTH(DATE(cfg_FY,10,1),0))-$E454+1))</f>
        <v>0</v>
      </c>
      <c r="AR454" s="65" t="n">
        <f aca="false">IF(OR(OR($B454="",$E454="",$F454=""),$L454&lt;&gt;"لا"),0,MAX(0,MIN($F454,EOMONTH(DATE(cfg_FY,11,1),0))-$E454+1))</f>
        <v>0</v>
      </c>
      <c r="AS454" s="65" t="n">
        <f aca="false">IF(OR(OR($B454="",$E454="",$F454=""),$L454&lt;&gt;"لا"),0,MAX(0,MIN($F454,EOMONTH(DATE(cfg_FY,12,1),0))-$E454+1))</f>
        <v>0</v>
      </c>
      <c r="AT454" s="65" t="n">
        <f aca="false">IF(OR(OR($B454="",$E454="",$F454=""),$K454&lt;&gt;"نعم",$M454="نعم"),0,MAX(0,MIN($F454,EOMONTH(DATE(cfg_FY,1,1),0))-MAX($E454,DATE(cfg_FY,1,1))+1))</f>
        <v>0</v>
      </c>
      <c r="AU454" s="65" t="n">
        <f aca="false">IF(OR(OR($B454="",$E454="",$F454=""),$K454&lt;&gt;"نعم",$M454="نعم"),0,MAX(0,MIN($F454,EOMONTH(DATE(cfg_FY,2,1),0))-MAX($E454,DATE(cfg_FY,2,1))+1))</f>
        <v>0</v>
      </c>
      <c r="AV454" s="65" t="n">
        <f aca="false">IF(OR(OR($B454="",$E454="",$F454=""),$K454&lt;&gt;"نعم",$M454="نعم"),0,MAX(0,MIN($F454,EOMONTH(DATE(cfg_FY,3,1),0))-MAX($E454,DATE(cfg_FY,3,1))+1))</f>
        <v>0</v>
      </c>
      <c r="AW454" s="65" t="n">
        <f aca="false">IF(OR(OR($B454="",$E454="",$F454=""),$K454&lt;&gt;"نعم",$M454="نعم"),0,MAX(0,MIN($F454,EOMONTH(DATE(cfg_FY,4,1),0))-MAX($E454,DATE(cfg_FY,4,1))+1))</f>
        <v>0</v>
      </c>
      <c r="AX454" s="65" t="n">
        <f aca="false">IF(OR(OR($B454="",$E454="",$F454=""),$K454&lt;&gt;"نعم",$M454="نعم"),0,MAX(0,MIN($F454,EOMONTH(DATE(cfg_FY,5,1),0))-MAX($E454,DATE(cfg_FY,5,1))+1))</f>
        <v>0</v>
      </c>
      <c r="AY454" s="65" t="n">
        <f aca="false">IF(OR(OR($B454="",$E454="",$F454=""),$K454&lt;&gt;"نعم",$M454="نعم"),0,MAX(0,MIN($F454,EOMONTH(DATE(cfg_FY,6,1),0))-MAX($E454,DATE(cfg_FY,6,1))+1))</f>
        <v>0</v>
      </c>
      <c r="AZ454" s="65" t="n">
        <f aca="false">IF(OR(OR($B454="",$E454="",$F454=""),$K454&lt;&gt;"نعم",$M454="نعم"),0,MAX(0,MIN($F454,EOMONTH(DATE(cfg_FY,7,1),0))-MAX($E454,DATE(cfg_FY,7,1))+1))</f>
        <v>0</v>
      </c>
      <c r="BA454" s="65" t="n">
        <f aca="false">IF(OR(OR($B454="",$E454="",$F454=""),$K454&lt;&gt;"نعم",$M454="نعم"),0,MAX(0,MIN($F454,EOMONTH(DATE(cfg_FY,8,1),0))-MAX($E454,DATE(cfg_FY,8,1))+1))</f>
        <v>0</v>
      </c>
      <c r="BB454" s="65" t="n">
        <f aca="false">IF(OR(OR($B454="",$E454="",$F454=""),$K454&lt;&gt;"نعم",$M454="نعم"),0,MAX(0,MIN($F454,EOMONTH(DATE(cfg_FY,9,1),0))-MAX($E454,DATE(cfg_FY,9,1))+1))</f>
        <v>0</v>
      </c>
      <c r="BC454" s="65" t="n">
        <f aca="false">IF(OR(OR($B454="",$E454="",$F454=""),$K454&lt;&gt;"نعم",$M454="نعم"),0,MAX(0,MIN($F454,EOMONTH(DATE(cfg_FY,10,1),0))-MAX($E454,DATE(cfg_FY,10,1))+1))</f>
        <v>0</v>
      </c>
      <c r="BD454" s="65" t="n">
        <f aca="false">IF(OR(OR($B454="",$E454="",$F454=""),$K454&lt;&gt;"نعم",$M454="نعم"),0,MAX(0,MIN($F454,EOMONTH(DATE(cfg_FY,11,1),0))-MAX($E454,DATE(cfg_FY,11,1))+1))</f>
        <v>0</v>
      </c>
      <c r="BE454" s="65" t="n">
        <f aca="false">IF(OR(OR($B454="",$E454="",$F454=""),$K454&lt;&gt;"نعم",$M454="نعم"),0,MAX(0,MIN($F454,EOMONTH(DATE(cfg_FY,12,1),0))-MAX($E454,DATE(cfg_FY,12,1))+1))</f>
        <v>0</v>
      </c>
    </row>
    <row r="455" customFormat="false" ht="15" hidden="false" customHeight="false" outlineLevel="0" collapsed="false">
      <c r="A455" s="115" t="str">
        <f aca="false">IF(B455="","",ROW()-5)</f>
        <v/>
      </c>
      <c r="B455" s="118"/>
      <c r="C455" s="117" t="str">
        <f aca="false">IF(B455="","",IFERROR(INDEX(الموظفون!$C$6:$C$105,MATCH(B455,الموظفون!$B$6:$B$105,0)),"✖ رقم غير موجود"))</f>
        <v/>
      </c>
      <c r="D455" s="118"/>
      <c r="E455" s="119"/>
      <c r="F455" s="119"/>
      <c r="G455" s="133" t="str">
        <f aca="false">IF(OR($B455="",$E455="",$F455=""),"",MAX(0,F455-E455+1))</f>
        <v/>
      </c>
      <c r="H455" s="134" t="str">
        <f aca="false">IF(D455="","",IFERROR(VLOOKUP(D455,cfg_LT,2,FALSE()),1))</f>
        <v/>
      </c>
      <c r="I455" s="135"/>
      <c r="J455" s="134" t="str">
        <f aca="false">IF(D455="","",IF(I455&lt;&gt;"",I455,H455))</f>
        <v/>
      </c>
      <c r="K455" s="117" t="str">
        <f aca="false">IF(D455="","",IFERROR(VLOOKUP($D455,cfg_LT,3,FALSE()),""))</f>
        <v/>
      </c>
      <c r="L455" s="117" t="str">
        <f aca="false">IF(D455="","",IFERROR(VLOOKUP($D455,cfg_LT,4,FALSE()),""))</f>
        <v/>
      </c>
      <c r="M455" s="117" t="str">
        <f aca="false">IF(D455="","",IFERROR(VLOOKUP($D455,cfg_LT,5,FALSE()),""))</f>
        <v/>
      </c>
      <c r="N455" s="116" t="n">
        <f aca="false">IF(OR(OR($B455="",$E455="",$F455=""),M455&lt;&gt;"نعم"),0,G455*J455*IFERROR(INDEX(الموظفون!$R$6:$R$105,MATCH(B455,الموظفون!$B$6:$B$105,0)),0)/cfg_DAYS_M)</f>
        <v>0</v>
      </c>
      <c r="O455" s="115" t="str">
        <f aca="false">IF(OR(OR($B455="",$E455="",$F455=""),M455&lt;&gt;"نعم"),"",IF(YEAR(E455)=cfg_FY,MONTH(E455),""))</f>
        <v/>
      </c>
      <c r="P455" s="117" t="str">
        <f aca="false">IF(B455="","",IF(OR(D455="",E455="",F455=""),"⚠ أكمل النوع والتواريخ",IF(F455&lt;E455,"✖ النهاية قبل البداية",IF(COUNTIFS($B$6:$B$505,B455,$E$6:$E$505,"&lt;="&amp;F455,$F$6:$F$505,"&gt;="&amp;E455)&gt;1,"⚠ تداخل مع سجل آخر",IF(E455&gt;cfg_VAL_DATE,"⏳ قادمة",IF(F455&lt;cfg_VAL_DATE,"✔ منتهية","✈ جارية في تاريخ التقرير"))))))</f>
        <v/>
      </c>
      <c r="Q455" s="118"/>
      <c r="R455" s="133" t="n">
        <f aca="false">IF(OR(OR($B455="",$E455="",$F455=""),L455&lt;&gt;"لا"),0,MAX(0,MIN(F455,cfg_Y_START-1)-E455+1))</f>
        <v>0</v>
      </c>
      <c r="S455" s="133" t="n">
        <f aca="false">IF(OR(OR($B455="",$E455="",$F455=""),L455&lt;&gt;"لا"),0,MAX(0,MIN(F455,cfg_VAL_DATE)-E455+1))</f>
        <v>0</v>
      </c>
      <c r="T455" s="133" t="n">
        <f aca="false">IF(OR(OR($B455="",$E455="",$F455=""),K455&lt;&gt;"نعم"),0,IF(M455="نعم",IF(AND(ISNUMBER(O455),N(O455)&lt;=cfg_VAL_M),G455,0),MAX(0,MIN(F455,cfg_VAL_DATE)-MAX(E455,cfg_Y_START)+1)))</f>
        <v>0</v>
      </c>
      <c r="V455" s="133" t="n">
        <f aca="false">IF(OR($B455="",$E455="",$F455=""),0,MAX(0,MIN($F455,EOMONTH(DATE(cfg_FY,1,1),0))-MAX($E455,DATE(cfg_FY,1,1))+1)*(1-IF($M455="نعم",0,N($J455))))</f>
        <v>0</v>
      </c>
      <c r="W455" s="133" t="n">
        <f aca="false">IF(OR($B455="",$E455="",$F455=""),0,MAX(0,MIN($F455,EOMONTH(DATE(cfg_FY,2,1),0))-MAX($E455,DATE(cfg_FY,2,1))+1)*(1-IF($M455="نعم",0,N($J455))))</f>
        <v>0</v>
      </c>
      <c r="X455" s="133" t="n">
        <f aca="false">IF(OR($B455="",$E455="",$F455=""),0,MAX(0,MIN($F455,EOMONTH(DATE(cfg_FY,3,1),0))-MAX($E455,DATE(cfg_FY,3,1))+1)*(1-IF($M455="نعم",0,N($J455))))</f>
        <v>0</v>
      </c>
      <c r="Y455" s="133" t="n">
        <f aca="false">IF(OR($B455="",$E455="",$F455=""),0,MAX(0,MIN($F455,EOMONTH(DATE(cfg_FY,4,1),0))-MAX($E455,DATE(cfg_FY,4,1))+1)*(1-IF($M455="نعم",0,N($J455))))</f>
        <v>0</v>
      </c>
      <c r="Z455" s="133" t="n">
        <f aca="false">IF(OR($B455="",$E455="",$F455=""),0,MAX(0,MIN($F455,EOMONTH(DATE(cfg_FY,5,1),0))-MAX($E455,DATE(cfg_FY,5,1))+1)*(1-IF($M455="نعم",0,N($J455))))</f>
        <v>0</v>
      </c>
      <c r="AA455" s="133" t="n">
        <f aca="false">IF(OR($B455="",$E455="",$F455=""),0,MAX(0,MIN($F455,EOMONTH(DATE(cfg_FY,6,1),0))-MAX($E455,DATE(cfg_FY,6,1))+1)*(1-IF($M455="نعم",0,N($J455))))</f>
        <v>0</v>
      </c>
      <c r="AB455" s="133" t="n">
        <f aca="false">IF(OR($B455="",$E455="",$F455=""),0,MAX(0,MIN($F455,EOMONTH(DATE(cfg_FY,7,1),0))-MAX($E455,DATE(cfg_FY,7,1))+1)*(1-IF($M455="نعم",0,N($J455))))</f>
        <v>0</v>
      </c>
      <c r="AC455" s="133" t="n">
        <f aca="false">IF(OR($B455="",$E455="",$F455=""),0,MAX(0,MIN($F455,EOMONTH(DATE(cfg_FY,8,1),0))-MAX($E455,DATE(cfg_FY,8,1))+1)*(1-IF($M455="نعم",0,N($J455))))</f>
        <v>0</v>
      </c>
      <c r="AD455" s="133" t="n">
        <f aca="false">IF(OR($B455="",$E455="",$F455=""),0,MAX(0,MIN($F455,EOMONTH(DATE(cfg_FY,9,1),0))-MAX($E455,DATE(cfg_FY,9,1))+1)*(1-IF($M455="نعم",0,N($J455))))</f>
        <v>0</v>
      </c>
      <c r="AE455" s="133" t="n">
        <f aca="false">IF(OR($B455="",$E455="",$F455=""),0,MAX(0,MIN($F455,EOMONTH(DATE(cfg_FY,10,1),0))-MAX($E455,DATE(cfg_FY,10,1))+1)*(1-IF($M455="نعم",0,N($J455))))</f>
        <v>0</v>
      </c>
      <c r="AF455" s="133" t="n">
        <f aca="false">IF(OR($B455="",$E455="",$F455=""),0,MAX(0,MIN($F455,EOMONTH(DATE(cfg_FY,11,1),0))-MAX($E455,DATE(cfg_FY,11,1))+1)*(1-IF($M455="نعم",0,N($J455))))</f>
        <v>0</v>
      </c>
      <c r="AG455" s="133" t="n">
        <f aca="false">IF(OR($B455="",$E455="",$F455=""),0,MAX(0,MIN($F455,EOMONTH(DATE(cfg_FY,12,1),0))-MAX($E455,DATE(cfg_FY,12,1))+1)*(1-IF($M455="نعم",0,N($J455))))</f>
        <v>0</v>
      </c>
      <c r="AH455" s="133" t="n">
        <f aca="false">IF(OR(OR($B455="",$E455="",$F455=""),$L455&lt;&gt;"لا"),0,MAX(0,MIN($F455,EOMONTH(DATE(cfg_FY,1,1),0))-$E455+1))</f>
        <v>0</v>
      </c>
      <c r="AI455" s="133" t="n">
        <f aca="false">IF(OR(OR($B455="",$E455="",$F455=""),$L455&lt;&gt;"لا"),0,MAX(0,MIN($F455,EOMONTH(DATE(cfg_FY,2,1),0))-$E455+1))</f>
        <v>0</v>
      </c>
      <c r="AJ455" s="133" t="n">
        <f aca="false">IF(OR(OR($B455="",$E455="",$F455=""),$L455&lt;&gt;"لا"),0,MAX(0,MIN($F455,EOMONTH(DATE(cfg_FY,3,1),0))-$E455+1))</f>
        <v>0</v>
      </c>
      <c r="AK455" s="133" t="n">
        <f aca="false">IF(OR(OR($B455="",$E455="",$F455=""),$L455&lt;&gt;"لا"),0,MAX(0,MIN($F455,EOMONTH(DATE(cfg_FY,4,1),0))-$E455+1))</f>
        <v>0</v>
      </c>
      <c r="AL455" s="133" t="n">
        <f aca="false">IF(OR(OR($B455="",$E455="",$F455=""),$L455&lt;&gt;"لا"),0,MAX(0,MIN($F455,EOMONTH(DATE(cfg_FY,5,1),0))-$E455+1))</f>
        <v>0</v>
      </c>
      <c r="AM455" s="133" t="n">
        <f aca="false">IF(OR(OR($B455="",$E455="",$F455=""),$L455&lt;&gt;"لا"),0,MAX(0,MIN($F455,EOMONTH(DATE(cfg_FY,6,1),0))-$E455+1))</f>
        <v>0</v>
      </c>
      <c r="AN455" s="133" t="n">
        <f aca="false">IF(OR(OR($B455="",$E455="",$F455=""),$L455&lt;&gt;"لا"),0,MAX(0,MIN($F455,EOMONTH(DATE(cfg_FY,7,1),0))-$E455+1))</f>
        <v>0</v>
      </c>
      <c r="AO455" s="133" t="n">
        <f aca="false">IF(OR(OR($B455="",$E455="",$F455=""),$L455&lt;&gt;"لا"),0,MAX(0,MIN($F455,EOMONTH(DATE(cfg_FY,8,1),0))-$E455+1))</f>
        <v>0</v>
      </c>
      <c r="AP455" s="133" t="n">
        <f aca="false">IF(OR(OR($B455="",$E455="",$F455=""),$L455&lt;&gt;"لا"),0,MAX(0,MIN($F455,EOMONTH(DATE(cfg_FY,9,1),0))-$E455+1))</f>
        <v>0</v>
      </c>
      <c r="AQ455" s="133" t="n">
        <f aca="false">IF(OR(OR($B455="",$E455="",$F455=""),$L455&lt;&gt;"لا"),0,MAX(0,MIN($F455,EOMONTH(DATE(cfg_FY,10,1),0))-$E455+1))</f>
        <v>0</v>
      </c>
      <c r="AR455" s="133" t="n">
        <f aca="false">IF(OR(OR($B455="",$E455="",$F455=""),$L455&lt;&gt;"لا"),0,MAX(0,MIN($F455,EOMONTH(DATE(cfg_FY,11,1),0))-$E455+1))</f>
        <v>0</v>
      </c>
      <c r="AS455" s="133" t="n">
        <f aca="false">IF(OR(OR($B455="",$E455="",$F455=""),$L455&lt;&gt;"لا"),0,MAX(0,MIN($F455,EOMONTH(DATE(cfg_FY,12,1),0))-$E455+1))</f>
        <v>0</v>
      </c>
      <c r="AT455" s="133" t="n">
        <f aca="false">IF(OR(OR($B455="",$E455="",$F455=""),$K455&lt;&gt;"نعم",$M455="نعم"),0,MAX(0,MIN($F455,EOMONTH(DATE(cfg_FY,1,1),0))-MAX($E455,DATE(cfg_FY,1,1))+1))</f>
        <v>0</v>
      </c>
      <c r="AU455" s="133" t="n">
        <f aca="false">IF(OR(OR($B455="",$E455="",$F455=""),$K455&lt;&gt;"نعم",$M455="نعم"),0,MAX(0,MIN($F455,EOMONTH(DATE(cfg_FY,2,1),0))-MAX($E455,DATE(cfg_FY,2,1))+1))</f>
        <v>0</v>
      </c>
      <c r="AV455" s="133" t="n">
        <f aca="false">IF(OR(OR($B455="",$E455="",$F455=""),$K455&lt;&gt;"نعم",$M455="نعم"),0,MAX(0,MIN($F455,EOMONTH(DATE(cfg_FY,3,1),0))-MAX($E455,DATE(cfg_FY,3,1))+1))</f>
        <v>0</v>
      </c>
      <c r="AW455" s="133" t="n">
        <f aca="false">IF(OR(OR($B455="",$E455="",$F455=""),$K455&lt;&gt;"نعم",$M455="نعم"),0,MAX(0,MIN($F455,EOMONTH(DATE(cfg_FY,4,1),0))-MAX($E455,DATE(cfg_FY,4,1))+1))</f>
        <v>0</v>
      </c>
      <c r="AX455" s="133" t="n">
        <f aca="false">IF(OR(OR($B455="",$E455="",$F455=""),$K455&lt;&gt;"نعم",$M455="نعم"),0,MAX(0,MIN($F455,EOMONTH(DATE(cfg_FY,5,1),0))-MAX($E455,DATE(cfg_FY,5,1))+1))</f>
        <v>0</v>
      </c>
      <c r="AY455" s="133" t="n">
        <f aca="false">IF(OR(OR($B455="",$E455="",$F455=""),$K455&lt;&gt;"نعم",$M455="نعم"),0,MAX(0,MIN($F455,EOMONTH(DATE(cfg_FY,6,1),0))-MAX($E455,DATE(cfg_FY,6,1))+1))</f>
        <v>0</v>
      </c>
      <c r="AZ455" s="133" t="n">
        <f aca="false">IF(OR(OR($B455="",$E455="",$F455=""),$K455&lt;&gt;"نعم",$M455="نعم"),0,MAX(0,MIN($F455,EOMONTH(DATE(cfg_FY,7,1),0))-MAX($E455,DATE(cfg_FY,7,1))+1))</f>
        <v>0</v>
      </c>
      <c r="BA455" s="133" t="n">
        <f aca="false">IF(OR(OR($B455="",$E455="",$F455=""),$K455&lt;&gt;"نعم",$M455="نعم"),0,MAX(0,MIN($F455,EOMONTH(DATE(cfg_FY,8,1),0))-MAX($E455,DATE(cfg_FY,8,1))+1))</f>
        <v>0</v>
      </c>
      <c r="BB455" s="133" t="n">
        <f aca="false">IF(OR(OR($B455="",$E455="",$F455=""),$K455&lt;&gt;"نعم",$M455="نعم"),0,MAX(0,MIN($F455,EOMONTH(DATE(cfg_FY,9,1),0))-MAX($E455,DATE(cfg_FY,9,1))+1))</f>
        <v>0</v>
      </c>
      <c r="BC455" s="133" t="n">
        <f aca="false">IF(OR(OR($B455="",$E455="",$F455=""),$K455&lt;&gt;"نعم",$M455="نعم"),0,MAX(0,MIN($F455,EOMONTH(DATE(cfg_FY,10,1),0))-MAX($E455,DATE(cfg_FY,10,1))+1))</f>
        <v>0</v>
      </c>
      <c r="BD455" s="133" t="n">
        <f aca="false">IF(OR(OR($B455="",$E455="",$F455=""),$K455&lt;&gt;"نعم",$M455="نعم"),0,MAX(0,MIN($F455,EOMONTH(DATE(cfg_FY,11,1),0))-MAX($E455,DATE(cfg_FY,11,1))+1))</f>
        <v>0</v>
      </c>
      <c r="BE455" s="133" t="n">
        <f aca="false">IF(OR(OR($B455="",$E455="",$F455=""),$K455&lt;&gt;"نعم",$M455="نعم"),0,MAX(0,MIN($F455,EOMONTH(DATE(cfg_FY,12,1),0))-MAX($E455,DATE(cfg_FY,12,1))+1))</f>
        <v>0</v>
      </c>
    </row>
    <row r="456" customFormat="false" ht="15" hidden="false" customHeight="false" outlineLevel="0" collapsed="false">
      <c r="A456" s="106" t="str">
        <f aca="false">IF(B456="","",ROW()-5)</f>
        <v/>
      </c>
      <c r="B456" s="118"/>
      <c r="C456" s="114" t="str">
        <f aca="false">IF(B456="","",IFERROR(INDEX(الموظفون!$C$6:$C$105,MATCH(B456,الموظفون!$B$6:$B$105,0)),"✖ رقم غير موجود"))</f>
        <v/>
      </c>
      <c r="D456" s="118"/>
      <c r="E456" s="119"/>
      <c r="F456" s="119"/>
      <c r="G456" s="65" t="str">
        <f aca="false">IF(OR($B456="",$E456="",$F456=""),"",MAX(0,F456-E456+1))</f>
        <v/>
      </c>
      <c r="H456" s="66" t="str">
        <f aca="false">IF(D456="","",IFERROR(VLOOKUP(D456,cfg_LT,2,FALSE()),1))</f>
        <v/>
      </c>
      <c r="I456" s="135"/>
      <c r="J456" s="66" t="str">
        <f aca="false">IF(D456="","",IF(I456&lt;&gt;"",I456,H456))</f>
        <v/>
      </c>
      <c r="K456" s="114" t="str">
        <f aca="false">IF(D456="","",IFERROR(VLOOKUP($D456,cfg_LT,3,FALSE()),""))</f>
        <v/>
      </c>
      <c r="L456" s="114" t="str">
        <f aca="false">IF(D456="","",IFERROR(VLOOKUP($D456,cfg_LT,4,FALSE()),""))</f>
        <v/>
      </c>
      <c r="M456" s="114" t="str">
        <f aca="false">IF(D456="","",IFERROR(VLOOKUP($D456,cfg_LT,5,FALSE()),""))</f>
        <v/>
      </c>
      <c r="N456" s="111" t="n">
        <f aca="false">IF(OR(OR($B456="",$E456="",$F456=""),M456&lt;&gt;"نعم"),0,G456*J456*IFERROR(INDEX(الموظفون!$R$6:$R$105,MATCH(B456,الموظفون!$B$6:$B$105,0)),0)/cfg_DAYS_M)</f>
        <v>0</v>
      </c>
      <c r="O456" s="106" t="str">
        <f aca="false">IF(OR(OR($B456="",$E456="",$F456=""),M456&lt;&gt;"نعم"),"",IF(YEAR(E456)=cfg_FY,MONTH(E456),""))</f>
        <v/>
      </c>
      <c r="P456" s="114" t="str">
        <f aca="false">IF(B456="","",IF(OR(D456="",E456="",F456=""),"⚠ أكمل النوع والتواريخ",IF(F456&lt;E456,"✖ النهاية قبل البداية",IF(COUNTIFS($B$6:$B$505,B456,$E$6:$E$505,"&lt;="&amp;F456,$F$6:$F$505,"&gt;="&amp;E456)&gt;1,"⚠ تداخل مع سجل آخر",IF(E456&gt;cfg_VAL_DATE,"⏳ قادمة",IF(F456&lt;cfg_VAL_DATE,"✔ منتهية","✈ جارية في تاريخ التقرير"))))))</f>
        <v/>
      </c>
      <c r="Q456" s="118"/>
      <c r="R456" s="65" t="n">
        <f aca="false">IF(OR(OR($B456="",$E456="",$F456=""),L456&lt;&gt;"لا"),0,MAX(0,MIN(F456,cfg_Y_START-1)-E456+1))</f>
        <v>0</v>
      </c>
      <c r="S456" s="65" t="n">
        <f aca="false">IF(OR(OR($B456="",$E456="",$F456=""),L456&lt;&gt;"لا"),0,MAX(0,MIN(F456,cfg_VAL_DATE)-E456+1))</f>
        <v>0</v>
      </c>
      <c r="T456" s="65" t="n">
        <f aca="false">IF(OR(OR($B456="",$E456="",$F456=""),K456&lt;&gt;"نعم"),0,IF(M456="نعم",IF(AND(ISNUMBER(O456),N(O456)&lt;=cfg_VAL_M),G456,0),MAX(0,MIN(F456,cfg_VAL_DATE)-MAX(E456,cfg_Y_START)+1)))</f>
        <v>0</v>
      </c>
      <c r="V456" s="65" t="n">
        <f aca="false">IF(OR($B456="",$E456="",$F456=""),0,MAX(0,MIN($F456,EOMONTH(DATE(cfg_FY,1,1),0))-MAX($E456,DATE(cfg_FY,1,1))+1)*(1-IF($M456="نعم",0,N($J456))))</f>
        <v>0</v>
      </c>
      <c r="W456" s="65" t="n">
        <f aca="false">IF(OR($B456="",$E456="",$F456=""),0,MAX(0,MIN($F456,EOMONTH(DATE(cfg_FY,2,1),0))-MAX($E456,DATE(cfg_FY,2,1))+1)*(1-IF($M456="نعم",0,N($J456))))</f>
        <v>0</v>
      </c>
      <c r="X456" s="65" t="n">
        <f aca="false">IF(OR($B456="",$E456="",$F456=""),0,MAX(0,MIN($F456,EOMONTH(DATE(cfg_FY,3,1),0))-MAX($E456,DATE(cfg_FY,3,1))+1)*(1-IF($M456="نعم",0,N($J456))))</f>
        <v>0</v>
      </c>
      <c r="Y456" s="65" t="n">
        <f aca="false">IF(OR($B456="",$E456="",$F456=""),0,MAX(0,MIN($F456,EOMONTH(DATE(cfg_FY,4,1),0))-MAX($E456,DATE(cfg_FY,4,1))+1)*(1-IF($M456="نعم",0,N($J456))))</f>
        <v>0</v>
      </c>
      <c r="Z456" s="65" t="n">
        <f aca="false">IF(OR($B456="",$E456="",$F456=""),0,MAX(0,MIN($F456,EOMONTH(DATE(cfg_FY,5,1),0))-MAX($E456,DATE(cfg_FY,5,1))+1)*(1-IF($M456="نعم",0,N($J456))))</f>
        <v>0</v>
      </c>
      <c r="AA456" s="65" t="n">
        <f aca="false">IF(OR($B456="",$E456="",$F456=""),0,MAX(0,MIN($F456,EOMONTH(DATE(cfg_FY,6,1),0))-MAX($E456,DATE(cfg_FY,6,1))+1)*(1-IF($M456="نعم",0,N($J456))))</f>
        <v>0</v>
      </c>
      <c r="AB456" s="65" t="n">
        <f aca="false">IF(OR($B456="",$E456="",$F456=""),0,MAX(0,MIN($F456,EOMONTH(DATE(cfg_FY,7,1),0))-MAX($E456,DATE(cfg_FY,7,1))+1)*(1-IF($M456="نعم",0,N($J456))))</f>
        <v>0</v>
      </c>
      <c r="AC456" s="65" t="n">
        <f aca="false">IF(OR($B456="",$E456="",$F456=""),0,MAX(0,MIN($F456,EOMONTH(DATE(cfg_FY,8,1),0))-MAX($E456,DATE(cfg_FY,8,1))+1)*(1-IF($M456="نعم",0,N($J456))))</f>
        <v>0</v>
      </c>
      <c r="AD456" s="65" t="n">
        <f aca="false">IF(OR($B456="",$E456="",$F456=""),0,MAX(0,MIN($F456,EOMONTH(DATE(cfg_FY,9,1),0))-MAX($E456,DATE(cfg_FY,9,1))+1)*(1-IF($M456="نعم",0,N($J456))))</f>
        <v>0</v>
      </c>
      <c r="AE456" s="65" t="n">
        <f aca="false">IF(OR($B456="",$E456="",$F456=""),0,MAX(0,MIN($F456,EOMONTH(DATE(cfg_FY,10,1),0))-MAX($E456,DATE(cfg_FY,10,1))+1)*(1-IF($M456="نعم",0,N($J456))))</f>
        <v>0</v>
      </c>
      <c r="AF456" s="65" t="n">
        <f aca="false">IF(OR($B456="",$E456="",$F456=""),0,MAX(0,MIN($F456,EOMONTH(DATE(cfg_FY,11,1),0))-MAX($E456,DATE(cfg_FY,11,1))+1)*(1-IF($M456="نعم",0,N($J456))))</f>
        <v>0</v>
      </c>
      <c r="AG456" s="65" t="n">
        <f aca="false">IF(OR($B456="",$E456="",$F456=""),0,MAX(0,MIN($F456,EOMONTH(DATE(cfg_FY,12,1),0))-MAX($E456,DATE(cfg_FY,12,1))+1)*(1-IF($M456="نعم",0,N($J456))))</f>
        <v>0</v>
      </c>
      <c r="AH456" s="65" t="n">
        <f aca="false">IF(OR(OR($B456="",$E456="",$F456=""),$L456&lt;&gt;"لا"),0,MAX(0,MIN($F456,EOMONTH(DATE(cfg_FY,1,1),0))-$E456+1))</f>
        <v>0</v>
      </c>
      <c r="AI456" s="65" t="n">
        <f aca="false">IF(OR(OR($B456="",$E456="",$F456=""),$L456&lt;&gt;"لا"),0,MAX(0,MIN($F456,EOMONTH(DATE(cfg_FY,2,1),0))-$E456+1))</f>
        <v>0</v>
      </c>
      <c r="AJ456" s="65" t="n">
        <f aca="false">IF(OR(OR($B456="",$E456="",$F456=""),$L456&lt;&gt;"لا"),0,MAX(0,MIN($F456,EOMONTH(DATE(cfg_FY,3,1),0))-$E456+1))</f>
        <v>0</v>
      </c>
      <c r="AK456" s="65" t="n">
        <f aca="false">IF(OR(OR($B456="",$E456="",$F456=""),$L456&lt;&gt;"لا"),0,MAX(0,MIN($F456,EOMONTH(DATE(cfg_FY,4,1),0))-$E456+1))</f>
        <v>0</v>
      </c>
      <c r="AL456" s="65" t="n">
        <f aca="false">IF(OR(OR($B456="",$E456="",$F456=""),$L456&lt;&gt;"لا"),0,MAX(0,MIN($F456,EOMONTH(DATE(cfg_FY,5,1),0))-$E456+1))</f>
        <v>0</v>
      </c>
      <c r="AM456" s="65" t="n">
        <f aca="false">IF(OR(OR($B456="",$E456="",$F456=""),$L456&lt;&gt;"لا"),0,MAX(0,MIN($F456,EOMONTH(DATE(cfg_FY,6,1),0))-$E456+1))</f>
        <v>0</v>
      </c>
      <c r="AN456" s="65" t="n">
        <f aca="false">IF(OR(OR($B456="",$E456="",$F456=""),$L456&lt;&gt;"لا"),0,MAX(0,MIN($F456,EOMONTH(DATE(cfg_FY,7,1),0))-$E456+1))</f>
        <v>0</v>
      </c>
      <c r="AO456" s="65" t="n">
        <f aca="false">IF(OR(OR($B456="",$E456="",$F456=""),$L456&lt;&gt;"لا"),0,MAX(0,MIN($F456,EOMONTH(DATE(cfg_FY,8,1),0))-$E456+1))</f>
        <v>0</v>
      </c>
      <c r="AP456" s="65" t="n">
        <f aca="false">IF(OR(OR($B456="",$E456="",$F456=""),$L456&lt;&gt;"لا"),0,MAX(0,MIN($F456,EOMONTH(DATE(cfg_FY,9,1),0))-$E456+1))</f>
        <v>0</v>
      </c>
      <c r="AQ456" s="65" t="n">
        <f aca="false">IF(OR(OR($B456="",$E456="",$F456=""),$L456&lt;&gt;"لا"),0,MAX(0,MIN($F456,EOMONTH(DATE(cfg_FY,10,1),0))-$E456+1))</f>
        <v>0</v>
      </c>
      <c r="AR456" s="65" t="n">
        <f aca="false">IF(OR(OR($B456="",$E456="",$F456=""),$L456&lt;&gt;"لا"),0,MAX(0,MIN($F456,EOMONTH(DATE(cfg_FY,11,1),0))-$E456+1))</f>
        <v>0</v>
      </c>
      <c r="AS456" s="65" t="n">
        <f aca="false">IF(OR(OR($B456="",$E456="",$F456=""),$L456&lt;&gt;"لا"),0,MAX(0,MIN($F456,EOMONTH(DATE(cfg_FY,12,1),0))-$E456+1))</f>
        <v>0</v>
      </c>
      <c r="AT456" s="65" t="n">
        <f aca="false">IF(OR(OR($B456="",$E456="",$F456=""),$K456&lt;&gt;"نعم",$M456="نعم"),0,MAX(0,MIN($F456,EOMONTH(DATE(cfg_FY,1,1),0))-MAX($E456,DATE(cfg_FY,1,1))+1))</f>
        <v>0</v>
      </c>
      <c r="AU456" s="65" t="n">
        <f aca="false">IF(OR(OR($B456="",$E456="",$F456=""),$K456&lt;&gt;"نعم",$M456="نعم"),0,MAX(0,MIN($F456,EOMONTH(DATE(cfg_FY,2,1),0))-MAX($E456,DATE(cfg_FY,2,1))+1))</f>
        <v>0</v>
      </c>
      <c r="AV456" s="65" t="n">
        <f aca="false">IF(OR(OR($B456="",$E456="",$F456=""),$K456&lt;&gt;"نعم",$M456="نعم"),0,MAX(0,MIN($F456,EOMONTH(DATE(cfg_FY,3,1),0))-MAX($E456,DATE(cfg_FY,3,1))+1))</f>
        <v>0</v>
      </c>
      <c r="AW456" s="65" t="n">
        <f aca="false">IF(OR(OR($B456="",$E456="",$F456=""),$K456&lt;&gt;"نعم",$M456="نعم"),0,MAX(0,MIN($F456,EOMONTH(DATE(cfg_FY,4,1),0))-MAX($E456,DATE(cfg_FY,4,1))+1))</f>
        <v>0</v>
      </c>
      <c r="AX456" s="65" t="n">
        <f aca="false">IF(OR(OR($B456="",$E456="",$F456=""),$K456&lt;&gt;"نعم",$M456="نعم"),0,MAX(0,MIN($F456,EOMONTH(DATE(cfg_FY,5,1),0))-MAX($E456,DATE(cfg_FY,5,1))+1))</f>
        <v>0</v>
      </c>
      <c r="AY456" s="65" t="n">
        <f aca="false">IF(OR(OR($B456="",$E456="",$F456=""),$K456&lt;&gt;"نعم",$M456="نعم"),0,MAX(0,MIN($F456,EOMONTH(DATE(cfg_FY,6,1),0))-MAX($E456,DATE(cfg_FY,6,1))+1))</f>
        <v>0</v>
      </c>
      <c r="AZ456" s="65" t="n">
        <f aca="false">IF(OR(OR($B456="",$E456="",$F456=""),$K456&lt;&gt;"نعم",$M456="نعم"),0,MAX(0,MIN($F456,EOMONTH(DATE(cfg_FY,7,1),0))-MAX($E456,DATE(cfg_FY,7,1))+1))</f>
        <v>0</v>
      </c>
      <c r="BA456" s="65" t="n">
        <f aca="false">IF(OR(OR($B456="",$E456="",$F456=""),$K456&lt;&gt;"نعم",$M456="نعم"),0,MAX(0,MIN($F456,EOMONTH(DATE(cfg_FY,8,1),0))-MAX($E456,DATE(cfg_FY,8,1))+1))</f>
        <v>0</v>
      </c>
      <c r="BB456" s="65" t="n">
        <f aca="false">IF(OR(OR($B456="",$E456="",$F456=""),$K456&lt;&gt;"نعم",$M456="نعم"),0,MAX(0,MIN($F456,EOMONTH(DATE(cfg_FY,9,1),0))-MAX($E456,DATE(cfg_FY,9,1))+1))</f>
        <v>0</v>
      </c>
      <c r="BC456" s="65" t="n">
        <f aca="false">IF(OR(OR($B456="",$E456="",$F456=""),$K456&lt;&gt;"نعم",$M456="نعم"),0,MAX(0,MIN($F456,EOMONTH(DATE(cfg_FY,10,1),0))-MAX($E456,DATE(cfg_FY,10,1))+1))</f>
        <v>0</v>
      </c>
      <c r="BD456" s="65" t="n">
        <f aca="false">IF(OR(OR($B456="",$E456="",$F456=""),$K456&lt;&gt;"نعم",$M456="نعم"),0,MAX(0,MIN($F456,EOMONTH(DATE(cfg_FY,11,1),0))-MAX($E456,DATE(cfg_FY,11,1))+1))</f>
        <v>0</v>
      </c>
      <c r="BE456" s="65" t="n">
        <f aca="false">IF(OR(OR($B456="",$E456="",$F456=""),$K456&lt;&gt;"نعم",$M456="نعم"),0,MAX(0,MIN($F456,EOMONTH(DATE(cfg_FY,12,1),0))-MAX($E456,DATE(cfg_FY,12,1))+1))</f>
        <v>0</v>
      </c>
    </row>
    <row r="457" customFormat="false" ht="15" hidden="false" customHeight="false" outlineLevel="0" collapsed="false">
      <c r="A457" s="115" t="str">
        <f aca="false">IF(B457="","",ROW()-5)</f>
        <v/>
      </c>
      <c r="B457" s="118"/>
      <c r="C457" s="117" t="str">
        <f aca="false">IF(B457="","",IFERROR(INDEX(الموظفون!$C$6:$C$105,MATCH(B457,الموظفون!$B$6:$B$105,0)),"✖ رقم غير موجود"))</f>
        <v/>
      </c>
      <c r="D457" s="118"/>
      <c r="E457" s="119"/>
      <c r="F457" s="119"/>
      <c r="G457" s="133" t="str">
        <f aca="false">IF(OR($B457="",$E457="",$F457=""),"",MAX(0,F457-E457+1))</f>
        <v/>
      </c>
      <c r="H457" s="134" t="str">
        <f aca="false">IF(D457="","",IFERROR(VLOOKUP(D457,cfg_LT,2,FALSE()),1))</f>
        <v/>
      </c>
      <c r="I457" s="135"/>
      <c r="J457" s="134" t="str">
        <f aca="false">IF(D457="","",IF(I457&lt;&gt;"",I457,H457))</f>
        <v/>
      </c>
      <c r="K457" s="117" t="str">
        <f aca="false">IF(D457="","",IFERROR(VLOOKUP($D457,cfg_LT,3,FALSE()),""))</f>
        <v/>
      </c>
      <c r="L457" s="117" t="str">
        <f aca="false">IF(D457="","",IFERROR(VLOOKUP($D457,cfg_LT,4,FALSE()),""))</f>
        <v/>
      </c>
      <c r="M457" s="117" t="str">
        <f aca="false">IF(D457="","",IFERROR(VLOOKUP($D457,cfg_LT,5,FALSE()),""))</f>
        <v/>
      </c>
      <c r="N457" s="116" t="n">
        <f aca="false">IF(OR(OR($B457="",$E457="",$F457=""),M457&lt;&gt;"نعم"),0,G457*J457*IFERROR(INDEX(الموظفون!$R$6:$R$105,MATCH(B457,الموظفون!$B$6:$B$105,0)),0)/cfg_DAYS_M)</f>
        <v>0</v>
      </c>
      <c r="O457" s="115" t="str">
        <f aca="false">IF(OR(OR($B457="",$E457="",$F457=""),M457&lt;&gt;"نعم"),"",IF(YEAR(E457)=cfg_FY,MONTH(E457),""))</f>
        <v/>
      </c>
      <c r="P457" s="117" t="str">
        <f aca="false">IF(B457="","",IF(OR(D457="",E457="",F457=""),"⚠ أكمل النوع والتواريخ",IF(F457&lt;E457,"✖ النهاية قبل البداية",IF(COUNTIFS($B$6:$B$505,B457,$E$6:$E$505,"&lt;="&amp;F457,$F$6:$F$505,"&gt;="&amp;E457)&gt;1,"⚠ تداخل مع سجل آخر",IF(E457&gt;cfg_VAL_DATE,"⏳ قادمة",IF(F457&lt;cfg_VAL_DATE,"✔ منتهية","✈ جارية في تاريخ التقرير"))))))</f>
        <v/>
      </c>
      <c r="Q457" s="118"/>
      <c r="R457" s="133" t="n">
        <f aca="false">IF(OR(OR($B457="",$E457="",$F457=""),L457&lt;&gt;"لا"),0,MAX(0,MIN(F457,cfg_Y_START-1)-E457+1))</f>
        <v>0</v>
      </c>
      <c r="S457" s="133" t="n">
        <f aca="false">IF(OR(OR($B457="",$E457="",$F457=""),L457&lt;&gt;"لا"),0,MAX(0,MIN(F457,cfg_VAL_DATE)-E457+1))</f>
        <v>0</v>
      </c>
      <c r="T457" s="133" t="n">
        <f aca="false">IF(OR(OR($B457="",$E457="",$F457=""),K457&lt;&gt;"نعم"),0,IF(M457="نعم",IF(AND(ISNUMBER(O457),N(O457)&lt;=cfg_VAL_M),G457,0),MAX(0,MIN(F457,cfg_VAL_DATE)-MAX(E457,cfg_Y_START)+1)))</f>
        <v>0</v>
      </c>
      <c r="V457" s="133" t="n">
        <f aca="false">IF(OR($B457="",$E457="",$F457=""),0,MAX(0,MIN($F457,EOMONTH(DATE(cfg_FY,1,1),0))-MAX($E457,DATE(cfg_FY,1,1))+1)*(1-IF($M457="نعم",0,N($J457))))</f>
        <v>0</v>
      </c>
      <c r="W457" s="133" t="n">
        <f aca="false">IF(OR($B457="",$E457="",$F457=""),0,MAX(0,MIN($F457,EOMONTH(DATE(cfg_FY,2,1),0))-MAX($E457,DATE(cfg_FY,2,1))+1)*(1-IF($M457="نعم",0,N($J457))))</f>
        <v>0</v>
      </c>
      <c r="X457" s="133" t="n">
        <f aca="false">IF(OR($B457="",$E457="",$F457=""),0,MAX(0,MIN($F457,EOMONTH(DATE(cfg_FY,3,1),0))-MAX($E457,DATE(cfg_FY,3,1))+1)*(1-IF($M457="نعم",0,N($J457))))</f>
        <v>0</v>
      </c>
      <c r="Y457" s="133" t="n">
        <f aca="false">IF(OR($B457="",$E457="",$F457=""),0,MAX(0,MIN($F457,EOMONTH(DATE(cfg_FY,4,1),0))-MAX($E457,DATE(cfg_FY,4,1))+1)*(1-IF($M457="نعم",0,N($J457))))</f>
        <v>0</v>
      </c>
      <c r="Z457" s="133" t="n">
        <f aca="false">IF(OR($B457="",$E457="",$F457=""),0,MAX(0,MIN($F457,EOMONTH(DATE(cfg_FY,5,1),0))-MAX($E457,DATE(cfg_FY,5,1))+1)*(1-IF($M457="نعم",0,N($J457))))</f>
        <v>0</v>
      </c>
      <c r="AA457" s="133" t="n">
        <f aca="false">IF(OR($B457="",$E457="",$F457=""),0,MAX(0,MIN($F457,EOMONTH(DATE(cfg_FY,6,1),0))-MAX($E457,DATE(cfg_FY,6,1))+1)*(1-IF($M457="نعم",0,N($J457))))</f>
        <v>0</v>
      </c>
      <c r="AB457" s="133" t="n">
        <f aca="false">IF(OR($B457="",$E457="",$F457=""),0,MAX(0,MIN($F457,EOMONTH(DATE(cfg_FY,7,1),0))-MAX($E457,DATE(cfg_FY,7,1))+1)*(1-IF($M457="نعم",0,N($J457))))</f>
        <v>0</v>
      </c>
      <c r="AC457" s="133" t="n">
        <f aca="false">IF(OR($B457="",$E457="",$F457=""),0,MAX(0,MIN($F457,EOMONTH(DATE(cfg_FY,8,1),0))-MAX($E457,DATE(cfg_FY,8,1))+1)*(1-IF($M457="نعم",0,N($J457))))</f>
        <v>0</v>
      </c>
      <c r="AD457" s="133" t="n">
        <f aca="false">IF(OR($B457="",$E457="",$F457=""),0,MAX(0,MIN($F457,EOMONTH(DATE(cfg_FY,9,1),0))-MAX($E457,DATE(cfg_FY,9,1))+1)*(1-IF($M457="نعم",0,N($J457))))</f>
        <v>0</v>
      </c>
      <c r="AE457" s="133" t="n">
        <f aca="false">IF(OR($B457="",$E457="",$F457=""),0,MAX(0,MIN($F457,EOMONTH(DATE(cfg_FY,10,1),0))-MAX($E457,DATE(cfg_FY,10,1))+1)*(1-IF($M457="نعم",0,N($J457))))</f>
        <v>0</v>
      </c>
      <c r="AF457" s="133" t="n">
        <f aca="false">IF(OR($B457="",$E457="",$F457=""),0,MAX(0,MIN($F457,EOMONTH(DATE(cfg_FY,11,1),0))-MAX($E457,DATE(cfg_FY,11,1))+1)*(1-IF($M457="نعم",0,N($J457))))</f>
        <v>0</v>
      </c>
      <c r="AG457" s="133" t="n">
        <f aca="false">IF(OR($B457="",$E457="",$F457=""),0,MAX(0,MIN($F457,EOMONTH(DATE(cfg_FY,12,1),0))-MAX($E457,DATE(cfg_FY,12,1))+1)*(1-IF($M457="نعم",0,N($J457))))</f>
        <v>0</v>
      </c>
      <c r="AH457" s="133" t="n">
        <f aca="false">IF(OR(OR($B457="",$E457="",$F457=""),$L457&lt;&gt;"لا"),0,MAX(0,MIN($F457,EOMONTH(DATE(cfg_FY,1,1),0))-$E457+1))</f>
        <v>0</v>
      </c>
      <c r="AI457" s="133" t="n">
        <f aca="false">IF(OR(OR($B457="",$E457="",$F457=""),$L457&lt;&gt;"لا"),0,MAX(0,MIN($F457,EOMONTH(DATE(cfg_FY,2,1),0))-$E457+1))</f>
        <v>0</v>
      </c>
      <c r="AJ457" s="133" t="n">
        <f aca="false">IF(OR(OR($B457="",$E457="",$F457=""),$L457&lt;&gt;"لا"),0,MAX(0,MIN($F457,EOMONTH(DATE(cfg_FY,3,1),0))-$E457+1))</f>
        <v>0</v>
      </c>
      <c r="AK457" s="133" t="n">
        <f aca="false">IF(OR(OR($B457="",$E457="",$F457=""),$L457&lt;&gt;"لا"),0,MAX(0,MIN($F457,EOMONTH(DATE(cfg_FY,4,1),0))-$E457+1))</f>
        <v>0</v>
      </c>
      <c r="AL457" s="133" t="n">
        <f aca="false">IF(OR(OR($B457="",$E457="",$F457=""),$L457&lt;&gt;"لا"),0,MAX(0,MIN($F457,EOMONTH(DATE(cfg_FY,5,1),0))-$E457+1))</f>
        <v>0</v>
      </c>
      <c r="AM457" s="133" t="n">
        <f aca="false">IF(OR(OR($B457="",$E457="",$F457=""),$L457&lt;&gt;"لا"),0,MAX(0,MIN($F457,EOMONTH(DATE(cfg_FY,6,1),0))-$E457+1))</f>
        <v>0</v>
      </c>
      <c r="AN457" s="133" t="n">
        <f aca="false">IF(OR(OR($B457="",$E457="",$F457=""),$L457&lt;&gt;"لا"),0,MAX(0,MIN($F457,EOMONTH(DATE(cfg_FY,7,1),0))-$E457+1))</f>
        <v>0</v>
      </c>
      <c r="AO457" s="133" t="n">
        <f aca="false">IF(OR(OR($B457="",$E457="",$F457=""),$L457&lt;&gt;"لا"),0,MAX(0,MIN($F457,EOMONTH(DATE(cfg_FY,8,1),0))-$E457+1))</f>
        <v>0</v>
      </c>
      <c r="AP457" s="133" t="n">
        <f aca="false">IF(OR(OR($B457="",$E457="",$F457=""),$L457&lt;&gt;"لا"),0,MAX(0,MIN($F457,EOMONTH(DATE(cfg_FY,9,1),0))-$E457+1))</f>
        <v>0</v>
      </c>
      <c r="AQ457" s="133" t="n">
        <f aca="false">IF(OR(OR($B457="",$E457="",$F457=""),$L457&lt;&gt;"لا"),0,MAX(0,MIN($F457,EOMONTH(DATE(cfg_FY,10,1),0))-$E457+1))</f>
        <v>0</v>
      </c>
      <c r="AR457" s="133" t="n">
        <f aca="false">IF(OR(OR($B457="",$E457="",$F457=""),$L457&lt;&gt;"لا"),0,MAX(0,MIN($F457,EOMONTH(DATE(cfg_FY,11,1),0))-$E457+1))</f>
        <v>0</v>
      </c>
      <c r="AS457" s="133" t="n">
        <f aca="false">IF(OR(OR($B457="",$E457="",$F457=""),$L457&lt;&gt;"لا"),0,MAX(0,MIN($F457,EOMONTH(DATE(cfg_FY,12,1),0))-$E457+1))</f>
        <v>0</v>
      </c>
      <c r="AT457" s="133" t="n">
        <f aca="false">IF(OR(OR($B457="",$E457="",$F457=""),$K457&lt;&gt;"نعم",$M457="نعم"),0,MAX(0,MIN($F457,EOMONTH(DATE(cfg_FY,1,1),0))-MAX($E457,DATE(cfg_FY,1,1))+1))</f>
        <v>0</v>
      </c>
      <c r="AU457" s="133" t="n">
        <f aca="false">IF(OR(OR($B457="",$E457="",$F457=""),$K457&lt;&gt;"نعم",$M457="نعم"),0,MAX(0,MIN($F457,EOMONTH(DATE(cfg_FY,2,1),0))-MAX($E457,DATE(cfg_FY,2,1))+1))</f>
        <v>0</v>
      </c>
      <c r="AV457" s="133" t="n">
        <f aca="false">IF(OR(OR($B457="",$E457="",$F457=""),$K457&lt;&gt;"نعم",$M457="نعم"),0,MAX(0,MIN($F457,EOMONTH(DATE(cfg_FY,3,1),0))-MAX($E457,DATE(cfg_FY,3,1))+1))</f>
        <v>0</v>
      </c>
      <c r="AW457" s="133" t="n">
        <f aca="false">IF(OR(OR($B457="",$E457="",$F457=""),$K457&lt;&gt;"نعم",$M457="نعم"),0,MAX(0,MIN($F457,EOMONTH(DATE(cfg_FY,4,1),0))-MAX($E457,DATE(cfg_FY,4,1))+1))</f>
        <v>0</v>
      </c>
      <c r="AX457" s="133" t="n">
        <f aca="false">IF(OR(OR($B457="",$E457="",$F457=""),$K457&lt;&gt;"نعم",$M457="نعم"),0,MAX(0,MIN($F457,EOMONTH(DATE(cfg_FY,5,1),0))-MAX($E457,DATE(cfg_FY,5,1))+1))</f>
        <v>0</v>
      </c>
      <c r="AY457" s="133" t="n">
        <f aca="false">IF(OR(OR($B457="",$E457="",$F457=""),$K457&lt;&gt;"نعم",$M457="نعم"),0,MAX(0,MIN($F457,EOMONTH(DATE(cfg_FY,6,1),0))-MAX($E457,DATE(cfg_FY,6,1))+1))</f>
        <v>0</v>
      </c>
      <c r="AZ457" s="133" t="n">
        <f aca="false">IF(OR(OR($B457="",$E457="",$F457=""),$K457&lt;&gt;"نعم",$M457="نعم"),0,MAX(0,MIN($F457,EOMONTH(DATE(cfg_FY,7,1),0))-MAX($E457,DATE(cfg_FY,7,1))+1))</f>
        <v>0</v>
      </c>
      <c r="BA457" s="133" t="n">
        <f aca="false">IF(OR(OR($B457="",$E457="",$F457=""),$K457&lt;&gt;"نعم",$M457="نعم"),0,MAX(0,MIN($F457,EOMONTH(DATE(cfg_FY,8,1),0))-MAX($E457,DATE(cfg_FY,8,1))+1))</f>
        <v>0</v>
      </c>
      <c r="BB457" s="133" t="n">
        <f aca="false">IF(OR(OR($B457="",$E457="",$F457=""),$K457&lt;&gt;"نعم",$M457="نعم"),0,MAX(0,MIN($F457,EOMONTH(DATE(cfg_FY,9,1),0))-MAX($E457,DATE(cfg_FY,9,1))+1))</f>
        <v>0</v>
      </c>
      <c r="BC457" s="133" t="n">
        <f aca="false">IF(OR(OR($B457="",$E457="",$F457=""),$K457&lt;&gt;"نعم",$M457="نعم"),0,MAX(0,MIN($F457,EOMONTH(DATE(cfg_FY,10,1),0))-MAX($E457,DATE(cfg_FY,10,1))+1))</f>
        <v>0</v>
      </c>
      <c r="BD457" s="133" t="n">
        <f aca="false">IF(OR(OR($B457="",$E457="",$F457=""),$K457&lt;&gt;"نعم",$M457="نعم"),0,MAX(0,MIN($F457,EOMONTH(DATE(cfg_FY,11,1),0))-MAX($E457,DATE(cfg_FY,11,1))+1))</f>
        <v>0</v>
      </c>
      <c r="BE457" s="133" t="n">
        <f aca="false">IF(OR(OR($B457="",$E457="",$F457=""),$K457&lt;&gt;"نعم",$M457="نعم"),0,MAX(0,MIN($F457,EOMONTH(DATE(cfg_FY,12,1),0))-MAX($E457,DATE(cfg_FY,12,1))+1))</f>
        <v>0</v>
      </c>
    </row>
    <row r="458" customFormat="false" ht="15" hidden="false" customHeight="false" outlineLevel="0" collapsed="false">
      <c r="A458" s="106" t="str">
        <f aca="false">IF(B458="","",ROW()-5)</f>
        <v/>
      </c>
      <c r="B458" s="118"/>
      <c r="C458" s="114" t="str">
        <f aca="false">IF(B458="","",IFERROR(INDEX(الموظفون!$C$6:$C$105,MATCH(B458,الموظفون!$B$6:$B$105,0)),"✖ رقم غير موجود"))</f>
        <v/>
      </c>
      <c r="D458" s="118"/>
      <c r="E458" s="119"/>
      <c r="F458" s="119"/>
      <c r="G458" s="65" t="str">
        <f aca="false">IF(OR($B458="",$E458="",$F458=""),"",MAX(0,F458-E458+1))</f>
        <v/>
      </c>
      <c r="H458" s="66" t="str">
        <f aca="false">IF(D458="","",IFERROR(VLOOKUP(D458,cfg_LT,2,FALSE()),1))</f>
        <v/>
      </c>
      <c r="I458" s="135"/>
      <c r="J458" s="66" t="str">
        <f aca="false">IF(D458="","",IF(I458&lt;&gt;"",I458,H458))</f>
        <v/>
      </c>
      <c r="K458" s="114" t="str">
        <f aca="false">IF(D458="","",IFERROR(VLOOKUP($D458,cfg_LT,3,FALSE()),""))</f>
        <v/>
      </c>
      <c r="L458" s="114" t="str">
        <f aca="false">IF(D458="","",IFERROR(VLOOKUP($D458,cfg_LT,4,FALSE()),""))</f>
        <v/>
      </c>
      <c r="M458" s="114" t="str">
        <f aca="false">IF(D458="","",IFERROR(VLOOKUP($D458,cfg_LT,5,FALSE()),""))</f>
        <v/>
      </c>
      <c r="N458" s="111" t="n">
        <f aca="false">IF(OR(OR($B458="",$E458="",$F458=""),M458&lt;&gt;"نعم"),0,G458*J458*IFERROR(INDEX(الموظفون!$R$6:$R$105,MATCH(B458,الموظفون!$B$6:$B$105,0)),0)/cfg_DAYS_M)</f>
        <v>0</v>
      </c>
      <c r="O458" s="106" t="str">
        <f aca="false">IF(OR(OR($B458="",$E458="",$F458=""),M458&lt;&gt;"نعم"),"",IF(YEAR(E458)=cfg_FY,MONTH(E458),""))</f>
        <v/>
      </c>
      <c r="P458" s="114" t="str">
        <f aca="false">IF(B458="","",IF(OR(D458="",E458="",F458=""),"⚠ أكمل النوع والتواريخ",IF(F458&lt;E458,"✖ النهاية قبل البداية",IF(COUNTIFS($B$6:$B$505,B458,$E$6:$E$505,"&lt;="&amp;F458,$F$6:$F$505,"&gt;="&amp;E458)&gt;1,"⚠ تداخل مع سجل آخر",IF(E458&gt;cfg_VAL_DATE,"⏳ قادمة",IF(F458&lt;cfg_VAL_DATE,"✔ منتهية","✈ جارية في تاريخ التقرير"))))))</f>
        <v/>
      </c>
      <c r="Q458" s="118"/>
      <c r="R458" s="65" t="n">
        <f aca="false">IF(OR(OR($B458="",$E458="",$F458=""),L458&lt;&gt;"لا"),0,MAX(0,MIN(F458,cfg_Y_START-1)-E458+1))</f>
        <v>0</v>
      </c>
      <c r="S458" s="65" t="n">
        <f aca="false">IF(OR(OR($B458="",$E458="",$F458=""),L458&lt;&gt;"لا"),0,MAX(0,MIN(F458,cfg_VAL_DATE)-E458+1))</f>
        <v>0</v>
      </c>
      <c r="T458" s="65" t="n">
        <f aca="false">IF(OR(OR($B458="",$E458="",$F458=""),K458&lt;&gt;"نعم"),0,IF(M458="نعم",IF(AND(ISNUMBER(O458),N(O458)&lt;=cfg_VAL_M),G458,0),MAX(0,MIN(F458,cfg_VAL_DATE)-MAX(E458,cfg_Y_START)+1)))</f>
        <v>0</v>
      </c>
      <c r="V458" s="65" t="n">
        <f aca="false">IF(OR($B458="",$E458="",$F458=""),0,MAX(0,MIN($F458,EOMONTH(DATE(cfg_FY,1,1),0))-MAX($E458,DATE(cfg_FY,1,1))+1)*(1-IF($M458="نعم",0,N($J458))))</f>
        <v>0</v>
      </c>
      <c r="W458" s="65" t="n">
        <f aca="false">IF(OR($B458="",$E458="",$F458=""),0,MAX(0,MIN($F458,EOMONTH(DATE(cfg_FY,2,1),0))-MAX($E458,DATE(cfg_FY,2,1))+1)*(1-IF($M458="نعم",0,N($J458))))</f>
        <v>0</v>
      </c>
      <c r="X458" s="65" t="n">
        <f aca="false">IF(OR($B458="",$E458="",$F458=""),0,MAX(0,MIN($F458,EOMONTH(DATE(cfg_FY,3,1),0))-MAX($E458,DATE(cfg_FY,3,1))+1)*(1-IF($M458="نعم",0,N($J458))))</f>
        <v>0</v>
      </c>
      <c r="Y458" s="65" t="n">
        <f aca="false">IF(OR($B458="",$E458="",$F458=""),0,MAX(0,MIN($F458,EOMONTH(DATE(cfg_FY,4,1),0))-MAX($E458,DATE(cfg_FY,4,1))+1)*(1-IF($M458="نعم",0,N($J458))))</f>
        <v>0</v>
      </c>
      <c r="Z458" s="65" t="n">
        <f aca="false">IF(OR($B458="",$E458="",$F458=""),0,MAX(0,MIN($F458,EOMONTH(DATE(cfg_FY,5,1),0))-MAX($E458,DATE(cfg_FY,5,1))+1)*(1-IF($M458="نعم",0,N($J458))))</f>
        <v>0</v>
      </c>
      <c r="AA458" s="65" t="n">
        <f aca="false">IF(OR($B458="",$E458="",$F458=""),0,MAX(0,MIN($F458,EOMONTH(DATE(cfg_FY,6,1),0))-MAX($E458,DATE(cfg_FY,6,1))+1)*(1-IF($M458="نعم",0,N($J458))))</f>
        <v>0</v>
      </c>
      <c r="AB458" s="65" t="n">
        <f aca="false">IF(OR($B458="",$E458="",$F458=""),0,MAX(0,MIN($F458,EOMONTH(DATE(cfg_FY,7,1),0))-MAX($E458,DATE(cfg_FY,7,1))+1)*(1-IF($M458="نعم",0,N($J458))))</f>
        <v>0</v>
      </c>
      <c r="AC458" s="65" t="n">
        <f aca="false">IF(OR($B458="",$E458="",$F458=""),0,MAX(0,MIN($F458,EOMONTH(DATE(cfg_FY,8,1),0))-MAX($E458,DATE(cfg_FY,8,1))+1)*(1-IF($M458="نعم",0,N($J458))))</f>
        <v>0</v>
      </c>
      <c r="AD458" s="65" t="n">
        <f aca="false">IF(OR($B458="",$E458="",$F458=""),0,MAX(0,MIN($F458,EOMONTH(DATE(cfg_FY,9,1),0))-MAX($E458,DATE(cfg_FY,9,1))+1)*(1-IF($M458="نعم",0,N($J458))))</f>
        <v>0</v>
      </c>
      <c r="AE458" s="65" t="n">
        <f aca="false">IF(OR($B458="",$E458="",$F458=""),0,MAX(0,MIN($F458,EOMONTH(DATE(cfg_FY,10,1),0))-MAX($E458,DATE(cfg_FY,10,1))+1)*(1-IF($M458="نعم",0,N($J458))))</f>
        <v>0</v>
      </c>
      <c r="AF458" s="65" t="n">
        <f aca="false">IF(OR($B458="",$E458="",$F458=""),0,MAX(0,MIN($F458,EOMONTH(DATE(cfg_FY,11,1),0))-MAX($E458,DATE(cfg_FY,11,1))+1)*(1-IF($M458="نعم",0,N($J458))))</f>
        <v>0</v>
      </c>
      <c r="AG458" s="65" t="n">
        <f aca="false">IF(OR($B458="",$E458="",$F458=""),0,MAX(0,MIN($F458,EOMONTH(DATE(cfg_FY,12,1),0))-MAX($E458,DATE(cfg_FY,12,1))+1)*(1-IF($M458="نعم",0,N($J458))))</f>
        <v>0</v>
      </c>
      <c r="AH458" s="65" t="n">
        <f aca="false">IF(OR(OR($B458="",$E458="",$F458=""),$L458&lt;&gt;"لا"),0,MAX(0,MIN($F458,EOMONTH(DATE(cfg_FY,1,1),0))-$E458+1))</f>
        <v>0</v>
      </c>
      <c r="AI458" s="65" t="n">
        <f aca="false">IF(OR(OR($B458="",$E458="",$F458=""),$L458&lt;&gt;"لا"),0,MAX(0,MIN($F458,EOMONTH(DATE(cfg_FY,2,1),0))-$E458+1))</f>
        <v>0</v>
      </c>
      <c r="AJ458" s="65" t="n">
        <f aca="false">IF(OR(OR($B458="",$E458="",$F458=""),$L458&lt;&gt;"لا"),0,MAX(0,MIN($F458,EOMONTH(DATE(cfg_FY,3,1),0))-$E458+1))</f>
        <v>0</v>
      </c>
      <c r="AK458" s="65" t="n">
        <f aca="false">IF(OR(OR($B458="",$E458="",$F458=""),$L458&lt;&gt;"لا"),0,MAX(0,MIN($F458,EOMONTH(DATE(cfg_FY,4,1),0))-$E458+1))</f>
        <v>0</v>
      </c>
      <c r="AL458" s="65" t="n">
        <f aca="false">IF(OR(OR($B458="",$E458="",$F458=""),$L458&lt;&gt;"لا"),0,MAX(0,MIN($F458,EOMONTH(DATE(cfg_FY,5,1),0))-$E458+1))</f>
        <v>0</v>
      </c>
      <c r="AM458" s="65" t="n">
        <f aca="false">IF(OR(OR($B458="",$E458="",$F458=""),$L458&lt;&gt;"لا"),0,MAX(0,MIN($F458,EOMONTH(DATE(cfg_FY,6,1),0))-$E458+1))</f>
        <v>0</v>
      </c>
      <c r="AN458" s="65" t="n">
        <f aca="false">IF(OR(OR($B458="",$E458="",$F458=""),$L458&lt;&gt;"لا"),0,MAX(0,MIN($F458,EOMONTH(DATE(cfg_FY,7,1),0))-$E458+1))</f>
        <v>0</v>
      </c>
      <c r="AO458" s="65" t="n">
        <f aca="false">IF(OR(OR($B458="",$E458="",$F458=""),$L458&lt;&gt;"لا"),0,MAX(0,MIN($F458,EOMONTH(DATE(cfg_FY,8,1),0))-$E458+1))</f>
        <v>0</v>
      </c>
      <c r="AP458" s="65" t="n">
        <f aca="false">IF(OR(OR($B458="",$E458="",$F458=""),$L458&lt;&gt;"لا"),0,MAX(0,MIN($F458,EOMONTH(DATE(cfg_FY,9,1),0))-$E458+1))</f>
        <v>0</v>
      </c>
      <c r="AQ458" s="65" t="n">
        <f aca="false">IF(OR(OR($B458="",$E458="",$F458=""),$L458&lt;&gt;"لا"),0,MAX(0,MIN($F458,EOMONTH(DATE(cfg_FY,10,1),0))-$E458+1))</f>
        <v>0</v>
      </c>
      <c r="AR458" s="65" t="n">
        <f aca="false">IF(OR(OR($B458="",$E458="",$F458=""),$L458&lt;&gt;"لا"),0,MAX(0,MIN($F458,EOMONTH(DATE(cfg_FY,11,1),0))-$E458+1))</f>
        <v>0</v>
      </c>
      <c r="AS458" s="65" t="n">
        <f aca="false">IF(OR(OR($B458="",$E458="",$F458=""),$L458&lt;&gt;"لا"),0,MAX(0,MIN($F458,EOMONTH(DATE(cfg_FY,12,1),0))-$E458+1))</f>
        <v>0</v>
      </c>
      <c r="AT458" s="65" t="n">
        <f aca="false">IF(OR(OR($B458="",$E458="",$F458=""),$K458&lt;&gt;"نعم",$M458="نعم"),0,MAX(0,MIN($F458,EOMONTH(DATE(cfg_FY,1,1),0))-MAX($E458,DATE(cfg_FY,1,1))+1))</f>
        <v>0</v>
      </c>
      <c r="AU458" s="65" t="n">
        <f aca="false">IF(OR(OR($B458="",$E458="",$F458=""),$K458&lt;&gt;"نعم",$M458="نعم"),0,MAX(0,MIN($F458,EOMONTH(DATE(cfg_FY,2,1),0))-MAX($E458,DATE(cfg_FY,2,1))+1))</f>
        <v>0</v>
      </c>
      <c r="AV458" s="65" t="n">
        <f aca="false">IF(OR(OR($B458="",$E458="",$F458=""),$K458&lt;&gt;"نعم",$M458="نعم"),0,MAX(0,MIN($F458,EOMONTH(DATE(cfg_FY,3,1),0))-MAX($E458,DATE(cfg_FY,3,1))+1))</f>
        <v>0</v>
      </c>
      <c r="AW458" s="65" t="n">
        <f aca="false">IF(OR(OR($B458="",$E458="",$F458=""),$K458&lt;&gt;"نعم",$M458="نعم"),0,MAX(0,MIN($F458,EOMONTH(DATE(cfg_FY,4,1),0))-MAX($E458,DATE(cfg_FY,4,1))+1))</f>
        <v>0</v>
      </c>
      <c r="AX458" s="65" t="n">
        <f aca="false">IF(OR(OR($B458="",$E458="",$F458=""),$K458&lt;&gt;"نعم",$M458="نعم"),0,MAX(0,MIN($F458,EOMONTH(DATE(cfg_FY,5,1),0))-MAX($E458,DATE(cfg_FY,5,1))+1))</f>
        <v>0</v>
      </c>
      <c r="AY458" s="65" t="n">
        <f aca="false">IF(OR(OR($B458="",$E458="",$F458=""),$K458&lt;&gt;"نعم",$M458="نعم"),0,MAX(0,MIN($F458,EOMONTH(DATE(cfg_FY,6,1),0))-MAX($E458,DATE(cfg_FY,6,1))+1))</f>
        <v>0</v>
      </c>
      <c r="AZ458" s="65" t="n">
        <f aca="false">IF(OR(OR($B458="",$E458="",$F458=""),$K458&lt;&gt;"نعم",$M458="نعم"),0,MAX(0,MIN($F458,EOMONTH(DATE(cfg_FY,7,1),0))-MAX($E458,DATE(cfg_FY,7,1))+1))</f>
        <v>0</v>
      </c>
      <c r="BA458" s="65" t="n">
        <f aca="false">IF(OR(OR($B458="",$E458="",$F458=""),$K458&lt;&gt;"نعم",$M458="نعم"),0,MAX(0,MIN($F458,EOMONTH(DATE(cfg_FY,8,1),0))-MAX($E458,DATE(cfg_FY,8,1))+1))</f>
        <v>0</v>
      </c>
      <c r="BB458" s="65" t="n">
        <f aca="false">IF(OR(OR($B458="",$E458="",$F458=""),$K458&lt;&gt;"نعم",$M458="نعم"),0,MAX(0,MIN($F458,EOMONTH(DATE(cfg_FY,9,1),0))-MAX($E458,DATE(cfg_FY,9,1))+1))</f>
        <v>0</v>
      </c>
      <c r="BC458" s="65" t="n">
        <f aca="false">IF(OR(OR($B458="",$E458="",$F458=""),$K458&lt;&gt;"نعم",$M458="نعم"),0,MAX(0,MIN($F458,EOMONTH(DATE(cfg_FY,10,1),0))-MAX($E458,DATE(cfg_FY,10,1))+1))</f>
        <v>0</v>
      </c>
      <c r="BD458" s="65" t="n">
        <f aca="false">IF(OR(OR($B458="",$E458="",$F458=""),$K458&lt;&gt;"نعم",$M458="نعم"),0,MAX(0,MIN($F458,EOMONTH(DATE(cfg_FY,11,1),0))-MAX($E458,DATE(cfg_FY,11,1))+1))</f>
        <v>0</v>
      </c>
      <c r="BE458" s="65" t="n">
        <f aca="false">IF(OR(OR($B458="",$E458="",$F458=""),$K458&lt;&gt;"نعم",$M458="نعم"),0,MAX(0,MIN($F458,EOMONTH(DATE(cfg_FY,12,1),0))-MAX($E458,DATE(cfg_FY,12,1))+1))</f>
        <v>0</v>
      </c>
    </row>
    <row r="459" customFormat="false" ht="15" hidden="false" customHeight="false" outlineLevel="0" collapsed="false">
      <c r="A459" s="115" t="str">
        <f aca="false">IF(B459="","",ROW()-5)</f>
        <v/>
      </c>
      <c r="B459" s="118"/>
      <c r="C459" s="117" t="str">
        <f aca="false">IF(B459="","",IFERROR(INDEX(الموظفون!$C$6:$C$105,MATCH(B459,الموظفون!$B$6:$B$105,0)),"✖ رقم غير موجود"))</f>
        <v/>
      </c>
      <c r="D459" s="118"/>
      <c r="E459" s="119"/>
      <c r="F459" s="119"/>
      <c r="G459" s="133" t="str">
        <f aca="false">IF(OR($B459="",$E459="",$F459=""),"",MAX(0,F459-E459+1))</f>
        <v/>
      </c>
      <c r="H459" s="134" t="str">
        <f aca="false">IF(D459="","",IFERROR(VLOOKUP(D459,cfg_LT,2,FALSE()),1))</f>
        <v/>
      </c>
      <c r="I459" s="135"/>
      <c r="J459" s="134" t="str">
        <f aca="false">IF(D459="","",IF(I459&lt;&gt;"",I459,H459))</f>
        <v/>
      </c>
      <c r="K459" s="117" t="str">
        <f aca="false">IF(D459="","",IFERROR(VLOOKUP($D459,cfg_LT,3,FALSE()),""))</f>
        <v/>
      </c>
      <c r="L459" s="117" t="str">
        <f aca="false">IF(D459="","",IFERROR(VLOOKUP($D459,cfg_LT,4,FALSE()),""))</f>
        <v/>
      </c>
      <c r="M459" s="117" t="str">
        <f aca="false">IF(D459="","",IFERROR(VLOOKUP($D459,cfg_LT,5,FALSE()),""))</f>
        <v/>
      </c>
      <c r="N459" s="116" t="n">
        <f aca="false">IF(OR(OR($B459="",$E459="",$F459=""),M459&lt;&gt;"نعم"),0,G459*J459*IFERROR(INDEX(الموظفون!$R$6:$R$105,MATCH(B459,الموظفون!$B$6:$B$105,0)),0)/cfg_DAYS_M)</f>
        <v>0</v>
      </c>
      <c r="O459" s="115" t="str">
        <f aca="false">IF(OR(OR($B459="",$E459="",$F459=""),M459&lt;&gt;"نعم"),"",IF(YEAR(E459)=cfg_FY,MONTH(E459),""))</f>
        <v/>
      </c>
      <c r="P459" s="117" t="str">
        <f aca="false">IF(B459="","",IF(OR(D459="",E459="",F459=""),"⚠ أكمل النوع والتواريخ",IF(F459&lt;E459,"✖ النهاية قبل البداية",IF(COUNTIFS($B$6:$B$505,B459,$E$6:$E$505,"&lt;="&amp;F459,$F$6:$F$505,"&gt;="&amp;E459)&gt;1,"⚠ تداخل مع سجل آخر",IF(E459&gt;cfg_VAL_DATE,"⏳ قادمة",IF(F459&lt;cfg_VAL_DATE,"✔ منتهية","✈ جارية في تاريخ التقرير"))))))</f>
        <v/>
      </c>
      <c r="Q459" s="118"/>
      <c r="R459" s="133" t="n">
        <f aca="false">IF(OR(OR($B459="",$E459="",$F459=""),L459&lt;&gt;"لا"),0,MAX(0,MIN(F459,cfg_Y_START-1)-E459+1))</f>
        <v>0</v>
      </c>
      <c r="S459" s="133" t="n">
        <f aca="false">IF(OR(OR($B459="",$E459="",$F459=""),L459&lt;&gt;"لا"),0,MAX(0,MIN(F459,cfg_VAL_DATE)-E459+1))</f>
        <v>0</v>
      </c>
      <c r="T459" s="133" t="n">
        <f aca="false">IF(OR(OR($B459="",$E459="",$F459=""),K459&lt;&gt;"نعم"),0,IF(M459="نعم",IF(AND(ISNUMBER(O459),N(O459)&lt;=cfg_VAL_M),G459,0),MAX(0,MIN(F459,cfg_VAL_DATE)-MAX(E459,cfg_Y_START)+1)))</f>
        <v>0</v>
      </c>
      <c r="V459" s="133" t="n">
        <f aca="false">IF(OR($B459="",$E459="",$F459=""),0,MAX(0,MIN($F459,EOMONTH(DATE(cfg_FY,1,1),0))-MAX($E459,DATE(cfg_FY,1,1))+1)*(1-IF($M459="نعم",0,N($J459))))</f>
        <v>0</v>
      </c>
      <c r="W459" s="133" t="n">
        <f aca="false">IF(OR($B459="",$E459="",$F459=""),0,MAX(0,MIN($F459,EOMONTH(DATE(cfg_FY,2,1),0))-MAX($E459,DATE(cfg_FY,2,1))+1)*(1-IF($M459="نعم",0,N($J459))))</f>
        <v>0</v>
      </c>
      <c r="X459" s="133" t="n">
        <f aca="false">IF(OR($B459="",$E459="",$F459=""),0,MAX(0,MIN($F459,EOMONTH(DATE(cfg_FY,3,1),0))-MAX($E459,DATE(cfg_FY,3,1))+1)*(1-IF($M459="نعم",0,N($J459))))</f>
        <v>0</v>
      </c>
      <c r="Y459" s="133" t="n">
        <f aca="false">IF(OR($B459="",$E459="",$F459=""),0,MAX(0,MIN($F459,EOMONTH(DATE(cfg_FY,4,1),0))-MAX($E459,DATE(cfg_FY,4,1))+1)*(1-IF($M459="نعم",0,N($J459))))</f>
        <v>0</v>
      </c>
      <c r="Z459" s="133" t="n">
        <f aca="false">IF(OR($B459="",$E459="",$F459=""),0,MAX(0,MIN($F459,EOMONTH(DATE(cfg_FY,5,1),0))-MAX($E459,DATE(cfg_FY,5,1))+1)*(1-IF($M459="نعم",0,N($J459))))</f>
        <v>0</v>
      </c>
      <c r="AA459" s="133" t="n">
        <f aca="false">IF(OR($B459="",$E459="",$F459=""),0,MAX(0,MIN($F459,EOMONTH(DATE(cfg_FY,6,1),0))-MAX($E459,DATE(cfg_FY,6,1))+1)*(1-IF($M459="نعم",0,N($J459))))</f>
        <v>0</v>
      </c>
      <c r="AB459" s="133" t="n">
        <f aca="false">IF(OR($B459="",$E459="",$F459=""),0,MAX(0,MIN($F459,EOMONTH(DATE(cfg_FY,7,1),0))-MAX($E459,DATE(cfg_FY,7,1))+1)*(1-IF($M459="نعم",0,N($J459))))</f>
        <v>0</v>
      </c>
      <c r="AC459" s="133" t="n">
        <f aca="false">IF(OR($B459="",$E459="",$F459=""),0,MAX(0,MIN($F459,EOMONTH(DATE(cfg_FY,8,1),0))-MAX($E459,DATE(cfg_FY,8,1))+1)*(1-IF($M459="نعم",0,N($J459))))</f>
        <v>0</v>
      </c>
      <c r="AD459" s="133" t="n">
        <f aca="false">IF(OR($B459="",$E459="",$F459=""),0,MAX(0,MIN($F459,EOMONTH(DATE(cfg_FY,9,1),0))-MAX($E459,DATE(cfg_FY,9,1))+1)*(1-IF($M459="نعم",0,N($J459))))</f>
        <v>0</v>
      </c>
      <c r="AE459" s="133" t="n">
        <f aca="false">IF(OR($B459="",$E459="",$F459=""),0,MAX(0,MIN($F459,EOMONTH(DATE(cfg_FY,10,1),0))-MAX($E459,DATE(cfg_FY,10,1))+1)*(1-IF($M459="نعم",0,N($J459))))</f>
        <v>0</v>
      </c>
      <c r="AF459" s="133" t="n">
        <f aca="false">IF(OR($B459="",$E459="",$F459=""),0,MAX(0,MIN($F459,EOMONTH(DATE(cfg_FY,11,1),0))-MAX($E459,DATE(cfg_FY,11,1))+1)*(1-IF($M459="نعم",0,N($J459))))</f>
        <v>0</v>
      </c>
      <c r="AG459" s="133" t="n">
        <f aca="false">IF(OR($B459="",$E459="",$F459=""),0,MAX(0,MIN($F459,EOMONTH(DATE(cfg_FY,12,1),0))-MAX($E459,DATE(cfg_FY,12,1))+1)*(1-IF($M459="نعم",0,N($J459))))</f>
        <v>0</v>
      </c>
      <c r="AH459" s="133" t="n">
        <f aca="false">IF(OR(OR($B459="",$E459="",$F459=""),$L459&lt;&gt;"لا"),0,MAX(0,MIN($F459,EOMONTH(DATE(cfg_FY,1,1),0))-$E459+1))</f>
        <v>0</v>
      </c>
      <c r="AI459" s="133" t="n">
        <f aca="false">IF(OR(OR($B459="",$E459="",$F459=""),$L459&lt;&gt;"لا"),0,MAX(0,MIN($F459,EOMONTH(DATE(cfg_FY,2,1),0))-$E459+1))</f>
        <v>0</v>
      </c>
      <c r="AJ459" s="133" t="n">
        <f aca="false">IF(OR(OR($B459="",$E459="",$F459=""),$L459&lt;&gt;"لا"),0,MAX(0,MIN($F459,EOMONTH(DATE(cfg_FY,3,1),0))-$E459+1))</f>
        <v>0</v>
      </c>
      <c r="AK459" s="133" t="n">
        <f aca="false">IF(OR(OR($B459="",$E459="",$F459=""),$L459&lt;&gt;"لا"),0,MAX(0,MIN($F459,EOMONTH(DATE(cfg_FY,4,1),0))-$E459+1))</f>
        <v>0</v>
      </c>
      <c r="AL459" s="133" t="n">
        <f aca="false">IF(OR(OR($B459="",$E459="",$F459=""),$L459&lt;&gt;"لا"),0,MAX(0,MIN($F459,EOMONTH(DATE(cfg_FY,5,1),0))-$E459+1))</f>
        <v>0</v>
      </c>
      <c r="AM459" s="133" t="n">
        <f aca="false">IF(OR(OR($B459="",$E459="",$F459=""),$L459&lt;&gt;"لا"),0,MAX(0,MIN($F459,EOMONTH(DATE(cfg_FY,6,1),0))-$E459+1))</f>
        <v>0</v>
      </c>
      <c r="AN459" s="133" t="n">
        <f aca="false">IF(OR(OR($B459="",$E459="",$F459=""),$L459&lt;&gt;"لا"),0,MAX(0,MIN($F459,EOMONTH(DATE(cfg_FY,7,1),0))-$E459+1))</f>
        <v>0</v>
      </c>
      <c r="AO459" s="133" t="n">
        <f aca="false">IF(OR(OR($B459="",$E459="",$F459=""),$L459&lt;&gt;"لا"),0,MAX(0,MIN($F459,EOMONTH(DATE(cfg_FY,8,1),0))-$E459+1))</f>
        <v>0</v>
      </c>
      <c r="AP459" s="133" t="n">
        <f aca="false">IF(OR(OR($B459="",$E459="",$F459=""),$L459&lt;&gt;"لا"),0,MAX(0,MIN($F459,EOMONTH(DATE(cfg_FY,9,1),0))-$E459+1))</f>
        <v>0</v>
      </c>
      <c r="AQ459" s="133" t="n">
        <f aca="false">IF(OR(OR($B459="",$E459="",$F459=""),$L459&lt;&gt;"لا"),0,MAX(0,MIN($F459,EOMONTH(DATE(cfg_FY,10,1),0))-$E459+1))</f>
        <v>0</v>
      </c>
      <c r="AR459" s="133" t="n">
        <f aca="false">IF(OR(OR($B459="",$E459="",$F459=""),$L459&lt;&gt;"لا"),0,MAX(0,MIN($F459,EOMONTH(DATE(cfg_FY,11,1),0))-$E459+1))</f>
        <v>0</v>
      </c>
      <c r="AS459" s="133" t="n">
        <f aca="false">IF(OR(OR($B459="",$E459="",$F459=""),$L459&lt;&gt;"لا"),0,MAX(0,MIN($F459,EOMONTH(DATE(cfg_FY,12,1),0))-$E459+1))</f>
        <v>0</v>
      </c>
      <c r="AT459" s="133" t="n">
        <f aca="false">IF(OR(OR($B459="",$E459="",$F459=""),$K459&lt;&gt;"نعم",$M459="نعم"),0,MAX(0,MIN($F459,EOMONTH(DATE(cfg_FY,1,1),0))-MAX($E459,DATE(cfg_FY,1,1))+1))</f>
        <v>0</v>
      </c>
      <c r="AU459" s="133" t="n">
        <f aca="false">IF(OR(OR($B459="",$E459="",$F459=""),$K459&lt;&gt;"نعم",$M459="نعم"),0,MAX(0,MIN($F459,EOMONTH(DATE(cfg_FY,2,1),0))-MAX($E459,DATE(cfg_FY,2,1))+1))</f>
        <v>0</v>
      </c>
      <c r="AV459" s="133" t="n">
        <f aca="false">IF(OR(OR($B459="",$E459="",$F459=""),$K459&lt;&gt;"نعم",$M459="نعم"),0,MAX(0,MIN($F459,EOMONTH(DATE(cfg_FY,3,1),0))-MAX($E459,DATE(cfg_FY,3,1))+1))</f>
        <v>0</v>
      </c>
      <c r="AW459" s="133" t="n">
        <f aca="false">IF(OR(OR($B459="",$E459="",$F459=""),$K459&lt;&gt;"نعم",$M459="نعم"),0,MAX(0,MIN($F459,EOMONTH(DATE(cfg_FY,4,1),0))-MAX($E459,DATE(cfg_FY,4,1))+1))</f>
        <v>0</v>
      </c>
      <c r="AX459" s="133" t="n">
        <f aca="false">IF(OR(OR($B459="",$E459="",$F459=""),$K459&lt;&gt;"نعم",$M459="نعم"),0,MAX(0,MIN($F459,EOMONTH(DATE(cfg_FY,5,1),0))-MAX($E459,DATE(cfg_FY,5,1))+1))</f>
        <v>0</v>
      </c>
      <c r="AY459" s="133" t="n">
        <f aca="false">IF(OR(OR($B459="",$E459="",$F459=""),$K459&lt;&gt;"نعم",$M459="نعم"),0,MAX(0,MIN($F459,EOMONTH(DATE(cfg_FY,6,1),0))-MAX($E459,DATE(cfg_FY,6,1))+1))</f>
        <v>0</v>
      </c>
      <c r="AZ459" s="133" t="n">
        <f aca="false">IF(OR(OR($B459="",$E459="",$F459=""),$K459&lt;&gt;"نعم",$M459="نعم"),0,MAX(0,MIN($F459,EOMONTH(DATE(cfg_FY,7,1),0))-MAX($E459,DATE(cfg_FY,7,1))+1))</f>
        <v>0</v>
      </c>
      <c r="BA459" s="133" t="n">
        <f aca="false">IF(OR(OR($B459="",$E459="",$F459=""),$K459&lt;&gt;"نعم",$M459="نعم"),0,MAX(0,MIN($F459,EOMONTH(DATE(cfg_FY,8,1),0))-MAX($E459,DATE(cfg_FY,8,1))+1))</f>
        <v>0</v>
      </c>
      <c r="BB459" s="133" t="n">
        <f aca="false">IF(OR(OR($B459="",$E459="",$F459=""),$K459&lt;&gt;"نعم",$M459="نعم"),0,MAX(0,MIN($F459,EOMONTH(DATE(cfg_FY,9,1),0))-MAX($E459,DATE(cfg_FY,9,1))+1))</f>
        <v>0</v>
      </c>
      <c r="BC459" s="133" t="n">
        <f aca="false">IF(OR(OR($B459="",$E459="",$F459=""),$K459&lt;&gt;"نعم",$M459="نعم"),0,MAX(0,MIN($F459,EOMONTH(DATE(cfg_FY,10,1),0))-MAX($E459,DATE(cfg_FY,10,1))+1))</f>
        <v>0</v>
      </c>
      <c r="BD459" s="133" t="n">
        <f aca="false">IF(OR(OR($B459="",$E459="",$F459=""),$K459&lt;&gt;"نعم",$M459="نعم"),0,MAX(0,MIN($F459,EOMONTH(DATE(cfg_FY,11,1),0))-MAX($E459,DATE(cfg_FY,11,1))+1))</f>
        <v>0</v>
      </c>
      <c r="BE459" s="133" t="n">
        <f aca="false">IF(OR(OR($B459="",$E459="",$F459=""),$K459&lt;&gt;"نعم",$M459="نعم"),0,MAX(0,MIN($F459,EOMONTH(DATE(cfg_FY,12,1),0))-MAX($E459,DATE(cfg_FY,12,1))+1))</f>
        <v>0</v>
      </c>
    </row>
    <row r="460" customFormat="false" ht="15" hidden="false" customHeight="false" outlineLevel="0" collapsed="false">
      <c r="A460" s="106" t="str">
        <f aca="false">IF(B460="","",ROW()-5)</f>
        <v/>
      </c>
      <c r="B460" s="118"/>
      <c r="C460" s="114" t="str">
        <f aca="false">IF(B460="","",IFERROR(INDEX(الموظفون!$C$6:$C$105,MATCH(B460,الموظفون!$B$6:$B$105,0)),"✖ رقم غير موجود"))</f>
        <v/>
      </c>
      <c r="D460" s="118"/>
      <c r="E460" s="119"/>
      <c r="F460" s="119"/>
      <c r="G460" s="65" t="str">
        <f aca="false">IF(OR($B460="",$E460="",$F460=""),"",MAX(0,F460-E460+1))</f>
        <v/>
      </c>
      <c r="H460" s="66" t="str">
        <f aca="false">IF(D460="","",IFERROR(VLOOKUP(D460,cfg_LT,2,FALSE()),1))</f>
        <v/>
      </c>
      <c r="I460" s="135"/>
      <c r="J460" s="66" t="str">
        <f aca="false">IF(D460="","",IF(I460&lt;&gt;"",I460,H460))</f>
        <v/>
      </c>
      <c r="K460" s="114" t="str">
        <f aca="false">IF(D460="","",IFERROR(VLOOKUP($D460,cfg_LT,3,FALSE()),""))</f>
        <v/>
      </c>
      <c r="L460" s="114" t="str">
        <f aca="false">IF(D460="","",IFERROR(VLOOKUP($D460,cfg_LT,4,FALSE()),""))</f>
        <v/>
      </c>
      <c r="M460" s="114" t="str">
        <f aca="false">IF(D460="","",IFERROR(VLOOKUP($D460,cfg_LT,5,FALSE()),""))</f>
        <v/>
      </c>
      <c r="N460" s="111" t="n">
        <f aca="false">IF(OR(OR($B460="",$E460="",$F460=""),M460&lt;&gt;"نعم"),0,G460*J460*IFERROR(INDEX(الموظفون!$R$6:$R$105,MATCH(B460,الموظفون!$B$6:$B$105,0)),0)/cfg_DAYS_M)</f>
        <v>0</v>
      </c>
      <c r="O460" s="106" t="str">
        <f aca="false">IF(OR(OR($B460="",$E460="",$F460=""),M460&lt;&gt;"نعم"),"",IF(YEAR(E460)=cfg_FY,MONTH(E460),""))</f>
        <v/>
      </c>
      <c r="P460" s="114" t="str">
        <f aca="false">IF(B460="","",IF(OR(D460="",E460="",F460=""),"⚠ أكمل النوع والتواريخ",IF(F460&lt;E460,"✖ النهاية قبل البداية",IF(COUNTIFS($B$6:$B$505,B460,$E$6:$E$505,"&lt;="&amp;F460,$F$6:$F$505,"&gt;="&amp;E460)&gt;1,"⚠ تداخل مع سجل آخر",IF(E460&gt;cfg_VAL_DATE,"⏳ قادمة",IF(F460&lt;cfg_VAL_DATE,"✔ منتهية","✈ جارية في تاريخ التقرير"))))))</f>
        <v/>
      </c>
      <c r="Q460" s="118"/>
      <c r="R460" s="65" t="n">
        <f aca="false">IF(OR(OR($B460="",$E460="",$F460=""),L460&lt;&gt;"لا"),0,MAX(0,MIN(F460,cfg_Y_START-1)-E460+1))</f>
        <v>0</v>
      </c>
      <c r="S460" s="65" t="n">
        <f aca="false">IF(OR(OR($B460="",$E460="",$F460=""),L460&lt;&gt;"لا"),0,MAX(0,MIN(F460,cfg_VAL_DATE)-E460+1))</f>
        <v>0</v>
      </c>
      <c r="T460" s="65" t="n">
        <f aca="false">IF(OR(OR($B460="",$E460="",$F460=""),K460&lt;&gt;"نعم"),0,IF(M460="نعم",IF(AND(ISNUMBER(O460),N(O460)&lt;=cfg_VAL_M),G460,0),MAX(0,MIN(F460,cfg_VAL_DATE)-MAX(E460,cfg_Y_START)+1)))</f>
        <v>0</v>
      </c>
      <c r="V460" s="65" t="n">
        <f aca="false">IF(OR($B460="",$E460="",$F460=""),0,MAX(0,MIN($F460,EOMONTH(DATE(cfg_FY,1,1),0))-MAX($E460,DATE(cfg_FY,1,1))+1)*(1-IF($M460="نعم",0,N($J460))))</f>
        <v>0</v>
      </c>
      <c r="W460" s="65" t="n">
        <f aca="false">IF(OR($B460="",$E460="",$F460=""),0,MAX(0,MIN($F460,EOMONTH(DATE(cfg_FY,2,1),0))-MAX($E460,DATE(cfg_FY,2,1))+1)*(1-IF($M460="نعم",0,N($J460))))</f>
        <v>0</v>
      </c>
      <c r="X460" s="65" t="n">
        <f aca="false">IF(OR($B460="",$E460="",$F460=""),0,MAX(0,MIN($F460,EOMONTH(DATE(cfg_FY,3,1),0))-MAX($E460,DATE(cfg_FY,3,1))+1)*(1-IF($M460="نعم",0,N($J460))))</f>
        <v>0</v>
      </c>
      <c r="Y460" s="65" t="n">
        <f aca="false">IF(OR($B460="",$E460="",$F460=""),0,MAX(0,MIN($F460,EOMONTH(DATE(cfg_FY,4,1),0))-MAX($E460,DATE(cfg_FY,4,1))+1)*(1-IF($M460="نعم",0,N($J460))))</f>
        <v>0</v>
      </c>
      <c r="Z460" s="65" t="n">
        <f aca="false">IF(OR($B460="",$E460="",$F460=""),0,MAX(0,MIN($F460,EOMONTH(DATE(cfg_FY,5,1),0))-MAX($E460,DATE(cfg_FY,5,1))+1)*(1-IF($M460="نعم",0,N($J460))))</f>
        <v>0</v>
      </c>
      <c r="AA460" s="65" t="n">
        <f aca="false">IF(OR($B460="",$E460="",$F460=""),0,MAX(0,MIN($F460,EOMONTH(DATE(cfg_FY,6,1),0))-MAX($E460,DATE(cfg_FY,6,1))+1)*(1-IF($M460="نعم",0,N($J460))))</f>
        <v>0</v>
      </c>
      <c r="AB460" s="65" t="n">
        <f aca="false">IF(OR($B460="",$E460="",$F460=""),0,MAX(0,MIN($F460,EOMONTH(DATE(cfg_FY,7,1),0))-MAX($E460,DATE(cfg_FY,7,1))+1)*(1-IF($M460="نعم",0,N($J460))))</f>
        <v>0</v>
      </c>
      <c r="AC460" s="65" t="n">
        <f aca="false">IF(OR($B460="",$E460="",$F460=""),0,MAX(0,MIN($F460,EOMONTH(DATE(cfg_FY,8,1),0))-MAX($E460,DATE(cfg_FY,8,1))+1)*(1-IF($M460="نعم",0,N($J460))))</f>
        <v>0</v>
      </c>
      <c r="AD460" s="65" t="n">
        <f aca="false">IF(OR($B460="",$E460="",$F460=""),0,MAX(0,MIN($F460,EOMONTH(DATE(cfg_FY,9,1),0))-MAX($E460,DATE(cfg_FY,9,1))+1)*(1-IF($M460="نعم",0,N($J460))))</f>
        <v>0</v>
      </c>
      <c r="AE460" s="65" t="n">
        <f aca="false">IF(OR($B460="",$E460="",$F460=""),0,MAX(0,MIN($F460,EOMONTH(DATE(cfg_FY,10,1),0))-MAX($E460,DATE(cfg_FY,10,1))+1)*(1-IF($M460="نعم",0,N($J460))))</f>
        <v>0</v>
      </c>
      <c r="AF460" s="65" t="n">
        <f aca="false">IF(OR($B460="",$E460="",$F460=""),0,MAX(0,MIN($F460,EOMONTH(DATE(cfg_FY,11,1),0))-MAX($E460,DATE(cfg_FY,11,1))+1)*(1-IF($M460="نعم",0,N($J460))))</f>
        <v>0</v>
      </c>
      <c r="AG460" s="65" t="n">
        <f aca="false">IF(OR($B460="",$E460="",$F460=""),0,MAX(0,MIN($F460,EOMONTH(DATE(cfg_FY,12,1),0))-MAX($E460,DATE(cfg_FY,12,1))+1)*(1-IF($M460="نعم",0,N($J460))))</f>
        <v>0</v>
      </c>
      <c r="AH460" s="65" t="n">
        <f aca="false">IF(OR(OR($B460="",$E460="",$F460=""),$L460&lt;&gt;"لا"),0,MAX(0,MIN($F460,EOMONTH(DATE(cfg_FY,1,1),0))-$E460+1))</f>
        <v>0</v>
      </c>
      <c r="AI460" s="65" t="n">
        <f aca="false">IF(OR(OR($B460="",$E460="",$F460=""),$L460&lt;&gt;"لا"),0,MAX(0,MIN($F460,EOMONTH(DATE(cfg_FY,2,1),0))-$E460+1))</f>
        <v>0</v>
      </c>
      <c r="AJ460" s="65" t="n">
        <f aca="false">IF(OR(OR($B460="",$E460="",$F460=""),$L460&lt;&gt;"لا"),0,MAX(0,MIN($F460,EOMONTH(DATE(cfg_FY,3,1),0))-$E460+1))</f>
        <v>0</v>
      </c>
      <c r="AK460" s="65" t="n">
        <f aca="false">IF(OR(OR($B460="",$E460="",$F460=""),$L460&lt;&gt;"لا"),0,MAX(0,MIN($F460,EOMONTH(DATE(cfg_FY,4,1),0))-$E460+1))</f>
        <v>0</v>
      </c>
      <c r="AL460" s="65" t="n">
        <f aca="false">IF(OR(OR($B460="",$E460="",$F460=""),$L460&lt;&gt;"لا"),0,MAX(0,MIN($F460,EOMONTH(DATE(cfg_FY,5,1),0))-$E460+1))</f>
        <v>0</v>
      </c>
      <c r="AM460" s="65" t="n">
        <f aca="false">IF(OR(OR($B460="",$E460="",$F460=""),$L460&lt;&gt;"لا"),0,MAX(0,MIN($F460,EOMONTH(DATE(cfg_FY,6,1),0))-$E460+1))</f>
        <v>0</v>
      </c>
      <c r="AN460" s="65" t="n">
        <f aca="false">IF(OR(OR($B460="",$E460="",$F460=""),$L460&lt;&gt;"لا"),0,MAX(0,MIN($F460,EOMONTH(DATE(cfg_FY,7,1),0))-$E460+1))</f>
        <v>0</v>
      </c>
      <c r="AO460" s="65" t="n">
        <f aca="false">IF(OR(OR($B460="",$E460="",$F460=""),$L460&lt;&gt;"لا"),0,MAX(0,MIN($F460,EOMONTH(DATE(cfg_FY,8,1),0))-$E460+1))</f>
        <v>0</v>
      </c>
      <c r="AP460" s="65" t="n">
        <f aca="false">IF(OR(OR($B460="",$E460="",$F460=""),$L460&lt;&gt;"لا"),0,MAX(0,MIN($F460,EOMONTH(DATE(cfg_FY,9,1),0))-$E460+1))</f>
        <v>0</v>
      </c>
      <c r="AQ460" s="65" t="n">
        <f aca="false">IF(OR(OR($B460="",$E460="",$F460=""),$L460&lt;&gt;"لا"),0,MAX(0,MIN($F460,EOMONTH(DATE(cfg_FY,10,1),0))-$E460+1))</f>
        <v>0</v>
      </c>
      <c r="AR460" s="65" t="n">
        <f aca="false">IF(OR(OR($B460="",$E460="",$F460=""),$L460&lt;&gt;"لا"),0,MAX(0,MIN($F460,EOMONTH(DATE(cfg_FY,11,1),0))-$E460+1))</f>
        <v>0</v>
      </c>
      <c r="AS460" s="65" t="n">
        <f aca="false">IF(OR(OR($B460="",$E460="",$F460=""),$L460&lt;&gt;"لا"),0,MAX(0,MIN($F460,EOMONTH(DATE(cfg_FY,12,1),0))-$E460+1))</f>
        <v>0</v>
      </c>
      <c r="AT460" s="65" t="n">
        <f aca="false">IF(OR(OR($B460="",$E460="",$F460=""),$K460&lt;&gt;"نعم",$M460="نعم"),0,MAX(0,MIN($F460,EOMONTH(DATE(cfg_FY,1,1),0))-MAX($E460,DATE(cfg_FY,1,1))+1))</f>
        <v>0</v>
      </c>
      <c r="AU460" s="65" t="n">
        <f aca="false">IF(OR(OR($B460="",$E460="",$F460=""),$K460&lt;&gt;"نعم",$M460="نعم"),0,MAX(0,MIN($F460,EOMONTH(DATE(cfg_FY,2,1),0))-MAX($E460,DATE(cfg_FY,2,1))+1))</f>
        <v>0</v>
      </c>
      <c r="AV460" s="65" t="n">
        <f aca="false">IF(OR(OR($B460="",$E460="",$F460=""),$K460&lt;&gt;"نعم",$M460="نعم"),0,MAX(0,MIN($F460,EOMONTH(DATE(cfg_FY,3,1),0))-MAX($E460,DATE(cfg_FY,3,1))+1))</f>
        <v>0</v>
      </c>
      <c r="AW460" s="65" t="n">
        <f aca="false">IF(OR(OR($B460="",$E460="",$F460=""),$K460&lt;&gt;"نعم",$M460="نعم"),0,MAX(0,MIN($F460,EOMONTH(DATE(cfg_FY,4,1),0))-MAX($E460,DATE(cfg_FY,4,1))+1))</f>
        <v>0</v>
      </c>
      <c r="AX460" s="65" t="n">
        <f aca="false">IF(OR(OR($B460="",$E460="",$F460=""),$K460&lt;&gt;"نعم",$M460="نعم"),0,MAX(0,MIN($F460,EOMONTH(DATE(cfg_FY,5,1),0))-MAX($E460,DATE(cfg_FY,5,1))+1))</f>
        <v>0</v>
      </c>
      <c r="AY460" s="65" t="n">
        <f aca="false">IF(OR(OR($B460="",$E460="",$F460=""),$K460&lt;&gt;"نعم",$M460="نعم"),0,MAX(0,MIN($F460,EOMONTH(DATE(cfg_FY,6,1),0))-MAX($E460,DATE(cfg_FY,6,1))+1))</f>
        <v>0</v>
      </c>
      <c r="AZ460" s="65" t="n">
        <f aca="false">IF(OR(OR($B460="",$E460="",$F460=""),$K460&lt;&gt;"نعم",$M460="نعم"),0,MAX(0,MIN($F460,EOMONTH(DATE(cfg_FY,7,1),0))-MAX($E460,DATE(cfg_FY,7,1))+1))</f>
        <v>0</v>
      </c>
      <c r="BA460" s="65" t="n">
        <f aca="false">IF(OR(OR($B460="",$E460="",$F460=""),$K460&lt;&gt;"نعم",$M460="نعم"),0,MAX(0,MIN($F460,EOMONTH(DATE(cfg_FY,8,1),0))-MAX($E460,DATE(cfg_FY,8,1))+1))</f>
        <v>0</v>
      </c>
      <c r="BB460" s="65" t="n">
        <f aca="false">IF(OR(OR($B460="",$E460="",$F460=""),$K460&lt;&gt;"نعم",$M460="نعم"),0,MAX(0,MIN($F460,EOMONTH(DATE(cfg_FY,9,1),0))-MAX($E460,DATE(cfg_FY,9,1))+1))</f>
        <v>0</v>
      </c>
      <c r="BC460" s="65" t="n">
        <f aca="false">IF(OR(OR($B460="",$E460="",$F460=""),$K460&lt;&gt;"نعم",$M460="نعم"),0,MAX(0,MIN($F460,EOMONTH(DATE(cfg_FY,10,1),0))-MAX($E460,DATE(cfg_FY,10,1))+1))</f>
        <v>0</v>
      </c>
      <c r="BD460" s="65" t="n">
        <f aca="false">IF(OR(OR($B460="",$E460="",$F460=""),$K460&lt;&gt;"نعم",$M460="نعم"),0,MAX(0,MIN($F460,EOMONTH(DATE(cfg_FY,11,1),0))-MAX($E460,DATE(cfg_FY,11,1))+1))</f>
        <v>0</v>
      </c>
      <c r="BE460" s="65" t="n">
        <f aca="false">IF(OR(OR($B460="",$E460="",$F460=""),$K460&lt;&gt;"نعم",$M460="نعم"),0,MAX(0,MIN($F460,EOMONTH(DATE(cfg_FY,12,1),0))-MAX($E460,DATE(cfg_FY,12,1))+1))</f>
        <v>0</v>
      </c>
    </row>
    <row r="461" customFormat="false" ht="15" hidden="false" customHeight="false" outlineLevel="0" collapsed="false">
      <c r="A461" s="115" t="str">
        <f aca="false">IF(B461="","",ROW()-5)</f>
        <v/>
      </c>
      <c r="B461" s="118"/>
      <c r="C461" s="117" t="str">
        <f aca="false">IF(B461="","",IFERROR(INDEX(الموظفون!$C$6:$C$105,MATCH(B461,الموظفون!$B$6:$B$105,0)),"✖ رقم غير موجود"))</f>
        <v/>
      </c>
      <c r="D461" s="118"/>
      <c r="E461" s="119"/>
      <c r="F461" s="119"/>
      <c r="G461" s="133" t="str">
        <f aca="false">IF(OR($B461="",$E461="",$F461=""),"",MAX(0,F461-E461+1))</f>
        <v/>
      </c>
      <c r="H461" s="134" t="str">
        <f aca="false">IF(D461="","",IFERROR(VLOOKUP(D461,cfg_LT,2,FALSE()),1))</f>
        <v/>
      </c>
      <c r="I461" s="135"/>
      <c r="J461" s="134" t="str">
        <f aca="false">IF(D461="","",IF(I461&lt;&gt;"",I461,H461))</f>
        <v/>
      </c>
      <c r="K461" s="117" t="str">
        <f aca="false">IF(D461="","",IFERROR(VLOOKUP($D461,cfg_LT,3,FALSE()),""))</f>
        <v/>
      </c>
      <c r="L461" s="117" t="str">
        <f aca="false">IF(D461="","",IFERROR(VLOOKUP($D461,cfg_LT,4,FALSE()),""))</f>
        <v/>
      </c>
      <c r="M461" s="117" t="str">
        <f aca="false">IF(D461="","",IFERROR(VLOOKUP($D461,cfg_LT,5,FALSE()),""))</f>
        <v/>
      </c>
      <c r="N461" s="116" t="n">
        <f aca="false">IF(OR(OR($B461="",$E461="",$F461=""),M461&lt;&gt;"نعم"),0,G461*J461*IFERROR(INDEX(الموظفون!$R$6:$R$105,MATCH(B461,الموظفون!$B$6:$B$105,0)),0)/cfg_DAYS_M)</f>
        <v>0</v>
      </c>
      <c r="O461" s="115" t="str">
        <f aca="false">IF(OR(OR($B461="",$E461="",$F461=""),M461&lt;&gt;"نعم"),"",IF(YEAR(E461)=cfg_FY,MONTH(E461),""))</f>
        <v/>
      </c>
      <c r="P461" s="117" t="str">
        <f aca="false">IF(B461="","",IF(OR(D461="",E461="",F461=""),"⚠ أكمل النوع والتواريخ",IF(F461&lt;E461,"✖ النهاية قبل البداية",IF(COUNTIFS($B$6:$B$505,B461,$E$6:$E$505,"&lt;="&amp;F461,$F$6:$F$505,"&gt;="&amp;E461)&gt;1,"⚠ تداخل مع سجل آخر",IF(E461&gt;cfg_VAL_DATE,"⏳ قادمة",IF(F461&lt;cfg_VAL_DATE,"✔ منتهية","✈ جارية في تاريخ التقرير"))))))</f>
        <v/>
      </c>
      <c r="Q461" s="118"/>
      <c r="R461" s="133" t="n">
        <f aca="false">IF(OR(OR($B461="",$E461="",$F461=""),L461&lt;&gt;"لا"),0,MAX(0,MIN(F461,cfg_Y_START-1)-E461+1))</f>
        <v>0</v>
      </c>
      <c r="S461" s="133" t="n">
        <f aca="false">IF(OR(OR($B461="",$E461="",$F461=""),L461&lt;&gt;"لا"),0,MAX(0,MIN(F461,cfg_VAL_DATE)-E461+1))</f>
        <v>0</v>
      </c>
      <c r="T461" s="133" t="n">
        <f aca="false">IF(OR(OR($B461="",$E461="",$F461=""),K461&lt;&gt;"نعم"),0,IF(M461="نعم",IF(AND(ISNUMBER(O461),N(O461)&lt;=cfg_VAL_M),G461,0),MAX(0,MIN(F461,cfg_VAL_DATE)-MAX(E461,cfg_Y_START)+1)))</f>
        <v>0</v>
      </c>
      <c r="V461" s="133" t="n">
        <f aca="false">IF(OR($B461="",$E461="",$F461=""),0,MAX(0,MIN($F461,EOMONTH(DATE(cfg_FY,1,1),0))-MAX($E461,DATE(cfg_FY,1,1))+1)*(1-IF($M461="نعم",0,N($J461))))</f>
        <v>0</v>
      </c>
      <c r="W461" s="133" t="n">
        <f aca="false">IF(OR($B461="",$E461="",$F461=""),0,MAX(0,MIN($F461,EOMONTH(DATE(cfg_FY,2,1),0))-MAX($E461,DATE(cfg_FY,2,1))+1)*(1-IF($M461="نعم",0,N($J461))))</f>
        <v>0</v>
      </c>
      <c r="X461" s="133" t="n">
        <f aca="false">IF(OR($B461="",$E461="",$F461=""),0,MAX(0,MIN($F461,EOMONTH(DATE(cfg_FY,3,1),0))-MAX($E461,DATE(cfg_FY,3,1))+1)*(1-IF($M461="نعم",0,N($J461))))</f>
        <v>0</v>
      </c>
      <c r="Y461" s="133" t="n">
        <f aca="false">IF(OR($B461="",$E461="",$F461=""),0,MAX(0,MIN($F461,EOMONTH(DATE(cfg_FY,4,1),0))-MAX($E461,DATE(cfg_FY,4,1))+1)*(1-IF($M461="نعم",0,N($J461))))</f>
        <v>0</v>
      </c>
      <c r="Z461" s="133" t="n">
        <f aca="false">IF(OR($B461="",$E461="",$F461=""),0,MAX(0,MIN($F461,EOMONTH(DATE(cfg_FY,5,1),0))-MAX($E461,DATE(cfg_FY,5,1))+1)*(1-IF($M461="نعم",0,N($J461))))</f>
        <v>0</v>
      </c>
      <c r="AA461" s="133" t="n">
        <f aca="false">IF(OR($B461="",$E461="",$F461=""),0,MAX(0,MIN($F461,EOMONTH(DATE(cfg_FY,6,1),0))-MAX($E461,DATE(cfg_FY,6,1))+1)*(1-IF($M461="نعم",0,N($J461))))</f>
        <v>0</v>
      </c>
      <c r="AB461" s="133" t="n">
        <f aca="false">IF(OR($B461="",$E461="",$F461=""),0,MAX(0,MIN($F461,EOMONTH(DATE(cfg_FY,7,1),0))-MAX($E461,DATE(cfg_FY,7,1))+1)*(1-IF($M461="نعم",0,N($J461))))</f>
        <v>0</v>
      </c>
      <c r="AC461" s="133" t="n">
        <f aca="false">IF(OR($B461="",$E461="",$F461=""),0,MAX(0,MIN($F461,EOMONTH(DATE(cfg_FY,8,1),0))-MAX($E461,DATE(cfg_FY,8,1))+1)*(1-IF($M461="نعم",0,N($J461))))</f>
        <v>0</v>
      </c>
      <c r="AD461" s="133" t="n">
        <f aca="false">IF(OR($B461="",$E461="",$F461=""),0,MAX(0,MIN($F461,EOMONTH(DATE(cfg_FY,9,1),0))-MAX($E461,DATE(cfg_FY,9,1))+1)*(1-IF($M461="نعم",0,N($J461))))</f>
        <v>0</v>
      </c>
      <c r="AE461" s="133" t="n">
        <f aca="false">IF(OR($B461="",$E461="",$F461=""),0,MAX(0,MIN($F461,EOMONTH(DATE(cfg_FY,10,1),0))-MAX($E461,DATE(cfg_FY,10,1))+1)*(1-IF($M461="نعم",0,N($J461))))</f>
        <v>0</v>
      </c>
      <c r="AF461" s="133" t="n">
        <f aca="false">IF(OR($B461="",$E461="",$F461=""),0,MAX(0,MIN($F461,EOMONTH(DATE(cfg_FY,11,1),0))-MAX($E461,DATE(cfg_FY,11,1))+1)*(1-IF($M461="نعم",0,N($J461))))</f>
        <v>0</v>
      </c>
      <c r="AG461" s="133" t="n">
        <f aca="false">IF(OR($B461="",$E461="",$F461=""),0,MAX(0,MIN($F461,EOMONTH(DATE(cfg_FY,12,1),0))-MAX($E461,DATE(cfg_FY,12,1))+1)*(1-IF($M461="نعم",0,N($J461))))</f>
        <v>0</v>
      </c>
      <c r="AH461" s="133" t="n">
        <f aca="false">IF(OR(OR($B461="",$E461="",$F461=""),$L461&lt;&gt;"لا"),0,MAX(0,MIN($F461,EOMONTH(DATE(cfg_FY,1,1),0))-$E461+1))</f>
        <v>0</v>
      </c>
      <c r="AI461" s="133" t="n">
        <f aca="false">IF(OR(OR($B461="",$E461="",$F461=""),$L461&lt;&gt;"لا"),0,MAX(0,MIN($F461,EOMONTH(DATE(cfg_FY,2,1),0))-$E461+1))</f>
        <v>0</v>
      </c>
      <c r="AJ461" s="133" t="n">
        <f aca="false">IF(OR(OR($B461="",$E461="",$F461=""),$L461&lt;&gt;"لا"),0,MAX(0,MIN($F461,EOMONTH(DATE(cfg_FY,3,1),0))-$E461+1))</f>
        <v>0</v>
      </c>
      <c r="AK461" s="133" t="n">
        <f aca="false">IF(OR(OR($B461="",$E461="",$F461=""),$L461&lt;&gt;"لا"),0,MAX(0,MIN($F461,EOMONTH(DATE(cfg_FY,4,1),0))-$E461+1))</f>
        <v>0</v>
      </c>
      <c r="AL461" s="133" t="n">
        <f aca="false">IF(OR(OR($B461="",$E461="",$F461=""),$L461&lt;&gt;"لا"),0,MAX(0,MIN($F461,EOMONTH(DATE(cfg_FY,5,1),0))-$E461+1))</f>
        <v>0</v>
      </c>
      <c r="AM461" s="133" t="n">
        <f aca="false">IF(OR(OR($B461="",$E461="",$F461=""),$L461&lt;&gt;"لا"),0,MAX(0,MIN($F461,EOMONTH(DATE(cfg_FY,6,1),0))-$E461+1))</f>
        <v>0</v>
      </c>
      <c r="AN461" s="133" t="n">
        <f aca="false">IF(OR(OR($B461="",$E461="",$F461=""),$L461&lt;&gt;"لا"),0,MAX(0,MIN($F461,EOMONTH(DATE(cfg_FY,7,1),0))-$E461+1))</f>
        <v>0</v>
      </c>
      <c r="AO461" s="133" t="n">
        <f aca="false">IF(OR(OR($B461="",$E461="",$F461=""),$L461&lt;&gt;"لا"),0,MAX(0,MIN($F461,EOMONTH(DATE(cfg_FY,8,1),0))-$E461+1))</f>
        <v>0</v>
      </c>
      <c r="AP461" s="133" t="n">
        <f aca="false">IF(OR(OR($B461="",$E461="",$F461=""),$L461&lt;&gt;"لا"),0,MAX(0,MIN($F461,EOMONTH(DATE(cfg_FY,9,1),0))-$E461+1))</f>
        <v>0</v>
      </c>
      <c r="AQ461" s="133" t="n">
        <f aca="false">IF(OR(OR($B461="",$E461="",$F461=""),$L461&lt;&gt;"لا"),0,MAX(0,MIN($F461,EOMONTH(DATE(cfg_FY,10,1),0))-$E461+1))</f>
        <v>0</v>
      </c>
      <c r="AR461" s="133" t="n">
        <f aca="false">IF(OR(OR($B461="",$E461="",$F461=""),$L461&lt;&gt;"لا"),0,MAX(0,MIN($F461,EOMONTH(DATE(cfg_FY,11,1),0))-$E461+1))</f>
        <v>0</v>
      </c>
      <c r="AS461" s="133" t="n">
        <f aca="false">IF(OR(OR($B461="",$E461="",$F461=""),$L461&lt;&gt;"لا"),0,MAX(0,MIN($F461,EOMONTH(DATE(cfg_FY,12,1),0))-$E461+1))</f>
        <v>0</v>
      </c>
      <c r="AT461" s="133" t="n">
        <f aca="false">IF(OR(OR($B461="",$E461="",$F461=""),$K461&lt;&gt;"نعم",$M461="نعم"),0,MAX(0,MIN($F461,EOMONTH(DATE(cfg_FY,1,1),0))-MAX($E461,DATE(cfg_FY,1,1))+1))</f>
        <v>0</v>
      </c>
      <c r="AU461" s="133" t="n">
        <f aca="false">IF(OR(OR($B461="",$E461="",$F461=""),$K461&lt;&gt;"نعم",$M461="نعم"),0,MAX(0,MIN($F461,EOMONTH(DATE(cfg_FY,2,1),0))-MAX($E461,DATE(cfg_FY,2,1))+1))</f>
        <v>0</v>
      </c>
      <c r="AV461" s="133" t="n">
        <f aca="false">IF(OR(OR($B461="",$E461="",$F461=""),$K461&lt;&gt;"نعم",$M461="نعم"),0,MAX(0,MIN($F461,EOMONTH(DATE(cfg_FY,3,1),0))-MAX($E461,DATE(cfg_FY,3,1))+1))</f>
        <v>0</v>
      </c>
      <c r="AW461" s="133" t="n">
        <f aca="false">IF(OR(OR($B461="",$E461="",$F461=""),$K461&lt;&gt;"نعم",$M461="نعم"),0,MAX(0,MIN($F461,EOMONTH(DATE(cfg_FY,4,1),0))-MAX($E461,DATE(cfg_FY,4,1))+1))</f>
        <v>0</v>
      </c>
      <c r="AX461" s="133" t="n">
        <f aca="false">IF(OR(OR($B461="",$E461="",$F461=""),$K461&lt;&gt;"نعم",$M461="نعم"),0,MAX(0,MIN($F461,EOMONTH(DATE(cfg_FY,5,1),0))-MAX($E461,DATE(cfg_FY,5,1))+1))</f>
        <v>0</v>
      </c>
      <c r="AY461" s="133" t="n">
        <f aca="false">IF(OR(OR($B461="",$E461="",$F461=""),$K461&lt;&gt;"نعم",$M461="نعم"),0,MAX(0,MIN($F461,EOMONTH(DATE(cfg_FY,6,1),0))-MAX($E461,DATE(cfg_FY,6,1))+1))</f>
        <v>0</v>
      </c>
      <c r="AZ461" s="133" t="n">
        <f aca="false">IF(OR(OR($B461="",$E461="",$F461=""),$K461&lt;&gt;"نعم",$M461="نعم"),0,MAX(0,MIN($F461,EOMONTH(DATE(cfg_FY,7,1),0))-MAX($E461,DATE(cfg_FY,7,1))+1))</f>
        <v>0</v>
      </c>
      <c r="BA461" s="133" t="n">
        <f aca="false">IF(OR(OR($B461="",$E461="",$F461=""),$K461&lt;&gt;"نعم",$M461="نعم"),0,MAX(0,MIN($F461,EOMONTH(DATE(cfg_FY,8,1),0))-MAX($E461,DATE(cfg_FY,8,1))+1))</f>
        <v>0</v>
      </c>
      <c r="BB461" s="133" t="n">
        <f aca="false">IF(OR(OR($B461="",$E461="",$F461=""),$K461&lt;&gt;"نعم",$M461="نعم"),0,MAX(0,MIN($F461,EOMONTH(DATE(cfg_FY,9,1),0))-MAX($E461,DATE(cfg_FY,9,1))+1))</f>
        <v>0</v>
      </c>
      <c r="BC461" s="133" t="n">
        <f aca="false">IF(OR(OR($B461="",$E461="",$F461=""),$K461&lt;&gt;"نعم",$M461="نعم"),0,MAX(0,MIN($F461,EOMONTH(DATE(cfg_FY,10,1),0))-MAX($E461,DATE(cfg_FY,10,1))+1))</f>
        <v>0</v>
      </c>
      <c r="BD461" s="133" t="n">
        <f aca="false">IF(OR(OR($B461="",$E461="",$F461=""),$K461&lt;&gt;"نعم",$M461="نعم"),0,MAX(0,MIN($F461,EOMONTH(DATE(cfg_FY,11,1),0))-MAX($E461,DATE(cfg_FY,11,1))+1))</f>
        <v>0</v>
      </c>
      <c r="BE461" s="133" t="n">
        <f aca="false">IF(OR(OR($B461="",$E461="",$F461=""),$K461&lt;&gt;"نعم",$M461="نعم"),0,MAX(0,MIN($F461,EOMONTH(DATE(cfg_FY,12,1),0))-MAX($E461,DATE(cfg_FY,12,1))+1))</f>
        <v>0</v>
      </c>
    </row>
    <row r="462" customFormat="false" ht="15" hidden="false" customHeight="false" outlineLevel="0" collapsed="false">
      <c r="A462" s="106" t="str">
        <f aca="false">IF(B462="","",ROW()-5)</f>
        <v/>
      </c>
      <c r="B462" s="118"/>
      <c r="C462" s="114" t="str">
        <f aca="false">IF(B462="","",IFERROR(INDEX(الموظفون!$C$6:$C$105,MATCH(B462,الموظفون!$B$6:$B$105,0)),"✖ رقم غير موجود"))</f>
        <v/>
      </c>
      <c r="D462" s="118"/>
      <c r="E462" s="119"/>
      <c r="F462" s="119"/>
      <c r="G462" s="65" t="str">
        <f aca="false">IF(OR($B462="",$E462="",$F462=""),"",MAX(0,F462-E462+1))</f>
        <v/>
      </c>
      <c r="H462" s="66" t="str">
        <f aca="false">IF(D462="","",IFERROR(VLOOKUP(D462,cfg_LT,2,FALSE()),1))</f>
        <v/>
      </c>
      <c r="I462" s="135"/>
      <c r="J462" s="66" t="str">
        <f aca="false">IF(D462="","",IF(I462&lt;&gt;"",I462,H462))</f>
        <v/>
      </c>
      <c r="K462" s="114" t="str">
        <f aca="false">IF(D462="","",IFERROR(VLOOKUP($D462,cfg_LT,3,FALSE()),""))</f>
        <v/>
      </c>
      <c r="L462" s="114" t="str">
        <f aca="false">IF(D462="","",IFERROR(VLOOKUP($D462,cfg_LT,4,FALSE()),""))</f>
        <v/>
      </c>
      <c r="M462" s="114" t="str">
        <f aca="false">IF(D462="","",IFERROR(VLOOKUP($D462,cfg_LT,5,FALSE()),""))</f>
        <v/>
      </c>
      <c r="N462" s="111" t="n">
        <f aca="false">IF(OR(OR($B462="",$E462="",$F462=""),M462&lt;&gt;"نعم"),0,G462*J462*IFERROR(INDEX(الموظفون!$R$6:$R$105,MATCH(B462,الموظفون!$B$6:$B$105,0)),0)/cfg_DAYS_M)</f>
        <v>0</v>
      </c>
      <c r="O462" s="106" t="str">
        <f aca="false">IF(OR(OR($B462="",$E462="",$F462=""),M462&lt;&gt;"نعم"),"",IF(YEAR(E462)=cfg_FY,MONTH(E462),""))</f>
        <v/>
      </c>
      <c r="P462" s="114" t="str">
        <f aca="false">IF(B462="","",IF(OR(D462="",E462="",F462=""),"⚠ أكمل النوع والتواريخ",IF(F462&lt;E462,"✖ النهاية قبل البداية",IF(COUNTIFS($B$6:$B$505,B462,$E$6:$E$505,"&lt;="&amp;F462,$F$6:$F$505,"&gt;="&amp;E462)&gt;1,"⚠ تداخل مع سجل آخر",IF(E462&gt;cfg_VAL_DATE,"⏳ قادمة",IF(F462&lt;cfg_VAL_DATE,"✔ منتهية","✈ جارية في تاريخ التقرير"))))))</f>
        <v/>
      </c>
      <c r="Q462" s="118"/>
      <c r="R462" s="65" t="n">
        <f aca="false">IF(OR(OR($B462="",$E462="",$F462=""),L462&lt;&gt;"لا"),0,MAX(0,MIN(F462,cfg_Y_START-1)-E462+1))</f>
        <v>0</v>
      </c>
      <c r="S462" s="65" t="n">
        <f aca="false">IF(OR(OR($B462="",$E462="",$F462=""),L462&lt;&gt;"لا"),0,MAX(0,MIN(F462,cfg_VAL_DATE)-E462+1))</f>
        <v>0</v>
      </c>
      <c r="T462" s="65" t="n">
        <f aca="false">IF(OR(OR($B462="",$E462="",$F462=""),K462&lt;&gt;"نعم"),0,IF(M462="نعم",IF(AND(ISNUMBER(O462),N(O462)&lt;=cfg_VAL_M),G462,0),MAX(0,MIN(F462,cfg_VAL_DATE)-MAX(E462,cfg_Y_START)+1)))</f>
        <v>0</v>
      </c>
      <c r="V462" s="65" t="n">
        <f aca="false">IF(OR($B462="",$E462="",$F462=""),0,MAX(0,MIN($F462,EOMONTH(DATE(cfg_FY,1,1),0))-MAX($E462,DATE(cfg_FY,1,1))+1)*(1-IF($M462="نعم",0,N($J462))))</f>
        <v>0</v>
      </c>
      <c r="W462" s="65" t="n">
        <f aca="false">IF(OR($B462="",$E462="",$F462=""),0,MAX(0,MIN($F462,EOMONTH(DATE(cfg_FY,2,1),0))-MAX($E462,DATE(cfg_FY,2,1))+1)*(1-IF($M462="نعم",0,N($J462))))</f>
        <v>0</v>
      </c>
      <c r="X462" s="65" t="n">
        <f aca="false">IF(OR($B462="",$E462="",$F462=""),0,MAX(0,MIN($F462,EOMONTH(DATE(cfg_FY,3,1),0))-MAX($E462,DATE(cfg_FY,3,1))+1)*(1-IF($M462="نعم",0,N($J462))))</f>
        <v>0</v>
      </c>
      <c r="Y462" s="65" t="n">
        <f aca="false">IF(OR($B462="",$E462="",$F462=""),0,MAX(0,MIN($F462,EOMONTH(DATE(cfg_FY,4,1),0))-MAX($E462,DATE(cfg_FY,4,1))+1)*(1-IF($M462="نعم",0,N($J462))))</f>
        <v>0</v>
      </c>
      <c r="Z462" s="65" t="n">
        <f aca="false">IF(OR($B462="",$E462="",$F462=""),0,MAX(0,MIN($F462,EOMONTH(DATE(cfg_FY,5,1),0))-MAX($E462,DATE(cfg_FY,5,1))+1)*(1-IF($M462="نعم",0,N($J462))))</f>
        <v>0</v>
      </c>
      <c r="AA462" s="65" t="n">
        <f aca="false">IF(OR($B462="",$E462="",$F462=""),0,MAX(0,MIN($F462,EOMONTH(DATE(cfg_FY,6,1),0))-MAX($E462,DATE(cfg_FY,6,1))+1)*(1-IF($M462="نعم",0,N($J462))))</f>
        <v>0</v>
      </c>
      <c r="AB462" s="65" t="n">
        <f aca="false">IF(OR($B462="",$E462="",$F462=""),0,MAX(0,MIN($F462,EOMONTH(DATE(cfg_FY,7,1),0))-MAX($E462,DATE(cfg_FY,7,1))+1)*(1-IF($M462="نعم",0,N($J462))))</f>
        <v>0</v>
      </c>
      <c r="AC462" s="65" t="n">
        <f aca="false">IF(OR($B462="",$E462="",$F462=""),0,MAX(0,MIN($F462,EOMONTH(DATE(cfg_FY,8,1),0))-MAX($E462,DATE(cfg_FY,8,1))+1)*(1-IF($M462="نعم",0,N($J462))))</f>
        <v>0</v>
      </c>
      <c r="AD462" s="65" t="n">
        <f aca="false">IF(OR($B462="",$E462="",$F462=""),0,MAX(0,MIN($F462,EOMONTH(DATE(cfg_FY,9,1),0))-MAX($E462,DATE(cfg_FY,9,1))+1)*(1-IF($M462="نعم",0,N($J462))))</f>
        <v>0</v>
      </c>
      <c r="AE462" s="65" t="n">
        <f aca="false">IF(OR($B462="",$E462="",$F462=""),0,MAX(0,MIN($F462,EOMONTH(DATE(cfg_FY,10,1),0))-MAX($E462,DATE(cfg_FY,10,1))+1)*(1-IF($M462="نعم",0,N($J462))))</f>
        <v>0</v>
      </c>
      <c r="AF462" s="65" t="n">
        <f aca="false">IF(OR($B462="",$E462="",$F462=""),0,MAX(0,MIN($F462,EOMONTH(DATE(cfg_FY,11,1),0))-MAX($E462,DATE(cfg_FY,11,1))+1)*(1-IF($M462="نعم",0,N($J462))))</f>
        <v>0</v>
      </c>
      <c r="AG462" s="65" t="n">
        <f aca="false">IF(OR($B462="",$E462="",$F462=""),0,MAX(0,MIN($F462,EOMONTH(DATE(cfg_FY,12,1),0))-MAX($E462,DATE(cfg_FY,12,1))+1)*(1-IF($M462="نعم",0,N($J462))))</f>
        <v>0</v>
      </c>
      <c r="AH462" s="65" t="n">
        <f aca="false">IF(OR(OR($B462="",$E462="",$F462=""),$L462&lt;&gt;"لا"),0,MAX(0,MIN($F462,EOMONTH(DATE(cfg_FY,1,1),0))-$E462+1))</f>
        <v>0</v>
      </c>
      <c r="AI462" s="65" t="n">
        <f aca="false">IF(OR(OR($B462="",$E462="",$F462=""),$L462&lt;&gt;"لا"),0,MAX(0,MIN($F462,EOMONTH(DATE(cfg_FY,2,1),0))-$E462+1))</f>
        <v>0</v>
      </c>
      <c r="AJ462" s="65" t="n">
        <f aca="false">IF(OR(OR($B462="",$E462="",$F462=""),$L462&lt;&gt;"لا"),0,MAX(0,MIN($F462,EOMONTH(DATE(cfg_FY,3,1),0))-$E462+1))</f>
        <v>0</v>
      </c>
      <c r="AK462" s="65" t="n">
        <f aca="false">IF(OR(OR($B462="",$E462="",$F462=""),$L462&lt;&gt;"لا"),0,MAX(0,MIN($F462,EOMONTH(DATE(cfg_FY,4,1),0))-$E462+1))</f>
        <v>0</v>
      </c>
      <c r="AL462" s="65" t="n">
        <f aca="false">IF(OR(OR($B462="",$E462="",$F462=""),$L462&lt;&gt;"لا"),0,MAX(0,MIN($F462,EOMONTH(DATE(cfg_FY,5,1),0))-$E462+1))</f>
        <v>0</v>
      </c>
      <c r="AM462" s="65" t="n">
        <f aca="false">IF(OR(OR($B462="",$E462="",$F462=""),$L462&lt;&gt;"لا"),0,MAX(0,MIN($F462,EOMONTH(DATE(cfg_FY,6,1),0))-$E462+1))</f>
        <v>0</v>
      </c>
      <c r="AN462" s="65" t="n">
        <f aca="false">IF(OR(OR($B462="",$E462="",$F462=""),$L462&lt;&gt;"لا"),0,MAX(0,MIN($F462,EOMONTH(DATE(cfg_FY,7,1),0))-$E462+1))</f>
        <v>0</v>
      </c>
      <c r="AO462" s="65" t="n">
        <f aca="false">IF(OR(OR($B462="",$E462="",$F462=""),$L462&lt;&gt;"لا"),0,MAX(0,MIN($F462,EOMONTH(DATE(cfg_FY,8,1),0))-$E462+1))</f>
        <v>0</v>
      </c>
      <c r="AP462" s="65" t="n">
        <f aca="false">IF(OR(OR($B462="",$E462="",$F462=""),$L462&lt;&gt;"لا"),0,MAX(0,MIN($F462,EOMONTH(DATE(cfg_FY,9,1),0))-$E462+1))</f>
        <v>0</v>
      </c>
      <c r="AQ462" s="65" t="n">
        <f aca="false">IF(OR(OR($B462="",$E462="",$F462=""),$L462&lt;&gt;"لا"),0,MAX(0,MIN($F462,EOMONTH(DATE(cfg_FY,10,1),0))-$E462+1))</f>
        <v>0</v>
      </c>
      <c r="AR462" s="65" t="n">
        <f aca="false">IF(OR(OR($B462="",$E462="",$F462=""),$L462&lt;&gt;"لا"),0,MAX(0,MIN($F462,EOMONTH(DATE(cfg_FY,11,1),0))-$E462+1))</f>
        <v>0</v>
      </c>
      <c r="AS462" s="65" t="n">
        <f aca="false">IF(OR(OR($B462="",$E462="",$F462=""),$L462&lt;&gt;"لا"),0,MAX(0,MIN($F462,EOMONTH(DATE(cfg_FY,12,1),0))-$E462+1))</f>
        <v>0</v>
      </c>
      <c r="AT462" s="65" t="n">
        <f aca="false">IF(OR(OR($B462="",$E462="",$F462=""),$K462&lt;&gt;"نعم",$M462="نعم"),0,MAX(0,MIN($F462,EOMONTH(DATE(cfg_FY,1,1),0))-MAX($E462,DATE(cfg_FY,1,1))+1))</f>
        <v>0</v>
      </c>
      <c r="AU462" s="65" t="n">
        <f aca="false">IF(OR(OR($B462="",$E462="",$F462=""),$K462&lt;&gt;"نعم",$M462="نعم"),0,MAX(0,MIN($F462,EOMONTH(DATE(cfg_FY,2,1),0))-MAX($E462,DATE(cfg_FY,2,1))+1))</f>
        <v>0</v>
      </c>
      <c r="AV462" s="65" t="n">
        <f aca="false">IF(OR(OR($B462="",$E462="",$F462=""),$K462&lt;&gt;"نعم",$M462="نعم"),0,MAX(0,MIN($F462,EOMONTH(DATE(cfg_FY,3,1),0))-MAX($E462,DATE(cfg_FY,3,1))+1))</f>
        <v>0</v>
      </c>
      <c r="AW462" s="65" t="n">
        <f aca="false">IF(OR(OR($B462="",$E462="",$F462=""),$K462&lt;&gt;"نعم",$M462="نعم"),0,MAX(0,MIN($F462,EOMONTH(DATE(cfg_FY,4,1),0))-MAX($E462,DATE(cfg_FY,4,1))+1))</f>
        <v>0</v>
      </c>
      <c r="AX462" s="65" t="n">
        <f aca="false">IF(OR(OR($B462="",$E462="",$F462=""),$K462&lt;&gt;"نعم",$M462="نعم"),0,MAX(0,MIN($F462,EOMONTH(DATE(cfg_FY,5,1),0))-MAX($E462,DATE(cfg_FY,5,1))+1))</f>
        <v>0</v>
      </c>
      <c r="AY462" s="65" t="n">
        <f aca="false">IF(OR(OR($B462="",$E462="",$F462=""),$K462&lt;&gt;"نعم",$M462="نعم"),0,MAX(0,MIN($F462,EOMONTH(DATE(cfg_FY,6,1),0))-MAX($E462,DATE(cfg_FY,6,1))+1))</f>
        <v>0</v>
      </c>
      <c r="AZ462" s="65" t="n">
        <f aca="false">IF(OR(OR($B462="",$E462="",$F462=""),$K462&lt;&gt;"نعم",$M462="نعم"),0,MAX(0,MIN($F462,EOMONTH(DATE(cfg_FY,7,1),0))-MAX($E462,DATE(cfg_FY,7,1))+1))</f>
        <v>0</v>
      </c>
      <c r="BA462" s="65" t="n">
        <f aca="false">IF(OR(OR($B462="",$E462="",$F462=""),$K462&lt;&gt;"نعم",$M462="نعم"),0,MAX(0,MIN($F462,EOMONTH(DATE(cfg_FY,8,1),0))-MAX($E462,DATE(cfg_FY,8,1))+1))</f>
        <v>0</v>
      </c>
      <c r="BB462" s="65" t="n">
        <f aca="false">IF(OR(OR($B462="",$E462="",$F462=""),$K462&lt;&gt;"نعم",$M462="نعم"),0,MAX(0,MIN($F462,EOMONTH(DATE(cfg_FY,9,1),0))-MAX($E462,DATE(cfg_FY,9,1))+1))</f>
        <v>0</v>
      </c>
      <c r="BC462" s="65" t="n">
        <f aca="false">IF(OR(OR($B462="",$E462="",$F462=""),$K462&lt;&gt;"نعم",$M462="نعم"),0,MAX(0,MIN($F462,EOMONTH(DATE(cfg_FY,10,1),0))-MAX($E462,DATE(cfg_FY,10,1))+1))</f>
        <v>0</v>
      </c>
      <c r="BD462" s="65" t="n">
        <f aca="false">IF(OR(OR($B462="",$E462="",$F462=""),$K462&lt;&gt;"نعم",$M462="نعم"),0,MAX(0,MIN($F462,EOMONTH(DATE(cfg_FY,11,1),0))-MAX($E462,DATE(cfg_FY,11,1))+1))</f>
        <v>0</v>
      </c>
      <c r="BE462" s="65" t="n">
        <f aca="false">IF(OR(OR($B462="",$E462="",$F462=""),$K462&lt;&gt;"نعم",$M462="نعم"),0,MAX(0,MIN($F462,EOMONTH(DATE(cfg_FY,12,1),0))-MAX($E462,DATE(cfg_FY,12,1))+1))</f>
        <v>0</v>
      </c>
    </row>
    <row r="463" customFormat="false" ht="15" hidden="false" customHeight="false" outlineLevel="0" collapsed="false">
      <c r="A463" s="115" t="str">
        <f aca="false">IF(B463="","",ROW()-5)</f>
        <v/>
      </c>
      <c r="B463" s="118"/>
      <c r="C463" s="117" t="str">
        <f aca="false">IF(B463="","",IFERROR(INDEX(الموظفون!$C$6:$C$105,MATCH(B463,الموظفون!$B$6:$B$105,0)),"✖ رقم غير موجود"))</f>
        <v/>
      </c>
      <c r="D463" s="118"/>
      <c r="E463" s="119"/>
      <c r="F463" s="119"/>
      <c r="G463" s="133" t="str">
        <f aca="false">IF(OR($B463="",$E463="",$F463=""),"",MAX(0,F463-E463+1))</f>
        <v/>
      </c>
      <c r="H463" s="134" t="str">
        <f aca="false">IF(D463="","",IFERROR(VLOOKUP(D463,cfg_LT,2,FALSE()),1))</f>
        <v/>
      </c>
      <c r="I463" s="135"/>
      <c r="J463" s="134" t="str">
        <f aca="false">IF(D463="","",IF(I463&lt;&gt;"",I463,H463))</f>
        <v/>
      </c>
      <c r="K463" s="117" t="str">
        <f aca="false">IF(D463="","",IFERROR(VLOOKUP($D463,cfg_LT,3,FALSE()),""))</f>
        <v/>
      </c>
      <c r="L463" s="117" t="str">
        <f aca="false">IF(D463="","",IFERROR(VLOOKUP($D463,cfg_LT,4,FALSE()),""))</f>
        <v/>
      </c>
      <c r="M463" s="117" t="str">
        <f aca="false">IF(D463="","",IFERROR(VLOOKUP($D463,cfg_LT,5,FALSE()),""))</f>
        <v/>
      </c>
      <c r="N463" s="116" t="n">
        <f aca="false">IF(OR(OR($B463="",$E463="",$F463=""),M463&lt;&gt;"نعم"),0,G463*J463*IFERROR(INDEX(الموظفون!$R$6:$R$105,MATCH(B463,الموظفون!$B$6:$B$105,0)),0)/cfg_DAYS_M)</f>
        <v>0</v>
      </c>
      <c r="O463" s="115" t="str">
        <f aca="false">IF(OR(OR($B463="",$E463="",$F463=""),M463&lt;&gt;"نعم"),"",IF(YEAR(E463)=cfg_FY,MONTH(E463),""))</f>
        <v/>
      </c>
      <c r="P463" s="117" t="str">
        <f aca="false">IF(B463="","",IF(OR(D463="",E463="",F463=""),"⚠ أكمل النوع والتواريخ",IF(F463&lt;E463,"✖ النهاية قبل البداية",IF(COUNTIFS($B$6:$B$505,B463,$E$6:$E$505,"&lt;="&amp;F463,$F$6:$F$505,"&gt;="&amp;E463)&gt;1,"⚠ تداخل مع سجل آخر",IF(E463&gt;cfg_VAL_DATE,"⏳ قادمة",IF(F463&lt;cfg_VAL_DATE,"✔ منتهية","✈ جارية في تاريخ التقرير"))))))</f>
        <v/>
      </c>
      <c r="Q463" s="118"/>
      <c r="R463" s="133" t="n">
        <f aca="false">IF(OR(OR($B463="",$E463="",$F463=""),L463&lt;&gt;"لا"),0,MAX(0,MIN(F463,cfg_Y_START-1)-E463+1))</f>
        <v>0</v>
      </c>
      <c r="S463" s="133" t="n">
        <f aca="false">IF(OR(OR($B463="",$E463="",$F463=""),L463&lt;&gt;"لا"),0,MAX(0,MIN(F463,cfg_VAL_DATE)-E463+1))</f>
        <v>0</v>
      </c>
      <c r="T463" s="133" t="n">
        <f aca="false">IF(OR(OR($B463="",$E463="",$F463=""),K463&lt;&gt;"نعم"),0,IF(M463="نعم",IF(AND(ISNUMBER(O463),N(O463)&lt;=cfg_VAL_M),G463,0),MAX(0,MIN(F463,cfg_VAL_DATE)-MAX(E463,cfg_Y_START)+1)))</f>
        <v>0</v>
      </c>
      <c r="V463" s="133" t="n">
        <f aca="false">IF(OR($B463="",$E463="",$F463=""),0,MAX(0,MIN($F463,EOMONTH(DATE(cfg_FY,1,1),0))-MAX($E463,DATE(cfg_FY,1,1))+1)*(1-IF($M463="نعم",0,N($J463))))</f>
        <v>0</v>
      </c>
      <c r="W463" s="133" t="n">
        <f aca="false">IF(OR($B463="",$E463="",$F463=""),0,MAX(0,MIN($F463,EOMONTH(DATE(cfg_FY,2,1),0))-MAX($E463,DATE(cfg_FY,2,1))+1)*(1-IF($M463="نعم",0,N($J463))))</f>
        <v>0</v>
      </c>
      <c r="X463" s="133" t="n">
        <f aca="false">IF(OR($B463="",$E463="",$F463=""),0,MAX(0,MIN($F463,EOMONTH(DATE(cfg_FY,3,1),0))-MAX($E463,DATE(cfg_FY,3,1))+1)*(1-IF($M463="نعم",0,N($J463))))</f>
        <v>0</v>
      </c>
      <c r="Y463" s="133" t="n">
        <f aca="false">IF(OR($B463="",$E463="",$F463=""),0,MAX(0,MIN($F463,EOMONTH(DATE(cfg_FY,4,1),0))-MAX($E463,DATE(cfg_FY,4,1))+1)*(1-IF($M463="نعم",0,N($J463))))</f>
        <v>0</v>
      </c>
      <c r="Z463" s="133" t="n">
        <f aca="false">IF(OR($B463="",$E463="",$F463=""),0,MAX(0,MIN($F463,EOMONTH(DATE(cfg_FY,5,1),0))-MAX($E463,DATE(cfg_FY,5,1))+1)*(1-IF($M463="نعم",0,N($J463))))</f>
        <v>0</v>
      </c>
      <c r="AA463" s="133" t="n">
        <f aca="false">IF(OR($B463="",$E463="",$F463=""),0,MAX(0,MIN($F463,EOMONTH(DATE(cfg_FY,6,1),0))-MAX($E463,DATE(cfg_FY,6,1))+1)*(1-IF($M463="نعم",0,N($J463))))</f>
        <v>0</v>
      </c>
      <c r="AB463" s="133" t="n">
        <f aca="false">IF(OR($B463="",$E463="",$F463=""),0,MAX(0,MIN($F463,EOMONTH(DATE(cfg_FY,7,1),0))-MAX($E463,DATE(cfg_FY,7,1))+1)*(1-IF($M463="نعم",0,N($J463))))</f>
        <v>0</v>
      </c>
      <c r="AC463" s="133" t="n">
        <f aca="false">IF(OR($B463="",$E463="",$F463=""),0,MAX(0,MIN($F463,EOMONTH(DATE(cfg_FY,8,1),0))-MAX($E463,DATE(cfg_FY,8,1))+1)*(1-IF($M463="نعم",0,N($J463))))</f>
        <v>0</v>
      </c>
      <c r="AD463" s="133" t="n">
        <f aca="false">IF(OR($B463="",$E463="",$F463=""),0,MAX(0,MIN($F463,EOMONTH(DATE(cfg_FY,9,1),0))-MAX($E463,DATE(cfg_FY,9,1))+1)*(1-IF($M463="نعم",0,N($J463))))</f>
        <v>0</v>
      </c>
      <c r="AE463" s="133" t="n">
        <f aca="false">IF(OR($B463="",$E463="",$F463=""),0,MAX(0,MIN($F463,EOMONTH(DATE(cfg_FY,10,1),0))-MAX($E463,DATE(cfg_FY,10,1))+1)*(1-IF($M463="نعم",0,N($J463))))</f>
        <v>0</v>
      </c>
      <c r="AF463" s="133" t="n">
        <f aca="false">IF(OR($B463="",$E463="",$F463=""),0,MAX(0,MIN($F463,EOMONTH(DATE(cfg_FY,11,1),0))-MAX($E463,DATE(cfg_FY,11,1))+1)*(1-IF($M463="نعم",0,N($J463))))</f>
        <v>0</v>
      </c>
      <c r="AG463" s="133" t="n">
        <f aca="false">IF(OR($B463="",$E463="",$F463=""),0,MAX(0,MIN($F463,EOMONTH(DATE(cfg_FY,12,1),0))-MAX($E463,DATE(cfg_FY,12,1))+1)*(1-IF($M463="نعم",0,N($J463))))</f>
        <v>0</v>
      </c>
      <c r="AH463" s="133" t="n">
        <f aca="false">IF(OR(OR($B463="",$E463="",$F463=""),$L463&lt;&gt;"لا"),0,MAX(0,MIN($F463,EOMONTH(DATE(cfg_FY,1,1),0))-$E463+1))</f>
        <v>0</v>
      </c>
      <c r="AI463" s="133" t="n">
        <f aca="false">IF(OR(OR($B463="",$E463="",$F463=""),$L463&lt;&gt;"لا"),0,MAX(0,MIN($F463,EOMONTH(DATE(cfg_FY,2,1),0))-$E463+1))</f>
        <v>0</v>
      </c>
      <c r="AJ463" s="133" t="n">
        <f aca="false">IF(OR(OR($B463="",$E463="",$F463=""),$L463&lt;&gt;"لا"),0,MAX(0,MIN($F463,EOMONTH(DATE(cfg_FY,3,1),0))-$E463+1))</f>
        <v>0</v>
      </c>
      <c r="AK463" s="133" t="n">
        <f aca="false">IF(OR(OR($B463="",$E463="",$F463=""),$L463&lt;&gt;"لا"),0,MAX(0,MIN($F463,EOMONTH(DATE(cfg_FY,4,1),0))-$E463+1))</f>
        <v>0</v>
      </c>
      <c r="AL463" s="133" t="n">
        <f aca="false">IF(OR(OR($B463="",$E463="",$F463=""),$L463&lt;&gt;"لا"),0,MAX(0,MIN($F463,EOMONTH(DATE(cfg_FY,5,1),0))-$E463+1))</f>
        <v>0</v>
      </c>
      <c r="AM463" s="133" t="n">
        <f aca="false">IF(OR(OR($B463="",$E463="",$F463=""),$L463&lt;&gt;"لا"),0,MAX(0,MIN($F463,EOMONTH(DATE(cfg_FY,6,1),0))-$E463+1))</f>
        <v>0</v>
      </c>
      <c r="AN463" s="133" t="n">
        <f aca="false">IF(OR(OR($B463="",$E463="",$F463=""),$L463&lt;&gt;"لا"),0,MAX(0,MIN($F463,EOMONTH(DATE(cfg_FY,7,1),0))-$E463+1))</f>
        <v>0</v>
      </c>
      <c r="AO463" s="133" t="n">
        <f aca="false">IF(OR(OR($B463="",$E463="",$F463=""),$L463&lt;&gt;"لا"),0,MAX(0,MIN($F463,EOMONTH(DATE(cfg_FY,8,1),0))-$E463+1))</f>
        <v>0</v>
      </c>
      <c r="AP463" s="133" t="n">
        <f aca="false">IF(OR(OR($B463="",$E463="",$F463=""),$L463&lt;&gt;"لا"),0,MAX(0,MIN($F463,EOMONTH(DATE(cfg_FY,9,1),0))-$E463+1))</f>
        <v>0</v>
      </c>
      <c r="AQ463" s="133" t="n">
        <f aca="false">IF(OR(OR($B463="",$E463="",$F463=""),$L463&lt;&gt;"لا"),0,MAX(0,MIN($F463,EOMONTH(DATE(cfg_FY,10,1),0))-$E463+1))</f>
        <v>0</v>
      </c>
      <c r="AR463" s="133" t="n">
        <f aca="false">IF(OR(OR($B463="",$E463="",$F463=""),$L463&lt;&gt;"لا"),0,MAX(0,MIN($F463,EOMONTH(DATE(cfg_FY,11,1),0))-$E463+1))</f>
        <v>0</v>
      </c>
      <c r="AS463" s="133" t="n">
        <f aca="false">IF(OR(OR($B463="",$E463="",$F463=""),$L463&lt;&gt;"لا"),0,MAX(0,MIN($F463,EOMONTH(DATE(cfg_FY,12,1),0))-$E463+1))</f>
        <v>0</v>
      </c>
      <c r="AT463" s="133" t="n">
        <f aca="false">IF(OR(OR($B463="",$E463="",$F463=""),$K463&lt;&gt;"نعم",$M463="نعم"),0,MAX(0,MIN($F463,EOMONTH(DATE(cfg_FY,1,1),0))-MAX($E463,DATE(cfg_FY,1,1))+1))</f>
        <v>0</v>
      </c>
      <c r="AU463" s="133" t="n">
        <f aca="false">IF(OR(OR($B463="",$E463="",$F463=""),$K463&lt;&gt;"نعم",$M463="نعم"),0,MAX(0,MIN($F463,EOMONTH(DATE(cfg_FY,2,1),0))-MAX($E463,DATE(cfg_FY,2,1))+1))</f>
        <v>0</v>
      </c>
      <c r="AV463" s="133" t="n">
        <f aca="false">IF(OR(OR($B463="",$E463="",$F463=""),$K463&lt;&gt;"نعم",$M463="نعم"),0,MAX(0,MIN($F463,EOMONTH(DATE(cfg_FY,3,1),0))-MAX($E463,DATE(cfg_FY,3,1))+1))</f>
        <v>0</v>
      </c>
      <c r="AW463" s="133" t="n">
        <f aca="false">IF(OR(OR($B463="",$E463="",$F463=""),$K463&lt;&gt;"نعم",$M463="نعم"),0,MAX(0,MIN($F463,EOMONTH(DATE(cfg_FY,4,1),0))-MAX($E463,DATE(cfg_FY,4,1))+1))</f>
        <v>0</v>
      </c>
      <c r="AX463" s="133" t="n">
        <f aca="false">IF(OR(OR($B463="",$E463="",$F463=""),$K463&lt;&gt;"نعم",$M463="نعم"),0,MAX(0,MIN($F463,EOMONTH(DATE(cfg_FY,5,1),0))-MAX($E463,DATE(cfg_FY,5,1))+1))</f>
        <v>0</v>
      </c>
      <c r="AY463" s="133" t="n">
        <f aca="false">IF(OR(OR($B463="",$E463="",$F463=""),$K463&lt;&gt;"نعم",$M463="نعم"),0,MAX(0,MIN($F463,EOMONTH(DATE(cfg_FY,6,1),0))-MAX($E463,DATE(cfg_FY,6,1))+1))</f>
        <v>0</v>
      </c>
      <c r="AZ463" s="133" t="n">
        <f aca="false">IF(OR(OR($B463="",$E463="",$F463=""),$K463&lt;&gt;"نعم",$M463="نعم"),0,MAX(0,MIN($F463,EOMONTH(DATE(cfg_FY,7,1),0))-MAX($E463,DATE(cfg_FY,7,1))+1))</f>
        <v>0</v>
      </c>
      <c r="BA463" s="133" t="n">
        <f aca="false">IF(OR(OR($B463="",$E463="",$F463=""),$K463&lt;&gt;"نعم",$M463="نعم"),0,MAX(0,MIN($F463,EOMONTH(DATE(cfg_FY,8,1),0))-MAX($E463,DATE(cfg_FY,8,1))+1))</f>
        <v>0</v>
      </c>
      <c r="BB463" s="133" t="n">
        <f aca="false">IF(OR(OR($B463="",$E463="",$F463=""),$K463&lt;&gt;"نعم",$M463="نعم"),0,MAX(0,MIN($F463,EOMONTH(DATE(cfg_FY,9,1),0))-MAX($E463,DATE(cfg_FY,9,1))+1))</f>
        <v>0</v>
      </c>
      <c r="BC463" s="133" t="n">
        <f aca="false">IF(OR(OR($B463="",$E463="",$F463=""),$K463&lt;&gt;"نعم",$M463="نعم"),0,MAX(0,MIN($F463,EOMONTH(DATE(cfg_FY,10,1),0))-MAX($E463,DATE(cfg_FY,10,1))+1))</f>
        <v>0</v>
      </c>
      <c r="BD463" s="133" t="n">
        <f aca="false">IF(OR(OR($B463="",$E463="",$F463=""),$K463&lt;&gt;"نعم",$M463="نعم"),0,MAX(0,MIN($F463,EOMONTH(DATE(cfg_FY,11,1),0))-MAX($E463,DATE(cfg_FY,11,1))+1))</f>
        <v>0</v>
      </c>
      <c r="BE463" s="133" t="n">
        <f aca="false">IF(OR(OR($B463="",$E463="",$F463=""),$K463&lt;&gt;"نعم",$M463="نعم"),0,MAX(0,MIN($F463,EOMONTH(DATE(cfg_FY,12,1),0))-MAX($E463,DATE(cfg_FY,12,1))+1))</f>
        <v>0</v>
      </c>
    </row>
    <row r="464" customFormat="false" ht="15" hidden="false" customHeight="false" outlineLevel="0" collapsed="false">
      <c r="A464" s="106" t="str">
        <f aca="false">IF(B464="","",ROW()-5)</f>
        <v/>
      </c>
      <c r="B464" s="118"/>
      <c r="C464" s="114" t="str">
        <f aca="false">IF(B464="","",IFERROR(INDEX(الموظفون!$C$6:$C$105,MATCH(B464,الموظفون!$B$6:$B$105,0)),"✖ رقم غير موجود"))</f>
        <v/>
      </c>
      <c r="D464" s="118"/>
      <c r="E464" s="119"/>
      <c r="F464" s="119"/>
      <c r="G464" s="65" t="str">
        <f aca="false">IF(OR($B464="",$E464="",$F464=""),"",MAX(0,F464-E464+1))</f>
        <v/>
      </c>
      <c r="H464" s="66" t="str">
        <f aca="false">IF(D464="","",IFERROR(VLOOKUP(D464,cfg_LT,2,FALSE()),1))</f>
        <v/>
      </c>
      <c r="I464" s="135"/>
      <c r="J464" s="66" t="str">
        <f aca="false">IF(D464="","",IF(I464&lt;&gt;"",I464,H464))</f>
        <v/>
      </c>
      <c r="K464" s="114" t="str">
        <f aca="false">IF(D464="","",IFERROR(VLOOKUP($D464,cfg_LT,3,FALSE()),""))</f>
        <v/>
      </c>
      <c r="L464" s="114" t="str">
        <f aca="false">IF(D464="","",IFERROR(VLOOKUP($D464,cfg_LT,4,FALSE()),""))</f>
        <v/>
      </c>
      <c r="M464" s="114" t="str">
        <f aca="false">IF(D464="","",IFERROR(VLOOKUP($D464,cfg_LT,5,FALSE()),""))</f>
        <v/>
      </c>
      <c r="N464" s="111" t="n">
        <f aca="false">IF(OR(OR($B464="",$E464="",$F464=""),M464&lt;&gt;"نعم"),0,G464*J464*IFERROR(INDEX(الموظفون!$R$6:$R$105,MATCH(B464,الموظفون!$B$6:$B$105,0)),0)/cfg_DAYS_M)</f>
        <v>0</v>
      </c>
      <c r="O464" s="106" t="str">
        <f aca="false">IF(OR(OR($B464="",$E464="",$F464=""),M464&lt;&gt;"نعم"),"",IF(YEAR(E464)=cfg_FY,MONTH(E464),""))</f>
        <v/>
      </c>
      <c r="P464" s="114" t="str">
        <f aca="false">IF(B464="","",IF(OR(D464="",E464="",F464=""),"⚠ أكمل النوع والتواريخ",IF(F464&lt;E464,"✖ النهاية قبل البداية",IF(COUNTIFS($B$6:$B$505,B464,$E$6:$E$505,"&lt;="&amp;F464,$F$6:$F$505,"&gt;="&amp;E464)&gt;1,"⚠ تداخل مع سجل آخر",IF(E464&gt;cfg_VAL_DATE,"⏳ قادمة",IF(F464&lt;cfg_VAL_DATE,"✔ منتهية","✈ جارية في تاريخ التقرير"))))))</f>
        <v/>
      </c>
      <c r="Q464" s="118"/>
      <c r="R464" s="65" t="n">
        <f aca="false">IF(OR(OR($B464="",$E464="",$F464=""),L464&lt;&gt;"لا"),0,MAX(0,MIN(F464,cfg_Y_START-1)-E464+1))</f>
        <v>0</v>
      </c>
      <c r="S464" s="65" t="n">
        <f aca="false">IF(OR(OR($B464="",$E464="",$F464=""),L464&lt;&gt;"لا"),0,MAX(0,MIN(F464,cfg_VAL_DATE)-E464+1))</f>
        <v>0</v>
      </c>
      <c r="T464" s="65" t="n">
        <f aca="false">IF(OR(OR($B464="",$E464="",$F464=""),K464&lt;&gt;"نعم"),0,IF(M464="نعم",IF(AND(ISNUMBER(O464),N(O464)&lt;=cfg_VAL_M),G464,0),MAX(0,MIN(F464,cfg_VAL_DATE)-MAX(E464,cfg_Y_START)+1)))</f>
        <v>0</v>
      </c>
      <c r="V464" s="65" t="n">
        <f aca="false">IF(OR($B464="",$E464="",$F464=""),0,MAX(0,MIN($F464,EOMONTH(DATE(cfg_FY,1,1),0))-MAX($E464,DATE(cfg_FY,1,1))+1)*(1-IF($M464="نعم",0,N($J464))))</f>
        <v>0</v>
      </c>
      <c r="W464" s="65" t="n">
        <f aca="false">IF(OR($B464="",$E464="",$F464=""),0,MAX(0,MIN($F464,EOMONTH(DATE(cfg_FY,2,1),0))-MAX($E464,DATE(cfg_FY,2,1))+1)*(1-IF($M464="نعم",0,N($J464))))</f>
        <v>0</v>
      </c>
      <c r="X464" s="65" t="n">
        <f aca="false">IF(OR($B464="",$E464="",$F464=""),0,MAX(0,MIN($F464,EOMONTH(DATE(cfg_FY,3,1),0))-MAX($E464,DATE(cfg_FY,3,1))+1)*(1-IF($M464="نعم",0,N($J464))))</f>
        <v>0</v>
      </c>
      <c r="Y464" s="65" t="n">
        <f aca="false">IF(OR($B464="",$E464="",$F464=""),0,MAX(0,MIN($F464,EOMONTH(DATE(cfg_FY,4,1),0))-MAX($E464,DATE(cfg_FY,4,1))+1)*(1-IF($M464="نعم",0,N($J464))))</f>
        <v>0</v>
      </c>
      <c r="Z464" s="65" t="n">
        <f aca="false">IF(OR($B464="",$E464="",$F464=""),0,MAX(0,MIN($F464,EOMONTH(DATE(cfg_FY,5,1),0))-MAX($E464,DATE(cfg_FY,5,1))+1)*(1-IF($M464="نعم",0,N($J464))))</f>
        <v>0</v>
      </c>
      <c r="AA464" s="65" t="n">
        <f aca="false">IF(OR($B464="",$E464="",$F464=""),0,MAX(0,MIN($F464,EOMONTH(DATE(cfg_FY,6,1),0))-MAX($E464,DATE(cfg_FY,6,1))+1)*(1-IF($M464="نعم",0,N($J464))))</f>
        <v>0</v>
      </c>
      <c r="AB464" s="65" t="n">
        <f aca="false">IF(OR($B464="",$E464="",$F464=""),0,MAX(0,MIN($F464,EOMONTH(DATE(cfg_FY,7,1),0))-MAX($E464,DATE(cfg_FY,7,1))+1)*(1-IF($M464="نعم",0,N($J464))))</f>
        <v>0</v>
      </c>
      <c r="AC464" s="65" t="n">
        <f aca="false">IF(OR($B464="",$E464="",$F464=""),0,MAX(0,MIN($F464,EOMONTH(DATE(cfg_FY,8,1),0))-MAX($E464,DATE(cfg_FY,8,1))+1)*(1-IF($M464="نعم",0,N($J464))))</f>
        <v>0</v>
      </c>
      <c r="AD464" s="65" t="n">
        <f aca="false">IF(OR($B464="",$E464="",$F464=""),0,MAX(0,MIN($F464,EOMONTH(DATE(cfg_FY,9,1),0))-MAX($E464,DATE(cfg_FY,9,1))+1)*(1-IF($M464="نعم",0,N($J464))))</f>
        <v>0</v>
      </c>
      <c r="AE464" s="65" t="n">
        <f aca="false">IF(OR($B464="",$E464="",$F464=""),0,MAX(0,MIN($F464,EOMONTH(DATE(cfg_FY,10,1),0))-MAX($E464,DATE(cfg_FY,10,1))+1)*(1-IF($M464="نعم",0,N($J464))))</f>
        <v>0</v>
      </c>
      <c r="AF464" s="65" t="n">
        <f aca="false">IF(OR($B464="",$E464="",$F464=""),0,MAX(0,MIN($F464,EOMONTH(DATE(cfg_FY,11,1),0))-MAX($E464,DATE(cfg_FY,11,1))+1)*(1-IF($M464="نعم",0,N($J464))))</f>
        <v>0</v>
      </c>
      <c r="AG464" s="65" t="n">
        <f aca="false">IF(OR($B464="",$E464="",$F464=""),0,MAX(0,MIN($F464,EOMONTH(DATE(cfg_FY,12,1),0))-MAX($E464,DATE(cfg_FY,12,1))+1)*(1-IF($M464="نعم",0,N($J464))))</f>
        <v>0</v>
      </c>
      <c r="AH464" s="65" t="n">
        <f aca="false">IF(OR(OR($B464="",$E464="",$F464=""),$L464&lt;&gt;"لا"),0,MAX(0,MIN($F464,EOMONTH(DATE(cfg_FY,1,1),0))-$E464+1))</f>
        <v>0</v>
      </c>
      <c r="AI464" s="65" t="n">
        <f aca="false">IF(OR(OR($B464="",$E464="",$F464=""),$L464&lt;&gt;"لا"),0,MAX(0,MIN($F464,EOMONTH(DATE(cfg_FY,2,1),0))-$E464+1))</f>
        <v>0</v>
      </c>
      <c r="AJ464" s="65" t="n">
        <f aca="false">IF(OR(OR($B464="",$E464="",$F464=""),$L464&lt;&gt;"لا"),0,MAX(0,MIN($F464,EOMONTH(DATE(cfg_FY,3,1),0))-$E464+1))</f>
        <v>0</v>
      </c>
      <c r="AK464" s="65" t="n">
        <f aca="false">IF(OR(OR($B464="",$E464="",$F464=""),$L464&lt;&gt;"لا"),0,MAX(0,MIN($F464,EOMONTH(DATE(cfg_FY,4,1),0))-$E464+1))</f>
        <v>0</v>
      </c>
      <c r="AL464" s="65" t="n">
        <f aca="false">IF(OR(OR($B464="",$E464="",$F464=""),$L464&lt;&gt;"لا"),0,MAX(0,MIN($F464,EOMONTH(DATE(cfg_FY,5,1),0))-$E464+1))</f>
        <v>0</v>
      </c>
      <c r="AM464" s="65" t="n">
        <f aca="false">IF(OR(OR($B464="",$E464="",$F464=""),$L464&lt;&gt;"لا"),0,MAX(0,MIN($F464,EOMONTH(DATE(cfg_FY,6,1),0))-$E464+1))</f>
        <v>0</v>
      </c>
      <c r="AN464" s="65" t="n">
        <f aca="false">IF(OR(OR($B464="",$E464="",$F464=""),$L464&lt;&gt;"لا"),0,MAX(0,MIN($F464,EOMONTH(DATE(cfg_FY,7,1),0))-$E464+1))</f>
        <v>0</v>
      </c>
      <c r="AO464" s="65" t="n">
        <f aca="false">IF(OR(OR($B464="",$E464="",$F464=""),$L464&lt;&gt;"لا"),0,MAX(0,MIN($F464,EOMONTH(DATE(cfg_FY,8,1),0))-$E464+1))</f>
        <v>0</v>
      </c>
      <c r="AP464" s="65" t="n">
        <f aca="false">IF(OR(OR($B464="",$E464="",$F464=""),$L464&lt;&gt;"لا"),0,MAX(0,MIN($F464,EOMONTH(DATE(cfg_FY,9,1),0))-$E464+1))</f>
        <v>0</v>
      </c>
      <c r="AQ464" s="65" t="n">
        <f aca="false">IF(OR(OR($B464="",$E464="",$F464=""),$L464&lt;&gt;"لا"),0,MAX(0,MIN($F464,EOMONTH(DATE(cfg_FY,10,1),0))-$E464+1))</f>
        <v>0</v>
      </c>
      <c r="AR464" s="65" t="n">
        <f aca="false">IF(OR(OR($B464="",$E464="",$F464=""),$L464&lt;&gt;"لا"),0,MAX(0,MIN($F464,EOMONTH(DATE(cfg_FY,11,1),0))-$E464+1))</f>
        <v>0</v>
      </c>
      <c r="AS464" s="65" t="n">
        <f aca="false">IF(OR(OR($B464="",$E464="",$F464=""),$L464&lt;&gt;"لا"),0,MAX(0,MIN($F464,EOMONTH(DATE(cfg_FY,12,1),0))-$E464+1))</f>
        <v>0</v>
      </c>
      <c r="AT464" s="65" t="n">
        <f aca="false">IF(OR(OR($B464="",$E464="",$F464=""),$K464&lt;&gt;"نعم",$M464="نعم"),0,MAX(0,MIN($F464,EOMONTH(DATE(cfg_FY,1,1),0))-MAX($E464,DATE(cfg_FY,1,1))+1))</f>
        <v>0</v>
      </c>
      <c r="AU464" s="65" t="n">
        <f aca="false">IF(OR(OR($B464="",$E464="",$F464=""),$K464&lt;&gt;"نعم",$M464="نعم"),0,MAX(0,MIN($F464,EOMONTH(DATE(cfg_FY,2,1),0))-MAX($E464,DATE(cfg_FY,2,1))+1))</f>
        <v>0</v>
      </c>
      <c r="AV464" s="65" t="n">
        <f aca="false">IF(OR(OR($B464="",$E464="",$F464=""),$K464&lt;&gt;"نعم",$M464="نعم"),0,MAX(0,MIN($F464,EOMONTH(DATE(cfg_FY,3,1),0))-MAX($E464,DATE(cfg_FY,3,1))+1))</f>
        <v>0</v>
      </c>
      <c r="AW464" s="65" t="n">
        <f aca="false">IF(OR(OR($B464="",$E464="",$F464=""),$K464&lt;&gt;"نعم",$M464="نعم"),0,MAX(0,MIN($F464,EOMONTH(DATE(cfg_FY,4,1),0))-MAX($E464,DATE(cfg_FY,4,1))+1))</f>
        <v>0</v>
      </c>
      <c r="AX464" s="65" t="n">
        <f aca="false">IF(OR(OR($B464="",$E464="",$F464=""),$K464&lt;&gt;"نعم",$M464="نعم"),0,MAX(0,MIN($F464,EOMONTH(DATE(cfg_FY,5,1),0))-MAX($E464,DATE(cfg_FY,5,1))+1))</f>
        <v>0</v>
      </c>
      <c r="AY464" s="65" t="n">
        <f aca="false">IF(OR(OR($B464="",$E464="",$F464=""),$K464&lt;&gt;"نعم",$M464="نعم"),0,MAX(0,MIN($F464,EOMONTH(DATE(cfg_FY,6,1),0))-MAX($E464,DATE(cfg_FY,6,1))+1))</f>
        <v>0</v>
      </c>
      <c r="AZ464" s="65" t="n">
        <f aca="false">IF(OR(OR($B464="",$E464="",$F464=""),$K464&lt;&gt;"نعم",$M464="نعم"),0,MAX(0,MIN($F464,EOMONTH(DATE(cfg_FY,7,1),0))-MAX($E464,DATE(cfg_FY,7,1))+1))</f>
        <v>0</v>
      </c>
      <c r="BA464" s="65" t="n">
        <f aca="false">IF(OR(OR($B464="",$E464="",$F464=""),$K464&lt;&gt;"نعم",$M464="نعم"),0,MAX(0,MIN($F464,EOMONTH(DATE(cfg_FY,8,1),0))-MAX($E464,DATE(cfg_FY,8,1))+1))</f>
        <v>0</v>
      </c>
      <c r="BB464" s="65" t="n">
        <f aca="false">IF(OR(OR($B464="",$E464="",$F464=""),$K464&lt;&gt;"نعم",$M464="نعم"),0,MAX(0,MIN($F464,EOMONTH(DATE(cfg_FY,9,1),0))-MAX($E464,DATE(cfg_FY,9,1))+1))</f>
        <v>0</v>
      </c>
      <c r="BC464" s="65" t="n">
        <f aca="false">IF(OR(OR($B464="",$E464="",$F464=""),$K464&lt;&gt;"نعم",$M464="نعم"),0,MAX(0,MIN($F464,EOMONTH(DATE(cfg_FY,10,1),0))-MAX($E464,DATE(cfg_FY,10,1))+1))</f>
        <v>0</v>
      </c>
      <c r="BD464" s="65" t="n">
        <f aca="false">IF(OR(OR($B464="",$E464="",$F464=""),$K464&lt;&gt;"نعم",$M464="نعم"),0,MAX(0,MIN($F464,EOMONTH(DATE(cfg_FY,11,1),0))-MAX($E464,DATE(cfg_FY,11,1))+1))</f>
        <v>0</v>
      </c>
      <c r="BE464" s="65" t="n">
        <f aca="false">IF(OR(OR($B464="",$E464="",$F464=""),$K464&lt;&gt;"نعم",$M464="نعم"),0,MAX(0,MIN($F464,EOMONTH(DATE(cfg_FY,12,1),0))-MAX($E464,DATE(cfg_FY,12,1))+1))</f>
        <v>0</v>
      </c>
    </row>
    <row r="465" customFormat="false" ht="15" hidden="false" customHeight="false" outlineLevel="0" collapsed="false">
      <c r="A465" s="115" t="str">
        <f aca="false">IF(B465="","",ROW()-5)</f>
        <v/>
      </c>
      <c r="B465" s="118"/>
      <c r="C465" s="117" t="str">
        <f aca="false">IF(B465="","",IFERROR(INDEX(الموظفون!$C$6:$C$105,MATCH(B465,الموظفون!$B$6:$B$105,0)),"✖ رقم غير موجود"))</f>
        <v/>
      </c>
      <c r="D465" s="118"/>
      <c r="E465" s="119"/>
      <c r="F465" s="119"/>
      <c r="G465" s="133" t="str">
        <f aca="false">IF(OR($B465="",$E465="",$F465=""),"",MAX(0,F465-E465+1))</f>
        <v/>
      </c>
      <c r="H465" s="134" t="str">
        <f aca="false">IF(D465="","",IFERROR(VLOOKUP(D465,cfg_LT,2,FALSE()),1))</f>
        <v/>
      </c>
      <c r="I465" s="135"/>
      <c r="J465" s="134" t="str">
        <f aca="false">IF(D465="","",IF(I465&lt;&gt;"",I465,H465))</f>
        <v/>
      </c>
      <c r="K465" s="117" t="str">
        <f aca="false">IF(D465="","",IFERROR(VLOOKUP($D465,cfg_LT,3,FALSE()),""))</f>
        <v/>
      </c>
      <c r="L465" s="117" t="str">
        <f aca="false">IF(D465="","",IFERROR(VLOOKUP($D465,cfg_LT,4,FALSE()),""))</f>
        <v/>
      </c>
      <c r="M465" s="117" t="str">
        <f aca="false">IF(D465="","",IFERROR(VLOOKUP($D465,cfg_LT,5,FALSE()),""))</f>
        <v/>
      </c>
      <c r="N465" s="116" t="n">
        <f aca="false">IF(OR(OR($B465="",$E465="",$F465=""),M465&lt;&gt;"نعم"),0,G465*J465*IFERROR(INDEX(الموظفون!$R$6:$R$105,MATCH(B465,الموظفون!$B$6:$B$105,0)),0)/cfg_DAYS_M)</f>
        <v>0</v>
      </c>
      <c r="O465" s="115" t="str">
        <f aca="false">IF(OR(OR($B465="",$E465="",$F465=""),M465&lt;&gt;"نعم"),"",IF(YEAR(E465)=cfg_FY,MONTH(E465),""))</f>
        <v/>
      </c>
      <c r="P465" s="117" t="str">
        <f aca="false">IF(B465="","",IF(OR(D465="",E465="",F465=""),"⚠ أكمل النوع والتواريخ",IF(F465&lt;E465,"✖ النهاية قبل البداية",IF(COUNTIFS($B$6:$B$505,B465,$E$6:$E$505,"&lt;="&amp;F465,$F$6:$F$505,"&gt;="&amp;E465)&gt;1,"⚠ تداخل مع سجل آخر",IF(E465&gt;cfg_VAL_DATE,"⏳ قادمة",IF(F465&lt;cfg_VAL_DATE,"✔ منتهية","✈ جارية في تاريخ التقرير"))))))</f>
        <v/>
      </c>
      <c r="Q465" s="118"/>
      <c r="R465" s="133" t="n">
        <f aca="false">IF(OR(OR($B465="",$E465="",$F465=""),L465&lt;&gt;"لا"),0,MAX(0,MIN(F465,cfg_Y_START-1)-E465+1))</f>
        <v>0</v>
      </c>
      <c r="S465" s="133" t="n">
        <f aca="false">IF(OR(OR($B465="",$E465="",$F465=""),L465&lt;&gt;"لا"),0,MAX(0,MIN(F465,cfg_VAL_DATE)-E465+1))</f>
        <v>0</v>
      </c>
      <c r="T465" s="133" t="n">
        <f aca="false">IF(OR(OR($B465="",$E465="",$F465=""),K465&lt;&gt;"نعم"),0,IF(M465="نعم",IF(AND(ISNUMBER(O465),N(O465)&lt;=cfg_VAL_M),G465,0),MAX(0,MIN(F465,cfg_VAL_DATE)-MAX(E465,cfg_Y_START)+1)))</f>
        <v>0</v>
      </c>
      <c r="V465" s="133" t="n">
        <f aca="false">IF(OR($B465="",$E465="",$F465=""),0,MAX(0,MIN($F465,EOMONTH(DATE(cfg_FY,1,1),0))-MAX($E465,DATE(cfg_FY,1,1))+1)*(1-IF($M465="نعم",0,N($J465))))</f>
        <v>0</v>
      </c>
      <c r="W465" s="133" t="n">
        <f aca="false">IF(OR($B465="",$E465="",$F465=""),0,MAX(0,MIN($F465,EOMONTH(DATE(cfg_FY,2,1),0))-MAX($E465,DATE(cfg_FY,2,1))+1)*(1-IF($M465="نعم",0,N($J465))))</f>
        <v>0</v>
      </c>
      <c r="X465" s="133" t="n">
        <f aca="false">IF(OR($B465="",$E465="",$F465=""),0,MAX(0,MIN($F465,EOMONTH(DATE(cfg_FY,3,1),0))-MAX($E465,DATE(cfg_FY,3,1))+1)*(1-IF($M465="نعم",0,N($J465))))</f>
        <v>0</v>
      </c>
      <c r="Y465" s="133" t="n">
        <f aca="false">IF(OR($B465="",$E465="",$F465=""),0,MAX(0,MIN($F465,EOMONTH(DATE(cfg_FY,4,1),0))-MAX($E465,DATE(cfg_FY,4,1))+1)*(1-IF($M465="نعم",0,N($J465))))</f>
        <v>0</v>
      </c>
      <c r="Z465" s="133" t="n">
        <f aca="false">IF(OR($B465="",$E465="",$F465=""),0,MAX(0,MIN($F465,EOMONTH(DATE(cfg_FY,5,1),0))-MAX($E465,DATE(cfg_FY,5,1))+1)*(1-IF($M465="نعم",0,N($J465))))</f>
        <v>0</v>
      </c>
      <c r="AA465" s="133" t="n">
        <f aca="false">IF(OR($B465="",$E465="",$F465=""),0,MAX(0,MIN($F465,EOMONTH(DATE(cfg_FY,6,1),0))-MAX($E465,DATE(cfg_FY,6,1))+1)*(1-IF($M465="نعم",0,N($J465))))</f>
        <v>0</v>
      </c>
      <c r="AB465" s="133" t="n">
        <f aca="false">IF(OR($B465="",$E465="",$F465=""),0,MAX(0,MIN($F465,EOMONTH(DATE(cfg_FY,7,1),0))-MAX($E465,DATE(cfg_FY,7,1))+1)*(1-IF($M465="نعم",0,N($J465))))</f>
        <v>0</v>
      </c>
      <c r="AC465" s="133" t="n">
        <f aca="false">IF(OR($B465="",$E465="",$F465=""),0,MAX(0,MIN($F465,EOMONTH(DATE(cfg_FY,8,1),0))-MAX($E465,DATE(cfg_FY,8,1))+1)*(1-IF($M465="نعم",0,N($J465))))</f>
        <v>0</v>
      </c>
      <c r="AD465" s="133" t="n">
        <f aca="false">IF(OR($B465="",$E465="",$F465=""),0,MAX(0,MIN($F465,EOMONTH(DATE(cfg_FY,9,1),0))-MAX($E465,DATE(cfg_FY,9,1))+1)*(1-IF($M465="نعم",0,N($J465))))</f>
        <v>0</v>
      </c>
      <c r="AE465" s="133" t="n">
        <f aca="false">IF(OR($B465="",$E465="",$F465=""),0,MAX(0,MIN($F465,EOMONTH(DATE(cfg_FY,10,1),0))-MAX($E465,DATE(cfg_FY,10,1))+1)*(1-IF($M465="نعم",0,N($J465))))</f>
        <v>0</v>
      </c>
      <c r="AF465" s="133" t="n">
        <f aca="false">IF(OR($B465="",$E465="",$F465=""),0,MAX(0,MIN($F465,EOMONTH(DATE(cfg_FY,11,1),0))-MAX($E465,DATE(cfg_FY,11,1))+1)*(1-IF($M465="نعم",0,N($J465))))</f>
        <v>0</v>
      </c>
      <c r="AG465" s="133" t="n">
        <f aca="false">IF(OR($B465="",$E465="",$F465=""),0,MAX(0,MIN($F465,EOMONTH(DATE(cfg_FY,12,1),0))-MAX($E465,DATE(cfg_FY,12,1))+1)*(1-IF($M465="نعم",0,N($J465))))</f>
        <v>0</v>
      </c>
      <c r="AH465" s="133" t="n">
        <f aca="false">IF(OR(OR($B465="",$E465="",$F465=""),$L465&lt;&gt;"لا"),0,MAX(0,MIN($F465,EOMONTH(DATE(cfg_FY,1,1),0))-$E465+1))</f>
        <v>0</v>
      </c>
      <c r="AI465" s="133" t="n">
        <f aca="false">IF(OR(OR($B465="",$E465="",$F465=""),$L465&lt;&gt;"لا"),0,MAX(0,MIN($F465,EOMONTH(DATE(cfg_FY,2,1),0))-$E465+1))</f>
        <v>0</v>
      </c>
      <c r="AJ465" s="133" t="n">
        <f aca="false">IF(OR(OR($B465="",$E465="",$F465=""),$L465&lt;&gt;"لا"),0,MAX(0,MIN($F465,EOMONTH(DATE(cfg_FY,3,1),0))-$E465+1))</f>
        <v>0</v>
      </c>
      <c r="AK465" s="133" t="n">
        <f aca="false">IF(OR(OR($B465="",$E465="",$F465=""),$L465&lt;&gt;"لا"),0,MAX(0,MIN($F465,EOMONTH(DATE(cfg_FY,4,1),0))-$E465+1))</f>
        <v>0</v>
      </c>
      <c r="AL465" s="133" t="n">
        <f aca="false">IF(OR(OR($B465="",$E465="",$F465=""),$L465&lt;&gt;"لا"),0,MAX(0,MIN($F465,EOMONTH(DATE(cfg_FY,5,1),0))-$E465+1))</f>
        <v>0</v>
      </c>
      <c r="AM465" s="133" t="n">
        <f aca="false">IF(OR(OR($B465="",$E465="",$F465=""),$L465&lt;&gt;"لا"),0,MAX(0,MIN($F465,EOMONTH(DATE(cfg_FY,6,1),0))-$E465+1))</f>
        <v>0</v>
      </c>
      <c r="AN465" s="133" t="n">
        <f aca="false">IF(OR(OR($B465="",$E465="",$F465=""),$L465&lt;&gt;"لا"),0,MAX(0,MIN($F465,EOMONTH(DATE(cfg_FY,7,1),0))-$E465+1))</f>
        <v>0</v>
      </c>
      <c r="AO465" s="133" t="n">
        <f aca="false">IF(OR(OR($B465="",$E465="",$F465=""),$L465&lt;&gt;"لا"),0,MAX(0,MIN($F465,EOMONTH(DATE(cfg_FY,8,1),0))-$E465+1))</f>
        <v>0</v>
      </c>
      <c r="AP465" s="133" t="n">
        <f aca="false">IF(OR(OR($B465="",$E465="",$F465=""),$L465&lt;&gt;"لا"),0,MAX(0,MIN($F465,EOMONTH(DATE(cfg_FY,9,1),0))-$E465+1))</f>
        <v>0</v>
      </c>
      <c r="AQ465" s="133" t="n">
        <f aca="false">IF(OR(OR($B465="",$E465="",$F465=""),$L465&lt;&gt;"لا"),0,MAX(0,MIN($F465,EOMONTH(DATE(cfg_FY,10,1),0))-$E465+1))</f>
        <v>0</v>
      </c>
      <c r="AR465" s="133" t="n">
        <f aca="false">IF(OR(OR($B465="",$E465="",$F465=""),$L465&lt;&gt;"لا"),0,MAX(0,MIN($F465,EOMONTH(DATE(cfg_FY,11,1),0))-$E465+1))</f>
        <v>0</v>
      </c>
      <c r="AS465" s="133" t="n">
        <f aca="false">IF(OR(OR($B465="",$E465="",$F465=""),$L465&lt;&gt;"لا"),0,MAX(0,MIN($F465,EOMONTH(DATE(cfg_FY,12,1),0))-$E465+1))</f>
        <v>0</v>
      </c>
      <c r="AT465" s="133" t="n">
        <f aca="false">IF(OR(OR($B465="",$E465="",$F465=""),$K465&lt;&gt;"نعم",$M465="نعم"),0,MAX(0,MIN($F465,EOMONTH(DATE(cfg_FY,1,1),0))-MAX($E465,DATE(cfg_FY,1,1))+1))</f>
        <v>0</v>
      </c>
      <c r="AU465" s="133" t="n">
        <f aca="false">IF(OR(OR($B465="",$E465="",$F465=""),$K465&lt;&gt;"نعم",$M465="نعم"),0,MAX(0,MIN($F465,EOMONTH(DATE(cfg_FY,2,1),0))-MAX($E465,DATE(cfg_FY,2,1))+1))</f>
        <v>0</v>
      </c>
      <c r="AV465" s="133" t="n">
        <f aca="false">IF(OR(OR($B465="",$E465="",$F465=""),$K465&lt;&gt;"نعم",$M465="نعم"),0,MAX(0,MIN($F465,EOMONTH(DATE(cfg_FY,3,1),0))-MAX($E465,DATE(cfg_FY,3,1))+1))</f>
        <v>0</v>
      </c>
      <c r="AW465" s="133" t="n">
        <f aca="false">IF(OR(OR($B465="",$E465="",$F465=""),$K465&lt;&gt;"نعم",$M465="نعم"),0,MAX(0,MIN($F465,EOMONTH(DATE(cfg_FY,4,1),0))-MAX($E465,DATE(cfg_FY,4,1))+1))</f>
        <v>0</v>
      </c>
      <c r="AX465" s="133" t="n">
        <f aca="false">IF(OR(OR($B465="",$E465="",$F465=""),$K465&lt;&gt;"نعم",$M465="نعم"),0,MAX(0,MIN($F465,EOMONTH(DATE(cfg_FY,5,1),0))-MAX($E465,DATE(cfg_FY,5,1))+1))</f>
        <v>0</v>
      </c>
      <c r="AY465" s="133" t="n">
        <f aca="false">IF(OR(OR($B465="",$E465="",$F465=""),$K465&lt;&gt;"نعم",$M465="نعم"),0,MAX(0,MIN($F465,EOMONTH(DATE(cfg_FY,6,1),0))-MAX($E465,DATE(cfg_FY,6,1))+1))</f>
        <v>0</v>
      </c>
      <c r="AZ465" s="133" t="n">
        <f aca="false">IF(OR(OR($B465="",$E465="",$F465=""),$K465&lt;&gt;"نعم",$M465="نعم"),0,MAX(0,MIN($F465,EOMONTH(DATE(cfg_FY,7,1),0))-MAX($E465,DATE(cfg_FY,7,1))+1))</f>
        <v>0</v>
      </c>
      <c r="BA465" s="133" t="n">
        <f aca="false">IF(OR(OR($B465="",$E465="",$F465=""),$K465&lt;&gt;"نعم",$M465="نعم"),0,MAX(0,MIN($F465,EOMONTH(DATE(cfg_FY,8,1),0))-MAX($E465,DATE(cfg_FY,8,1))+1))</f>
        <v>0</v>
      </c>
      <c r="BB465" s="133" t="n">
        <f aca="false">IF(OR(OR($B465="",$E465="",$F465=""),$K465&lt;&gt;"نعم",$M465="نعم"),0,MAX(0,MIN($F465,EOMONTH(DATE(cfg_FY,9,1),0))-MAX($E465,DATE(cfg_FY,9,1))+1))</f>
        <v>0</v>
      </c>
      <c r="BC465" s="133" t="n">
        <f aca="false">IF(OR(OR($B465="",$E465="",$F465=""),$K465&lt;&gt;"نعم",$M465="نعم"),0,MAX(0,MIN($F465,EOMONTH(DATE(cfg_FY,10,1),0))-MAX($E465,DATE(cfg_FY,10,1))+1))</f>
        <v>0</v>
      </c>
      <c r="BD465" s="133" t="n">
        <f aca="false">IF(OR(OR($B465="",$E465="",$F465=""),$K465&lt;&gt;"نعم",$M465="نعم"),0,MAX(0,MIN($F465,EOMONTH(DATE(cfg_FY,11,1),0))-MAX($E465,DATE(cfg_FY,11,1))+1))</f>
        <v>0</v>
      </c>
      <c r="BE465" s="133" t="n">
        <f aca="false">IF(OR(OR($B465="",$E465="",$F465=""),$K465&lt;&gt;"نعم",$M465="نعم"),0,MAX(0,MIN($F465,EOMONTH(DATE(cfg_FY,12,1),0))-MAX($E465,DATE(cfg_FY,12,1))+1))</f>
        <v>0</v>
      </c>
    </row>
    <row r="466" customFormat="false" ht="15" hidden="false" customHeight="false" outlineLevel="0" collapsed="false">
      <c r="A466" s="106" t="str">
        <f aca="false">IF(B466="","",ROW()-5)</f>
        <v/>
      </c>
      <c r="B466" s="118"/>
      <c r="C466" s="114" t="str">
        <f aca="false">IF(B466="","",IFERROR(INDEX(الموظفون!$C$6:$C$105,MATCH(B466,الموظفون!$B$6:$B$105,0)),"✖ رقم غير موجود"))</f>
        <v/>
      </c>
      <c r="D466" s="118"/>
      <c r="E466" s="119"/>
      <c r="F466" s="119"/>
      <c r="G466" s="65" t="str">
        <f aca="false">IF(OR($B466="",$E466="",$F466=""),"",MAX(0,F466-E466+1))</f>
        <v/>
      </c>
      <c r="H466" s="66" t="str">
        <f aca="false">IF(D466="","",IFERROR(VLOOKUP(D466,cfg_LT,2,FALSE()),1))</f>
        <v/>
      </c>
      <c r="I466" s="135"/>
      <c r="J466" s="66" t="str">
        <f aca="false">IF(D466="","",IF(I466&lt;&gt;"",I466,H466))</f>
        <v/>
      </c>
      <c r="K466" s="114" t="str">
        <f aca="false">IF(D466="","",IFERROR(VLOOKUP($D466,cfg_LT,3,FALSE()),""))</f>
        <v/>
      </c>
      <c r="L466" s="114" t="str">
        <f aca="false">IF(D466="","",IFERROR(VLOOKUP($D466,cfg_LT,4,FALSE()),""))</f>
        <v/>
      </c>
      <c r="M466" s="114" t="str">
        <f aca="false">IF(D466="","",IFERROR(VLOOKUP($D466,cfg_LT,5,FALSE()),""))</f>
        <v/>
      </c>
      <c r="N466" s="111" t="n">
        <f aca="false">IF(OR(OR($B466="",$E466="",$F466=""),M466&lt;&gt;"نعم"),0,G466*J466*IFERROR(INDEX(الموظفون!$R$6:$R$105,MATCH(B466,الموظفون!$B$6:$B$105,0)),0)/cfg_DAYS_M)</f>
        <v>0</v>
      </c>
      <c r="O466" s="106" t="str">
        <f aca="false">IF(OR(OR($B466="",$E466="",$F466=""),M466&lt;&gt;"نعم"),"",IF(YEAR(E466)=cfg_FY,MONTH(E466),""))</f>
        <v/>
      </c>
      <c r="P466" s="114" t="str">
        <f aca="false">IF(B466="","",IF(OR(D466="",E466="",F466=""),"⚠ أكمل النوع والتواريخ",IF(F466&lt;E466,"✖ النهاية قبل البداية",IF(COUNTIFS($B$6:$B$505,B466,$E$6:$E$505,"&lt;="&amp;F466,$F$6:$F$505,"&gt;="&amp;E466)&gt;1,"⚠ تداخل مع سجل آخر",IF(E466&gt;cfg_VAL_DATE,"⏳ قادمة",IF(F466&lt;cfg_VAL_DATE,"✔ منتهية","✈ جارية في تاريخ التقرير"))))))</f>
        <v/>
      </c>
      <c r="Q466" s="118"/>
      <c r="R466" s="65" t="n">
        <f aca="false">IF(OR(OR($B466="",$E466="",$F466=""),L466&lt;&gt;"لا"),0,MAX(0,MIN(F466,cfg_Y_START-1)-E466+1))</f>
        <v>0</v>
      </c>
      <c r="S466" s="65" t="n">
        <f aca="false">IF(OR(OR($B466="",$E466="",$F466=""),L466&lt;&gt;"لا"),0,MAX(0,MIN(F466,cfg_VAL_DATE)-E466+1))</f>
        <v>0</v>
      </c>
      <c r="T466" s="65" t="n">
        <f aca="false">IF(OR(OR($B466="",$E466="",$F466=""),K466&lt;&gt;"نعم"),0,IF(M466="نعم",IF(AND(ISNUMBER(O466),N(O466)&lt;=cfg_VAL_M),G466,0),MAX(0,MIN(F466,cfg_VAL_DATE)-MAX(E466,cfg_Y_START)+1)))</f>
        <v>0</v>
      </c>
      <c r="V466" s="65" t="n">
        <f aca="false">IF(OR($B466="",$E466="",$F466=""),0,MAX(0,MIN($F466,EOMONTH(DATE(cfg_FY,1,1),0))-MAX($E466,DATE(cfg_FY,1,1))+1)*(1-IF($M466="نعم",0,N($J466))))</f>
        <v>0</v>
      </c>
      <c r="W466" s="65" t="n">
        <f aca="false">IF(OR($B466="",$E466="",$F466=""),0,MAX(0,MIN($F466,EOMONTH(DATE(cfg_FY,2,1),0))-MAX($E466,DATE(cfg_FY,2,1))+1)*(1-IF($M466="نعم",0,N($J466))))</f>
        <v>0</v>
      </c>
      <c r="X466" s="65" t="n">
        <f aca="false">IF(OR($B466="",$E466="",$F466=""),0,MAX(0,MIN($F466,EOMONTH(DATE(cfg_FY,3,1),0))-MAX($E466,DATE(cfg_FY,3,1))+1)*(1-IF($M466="نعم",0,N($J466))))</f>
        <v>0</v>
      </c>
      <c r="Y466" s="65" t="n">
        <f aca="false">IF(OR($B466="",$E466="",$F466=""),0,MAX(0,MIN($F466,EOMONTH(DATE(cfg_FY,4,1),0))-MAX($E466,DATE(cfg_FY,4,1))+1)*(1-IF($M466="نعم",0,N($J466))))</f>
        <v>0</v>
      </c>
      <c r="Z466" s="65" t="n">
        <f aca="false">IF(OR($B466="",$E466="",$F466=""),0,MAX(0,MIN($F466,EOMONTH(DATE(cfg_FY,5,1),0))-MAX($E466,DATE(cfg_FY,5,1))+1)*(1-IF($M466="نعم",0,N($J466))))</f>
        <v>0</v>
      </c>
      <c r="AA466" s="65" t="n">
        <f aca="false">IF(OR($B466="",$E466="",$F466=""),0,MAX(0,MIN($F466,EOMONTH(DATE(cfg_FY,6,1),0))-MAX($E466,DATE(cfg_FY,6,1))+1)*(1-IF($M466="نعم",0,N($J466))))</f>
        <v>0</v>
      </c>
      <c r="AB466" s="65" t="n">
        <f aca="false">IF(OR($B466="",$E466="",$F466=""),0,MAX(0,MIN($F466,EOMONTH(DATE(cfg_FY,7,1),0))-MAX($E466,DATE(cfg_FY,7,1))+1)*(1-IF($M466="نعم",0,N($J466))))</f>
        <v>0</v>
      </c>
      <c r="AC466" s="65" t="n">
        <f aca="false">IF(OR($B466="",$E466="",$F466=""),0,MAX(0,MIN($F466,EOMONTH(DATE(cfg_FY,8,1),0))-MAX($E466,DATE(cfg_FY,8,1))+1)*(1-IF($M466="نعم",0,N($J466))))</f>
        <v>0</v>
      </c>
      <c r="AD466" s="65" t="n">
        <f aca="false">IF(OR($B466="",$E466="",$F466=""),0,MAX(0,MIN($F466,EOMONTH(DATE(cfg_FY,9,1),0))-MAX($E466,DATE(cfg_FY,9,1))+1)*(1-IF($M466="نعم",0,N($J466))))</f>
        <v>0</v>
      </c>
      <c r="AE466" s="65" t="n">
        <f aca="false">IF(OR($B466="",$E466="",$F466=""),0,MAX(0,MIN($F466,EOMONTH(DATE(cfg_FY,10,1),0))-MAX($E466,DATE(cfg_FY,10,1))+1)*(1-IF($M466="نعم",0,N($J466))))</f>
        <v>0</v>
      </c>
      <c r="AF466" s="65" t="n">
        <f aca="false">IF(OR($B466="",$E466="",$F466=""),0,MAX(0,MIN($F466,EOMONTH(DATE(cfg_FY,11,1),0))-MAX($E466,DATE(cfg_FY,11,1))+1)*(1-IF($M466="نعم",0,N($J466))))</f>
        <v>0</v>
      </c>
      <c r="AG466" s="65" t="n">
        <f aca="false">IF(OR($B466="",$E466="",$F466=""),0,MAX(0,MIN($F466,EOMONTH(DATE(cfg_FY,12,1),0))-MAX($E466,DATE(cfg_FY,12,1))+1)*(1-IF($M466="نعم",0,N($J466))))</f>
        <v>0</v>
      </c>
      <c r="AH466" s="65" t="n">
        <f aca="false">IF(OR(OR($B466="",$E466="",$F466=""),$L466&lt;&gt;"لا"),0,MAX(0,MIN($F466,EOMONTH(DATE(cfg_FY,1,1),0))-$E466+1))</f>
        <v>0</v>
      </c>
      <c r="AI466" s="65" t="n">
        <f aca="false">IF(OR(OR($B466="",$E466="",$F466=""),$L466&lt;&gt;"لا"),0,MAX(0,MIN($F466,EOMONTH(DATE(cfg_FY,2,1),0))-$E466+1))</f>
        <v>0</v>
      </c>
      <c r="AJ466" s="65" t="n">
        <f aca="false">IF(OR(OR($B466="",$E466="",$F466=""),$L466&lt;&gt;"لا"),0,MAX(0,MIN($F466,EOMONTH(DATE(cfg_FY,3,1),0))-$E466+1))</f>
        <v>0</v>
      </c>
      <c r="AK466" s="65" t="n">
        <f aca="false">IF(OR(OR($B466="",$E466="",$F466=""),$L466&lt;&gt;"لا"),0,MAX(0,MIN($F466,EOMONTH(DATE(cfg_FY,4,1),0))-$E466+1))</f>
        <v>0</v>
      </c>
      <c r="AL466" s="65" t="n">
        <f aca="false">IF(OR(OR($B466="",$E466="",$F466=""),$L466&lt;&gt;"لا"),0,MAX(0,MIN($F466,EOMONTH(DATE(cfg_FY,5,1),0))-$E466+1))</f>
        <v>0</v>
      </c>
      <c r="AM466" s="65" t="n">
        <f aca="false">IF(OR(OR($B466="",$E466="",$F466=""),$L466&lt;&gt;"لا"),0,MAX(0,MIN($F466,EOMONTH(DATE(cfg_FY,6,1),0))-$E466+1))</f>
        <v>0</v>
      </c>
      <c r="AN466" s="65" t="n">
        <f aca="false">IF(OR(OR($B466="",$E466="",$F466=""),$L466&lt;&gt;"لا"),0,MAX(0,MIN($F466,EOMONTH(DATE(cfg_FY,7,1),0))-$E466+1))</f>
        <v>0</v>
      </c>
      <c r="AO466" s="65" t="n">
        <f aca="false">IF(OR(OR($B466="",$E466="",$F466=""),$L466&lt;&gt;"لا"),0,MAX(0,MIN($F466,EOMONTH(DATE(cfg_FY,8,1),0))-$E466+1))</f>
        <v>0</v>
      </c>
      <c r="AP466" s="65" t="n">
        <f aca="false">IF(OR(OR($B466="",$E466="",$F466=""),$L466&lt;&gt;"لا"),0,MAX(0,MIN($F466,EOMONTH(DATE(cfg_FY,9,1),0))-$E466+1))</f>
        <v>0</v>
      </c>
      <c r="AQ466" s="65" t="n">
        <f aca="false">IF(OR(OR($B466="",$E466="",$F466=""),$L466&lt;&gt;"لا"),0,MAX(0,MIN($F466,EOMONTH(DATE(cfg_FY,10,1),0))-$E466+1))</f>
        <v>0</v>
      </c>
      <c r="AR466" s="65" t="n">
        <f aca="false">IF(OR(OR($B466="",$E466="",$F466=""),$L466&lt;&gt;"لا"),0,MAX(0,MIN($F466,EOMONTH(DATE(cfg_FY,11,1),0))-$E466+1))</f>
        <v>0</v>
      </c>
      <c r="AS466" s="65" t="n">
        <f aca="false">IF(OR(OR($B466="",$E466="",$F466=""),$L466&lt;&gt;"لا"),0,MAX(0,MIN($F466,EOMONTH(DATE(cfg_FY,12,1),0))-$E466+1))</f>
        <v>0</v>
      </c>
      <c r="AT466" s="65" t="n">
        <f aca="false">IF(OR(OR($B466="",$E466="",$F466=""),$K466&lt;&gt;"نعم",$M466="نعم"),0,MAX(0,MIN($F466,EOMONTH(DATE(cfg_FY,1,1),0))-MAX($E466,DATE(cfg_FY,1,1))+1))</f>
        <v>0</v>
      </c>
      <c r="AU466" s="65" t="n">
        <f aca="false">IF(OR(OR($B466="",$E466="",$F466=""),$K466&lt;&gt;"نعم",$M466="نعم"),0,MAX(0,MIN($F466,EOMONTH(DATE(cfg_FY,2,1),0))-MAX($E466,DATE(cfg_FY,2,1))+1))</f>
        <v>0</v>
      </c>
      <c r="AV466" s="65" t="n">
        <f aca="false">IF(OR(OR($B466="",$E466="",$F466=""),$K466&lt;&gt;"نعم",$M466="نعم"),0,MAX(0,MIN($F466,EOMONTH(DATE(cfg_FY,3,1),0))-MAX($E466,DATE(cfg_FY,3,1))+1))</f>
        <v>0</v>
      </c>
      <c r="AW466" s="65" t="n">
        <f aca="false">IF(OR(OR($B466="",$E466="",$F466=""),$K466&lt;&gt;"نعم",$M466="نعم"),0,MAX(0,MIN($F466,EOMONTH(DATE(cfg_FY,4,1),0))-MAX($E466,DATE(cfg_FY,4,1))+1))</f>
        <v>0</v>
      </c>
      <c r="AX466" s="65" t="n">
        <f aca="false">IF(OR(OR($B466="",$E466="",$F466=""),$K466&lt;&gt;"نعم",$M466="نعم"),0,MAX(0,MIN($F466,EOMONTH(DATE(cfg_FY,5,1),0))-MAX($E466,DATE(cfg_FY,5,1))+1))</f>
        <v>0</v>
      </c>
      <c r="AY466" s="65" t="n">
        <f aca="false">IF(OR(OR($B466="",$E466="",$F466=""),$K466&lt;&gt;"نعم",$M466="نعم"),0,MAX(0,MIN($F466,EOMONTH(DATE(cfg_FY,6,1),0))-MAX($E466,DATE(cfg_FY,6,1))+1))</f>
        <v>0</v>
      </c>
      <c r="AZ466" s="65" t="n">
        <f aca="false">IF(OR(OR($B466="",$E466="",$F466=""),$K466&lt;&gt;"نعم",$M466="نعم"),0,MAX(0,MIN($F466,EOMONTH(DATE(cfg_FY,7,1),0))-MAX($E466,DATE(cfg_FY,7,1))+1))</f>
        <v>0</v>
      </c>
      <c r="BA466" s="65" t="n">
        <f aca="false">IF(OR(OR($B466="",$E466="",$F466=""),$K466&lt;&gt;"نعم",$M466="نعم"),0,MAX(0,MIN($F466,EOMONTH(DATE(cfg_FY,8,1),0))-MAX($E466,DATE(cfg_FY,8,1))+1))</f>
        <v>0</v>
      </c>
      <c r="BB466" s="65" t="n">
        <f aca="false">IF(OR(OR($B466="",$E466="",$F466=""),$K466&lt;&gt;"نعم",$M466="نعم"),0,MAX(0,MIN($F466,EOMONTH(DATE(cfg_FY,9,1),0))-MAX($E466,DATE(cfg_FY,9,1))+1))</f>
        <v>0</v>
      </c>
      <c r="BC466" s="65" t="n">
        <f aca="false">IF(OR(OR($B466="",$E466="",$F466=""),$K466&lt;&gt;"نعم",$M466="نعم"),0,MAX(0,MIN($F466,EOMONTH(DATE(cfg_FY,10,1),0))-MAX($E466,DATE(cfg_FY,10,1))+1))</f>
        <v>0</v>
      </c>
      <c r="BD466" s="65" t="n">
        <f aca="false">IF(OR(OR($B466="",$E466="",$F466=""),$K466&lt;&gt;"نعم",$M466="نعم"),0,MAX(0,MIN($F466,EOMONTH(DATE(cfg_FY,11,1),0))-MAX($E466,DATE(cfg_FY,11,1))+1))</f>
        <v>0</v>
      </c>
      <c r="BE466" s="65" t="n">
        <f aca="false">IF(OR(OR($B466="",$E466="",$F466=""),$K466&lt;&gt;"نعم",$M466="نعم"),0,MAX(0,MIN($F466,EOMONTH(DATE(cfg_FY,12,1),0))-MAX($E466,DATE(cfg_FY,12,1))+1))</f>
        <v>0</v>
      </c>
    </row>
    <row r="467" customFormat="false" ht="15" hidden="false" customHeight="false" outlineLevel="0" collapsed="false">
      <c r="A467" s="115" t="str">
        <f aca="false">IF(B467="","",ROW()-5)</f>
        <v/>
      </c>
      <c r="B467" s="118"/>
      <c r="C467" s="117" t="str">
        <f aca="false">IF(B467="","",IFERROR(INDEX(الموظفون!$C$6:$C$105,MATCH(B467,الموظفون!$B$6:$B$105,0)),"✖ رقم غير موجود"))</f>
        <v/>
      </c>
      <c r="D467" s="118"/>
      <c r="E467" s="119"/>
      <c r="F467" s="119"/>
      <c r="G467" s="133" t="str">
        <f aca="false">IF(OR($B467="",$E467="",$F467=""),"",MAX(0,F467-E467+1))</f>
        <v/>
      </c>
      <c r="H467" s="134" t="str">
        <f aca="false">IF(D467="","",IFERROR(VLOOKUP(D467,cfg_LT,2,FALSE()),1))</f>
        <v/>
      </c>
      <c r="I467" s="135"/>
      <c r="J467" s="134" t="str">
        <f aca="false">IF(D467="","",IF(I467&lt;&gt;"",I467,H467))</f>
        <v/>
      </c>
      <c r="K467" s="117" t="str">
        <f aca="false">IF(D467="","",IFERROR(VLOOKUP($D467,cfg_LT,3,FALSE()),""))</f>
        <v/>
      </c>
      <c r="L467" s="117" t="str">
        <f aca="false">IF(D467="","",IFERROR(VLOOKUP($D467,cfg_LT,4,FALSE()),""))</f>
        <v/>
      </c>
      <c r="M467" s="117" t="str">
        <f aca="false">IF(D467="","",IFERROR(VLOOKUP($D467,cfg_LT,5,FALSE()),""))</f>
        <v/>
      </c>
      <c r="N467" s="116" t="n">
        <f aca="false">IF(OR(OR($B467="",$E467="",$F467=""),M467&lt;&gt;"نعم"),0,G467*J467*IFERROR(INDEX(الموظفون!$R$6:$R$105,MATCH(B467,الموظفون!$B$6:$B$105,0)),0)/cfg_DAYS_M)</f>
        <v>0</v>
      </c>
      <c r="O467" s="115" t="str">
        <f aca="false">IF(OR(OR($B467="",$E467="",$F467=""),M467&lt;&gt;"نعم"),"",IF(YEAR(E467)=cfg_FY,MONTH(E467),""))</f>
        <v/>
      </c>
      <c r="P467" s="117" t="str">
        <f aca="false">IF(B467="","",IF(OR(D467="",E467="",F467=""),"⚠ أكمل النوع والتواريخ",IF(F467&lt;E467,"✖ النهاية قبل البداية",IF(COUNTIFS($B$6:$B$505,B467,$E$6:$E$505,"&lt;="&amp;F467,$F$6:$F$505,"&gt;="&amp;E467)&gt;1,"⚠ تداخل مع سجل آخر",IF(E467&gt;cfg_VAL_DATE,"⏳ قادمة",IF(F467&lt;cfg_VAL_DATE,"✔ منتهية","✈ جارية في تاريخ التقرير"))))))</f>
        <v/>
      </c>
      <c r="Q467" s="118"/>
      <c r="R467" s="133" t="n">
        <f aca="false">IF(OR(OR($B467="",$E467="",$F467=""),L467&lt;&gt;"لا"),0,MAX(0,MIN(F467,cfg_Y_START-1)-E467+1))</f>
        <v>0</v>
      </c>
      <c r="S467" s="133" t="n">
        <f aca="false">IF(OR(OR($B467="",$E467="",$F467=""),L467&lt;&gt;"لا"),0,MAX(0,MIN(F467,cfg_VAL_DATE)-E467+1))</f>
        <v>0</v>
      </c>
      <c r="T467" s="133" t="n">
        <f aca="false">IF(OR(OR($B467="",$E467="",$F467=""),K467&lt;&gt;"نعم"),0,IF(M467="نعم",IF(AND(ISNUMBER(O467),N(O467)&lt;=cfg_VAL_M),G467,0),MAX(0,MIN(F467,cfg_VAL_DATE)-MAX(E467,cfg_Y_START)+1)))</f>
        <v>0</v>
      </c>
      <c r="V467" s="133" t="n">
        <f aca="false">IF(OR($B467="",$E467="",$F467=""),0,MAX(0,MIN($F467,EOMONTH(DATE(cfg_FY,1,1),0))-MAX($E467,DATE(cfg_FY,1,1))+1)*(1-IF($M467="نعم",0,N($J467))))</f>
        <v>0</v>
      </c>
      <c r="W467" s="133" t="n">
        <f aca="false">IF(OR($B467="",$E467="",$F467=""),0,MAX(0,MIN($F467,EOMONTH(DATE(cfg_FY,2,1),0))-MAX($E467,DATE(cfg_FY,2,1))+1)*(1-IF($M467="نعم",0,N($J467))))</f>
        <v>0</v>
      </c>
      <c r="X467" s="133" t="n">
        <f aca="false">IF(OR($B467="",$E467="",$F467=""),0,MAX(0,MIN($F467,EOMONTH(DATE(cfg_FY,3,1),0))-MAX($E467,DATE(cfg_FY,3,1))+1)*(1-IF($M467="نعم",0,N($J467))))</f>
        <v>0</v>
      </c>
      <c r="Y467" s="133" t="n">
        <f aca="false">IF(OR($B467="",$E467="",$F467=""),0,MAX(0,MIN($F467,EOMONTH(DATE(cfg_FY,4,1),0))-MAX($E467,DATE(cfg_FY,4,1))+1)*(1-IF($M467="نعم",0,N($J467))))</f>
        <v>0</v>
      </c>
      <c r="Z467" s="133" t="n">
        <f aca="false">IF(OR($B467="",$E467="",$F467=""),0,MAX(0,MIN($F467,EOMONTH(DATE(cfg_FY,5,1),0))-MAX($E467,DATE(cfg_FY,5,1))+1)*(1-IF($M467="نعم",0,N($J467))))</f>
        <v>0</v>
      </c>
      <c r="AA467" s="133" t="n">
        <f aca="false">IF(OR($B467="",$E467="",$F467=""),0,MAX(0,MIN($F467,EOMONTH(DATE(cfg_FY,6,1),0))-MAX($E467,DATE(cfg_FY,6,1))+1)*(1-IF($M467="نعم",0,N($J467))))</f>
        <v>0</v>
      </c>
      <c r="AB467" s="133" t="n">
        <f aca="false">IF(OR($B467="",$E467="",$F467=""),0,MAX(0,MIN($F467,EOMONTH(DATE(cfg_FY,7,1),0))-MAX($E467,DATE(cfg_FY,7,1))+1)*(1-IF($M467="نعم",0,N($J467))))</f>
        <v>0</v>
      </c>
      <c r="AC467" s="133" t="n">
        <f aca="false">IF(OR($B467="",$E467="",$F467=""),0,MAX(0,MIN($F467,EOMONTH(DATE(cfg_FY,8,1),0))-MAX($E467,DATE(cfg_FY,8,1))+1)*(1-IF($M467="نعم",0,N($J467))))</f>
        <v>0</v>
      </c>
      <c r="AD467" s="133" t="n">
        <f aca="false">IF(OR($B467="",$E467="",$F467=""),0,MAX(0,MIN($F467,EOMONTH(DATE(cfg_FY,9,1),0))-MAX($E467,DATE(cfg_FY,9,1))+1)*(1-IF($M467="نعم",0,N($J467))))</f>
        <v>0</v>
      </c>
      <c r="AE467" s="133" t="n">
        <f aca="false">IF(OR($B467="",$E467="",$F467=""),0,MAX(0,MIN($F467,EOMONTH(DATE(cfg_FY,10,1),0))-MAX($E467,DATE(cfg_FY,10,1))+1)*(1-IF($M467="نعم",0,N($J467))))</f>
        <v>0</v>
      </c>
      <c r="AF467" s="133" t="n">
        <f aca="false">IF(OR($B467="",$E467="",$F467=""),0,MAX(0,MIN($F467,EOMONTH(DATE(cfg_FY,11,1),0))-MAX($E467,DATE(cfg_FY,11,1))+1)*(1-IF($M467="نعم",0,N($J467))))</f>
        <v>0</v>
      </c>
      <c r="AG467" s="133" t="n">
        <f aca="false">IF(OR($B467="",$E467="",$F467=""),0,MAX(0,MIN($F467,EOMONTH(DATE(cfg_FY,12,1),0))-MAX($E467,DATE(cfg_FY,12,1))+1)*(1-IF($M467="نعم",0,N($J467))))</f>
        <v>0</v>
      </c>
      <c r="AH467" s="133" t="n">
        <f aca="false">IF(OR(OR($B467="",$E467="",$F467=""),$L467&lt;&gt;"لا"),0,MAX(0,MIN($F467,EOMONTH(DATE(cfg_FY,1,1),0))-$E467+1))</f>
        <v>0</v>
      </c>
      <c r="AI467" s="133" t="n">
        <f aca="false">IF(OR(OR($B467="",$E467="",$F467=""),$L467&lt;&gt;"لا"),0,MAX(0,MIN($F467,EOMONTH(DATE(cfg_FY,2,1),0))-$E467+1))</f>
        <v>0</v>
      </c>
      <c r="AJ467" s="133" t="n">
        <f aca="false">IF(OR(OR($B467="",$E467="",$F467=""),$L467&lt;&gt;"لا"),0,MAX(0,MIN($F467,EOMONTH(DATE(cfg_FY,3,1),0))-$E467+1))</f>
        <v>0</v>
      </c>
      <c r="AK467" s="133" t="n">
        <f aca="false">IF(OR(OR($B467="",$E467="",$F467=""),$L467&lt;&gt;"لا"),0,MAX(0,MIN($F467,EOMONTH(DATE(cfg_FY,4,1),0))-$E467+1))</f>
        <v>0</v>
      </c>
      <c r="AL467" s="133" t="n">
        <f aca="false">IF(OR(OR($B467="",$E467="",$F467=""),$L467&lt;&gt;"لا"),0,MAX(0,MIN($F467,EOMONTH(DATE(cfg_FY,5,1),0))-$E467+1))</f>
        <v>0</v>
      </c>
      <c r="AM467" s="133" t="n">
        <f aca="false">IF(OR(OR($B467="",$E467="",$F467=""),$L467&lt;&gt;"لا"),0,MAX(0,MIN($F467,EOMONTH(DATE(cfg_FY,6,1),0))-$E467+1))</f>
        <v>0</v>
      </c>
      <c r="AN467" s="133" t="n">
        <f aca="false">IF(OR(OR($B467="",$E467="",$F467=""),$L467&lt;&gt;"لا"),0,MAX(0,MIN($F467,EOMONTH(DATE(cfg_FY,7,1),0))-$E467+1))</f>
        <v>0</v>
      </c>
      <c r="AO467" s="133" t="n">
        <f aca="false">IF(OR(OR($B467="",$E467="",$F467=""),$L467&lt;&gt;"لا"),0,MAX(0,MIN($F467,EOMONTH(DATE(cfg_FY,8,1),0))-$E467+1))</f>
        <v>0</v>
      </c>
      <c r="AP467" s="133" t="n">
        <f aca="false">IF(OR(OR($B467="",$E467="",$F467=""),$L467&lt;&gt;"لا"),0,MAX(0,MIN($F467,EOMONTH(DATE(cfg_FY,9,1),0))-$E467+1))</f>
        <v>0</v>
      </c>
      <c r="AQ467" s="133" t="n">
        <f aca="false">IF(OR(OR($B467="",$E467="",$F467=""),$L467&lt;&gt;"لا"),0,MAX(0,MIN($F467,EOMONTH(DATE(cfg_FY,10,1),0))-$E467+1))</f>
        <v>0</v>
      </c>
      <c r="AR467" s="133" t="n">
        <f aca="false">IF(OR(OR($B467="",$E467="",$F467=""),$L467&lt;&gt;"لا"),0,MAX(0,MIN($F467,EOMONTH(DATE(cfg_FY,11,1),0))-$E467+1))</f>
        <v>0</v>
      </c>
      <c r="AS467" s="133" t="n">
        <f aca="false">IF(OR(OR($B467="",$E467="",$F467=""),$L467&lt;&gt;"لا"),0,MAX(0,MIN($F467,EOMONTH(DATE(cfg_FY,12,1),0))-$E467+1))</f>
        <v>0</v>
      </c>
      <c r="AT467" s="133" t="n">
        <f aca="false">IF(OR(OR($B467="",$E467="",$F467=""),$K467&lt;&gt;"نعم",$M467="نعم"),0,MAX(0,MIN($F467,EOMONTH(DATE(cfg_FY,1,1),0))-MAX($E467,DATE(cfg_FY,1,1))+1))</f>
        <v>0</v>
      </c>
      <c r="AU467" s="133" t="n">
        <f aca="false">IF(OR(OR($B467="",$E467="",$F467=""),$K467&lt;&gt;"نعم",$M467="نعم"),0,MAX(0,MIN($F467,EOMONTH(DATE(cfg_FY,2,1),0))-MAX($E467,DATE(cfg_FY,2,1))+1))</f>
        <v>0</v>
      </c>
      <c r="AV467" s="133" t="n">
        <f aca="false">IF(OR(OR($B467="",$E467="",$F467=""),$K467&lt;&gt;"نعم",$M467="نعم"),0,MAX(0,MIN($F467,EOMONTH(DATE(cfg_FY,3,1),0))-MAX($E467,DATE(cfg_FY,3,1))+1))</f>
        <v>0</v>
      </c>
      <c r="AW467" s="133" t="n">
        <f aca="false">IF(OR(OR($B467="",$E467="",$F467=""),$K467&lt;&gt;"نعم",$M467="نعم"),0,MAX(0,MIN($F467,EOMONTH(DATE(cfg_FY,4,1),0))-MAX($E467,DATE(cfg_FY,4,1))+1))</f>
        <v>0</v>
      </c>
      <c r="AX467" s="133" t="n">
        <f aca="false">IF(OR(OR($B467="",$E467="",$F467=""),$K467&lt;&gt;"نعم",$M467="نعم"),0,MAX(0,MIN($F467,EOMONTH(DATE(cfg_FY,5,1),0))-MAX($E467,DATE(cfg_FY,5,1))+1))</f>
        <v>0</v>
      </c>
      <c r="AY467" s="133" t="n">
        <f aca="false">IF(OR(OR($B467="",$E467="",$F467=""),$K467&lt;&gt;"نعم",$M467="نعم"),0,MAX(0,MIN($F467,EOMONTH(DATE(cfg_FY,6,1),0))-MAX($E467,DATE(cfg_FY,6,1))+1))</f>
        <v>0</v>
      </c>
      <c r="AZ467" s="133" t="n">
        <f aca="false">IF(OR(OR($B467="",$E467="",$F467=""),$K467&lt;&gt;"نعم",$M467="نعم"),0,MAX(0,MIN($F467,EOMONTH(DATE(cfg_FY,7,1),0))-MAX($E467,DATE(cfg_FY,7,1))+1))</f>
        <v>0</v>
      </c>
      <c r="BA467" s="133" t="n">
        <f aca="false">IF(OR(OR($B467="",$E467="",$F467=""),$K467&lt;&gt;"نعم",$M467="نعم"),0,MAX(0,MIN($F467,EOMONTH(DATE(cfg_FY,8,1),0))-MAX($E467,DATE(cfg_FY,8,1))+1))</f>
        <v>0</v>
      </c>
      <c r="BB467" s="133" t="n">
        <f aca="false">IF(OR(OR($B467="",$E467="",$F467=""),$K467&lt;&gt;"نعم",$M467="نعم"),0,MAX(0,MIN($F467,EOMONTH(DATE(cfg_FY,9,1),0))-MAX($E467,DATE(cfg_FY,9,1))+1))</f>
        <v>0</v>
      </c>
      <c r="BC467" s="133" t="n">
        <f aca="false">IF(OR(OR($B467="",$E467="",$F467=""),$K467&lt;&gt;"نعم",$M467="نعم"),0,MAX(0,MIN($F467,EOMONTH(DATE(cfg_FY,10,1),0))-MAX($E467,DATE(cfg_FY,10,1))+1))</f>
        <v>0</v>
      </c>
      <c r="BD467" s="133" t="n">
        <f aca="false">IF(OR(OR($B467="",$E467="",$F467=""),$K467&lt;&gt;"نعم",$M467="نعم"),0,MAX(0,MIN($F467,EOMONTH(DATE(cfg_FY,11,1),0))-MAX($E467,DATE(cfg_FY,11,1))+1))</f>
        <v>0</v>
      </c>
      <c r="BE467" s="133" t="n">
        <f aca="false">IF(OR(OR($B467="",$E467="",$F467=""),$K467&lt;&gt;"نعم",$M467="نعم"),0,MAX(0,MIN($F467,EOMONTH(DATE(cfg_FY,12,1),0))-MAX($E467,DATE(cfg_FY,12,1))+1))</f>
        <v>0</v>
      </c>
    </row>
    <row r="468" customFormat="false" ht="15" hidden="false" customHeight="false" outlineLevel="0" collapsed="false">
      <c r="A468" s="106" t="str">
        <f aca="false">IF(B468="","",ROW()-5)</f>
        <v/>
      </c>
      <c r="B468" s="118"/>
      <c r="C468" s="114" t="str">
        <f aca="false">IF(B468="","",IFERROR(INDEX(الموظفون!$C$6:$C$105,MATCH(B468,الموظفون!$B$6:$B$105,0)),"✖ رقم غير موجود"))</f>
        <v/>
      </c>
      <c r="D468" s="118"/>
      <c r="E468" s="119"/>
      <c r="F468" s="119"/>
      <c r="G468" s="65" t="str">
        <f aca="false">IF(OR($B468="",$E468="",$F468=""),"",MAX(0,F468-E468+1))</f>
        <v/>
      </c>
      <c r="H468" s="66" t="str">
        <f aca="false">IF(D468="","",IFERROR(VLOOKUP(D468,cfg_LT,2,FALSE()),1))</f>
        <v/>
      </c>
      <c r="I468" s="135"/>
      <c r="J468" s="66" t="str">
        <f aca="false">IF(D468="","",IF(I468&lt;&gt;"",I468,H468))</f>
        <v/>
      </c>
      <c r="K468" s="114" t="str">
        <f aca="false">IF(D468="","",IFERROR(VLOOKUP($D468,cfg_LT,3,FALSE()),""))</f>
        <v/>
      </c>
      <c r="L468" s="114" t="str">
        <f aca="false">IF(D468="","",IFERROR(VLOOKUP($D468,cfg_LT,4,FALSE()),""))</f>
        <v/>
      </c>
      <c r="M468" s="114" t="str">
        <f aca="false">IF(D468="","",IFERROR(VLOOKUP($D468,cfg_LT,5,FALSE()),""))</f>
        <v/>
      </c>
      <c r="N468" s="111" t="n">
        <f aca="false">IF(OR(OR($B468="",$E468="",$F468=""),M468&lt;&gt;"نعم"),0,G468*J468*IFERROR(INDEX(الموظفون!$R$6:$R$105,MATCH(B468,الموظفون!$B$6:$B$105,0)),0)/cfg_DAYS_M)</f>
        <v>0</v>
      </c>
      <c r="O468" s="106" t="str">
        <f aca="false">IF(OR(OR($B468="",$E468="",$F468=""),M468&lt;&gt;"نعم"),"",IF(YEAR(E468)=cfg_FY,MONTH(E468),""))</f>
        <v/>
      </c>
      <c r="P468" s="114" t="str">
        <f aca="false">IF(B468="","",IF(OR(D468="",E468="",F468=""),"⚠ أكمل النوع والتواريخ",IF(F468&lt;E468,"✖ النهاية قبل البداية",IF(COUNTIFS($B$6:$B$505,B468,$E$6:$E$505,"&lt;="&amp;F468,$F$6:$F$505,"&gt;="&amp;E468)&gt;1,"⚠ تداخل مع سجل آخر",IF(E468&gt;cfg_VAL_DATE,"⏳ قادمة",IF(F468&lt;cfg_VAL_DATE,"✔ منتهية","✈ جارية في تاريخ التقرير"))))))</f>
        <v/>
      </c>
      <c r="Q468" s="118"/>
      <c r="R468" s="65" t="n">
        <f aca="false">IF(OR(OR($B468="",$E468="",$F468=""),L468&lt;&gt;"لا"),0,MAX(0,MIN(F468,cfg_Y_START-1)-E468+1))</f>
        <v>0</v>
      </c>
      <c r="S468" s="65" t="n">
        <f aca="false">IF(OR(OR($B468="",$E468="",$F468=""),L468&lt;&gt;"لا"),0,MAX(0,MIN(F468,cfg_VAL_DATE)-E468+1))</f>
        <v>0</v>
      </c>
      <c r="T468" s="65" t="n">
        <f aca="false">IF(OR(OR($B468="",$E468="",$F468=""),K468&lt;&gt;"نعم"),0,IF(M468="نعم",IF(AND(ISNUMBER(O468),N(O468)&lt;=cfg_VAL_M),G468,0),MAX(0,MIN(F468,cfg_VAL_DATE)-MAX(E468,cfg_Y_START)+1)))</f>
        <v>0</v>
      </c>
      <c r="V468" s="65" t="n">
        <f aca="false">IF(OR($B468="",$E468="",$F468=""),0,MAX(0,MIN($F468,EOMONTH(DATE(cfg_FY,1,1),0))-MAX($E468,DATE(cfg_FY,1,1))+1)*(1-IF($M468="نعم",0,N($J468))))</f>
        <v>0</v>
      </c>
      <c r="W468" s="65" t="n">
        <f aca="false">IF(OR($B468="",$E468="",$F468=""),0,MAX(0,MIN($F468,EOMONTH(DATE(cfg_FY,2,1),0))-MAX($E468,DATE(cfg_FY,2,1))+1)*(1-IF($M468="نعم",0,N($J468))))</f>
        <v>0</v>
      </c>
      <c r="X468" s="65" t="n">
        <f aca="false">IF(OR($B468="",$E468="",$F468=""),0,MAX(0,MIN($F468,EOMONTH(DATE(cfg_FY,3,1),0))-MAX($E468,DATE(cfg_FY,3,1))+1)*(1-IF($M468="نعم",0,N($J468))))</f>
        <v>0</v>
      </c>
      <c r="Y468" s="65" t="n">
        <f aca="false">IF(OR($B468="",$E468="",$F468=""),0,MAX(0,MIN($F468,EOMONTH(DATE(cfg_FY,4,1),0))-MAX($E468,DATE(cfg_FY,4,1))+1)*(1-IF($M468="نعم",0,N($J468))))</f>
        <v>0</v>
      </c>
      <c r="Z468" s="65" t="n">
        <f aca="false">IF(OR($B468="",$E468="",$F468=""),0,MAX(0,MIN($F468,EOMONTH(DATE(cfg_FY,5,1),0))-MAX($E468,DATE(cfg_FY,5,1))+1)*(1-IF($M468="نعم",0,N($J468))))</f>
        <v>0</v>
      </c>
      <c r="AA468" s="65" t="n">
        <f aca="false">IF(OR($B468="",$E468="",$F468=""),0,MAX(0,MIN($F468,EOMONTH(DATE(cfg_FY,6,1),0))-MAX($E468,DATE(cfg_FY,6,1))+1)*(1-IF($M468="نعم",0,N($J468))))</f>
        <v>0</v>
      </c>
      <c r="AB468" s="65" t="n">
        <f aca="false">IF(OR($B468="",$E468="",$F468=""),0,MAX(0,MIN($F468,EOMONTH(DATE(cfg_FY,7,1),0))-MAX($E468,DATE(cfg_FY,7,1))+1)*(1-IF($M468="نعم",0,N($J468))))</f>
        <v>0</v>
      </c>
      <c r="AC468" s="65" t="n">
        <f aca="false">IF(OR($B468="",$E468="",$F468=""),0,MAX(0,MIN($F468,EOMONTH(DATE(cfg_FY,8,1),0))-MAX($E468,DATE(cfg_FY,8,1))+1)*(1-IF($M468="نعم",0,N($J468))))</f>
        <v>0</v>
      </c>
      <c r="AD468" s="65" t="n">
        <f aca="false">IF(OR($B468="",$E468="",$F468=""),0,MAX(0,MIN($F468,EOMONTH(DATE(cfg_FY,9,1),0))-MAX($E468,DATE(cfg_FY,9,1))+1)*(1-IF($M468="نعم",0,N($J468))))</f>
        <v>0</v>
      </c>
      <c r="AE468" s="65" t="n">
        <f aca="false">IF(OR($B468="",$E468="",$F468=""),0,MAX(0,MIN($F468,EOMONTH(DATE(cfg_FY,10,1),0))-MAX($E468,DATE(cfg_FY,10,1))+1)*(1-IF($M468="نعم",0,N($J468))))</f>
        <v>0</v>
      </c>
      <c r="AF468" s="65" t="n">
        <f aca="false">IF(OR($B468="",$E468="",$F468=""),0,MAX(0,MIN($F468,EOMONTH(DATE(cfg_FY,11,1),0))-MAX($E468,DATE(cfg_FY,11,1))+1)*(1-IF($M468="نعم",0,N($J468))))</f>
        <v>0</v>
      </c>
      <c r="AG468" s="65" t="n">
        <f aca="false">IF(OR($B468="",$E468="",$F468=""),0,MAX(0,MIN($F468,EOMONTH(DATE(cfg_FY,12,1),0))-MAX($E468,DATE(cfg_FY,12,1))+1)*(1-IF($M468="نعم",0,N($J468))))</f>
        <v>0</v>
      </c>
      <c r="AH468" s="65" t="n">
        <f aca="false">IF(OR(OR($B468="",$E468="",$F468=""),$L468&lt;&gt;"لا"),0,MAX(0,MIN($F468,EOMONTH(DATE(cfg_FY,1,1),0))-$E468+1))</f>
        <v>0</v>
      </c>
      <c r="AI468" s="65" t="n">
        <f aca="false">IF(OR(OR($B468="",$E468="",$F468=""),$L468&lt;&gt;"لا"),0,MAX(0,MIN($F468,EOMONTH(DATE(cfg_FY,2,1),0))-$E468+1))</f>
        <v>0</v>
      </c>
      <c r="AJ468" s="65" t="n">
        <f aca="false">IF(OR(OR($B468="",$E468="",$F468=""),$L468&lt;&gt;"لا"),0,MAX(0,MIN($F468,EOMONTH(DATE(cfg_FY,3,1),0))-$E468+1))</f>
        <v>0</v>
      </c>
      <c r="AK468" s="65" t="n">
        <f aca="false">IF(OR(OR($B468="",$E468="",$F468=""),$L468&lt;&gt;"لا"),0,MAX(0,MIN($F468,EOMONTH(DATE(cfg_FY,4,1),0))-$E468+1))</f>
        <v>0</v>
      </c>
      <c r="AL468" s="65" t="n">
        <f aca="false">IF(OR(OR($B468="",$E468="",$F468=""),$L468&lt;&gt;"لا"),0,MAX(0,MIN($F468,EOMONTH(DATE(cfg_FY,5,1),0))-$E468+1))</f>
        <v>0</v>
      </c>
      <c r="AM468" s="65" t="n">
        <f aca="false">IF(OR(OR($B468="",$E468="",$F468=""),$L468&lt;&gt;"لا"),0,MAX(0,MIN($F468,EOMONTH(DATE(cfg_FY,6,1),0))-$E468+1))</f>
        <v>0</v>
      </c>
      <c r="AN468" s="65" t="n">
        <f aca="false">IF(OR(OR($B468="",$E468="",$F468=""),$L468&lt;&gt;"لا"),0,MAX(0,MIN($F468,EOMONTH(DATE(cfg_FY,7,1),0))-$E468+1))</f>
        <v>0</v>
      </c>
      <c r="AO468" s="65" t="n">
        <f aca="false">IF(OR(OR($B468="",$E468="",$F468=""),$L468&lt;&gt;"لا"),0,MAX(0,MIN($F468,EOMONTH(DATE(cfg_FY,8,1),0))-$E468+1))</f>
        <v>0</v>
      </c>
      <c r="AP468" s="65" t="n">
        <f aca="false">IF(OR(OR($B468="",$E468="",$F468=""),$L468&lt;&gt;"لا"),0,MAX(0,MIN($F468,EOMONTH(DATE(cfg_FY,9,1),0))-$E468+1))</f>
        <v>0</v>
      </c>
      <c r="AQ468" s="65" t="n">
        <f aca="false">IF(OR(OR($B468="",$E468="",$F468=""),$L468&lt;&gt;"لا"),0,MAX(0,MIN($F468,EOMONTH(DATE(cfg_FY,10,1),0))-$E468+1))</f>
        <v>0</v>
      </c>
      <c r="AR468" s="65" t="n">
        <f aca="false">IF(OR(OR($B468="",$E468="",$F468=""),$L468&lt;&gt;"لا"),0,MAX(0,MIN($F468,EOMONTH(DATE(cfg_FY,11,1),0))-$E468+1))</f>
        <v>0</v>
      </c>
      <c r="AS468" s="65" t="n">
        <f aca="false">IF(OR(OR($B468="",$E468="",$F468=""),$L468&lt;&gt;"لا"),0,MAX(0,MIN($F468,EOMONTH(DATE(cfg_FY,12,1),0))-$E468+1))</f>
        <v>0</v>
      </c>
      <c r="AT468" s="65" t="n">
        <f aca="false">IF(OR(OR($B468="",$E468="",$F468=""),$K468&lt;&gt;"نعم",$M468="نعم"),0,MAX(0,MIN($F468,EOMONTH(DATE(cfg_FY,1,1),0))-MAX($E468,DATE(cfg_FY,1,1))+1))</f>
        <v>0</v>
      </c>
      <c r="AU468" s="65" t="n">
        <f aca="false">IF(OR(OR($B468="",$E468="",$F468=""),$K468&lt;&gt;"نعم",$M468="نعم"),0,MAX(0,MIN($F468,EOMONTH(DATE(cfg_FY,2,1),0))-MAX($E468,DATE(cfg_FY,2,1))+1))</f>
        <v>0</v>
      </c>
      <c r="AV468" s="65" t="n">
        <f aca="false">IF(OR(OR($B468="",$E468="",$F468=""),$K468&lt;&gt;"نعم",$M468="نعم"),0,MAX(0,MIN($F468,EOMONTH(DATE(cfg_FY,3,1),0))-MAX($E468,DATE(cfg_FY,3,1))+1))</f>
        <v>0</v>
      </c>
      <c r="AW468" s="65" t="n">
        <f aca="false">IF(OR(OR($B468="",$E468="",$F468=""),$K468&lt;&gt;"نعم",$M468="نعم"),0,MAX(0,MIN($F468,EOMONTH(DATE(cfg_FY,4,1),0))-MAX($E468,DATE(cfg_FY,4,1))+1))</f>
        <v>0</v>
      </c>
      <c r="AX468" s="65" t="n">
        <f aca="false">IF(OR(OR($B468="",$E468="",$F468=""),$K468&lt;&gt;"نعم",$M468="نعم"),0,MAX(0,MIN($F468,EOMONTH(DATE(cfg_FY,5,1),0))-MAX($E468,DATE(cfg_FY,5,1))+1))</f>
        <v>0</v>
      </c>
      <c r="AY468" s="65" t="n">
        <f aca="false">IF(OR(OR($B468="",$E468="",$F468=""),$K468&lt;&gt;"نعم",$M468="نعم"),0,MAX(0,MIN($F468,EOMONTH(DATE(cfg_FY,6,1),0))-MAX($E468,DATE(cfg_FY,6,1))+1))</f>
        <v>0</v>
      </c>
      <c r="AZ468" s="65" t="n">
        <f aca="false">IF(OR(OR($B468="",$E468="",$F468=""),$K468&lt;&gt;"نعم",$M468="نعم"),0,MAX(0,MIN($F468,EOMONTH(DATE(cfg_FY,7,1),0))-MAX($E468,DATE(cfg_FY,7,1))+1))</f>
        <v>0</v>
      </c>
      <c r="BA468" s="65" t="n">
        <f aca="false">IF(OR(OR($B468="",$E468="",$F468=""),$K468&lt;&gt;"نعم",$M468="نعم"),0,MAX(0,MIN($F468,EOMONTH(DATE(cfg_FY,8,1),0))-MAX($E468,DATE(cfg_FY,8,1))+1))</f>
        <v>0</v>
      </c>
      <c r="BB468" s="65" t="n">
        <f aca="false">IF(OR(OR($B468="",$E468="",$F468=""),$K468&lt;&gt;"نعم",$M468="نعم"),0,MAX(0,MIN($F468,EOMONTH(DATE(cfg_FY,9,1),0))-MAX($E468,DATE(cfg_FY,9,1))+1))</f>
        <v>0</v>
      </c>
      <c r="BC468" s="65" t="n">
        <f aca="false">IF(OR(OR($B468="",$E468="",$F468=""),$K468&lt;&gt;"نعم",$M468="نعم"),0,MAX(0,MIN($F468,EOMONTH(DATE(cfg_FY,10,1),0))-MAX($E468,DATE(cfg_FY,10,1))+1))</f>
        <v>0</v>
      </c>
      <c r="BD468" s="65" t="n">
        <f aca="false">IF(OR(OR($B468="",$E468="",$F468=""),$K468&lt;&gt;"نعم",$M468="نعم"),0,MAX(0,MIN($F468,EOMONTH(DATE(cfg_FY,11,1),0))-MAX($E468,DATE(cfg_FY,11,1))+1))</f>
        <v>0</v>
      </c>
      <c r="BE468" s="65" t="n">
        <f aca="false">IF(OR(OR($B468="",$E468="",$F468=""),$K468&lt;&gt;"نعم",$M468="نعم"),0,MAX(0,MIN($F468,EOMONTH(DATE(cfg_FY,12,1),0))-MAX($E468,DATE(cfg_FY,12,1))+1))</f>
        <v>0</v>
      </c>
    </row>
    <row r="469" customFormat="false" ht="15" hidden="false" customHeight="false" outlineLevel="0" collapsed="false">
      <c r="A469" s="115" t="str">
        <f aca="false">IF(B469="","",ROW()-5)</f>
        <v/>
      </c>
      <c r="B469" s="118"/>
      <c r="C469" s="117" t="str">
        <f aca="false">IF(B469="","",IFERROR(INDEX(الموظفون!$C$6:$C$105,MATCH(B469,الموظفون!$B$6:$B$105,0)),"✖ رقم غير موجود"))</f>
        <v/>
      </c>
      <c r="D469" s="118"/>
      <c r="E469" s="119"/>
      <c r="F469" s="119"/>
      <c r="G469" s="133" t="str">
        <f aca="false">IF(OR($B469="",$E469="",$F469=""),"",MAX(0,F469-E469+1))</f>
        <v/>
      </c>
      <c r="H469" s="134" t="str">
        <f aca="false">IF(D469="","",IFERROR(VLOOKUP(D469,cfg_LT,2,FALSE()),1))</f>
        <v/>
      </c>
      <c r="I469" s="135"/>
      <c r="J469" s="134" t="str">
        <f aca="false">IF(D469="","",IF(I469&lt;&gt;"",I469,H469))</f>
        <v/>
      </c>
      <c r="K469" s="117" t="str">
        <f aca="false">IF(D469="","",IFERROR(VLOOKUP($D469,cfg_LT,3,FALSE()),""))</f>
        <v/>
      </c>
      <c r="L469" s="117" t="str">
        <f aca="false">IF(D469="","",IFERROR(VLOOKUP($D469,cfg_LT,4,FALSE()),""))</f>
        <v/>
      </c>
      <c r="M469" s="117" t="str">
        <f aca="false">IF(D469="","",IFERROR(VLOOKUP($D469,cfg_LT,5,FALSE()),""))</f>
        <v/>
      </c>
      <c r="N469" s="116" t="n">
        <f aca="false">IF(OR(OR($B469="",$E469="",$F469=""),M469&lt;&gt;"نعم"),0,G469*J469*IFERROR(INDEX(الموظفون!$R$6:$R$105,MATCH(B469,الموظفون!$B$6:$B$105,0)),0)/cfg_DAYS_M)</f>
        <v>0</v>
      </c>
      <c r="O469" s="115" t="str">
        <f aca="false">IF(OR(OR($B469="",$E469="",$F469=""),M469&lt;&gt;"نعم"),"",IF(YEAR(E469)=cfg_FY,MONTH(E469),""))</f>
        <v/>
      </c>
      <c r="P469" s="117" t="str">
        <f aca="false">IF(B469="","",IF(OR(D469="",E469="",F469=""),"⚠ أكمل النوع والتواريخ",IF(F469&lt;E469,"✖ النهاية قبل البداية",IF(COUNTIFS($B$6:$B$505,B469,$E$6:$E$505,"&lt;="&amp;F469,$F$6:$F$505,"&gt;="&amp;E469)&gt;1,"⚠ تداخل مع سجل آخر",IF(E469&gt;cfg_VAL_DATE,"⏳ قادمة",IF(F469&lt;cfg_VAL_DATE,"✔ منتهية","✈ جارية في تاريخ التقرير"))))))</f>
        <v/>
      </c>
      <c r="Q469" s="118"/>
      <c r="R469" s="133" t="n">
        <f aca="false">IF(OR(OR($B469="",$E469="",$F469=""),L469&lt;&gt;"لا"),0,MAX(0,MIN(F469,cfg_Y_START-1)-E469+1))</f>
        <v>0</v>
      </c>
      <c r="S469" s="133" t="n">
        <f aca="false">IF(OR(OR($B469="",$E469="",$F469=""),L469&lt;&gt;"لا"),0,MAX(0,MIN(F469,cfg_VAL_DATE)-E469+1))</f>
        <v>0</v>
      </c>
      <c r="T469" s="133" t="n">
        <f aca="false">IF(OR(OR($B469="",$E469="",$F469=""),K469&lt;&gt;"نعم"),0,IF(M469="نعم",IF(AND(ISNUMBER(O469),N(O469)&lt;=cfg_VAL_M),G469,0),MAX(0,MIN(F469,cfg_VAL_DATE)-MAX(E469,cfg_Y_START)+1)))</f>
        <v>0</v>
      </c>
      <c r="V469" s="133" t="n">
        <f aca="false">IF(OR($B469="",$E469="",$F469=""),0,MAX(0,MIN($F469,EOMONTH(DATE(cfg_FY,1,1),0))-MAX($E469,DATE(cfg_FY,1,1))+1)*(1-IF($M469="نعم",0,N($J469))))</f>
        <v>0</v>
      </c>
      <c r="W469" s="133" t="n">
        <f aca="false">IF(OR($B469="",$E469="",$F469=""),0,MAX(0,MIN($F469,EOMONTH(DATE(cfg_FY,2,1),0))-MAX($E469,DATE(cfg_FY,2,1))+1)*(1-IF($M469="نعم",0,N($J469))))</f>
        <v>0</v>
      </c>
      <c r="X469" s="133" t="n">
        <f aca="false">IF(OR($B469="",$E469="",$F469=""),0,MAX(0,MIN($F469,EOMONTH(DATE(cfg_FY,3,1),0))-MAX($E469,DATE(cfg_FY,3,1))+1)*(1-IF($M469="نعم",0,N($J469))))</f>
        <v>0</v>
      </c>
      <c r="Y469" s="133" t="n">
        <f aca="false">IF(OR($B469="",$E469="",$F469=""),0,MAX(0,MIN($F469,EOMONTH(DATE(cfg_FY,4,1),0))-MAX($E469,DATE(cfg_FY,4,1))+1)*(1-IF($M469="نعم",0,N($J469))))</f>
        <v>0</v>
      </c>
      <c r="Z469" s="133" t="n">
        <f aca="false">IF(OR($B469="",$E469="",$F469=""),0,MAX(0,MIN($F469,EOMONTH(DATE(cfg_FY,5,1),0))-MAX($E469,DATE(cfg_FY,5,1))+1)*(1-IF($M469="نعم",0,N($J469))))</f>
        <v>0</v>
      </c>
      <c r="AA469" s="133" t="n">
        <f aca="false">IF(OR($B469="",$E469="",$F469=""),0,MAX(0,MIN($F469,EOMONTH(DATE(cfg_FY,6,1),0))-MAX($E469,DATE(cfg_FY,6,1))+1)*(1-IF($M469="نعم",0,N($J469))))</f>
        <v>0</v>
      </c>
      <c r="AB469" s="133" t="n">
        <f aca="false">IF(OR($B469="",$E469="",$F469=""),0,MAX(0,MIN($F469,EOMONTH(DATE(cfg_FY,7,1),0))-MAX($E469,DATE(cfg_FY,7,1))+1)*(1-IF($M469="نعم",0,N($J469))))</f>
        <v>0</v>
      </c>
      <c r="AC469" s="133" t="n">
        <f aca="false">IF(OR($B469="",$E469="",$F469=""),0,MAX(0,MIN($F469,EOMONTH(DATE(cfg_FY,8,1),0))-MAX($E469,DATE(cfg_FY,8,1))+1)*(1-IF($M469="نعم",0,N($J469))))</f>
        <v>0</v>
      </c>
      <c r="AD469" s="133" t="n">
        <f aca="false">IF(OR($B469="",$E469="",$F469=""),0,MAX(0,MIN($F469,EOMONTH(DATE(cfg_FY,9,1),0))-MAX($E469,DATE(cfg_FY,9,1))+1)*(1-IF($M469="نعم",0,N($J469))))</f>
        <v>0</v>
      </c>
      <c r="AE469" s="133" t="n">
        <f aca="false">IF(OR($B469="",$E469="",$F469=""),0,MAX(0,MIN($F469,EOMONTH(DATE(cfg_FY,10,1),0))-MAX($E469,DATE(cfg_FY,10,1))+1)*(1-IF($M469="نعم",0,N($J469))))</f>
        <v>0</v>
      </c>
      <c r="AF469" s="133" t="n">
        <f aca="false">IF(OR($B469="",$E469="",$F469=""),0,MAX(0,MIN($F469,EOMONTH(DATE(cfg_FY,11,1),0))-MAX($E469,DATE(cfg_FY,11,1))+1)*(1-IF($M469="نعم",0,N($J469))))</f>
        <v>0</v>
      </c>
      <c r="AG469" s="133" t="n">
        <f aca="false">IF(OR($B469="",$E469="",$F469=""),0,MAX(0,MIN($F469,EOMONTH(DATE(cfg_FY,12,1),0))-MAX($E469,DATE(cfg_FY,12,1))+1)*(1-IF($M469="نعم",0,N($J469))))</f>
        <v>0</v>
      </c>
      <c r="AH469" s="133" t="n">
        <f aca="false">IF(OR(OR($B469="",$E469="",$F469=""),$L469&lt;&gt;"لا"),0,MAX(0,MIN($F469,EOMONTH(DATE(cfg_FY,1,1),0))-$E469+1))</f>
        <v>0</v>
      </c>
      <c r="AI469" s="133" t="n">
        <f aca="false">IF(OR(OR($B469="",$E469="",$F469=""),$L469&lt;&gt;"لا"),0,MAX(0,MIN($F469,EOMONTH(DATE(cfg_FY,2,1),0))-$E469+1))</f>
        <v>0</v>
      </c>
      <c r="AJ469" s="133" t="n">
        <f aca="false">IF(OR(OR($B469="",$E469="",$F469=""),$L469&lt;&gt;"لا"),0,MAX(0,MIN($F469,EOMONTH(DATE(cfg_FY,3,1),0))-$E469+1))</f>
        <v>0</v>
      </c>
      <c r="AK469" s="133" t="n">
        <f aca="false">IF(OR(OR($B469="",$E469="",$F469=""),$L469&lt;&gt;"لا"),0,MAX(0,MIN($F469,EOMONTH(DATE(cfg_FY,4,1),0))-$E469+1))</f>
        <v>0</v>
      </c>
      <c r="AL469" s="133" t="n">
        <f aca="false">IF(OR(OR($B469="",$E469="",$F469=""),$L469&lt;&gt;"لا"),0,MAX(0,MIN($F469,EOMONTH(DATE(cfg_FY,5,1),0))-$E469+1))</f>
        <v>0</v>
      </c>
      <c r="AM469" s="133" t="n">
        <f aca="false">IF(OR(OR($B469="",$E469="",$F469=""),$L469&lt;&gt;"لا"),0,MAX(0,MIN($F469,EOMONTH(DATE(cfg_FY,6,1),0))-$E469+1))</f>
        <v>0</v>
      </c>
      <c r="AN469" s="133" t="n">
        <f aca="false">IF(OR(OR($B469="",$E469="",$F469=""),$L469&lt;&gt;"لا"),0,MAX(0,MIN($F469,EOMONTH(DATE(cfg_FY,7,1),0))-$E469+1))</f>
        <v>0</v>
      </c>
      <c r="AO469" s="133" t="n">
        <f aca="false">IF(OR(OR($B469="",$E469="",$F469=""),$L469&lt;&gt;"لا"),0,MAX(0,MIN($F469,EOMONTH(DATE(cfg_FY,8,1),0))-$E469+1))</f>
        <v>0</v>
      </c>
      <c r="AP469" s="133" t="n">
        <f aca="false">IF(OR(OR($B469="",$E469="",$F469=""),$L469&lt;&gt;"لا"),0,MAX(0,MIN($F469,EOMONTH(DATE(cfg_FY,9,1),0))-$E469+1))</f>
        <v>0</v>
      </c>
      <c r="AQ469" s="133" t="n">
        <f aca="false">IF(OR(OR($B469="",$E469="",$F469=""),$L469&lt;&gt;"لا"),0,MAX(0,MIN($F469,EOMONTH(DATE(cfg_FY,10,1),0))-$E469+1))</f>
        <v>0</v>
      </c>
      <c r="AR469" s="133" t="n">
        <f aca="false">IF(OR(OR($B469="",$E469="",$F469=""),$L469&lt;&gt;"لا"),0,MAX(0,MIN($F469,EOMONTH(DATE(cfg_FY,11,1),0))-$E469+1))</f>
        <v>0</v>
      </c>
      <c r="AS469" s="133" t="n">
        <f aca="false">IF(OR(OR($B469="",$E469="",$F469=""),$L469&lt;&gt;"لا"),0,MAX(0,MIN($F469,EOMONTH(DATE(cfg_FY,12,1),0))-$E469+1))</f>
        <v>0</v>
      </c>
      <c r="AT469" s="133" t="n">
        <f aca="false">IF(OR(OR($B469="",$E469="",$F469=""),$K469&lt;&gt;"نعم",$M469="نعم"),0,MAX(0,MIN($F469,EOMONTH(DATE(cfg_FY,1,1),0))-MAX($E469,DATE(cfg_FY,1,1))+1))</f>
        <v>0</v>
      </c>
      <c r="AU469" s="133" t="n">
        <f aca="false">IF(OR(OR($B469="",$E469="",$F469=""),$K469&lt;&gt;"نعم",$M469="نعم"),0,MAX(0,MIN($F469,EOMONTH(DATE(cfg_FY,2,1),0))-MAX($E469,DATE(cfg_FY,2,1))+1))</f>
        <v>0</v>
      </c>
      <c r="AV469" s="133" t="n">
        <f aca="false">IF(OR(OR($B469="",$E469="",$F469=""),$K469&lt;&gt;"نعم",$M469="نعم"),0,MAX(0,MIN($F469,EOMONTH(DATE(cfg_FY,3,1),0))-MAX($E469,DATE(cfg_FY,3,1))+1))</f>
        <v>0</v>
      </c>
      <c r="AW469" s="133" t="n">
        <f aca="false">IF(OR(OR($B469="",$E469="",$F469=""),$K469&lt;&gt;"نعم",$M469="نعم"),0,MAX(0,MIN($F469,EOMONTH(DATE(cfg_FY,4,1),0))-MAX($E469,DATE(cfg_FY,4,1))+1))</f>
        <v>0</v>
      </c>
      <c r="AX469" s="133" t="n">
        <f aca="false">IF(OR(OR($B469="",$E469="",$F469=""),$K469&lt;&gt;"نعم",$M469="نعم"),0,MAX(0,MIN($F469,EOMONTH(DATE(cfg_FY,5,1),0))-MAX($E469,DATE(cfg_FY,5,1))+1))</f>
        <v>0</v>
      </c>
      <c r="AY469" s="133" t="n">
        <f aca="false">IF(OR(OR($B469="",$E469="",$F469=""),$K469&lt;&gt;"نعم",$M469="نعم"),0,MAX(0,MIN($F469,EOMONTH(DATE(cfg_FY,6,1),0))-MAX($E469,DATE(cfg_FY,6,1))+1))</f>
        <v>0</v>
      </c>
      <c r="AZ469" s="133" t="n">
        <f aca="false">IF(OR(OR($B469="",$E469="",$F469=""),$K469&lt;&gt;"نعم",$M469="نعم"),0,MAX(0,MIN($F469,EOMONTH(DATE(cfg_FY,7,1),0))-MAX($E469,DATE(cfg_FY,7,1))+1))</f>
        <v>0</v>
      </c>
      <c r="BA469" s="133" t="n">
        <f aca="false">IF(OR(OR($B469="",$E469="",$F469=""),$K469&lt;&gt;"نعم",$M469="نعم"),0,MAX(0,MIN($F469,EOMONTH(DATE(cfg_FY,8,1),0))-MAX($E469,DATE(cfg_FY,8,1))+1))</f>
        <v>0</v>
      </c>
      <c r="BB469" s="133" t="n">
        <f aca="false">IF(OR(OR($B469="",$E469="",$F469=""),$K469&lt;&gt;"نعم",$M469="نعم"),0,MAX(0,MIN($F469,EOMONTH(DATE(cfg_FY,9,1),0))-MAX($E469,DATE(cfg_FY,9,1))+1))</f>
        <v>0</v>
      </c>
      <c r="BC469" s="133" t="n">
        <f aca="false">IF(OR(OR($B469="",$E469="",$F469=""),$K469&lt;&gt;"نعم",$M469="نعم"),0,MAX(0,MIN($F469,EOMONTH(DATE(cfg_FY,10,1),0))-MAX($E469,DATE(cfg_FY,10,1))+1))</f>
        <v>0</v>
      </c>
      <c r="BD469" s="133" t="n">
        <f aca="false">IF(OR(OR($B469="",$E469="",$F469=""),$K469&lt;&gt;"نعم",$M469="نعم"),0,MAX(0,MIN($F469,EOMONTH(DATE(cfg_FY,11,1),0))-MAX($E469,DATE(cfg_FY,11,1))+1))</f>
        <v>0</v>
      </c>
      <c r="BE469" s="133" t="n">
        <f aca="false">IF(OR(OR($B469="",$E469="",$F469=""),$K469&lt;&gt;"نعم",$M469="نعم"),0,MAX(0,MIN($F469,EOMONTH(DATE(cfg_FY,12,1),0))-MAX($E469,DATE(cfg_FY,12,1))+1))</f>
        <v>0</v>
      </c>
    </row>
    <row r="470" customFormat="false" ht="15" hidden="false" customHeight="false" outlineLevel="0" collapsed="false">
      <c r="A470" s="106" t="str">
        <f aca="false">IF(B470="","",ROW()-5)</f>
        <v/>
      </c>
      <c r="B470" s="118"/>
      <c r="C470" s="114" t="str">
        <f aca="false">IF(B470="","",IFERROR(INDEX(الموظفون!$C$6:$C$105,MATCH(B470,الموظفون!$B$6:$B$105,0)),"✖ رقم غير موجود"))</f>
        <v/>
      </c>
      <c r="D470" s="118"/>
      <c r="E470" s="119"/>
      <c r="F470" s="119"/>
      <c r="G470" s="65" t="str">
        <f aca="false">IF(OR($B470="",$E470="",$F470=""),"",MAX(0,F470-E470+1))</f>
        <v/>
      </c>
      <c r="H470" s="66" t="str">
        <f aca="false">IF(D470="","",IFERROR(VLOOKUP(D470,cfg_LT,2,FALSE()),1))</f>
        <v/>
      </c>
      <c r="I470" s="135"/>
      <c r="J470" s="66" t="str">
        <f aca="false">IF(D470="","",IF(I470&lt;&gt;"",I470,H470))</f>
        <v/>
      </c>
      <c r="K470" s="114" t="str">
        <f aca="false">IF(D470="","",IFERROR(VLOOKUP($D470,cfg_LT,3,FALSE()),""))</f>
        <v/>
      </c>
      <c r="L470" s="114" t="str">
        <f aca="false">IF(D470="","",IFERROR(VLOOKUP($D470,cfg_LT,4,FALSE()),""))</f>
        <v/>
      </c>
      <c r="M470" s="114" t="str">
        <f aca="false">IF(D470="","",IFERROR(VLOOKUP($D470,cfg_LT,5,FALSE()),""))</f>
        <v/>
      </c>
      <c r="N470" s="111" t="n">
        <f aca="false">IF(OR(OR($B470="",$E470="",$F470=""),M470&lt;&gt;"نعم"),0,G470*J470*IFERROR(INDEX(الموظفون!$R$6:$R$105,MATCH(B470,الموظفون!$B$6:$B$105,0)),0)/cfg_DAYS_M)</f>
        <v>0</v>
      </c>
      <c r="O470" s="106" t="str">
        <f aca="false">IF(OR(OR($B470="",$E470="",$F470=""),M470&lt;&gt;"نعم"),"",IF(YEAR(E470)=cfg_FY,MONTH(E470),""))</f>
        <v/>
      </c>
      <c r="P470" s="114" t="str">
        <f aca="false">IF(B470="","",IF(OR(D470="",E470="",F470=""),"⚠ أكمل النوع والتواريخ",IF(F470&lt;E470,"✖ النهاية قبل البداية",IF(COUNTIFS($B$6:$B$505,B470,$E$6:$E$505,"&lt;="&amp;F470,$F$6:$F$505,"&gt;="&amp;E470)&gt;1,"⚠ تداخل مع سجل آخر",IF(E470&gt;cfg_VAL_DATE,"⏳ قادمة",IF(F470&lt;cfg_VAL_DATE,"✔ منتهية","✈ جارية في تاريخ التقرير"))))))</f>
        <v/>
      </c>
      <c r="Q470" s="118"/>
      <c r="R470" s="65" t="n">
        <f aca="false">IF(OR(OR($B470="",$E470="",$F470=""),L470&lt;&gt;"لا"),0,MAX(0,MIN(F470,cfg_Y_START-1)-E470+1))</f>
        <v>0</v>
      </c>
      <c r="S470" s="65" t="n">
        <f aca="false">IF(OR(OR($B470="",$E470="",$F470=""),L470&lt;&gt;"لا"),0,MAX(0,MIN(F470,cfg_VAL_DATE)-E470+1))</f>
        <v>0</v>
      </c>
      <c r="T470" s="65" t="n">
        <f aca="false">IF(OR(OR($B470="",$E470="",$F470=""),K470&lt;&gt;"نعم"),0,IF(M470="نعم",IF(AND(ISNUMBER(O470),N(O470)&lt;=cfg_VAL_M),G470,0),MAX(0,MIN(F470,cfg_VAL_DATE)-MAX(E470,cfg_Y_START)+1)))</f>
        <v>0</v>
      </c>
      <c r="V470" s="65" t="n">
        <f aca="false">IF(OR($B470="",$E470="",$F470=""),0,MAX(0,MIN($F470,EOMONTH(DATE(cfg_FY,1,1),0))-MAX($E470,DATE(cfg_FY,1,1))+1)*(1-IF($M470="نعم",0,N($J470))))</f>
        <v>0</v>
      </c>
      <c r="W470" s="65" t="n">
        <f aca="false">IF(OR($B470="",$E470="",$F470=""),0,MAX(0,MIN($F470,EOMONTH(DATE(cfg_FY,2,1),0))-MAX($E470,DATE(cfg_FY,2,1))+1)*(1-IF($M470="نعم",0,N($J470))))</f>
        <v>0</v>
      </c>
      <c r="X470" s="65" t="n">
        <f aca="false">IF(OR($B470="",$E470="",$F470=""),0,MAX(0,MIN($F470,EOMONTH(DATE(cfg_FY,3,1),0))-MAX($E470,DATE(cfg_FY,3,1))+1)*(1-IF($M470="نعم",0,N($J470))))</f>
        <v>0</v>
      </c>
      <c r="Y470" s="65" t="n">
        <f aca="false">IF(OR($B470="",$E470="",$F470=""),0,MAX(0,MIN($F470,EOMONTH(DATE(cfg_FY,4,1),0))-MAX($E470,DATE(cfg_FY,4,1))+1)*(1-IF($M470="نعم",0,N($J470))))</f>
        <v>0</v>
      </c>
      <c r="Z470" s="65" t="n">
        <f aca="false">IF(OR($B470="",$E470="",$F470=""),0,MAX(0,MIN($F470,EOMONTH(DATE(cfg_FY,5,1),0))-MAX($E470,DATE(cfg_FY,5,1))+1)*(1-IF($M470="نعم",0,N($J470))))</f>
        <v>0</v>
      </c>
      <c r="AA470" s="65" t="n">
        <f aca="false">IF(OR($B470="",$E470="",$F470=""),0,MAX(0,MIN($F470,EOMONTH(DATE(cfg_FY,6,1),0))-MAX($E470,DATE(cfg_FY,6,1))+1)*(1-IF($M470="نعم",0,N($J470))))</f>
        <v>0</v>
      </c>
      <c r="AB470" s="65" t="n">
        <f aca="false">IF(OR($B470="",$E470="",$F470=""),0,MAX(0,MIN($F470,EOMONTH(DATE(cfg_FY,7,1),0))-MAX($E470,DATE(cfg_FY,7,1))+1)*(1-IF($M470="نعم",0,N($J470))))</f>
        <v>0</v>
      </c>
      <c r="AC470" s="65" t="n">
        <f aca="false">IF(OR($B470="",$E470="",$F470=""),0,MAX(0,MIN($F470,EOMONTH(DATE(cfg_FY,8,1),0))-MAX($E470,DATE(cfg_FY,8,1))+1)*(1-IF($M470="نعم",0,N($J470))))</f>
        <v>0</v>
      </c>
      <c r="AD470" s="65" t="n">
        <f aca="false">IF(OR($B470="",$E470="",$F470=""),0,MAX(0,MIN($F470,EOMONTH(DATE(cfg_FY,9,1),0))-MAX($E470,DATE(cfg_FY,9,1))+1)*(1-IF($M470="نعم",0,N($J470))))</f>
        <v>0</v>
      </c>
      <c r="AE470" s="65" t="n">
        <f aca="false">IF(OR($B470="",$E470="",$F470=""),0,MAX(0,MIN($F470,EOMONTH(DATE(cfg_FY,10,1),0))-MAX($E470,DATE(cfg_FY,10,1))+1)*(1-IF($M470="نعم",0,N($J470))))</f>
        <v>0</v>
      </c>
      <c r="AF470" s="65" t="n">
        <f aca="false">IF(OR($B470="",$E470="",$F470=""),0,MAX(0,MIN($F470,EOMONTH(DATE(cfg_FY,11,1),0))-MAX($E470,DATE(cfg_FY,11,1))+1)*(1-IF($M470="نعم",0,N($J470))))</f>
        <v>0</v>
      </c>
      <c r="AG470" s="65" t="n">
        <f aca="false">IF(OR($B470="",$E470="",$F470=""),0,MAX(0,MIN($F470,EOMONTH(DATE(cfg_FY,12,1),0))-MAX($E470,DATE(cfg_FY,12,1))+1)*(1-IF($M470="نعم",0,N($J470))))</f>
        <v>0</v>
      </c>
      <c r="AH470" s="65" t="n">
        <f aca="false">IF(OR(OR($B470="",$E470="",$F470=""),$L470&lt;&gt;"لا"),0,MAX(0,MIN($F470,EOMONTH(DATE(cfg_FY,1,1),0))-$E470+1))</f>
        <v>0</v>
      </c>
      <c r="AI470" s="65" t="n">
        <f aca="false">IF(OR(OR($B470="",$E470="",$F470=""),$L470&lt;&gt;"لا"),0,MAX(0,MIN($F470,EOMONTH(DATE(cfg_FY,2,1),0))-$E470+1))</f>
        <v>0</v>
      </c>
      <c r="AJ470" s="65" t="n">
        <f aca="false">IF(OR(OR($B470="",$E470="",$F470=""),$L470&lt;&gt;"لا"),0,MAX(0,MIN($F470,EOMONTH(DATE(cfg_FY,3,1),0))-$E470+1))</f>
        <v>0</v>
      </c>
      <c r="AK470" s="65" t="n">
        <f aca="false">IF(OR(OR($B470="",$E470="",$F470=""),$L470&lt;&gt;"لا"),0,MAX(0,MIN($F470,EOMONTH(DATE(cfg_FY,4,1),0))-$E470+1))</f>
        <v>0</v>
      </c>
      <c r="AL470" s="65" t="n">
        <f aca="false">IF(OR(OR($B470="",$E470="",$F470=""),$L470&lt;&gt;"لا"),0,MAX(0,MIN($F470,EOMONTH(DATE(cfg_FY,5,1),0))-$E470+1))</f>
        <v>0</v>
      </c>
      <c r="AM470" s="65" t="n">
        <f aca="false">IF(OR(OR($B470="",$E470="",$F470=""),$L470&lt;&gt;"لا"),0,MAX(0,MIN($F470,EOMONTH(DATE(cfg_FY,6,1),0))-$E470+1))</f>
        <v>0</v>
      </c>
      <c r="AN470" s="65" t="n">
        <f aca="false">IF(OR(OR($B470="",$E470="",$F470=""),$L470&lt;&gt;"لا"),0,MAX(0,MIN($F470,EOMONTH(DATE(cfg_FY,7,1),0))-$E470+1))</f>
        <v>0</v>
      </c>
      <c r="AO470" s="65" t="n">
        <f aca="false">IF(OR(OR($B470="",$E470="",$F470=""),$L470&lt;&gt;"لا"),0,MAX(0,MIN($F470,EOMONTH(DATE(cfg_FY,8,1),0))-$E470+1))</f>
        <v>0</v>
      </c>
      <c r="AP470" s="65" t="n">
        <f aca="false">IF(OR(OR($B470="",$E470="",$F470=""),$L470&lt;&gt;"لا"),0,MAX(0,MIN($F470,EOMONTH(DATE(cfg_FY,9,1),0))-$E470+1))</f>
        <v>0</v>
      </c>
      <c r="AQ470" s="65" t="n">
        <f aca="false">IF(OR(OR($B470="",$E470="",$F470=""),$L470&lt;&gt;"لا"),0,MAX(0,MIN($F470,EOMONTH(DATE(cfg_FY,10,1),0))-$E470+1))</f>
        <v>0</v>
      </c>
      <c r="AR470" s="65" t="n">
        <f aca="false">IF(OR(OR($B470="",$E470="",$F470=""),$L470&lt;&gt;"لا"),0,MAX(0,MIN($F470,EOMONTH(DATE(cfg_FY,11,1),0))-$E470+1))</f>
        <v>0</v>
      </c>
      <c r="AS470" s="65" t="n">
        <f aca="false">IF(OR(OR($B470="",$E470="",$F470=""),$L470&lt;&gt;"لا"),0,MAX(0,MIN($F470,EOMONTH(DATE(cfg_FY,12,1),0))-$E470+1))</f>
        <v>0</v>
      </c>
      <c r="AT470" s="65" t="n">
        <f aca="false">IF(OR(OR($B470="",$E470="",$F470=""),$K470&lt;&gt;"نعم",$M470="نعم"),0,MAX(0,MIN($F470,EOMONTH(DATE(cfg_FY,1,1),0))-MAX($E470,DATE(cfg_FY,1,1))+1))</f>
        <v>0</v>
      </c>
      <c r="AU470" s="65" t="n">
        <f aca="false">IF(OR(OR($B470="",$E470="",$F470=""),$K470&lt;&gt;"نعم",$M470="نعم"),0,MAX(0,MIN($F470,EOMONTH(DATE(cfg_FY,2,1),0))-MAX($E470,DATE(cfg_FY,2,1))+1))</f>
        <v>0</v>
      </c>
      <c r="AV470" s="65" t="n">
        <f aca="false">IF(OR(OR($B470="",$E470="",$F470=""),$K470&lt;&gt;"نعم",$M470="نعم"),0,MAX(0,MIN($F470,EOMONTH(DATE(cfg_FY,3,1),0))-MAX($E470,DATE(cfg_FY,3,1))+1))</f>
        <v>0</v>
      </c>
      <c r="AW470" s="65" t="n">
        <f aca="false">IF(OR(OR($B470="",$E470="",$F470=""),$K470&lt;&gt;"نعم",$M470="نعم"),0,MAX(0,MIN($F470,EOMONTH(DATE(cfg_FY,4,1),0))-MAX($E470,DATE(cfg_FY,4,1))+1))</f>
        <v>0</v>
      </c>
      <c r="AX470" s="65" t="n">
        <f aca="false">IF(OR(OR($B470="",$E470="",$F470=""),$K470&lt;&gt;"نعم",$M470="نعم"),0,MAX(0,MIN($F470,EOMONTH(DATE(cfg_FY,5,1),0))-MAX($E470,DATE(cfg_FY,5,1))+1))</f>
        <v>0</v>
      </c>
      <c r="AY470" s="65" t="n">
        <f aca="false">IF(OR(OR($B470="",$E470="",$F470=""),$K470&lt;&gt;"نعم",$M470="نعم"),0,MAX(0,MIN($F470,EOMONTH(DATE(cfg_FY,6,1),0))-MAX($E470,DATE(cfg_FY,6,1))+1))</f>
        <v>0</v>
      </c>
      <c r="AZ470" s="65" t="n">
        <f aca="false">IF(OR(OR($B470="",$E470="",$F470=""),$K470&lt;&gt;"نعم",$M470="نعم"),0,MAX(0,MIN($F470,EOMONTH(DATE(cfg_FY,7,1),0))-MAX($E470,DATE(cfg_FY,7,1))+1))</f>
        <v>0</v>
      </c>
      <c r="BA470" s="65" t="n">
        <f aca="false">IF(OR(OR($B470="",$E470="",$F470=""),$K470&lt;&gt;"نعم",$M470="نعم"),0,MAX(0,MIN($F470,EOMONTH(DATE(cfg_FY,8,1),0))-MAX($E470,DATE(cfg_FY,8,1))+1))</f>
        <v>0</v>
      </c>
      <c r="BB470" s="65" t="n">
        <f aca="false">IF(OR(OR($B470="",$E470="",$F470=""),$K470&lt;&gt;"نعم",$M470="نعم"),0,MAX(0,MIN($F470,EOMONTH(DATE(cfg_FY,9,1),0))-MAX($E470,DATE(cfg_FY,9,1))+1))</f>
        <v>0</v>
      </c>
      <c r="BC470" s="65" t="n">
        <f aca="false">IF(OR(OR($B470="",$E470="",$F470=""),$K470&lt;&gt;"نعم",$M470="نعم"),0,MAX(0,MIN($F470,EOMONTH(DATE(cfg_FY,10,1),0))-MAX($E470,DATE(cfg_FY,10,1))+1))</f>
        <v>0</v>
      </c>
      <c r="BD470" s="65" t="n">
        <f aca="false">IF(OR(OR($B470="",$E470="",$F470=""),$K470&lt;&gt;"نعم",$M470="نعم"),0,MAX(0,MIN($F470,EOMONTH(DATE(cfg_FY,11,1),0))-MAX($E470,DATE(cfg_FY,11,1))+1))</f>
        <v>0</v>
      </c>
      <c r="BE470" s="65" t="n">
        <f aca="false">IF(OR(OR($B470="",$E470="",$F470=""),$K470&lt;&gt;"نعم",$M470="نعم"),0,MAX(0,MIN($F470,EOMONTH(DATE(cfg_FY,12,1),0))-MAX($E470,DATE(cfg_FY,12,1))+1))</f>
        <v>0</v>
      </c>
    </row>
    <row r="471" customFormat="false" ht="15" hidden="false" customHeight="false" outlineLevel="0" collapsed="false">
      <c r="A471" s="115" t="str">
        <f aca="false">IF(B471="","",ROW()-5)</f>
        <v/>
      </c>
      <c r="B471" s="118"/>
      <c r="C471" s="117" t="str">
        <f aca="false">IF(B471="","",IFERROR(INDEX(الموظفون!$C$6:$C$105,MATCH(B471,الموظفون!$B$6:$B$105,0)),"✖ رقم غير موجود"))</f>
        <v/>
      </c>
      <c r="D471" s="118"/>
      <c r="E471" s="119"/>
      <c r="F471" s="119"/>
      <c r="G471" s="133" t="str">
        <f aca="false">IF(OR($B471="",$E471="",$F471=""),"",MAX(0,F471-E471+1))</f>
        <v/>
      </c>
      <c r="H471" s="134" t="str">
        <f aca="false">IF(D471="","",IFERROR(VLOOKUP(D471,cfg_LT,2,FALSE()),1))</f>
        <v/>
      </c>
      <c r="I471" s="135"/>
      <c r="J471" s="134" t="str">
        <f aca="false">IF(D471="","",IF(I471&lt;&gt;"",I471,H471))</f>
        <v/>
      </c>
      <c r="K471" s="117" t="str">
        <f aca="false">IF(D471="","",IFERROR(VLOOKUP($D471,cfg_LT,3,FALSE()),""))</f>
        <v/>
      </c>
      <c r="L471" s="117" t="str">
        <f aca="false">IF(D471="","",IFERROR(VLOOKUP($D471,cfg_LT,4,FALSE()),""))</f>
        <v/>
      </c>
      <c r="M471" s="117" t="str">
        <f aca="false">IF(D471="","",IFERROR(VLOOKUP($D471,cfg_LT,5,FALSE()),""))</f>
        <v/>
      </c>
      <c r="N471" s="116" t="n">
        <f aca="false">IF(OR(OR($B471="",$E471="",$F471=""),M471&lt;&gt;"نعم"),0,G471*J471*IFERROR(INDEX(الموظفون!$R$6:$R$105,MATCH(B471,الموظفون!$B$6:$B$105,0)),0)/cfg_DAYS_M)</f>
        <v>0</v>
      </c>
      <c r="O471" s="115" t="str">
        <f aca="false">IF(OR(OR($B471="",$E471="",$F471=""),M471&lt;&gt;"نعم"),"",IF(YEAR(E471)=cfg_FY,MONTH(E471),""))</f>
        <v/>
      </c>
      <c r="P471" s="117" t="str">
        <f aca="false">IF(B471="","",IF(OR(D471="",E471="",F471=""),"⚠ أكمل النوع والتواريخ",IF(F471&lt;E471,"✖ النهاية قبل البداية",IF(COUNTIFS($B$6:$B$505,B471,$E$6:$E$505,"&lt;="&amp;F471,$F$6:$F$505,"&gt;="&amp;E471)&gt;1,"⚠ تداخل مع سجل آخر",IF(E471&gt;cfg_VAL_DATE,"⏳ قادمة",IF(F471&lt;cfg_VAL_DATE,"✔ منتهية","✈ جارية في تاريخ التقرير"))))))</f>
        <v/>
      </c>
      <c r="Q471" s="118"/>
      <c r="R471" s="133" t="n">
        <f aca="false">IF(OR(OR($B471="",$E471="",$F471=""),L471&lt;&gt;"لا"),0,MAX(0,MIN(F471,cfg_Y_START-1)-E471+1))</f>
        <v>0</v>
      </c>
      <c r="S471" s="133" t="n">
        <f aca="false">IF(OR(OR($B471="",$E471="",$F471=""),L471&lt;&gt;"لا"),0,MAX(0,MIN(F471,cfg_VAL_DATE)-E471+1))</f>
        <v>0</v>
      </c>
      <c r="T471" s="133" t="n">
        <f aca="false">IF(OR(OR($B471="",$E471="",$F471=""),K471&lt;&gt;"نعم"),0,IF(M471="نعم",IF(AND(ISNUMBER(O471),N(O471)&lt;=cfg_VAL_M),G471,0),MAX(0,MIN(F471,cfg_VAL_DATE)-MAX(E471,cfg_Y_START)+1)))</f>
        <v>0</v>
      </c>
      <c r="V471" s="133" t="n">
        <f aca="false">IF(OR($B471="",$E471="",$F471=""),0,MAX(0,MIN($F471,EOMONTH(DATE(cfg_FY,1,1),0))-MAX($E471,DATE(cfg_FY,1,1))+1)*(1-IF($M471="نعم",0,N($J471))))</f>
        <v>0</v>
      </c>
      <c r="W471" s="133" t="n">
        <f aca="false">IF(OR($B471="",$E471="",$F471=""),0,MAX(0,MIN($F471,EOMONTH(DATE(cfg_FY,2,1),0))-MAX($E471,DATE(cfg_FY,2,1))+1)*(1-IF($M471="نعم",0,N($J471))))</f>
        <v>0</v>
      </c>
      <c r="X471" s="133" t="n">
        <f aca="false">IF(OR($B471="",$E471="",$F471=""),0,MAX(0,MIN($F471,EOMONTH(DATE(cfg_FY,3,1),0))-MAX($E471,DATE(cfg_FY,3,1))+1)*(1-IF($M471="نعم",0,N($J471))))</f>
        <v>0</v>
      </c>
      <c r="Y471" s="133" t="n">
        <f aca="false">IF(OR($B471="",$E471="",$F471=""),0,MAX(0,MIN($F471,EOMONTH(DATE(cfg_FY,4,1),0))-MAX($E471,DATE(cfg_FY,4,1))+1)*(1-IF($M471="نعم",0,N($J471))))</f>
        <v>0</v>
      </c>
      <c r="Z471" s="133" t="n">
        <f aca="false">IF(OR($B471="",$E471="",$F471=""),0,MAX(0,MIN($F471,EOMONTH(DATE(cfg_FY,5,1),0))-MAX($E471,DATE(cfg_FY,5,1))+1)*(1-IF($M471="نعم",0,N($J471))))</f>
        <v>0</v>
      </c>
      <c r="AA471" s="133" t="n">
        <f aca="false">IF(OR($B471="",$E471="",$F471=""),0,MAX(0,MIN($F471,EOMONTH(DATE(cfg_FY,6,1),0))-MAX($E471,DATE(cfg_FY,6,1))+1)*(1-IF($M471="نعم",0,N($J471))))</f>
        <v>0</v>
      </c>
      <c r="AB471" s="133" t="n">
        <f aca="false">IF(OR($B471="",$E471="",$F471=""),0,MAX(0,MIN($F471,EOMONTH(DATE(cfg_FY,7,1),0))-MAX($E471,DATE(cfg_FY,7,1))+1)*(1-IF($M471="نعم",0,N($J471))))</f>
        <v>0</v>
      </c>
      <c r="AC471" s="133" t="n">
        <f aca="false">IF(OR($B471="",$E471="",$F471=""),0,MAX(0,MIN($F471,EOMONTH(DATE(cfg_FY,8,1),0))-MAX($E471,DATE(cfg_FY,8,1))+1)*(1-IF($M471="نعم",0,N($J471))))</f>
        <v>0</v>
      </c>
      <c r="AD471" s="133" t="n">
        <f aca="false">IF(OR($B471="",$E471="",$F471=""),0,MAX(0,MIN($F471,EOMONTH(DATE(cfg_FY,9,1),0))-MAX($E471,DATE(cfg_FY,9,1))+1)*(1-IF($M471="نعم",0,N($J471))))</f>
        <v>0</v>
      </c>
      <c r="AE471" s="133" t="n">
        <f aca="false">IF(OR($B471="",$E471="",$F471=""),0,MAX(0,MIN($F471,EOMONTH(DATE(cfg_FY,10,1),0))-MAX($E471,DATE(cfg_FY,10,1))+1)*(1-IF($M471="نعم",0,N($J471))))</f>
        <v>0</v>
      </c>
      <c r="AF471" s="133" t="n">
        <f aca="false">IF(OR($B471="",$E471="",$F471=""),0,MAX(0,MIN($F471,EOMONTH(DATE(cfg_FY,11,1),0))-MAX($E471,DATE(cfg_FY,11,1))+1)*(1-IF($M471="نعم",0,N($J471))))</f>
        <v>0</v>
      </c>
      <c r="AG471" s="133" t="n">
        <f aca="false">IF(OR($B471="",$E471="",$F471=""),0,MAX(0,MIN($F471,EOMONTH(DATE(cfg_FY,12,1),0))-MAX($E471,DATE(cfg_FY,12,1))+1)*(1-IF($M471="نعم",0,N($J471))))</f>
        <v>0</v>
      </c>
      <c r="AH471" s="133" t="n">
        <f aca="false">IF(OR(OR($B471="",$E471="",$F471=""),$L471&lt;&gt;"لا"),0,MAX(0,MIN($F471,EOMONTH(DATE(cfg_FY,1,1),0))-$E471+1))</f>
        <v>0</v>
      </c>
      <c r="AI471" s="133" t="n">
        <f aca="false">IF(OR(OR($B471="",$E471="",$F471=""),$L471&lt;&gt;"لا"),0,MAX(0,MIN($F471,EOMONTH(DATE(cfg_FY,2,1),0))-$E471+1))</f>
        <v>0</v>
      </c>
      <c r="AJ471" s="133" t="n">
        <f aca="false">IF(OR(OR($B471="",$E471="",$F471=""),$L471&lt;&gt;"لا"),0,MAX(0,MIN($F471,EOMONTH(DATE(cfg_FY,3,1),0))-$E471+1))</f>
        <v>0</v>
      </c>
      <c r="AK471" s="133" t="n">
        <f aca="false">IF(OR(OR($B471="",$E471="",$F471=""),$L471&lt;&gt;"لا"),0,MAX(0,MIN($F471,EOMONTH(DATE(cfg_FY,4,1),0))-$E471+1))</f>
        <v>0</v>
      </c>
      <c r="AL471" s="133" t="n">
        <f aca="false">IF(OR(OR($B471="",$E471="",$F471=""),$L471&lt;&gt;"لا"),0,MAX(0,MIN($F471,EOMONTH(DATE(cfg_FY,5,1),0))-$E471+1))</f>
        <v>0</v>
      </c>
      <c r="AM471" s="133" t="n">
        <f aca="false">IF(OR(OR($B471="",$E471="",$F471=""),$L471&lt;&gt;"لا"),0,MAX(0,MIN($F471,EOMONTH(DATE(cfg_FY,6,1),0))-$E471+1))</f>
        <v>0</v>
      </c>
      <c r="AN471" s="133" t="n">
        <f aca="false">IF(OR(OR($B471="",$E471="",$F471=""),$L471&lt;&gt;"لا"),0,MAX(0,MIN($F471,EOMONTH(DATE(cfg_FY,7,1),0))-$E471+1))</f>
        <v>0</v>
      </c>
      <c r="AO471" s="133" t="n">
        <f aca="false">IF(OR(OR($B471="",$E471="",$F471=""),$L471&lt;&gt;"لا"),0,MAX(0,MIN($F471,EOMONTH(DATE(cfg_FY,8,1),0))-$E471+1))</f>
        <v>0</v>
      </c>
      <c r="AP471" s="133" t="n">
        <f aca="false">IF(OR(OR($B471="",$E471="",$F471=""),$L471&lt;&gt;"لا"),0,MAX(0,MIN($F471,EOMONTH(DATE(cfg_FY,9,1),0))-$E471+1))</f>
        <v>0</v>
      </c>
      <c r="AQ471" s="133" t="n">
        <f aca="false">IF(OR(OR($B471="",$E471="",$F471=""),$L471&lt;&gt;"لا"),0,MAX(0,MIN($F471,EOMONTH(DATE(cfg_FY,10,1),0))-$E471+1))</f>
        <v>0</v>
      </c>
      <c r="AR471" s="133" t="n">
        <f aca="false">IF(OR(OR($B471="",$E471="",$F471=""),$L471&lt;&gt;"لا"),0,MAX(0,MIN($F471,EOMONTH(DATE(cfg_FY,11,1),0))-$E471+1))</f>
        <v>0</v>
      </c>
      <c r="AS471" s="133" t="n">
        <f aca="false">IF(OR(OR($B471="",$E471="",$F471=""),$L471&lt;&gt;"لا"),0,MAX(0,MIN($F471,EOMONTH(DATE(cfg_FY,12,1),0))-$E471+1))</f>
        <v>0</v>
      </c>
      <c r="AT471" s="133" t="n">
        <f aca="false">IF(OR(OR($B471="",$E471="",$F471=""),$K471&lt;&gt;"نعم",$M471="نعم"),0,MAX(0,MIN($F471,EOMONTH(DATE(cfg_FY,1,1),0))-MAX($E471,DATE(cfg_FY,1,1))+1))</f>
        <v>0</v>
      </c>
      <c r="AU471" s="133" t="n">
        <f aca="false">IF(OR(OR($B471="",$E471="",$F471=""),$K471&lt;&gt;"نعم",$M471="نعم"),0,MAX(0,MIN($F471,EOMONTH(DATE(cfg_FY,2,1),0))-MAX($E471,DATE(cfg_FY,2,1))+1))</f>
        <v>0</v>
      </c>
      <c r="AV471" s="133" t="n">
        <f aca="false">IF(OR(OR($B471="",$E471="",$F471=""),$K471&lt;&gt;"نعم",$M471="نعم"),0,MAX(0,MIN($F471,EOMONTH(DATE(cfg_FY,3,1),0))-MAX($E471,DATE(cfg_FY,3,1))+1))</f>
        <v>0</v>
      </c>
      <c r="AW471" s="133" t="n">
        <f aca="false">IF(OR(OR($B471="",$E471="",$F471=""),$K471&lt;&gt;"نعم",$M471="نعم"),0,MAX(0,MIN($F471,EOMONTH(DATE(cfg_FY,4,1),0))-MAX($E471,DATE(cfg_FY,4,1))+1))</f>
        <v>0</v>
      </c>
      <c r="AX471" s="133" t="n">
        <f aca="false">IF(OR(OR($B471="",$E471="",$F471=""),$K471&lt;&gt;"نعم",$M471="نعم"),0,MAX(0,MIN($F471,EOMONTH(DATE(cfg_FY,5,1),0))-MAX($E471,DATE(cfg_FY,5,1))+1))</f>
        <v>0</v>
      </c>
      <c r="AY471" s="133" t="n">
        <f aca="false">IF(OR(OR($B471="",$E471="",$F471=""),$K471&lt;&gt;"نعم",$M471="نعم"),0,MAX(0,MIN($F471,EOMONTH(DATE(cfg_FY,6,1),0))-MAX($E471,DATE(cfg_FY,6,1))+1))</f>
        <v>0</v>
      </c>
      <c r="AZ471" s="133" t="n">
        <f aca="false">IF(OR(OR($B471="",$E471="",$F471=""),$K471&lt;&gt;"نعم",$M471="نعم"),0,MAX(0,MIN($F471,EOMONTH(DATE(cfg_FY,7,1),0))-MAX($E471,DATE(cfg_FY,7,1))+1))</f>
        <v>0</v>
      </c>
      <c r="BA471" s="133" t="n">
        <f aca="false">IF(OR(OR($B471="",$E471="",$F471=""),$K471&lt;&gt;"نعم",$M471="نعم"),0,MAX(0,MIN($F471,EOMONTH(DATE(cfg_FY,8,1),0))-MAX($E471,DATE(cfg_FY,8,1))+1))</f>
        <v>0</v>
      </c>
      <c r="BB471" s="133" t="n">
        <f aca="false">IF(OR(OR($B471="",$E471="",$F471=""),$K471&lt;&gt;"نعم",$M471="نعم"),0,MAX(0,MIN($F471,EOMONTH(DATE(cfg_FY,9,1),0))-MAX($E471,DATE(cfg_FY,9,1))+1))</f>
        <v>0</v>
      </c>
      <c r="BC471" s="133" t="n">
        <f aca="false">IF(OR(OR($B471="",$E471="",$F471=""),$K471&lt;&gt;"نعم",$M471="نعم"),0,MAX(0,MIN($F471,EOMONTH(DATE(cfg_FY,10,1),0))-MAX($E471,DATE(cfg_FY,10,1))+1))</f>
        <v>0</v>
      </c>
      <c r="BD471" s="133" t="n">
        <f aca="false">IF(OR(OR($B471="",$E471="",$F471=""),$K471&lt;&gt;"نعم",$M471="نعم"),0,MAX(0,MIN($F471,EOMONTH(DATE(cfg_FY,11,1),0))-MAX($E471,DATE(cfg_FY,11,1))+1))</f>
        <v>0</v>
      </c>
      <c r="BE471" s="133" t="n">
        <f aca="false">IF(OR(OR($B471="",$E471="",$F471=""),$K471&lt;&gt;"نعم",$M471="نعم"),0,MAX(0,MIN($F471,EOMONTH(DATE(cfg_FY,12,1),0))-MAX($E471,DATE(cfg_FY,12,1))+1))</f>
        <v>0</v>
      </c>
    </row>
    <row r="472" customFormat="false" ht="15" hidden="false" customHeight="false" outlineLevel="0" collapsed="false">
      <c r="A472" s="106" t="str">
        <f aca="false">IF(B472="","",ROW()-5)</f>
        <v/>
      </c>
      <c r="B472" s="118"/>
      <c r="C472" s="114" t="str">
        <f aca="false">IF(B472="","",IFERROR(INDEX(الموظفون!$C$6:$C$105,MATCH(B472,الموظفون!$B$6:$B$105,0)),"✖ رقم غير موجود"))</f>
        <v/>
      </c>
      <c r="D472" s="118"/>
      <c r="E472" s="119"/>
      <c r="F472" s="119"/>
      <c r="G472" s="65" t="str">
        <f aca="false">IF(OR($B472="",$E472="",$F472=""),"",MAX(0,F472-E472+1))</f>
        <v/>
      </c>
      <c r="H472" s="66" t="str">
        <f aca="false">IF(D472="","",IFERROR(VLOOKUP(D472,cfg_LT,2,FALSE()),1))</f>
        <v/>
      </c>
      <c r="I472" s="135"/>
      <c r="J472" s="66" t="str">
        <f aca="false">IF(D472="","",IF(I472&lt;&gt;"",I472,H472))</f>
        <v/>
      </c>
      <c r="K472" s="114" t="str">
        <f aca="false">IF(D472="","",IFERROR(VLOOKUP($D472,cfg_LT,3,FALSE()),""))</f>
        <v/>
      </c>
      <c r="L472" s="114" t="str">
        <f aca="false">IF(D472="","",IFERROR(VLOOKUP($D472,cfg_LT,4,FALSE()),""))</f>
        <v/>
      </c>
      <c r="M472" s="114" t="str">
        <f aca="false">IF(D472="","",IFERROR(VLOOKUP($D472,cfg_LT,5,FALSE()),""))</f>
        <v/>
      </c>
      <c r="N472" s="111" t="n">
        <f aca="false">IF(OR(OR($B472="",$E472="",$F472=""),M472&lt;&gt;"نعم"),0,G472*J472*IFERROR(INDEX(الموظفون!$R$6:$R$105,MATCH(B472,الموظفون!$B$6:$B$105,0)),0)/cfg_DAYS_M)</f>
        <v>0</v>
      </c>
      <c r="O472" s="106" t="str">
        <f aca="false">IF(OR(OR($B472="",$E472="",$F472=""),M472&lt;&gt;"نعم"),"",IF(YEAR(E472)=cfg_FY,MONTH(E472),""))</f>
        <v/>
      </c>
      <c r="P472" s="114" t="str">
        <f aca="false">IF(B472="","",IF(OR(D472="",E472="",F472=""),"⚠ أكمل النوع والتواريخ",IF(F472&lt;E472,"✖ النهاية قبل البداية",IF(COUNTIFS($B$6:$B$505,B472,$E$6:$E$505,"&lt;="&amp;F472,$F$6:$F$505,"&gt;="&amp;E472)&gt;1,"⚠ تداخل مع سجل آخر",IF(E472&gt;cfg_VAL_DATE,"⏳ قادمة",IF(F472&lt;cfg_VAL_DATE,"✔ منتهية","✈ جارية في تاريخ التقرير"))))))</f>
        <v/>
      </c>
      <c r="Q472" s="118"/>
      <c r="R472" s="65" t="n">
        <f aca="false">IF(OR(OR($B472="",$E472="",$F472=""),L472&lt;&gt;"لا"),0,MAX(0,MIN(F472,cfg_Y_START-1)-E472+1))</f>
        <v>0</v>
      </c>
      <c r="S472" s="65" t="n">
        <f aca="false">IF(OR(OR($B472="",$E472="",$F472=""),L472&lt;&gt;"لا"),0,MAX(0,MIN(F472,cfg_VAL_DATE)-E472+1))</f>
        <v>0</v>
      </c>
      <c r="T472" s="65" t="n">
        <f aca="false">IF(OR(OR($B472="",$E472="",$F472=""),K472&lt;&gt;"نعم"),0,IF(M472="نعم",IF(AND(ISNUMBER(O472),N(O472)&lt;=cfg_VAL_M),G472,0),MAX(0,MIN(F472,cfg_VAL_DATE)-MAX(E472,cfg_Y_START)+1)))</f>
        <v>0</v>
      </c>
      <c r="V472" s="65" t="n">
        <f aca="false">IF(OR($B472="",$E472="",$F472=""),0,MAX(0,MIN($F472,EOMONTH(DATE(cfg_FY,1,1),0))-MAX($E472,DATE(cfg_FY,1,1))+1)*(1-IF($M472="نعم",0,N($J472))))</f>
        <v>0</v>
      </c>
      <c r="W472" s="65" t="n">
        <f aca="false">IF(OR($B472="",$E472="",$F472=""),0,MAX(0,MIN($F472,EOMONTH(DATE(cfg_FY,2,1),0))-MAX($E472,DATE(cfg_FY,2,1))+1)*(1-IF($M472="نعم",0,N($J472))))</f>
        <v>0</v>
      </c>
      <c r="X472" s="65" t="n">
        <f aca="false">IF(OR($B472="",$E472="",$F472=""),0,MAX(0,MIN($F472,EOMONTH(DATE(cfg_FY,3,1),0))-MAX($E472,DATE(cfg_FY,3,1))+1)*(1-IF($M472="نعم",0,N($J472))))</f>
        <v>0</v>
      </c>
      <c r="Y472" s="65" t="n">
        <f aca="false">IF(OR($B472="",$E472="",$F472=""),0,MAX(0,MIN($F472,EOMONTH(DATE(cfg_FY,4,1),0))-MAX($E472,DATE(cfg_FY,4,1))+1)*(1-IF($M472="نعم",0,N($J472))))</f>
        <v>0</v>
      </c>
      <c r="Z472" s="65" t="n">
        <f aca="false">IF(OR($B472="",$E472="",$F472=""),0,MAX(0,MIN($F472,EOMONTH(DATE(cfg_FY,5,1),0))-MAX($E472,DATE(cfg_FY,5,1))+1)*(1-IF($M472="نعم",0,N($J472))))</f>
        <v>0</v>
      </c>
      <c r="AA472" s="65" t="n">
        <f aca="false">IF(OR($B472="",$E472="",$F472=""),0,MAX(0,MIN($F472,EOMONTH(DATE(cfg_FY,6,1),0))-MAX($E472,DATE(cfg_FY,6,1))+1)*(1-IF($M472="نعم",0,N($J472))))</f>
        <v>0</v>
      </c>
      <c r="AB472" s="65" t="n">
        <f aca="false">IF(OR($B472="",$E472="",$F472=""),0,MAX(0,MIN($F472,EOMONTH(DATE(cfg_FY,7,1),0))-MAX($E472,DATE(cfg_FY,7,1))+1)*(1-IF($M472="نعم",0,N($J472))))</f>
        <v>0</v>
      </c>
      <c r="AC472" s="65" t="n">
        <f aca="false">IF(OR($B472="",$E472="",$F472=""),0,MAX(0,MIN($F472,EOMONTH(DATE(cfg_FY,8,1),0))-MAX($E472,DATE(cfg_FY,8,1))+1)*(1-IF($M472="نعم",0,N($J472))))</f>
        <v>0</v>
      </c>
      <c r="AD472" s="65" t="n">
        <f aca="false">IF(OR($B472="",$E472="",$F472=""),0,MAX(0,MIN($F472,EOMONTH(DATE(cfg_FY,9,1),0))-MAX($E472,DATE(cfg_FY,9,1))+1)*(1-IF($M472="نعم",0,N($J472))))</f>
        <v>0</v>
      </c>
      <c r="AE472" s="65" t="n">
        <f aca="false">IF(OR($B472="",$E472="",$F472=""),0,MAX(0,MIN($F472,EOMONTH(DATE(cfg_FY,10,1),0))-MAX($E472,DATE(cfg_FY,10,1))+1)*(1-IF($M472="نعم",0,N($J472))))</f>
        <v>0</v>
      </c>
      <c r="AF472" s="65" t="n">
        <f aca="false">IF(OR($B472="",$E472="",$F472=""),0,MAX(0,MIN($F472,EOMONTH(DATE(cfg_FY,11,1),0))-MAX($E472,DATE(cfg_FY,11,1))+1)*(1-IF($M472="نعم",0,N($J472))))</f>
        <v>0</v>
      </c>
      <c r="AG472" s="65" t="n">
        <f aca="false">IF(OR($B472="",$E472="",$F472=""),0,MAX(0,MIN($F472,EOMONTH(DATE(cfg_FY,12,1),0))-MAX($E472,DATE(cfg_FY,12,1))+1)*(1-IF($M472="نعم",0,N($J472))))</f>
        <v>0</v>
      </c>
      <c r="AH472" s="65" t="n">
        <f aca="false">IF(OR(OR($B472="",$E472="",$F472=""),$L472&lt;&gt;"لا"),0,MAX(0,MIN($F472,EOMONTH(DATE(cfg_FY,1,1),0))-$E472+1))</f>
        <v>0</v>
      </c>
      <c r="AI472" s="65" t="n">
        <f aca="false">IF(OR(OR($B472="",$E472="",$F472=""),$L472&lt;&gt;"لا"),0,MAX(0,MIN($F472,EOMONTH(DATE(cfg_FY,2,1),0))-$E472+1))</f>
        <v>0</v>
      </c>
      <c r="AJ472" s="65" t="n">
        <f aca="false">IF(OR(OR($B472="",$E472="",$F472=""),$L472&lt;&gt;"لا"),0,MAX(0,MIN($F472,EOMONTH(DATE(cfg_FY,3,1),0))-$E472+1))</f>
        <v>0</v>
      </c>
      <c r="AK472" s="65" t="n">
        <f aca="false">IF(OR(OR($B472="",$E472="",$F472=""),$L472&lt;&gt;"لا"),0,MAX(0,MIN($F472,EOMONTH(DATE(cfg_FY,4,1),0))-$E472+1))</f>
        <v>0</v>
      </c>
      <c r="AL472" s="65" t="n">
        <f aca="false">IF(OR(OR($B472="",$E472="",$F472=""),$L472&lt;&gt;"لا"),0,MAX(0,MIN($F472,EOMONTH(DATE(cfg_FY,5,1),0))-$E472+1))</f>
        <v>0</v>
      </c>
      <c r="AM472" s="65" t="n">
        <f aca="false">IF(OR(OR($B472="",$E472="",$F472=""),$L472&lt;&gt;"لا"),0,MAX(0,MIN($F472,EOMONTH(DATE(cfg_FY,6,1),0))-$E472+1))</f>
        <v>0</v>
      </c>
      <c r="AN472" s="65" t="n">
        <f aca="false">IF(OR(OR($B472="",$E472="",$F472=""),$L472&lt;&gt;"لا"),0,MAX(0,MIN($F472,EOMONTH(DATE(cfg_FY,7,1),0))-$E472+1))</f>
        <v>0</v>
      </c>
      <c r="AO472" s="65" t="n">
        <f aca="false">IF(OR(OR($B472="",$E472="",$F472=""),$L472&lt;&gt;"لا"),0,MAX(0,MIN($F472,EOMONTH(DATE(cfg_FY,8,1),0))-$E472+1))</f>
        <v>0</v>
      </c>
      <c r="AP472" s="65" t="n">
        <f aca="false">IF(OR(OR($B472="",$E472="",$F472=""),$L472&lt;&gt;"لا"),0,MAX(0,MIN($F472,EOMONTH(DATE(cfg_FY,9,1),0))-$E472+1))</f>
        <v>0</v>
      </c>
      <c r="AQ472" s="65" t="n">
        <f aca="false">IF(OR(OR($B472="",$E472="",$F472=""),$L472&lt;&gt;"لا"),0,MAX(0,MIN($F472,EOMONTH(DATE(cfg_FY,10,1),0))-$E472+1))</f>
        <v>0</v>
      </c>
      <c r="AR472" s="65" t="n">
        <f aca="false">IF(OR(OR($B472="",$E472="",$F472=""),$L472&lt;&gt;"لا"),0,MAX(0,MIN($F472,EOMONTH(DATE(cfg_FY,11,1),0))-$E472+1))</f>
        <v>0</v>
      </c>
      <c r="AS472" s="65" t="n">
        <f aca="false">IF(OR(OR($B472="",$E472="",$F472=""),$L472&lt;&gt;"لا"),0,MAX(0,MIN($F472,EOMONTH(DATE(cfg_FY,12,1),0))-$E472+1))</f>
        <v>0</v>
      </c>
      <c r="AT472" s="65" t="n">
        <f aca="false">IF(OR(OR($B472="",$E472="",$F472=""),$K472&lt;&gt;"نعم",$M472="نعم"),0,MAX(0,MIN($F472,EOMONTH(DATE(cfg_FY,1,1),0))-MAX($E472,DATE(cfg_FY,1,1))+1))</f>
        <v>0</v>
      </c>
      <c r="AU472" s="65" t="n">
        <f aca="false">IF(OR(OR($B472="",$E472="",$F472=""),$K472&lt;&gt;"نعم",$M472="نعم"),0,MAX(0,MIN($F472,EOMONTH(DATE(cfg_FY,2,1),0))-MAX($E472,DATE(cfg_FY,2,1))+1))</f>
        <v>0</v>
      </c>
      <c r="AV472" s="65" t="n">
        <f aca="false">IF(OR(OR($B472="",$E472="",$F472=""),$K472&lt;&gt;"نعم",$M472="نعم"),0,MAX(0,MIN($F472,EOMONTH(DATE(cfg_FY,3,1),0))-MAX($E472,DATE(cfg_FY,3,1))+1))</f>
        <v>0</v>
      </c>
      <c r="AW472" s="65" t="n">
        <f aca="false">IF(OR(OR($B472="",$E472="",$F472=""),$K472&lt;&gt;"نعم",$M472="نعم"),0,MAX(0,MIN($F472,EOMONTH(DATE(cfg_FY,4,1),0))-MAX($E472,DATE(cfg_FY,4,1))+1))</f>
        <v>0</v>
      </c>
      <c r="AX472" s="65" t="n">
        <f aca="false">IF(OR(OR($B472="",$E472="",$F472=""),$K472&lt;&gt;"نعم",$M472="نعم"),0,MAX(0,MIN($F472,EOMONTH(DATE(cfg_FY,5,1),0))-MAX($E472,DATE(cfg_FY,5,1))+1))</f>
        <v>0</v>
      </c>
      <c r="AY472" s="65" t="n">
        <f aca="false">IF(OR(OR($B472="",$E472="",$F472=""),$K472&lt;&gt;"نعم",$M472="نعم"),0,MAX(0,MIN($F472,EOMONTH(DATE(cfg_FY,6,1),0))-MAX($E472,DATE(cfg_FY,6,1))+1))</f>
        <v>0</v>
      </c>
      <c r="AZ472" s="65" t="n">
        <f aca="false">IF(OR(OR($B472="",$E472="",$F472=""),$K472&lt;&gt;"نعم",$M472="نعم"),0,MAX(0,MIN($F472,EOMONTH(DATE(cfg_FY,7,1),0))-MAX($E472,DATE(cfg_FY,7,1))+1))</f>
        <v>0</v>
      </c>
      <c r="BA472" s="65" t="n">
        <f aca="false">IF(OR(OR($B472="",$E472="",$F472=""),$K472&lt;&gt;"نعم",$M472="نعم"),0,MAX(0,MIN($F472,EOMONTH(DATE(cfg_FY,8,1),0))-MAX($E472,DATE(cfg_FY,8,1))+1))</f>
        <v>0</v>
      </c>
      <c r="BB472" s="65" t="n">
        <f aca="false">IF(OR(OR($B472="",$E472="",$F472=""),$K472&lt;&gt;"نعم",$M472="نعم"),0,MAX(0,MIN($F472,EOMONTH(DATE(cfg_FY,9,1),0))-MAX($E472,DATE(cfg_FY,9,1))+1))</f>
        <v>0</v>
      </c>
      <c r="BC472" s="65" t="n">
        <f aca="false">IF(OR(OR($B472="",$E472="",$F472=""),$K472&lt;&gt;"نعم",$M472="نعم"),0,MAX(0,MIN($F472,EOMONTH(DATE(cfg_FY,10,1),0))-MAX($E472,DATE(cfg_FY,10,1))+1))</f>
        <v>0</v>
      </c>
      <c r="BD472" s="65" t="n">
        <f aca="false">IF(OR(OR($B472="",$E472="",$F472=""),$K472&lt;&gt;"نعم",$M472="نعم"),0,MAX(0,MIN($F472,EOMONTH(DATE(cfg_FY,11,1),0))-MAX($E472,DATE(cfg_FY,11,1))+1))</f>
        <v>0</v>
      </c>
      <c r="BE472" s="65" t="n">
        <f aca="false">IF(OR(OR($B472="",$E472="",$F472=""),$K472&lt;&gt;"نعم",$M472="نعم"),0,MAX(0,MIN($F472,EOMONTH(DATE(cfg_FY,12,1),0))-MAX($E472,DATE(cfg_FY,12,1))+1))</f>
        <v>0</v>
      </c>
    </row>
    <row r="473" customFormat="false" ht="15" hidden="false" customHeight="false" outlineLevel="0" collapsed="false">
      <c r="A473" s="115" t="str">
        <f aca="false">IF(B473="","",ROW()-5)</f>
        <v/>
      </c>
      <c r="B473" s="118"/>
      <c r="C473" s="117" t="str">
        <f aca="false">IF(B473="","",IFERROR(INDEX(الموظفون!$C$6:$C$105,MATCH(B473,الموظفون!$B$6:$B$105,0)),"✖ رقم غير موجود"))</f>
        <v/>
      </c>
      <c r="D473" s="118"/>
      <c r="E473" s="119"/>
      <c r="F473" s="119"/>
      <c r="G473" s="133" t="str">
        <f aca="false">IF(OR($B473="",$E473="",$F473=""),"",MAX(0,F473-E473+1))</f>
        <v/>
      </c>
      <c r="H473" s="134" t="str">
        <f aca="false">IF(D473="","",IFERROR(VLOOKUP(D473,cfg_LT,2,FALSE()),1))</f>
        <v/>
      </c>
      <c r="I473" s="135"/>
      <c r="J473" s="134" t="str">
        <f aca="false">IF(D473="","",IF(I473&lt;&gt;"",I473,H473))</f>
        <v/>
      </c>
      <c r="K473" s="117" t="str">
        <f aca="false">IF(D473="","",IFERROR(VLOOKUP($D473,cfg_LT,3,FALSE()),""))</f>
        <v/>
      </c>
      <c r="L473" s="117" t="str">
        <f aca="false">IF(D473="","",IFERROR(VLOOKUP($D473,cfg_LT,4,FALSE()),""))</f>
        <v/>
      </c>
      <c r="M473" s="117" t="str">
        <f aca="false">IF(D473="","",IFERROR(VLOOKUP($D473,cfg_LT,5,FALSE()),""))</f>
        <v/>
      </c>
      <c r="N473" s="116" t="n">
        <f aca="false">IF(OR(OR($B473="",$E473="",$F473=""),M473&lt;&gt;"نعم"),0,G473*J473*IFERROR(INDEX(الموظفون!$R$6:$R$105,MATCH(B473,الموظفون!$B$6:$B$105,0)),0)/cfg_DAYS_M)</f>
        <v>0</v>
      </c>
      <c r="O473" s="115" t="str">
        <f aca="false">IF(OR(OR($B473="",$E473="",$F473=""),M473&lt;&gt;"نعم"),"",IF(YEAR(E473)=cfg_FY,MONTH(E473),""))</f>
        <v/>
      </c>
      <c r="P473" s="117" t="str">
        <f aca="false">IF(B473="","",IF(OR(D473="",E473="",F473=""),"⚠ أكمل النوع والتواريخ",IF(F473&lt;E473,"✖ النهاية قبل البداية",IF(COUNTIFS($B$6:$B$505,B473,$E$6:$E$505,"&lt;="&amp;F473,$F$6:$F$505,"&gt;="&amp;E473)&gt;1,"⚠ تداخل مع سجل آخر",IF(E473&gt;cfg_VAL_DATE,"⏳ قادمة",IF(F473&lt;cfg_VAL_DATE,"✔ منتهية","✈ جارية في تاريخ التقرير"))))))</f>
        <v/>
      </c>
      <c r="Q473" s="118"/>
      <c r="R473" s="133" t="n">
        <f aca="false">IF(OR(OR($B473="",$E473="",$F473=""),L473&lt;&gt;"لا"),0,MAX(0,MIN(F473,cfg_Y_START-1)-E473+1))</f>
        <v>0</v>
      </c>
      <c r="S473" s="133" t="n">
        <f aca="false">IF(OR(OR($B473="",$E473="",$F473=""),L473&lt;&gt;"لا"),0,MAX(0,MIN(F473,cfg_VAL_DATE)-E473+1))</f>
        <v>0</v>
      </c>
      <c r="T473" s="133" t="n">
        <f aca="false">IF(OR(OR($B473="",$E473="",$F473=""),K473&lt;&gt;"نعم"),0,IF(M473="نعم",IF(AND(ISNUMBER(O473),N(O473)&lt;=cfg_VAL_M),G473,0),MAX(0,MIN(F473,cfg_VAL_DATE)-MAX(E473,cfg_Y_START)+1)))</f>
        <v>0</v>
      </c>
      <c r="V473" s="133" t="n">
        <f aca="false">IF(OR($B473="",$E473="",$F473=""),0,MAX(0,MIN($F473,EOMONTH(DATE(cfg_FY,1,1),0))-MAX($E473,DATE(cfg_FY,1,1))+1)*(1-IF($M473="نعم",0,N($J473))))</f>
        <v>0</v>
      </c>
      <c r="W473" s="133" t="n">
        <f aca="false">IF(OR($B473="",$E473="",$F473=""),0,MAX(0,MIN($F473,EOMONTH(DATE(cfg_FY,2,1),0))-MAX($E473,DATE(cfg_FY,2,1))+1)*(1-IF($M473="نعم",0,N($J473))))</f>
        <v>0</v>
      </c>
      <c r="X473" s="133" t="n">
        <f aca="false">IF(OR($B473="",$E473="",$F473=""),0,MAX(0,MIN($F473,EOMONTH(DATE(cfg_FY,3,1),0))-MAX($E473,DATE(cfg_FY,3,1))+1)*(1-IF($M473="نعم",0,N($J473))))</f>
        <v>0</v>
      </c>
      <c r="Y473" s="133" t="n">
        <f aca="false">IF(OR($B473="",$E473="",$F473=""),0,MAX(0,MIN($F473,EOMONTH(DATE(cfg_FY,4,1),0))-MAX($E473,DATE(cfg_FY,4,1))+1)*(1-IF($M473="نعم",0,N($J473))))</f>
        <v>0</v>
      </c>
      <c r="Z473" s="133" t="n">
        <f aca="false">IF(OR($B473="",$E473="",$F473=""),0,MAX(0,MIN($F473,EOMONTH(DATE(cfg_FY,5,1),0))-MAX($E473,DATE(cfg_FY,5,1))+1)*(1-IF($M473="نعم",0,N($J473))))</f>
        <v>0</v>
      </c>
      <c r="AA473" s="133" t="n">
        <f aca="false">IF(OR($B473="",$E473="",$F473=""),0,MAX(0,MIN($F473,EOMONTH(DATE(cfg_FY,6,1),0))-MAX($E473,DATE(cfg_FY,6,1))+1)*(1-IF($M473="نعم",0,N($J473))))</f>
        <v>0</v>
      </c>
      <c r="AB473" s="133" t="n">
        <f aca="false">IF(OR($B473="",$E473="",$F473=""),0,MAX(0,MIN($F473,EOMONTH(DATE(cfg_FY,7,1),0))-MAX($E473,DATE(cfg_FY,7,1))+1)*(1-IF($M473="نعم",0,N($J473))))</f>
        <v>0</v>
      </c>
      <c r="AC473" s="133" t="n">
        <f aca="false">IF(OR($B473="",$E473="",$F473=""),0,MAX(0,MIN($F473,EOMONTH(DATE(cfg_FY,8,1),0))-MAX($E473,DATE(cfg_FY,8,1))+1)*(1-IF($M473="نعم",0,N($J473))))</f>
        <v>0</v>
      </c>
      <c r="AD473" s="133" t="n">
        <f aca="false">IF(OR($B473="",$E473="",$F473=""),0,MAX(0,MIN($F473,EOMONTH(DATE(cfg_FY,9,1),0))-MAX($E473,DATE(cfg_FY,9,1))+1)*(1-IF($M473="نعم",0,N($J473))))</f>
        <v>0</v>
      </c>
      <c r="AE473" s="133" t="n">
        <f aca="false">IF(OR($B473="",$E473="",$F473=""),0,MAX(0,MIN($F473,EOMONTH(DATE(cfg_FY,10,1),0))-MAX($E473,DATE(cfg_FY,10,1))+1)*(1-IF($M473="نعم",0,N($J473))))</f>
        <v>0</v>
      </c>
      <c r="AF473" s="133" t="n">
        <f aca="false">IF(OR($B473="",$E473="",$F473=""),0,MAX(0,MIN($F473,EOMONTH(DATE(cfg_FY,11,1),0))-MAX($E473,DATE(cfg_FY,11,1))+1)*(1-IF($M473="نعم",0,N($J473))))</f>
        <v>0</v>
      </c>
      <c r="AG473" s="133" t="n">
        <f aca="false">IF(OR($B473="",$E473="",$F473=""),0,MAX(0,MIN($F473,EOMONTH(DATE(cfg_FY,12,1),0))-MAX($E473,DATE(cfg_FY,12,1))+1)*(1-IF($M473="نعم",0,N($J473))))</f>
        <v>0</v>
      </c>
      <c r="AH473" s="133" t="n">
        <f aca="false">IF(OR(OR($B473="",$E473="",$F473=""),$L473&lt;&gt;"لا"),0,MAX(0,MIN($F473,EOMONTH(DATE(cfg_FY,1,1),0))-$E473+1))</f>
        <v>0</v>
      </c>
      <c r="AI473" s="133" t="n">
        <f aca="false">IF(OR(OR($B473="",$E473="",$F473=""),$L473&lt;&gt;"لا"),0,MAX(0,MIN($F473,EOMONTH(DATE(cfg_FY,2,1),0))-$E473+1))</f>
        <v>0</v>
      </c>
      <c r="AJ473" s="133" t="n">
        <f aca="false">IF(OR(OR($B473="",$E473="",$F473=""),$L473&lt;&gt;"لا"),0,MAX(0,MIN($F473,EOMONTH(DATE(cfg_FY,3,1),0))-$E473+1))</f>
        <v>0</v>
      </c>
      <c r="AK473" s="133" t="n">
        <f aca="false">IF(OR(OR($B473="",$E473="",$F473=""),$L473&lt;&gt;"لا"),0,MAX(0,MIN($F473,EOMONTH(DATE(cfg_FY,4,1),0))-$E473+1))</f>
        <v>0</v>
      </c>
      <c r="AL473" s="133" t="n">
        <f aca="false">IF(OR(OR($B473="",$E473="",$F473=""),$L473&lt;&gt;"لا"),0,MAX(0,MIN($F473,EOMONTH(DATE(cfg_FY,5,1),0))-$E473+1))</f>
        <v>0</v>
      </c>
      <c r="AM473" s="133" t="n">
        <f aca="false">IF(OR(OR($B473="",$E473="",$F473=""),$L473&lt;&gt;"لا"),0,MAX(0,MIN($F473,EOMONTH(DATE(cfg_FY,6,1),0))-$E473+1))</f>
        <v>0</v>
      </c>
      <c r="AN473" s="133" t="n">
        <f aca="false">IF(OR(OR($B473="",$E473="",$F473=""),$L473&lt;&gt;"لا"),0,MAX(0,MIN($F473,EOMONTH(DATE(cfg_FY,7,1),0))-$E473+1))</f>
        <v>0</v>
      </c>
      <c r="AO473" s="133" t="n">
        <f aca="false">IF(OR(OR($B473="",$E473="",$F473=""),$L473&lt;&gt;"لا"),0,MAX(0,MIN($F473,EOMONTH(DATE(cfg_FY,8,1),0))-$E473+1))</f>
        <v>0</v>
      </c>
      <c r="AP473" s="133" t="n">
        <f aca="false">IF(OR(OR($B473="",$E473="",$F473=""),$L473&lt;&gt;"لا"),0,MAX(0,MIN($F473,EOMONTH(DATE(cfg_FY,9,1),0))-$E473+1))</f>
        <v>0</v>
      </c>
      <c r="AQ473" s="133" t="n">
        <f aca="false">IF(OR(OR($B473="",$E473="",$F473=""),$L473&lt;&gt;"لا"),0,MAX(0,MIN($F473,EOMONTH(DATE(cfg_FY,10,1),0))-$E473+1))</f>
        <v>0</v>
      </c>
      <c r="AR473" s="133" t="n">
        <f aca="false">IF(OR(OR($B473="",$E473="",$F473=""),$L473&lt;&gt;"لا"),0,MAX(0,MIN($F473,EOMONTH(DATE(cfg_FY,11,1),0))-$E473+1))</f>
        <v>0</v>
      </c>
      <c r="AS473" s="133" t="n">
        <f aca="false">IF(OR(OR($B473="",$E473="",$F473=""),$L473&lt;&gt;"لا"),0,MAX(0,MIN($F473,EOMONTH(DATE(cfg_FY,12,1),0))-$E473+1))</f>
        <v>0</v>
      </c>
      <c r="AT473" s="133" t="n">
        <f aca="false">IF(OR(OR($B473="",$E473="",$F473=""),$K473&lt;&gt;"نعم",$M473="نعم"),0,MAX(0,MIN($F473,EOMONTH(DATE(cfg_FY,1,1),0))-MAX($E473,DATE(cfg_FY,1,1))+1))</f>
        <v>0</v>
      </c>
      <c r="AU473" s="133" t="n">
        <f aca="false">IF(OR(OR($B473="",$E473="",$F473=""),$K473&lt;&gt;"نعم",$M473="نعم"),0,MAX(0,MIN($F473,EOMONTH(DATE(cfg_FY,2,1),0))-MAX($E473,DATE(cfg_FY,2,1))+1))</f>
        <v>0</v>
      </c>
      <c r="AV473" s="133" t="n">
        <f aca="false">IF(OR(OR($B473="",$E473="",$F473=""),$K473&lt;&gt;"نعم",$M473="نعم"),0,MAX(0,MIN($F473,EOMONTH(DATE(cfg_FY,3,1),0))-MAX($E473,DATE(cfg_FY,3,1))+1))</f>
        <v>0</v>
      </c>
      <c r="AW473" s="133" t="n">
        <f aca="false">IF(OR(OR($B473="",$E473="",$F473=""),$K473&lt;&gt;"نعم",$M473="نعم"),0,MAX(0,MIN($F473,EOMONTH(DATE(cfg_FY,4,1),0))-MAX($E473,DATE(cfg_FY,4,1))+1))</f>
        <v>0</v>
      </c>
      <c r="AX473" s="133" t="n">
        <f aca="false">IF(OR(OR($B473="",$E473="",$F473=""),$K473&lt;&gt;"نعم",$M473="نعم"),0,MAX(0,MIN($F473,EOMONTH(DATE(cfg_FY,5,1),0))-MAX($E473,DATE(cfg_FY,5,1))+1))</f>
        <v>0</v>
      </c>
      <c r="AY473" s="133" t="n">
        <f aca="false">IF(OR(OR($B473="",$E473="",$F473=""),$K473&lt;&gt;"نعم",$M473="نعم"),0,MAX(0,MIN($F473,EOMONTH(DATE(cfg_FY,6,1),0))-MAX($E473,DATE(cfg_FY,6,1))+1))</f>
        <v>0</v>
      </c>
      <c r="AZ473" s="133" t="n">
        <f aca="false">IF(OR(OR($B473="",$E473="",$F473=""),$K473&lt;&gt;"نعم",$M473="نعم"),0,MAX(0,MIN($F473,EOMONTH(DATE(cfg_FY,7,1),0))-MAX($E473,DATE(cfg_FY,7,1))+1))</f>
        <v>0</v>
      </c>
      <c r="BA473" s="133" t="n">
        <f aca="false">IF(OR(OR($B473="",$E473="",$F473=""),$K473&lt;&gt;"نعم",$M473="نعم"),0,MAX(0,MIN($F473,EOMONTH(DATE(cfg_FY,8,1),0))-MAX($E473,DATE(cfg_FY,8,1))+1))</f>
        <v>0</v>
      </c>
      <c r="BB473" s="133" t="n">
        <f aca="false">IF(OR(OR($B473="",$E473="",$F473=""),$K473&lt;&gt;"نعم",$M473="نعم"),0,MAX(0,MIN($F473,EOMONTH(DATE(cfg_FY,9,1),0))-MAX($E473,DATE(cfg_FY,9,1))+1))</f>
        <v>0</v>
      </c>
      <c r="BC473" s="133" t="n">
        <f aca="false">IF(OR(OR($B473="",$E473="",$F473=""),$K473&lt;&gt;"نعم",$M473="نعم"),0,MAX(0,MIN($F473,EOMONTH(DATE(cfg_FY,10,1),0))-MAX($E473,DATE(cfg_FY,10,1))+1))</f>
        <v>0</v>
      </c>
      <c r="BD473" s="133" t="n">
        <f aca="false">IF(OR(OR($B473="",$E473="",$F473=""),$K473&lt;&gt;"نعم",$M473="نعم"),0,MAX(0,MIN($F473,EOMONTH(DATE(cfg_FY,11,1),0))-MAX($E473,DATE(cfg_FY,11,1))+1))</f>
        <v>0</v>
      </c>
      <c r="BE473" s="133" t="n">
        <f aca="false">IF(OR(OR($B473="",$E473="",$F473=""),$K473&lt;&gt;"نعم",$M473="نعم"),0,MAX(0,MIN($F473,EOMONTH(DATE(cfg_FY,12,1),0))-MAX($E473,DATE(cfg_FY,12,1))+1))</f>
        <v>0</v>
      </c>
    </row>
    <row r="474" customFormat="false" ht="15" hidden="false" customHeight="false" outlineLevel="0" collapsed="false">
      <c r="A474" s="106" t="str">
        <f aca="false">IF(B474="","",ROW()-5)</f>
        <v/>
      </c>
      <c r="B474" s="118"/>
      <c r="C474" s="114" t="str">
        <f aca="false">IF(B474="","",IFERROR(INDEX(الموظفون!$C$6:$C$105,MATCH(B474,الموظفون!$B$6:$B$105,0)),"✖ رقم غير موجود"))</f>
        <v/>
      </c>
      <c r="D474" s="118"/>
      <c r="E474" s="119"/>
      <c r="F474" s="119"/>
      <c r="G474" s="65" t="str">
        <f aca="false">IF(OR($B474="",$E474="",$F474=""),"",MAX(0,F474-E474+1))</f>
        <v/>
      </c>
      <c r="H474" s="66" t="str">
        <f aca="false">IF(D474="","",IFERROR(VLOOKUP(D474,cfg_LT,2,FALSE()),1))</f>
        <v/>
      </c>
      <c r="I474" s="135"/>
      <c r="J474" s="66" t="str">
        <f aca="false">IF(D474="","",IF(I474&lt;&gt;"",I474,H474))</f>
        <v/>
      </c>
      <c r="K474" s="114" t="str">
        <f aca="false">IF(D474="","",IFERROR(VLOOKUP($D474,cfg_LT,3,FALSE()),""))</f>
        <v/>
      </c>
      <c r="L474" s="114" t="str">
        <f aca="false">IF(D474="","",IFERROR(VLOOKUP($D474,cfg_LT,4,FALSE()),""))</f>
        <v/>
      </c>
      <c r="M474" s="114" t="str">
        <f aca="false">IF(D474="","",IFERROR(VLOOKUP($D474,cfg_LT,5,FALSE()),""))</f>
        <v/>
      </c>
      <c r="N474" s="111" t="n">
        <f aca="false">IF(OR(OR($B474="",$E474="",$F474=""),M474&lt;&gt;"نعم"),0,G474*J474*IFERROR(INDEX(الموظفون!$R$6:$R$105,MATCH(B474,الموظفون!$B$6:$B$105,0)),0)/cfg_DAYS_M)</f>
        <v>0</v>
      </c>
      <c r="O474" s="106" t="str">
        <f aca="false">IF(OR(OR($B474="",$E474="",$F474=""),M474&lt;&gt;"نعم"),"",IF(YEAR(E474)=cfg_FY,MONTH(E474),""))</f>
        <v/>
      </c>
      <c r="P474" s="114" t="str">
        <f aca="false">IF(B474="","",IF(OR(D474="",E474="",F474=""),"⚠ أكمل النوع والتواريخ",IF(F474&lt;E474,"✖ النهاية قبل البداية",IF(COUNTIFS($B$6:$B$505,B474,$E$6:$E$505,"&lt;="&amp;F474,$F$6:$F$505,"&gt;="&amp;E474)&gt;1,"⚠ تداخل مع سجل آخر",IF(E474&gt;cfg_VAL_DATE,"⏳ قادمة",IF(F474&lt;cfg_VAL_DATE,"✔ منتهية","✈ جارية في تاريخ التقرير"))))))</f>
        <v/>
      </c>
      <c r="Q474" s="118"/>
      <c r="R474" s="65" t="n">
        <f aca="false">IF(OR(OR($B474="",$E474="",$F474=""),L474&lt;&gt;"لا"),0,MAX(0,MIN(F474,cfg_Y_START-1)-E474+1))</f>
        <v>0</v>
      </c>
      <c r="S474" s="65" t="n">
        <f aca="false">IF(OR(OR($B474="",$E474="",$F474=""),L474&lt;&gt;"لا"),0,MAX(0,MIN(F474,cfg_VAL_DATE)-E474+1))</f>
        <v>0</v>
      </c>
      <c r="T474" s="65" t="n">
        <f aca="false">IF(OR(OR($B474="",$E474="",$F474=""),K474&lt;&gt;"نعم"),0,IF(M474="نعم",IF(AND(ISNUMBER(O474),N(O474)&lt;=cfg_VAL_M),G474,0),MAX(0,MIN(F474,cfg_VAL_DATE)-MAX(E474,cfg_Y_START)+1)))</f>
        <v>0</v>
      </c>
      <c r="V474" s="65" t="n">
        <f aca="false">IF(OR($B474="",$E474="",$F474=""),0,MAX(0,MIN($F474,EOMONTH(DATE(cfg_FY,1,1),0))-MAX($E474,DATE(cfg_FY,1,1))+1)*(1-IF($M474="نعم",0,N($J474))))</f>
        <v>0</v>
      </c>
      <c r="W474" s="65" t="n">
        <f aca="false">IF(OR($B474="",$E474="",$F474=""),0,MAX(0,MIN($F474,EOMONTH(DATE(cfg_FY,2,1),0))-MAX($E474,DATE(cfg_FY,2,1))+1)*(1-IF($M474="نعم",0,N($J474))))</f>
        <v>0</v>
      </c>
      <c r="X474" s="65" t="n">
        <f aca="false">IF(OR($B474="",$E474="",$F474=""),0,MAX(0,MIN($F474,EOMONTH(DATE(cfg_FY,3,1),0))-MAX($E474,DATE(cfg_FY,3,1))+1)*(1-IF($M474="نعم",0,N($J474))))</f>
        <v>0</v>
      </c>
      <c r="Y474" s="65" t="n">
        <f aca="false">IF(OR($B474="",$E474="",$F474=""),0,MAX(0,MIN($F474,EOMONTH(DATE(cfg_FY,4,1),0))-MAX($E474,DATE(cfg_FY,4,1))+1)*(1-IF($M474="نعم",0,N($J474))))</f>
        <v>0</v>
      </c>
      <c r="Z474" s="65" t="n">
        <f aca="false">IF(OR($B474="",$E474="",$F474=""),0,MAX(0,MIN($F474,EOMONTH(DATE(cfg_FY,5,1),0))-MAX($E474,DATE(cfg_FY,5,1))+1)*(1-IF($M474="نعم",0,N($J474))))</f>
        <v>0</v>
      </c>
      <c r="AA474" s="65" t="n">
        <f aca="false">IF(OR($B474="",$E474="",$F474=""),0,MAX(0,MIN($F474,EOMONTH(DATE(cfg_FY,6,1),0))-MAX($E474,DATE(cfg_FY,6,1))+1)*(1-IF($M474="نعم",0,N($J474))))</f>
        <v>0</v>
      </c>
      <c r="AB474" s="65" t="n">
        <f aca="false">IF(OR($B474="",$E474="",$F474=""),0,MAX(0,MIN($F474,EOMONTH(DATE(cfg_FY,7,1),0))-MAX($E474,DATE(cfg_FY,7,1))+1)*(1-IF($M474="نعم",0,N($J474))))</f>
        <v>0</v>
      </c>
      <c r="AC474" s="65" t="n">
        <f aca="false">IF(OR($B474="",$E474="",$F474=""),0,MAX(0,MIN($F474,EOMONTH(DATE(cfg_FY,8,1),0))-MAX($E474,DATE(cfg_FY,8,1))+1)*(1-IF($M474="نعم",0,N($J474))))</f>
        <v>0</v>
      </c>
      <c r="AD474" s="65" t="n">
        <f aca="false">IF(OR($B474="",$E474="",$F474=""),0,MAX(0,MIN($F474,EOMONTH(DATE(cfg_FY,9,1),0))-MAX($E474,DATE(cfg_FY,9,1))+1)*(1-IF($M474="نعم",0,N($J474))))</f>
        <v>0</v>
      </c>
      <c r="AE474" s="65" t="n">
        <f aca="false">IF(OR($B474="",$E474="",$F474=""),0,MAX(0,MIN($F474,EOMONTH(DATE(cfg_FY,10,1),0))-MAX($E474,DATE(cfg_FY,10,1))+1)*(1-IF($M474="نعم",0,N($J474))))</f>
        <v>0</v>
      </c>
      <c r="AF474" s="65" t="n">
        <f aca="false">IF(OR($B474="",$E474="",$F474=""),0,MAX(0,MIN($F474,EOMONTH(DATE(cfg_FY,11,1),0))-MAX($E474,DATE(cfg_FY,11,1))+1)*(1-IF($M474="نعم",0,N($J474))))</f>
        <v>0</v>
      </c>
      <c r="AG474" s="65" t="n">
        <f aca="false">IF(OR($B474="",$E474="",$F474=""),0,MAX(0,MIN($F474,EOMONTH(DATE(cfg_FY,12,1),0))-MAX($E474,DATE(cfg_FY,12,1))+1)*(1-IF($M474="نعم",0,N($J474))))</f>
        <v>0</v>
      </c>
      <c r="AH474" s="65" t="n">
        <f aca="false">IF(OR(OR($B474="",$E474="",$F474=""),$L474&lt;&gt;"لا"),0,MAX(0,MIN($F474,EOMONTH(DATE(cfg_FY,1,1),0))-$E474+1))</f>
        <v>0</v>
      </c>
      <c r="AI474" s="65" t="n">
        <f aca="false">IF(OR(OR($B474="",$E474="",$F474=""),$L474&lt;&gt;"لا"),0,MAX(0,MIN($F474,EOMONTH(DATE(cfg_FY,2,1),0))-$E474+1))</f>
        <v>0</v>
      </c>
      <c r="AJ474" s="65" t="n">
        <f aca="false">IF(OR(OR($B474="",$E474="",$F474=""),$L474&lt;&gt;"لا"),0,MAX(0,MIN($F474,EOMONTH(DATE(cfg_FY,3,1),0))-$E474+1))</f>
        <v>0</v>
      </c>
      <c r="AK474" s="65" t="n">
        <f aca="false">IF(OR(OR($B474="",$E474="",$F474=""),$L474&lt;&gt;"لا"),0,MAX(0,MIN($F474,EOMONTH(DATE(cfg_FY,4,1),0))-$E474+1))</f>
        <v>0</v>
      </c>
      <c r="AL474" s="65" t="n">
        <f aca="false">IF(OR(OR($B474="",$E474="",$F474=""),$L474&lt;&gt;"لا"),0,MAX(0,MIN($F474,EOMONTH(DATE(cfg_FY,5,1),0))-$E474+1))</f>
        <v>0</v>
      </c>
      <c r="AM474" s="65" t="n">
        <f aca="false">IF(OR(OR($B474="",$E474="",$F474=""),$L474&lt;&gt;"لا"),0,MAX(0,MIN($F474,EOMONTH(DATE(cfg_FY,6,1),0))-$E474+1))</f>
        <v>0</v>
      </c>
      <c r="AN474" s="65" t="n">
        <f aca="false">IF(OR(OR($B474="",$E474="",$F474=""),$L474&lt;&gt;"لا"),0,MAX(0,MIN($F474,EOMONTH(DATE(cfg_FY,7,1),0))-$E474+1))</f>
        <v>0</v>
      </c>
      <c r="AO474" s="65" t="n">
        <f aca="false">IF(OR(OR($B474="",$E474="",$F474=""),$L474&lt;&gt;"لا"),0,MAX(0,MIN($F474,EOMONTH(DATE(cfg_FY,8,1),0))-$E474+1))</f>
        <v>0</v>
      </c>
      <c r="AP474" s="65" t="n">
        <f aca="false">IF(OR(OR($B474="",$E474="",$F474=""),$L474&lt;&gt;"لا"),0,MAX(0,MIN($F474,EOMONTH(DATE(cfg_FY,9,1),0))-$E474+1))</f>
        <v>0</v>
      </c>
      <c r="AQ474" s="65" t="n">
        <f aca="false">IF(OR(OR($B474="",$E474="",$F474=""),$L474&lt;&gt;"لا"),0,MAX(0,MIN($F474,EOMONTH(DATE(cfg_FY,10,1),0))-$E474+1))</f>
        <v>0</v>
      </c>
      <c r="AR474" s="65" t="n">
        <f aca="false">IF(OR(OR($B474="",$E474="",$F474=""),$L474&lt;&gt;"لا"),0,MAX(0,MIN($F474,EOMONTH(DATE(cfg_FY,11,1),0))-$E474+1))</f>
        <v>0</v>
      </c>
      <c r="AS474" s="65" t="n">
        <f aca="false">IF(OR(OR($B474="",$E474="",$F474=""),$L474&lt;&gt;"لا"),0,MAX(0,MIN($F474,EOMONTH(DATE(cfg_FY,12,1),0))-$E474+1))</f>
        <v>0</v>
      </c>
      <c r="AT474" s="65" t="n">
        <f aca="false">IF(OR(OR($B474="",$E474="",$F474=""),$K474&lt;&gt;"نعم",$M474="نعم"),0,MAX(0,MIN($F474,EOMONTH(DATE(cfg_FY,1,1),0))-MAX($E474,DATE(cfg_FY,1,1))+1))</f>
        <v>0</v>
      </c>
      <c r="AU474" s="65" t="n">
        <f aca="false">IF(OR(OR($B474="",$E474="",$F474=""),$K474&lt;&gt;"نعم",$M474="نعم"),0,MAX(0,MIN($F474,EOMONTH(DATE(cfg_FY,2,1),0))-MAX($E474,DATE(cfg_FY,2,1))+1))</f>
        <v>0</v>
      </c>
      <c r="AV474" s="65" t="n">
        <f aca="false">IF(OR(OR($B474="",$E474="",$F474=""),$K474&lt;&gt;"نعم",$M474="نعم"),0,MAX(0,MIN($F474,EOMONTH(DATE(cfg_FY,3,1),0))-MAX($E474,DATE(cfg_FY,3,1))+1))</f>
        <v>0</v>
      </c>
      <c r="AW474" s="65" t="n">
        <f aca="false">IF(OR(OR($B474="",$E474="",$F474=""),$K474&lt;&gt;"نعم",$M474="نعم"),0,MAX(0,MIN($F474,EOMONTH(DATE(cfg_FY,4,1),0))-MAX($E474,DATE(cfg_FY,4,1))+1))</f>
        <v>0</v>
      </c>
      <c r="AX474" s="65" t="n">
        <f aca="false">IF(OR(OR($B474="",$E474="",$F474=""),$K474&lt;&gt;"نعم",$M474="نعم"),0,MAX(0,MIN($F474,EOMONTH(DATE(cfg_FY,5,1),0))-MAX($E474,DATE(cfg_FY,5,1))+1))</f>
        <v>0</v>
      </c>
      <c r="AY474" s="65" t="n">
        <f aca="false">IF(OR(OR($B474="",$E474="",$F474=""),$K474&lt;&gt;"نعم",$M474="نعم"),0,MAX(0,MIN($F474,EOMONTH(DATE(cfg_FY,6,1),0))-MAX($E474,DATE(cfg_FY,6,1))+1))</f>
        <v>0</v>
      </c>
      <c r="AZ474" s="65" t="n">
        <f aca="false">IF(OR(OR($B474="",$E474="",$F474=""),$K474&lt;&gt;"نعم",$M474="نعم"),0,MAX(0,MIN($F474,EOMONTH(DATE(cfg_FY,7,1),0))-MAX($E474,DATE(cfg_FY,7,1))+1))</f>
        <v>0</v>
      </c>
      <c r="BA474" s="65" t="n">
        <f aca="false">IF(OR(OR($B474="",$E474="",$F474=""),$K474&lt;&gt;"نعم",$M474="نعم"),0,MAX(0,MIN($F474,EOMONTH(DATE(cfg_FY,8,1),0))-MAX($E474,DATE(cfg_FY,8,1))+1))</f>
        <v>0</v>
      </c>
      <c r="BB474" s="65" t="n">
        <f aca="false">IF(OR(OR($B474="",$E474="",$F474=""),$K474&lt;&gt;"نعم",$M474="نعم"),0,MAX(0,MIN($F474,EOMONTH(DATE(cfg_FY,9,1),0))-MAX($E474,DATE(cfg_FY,9,1))+1))</f>
        <v>0</v>
      </c>
      <c r="BC474" s="65" t="n">
        <f aca="false">IF(OR(OR($B474="",$E474="",$F474=""),$K474&lt;&gt;"نعم",$M474="نعم"),0,MAX(0,MIN($F474,EOMONTH(DATE(cfg_FY,10,1),0))-MAX($E474,DATE(cfg_FY,10,1))+1))</f>
        <v>0</v>
      </c>
      <c r="BD474" s="65" t="n">
        <f aca="false">IF(OR(OR($B474="",$E474="",$F474=""),$K474&lt;&gt;"نعم",$M474="نعم"),0,MAX(0,MIN($F474,EOMONTH(DATE(cfg_FY,11,1),0))-MAX($E474,DATE(cfg_FY,11,1))+1))</f>
        <v>0</v>
      </c>
      <c r="BE474" s="65" t="n">
        <f aca="false">IF(OR(OR($B474="",$E474="",$F474=""),$K474&lt;&gt;"نعم",$M474="نعم"),0,MAX(0,MIN($F474,EOMONTH(DATE(cfg_FY,12,1),0))-MAX($E474,DATE(cfg_FY,12,1))+1))</f>
        <v>0</v>
      </c>
    </row>
    <row r="475" customFormat="false" ht="15" hidden="false" customHeight="false" outlineLevel="0" collapsed="false">
      <c r="A475" s="115" t="str">
        <f aca="false">IF(B475="","",ROW()-5)</f>
        <v/>
      </c>
      <c r="B475" s="118"/>
      <c r="C475" s="117" t="str">
        <f aca="false">IF(B475="","",IFERROR(INDEX(الموظفون!$C$6:$C$105,MATCH(B475,الموظفون!$B$6:$B$105,0)),"✖ رقم غير موجود"))</f>
        <v/>
      </c>
      <c r="D475" s="118"/>
      <c r="E475" s="119"/>
      <c r="F475" s="119"/>
      <c r="G475" s="133" t="str">
        <f aca="false">IF(OR($B475="",$E475="",$F475=""),"",MAX(0,F475-E475+1))</f>
        <v/>
      </c>
      <c r="H475" s="134" t="str">
        <f aca="false">IF(D475="","",IFERROR(VLOOKUP(D475,cfg_LT,2,FALSE()),1))</f>
        <v/>
      </c>
      <c r="I475" s="135"/>
      <c r="J475" s="134" t="str">
        <f aca="false">IF(D475="","",IF(I475&lt;&gt;"",I475,H475))</f>
        <v/>
      </c>
      <c r="K475" s="117" t="str">
        <f aca="false">IF(D475="","",IFERROR(VLOOKUP($D475,cfg_LT,3,FALSE()),""))</f>
        <v/>
      </c>
      <c r="L475" s="117" t="str">
        <f aca="false">IF(D475="","",IFERROR(VLOOKUP($D475,cfg_LT,4,FALSE()),""))</f>
        <v/>
      </c>
      <c r="M475" s="117" t="str">
        <f aca="false">IF(D475="","",IFERROR(VLOOKUP($D475,cfg_LT,5,FALSE()),""))</f>
        <v/>
      </c>
      <c r="N475" s="116" t="n">
        <f aca="false">IF(OR(OR($B475="",$E475="",$F475=""),M475&lt;&gt;"نعم"),0,G475*J475*IFERROR(INDEX(الموظفون!$R$6:$R$105,MATCH(B475,الموظفون!$B$6:$B$105,0)),0)/cfg_DAYS_M)</f>
        <v>0</v>
      </c>
      <c r="O475" s="115" t="str">
        <f aca="false">IF(OR(OR($B475="",$E475="",$F475=""),M475&lt;&gt;"نعم"),"",IF(YEAR(E475)=cfg_FY,MONTH(E475),""))</f>
        <v/>
      </c>
      <c r="P475" s="117" t="str">
        <f aca="false">IF(B475="","",IF(OR(D475="",E475="",F475=""),"⚠ أكمل النوع والتواريخ",IF(F475&lt;E475,"✖ النهاية قبل البداية",IF(COUNTIFS($B$6:$B$505,B475,$E$6:$E$505,"&lt;="&amp;F475,$F$6:$F$505,"&gt;="&amp;E475)&gt;1,"⚠ تداخل مع سجل آخر",IF(E475&gt;cfg_VAL_DATE,"⏳ قادمة",IF(F475&lt;cfg_VAL_DATE,"✔ منتهية","✈ جارية في تاريخ التقرير"))))))</f>
        <v/>
      </c>
      <c r="Q475" s="118"/>
      <c r="R475" s="133" t="n">
        <f aca="false">IF(OR(OR($B475="",$E475="",$F475=""),L475&lt;&gt;"لا"),0,MAX(0,MIN(F475,cfg_Y_START-1)-E475+1))</f>
        <v>0</v>
      </c>
      <c r="S475" s="133" t="n">
        <f aca="false">IF(OR(OR($B475="",$E475="",$F475=""),L475&lt;&gt;"لا"),0,MAX(0,MIN(F475,cfg_VAL_DATE)-E475+1))</f>
        <v>0</v>
      </c>
      <c r="T475" s="133" t="n">
        <f aca="false">IF(OR(OR($B475="",$E475="",$F475=""),K475&lt;&gt;"نعم"),0,IF(M475="نعم",IF(AND(ISNUMBER(O475),N(O475)&lt;=cfg_VAL_M),G475,0),MAX(0,MIN(F475,cfg_VAL_DATE)-MAX(E475,cfg_Y_START)+1)))</f>
        <v>0</v>
      </c>
      <c r="V475" s="133" t="n">
        <f aca="false">IF(OR($B475="",$E475="",$F475=""),0,MAX(0,MIN($F475,EOMONTH(DATE(cfg_FY,1,1),0))-MAX($E475,DATE(cfg_FY,1,1))+1)*(1-IF($M475="نعم",0,N($J475))))</f>
        <v>0</v>
      </c>
      <c r="W475" s="133" t="n">
        <f aca="false">IF(OR($B475="",$E475="",$F475=""),0,MAX(0,MIN($F475,EOMONTH(DATE(cfg_FY,2,1),0))-MAX($E475,DATE(cfg_FY,2,1))+1)*(1-IF($M475="نعم",0,N($J475))))</f>
        <v>0</v>
      </c>
      <c r="X475" s="133" t="n">
        <f aca="false">IF(OR($B475="",$E475="",$F475=""),0,MAX(0,MIN($F475,EOMONTH(DATE(cfg_FY,3,1),0))-MAX($E475,DATE(cfg_FY,3,1))+1)*(1-IF($M475="نعم",0,N($J475))))</f>
        <v>0</v>
      </c>
      <c r="Y475" s="133" t="n">
        <f aca="false">IF(OR($B475="",$E475="",$F475=""),0,MAX(0,MIN($F475,EOMONTH(DATE(cfg_FY,4,1),0))-MAX($E475,DATE(cfg_FY,4,1))+1)*(1-IF($M475="نعم",0,N($J475))))</f>
        <v>0</v>
      </c>
      <c r="Z475" s="133" t="n">
        <f aca="false">IF(OR($B475="",$E475="",$F475=""),0,MAX(0,MIN($F475,EOMONTH(DATE(cfg_FY,5,1),0))-MAX($E475,DATE(cfg_FY,5,1))+1)*(1-IF($M475="نعم",0,N($J475))))</f>
        <v>0</v>
      </c>
      <c r="AA475" s="133" t="n">
        <f aca="false">IF(OR($B475="",$E475="",$F475=""),0,MAX(0,MIN($F475,EOMONTH(DATE(cfg_FY,6,1),0))-MAX($E475,DATE(cfg_FY,6,1))+1)*(1-IF($M475="نعم",0,N($J475))))</f>
        <v>0</v>
      </c>
      <c r="AB475" s="133" t="n">
        <f aca="false">IF(OR($B475="",$E475="",$F475=""),0,MAX(0,MIN($F475,EOMONTH(DATE(cfg_FY,7,1),0))-MAX($E475,DATE(cfg_FY,7,1))+1)*(1-IF($M475="نعم",0,N($J475))))</f>
        <v>0</v>
      </c>
      <c r="AC475" s="133" t="n">
        <f aca="false">IF(OR($B475="",$E475="",$F475=""),0,MAX(0,MIN($F475,EOMONTH(DATE(cfg_FY,8,1),0))-MAX($E475,DATE(cfg_FY,8,1))+1)*(1-IF($M475="نعم",0,N($J475))))</f>
        <v>0</v>
      </c>
      <c r="AD475" s="133" t="n">
        <f aca="false">IF(OR($B475="",$E475="",$F475=""),0,MAX(0,MIN($F475,EOMONTH(DATE(cfg_FY,9,1),0))-MAX($E475,DATE(cfg_FY,9,1))+1)*(1-IF($M475="نعم",0,N($J475))))</f>
        <v>0</v>
      </c>
      <c r="AE475" s="133" t="n">
        <f aca="false">IF(OR($B475="",$E475="",$F475=""),0,MAX(0,MIN($F475,EOMONTH(DATE(cfg_FY,10,1),0))-MAX($E475,DATE(cfg_FY,10,1))+1)*(1-IF($M475="نعم",0,N($J475))))</f>
        <v>0</v>
      </c>
      <c r="AF475" s="133" t="n">
        <f aca="false">IF(OR($B475="",$E475="",$F475=""),0,MAX(0,MIN($F475,EOMONTH(DATE(cfg_FY,11,1),0))-MAX($E475,DATE(cfg_FY,11,1))+1)*(1-IF($M475="نعم",0,N($J475))))</f>
        <v>0</v>
      </c>
      <c r="AG475" s="133" t="n">
        <f aca="false">IF(OR($B475="",$E475="",$F475=""),0,MAX(0,MIN($F475,EOMONTH(DATE(cfg_FY,12,1),0))-MAX($E475,DATE(cfg_FY,12,1))+1)*(1-IF($M475="نعم",0,N($J475))))</f>
        <v>0</v>
      </c>
      <c r="AH475" s="133" t="n">
        <f aca="false">IF(OR(OR($B475="",$E475="",$F475=""),$L475&lt;&gt;"لا"),0,MAX(0,MIN($F475,EOMONTH(DATE(cfg_FY,1,1),0))-$E475+1))</f>
        <v>0</v>
      </c>
      <c r="AI475" s="133" t="n">
        <f aca="false">IF(OR(OR($B475="",$E475="",$F475=""),$L475&lt;&gt;"لا"),0,MAX(0,MIN($F475,EOMONTH(DATE(cfg_FY,2,1),0))-$E475+1))</f>
        <v>0</v>
      </c>
      <c r="AJ475" s="133" t="n">
        <f aca="false">IF(OR(OR($B475="",$E475="",$F475=""),$L475&lt;&gt;"لا"),0,MAX(0,MIN($F475,EOMONTH(DATE(cfg_FY,3,1),0))-$E475+1))</f>
        <v>0</v>
      </c>
      <c r="AK475" s="133" t="n">
        <f aca="false">IF(OR(OR($B475="",$E475="",$F475=""),$L475&lt;&gt;"لا"),0,MAX(0,MIN($F475,EOMONTH(DATE(cfg_FY,4,1),0))-$E475+1))</f>
        <v>0</v>
      </c>
      <c r="AL475" s="133" t="n">
        <f aca="false">IF(OR(OR($B475="",$E475="",$F475=""),$L475&lt;&gt;"لا"),0,MAX(0,MIN($F475,EOMONTH(DATE(cfg_FY,5,1),0))-$E475+1))</f>
        <v>0</v>
      </c>
      <c r="AM475" s="133" t="n">
        <f aca="false">IF(OR(OR($B475="",$E475="",$F475=""),$L475&lt;&gt;"لا"),0,MAX(0,MIN($F475,EOMONTH(DATE(cfg_FY,6,1),0))-$E475+1))</f>
        <v>0</v>
      </c>
      <c r="AN475" s="133" t="n">
        <f aca="false">IF(OR(OR($B475="",$E475="",$F475=""),$L475&lt;&gt;"لا"),0,MAX(0,MIN($F475,EOMONTH(DATE(cfg_FY,7,1),0))-$E475+1))</f>
        <v>0</v>
      </c>
      <c r="AO475" s="133" t="n">
        <f aca="false">IF(OR(OR($B475="",$E475="",$F475=""),$L475&lt;&gt;"لا"),0,MAX(0,MIN($F475,EOMONTH(DATE(cfg_FY,8,1),0))-$E475+1))</f>
        <v>0</v>
      </c>
      <c r="AP475" s="133" t="n">
        <f aca="false">IF(OR(OR($B475="",$E475="",$F475=""),$L475&lt;&gt;"لا"),0,MAX(0,MIN($F475,EOMONTH(DATE(cfg_FY,9,1),0))-$E475+1))</f>
        <v>0</v>
      </c>
      <c r="AQ475" s="133" t="n">
        <f aca="false">IF(OR(OR($B475="",$E475="",$F475=""),$L475&lt;&gt;"لا"),0,MAX(0,MIN($F475,EOMONTH(DATE(cfg_FY,10,1),0))-$E475+1))</f>
        <v>0</v>
      </c>
      <c r="AR475" s="133" t="n">
        <f aca="false">IF(OR(OR($B475="",$E475="",$F475=""),$L475&lt;&gt;"لا"),0,MAX(0,MIN($F475,EOMONTH(DATE(cfg_FY,11,1),0))-$E475+1))</f>
        <v>0</v>
      </c>
      <c r="AS475" s="133" t="n">
        <f aca="false">IF(OR(OR($B475="",$E475="",$F475=""),$L475&lt;&gt;"لا"),0,MAX(0,MIN($F475,EOMONTH(DATE(cfg_FY,12,1),0))-$E475+1))</f>
        <v>0</v>
      </c>
      <c r="AT475" s="133" t="n">
        <f aca="false">IF(OR(OR($B475="",$E475="",$F475=""),$K475&lt;&gt;"نعم",$M475="نعم"),0,MAX(0,MIN($F475,EOMONTH(DATE(cfg_FY,1,1),0))-MAX($E475,DATE(cfg_FY,1,1))+1))</f>
        <v>0</v>
      </c>
      <c r="AU475" s="133" t="n">
        <f aca="false">IF(OR(OR($B475="",$E475="",$F475=""),$K475&lt;&gt;"نعم",$M475="نعم"),0,MAX(0,MIN($F475,EOMONTH(DATE(cfg_FY,2,1),0))-MAX($E475,DATE(cfg_FY,2,1))+1))</f>
        <v>0</v>
      </c>
      <c r="AV475" s="133" t="n">
        <f aca="false">IF(OR(OR($B475="",$E475="",$F475=""),$K475&lt;&gt;"نعم",$M475="نعم"),0,MAX(0,MIN($F475,EOMONTH(DATE(cfg_FY,3,1),0))-MAX($E475,DATE(cfg_FY,3,1))+1))</f>
        <v>0</v>
      </c>
      <c r="AW475" s="133" t="n">
        <f aca="false">IF(OR(OR($B475="",$E475="",$F475=""),$K475&lt;&gt;"نعم",$M475="نعم"),0,MAX(0,MIN($F475,EOMONTH(DATE(cfg_FY,4,1),0))-MAX($E475,DATE(cfg_FY,4,1))+1))</f>
        <v>0</v>
      </c>
      <c r="AX475" s="133" t="n">
        <f aca="false">IF(OR(OR($B475="",$E475="",$F475=""),$K475&lt;&gt;"نعم",$M475="نعم"),0,MAX(0,MIN($F475,EOMONTH(DATE(cfg_FY,5,1),0))-MAX($E475,DATE(cfg_FY,5,1))+1))</f>
        <v>0</v>
      </c>
      <c r="AY475" s="133" t="n">
        <f aca="false">IF(OR(OR($B475="",$E475="",$F475=""),$K475&lt;&gt;"نعم",$M475="نعم"),0,MAX(0,MIN($F475,EOMONTH(DATE(cfg_FY,6,1),0))-MAX($E475,DATE(cfg_FY,6,1))+1))</f>
        <v>0</v>
      </c>
      <c r="AZ475" s="133" t="n">
        <f aca="false">IF(OR(OR($B475="",$E475="",$F475=""),$K475&lt;&gt;"نعم",$M475="نعم"),0,MAX(0,MIN($F475,EOMONTH(DATE(cfg_FY,7,1),0))-MAX($E475,DATE(cfg_FY,7,1))+1))</f>
        <v>0</v>
      </c>
      <c r="BA475" s="133" t="n">
        <f aca="false">IF(OR(OR($B475="",$E475="",$F475=""),$K475&lt;&gt;"نعم",$M475="نعم"),0,MAX(0,MIN($F475,EOMONTH(DATE(cfg_FY,8,1),0))-MAX($E475,DATE(cfg_FY,8,1))+1))</f>
        <v>0</v>
      </c>
      <c r="BB475" s="133" t="n">
        <f aca="false">IF(OR(OR($B475="",$E475="",$F475=""),$K475&lt;&gt;"نعم",$M475="نعم"),0,MAX(0,MIN($F475,EOMONTH(DATE(cfg_FY,9,1),0))-MAX($E475,DATE(cfg_FY,9,1))+1))</f>
        <v>0</v>
      </c>
      <c r="BC475" s="133" t="n">
        <f aca="false">IF(OR(OR($B475="",$E475="",$F475=""),$K475&lt;&gt;"نعم",$M475="نعم"),0,MAX(0,MIN($F475,EOMONTH(DATE(cfg_FY,10,1),0))-MAX($E475,DATE(cfg_FY,10,1))+1))</f>
        <v>0</v>
      </c>
      <c r="BD475" s="133" t="n">
        <f aca="false">IF(OR(OR($B475="",$E475="",$F475=""),$K475&lt;&gt;"نعم",$M475="نعم"),0,MAX(0,MIN($F475,EOMONTH(DATE(cfg_FY,11,1),0))-MAX($E475,DATE(cfg_FY,11,1))+1))</f>
        <v>0</v>
      </c>
      <c r="BE475" s="133" t="n">
        <f aca="false">IF(OR(OR($B475="",$E475="",$F475=""),$K475&lt;&gt;"نعم",$M475="نعم"),0,MAX(0,MIN($F475,EOMONTH(DATE(cfg_FY,12,1),0))-MAX($E475,DATE(cfg_FY,12,1))+1))</f>
        <v>0</v>
      </c>
    </row>
    <row r="476" customFormat="false" ht="15" hidden="false" customHeight="false" outlineLevel="0" collapsed="false">
      <c r="A476" s="106" t="str">
        <f aca="false">IF(B476="","",ROW()-5)</f>
        <v/>
      </c>
      <c r="B476" s="118"/>
      <c r="C476" s="114" t="str">
        <f aca="false">IF(B476="","",IFERROR(INDEX(الموظفون!$C$6:$C$105,MATCH(B476,الموظفون!$B$6:$B$105,0)),"✖ رقم غير موجود"))</f>
        <v/>
      </c>
      <c r="D476" s="118"/>
      <c r="E476" s="119"/>
      <c r="F476" s="119"/>
      <c r="G476" s="65" t="str">
        <f aca="false">IF(OR($B476="",$E476="",$F476=""),"",MAX(0,F476-E476+1))</f>
        <v/>
      </c>
      <c r="H476" s="66" t="str">
        <f aca="false">IF(D476="","",IFERROR(VLOOKUP(D476,cfg_LT,2,FALSE()),1))</f>
        <v/>
      </c>
      <c r="I476" s="135"/>
      <c r="J476" s="66" t="str">
        <f aca="false">IF(D476="","",IF(I476&lt;&gt;"",I476,H476))</f>
        <v/>
      </c>
      <c r="K476" s="114" t="str">
        <f aca="false">IF(D476="","",IFERROR(VLOOKUP($D476,cfg_LT,3,FALSE()),""))</f>
        <v/>
      </c>
      <c r="L476" s="114" t="str">
        <f aca="false">IF(D476="","",IFERROR(VLOOKUP($D476,cfg_LT,4,FALSE()),""))</f>
        <v/>
      </c>
      <c r="M476" s="114" t="str">
        <f aca="false">IF(D476="","",IFERROR(VLOOKUP($D476,cfg_LT,5,FALSE()),""))</f>
        <v/>
      </c>
      <c r="N476" s="111" t="n">
        <f aca="false">IF(OR(OR($B476="",$E476="",$F476=""),M476&lt;&gt;"نعم"),0,G476*J476*IFERROR(INDEX(الموظفون!$R$6:$R$105,MATCH(B476,الموظفون!$B$6:$B$105,0)),0)/cfg_DAYS_M)</f>
        <v>0</v>
      </c>
      <c r="O476" s="106" t="str">
        <f aca="false">IF(OR(OR($B476="",$E476="",$F476=""),M476&lt;&gt;"نعم"),"",IF(YEAR(E476)=cfg_FY,MONTH(E476),""))</f>
        <v/>
      </c>
      <c r="P476" s="114" t="str">
        <f aca="false">IF(B476="","",IF(OR(D476="",E476="",F476=""),"⚠ أكمل النوع والتواريخ",IF(F476&lt;E476,"✖ النهاية قبل البداية",IF(COUNTIFS($B$6:$B$505,B476,$E$6:$E$505,"&lt;="&amp;F476,$F$6:$F$505,"&gt;="&amp;E476)&gt;1,"⚠ تداخل مع سجل آخر",IF(E476&gt;cfg_VAL_DATE,"⏳ قادمة",IF(F476&lt;cfg_VAL_DATE,"✔ منتهية","✈ جارية في تاريخ التقرير"))))))</f>
        <v/>
      </c>
      <c r="Q476" s="118"/>
      <c r="R476" s="65" t="n">
        <f aca="false">IF(OR(OR($B476="",$E476="",$F476=""),L476&lt;&gt;"لا"),0,MAX(0,MIN(F476,cfg_Y_START-1)-E476+1))</f>
        <v>0</v>
      </c>
      <c r="S476" s="65" t="n">
        <f aca="false">IF(OR(OR($B476="",$E476="",$F476=""),L476&lt;&gt;"لا"),0,MAX(0,MIN(F476,cfg_VAL_DATE)-E476+1))</f>
        <v>0</v>
      </c>
      <c r="T476" s="65" t="n">
        <f aca="false">IF(OR(OR($B476="",$E476="",$F476=""),K476&lt;&gt;"نعم"),0,IF(M476="نعم",IF(AND(ISNUMBER(O476),N(O476)&lt;=cfg_VAL_M),G476,0),MAX(0,MIN(F476,cfg_VAL_DATE)-MAX(E476,cfg_Y_START)+1)))</f>
        <v>0</v>
      </c>
      <c r="V476" s="65" t="n">
        <f aca="false">IF(OR($B476="",$E476="",$F476=""),0,MAX(0,MIN($F476,EOMONTH(DATE(cfg_FY,1,1),0))-MAX($E476,DATE(cfg_FY,1,1))+1)*(1-IF($M476="نعم",0,N($J476))))</f>
        <v>0</v>
      </c>
      <c r="W476" s="65" t="n">
        <f aca="false">IF(OR($B476="",$E476="",$F476=""),0,MAX(0,MIN($F476,EOMONTH(DATE(cfg_FY,2,1),0))-MAX($E476,DATE(cfg_FY,2,1))+1)*(1-IF($M476="نعم",0,N($J476))))</f>
        <v>0</v>
      </c>
      <c r="X476" s="65" t="n">
        <f aca="false">IF(OR($B476="",$E476="",$F476=""),0,MAX(0,MIN($F476,EOMONTH(DATE(cfg_FY,3,1),0))-MAX($E476,DATE(cfg_FY,3,1))+1)*(1-IF($M476="نعم",0,N($J476))))</f>
        <v>0</v>
      </c>
      <c r="Y476" s="65" t="n">
        <f aca="false">IF(OR($B476="",$E476="",$F476=""),0,MAX(0,MIN($F476,EOMONTH(DATE(cfg_FY,4,1),0))-MAX($E476,DATE(cfg_FY,4,1))+1)*(1-IF($M476="نعم",0,N($J476))))</f>
        <v>0</v>
      </c>
      <c r="Z476" s="65" t="n">
        <f aca="false">IF(OR($B476="",$E476="",$F476=""),0,MAX(0,MIN($F476,EOMONTH(DATE(cfg_FY,5,1),0))-MAX($E476,DATE(cfg_FY,5,1))+1)*(1-IF($M476="نعم",0,N($J476))))</f>
        <v>0</v>
      </c>
      <c r="AA476" s="65" t="n">
        <f aca="false">IF(OR($B476="",$E476="",$F476=""),0,MAX(0,MIN($F476,EOMONTH(DATE(cfg_FY,6,1),0))-MAX($E476,DATE(cfg_FY,6,1))+1)*(1-IF($M476="نعم",0,N($J476))))</f>
        <v>0</v>
      </c>
      <c r="AB476" s="65" t="n">
        <f aca="false">IF(OR($B476="",$E476="",$F476=""),0,MAX(0,MIN($F476,EOMONTH(DATE(cfg_FY,7,1),0))-MAX($E476,DATE(cfg_FY,7,1))+1)*(1-IF($M476="نعم",0,N($J476))))</f>
        <v>0</v>
      </c>
      <c r="AC476" s="65" t="n">
        <f aca="false">IF(OR($B476="",$E476="",$F476=""),0,MAX(0,MIN($F476,EOMONTH(DATE(cfg_FY,8,1),0))-MAX($E476,DATE(cfg_FY,8,1))+1)*(1-IF($M476="نعم",0,N($J476))))</f>
        <v>0</v>
      </c>
      <c r="AD476" s="65" t="n">
        <f aca="false">IF(OR($B476="",$E476="",$F476=""),0,MAX(0,MIN($F476,EOMONTH(DATE(cfg_FY,9,1),0))-MAX($E476,DATE(cfg_FY,9,1))+1)*(1-IF($M476="نعم",0,N($J476))))</f>
        <v>0</v>
      </c>
      <c r="AE476" s="65" t="n">
        <f aca="false">IF(OR($B476="",$E476="",$F476=""),0,MAX(0,MIN($F476,EOMONTH(DATE(cfg_FY,10,1),0))-MAX($E476,DATE(cfg_FY,10,1))+1)*(1-IF($M476="نعم",0,N($J476))))</f>
        <v>0</v>
      </c>
      <c r="AF476" s="65" t="n">
        <f aca="false">IF(OR($B476="",$E476="",$F476=""),0,MAX(0,MIN($F476,EOMONTH(DATE(cfg_FY,11,1),0))-MAX($E476,DATE(cfg_FY,11,1))+1)*(1-IF($M476="نعم",0,N($J476))))</f>
        <v>0</v>
      </c>
      <c r="AG476" s="65" t="n">
        <f aca="false">IF(OR($B476="",$E476="",$F476=""),0,MAX(0,MIN($F476,EOMONTH(DATE(cfg_FY,12,1),0))-MAX($E476,DATE(cfg_FY,12,1))+1)*(1-IF($M476="نعم",0,N($J476))))</f>
        <v>0</v>
      </c>
      <c r="AH476" s="65" t="n">
        <f aca="false">IF(OR(OR($B476="",$E476="",$F476=""),$L476&lt;&gt;"لا"),0,MAX(0,MIN($F476,EOMONTH(DATE(cfg_FY,1,1),0))-$E476+1))</f>
        <v>0</v>
      </c>
      <c r="AI476" s="65" t="n">
        <f aca="false">IF(OR(OR($B476="",$E476="",$F476=""),$L476&lt;&gt;"لا"),0,MAX(0,MIN($F476,EOMONTH(DATE(cfg_FY,2,1),0))-$E476+1))</f>
        <v>0</v>
      </c>
      <c r="AJ476" s="65" t="n">
        <f aca="false">IF(OR(OR($B476="",$E476="",$F476=""),$L476&lt;&gt;"لا"),0,MAX(0,MIN($F476,EOMONTH(DATE(cfg_FY,3,1),0))-$E476+1))</f>
        <v>0</v>
      </c>
      <c r="AK476" s="65" t="n">
        <f aca="false">IF(OR(OR($B476="",$E476="",$F476=""),$L476&lt;&gt;"لا"),0,MAX(0,MIN($F476,EOMONTH(DATE(cfg_FY,4,1),0))-$E476+1))</f>
        <v>0</v>
      </c>
      <c r="AL476" s="65" t="n">
        <f aca="false">IF(OR(OR($B476="",$E476="",$F476=""),$L476&lt;&gt;"لا"),0,MAX(0,MIN($F476,EOMONTH(DATE(cfg_FY,5,1),0))-$E476+1))</f>
        <v>0</v>
      </c>
      <c r="AM476" s="65" t="n">
        <f aca="false">IF(OR(OR($B476="",$E476="",$F476=""),$L476&lt;&gt;"لا"),0,MAX(0,MIN($F476,EOMONTH(DATE(cfg_FY,6,1),0))-$E476+1))</f>
        <v>0</v>
      </c>
      <c r="AN476" s="65" t="n">
        <f aca="false">IF(OR(OR($B476="",$E476="",$F476=""),$L476&lt;&gt;"لا"),0,MAX(0,MIN($F476,EOMONTH(DATE(cfg_FY,7,1),0))-$E476+1))</f>
        <v>0</v>
      </c>
      <c r="AO476" s="65" t="n">
        <f aca="false">IF(OR(OR($B476="",$E476="",$F476=""),$L476&lt;&gt;"لا"),0,MAX(0,MIN($F476,EOMONTH(DATE(cfg_FY,8,1),0))-$E476+1))</f>
        <v>0</v>
      </c>
      <c r="AP476" s="65" t="n">
        <f aca="false">IF(OR(OR($B476="",$E476="",$F476=""),$L476&lt;&gt;"لا"),0,MAX(0,MIN($F476,EOMONTH(DATE(cfg_FY,9,1),0))-$E476+1))</f>
        <v>0</v>
      </c>
      <c r="AQ476" s="65" t="n">
        <f aca="false">IF(OR(OR($B476="",$E476="",$F476=""),$L476&lt;&gt;"لا"),0,MAX(0,MIN($F476,EOMONTH(DATE(cfg_FY,10,1),0))-$E476+1))</f>
        <v>0</v>
      </c>
      <c r="AR476" s="65" t="n">
        <f aca="false">IF(OR(OR($B476="",$E476="",$F476=""),$L476&lt;&gt;"لا"),0,MAX(0,MIN($F476,EOMONTH(DATE(cfg_FY,11,1),0))-$E476+1))</f>
        <v>0</v>
      </c>
      <c r="AS476" s="65" t="n">
        <f aca="false">IF(OR(OR($B476="",$E476="",$F476=""),$L476&lt;&gt;"لا"),0,MAX(0,MIN($F476,EOMONTH(DATE(cfg_FY,12,1),0))-$E476+1))</f>
        <v>0</v>
      </c>
      <c r="AT476" s="65" t="n">
        <f aca="false">IF(OR(OR($B476="",$E476="",$F476=""),$K476&lt;&gt;"نعم",$M476="نعم"),0,MAX(0,MIN($F476,EOMONTH(DATE(cfg_FY,1,1),0))-MAX($E476,DATE(cfg_FY,1,1))+1))</f>
        <v>0</v>
      </c>
      <c r="AU476" s="65" t="n">
        <f aca="false">IF(OR(OR($B476="",$E476="",$F476=""),$K476&lt;&gt;"نعم",$M476="نعم"),0,MAX(0,MIN($F476,EOMONTH(DATE(cfg_FY,2,1),0))-MAX($E476,DATE(cfg_FY,2,1))+1))</f>
        <v>0</v>
      </c>
      <c r="AV476" s="65" t="n">
        <f aca="false">IF(OR(OR($B476="",$E476="",$F476=""),$K476&lt;&gt;"نعم",$M476="نعم"),0,MAX(0,MIN($F476,EOMONTH(DATE(cfg_FY,3,1),0))-MAX($E476,DATE(cfg_FY,3,1))+1))</f>
        <v>0</v>
      </c>
      <c r="AW476" s="65" t="n">
        <f aca="false">IF(OR(OR($B476="",$E476="",$F476=""),$K476&lt;&gt;"نعم",$M476="نعم"),0,MAX(0,MIN($F476,EOMONTH(DATE(cfg_FY,4,1),0))-MAX($E476,DATE(cfg_FY,4,1))+1))</f>
        <v>0</v>
      </c>
      <c r="AX476" s="65" t="n">
        <f aca="false">IF(OR(OR($B476="",$E476="",$F476=""),$K476&lt;&gt;"نعم",$M476="نعم"),0,MAX(0,MIN($F476,EOMONTH(DATE(cfg_FY,5,1),0))-MAX($E476,DATE(cfg_FY,5,1))+1))</f>
        <v>0</v>
      </c>
      <c r="AY476" s="65" t="n">
        <f aca="false">IF(OR(OR($B476="",$E476="",$F476=""),$K476&lt;&gt;"نعم",$M476="نعم"),0,MAX(0,MIN($F476,EOMONTH(DATE(cfg_FY,6,1),0))-MAX($E476,DATE(cfg_FY,6,1))+1))</f>
        <v>0</v>
      </c>
      <c r="AZ476" s="65" t="n">
        <f aca="false">IF(OR(OR($B476="",$E476="",$F476=""),$K476&lt;&gt;"نعم",$M476="نعم"),0,MAX(0,MIN($F476,EOMONTH(DATE(cfg_FY,7,1),0))-MAX($E476,DATE(cfg_FY,7,1))+1))</f>
        <v>0</v>
      </c>
      <c r="BA476" s="65" t="n">
        <f aca="false">IF(OR(OR($B476="",$E476="",$F476=""),$K476&lt;&gt;"نعم",$M476="نعم"),0,MAX(0,MIN($F476,EOMONTH(DATE(cfg_FY,8,1),0))-MAX($E476,DATE(cfg_FY,8,1))+1))</f>
        <v>0</v>
      </c>
      <c r="BB476" s="65" t="n">
        <f aca="false">IF(OR(OR($B476="",$E476="",$F476=""),$K476&lt;&gt;"نعم",$M476="نعم"),0,MAX(0,MIN($F476,EOMONTH(DATE(cfg_FY,9,1),0))-MAX($E476,DATE(cfg_FY,9,1))+1))</f>
        <v>0</v>
      </c>
      <c r="BC476" s="65" t="n">
        <f aca="false">IF(OR(OR($B476="",$E476="",$F476=""),$K476&lt;&gt;"نعم",$M476="نعم"),0,MAX(0,MIN($F476,EOMONTH(DATE(cfg_FY,10,1),0))-MAX($E476,DATE(cfg_FY,10,1))+1))</f>
        <v>0</v>
      </c>
      <c r="BD476" s="65" t="n">
        <f aca="false">IF(OR(OR($B476="",$E476="",$F476=""),$K476&lt;&gt;"نعم",$M476="نعم"),0,MAX(0,MIN($F476,EOMONTH(DATE(cfg_FY,11,1),0))-MAX($E476,DATE(cfg_FY,11,1))+1))</f>
        <v>0</v>
      </c>
      <c r="BE476" s="65" t="n">
        <f aca="false">IF(OR(OR($B476="",$E476="",$F476=""),$K476&lt;&gt;"نعم",$M476="نعم"),0,MAX(0,MIN($F476,EOMONTH(DATE(cfg_FY,12,1),0))-MAX($E476,DATE(cfg_FY,12,1))+1))</f>
        <v>0</v>
      </c>
    </row>
    <row r="477" customFormat="false" ht="15" hidden="false" customHeight="false" outlineLevel="0" collapsed="false">
      <c r="A477" s="115" t="str">
        <f aca="false">IF(B477="","",ROW()-5)</f>
        <v/>
      </c>
      <c r="B477" s="118"/>
      <c r="C477" s="117" t="str">
        <f aca="false">IF(B477="","",IFERROR(INDEX(الموظفون!$C$6:$C$105,MATCH(B477,الموظفون!$B$6:$B$105,0)),"✖ رقم غير موجود"))</f>
        <v/>
      </c>
      <c r="D477" s="118"/>
      <c r="E477" s="119"/>
      <c r="F477" s="119"/>
      <c r="G477" s="133" t="str">
        <f aca="false">IF(OR($B477="",$E477="",$F477=""),"",MAX(0,F477-E477+1))</f>
        <v/>
      </c>
      <c r="H477" s="134" t="str">
        <f aca="false">IF(D477="","",IFERROR(VLOOKUP(D477,cfg_LT,2,FALSE()),1))</f>
        <v/>
      </c>
      <c r="I477" s="135"/>
      <c r="J477" s="134" t="str">
        <f aca="false">IF(D477="","",IF(I477&lt;&gt;"",I477,H477))</f>
        <v/>
      </c>
      <c r="K477" s="117" t="str">
        <f aca="false">IF(D477="","",IFERROR(VLOOKUP($D477,cfg_LT,3,FALSE()),""))</f>
        <v/>
      </c>
      <c r="L477" s="117" t="str">
        <f aca="false">IF(D477="","",IFERROR(VLOOKUP($D477,cfg_LT,4,FALSE()),""))</f>
        <v/>
      </c>
      <c r="M477" s="117" t="str">
        <f aca="false">IF(D477="","",IFERROR(VLOOKUP($D477,cfg_LT,5,FALSE()),""))</f>
        <v/>
      </c>
      <c r="N477" s="116" t="n">
        <f aca="false">IF(OR(OR($B477="",$E477="",$F477=""),M477&lt;&gt;"نعم"),0,G477*J477*IFERROR(INDEX(الموظفون!$R$6:$R$105,MATCH(B477,الموظفون!$B$6:$B$105,0)),0)/cfg_DAYS_M)</f>
        <v>0</v>
      </c>
      <c r="O477" s="115" t="str">
        <f aca="false">IF(OR(OR($B477="",$E477="",$F477=""),M477&lt;&gt;"نعم"),"",IF(YEAR(E477)=cfg_FY,MONTH(E477),""))</f>
        <v/>
      </c>
      <c r="P477" s="117" t="str">
        <f aca="false">IF(B477="","",IF(OR(D477="",E477="",F477=""),"⚠ أكمل النوع والتواريخ",IF(F477&lt;E477,"✖ النهاية قبل البداية",IF(COUNTIFS($B$6:$B$505,B477,$E$6:$E$505,"&lt;="&amp;F477,$F$6:$F$505,"&gt;="&amp;E477)&gt;1,"⚠ تداخل مع سجل آخر",IF(E477&gt;cfg_VAL_DATE,"⏳ قادمة",IF(F477&lt;cfg_VAL_DATE,"✔ منتهية","✈ جارية في تاريخ التقرير"))))))</f>
        <v/>
      </c>
      <c r="Q477" s="118"/>
      <c r="R477" s="133" t="n">
        <f aca="false">IF(OR(OR($B477="",$E477="",$F477=""),L477&lt;&gt;"لا"),0,MAX(0,MIN(F477,cfg_Y_START-1)-E477+1))</f>
        <v>0</v>
      </c>
      <c r="S477" s="133" t="n">
        <f aca="false">IF(OR(OR($B477="",$E477="",$F477=""),L477&lt;&gt;"لا"),0,MAX(0,MIN(F477,cfg_VAL_DATE)-E477+1))</f>
        <v>0</v>
      </c>
      <c r="T477" s="133" t="n">
        <f aca="false">IF(OR(OR($B477="",$E477="",$F477=""),K477&lt;&gt;"نعم"),0,IF(M477="نعم",IF(AND(ISNUMBER(O477),N(O477)&lt;=cfg_VAL_M),G477,0),MAX(0,MIN(F477,cfg_VAL_DATE)-MAX(E477,cfg_Y_START)+1)))</f>
        <v>0</v>
      </c>
      <c r="V477" s="133" t="n">
        <f aca="false">IF(OR($B477="",$E477="",$F477=""),0,MAX(0,MIN($F477,EOMONTH(DATE(cfg_FY,1,1),0))-MAX($E477,DATE(cfg_FY,1,1))+1)*(1-IF($M477="نعم",0,N($J477))))</f>
        <v>0</v>
      </c>
      <c r="W477" s="133" t="n">
        <f aca="false">IF(OR($B477="",$E477="",$F477=""),0,MAX(0,MIN($F477,EOMONTH(DATE(cfg_FY,2,1),0))-MAX($E477,DATE(cfg_FY,2,1))+1)*(1-IF($M477="نعم",0,N($J477))))</f>
        <v>0</v>
      </c>
      <c r="X477" s="133" t="n">
        <f aca="false">IF(OR($B477="",$E477="",$F477=""),0,MAX(0,MIN($F477,EOMONTH(DATE(cfg_FY,3,1),0))-MAX($E477,DATE(cfg_FY,3,1))+1)*(1-IF($M477="نعم",0,N($J477))))</f>
        <v>0</v>
      </c>
      <c r="Y477" s="133" t="n">
        <f aca="false">IF(OR($B477="",$E477="",$F477=""),0,MAX(0,MIN($F477,EOMONTH(DATE(cfg_FY,4,1),0))-MAX($E477,DATE(cfg_FY,4,1))+1)*(1-IF($M477="نعم",0,N($J477))))</f>
        <v>0</v>
      </c>
      <c r="Z477" s="133" t="n">
        <f aca="false">IF(OR($B477="",$E477="",$F477=""),0,MAX(0,MIN($F477,EOMONTH(DATE(cfg_FY,5,1),0))-MAX($E477,DATE(cfg_FY,5,1))+1)*(1-IF($M477="نعم",0,N($J477))))</f>
        <v>0</v>
      </c>
      <c r="AA477" s="133" t="n">
        <f aca="false">IF(OR($B477="",$E477="",$F477=""),0,MAX(0,MIN($F477,EOMONTH(DATE(cfg_FY,6,1),0))-MAX($E477,DATE(cfg_FY,6,1))+1)*(1-IF($M477="نعم",0,N($J477))))</f>
        <v>0</v>
      </c>
      <c r="AB477" s="133" t="n">
        <f aca="false">IF(OR($B477="",$E477="",$F477=""),0,MAX(0,MIN($F477,EOMONTH(DATE(cfg_FY,7,1),0))-MAX($E477,DATE(cfg_FY,7,1))+1)*(1-IF($M477="نعم",0,N($J477))))</f>
        <v>0</v>
      </c>
      <c r="AC477" s="133" t="n">
        <f aca="false">IF(OR($B477="",$E477="",$F477=""),0,MAX(0,MIN($F477,EOMONTH(DATE(cfg_FY,8,1),0))-MAX($E477,DATE(cfg_FY,8,1))+1)*(1-IF($M477="نعم",0,N($J477))))</f>
        <v>0</v>
      </c>
      <c r="AD477" s="133" t="n">
        <f aca="false">IF(OR($B477="",$E477="",$F477=""),0,MAX(0,MIN($F477,EOMONTH(DATE(cfg_FY,9,1),0))-MAX($E477,DATE(cfg_FY,9,1))+1)*(1-IF($M477="نعم",0,N($J477))))</f>
        <v>0</v>
      </c>
      <c r="AE477" s="133" t="n">
        <f aca="false">IF(OR($B477="",$E477="",$F477=""),0,MAX(0,MIN($F477,EOMONTH(DATE(cfg_FY,10,1),0))-MAX($E477,DATE(cfg_FY,10,1))+1)*(1-IF($M477="نعم",0,N($J477))))</f>
        <v>0</v>
      </c>
      <c r="AF477" s="133" t="n">
        <f aca="false">IF(OR($B477="",$E477="",$F477=""),0,MAX(0,MIN($F477,EOMONTH(DATE(cfg_FY,11,1),0))-MAX($E477,DATE(cfg_FY,11,1))+1)*(1-IF($M477="نعم",0,N($J477))))</f>
        <v>0</v>
      </c>
      <c r="AG477" s="133" t="n">
        <f aca="false">IF(OR($B477="",$E477="",$F477=""),0,MAX(0,MIN($F477,EOMONTH(DATE(cfg_FY,12,1),0))-MAX($E477,DATE(cfg_FY,12,1))+1)*(1-IF($M477="نعم",0,N($J477))))</f>
        <v>0</v>
      </c>
      <c r="AH477" s="133" t="n">
        <f aca="false">IF(OR(OR($B477="",$E477="",$F477=""),$L477&lt;&gt;"لا"),0,MAX(0,MIN($F477,EOMONTH(DATE(cfg_FY,1,1),0))-$E477+1))</f>
        <v>0</v>
      </c>
      <c r="AI477" s="133" t="n">
        <f aca="false">IF(OR(OR($B477="",$E477="",$F477=""),$L477&lt;&gt;"لا"),0,MAX(0,MIN($F477,EOMONTH(DATE(cfg_FY,2,1),0))-$E477+1))</f>
        <v>0</v>
      </c>
      <c r="AJ477" s="133" t="n">
        <f aca="false">IF(OR(OR($B477="",$E477="",$F477=""),$L477&lt;&gt;"لا"),0,MAX(0,MIN($F477,EOMONTH(DATE(cfg_FY,3,1),0))-$E477+1))</f>
        <v>0</v>
      </c>
      <c r="AK477" s="133" t="n">
        <f aca="false">IF(OR(OR($B477="",$E477="",$F477=""),$L477&lt;&gt;"لا"),0,MAX(0,MIN($F477,EOMONTH(DATE(cfg_FY,4,1),0))-$E477+1))</f>
        <v>0</v>
      </c>
      <c r="AL477" s="133" t="n">
        <f aca="false">IF(OR(OR($B477="",$E477="",$F477=""),$L477&lt;&gt;"لا"),0,MAX(0,MIN($F477,EOMONTH(DATE(cfg_FY,5,1),0))-$E477+1))</f>
        <v>0</v>
      </c>
      <c r="AM477" s="133" t="n">
        <f aca="false">IF(OR(OR($B477="",$E477="",$F477=""),$L477&lt;&gt;"لا"),0,MAX(0,MIN($F477,EOMONTH(DATE(cfg_FY,6,1),0))-$E477+1))</f>
        <v>0</v>
      </c>
      <c r="AN477" s="133" t="n">
        <f aca="false">IF(OR(OR($B477="",$E477="",$F477=""),$L477&lt;&gt;"لا"),0,MAX(0,MIN($F477,EOMONTH(DATE(cfg_FY,7,1),0))-$E477+1))</f>
        <v>0</v>
      </c>
      <c r="AO477" s="133" t="n">
        <f aca="false">IF(OR(OR($B477="",$E477="",$F477=""),$L477&lt;&gt;"لا"),0,MAX(0,MIN($F477,EOMONTH(DATE(cfg_FY,8,1),0))-$E477+1))</f>
        <v>0</v>
      </c>
      <c r="AP477" s="133" t="n">
        <f aca="false">IF(OR(OR($B477="",$E477="",$F477=""),$L477&lt;&gt;"لا"),0,MAX(0,MIN($F477,EOMONTH(DATE(cfg_FY,9,1),0))-$E477+1))</f>
        <v>0</v>
      </c>
      <c r="AQ477" s="133" t="n">
        <f aca="false">IF(OR(OR($B477="",$E477="",$F477=""),$L477&lt;&gt;"لا"),0,MAX(0,MIN($F477,EOMONTH(DATE(cfg_FY,10,1),0))-$E477+1))</f>
        <v>0</v>
      </c>
      <c r="AR477" s="133" t="n">
        <f aca="false">IF(OR(OR($B477="",$E477="",$F477=""),$L477&lt;&gt;"لا"),0,MAX(0,MIN($F477,EOMONTH(DATE(cfg_FY,11,1),0))-$E477+1))</f>
        <v>0</v>
      </c>
      <c r="AS477" s="133" t="n">
        <f aca="false">IF(OR(OR($B477="",$E477="",$F477=""),$L477&lt;&gt;"لا"),0,MAX(0,MIN($F477,EOMONTH(DATE(cfg_FY,12,1),0))-$E477+1))</f>
        <v>0</v>
      </c>
      <c r="AT477" s="133" t="n">
        <f aca="false">IF(OR(OR($B477="",$E477="",$F477=""),$K477&lt;&gt;"نعم",$M477="نعم"),0,MAX(0,MIN($F477,EOMONTH(DATE(cfg_FY,1,1),0))-MAX($E477,DATE(cfg_FY,1,1))+1))</f>
        <v>0</v>
      </c>
      <c r="AU477" s="133" t="n">
        <f aca="false">IF(OR(OR($B477="",$E477="",$F477=""),$K477&lt;&gt;"نعم",$M477="نعم"),0,MAX(0,MIN($F477,EOMONTH(DATE(cfg_FY,2,1),0))-MAX($E477,DATE(cfg_FY,2,1))+1))</f>
        <v>0</v>
      </c>
      <c r="AV477" s="133" t="n">
        <f aca="false">IF(OR(OR($B477="",$E477="",$F477=""),$K477&lt;&gt;"نعم",$M477="نعم"),0,MAX(0,MIN($F477,EOMONTH(DATE(cfg_FY,3,1),0))-MAX($E477,DATE(cfg_FY,3,1))+1))</f>
        <v>0</v>
      </c>
      <c r="AW477" s="133" t="n">
        <f aca="false">IF(OR(OR($B477="",$E477="",$F477=""),$K477&lt;&gt;"نعم",$M477="نعم"),0,MAX(0,MIN($F477,EOMONTH(DATE(cfg_FY,4,1),0))-MAX($E477,DATE(cfg_FY,4,1))+1))</f>
        <v>0</v>
      </c>
      <c r="AX477" s="133" t="n">
        <f aca="false">IF(OR(OR($B477="",$E477="",$F477=""),$K477&lt;&gt;"نعم",$M477="نعم"),0,MAX(0,MIN($F477,EOMONTH(DATE(cfg_FY,5,1),0))-MAX($E477,DATE(cfg_FY,5,1))+1))</f>
        <v>0</v>
      </c>
      <c r="AY477" s="133" t="n">
        <f aca="false">IF(OR(OR($B477="",$E477="",$F477=""),$K477&lt;&gt;"نعم",$M477="نعم"),0,MAX(0,MIN($F477,EOMONTH(DATE(cfg_FY,6,1),0))-MAX($E477,DATE(cfg_FY,6,1))+1))</f>
        <v>0</v>
      </c>
      <c r="AZ477" s="133" t="n">
        <f aca="false">IF(OR(OR($B477="",$E477="",$F477=""),$K477&lt;&gt;"نعم",$M477="نعم"),0,MAX(0,MIN($F477,EOMONTH(DATE(cfg_FY,7,1),0))-MAX($E477,DATE(cfg_FY,7,1))+1))</f>
        <v>0</v>
      </c>
      <c r="BA477" s="133" t="n">
        <f aca="false">IF(OR(OR($B477="",$E477="",$F477=""),$K477&lt;&gt;"نعم",$M477="نعم"),0,MAX(0,MIN($F477,EOMONTH(DATE(cfg_FY,8,1),0))-MAX($E477,DATE(cfg_FY,8,1))+1))</f>
        <v>0</v>
      </c>
      <c r="BB477" s="133" t="n">
        <f aca="false">IF(OR(OR($B477="",$E477="",$F477=""),$K477&lt;&gt;"نعم",$M477="نعم"),0,MAX(0,MIN($F477,EOMONTH(DATE(cfg_FY,9,1),0))-MAX($E477,DATE(cfg_FY,9,1))+1))</f>
        <v>0</v>
      </c>
      <c r="BC477" s="133" t="n">
        <f aca="false">IF(OR(OR($B477="",$E477="",$F477=""),$K477&lt;&gt;"نعم",$M477="نعم"),0,MAX(0,MIN($F477,EOMONTH(DATE(cfg_FY,10,1),0))-MAX($E477,DATE(cfg_FY,10,1))+1))</f>
        <v>0</v>
      </c>
      <c r="BD477" s="133" t="n">
        <f aca="false">IF(OR(OR($B477="",$E477="",$F477=""),$K477&lt;&gt;"نعم",$M477="نعم"),0,MAX(0,MIN($F477,EOMONTH(DATE(cfg_FY,11,1),0))-MAX($E477,DATE(cfg_FY,11,1))+1))</f>
        <v>0</v>
      </c>
      <c r="BE477" s="133" t="n">
        <f aca="false">IF(OR(OR($B477="",$E477="",$F477=""),$K477&lt;&gt;"نعم",$M477="نعم"),0,MAX(0,MIN($F477,EOMONTH(DATE(cfg_FY,12,1),0))-MAX($E477,DATE(cfg_FY,12,1))+1))</f>
        <v>0</v>
      </c>
    </row>
    <row r="478" customFormat="false" ht="15" hidden="false" customHeight="false" outlineLevel="0" collapsed="false">
      <c r="A478" s="106" t="str">
        <f aca="false">IF(B478="","",ROW()-5)</f>
        <v/>
      </c>
      <c r="B478" s="118"/>
      <c r="C478" s="114" t="str">
        <f aca="false">IF(B478="","",IFERROR(INDEX(الموظفون!$C$6:$C$105,MATCH(B478,الموظفون!$B$6:$B$105,0)),"✖ رقم غير موجود"))</f>
        <v/>
      </c>
      <c r="D478" s="118"/>
      <c r="E478" s="119"/>
      <c r="F478" s="119"/>
      <c r="G478" s="65" t="str">
        <f aca="false">IF(OR($B478="",$E478="",$F478=""),"",MAX(0,F478-E478+1))</f>
        <v/>
      </c>
      <c r="H478" s="66" t="str">
        <f aca="false">IF(D478="","",IFERROR(VLOOKUP(D478,cfg_LT,2,FALSE()),1))</f>
        <v/>
      </c>
      <c r="I478" s="135"/>
      <c r="J478" s="66" t="str">
        <f aca="false">IF(D478="","",IF(I478&lt;&gt;"",I478,H478))</f>
        <v/>
      </c>
      <c r="K478" s="114" t="str">
        <f aca="false">IF(D478="","",IFERROR(VLOOKUP($D478,cfg_LT,3,FALSE()),""))</f>
        <v/>
      </c>
      <c r="L478" s="114" t="str">
        <f aca="false">IF(D478="","",IFERROR(VLOOKUP($D478,cfg_LT,4,FALSE()),""))</f>
        <v/>
      </c>
      <c r="M478" s="114" t="str">
        <f aca="false">IF(D478="","",IFERROR(VLOOKUP($D478,cfg_LT,5,FALSE()),""))</f>
        <v/>
      </c>
      <c r="N478" s="111" t="n">
        <f aca="false">IF(OR(OR($B478="",$E478="",$F478=""),M478&lt;&gt;"نعم"),0,G478*J478*IFERROR(INDEX(الموظفون!$R$6:$R$105,MATCH(B478,الموظفون!$B$6:$B$105,0)),0)/cfg_DAYS_M)</f>
        <v>0</v>
      </c>
      <c r="O478" s="106" t="str">
        <f aca="false">IF(OR(OR($B478="",$E478="",$F478=""),M478&lt;&gt;"نعم"),"",IF(YEAR(E478)=cfg_FY,MONTH(E478),""))</f>
        <v/>
      </c>
      <c r="P478" s="114" t="str">
        <f aca="false">IF(B478="","",IF(OR(D478="",E478="",F478=""),"⚠ أكمل النوع والتواريخ",IF(F478&lt;E478,"✖ النهاية قبل البداية",IF(COUNTIFS($B$6:$B$505,B478,$E$6:$E$505,"&lt;="&amp;F478,$F$6:$F$505,"&gt;="&amp;E478)&gt;1,"⚠ تداخل مع سجل آخر",IF(E478&gt;cfg_VAL_DATE,"⏳ قادمة",IF(F478&lt;cfg_VAL_DATE,"✔ منتهية","✈ جارية في تاريخ التقرير"))))))</f>
        <v/>
      </c>
      <c r="Q478" s="118"/>
      <c r="R478" s="65" t="n">
        <f aca="false">IF(OR(OR($B478="",$E478="",$F478=""),L478&lt;&gt;"لا"),0,MAX(0,MIN(F478,cfg_Y_START-1)-E478+1))</f>
        <v>0</v>
      </c>
      <c r="S478" s="65" t="n">
        <f aca="false">IF(OR(OR($B478="",$E478="",$F478=""),L478&lt;&gt;"لا"),0,MAX(0,MIN(F478,cfg_VAL_DATE)-E478+1))</f>
        <v>0</v>
      </c>
      <c r="T478" s="65" t="n">
        <f aca="false">IF(OR(OR($B478="",$E478="",$F478=""),K478&lt;&gt;"نعم"),0,IF(M478="نعم",IF(AND(ISNUMBER(O478),N(O478)&lt;=cfg_VAL_M),G478,0),MAX(0,MIN(F478,cfg_VAL_DATE)-MAX(E478,cfg_Y_START)+1)))</f>
        <v>0</v>
      </c>
      <c r="V478" s="65" t="n">
        <f aca="false">IF(OR($B478="",$E478="",$F478=""),0,MAX(0,MIN($F478,EOMONTH(DATE(cfg_FY,1,1),0))-MAX($E478,DATE(cfg_FY,1,1))+1)*(1-IF($M478="نعم",0,N($J478))))</f>
        <v>0</v>
      </c>
      <c r="W478" s="65" t="n">
        <f aca="false">IF(OR($B478="",$E478="",$F478=""),0,MAX(0,MIN($F478,EOMONTH(DATE(cfg_FY,2,1),0))-MAX($E478,DATE(cfg_FY,2,1))+1)*(1-IF($M478="نعم",0,N($J478))))</f>
        <v>0</v>
      </c>
      <c r="X478" s="65" t="n">
        <f aca="false">IF(OR($B478="",$E478="",$F478=""),0,MAX(0,MIN($F478,EOMONTH(DATE(cfg_FY,3,1),0))-MAX($E478,DATE(cfg_FY,3,1))+1)*(1-IF($M478="نعم",0,N($J478))))</f>
        <v>0</v>
      </c>
      <c r="Y478" s="65" t="n">
        <f aca="false">IF(OR($B478="",$E478="",$F478=""),0,MAX(0,MIN($F478,EOMONTH(DATE(cfg_FY,4,1),0))-MAX($E478,DATE(cfg_FY,4,1))+1)*(1-IF($M478="نعم",0,N($J478))))</f>
        <v>0</v>
      </c>
      <c r="Z478" s="65" t="n">
        <f aca="false">IF(OR($B478="",$E478="",$F478=""),0,MAX(0,MIN($F478,EOMONTH(DATE(cfg_FY,5,1),0))-MAX($E478,DATE(cfg_FY,5,1))+1)*(1-IF($M478="نعم",0,N($J478))))</f>
        <v>0</v>
      </c>
      <c r="AA478" s="65" t="n">
        <f aca="false">IF(OR($B478="",$E478="",$F478=""),0,MAX(0,MIN($F478,EOMONTH(DATE(cfg_FY,6,1),0))-MAX($E478,DATE(cfg_FY,6,1))+1)*(1-IF($M478="نعم",0,N($J478))))</f>
        <v>0</v>
      </c>
      <c r="AB478" s="65" t="n">
        <f aca="false">IF(OR($B478="",$E478="",$F478=""),0,MAX(0,MIN($F478,EOMONTH(DATE(cfg_FY,7,1),0))-MAX($E478,DATE(cfg_FY,7,1))+1)*(1-IF($M478="نعم",0,N($J478))))</f>
        <v>0</v>
      </c>
      <c r="AC478" s="65" t="n">
        <f aca="false">IF(OR($B478="",$E478="",$F478=""),0,MAX(0,MIN($F478,EOMONTH(DATE(cfg_FY,8,1),0))-MAX($E478,DATE(cfg_FY,8,1))+1)*(1-IF($M478="نعم",0,N($J478))))</f>
        <v>0</v>
      </c>
      <c r="AD478" s="65" t="n">
        <f aca="false">IF(OR($B478="",$E478="",$F478=""),0,MAX(0,MIN($F478,EOMONTH(DATE(cfg_FY,9,1),0))-MAX($E478,DATE(cfg_FY,9,1))+1)*(1-IF($M478="نعم",0,N($J478))))</f>
        <v>0</v>
      </c>
      <c r="AE478" s="65" t="n">
        <f aca="false">IF(OR($B478="",$E478="",$F478=""),0,MAX(0,MIN($F478,EOMONTH(DATE(cfg_FY,10,1),0))-MAX($E478,DATE(cfg_FY,10,1))+1)*(1-IF($M478="نعم",0,N($J478))))</f>
        <v>0</v>
      </c>
      <c r="AF478" s="65" t="n">
        <f aca="false">IF(OR($B478="",$E478="",$F478=""),0,MAX(0,MIN($F478,EOMONTH(DATE(cfg_FY,11,1),0))-MAX($E478,DATE(cfg_FY,11,1))+1)*(1-IF($M478="نعم",0,N($J478))))</f>
        <v>0</v>
      </c>
      <c r="AG478" s="65" t="n">
        <f aca="false">IF(OR($B478="",$E478="",$F478=""),0,MAX(0,MIN($F478,EOMONTH(DATE(cfg_FY,12,1),0))-MAX($E478,DATE(cfg_FY,12,1))+1)*(1-IF($M478="نعم",0,N($J478))))</f>
        <v>0</v>
      </c>
      <c r="AH478" s="65" t="n">
        <f aca="false">IF(OR(OR($B478="",$E478="",$F478=""),$L478&lt;&gt;"لا"),0,MAX(0,MIN($F478,EOMONTH(DATE(cfg_FY,1,1),0))-$E478+1))</f>
        <v>0</v>
      </c>
      <c r="AI478" s="65" t="n">
        <f aca="false">IF(OR(OR($B478="",$E478="",$F478=""),$L478&lt;&gt;"لا"),0,MAX(0,MIN($F478,EOMONTH(DATE(cfg_FY,2,1),0))-$E478+1))</f>
        <v>0</v>
      </c>
      <c r="AJ478" s="65" t="n">
        <f aca="false">IF(OR(OR($B478="",$E478="",$F478=""),$L478&lt;&gt;"لا"),0,MAX(0,MIN($F478,EOMONTH(DATE(cfg_FY,3,1),0))-$E478+1))</f>
        <v>0</v>
      </c>
      <c r="AK478" s="65" t="n">
        <f aca="false">IF(OR(OR($B478="",$E478="",$F478=""),$L478&lt;&gt;"لا"),0,MAX(0,MIN($F478,EOMONTH(DATE(cfg_FY,4,1),0))-$E478+1))</f>
        <v>0</v>
      </c>
      <c r="AL478" s="65" t="n">
        <f aca="false">IF(OR(OR($B478="",$E478="",$F478=""),$L478&lt;&gt;"لا"),0,MAX(0,MIN($F478,EOMONTH(DATE(cfg_FY,5,1),0))-$E478+1))</f>
        <v>0</v>
      </c>
      <c r="AM478" s="65" t="n">
        <f aca="false">IF(OR(OR($B478="",$E478="",$F478=""),$L478&lt;&gt;"لا"),0,MAX(0,MIN($F478,EOMONTH(DATE(cfg_FY,6,1),0))-$E478+1))</f>
        <v>0</v>
      </c>
      <c r="AN478" s="65" t="n">
        <f aca="false">IF(OR(OR($B478="",$E478="",$F478=""),$L478&lt;&gt;"لا"),0,MAX(0,MIN($F478,EOMONTH(DATE(cfg_FY,7,1),0))-$E478+1))</f>
        <v>0</v>
      </c>
      <c r="AO478" s="65" t="n">
        <f aca="false">IF(OR(OR($B478="",$E478="",$F478=""),$L478&lt;&gt;"لا"),0,MAX(0,MIN($F478,EOMONTH(DATE(cfg_FY,8,1),0))-$E478+1))</f>
        <v>0</v>
      </c>
      <c r="AP478" s="65" t="n">
        <f aca="false">IF(OR(OR($B478="",$E478="",$F478=""),$L478&lt;&gt;"لا"),0,MAX(0,MIN($F478,EOMONTH(DATE(cfg_FY,9,1),0))-$E478+1))</f>
        <v>0</v>
      </c>
      <c r="AQ478" s="65" t="n">
        <f aca="false">IF(OR(OR($B478="",$E478="",$F478=""),$L478&lt;&gt;"لا"),0,MAX(0,MIN($F478,EOMONTH(DATE(cfg_FY,10,1),0))-$E478+1))</f>
        <v>0</v>
      </c>
      <c r="AR478" s="65" t="n">
        <f aca="false">IF(OR(OR($B478="",$E478="",$F478=""),$L478&lt;&gt;"لا"),0,MAX(0,MIN($F478,EOMONTH(DATE(cfg_FY,11,1),0))-$E478+1))</f>
        <v>0</v>
      </c>
      <c r="AS478" s="65" t="n">
        <f aca="false">IF(OR(OR($B478="",$E478="",$F478=""),$L478&lt;&gt;"لا"),0,MAX(0,MIN($F478,EOMONTH(DATE(cfg_FY,12,1),0))-$E478+1))</f>
        <v>0</v>
      </c>
      <c r="AT478" s="65" t="n">
        <f aca="false">IF(OR(OR($B478="",$E478="",$F478=""),$K478&lt;&gt;"نعم",$M478="نعم"),0,MAX(0,MIN($F478,EOMONTH(DATE(cfg_FY,1,1),0))-MAX($E478,DATE(cfg_FY,1,1))+1))</f>
        <v>0</v>
      </c>
      <c r="AU478" s="65" t="n">
        <f aca="false">IF(OR(OR($B478="",$E478="",$F478=""),$K478&lt;&gt;"نعم",$M478="نعم"),0,MAX(0,MIN($F478,EOMONTH(DATE(cfg_FY,2,1),0))-MAX($E478,DATE(cfg_FY,2,1))+1))</f>
        <v>0</v>
      </c>
      <c r="AV478" s="65" t="n">
        <f aca="false">IF(OR(OR($B478="",$E478="",$F478=""),$K478&lt;&gt;"نعم",$M478="نعم"),0,MAX(0,MIN($F478,EOMONTH(DATE(cfg_FY,3,1),0))-MAX($E478,DATE(cfg_FY,3,1))+1))</f>
        <v>0</v>
      </c>
      <c r="AW478" s="65" t="n">
        <f aca="false">IF(OR(OR($B478="",$E478="",$F478=""),$K478&lt;&gt;"نعم",$M478="نعم"),0,MAX(0,MIN($F478,EOMONTH(DATE(cfg_FY,4,1),0))-MAX($E478,DATE(cfg_FY,4,1))+1))</f>
        <v>0</v>
      </c>
      <c r="AX478" s="65" t="n">
        <f aca="false">IF(OR(OR($B478="",$E478="",$F478=""),$K478&lt;&gt;"نعم",$M478="نعم"),0,MAX(0,MIN($F478,EOMONTH(DATE(cfg_FY,5,1),0))-MAX($E478,DATE(cfg_FY,5,1))+1))</f>
        <v>0</v>
      </c>
      <c r="AY478" s="65" t="n">
        <f aca="false">IF(OR(OR($B478="",$E478="",$F478=""),$K478&lt;&gt;"نعم",$M478="نعم"),0,MAX(0,MIN($F478,EOMONTH(DATE(cfg_FY,6,1),0))-MAX($E478,DATE(cfg_FY,6,1))+1))</f>
        <v>0</v>
      </c>
      <c r="AZ478" s="65" t="n">
        <f aca="false">IF(OR(OR($B478="",$E478="",$F478=""),$K478&lt;&gt;"نعم",$M478="نعم"),0,MAX(0,MIN($F478,EOMONTH(DATE(cfg_FY,7,1),0))-MAX($E478,DATE(cfg_FY,7,1))+1))</f>
        <v>0</v>
      </c>
      <c r="BA478" s="65" t="n">
        <f aca="false">IF(OR(OR($B478="",$E478="",$F478=""),$K478&lt;&gt;"نعم",$M478="نعم"),0,MAX(0,MIN($F478,EOMONTH(DATE(cfg_FY,8,1),0))-MAX($E478,DATE(cfg_FY,8,1))+1))</f>
        <v>0</v>
      </c>
      <c r="BB478" s="65" t="n">
        <f aca="false">IF(OR(OR($B478="",$E478="",$F478=""),$K478&lt;&gt;"نعم",$M478="نعم"),0,MAX(0,MIN($F478,EOMONTH(DATE(cfg_FY,9,1),0))-MAX($E478,DATE(cfg_FY,9,1))+1))</f>
        <v>0</v>
      </c>
      <c r="BC478" s="65" t="n">
        <f aca="false">IF(OR(OR($B478="",$E478="",$F478=""),$K478&lt;&gt;"نعم",$M478="نعم"),0,MAX(0,MIN($F478,EOMONTH(DATE(cfg_FY,10,1),0))-MAX($E478,DATE(cfg_FY,10,1))+1))</f>
        <v>0</v>
      </c>
      <c r="BD478" s="65" t="n">
        <f aca="false">IF(OR(OR($B478="",$E478="",$F478=""),$K478&lt;&gt;"نعم",$M478="نعم"),0,MAX(0,MIN($F478,EOMONTH(DATE(cfg_FY,11,1),0))-MAX($E478,DATE(cfg_FY,11,1))+1))</f>
        <v>0</v>
      </c>
      <c r="BE478" s="65" t="n">
        <f aca="false">IF(OR(OR($B478="",$E478="",$F478=""),$K478&lt;&gt;"نعم",$M478="نعم"),0,MAX(0,MIN($F478,EOMONTH(DATE(cfg_FY,12,1),0))-MAX($E478,DATE(cfg_FY,12,1))+1))</f>
        <v>0</v>
      </c>
    </row>
    <row r="479" customFormat="false" ht="15" hidden="false" customHeight="false" outlineLevel="0" collapsed="false">
      <c r="A479" s="115" t="str">
        <f aca="false">IF(B479="","",ROW()-5)</f>
        <v/>
      </c>
      <c r="B479" s="118"/>
      <c r="C479" s="117" t="str">
        <f aca="false">IF(B479="","",IFERROR(INDEX(الموظفون!$C$6:$C$105,MATCH(B479,الموظفون!$B$6:$B$105,0)),"✖ رقم غير موجود"))</f>
        <v/>
      </c>
      <c r="D479" s="118"/>
      <c r="E479" s="119"/>
      <c r="F479" s="119"/>
      <c r="G479" s="133" t="str">
        <f aca="false">IF(OR($B479="",$E479="",$F479=""),"",MAX(0,F479-E479+1))</f>
        <v/>
      </c>
      <c r="H479" s="134" t="str">
        <f aca="false">IF(D479="","",IFERROR(VLOOKUP(D479,cfg_LT,2,FALSE()),1))</f>
        <v/>
      </c>
      <c r="I479" s="135"/>
      <c r="J479" s="134" t="str">
        <f aca="false">IF(D479="","",IF(I479&lt;&gt;"",I479,H479))</f>
        <v/>
      </c>
      <c r="K479" s="117" t="str">
        <f aca="false">IF(D479="","",IFERROR(VLOOKUP($D479,cfg_LT,3,FALSE()),""))</f>
        <v/>
      </c>
      <c r="L479" s="117" t="str">
        <f aca="false">IF(D479="","",IFERROR(VLOOKUP($D479,cfg_LT,4,FALSE()),""))</f>
        <v/>
      </c>
      <c r="M479" s="117" t="str">
        <f aca="false">IF(D479="","",IFERROR(VLOOKUP($D479,cfg_LT,5,FALSE()),""))</f>
        <v/>
      </c>
      <c r="N479" s="116" t="n">
        <f aca="false">IF(OR(OR($B479="",$E479="",$F479=""),M479&lt;&gt;"نعم"),0,G479*J479*IFERROR(INDEX(الموظفون!$R$6:$R$105,MATCH(B479,الموظفون!$B$6:$B$105,0)),0)/cfg_DAYS_M)</f>
        <v>0</v>
      </c>
      <c r="O479" s="115" t="str">
        <f aca="false">IF(OR(OR($B479="",$E479="",$F479=""),M479&lt;&gt;"نعم"),"",IF(YEAR(E479)=cfg_FY,MONTH(E479),""))</f>
        <v/>
      </c>
      <c r="P479" s="117" t="str">
        <f aca="false">IF(B479="","",IF(OR(D479="",E479="",F479=""),"⚠ أكمل النوع والتواريخ",IF(F479&lt;E479,"✖ النهاية قبل البداية",IF(COUNTIFS($B$6:$B$505,B479,$E$6:$E$505,"&lt;="&amp;F479,$F$6:$F$505,"&gt;="&amp;E479)&gt;1,"⚠ تداخل مع سجل آخر",IF(E479&gt;cfg_VAL_DATE,"⏳ قادمة",IF(F479&lt;cfg_VAL_DATE,"✔ منتهية","✈ جارية في تاريخ التقرير"))))))</f>
        <v/>
      </c>
      <c r="Q479" s="118"/>
      <c r="R479" s="133" t="n">
        <f aca="false">IF(OR(OR($B479="",$E479="",$F479=""),L479&lt;&gt;"لا"),0,MAX(0,MIN(F479,cfg_Y_START-1)-E479+1))</f>
        <v>0</v>
      </c>
      <c r="S479" s="133" t="n">
        <f aca="false">IF(OR(OR($B479="",$E479="",$F479=""),L479&lt;&gt;"لا"),0,MAX(0,MIN(F479,cfg_VAL_DATE)-E479+1))</f>
        <v>0</v>
      </c>
      <c r="T479" s="133" t="n">
        <f aca="false">IF(OR(OR($B479="",$E479="",$F479=""),K479&lt;&gt;"نعم"),0,IF(M479="نعم",IF(AND(ISNUMBER(O479),N(O479)&lt;=cfg_VAL_M),G479,0),MAX(0,MIN(F479,cfg_VAL_DATE)-MAX(E479,cfg_Y_START)+1)))</f>
        <v>0</v>
      </c>
      <c r="V479" s="133" t="n">
        <f aca="false">IF(OR($B479="",$E479="",$F479=""),0,MAX(0,MIN($F479,EOMONTH(DATE(cfg_FY,1,1),0))-MAX($E479,DATE(cfg_FY,1,1))+1)*(1-IF($M479="نعم",0,N($J479))))</f>
        <v>0</v>
      </c>
      <c r="W479" s="133" t="n">
        <f aca="false">IF(OR($B479="",$E479="",$F479=""),0,MAX(0,MIN($F479,EOMONTH(DATE(cfg_FY,2,1),0))-MAX($E479,DATE(cfg_FY,2,1))+1)*(1-IF($M479="نعم",0,N($J479))))</f>
        <v>0</v>
      </c>
      <c r="X479" s="133" t="n">
        <f aca="false">IF(OR($B479="",$E479="",$F479=""),0,MAX(0,MIN($F479,EOMONTH(DATE(cfg_FY,3,1),0))-MAX($E479,DATE(cfg_FY,3,1))+1)*(1-IF($M479="نعم",0,N($J479))))</f>
        <v>0</v>
      </c>
      <c r="Y479" s="133" t="n">
        <f aca="false">IF(OR($B479="",$E479="",$F479=""),0,MAX(0,MIN($F479,EOMONTH(DATE(cfg_FY,4,1),0))-MAX($E479,DATE(cfg_FY,4,1))+1)*(1-IF($M479="نعم",0,N($J479))))</f>
        <v>0</v>
      </c>
      <c r="Z479" s="133" t="n">
        <f aca="false">IF(OR($B479="",$E479="",$F479=""),0,MAX(0,MIN($F479,EOMONTH(DATE(cfg_FY,5,1),0))-MAX($E479,DATE(cfg_FY,5,1))+1)*(1-IF($M479="نعم",0,N($J479))))</f>
        <v>0</v>
      </c>
      <c r="AA479" s="133" t="n">
        <f aca="false">IF(OR($B479="",$E479="",$F479=""),0,MAX(0,MIN($F479,EOMONTH(DATE(cfg_FY,6,1),0))-MAX($E479,DATE(cfg_FY,6,1))+1)*(1-IF($M479="نعم",0,N($J479))))</f>
        <v>0</v>
      </c>
      <c r="AB479" s="133" t="n">
        <f aca="false">IF(OR($B479="",$E479="",$F479=""),0,MAX(0,MIN($F479,EOMONTH(DATE(cfg_FY,7,1),0))-MAX($E479,DATE(cfg_FY,7,1))+1)*(1-IF($M479="نعم",0,N($J479))))</f>
        <v>0</v>
      </c>
      <c r="AC479" s="133" t="n">
        <f aca="false">IF(OR($B479="",$E479="",$F479=""),0,MAX(0,MIN($F479,EOMONTH(DATE(cfg_FY,8,1),0))-MAX($E479,DATE(cfg_FY,8,1))+1)*(1-IF($M479="نعم",0,N($J479))))</f>
        <v>0</v>
      </c>
      <c r="AD479" s="133" t="n">
        <f aca="false">IF(OR($B479="",$E479="",$F479=""),0,MAX(0,MIN($F479,EOMONTH(DATE(cfg_FY,9,1),0))-MAX($E479,DATE(cfg_FY,9,1))+1)*(1-IF($M479="نعم",0,N($J479))))</f>
        <v>0</v>
      </c>
      <c r="AE479" s="133" t="n">
        <f aca="false">IF(OR($B479="",$E479="",$F479=""),0,MAX(0,MIN($F479,EOMONTH(DATE(cfg_FY,10,1),0))-MAX($E479,DATE(cfg_FY,10,1))+1)*(1-IF($M479="نعم",0,N($J479))))</f>
        <v>0</v>
      </c>
      <c r="AF479" s="133" t="n">
        <f aca="false">IF(OR($B479="",$E479="",$F479=""),0,MAX(0,MIN($F479,EOMONTH(DATE(cfg_FY,11,1),0))-MAX($E479,DATE(cfg_FY,11,1))+1)*(1-IF($M479="نعم",0,N($J479))))</f>
        <v>0</v>
      </c>
      <c r="AG479" s="133" t="n">
        <f aca="false">IF(OR($B479="",$E479="",$F479=""),0,MAX(0,MIN($F479,EOMONTH(DATE(cfg_FY,12,1),0))-MAX($E479,DATE(cfg_FY,12,1))+1)*(1-IF($M479="نعم",0,N($J479))))</f>
        <v>0</v>
      </c>
      <c r="AH479" s="133" t="n">
        <f aca="false">IF(OR(OR($B479="",$E479="",$F479=""),$L479&lt;&gt;"لا"),0,MAX(0,MIN($F479,EOMONTH(DATE(cfg_FY,1,1),0))-$E479+1))</f>
        <v>0</v>
      </c>
      <c r="AI479" s="133" t="n">
        <f aca="false">IF(OR(OR($B479="",$E479="",$F479=""),$L479&lt;&gt;"لا"),0,MAX(0,MIN($F479,EOMONTH(DATE(cfg_FY,2,1),0))-$E479+1))</f>
        <v>0</v>
      </c>
      <c r="AJ479" s="133" t="n">
        <f aca="false">IF(OR(OR($B479="",$E479="",$F479=""),$L479&lt;&gt;"لا"),0,MAX(0,MIN($F479,EOMONTH(DATE(cfg_FY,3,1),0))-$E479+1))</f>
        <v>0</v>
      </c>
      <c r="AK479" s="133" t="n">
        <f aca="false">IF(OR(OR($B479="",$E479="",$F479=""),$L479&lt;&gt;"لا"),0,MAX(0,MIN($F479,EOMONTH(DATE(cfg_FY,4,1),0))-$E479+1))</f>
        <v>0</v>
      </c>
      <c r="AL479" s="133" t="n">
        <f aca="false">IF(OR(OR($B479="",$E479="",$F479=""),$L479&lt;&gt;"لا"),0,MAX(0,MIN($F479,EOMONTH(DATE(cfg_FY,5,1),0))-$E479+1))</f>
        <v>0</v>
      </c>
      <c r="AM479" s="133" t="n">
        <f aca="false">IF(OR(OR($B479="",$E479="",$F479=""),$L479&lt;&gt;"لا"),0,MAX(0,MIN($F479,EOMONTH(DATE(cfg_FY,6,1),0))-$E479+1))</f>
        <v>0</v>
      </c>
      <c r="AN479" s="133" t="n">
        <f aca="false">IF(OR(OR($B479="",$E479="",$F479=""),$L479&lt;&gt;"لا"),0,MAX(0,MIN($F479,EOMONTH(DATE(cfg_FY,7,1),0))-$E479+1))</f>
        <v>0</v>
      </c>
      <c r="AO479" s="133" t="n">
        <f aca="false">IF(OR(OR($B479="",$E479="",$F479=""),$L479&lt;&gt;"لا"),0,MAX(0,MIN($F479,EOMONTH(DATE(cfg_FY,8,1),0))-$E479+1))</f>
        <v>0</v>
      </c>
      <c r="AP479" s="133" t="n">
        <f aca="false">IF(OR(OR($B479="",$E479="",$F479=""),$L479&lt;&gt;"لا"),0,MAX(0,MIN($F479,EOMONTH(DATE(cfg_FY,9,1),0))-$E479+1))</f>
        <v>0</v>
      </c>
      <c r="AQ479" s="133" t="n">
        <f aca="false">IF(OR(OR($B479="",$E479="",$F479=""),$L479&lt;&gt;"لا"),0,MAX(0,MIN($F479,EOMONTH(DATE(cfg_FY,10,1),0))-$E479+1))</f>
        <v>0</v>
      </c>
      <c r="AR479" s="133" t="n">
        <f aca="false">IF(OR(OR($B479="",$E479="",$F479=""),$L479&lt;&gt;"لا"),0,MAX(0,MIN($F479,EOMONTH(DATE(cfg_FY,11,1),0))-$E479+1))</f>
        <v>0</v>
      </c>
      <c r="AS479" s="133" t="n">
        <f aca="false">IF(OR(OR($B479="",$E479="",$F479=""),$L479&lt;&gt;"لا"),0,MAX(0,MIN($F479,EOMONTH(DATE(cfg_FY,12,1),0))-$E479+1))</f>
        <v>0</v>
      </c>
      <c r="AT479" s="133" t="n">
        <f aca="false">IF(OR(OR($B479="",$E479="",$F479=""),$K479&lt;&gt;"نعم",$M479="نعم"),0,MAX(0,MIN($F479,EOMONTH(DATE(cfg_FY,1,1),0))-MAX($E479,DATE(cfg_FY,1,1))+1))</f>
        <v>0</v>
      </c>
      <c r="AU479" s="133" t="n">
        <f aca="false">IF(OR(OR($B479="",$E479="",$F479=""),$K479&lt;&gt;"نعم",$M479="نعم"),0,MAX(0,MIN($F479,EOMONTH(DATE(cfg_FY,2,1),0))-MAX($E479,DATE(cfg_FY,2,1))+1))</f>
        <v>0</v>
      </c>
      <c r="AV479" s="133" t="n">
        <f aca="false">IF(OR(OR($B479="",$E479="",$F479=""),$K479&lt;&gt;"نعم",$M479="نعم"),0,MAX(0,MIN($F479,EOMONTH(DATE(cfg_FY,3,1),0))-MAX($E479,DATE(cfg_FY,3,1))+1))</f>
        <v>0</v>
      </c>
      <c r="AW479" s="133" t="n">
        <f aca="false">IF(OR(OR($B479="",$E479="",$F479=""),$K479&lt;&gt;"نعم",$M479="نعم"),0,MAX(0,MIN($F479,EOMONTH(DATE(cfg_FY,4,1),0))-MAX($E479,DATE(cfg_FY,4,1))+1))</f>
        <v>0</v>
      </c>
      <c r="AX479" s="133" t="n">
        <f aca="false">IF(OR(OR($B479="",$E479="",$F479=""),$K479&lt;&gt;"نعم",$M479="نعم"),0,MAX(0,MIN($F479,EOMONTH(DATE(cfg_FY,5,1),0))-MAX($E479,DATE(cfg_FY,5,1))+1))</f>
        <v>0</v>
      </c>
      <c r="AY479" s="133" t="n">
        <f aca="false">IF(OR(OR($B479="",$E479="",$F479=""),$K479&lt;&gt;"نعم",$M479="نعم"),0,MAX(0,MIN($F479,EOMONTH(DATE(cfg_FY,6,1),0))-MAX($E479,DATE(cfg_FY,6,1))+1))</f>
        <v>0</v>
      </c>
      <c r="AZ479" s="133" t="n">
        <f aca="false">IF(OR(OR($B479="",$E479="",$F479=""),$K479&lt;&gt;"نعم",$M479="نعم"),0,MAX(0,MIN($F479,EOMONTH(DATE(cfg_FY,7,1),0))-MAX($E479,DATE(cfg_FY,7,1))+1))</f>
        <v>0</v>
      </c>
      <c r="BA479" s="133" t="n">
        <f aca="false">IF(OR(OR($B479="",$E479="",$F479=""),$K479&lt;&gt;"نعم",$M479="نعم"),0,MAX(0,MIN($F479,EOMONTH(DATE(cfg_FY,8,1),0))-MAX($E479,DATE(cfg_FY,8,1))+1))</f>
        <v>0</v>
      </c>
      <c r="BB479" s="133" t="n">
        <f aca="false">IF(OR(OR($B479="",$E479="",$F479=""),$K479&lt;&gt;"نعم",$M479="نعم"),0,MAX(0,MIN($F479,EOMONTH(DATE(cfg_FY,9,1),0))-MAX($E479,DATE(cfg_FY,9,1))+1))</f>
        <v>0</v>
      </c>
      <c r="BC479" s="133" t="n">
        <f aca="false">IF(OR(OR($B479="",$E479="",$F479=""),$K479&lt;&gt;"نعم",$M479="نعم"),0,MAX(0,MIN($F479,EOMONTH(DATE(cfg_FY,10,1),0))-MAX($E479,DATE(cfg_FY,10,1))+1))</f>
        <v>0</v>
      </c>
      <c r="BD479" s="133" t="n">
        <f aca="false">IF(OR(OR($B479="",$E479="",$F479=""),$K479&lt;&gt;"نعم",$M479="نعم"),0,MAX(0,MIN($F479,EOMONTH(DATE(cfg_FY,11,1),0))-MAX($E479,DATE(cfg_FY,11,1))+1))</f>
        <v>0</v>
      </c>
      <c r="BE479" s="133" t="n">
        <f aca="false">IF(OR(OR($B479="",$E479="",$F479=""),$K479&lt;&gt;"نعم",$M479="نعم"),0,MAX(0,MIN($F479,EOMONTH(DATE(cfg_FY,12,1),0))-MAX($E479,DATE(cfg_FY,12,1))+1))</f>
        <v>0</v>
      </c>
    </row>
    <row r="480" customFormat="false" ht="15" hidden="false" customHeight="false" outlineLevel="0" collapsed="false">
      <c r="A480" s="106" t="str">
        <f aca="false">IF(B480="","",ROW()-5)</f>
        <v/>
      </c>
      <c r="B480" s="118"/>
      <c r="C480" s="114" t="str">
        <f aca="false">IF(B480="","",IFERROR(INDEX(الموظفون!$C$6:$C$105,MATCH(B480,الموظفون!$B$6:$B$105,0)),"✖ رقم غير موجود"))</f>
        <v/>
      </c>
      <c r="D480" s="118"/>
      <c r="E480" s="119"/>
      <c r="F480" s="119"/>
      <c r="G480" s="65" t="str">
        <f aca="false">IF(OR($B480="",$E480="",$F480=""),"",MAX(0,F480-E480+1))</f>
        <v/>
      </c>
      <c r="H480" s="66" t="str">
        <f aca="false">IF(D480="","",IFERROR(VLOOKUP(D480,cfg_LT,2,FALSE()),1))</f>
        <v/>
      </c>
      <c r="I480" s="135"/>
      <c r="J480" s="66" t="str">
        <f aca="false">IF(D480="","",IF(I480&lt;&gt;"",I480,H480))</f>
        <v/>
      </c>
      <c r="K480" s="114" t="str">
        <f aca="false">IF(D480="","",IFERROR(VLOOKUP($D480,cfg_LT,3,FALSE()),""))</f>
        <v/>
      </c>
      <c r="L480" s="114" t="str">
        <f aca="false">IF(D480="","",IFERROR(VLOOKUP($D480,cfg_LT,4,FALSE()),""))</f>
        <v/>
      </c>
      <c r="M480" s="114" t="str">
        <f aca="false">IF(D480="","",IFERROR(VLOOKUP($D480,cfg_LT,5,FALSE()),""))</f>
        <v/>
      </c>
      <c r="N480" s="111" t="n">
        <f aca="false">IF(OR(OR($B480="",$E480="",$F480=""),M480&lt;&gt;"نعم"),0,G480*J480*IFERROR(INDEX(الموظفون!$R$6:$R$105,MATCH(B480,الموظفون!$B$6:$B$105,0)),0)/cfg_DAYS_M)</f>
        <v>0</v>
      </c>
      <c r="O480" s="106" t="str">
        <f aca="false">IF(OR(OR($B480="",$E480="",$F480=""),M480&lt;&gt;"نعم"),"",IF(YEAR(E480)=cfg_FY,MONTH(E480),""))</f>
        <v/>
      </c>
      <c r="P480" s="114" t="str">
        <f aca="false">IF(B480="","",IF(OR(D480="",E480="",F480=""),"⚠ أكمل النوع والتواريخ",IF(F480&lt;E480,"✖ النهاية قبل البداية",IF(COUNTIFS($B$6:$B$505,B480,$E$6:$E$505,"&lt;="&amp;F480,$F$6:$F$505,"&gt;="&amp;E480)&gt;1,"⚠ تداخل مع سجل آخر",IF(E480&gt;cfg_VAL_DATE,"⏳ قادمة",IF(F480&lt;cfg_VAL_DATE,"✔ منتهية","✈ جارية في تاريخ التقرير"))))))</f>
        <v/>
      </c>
      <c r="Q480" s="118"/>
      <c r="R480" s="65" t="n">
        <f aca="false">IF(OR(OR($B480="",$E480="",$F480=""),L480&lt;&gt;"لا"),0,MAX(0,MIN(F480,cfg_Y_START-1)-E480+1))</f>
        <v>0</v>
      </c>
      <c r="S480" s="65" t="n">
        <f aca="false">IF(OR(OR($B480="",$E480="",$F480=""),L480&lt;&gt;"لا"),0,MAX(0,MIN(F480,cfg_VAL_DATE)-E480+1))</f>
        <v>0</v>
      </c>
      <c r="T480" s="65" t="n">
        <f aca="false">IF(OR(OR($B480="",$E480="",$F480=""),K480&lt;&gt;"نعم"),0,IF(M480="نعم",IF(AND(ISNUMBER(O480),N(O480)&lt;=cfg_VAL_M),G480,0),MAX(0,MIN(F480,cfg_VAL_DATE)-MAX(E480,cfg_Y_START)+1)))</f>
        <v>0</v>
      </c>
      <c r="V480" s="65" t="n">
        <f aca="false">IF(OR($B480="",$E480="",$F480=""),0,MAX(0,MIN($F480,EOMONTH(DATE(cfg_FY,1,1),0))-MAX($E480,DATE(cfg_FY,1,1))+1)*(1-IF($M480="نعم",0,N($J480))))</f>
        <v>0</v>
      </c>
      <c r="W480" s="65" t="n">
        <f aca="false">IF(OR($B480="",$E480="",$F480=""),0,MAX(0,MIN($F480,EOMONTH(DATE(cfg_FY,2,1),0))-MAX($E480,DATE(cfg_FY,2,1))+1)*(1-IF($M480="نعم",0,N($J480))))</f>
        <v>0</v>
      </c>
      <c r="X480" s="65" t="n">
        <f aca="false">IF(OR($B480="",$E480="",$F480=""),0,MAX(0,MIN($F480,EOMONTH(DATE(cfg_FY,3,1),0))-MAX($E480,DATE(cfg_FY,3,1))+1)*(1-IF($M480="نعم",0,N($J480))))</f>
        <v>0</v>
      </c>
      <c r="Y480" s="65" t="n">
        <f aca="false">IF(OR($B480="",$E480="",$F480=""),0,MAX(0,MIN($F480,EOMONTH(DATE(cfg_FY,4,1),0))-MAX($E480,DATE(cfg_FY,4,1))+1)*(1-IF($M480="نعم",0,N($J480))))</f>
        <v>0</v>
      </c>
      <c r="Z480" s="65" t="n">
        <f aca="false">IF(OR($B480="",$E480="",$F480=""),0,MAX(0,MIN($F480,EOMONTH(DATE(cfg_FY,5,1),0))-MAX($E480,DATE(cfg_FY,5,1))+1)*(1-IF($M480="نعم",0,N($J480))))</f>
        <v>0</v>
      </c>
      <c r="AA480" s="65" t="n">
        <f aca="false">IF(OR($B480="",$E480="",$F480=""),0,MAX(0,MIN($F480,EOMONTH(DATE(cfg_FY,6,1),0))-MAX($E480,DATE(cfg_FY,6,1))+1)*(1-IF($M480="نعم",0,N($J480))))</f>
        <v>0</v>
      </c>
      <c r="AB480" s="65" t="n">
        <f aca="false">IF(OR($B480="",$E480="",$F480=""),0,MAX(0,MIN($F480,EOMONTH(DATE(cfg_FY,7,1),0))-MAX($E480,DATE(cfg_FY,7,1))+1)*(1-IF($M480="نعم",0,N($J480))))</f>
        <v>0</v>
      </c>
      <c r="AC480" s="65" t="n">
        <f aca="false">IF(OR($B480="",$E480="",$F480=""),0,MAX(0,MIN($F480,EOMONTH(DATE(cfg_FY,8,1),0))-MAX($E480,DATE(cfg_FY,8,1))+1)*(1-IF($M480="نعم",0,N($J480))))</f>
        <v>0</v>
      </c>
      <c r="AD480" s="65" t="n">
        <f aca="false">IF(OR($B480="",$E480="",$F480=""),0,MAX(0,MIN($F480,EOMONTH(DATE(cfg_FY,9,1),0))-MAX($E480,DATE(cfg_FY,9,1))+1)*(1-IF($M480="نعم",0,N($J480))))</f>
        <v>0</v>
      </c>
      <c r="AE480" s="65" t="n">
        <f aca="false">IF(OR($B480="",$E480="",$F480=""),0,MAX(0,MIN($F480,EOMONTH(DATE(cfg_FY,10,1),0))-MAX($E480,DATE(cfg_FY,10,1))+1)*(1-IF($M480="نعم",0,N($J480))))</f>
        <v>0</v>
      </c>
      <c r="AF480" s="65" t="n">
        <f aca="false">IF(OR($B480="",$E480="",$F480=""),0,MAX(0,MIN($F480,EOMONTH(DATE(cfg_FY,11,1),0))-MAX($E480,DATE(cfg_FY,11,1))+1)*(1-IF($M480="نعم",0,N($J480))))</f>
        <v>0</v>
      </c>
      <c r="AG480" s="65" t="n">
        <f aca="false">IF(OR($B480="",$E480="",$F480=""),0,MAX(0,MIN($F480,EOMONTH(DATE(cfg_FY,12,1),0))-MAX($E480,DATE(cfg_FY,12,1))+1)*(1-IF($M480="نعم",0,N($J480))))</f>
        <v>0</v>
      </c>
      <c r="AH480" s="65" t="n">
        <f aca="false">IF(OR(OR($B480="",$E480="",$F480=""),$L480&lt;&gt;"لا"),0,MAX(0,MIN($F480,EOMONTH(DATE(cfg_FY,1,1),0))-$E480+1))</f>
        <v>0</v>
      </c>
      <c r="AI480" s="65" t="n">
        <f aca="false">IF(OR(OR($B480="",$E480="",$F480=""),$L480&lt;&gt;"لا"),0,MAX(0,MIN($F480,EOMONTH(DATE(cfg_FY,2,1),0))-$E480+1))</f>
        <v>0</v>
      </c>
      <c r="AJ480" s="65" t="n">
        <f aca="false">IF(OR(OR($B480="",$E480="",$F480=""),$L480&lt;&gt;"لا"),0,MAX(0,MIN($F480,EOMONTH(DATE(cfg_FY,3,1),0))-$E480+1))</f>
        <v>0</v>
      </c>
      <c r="AK480" s="65" t="n">
        <f aca="false">IF(OR(OR($B480="",$E480="",$F480=""),$L480&lt;&gt;"لا"),0,MAX(0,MIN($F480,EOMONTH(DATE(cfg_FY,4,1),0))-$E480+1))</f>
        <v>0</v>
      </c>
      <c r="AL480" s="65" t="n">
        <f aca="false">IF(OR(OR($B480="",$E480="",$F480=""),$L480&lt;&gt;"لا"),0,MAX(0,MIN($F480,EOMONTH(DATE(cfg_FY,5,1),0))-$E480+1))</f>
        <v>0</v>
      </c>
      <c r="AM480" s="65" t="n">
        <f aca="false">IF(OR(OR($B480="",$E480="",$F480=""),$L480&lt;&gt;"لا"),0,MAX(0,MIN($F480,EOMONTH(DATE(cfg_FY,6,1),0))-$E480+1))</f>
        <v>0</v>
      </c>
      <c r="AN480" s="65" t="n">
        <f aca="false">IF(OR(OR($B480="",$E480="",$F480=""),$L480&lt;&gt;"لا"),0,MAX(0,MIN($F480,EOMONTH(DATE(cfg_FY,7,1),0))-$E480+1))</f>
        <v>0</v>
      </c>
      <c r="AO480" s="65" t="n">
        <f aca="false">IF(OR(OR($B480="",$E480="",$F480=""),$L480&lt;&gt;"لا"),0,MAX(0,MIN($F480,EOMONTH(DATE(cfg_FY,8,1),0))-$E480+1))</f>
        <v>0</v>
      </c>
      <c r="AP480" s="65" t="n">
        <f aca="false">IF(OR(OR($B480="",$E480="",$F480=""),$L480&lt;&gt;"لا"),0,MAX(0,MIN($F480,EOMONTH(DATE(cfg_FY,9,1),0))-$E480+1))</f>
        <v>0</v>
      </c>
      <c r="AQ480" s="65" t="n">
        <f aca="false">IF(OR(OR($B480="",$E480="",$F480=""),$L480&lt;&gt;"لا"),0,MAX(0,MIN($F480,EOMONTH(DATE(cfg_FY,10,1),0))-$E480+1))</f>
        <v>0</v>
      </c>
      <c r="AR480" s="65" t="n">
        <f aca="false">IF(OR(OR($B480="",$E480="",$F480=""),$L480&lt;&gt;"لا"),0,MAX(0,MIN($F480,EOMONTH(DATE(cfg_FY,11,1),0))-$E480+1))</f>
        <v>0</v>
      </c>
      <c r="AS480" s="65" t="n">
        <f aca="false">IF(OR(OR($B480="",$E480="",$F480=""),$L480&lt;&gt;"لا"),0,MAX(0,MIN($F480,EOMONTH(DATE(cfg_FY,12,1),0))-$E480+1))</f>
        <v>0</v>
      </c>
      <c r="AT480" s="65" t="n">
        <f aca="false">IF(OR(OR($B480="",$E480="",$F480=""),$K480&lt;&gt;"نعم",$M480="نعم"),0,MAX(0,MIN($F480,EOMONTH(DATE(cfg_FY,1,1),0))-MAX($E480,DATE(cfg_FY,1,1))+1))</f>
        <v>0</v>
      </c>
      <c r="AU480" s="65" t="n">
        <f aca="false">IF(OR(OR($B480="",$E480="",$F480=""),$K480&lt;&gt;"نعم",$M480="نعم"),0,MAX(0,MIN($F480,EOMONTH(DATE(cfg_FY,2,1),0))-MAX($E480,DATE(cfg_FY,2,1))+1))</f>
        <v>0</v>
      </c>
      <c r="AV480" s="65" t="n">
        <f aca="false">IF(OR(OR($B480="",$E480="",$F480=""),$K480&lt;&gt;"نعم",$M480="نعم"),0,MAX(0,MIN($F480,EOMONTH(DATE(cfg_FY,3,1),0))-MAX($E480,DATE(cfg_FY,3,1))+1))</f>
        <v>0</v>
      </c>
      <c r="AW480" s="65" t="n">
        <f aca="false">IF(OR(OR($B480="",$E480="",$F480=""),$K480&lt;&gt;"نعم",$M480="نعم"),0,MAX(0,MIN($F480,EOMONTH(DATE(cfg_FY,4,1),0))-MAX($E480,DATE(cfg_FY,4,1))+1))</f>
        <v>0</v>
      </c>
      <c r="AX480" s="65" t="n">
        <f aca="false">IF(OR(OR($B480="",$E480="",$F480=""),$K480&lt;&gt;"نعم",$M480="نعم"),0,MAX(0,MIN($F480,EOMONTH(DATE(cfg_FY,5,1),0))-MAX($E480,DATE(cfg_FY,5,1))+1))</f>
        <v>0</v>
      </c>
      <c r="AY480" s="65" t="n">
        <f aca="false">IF(OR(OR($B480="",$E480="",$F480=""),$K480&lt;&gt;"نعم",$M480="نعم"),0,MAX(0,MIN($F480,EOMONTH(DATE(cfg_FY,6,1),0))-MAX($E480,DATE(cfg_FY,6,1))+1))</f>
        <v>0</v>
      </c>
      <c r="AZ480" s="65" t="n">
        <f aca="false">IF(OR(OR($B480="",$E480="",$F480=""),$K480&lt;&gt;"نعم",$M480="نعم"),0,MAX(0,MIN($F480,EOMONTH(DATE(cfg_FY,7,1),0))-MAX($E480,DATE(cfg_FY,7,1))+1))</f>
        <v>0</v>
      </c>
      <c r="BA480" s="65" t="n">
        <f aca="false">IF(OR(OR($B480="",$E480="",$F480=""),$K480&lt;&gt;"نعم",$M480="نعم"),0,MAX(0,MIN($F480,EOMONTH(DATE(cfg_FY,8,1),0))-MAX($E480,DATE(cfg_FY,8,1))+1))</f>
        <v>0</v>
      </c>
      <c r="BB480" s="65" t="n">
        <f aca="false">IF(OR(OR($B480="",$E480="",$F480=""),$K480&lt;&gt;"نعم",$M480="نعم"),0,MAX(0,MIN($F480,EOMONTH(DATE(cfg_FY,9,1),0))-MAX($E480,DATE(cfg_FY,9,1))+1))</f>
        <v>0</v>
      </c>
      <c r="BC480" s="65" t="n">
        <f aca="false">IF(OR(OR($B480="",$E480="",$F480=""),$K480&lt;&gt;"نعم",$M480="نعم"),0,MAX(0,MIN($F480,EOMONTH(DATE(cfg_FY,10,1),0))-MAX($E480,DATE(cfg_FY,10,1))+1))</f>
        <v>0</v>
      </c>
      <c r="BD480" s="65" t="n">
        <f aca="false">IF(OR(OR($B480="",$E480="",$F480=""),$K480&lt;&gt;"نعم",$M480="نعم"),0,MAX(0,MIN($F480,EOMONTH(DATE(cfg_FY,11,1),0))-MAX($E480,DATE(cfg_FY,11,1))+1))</f>
        <v>0</v>
      </c>
      <c r="BE480" s="65" t="n">
        <f aca="false">IF(OR(OR($B480="",$E480="",$F480=""),$K480&lt;&gt;"نعم",$M480="نعم"),0,MAX(0,MIN($F480,EOMONTH(DATE(cfg_FY,12,1),0))-MAX($E480,DATE(cfg_FY,12,1))+1))</f>
        <v>0</v>
      </c>
    </row>
    <row r="481" customFormat="false" ht="15" hidden="false" customHeight="false" outlineLevel="0" collapsed="false">
      <c r="A481" s="115" t="str">
        <f aca="false">IF(B481="","",ROW()-5)</f>
        <v/>
      </c>
      <c r="B481" s="118"/>
      <c r="C481" s="117" t="str">
        <f aca="false">IF(B481="","",IFERROR(INDEX(الموظفون!$C$6:$C$105,MATCH(B481,الموظفون!$B$6:$B$105,0)),"✖ رقم غير موجود"))</f>
        <v/>
      </c>
      <c r="D481" s="118"/>
      <c r="E481" s="119"/>
      <c r="F481" s="119"/>
      <c r="G481" s="133" t="str">
        <f aca="false">IF(OR($B481="",$E481="",$F481=""),"",MAX(0,F481-E481+1))</f>
        <v/>
      </c>
      <c r="H481" s="134" t="str">
        <f aca="false">IF(D481="","",IFERROR(VLOOKUP(D481,cfg_LT,2,FALSE()),1))</f>
        <v/>
      </c>
      <c r="I481" s="135"/>
      <c r="J481" s="134" t="str">
        <f aca="false">IF(D481="","",IF(I481&lt;&gt;"",I481,H481))</f>
        <v/>
      </c>
      <c r="K481" s="117" t="str">
        <f aca="false">IF(D481="","",IFERROR(VLOOKUP($D481,cfg_LT,3,FALSE()),""))</f>
        <v/>
      </c>
      <c r="L481" s="117" t="str">
        <f aca="false">IF(D481="","",IFERROR(VLOOKUP($D481,cfg_LT,4,FALSE()),""))</f>
        <v/>
      </c>
      <c r="M481" s="117" t="str">
        <f aca="false">IF(D481="","",IFERROR(VLOOKUP($D481,cfg_LT,5,FALSE()),""))</f>
        <v/>
      </c>
      <c r="N481" s="116" t="n">
        <f aca="false">IF(OR(OR($B481="",$E481="",$F481=""),M481&lt;&gt;"نعم"),0,G481*J481*IFERROR(INDEX(الموظفون!$R$6:$R$105,MATCH(B481,الموظفون!$B$6:$B$105,0)),0)/cfg_DAYS_M)</f>
        <v>0</v>
      </c>
      <c r="O481" s="115" t="str">
        <f aca="false">IF(OR(OR($B481="",$E481="",$F481=""),M481&lt;&gt;"نعم"),"",IF(YEAR(E481)=cfg_FY,MONTH(E481),""))</f>
        <v/>
      </c>
      <c r="P481" s="117" t="str">
        <f aca="false">IF(B481="","",IF(OR(D481="",E481="",F481=""),"⚠ أكمل النوع والتواريخ",IF(F481&lt;E481,"✖ النهاية قبل البداية",IF(COUNTIFS($B$6:$B$505,B481,$E$6:$E$505,"&lt;="&amp;F481,$F$6:$F$505,"&gt;="&amp;E481)&gt;1,"⚠ تداخل مع سجل آخر",IF(E481&gt;cfg_VAL_DATE,"⏳ قادمة",IF(F481&lt;cfg_VAL_DATE,"✔ منتهية","✈ جارية في تاريخ التقرير"))))))</f>
        <v/>
      </c>
      <c r="Q481" s="118"/>
      <c r="R481" s="133" t="n">
        <f aca="false">IF(OR(OR($B481="",$E481="",$F481=""),L481&lt;&gt;"لا"),0,MAX(0,MIN(F481,cfg_Y_START-1)-E481+1))</f>
        <v>0</v>
      </c>
      <c r="S481" s="133" t="n">
        <f aca="false">IF(OR(OR($B481="",$E481="",$F481=""),L481&lt;&gt;"لا"),0,MAX(0,MIN(F481,cfg_VAL_DATE)-E481+1))</f>
        <v>0</v>
      </c>
      <c r="T481" s="133" t="n">
        <f aca="false">IF(OR(OR($B481="",$E481="",$F481=""),K481&lt;&gt;"نعم"),0,IF(M481="نعم",IF(AND(ISNUMBER(O481),N(O481)&lt;=cfg_VAL_M),G481,0),MAX(0,MIN(F481,cfg_VAL_DATE)-MAX(E481,cfg_Y_START)+1)))</f>
        <v>0</v>
      </c>
      <c r="V481" s="133" t="n">
        <f aca="false">IF(OR($B481="",$E481="",$F481=""),0,MAX(0,MIN($F481,EOMONTH(DATE(cfg_FY,1,1),0))-MAX($E481,DATE(cfg_FY,1,1))+1)*(1-IF($M481="نعم",0,N($J481))))</f>
        <v>0</v>
      </c>
      <c r="W481" s="133" t="n">
        <f aca="false">IF(OR($B481="",$E481="",$F481=""),0,MAX(0,MIN($F481,EOMONTH(DATE(cfg_FY,2,1),0))-MAX($E481,DATE(cfg_FY,2,1))+1)*(1-IF($M481="نعم",0,N($J481))))</f>
        <v>0</v>
      </c>
      <c r="X481" s="133" t="n">
        <f aca="false">IF(OR($B481="",$E481="",$F481=""),0,MAX(0,MIN($F481,EOMONTH(DATE(cfg_FY,3,1),0))-MAX($E481,DATE(cfg_FY,3,1))+1)*(1-IF($M481="نعم",0,N($J481))))</f>
        <v>0</v>
      </c>
      <c r="Y481" s="133" t="n">
        <f aca="false">IF(OR($B481="",$E481="",$F481=""),0,MAX(0,MIN($F481,EOMONTH(DATE(cfg_FY,4,1),0))-MAX($E481,DATE(cfg_FY,4,1))+1)*(1-IF($M481="نعم",0,N($J481))))</f>
        <v>0</v>
      </c>
      <c r="Z481" s="133" t="n">
        <f aca="false">IF(OR($B481="",$E481="",$F481=""),0,MAX(0,MIN($F481,EOMONTH(DATE(cfg_FY,5,1),0))-MAX($E481,DATE(cfg_FY,5,1))+1)*(1-IF($M481="نعم",0,N($J481))))</f>
        <v>0</v>
      </c>
      <c r="AA481" s="133" t="n">
        <f aca="false">IF(OR($B481="",$E481="",$F481=""),0,MAX(0,MIN($F481,EOMONTH(DATE(cfg_FY,6,1),0))-MAX($E481,DATE(cfg_FY,6,1))+1)*(1-IF($M481="نعم",0,N($J481))))</f>
        <v>0</v>
      </c>
      <c r="AB481" s="133" t="n">
        <f aca="false">IF(OR($B481="",$E481="",$F481=""),0,MAX(0,MIN($F481,EOMONTH(DATE(cfg_FY,7,1),0))-MAX($E481,DATE(cfg_FY,7,1))+1)*(1-IF($M481="نعم",0,N($J481))))</f>
        <v>0</v>
      </c>
      <c r="AC481" s="133" t="n">
        <f aca="false">IF(OR($B481="",$E481="",$F481=""),0,MAX(0,MIN($F481,EOMONTH(DATE(cfg_FY,8,1),0))-MAX($E481,DATE(cfg_FY,8,1))+1)*(1-IF($M481="نعم",0,N($J481))))</f>
        <v>0</v>
      </c>
      <c r="AD481" s="133" t="n">
        <f aca="false">IF(OR($B481="",$E481="",$F481=""),0,MAX(0,MIN($F481,EOMONTH(DATE(cfg_FY,9,1),0))-MAX($E481,DATE(cfg_FY,9,1))+1)*(1-IF($M481="نعم",0,N($J481))))</f>
        <v>0</v>
      </c>
      <c r="AE481" s="133" t="n">
        <f aca="false">IF(OR($B481="",$E481="",$F481=""),0,MAX(0,MIN($F481,EOMONTH(DATE(cfg_FY,10,1),0))-MAX($E481,DATE(cfg_FY,10,1))+1)*(1-IF($M481="نعم",0,N($J481))))</f>
        <v>0</v>
      </c>
      <c r="AF481" s="133" t="n">
        <f aca="false">IF(OR($B481="",$E481="",$F481=""),0,MAX(0,MIN($F481,EOMONTH(DATE(cfg_FY,11,1),0))-MAX($E481,DATE(cfg_FY,11,1))+1)*(1-IF($M481="نعم",0,N($J481))))</f>
        <v>0</v>
      </c>
      <c r="AG481" s="133" t="n">
        <f aca="false">IF(OR($B481="",$E481="",$F481=""),0,MAX(0,MIN($F481,EOMONTH(DATE(cfg_FY,12,1),0))-MAX($E481,DATE(cfg_FY,12,1))+1)*(1-IF($M481="نعم",0,N($J481))))</f>
        <v>0</v>
      </c>
      <c r="AH481" s="133" t="n">
        <f aca="false">IF(OR(OR($B481="",$E481="",$F481=""),$L481&lt;&gt;"لا"),0,MAX(0,MIN($F481,EOMONTH(DATE(cfg_FY,1,1),0))-$E481+1))</f>
        <v>0</v>
      </c>
      <c r="AI481" s="133" t="n">
        <f aca="false">IF(OR(OR($B481="",$E481="",$F481=""),$L481&lt;&gt;"لا"),0,MAX(0,MIN($F481,EOMONTH(DATE(cfg_FY,2,1),0))-$E481+1))</f>
        <v>0</v>
      </c>
      <c r="AJ481" s="133" t="n">
        <f aca="false">IF(OR(OR($B481="",$E481="",$F481=""),$L481&lt;&gt;"لا"),0,MAX(0,MIN($F481,EOMONTH(DATE(cfg_FY,3,1),0))-$E481+1))</f>
        <v>0</v>
      </c>
      <c r="AK481" s="133" t="n">
        <f aca="false">IF(OR(OR($B481="",$E481="",$F481=""),$L481&lt;&gt;"لا"),0,MAX(0,MIN($F481,EOMONTH(DATE(cfg_FY,4,1),0))-$E481+1))</f>
        <v>0</v>
      </c>
      <c r="AL481" s="133" t="n">
        <f aca="false">IF(OR(OR($B481="",$E481="",$F481=""),$L481&lt;&gt;"لا"),0,MAX(0,MIN($F481,EOMONTH(DATE(cfg_FY,5,1),0))-$E481+1))</f>
        <v>0</v>
      </c>
      <c r="AM481" s="133" t="n">
        <f aca="false">IF(OR(OR($B481="",$E481="",$F481=""),$L481&lt;&gt;"لا"),0,MAX(0,MIN($F481,EOMONTH(DATE(cfg_FY,6,1),0))-$E481+1))</f>
        <v>0</v>
      </c>
      <c r="AN481" s="133" t="n">
        <f aca="false">IF(OR(OR($B481="",$E481="",$F481=""),$L481&lt;&gt;"لا"),0,MAX(0,MIN($F481,EOMONTH(DATE(cfg_FY,7,1),0))-$E481+1))</f>
        <v>0</v>
      </c>
      <c r="AO481" s="133" t="n">
        <f aca="false">IF(OR(OR($B481="",$E481="",$F481=""),$L481&lt;&gt;"لا"),0,MAX(0,MIN($F481,EOMONTH(DATE(cfg_FY,8,1),0))-$E481+1))</f>
        <v>0</v>
      </c>
      <c r="AP481" s="133" t="n">
        <f aca="false">IF(OR(OR($B481="",$E481="",$F481=""),$L481&lt;&gt;"لا"),0,MAX(0,MIN($F481,EOMONTH(DATE(cfg_FY,9,1),0))-$E481+1))</f>
        <v>0</v>
      </c>
      <c r="AQ481" s="133" t="n">
        <f aca="false">IF(OR(OR($B481="",$E481="",$F481=""),$L481&lt;&gt;"لا"),0,MAX(0,MIN($F481,EOMONTH(DATE(cfg_FY,10,1),0))-$E481+1))</f>
        <v>0</v>
      </c>
      <c r="AR481" s="133" t="n">
        <f aca="false">IF(OR(OR($B481="",$E481="",$F481=""),$L481&lt;&gt;"لا"),0,MAX(0,MIN($F481,EOMONTH(DATE(cfg_FY,11,1),0))-$E481+1))</f>
        <v>0</v>
      </c>
      <c r="AS481" s="133" t="n">
        <f aca="false">IF(OR(OR($B481="",$E481="",$F481=""),$L481&lt;&gt;"لا"),0,MAX(0,MIN($F481,EOMONTH(DATE(cfg_FY,12,1),0))-$E481+1))</f>
        <v>0</v>
      </c>
      <c r="AT481" s="133" t="n">
        <f aca="false">IF(OR(OR($B481="",$E481="",$F481=""),$K481&lt;&gt;"نعم",$M481="نعم"),0,MAX(0,MIN($F481,EOMONTH(DATE(cfg_FY,1,1),0))-MAX($E481,DATE(cfg_FY,1,1))+1))</f>
        <v>0</v>
      </c>
      <c r="AU481" s="133" t="n">
        <f aca="false">IF(OR(OR($B481="",$E481="",$F481=""),$K481&lt;&gt;"نعم",$M481="نعم"),0,MAX(0,MIN($F481,EOMONTH(DATE(cfg_FY,2,1),0))-MAX($E481,DATE(cfg_FY,2,1))+1))</f>
        <v>0</v>
      </c>
      <c r="AV481" s="133" t="n">
        <f aca="false">IF(OR(OR($B481="",$E481="",$F481=""),$K481&lt;&gt;"نعم",$M481="نعم"),0,MAX(0,MIN($F481,EOMONTH(DATE(cfg_FY,3,1),0))-MAX($E481,DATE(cfg_FY,3,1))+1))</f>
        <v>0</v>
      </c>
      <c r="AW481" s="133" t="n">
        <f aca="false">IF(OR(OR($B481="",$E481="",$F481=""),$K481&lt;&gt;"نعم",$M481="نعم"),0,MAX(0,MIN($F481,EOMONTH(DATE(cfg_FY,4,1),0))-MAX($E481,DATE(cfg_FY,4,1))+1))</f>
        <v>0</v>
      </c>
      <c r="AX481" s="133" t="n">
        <f aca="false">IF(OR(OR($B481="",$E481="",$F481=""),$K481&lt;&gt;"نعم",$M481="نعم"),0,MAX(0,MIN($F481,EOMONTH(DATE(cfg_FY,5,1),0))-MAX($E481,DATE(cfg_FY,5,1))+1))</f>
        <v>0</v>
      </c>
      <c r="AY481" s="133" t="n">
        <f aca="false">IF(OR(OR($B481="",$E481="",$F481=""),$K481&lt;&gt;"نعم",$M481="نعم"),0,MAX(0,MIN($F481,EOMONTH(DATE(cfg_FY,6,1),0))-MAX($E481,DATE(cfg_FY,6,1))+1))</f>
        <v>0</v>
      </c>
      <c r="AZ481" s="133" t="n">
        <f aca="false">IF(OR(OR($B481="",$E481="",$F481=""),$K481&lt;&gt;"نعم",$M481="نعم"),0,MAX(0,MIN($F481,EOMONTH(DATE(cfg_FY,7,1),0))-MAX($E481,DATE(cfg_FY,7,1))+1))</f>
        <v>0</v>
      </c>
      <c r="BA481" s="133" t="n">
        <f aca="false">IF(OR(OR($B481="",$E481="",$F481=""),$K481&lt;&gt;"نعم",$M481="نعم"),0,MAX(0,MIN($F481,EOMONTH(DATE(cfg_FY,8,1),0))-MAX($E481,DATE(cfg_FY,8,1))+1))</f>
        <v>0</v>
      </c>
      <c r="BB481" s="133" t="n">
        <f aca="false">IF(OR(OR($B481="",$E481="",$F481=""),$K481&lt;&gt;"نعم",$M481="نعم"),0,MAX(0,MIN($F481,EOMONTH(DATE(cfg_FY,9,1),0))-MAX($E481,DATE(cfg_FY,9,1))+1))</f>
        <v>0</v>
      </c>
      <c r="BC481" s="133" t="n">
        <f aca="false">IF(OR(OR($B481="",$E481="",$F481=""),$K481&lt;&gt;"نعم",$M481="نعم"),0,MAX(0,MIN($F481,EOMONTH(DATE(cfg_FY,10,1),0))-MAX($E481,DATE(cfg_FY,10,1))+1))</f>
        <v>0</v>
      </c>
      <c r="BD481" s="133" t="n">
        <f aca="false">IF(OR(OR($B481="",$E481="",$F481=""),$K481&lt;&gt;"نعم",$M481="نعم"),0,MAX(0,MIN($F481,EOMONTH(DATE(cfg_FY,11,1),0))-MAX($E481,DATE(cfg_FY,11,1))+1))</f>
        <v>0</v>
      </c>
      <c r="BE481" s="133" t="n">
        <f aca="false">IF(OR(OR($B481="",$E481="",$F481=""),$K481&lt;&gt;"نعم",$M481="نعم"),0,MAX(0,MIN($F481,EOMONTH(DATE(cfg_FY,12,1),0))-MAX($E481,DATE(cfg_FY,12,1))+1))</f>
        <v>0</v>
      </c>
    </row>
    <row r="482" customFormat="false" ht="15" hidden="false" customHeight="false" outlineLevel="0" collapsed="false">
      <c r="A482" s="106" t="str">
        <f aca="false">IF(B482="","",ROW()-5)</f>
        <v/>
      </c>
      <c r="B482" s="118"/>
      <c r="C482" s="114" t="str">
        <f aca="false">IF(B482="","",IFERROR(INDEX(الموظفون!$C$6:$C$105,MATCH(B482,الموظفون!$B$6:$B$105,0)),"✖ رقم غير موجود"))</f>
        <v/>
      </c>
      <c r="D482" s="118"/>
      <c r="E482" s="119"/>
      <c r="F482" s="119"/>
      <c r="G482" s="65" t="str">
        <f aca="false">IF(OR($B482="",$E482="",$F482=""),"",MAX(0,F482-E482+1))</f>
        <v/>
      </c>
      <c r="H482" s="66" t="str">
        <f aca="false">IF(D482="","",IFERROR(VLOOKUP(D482,cfg_LT,2,FALSE()),1))</f>
        <v/>
      </c>
      <c r="I482" s="135"/>
      <c r="J482" s="66" t="str">
        <f aca="false">IF(D482="","",IF(I482&lt;&gt;"",I482,H482))</f>
        <v/>
      </c>
      <c r="K482" s="114" t="str">
        <f aca="false">IF(D482="","",IFERROR(VLOOKUP($D482,cfg_LT,3,FALSE()),""))</f>
        <v/>
      </c>
      <c r="L482" s="114" t="str">
        <f aca="false">IF(D482="","",IFERROR(VLOOKUP($D482,cfg_LT,4,FALSE()),""))</f>
        <v/>
      </c>
      <c r="M482" s="114" t="str">
        <f aca="false">IF(D482="","",IFERROR(VLOOKUP($D482,cfg_LT,5,FALSE()),""))</f>
        <v/>
      </c>
      <c r="N482" s="111" t="n">
        <f aca="false">IF(OR(OR($B482="",$E482="",$F482=""),M482&lt;&gt;"نعم"),0,G482*J482*IFERROR(INDEX(الموظفون!$R$6:$R$105,MATCH(B482,الموظفون!$B$6:$B$105,0)),0)/cfg_DAYS_M)</f>
        <v>0</v>
      </c>
      <c r="O482" s="106" t="str">
        <f aca="false">IF(OR(OR($B482="",$E482="",$F482=""),M482&lt;&gt;"نعم"),"",IF(YEAR(E482)=cfg_FY,MONTH(E482),""))</f>
        <v/>
      </c>
      <c r="P482" s="114" t="str">
        <f aca="false">IF(B482="","",IF(OR(D482="",E482="",F482=""),"⚠ أكمل النوع والتواريخ",IF(F482&lt;E482,"✖ النهاية قبل البداية",IF(COUNTIFS($B$6:$B$505,B482,$E$6:$E$505,"&lt;="&amp;F482,$F$6:$F$505,"&gt;="&amp;E482)&gt;1,"⚠ تداخل مع سجل آخر",IF(E482&gt;cfg_VAL_DATE,"⏳ قادمة",IF(F482&lt;cfg_VAL_DATE,"✔ منتهية","✈ جارية في تاريخ التقرير"))))))</f>
        <v/>
      </c>
      <c r="Q482" s="118"/>
      <c r="R482" s="65" t="n">
        <f aca="false">IF(OR(OR($B482="",$E482="",$F482=""),L482&lt;&gt;"لا"),0,MAX(0,MIN(F482,cfg_Y_START-1)-E482+1))</f>
        <v>0</v>
      </c>
      <c r="S482" s="65" t="n">
        <f aca="false">IF(OR(OR($B482="",$E482="",$F482=""),L482&lt;&gt;"لا"),0,MAX(0,MIN(F482,cfg_VAL_DATE)-E482+1))</f>
        <v>0</v>
      </c>
      <c r="T482" s="65" t="n">
        <f aca="false">IF(OR(OR($B482="",$E482="",$F482=""),K482&lt;&gt;"نعم"),0,IF(M482="نعم",IF(AND(ISNUMBER(O482),N(O482)&lt;=cfg_VAL_M),G482,0),MAX(0,MIN(F482,cfg_VAL_DATE)-MAX(E482,cfg_Y_START)+1)))</f>
        <v>0</v>
      </c>
      <c r="V482" s="65" t="n">
        <f aca="false">IF(OR($B482="",$E482="",$F482=""),0,MAX(0,MIN($F482,EOMONTH(DATE(cfg_FY,1,1),0))-MAX($E482,DATE(cfg_FY,1,1))+1)*(1-IF($M482="نعم",0,N($J482))))</f>
        <v>0</v>
      </c>
      <c r="W482" s="65" t="n">
        <f aca="false">IF(OR($B482="",$E482="",$F482=""),0,MAX(0,MIN($F482,EOMONTH(DATE(cfg_FY,2,1),0))-MAX($E482,DATE(cfg_FY,2,1))+1)*(1-IF($M482="نعم",0,N($J482))))</f>
        <v>0</v>
      </c>
      <c r="X482" s="65" t="n">
        <f aca="false">IF(OR($B482="",$E482="",$F482=""),0,MAX(0,MIN($F482,EOMONTH(DATE(cfg_FY,3,1),0))-MAX($E482,DATE(cfg_FY,3,1))+1)*(1-IF($M482="نعم",0,N($J482))))</f>
        <v>0</v>
      </c>
      <c r="Y482" s="65" t="n">
        <f aca="false">IF(OR($B482="",$E482="",$F482=""),0,MAX(0,MIN($F482,EOMONTH(DATE(cfg_FY,4,1),0))-MAX($E482,DATE(cfg_FY,4,1))+1)*(1-IF($M482="نعم",0,N($J482))))</f>
        <v>0</v>
      </c>
      <c r="Z482" s="65" t="n">
        <f aca="false">IF(OR($B482="",$E482="",$F482=""),0,MAX(0,MIN($F482,EOMONTH(DATE(cfg_FY,5,1),0))-MAX($E482,DATE(cfg_FY,5,1))+1)*(1-IF($M482="نعم",0,N($J482))))</f>
        <v>0</v>
      </c>
      <c r="AA482" s="65" t="n">
        <f aca="false">IF(OR($B482="",$E482="",$F482=""),0,MAX(0,MIN($F482,EOMONTH(DATE(cfg_FY,6,1),0))-MAX($E482,DATE(cfg_FY,6,1))+1)*(1-IF($M482="نعم",0,N($J482))))</f>
        <v>0</v>
      </c>
      <c r="AB482" s="65" t="n">
        <f aca="false">IF(OR($B482="",$E482="",$F482=""),0,MAX(0,MIN($F482,EOMONTH(DATE(cfg_FY,7,1),0))-MAX($E482,DATE(cfg_FY,7,1))+1)*(1-IF($M482="نعم",0,N($J482))))</f>
        <v>0</v>
      </c>
      <c r="AC482" s="65" t="n">
        <f aca="false">IF(OR($B482="",$E482="",$F482=""),0,MAX(0,MIN($F482,EOMONTH(DATE(cfg_FY,8,1),0))-MAX($E482,DATE(cfg_FY,8,1))+1)*(1-IF($M482="نعم",0,N($J482))))</f>
        <v>0</v>
      </c>
      <c r="AD482" s="65" t="n">
        <f aca="false">IF(OR($B482="",$E482="",$F482=""),0,MAX(0,MIN($F482,EOMONTH(DATE(cfg_FY,9,1),0))-MAX($E482,DATE(cfg_FY,9,1))+1)*(1-IF($M482="نعم",0,N($J482))))</f>
        <v>0</v>
      </c>
      <c r="AE482" s="65" t="n">
        <f aca="false">IF(OR($B482="",$E482="",$F482=""),0,MAX(0,MIN($F482,EOMONTH(DATE(cfg_FY,10,1),0))-MAX($E482,DATE(cfg_FY,10,1))+1)*(1-IF($M482="نعم",0,N($J482))))</f>
        <v>0</v>
      </c>
      <c r="AF482" s="65" t="n">
        <f aca="false">IF(OR($B482="",$E482="",$F482=""),0,MAX(0,MIN($F482,EOMONTH(DATE(cfg_FY,11,1),0))-MAX($E482,DATE(cfg_FY,11,1))+1)*(1-IF($M482="نعم",0,N($J482))))</f>
        <v>0</v>
      </c>
      <c r="AG482" s="65" t="n">
        <f aca="false">IF(OR($B482="",$E482="",$F482=""),0,MAX(0,MIN($F482,EOMONTH(DATE(cfg_FY,12,1),0))-MAX($E482,DATE(cfg_FY,12,1))+1)*(1-IF($M482="نعم",0,N($J482))))</f>
        <v>0</v>
      </c>
      <c r="AH482" s="65" t="n">
        <f aca="false">IF(OR(OR($B482="",$E482="",$F482=""),$L482&lt;&gt;"لا"),0,MAX(0,MIN($F482,EOMONTH(DATE(cfg_FY,1,1),0))-$E482+1))</f>
        <v>0</v>
      </c>
      <c r="AI482" s="65" t="n">
        <f aca="false">IF(OR(OR($B482="",$E482="",$F482=""),$L482&lt;&gt;"لا"),0,MAX(0,MIN($F482,EOMONTH(DATE(cfg_FY,2,1),0))-$E482+1))</f>
        <v>0</v>
      </c>
      <c r="AJ482" s="65" t="n">
        <f aca="false">IF(OR(OR($B482="",$E482="",$F482=""),$L482&lt;&gt;"لا"),0,MAX(0,MIN($F482,EOMONTH(DATE(cfg_FY,3,1),0))-$E482+1))</f>
        <v>0</v>
      </c>
      <c r="AK482" s="65" t="n">
        <f aca="false">IF(OR(OR($B482="",$E482="",$F482=""),$L482&lt;&gt;"لا"),0,MAX(0,MIN($F482,EOMONTH(DATE(cfg_FY,4,1),0))-$E482+1))</f>
        <v>0</v>
      </c>
      <c r="AL482" s="65" t="n">
        <f aca="false">IF(OR(OR($B482="",$E482="",$F482=""),$L482&lt;&gt;"لا"),0,MAX(0,MIN($F482,EOMONTH(DATE(cfg_FY,5,1),0))-$E482+1))</f>
        <v>0</v>
      </c>
      <c r="AM482" s="65" t="n">
        <f aca="false">IF(OR(OR($B482="",$E482="",$F482=""),$L482&lt;&gt;"لا"),0,MAX(0,MIN($F482,EOMONTH(DATE(cfg_FY,6,1),0))-$E482+1))</f>
        <v>0</v>
      </c>
      <c r="AN482" s="65" t="n">
        <f aca="false">IF(OR(OR($B482="",$E482="",$F482=""),$L482&lt;&gt;"لا"),0,MAX(0,MIN($F482,EOMONTH(DATE(cfg_FY,7,1),0))-$E482+1))</f>
        <v>0</v>
      </c>
      <c r="AO482" s="65" t="n">
        <f aca="false">IF(OR(OR($B482="",$E482="",$F482=""),$L482&lt;&gt;"لا"),0,MAX(0,MIN($F482,EOMONTH(DATE(cfg_FY,8,1),0))-$E482+1))</f>
        <v>0</v>
      </c>
      <c r="AP482" s="65" t="n">
        <f aca="false">IF(OR(OR($B482="",$E482="",$F482=""),$L482&lt;&gt;"لا"),0,MAX(0,MIN($F482,EOMONTH(DATE(cfg_FY,9,1),0))-$E482+1))</f>
        <v>0</v>
      </c>
      <c r="AQ482" s="65" t="n">
        <f aca="false">IF(OR(OR($B482="",$E482="",$F482=""),$L482&lt;&gt;"لا"),0,MAX(0,MIN($F482,EOMONTH(DATE(cfg_FY,10,1),0))-$E482+1))</f>
        <v>0</v>
      </c>
      <c r="AR482" s="65" t="n">
        <f aca="false">IF(OR(OR($B482="",$E482="",$F482=""),$L482&lt;&gt;"لا"),0,MAX(0,MIN($F482,EOMONTH(DATE(cfg_FY,11,1),0))-$E482+1))</f>
        <v>0</v>
      </c>
      <c r="AS482" s="65" t="n">
        <f aca="false">IF(OR(OR($B482="",$E482="",$F482=""),$L482&lt;&gt;"لا"),0,MAX(0,MIN($F482,EOMONTH(DATE(cfg_FY,12,1),0))-$E482+1))</f>
        <v>0</v>
      </c>
      <c r="AT482" s="65" t="n">
        <f aca="false">IF(OR(OR($B482="",$E482="",$F482=""),$K482&lt;&gt;"نعم",$M482="نعم"),0,MAX(0,MIN($F482,EOMONTH(DATE(cfg_FY,1,1),0))-MAX($E482,DATE(cfg_FY,1,1))+1))</f>
        <v>0</v>
      </c>
      <c r="AU482" s="65" t="n">
        <f aca="false">IF(OR(OR($B482="",$E482="",$F482=""),$K482&lt;&gt;"نعم",$M482="نعم"),0,MAX(0,MIN($F482,EOMONTH(DATE(cfg_FY,2,1),0))-MAX($E482,DATE(cfg_FY,2,1))+1))</f>
        <v>0</v>
      </c>
      <c r="AV482" s="65" t="n">
        <f aca="false">IF(OR(OR($B482="",$E482="",$F482=""),$K482&lt;&gt;"نعم",$M482="نعم"),0,MAX(0,MIN($F482,EOMONTH(DATE(cfg_FY,3,1),0))-MAX($E482,DATE(cfg_FY,3,1))+1))</f>
        <v>0</v>
      </c>
      <c r="AW482" s="65" t="n">
        <f aca="false">IF(OR(OR($B482="",$E482="",$F482=""),$K482&lt;&gt;"نعم",$M482="نعم"),0,MAX(0,MIN($F482,EOMONTH(DATE(cfg_FY,4,1),0))-MAX($E482,DATE(cfg_FY,4,1))+1))</f>
        <v>0</v>
      </c>
      <c r="AX482" s="65" t="n">
        <f aca="false">IF(OR(OR($B482="",$E482="",$F482=""),$K482&lt;&gt;"نعم",$M482="نعم"),0,MAX(0,MIN($F482,EOMONTH(DATE(cfg_FY,5,1),0))-MAX($E482,DATE(cfg_FY,5,1))+1))</f>
        <v>0</v>
      </c>
      <c r="AY482" s="65" t="n">
        <f aca="false">IF(OR(OR($B482="",$E482="",$F482=""),$K482&lt;&gt;"نعم",$M482="نعم"),0,MAX(0,MIN($F482,EOMONTH(DATE(cfg_FY,6,1),0))-MAX($E482,DATE(cfg_FY,6,1))+1))</f>
        <v>0</v>
      </c>
      <c r="AZ482" s="65" t="n">
        <f aca="false">IF(OR(OR($B482="",$E482="",$F482=""),$K482&lt;&gt;"نعم",$M482="نعم"),0,MAX(0,MIN($F482,EOMONTH(DATE(cfg_FY,7,1),0))-MAX($E482,DATE(cfg_FY,7,1))+1))</f>
        <v>0</v>
      </c>
      <c r="BA482" s="65" t="n">
        <f aca="false">IF(OR(OR($B482="",$E482="",$F482=""),$K482&lt;&gt;"نعم",$M482="نعم"),0,MAX(0,MIN($F482,EOMONTH(DATE(cfg_FY,8,1),0))-MAX($E482,DATE(cfg_FY,8,1))+1))</f>
        <v>0</v>
      </c>
      <c r="BB482" s="65" t="n">
        <f aca="false">IF(OR(OR($B482="",$E482="",$F482=""),$K482&lt;&gt;"نعم",$M482="نعم"),0,MAX(0,MIN($F482,EOMONTH(DATE(cfg_FY,9,1),0))-MAX($E482,DATE(cfg_FY,9,1))+1))</f>
        <v>0</v>
      </c>
      <c r="BC482" s="65" t="n">
        <f aca="false">IF(OR(OR($B482="",$E482="",$F482=""),$K482&lt;&gt;"نعم",$M482="نعم"),0,MAX(0,MIN($F482,EOMONTH(DATE(cfg_FY,10,1),0))-MAX($E482,DATE(cfg_FY,10,1))+1))</f>
        <v>0</v>
      </c>
      <c r="BD482" s="65" t="n">
        <f aca="false">IF(OR(OR($B482="",$E482="",$F482=""),$K482&lt;&gt;"نعم",$M482="نعم"),0,MAX(0,MIN($F482,EOMONTH(DATE(cfg_FY,11,1),0))-MAX($E482,DATE(cfg_FY,11,1))+1))</f>
        <v>0</v>
      </c>
      <c r="BE482" s="65" t="n">
        <f aca="false">IF(OR(OR($B482="",$E482="",$F482=""),$K482&lt;&gt;"نعم",$M482="نعم"),0,MAX(0,MIN($F482,EOMONTH(DATE(cfg_FY,12,1),0))-MAX($E482,DATE(cfg_FY,12,1))+1))</f>
        <v>0</v>
      </c>
    </row>
    <row r="483" customFormat="false" ht="15" hidden="false" customHeight="false" outlineLevel="0" collapsed="false">
      <c r="A483" s="115" t="str">
        <f aca="false">IF(B483="","",ROW()-5)</f>
        <v/>
      </c>
      <c r="B483" s="118"/>
      <c r="C483" s="117" t="str">
        <f aca="false">IF(B483="","",IFERROR(INDEX(الموظفون!$C$6:$C$105,MATCH(B483,الموظفون!$B$6:$B$105,0)),"✖ رقم غير موجود"))</f>
        <v/>
      </c>
      <c r="D483" s="118"/>
      <c r="E483" s="119"/>
      <c r="F483" s="119"/>
      <c r="G483" s="133" t="str">
        <f aca="false">IF(OR($B483="",$E483="",$F483=""),"",MAX(0,F483-E483+1))</f>
        <v/>
      </c>
      <c r="H483" s="134" t="str">
        <f aca="false">IF(D483="","",IFERROR(VLOOKUP(D483,cfg_LT,2,FALSE()),1))</f>
        <v/>
      </c>
      <c r="I483" s="135"/>
      <c r="J483" s="134" t="str">
        <f aca="false">IF(D483="","",IF(I483&lt;&gt;"",I483,H483))</f>
        <v/>
      </c>
      <c r="K483" s="117" t="str">
        <f aca="false">IF(D483="","",IFERROR(VLOOKUP($D483,cfg_LT,3,FALSE()),""))</f>
        <v/>
      </c>
      <c r="L483" s="117" t="str">
        <f aca="false">IF(D483="","",IFERROR(VLOOKUP($D483,cfg_LT,4,FALSE()),""))</f>
        <v/>
      </c>
      <c r="M483" s="117" t="str">
        <f aca="false">IF(D483="","",IFERROR(VLOOKUP($D483,cfg_LT,5,FALSE()),""))</f>
        <v/>
      </c>
      <c r="N483" s="116" t="n">
        <f aca="false">IF(OR(OR($B483="",$E483="",$F483=""),M483&lt;&gt;"نعم"),0,G483*J483*IFERROR(INDEX(الموظفون!$R$6:$R$105,MATCH(B483,الموظفون!$B$6:$B$105,0)),0)/cfg_DAYS_M)</f>
        <v>0</v>
      </c>
      <c r="O483" s="115" t="str">
        <f aca="false">IF(OR(OR($B483="",$E483="",$F483=""),M483&lt;&gt;"نعم"),"",IF(YEAR(E483)=cfg_FY,MONTH(E483),""))</f>
        <v/>
      </c>
      <c r="P483" s="117" t="str">
        <f aca="false">IF(B483="","",IF(OR(D483="",E483="",F483=""),"⚠ أكمل النوع والتواريخ",IF(F483&lt;E483,"✖ النهاية قبل البداية",IF(COUNTIFS($B$6:$B$505,B483,$E$6:$E$505,"&lt;="&amp;F483,$F$6:$F$505,"&gt;="&amp;E483)&gt;1,"⚠ تداخل مع سجل آخر",IF(E483&gt;cfg_VAL_DATE,"⏳ قادمة",IF(F483&lt;cfg_VAL_DATE,"✔ منتهية","✈ جارية في تاريخ التقرير"))))))</f>
        <v/>
      </c>
      <c r="Q483" s="118"/>
      <c r="R483" s="133" t="n">
        <f aca="false">IF(OR(OR($B483="",$E483="",$F483=""),L483&lt;&gt;"لا"),0,MAX(0,MIN(F483,cfg_Y_START-1)-E483+1))</f>
        <v>0</v>
      </c>
      <c r="S483" s="133" t="n">
        <f aca="false">IF(OR(OR($B483="",$E483="",$F483=""),L483&lt;&gt;"لا"),0,MAX(0,MIN(F483,cfg_VAL_DATE)-E483+1))</f>
        <v>0</v>
      </c>
      <c r="T483" s="133" t="n">
        <f aca="false">IF(OR(OR($B483="",$E483="",$F483=""),K483&lt;&gt;"نعم"),0,IF(M483="نعم",IF(AND(ISNUMBER(O483),N(O483)&lt;=cfg_VAL_M),G483,0),MAX(0,MIN(F483,cfg_VAL_DATE)-MAX(E483,cfg_Y_START)+1)))</f>
        <v>0</v>
      </c>
      <c r="V483" s="133" t="n">
        <f aca="false">IF(OR($B483="",$E483="",$F483=""),0,MAX(0,MIN($F483,EOMONTH(DATE(cfg_FY,1,1),0))-MAX($E483,DATE(cfg_FY,1,1))+1)*(1-IF($M483="نعم",0,N($J483))))</f>
        <v>0</v>
      </c>
      <c r="W483" s="133" t="n">
        <f aca="false">IF(OR($B483="",$E483="",$F483=""),0,MAX(0,MIN($F483,EOMONTH(DATE(cfg_FY,2,1),0))-MAX($E483,DATE(cfg_FY,2,1))+1)*(1-IF($M483="نعم",0,N($J483))))</f>
        <v>0</v>
      </c>
      <c r="X483" s="133" t="n">
        <f aca="false">IF(OR($B483="",$E483="",$F483=""),0,MAX(0,MIN($F483,EOMONTH(DATE(cfg_FY,3,1),0))-MAX($E483,DATE(cfg_FY,3,1))+1)*(1-IF($M483="نعم",0,N($J483))))</f>
        <v>0</v>
      </c>
      <c r="Y483" s="133" t="n">
        <f aca="false">IF(OR($B483="",$E483="",$F483=""),0,MAX(0,MIN($F483,EOMONTH(DATE(cfg_FY,4,1),0))-MAX($E483,DATE(cfg_FY,4,1))+1)*(1-IF($M483="نعم",0,N($J483))))</f>
        <v>0</v>
      </c>
      <c r="Z483" s="133" t="n">
        <f aca="false">IF(OR($B483="",$E483="",$F483=""),0,MAX(0,MIN($F483,EOMONTH(DATE(cfg_FY,5,1),0))-MAX($E483,DATE(cfg_FY,5,1))+1)*(1-IF($M483="نعم",0,N($J483))))</f>
        <v>0</v>
      </c>
      <c r="AA483" s="133" t="n">
        <f aca="false">IF(OR($B483="",$E483="",$F483=""),0,MAX(0,MIN($F483,EOMONTH(DATE(cfg_FY,6,1),0))-MAX($E483,DATE(cfg_FY,6,1))+1)*(1-IF($M483="نعم",0,N($J483))))</f>
        <v>0</v>
      </c>
      <c r="AB483" s="133" t="n">
        <f aca="false">IF(OR($B483="",$E483="",$F483=""),0,MAX(0,MIN($F483,EOMONTH(DATE(cfg_FY,7,1),0))-MAX($E483,DATE(cfg_FY,7,1))+1)*(1-IF($M483="نعم",0,N($J483))))</f>
        <v>0</v>
      </c>
      <c r="AC483" s="133" t="n">
        <f aca="false">IF(OR($B483="",$E483="",$F483=""),0,MAX(0,MIN($F483,EOMONTH(DATE(cfg_FY,8,1),0))-MAX($E483,DATE(cfg_FY,8,1))+1)*(1-IF($M483="نعم",0,N($J483))))</f>
        <v>0</v>
      </c>
      <c r="AD483" s="133" t="n">
        <f aca="false">IF(OR($B483="",$E483="",$F483=""),0,MAX(0,MIN($F483,EOMONTH(DATE(cfg_FY,9,1),0))-MAX($E483,DATE(cfg_FY,9,1))+1)*(1-IF($M483="نعم",0,N($J483))))</f>
        <v>0</v>
      </c>
      <c r="AE483" s="133" t="n">
        <f aca="false">IF(OR($B483="",$E483="",$F483=""),0,MAX(0,MIN($F483,EOMONTH(DATE(cfg_FY,10,1),0))-MAX($E483,DATE(cfg_FY,10,1))+1)*(1-IF($M483="نعم",0,N($J483))))</f>
        <v>0</v>
      </c>
      <c r="AF483" s="133" t="n">
        <f aca="false">IF(OR($B483="",$E483="",$F483=""),0,MAX(0,MIN($F483,EOMONTH(DATE(cfg_FY,11,1),0))-MAX($E483,DATE(cfg_FY,11,1))+1)*(1-IF($M483="نعم",0,N($J483))))</f>
        <v>0</v>
      </c>
      <c r="AG483" s="133" t="n">
        <f aca="false">IF(OR($B483="",$E483="",$F483=""),0,MAX(0,MIN($F483,EOMONTH(DATE(cfg_FY,12,1),0))-MAX($E483,DATE(cfg_FY,12,1))+1)*(1-IF($M483="نعم",0,N($J483))))</f>
        <v>0</v>
      </c>
      <c r="AH483" s="133" t="n">
        <f aca="false">IF(OR(OR($B483="",$E483="",$F483=""),$L483&lt;&gt;"لا"),0,MAX(0,MIN($F483,EOMONTH(DATE(cfg_FY,1,1),0))-$E483+1))</f>
        <v>0</v>
      </c>
      <c r="AI483" s="133" t="n">
        <f aca="false">IF(OR(OR($B483="",$E483="",$F483=""),$L483&lt;&gt;"لا"),0,MAX(0,MIN($F483,EOMONTH(DATE(cfg_FY,2,1),0))-$E483+1))</f>
        <v>0</v>
      </c>
      <c r="AJ483" s="133" t="n">
        <f aca="false">IF(OR(OR($B483="",$E483="",$F483=""),$L483&lt;&gt;"لا"),0,MAX(0,MIN($F483,EOMONTH(DATE(cfg_FY,3,1),0))-$E483+1))</f>
        <v>0</v>
      </c>
      <c r="AK483" s="133" t="n">
        <f aca="false">IF(OR(OR($B483="",$E483="",$F483=""),$L483&lt;&gt;"لا"),0,MAX(0,MIN($F483,EOMONTH(DATE(cfg_FY,4,1),0))-$E483+1))</f>
        <v>0</v>
      </c>
      <c r="AL483" s="133" t="n">
        <f aca="false">IF(OR(OR($B483="",$E483="",$F483=""),$L483&lt;&gt;"لا"),0,MAX(0,MIN($F483,EOMONTH(DATE(cfg_FY,5,1),0))-$E483+1))</f>
        <v>0</v>
      </c>
      <c r="AM483" s="133" t="n">
        <f aca="false">IF(OR(OR($B483="",$E483="",$F483=""),$L483&lt;&gt;"لا"),0,MAX(0,MIN($F483,EOMONTH(DATE(cfg_FY,6,1),0))-$E483+1))</f>
        <v>0</v>
      </c>
      <c r="AN483" s="133" t="n">
        <f aca="false">IF(OR(OR($B483="",$E483="",$F483=""),$L483&lt;&gt;"لا"),0,MAX(0,MIN($F483,EOMONTH(DATE(cfg_FY,7,1),0))-$E483+1))</f>
        <v>0</v>
      </c>
      <c r="AO483" s="133" t="n">
        <f aca="false">IF(OR(OR($B483="",$E483="",$F483=""),$L483&lt;&gt;"لا"),0,MAX(0,MIN($F483,EOMONTH(DATE(cfg_FY,8,1),0))-$E483+1))</f>
        <v>0</v>
      </c>
      <c r="AP483" s="133" t="n">
        <f aca="false">IF(OR(OR($B483="",$E483="",$F483=""),$L483&lt;&gt;"لا"),0,MAX(0,MIN($F483,EOMONTH(DATE(cfg_FY,9,1),0))-$E483+1))</f>
        <v>0</v>
      </c>
      <c r="AQ483" s="133" t="n">
        <f aca="false">IF(OR(OR($B483="",$E483="",$F483=""),$L483&lt;&gt;"لا"),0,MAX(0,MIN($F483,EOMONTH(DATE(cfg_FY,10,1),0))-$E483+1))</f>
        <v>0</v>
      </c>
      <c r="AR483" s="133" t="n">
        <f aca="false">IF(OR(OR($B483="",$E483="",$F483=""),$L483&lt;&gt;"لا"),0,MAX(0,MIN($F483,EOMONTH(DATE(cfg_FY,11,1),0))-$E483+1))</f>
        <v>0</v>
      </c>
      <c r="AS483" s="133" t="n">
        <f aca="false">IF(OR(OR($B483="",$E483="",$F483=""),$L483&lt;&gt;"لا"),0,MAX(0,MIN($F483,EOMONTH(DATE(cfg_FY,12,1),0))-$E483+1))</f>
        <v>0</v>
      </c>
      <c r="AT483" s="133" t="n">
        <f aca="false">IF(OR(OR($B483="",$E483="",$F483=""),$K483&lt;&gt;"نعم",$M483="نعم"),0,MAX(0,MIN($F483,EOMONTH(DATE(cfg_FY,1,1),0))-MAX($E483,DATE(cfg_FY,1,1))+1))</f>
        <v>0</v>
      </c>
      <c r="AU483" s="133" t="n">
        <f aca="false">IF(OR(OR($B483="",$E483="",$F483=""),$K483&lt;&gt;"نعم",$M483="نعم"),0,MAX(0,MIN($F483,EOMONTH(DATE(cfg_FY,2,1),0))-MAX($E483,DATE(cfg_FY,2,1))+1))</f>
        <v>0</v>
      </c>
      <c r="AV483" s="133" t="n">
        <f aca="false">IF(OR(OR($B483="",$E483="",$F483=""),$K483&lt;&gt;"نعم",$M483="نعم"),0,MAX(0,MIN($F483,EOMONTH(DATE(cfg_FY,3,1),0))-MAX($E483,DATE(cfg_FY,3,1))+1))</f>
        <v>0</v>
      </c>
      <c r="AW483" s="133" t="n">
        <f aca="false">IF(OR(OR($B483="",$E483="",$F483=""),$K483&lt;&gt;"نعم",$M483="نعم"),0,MAX(0,MIN($F483,EOMONTH(DATE(cfg_FY,4,1),0))-MAX($E483,DATE(cfg_FY,4,1))+1))</f>
        <v>0</v>
      </c>
      <c r="AX483" s="133" t="n">
        <f aca="false">IF(OR(OR($B483="",$E483="",$F483=""),$K483&lt;&gt;"نعم",$M483="نعم"),0,MAX(0,MIN($F483,EOMONTH(DATE(cfg_FY,5,1),0))-MAX($E483,DATE(cfg_FY,5,1))+1))</f>
        <v>0</v>
      </c>
      <c r="AY483" s="133" t="n">
        <f aca="false">IF(OR(OR($B483="",$E483="",$F483=""),$K483&lt;&gt;"نعم",$M483="نعم"),0,MAX(0,MIN($F483,EOMONTH(DATE(cfg_FY,6,1),0))-MAX($E483,DATE(cfg_FY,6,1))+1))</f>
        <v>0</v>
      </c>
      <c r="AZ483" s="133" t="n">
        <f aca="false">IF(OR(OR($B483="",$E483="",$F483=""),$K483&lt;&gt;"نعم",$M483="نعم"),0,MAX(0,MIN($F483,EOMONTH(DATE(cfg_FY,7,1),0))-MAX($E483,DATE(cfg_FY,7,1))+1))</f>
        <v>0</v>
      </c>
      <c r="BA483" s="133" t="n">
        <f aca="false">IF(OR(OR($B483="",$E483="",$F483=""),$K483&lt;&gt;"نعم",$M483="نعم"),0,MAX(0,MIN($F483,EOMONTH(DATE(cfg_FY,8,1),0))-MAX($E483,DATE(cfg_FY,8,1))+1))</f>
        <v>0</v>
      </c>
      <c r="BB483" s="133" t="n">
        <f aca="false">IF(OR(OR($B483="",$E483="",$F483=""),$K483&lt;&gt;"نعم",$M483="نعم"),0,MAX(0,MIN($F483,EOMONTH(DATE(cfg_FY,9,1),0))-MAX($E483,DATE(cfg_FY,9,1))+1))</f>
        <v>0</v>
      </c>
      <c r="BC483" s="133" t="n">
        <f aca="false">IF(OR(OR($B483="",$E483="",$F483=""),$K483&lt;&gt;"نعم",$M483="نعم"),0,MAX(0,MIN($F483,EOMONTH(DATE(cfg_FY,10,1),0))-MAX($E483,DATE(cfg_FY,10,1))+1))</f>
        <v>0</v>
      </c>
      <c r="BD483" s="133" t="n">
        <f aca="false">IF(OR(OR($B483="",$E483="",$F483=""),$K483&lt;&gt;"نعم",$M483="نعم"),0,MAX(0,MIN($F483,EOMONTH(DATE(cfg_FY,11,1),0))-MAX($E483,DATE(cfg_FY,11,1))+1))</f>
        <v>0</v>
      </c>
      <c r="BE483" s="133" t="n">
        <f aca="false">IF(OR(OR($B483="",$E483="",$F483=""),$K483&lt;&gt;"نعم",$M483="نعم"),0,MAX(0,MIN($F483,EOMONTH(DATE(cfg_FY,12,1),0))-MAX($E483,DATE(cfg_FY,12,1))+1))</f>
        <v>0</v>
      </c>
    </row>
    <row r="484" customFormat="false" ht="15" hidden="false" customHeight="false" outlineLevel="0" collapsed="false">
      <c r="A484" s="106" t="str">
        <f aca="false">IF(B484="","",ROW()-5)</f>
        <v/>
      </c>
      <c r="B484" s="118"/>
      <c r="C484" s="114" t="str">
        <f aca="false">IF(B484="","",IFERROR(INDEX(الموظفون!$C$6:$C$105,MATCH(B484,الموظفون!$B$6:$B$105,0)),"✖ رقم غير موجود"))</f>
        <v/>
      </c>
      <c r="D484" s="118"/>
      <c r="E484" s="119"/>
      <c r="F484" s="119"/>
      <c r="G484" s="65" t="str">
        <f aca="false">IF(OR($B484="",$E484="",$F484=""),"",MAX(0,F484-E484+1))</f>
        <v/>
      </c>
      <c r="H484" s="66" t="str">
        <f aca="false">IF(D484="","",IFERROR(VLOOKUP(D484,cfg_LT,2,FALSE()),1))</f>
        <v/>
      </c>
      <c r="I484" s="135"/>
      <c r="J484" s="66" t="str">
        <f aca="false">IF(D484="","",IF(I484&lt;&gt;"",I484,H484))</f>
        <v/>
      </c>
      <c r="K484" s="114" t="str">
        <f aca="false">IF(D484="","",IFERROR(VLOOKUP($D484,cfg_LT,3,FALSE()),""))</f>
        <v/>
      </c>
      <c r="L484" s="114" t="str">
        <f aca="false">IF(D484="","",IFERROR(VLOOKUP($D484,cfg_LT,4,FALSE()),""))</f>
        <v/>
      </c>
      <c r="M484" s="114" t="str">
        <f aca="false">IF(D484="","",IFERROR(VLOOKUP($D484,cfg_LT,5,FALSE()),""))</f>
        <v/>
      </c>
      <c r="N484" s="111" t="n">
        <f aca="false">IF(OR(OR($B484="",$E484="",$F484=""),M484&lt;&gt;"نعم"),0,G484*J484*IFERROR(INDEX(الموظفون!$R$6:$R$105,MATCH(B484,الموظفون!$B$6:$B$105,0)),0)/cfg_DAYS_M)</f>
        <v>0</v>
      </c>
      <c r="O484" s="106" t="str">
        <f aca="false">IF(OR(OR($B484="",$E484="",$F484=""),M484&lt;&gt;"نعم"),"",IF(YEAR(E484)=cfg_FY,MONTH(E484),""))</f>
        <v/>
      </c>
      <c r="P484" s="114" t="str">
        <f aca="false">IF(B484="","",IF(OR(D484="",E484="",F484=""),"⚠ أكمل النوع والتواريخ",IF(F484&lt;E484,"✖ النهاية قبل البداية",IF(COUNTIFS($B$6:$B$505,B484,$E$6:$E$505,"&lt;="&amp;F484,$F$6:$F$505,"&gt;="&amp;E484)&gt;1,"⚠ تداخل مع سجل آخر",IF(E484&gt;cfg_VAL_DATE,"⏳ قادمة",IF(F484&lt;cfg_VAL_DATE,"✔ منتهية","✈ جارية في تاريخ التقرير"))))))</f>
        <v/>
      </c>
      <c r="Q484" s="118"/>
      <c r="R484" s="65" t="n">
        <f aca="false">IF(OR(OR($B484="",$E484="",$F484=""),L484&lt;&gt;"لا"),0,MAX(0,MIN(F484,cfg_Y_START-1)-E484+1))</f>
        <v>0</v>
      </c>
      <c r="S484" s="65" t="n">
        <f aca="false">IF(OR(OR($B484="",$E484="",$F484=""),L484&lt;&gt;"لا"),0,MAX(0,MIN(F484,cfg_VAL_DATE)-E484+1))</f>
        <v>0</v>
      </c>
      <c r="T484" s="65" t="n">
        <f aca="false">IF(OR(OR($B484="",$E484="",$F484=""),K484&lt;&gt;"نعم"),0,IF(M484="نعم",IF(AND(ISNUMBER(O484),N(O484)&lt;=cfg_VAL_M),G484,0),MAX(0,MIN(F484,cfg_VAL_DATE)-MAX(E484,cfg_Y_START)+1)))</f>
        <v>0</v>
      </c>
      <c r="V484" s="65" t="n">
        <f aca="false">IF(OR($B484="",$E484="",$F484=""),0,MAX(0,MIN($F484,EOMONTH(DATE(cfg_FY,1,1),0))-MAX($E484,DATE(cfg_FY,1,1))+1)*(1-IF($M484="نعم",0,N($J484))))</f>
        <v>0</v>
      </c>
      <c r="W484" s="65" t="n">
        <f aca="false">IF(OR($B484="",$E484="",$F484=""),0,MAX(0,MIN($F484,EOMONTH(DATE(cfg_FY,2,1),0))-MAX($E484,DATE(cfg_FY,2,1))+1)*(1-IF($M484="نعم",0,N($J484))))</f>
        <v>0</v>
      </c>
      <c r="X484" s="65" t="n">
        <f aca="false">IF(OR($B484="",$E484="",$F484=""),0,MAX(0,MIN($F484,EOMONTH(DATE(cfg_FY,3,1),0))-MAX($E484,DATE(cfg_FY,3,1))+1)*(1-IF($M484="نعم",0,N($J484))))</f>
        <v>0</v>
      </c>
      <c r="Y484" s="65" t="n">
        <f aca="false">IF(OR($B484="",$E484="",$F484=""),0,MAX(0,MIN($F484,EOMONTH(DATE(cfg_FY,4,1),0))-MAX($E484,DATE(cfg_FY,4,1))+1)*(1-IF($M484="نعم",0,N($J484))))</f>
        <v>0</v>
      </c>
      <c r="Z484" s="65" t="n">
        <f aca="false">IF(OR($B484="",$E484="",$F484=""),0,MAX(0,MIN($F484,EOMONTH(DATE(cfg_FY,5,1),0))-MAX($E484,DATE(cfg_FY,5,1))+1)*(1-IF($M484="نعم",0,N($J484))))</f>
        <v>0</v>
      </c>
      <c r="AA484" s="65" t="n">
        <f aca="false">IF(OR($B484="",$E484="",$F484=""),0,MAX(0,MIN($F484,EOMONTH(DATE(cfg_FY,6,1),0))-MAX($E484,DATE(cfg_FY,6,1))+1)*(1-IF($M484="نعم",0,N($J484))))</f>
        <v>0</v>
      </c>
      <c r="AB484" s="65" t="n">
        <f aca="false">IF(OR($B484="",$E484="",$F484=""),0,MAX(0,MIN($F484,EOMONTH(DATE(cfg_FY,7,1),0))-MAX($E484,DATE(cfg_FY,7,1))+1)*(1-IF($M484="نعم",0,N($J484))))</f>
        <v>0</v>
      </c>
      <c r="AC484" s="65" t="n">
        <f aca="false">IF(OR($B484="",$E484="",$F484=""),0,MAX(0,MIN($F484,EOMONTH(DATE(cfg_FY,8,1),0))-MAX($E484,DATE(cfg_FY,8,1))+1)*(1-IF($M484="نعم",0,N($J484))))</f>
        <v>0</v>
      </c>
      <c r="AD484" s="65" t="n">
        <f aca="false">IF(OR($B484="",$E484="",$F484=""),0,MAX(0,MIN($F484,EOMONTH(DATE(cfg_FY,9,1),0))-MAX($E484,DATE(cfg_FY,9,1))+1)*(1-IF($M484="نعم",0,N($J484))))</f>
        <v>0</v>
      </c>
      <c r="AE484" s="65" t="n">
        <f aca="false">IF(OR($B484="",$E484="",$F484=""),0,MAX(0,MIN($F484,EOMONTH(DATE(cfg_FY,10,1),0))-MAX($E484,DATE(cfg_FY,10,1))+1)*(1-IF($M484="نعم",0,N($J484))))</f>
        <v>0</v>
      </c>
      <c r="AF484" s="65" t="n">
        <f aca="false">IF(OR($B484="",$E484="",$F484=""),0,MAX(0,MIN($F484,EOMONTH(DATE(cfg_FY,11,1),0))-MAX($E484,DATE(cfg_FY,11,1))+1)*(1-IF($M484="نعم",0,N($J484))))</f>
        <v>0</v>
      </c>
      <c r="AG484" s="65" t="n">
        <f aca="false">IF(OR($B484="",$E484="",$F484=""),0,MAX(0,MIN($F484,EOMONTH(DATE(cfg_FY,12,1),0))-MAX($E484,DATE(cfg_FY,12,1))+1)*(1-IF($M484="نعم",0,N($J484))))</f>
        <v>0</v>
      </c>
      <c r="AH484" s="65" t="n">
        <f aca="false">IF(OR(OR($B484="",$E484="",$F484=""),$L484&lt;&gt;"لا"),0,MAX(0,MIN($F484,EOMONTH(DATE(cfg_FY,1,1),0))-$E484+1))</f>
        <v>0</v>
      </c>
      <c r="AI484" s="65" t="n">
        <f aca="false">IF(OR(OR($B484="",$E484="",$F484=""),$L484&lt;&gt;"لا"),0,MAX(0,MIN($F484,EOMONTH(DATE(cfg_FY,2,1),0))-$E484+1))</f>
        <v>0</v>
      </c>
      <c r="AJ484" s="65" t="n">
        <f aca="false">IF(OR(OR($B484="",$E484="",$F484=""),$L484&lt;&gt;"لا"),0,MAX(0,MIN($F484,EOMONTH(DATE(cfg_FY,3,1),0))-$E484+1))</f>
        <v>0</v>
      </c>
      <c r="AK484" s="65" t="n">
        <f aca="false">IF(OR(OR($B484="",$E484="",$F484=""),$L484&lt;&gt;"لا"),0,MAX(0,MIN($F484,EOMONTH(DATE(cfg_FY,4,1),0))-$E484+1))</f>
        <v>0</v>
      </c>
      <c r="AL484" s="65" t="n">
        <f aca="false">IF(OR(OR($B484="",$E484="",$F484=""),$L484&lt;&gt;"لا"),0,MAX(0,MIN($F484,EOMONTH(DATE(cfg_FY,5,1),0))-$E484+1))</f>
        <v>0</v>
      </c>
      <c r="AM484" s="65" t="n">
        <f aca="false">IF(OR(OR($B484="",$E484="",$F484=""),$L484&lt;&gt;"لا"),0,MAX(0,MIN($F484,EOMONTH(DATE(cfg_FY,6,1),0))-$E484+1))</f>
        <v>0</v>
      </c>
      <c r="AN484" s="65" t="n">
        <f aca="false">IF(OR(OR($B484="",$E484="",$F484=""),$L484&lt;&gt;"لا"),0,MAX(0,MIN($F484,EOMONTH(DATE(cfg_FY,7,1),0))-$E484+1))</f>
        <v>0</v>
      </c>
      <c r="AO484" s="65" t="n">
        <f aca="false">IF(OR(OR($B484="",$E484="",$F484=""),$L484&lt;&gt;"لا"),0,MAX(0,MIN($F484,EOMONTH(DATE(cfg_FY,8,1),0))-$E484+1))</f>
        <v>0</v>
      </c>
      <c r="AP484" s="65" t="n">
        <f aca="false">IF(OR(OR($B484="",$E484="",$F484=""),$L484&lt;&gt;"لا"),0,MAX(0,MIN($F484,EOMONTH(DATE(cfg_FY,9,1),0))-$E484+1))</f>
        <v>0</v>
      </c>
      <c r="AQ484" s="65" t="n">
        <f aca="false">IF(OR(OR($B484="",$E484="",$F484=""),$L484&lt;&gt;"لا"),0,MAX(0,MIN($F484,EOMONTH(DATE(cfg_FY,10,1),0))-$E484+1))</f>
        <v>0</v>
      </c>
      <c r="AR484" s="65" t="n">
        <f aca="false">IF(OR(OR($B484="",$E484="",$F484=""),$L484&lt;&gt;"لا"),0,MAX(0,MIN($F484,EOMONTH(DATE(cfg_FY,11,1),0))-$E484+1))</f>
        <v>0</v>
      </c>
      <c r="AS484" s="65" t="n">
        <f aca="false">IF(OR(OR($B484="",$E484="",$F484=""),$L484&lt;&gt;"لا"),0,MAX(0,MIN($F484,EOMONTH(DATE(cfg_FY,12,1),0))-$E484+1))</f>
        <v>0</v>
      </c>
      <c r="AT484" s="65" t="n">
        <f aca="false">IF(OR(OR($B484="",$E484="",$F484=""),$K484&lt;&gt;"نعم",$M484="نعم"),0,MAX(0,MIN($F484,EOMONTH(DATE(cfg_FY,1,1),0))-MAX($E484,DATE(cfg_FY,1,1))+1))</f>
        <v>0</v>
      </c>
      <c r="AU484" s="65" t="n">
        <f aca="false">IF(OR(OR($B484="",$E484="",$F484=""),$K484&lt;&gt;"نعم",$M484="نعم"),0,MAX(0,MIN($F484,EOMONTH(DATE(cfg_FY,2,1),0))-MAX($E484,DATE(cfg_FY,2,1))+1))</f>
        <v>0</v>
      </c>
      <c r="AV484" s="65" t="n">
        <f aca="false">IF(OR(OR($B484="",$E484="",$F484=""),$K484&lt;&gt;"نعم",$M484="نعم"),0,MAX(0,MIN($F484,EOMONTH(DATE(cfg_FY,3,1),0))-MAX($E484,DATE(cfg_FY,3,1))+1))</f>
        <v>0</v>
      </c>
      <c r="AW484" s="65" t="n">
        <f aca="false">IF(OR(OR($B484="",$E484="",$F484=""),$K484&lt;&gt;"نعم",$M484="نعم"),0,MAX(0,MIN($F484,EOMONTH(DATE(cfg_FY,4,1),0))-MAX($E484,DATE(cfg_FY,4,1))+1))</f>
        <v>0</v>
      </c>
      <c r="AX484" s="65" t="n">
        <f aca="false">IF(OR(OR($B484="",$E484="",$F484=""),$K484&lt;&gt;"نعم",$M484="نعم"),0,MAX(0,MIN($F484,EOMONTH(DATE(cfg_FY,5,1),0))-MAX($E484,DATE(cfg_FY,5,1))+1))</f>
        <v>0</v>
      </c>
      <c r="AY484" s="65" t="n">
        <f aca="false">IF(OR(OR($B484="",$E484="",$F484=""),$K484&lt;&gt;"نعم",$M484="نعم"),0,MAX(0,MIN($F484,EOMONTH(DATE(cfg_FY,6,1),0))-MAX($E484,DATE(cfg_FY,6,1))+1))</f>
        <v>0</v>
      </c>
      <c r="AZ484" s="65" t="n">
        <f aca="false">IF(OR(OR($B484="",$E484="",$F484=""),$K484&lt;&gt;"نعم",$M484="نعم"),0,MAX(0,MIN($F484,EOMONTH(DATE(cfg_FY,7,1),0))-MAX($E484,DATE(cfg_FY,7,1))+1))</f>
        <v>0</v>
      </c>
      <c r="BA484" s="65" t="n">
        <f aca="false">IF(OR(OR($B484="",$E484="",$F484=""),$K484&lt;&gt;"نعم",$M484="نعم"),0,MAX(0,MIN($F484,EOMONTH(DATE(cfg_FY,8,1),0))-MAX($E484,DATE(cfg_FY,8,1))+1))</f>
        <v>0</v>
      </c>
      <c r="BB484" s="65" t="n">
        <f aca="false">IF(OR(OR($B484="",$E484="",$F484=""),$K484&lt;&gt;"نعم",$M484="نعم"),0,MAX(0,MIN($F484,EOMONTH(DATE(cfg_FY,9,1),0))-MAX($E484,DATE(cfg_FY,9,1))+1))</f>
        <v>0</v>
      </c>
      <c r="BC484" s="65" t="n">
        <f aca="false">IF(OR(OR($B484="",$E484="",$F484=""),$K484&lt;&gt;"نعم",$M484="نعم"),0,MAX(0,MIN($F484,EOMONTH(DATE(cfg_FY,10,1),0))-MAX($E484,DATE(cfg_FY,10,1))+1))</f>
        <v>0</v>
      </c>
      <c r="BD484" s="65" t="n">
        <f aca="false">IF(OR(OR($B484="",$E484="",$F484=""),$K484&lt;&gt;"نعم",$M484="نعم"),0,MAX(0,MIN($F484,EOMONTH(DATE(cfg_FY,11,1),0))-MAX($E484,DATE(cfg_FY,11,1))+1))</f>
        <v>0</v>
      </c>
      <c r="BE484" s="65" t="n">
        <f aca="false">IF(OR(OR($B484="",$E484="",$F484=""),$K484&lt;&gt;"نعم",$M484="نعم"),0,MAX(0,MIN($F484,EOMONTH(DATE(cfg_FY,12,1),0))-MAX($E484,DATE(cfg_FY,12,1))+1))</f>
        <v>0</v>
      </c>
    </row>
    <row r="485" customFormat="false" ht="15" hidden="false" customHeight="false" outlineLevel="0" collapsed="false">
      <c r="A485" s="115" t="str">
        <f aca="false">IF(B485="","",ROW()-5)</f>
        <v/>
      </c>
      <c r="B485" s="118"/>
      <c r="C485" s="117" t="str">
        <f aca="false">IF(B485="","",IFERROR(INDEX(الموظفون!$C$6:$C$105,MATCH(B485,الموظفون!$B$6:$B$105,0)),"✖ رقم غير موجود"))</f>
        <v/>
      </c>
      <c r="D485" s="118"/>
      <c r="E485" s="119"/>
      <c r="F485" s="119"/>
      <c r="G485" s="133" t="str">
        <f aca="false">IF(OR($B485="",$E485="",$F485=""),"",MAX(0,F485-E485+1))</f>
        <v/>
      </c>
      <c r="H485" s="134" t="str">
        <f aca="false">IF(D485="","",IFERROR(VLOOKUP(D485,cfg_LT,2,FALSE()),1))</f>
        <v/>
      </c>
      <c r="I485" s="135"/>
      <c r="J485" s="134" t="str">
        <f aca="false">IF(D485="","",IF(I485&lt;&gt;"",I485,H485))</f>
        <v/>
      </c>
      <c r="K485" s="117" t="str">
        <f aca="false">IF(D485="","",IFERROR(VLOOKUP($D485,cfg_LT,3,FALSE()),""))</f>
        <v/>
      </c>
      <c r="L485" s="117" t="str">
        <f aca="false">IF(D485="","",IFERROR(VLOOKUP($D485,cfg_LT,4,FALSE()),""))</f>
        <v/>
      </c>
      <c r="M485" s="117" t="str">
        <f aca="false">IF(D485="","",IFERROR(VLOOKUP($D485,cfg_LT,5,FALSE()),""))</f>
        <v/>
      </c>
      <c r="N485" s="116" t="n">
        <f aca="false">IF(OR(OR($B485="",$E485="",$F485=""),M485&lt;&gt;"نعم"),0,G485*J485*IFERROR(INDEX(الموظفون!$R$6:$R$105,MATCH(B485,الموظفون!$B$6:$B$105,0)),0)/cfg_DAYS_M)</f>
        <v>0</v>
      </c>
      <c r="O485" s="115" t="str">
        <f aca="false">IF(OR(OR($B485="",$E485="",$F485=""),M485&lt;&gt;"نعم"),"",IF(YEAR(E485)=cfg_FY,MONTH(E485),""))</f>
        <v/>
      </c>
      <c r="P485" s="117" t="str">
        <f aca="false">IF(B485="","",IF(OR(D485="",E485="",F485=""),"⚠ أكمل النوع والتواريخ",IF(F485&lt;E485,"✖ النهاية قبل البداية",IF(COUNTIFS($B$6:$B$505,B485,$E$6:$E$505,"&lt;="&amp;F485,$F$6:$F$505,"&gt;="&amp;E485)&gt;1,"⚠ تداخل مع سجل آخر",IF(E485&gt;cfg_VAL_DATE,"⏳ قادمة",IF(F485&lt;cfg_VAL_DATE,"✔ منتهية","✈ جارية في تاريخ التقرير"))))))</f>
        <v/>
      </c>
      <c r="Q485" s="118"/>
      <c r="R485" s="133" t="n">
        <f aca="false">IF(OR(OR($B485="",$E485="",$F485=""),L485&lt;&gt;"لا"),0,MAX(0,MIN(F485,cfg_Y_START-1)-E485+1))</f>
        <v>0</v>
      </c>
      <c r="S485" s="133" t="n">
        <f aca="false">IF(OR(OR($B485="",$E485="",$F485=""),L485&lt;&gt;"لا"),0,MAX(0,MIN(F485,cfg_VAL_DATE)-E485+1))</f>
        <v>0</v>
      </c>
      <c r="T485" s="133" t="n">
        <f aca="false">IF(OR(OR($B485="",$E485="",$F485=""),K485&lt;&gt;"نعم"),0,IF(M485="نعم",IF(AND(ISNUMBER(O485),N(O485)&lt;=cfg_VAL_M),G485,0),MAX(0,MIN(F485,cfg_VAL_DATE)-MAX(E485,cfg_Y_START)+1)))</f>
        <v>0</v>
      </c>
      <c r="V485" s="133" t="n">
        <f aca="false">IF(OR($B485="",$E485="",$F485=""),0,MAX(0,MIN($F485,EOMONTH(DATE(cfg_FY,1,1),0))-MAX($E485,DATE(cfg_FY,1,1))+1)*(1-IF($M485="نعم",0,N($J485))))</f>
        <v>0</v>
      </c>
      <c r="W485" s="133" t="n">
        <f aca="false">IF(OR($B485="",$E485="",$F485=""),0,MAX(0,MIN($F485,EOMONTH(DATE(cfg_FY,2,1),0))-MAX($E485,DATE(cfg_FY,2,1))+1)*(1-IF($M485="نعم",0,N($J485))))</f>
        <v>0</v>
      </c>
      <c r="X485" s="133" t="n">
        <f aca="false">IF(OR($B485="",$E485="",$F485=""),0,MAX(0,MIN($F485,EOMONTH(DATE(cfg_FY,3,1),0))-MAX($E485,DATE(cfg_FY,3,1))+1)*(1-IF($M485="نعم",0,N($J485))))</f>
        <v>0</v>
      </c>
      <c r="Y485" s="133" t="n">
        <f aca="false">IF(OR($B485="",$E485="",$F485=""),0,MAX(0,MIN($F485,EOMONTH(DATE(cfg_FY,4,1),0))-MAX($E485,DATE(cfg_FY,4,1))+1)*(1-IF($M485="نعم",0,N($J485))))</f>
        <v>0</v>
      </c>
      <c r="Z485" s="133" t="n">
        <f aca="false">IF(OR($B485="",$E485="",$F485=""),0,MAX(0,MIN($F485,EOMONTH(DATE(cfg_FY,5,1),0))-MAX($E485,DATE(cfg_FY,5,1))+1)*(1-IF($M485="نعم",0,N($J485))))</f>
        <v>0</v>
      </c>
      <c r="AA485" s="133" t="n">
        <f aca="false">IF(OR($B485="",$E485="",$F485=""),0,MAX(0,MIN($F485,EOMONTH(DATE(cfg_FY,6,1),0))-MAX($E485,DATE(cfg_FY,6,1))+1)*(1-IF($M485="نعم",0,N($J485))))</f>
        <v>0</v>
      </c>
      <c r="AB485" s="133" t="n">
        <f aca="false">IF(OR($B485="",$E485="",$F485=""),0,MAX(0,MIN($F485,EOMONTH(DATE(cfg_FY,7,1),0))-MAX($E485,DATE(cfg_FY,7,1))+1)*(1-IF($M485="نعم",0,N($J485))))</f>
        <v>0</v>
      </c>
      <c r="AC485" s="133" t="n">
        <f aca="false">IF(OR($B485="",$E485="",$F485=""),0,MAX(0,MIN($F485,EOMONTH(DATE(cfg_FY,8,1),0))-MAX($E485,DATE(cfg_FY,8,1))+1)*(1-IF($M485="نعم",0,N($J485))))</f>
        <v>0</v>
      </c>
      <c r="AD485" s="133" t="n">
        <f aca="false">IF(OR($B485="",$E485="",$F485=""),0,MAX(0,MIN($F485,EOMONTH(DATE(cfg_FY,9,1),0))-MAX($E485,DATE(cfg_FY,9,1))+1)*(1-IF($M485="نعم",0,N($J485))))</f>
        <v>0</v>
      </c>
      <c r="AE485" s="133" t="n">
        <f aca="false">IF(OR($B485="",$E485="",$F485=""),0,MAX(0,MIN($F485,EOMONTH(DATE(cfg_FY,10,1),0))-MAX($E485,DATE(cfg_FY,10,1))+1)*(1-IF($M485="نعم",0,N($J485))))</f>
        <v>0</v>
      </c>
      <c r="AF485" s="133" t="n">
        <f aca="false">IF(OR($B485="",$E485="",$F485=""),0,MAX(0,MIN($F485,EOMONTH(DATE(cfg_FY,11,1),0))-MAX($E485,DATE(cfg_FY,11,1))+1)*(1-IF($M485="نعم",0,N($J485))))</f>
        <v>0</v>
      </c>
      <c r="AG485" s="133" t="n">
        <f aca="false">IF(OR($B485="",$E485="",$F485=""),0,MAX(0,MIN($F485,EOMONTH(DATE(cfg_FY,12,1),0))-MAX($E485,DATE(cfg_FY,12,1))+1)*(1-IF($M485="نعم",0,N($J485))))</f>
        <v>0</v>
      </c>
      <c r="AH485" s="133" t="n">
        <f aca="false">IF(OR(OR($B485="",$E485="",$F485=""),$L485&lt;&gt;"لا"),0,MAX(0,MIN($F485,EOMONTH(DATE(cfg_FY,1,1),0))-$E485+1))</f>
        <v>0</v>
      </c>
      <c r="AI485" s="133" t="n">
        <f aca="false">IF(OR(OR($B485="",$E485="",$F485=""),$L485&lt;&gt;"لا"),0,MAX(0,MIN($F485,EOMONTH(DATE(cfg_FY,2,1),0))-$E485+1))</f>
        <v>0</v>
      </c>
      <c r="AJ485" s="133" t="n">
        <f aca="false">IF(OR(OR($B485="",$E485="",$F485=""),$L485&lt;&gt;"لا"),0,MAX(0,MIN($F485,EOMONTH(DATE(cfg_FY,3,1),0))-$E485+1))</f>
        <v>0</v>
      </c>
      <c r="AK485" s="133" t="n">
        <f aca="false">IF(OR(OR($B485="",$E485="",$F485=""),$L485&lt;&gt;"لا"),0,MAX(0,MIN($F485,EOMONTH(DATE(cfg_FY,4,1),0))-$E485+1))</f>
        <v>0</v>
      </c>
      <c r="AL485" s="133" t="n">
        <f aca="false">IF(OR(OR($B485="",$E485="",$F485=""),$L485&lt;&gt;"لا"),0,MAX(0,MIN($F485,EOMONTH(DATE(cfg_FY,5,1),0))-$E485+1))</f>
        <v>0</v>
      </c>
      <c r="AM485" s="133" t="n">
        <f aca="false">IF(OR(OR($B485="",$E485="",$F485=""),$L485&lt;&gt;"لا"),0,MAX(0,MIN($F485,EOMONTH(DATE(cfg_FY,6,1),0))-$E485+1))</f>
        <v>0</v>
      </c>
      <c r="AN485" s="133" t="n">
        <f aca="false">IF(OR(OR($B485="",$E485="",$F485=""),$L485&lt;&gt;"لا"),0,MAX(0,MIN($F485,EOMONTH(DATE(cfg_FY,7,1),0))-$E485+1))</f>
        <v>0</v>
      </c>
      <c r="AO485" s="133" t="n">
        <f aca="false">IF(OR(OR($B485="",$E485="",$F485=""),$L485&lt;&gt;"لا"),0,MAX(0,MIN($F485,EOMONTH(DATE(cfg_FY,8,1),0))-$E485+1))</f>
        <v>0</v>
      </c>
      <c r="AP485" s="133" t="n">
        <f aca="false">IF(OR(OR($B485="",$E485="",$F485=""),$L485&lt;&gt;"لا"),0,MAX(0,MIN($F485,EOMONTH(DATE(cfg_FY,9,1),0))-$E485+1))</f>
        <v>0</v>
      </c>
      <c r="AQ485" s="133" t="n">
        <f aca="false">IF(OR(OR($B485="",$E485="",$F485=""),$L485&lt;&gt;"لا"),0,MAX(0,MIN($F485,EOMONTH(DATE(cfg_FY,10,1),0))-$E485+1))</f>
        <v>0</v>
      </c>
      <c r="AR485" s="133" t="n">
        <f aca="false">IF(OR(OR($B485="",$E485="",$F485=""),$L485&lt;&gt;"لا"),0,MAX(0,MIN($F485,EOMONTH(DATE(cfg_FY,11,1),0))-$E485+1))</f>
        <v>0</v>
      </c>
      <c r="AS485" s="133" t="n">
        <f aca="false">IF(OR(OR($B485="",$E485="",$F485=""),$L485&lt;&gt;"لا"),0,MAX(0,MIN($F485,EOMONTH(DATE(cfg_FY,12,1),0))-$E485+1))</f>
        <v>0</v>
      </c>
      <c r="AT485" s="133" t="n">
        <f aca="false">IF(OR(OR($B485="",$E485="",$F485=""),$K485&lt;&gt;"نعم",$M485="نعم"),0,MAX(0,MIN($F485,EOMONTH(DATE(cfg_FY,1,1),0))-MAX($E485,DATE(cfg_FY,1,1))+1))</f>
        <v>0</v>
      </c>
      <c r="AU485" s="133" t="n">
        <f aca="false">IF(OR(OR($B485="",$E485="",$F485=""),$K485&lt;&gt;"نعم",$M485="نعم"),0,MAX(0,MIN($F485,EOMONTH(DATE(cfg_FY,2,1),0))-MAX($E485,DATE(cfg_FY,2,1))+1))</f>
        <v>0</v>
      </c>
      <c r="AV485" s="133" t="n">
        <f aca="false">IF(OR(OR($B485="",$E485="",$F485=""),$K485&lt;&gt;"نعم",$M485="نعم"),0,MAX(0,MIN($F485,EOMONTH(DATE(cfg_FY,3,1),0))-MAX($E485,DATE(cfg_FY,3,1))+1))</f>
        <v>0</v>
      </c>
      <c r="AW485" s="133" t="n">
        <f aca="false">IF(OR(OR($B485="",$E485="",$F485=""),$K485&lt;&gt;"نعم",$M485="نعم"),0,MAX(0,MIN($F485,EOMONTH(DATE(cfg_FY,4,1),0))-MAX($E485,DATE(cfg_FY,4,1))+1))</f>
        <v>0</v>
      </c>
      <c r="AX485" s="133" t="n">
        <f aca="false">IF(OR(OR($B485="",$E485="",$F485=""),$K485&lt;&gt;"نعم",$M485="نعم"),0,MAX(0,MIN($F485,EOMONTH(DATE(cfg_FY,5,1),0))-MAX($E485,DATE(cfg_FY,5,1))+1))</f>
        <v>0</v>
      </c>
      <c r="AY485" s="133" t="n">
        <f aca="false">IF(OR(OR($B485="",$E485="",$F485=""),$K485&lt;&gt;"نعم",$M485="نعم"),0,MAX(0,MIN($F485,EOMONTH(DATE(cfg_FY,6,1),0))-MAX($E485,DATE(cfg_FY,6,1))+1))</f>
        <v>0</v>
      </c>
      <c r="AZ485" s="133" t="n">
        <f aca="false">IF(OR(OR($B485="",$E485="",$F485=""),$K485&lt;&gt;"نعم",$M485="نعم"),0,MAX(0,MIN($F485,EOMONTH(DATE(cfg_FY,7,1),0))-MAX($E485,DATE(cfg_FY,7,1))+1))</f>
        <v>0</v>
      </c>
      <c r="BA485" s="133" t="n">
        <f aca="false">IF(OR(OR($B485="",$E485="",$F485=""),$K485&lt;&gt;"نعم",$M485="نعم"),0,MAX(0,MIN($F485,EOMONTH(DATE(cfg_FY,8,1),0))-MAX($E485,DATE(cfg_FY,8,1))+1))</f>
        <v>0</v>
      </c>
      <c r="BB485" s="133" t="n">
        <f aca="false">IF(OR(OR($B485="",$E485="",$F485=""),$K485&lt;&gt;"نعم",$M485="نعم"),0,MAX(0,MIN($F485,EOMONTH(DATE(cfg_FY,9,1),0))-MAX($E485,DATE(cfg_FY,9,1))+1))</f>
        <v>0</v>
      </c>
      <c r="BC485" s="133" t="n">
        <f aca="false">IF(OR(OR($B485="",$E485="",$F485=""),$K485&lt;&gt;"نعم",$M485="نعم"),0,MAX(0,MIN($F485,EOMONTH(DATE(cfg_FY,10,1),0))-MAX($E485,DATE(cfg_FY,10,1))+1))</f>
        <v>0</v>
      </c>
      <c r="BD485" s="133" t="n">
        <f aca="false">IF(OR(OR($B485="",$E485="",$F485=""),$K485&lt;&gt;"نعم",$M485="نعم"),0,MAX(0,MIN($F485,EOMONTH(DATE(cfg_FY,11,1),0))-MAX($E485,DATE(cfg_FY,11,1))+1))</f>
        <v>0</v>
      </c>
      <c r="BE485" s="133" t="n">
        <f aca="false">IF(OR(OR($B485="",$E485="",$F485=""),$K485&lt;&gt;"نعم",$M485="نعم"),0,MAX(0,MIN($F485,EOMONTH(DATE(cfg_FY,12,1),0))-MAX($E485,DATE(cfg_FY,12,1))+1))</f>
        <v>0</v>
      </c>
    </row>
    <row r="486" customFormat="false" ht="15" hidden="false" customHeight="false" outlineLevel="0" collapsed="false">
      <c r="A486" s="106" t="str">
        <f aca="false">IF(B486="","",ROW()-5)</f>
        <v/>
      </c>
      <c r="B486" s="118"/>
      <c r="C486" s="114" t="str">
        <f aca="false">IF(B486="","",IFERROR(INDEX(الموظفون!$C$6:$C$105,MATCH(B486,الموظفون!$B$6:$B$105,0)),"✖ رقم غير موجود"))</f>
        <v/>
      </c>
      <c r="D486" s="118"/>
      <c r="E486" s="119"/>
      <c r="F486" s="119"/>
      <c r="G486" s="65" t="str">
        <f aca="false">IF(OR($B486="",$E486="",$F486=""),"",MAX(0,F486-E486+1))</f>
        <v/>
      </c>
      <c r="H486" s="66" t="str">
        <f aca="false">IF(D486="","",IFERROR(VLOOKUP(D486,cfg_LT,2,FALSE()),1))</f>
        <v/>
      </c>
      <c r="I486" s="135"/>
      <c r="J486" s="66" t="str">
        <f aca="false">IF(D486="","",IF(I486&lt;&gt;"",I486,H486))</f>
        <v/>
      </c>
      <c r="K486" s="114" t="str">
        <f aca="false">IF(D486="","",IFERROR(VLOOKUP($D486,cfg_LT,3,FALSE()),""))</f>
        <v/>
      </c>
      <c r="L486" s="114" t="str">
        <f aca="false">IF(D486="","",IFERROR(VLOOKUP($D486,cfg_LT,4,FALSE()),""))</f>
        <v/>
      </c>
      <c r="M486" s="114" t="str">
        <f aca="false">IF(D486="","",IFERROR(VLOOKUP($D486,cfg_LT,5,FALSE()),""))</f>
        <v/>
      </c>
      <c r="N486" s="111" t="n">
        <f aca="false">IF(OR(OR($B486="",$E486="",$F486=""),M486&lt;&gt;"نعم"),0,G486*J486*IFERROR(INDEX(الموظفون!$R$6:$R$105,MATCH(B486,الموظفون!$B$6:$B$105,0)),0)/cfg_DAYS_M)</f>
        <v>0</v>
      </c>
      <c r="O486" s="106" t="str">
        <f aca="false">IF(OR(OR($B486="",$E486="",$F486=""),M486&lt;&gt;"نعم"),"",IF(YEAR(E486)=cfg_FY,MONTH(E486),""))</f>
        <v/>
      </c>
      <c r="P486" s="114" t="str">
        <f aca="false">IF(B486="","",IF(OR(D486="",E486="",F486=""),"⚠ أكمل النوع والتواريخ",IF(F486&lt;E486,"✖ النهاية قبل البداية",IF(COUNTIFS($B$6:$B$505,B486,$E$6:$E$505,"&lt;="&amp;F486,$F$6:$F$505,"&gt;="&amp;E486)&gt;1,"⚠ تداخل مع سجل آخر",IF(E486&gt;cfg_VAL_DATE,"⏳ قادمة",IF(F486&lt;cfg_VAL_DATE,"✔ منتهية","✈ جارية في تاريخ التقرير"))))))</f>
        <v/>
      </c>
      <c r="Q486" s="118"/>
      <c r="R486" s="65" t="n">
        <f aca="false">IF(OR(OR($B486="",$E486="",$F486=""),L486&lt;&gt;"لا"),0,MAX(0,MIN(F486,cfg_Y_START-1)-E486+1))</f>
        <v>0</v>
      </c>
      <c r="S486" s="65" t="n">
        <f aca="false">IF(OR(OR($B486="",$E486="",$F486=""),L486&lt;&gt;"لا"),0,MAX(0,MIN(F486,cfg_VAL_DATE)-E486+1))</f>
        <v>0</v>
      </c>
      <c r="T486" s="65" t="n">
        <f aca="false">IF(OR(OR($B486="",$E486="",$F486=""),K486&lt;&gt;"نعم"),0,IF(M486="نعم",IF(AND(ISNUMBER(O486),N(O486)&lt;=cfg_VAL_M),G486,0),MAX(0,MIN(F486,cfg_VAL_DATE)-MAX(E486,cfg_Y_START)+1)))</f>
        <v>0</v>
      </c>
      <c r="V486" s="65" t="n">
        <f aca="false">IF(OR($B486="",$E486="",$F486=""),0,MAX(0,MIN($F486,EOMONTH(DATE(cfg_FY,1,1),0))-MAX($E486,DATE(cfg_FY,1,1))+1)*(1-IF($M486="نعم",0,N($J486))))</f>
        <v>0</v>
      </c>
      <c r="W486" s="65" t="n">
        <f aca="false">IF(OR($B486="",$E486="",$F486=""),0,MAX(0,MIN($F486,EOMONTH(DATE(cfg_FY,2,1),0))-MAX($E486,DATE(cfg_FY,2,1))+1)*(1-IF($M486="نعم",0,N($J486))))</f>
        <v>0</v>
      </c>
      <c r="X486" s="65" t="n">
        <f aca="false">IF(OR($B486="",$E486="",$F486=""),0,MAX(0,MIN($F486,EOMONTH(DATE(cfg_FY,3,1),0))-MAX($E486,DATE(cfg_FY,3,1))+1)*(1-IF($M486="نعم",0,N($J486))))</f>
        <v>0</v>
      </c>
      <c r="Y486" s="65" t="n">
        <f aca="false">IF(OR($B486="",$E486="",$F486=""),0,MAX(0,MIN($F486,EOMONTH(DATE(cfg_FY,4,1),0))-MAX($E486,DATE(cfg_FY,4,1))+1)*(1-IF($M486="نعم",0,N($J486))))</f>
        <v>0</v>
      </c>
      <c r="Z486" s="65" t="n">
        <f aca="false">IF(OR($B486="",$E486="",$F486=""),0,MAX(0,MIN($F486,EOMONTH(DATE(cfg_FY,5,1),0))-MAX($E486,DATE(cfg_FY,5,1))+1)*(1-IF($M486="نعم",0,N($J486))))</f>
        <v>0</v>
      </c>
      <c r="AA486" s="65" t="n">
        <f aca="false">IF(OR($B486="",$E486="",$F486=""),0,MAX(0,MIN($F486,EOMONTH(DATE(cfg_FY,6,1),0))-MAX($E486,DATE(cfg_FY,6,1))+1)*(1-IF($M486="نعم",0,N($J486))))</f>
        <v>0</v>
      </c>
      <c r="AB486" s="65" t="n">
        <f aca="false">IF(OR($B486="",$E486="",$F486=""),0,MAX(0,MIN($F486,EOMONTH(DATE(cfg_FY,7,1),0))-MAX($E486,DATE(cfg_FY,7,1))+1)*(1-IF($M486="نعم",0,N($J486))))</f>
        <v>0</v>
      </c>
      <c r="AC486" s="65" t="n">
        <f aca="false">IF(OR($B486="",$E486="",$F486=""),0,MAX(0,MIN($F486,EOMONTH(DATE(cfg_FY,8,1),0))-MAX($E486,DATE(cfg_FY,8,1))+1)*(1-IF($M486="نعم",0,N($J486))))</f>
        <v>0</v>
      </c>
      <c r="AD486" s="65" t="n">
        <f aca="false">IF(OR($B486="",$E486="",$F486=""),0,MAX(0,MIN($F486,EOMONTH(DATE(cfg_FY,9,1),0))-MAX($E486,DATE(cfg_FY,9,1))+1)*(1-IF($M486="نعم",0,N($J486))))</f>
        <v>0</v>
      </c>
      <c r="AE486" s="65" t="n">
        <f aca="false">IF(OR($B486="",$E486="",$F486=""),0,MAX(0,MIN($F486,EOMONTH(DATE(cfg_FY,10,1),0))-MAX($E486,DATE(cfg_FY,10,1))+1)*(1-IF($M486="نعم",0,N($J486))))</f>
        <v>0</v>
      </c>
      <c r="AF486" s="65" t="n">
        <f aca="false">IF(OR($B486="",$E486="",$F486=""),0,MAX(0,MIN($F486,EOMONTH(DATE(cfg_FY,11,1),0))-MAX($E486,DATE(cfg_FY,11,1))+1)*(1-IF($M486="نعم",0,N($J486))))</f>
        <v>0</v>
      </c>
      <c r="AG486" s="65" t="n">
        <f aca="false">IF(OR($B486="",$E486="",$F486=""),0,MAX(0,MIN($F486,EOMONTH(DATE(cfg_FY,12,1),0))-MAX($E486,DATE(cfg_FY,12,1))+1)*(1-IF($M486="نعم",0,N($J486))))</f>
        <v>0</v>
      </c>
      <c r="AH486" s="65" t="n">
        <f aca="false">IF(OR(OR($B486="",$E486="",$F486=""),$L486&lt;&gt;"لا"),0,MAX(0,MIN($F486,EOMONTH(DATE(cfg_FY,1,1),0))-$E486+1))</f>
        <v>0</v>
      </c>
      <c r="AI486" s="65" t="n">
        <f aca="false">IF(OR(OR($B486="",$E486="",$F486=""),$L486&lt;&gt;"لا"),0,MAX(0,MIN($F486,EOMONTH(DATE(cfg_FY,2,1),0))-$E486+1))</f>
        <v>0</v>
      </c>
      <c r="AJ486" s="65" t="n">
        <f aca="false">IF(OR(OR($B486="",$E486="",$F486=""),$L486&lt;&gt;"لا"),0,MAX(0,MIN($F486,EOMONTH(DATE(cfg_FY,3,1),0))-$E486+1))</f>
        <v>0</v>
      </c>
      <c r="AK486" s="65" t="n">
        <f aca="false">IF(OR(OR($B486="",$E486="",$F486=""),$L486&lt;&gt;"لا"),0,MAX(0,MIN($F486,EOMONTH(DATE(cfg_FY,4,1),0))-$E486+1))</f>
        <v>0</v>
      </c>
      <c r="AL486" s="65" t="n">
        <f aca="false">IF(OR(OR($B486="",$E486="",$F486=""),$L486&lt;&gt;"لا"),0,MAX(0,MIN($F486,EOMONTH(DATE(cfg_FY,5,1),0))-$E486+1))</f>
        <v>0</v>
      </c>
      <c r="AM486" s="65" t="n">
        <f aca="false">IF(OR(OR($B486="",$E486="",$F486=""),$L486&lt;&gt;"لا"),0,MAX(0,MIN($F486,EOMONTH(DATE(cfg_FY,6,1),0))-$E486+1))</f>
        <v>0</v>
      </c>
      <c r="AN486" s="65" t="n">
        <f aca="false">IF(OR(OR($B486="",$E486="",$F486=""),$L486&lt;&gt;"لا"),0,MAX(0,MIN($F486,EOMONTH(DATE(cfg_FY,7,1),0))-$E486+1))</f>
        <v>0</v>
      </c>
      <c r="AO486" s="65" t="n">
        <f aca="false">IF(OR(OR($B486="",$E486="",$F486=""),$L486&lt;&gt;"لا"),0,MAX(0,MIN($F486,EOMONTH(DATE(cfg_FY,8,1),0))-$E486+1))</f>
        <v>0</v>
      </c>
      <c r="AP486" s="65" t="n">
        <f aca="false">IF(OR(OR($B486="",$E486="",$F486=""),$L486&lt;&gt;"لا"),0,MAX(0,MIN($F486,EOMONTH(DATE(cfg_FY,9,1),0))-$E486+1))</f>
        <v>0</v>
      </c>
      <c r="AQ486" s="65" t="n">
        <f aca="false">IF(OR(OR($B486="",$E486="",$F486=""),$L486&lt;&gt;"لا"),0,MAX(0,MIN($F486,EOMONTH(DATE(cfg_FY,10,1),0))-$E486+1))</f>
        <v>0</v>
      </c>
      <c r="AR486" s="65" t="n">
        <f aca="false">IF(OR(OR($B486="",$E486="",$F486=""),$L486&lt;&gt;"لا"),0,MAX(0,MIN($F486,EOMONTH(DATE(cfg_FY,11,1),0))-$E486+1))</f>
        <v>0</v>
      </c>
      <c r="AS486" s="65" t="n">
        <f aca="false">IF(OR(OR($B486="",$E486="",$F486=""),$L486&lt;&gt;"لا"),0,MAX(0,MIN($F486,EOMONTH(DATE(cfg_FY,12,1),0))-$E486+1))</f>
        <v>0</v>
      </c>
      <c r="AT486" s="65" t="n">
        <f aca="false">IF(OR(OR($B486="",$E486="",$F486=""),$K486&lt;&gt;"نعم",$M486="نعم"),0,MAX(0,MIN($F486,EOMONTH(DATE(cfg_FY,1,1),0))-MAX($E486,DATE(cfg_FY,1,1))+1))</f>
        <v>0</v>
      </c>
      <c r="AU486" s="65" t="n">
        <f aca="false">IF(OR(OR($B486="",$E486="",$F486=""),$K486&lt;&gt;"نعم",$M486="نعم"),0,MAX(0,MIN($F486,EOMONTH(DATE(cfg_FY,2,1),0))-MAX($E486,DATE(cfg_FY,2,1))+1))</f>
        <v>0</v>
      </c>
      <c r="AV486" s="65" t="n">
        <f aca="false">IF(OR(OR($B486="",$E486="",$F486=""),$K486&lt;&gt;"نعم",$M486="نعم"),0,MAX(0,MIN($F486,EOMONTH(DATE(cfg_FY,3,1),0))-MAX($E486,DATE(cfg_FY,3,1))+1))</f>
        <v>0</v>
      </c>
      <c r="AW486" s="65" t="n">
        <f aca="false">IF(OR(OR($B486="",$E486="",$F486=""),$K486&lt;&gt;"نعم",$M486="نعم"),0,MAX(0,MIN($F486,EOMONTH(DATE(cfg_FY,4,1),0))-MAX($E486,DATE(cfg_FY,4,1))+1))</f>
        <v>0</v>
      </c>
      <c r="AX486" s="65" t="n">
        <f aca="false">IF(OR(OR($B486="",$E486="",$F486=""),$K486&lt;&gt;"نعم",$M486="نعم"),0,MAX(0,MIN($F486,EOMONTH(DATE(cfg_FY,5,1),0))-MAX($E486,DATE(cfg_FY,5,1))+1))</f>
        <v>0</v>
      </c>
      <c r="AY486" s="65" t="n">
        <f aca="false">IF(OR(OR($B486="",$E486="",$F486=""),$K486&lt;&gt;"نعم",$M486="نعم"),0,MAX(0,MIN($F486,EOMONTH(DATE(cfg_FY,6,1),0))-MAX($E486,DATE(cfg_FY,6,1))+1))</f>
        <v>0</v>
      </c>
      <c r="AZ486" s="65" t="n">
        <f aca="false">IF(OR(OR($B486="",$E486="",$F486=""),$K486&lt;&gt;"نعم",$M486="نعم"),0,MAX(0,MIN($F486,EOMONTH(DATE(cfg_FY,7,1),0))-MAX($E486,DATE(cfg_FY,7,1))+1))</f>
        <v>0</v>
      </c>
      <c r="BA486" s="65" t="n">
        <f aca="false">IF(OR(OR($B486="",$E486="",$F486=""),$K486&lt;&gt;"نعم",$M486="نعم"),0,MAX(0,MIN($F486,EOMONTH(DATE(cfg_FY,8,1),0))-MAX($E486,DATE(cfg_FY,8,1))+1))</f>
        <v>0</v>
      </c>
      <c r="BB486" s="65" t="n">
        <f aca="false">IF(OR(OR($B486="",$E486="",$F486=""),$K486&lt;&gt;"نعم",$M486="نعم"),0,MAX(0,MIN($F486,EOMONTH(DATE(cfg_FY,9,1),0))-MAX($E486,DATE(cfg_FY,9,1))+1))</f>
        <v>0</v>
      </c>
      <c r="BC486" s="65" t="n">
        <f aca="false">IF(OR(OR($B486="",$E486="",$F486=""),$K486&lt;&gt;"نعم",$M486="نعم"),0,MAX(0,MIN($F486,EOMONTH(DATE(cfg_FY,10,1),0))-MAX($E486,DATE(cfg_FY,10,1))+1))</f>
        <v>0</v>
      </c>
      <c r="BD486" s="65" t="n">
        <f aca="false">IF(OR(OR($B486="",$E486="",$F486=""),$K486&lt;&gt;"نعم",$M486="نعم"),0,MAX(0,MIN($F486,EOMONTH(DATE(cfg_FY,11,1),0))-MAX($E486,DATE(cfg_FY,11,1))+1))</f>
        <v>0</v>
      </c>
      <c r="BE486" s="65" t="n">
        <f aca="false">IF(OR(OR($B486="",$E486="",$F486=""),$K486&lt;&gt;"نعم",$M486="نعم"),0,MAX(0,MIN($F486,EOMONTH(DATE(cfg_FY,12,1),0))-MAX($E486,DATE(cfg_FY,12,1))+1))</f>
        <v>0</v>
      </c>
    </row>
    <row r="487" customFormat="false" ht="15" hidden="false" customHeight="false" outlineLevel="0" collapsed="false">
      <c r="A487" s="115" t="str">
        <f aca="false">IF(B487="","",ROW()-5)</f>
        <v/>
      </c>
      <c r="B487" s="118"/>
      <c r="C487" s="117" t="str">
        <f aca="false">IF(B487="","",IFERROR(INDEX(الموظفون!$C$6:$C$105,MATCH(B487,الموظفون!$B$6:$B$105,0)),"✖ رقم غير موجود"))</f>
        <v/>
      </c>
      <c r="D487" s="118"/>
      <c r="E487" s="119"/>
      <c r="F487" s="119"/>
      <c r="G487" s="133" t="str">
        <f aca="false">IF(OR($B487="",$E487="",$F487=""),"",MAX(0,F487-E487+1))</f>
        <v/>
      </c>
      <c r="H487" s="134" t="str">
        <f aca="false">IF(D487="","",IFERROR(VLOOKUP(D487,cfg_LT,2,FALSE()),1))</f>
        <v/>
      </c>
      <c r="I487" s="135"/>
      <c r="J487" s="134" t="str">
        <f aca="false">IF(D487="","",IF(I487&lt;&gt;"",I487,H487))</f>
        <v/>
      </c>
      <c r="K487" s="117" t="str">
        <f aca="false">IF(D487="","",IFERROR(VLOOKUP($D487,cfg_LT,3,FALSE()),""))</f>
        <v/>
      </c>
      <c r="L487" s="117" t="str">
        <f aca="false">IF(D487="","",IFERROR(VLOOKUP($D487,cfg_LT,4,FALSE()),""))</f>
        <v/>
      </c>
      <c r="M487" s="117" t="str">
        <f aca="false">IF(D487="","",IFERROR(VLOOKUP($D487,cfg_LT,5,FALSE()),""))</f>
        <v/>
      </c>
      <c r="N487" s="116" t="n">
        <f aca="false">IF(OR(OR($B487="",$E487="",$F487=""),M487&lt;&gt;"نعم"),0,G487*J487*IFERROR(INDEX(الموظفون!$R$6:$R$105,MATCH(B487,الموظفون!$B$6:$B$105,0)),0)/cfg_DAYS_M)</f>
        <v>0</v>
      </c>
      <c r="O487" s="115" t="str">
        <f aca="false">IF(OR(OR($B487="",$E487="",$F487=""),M487&lt;&gt;"نعم"),"",IF(YEAR(E487)=cfg_FY,MONTH(E487),""))</f>
        <v/>
      </c>
      <c r="P487" s="117" t="str">
        <f aca="false">IF(B487="","",IF(OR(D487="",E487="",F487=""),"⚠ أكمل النوع والتواريخ",IF(F487&lt;E487,"✖ النهاية قبل البداية",IF(COUNTIFS($B$6:$B$505,B487,$E$6:$E$505,"&lt;="&amp;F487,$F$6:$F$505,"&gt;="&amp;E487)&gt;1,"⚠ تداخل مع سجل آخر",IF(E487&gt;cfg_VAL_DATE,"⏳ قادمة",IF(F487&lt;cfg_VAL_DATE,"✔ منتهية","✈ جارية في تاريخ التقرير"))))))</f>
        <v/>
      </c>
      <c r="Q487" s="118"/>
      <c r="R487" s="133" t="n">
        <f aca="false">IF(OR(OR($B487="",$E487="",$F487=""),L487&lt;&gt;"لا"),0,MAX(0,MIN(F487,cfg_Y_START-1)-E487+1))</f>
        <v>0</v>
      </c>
      <c r="S487" s="133" t="n">
        <f aca="false">IF(OR(OR($B487="",$E487="",$F487=""),L487&lt;&gt;"لا"),0,MAX(0,MIN(F487,cfg_VAL_DATE)-E487+1))</f>
        <v>0</v>
      </c>
      <c r="T487" s="133" t="n">
        <f aca="false">IF(OR(OR($B487="",$E487="",$F487=""),K487&lt;&gt;"نعم"),0,IF(M487="نعم",IF(AND(ISNUMBER(O487),N(O487)&lt;=cfg_VAL_M),G487,0),MAX(0,MIN(F487,cfg_VAL_DATE)-MAX(E487,cfg_Y_START)+1)))</f>
        <v>0</v>
      </c>
      <c r="V487" s="133" t="n">
        <f aca="false">IF(OR($B487="",$E487="",$F487=""),0,MAX(0,MIN($F487,EOMONTH(DATE(cfg_FY,1,1),0))-MAX($E487,DATE(cfg_FY,1,1))+1)*(1-IF($M487="نعم",0,N($J487))))</f>
        <v>0</v>
      </c>
      <c r="W487" s="133" t="n">
        <f aca="false">IF(OR($B487="",$E487="",$F487=""),0,MAX(0,MIN($F487,EOMONTH(DATE(cfg_FY,2,1),0))-MAX($E487,DATE(cfg_FY,2,1))+1)*(1-IF($M487="نعم",0,N($J487))))</f>
        <v>0</v>
      </c>
      <c r="X487" s="133" t="n">
        <f aca="false">IF(OR($B487="",$E487="",$F487=""),0,MAX(0,MIN($F487,EOMONTH(DATE(cfg_FY,3,1),0))-MAX($E487,DATE(cfg_FY,3,1))+1)*(1-IF($M487="نعم",0,N($J487))))</f>
        <v>0</v>
      </c>
      <c r="Y487" s="133" t="n">
        <f aca="false">IF(OR($B487="",$E487="",$F487=""),0,MAX(0,MIN($F487,EOMONTH(DATE(cfg_FY,4,1),0))-MAX($E487,DATE(cfg_FY,4,1))+1)*(1-IF($M487="نعم",0,N($J487))))</f>
        <v>0</v>
      </c>
      <c r="Z487" s="133" t="n">
        <f aca="false">IF(OR($B487="",$E487="",$F487=""),0,MAX(0,MIN($F487,EOMONTH(DATE(cfg_FY,5,1),0))-MAX($E487,DATE(cfg_FY,5,1))+1)*(1-IF($M487="نعم",0,N($J487))))</f>
        <v>0</v>
      </c>
      <c r="AA487" s="133" t="n">
        <f aca="false">IF(OR($B487="",$E487="",$F487=""),0,MAX(0,MIN($F487,EOMONTH(DATE(cfg_FY,6,1),0))-MAX($E487,DATE(cfg_FY,6,1))+1)*(1-IF($M487="نعم",0,N($J487))))</f>
        <v>0</v>
      </c>
      <c r="AB487" s="133" t="n">
        <f aca="false">IF(OR($B487="",$E487="",$F487=""),0,MAX(0,MIN($F487,EOMONTH(DATE(cfg_FY,7,1),0))-MAX($E487,DATE(cfg_FY,7,1))+1)*(1-IF($M487="نعم",0,N($J487))))</f>
        <v>0</v>
      </c>
      <c r="AC487" s="133" t="n">
        <f aca="false">IF(OR($B487="",$E487="",$F487=""),0,MAX(0,MIN($F487,EOMONTH(DATE(cfg_FY,8,1),0))-MAX($E487,DATE(cfg_FY,8,1))+1)*(1-IF($M487="نعم",0,N($J487))))</f>
        <v>0</v>
      </c>
      <c r="AD487" s="133" t="n">
        <f aca="false">IF(OR($B487="",$E487="",$F487=""),0,MAX(0,MIN($F487,EOMONTH(DATE(cfg_FY,9,1),0))-MAX($E487,DATE(cfg_FY,9,1))+1)*(1-IF($M487="نعم",0,N($J487))))</f>
        <v>0</v>
      </c>
      <c r="AE487" s="133" t="n">
        <f aca="false">IF(OR($B487="",$E487="",$F487=""),0,MAX(0,MIN($F487,EOMONTH(DATE(cfg_FY,10,1),0))-MAX($E487,DATE(cfg_FY,10,1))+1)*(1-IF($M487="نعم",0,N($J487))))</f>
        <v>0</v>
      </c>
      <c r="AF487" s="133" t="n">
        <f aca="false">IF(OR($B487="",$E487="",$F487=""),0,MAX(0,MIN($F487,EOMONTH(DATE(cfg_FY,11,1),0))-MAX($E487,DATE(cfg_FY,11,1))+1)*(1-IF($M487="نعم",0,N($J487))))</f>
        <v>0</v>
      </c>
      <c r="AG487" s="133" t="n">
        <f aca="false">IF(OR($B487="",$E487="",$F487=""),0,MAX(0,MIN($F487,EOMONTH(DATE(cfg_FY,12,1),0))-MAX($E487,DATE(cfg_FY,12,1))+1)*(1-IF($M487="نعم",0,N($J487))))</f>
        <v>0</v>
      </c>
      <c r="AH487" s="133" t="n">
        <f aca="false">IF(OR(OR($B487="",$E487="",$F487=""),$L487&lt;&gt;"لا"),0,MAX(0,MIN($F487,EOMONTH(DATE(cfg_FY,1,1),0))-$E487+1))</f>
        <v>0</v>
      </c>
      <c r="AI487" s="133" t="n">
        <f aca="false">IF(OR(OR($B487="",$E487="",$F487=""),$L487&lt;&gt;"لا"),0,MAX(0,MIN($F487,EOMONTH(DATE(cfg_FY,2,1),0))-$E487+1))</f>
        <v>0</v>
      </c>
      <c r="AJ487" s="133" t="n">
        <f aca="false">IF(OR(OR($B487="",$E487="",$F487=""),$L487&lt;&gt;"لا"),0,MAX(0,MIN($F487,EOMONTH(DATE(cfg_FY,3,1),0))-$E487+1))</f>
        <v>0</v>
      </c>
      <c r="AK487" s="133" t="n">
        <f aca="false">IF(OR(OR($B487="",$E487="",$F487=""),$L487&lt;&gt;"لا"),0,MAX(0,MIN($F487,EOMONTH(DATE(cfg_FY,4,1),0))-$E487+1))</f>
        <v>0</v>
      </c>
      <c r="AL487" s="133" t="n">
        <f aca="false">IF(OR(OR($B487="",$E487="",$F487=""),$L487&lt;&gt;"لا"),0,MAX(0,MIN($F487,EOMONTH(DATE(cfg_FY,5,1),0))-$E487+1))</f>
        <v>0</v>
      </c>
      <c r="AM487" s="133" t="n">
        <f aca="false">IF(OR(OR($B487="",$E487="",$F487=""),$L487&lt;&gt;"لا"),0,MAX(0,MIN($F487,EOMONTH(DATE(cfg_FY,6,1),0))-$E487+1))</f>
        <v>0</v>
      </c>
      <c r="AN487" s="133" t="n">
        <f aca="false">IF(OR(OR($B487="",$E487="",$F487=""),$L487&lt;&gt;"لا"),0,MAX(0,MIN($F487,EOMONTH(DATE(cfg_FY,7,1),0))-$E487+1))</f>
        <v>0</v>
      </c>
      <c r="AO487" s="133" t="n">
        <f aca="false">IF(OR(OR($B487="",$E487="",$F487=""),$L487&lt;&gt;"لا"),0,MAX(0,MIN($F487,EOMONTH(DATE(cfg_FY,8,1),0))-$E487+1))</f>
        <v>0</v>
      </c>
      <c r="AP487" s="133" t="n">
        <f aca="false">IF(OR(OR($B487="",$E487="",$F487=""),$L487&lt;&gt;"لا"),0,MAX(0,MIN($F487,EOMONTH(DATE(cfg_FY,9,1),0))-$E487+1))</f>
        <v>0</v>
      </c>
      <c r="AQ487" s="133" t="n">
        <f aca="false">IF(OR(OR($B487="",$E487="",$F487=""),$L487&lt;&gt;"لا"),0,MAX(0,MIN($F487,EOMONTH(DATE(cfg_FY,10,1),0))-$E487+1))</f>
        <v>0</v>
      </c>
      <c r="AR487" s="133" t="n">
        <f aca="false">IF(OR(OR($B487="",$E487="",$F487=""),$L487&lt;&gt;"لا"),0,MAX(0,MIN($F487,EOMONTH(DATE(cfg_FY,11,1),0))-$E487+1))</f>
        <v>0</v>
      </c>
      <c r="AS487" s="133" t="n">
        <f aca="false">IF(OR(OR($B487="",$E487="",$F487=""),$L487&lt;&gt;"لا"),0,MAX(0,MIN($F487,EOMONTH(DATE(cfg_FY,12,1),0))-$E487+1))</f>
        <v>0</v>
      </c>
      <c r="AT487" s="133" t="n">
        <f aca="false">IF(OR(OR($B487="",$E487="",$F487=""),$K487&lt;&gt;"نعم",$M487="نعم"),0,MAX(0,MIN($F487,EOMONTH(DATE(cfg_FY,1,1),0))-MAX($E487,DATE(cfg_FY,1,1))+1))</f>
        <v>0</v>
      </c>
      <c r="AU487" s="133" t="n">
        <f aca="false">IF(OR(OR($B487="",$E487="",$F487=""),$K487&lt;&gt;"نعم",$M487="نعم"),0,MAX(0,MIN($F487,EOMONTH(DATE(cfg_FY,2,1),0))-MAX($E487,DATE(cfg_FY,2,1))+1))</f>
        <v>0</v>
      </c>
      <c r="AV487" s="133" t="n">
        <f aca="false">IF(OR(OR($B487="",$E487="",$F487=""),$K487&lt;&gt;"نعم",$M487="نعم"),0,MAX(0,MIN($F487,EOMONTH(DATE(cfg_FY,3,1),0))-MAX($E487,DATE(cfg_FY,3,1))+1))</f>
        <v>0</v>
      </c>
      <c r="AW487" s="133" t="n">
        <f aca="false">IF(OR(OR($B487="",$E487="",$F487=""),$K487&lt;&gt;"نعم",$M487="نعم"),0,MAX(0,MIN($F487,EOMONTH(DATE(cfg_FY,4,1),0))-MAX($E487,DATE(cfg_FY,4,1))+1))</f>
        <v>0</v>
      </c>
      <c r="AX487" s="133" t="n">
        <f aca="false">IF(OR(OR($B487="",$E487="",$F487=""),$K487&lt;&gt;"نعم",$M487="نعم"),0,MAX(0,MIN($F487,EOMONTH(DATE(cfg_FY,5,1),0))-MAX($E487,DATE(cfg_FY,5,1))+1))</f>
        <v>0</v>
      </c>
      <c r="AY487" s="133" t="n">
        <f aca="false">IF(OR(OR($B487="",$E487="",$F487=""),$K487&lt;&gt;"نعم",$M487="نعم"),0,MAX(0,MIN($F487,EOMONTH(DATE(cfg_FY,6,1),0))-MAX($E487,DATE(cfg_FY,6,1))+1))</f>
        <v>0</v>
      </c>
      <c r="AZ487" s="133" t="n">
        <f aca="false">IF(OR(OR($B487="",$E487="",$F487=""),$K487&lt;&gt;"نعم",$M487="نعم"),0,MAX(0,MIN($F487,EOMONTH(DATE(cfg_FY,7,1),0))-MAX($E487,DATE(cfg_FY,7,1))+1))</f>
        <v>0</v>
      </c>
      <c r="BA487" s="133" t="n">
        <f aca="false">IF(OR(OR($B487="",$E487="",$F487=""),$K487&lt;&gt;"نعم",$M487="نعم"),0,MAX(0,MIN($F487,EOMONTH(DATE(cfg_FY,8,1),0))-MAX($E487,DATE(cfg_FY,8,1))+1))</f>
        <v>0</v>
      </c>
      <c r="BB487" s="133" t="n">
        <f aca="false">IF(OR(OR($B487="",$E487="",$F487=""),$K487&lt;&gt;"نعم",$M487="نعم"),0,MAX(0,MIN($F487,EOMONTH(DATE(cfg_FY,9,1),0))-MAX($E487,DATE(cfg_FY,9,1))+1))</f>
        <v>0</v>
      </c>
      <c r="BC487" s="133" t="n">
        <f aca="false">IF(OR(OR($B487="",$E487="",$F487=""),$K487&lt;&gt;"نعم",$M487="نعم"),0,MAX(0,MIN($F487,EOMONTH(DATE(cfg_FY,10,1),0))-MAX($E487,DATE(cfg_FY,10,1))+1))</f>
        <v>0</v>
      </c>
      <c r="BD487" s="133" t="n">
        <f aca="false">IF(OR(OR($B487="",$E487="",$F487=""),$K487&lt;&gt;"نعم",$M487="نعم"),0,MAX(0,MIN($F487,EOMONTH(DATE(cfg_FY,11,1),0))-MAX($E487,DATE(cfg_FY,11,1))+1))</f>
        <v>0</v>
      </c>
      <c r="BE487" s="133" t="n">
        <f aca="false">IF(OR(OR($B487="",$E487="",$F487=""),$K487&lt;&gt;"نعم",$M487="نعم"),0,MAX(0,MIN($F487,EOMONTH(DATE(cfg_FY,12,1),0))-MAX($E487,DATE(cfg_FY,12,1))+1))</f>
        <v>0</v>
      </c>
    </row>
    <row r="488" customFormat="false" ht="15" hidden="false" customHeight="false" outlineLevel="0" collapsed="false">
      <c r="A488" s="106" t="str">
        <f aca="false">IF(B488="","",ROW()-5)</f>
        <v/>
      </c>
      <c r="B488" s="118"/>
      <c r="C488" s="114" t="str">
        <f aca="false">IF(B488="","",IFERROR(INDEX(الموظفون!$C$6:$C$105,MATCH(B488,الموظفون!$B$6:$B$105,0)),"✖ رقم غير موجود"))</f>
        <v/>
      </c>
      <c r="D488" s="118"/>
      <c r="E488" s="119"/>
      <c r="F488" s="119"/>
      <c r="G488" s="65" t="str">
        <f aca="false">IF(OR($B488="",$E488="",$F488=""),"",MAX(0,F488-E488+1))</f>
        <v/>
      </c>
      <c r="H488" s="66" t="str">
        <f aca="false">IF(D488="","",IFERROR(VLOOKUP(D488,cfg_LT,2,FALSE()),1))</f>
        <v/>
      </c>
      <c r="I488" s="135"/>
      <c r="J488" s="66" t="str">
        <f aca="false">IF(D488="","",IF(I488&lt;&gt;"",I488,H488))</f>
        <v/>
      </c>
      <c r="K488" s="114" t="str">
        <f aca="false">IF(D488="","",IFERROR(VLOOKUP($D488,cfg_LT,3,FALSE()),""))</f>
        <v/>
      </c>
      <c r="L488" s="114" t="str">
        <f aca="false">IF(D488="","",IFERROR(VLOOKUP($D488,cfg_LT,4,FALSE()),""))</f>
        <v/>
      </c>
      <c r="M488" s="114" t="str">
        <f aca="false">IF(D488="","",IFERROR(VLOOKUP($D488,cfg_LT,5,FALSE()),""))</f>
        <v/>
      </c>
      <c r="N488" s="111" t="n">
        <f aca="false">IF(OR(OR($B488="",$E488="",$F488=""),M488&lt;&gt;"نعم"),0,G488*J488*IFERROR(INDEX(الموظفون!$R$6:$R$105,MATCH(B488,الموظفون!$B$6:$B$105,0)),0)/cfg_DAYS_M)</f>
        <v>0</v>
      </c>
      <c r="O488" s="106" t="str">
        <f aca="false">IF(OR(OR($B488="",$E488="",$F488=""),M488&lt;&gt;"نعم"),"",IF(YEAR(E488)=cfg_FY,MONTH(E488),""))</f>
        <v/>
      </c>
      <c r="P488" s="114" t="str">
        <f aca="false">IF(B488="","",IF(OR(D488="",E488="",F488=""),"⚠ أكمل النوع والتواريخ",IF(F488&lt;E488,"✖ النهاية قبل البداية",IF(COUNTIFS($B$6:$B$505,B488,$E$6:$E$505,"&lt;="&amp;F488,$F$6:$F$505,"&gt;="&amp;E488)&gt;1,"⚠ تداخل مع سجل آخر",IF(E488&gt;cfg_VAL_DATE,"⏳ قادمة",IF(F488&lt;cfg_VAL_DATE,"✔ منتهية","✈ جارية في تاريخ التقرير"))))))</f>
        <v/>
      </c>
      <c r="Q488" s="118"/>
      <c r="R488" s="65" t="n">
        <f aca="false">IF(OR(OR($B488="",$E488="",$F488=""),L488&lt;&gt;"لا"),0,MAX(0,MIN(F488,cfg_Y_START-1)-E488+1))</f>
        <v>0</v>
      </c>
      <c r="S488" s="65" t="n">
        <f aca="false">IF(OR(OR($B488="",$E488="",$F488=""),L488&lt;&gt;"لا"),0,MAX(0,MIN(F488,cfg_VAL_DATE)-E488+1))</f>
        <v>0</v>
      </c>
      <c r="T488" s="65" t="n">
        <f aca="false">IF(OR(OR($B488="",$E488="",$F488=""),K488&lt;&gt;"نعم"),0,IF(M488="نعم",IF(AND(ISNUMBER(O488),N(O488)&lt;=cfg_VAL_M),G488,0),MAX(0,MIN(F488,cfg_VAL_DATE)-MAX(E488,cfg_Y_START)+1)))</f>
        <v>0</v>
      </c>
      <c r="V488" s="65" t="n">
        <f aca="false">IF(OR($B488="",$E488="",$F488=""),0,MAX(0,MIN($F488,EOMONTH(DATE(cfg_FY,1,1),0))-MAX($E488,DATE(cfg_FY,1,1))+1)*(1-IF($M488="نعم",0,N($J488))))</f>
        <v>0</v>
      </c>
      <c r="W488" s="65" t="n">
        <f aca="false">IF(OR($B488="",$E488="",$F488=""),0,MAX(0,MIN($F488,EOMONTH(DATE(cfg_FY,2,1),0))-MAX($E488,DATE(cfg_FY,2,1))+1)*(1-IF($M488="نعم",0,N($J488))))</f>
        <v>0</v>
      </c>
      <c r="X488" s="65" t="n">
        <f aca="false">IF(OR($B488="",$E488="",$F488=""),0,MAX(0,MIN($F488,EOMONTH(DATE(cfg_FY,3,1),0))-MAX($E488,DATE(cfg_FY,3,1))+1)*(1-IF($M488="نعم",0,N($J488))))</f>
        <v>0</v>
      </c>
      <c r="Y488" s="65" t="n">
        <f aca="false">IF(OR($B488="",$E488="",$F488=""),0,MAX(0,MIN($F488,EOMONTH(DATE(cfg_FY,4,1),0))-MAX($E488,DATE(cfg_FY,4,1))+1)*(1-IF($M488="نعم",0,N($J488))))</f>
        <v>0</v>
      </c>
      <c r="Z488" s="65" t="n">
        <f aca="false">IF(OR($B488="",$E488="",$F488=""),0,MAX(0,MIN($F488,EOMONTH(DATE(cfg_FY,5,1),0))-MAX($E488,DATE(cfg_FY,5,1))+1)*(1-IF($M488="نعم",0,N($J488))))</f>
        <v>0</v>
      </c>
      <c r="AA488" s="65" t="n">
        <f aca="false">IF(OR($B488="",$E488="",$F488=""),0,MAX(0,MIN($F488,EOMONTH(DATE(cfg_FY,6,1),0))-MAX($E488,DATE(cfg_FY,6,1))+1)*(1-IF($M488="نعم",0,N($J488))))</f>
        <v>0</v>
      </c>
      <c r="AB488" s="65" t="n">
        <f aca="false">IF(OR($B488="",$E488="",$F488=""),0,MAX(0,MIN($F488,EOMONTH(DATE(cfg_FY,7,1),0))-MAX($E488,DATE(cfg_FY,7,1))+1)*(1-IF($M488="نعم",0,N($J488))))</f>
        <v>0</v>
      </c>
      <c r="AC488" s="65" t="n">
        <f aca="false">IF(OR($B488="",$E488="",$F488=""),0,MAX(0,MIN($F488,EOMONTH(DATE(cfg_FY,8,1),0))-MAX($E488,DATE(cfg_FY,8,1))+1)*(1-IF($M488="نعم",0,N($J488))))</f>
        <v>0</v>
      </c>
      <c r="AD488" s="65" t="n">
        <f aca="false">IF(OR($B488="",$E488="",$F488=""),0,MAX(0,MIN($F488,EOMONTH(DATE(cfg_FY,9,1),0))-MAX($E488,DATE(cfg_FY,9,1))+1)*(1-IF($M488="نعم",0,N($J488))))</f>
        <v>0</v>
      </c>
      <c r="AE488" s="65" t="n">
        <f aca="false">IF(OR($B488="",$E488="",$F488=""),0,MAX(0,MIN($F488,EOMONTH(DATE(cfg_FY,10,1),0))-MAX($E488,DATE(cfg_FY,10,1))+1)*(1-IF($M488="نعم",0,N($J488))))</f>
        <v>0</v>
      </c>
      <c r="AF488" s="65" t="n">
        <f aca="false">IF(OR($B488="",$E488="",$F488=""),0,MAX(0,MIN($F488,EOMONTH(DATE(cfg_FY,11,1),0))-MAX($E488,DATE(cfg_FY,11,1))+1)*(1-IF($M488="نعم",0,N($J488))))</f>
        <v>0</v>
      </c>
      <c r="AG488" s="65" t="n">
        <f aca="false">IF(OR($B488="",$E488="",$F488=""),0,MAX(0,MIN($F488,EOMONTH(DATE(cfg_FY,12,1),0))-MAX($E488,DATE(cfg_FY,12,1))+1)*(1-IF($M488="نعم",0,N($J488))))</f>
        <v>0</v>
      </c>
      <c r="AH488" s="65" t="n">
        <f aca="false">IF(OR(OR($B488="",$E488="",$F488=""),$L488&lt;&gt;"لا"),0,MAX(0,MIN($F488,EOMONTH(DATE(cfg_FY,1,1),0))-$E488+1))</f>
        <v>0</v>
      </c>
      <c r="AI488" s="65" t="n">
        <f aca="false">IF(OR(OR($B488="",$E488="",$F488=""),$L488&lt;&gt;"لا"),0,MAX(0,MIN($F488,EOMONTH(DATE(cfg_FY,2,1),0))-$E488+1))</f>
        <v>0</v>
      </c>
      <c r="AJ488" s="65" t="n">
        <f aca="false">IF(OR(OR($B488="",$E488="",$F488=""),$L488&lt;&gt;"لا"),0,MAX(0,MIN($F488,EOMONTH(DATE(cfg_FY,3,1),0))-$E488+1))</f>
        <v>0</v>
      </c>
      <c r="AK488" s="65" t="n">
        <f aca="false">IF(OR(OR($B488="",$E488="",$F488=""),$L488&lt;&gt;"لا"),0,MAX(0,MIN($F488,EOMONTH(DATE(cfg_FY,4,1),0))-$E488+1))</f>
        <v>0</v>
      </c>
      <c r="AL488" s="65" t="n">
        <f aca="false">IF(OR(OR($B488="",$E488="",$F488=""),$L488&lt;&gt;"لا"),0,MAX(0,MIN($F488,EOMONTH(DATE(cfg_FY,5,1),0))-$E488+1))</f>
        <v>0</v>
      </c>
      <c r="AM488" s="65" t="n">
        <f aca="false">IF(OR(OR($B488="",$E488="",$F488=""),$L488&lt;&gt;"لا"),0,MAX(0,MIN($F488,EOMONTH(DATE(cfg_FY,6,1),0))-$E488+1))</f>
        <v>0</v>
      </c>
      <c r="AN488" s="65" t="n">
        <f aca="false">IF(OR(OR($B488="",$E488="",$F488=""),$L488&lt;&gt;"لا"),0,MAX(0,MIN($F488,EOMONTH(DATE(cfg_FY,7,1),0))-$E488+1))</f>
        <v>0</v>
      </c>
      <c r="AO488" s="65" t="n">
        <f aca="false">IF(OR(OR($B488="",$E488="",$F488=""),$L488&lt;&gt;"لا"),0,MAX(0,MIN($F488,EOMONTH(DATE(cfg_FY,8,1),0))-$E488+1))</f>
        <v>0</v>
      </c>
      <c r="AP488" s="65" t="n">
        <f aca="false">IF(OR(OR($B488="",$E488="",$F488=""),$L488&lt;&gt;"لا"),0,MAX(0,MIN($F488,EOMONTH(DATE(cfg_FY,9,1),0))-$E488+1))</f>
        <v>0</v>
      </c>
      <c r="AQ488" s="65" t="n">
        <f aca="false">IF(OR(OR($B488="",$E488="",$F488=""),$L488&lt;&gt;"لا"),0,MAX(0,MIN($F488,EOMONTH(DATE(cfg_FY,10,1),0))-$E488+1))</f>
        <v>0</v>
      </c>
      <c r="AR488" s="65" t="n">
        <f aca="false">IF(OR(OR($B488="",$E488="",$F488=""),$L488&lt;&gt;"لا"),0,MAX(0,MIN($F488,EOMONTH(DATE(cfg_FY,11,1),0))-$E488+1))</f>
        <v>0</v>
      </c>
      <c r="AS488" s="65" t="n">
        <f aca="false">IF(OR(OR($B488="",$E488="",$F488=""),$L488&lt;&gt;"لا"),0,MAX(0,MIN($F488,EOMONTH(DATE(cfg_FY,12,1),0))-$E488+1))</f>
        <v>0</v>
      </c>
      <c r="AT488" s="65" t="n">
        <f aca="false">IF(OR(OR($B488="",$E488="",$F488=""),$K488&lt;&gt;"نعم",$M488="نعم"),0,MAX(0,MIN($F488,EOMONTH(DATE(cfg_FY,1,1),0))-MAX($E488,DATE(cfg_FY,1,1))+1))</f>
        <v>0</v>
      </c>
      <c r="AU488" s="65" t="n">
        <f aca="false">IF(OR(OR($B488="",$E488="",$F488=""),$K488&lt;&gt;"نعم",$M488="نعم"),0,MAX(0,MIN($F488,EOMONTH(DATE(cfg_FY,2,1),0))-MAX($E488,DATE(cfg_FY,2,1))+1))</f>
        <v>0</v>
      </c>
      <c r="AV488" s="65" t="n">
        <f aca="false">IF(OR(OR($B488="",$E488="",$F488=""),$K488&lt;&gt;"نعم",$M488="نعم"),0,MAX(0,MIN($F488,EOMONTH(DATE(cfg_FY,3,1),0))-MAX($E488,DATE(cfg_FY,3,1))+1))</f>
        <v>0</v>
      </c>
      <c r="AW488" s="65" t="n">
        <f aca="false">IF(OR(OR($B488="",$E488="",$F488=""),$K488&lt;&gt;"نعم",$M488="نعم"),0,MAX(0,MIN($F488,EOMONTH(DATE(cfg_FY,4,1),0))-MAX($E488,DATE(cfg_FY,4,1))+1))</f>
        <v>0</v>
      </c>
      <c r="AX488" s="65" t="n">
        <f aca="false">IF(OR(OR($B488="",$E488="",$F488=""),$K488&lt;&gt;"نعم",$M488="نعم"),0,MAX(0,MIN($F488,EOMONTH(DATE(cfg_FY,5,1),0))-MAX($E488,DATE(cfg_FY,5,1))+1))</f>
        <v>0</v>
      </c>
      <c r="AY488" s="65" t="n">
        <f aca="false">IF(OR(OR($B488="",$E488="",$F488=""),$K488&lt;&gt;"نعم",$M488="نعم"),0,MAX(0,MIN($F488,EOMONTH(DATE(cfg_FY,6,1),0))-MAX($E488,DATE(cfg_FY,6,1))+1))</f>
        <v>0</v>
      </c>
      <c r="AZ488" s="65" t="n">
        <f aca="false">IF(OR(OR($B488="",$E488="",$F488=""),$K488&lt;&gt;"نعم",$M488="نعم"),0,MAX(0,MIN($F488,EOMONTH(DATE(cfg_FY,7,1),0))-MAX($E488,DATE(cfg_FY,7,1))+1))</f>
        <v>0</v>
      </c>
      <c r="BA488" s="65" t="n">
        <f aca="false">IF(OR(OR($B488="",$E488="",$F488=""),$K488&lt;&gt;"نعم",$M488="نعم"),0,MAX(0,MIN($F488,EOMONTH(DATE(cfg_FY,8,1),0))-MAX($E488,DATE(cfg_FY,8,1))+1))</f>
        <v>0</v>
      </c>
      <c r="BB488" s="65" t="n">
        <f aca="false">IF(OR(OR($B488="",$E488="",$F488=""),$K488&lt;&gt;"نعم",$M488="نعم"),0,MAX(0,MIN($F488,EOMONTH(DATE(cfg_FY,9,1),0))-MAX($E488,DATE(cfg_FY,9,1))+1))</f>
        <v>0</v>
      </c>
      <c r="BC488" s="65" t="n">
        <f aca="false">IF(OR(OR($B488="",$E488="",$F488=""),$K488&lt;&gt;"نعم",$M488="نعم"),0,MAX(0,MIN($F488,EOMONTH(DATE(cfg_FY,10,1),0))-MAX($E488,DATE(cfg_FY,10,1))+1))</f>
        <v>0</v>
      </c>
      <c r="BD488" s="65" t="n">
        <f aca="false">IF(OR(OR($B488="",$E488="",$F488=""),$K488&lt;&gt;"نعم",$M488="نعم"),0,MAX(0,MIN($F488,EOMONTH(DATE(cfg_FY,11,1),0))-MAX($E488,DATE(cfg_FY,11,1))+1))</f>
        <v>0</v>
      </c>
      <c r="BE488" s="65" t="n">
        <f aca="false">IF(OR(OR($B488="",$E488="",$F488=""),$K488&lt;&gt;"نعم",$M488="نعم"),0,MAX(0,MIN($F488,EOMONTH(DATE(cfg_FY,12,1),0))-MAX($E488,DATE(cfg_FY,12,1))+1))</f>
        <v>0</v>
      </c>
    </row>
    <row r="489" customFormat="false" ht="15" hidden="false" customHeight="false" outlineLevel="0" collapsed="false">
      <c r="A489" s="115" t="str">
        <f aca="false">IF(B489="","",ROW()-5)</f>
        <v/>
      </c>
      <c r="B489" s="118"/>
      <c r="C489" s="117" t="str">
        <f aca="false">IF(B489="","",IFERROR(INDEX(الموظفون!$C$6:$C$105,MATCH(B489,الموظفون!$B$6:$B$105,0)),"✖ رقم غير موجود"))</f>
        <v/>
      </c>
      <c r="D489" s="118"/>
      <c r="E489" s="119"/>
      <c r="F489" s="119"/>
      <c r="G489" s="133" t="str">
        <f aca="false">IF(OR($B489="",$E489="",$F489=""),"",MAX(0,F489-E489+1))</f>
        <v/>
      </c>
      <c r="H489" s="134" t="str">
        <f aca="false">IF(D489="","",IFERROR(VLOOKUP(D489,cfg_LT,2,FALSE()),1))</f>
        <v/>
      </c>
      <c r="I489" s="135"/>
      <c r="J489" s="134" t="str">
        <f aca="false">IF(D489="","",IF(I489&lt;&gt;"",I489,H489))</f>
        <v/>
      </c>
      <c r="K489" s="117" t="str">
        <f aca="false">IF(D489="","",IFERROR(VLOOKUP($D489,cfg_LT,3,FALSE()),""))</f>
        <v/>
      </c>
      <c r="L489" s="117" t="str">
        <f aca="false">IF(D489="","",IFERROR(VLOOKUP($D489,cfg_LT,4,FALSE()),""))</f>
        <v/>
      </c>
      <c r="M489" s="117" t="str">
        <f aca="false">IF(D489="","",IFERROR(VLOOKUP($D489,cfg_LT,5,FALSE()),""))</f>
        <v/>
      </c>
      <c r="N489" s="116" t="n">
        <f aca="false">IF(OR(OR($B489="",$E489="",$F489=""),M489&lt;&gt;"نعم"),0,G489*J489*IFERROR(INDEX(الموظفون!$R$6:$R$105,MATCH(B489,الموظفون!$B$6:$B$105,0)),0)/cfg_DAYS_M)</f>
        <v>0</v>
      </c>
      <c r="O489" s="115" t="str">
        <f aca="false">IF(OR(OR($B489="",$E489="",$F489=""),M489&lt;&gt;"نعم"),"",IF(YEAR(E489)=cfg_FY,MONTH(E489),""))</f>
        <v/>
      </c>
      <c r="P489" s="117" t="str">
        <f aca="false">IF(B489="","",IF(OR(D489="",E489="",F489=""),"⚠ أكمل النوع والتواريخ",IF(F489&lt;E489,"✖ النهاية قبل البداية",IF(COUNTIFS($B$6:$B$505,B489,$E$6:$E$505,"&lt;="&amp;F489,$F$6:$F$505,"&gt;="&amp;E489)&gt;1,"⚠ تداخل مع سجل آخر",IF(E489&gt;cfg_VAL_DATE,"⏳ قادمة",IF(F489&lt;cfg_VAL_DATE,"✔ منتهية","✈ جارية في تاريخ التقرير"))))))</f>
        <v/>
      </c>
      <c r="Q489" s="118"/>
      <c r="R489" s="133" t="n">
        <f aca="false">IF(OR(OR($B489="",$E489="",$F489=""),L489&lt;&gt;"لا"),0,MAX(0,MIN(F489,cfg_Y_START-1)-E489+1))</f>
        <v>0</v>
      </c>
      <c r="S489" s="133" t="n">
        <f aca="false">IF(OR(OR($B489="",$E489="",$F489=""),L489&lt;&gt;"لا"),0,MAX(0,MIN(F489,cfg_VAL_DATE)-E489+1))</f>
        <v>0</v>
      </c>
      <c r="T489" s="133" t="n">
        <f aca="false">IF(OR(OR($B489="",$E489="",$F489=""),K489&lt;&gt;"نعم"),0,IF(M489="نعم",IF(AND(ISNUMBER(O489),N(O489)&lt;=cfg_VAL_M),G489,0),MAX(0,MIN(F489,cfg_VAL_DATE)-MAX(E489,cfg_Y_START)+1)))</f>
        <v>0</v>
      </c>
      <c r="V489" s="133" t="n">
        <f aca="false">IF(OR($B489="",$E489="",$F489=""),0,MAX(0,MIN($F489,EOMONTH(DATE(cfg_FY,1,1),0))-MAX($E489,DATE(cfg_FY,1,1))+1)*(1-IF($M489="نعم",0,N($J489))))</f>
        <v>0</v>
      </c>
      <c r="W489" s="133" t="n">
        <f aca="false">IF(OR($B489="",$E489="",$F489=""),0,MAX(0,MIN($F489,EOMONTH(DATE(cfg_FY,2,1),0))-MAX($E489,DATE(cfg_FY,2,1))+1)*(1-IF($M489="نعم",0,N($J489))))</f>
        <v>0</v>
      </c>
      <c r="X489" s="133" t="n">
        <f aca="false">IF(OR($B489="",$E489="",$F489=""),0,MAX(0,MIN($F489,EOMONTH(DATE(cfg_FY,3,1),0))-MAX($E489,DATE(cfg_FY,3,1))+1)*(1-IF($M489="نعم",0,N($J489))))</f>
        <v>0</v>
      </c>
      <c r="Y489" s="133" t="n">
        <f aca="false">IF(OR($B489="",$E489="",$F489=""),0,MAX(0,MIN($F489,EOMONTH(DATE(cfg_FY,4,1),0))-MAX($E489,DATE(cfg_FY,4,1))+1)*(1-IF($M489="نعم",0,N($J489))))</f>
        <v>0</v>
      </c>
      <c r="Z489" s="133" t="n">
        <f aca="false">IF(OR($B489="",$E489="",$F489=""),0,MAX(0,MIN($F489,EOMONTH(DATE(cfg_FY,5,1),0))-MAX($E489,DATE(cfg_FY,5,1))+1)*(1-IF($M489="نعم",0,N($J489))))</f>
        <v>0</v>
      </c>
      <c r="AA489" s="133" t="n">
        <f aca="false">IF(OR($B489="",$E489="",$F489=""),0,MAX(0,MIN($F489,EOMONTH(DATE(cfg_FY,6,1),0))-MAX($E489,DATE(cfg_FY,6,1))+1)*(1-IF($M489="نعم",0,N($J489))))</f>
        <v>0</v>
      </c>
      <c r="AB489" s="133" t="n">
        <f aca="false">IF(OR($B489="",$E489="",$F489=""),0,MAX(0,MIN($F489,EOMONTH(DATE(cfg_FY,7,1),0))-MAX($E489,DATE(cfg_FY,7,1))+1)*(1-IF($M489="نعم",0,N($J489))))</f>
        <v>0</v>
      </c>
      <c r="AC489" s="133" t="n">
        <f aca="false">IF(OR($B489="",$E489="",$F489=""),0,MAX(0,MIN($F489,EOMONTH(DATE(cfg_FY,8,1),0))-MAX($E489,DATE(cfg_FY,8,1))+1)*(1-IF($M489="نعم",0,N($J489))))</f>
        <v>0</v>
      </c>
      <c r="AD489" s="133" t="n">
        <f aca="false">IF(OR($B489="",$E489="",$F489=""),0,MAX(0,MIN($F489,EOMONTH(DATE(cfg_FY,9,1),0))-MAX($E489,DATE(cfg_FY,9,1))+1)*(1-IF($M489="نعم",0,N($J489))))</f>
        <v>0</v>
      </c>
      <c r="AE489" s="133" t="n">
        <f aca="false">IF(OR($B489="",$E489="",$F489=""),0,MAX(0,MIN($F489,EOMONTH(DATE(cfg_FY,10,1),0))-MAX($E489,DATE(cfg_FY,10,1))+1)*(1-IF($M489="نعم",0,N($J489))))</f>
        <v>0</v>
      </c>
      <c r="AF489" s="133" t="n">
        <f aca="false">IF(OR($B489="",$E489="",$F489=""),0,MAX(0,MIN($F489,EOMONTH(DATE(cfg_FY,11,1),0))-MAX($E489,DATE(cfg_FY,11,1))+1)*(1-IF($M489="نعم",0,N($J489))))</f>
        <v>0</v>
      </c>
      <c r="AG489" s="133" t="n">
        <f aca="false">IF(OR($B489="",$E489="",$F489=""),0,MAX(0,MIN($F489,EOMONTH(DATE(cfg_FY,12,1),0))-MAX($E489,DATE(cfg_FY,12,1))+1)*(1-IF($M489="نعم",0,N($J489))))</f>
        <v>0</v>
      </c>
      <c r="AH489" s="133" t="n">
        <f aca="false">IF(OR(OR($B489="",$E489="",$F489=""),$L489&lt;&gt;"لا"),0,MAX(0,MIN($F489,EOMONTH(DATE(cfg_FY,1,1),0))-$E489+1))</f>
        <v>0</v>
      </c>
      <c r="AI489" s="133" t="n">
        <f aca="false">IF(OR(OR($B489="",$E489="",$F489=""),$L489&lt;&gt;"لا"),0,MAX(0,MIN($F489,EOMONTH(DATE(cfg_FY,2,1),0))-$E489+1))</f>
        <v>0</v>
      </c>
      <c r="AJ489" s="133" t="n">
        <f aca="false">IF(OR(OR($B489="",$E489="",$F489=""),$L489&lt;&gt;"لا"),0,MAX(0,MIN($F489,EOMONTH(DATE(cfg_FY,3,1),0))-$E489+1))</f>
        <v>0</v>
      </c>
      <c r="AK489" s="133" t="n">
        <f aca="false">IF(OR(OR($B489="",$E489="",$F489=""),$L489&lt;&gt;"لا"),0,MAX(0,MIN($F489,EOMONTH(DATE(cfg_FY,4,1),0))-$E489+1))</f>
        <v>0</v>
      </c>
      <c r="AL489" s="133" t="n">
        <f aca="false">IF(OR(OR($B489="",$E489="",$F489=""),$L489&lt;&gt;"لا"),0,MAX(0,MIN($F489,EOMONTH(DATE(cfg_FY,5,1),0))-$E489+1))</f>
        <v>0</v>
      </c>
      <c r="AM489" s="133" t="n">
        <f aca="false">IF(OR(OR($B489="",$E489="",$F489=""),$L489&lt;&gt;"لا"),0,MAX(0,MIN($F489,EOMONTH(DATE(cfg_FY,6,1),0))-$E489+1))</f>
        <v>0</v>
      </c>
      <c r="AN489" s="133" t="n">
        <f aca="false">IF(OR(OR($B489="",$E489="",$F489=""),$L489&lt;&gt;"لا"),0,MAX(0,MIN($F489,EOMONTH(DATE(cfg_FY,7,1),0))-$E489+1))</f>
        <v>0</v>
      </c>
      <c r="AO489" s="133" t="n">
        <f aca="false">IF(OR(OR($B489="",$E489="",$F489=""),$L489&lt;&gt;"لا"),0,MAX(0,MIN($F489,EOMONTH(DATE(cfg_FY,8,1),0))-$E489+1))</f>
        <v>0</v>
      </c>
      <c r="AP489" s="133" t="n">
        <f aca="false">IF(OR(OR($B489="",$E489="",$F489=""),$L489&lt;&gt;"لا"),0,MAX(0,MIN($F489,EOMONTH(DATE(cfg_FY,9,1),0))-$E489+1))</f>
        <v>0</v>
      </c>
      <c r="AQ489" s="133" t="n">
        <f aca="false">IF(OR(OR($B489="",$E489="",$F489=""),$L489&lt;&gt;"لا"),0,MAX(0,MIN($F489,EOMONTH(DATE(cfg_FY,10,1),0))-$E489+1))</f>
        <v>0</v>
      </c>
      <c r="AR489" s="133" t="n">
        <f aca="false">IF(OR(OR($B489="",$E489="",$F489=""),$L489&lt;&gt;"لا"),0,MAX(0,MIN($F489,EOMONTH(DATE(cfg_FY,11,1),0))-$E489+1))</f>
        <v>0</v>
      </c>
      <c r="AS489" s="133" t="n">
        <f aca="false">IF(OR(OR($B489="",$E489="",$F489=""),$L489&lt;&gt;"لا"),0,MAX(0,MIN($F489,EOMONTH(DATE(cfg_FY,12,1),0))-$E489+1))</f>
        <v>0</v>
      </c>
      <c r="AT489" s="133" t="n">
        <f aca="false">IF(OR(OR($B489="",$E489="",$F489=""),$K489&lt;&gt;"نعم",$M489="نعم"),0,MAX(0,MIN($F489,EOMONTH(DATE(cfg_FY,1,1),0))-MAX($E489,DATE(cfg_FY,1,1))+1))</f>
        <v>0</v>
      </c>
      <c r="AU489" s="133" t="n">
        <f aca="false">IF(OR(OR($B489="",$E489="",$F489=""),$K489&lt;&gt;"نعم",$M489="نعم"),0,MAX(0,MIN($F489,EOMONTH(DATE(cfg_FY,2,1),0))-MAX($E489,DATE(cfg_FY,2,1))+1))</f>
        <v>0</v>
      </c>
      <c r="AV489" s="133" t="n">
        <f aca="false">IF(OR(OR($B489="",$E489="",$F489=""),$K489&lt;&gt;"نعم",$M489="نعم"),0,MAX(0,MIN($F489,EOMONTH(DATE(cfg_FY,3,1),0))-MAX($E489,DATE(cfg_FY,3,1))+1))</f>
        <v>0</v>
      </c>
      <c r="AW489" s="133" t="n">
        <f aca="false">IF(OR(OR($B489="",$E489="",$F489=""),$K489&lt;&gt;"نعم",$M489="نعم"),0,MAX(0,MIN($F489,EOMONTH(DATE(cfg_FY,4,1),0))-MAX($E489,DATE(cfg_FY,4,1))+1))</f>
        <v>0</v>
      </c>
      <c r="AX489" s="133" t="n">
        <f aca="false">IF(OR(OR($B489="",$E489="",$F489=""),$K489&lt;&gt;"نعم",$M489="نعم"),0,MAX(0,MIN($F489,EOMONTH(DATE(cfg_FY,5,1),0))-MAX($E489,DATE(cfg_FY,5,1))+1))</f>
        <v>0</v>
      </c>
      <c r="AY489" s="133" t="n">
        <f aca="false">IF(OR(OR($B489="",$E489="",$F489=""),$K489&lt;&gt;"نعم",$M489="نعم"),0,MAX(0,MIN($F489,EOMONTH(DATE(cfg_FY,6,1),0))-MAX($E489,DATE(cfg_FY,6,1))+1))</f>
        <v>0</v>
      </c>
      <c r="AZ489" s="133" t="n">
        <f aca="false">IF(OR(OR($B489="",$E489="",$F489=""),$K489&lt;&gt;"نعم",$M489="نعم"),0,MAX(0,MIN($F489,EOMONTH(DATE(cfg_FY,7,1),0))-MAX($E489,DATE(cfg_FY,7,1))+1))</f>
        <v>0</v>
      </c>
      <c r="BA489" s="133" t="n">
        <f aca="false">IF(OR(OR($B489="",$E489="",$F489=""),$K489&lt;&gt;"نعم",$M489="نعم"),0,MAX(0,MIN($F489,EOMONTH(DATE(cfg_FY,8,1),0))-MAX($E489,DATE(cfg_FY,8,1))+1))</f>
        <v>0</v>
      </c>
      <c r="BB489" s="133" t="n">
        <f aca="false">IF(OR(OR($B489="",$E489="",$F489=""),$K489&lt;&gt;"نعم",$M489="نعم"),0,MAX(0,MIN($F489,EOMONTH(DATE(cfg_FY,9,1),0))-MAX($E489,DATE(cfg_FY,9,1))+1))</f>
        <v>0</v>
      </c>
      <c r="BC489" s="133" t="n">
        <f aca="false">IF(OR(OR($B489="",$E489="",$F489=""),$K489&lt;&gt;"نعم",$M489="نعم"),0,MAX(0,MIN($F489,EOMONTH(DATE(cfg_FY,10,1),0))-MAX($E489,DATE(cfg_FY,10,1))+1))</f>
        <v>0</v>
      </c>
      <c r="BD489" s="133" t="n">
        <f aca="false">IF(OR(OR($B489="",$E489="",$F489=""),$K489&lt;&gt;"نعم",$M489="نعم"),0,MAX(0,MIN($F489,EOMONTH(DATE(cfg_FY,11,1),0))-MAX($E489,DATE(cfg_FY,11,1))+1))</f>
        <v>0</v>
      </c>
      <c r="BE489" s="133" t="n">
        <f aca="false">IF(OR(OR($B489="",$E489="",$F489=""),$K489&lt;&gt;"نعم",$M489="نعم"),0,MAX(0,MIN($F489,EOMONTH(DATE(cfg_FY,12,1),0))-MAX($E489,DATE(cfg_FY,12,1))+1))</f>
        <v>0</v>
      </c>
    </row>
    <row r="490" customFormat="false" ht="15" hidden="false" customHeight="false" outlineLevel="0" collapsed="false">
      <c r="A490" s="106" t="str">
        <f aca="false">IF(B490="","",ROW()-5)</f>
        <v/>
      </c>
      <c r="B490" s="118"/>
      <c r="C490" s="114" t="str">
        <f aca="false">IF(B490="","",IFERROR(INDEX(الموظفون!$C$6:$C$105,MATCH(B490,الموظفون!$B$6:$B$105,0)),"✖ رقم غير موجود"))</f>
        <v/>
      </c>
      <c r="D490" s="118"/>
      <c r="E490" s="119"/>
      <c r="F490" s="119"/>
      <c r="G490" s="65" t="str">
        <f aca="false">IF(OR($B490="",$E490="",$F490=""),"",MAX(0,F490-E490+1))</f>
        <v/>
      </c>
      <c r="H490" s="66" t="str">
        <f aca="false">IF(D490="","",IFERROR(VLOOKUP(D490,cfg_LT,2,FALSE()),1))</f>
        <v/>
      </c>
      <c r="I490" s="135"/>
      <c r="J490" s="66" t="str">
        <f aca="false">IF(D490="","",IF(I490&lt;&gt;"",I490,H490))</f>
        <v/>
      </c>
      <c r="K490" s="114" t="str">
        <f aca="false">IF(D490="","",IFERROR(VLOOKUP($D490,cfg_LT,3,FALSE()),""))</f>
        <v/>
      </c>
      <c r="L490" s="114" t="str">
        <f aca="false">IF(D490="","",IFERROR(VLOOKUP($D490,cfg_LT,4,FALSE()),""))</f>
        <v/>
      </c>
      <c r="M490" s="114" t="str">
        <f aca="false">IF(D490="","",IFERROR(VLOOKUP($D490,cfg_LT,5,FALSE()),""))</f>
        <v/>
      </c>
      <c r="N490" s="111" t="n">
        <f aca="false">IF(OR(OR($B490="",$E490="",$F490=""),M490&lt;&gt;"نعم"),0,G490*J490*IFERROR(INDEX(الموظفون!$R$6:$R$105,MATCH(B490,الموظفون!$B$6:$B$105,0)),0)/cfg_DAYS_M)</f>
        <v>0</v>
      </c>
      <c r="O490" s="106" t="str">
        <f aca="false">IF(OR(OR($B490="",$E490="",$F490=""),M490&lt;&gt;"نعم"),"",IF(YEAR(E490)=cfg_FY,MONTH(E490),""))</f>
        <v/>
      </c>
      <c r="P490" s="114" t="str">
        <f aca="false">IF(B490="","",IF(OR(D490="",E490="",F490=""),"⚠ أكمل النوع والتواريخ",IF(F490&lt;E490,"✖ النهاية قبل البداية",IF(COUNTIFS($B$6:$B$505,B490,$E$6:$E$505,"&lt;="&amp;F490,$F$6:$F$505,"&gt;="&amp;E490)&gt;1,"⚠ تداخل مع سجل آخر",IF(E490&gt;cfg_VAL_DATE,"⏳ قادمة",IF(F490&lt;cfg_VAL_DATE,"✔ منتهية","✈ جارية في تاريخ التقرير"))))))</f>
        <v/>
      </c>
      <c r="Q490" s="118"/>
      <c r="R490" s="65" t="n">
        <f aca="false">IF(OR(OR($B490="",$E490="",$F490=""),L490&lt;&gt;"لا"),0,MAX(0,MIN(F490,cfg_Y_START-1)-E490+1))</f>
        <v>0</v>
      </c>
      <c r="S490" s="65" t="n">
        <f aca="false">IF(OR(OR($B490="",$E490="",$F490=""),L490&lt;&gt;"لا"),0,MAX(0,MIN(F490,cfg_VAL_DATE)-E490+1))</f>
        <v>0</v>
      </c>
      <c r="T490" s="65" t="n">
        <f aca="false">IF(OR(OR($B490="",$E490="",$F490=""),K490&lt;&gt;"نعم"),0,IF(M490="نعم",IF(AND(ISNUMBER(O490),N(O490)&lt;=cfg_VAL_M),G490,0),MAX(0,MIN(F490,cfg_VAL_DATE)-MAX(E490,cfg_Y_START)+1)))</f>
        <v>0</v>
      </c>
      <c r="V490" s="65" t="n">
        <f aca="false">IF(OR($B490="",$E490="",$F490=""),0,MAX(0,MIN($F490,EOMONTH(DATE(cfg_FY,1,1),0))-MAX($E490,DATE(cfg_FY,1,1))+1)*(1-IF($M490="نعم",0,N($J490))))</f>
        <v>0</v>
      </c>
      <c r="W490" s="65" t="n">
        <f aca="false">IF(OR($B490="",$E490="",$F490=""),0,MAX(0,MIN($F490,EOMONTH(DATE(cfg_FY,2,1),0))-MAX($E490,DATE(cfg_FY,2,1))+1)*(1-IF($M490="نعم",0,N($J490))))</f>
        <v>0</v>
      </c>
      <c r="X490" s="65" t="n">
        <f aca="false">IF(OR($B490="",$E490="",$F490=""),0,MAX(0,MIN($F490,EOMONTH(DATE(cfg_FY,3,1),0))-MAX($E490,DATE(cfg_FY,3,1))+1)*(1-IF($M490="نعم",0,N($J490))))</f>
        <v>0</v>
      </c>
      <c r="Y490" s="65" t="n">
        <f aca="false">IF(OR($B490="",$E490="",$F490=""),0,MAX(0,MIN($F490,EOMONTH(DATE(cfg_FY,4,1),0))-MAX($E490,DATE(cfg_FY,4,1))+1)*(1-IF($M490="نعم",0,N($J490))))</f>
        <v>0</v>
      </c>
      <c r="Z490" s="65" t="n">
        <f aca="false">IF(OR($B490="",$E490="",$F490=""),0,MAX(0,MIN($F490,EOMONTH(DATE(cfg_FY,5,1),0))-MAX($E490,DATE(cfg_FY,5,1))+1)*(1-IF($M490="نعم",0,N($J490))))</f>
        <v>0</v>
      </c>
      <c r="AA490" s="65" t="n">
        <f aca="false">IF(OR($B490="",$E490="",$F490=""),0,MAX(0,MIN($F490,EOMONTH(DATE(cfg_FY,6,1),0))-MAX($E490,DATE(cfg_FY,6,1))+1)*(1-IF($M490="نعم",0,N($J490))))</f>
        <v>0</v>
      </c>
      <c r="AB490" s="65" t="n">
        <f aca="false">IF(OR($B490="",$E490="",$F490=""),0,MAX(0,MIN($F490,EOMONTH(DATE(cfg_FY,7,1),0))-MAX($E490,DATE(cfg_FY,7,1))+1)*(1-IF($M490="نعم",0,N($J490))))</f>
        <v>0</v>
      </c>
      <c r="AC490" s="65" t="n">
        <f aca="false">IF(OR($B490="",$E490="",$F490=""),0,MAX(0,MIN($F490,EOMONTH(DATE(cfg_FY,8,1),0))-MAX($E490,DATE(cfg_FY,8,1))+1)*(1-IF($M490="نعم",0,N($J490))))</f>
        <v>0</v>
      </c>
      <c r="AD490" s="65" t="n">
        <f aca="false">IF(OR($B490="",$E490="",$F490=""),0,MAX(0,MIN($F490,EOMONTH(DATE(cfg_FY,9,1),0))-MAX($E490,DATE(cfg_FY,9,1))+1)*(1-IF($M490="نعم",0,N($J490))))</f>
        <v>0</v>
      </c>
      <c r="AE490" s="65" t="n">
        <f aca="false">IF(OR($B490="",$E490="",$F490=""),0,MAX(0,MIN($F490,EOMONTH(DATE(cfg_FY,10,1),0))-MAX($E490,DATE(cfg_FY,10,1))+1)*(1-IF($M490="نعم",0,N($J490))))</f>
        <v>0</v>
      </c>
      <c r="AF490" s="65" t="n">
        <f aca="false">IF(OR($B490="",$E490="",$F490=""),0,MAX(0,MIN($F490,EOMONTH(DATE(cfg_FY,11,1),0))-MAX($E490,DATE(cfg_FY,11,1))+1)*(1-IF($M490="نعم",0,N($J490))))</f>
        <v>0</v>
      </c>
      <c r="AG490" s="65" t="n">
        <f aca="false">IF(OR($B490="",$E490="",$F490=""),0,MAX(0,MIN($F490,EOMONTH(DATE(cfg_FY,12,1),0))-MAX($E490,DATE(cfg_FY,12,1))+1)*(1-IF($M490="نعم",0,N($J490))))</f>
        <v>0</v>
      </c>
      <c r="AH490" s="65" t="n">
        <f aca="false">IF(OR(OR($B490="",$E490="",$F490=""),$L490&lt;&gt;"لا"),0,MAX(0,MIN($F490,EOMONTH(DATE(cfg_FY,1,1),0))-$E490+1))</f>
        <v>0</v>
      </c>
      <c r="AI490" s="65" t="n">
        <f aca="false">IF(OR(OR($B490="",$E490="",$F490=""),$L490&lt;&gt;"لا"),0,MAX(0,MIN($F490,EOMONTH(DATE(cfg_FY,2,1),0))-$E490+1))</f>
        <v>0</v>
      </c>
      <c r="AJ490" s="65" t="n">
        <f aca="false">IF(OR(OR($B490="",$E490="",$F490=""),$L490&lt;&gt;"لا"),0,MAX(0,MIN($F490,EOMONTH(DATE(cfg_FY,3,1),0))-$E490+1))</f>
        <v>0</v>
      </c>
      <c r="AK490" s="65" t="n">
        <f aca="false">IF(OR(OR($B490="",$E490="",$F490=""),$L490&lt;&gt;"لا"),0,MAX(0,MIN($F490,EOMONTH(DATE(cfg_FY,4,1),0))-$E490+1))</f>
        <v>0</v>
      </c>
      <c r="AL490" s="65" t="n">
        <f aca="false">IF(OR(OR($B490="",$E490="",$F490=""),$L490&lt;&gt;"لا"),0,MAX(0,MIN($F490,EOMONTH(DATE(cfg_FY,5,1),0))-$E490+1))</f>
        <v>0</v>
      </c>
      <c r="AM490" s="65" t="n">
        <f aca="false">IF(OR(OR($B490="",$E490="",$F490=""),$L490&lt;&gt;"لا"),0,MAX(0,MIN($F490,EOMONTH(DATE(cfg_FY,6,1),0))-$E490+1))</f>
        <v>0</v>
      </c>
      <c r="AN490" s="65" t="n">
        <f aca="false">IF(OR(OR($B490="",$E490="",$F490=""),$L490&lt;&gt;"لا"),0,MAX(0,MIN($F490,EOMONTH(DATE(cfg_FY,7,1),0))-$E490+1))</f>
        <v>0</v>
      </c>
      <c r="AO490" s="65" t="n">
        <f aca="false">IF(OR(OR($B490="",$E490="",$F490=""),$L490&lt;&gt;"لا"),0,MAX(0,MIN($F490,EOMONTH(DATE(cfg_FY,8,1),0))-$E490+1))</f>
        <v>0</v>
      </c>
      <c r="AP490" s="65" t="n">
        <f aca="false">IF(OR(OR($B490="",$E490="",$F490=""),$L490&lt;&gt;"لا"),0,MAX(0,MIN($F490,EOMONTH(DATE(cfg_FY,9,1),0))-$E490+1))</f>
        <v>0</v>
      </c>
      <c r="AQ490" s="65" t="n">
        <f aca="false">IF(OR(OR($B490="",$E490="",$F490=""),$L490&lt;&gt;"لا"),0,MAX(0,MIN($F490,EOMONTH(DATE(cfg_FY,10,1),0))-$E490+1))</f>
        <v>0</v>
      </c>
      <c r="AR490" s="65" t="n">
        <f aca="false">IF(OR(OR($B490="",$E490="",$F490=""),$L490&lt;&gt;"لا"),0,MAX(0,MIN($F490,EOMONTH(DATE(cfg_FY,11,1),0))-$E490+1))</f>
        <v>0</v>
      </c>
      <c r="AS490" s="65" t="n">
        <f aca="false">IF(OR(OR($B490="",$E490="",$F490=""),$L490&lt;&gt;"لا"),0,MAX(0,MIN($F490,EOMONTH(DATE(cfg_FY,12,1),0))-$E490+1))</f>
        <v>0</v>
      </c>
      <c r="AT490" s="65" t="n">
        <f aca="false">IF(OR(OR($B490="",$E490="",$F490=""),$K490&lt;&gt;"نعم",$M490="نعم"),0,MAX(0,MIN($F490,EOMONTH(DATE(cfg_FY,1,1),0))-MAX($E490,DATE(cfg_FY,1,1))+1))</f>
        <v>0</v>
      </c>
      <c r="AU490" s="65" t="n">
        <f aca="false">IF(OR(OR($B490="",$E490="",$F490=""),$K490&lt;&gt;"نعم",$M490="نعم"),0,MAX(0,MIN($F490,EOMONTH(DATE(cfg_FY,2,1),0))-MAX($E490,DATE(cfg_FY,2,1))+1))</f>
        <v>0</v>
      </c>
      <c r="AV490" s="65" t="n">
        <f aca="false">IF(OR(OR($B490="",$E490="",$F490=""),$K490&lt;&gt;"نعم",$M490="نعم"),0,MAX(0,MIN($F490,EOMONTH(DATE(cfg_FY,3,1),0))-MAX($E490,DATE(cfg_FY,3,1))+1))</f>
        <v>0</v>
      </c>
      <c r="AW490" s="65" t="n">
        <f aca="false">IF(OR(OR($B490="",$E490="",$F490=""),$K490&lt;&gt;"نعم",$M490="نعم"),0,MAX(0,MIN($F490,EOMONTH(DATE(cfg_FY,4,1),0))-MAX($E490,DATE(cfg_FY,4,1))+1))</f>
        <v>0</v>
      </c>
      <c r="AX490" s="65" t="n">
        <f aca="false">IF(OR(OR($B490="",$E490="",$F490=""),$K490&lt;&gt;"نعم",$M490="نعم"),0,MAX(0,MIN($F490,EOMONTH(DATE(cfg_FY,5,1),0))-MAX($E490,DATE(cfg_FY,5,1))+1))</f>
        <v>0</v>
      </c>
      <c r="AY490" s="65" t="n">
        <f aca="false">IF(OR(OR($B490="",$E490="",$F490=""),$K490&lt;&gt;"نعم",$M490="نعم"),0,MAX(0,MIN($F490,EOMONTH(DATE(cfg_FY,6,1),0))-MAX($E490,DATE(cfg_FY,6,1))+1))</f>
        <v>0</v>
      </c>
      <c r="AZ490" s="65" t="n">
        <f aca="false">IF(OR(OR($B490="",$E490="",$F490=""),$K490&lt;&gt;"نعم",$M490="نعم"),0,MAX(0,MIN($F490,EOMONTH(DATE(cfg_FY,7,1),0))-MAX($E490,DATE(cfg_FY,7,1))+1))</f>
        <v>0</v>
      </c>
      <c r="BA490" s="65" t="n">
        <f aca="false">IF(OR(OR($B490="",$E490="",$F490=""),$K490&lt;&gt;"نعم",$M490="نعم"),0,MAX(0,MIN($F490,EOMONTH(DATE(cfg_FY,8,1),0))-MAX($E490,DATE(cfg_FY,8,1))+1))</f>
        <v>0</v>
      </c>
      <c r="BB490" s="65" t="n">
        <f aca="false">IF(OR(OR($B490="",$E490="",$F490=""),$K490&lt;&gt;"نعم",$M490="نعم"),0,MAX(0,MIN($F490,EOMONTH(DATE(cfg_FY,9,1),0))-MAX($E490,DATE(cfg_FY,9,1))+1))</f>
        <v>0</v>
      </c>
      <c r="BC490" s="65" t="n">
        <f aca="false">IF(OR(OR($B490="",$E490="",$F490=""),$K490&lt;&gt;"نعم",$M490="نعم"),0,MAX(0,MIN($F490,EOMONTH(DATE(cfg_FY,10,1),0))-MAX($E490,DATE(cfg_FY,10,1))+1))</f>
        <v>0</v>
      </c>
      <c r="BD490" s="65" t="n">
        <f aca="false">IF(OR(OR($B490="",$E490="",$F490=""),$K490&lt;&gt;"نعم",$M490="نعم"),0,MAX(0,MIN($F490,EOMONTH(DATE(cfg_FY,11,1),0))-MAX($E490,DATE(cfg_FY,11,1))+1))</f>
        <v>0</v>
      </c>
      <c r="BE490" s="65" t="n">
        <f aca="false">IF(OR(OR($B490="",$E490="",$F490=""),$K490&lt;&gt;"نعم",$M490="نعم"),0,MAX(0,MIN($F490,EOMONTH(DATE(cfg_FY,12,1),0))-MAX($E490,DATE(cfg_FY,12,1))+1))</f>
        <v>0</v>
      </c>
    </row>
    <row r="491" customFormat="false" ht="15" hidden="false" customHeight="false" outlineLevel="0" collapsed="false">
      <c r="A491" s="115" t="str">
        <f aca="false">IF(B491="","",ROW()-5)</f>
        <v/>
      </c>
      <c r="B491" s="118"/>
      <c r="C491" s="117" t="str">
        <f aca="false">IF(B491="","",IFERROR(INDEX(الموظفون!$C$6:$C$105,MATCH(B491,الموظفون!$B$6:$B$105,0)),"✖ رقم غير موجود"))</f>
        <v/>
      </c>
      <c r="D491" s="118"/>
      <c r="E491" s="119"/>
      <c r="F491" s="119"/>
      <c r="G491" s="133" t="str">
        <f aca="false">IF(OR($B491="",$E491="",$F491=""),"",MAX(0,F491-E491+1))</f>
        <v/>
      </c>
      <c r="H491" s="134" t="str">
        <f aca="false">IF(D491="","",IFERROR(VLOOKUP(D491,cfg_LT,2,FALSE()),1))</f>
        <v/>
      </c>
      <c r="I491" s="135"/>
      <c r="J491" s="134" t="str">
        <f aca="false">IF(D491="","",IF(I491&lt;&gt;"",I491,H491))</f>
        <v/>
      </c>
      <c r="K491" s="117" t="str">
        <f aca="false">IF(D491="","",IFERROR(VLOOKUP($D491,cfg_LT,3,FALSE()),""))</f>
        <v/>
      </c>
      <c r="L491" s="117" t="str">
        <f aca="false">IF(D491="","",IFERROR(VLOOKUP($D491,cfg_LT,4,FALSE()),""))</f>
        <v/>
      </c>
      <c r="M491" s="117" t="str">
        <f aca="false">IF(D491="","",IFERROR(VLOOKUP($D491,cfg_LT,5,FALSE()),""))</f>
        <v/>
      </c>
      <c r="N491" s="116" t="n">
        <f aca="false">IF(OR(OR($B491="",$E491="",$F491=""),M491&lt;&gt;"نعم"),0,G491*J491*IFERROR(INDEX(الموظفون!$R$6:$R$105,MATCH(B491,الموظفون!$B$6:$B$105,0)),0)/cfg_DAYS_M)</f>
        <v>0</v>
      </c>
      <c r="O491" s="115" t="str">
        <f aca="false">IF(OR(OR($B491="",$E491="",$F491=""),M491&lt;&gt;"نعم"),"",IF(YEAR(E491)=cfg_FY,MONTH(E491),""))</f>
        <v/>
      </c>
      <c r="P491" s="117" t="str">
        <f aca="false">IF(B491="","",IF(OR(D491="",E491="",F491=""),"⚠ أكمل النوع والتواريخ",IF(F491&lt;E491,"✖ النهاية قبل البداية",IF(COUNTIFS($B$6:$B$505,B491,$E$6:$E$505,"&lt;="&amp;F491,$F$6:$F$505,"&gt;="&amp;E491)&gt;1,"⚠ تداخل مع سجل آخر",IF(E491&gt;cfg_VAL_DATE,"⏳ قادمة",IF(F491&lt;cfg_VAL_DATE,"✔ منتهية","✈ جارية في تاريخ التقرير"))))))</f>
        <v/>
      </c>
      <c r="Q491" s="118"/>
      <c r="R491" s="133" t="n">
        <f aca="false">IF(OR(OR($B491="",$E491="",$F491=""),L491&lt;&gt;"لا"),0,MAX(0,MIN(F491,cfg_Y_START-1)-E491+1))</f>
        <v>0</v>
      </c>
      <c r="S491" s="133" t="n">
        <f aca="false">IF(OR(OR($B491="",$E491="",$F491=""),L491&lt;&gt;"لا"),0,MAX(0,MIN(F491,cfg_VAL_DATE)-E491+1))</f>
        <v>0</v>
      </c>
      <c r="T491" s="133" t="n">
        <f aca="false">IF(OR(OR($B491="",$E491="",$F491=""),K491&lt;&gt;"نعم"),0,IF(M491="نعم",IF(AND(ISNUMBER(O491),N(O491)&lt;=cfg_VAL_M),G491,0),MAX(0,MIN(F491,cfg_VAL_DATE)-MAX(E491,cfg_Y_START)+1)))</f>
        <v>0</v>
      </c>
      <c r="V491" s="133" t="n">
        <f aca="false">IF(OR($B491="",$E491="",$F491=""),0,MAX(0,MIN($F491,EOMONTH(DATE(cfg_FY,1,1),0))-MAX($E491,DATE(cfg_FY,1,1))+1)*(1-IF($M491="نعم",0,N($J491))))</f>
        <v>0</v>
      </c>
      <c r="W491" s="133" t="n">
        <f aca="false">IF(OR($B491="",$E491="",$F491=""),0,MAX(0,MIN($F491,EOMONTH(DATE(cfg_FY,2,1),0))-MAX($E491,DATE(cfg_FY,2,1))+1)*(1-IF($M491="نعم",0,N($J491))))</f>
        <v>0</v>
      </c>
      <c r="X491" s="133" t="n">
        <f aca="false">IF(OR($B491="",$E491="",$F491=""),0,MAX(0,MIN($F491,EOMONTH(DATE(cfg_FY,3,1),0))-MAX($E491,DATE(cfg_FY,3,1))+1)*(1-IF($M491="نعم",0,N($J491))))</f>
        <v>0</v>
      </c>
      <c r="Y491" s="133" t="n">
        <f aca="false">IF(OR($B491="",$E491="",$F491=""),0,MAX(0,MIN($F491,EOMONTH(DATE(cfg_FY,4,1),0))-MAX($E491,DATE(cfg_FY,4,1))+1)*(1-IF($M491="نعم",0,N($J491))))</f>
        <v>0</v>
      </c>
      <c r="Z491" s="133" t="n">
        <f aca="false">IF(OR($B491="",$E491="",$F491=""),0,MAX(0,MIN($F491,EOMONTH(DATE(cfg_FY,5,1),0))-MAX($E491,DATE(cfg_FY,5,1))+1)*(1-IF($M491="نعم",0,N($J491))))</f>
        <v>0</v>
      </c>
      <c r="AA491" s="133" t="n">
        <f aca="false">IF(OR($B491="",$E491="",$F491=""),0,MAX(0,MIN($F491,EOMONTH(DATE(cfg_FY,6,1),0))-MAX($E491,DATE(cfg_FY,6,1))+1)*(1-IF($M491="نعم",0,N($J491))))</f>
        <v>0</v>
      </c>
      <c r="AB491" s="133" t="n">
        <f aca="false">IF(OR($B491="",$E491="",$F491=""),0,MAX(0,MIN($F491,EOMONTH(DATE(cfg_FY,7,1),0))-MAX($E491,DATE(cfg_FY,7,1))+1)*(1-IF($M491="نعم",0,N($J491))))</f>
        <v>0</v>
      </c>
      <c r="AC491" s="133" t="n">
        <f aca="false">IF(OR($B491="",$E491="",$F491=""),0,MAX(0,MIN($F491,EOMONTH(DATE(cfg_FY,8,1),0))-MAX($E491,DATE(cfg_FY,8,1))+1)*(1-IF($M491="نعم",0,N($J491))))</f>
        <v>0</v>
      </c>
      <c r="AD491" s="133" t="n">
        <f aca="false">IF(OR($B491="",$E491="",$F491=""),0,MAX(0,MIN($F491,EOMONTH(DATE(cfg_FY,9,1),0))-MAX($E491,DATE(cfg_FY,9,1))+1)*(1-IF($M491="نعم",0,N($J491))))</f>
        <v>0</v>
      </c>
      <c r="AE491" s="133" t="n">
        <f aca="false">IF(OR($B491="",$E491="",$F491=""),0,MAX(0,MIN($F491,EOMONTH(DATE(cfg_FY,10,1),0))-MAX($E491,DATE(cfg_FY,10,1))+1)*(1-IF($M491="نعم",0,N($J491))))</f>
        <v>0</v>
      </c>
      <c r="AF491" s="133" t="n">
        <f aca="false">IF(OR($B491="",$E491="",$F491=""),0,MAX(0,MIN($F491,EOMONTH(DATE(cfg_FY,11,1),0))-MAX($E491,DATE(cfg_FY,11,1))+1)*(1-IF($M491="نعم",0,N($J491))))</f>
        <v>0</v>
      </c>
      <c r="AG491" s="133" t="n">
        <f aca="false">IF(OR($B491="",$E491="",$F491=""),0,MAX(0,MIN($F491,EOMONTH(DATE(cfg_FY,12,1),0))-MAX($E491,DATE(cfg_FY,12,1))+1)*(1-IF($M491="نعم",0,N($J491))))</f>
        <v>0</v>
      </c>
      <c r="AH491" s="133" t="n">
        <f aca="false">IF(OR(OR($B491="",$E491="",$F491=""),$L491&lt;&gt;"لا"),0,MAX(0,MIN($F491,EOMONTH(DATE(cfg_FY,1,1),0))-$E491+1))</f>
        <v>0</v>
      </c>
      <c r="AI491" s="133" t="n">
        <f aca="false">IF(OR(OR($B491="",$E491="",$F491=""),$L491&lt;&gt;"لا"),0,MAX(0,MIN($F491,EOMONTH(DATE(cfg_FY,2,1),0))-$E491+1))</f>
        <v>0</v>
      </c>
      <c r="AJ491" s="133" t="n">
        <f aca="false">IF(OR(OR($B491="",$E491="",$F491=""),$L491&lt;&gt;"لا"),0,MAX(0,MIN($F491,EOMONTH(DATE(cfg_FY,3,1),0))-$E491+1))</f>
        <v>0</v>
      </c>
      <c r="AK491" s="133" t="n">
        <f aca="false">IF(OR(OR($B491="",$E491="",$F491=""),$L491&lt;&gt;"لا"),0,MAX(0,MIN($F491,EOMONTH(DATE(cfg_FY,4,1),0))-$E491+1))</f>
        <v>0</v>
      </c>
      <c r="AL491" s="133" t="n">
        <f aca="false">IF(OR(OR($B491="",$E491="",$F491=""),$L491&lt;&gt;"لا"),0,MAX(0,MIN($F491,EOMONTH(DATE(cfg_FY,5,1),0))-$E491+1))</f>
        <v>0</v>
      </c>
      <c r="AM491" s="133" t="n">
        <f aca="false">IF(OR(OR($B491="",$E491="",$F491=""),$L491&lt;&gt;"لا"),0,MAX(0,MIN($F491,EOMONTH(DATE(cfg_FY,6,1),0))-$E491+1))</f>
        <v>0</v>
      </c>
      <c r="AN491" s="133" t="n">
        <f aca="false">IF(OR(OR($B491="",$E491="",$F491=""),$L491&lt;&gt;"لا"),0,MAX(0,MIN($F491,EOMONTH(DATE(cfg_FY,7,1),0))-$E491+1))</f>
        <v>0</v>
      </c>
      <c r="AO491" s="133" t="n">
        <f aca="false">IF(OR(OR($B491="",$E491="",$F491=""),$L491&lt;&gt;"لا"),0,MAX(0,MIN($F491,EOMONTH(DATE(cfg_FY,8,1),0))-$E491+1))</f>
        <v>0</v>
      </c>
      <c r="AP491" s="133" t="n">
        <f aca="false">IF(OR(OR($B491="",$E491="",$F491=""),$L491&lt;&gt;"لا"),0,MAX(0,MIN($F491,EOMONTH(DATE(cfg_FY,9,1),0))-$E491+1))</f>
        <v>0</v>
      </c>
      <c r="AQ491" s="133" t="n">
        <f aca="false">IF(OR(OR($B491="",$E491="",$F491=""),$L491&lt;&gt;"لا"),0,MAX(0,MIN($F491,EOMONTH(DATE(cfg_FY,10,1),0))-$E491+1))</f>
        <v>0</v>
      </c>
      <c r="AR491" s="133" t="n">
        <f aca="false">IF(OR(OR($B491="",$E491="",$F491=""),$L491&lt;&gt;"لا"),0,MAX(0,MIN($F491,EOMONTH(DATE(cfg_FY,11,1),0))-$E491+1))</f>
        <v>0</v>
      </c>
      <c r="AS491" s="133" t="n">
        <f aca="false">IF(OR(OR($B491="",$E491="",$F491=""),$L491&lt;&gt;"لا"),0,MAX(0,MIN($F491,EOMONTH(DATE(cfg_FY,12,1),0))-$E491+1))</f>
        <v>0</v>
      </c>
      <c r="AT491" s="133" t="n">
        <f aca="false">IF(OR(OR($B491="",$E491="",$F491=""),$K491&lt;&gt;"نعم",$M491="نعم"),0,MAX(0,MIN($F491,EOMONTH(DATE(cfg_FY,1,1),0))-MAX($E491,DATE(cfg_FY,1,1))+1))</f>
        <v>0</v>
      </c>
      <c r="AU491" s="133" t="n">
        <f aca="false">IF(OR(OR($B491="",$E491="",$F491=""),$K491&lt;&gt;"نعم",$M491="نعم"),0,MAX(0,MIN($F491,EOMONTH(DATE(cfg_FY,2,1),0))-MAX($E491,DATE(cfg_FY,2,1))+1))</f>
        <v>0</v>
      </c>
      <c r="AV491" s="133" t="n">
        <f aca="false">IF(OR(OR($B491="",$E491="",$F491=""),$K491&lt;&gt;"نعم",$M491="نعم"),0,MAX(0,MIN($F491,EOMONTH(DATE(cfg_FY,3,1),0))-MAX($E491,DATE(cfg_FY,3,1))+1))</f>
        <v>0</v>
      </c>
      <c r="AW491" s="133" t="n">
        <f aca="false">IF(OR(OR($B491="",$E491="",$F491=""),$K491&lt;&gt;"نعم",$M491="نعم"),0,MAX(0,MIN($F491,EOMONTH(DATE(cfg_FY,4,1),0))-MAX($E491,DATE(cfg_FY,4,1))+1))</f>
        <v>0</v>
      </c>
      <c r="AX491" s="133" t="n">
        <f aca="false">IF(OR(OR($B491="",$E491="",$F491=""),$K491&lt;&gt;"نعم",$M491="نعم"),0,MAX(0,MIN($F491,EOMONTH(DATE(cfg_FY,5,1),0))-MAX($E491,DATE(cfg_FY,5,1))+1))</f>
        <v>0</v>
      </c>
      <c r="AY491" s="133" t="n">
        <f aca="false">IF(OR(OR($B491="",$E491="",$F491=""),$K491&lt;&gt;"نعم",$M491="نعم"),0,MAX(0,MIN($F491,EOMONTH(DATE(cfg_FY,6,1),0))-MAX($E491,DATE(cfg_FY,6,1))+1))</f>
        <v>0</v>
      </c>
      <c r="AZ491" s="133" t="n">
        <f aca="false">IF(OR(OR($B491="",$E491="",$F491=""),$K491&lt;&gt;"نعم",$M491="نعم"),0,MAX(0,MIN($F491,EOMONTH(DATE(cfg_FY,7,1),0))-MAX($E491,DATE(cfg_FY,7,1))+1))</f>
        <v>0</v>
      </c>
      <c r="BA491" s="133" t="n">
        <f aca="false">IF(OR(OR($B491="",$E491="",$F491=""),$K491&lt;&gt;"نعم",$M491="نعم"),0,MAX(0,MIN($F491,EOMONTH(DATE(cfg_FY,8,1),0))-MAX($E491,DATE(cfg_FY,8,1))+1))</f>
        <v>0</v>
      </c>
      <c r="BB491" s="133" t="n">
        <f aca="false">IF(OR(OR($B491="",$E491="",$F491=""),$K491&lt;&gt;"نعم",$M491="نعم"),0,MAX(0,MIN($F491,EOMONTH(DATE(cfg_FY,9,1),0))-MAX($E491,DATE(cfg_FY,9,1))+1))</f>
        <v>0</v>
      </c>
      <c r="BC491" s="133" t="n">
        <f aca="false">IF(OR(OR($B491="",$E491="",$F491=""),$K491&lt;&gt;"نعم",$M491="نعم"),0,MAX(0,MIN($F491,EOMONTH(DATE(cfg_FY,10,1),0))-MAX($E491,DATE(cfg_FY,10,1))+1))</f>
        <v>0</v>
      </c>
      <c r="BD491" s="133" t="n">
        <f aca="false">IF(OR(OR($B491="",$E491="",$F491=""),$K491&lt;&gt;"نعم",$M491="نعم"),0,MAX(0,MIN($F491,EOMONTH(DATE(cfg_FY,11,1),0))-MAX($E491,DATE(cfg_FY,11,1))+1))</f>
        <v>0</v>
      </c>
      <c r="BE491" s="133" t="n">
        <f aca="false">IF(OR(OR($B491="",$E491="",$F491=""),$K491&lt;&gt;"نعم",$M491="نعم"),0,MAX(0,MIN($F491,EOMONTH(DATE(cfg_FY,12,1),0))-MAX($E491,DATE(cfg_FY,12,1))+1))</f>
        <v>0</v>
      </c>
    </row>
    <row r="492" customFormat="false" ht="15" hidden="false" customHeight="false" outlineLevel="0" collapsed="false">
      <c r="A492" s="106" t="str">
        <f aca="false">IF(B492="","",ROW()-5)</f>
        <v/>
      </c>
      <c r="B492" s="118"/>
      <c r="C492" s="114" t="str">
        <f aca="false">IF(B492="","",IFERROR(INDEX(الموظفون!$C$6:$C$105,MATCH(B492,الموظفون!$B$6:$B$105,0)),"✖ رقم غير موجود"))</f>
        <v/>
      </c>
      <c r="D492" s="118"/>
      <c r="E492" s="119"/>
      <c r="F492" s="119"/>
      <c r="G492" s="65" t="str">
        <f aca="false">IF(OR($B492="",$E492="",$F492=""),"",MAX(0,F492-E492+1))</f>
        <v/>
      </c>
      <c r="H492" s="66" t="str">
        <f aca="false">IF(D492="","",IFERROR(VLOOKUP(D492,cfg_LT,2,FALSE()),1))</f>
        <v/>
      </c>
      <c r="I492" s="135"/>
      <c r="J492" s="66" t="str">
        <f aca="false">IF(D492="","",IF(I492&lt;&gt;"",I492,H492))</f>
        <v/>
      </c>
      <c r="K492" s="114" t="str">
        <f aca="false">IF(D492="","",IFERROR(VLOOKUP($D492,cfg_LT,3,FALSE()),""))</f>
        <v/>
      </c>
      <c r="L492" s="114" t="str">
        <f aca="false">IF(D492="","",IFERROR(VLOOKUP($D492,cfg_LT,4,FALSE()),""))</f>
        <v/>
      </c>
      <c r="M492" s="114" t="str">
        <f aca="false">IF(D492="","",IFERROR(VLOOKUP($D492,cfg_LT,5,FALSE()),""))</f>
        <v/>
      </c>
      <c r="N492" s="111" t="n">
        <f aca="false">IF(OR(OR($B492="",$E492="",$F492=""),M492&lt;&gt;"نعم"),0,G492*J492*IFERROR(INDEX(الموظفون!$R$6:$R$105,MATCH(B492,الموظفون!$B$6:$B$105,0)),0)/cfg_DAYS_M)</f>
        <v>0</v>
      </c>
      <c r="O492" s="106" t="str">
        <f aca="false">IF(OR(OR($B492="",$E492="",$F492=""),M492&lt;&gt;"نعم"),"",IF(YEAR(E492)=cfg_FY,MONTH(E492),""))</f>
        <v/>
      </c>
      <c r="P492" s="114" t="str">
        <f aca="false">IF(B492="","",IF(OR(D492="",E492="",F492=""),"⚠ أكمل النوع والتواريخ",IF(F492&lt;E492,"✖ النهاية قبل البداية",IF(COUNTIFS($B$6:$B$505,B492,$E$6:$E$505,"&lt;="&amp;F492,$F$6:$F$505,"&gt;="&amp;E492)&gt;1,"⚠ تداخل مع سجل آخر",IF(E492&gt;cfg_VAL_DATE,"⏳ قادمة",IF(F492&lt;cfg_VAL_DATE,"✔ منتهية","✈ جارية في تاريخ التقرير"))))))</f>
        <v/>
      </c>
      <c r="Q492" s="118"/>
      <c r="R492" s="65" t="n">
        <f aca="false">IF(OR(OR($B492="",$E492="",$F492=""),L492&lt;&gt;"لا"),0,MAX(0,MIN(F492,cfg_Y_START-1)-E492+1))</f>
        <v>0</v>
      </c>
      <c r="S492" s="65" t="n">
        <f aca="false">IF(OR(OR($B492="",$E492="",$F492=""),L492&lt;&gt;"لا"),0,MAX(0,MIN(F492,cfg_VAL_DATE)-E492+1))</f>
        <v>0</v>
      </c>
      <c r="T492" s="65" t="n">
        <f aca="false">IF(OR(OR($B492="",$E492="",$F492=""),K492&lt;&gt;"نعم"),0,IF(M492="نعم",IF(AND(ISNUMBER(O492),N(O492)&lt;=cfg_VAL_M),G492,0),MAX(0,MIN(F492,cfg_VAL_DATE)-MAX(E492,cfg_Y_START)+1)))</f>
        <v>0</v>
      </c>
      <c r="V492" s="65" t="n">
        <f aca="false">IF(OR($B492="",$E492="",$F492=""),0,MAX(0,MIN($F492,EOMONTH(DATE(cfg_FY,1,1),0))-MAX($E492,DATE(cfg_FY,1,1))+1)*(1-IF($M492="نعم",0,N($J492))))</f>
        <v>0</v>
      </c>
      <c r="W492" s="65" t="n">
        <f aca="false">IF(OR($B492="",$E492="",$F492=""),0,MAX(0,MIN($F492,EOMONTH(DATE(cfg_FY,2,1),0))-MAX($E492,DATE(cfg_FY,2,1))+1)*(1-IF($M492="نعم",0,N($J492))))</f>
        <v>0</v>
      </c>
      <c r="X492" s="65" t="n">
        <f aca="false">IF(OR($B492="",$E492="",$F492=""),0,MAX(0,MIN($F492,EOMONTH(DATE(cfg_FY,3,1),0))-MAX($E492,DATE(cfg_FY,3,1))+1)*(1-IF($M492="نعم",0,N($J492))))</f>
        <v>0</v>
      </c>
      <c r="Y492" s="65" t="n">
        <f aca="false">IF(OR($B492="",$E492="",$F492=""),0,MAX(0,MIN($F492,EOMONTH(DATE(cfg_FY,4,1),0))-MAX($E492,DATE(cfg_FY,4,1))+1)*(1-IF($M492="نعم",0,N($J492))))</f>
        <v>0</v>
      </c>
      <c r="Z492" s="65" t="n">
        <f aca="false">IF(OR($B492="",$E492="",$F492=""),0,MAX(0,MIN($F492,EOMONTH(DATE(cfg_FY,5,1),0))-MAX($E492,DATE(cfg_FY,5,1))+1)*(1-IF($M492="نعم",0,N($J492))))</f>
        <v>0</v>
      </c>
      <c r="AA492" s="65" t="n">
        <f aca="false">IF(OR($B492="",$E492="",$F492=""),0,MAX(0,MIN($F492,EOMONTH(DATE(cfg_FY,6,1),0))-MAX($E492,DATE(cfg_FY,6,1))+1)*(1-IF($M492="نعم",0,N($J492))))</f>
        <v>0</v>
      </c>
      <c r="AB492" s="65" t="n">
        <f aca="false">IF(OR($B492="",$E492="",$F492=""),0,MAX(0,MIN($F492,EOMONTH(DATE(cfg_FY,7,1),0))-MAX($E492,DATE(cfg_FY,7,1))+1)*(1-IF($M492="نعم",0,N($J492))))</f>
        <v>0</v>
      </c>
      <c r="AC492" s="65" t="n">
        <f aca="false">IF(OR($B492="",$E492="",$F492=""),0,MAX(0,MIN($F492,EOMONTH(DATE(cfg_FY,8,1),0))-MAX($E492,DATE(cfg_FY,8,1))+1)*(1-IF($M492="نعم",0,N($J492))))</f>
        <v>0</v>
      </c>
      <c r="AD492" s="65" t="n">
        <f aca="false">IF(OR($B492="",$E492="",$F492=""),0,MAX(0,MIN($F492,EOMONTH(DATE(cfg_FY,9,1),0))-MAX($E492,DATE(cfg_FY,9,1))+1)*(1-IF($M492="نعم",0,N($J492))))</f>
        <v>0</v>
      </c>
      <c r="AE492" s="65" t="n">
        <f aca="false">IF(OR($B492="",$E492="",$F492=""),0,MAX(0,MIN($F492,EOMONTH(DATE(cfg_FY,10,1),0))-MAX($E492,DATE(cfg_FY,10,1))+1)*(1-IF($M492="نعم",0,N($J492))))</f>
        <v>0</v>
      </c>
      <c r="AF492" s="65" t="n">
        <f aca="false">IF(OR($B492="",$E492="",$F492=""),0,MAX(0,MIN($F492,EOMONTH(DATE(cfg_FY,11,1),0))-MAX($E492,DATE(cfg_FY,11,1))+1)*(1-IF($M492="نعم",0,N($J492))))</f>
        <v>0</v>
      </c>
      <c r="AG492" s="65" t="n">
        <f aca="false">IF(OR($B492="",$E492="",$F492=""),0,MAX(0,MIN($F492,EOMONTH(DATE(cfg_FY,12,1),0))-MAX($E492,DATE(cfg_FY,12,1))+1)*(1-IF($M492="نعم",0,N($J492))))</f>
        <v>0</v>
      </c>
      <c r="AH492" s="65" t="n">
        <f aca="false">IF(OR(OR($B492="",$E492="",$F492=""),$L492&lt;&gt;"لا"),0,MAX(0,MIN($F492,EOMONTH(DATE(cfg_FY,1,1),0))-$E492+1))</f>
        <v>0</v>
      </c>
      <c r="AI492" s="65" t="n">
        <f aca="false">IF(OR(OR($B492="",$E492="",$F492=""),$L492&lt;&gt;"لا"),0,MAX(0,MIN($F492,EOMONTH(DATE(cfg_FY,2,1),0))-$E492+1))</f>
        <v>0</v>
      </c>
      <c r="AJ492" s="65" t="n">
        <f aca="false">IF(OR(OR($B492="",$E492="",$F492=""),$L492&lt;&gt;"لا"),0,MAX(0,MIN($F492,EOMONTH(DATE(cfg_FY,3,1),0))-$E492+1))</f>
        <v>0</v>
      </c>
      <c r="AK492" s="65" t="n">
        <f aca="false">IF(OR(OR($B492="",$E492="",$F492=""),$L492&lt;&gt;"لا"),0,MAX(0,MIN($F492,EOMONTH(DATE(cfg_FY,4,1),0))-$E492+1))</f>
        <v>0</v>
      </c>
      <c r="AL492" s="65" t="n">
        <f aca="false">IF(OR(OR($B492="",$E492="",$F492=""),$L492&lt;&gt;"لا"),0,MAX(0,MIN($F492,EOMONTH(DATE(cfg_FY,5,1),0))-$E492+1))</f>
        <v>0</v>
      </c>
      <c r="AM492" s="65" t="n">
        <f aca="false">IF(OR(OR($B492="",$E492="",$F492=""),$L492&lt;&gt;"لا"),0,MAX(0,MIN($F492,EOMONTH(DATE(cfg_FY,6,1),0))-$E492+1))</f>
        <v>0</v>
      </c>
      <c r="AN492" s="65" t="n">
        <f aca="false">IF(OR(OR($B492="",$E492="",$F492=""),$L492&lt;&gt;"لا"),0,MAX(0,MIN($F492,EOMONTH(DATE(cfg_FY,7,1),0))-$E492+1))</f>
        <v>0</v>
      </c>
      <c r="AO492" s="65" t="n">
        <f aca="false">IF(OR(OR($B492="",$E492="",$F492=""),$L492&lt;&gt;"لا"),0,MAX(0,MIN($F492,EOMONTH(DATE(cfg_FY,8,1),0))-$E492+1))</f>
        <v>0</v>
      </c>
      <c r="AP492" s="65" t="n">
        <f aca="false">IF(OR(OR($B492="",$E492="",$F492=""),$L492&lt;&gt;"لا"),0,MAX(0,MIN($F492,EOMONTH(DATE(cfg_FY,9,1),0))-$E492+1))</f>
        <v>0</v>
      </c>
      <c r="AQ492" s="65" t="n">
        <f aca="false">IF(OR(OR($B492="",$E492="",$F492=""),$L492&lt;&gt;"لا"),0,MAX(0,MIN($F492,EOMONTH(DATE(cfg_FY,10,1),0))-$E492+1))</f>
        <v>0</v>
      </c>
      <c r="AR492" s="65" t="n">
        <f aca="false">IF(OR(OR($B492="",$E492="",$F492=""),$L492&lt;&gt;"لا"),0,MAX(0,MIN($F492,EOMONTH(DATE(cfg_FY,11,1),0))-$E492+1))</f>
        <v>0</v>
      </c>
      <c r="AS492" s="65" t="n">
        <f aca="false">IF(OR(OR($B492="",$E492="",$F492=""),$L492&lt;&gt;"لا"),0,MAX(0,MIN($F492,EOMONTH(DATE(cfg_FY,12,1),0))-$E492+1))</f>
        <v>0</v>
      </c>
      <c r="AT492" s="65" t="n">
        <f aca="false">IF(OR(OR($B492="",$E492="",$F492=""),$K492&lt;&gt;"نعم",$M492="نعم"),0,MAX(0,MIN($F492,EOMONTH(DATE(cfg_FY,1,1),0))-MAX($E492,DATE(cfg_FY,1,1))+1))</f>
        <v>0</v>
      </c>
      <c r="AU492" s="65" t="n">
        <f aca="false">IF(OR(OR($B492="",$E492="",$F492=""),$K492&lt;&gt;"نعم",$M492="نعم"),0,MAX(0,MIN($F492,EOMONTH(DATE(cfg_FY,2,1),0))-MAX($E492,DATE(cfg_FY,2,1))+1))</f>
        <v>0</v>
      </c>
      <c r="AV492" s="65" t="n">
        <f aca="false">IF(OR(OR($B492="",$E492="",$F492=""),$K492&lt;&gt;"نعم",$M492="نعم"),0,MAX(0,MIN($F492,EOMONTH(DATE(cfg_FY,3,1),0))-MAX($E492,DATE(cfg_FY,3,1))+1))</f>
        <v>0</v>
      </c>
      <c r="AW492" s="65" t="n">
        <f aca="false">IF(OR(OR($B492="",$E492="",$F492=""),$K492&lt;&gt;"نعم",$M492="نعم"),0,MAX(0,MIN($F492,EOMONTH(DATE(cfg_FY,4,1),0))-MAX($E492,DATE(cfg_FY,4,1))+1))</f>
        <v>0</v>
      </c>
      <c r="AX492" s="65" t="n">
        <f aca="false">IF(OR(OR($B492="",$E492="",$F492=""),$K492&lt;&gt;"نعم",$M492="نعم"),0,MAX(0,MIN($F492,EOMONTH(DATE(cfg_FY,5,1),0))-MAX($E492,DATE(cfg_FY,5,1))+1))</f>
        <v>0</v>
      </c>
      <c r="AY492" s="65" t="n">
        <f aca="false">IF(OR(OR($B492="",$E492="",$F492=""),$K492&lt;&gt;"نعم",$M492="نعم"),0,MAX(0,MIN($F492,EOMONTH(DATE(cfg_FY,6,1),0))-MAX($E492,DATE(cfg_FY,6,1))+1))</f>
        <v>0</v>
      </c>
      <c r="AZ492" s="65" t="n">
        <f aca="false">IF(OR(OR($B492="",$E492="",$F492=""),$K492&lt;&gt;"نعم",$M492="نعم"),0,MAX(0,MIN($F492,EOMONTH(DATE(cfg_FY,7,1),0))-MAX($E492,DATE(cfg_FY,7,1))+1))</f>
        <v>0</v>
      </c>
      <c r="BA492" s="65" t="n">
        <f aca="false">IF(OR(OR($B492="",$E492="",$F492=""),$K492&lt;&gt;"نعم",$M492="نعم"),0,MAX(0,MIN($F492,EOMONTH(DATE(cfg_FY,8,1),0))-MAX($E492,DATE(cfg_FY,8,1))+1))</f>
        <v>0</v>
      </c>
      <c r="BB492" s="65" t="n">
        <f aca="false">IF(OR(OR($B492="",$E492="",$F492=""),$K492&lt;&gt;"نعم",$M492="نعم"),0,MAX(0,MIN($F492,EOMONTH(DATE(cfg_FY,9,1),0))-MAX($E492,DATE(cfg_FY,9,1))+1))</f>
        <v>0</v>
      </c>
      <c r="BC492" s="65" t="n">
        <f aca="false">IF(OR(OR($B492="",$E492="",$F492=""),$K492&lt;&gt;"نعم",$M492="نعم"),0,MAX(0,MIN($F492,EOMONTH(DATE(cfg_FY,10,1),0))-MAX($E492,DATE(cfg_FY,10,1))+1))</f>
        <v>0</v>
      </c>
      <c r="BD492" s="65" t="n">
        <f aca="false">IF(OR(OR($B492="",$E492="",$F492=""),$K492&lt;&gt;"نعم",$M492="نعم"),0,MAX(0,MIN($F492,EOMONTH(DATE(cfg_FY,11,1),0))-MAX($E492,DATE(cfg_FY,11,1))+1))</f>
        <v>0</v>
      </c>
      <c r="BE492" s="65" t="n">
        <f aca="false">IF(OR(OR($B492="",$E492="",$F492=""),$K492&lt;&gt;"نعم",$M492="نعم"),0,MAX(0,MIN($F492,EOMONTH(DATE(cfg_FY,12,1),0))-MAX($E492,DATE(cfg_FY,12,1))+1))</f>
        <v>0</v>
      </c>
    </row>
    <row r="493" customFormat="false" ht="15" hidden="false" customHeight="false" outlineLevel="0" collapsed="false">
      <c r="A493" s="115" t="str">
        <f aca="false">IF(B493="","",ROW()-5)</f>
        <v/>
      </c>
      <c r="B493" s="118"/>
      <c r="C493" s="117" t="str">
        <f aca="false">IF(B493="","",IFERROR(INDEX(الموظفون!$C$6:$C$105,MATCH(B493,الموظفون!$B$6:$B$105,0)),"✖ رقم غير موجود"))</f>
        <v/>
      </c>
      <c r="D493" s="118"/>
      <c r="E493" s="119"/>
      <c r="F493" s="119"/>
      <c r="G493" s="133" t="str">
        <f aca="false">IF(OR($B493="",$E493="",$F493=""),"",MAX(0,F493-E493+1))</f>
        <v/>
      </c>
      <c r="H493" s="134" t="str">
        <f aca="false">IF(D493="","",IFERROR(VLOOKUP(D493,cfg_LT,2,FALSE()),1))</f>
        <v/>
      </c>
      <c r="I493" s="135"/>
      <c r="J493" s="134" t="str">
        <f aca="false">IF(D493="","",IF(I493&lt;&gt;"",I493,H493))</f>
        <v/>
      </c>
      <c r="K493" s="117" t="str">
        <f aca="false">IF(D493="","",IFERROR(VLOOKUP($D493,cfg_LT,3,FALSE()),""))</f>
        <v/>
      </c>
      <c r="L493" s="117" t="str">
        <f aca="false">IF(D493="","",IFERROR(VLOOKUP($D493,cfg_LT,4,FALSE()),""))</f>
        <v/>
      </c>
      <c r="M493" s="117" t="str">
        <f aca="false">IF(D493="","",IFERROR(VLOOKUP($D493,cfg_LT,5,FALSE()),""))</f>
        <v/>
      </c>
      <c r="N493" s="116" t="n">
        <f aca="false">IF(OR(OR($B493="",$E493="",$F493=""),M493&lt;&gt;"نعم"),0,G493*J493*IFERROR(INDEX(الموظفون!$R$6:$R$105,MATCH(B493,الموظفون!$B$6:$B$105,0)),0)/cfg_DAYS_M)</f>
        <v>0</v>
      </c>
      <c r="O493" s="115" t="str">
        <f aca="false">IF(OR(OR($B493="",$E493="",$F493=""),M493&lt;&gt;"نعم"),"",IF(YEAR(E493)=cfg_FY,MONTH(E493),""))</f>
        <v/>
      </c>
      <c r="P493" s="117" t="str">
        <f aca="false">IF(B493="","",IF(OR(D493="",E493="",F493=""),"⚠ أكمل النوع والتواريخ",IF(F493&lt;E493,"✖ النهاية قبل البداية",IF(COUNTIFS($B$6:$B$505,B493,$E$6:$E$505,"&lt;="&amp;F493,$F$6:$F$505,"&gt;="&amp;E493)&gt;1,"⚠ تداخل مع سجل آخر",IF(E493&gt;cfg_VAL_DATE,"⏳ قادمة",IF(F493&lt;cfg_VAL_DATE,"✔ منتهية","✈ جارية في تاريخ التقرير"))))))</f>
        <v/>
      </c>
      <c r="Q493" s="118"/>
      <c r="R493" s="133" t="n">
        <f aca="false">IF(OR(OR($B493="",$E493="",$F493=""),L493&lt;&gt;"لا"),0,MAX(0,MIN(F493,cfg_Y_START-1)-E493+1))</f>
        <v>0</v>
      </c>
      <c r="S493" s="133" t="n">
        <f aca="false">IF(OR(OR($B493="",$E493="",$F493=""),L493&lt;&gt;"لا"),0,MAX(0,MIN(F493,cfg_VAL_DATE)-E493+1))</f>
        <v>0</v>
      </c>
      <c r="T493" s="133" t="n">
        <f aca="false">IF(OR(OR($B493="",$E493="",$F493=""),K493&lt;&gt;"نعم"),0,IF(M493="نعم",IF(AND(ISNUMBER(O493),N(O493)&lt;=cfg_VAL_M),G493,0),MAX(0,MIN(F493,cfg_VAL_DATE)-MAX(E493,cfg_Y_START)+1)))</f>
        <v>0</v>
      </c>
      <c r="V493" s="133" t="n">
        <f aca="false">IF(OR($B493="",$E493="",$F493=""),0,MAX(0,MIN($F493,EOMONTH(DATE(cfg_FY,1,1),0))-MAX($E493,DATE(cfg_FY,1,1))+1)*(1-IF($M493="نعم",0,N($J493))))</f>
        <v>0</v>
      </c>
      <c r="W493" s="133" t="n">
        <f aca="false">IF(OR($B493="",$E493="",$F493=""),0,MAX(0,MIN($F493,EOMONTH(DATE(cfg_FY,2,1),0))-MAX($E493,DATE(cfg_FY,2,1))+1)*(1-IF($M493="نعم",0,N($J493))))</f>
        <v>0</v>
      </c>
      <c r="X493" s="133" t="n">
        <f aca="false">IF(OR($B493="",$E493="",$F493=""),0,MAX(0,MIN($F493,EOMONTH(DATE(cfg_FY,3,1),0))-MAX($E493,DATE(cfg_FY,3,1))+1)*(1-IF($M493="نعم",0,N($J493))))</f>
        <v>0</v>
      </c>
      <c r="Y493" s="133" t="n">
        <f aca="false">IF(OR($B493="",$E493="",$F493=""),0,MAX(0,MIN($F493,EOMONTH(DATE(cfg_FY,4,1),0))-MAX($E493,DATE(cfg_FY,4,1))+1)*(1-IF($M493="نعم",0,N($J493))))</f>
        <v>0</v>
      </c>
      <c r="Z493" s="133" t="n">
        <f aca="false">IF(OR($B493="",$E493="",$F493=""),0,MAX(0,MIN($F493,EOMONTH(DATE(cfg_FY,5,1),0))-MAX($E493,DATE(cfg_FY,5,1))+1)*(1-IF($M493="نعم",0,N($J493))))</f>
        <v>0</v>
      </c>
      <c r="AA493" s="133" t="n">
        <f aca="false">IF(OR($B493="",$E493="",$F493=""),0,MAX(0,MIN($F493,EOMONTH(DATE(cfg_FY,6,1),0))-MAX($E493,DATE(cfg_FY,6,1))+1)*(1-IF($M493="نعم",0,N($J493))))</f>
        <v>0</v>
      </c>
      <c r="AB493" s="133" t="n">
        <f aca="false">IF(OR($B493="",$E493="",$F493=""),0,MAX(0,MIN($F493,EOMONTH(DATE(cfg_FY,7,1),0))-MAX($E493,DATE(cfg_FY,7,1))+1)*(1-IF($M493="نعم",0,N($J493))))</f>
        <v>0</v>
      </c>
      <c r="AC493" s="133" t="n">
        <f aca="false">IF(OR($B493="",$E493="",$F493=""),0,MAX(0,MIN($F493,EOMONTH(DATE(cfg_FY,8,1),0))-MAX($E493,DATE(cfg_FY,8,1))+1)*(1-IF($M493="نعم",0,N($J493))))</f>
        <v>0</v>
      </c>
      <c r="AD493" s="133" t="n">
        <f aca="false">IF(OR($B493="",$E493="",$F493=""),0,MAX(0,MIN($F493,EOMONTH(DATE(cfg_FY,9,1),0))-MAX($E493,DATE(cfg_FY,9,1))+1)*(1-IF($M493="نعم",0,N($J493))))</f>
        <v>0</v>
      </c>
      <c r="AE493" s="133" t="n">
        <f aca="false">IF(OR($B493="",$E493="",$F493=""),0,MAX(0,MIN($F493,EOMONTH(DATE(cfg_FY,10,1),0))-MAX($E493,DATE(cfg_FY,10,1))+1)*(1-IF($M493="نعم",0,N($J493))))</f>
        <v>0</v>
      </c>
      <c r="AF493" s="133" t="n">
        <f aca="false">IF(OR($B493="",$E493="",$F493=""),0,MAX(0,MIN($F493,EOMONTH(DATE(cfg_FY,11,1),0))-MAX($E493,DATE(cfg_FY,11,1))+1)*(1-IF($M493="نعم",0,N($J493))))</f>
        <v>0</v>
      </c>
      <c r="AG493" s="133" t="n">
        <f aca="false">IF(OR($B493="",$E493="",$F493=""),0,MAX(0,MIN($F493,EOMONTH(DATE(cfg_FY,12,1),0))-MAX($E493,DATE(cfg_FY,12,1))+1)*(1-IF($M493="نعم",0,N($J493))))</f>
        <v>0</v>
      </c>
      <c r="AH493" s="133" t="n">
        <f aca="false">IF(OR(OR($B493="",$E493="",$F493=""),$L493&lt;&gt;"لا"),0,MAX(0,MIN($F493,EOMONTH(DATE(cfg_FY,1,1),0))-$E493+1))</f>
        <v>0</v>
      </c>
      <c r="AI493" s="133" t="n">
        <f aca="false">IF(OR(OR($B493="",$E493="",$F493=""),$L493&lt;&gt;"لا"),0,MAX(0,MIN($F493,EOMONTH(DATE(cfg_FY,2,1),0))-$E493+1))</f>
        <v>0</v>
      </c>
      <c r="AJ493" s="133" t="n">
        <f aca="false">IF(OR(OR($B493="",$E493="",$F493=""),$L493&lt;&gt;"لا"),0,MAX(0,MIN($F493,EOMONTH(DATE(cfg_FY,3,1),0))-$E493+1))</f>
        <v>0</v>
      </c>
      <c r="AK493" s="133" t="n">
        <f aca="false">IF(OR(OR($B493="",$E493="",$F493=""),$L493&lt;&gt;"لا"),0,MAX(0,MIN($F493,EOMONTH(DATE(cfg_FY,4,1),0))-$E493+1))</f>
        <v>0</v>
      </c>
      <c r="AL493" s="133" t="n">
        <f aca="false">IF(OR(OR($B493="",$E493="",$F493=""),$L493&lt;&gt;"لا"),0,MAX(0,MIN($F493,EOMONTH(DATE(cfg_FY,5,1),0))-$E493+1))</f>
        <v>0</v>
      </c>
      <c r="AM493" s="133" t="n">
        <f aca="false">IF(OR(OR($B493="",$E493="",$F493=""),$L493&lt;&gt;"لا"),0,MAX(0,MIN($F493,EOMONTH(DATE(cfg_FY,6,1),0))-$E493+1))</f>
        <v>0</v>
      </c>
      <c r="AN493" s="133" t="n">
        <f aca="false">IF(OR(OR($B493="",$E493="",$F493=""),$L493&lt;&gt;"لا"),0,MAX(0,MIN($F493,EOMONTH(DATE(cfg_FY,7,1),0))-$E493+1))</f>
        <v>0</v>
      </c>
      <c r="AO493" s="133" t="n">
        <f aca="false">IF(OR(OR($B493="",$E493="",$F493=""),$L493&lt;&gt;"لا"),0,MAX(0,MIN($F493,EOMONTH(DATE(cfg_FY,8,1),0))-$E493+1))</f>
        <v>0</v>
      </c>
      <c r="AP493" s="133" t="n">
        <f aca="false">IF(OR(OR($B493="",$E493="",$F493=""),$L493&lt;&gt;"لا"),0,MAX(0,MIN($F493,EOMONTH(DATE(cfg_FY,9,1),0))-$E493+1))</f>
        <v>0</v>
      </c>
      <c r="AQ493" s="133" t="n">
        <f aca="false">IF(OR(OR($B493="",$E493="",$F493=""),$L493&lt;&gt;"لا"),0,MAX(0,MIN($F493,EOMONTH(DATE(cfg_FY,10,1),0))-$E493+1))</f>
        <v>0</v>
      </c>
      <c r="AR493" s="133" t="n">
        <f aca="false">IF(OR(OR($B493="",$E493="",$F493=""),$L493&lt;&gt;"لا"),0,MAX(0,MIN($F493,EOMONTH(DATE(cfg_FY,11,1),0))-$E493+1))</f>
        <v>0</v>
      </c>
      <c r="AS493" s="133" t="n">
        <f aca="false">IF(OR(OR($B493="",$E493="",$F493=""),$L493&lt;&gt;"لا"),0,MAX(0,MIN($F493,EOMONTH(DATE(cfg_FY,12,1),0))-$E493+1))</f>
        <v>0</v>
      </c>
      <c r="AT493" s="133" t="n">
        <f aca="false">IF(OR(OR($B493="",$E493="",$F493=""),$K493&lt;&gt;"نعم",$M493="نعم"),0,MAX(0,MIN($F493,EOMONTH(DATE(cfg_FY,1,1),0))-MAX($E493,DATE(cfg_FY,1,1))+1))</f>
        <v>0</v>
      </c>
      <c r="AU493" s="133" t="n">
        <f aca="false">IF(OR(OR($B493="",$E493="",$F493=""),$K493&lt;&gt;"نعم",$M493="نعم"),0,MAX(0,MIN($F493,EOMONTH(DATE(cfg_FY,2,1),0))-MAX($E493,DATE(cfg_FY,2,1))+1))</f>
        <v>0</v>
      </c>
      <c r="AV493" s="133" t="n">
        <f aca="false">IF(OR(OR($B493="",$E493="",$F493=""),$K493&lt;&gt;"نعم",$M493="نعم"),0,MAX(0,MIN($F493,EOMONTH(DATE(cfg_FY,3,1),0))-MAX($E493,DATE(cfg_FY,3,1))+1))</f>
        <v>0</v>
      </c>
      <c r="AW493" s="133" t="n">
        <f aca="false">IF(OR(OR($B493="",$E493="",$F493=""),$K493&lt;&gt;"نعم",$M493="نعم"),0,MAX(0,MIN($F493,EOMONTH(DATE(cfg_FY,4,1),0))-MAX($E493,DATE(cfg_FY,4,1))+1))</f>
        <v>0</v>
      </c>
      <c r="AX493" s="133" t="n">
        <f aca="false">IF(OR(OR($B493="",$E493="",$F493=""),$K493&lt;&gt;"نعم",$M493="نعم"),0,MAX(0,MIN($F493,EOMONTH(DATE(cfg_FY,5,1),0))-MAX($E493,DATE(cfg_FY,5,1))+1))</f>
        <v>0</v>
      </c>
      <c r="AY493" s="133" t="n">
        <f aca="false">IF(OR(OR($B493="",$E493="",$F493=""),$K493&lt;&gt;"نعم",$M493="نعم"),0,MAX(0,MIN($F493,EOMONTH(DATE(cfg_FY,6,1),0))-MAX($E493,DATE(cfg_FY,6,1))+1))</f>
        <v>0</v>
      </c>
      <c r="AZ493" s="133" t="n">
        <f aca="false">IF(OR(OR($B493="",$E493="",$F493=""),$K493&lt;&gt;"نعم",$M493="نعم"),0,MAX(0,MIN($F493,EOMONTH(DATE(cfg_FY,7,1),0))-MAX($E493,DATE(cfg_FY,7,1))+1))</f>
        <v>0</v>
      </c>
      <c r="BA493" s="133" t="n">
        <f aca="false">IF(OR(OR($B493="",$E493="",$F493=""),$K493&lt;&gt;"نعم",$M493="نعم"),0,MAX(0,MIN($F493,EOMONTH(DATE(cfg_FY,8,1),0))-MAX($E493,DATE(cfg_FY,8,1))+1))</f>
        <v>0</v>
      </c>
      <c r="BB493" s="133" t="n">
        <f aca="false">IF(OR(OR($B493="",$E493="",$F493=""),$K493&lt;&gt;"نعم",$M493="نعم"),0,MAX(0,MIN($F493,EOMONTH(DATE(cfg_FY,9,1),0))-MAX($E493,DATE(cfg_FY,9,1))+1))</f>
        <v>0</v>
      </c>
      <c r="BC493" s="133" t="n">
        <f aca="false">IF(OR(OR($B493="",$E493="",$F493=""),$K493&lt;&gt;"نعم",$M493="نعم"),0,MAX(0,MIN($F493,EOMONTH(DATE(cfg_FY,10,1),0))-MAX($E493,DATE(cfg_FY,10,1))+1))</f>
        <v>0</v>
      </c>
      <c r="BD493" s="133" t="n">
        <f aca="false">IF(OR(OR($B493="",$E493="",$F493=""),$K493&lt;&gt;"نعم",$M493="نعم"),0,MAX(0,MIN($F493,EOMONTH(DATE(cfg_FY,11,1),0))-MAX($E493,DATE(cfg_FY,11,1))+1))</f>
        <v>0</v>
      </c>
      <c r="BE493" s="133" t="n">
        <f aca="false">IF(OR(OR($B493="",$E493="",$F493=""),$K493&lt;&gt;"نعم",$M493="نعم"),0,MAX(0,MIN($F493,EOMONTH(DATE(cfg_FY,12,1),0))-MAX($E493,DATE(cfg_FY,12,1))+1))</f>
        <v>0</v>
      </c>
    </row>
    <row r="494" customFormat="false" ht="15" hidden="false" customHeight="false" outlineLevel="0" collapsed="false">
      <c r="A494" s="106" t="str">
        <f aca="false">IF(B494="","",ROW()-5)</f>
        <v/>
      </c>
      <c r="B494" s="118"/>
      <c r="C494" s="114" t="str">
        <f aca="false">IF(B494="","",IFERROR(INDEX(الموظفون!$C$6:$C$105,MATCH(B494,الموظفون!$B$6:$B$105,0)),"✖ رقم غير موجود"))</f>
        <v/>
      </c>
      <c r="D494" s="118"/>
      <c r="E494" s="119"/>
      <c r="F494" s="119"/>
      <c r="G494" s="65" t="str">
        <f aca="false">IF(OR($B494="",$E494="",$F494=""),"",MAX(0,F494-E494+1))</f>
        <v/>
      </c>
      <c r="H494" s="66" t="str">
        <f aca="false">IF(D494="","",IFERROR(VLOOKUP(D494,cfg_LT,2,FALSE()),1))</f>
        <v/>
      </c>
      <c r="I494" s="135"/>
      <c r="J494" s="66" t="str">
        <f aca="false">IF(D494="","",IF(I494&lt;&gt;"",I494,H494))</f>
        <v/>
      </c>
      <c r="K494" s="114" t="str">
        <f aca="false">IF(D494="","",IFERROR(VLOOKUP($D494,cfg_LT,3,FALSE()),""))</f>
        <v/>
      </c>
      <c r="L494" s="114" t="str">
        <f aca="false">IF(D494="","",IFERROR(VLOOKUP($D494,cfg_LT,4,FALSE()),""))</f>
        <v/>
      </c>
      <c r="M494" s="114" t="str">
        <f aca="false">IF(D494="","",IFERROR(VLOOKUP($D494,cfg_LT,5,FALSE()),""))</f>
        <v/>
      </c>
      <c r="N494" s="111" t="n">
        <f aca="false">IF(OR(OR($B494="",$E494="",$F494=""),M494&lt;&gt;"نعم"),0,G494*J494*IFERROR(INDEX(الموظفون!$R$6:$R$105,MATCH(B494,الموظفون!$B$6:$B$105,0)),0)/cfg_DAYS_M)</f>
        <v>0</v>
      </c>
      <c r="O494" s="106" t="str">
        <f aca="false">IF(OR(OR($B494="",$E494="",$F494=""),M494&lt;&gt;"نعم"),"",IF(YEAR(E494)=cfg_FY,MONTH(E494),""))</f>
        <v/>
      </c>
      <c r="P494" s="114" t="str">
        <f aca="false">IF(B494="","",IF(OR(D494="",E494="",F494=""),"⚠ أكمل النوع والتواريخ",IF(F494&lt;E494,"✖ النهاية قبل البداية",IF(COUNTIFS($B$6:$B$505,B494,$E$6:$E$505,"&lt;="&amp;F494,$F$6:$F$505,"&gt;="&amp;E494)&gt;1,"⚠ تداخل مع سجل آخر",IF(E494&gt;cfg_VAL_DATE,"⏳ قادمة",IF(F494&lt;cfg_VAL_DATE,"✔ منتهية","✈ جارية في تاريخ التقرير"))))))</f>
        <v/>
      </c>
      <c r="Q494" s="118"/>
      <c r="R494" s="65" t="n">
        <f aca="false">IF(OR(OR($B494="",$E494="",$F494=""),L494&lt;&gt;"لا"),0,MAX(0,MIN(F494,cfg_Y_START-1)-E494+1))</f>
        <v>0</v>
      </c>
      <c r="S494" s="65" t="n">
        <f aca="false">IF(OR(OR($B494="",$E494="",$F494=""),L494&lt;&gt;"لا"),0,MAX(0,MIN(F494,cfg_VAL_DATE)-E494+1))</f>
        <v>0</v>
      </c>
      <c r="T494" s="65" t="n">
        <f aca="false">IF(OR(OR($B494="",$E494="",$F494=""),K494&lt;&gt;"نعم"),0,IF(M494="نعم",IF(AND(ISNUMBER(O494),N(O494)&lt;=cfg_VAL_M),G494,0),MAX(0,MIN(F494,cfg_VAL_DATE)-MAX(E494,cfg_Y_START)+1)))</f>
        <v>0</v>
      </c>
      <c r="V494" s="65" t="n">
        <f aca="false">IF(OR($B494="",$E494="",$F494=""),0,MAX(0,MIN($F494,EOMONTH(DATE(cfg_FY,1,1),0))-MAX($E494,DATE(cfg_FY,1,1))+1)*(1-IF($M494="نعم",0,N($J494))))</f>
        <v>0</v>
      </c>
      <c r="W494" s="65" t="n">
        <f aca="false">IF(OR($B494="",$E494="",$F494=""),0,MAX(0,MIN($F494,EOMONTH(DATE(cfg_FY,2,1),0))-MAX($E494,DATE(cfg_FY,2,1))+1)*(1-IF($M494="نعم",0,N($J494))))</f>
        <v>0</v>
      </c>
      <c r="X494" s="65" t="n">
        <f aca="false">IF(OR($B494="",$E494="",$F494=""),0,MAX(0,MIN($F494,EOMONTH(DATE(cfg_FY,3,1),0))-MAX($E494,DATE(cfg_FY,3,1))+1)*(1-IF($M494="نعم",0,N($J494))))</f>
        <v>0</v>
      </c>
      <c r="Y494" s="65" t="n">
        <f aca="false">IF(OR($B494="",$E494="",$F494=""),0,MAX(0,MIN($F494,EOMONTH(DATE(cfg_FY,4,1),0))-MAX($E494,DATE(cfg_FY,4,1))+1)*(1-IF($M494="نعم",0,N($J494))))</f>
        <v>0</v>
      </c>
      <c r="Z494" s="65" t="n">
        <f aca="false">IF(OR($B494="",$E494="",$F494=""),0,MAX(0,MIN($F494,EOMONTH(DATE(cfg_FY,5,1),0))-MAX($E494,DATE(cfg_FY,5,1))+1)*(1-IF($M494="نعم",0,N($J494))))</f>
        <v>0</v>
      </c>
      <c r="AA494" s="65" t="n">
        <f aca="false">IF(OR($B494="",$E494="",$F494=""),0,MAX(0,MIN($F494,EOMONTH(DATE(cfg_FY,6,1),0))-MAX($E494,DATE(cfg_FY,6,1))+1)*(1-IF($M494="نعم",0,N($J494))))</f>
        <v>0</v>
      </c>
      <c r="AB494" s="65" t="n">
        <f aca="false">IF(OR($B494="",$E494="",$F494=""),0,MAX(0,MIN($F494,EOMONTH(DATE(cfg_FY,7,1),0))-MAX($E494,DATE(cfg_FY,7,1))+1)*(1-IF($M494="نعم",0,N($J494))))</f>
        <v>0</v>
      </c>
      <c r="AC494" s="65" t="n">
        <f aca="false">IF(OR($B494="",$E494="",$F494=""),0,MAX(0,MIN($F494,EOMONTH(DATE(cfg_FY,8,1),0))-MAX($E494,DATE(cfg_FY,8,1))+1)*(1-IF($M494="نعم",0,N($J494))))</f>
        <v>0</v>
      </c>
      <c r="AD494" s="65" t="n">
        <f aca="false">IF(OR($B494="",$E494="",$F494=""),0,MAX(0,MIN($F494,EOMONTH(DATE(cfg_FY,9,1),0))-MAX($E494,DATE(cfg_FY,9,1))+1)*(1-IF($M494="نعم",0,N($J494))))</f>
        <v>0</v>
      </c>
      <c r="AE494" s="65" t="n">
        <f aca="false">IF(OR($B494="",$E494="",$F494=""),0,MAX(0,MIN($F494,EOMONTH(DATE(cfg_FY,10,1),0))-MAX($E494,DATE(cfg_FY,10,1))+1)*(1-IF($M494="نعم",0,N($J494))))</f>
        <v>0</v>
      </c>
      <c r="AF494" s="65" t="n">
        <f aca="false">IF(OR($B494="",$E494="",$F494=""),0,MAX(0,MIN($F494,EOMONTH(DATE(cfg_FY,11,1),0))-MAX($E494,DATE(cfg_FY,11,1))+1)*(1-IF($M494="نعم",0,N($J494))))</f>
        <v>0</v>
      </c>
      <c r="AG494" s="65" t="n">
        <f aca="false">IF(OR($B494="",$E494="",$F494=""),0,MAX(0,MIN($F494,EOMONTH(DATE(cfg_FY,12,1),0))-MAX($E494,DATE(cfg_FY,12,1))+1)*(1-IF($M494="نعم",0,N($J494))))</f>
        <v>0</v>
      </c>
      <c r="AH494" s="65" t="n">
        <f aca="false">IF(OR(OR($B494="",$E494="",$F494=""),$L494&lt;&gt;"لا"),0,MAX(0,MIN($F494,EOMONTH(DATE(cfg_FY,1,1),0))-$E494+1))</f>
        <v>0</v>
      </c>
      <c r="AI494" s="65" t="n">
        <f aca="false">IF(OR(OR($B494="",$E494="",$F494=""),$L494&lt;&gt;"لا"),0,MAX(0,MIN($F494,EOMONTH(DATE(cfg_FY,2,1),0))-$E494+1))</f>
        <v>0</v>
      </c>
      <c r="AJ494" s="65" t="n">
        <f aca="false">IF(OR(OR($B494="",$E494="",$F494=""),$L494&lt;&gt;"لا"),0,MAX(0,MIN($F494,EOMONTH(DATE(cfg_FY,3,1),0))-$E494+1))</f>
        <v>0</v>
      </c>
      <c r="AK494" s="65" t="n">
        <f aca="false">IF(OR(OR($B494="",$E494="",$F494=""),$L494&lt;&gt;"لا"),0,MAX(0,MIN($F494,EOMONTH(DATE(cfg_FY,4,1),0))-$E494+1))</f>
        <v>0</v>
      </c>
      <c r="AL494" s="65" t="n">
        <f aca="false">IF(OR(OR($B494="",$E494="",$F494=""),$L494&lt;&gt;"لا"),0,MAX(0,MIN($F494,EOMONTH(DATE(cfg_FY,5,1),0))-$E494+1))</f>
        <v>0</v>
      </c>
      <c r="AM494" s="65" t="n">
        <f aca="false">IF(OR(OR($B494="",$E494="",$F494=""),$L494&lt;&gt;"لا"),0,MAX(0,MIN($F494,EOMONTH(DATE(cfg_FY,6,1),0))-$E494+1))</f>
        <v>0</v>
      </c>
      <c r="AN494" s="65" t="n">
        <f aca="false">IF(OR(OR($B494="",$E494="",$F494=""),$L494&lt;&gt;"لا"),0,MAX(0,MIN($F494,EOMONTH(DATE(cfg_FY,7,1),0))-$E494+1))</f>
        <v>0</v>
      </c>
      <c r="AO494" s="65" t="n">
        <f aca="false">IF(OR(OR($B494="",$E494="",$F494=""),$L494&lt;&gt;"لا"),0,MAX(0,MIN($F494,EOMONTH(DATE(cfg_FY,8,1),0))-$E494+1))</f>
        <v>0</v>
      </c>
      <c r="AP494" s="65" t="n">
        <f aca="false">IF(OR(OR($B494="",$E494="",$F494=""),$L494&lt;&gt;"لا"),0,MAX(0,MIN($F494,EOMONTH(DATE(cfg_FY,9,1),0))-$E494+1))</f>
        <v>0</v>
      </c>
      <c r="AQ494" s="65" t="n">
        <f aca="false">IF(OR(OR($B494="",$E494="",$F494=""),$L494&lt;&gt;"لا"),0,MAX(0,MIN($F494,EOMONTH(DATE(cfg_FY,10,1),0))-$E494+1))</f>
        <v>0</v>
      </c>
      <c r="AR494" s="65" t="n">
        <f aca="false">IF(OR(OR($B494="",$E494="",$F494=""),$L494&lt;&gt;"لا"),0,MAX(0,MIN($F494,EOMONTH(DATE(cfg_FY,11,1),0))-$E494+1))</f>
        <v>0</v>
      </c>
      <c r="AS494" s="65" t="n">
        <f aca="false">IF(OR(OR($B494="",$E494="",$F494=""),$L494&lt;&gt;"لا"),0,MAX(0,MIN($F494,EOMONTH(DATE(cfg_FY,12,1),0))-$E494+1))</f>
        <v>0</v>
      </c>
      <c r="AT494" s="65" t="n">
        <f aca="false">IF(OR(OR($B494="",$E494="",$F494=""),$K494&lt;&gt;"نعم",$M494="نعم"),0,MAX(0,MIN($F494,EOMONTH(DATE(cfg_FY,1,1),0))-MAX($E494,DATE(cfg_FY,1,1))+1))</f>
        <v>0</v>
      </c>
      <c r="AU494" s="65" t="n">
        <f aca="false">IF(OR(OR($B494="",$E494="",$F494=""),$K494&lt;&gt;"نعم",$M494="نعم"),0,MAX(0,MIN($F494,EOMONTH(DATE(cfg_FY,2,1),0))-MAX($E494,DATE(cfg_FY,2,1))+1))</f>
        <v>0</v>
      </c>
      <c r="AV494" s="65" t="n">
        <f aca="false">IF(OR(OR($B494="",$E494="",$F494=""),$K494&lt;&gt;"نعم",$M494="نعم"),0,MAX(0,MIN($F494,EOMONTH(DATE(cfg_FY,3,1),0))-MAX($E494,DATE(cfg_FY,3,1))+1))</f>
        <v>0</v>
      </c>
      <c r="AW494" s="65" t="n">
        <f aca="false">IF(OR(OR($B494="",$E494="",$F494=""),$K494&lt;&gt;"نعم",$M494="نعم"),0,MAX(0,MIN($F494,EOMONTH(DATE(cfg_FY,4,1),0))-MAX($E494,DATE(cfg_FY,4,1))+1))</f>
        <v>0</v>
      </c>
      <c r="AX494" s="65" t="n">
        <f aca="false">IF(OR(OR($B494="",$E494="",$F494=""),$K494&lt;&gt;"نعم",$M494="نعم"),0,MAX(0,MIN($F494,EOMONTH(DATE(cfg_FY,5,1),0))-MAX($E494,DATE(cfg_FY,5,1))+1))</f>
        <v>0</v>
      </c>
      <c r="AY494" s="65" t="n">
        <f aca="false">IF(OR(OR($B494="",$E494="",$F494=""),$K494&lt;&gt;"نعم",$M494="نعم"),0,MAX(0,MIN($F494,EOMONTH(DATE(cfg_FY,6,1),0))-MAX($E494,DATE(cfg_FY,6,1))+1))</f>
        <v>0</v>
      </c>
      <c r="AZ494" s="65" t="n">
        <f aca="false">IF(OR(OR($B494="",$E494="",$F494=""),$K494&lt;&gt;"نعم",$M494="نعم"),0,MAX(0,MIN($F494,EOMONTH(DATE(cfg_FY,7,1),0))-MAX($E494,DATE(cfg_FY,7,1))+1))</f>
        <v>0</v>
      </c>
      <c r="BA494" s="65" t="n">
        <f aca="false">IF(OR(OR($B494="",$E494="",$F494=""),$K494&lt;&gt;"نعم",$M494="نعم"),0,MAX(0,MIN($F494,EOMONTH(DATE(cfg_FY,8,1),0))-MAX($E494,DATE(cfg_FY,8,1))+1))</f>
        <v>0</v>
      </c>
      <c r="BB494" s="65" t="n">
        <f aca="false">IF(OR(OR($B494="",$E494="",$F494=""),$K494&lt;&gt;"نعم",$M494="نعم"),0,MAX(0,MIN($F494,EOMONTH(DATE(cfg_FY,9,1),0))-MAX($E494,DATE(cfg_FY,9,1))+1))</f>
        <v>0</v>
      </c>
      <c r="BC494" s="65" t="n">
        <f aca="false">IF(OR(OR($B494="",$E494="",$F494=""),$K494&lt;&gt;"نعم",$M494="نعم"),0,MAX(0,MIN($F494,EOMONTH(DATE(cfg_FY,10,1),0))-MAX($E494,DATE(cfg_FY,10,1))+1))</f>
        <v>0</v>
      </c>
      <c r="BD494" s="65" t="n">
        <f aca="false">IF(OR(OR($B494="",$E494="",$F494=""),$K494&lt;&gt;"نعم",$M494="نعم"),0,MAX(0,MIN($F494,EOMONTH(DATE(cfg_FY,11,1),0))-MAX($E494,DATE(cfg_FY,11,1))+1))</f>
        <v>0</v>
      </c>
      <c r="BE494" s="65" t="n">
        <f aca="false">IF(OR(OR($B494="",$E494="",$F494=""),$K494&lt;&gt;"نعم",$M494="نعم"),0,MAX(0,MIN($F494,EOMONTH(DATE(cfg_FY,12,1),0))-MAX($E494,DATE(cfg_FY,12,1))+1))</f>
        <v>0</v>
      </c>
    </row>
    <row r="495" customFormat="false" ht="15" hidden="false" customHeight="false" outlineLevel="0" collapsed="false">
      <c r="A495" s="115" t="str">
        <f aca="false">IF(B495="","",ROW()-5)</f>
        <v/>
      </c>
      <c r="B495" s="118"/>
      <c r="C495" s="117" t="str">
        <f aca="false">IF(B495="","",IFERROR(INDEX(الموظفون!$C$6:$C$105,MATCH(B495,الموظفون!$B$6:$B$105,0)),"✖ رقم غير موجود"))</f>
        <v/>
      </c>
      <c r="D495" s="118"/>
      <c r="E495" s="119"/>
      <c r="F495" s="119"/>
      <c r="G495" s="133" t="str">
        <f aca="false">IF(OR($B495="",$E495="",$F495=""),"",MAX(0,F495-E495+1))</f>
        <v/>
      </c>
      <c r="H495" s="134" t="str">
        <f aca="false">IF(D495="","",IFERROR(VLOOKUP(D495,cfg_LT,2,FALSE()),1))</f>
        <v/>
      </c>
      <c r="I495" s="135"/>
      <c r="J495" s="134" t="str">
        <f aca="false">IF(D495="","",IF(I495&lt;&gt;"",I495,H495))</f>
        <v/>
      </c>
      <c r="K495" s="117" t="str">
        <f aca="false">IF(D495="","",IFERROR(VLOOKUP($D495,cfg_LT,3,FALSE()),""))</f>
        <v/>
      </c>
      <c r="L495" s="117" t="str">
        <f aca="false">IF(D495="","",IFERROR(VLOOKUP($D495,cfg_LT,4,FALSE()),""))</f>
        <v/>
      </c>
      <c r="M495" s="117" t="str">
        <f aca="false">IF(D495="","",IFERROR(VLOOKUP($D495,cfg_LT,5,FALSE()),""))</f>
        <v/>
      </c>
      <c r="N495" s="116" t="n">
        <f aca="false">IF(OR(OR($B495="",$E495="",$F495=""),M495&lt;&gt;"نعم"),0,G495*J495*IFERROR(INDEX(الموظفون!$R$6:$R$105,MATCH(B495,الموظفون!$B$6:$B$105,0)),0)/cfg_DAYS_M)</f>
        <v>0</v>
      </c>
      <c r="O495" s="115" t="str">
        <f aca="false">IF(OR(OR($B495="",$E495="",$F495=""),M495&lt;&gt;"نعم"),"",IF(YEAR(E495)=cfg_FY,MONTH(E495),""))</f>
        <v/>
      </c>
      <c r="P495" s="117" t="str">
        <f aca="false">IF(B495="","",IF(OR(D495="",E495="",F495=""),"⚠ أكمل النوع والتواريخ",IF(F495&lt;E495,"✖ النهاية قبل البداية",IF(COUNTIFS($B$6:$B$505,B495,$E$6:$E$505,"&lt;="&amp;F495,$F$6:$F$505,"&gt;="&amp;E495)&gt;1,"⚠ تداخل مع سجل آخر",IF(E495&gt;cfg_VAL_DATE,"⏳ قادمة",IF(F495&lt;cfg_VAL_DATE,"✔ منتهية","✈ جارية في تاريخ التقرير"))))))</f>
        <v/>
      </c>
      <c r="Q495" s="118"/>
      <c r="R495" s="133" t="n">
        <f aca="false">IF(OR(OR($B495="",$E495="",$F495=""),L495&lt;&gt;"لا"),0,MAX(0,MIN(F495,cfg_Y_START-1)-E495+1))</f>
        <v>0</v>
      </c>
      <c r="S495" s="133" t="n">
        <f aca="false">IF(OR(OR($B495="",$E495="",$F495=""),L495&lt;&gt;"لا"),0,MAX(0,MIN(F495,cfg_VAL_DATE)-E495+1))</f>
        <v>0</v>
      </c>
      <c r="T495" s="133" t="n">
        <f aca="false">IF(OR(OR($B495="",$E495="",$F495=""),K495&lt;&gt;"نعم"),0,IF(M495="نعم",IF(AND(ISNUMBER(O495),N(O495)&lt;=cfg_VAL_M),G495,0),MAX(0,MIN(F495,cfg_VAL_DATE)-MAX(E495,cfg_Y_START)+1)))</f>
        <v>0</v>
      </c>
      <c r="V495" s="133" t="n">
        <f aca="false">IF(OR($B495="",$E495="",$F495=""),0,MAX(0,MIN($F495,EOMONTH(DATE(cfg_FY,1,1),0))-MAX($E495,DATE(cfg_FY,1,1))+1)*(1-IF($M495="نعم",0,N($J495))))</f>
        <v>0</v>
      </c>
      <c r="W495" s="133" t="n">
        <f aca="false">IF(OR($B495="",$E495="",$F495=""),0,MAX(0,MIN($F495,EOMONTH(DATE(cfg_FY,2,1),0))-MAX($E495,DATE(cfg_FY,2,1))+1)*(1-IF($M495="نعم",0,N($J495))))</f>
        <v>0</v>
      </c>
      <c r="X495" s="133" t="n">
        <f aca="false">IF(OR($B495="",$E495="",$F495=""),0,MAX(0,MIN($F495,EOMONTH(DATE(cfg_FY,3,1),0))-MAX($E495,DATE(cfg_FY,3,1))+1)*(1-IF($M495="نعم",0,N($J495))))</f>
        <v>0</v>
      </c>
      <c r="Y495" s="133" t="n">
        <f aca="false">IF(OR($B495="",$E495="",$F495=""),0,MAX(0,MIN($F495,EOMONTH(DATE(cfg_FY,4,1),0))-MAX($E495,DATE(cfg_FY,4,1))+1)*(1-IF($M495="نعم",0,N($J495))))</f>
        <v>0</v>
      </c>
      <c r="Z495" s="133" t="n">
        <f aca="false">IF(OR($B495="",$E495="",$F495=""),0,MAX(0,MIN($F495,EOMONTH(DATE(cfg_FY,5,1),0))-MAX($E495,DATE(cfg_FY,5,1))+1)*(1-IF($M495="نعم",0,N($J495))))</f>
        <v>0</v>
      </c>
      <c r="AA495" s="133" t="n">
        <f aca="false">IF(OR($B495="",$E495="",$F495=""),0,MAX(0,MIN($F495,EOMONTH(DATE(cfg_FY,6,1),0))-MAX($E495,DATE(cfg_FY,6,1))+1)*(1-IF($M495="نعم",0,N($J495))))</f>
        <v>0</v>
      </c>
      <c r="AB495" s="133" t="n">
        <f aca="false">IF(OR($B495="",$E495="",$F495=""),0,MAX(0,MIN($F495,EOMONTH(DATE(cfg_FY,7,1),0))-MAX($E495,DATE(cfg_FY,7,1))+1)*(1-IF($M495="نعم",0,N($J495))))</f>
        <v>0</v>
      </c>
      <c r="AC495" s="133" t="n">
        <f aca="false">IF(OR($B495="",$E495="",$F495=""),0,MAX(0,MIN($F495,EOMONTH(DATE(cfg_FY,8,1),0))-MAX($E495,DATE(cfg_FY,8,1))+1)*(1-IF($M495="نعم",0,N($J495))))</f>
        <v>0</v>
      </c>
      <c r="AD495" s="133" t="n">
        <f aca="false">IF(OR($B495="",$E495="",$F495=""),0,MAX(0,MIN($F495,EOMONTH(DATE(cfg_FY,9,1),0))-MAX($E495,DATE(cfg_FY,9,1))+1)*(1-IF($M495="نعم",0,N($J495))))</f>
        <v>0</v>
      </c>
      <c r="AE495" s="133" t="n">
        <f aca="false">IF(OR($B495="",$E495="",$F495=""),0,MAX(0,MIN($F495,EOMONTH(DATE(cfg_FY,10,1),0))-MAX($E495,DATE(cfg_FY,10,1))+1)*(1-IF($M495="نعم",0,N($J495))))</f>
        <v>0</v>
      </c>
      <c r="AF495" s="133" t="n">
        <f aca="false">IF(OR($B495="",$E495="",$F495=""),0,MAX(0,MIN($F495,EOMONTH(DATE(cfg_FY,11,1),0))-MAX($E495,DATE(cfg_FY,11,1))+1)*(1-IF($M495="نعم",0,N($J495))))</f>
        <v>0</v>
      </c>
      <c r="AG495" s="133" t="n">
        <f aca="false">IF(OR($B495="",$E495="",$F495=""),0,MAX(0,MIN($F495,EOMONTH(DATE(cfg_FY,12,1),0))-MAX($E495,DATE(cfg_FY,12,1))+1)*(1-IF($M495="نعم",0,N($J495))))</f>
        <v>0</v>
      </c>
      <c r="AH495" s="133" t="n">
        <f aca="false">IF(OR(OR($B495="",$E495="",$F495=""),$L495&lt;&gt;"لا"),0,MAX(0,MIN($F495,EOMONTH(DATE(cfg_FY,1,1),0))-$E495+1))</f>
        <v>0</v>
      </c>
      <c r="AI495" s="133" t="n">
        <f aca="false">IF(OR(OR($B495="",$E495="",$F495=""),$L495&lt;&gt;"لا"),0,MAX(0,MIN($F495,EOMONTH(DATE(cfg_FY,2,1),0))-$E495+1))</f>
        <v>0</v>
      </c>
      <c r="AJ495" s="133" t="n">
        <f aca="false">IF(OR(OR($B495="",$E495="",$F495=""),$L495&lt;&gt;"لا"),0,MAX(0,MIN($F495,EOMONTH(DATE(cfg_FY,3,1),0))-$E495+1))</f>
        <v>0</v>
      </c>
      <c r="AK495" s="133" t="n">
        <f aca="false">IF(OR(OR($B495="",$E495="",$F495=""),$L495&lt;&gt;"لا"),0,MAX(0,MIN($F495,EOMONTH(DATE(cfg_FY,4,1),0))-$E495+1))</f>
        <v>0</v>
      </c>
      <c r="AL495" s="133" t="n">
        <f aca="false">IF(OR(OR($B495="",$E495="",$F495=""),$L495&lt;&gt;"لا"),0,MAX(0,MIN($F495,EOMONTH(DATE(cfg_FY,5,1),0))-$E495+1))</f>
        <v>0</v>
      </c>
      <c r="AM495" s="133" t="n">
        <f aca="false">IF(OR(OR($B495="",$E495="",$F495=""),$L495&lt;&gt;"لا"),0,MAX(0,MIN($F495,EOMONTH(DATE(cfg_FY,6,1),0))-$E495+1))</f>
        <v>0</v>
      </c>
      <c r="AN495" s="133" t="n">
        <f aca="false">IF(OR(OR($B495="",$E495="",$F495=""),$L495&lt;&gt;"لا"),0,MAX(0,MIN($F495,EOMONTH(DATE(cfg_FY,7,1),0))-$E495+1))</f>
        <v>0</v>
      </c>
      <c r="AO495" s="133" t="n">
        <f aca="false">IF(OR(OR($B495="",$E495="",$F495=""),$L495&lt;&gt;"لا"),0,MAX(0,MIN($F495,EOMONTH(DATE(cfg_FY,8,1),0))-$E495+1))</f>
        <v>0</v>
      </c>
      <c r="AP495" s="133" t="n">
        <f aca="false">IF(OR(OR($B495="",$E495="",$F495=""),$L495&lt;&gt;"لا"),0,MAX(0,MIN($F495,EOMONTH(DATE(cfg_FY,9,1),0))-$E495+1))</f>
        <v>0</v>
      </c>
      <c r="AQ495" s="133" t="n">
        <f aca="false">IF(OR(OR($B495="",$E495="",$F495=""),$L495&lt;&gt;"لا"),0,MAX(0,MIN($F495,EOMONTH(DATE(cfg_FY,10,1),0))-$E495+1))</f>
        <v>0</v>
      </c>
      <c r="AR495" s="133" t="n">
        <f aca="false">IF(OR(OR($B495="",$E495="",$F495=""),$L495&lt;&gt;"لا"),0,MAX(0,MIN($F495,EOMONTH(DATE(cfg_FY,11,1),0))-$E495+1))</f>
        <v>0</v>
      </c>
      <c r="AS495" s="133" t="n">
        <f aca="false">IF(OR(OR($B495="",$E495="",$F495=""),$L495&lt;&gt;"لا"),0,MAX(0,MIN($F495,EOMONTH(DATE(cfg_FY,12,1),0))-$E495+1))</f>
        <v>0</v>
      </c>
      <c r="AT495" s="133" t="n">
        <f aca="false">IF(OR(OR($B495="",$E495="",$F495=""),$K495&lt;&gt;"نعم",$M495="نعم"),0,MAX(0,MIN($F495,EOMONTH(DATE(cfg_FY,1,1),0))-MAX($E495,DATE(cfg_FY,1,1))+1))</f>
        <v>0</v>
      </c>
      <c r="AU495" s="133" t="n">
        <f aca="false">IF(OR(OR($B495="",$E495="",$F495=""),$K495&lt;&gt;"نعم",$M495="نعم"),0,MAX(0,MIN($F495,EOMONTH(DATE(cfg_FY,2,1),0))-MAX($E495,DATE(cfg_FY,2,1))+1))</f>
        <v>0</v>
      </c>
      <c r="AV495" s="133" t="n">
        <f aca="false">IF(OR(OR($B495="",$E495="",$F495=""),$K495&lt;&gt;"نعم",$M495="نعم"),0,MAX(0,MIN($F495,EOMONTH(DATE(cfg_FY,3,1),0))-MAX($E495,DATE(cfg_FY,3,1))+1))</f>
        <v>0</v>
      </c>
      <c r="AW495" s="133" t="n">
        <f aca="false">IF(OR(OR($B495="",$E495="",$F495=""),$K495&lt;&gt;"نعم",$M495="نعم"),0,MAX(0,MIN($F495,EOMONTH(DATE(cfg_FY,4,1),0))-MAX($E495,DATE(cfg_FY,4,1))+1))</f>
        <v>0</v>
      </c>
      <c r="AX495" s="133" t="n">
        <f aca="false">IF(OR(OR($B495="",$E495="",$F495=""),$K495&lt;&gt;"نعم",$M495="نعم"),0,MAX(0,MIN($F495,EOMONTH(DATE(cfg_FY,5,1),0))-MAX($E495,DATE(cfg_FY,5,1))+1))</f>
        <v>0</v>
      </c>
      <c r="AY495" s="133" t="n">
        <f aca="false">IF(OR(OR($B495="",$E495="",$F495=""),$K495&lt;&gt;"نعم",$M495="نعم"),0,MAX(0,MIN($F495,EOMONTH(DATE(cfg_FY,6,1),0))-MAX($E495,DATE(cfg_FY,6,1))+1))</f>
        <v>0</v>
      </c>
      <c r="AZ495" s="133" t="n">
        <f aca="false">IF(OR(OR($B495="",$E495="",$F495=""),$K495&lt;&gt;"نعم",$M495="نعم"),0,MAX(0,MIN($F495,EOMONTH(DATE(cfg_FY,7,1),0))-MAX($E495,DATE(cfg_FY,7,1))+1))</f>
        <v>0</v>
      </c>
      <c r="BA495" s="133" t="n">
        <f aca="false">IF(OR(OR($B495="",$E495="",$F495=""),$K495&lt;&gt;"نعم",$M495="نعم"),0,MAX(0,MIN($F495,EOMONTH(DATE(cfg_FY,8,1),0))-MAX($E495,DATE(cfg_FY,8,1))+1))</f>
        <v>0</v>
      </c>
      <c r="BB495" s="133" t="n">
        <f aca="false">IF(OR(OR($B495="",$E495="",$F495=""),$K495&lt;&gt;"نعم",$M495="نعم"),0,MAX(0,MIN($F495,EOMONTH(DATE(cfg_FY,9,1),0))-MAX($E495,DATE(cfg_FY,9,1))+1))</f>
        <v>0</v>
      </c>
      <c r="BC495" s="133" t="n">
        <f aca="false">IF(OR(OR($B495="",$E495="",$F495=""),$K495&lt;&gt;"نعم",$M495="نعم"),0,MAX(0,MIN($F495,EOMONTH(DATE(cfg_FY,10,1),0))-MAX($E495,DATE(cfg_FY,10,1))+1))</f>
        <v>0</v>
      </c>
      <c r="BD495" s="133" t="n">
        <f aca="false">IF(OR(OR($B495="",$E495="",$F495=""),$K495&lt;&gt;"نعم",$M495="نعم"),0,MAX(0,MIN($F495,EOMONTH(DATE(cfg_FY,11,1),0))-MAX($E495,DATE(cfg_FY,11,1))+1))</f>
        <v>0</v>
      </c>
      <c r="BE495" s="133" t="n">
        <f aca="false">IF(OR(OR($B495="",$E495="",$F495=""),$K495&lt;&gt;"نعم",$M495="نعم"),0,MAX(0,MIN($F495,EOMONTH(DATE(cfg_FY,12,1),0))-MAX($E495,DATE(cfg_FY,12,1))+1))</f>
        <v>0</v>
      </c>
    </row>
    <row r="496" customFormat="false" ht="15" hidden="false" customHeight="false" outlineLevel="0" collapsed="false">
      <c r="A496" s="106" t="str">
        <f aca="false">IF(B496="","",ROW()-5)</f>
        <v/>
      </c>
      <c r="B496" s="118"/>
      <c r="C496" s="114" t="str">
        <f aca="false">IF(B496="","",IFERROR(INDEX(الموظفون!$C$6:$C$105,MATCH(B496,الموظفون!$B$6:$B$105,0)),"✖ رقم غير موجود"))</f>
        <v/>
      </c>
      <c r="D496" s="118"/>
      <c r="E496" s="119"/>
      <c r="F496" s="119"/>
      <c r="G496" s="65" t="str">
        <f aca="false">IF(OR($B496="",$E496="",$F496=""),"",MAX(0,F496-E496+1))</f>
        <v/>
      </c>
      <c r="H496" s="66" t="str">
        <f aca="false">IF(D496="","",IFERROR(VLOOKUP(D496,cfg_LT,2,FALSE()),1))</f>
        <v/>
      </c>
      <c r="I496" s="135"/>
      <c r="J496" s="66" t="str">
        <f aca="false">IF(D496="","",IF(I496&lt;&gt;"",I496,H496))</f>
        <v/>
      </c>
      <c r="K496" s="114" t="str">
        <f aca="false">IF(D496="","",IFERROR(VLOOKUP($D496,cfg_LT,3,FALSE()),""))</f>
        <v/>
      </c>
      <c r="L496" s="114" t="str">
        <f aca="false">IF(D496="","",IFERROR(VLOOKUP($D496,cfg_LT,4,FALSE()),""))</f>
        <v/>
      </c>
      <c r="M496" s="114" t="str">
        <f aca="false">IF(D496="","",IFERROR(VLOOKUP($D496,cfg_LT,5,FALSE()),""))</f>
        <v/>
      </c>
      <c r="N496" s="111" t="n">
        <f aca="false">IF(OR(OR($B496="",$E496="",$F496=""),M496&lt;&gt;"نعم"),0,G496*J496*IFERROR(INDEX(الموظفون!$R$6:$R$105,MATCH(B496,الموظفون!$B$6:$B$105,0)),0)/cfg_DAYS_M)</f>
        <v>0</v>
      </c>
      <c r="O496" s="106" t="str">
        <f aca="false">IF(OR(OR($B496="",$E496="",$F496=""),M496&lt;&gt;"نعم"),"",IF(YEAR(E496)=cfg_FY,MONTH(E496),""))</f>
        <v/>
      </c>
      <c r="P496" s="114" t="str">
        <f aca="false">IF(B496="","",IF(OR(D496="",E496="",F496=""),"⚠ أكمل النوع والتواريخ",IF(F496&lt;E496,"✖ النهاية قبل البداية",IF(COUNTIFS($B$6:$B$505,B496,$E$6:$E$505,"&lt;="&amp;F496,$F$6:$F$505,"&gt;="&amp;E496)&gt;1,"⚠ تداخل مع سجل آخر",IF(E496&gt;cfg_VAL_DATE,"⏳ قادمة",IF(F496&lt;cfg_VAL_DATE,"✔ منتهية","✈ جارية في تاريخ التقرير"))))))</f>
        <v/>
      </c>
      <c r="Q496" s="118"/>
      <c r="R496" s="65" t="n">
        <f aca="false">IF(OR(OR($B496="",$E496="",$F496=""),L496&lt;&gt;"لا"),0,MAX(0,MIN(F496,cfg_Y_START-1)-E496+1))</f>
        <v>0</v>
      </c>
      <c r="S496" s="65" t="n">
        <f aca="false">IF(OR(OR($B496="",$E496="",$F496=""),L496&lt;&gt;"لا"),0,MAX(0,MIN(F496,cfg_VAL_DATE)-E496+1))</f>
        <v>0</v>
      </c>
      <c r="T496" s="65" t="n">
        <f aca="false">IF(OR(OR($B496="",$E496="",$F496=""),K496&lt;&gt;"نعم"),0,IF(M496="نعم",IF(AND(ISNUMBER(O496),N(O496)&lt;=cfg_VAL_M),G496,0),MAX(0,MIN(F496,cfg_VAL_DATE)-MAX(E496,cfg_Y_START)+1)))</f>
        <v>0</v>
      </c>
      <c r="V496" s="65" t="n">
        <f aca="false">IF(OR($B496="",$E496="",$F496=""),0,MAX(0,MIN($F496,EOMONTH(DATE(cfg_FY,1,1),0))-MAX($E496,DATE(cfg_FY,1,1))+1)*(1-IF($M496="نعم",0,N($J496))))</f>
        <v>0</v>
      </c>
      <c r="W496" s="65" t="n">
        <f aca="false">IF(OR($B496="",$E496="",$F496=""),0,MAX(0,MIN($F496,EOMONTH(DATE(cfg_FY,2,1),0))-MAX($E496,DATE(cfg_FY,2,1))+1)*(1-IF($M496="نعم",0,N($J496))))</f>
        <v>0</v>
      </c>
      <c r="X496" s="65" t="n">
        <f aca="false">IF(OR($B496="",$E496="",$F496=""),0,MAX(0,MIN($F496,EOMONTH(DATE(cfg_FY,3,1),0))-MAX($E496,DATE(cfg_FY,3,1))+1)*(1-IF($M496="نعم",0,N($J496))))</f>
        <v>0</v>
      </c>
      <c r="Y496" s="65" t="n">
        <f aca="false">IF(OR($B496="",$E496="",$F496=""),0,MAX(0,MIN($F496,EOMONTH(DATE(cfg_FY,4,1),0))-MAX($E496,DATE(cfg_FY,4,1))+1)*(1-IF($M496="نعم",0,N($J496))))</f>
        <v>0</v>
      </c>
      <c r="Z496" s="65" t="n">
        <f aca="false">IF(OR($B496="",$E496="",$F496=""),0,MAX(0,MIN($F496,EOMONTH(DATE(cfg_FY,5,1),0))-MAX($E496,DATE(cfg_FY,5,1))+1)*(1-IF($M496="نعم",0,N($J496))))</f>
        <v>0</v>
      </c>
      <c r="AA496" s="65" t="n">
        <f aca="false">IF(OR($B496="",$E496="",$F496=""),0,MAX(0,MIN($F496,EOMONTH(DATE(cfg_FY,6,1),0))-MAX($E496,DATE(cfg_FY,6,1))+1)*(1-IF($M496="نعم",0,N($J496))))</f>
        <v>0</v>
      </c>
      <c r="AB496" s="65" t="n">
        <f aca="false">IF(OR($B496="",$E496="",$F496=""),0,MAX(0,MIN($F496,EOMONTH(DATE(cfg_FY,7,1),0))-MAX($E496,DATE(cfg_FY,7,1))+1)*(1-IF($M496="نعم",0,N($J496))))</f>
        <v>0</v>
      </c>
      <c r="AC496" s="65" t="n">
        <f aca="false">IF(OR($B496="",$E496="",$F496=""),0,MAX(0,MIN($F496,EOMONTH(DATE(cfg_FY,8,1),0))-MAX($E496,DATE(cfg_FY,8,1))+1)*(1-IF($M496="نعم",0,N($J496))))</f>
        <v>0</v>
      </c>
      <c r="AD496" s="65" t="n">
        <f aca="false">IF(OR($B496="",$E496="",$F496=""),0,MAX(0,MIN($F496,EOMONTH(DATE(cfg_FY,9,1),0))-MAX($E496,DATE(cfg_FY,9,1))+1)*(1-IF($M496="نعم",0,N($J496))))</f>
        <v>0</v>
      </c>
      <c r="AE496" s="65" t="n">
        <f aca="false">IF(OR($B496="",$E496="",$F496=""),0,MAX(0,MIN($F496,EOMONTH(DATE(cfg_FY,10,1),0))-MAX($E496,DATE(cfg_FY,10,1))+1)*(1-IF($M496="نعم",0,N($J496))))</f>
        <v>0</v>
      </c>
      <c r="AF496" s="65" t="n">
        <f aca="false">IF(OR($B496="",$E496="",$F496=""),0,MAX(0,MIN($F496,EOMONTH(DATE(cfg_FY,11,1),0))-MAX($E496,DATE(cfg_FY,11,1))+1)*(1-IF($M496="نعم",0,N($J496))))</f>
        <v>0</v>
      </c>
      <c r="AG496" s="65" t="n">
        <f aca="false">IF(OR($B496="",$E496="",$F496=""),0,MAX(0,MIN($F496,EOMONTH(DATE(cfg_FY,12,1),0))-MAX($E496,DATE(cfg_FY,12,1))+1)*(1-IF($M496="نعم",0,N($J496))))</f>
        <v>0</v>
      </c>
      <c r="AH496" s="65" t="n">
        <f aca="false">IF(OR(OR($B496="",$E496="",$F496=""),$L496&lt;&gt;"لا"),0,MAX(0,MIN($F496,EOMONTH(DATE(cfg_FY,1,1),0))-$E496+1))</f>
        <v>0</v>
      </c>
      <c r="AI496" s="65" t="n">
        <f aca="false">IF(OR(OR($B496="",$E496="",$F496=""),$L496&lt;&gt;"لا"),0,MAX(0,MIN($F496,EOMONTH(DATE(cfg_FY,2,1),0))-$E496+1))</f>
        <v>0</v>
      </c>
      <c r="AJ496" s="65" t="n">
        <f aca="false">IF(OR(OR($B496="",$E496="",$F496=""),$L496&lt;&gt;"لا"),0,MAX(0,MIN($F496,EOMONTH(DATE(cfg_FY,3,1),0))-$E496+1))</f>
        <v>0</v>
      </c>
      <c r="AK496" s="65" t="n">
        <f aca="false">IF(OR(OR($B496="",$E496="",$F496=""),$L496&lt;&gt;"لا"),0,MAX(0,MIN($F496,EOMONTH(DATE(cfg_FY,4,1),0))-$E496+1))</f>
        <v>0</v>
      </c>
      <c r="AL496" s="65" t="n">
        <f aca="false">IF(OR(OR($B496="",$E496="",$F496=""),$L496&lt;&gt;"لا"),0,MAX(0,MIN($F496,EOMONTH(DATE(cfg_FY,5,1),0))-$E496+1))</f>
        <v>0</v>
      </c>
      <c r="AM496" s="65" t="n">
        <f aca="false">IF(OR(OR($B496="",$E496="",$F496=""),$L496&lt;&gt;"لا"),0,MAX(0,MIN($F496,EOMONTH(DATE(cfg_FY,6,1),0))-$E496+1))</f>
        <v>0</v>
      </c>
      <c r="AN496" s="65" t="n">
        <f aca="false">IF(OR(OR($B496="",$E496="",$F496=""),$L496&lt;&gt;"لا"),0,MAX(0,MIN($F496,EOMONTH(DATE(cfg_FY,7,1),0))-$E496+1))</f>
        <v>0</v>
      </c>
      <c r="AO496" s="65" t="n">
        <f aca="false">IF(OR(OR($B496="",$E496="",$F496=""),$L496&lt;&gt;"لا"),0,MAX(0,MIN($F496,EOMONTH(DATE(cfg_FY,8,1),0))-$E496+1))</f>
        <v>0</v>
      </c>
      <c r="AP496" s="65" t="n">
        <f aca="false">IF(OR(OR($B496="",$E496="",$F496=""),$L496&lt;&gt;"لا"),0,MAX(0,MIN($F496,EOMONTH(DATE(cfg_FY,9,1),0))-$E496+1))</f>
        <v>0</v>
      </c>
      <c r="AQ496" s="65" t="n">
        <f aca="false">IF(OR(OR($B496="",$E496="",$F496=""),$L496&lt;&gt;"لا"),0,MAX(0,MIN($F496,EOMONTH(DATE(cfg_FY,10,1),0))-$E496+1))</f>
        <v>0</v>
      </c>
      <c r="AR496" s="65" t="n">
        <f aca="false">IF(OR(OR($B496="",$E496="",$F496=""),$L496&lt;&gt;"لا"),0,MAX(0,MIN($F496,EOMONTH(DATE(cfg_FY,11,1),0))-$E496+1))</f>
        <v>0</v>
      </c>
      <c r="AS496" s="65" t="n">
        <f aca="false">IF(OR(OR($B496="",$E496="",$F496=""),$L496&lt;&gt;"لا"),0,MAX(0,MIN($F496,EOMONTH(DATE(cfg_FY,12,1),0))-$E496+1))</f>
        <v>0</v>
      </c>
      <c r="AT496" s="65" t="n">
        <f aca="false">IF(OR(OR($B496="",$E496="",$F496=""),$K496&lt;&gt;"نعم",$M496="نعم"),0,MAX(0,MIN($F496,EOMONTH(DATE(cfg_FY,1,1),0))-MAX($E496,DATE(cfg_FY,1,1))+1))</f>
        <v>0</v>
      </c>
      <c r="AU496" s="65" t="n">
        <f aca="false">IF(OR(OR($B496="",$E496="",$F496=""),$K496&lt;&gt;"نعم",$M496="نعم"),0,MAX(0,MIN($F496,EOMONTH(DATE(cfg_FY,2,1),0))-MAX($E496,DATE(cfg_FY,2,1))+1))</f>
        <v>0</v>
      </c>
      <c r="AV496" s="65" t="n">
        <f aca="false">IF(OR(OR($B496="",$E496="",$F496=""),$K496&lt;&gt;"نعم",$M496="نعم"),0,MAX(0,MIN($F496,EOMONTH(DATE(cfg_FY,3,1),0))-MAX($E496,DATE(cfg_FY,3,1))+1))</f>
        <v>0</v>
      </c>
      <c r="AW496" s="65" t="n">
        <f aca="false">IF(OR(OR($B496="",$E496="",$F496=""),$K496&lt;&gt;"نعم",$M496="نعم"),0,MAX(0,MIN($F496,EOMONTH(DATE(cfg_FY,4,1),0))-MAX($E496,DATE(cfg_FY,4,1))+1))</f>
        <v>0</v>
      </c>
      <c r="AX496" s="65" t="n">
        <f aca="false">IF(OR(OR($B496="",$E496="",$F496=""),$K496&lt;&gt;"نعم",$M496="نعم"),0,MAX(0,MIN($F496,EOMONTH(DATE(cfg_FY,5,1),0))-MAX($E496,DATE(cfg_FY,5,1))+1))</f>
        <v>0</v>
      </c>
      <c r="AY496" s="65" t="n">
        <f aca="false">IF(OR(OR($B496="",$E496="",$F496=""),$K496&lt;&gt;"نعم",$M496="نعم"),0,MAX(0,MIN($F496,EOMONTH(DATE(cfg_FY,6,1),0))-MAX($E496,DATE(cfg_FY,6,1))+1))</f>
        <v>0</v>
      </c>
      <c r="AZ496" s="65" t="n">
        <f aca="false">IF(OR(OR($B496="",$E496="",$F496=""),$K496&lt;&gt;"نعم",$M496="نعم"),0,MAX(0,MIN($F496,EOMONTH(DATE(cfg_FY,7,1),0))-MAX($E496,DATE(cfg_FY,7,1))+1))</f>
        <v>0</v>
      </c>
      <c r="BA496" s="65" t="n">
        <f aca="false">IF(OR(OR($B496="",$E496="",$F496=""),$K496&lt;&gt;"نعم",$M496="نعم"),0,MAX(0,MIN($F496,EOMONTH(DATE(cfg_FY,8,1),0))-MAX($E496,DATE(cfg_FY,8,1))+1))</f>
        <v>0</v>
      </c>
      <c r="BB496" s="65" t="n">
        <f aca="false">IF(OR(OR($B496="",$E496="",$F496=""),$K496&lt;&gt;"نعم",$M496="نعم"),0,MAX(0,MIN($F496,EOMONTH(DATE(cfg_FY,9,1),0))-MAX($E496,DATE(cfg_FY,9,1))+1))</f>
        <v>0</v>
      </c>
      <c r="BC496" s="65" t="n">
        <f aca="false">IF(OR(OR($B496="",$E496="",$F496=""),$K496&lt;&gt;"نعم",$M496="نعم"),0,MAX(0,MIN($F496,EOMONTH(DATE(cfg_FY,10,1),0))-MAX($E496,DATE(cfg_FY,10,1))+1))</f>
        <v>0</v>
      </c>
      <c r="BD496" s="65" t="n">
        <f aca="false">IF(OR(OR($B496="",$E496="",$F496=""),$K496&lt;&gt;"نعم",$M496="نعم"),0,MAX(0,MIN($F496,EOMONTH(DATE(cfg_FY,11,1),0))-MAX($E496,DATE(cfg_FY,11,1))+1))</f>
        <v>0</v>
      </c>
      <c r="BE496" s="65" t="n">
        <f aca="false">IF(OR(OR($B496="",$E496="",$F496=""),$K496&lt;&gt;"نعم",$M496="نعم"),0,MAX(0,MIN($F496,EOMONTH(DATE(cfg_FY,12,1),0))-MAX($E496,DATE(cfg_FY,12,1))+1))</f>
        <v>0</v>
      </c>
    </row>
    <row r="497" customFormat="false" ht="15" hidden="false" customHeight="false" outlineLevel="0" collapsed="false">
      <c r="A497" s="115" t="str">
        <f aca="false">IF(B497="","",ROW()-5)</f>
        <v/>
      </c>
      <c r="B497" s="118"/>
      <c r="C497" s="117" t="str">
        <f aca="false">IF(B497="","",IFERROR(INDEX(الموظفون!$C$6:$C$105,MATCH(B497,الموظفون!$B$6:$B$105,0)),"✖ رقم غير موجود"))</f>
        <v/>
      </c>
      <c r="D497" s="118"/>
      <c r="E497" s="119"/>
      <c r="F497" s="119"/>
      <c r="G497" s="133" t="str">
        <f aca="false">IF(OR($B497="",$E497="",$F497=""),"",MAX(0,F497-E497+1))</f>
        <v/>
      </c>
      <c r="H497" s="134" t="str">
        <f aca="false">IF(D497="","",IFERROR(VLOOKUP(D497,cfg_LT,2,FALSE()),1))</f>
        <v/>
      </c>
      <c r="I497" s="135"/>
      <c r="J497" s="134" t="str">
        <f aca="false">IF(D497="","",IF(I497&lt;&gt;"",I497,H497))</f>
        <v/>
      </c>
      <c r="K497" s="117" t="str">
        <f aca="false">IF(D497="","",IFERROR(VLOOKUP($D497,cfg_LT,3,FALSE()),""))</f>
        <v/>
      </c>
      <c r="L497" s="117" t="str">
        <f aca="false">IF(D497="","",IFERROR(VLOOKUP($D497,cfg_LT,4,FALSE()),""))</f>
        <v/>
      </c>
      <c r="M497" s="117" t="str">
        <f aca="false">IF(D497="","",IFERROR(VLOOKUP($D497,cfg_LT,5,FALSE()),""))</f>
        <v/>
      </c>
      <c r="N497" s="116" t="n">
        <f aca="false">IF(OR(OR($B497="",$E497="",$F497=""),M497&lt;&gt;"نعم"),0,G497*J497*IFERROR(INDEX(الموظفون!$R$6:$R$105,MATCH(B497,الموظفون!$B$6:$B$105,0)),0)/cfg_DAYS_M)</f>
        <v>0</v>
      </c>
      <c r="O497" s="115" t="str">
        <f aca="false">IF(OR(OR($B497="",$E497="",$F497=""),M497&lt;&gt;"نعم"),"",IF(YEAR(E497)=cfg_FY,MONTH(E497),""))</f>
        <v/>
      </c>
      <c r="P497" s="117" t="str">
        <f aca="false">IF(B497="","",IF(OR(D497="",E497="",F497=""),"⚠ أكمل النوع والتواريخ",IF(F497&lt;E497,"✖ النهاية قبل البداية",IF(COUNTIFS($B$6:$B$505,B497,$E$6:$E$505,"&lt;="&amp;F497,$F$6:$F$505,"&gt;="&amp;E497)&gt;1,"⚠ تداخل مع سجل آخر",IF(E497&gt;cfg_VAL_DATE,"⏳ قادمة",IF(F497&lt;cfg_VAL_DATE,"✔ منتهية","✈ جارية في تاريخ التقرير"))))))</f>
        <v/>
      </c>
      <c r="Q497" s="118"/>
      <c r="R497" s="133" t="n">
        <f aca="false">IF(OR(OR($B497="",$E497="",$F497=""),L497&lt;&gt;"لا"),0,MAX(0,MIN(F497,cfg_Y_START-1)-E497+1))</f>
        <v>0</v>
      </c>
      <c r="S497" s="133" t="n">
        <f aca="false">IF(OR(OR($B497="",$E497="",$F497=""),L497&lt;&gt;"لا"),0,MAX(0,MIN(F497,cfg_VAL_DATE)-E497+1))</f>
        <v>0</v>
      </c>
      <c r="T497" s="133" t="n">
        <f aca="false">IF(OR(OR($B497="",$E497="",$F497=""),K497&lt;&gt;"نعم"),0,IF(M497="نعم",IF(AND(ISNUMBER(O497),N(O497)&lt;=cfg_VAL_M),G497,0),MAX(0,MIN(F497,cfg_VAL_DATE)-MAX(E497,cfg_Y_START)+1)))</f>
        <v>0</v>
      </c>
      <c r="V497" s="133" t="n">
        <f aca="false">IF(OR($B497="",$E497="",$F497=""),0,MAX(0,MIN($F497,EOMONTH(DATE(cfg_FY,1,1),0))-MAX($E497,DATE(cfg_FY,1,1))+1)*(1-IF($M497="نعم",0,N($J497))))</f>
        <v>0</v>
      </c>
      <c r="W497" s="133" t="n">
        <f aca="false">IF(OR($B497="",$E497="",$F497=""),0,MAX(0,MIN($F497,EOMONTH(DATE(cfg_FY,2,1),0))-MAX($E497,DATE(cfg_FY,2,1))+1)*(1-IF($M497="نعم",0,N($J497))))</f>
        <v>0</v>
      </c>
      <c r="X497" s="133" t="n">
        <f aca="false">IF(OR($B497="",$E497="",$F497=""),0,MAX(0,MIN($F497,EOMONTH(DATE(cfg_FY,3,1),0))-MAX($E497,DATE(cfg_FY,3,1))+1)*(1-IF($M497="نعم",0,N($J497))))</f>
        <v>0</v>
      </c>
      <c r="Y497" s="133" t="n">
        <f aca="false">IF(OR($B497="",$E497="",$F497=""),0,MAX(0,MIN($F497,EOMONTH(DATE(cfg_FY,4,1),0))-MAX($E497,DATE(cfg_FY,4,1))+1)*(1-IF($M497="نعم",0,N($J497))))</f>
        <v>0</v>
      </c>
      <c r="Z497" s="133" t="n">
        <f aca="false">IF(OR($B497="",$E497="",$F497=""),0,MAX(0,MIN($F497,EOMONTH(DATE(cfg_FY,5,1),0))-MAX($E497,DATE(cfg_FY,5,1))+1)*(1-IF($M497="نعم",0,N($J497))))</f>
        <v>0</v>
      </c>
      <c r="AA497" s="133" t="n">
        <f aca="false">IF(OR($B497="",$E497="",$F497=""),0,MAX(0,MIN($F497,EOMONTH(DATE(cfg_FY,6,1),0))-MAX($E497,DATE(cfg_FY,6,1))+1)*(1-IF($M497="نعم",0,N($J497))))</f>
        <v>0</v>
      </c>
      <c r="AB497" s="133" t="n">
        <f aca="false">IF(OR($B497="",$E497="",$F497=""),0,MAX(0,MIN($F497,EOMONTH(DATE(cfg_FY,7,1),0))-MAX($E497,DATE(cfg_FY,7,1))+1)*(1-IF($M497="نعم",0,N($J497))))</f>
        <v>0</v>
      </c>
      <c r="AC497" s="133" t="n">
        <f aca="false">IF(OR($B497="",$E497="",$F497=""),0,MAX(0,MIN($F497,EOMONTH(DATE(cfg_FY,8,1),0))-MAX($E497,DATE(cfg_FY,8,1))+1)*(1-IF($M497="نعم",0,N($J497))))</f>
        <v>0</v>
      </c>
      <c r="AD497" s="133" t="n">
        <f aca="false">IF(OR($B497="",$E497="",$F497=""),0,MAX(0,MIN($F497,EOMONTH(DATE(cfg_FY,9,1),0))-MAX($E497,DATE(cfg_FY,9,1))+1)*(1-IF($M497="نعم",0,N($J497))))</f>
        <v>0</v>
      </c>
      <c r="AE497" s="133" t="n">
        <f aca="false">IF(OR($B497="",$E497="",$F497=""),0,MAX(0,MIN($F497,EOMONTH(DATE(cfg_FY,10,1),0))-MAX($E497,DATE(cfg_FY,10,1))+1)*(1-IF($M497="نعم",0,N($J497))))</f>
        <v>0</v>
      </c>
      <c r="AF497" s="133" t="n">
        <f aca="false">IF(OR($B497="",$E497="",$F497=""),0,MAX(0,MIN($F497,EOMONTH(DATE(cfg_FY,11,1),0))-MAX($E497,DATE(cfg_FY,11,1))+1)*(1-IF($M497="نعم",0,N($J497))))</f>
        <v>0</v>
      </c>
      <c r="AG497" s="133" t="n">
        <f aca="false">IF(OR($B497="",$E497="",$F497=""),0,MAX(0,MIN($F497,EOMONTH(DATE(cfg_FY,12,1),0))-MAX($E497,DATE(cfg_FY,12,1))+1)*(1-IF($M497="نعم",0,N($J497))))</f>
        <v>0</v>
      </c>
      <c r="AH497" s="133" t="n">
        <f aca="false">IF(OR(OR($B497="",$E497="",$F497=""),$L497&lt;&gt;"لا"),0,MAX(0,MIN($F497,EOMONTH(DATE(cfg_FY,1,1),0))-$E497+1))</f>
        <v>0</v>
      </c>
      <c r="AI497" s="133" t="n">
        <f aca="false">IF(OR(OR($B497="",$E497="",$F497=""),$L497&lt;&gt;"لا"),0,MAX(0,MIN($F497,EOMONTH(DATE(cfg_FY,2,1),0))-$E497+1))</f>
        <v>0</v>
      </c>
      <c r="AJ497" s="133" t="n">
        <f aca="false">IF(OR(OR($B497="",$E497="",$F497=""),$L497&lt;&gt;"لا"),0,MAX(0,MIN($F497,EOMONTH(DATE(cfg_FY,3,1),0))-$E497+1))</f>
        <v>0</v>
      </c>
      <c r="AK497" s="133" t="n">
        <f aca="false">IF(OR(OR($B497="",$E497="",$F497=""),$L497&lt;&gt;"لا"),0,MAX(0,MIN($F497,EOMONTH(DATE(cfg_FY,4,1),0))-$E497+1))</f>
        <v>0</v>
      </c>
      <c r="AL497" s="133" t="n">
        <f aca="false">IF(OR(OR($B497="",$E497="",$F497=""),$L497&lt;&gt;"لا"),0,MAX(0,MIN($F497,EOMONTH(DATE(cfg_FY,5,1),0))-$E497+1))</f>
        <v>0</v>
      </c>
      <c r="AM497" s="133" t="n">
        <f aca="false">IF(OR(OR($B497="",$E497="",$F497=""),$L497&lt;&gt;"لا"),0,MAX(0,MIN($F497,EOMONTH(DATE(cfg_FY,6,1),0))-$E497+1))</f>
        <v>0</v>
      </c>
      <c r="AN497" s="133" t="n">
        <f aca="false">IF(OR(OR($B497="",$E497="",$F497=""),$L497&lt;&gt;"لا"),0,MAX(0,MIN($F497,EOMONTH(DATE(cfg_FY,7,1),0))-$E497+1))</f>
        <v>0</v>
      </c>
      <c r="AO497" s="133" t="n">
        <f aca="false">IF(OR(OR($B497="",$E497="",$F497=""),$L497&lt;&gt;"لا"),0,MAX(0,MIN($F497,EOMONTH(DATE(cfg_FY,8,1),0))-$E497+1))</f>
        <v>0</v>
      </c>
      <c r="AP497" s="133" t="n">
        <f aca="false">IF(OR(OR($B497="",$E497="",$F497=""),$L497&lt;&gt;"لا"),0,MAX(0,MIN($F497,EOMONTH(DATE(cfg_FY,9,1),0))-$E497+1))</f>
        <v>0</v>
      </c>
      <c r="AQ497" s="133" t="n">
        <f aca="false">IF(OR(OR($B497="",$E497="",$F497=""),$L497&lt;&gt;"لا"),0,MAX(0,MIN($F497,EOMONTH(DATE(cfg_FY,10,1),0))-$E497+1))</f>
        <v>0</v>
      </c>
      <c r="AR497" s="133" t="n">
        <f aca="false">IF(OR(OR($B497="",$E497="",$F497=""),$L497&lt;&gt;"لا"),0,MAX(0,MIN($F497,EOMONTH(DATE(cfg_FY,11,1),0))-$E497+1))</f>
        <v>0</v>
      </c>
      <c r="AS497" s="133" t="n">
        <f aca="false">IF(OR(OR($B497="",$E497="",$F497=""),$L497&lt;&gt;"لا"),0,MAX(0,MIN($F497,EOMONTH(DATE(cfg_FY,12,1),0))-$E497+1))</f>
        <v>0</v>
      </c>
      <c r="AT497" s="133" t="n">
        <f aca="false">IF(OR(OR($B497="",$E497="",$F497=""),$K497&lt;&gt;"نعم",$M497="نعم"),0,MAX(0,MIN($F497,EOMONTH(DATE(cfg_FY,1,1),0))-MAX($E497,DATE(cfg_FY,1,1))+1))</f>
        <v>0</v>
      </c>
      <c r="AU497" s="133" t="n">
        <f aca="false">IF(OR(OR($B497="",$E497="",$F497=""),$K497&lt;&gt;"نعم",$M497="نعم"),0,MAX(0,MIN($F497,EOMONTH(DATE(cfg_FY,2,1),0))-MAX($E497,DATE(cfg_FY,2,1))+1))</f>
        <v>0</v>
      </c>
      <c r="AV497" s="133" t="n">
        <f aca="false">IF(OR(OR($B497="",$E497="",$F497=""),$K497&lt;&gt;"نعم",$M497="نعم"),0,MAX(0,MIN($F497,EOMONTH(DATE(cfg_FY,3,1),0))-MAX($E497,DATE(cfg_FY,3,1))+1))</f>
        <v>0</v>
      </c>
      <c r="AW497" s="133" t="n">
        <f aca="false">IF(OR(OR($B497="",$E497="",$F497=""),$K497&lt;&gt;"نعم",$M497="نعم"),0,MAX(0,MIN($F497,EOMONTH(DATE(cfg_FY,4,1),0))-MAX($E497,DATE(cfg_FY,4,1))+1))</f>
        <v>0</v>
      </c>
      <c r="AX497" s="133" t="n">
        <f aca="false">IF(OR(OR($B497="",$E497="",$F497=""),$K497&lt;&gt;"نعم",$M497="نعم"),0,MAX(0,MIN($F497,EOMONTH(DATE(cfg_FY,5,1),0))-MAX($E497,DATE(cfg_FY,5,1))+1))</f>
        <v>0</v>
      </c>
      <c r="AY497" s="133" t="n">
        <f aca="false">IF(OR(OR($B497="",$E497="",$F497=""),$K497&lt;&gt;"نعم",$M497="نعم"),0,MAX(0,MIN($F497,EOMONTH(DATE(cfg_FY,6,1),0))-MAX($E497,DATE(cfg_FY,6,1))+1))</f>
        <v>0</v>
      </c>
      <c r="AZ497" s="133" t="n">
        <f aca="false">IF(OR(OR($B497="",$E497="",$F497=""),$K497&lt;&gt;"نعم",$M497="نعم"),0,MAX(0,MIN($F497,EOMONTH(DATE(cfg_FY,7,1),0))-MAX($E497,DATE(cfg_FY,7,1))+1))</f>
        <v>0</v>
      </c>
      <c r="BA497" s="133" t="n">
        <f aca="false">IF(OR(OR($B497="",$E497="",$F497=""),$K497&lt;&gt;"نعم",$M497="نعم"),0,MAX(0,MIN($F497,EOMONTH(DATE(cfg_FY,8,1),0))-MAX($E497,DATE(cfg_FY,8,1))+1))</f>
        <v>0</v>
      </c>
      <c r="BB497" s="133" t="n">
        <f aca="false">IF(OR(OR($B497="",$E497="",$F497=""),$K497&lt;&gt;"نعم",$M497="نعم"),0,MAX(0,MIN($F497,EOMONTH(DATE(cfg_FY,9,1),0))-MAX($E497,DATE(cfg_FY,9,1))+1))</f>
        <v>0</v>
      </c>
      <c r="BC497" s="133" t="n">
        <f aca="false">IF(OR(OR($B497="",$E497="",$F497=""),$K497&lt;&gt;"نعم",$M497="نعم"),0,MAX(0,MIN($F497,EOMONTH(DATE(cfg_FY,10,1),0))-MAX($E497,DATE(cfg_FY,10,1))+1))</f>
        <v>0</v>
      </c>
      <c r="BD497" s="133" t="n">
        <f aca="false">IF(OR(OR($B497="",$E497="",$F497=""),$K497&lt;&gt;"نعم",$M497="نعم"),0,MAX(0,MIN($F497,EOMONTH(DATE(cfg_FY,11,1),0))-MAX($E497,DATE(cfg_FY,11,1))+1))</f>
        <v>0</v>
      </c>
      <c r="BE497" s="133" t="n">
        <f aca="false">IF(OR(OR($B497="",$E497="",$F497=""),$K497&lt;&gt;"نعم",$M497="نعم"),0,MAX(0,MIN($F497,EOMONTH(DATE(cfg_FY,12,1),0))-MAX($E497,DATE(cfg_FY,12,1))+1))</f>
        <v>0</v>
      </c>
    </row>
    <row r="498" customFormat="false" ht="15" hidden="false" customHeight="false" outlineLevel="0" collapsed="false">
      <c r="A498" s="106" t="str">
        <f aca="false">IF(B498="","",ROW()-5)</f>
        <v/>
      </c>
      <c r="B498" s="118"/>
      <c r="C498" s="114" t="str">
        <f aca="false">IF(B498="","",IFERROR(INDEX(الموظفون!$C$6:$C$105,MATCH(B498,الموظفون!$B$6:$B$105,0)),"✖ رقم غير موجود"))</f>
        <v/>
      </c>
      <c r="D498" s="118"/>
      <c r="E498" s="119"/>
      <c r="F498" s="119"/>
      <c r="G498" s="65" t="str">
        <f aca="false">IF(OR($B498="",$E498="",$F498=""),"",MAX(0,F498-E498+1))</f>
        <v/>
      </c>
      <c r="H498" s="66" t="str">
        <f aca="false">IF(D498="","",IFERROR(VLOOKUP(D498,cfg_LT,2,FALSE()),1))</f>
        <v/>
      </c>
      <c r="I498" s="135"/>
      <c r="J498" s="66" t="str">
        <f aca="false">IF(D498="","",IF(I498&lt;&gt;"",I498,H498))</f>
        <v/>
      </c>
      <c r="K498" s="114" t="str">
        <f aca="false">IF(D498="","",IFERROR(VLOOKUP($D498,cfg_LT,3,FALSE()),""))</f>
        <v/>
      </c>
      <c r="L498" s="114" t="str">
        <f aca="false">IF(D498="","",IFERROR(VLOOKUP($D498,cfg_LT,4,FALSE()),""))</f>
        <v/>
      </c>
      <c r="M498" s="114" t="str">
        <f aca="false">IF(D498="","",IFERROR(VLOOKUP($D498,cfg_LT,5,FALSE()),""))</f>
        <v/>
      </c>
      <c r="N498" s="111" t="n">
        <f aca="false">IF(OR(OR($B498="",$E498="",$F498=""),M498&lt;&gt;"نعم"),0,G498*J498*IFERROR(INDEX(الموظفون!$R$6:$R$105,MATCH(B498,الموظفون!$B$6:$B$105,0)),0)/cfg_DAYS_M)</f>
        <v>0</v>
      </c>
      <c r="O498" s="106" t="str">
        <f aca="false">IF(OR(OR($B498="",$E498="",$F498=""),M498&lt;&gt;"نعم"),"",IF(YEAR(E498)=cfg_FY,MONTH(E498),""))</f>
        <v/>
      </c>
      <c r="P498" s="114" t="str">
        <f aca="false">IF(B498="","",IF(OR(D498="",E498="",F498=""),"⚠ أكمل النوع والتواريخ",IF(F498&lt;E498,"✖ النهاية قبل البداية",IF(COUNTIFS($B$6:$B$505,B498,$E$6:$E$505,"&lt;="&amp;F498,$F$6:$F$505,"&gt;="&amp;E498)&gt;1,"⚠ تداخل مع سجل آخر",IF(E498&gt;cfg_VAL_DATE,"⏳ قادمة",IF(F498&lt;cfg_VAL_DATE,"✔ منتهية","✈ جارية في تاريخ التقرير"))))))</f>
        <v/>
      </c>
      <c r="Q498" s="118"/>
      <c r="R498" s="65" t="n">
        <f aca="false">IF(OR(OR($B498="",$E498="",$F498=""),L498&lt;&gt;"لا"),0,MAX(0,MIN(F498,cfg_Y_START-1)-E498+1))</f>
        <v>0</v>
      </c>
      <c r="S498" s="65" t="n">
        <f aca="false">IF(OR(OR($B498="",$E498="",$F498=""),L498&lt;&gt;"لا"),0,MAX(0,MIN(F498,cfg_VAL_DATE)-E498+1))</f>
        <v>0</v>
      </c>
      <c r="T498" s="65" t="n">
        <f aca="false">IF(OR(OR($B498="",$E498="",$F498=""),K498&lt;&gt;"نعم"),0,IF(M498="نعم",IF(AND(ISNUMBER(O498),N(O498)&lt;=cfg_VAL_M),G498,0),MAX(0,MIN(F498,cfg_VAL_DATE)-MAX(E498,cfg_Y_START)+1)))</f>
        <v>0</v>
      </c>
      <c r="V498" s="65" t="n">
        <f aca="false">IF(OR($B498="",$E498="",$F498=""),0,MAX(0,MIN($F498,EOMONTH(DATE(cfg_FY,1,1),0))-MAX($E498,DATE(cfg_FY,1,1))+1)*(1-IF($M498="نعم",0,N($J498))))</f>
        <v>0</v>
      </c>
      <c r="W498" s="65" t="n">
        <f aca="false">IF(OR($B498="",$E498="",$F498=""),0,MAX(0,MIN($F498,EOMONTH(DATE(cfg_FY,2,1),0))-MAX($E498,DATE(cfg_FY,2,1))+1)*(1-IF($M498="نعم",0,N($J498))))</f>
        <v>0</v>
      </c>
      <c r="X498" s="65" t="n">
        <f aca="false">IF(OR($B498="",$E498="",$F498=""),0,MAX(0,MIN($F498,EOMONTH(DATE(cfg_FY,3,1),0))-MAX($E498,DATE(cfg_FY,3,1))+1)*(1-IF($M498="نعم",0,N($J498))))</f>
        <v>0</v>
      </c>
      <c r="Y498" s="65" t="n">
        <f aca="false">IF(OR($B498="",$E498="",$F498=""),0,MAX(0,MIN($F498,EOMONTH(DATE(cfg_FY,4,1),0))-MAX($E498,DATE(cfg_FY,4,1))+1)*(1-IF($M498="نعم",0,N($J498))))</f>
        <v>0</v>
      </c>
      <c r="Z498" s="65" t="n">
        <f aca="false">IF(OR($B498="",$E498="",$F498=""),0,MAX(0,MIN($F498,EOMONTH(DATE(cfg_FY,5,1),0))-MAX($E498,DATE(cfg_FY,5,1))+1)*(1-IF($M498="نعم",0,N($J498))))</f>
        <v>0</v>
      </c>
      <c r="AA498" s="65" t="n">
        <f aca="false">IF(OR($B498="",$E498="",$F498=""),0,MAX(0,MIN($F498,EOMONTH(DATE(cfg_FY,6,1),0))-MAX($E498,DATE(cfg_FY,6,1))+1)*(1-IF($M498="نعم",0,N($J498))))</f>
        <v>0</v>
      </c>
      <c r="AB498" s="65" t="n">
        <f aca="false">IF(OR($B498="",$E498="",$F498=""),0,MAX(0,MIN($F498,EOMONTH(DATE(cfg_FY,7,1),0))-MAX($E498,DATE(cfg_FY,7,1))+1)*(1-IF($M498="نعم",0,N($J498))))</f>
        <v>0</v>
      </c>
      <c r="AC498" s="65" t="n">
        <f aca="false">IF(OR($B498="",$E498="",$F498=""),0,MAX(0,MIN($F498,EOMONTH(DATE(cfg_FY,8,1),0))-MAX($E498,DATE(cfg_FY,8,1))+1)*(1-IF($M498="نعم",0,N($J498))))</f>
        <v>0</v>
      </c>
      <c r="AD498" s="65" t="n">
        <f aca="false">IF(OR($B498="",$E498="",$F498=""),0,MAX(0,MIN($F498,EOMONTH(DATE(cfg_FY,9,1),0))-MAX($E498,DATE(cfg_FY,9,1))+1)*(1-IF($M498="نعم",0,N($J498))))</f>
        <v>0</v>
      </c>
      <c r="AE498" s="65" t="n">
        <f aca="false">IF(OR($B498="",$E498="",$F498=""),0,MAX(0,MIN($F498,EOMONTH(DATE(cfg_FY,10,1),0))-MAX($E498,DATE(cfg_FY,10,1))+1)*(1-IF($M498="نعم",0,N($J498))))</f>
        <v>0</v>
      </c>
      <c r="AF498" s="65" t="n">
        <f aca="false">IF(OR($B498="",$E498="",$F498=""),0,MAX(0,MIN($F498,EOMONTH(DATE(cfg_FY,11,1),0))-MAX($E498,DATE(cfg_FY,11,1))+1)*(1-IF($M498="نعم",0,N($J498))))</f>
        <v>0</v>
      </c>
      <c r="AG498" s="65" t="n">
        <f aca="false">IF(OR($B498="",$E498="",$F498=""),0,MAX(0,MIN($F498,EOMONTH(DATE(cfg_FY,12,1),0))-MAX($E498,DATE(cfg_FY,12,1))+1)*(1-IF($M498="نعم",0,N($J498))))</f>
        <v>0</v>
      </c>
      <c r="AH498" s="65" t="n">
        <f aca="false">IF(OR(OR($B498="",$E498="",$F498=""),$L498&lt;&gt;"لا"),0,MAX(0,MIN($F498,EOMONTH(DATE(cfg_FY,1,1),0))-$E498+1))</f>
        <v>0</v>
      </c>
      <c r="AI498" s="65" t="n">
        <f aca="false">IF(OR(OR($B498="",$E498="",$F498=""),$L498&lt;&gt;"لا"),0,MAX(0,MIN($F498,EOMONTH(DATE(cfg_FY,2,1),0))-$E498+1))</f>
        <v>0</v>
      </c>
      <c r="AJ498" s="65" t="n">
        <f aca="false">IF(OR(OR($B498="",$E498="",$F498=""),$L498&lt;&gt;"لا"),0,MAX(0,MIN($F498,EOMONTH(DATE(cfg_FY,3,1),0))-$E498+1))</f>
        <v>0</v>
      </c>
      <c r="AK498" s="65" t="n">
        <f aca="false">IF(OR(OR($B498="",$E498="",$F498=""),$L498&lt;&gt;"لا"),0,MAX(0,MIN($F498,EOMONTH(DATE(cfg_FY,4,1),0))-$E498+1))</f>
        <v>0</v>
      </c>
      <c r="AL498" s="65" t="n">
        <f aca="false">IF(OR(OR($B498="",$E498="",$F498=""),$L498&lt;&gt;"لا"),0,MAX(0,MIN($F498,EOMONTH(DATE(cfg_FY,5,1),0))-$E498+1))</f>
        <v>0</v>
      </c>
      <c r="AM498" s="65" t="n">
        <f aca="false">IF(OR(OR($B498="",$E498="",$F498=""),$L498&lt;&gt;"لا"),0,MAX(0,MIN($F498,EOMONTH(DATE(cfg_FY,6,1),0))-$E498+1))</f>
        <v>0</v>
      </c>
      <c r="AN498" s="65" t="n">
        <f aca="false">IF(OR(OR($B498="",$E498="",$F498=""),$L498&lt;&gt;"لا"),0,MAX(0,MIN($F498,EOMONTH(DATE(cfg_FY,7,1),0))-$E498+1))</f>
        <v>0</v>
      </c>
      <c r="AO498" s="65" t="n">
        <f aca="false">IF(OR(OR($B498="",$E498="",$F498=""),$L498&lt;&gt;"لا"),0,MAX(0,MIN($F498,EOMONTH(DATE(cfg_FY,8,1),0))-$E498+1))</f>
        <v>0</v>
      </c>
      <c r="AP498" s="65" t="n">
        <f aca="false">IF(OR(OR($B498="",$E498="",$F498=""),$L498&lt;&gt;"لا"),0,MAX(0,MIN($F498,EOMONTH(DATE(cfg_FY,9,1),0))-$E498+1))</f>
        <v>0</v>
      </c>
      <c r="AQ498" s="65" t="n">
        <f aca="false">IF(OR(OR($B498="",$E498="",$F498=""),$L498&lt;&gt;"لا"),0,MAX(0,MIN($F498,EOMONTH(DATE(cfg_FY,10,1),0))-$E498+1))</f>
        <v>0</v>
      </c>
      <c r="AR498" s="65" t="n">
        <f aca="false">IF(OR(OR($B498="",$E498="",$F498=""),$L498&lt;&gt;"لا"),0,MAX(0,MIN($F498,EOMONTH(DATE(cfg_FY,11,1),0))-$E498+1))</f>
        <v>0</v>
      </c>
      <c r="AS498" s="65" t="n">
        <f aca="false">IF(OR(OR($B498="",$E498="",$F498=""),$L498&lt;&gt;"لا"),0,MAX(0,MIN($F498,EOMONTH(DATE(cfg_FY,12,1),0))-$E498+1))</f>
        <v>0</v>
      </c>
      <c r="AT498" s="65" t="n">
        <f aca="false">IF(OR(OR($B498="",$E498="",$F498=""),$K498&lt;&gt;"نعم",$M498="نعم"),0,MAX(0,MIN($F498,EOMONTH(DATE(cfg_FY,1,1),0))-MAX($E498,DATE(cfg_FY,1,1))+1))</f>
        <v>0</v>
      </c>
      <c r="AU498" s="65" t="n">
        <f aca="false">IF(OR(OR($B498="",$E498="",$F498=""),$K498&lt;&gt;"نعم",$M498="نعم"),0,MAX(0,MIN($F498,EOMONTH(DATE(cfg_FY,2,1),0))-MAX($E498,DATE(cfg_FY,2,1))+1))</f>
        <v>0</v>
      </c>
      <c r="AV498" s="65" t="n">
        <f aca="false">IF(OR(OR($B498="",$E498="",$F498=""),$K498&lt;&gt;"نعم",$M498="نعم"),0,MAX(0,MIN($F498,EOMONTH(DATE(cfg_FY,3,1),0))-MAX($E498,DATE(cfg_FY,3,1))+1))</f>
        <v>0</v>
      </c>
      <c r="AW498" s="65" t="n">
        <f aca="false">IF(OR(OR($B498="",$E498="",$F498=""),$K498&lt;&gt;"نعم",$M498="نعم"),0,MAX(0,MIN($F498,EOMONTH(DATE(cfg_FY,4,1),0))-MAX($E498,DATE(cfg_FY,4,1))+1))</f>
        <v>0</v>
      </c>
      <c r="AX498" s="65" t="n">
        <f aca="false">IF(OR(OR($B498="",$E498="",$F498=""),$K498&lt;&gt;"نعم",$M498="نعم"),0,MAX(0,MIN($F498,EOMONTH(DATE(cfg_FY,5,1),0))-MAX($E498,DATE(cfg_FY,5,1))+1))</f>
        <v>0</v>
      </c>
      <c r="AY498" s="65" t="n">
        <f aca="false">IF(OR(OR($B498="",$E498="",$F498=""),$K498&lt;&gt;"نعم",$M498="نعم"),0,MAX(0,MIN($F498,EOMONTH(DATE(cfg_FY,6,1),0))-MAX($E498,DATE(cfg_FY,6,1))+1))</f>
        <v>0</v>
      </c>
      <c r="AZ498" s="65" t="n">
        <f aca="false">IF(OR(OR($B498="",$E498="",$F498=""),$K498&lt;&gt;"نعم",$M498="نعم"),0,MAX(0,MIN($F498,EOMONTH(DATE(cfg_FY,7,1),0))-MAX($E498,DATE(cfg_FY,7,1))+1))</f>
        <v>0</v>
      </c>
      <c r="BA498" s="65" t="n">
        <f aca="false">IF(OR(OR($B498="",$E498="",$F498=""),$K498&lt;&gt;"نعم",$M498="نعم"),0,MAX(0,MIN($F498,EOMONTH(DATE(cfg_FY,8,1),0))-MAX($E498,DATE(cfg_FY,8,1))+1))</f>
        <v>0</v>
      </c>
      <c r="BB498" s="65" t="n">
        <f aca="false">IF(OR(OR($B498="",$E498="",$F498=""),$K498&lt;&gt;"نعم",$M498="نعم"),0,MAX(0,MIN($F498,EOMONTH(DATE(cfg_FY,9,1),0))-MAX($E498,DATE(cfg_FY,9,1))+1))</f>
        <v>0</v>
      </c>
      <c r="BC498" s="65" t="n">
        <f aca="false">IF(OR(OR($B498="",$E498="",$F498=""),$K498&lt;&gt;"نعم",$M498="نعم"),0,MAX(0,MIN($F498,EOMONTH(DATE(cfg_FY,10,1),0))-MAX($E498,DATE(cfg_FY,10,1))+1))</f>
        <v>0</v>
      </c>
      <c r="BD498" s="65" t="n">
        <f aca="false">IF(OR(OR($B498="",$E498="",$F498=""),$K498&lt;&gt;"نعم",$M498="نعم"),0,MAX(0,MIN($F498,EOMONTH(DATE(cfg_FY,11,1),0))-MAX($E498,DATE(cfg_FY,11,1))+1))</f>
        <v>0</v>
      </c>
      <c r="BE498" s="65" t="n">
        <f aca="false">IF(OR(OR($B498="",$E498="",$F498=""),$K498&lt;&gt;"نعم",$M498="نعم"),0,MAX(0,MIN($F498,EOMONTH(DATE(cfg_FY,12,1),0))-MAX($E498,DATE(cfg_FY,12,1))+1))</f>
        <v>0</v>
      </c>
    </row>
    <row r="499" customFormat="false" ht="15" hidden="false" customHeight="false" outlineLevel="0" collapsed="false">
      <c r="A499" s="115" t="str">
        <f aca="false">IF(B499="","",ROW()-5)</f>
        <v/>
      </c>
      <c r="B499" s="118"/>
      <c r="C499" s="117" t="str">
        <f aca="false">IF(B499="","",IFERROR(INDEX(الموظفون!$C$6:$C$105,MATCH(B499,الموظفون!$B$6:$B$105,0)),"✖ رقم غير موجود"))</f>
        <v/>
      </c>
      <c r="D499" s="118"/>
      <c r="E499" s="119"/>
      <c r="F499" s="119"/>
      <c r="G499" s="133" t="str">
        <f aca="false">IF(OR($B499="",$E499="",$F499=""),"",MAX(0,F499-E499+1))</f>
        <v/>
      </c>
      <c r="H499" s="134" t="str">
        <f aca="false">IF(D499="","",IFERROR(VLOOKUP(D499,cfg_LT,2,FALSE()),1))</f>
        <v/>
      </c>
      <c r="I499" s="135"/>
      <c r="J499" s="134" t="str">
        <f aca="false">IF(D499="","",IF(I499&lt;&gt;"",I499,H499))</f>
        <v/>
      </c>
      <c r="K499" s="117" t="str">
        <f aca="false">IF(D499="","",IFERROR(VLOOKUP($D499,cfg_LT,3,FALSE()),""))</f>
        <v/>
      </c>
      <c r="L499" s="117" t="str">
        <f aca="false">IF(D499="","",IFERROR(VLOOKUP($D499,cfg_LT,4,FALSE()),""))</f>
        <v/>
      </c>
      <c r="M499" s="117" t="str">
        <f aca="false">IF(D499="","",IFERROR(VLOOKUP($D499,cfg_LT,5,FALSE()),""))</f>
        <v/>
      </c>
      <c r="N499" s="116" t="n">
        <f aca="false">IF(OR(OR($B499="",$E499="",$F499=""),M499&lt;&gt;"نعم"),0,G499*J499*IFERROR(INDEX(الموظفون!$R$6:$R$105,MATCH(B499,الموظفون!$B$6:$B$105,0)),0)/cfg_DAYS_M)</f>
        <v>0</v>
      </c>
      <c r="O499" s="115" t="str">
        <f aca="false">IF(OR(OR($B499="",$E499="",$F499=""),M499&lt;&gt;"نعم"),"",IF(YEAR(E499)=cfg_FY,MONTH(E499),""))</f>
        <v/>
      </c>
      <c r="P499" s="117" t="str">
        <f aca="false">IF(B499="","",IF(OR(D499="",E499="",F499=""),"⚠ أكمل النوع والتواريخ",IF(F499&lt;E499,"✖ النهاية قبل البداية",IF(COUNTIFS($B$6:$B$505,B499,$E$6:$E$505,"&lt;="&amp;F499,$F$6:$F$505,"&gt;="&amp;E499)&gt;1,"⚠ تداخل مع سجل آخر",IF(E499&gt;cfg_VAL_DATE,"⏳ قادمة",IF(F499&lt;cfg_VAL_DATE,"✔ منتهية","✈ جارية في تاريخ التقرير"))))))</f>
        <v/>
      </c>
      <c r="Q499" s="118"/>
      <c r="R499" s="133" t="n">
        <f aca="false">IF(OR(OR($B499="",$E499="",$F499=""),L499&lt;&gt;"لا"),0,MAX(0,MIN(F499,cfg_Y_START-1)-E499+1))</f>
        <v>0</v>
      </c>
      <c r="S499" s="133" t="n">
        <f aca="false">IF(OR(OR($B499="",$E499="",$F499=""),L499&lt;&gt;"لا"),0,MAX(0,MIN(F499,cfg_VAL_DATE)-E499+1))</f>
        <v>0</v>
      </c>
      <c r="T499" s="133" t="n">
        <f aca="false">IF(OR(OR($B499="",$E499="",$F499=""),K499&lt;&gt;"نعم"),0,IF(M499="نعم",IF(AND(ISNUMBER(O499),N(O499)&lt;=cfg_VAL_M),G499,0),MAX(0,MIN(F499,cfg_VAL_DATE)-MAX(E499,cfg_Y_START)+1)))</f>
        <v>0</v>
      </c>
      <c r="V499" s="133" t="n">
        <f aca="false">IF(OR($B499="",$E499="",$F499=""),0,MAX(0,MIN($F499,EOMONTH(DATE(cfg_FY,1,1),0))-MAX($E499,DATE(cfg_FY,1,1))+1)*(1-IF($M499="نعم",0,N($J499))))</f>
        <v>0</v>
      </c>
      <c r="W499" s="133" t="n">
        <f aca="false">IF(OR($B499="",$E499="",$F499=""),0,MAX(0,MIN($F499,EOMONTH(DATE(cfg_FY,2,1),0))-MAX($E499,DATE(cfg_FY,2,1))+1)*(1-IF($M499="نعم",0,N($J499))))</f>
        <v>0</v>
      </c>
      <c r="X499" s="133" t="n">
        <f aca="false">IF(OR($B499="",$E499="",$F499=""),0,MAX(0,MIN($F499,EOMONTH(DATE(cfg_FY,3,1),0))-MAX($E499,DATE(cfg_FY,3,1))+1)*(1-IF($M499="نعم",0,N($J499))))</f>
        <v>0</v>
      </c>
      <c r="Y499" s="133" t="n">
        <f aca="false">IF(OR($B499="",$E499="",$F499=""),0,MAX(0,MIN($F499,EOMONTH(DATE(cfg_FY,4,1),0))-MAX($E499,DATE(cfg_FY,4,1))+1)*(1-IF($M499="نعم",0,N($J499))))</f>
        <v>0</v>
      </c>
      <c r="Z499" s="133" t="n">
        <f aca="false">IF(OR($B499="",$E499="",$F499=""),0,MAX(0,MIN($F499,EOMONTH(DATE(cfg_FY,5,1),0))-MAX($E499,DATE(cfg_FY,5,1))+1)*(1-IF($M499="نعم",0,N($J499))))</f>
        <v>0</v>
      </c>
      <c r="AA499" s="133" t="n">
        <f aca="false">IF(OR($B499="",$E499="",$F499=""),0,MAX(0,MIN($F499,EOMONTH(DATE(cfg_FY,6,1),0))-MAX($E499,DATE(cfg_FY,6,1))+1)*(1-IF($M499="نعم",0,N($J499))))</f>
        <v>0</v>
      </c>
      <c r="AB499" s="133" t="n">
        <f aca="false">IF(OR($B499="",$E499="",$F499=""),0,MAX(0,MIN($F499,EOMONTH(DATE(cfg_FY,7,1),0))-MAX($E499,DATE(cfg_FY,7,1))+1)*(1-IF($M499="نعم",0,N($J499))))</f>
        <v>0</v>
      </c>
      <c r="AC499" s="133" t="n">
        <f aca="false">IF(OR($B499="",$E499="",$F499=""),0,MAX(0,MIN($F499,EOMONTH(DATE(cfg_FY,8,1),0))-MAX($E499,DATE(cfg_FY,8,1))+1)*(1-IF($M499="نعم",0,N($J499))))</f>
        <v>0</v>
      </c>
      <c r="AD499" s="133" t="n">
        <f aca="false">IF(OR($B499="",$E499="",$F499=""),0,MAX(0,MIN($F499,EOMONTH(DATE(cfg_FY,9,1),0))-MAX($E499,DATE(cfg_FY,9,1))+1)*(1-IF($M499="نعم",0,N($J499))))</f>
        <v>0</v>
      </c>
      <c r="AE499" s="133" t="n">
        <f aca="false">IF(OR($B499="",$E499="",$F499=""),0,MAX(0,MIN($F499,EOMONTH(DATE(cfg_FY,10,1),0))-MAX($E499,DATE(cfg_FY,10,1))+1)*(1-IF($M499="نعم",0,N($J499))))</f>
        <v>0</v>
      </c>
      <c r="AF499" s="133" t="n">
        <f aca="false">IF(OR($B499="",$E499="",$F499=""),0,MAX(0,MIN($F499,EOMONTH(DATE(cfg_FY,11,1),0))-MAX($E499,DATE(cfg_FY,11,1))+1)*(1-IF($M499="نعم",0,N($J499))))</f>
        <v>0</v>
      </c>
      <c r="AG499" s="133" t="n">
        <f aca="false">IF(OR($B499="",$E499="",$F499=""),0,MAX(0,MIN($F499,EOMONTH(DATE(cfg_FY,12,1),0))-MAX($E499,DATE(cfg_FY,12,1))+1)*(1-IF($M499="نعم",0,N($J499))))</f>
        <v>0</v>
      </c>
      <c r="AH499" s="133" t="n">
        <f aca="false">IF(OR(OR($B499="",$E499="",$F499=""),$L499&lt;&gt;"لا"),0,MAX(0,MIN($F499,EOMONTH(DATE(cfg_FY,1,1),0))-$E499+1))</f>
        <v>0</v>
      </c>
      <c r="AI499" s="133" t="n">
        <f aca="false">IF(OR(OR($B499="",$E499="",$F499=""),$L499&lt;&gt;"لا"),0,MAX(0,MIN($F499,EOMONTH(DATE(cfg_FY,2,1),0))-$E499+1))</f>
        <v>0</v>
      </c>
      <c r="AJ499" s="133" t="n">
        <f aca="false">IF(OR(OR($B499="",$E499="",$F499=""),$L499&lt;&gt;"لا"),0,MAX(0,MIN($F499,EOMONTH(DATE(cfg_FY,3,1),0))-$E499+1))</f>
        <v>0</v>
      </c>
      <c r="AK499" s="133" t="n">
        <f aca="false">IF(OR(OR($B499="",$E499="",$F499=""),$L499&lt;&gt;"لا"),0,MAX(0,MIN($F499,EOMONTH(DATE(cfg_FY,4,1),0))-$E499+1))</f>
        <v>0</v>
      </c>
      <c r="AL499" s="133" t="n">
        <f aca="false">IF(OR(OR($B499="",$E499="",$F499=""),$L499&lt;&gt;"لا"),0,MAX(0,MIN($F499,EOMONTH(DATE(cfg_FY,5,1),0))-$E499+1))</f>
        <v>0</v>
      </c>
      <c r="AM499" s="133" t="n">
        <f aca="false">IF(OR(OR($B499="",$E499="",$F499=""),$L499&lt;&gt;"لا"),0,MAX(0,MIN($F499,EOMONTH(DATE(cfg_FY,6,1),0))-$E499+1))</f>
        <v>0</v>
      </c>
      <c r="AN499" s="133" t="n">
        <f aca="false">IF(OR(OR($B499="",$E499="",$F499=""),$L499&lt;&gt;"لا"),0,MAX(0,MIN($F499,EOMONTH(DATE(cfg_FY,7,1),0))-$E499+1))</f>
        <v>0</v>
      </c>
      <c r="AO499" s="133" t="n">
        <f aca="false">IF(OR(OR($B499="",$E499="",$F499=""),$L499&lt;&gt;"لا"),0,MAX(0,MIN($F499,EOMONTH(DATE(cfg_FY,8,1),0))-$E499+1))</f>
        <v>0</v>
      </c>
      <c r="AP499" s="133" t="n">
        <f aca="false">IF(OR(OR($B499="",$E499="",$F499=""),$L499&lt;&gt;"لا"),0,MAX(0,MIN($F499,EOMONTH(DATE(cfg_FY,9,1),0))-$E499+1))</f>
        <v>0</v>
      </c>
      <c r="AQ499" s="133" t="n">
        <f aca="false">IF(OR(OR($B499="",$E499="",$F499=""),$L499&lt;&gt;"لا"),0,MAX(0,MIN($F499,EOMONTH(DATE(cfg_FY,10,1),0))-$E499+1))</f>
        <v>0</v>
      </c>
      <c r="AR499" s="133" t="n">
        <f aca="false">IF(OR(OR($B499="",$E499="",$F499=""),$L499&lt;&gt;"لا"),0,MAX(0,MIN($F499,EOMONTH(DATE(cfg_FY,11,1),0))-$E499+1))</f>
        <v>0</v>
      </c>
      <c r="AS499" s="133" t="n">
        <f aca="false">IF(OR(OR($B499="",$E499="",$F499=""),$L499&lt;&gt;"لا"),0,MAX(0,MIN($F499,EOMONTH(DATE(cfg_FY,12,1),0))-$E499+1))</f>
        <v>0</v>
      </c>
      <c r="AT499" s="133" t="n">
        <f aca="false">IF(OR(OR($B499="",$E499="",$F499=""),$K499&lt;&gt;"نعم",$M499="نعم"),0,MAX(0,MIN($F499,EOMONTH(DATE(cfg_FY,1,1),0))-MAX($E499,DATE(cfg_FY,1,1))+1))</f>
        <v>0</v>
      </c>
      <c r="AU499" s="133" t="n">
        <f aca="false">IF(OR(OR($B499="",$E499="",$F499=""),$K499&lt;&gt;"نعم",$M499="نعم"),0,MAX(0,MIN($F499,EOMONTH(DATE(cfg_FY,2,1),0))-MAX($E499,DATE(cfg_FY,2,1))+1))</f>
        <v>0</v>
      </c>
      <c r="AV499" s="133" t="n">
        <f aca="false">IF(OR(OR($B499="",$E499="",$F499=""),$K499&lt;&gt;"نعم",$M499="نعم"),0,MAX(0,MIN($F499,EOMONTH(DATE(cfg_FY,3,1),0))-MAX($E499,DATE(cfg_FY,3,1))+1))</f>
        <v>0</v>
      </c>
      <c r="AW499" s="133" t="n">
        <f aca="false">IF(OR(OR($B499="",$E499="",$F499=""),$K499&lt;&gt;"نعم",$M499="نعم"),0,MAX(0,MIN($F499,EOMONTH(DATE(cfg_FY,4,1),0))-MAX($E499,DATE(cfg_FY,4,1))+1))</f>
        <v>0</v>
      </c>
      <c r="AX499" s="133" t="n">
        <f aca="false">IF(OR(OR($B499="",$E499="",$F499=""),$K499&lt;&gt;"نعم",$M499="نعم"),0,MAX(0,MIN($F499,EOMONTH(DATE(cfg_FY,5,1),0))-MAX($E499,DATE(cfg_FY,5,1))+1))</f>
        <v>0</v>
      </c>
      <c r="AY499" s="133" t="n">
        <f aca="false">IF(OR(OR($B499="",$E499="",$F499=""),$K499&lt;&gt;"نعم",$M499="نعم"),0,MAX(0,MIN($F499,EOMONTH(DATE(cfg_FY,6,1),0))-MAX($E499,DATE(cfg_FY,6,1))+1))</f>
        <v>0</v>
      </c>
      <c r="AZ499" s="133" t="n">
        <f aca="false">IF(OR(OR($B499="",$E499="",$F499=""),$K499&lt;&gt;"نعم",$M499="نعم"),0,MAX(0,MIN($F499,EOMONTH(DATE(cfg_FY,7,1),0))-MAX($E499,DATE(cfg_FY,7,1))+1))</f>
        <v>0</v>
      </c>
      <c r="BA499" s="133" t="n">
        <f aca="false">IF(OR(OR($B499="",$E499="",$F499=""),$K499&lt;&gt;"نعم",$M499="نعم"),0,MAX(0,MIN($F499,EOMONTH(DATE(cfg_FY,8,1),0))-MAX($E499,DATE(cfg_FY,8,1))+1))</f>
        <v>0</v>
      </c>
      <c r="BB499" s="133" t="n">
        <f aca="false">IF(OR(OR($B499="",$E499="",$F499=""),$K499&lt;&gt;"نعم",$M499="نعم"),0,MAX(0,MIN($F499,EOMONTH(DATE(cfg_FY,9,1),0))-MAX($E499,DATE(cfg_FY,9,1))+1))</f>
        <v>0</v>
      </c>
      <c r="BC499" s="133" t="n">
        <f aca="false">IF(OR(OR($B499="",$E499="",$F499=""),$K499&lt;&gt;"نعم",$M499="نعم"),0,MAX(0,MIN($F499,EOMONTH(DATE(cfg_FY,10,1),0))-MAX($E499,DATE(cfg_FY,10,1))+1))</f>
        <v>0</v>
      </c>
      <c r="BD499" s="133" t="n">
        <f aca="false">IF(OR(OR($B499="",$E499="",$F499=""),$K499&lt;&gt;"نعم",$M499="نعم"),0,MAX(0,MIN($F499,EOMONTH(DATE(cfg_FY,11,1),0))-MAX($E499,DATE(cfg_FY,11,1))+1))</f>
        <v>0</v>
      </c>
      <c r="BE499" s="133" t="n">
        <f aca="false">IF(OR(OR($B499="",$E499="",$F499=""),$K499&lt;&gt;"نعم",$M499="نعم"),0,MAX(0,MIN($F499,EOMONTH(DATE(cfg_FY,12,1),0))-MAX($E499,DATE(cfg_FY,12,1))+1))</f>
        <v>0</v>
      </c>
    </row>
    <row r="500" customFormat="false" ht="15" hidden="false" customHeight="false" outlineLevel="0" collapsed="false">
      <c r="A500" s="106" t="str">
        <f aca="false">IF(B500="","",ROW()-5)</f>
        <v/>
      </c>
      <c r="B500" s="118"/>
      <c r="C500" s="114" t="str">
        <f aca="false">IF(B500="","",IFERROR(INDEX(الموظفون!$C$6:$C$105,MATCH(B500,الموظفون!$B$6:$B$105,0)),"✖ رقم غير موجود"))</f>
        <v/>
      </c>
      <c r="D500" s="118"/>
      <c r="E500" s="119"/>
      <c r="F500" s="119"/>
      <c r="G500" s="65" t="str">
        <f aca="false">IF(OR($B500="",$E500="",$F500=""),"",MAX(0,F500-E500+1))</f>
        <v/>
      </c>
      <c r="H500" s="66" t="str">
        <f aca="false">IF(D500="","",IFERROR(VLOOKUP(D500,cfg_LT,2,FALSE()),1))</f>
        <v/>
      </c>
      <c r="I500" s="135"/>
      <c r="J500" s="66" t="str">
        <f aca="false">IF(D500="","",IF(I500&lt;&gt;"",I500,H500))</f>
        <v/>
      </c>
      <c r="K500" s="114" t="str">
        <f aca="false">IF(D500="","",IFERROR(VLOOKUP($D500,cfg_LT,3,FALSE()),""))</f>
        <v/>
      </c>
      <c r="L500" s="114" t="str">
        <f aca="false">IF(D500="","",IFERROR(VLOOKUP($D500,cfg_LT,4,FALSE()),""))</f>
        <v/>
      </c>
      <c r="M500" s="114" t="str">
        <f aca="false">IF(D500="","",IFERROR(VLOOKUP($D500,cfg_LT,5,FALSE()),""))</f>
        <v/>
      </c>
      <c r="N500" s="111" t="n">
        <f aca="false">IF(OR(OR($B500="",$E500="",$F500=""),M500&lt;&gt;"نعم"),0,G500*J500*IFERROR(INDEX(الموظفون!$R$6:$R$105,MATCH(B500,الموظفون!$B$6:$B$105,0)),0)/cfg_DAYS_M)</f>
        <v>0</v>
      </c>
      <c r="O500" s="106" t="str">
        <f aca="false">IF(OR(OR($B500="",$E500="",$F500=""),M500&lt;&gt;"نعم"),"",IF(YEAR(E500)=cfg_FY,MONTH(E500),""))</f>
        <v/>
      </c>
      <c r="P500" s="114" t="str">
        <f aca="false">IF(B500="","",IF(OR(D500="",E500="",F500=""),"⚠ أكمل النوع والتواريخ",IF(F500&lt;E500,"✖ النهاية قبل البداية",IF(COUNTIFS($B$6:$B$505,B500,$E$6:$E$505,"&lt;="&amp;F500,$F$6:$F$505,"&gt;="&amp;E500)&gt;1,"⚠ تداخل مع سجل آخر",IF(E500&gt;cfg_VAL_DATE,"⏳ قادمة",IF(F500&lt;cfg_VAL_DATE,"✔ منتهية","✈ جارية في تاريخ التقرير"))))))</f>
        <v/>
      </c>
      <c r="Q500" s="118"/>
      <c r="R500" s="65" t="n">
        <f aca="false">IF(OR(OR($B500="",$E500="",$F500=""),L500&lt;&gt;"لا"),0,MAX(0,MIN(F500,cfg_Y_START-1)-E500+1))</f>
        <v>0</v>
      </c>
      <c r="S500" s="65" t="n">
        <f aca="false">IF(OR(OR($B500="",$E500="",$F500=""),L500&lt;&gt;"لا"),0,MAX(0,MIN(F500,cfg_VAL_DATE)-E500+1))</f>
        <v>0</v>
      </c>
      <c r="T500" s="65" t="n">
        <f aca="false">IF(OR(OR($B500="",$E500="",$F500=""),K500&lt;&gt;"نعم"),0,IF(M500="نعم",IF(AND(ISNUMBER(O500),N(O500)&lt;=cfg_VAL_M),G500,0),MAX(0,MIN(F500,cfg_VAL_DATE)-MAX(E500,cfg_Y_START)+1)))</f>
        <v>0</v>
      </c>
      <c r="V500" s="65" t="n">
        <f aca="false">IF(OR($B500="",$E500="",$F500=""),0,MAX(0,MIN($F500,EOMONTH(DATE(cfg_FY,1,1),0))-MAX($E500,DATE(cfg_FY,1,1))+1)*(1-IF($M500="نعم",0,N($J500))))</f>
        <v>0</v>
      </c>
      <c r="W500" s="65" t="n">
        <f aca="false">IF(OR($B500="",$E500="",$F500=""),0,MAX(0,MIN($F500,EOMONTH(DATE(cfg_FY,2,1),0))-MAX($E500,DATE(cfg_FY,2,1))+1)*(1-IF($M500="نعم",0,N($J500))))</f>
        <v>0</v>
      </c>
      <c r="X500" s="65" t="n">
        <f aca="false">IF(OR($B500="",$E500="",$F500=""),0,MAX(0,MIN($F500,EOMONTH(DATE(cfg_FY,3,1),0))-MAX($E500,DATE(cfg_FY,3,1))+1)*(1-IF($M500="نعم",0,N($J500))))</f>
        <v>0</v>
      </c>
      <c r="Y500" s="65" t="n">
        <f aca="false">IF(OR($B500="",$E500="",$F500=""),0,MAX(0,MIN($F500,EOMONTH(DATE(cfg_FY,4,1),0))-MAX($E500,DATE(cfg_FY,4,1))+1)*(1-IF($M500="نعم",0,N($J500))))</f>
        <v>0</v>
      </c>
      <c r="Z500" s="65" t="n">
        <f aca="false">IF(OR($B500="",$E500="",$F500=""),0,MAX(0,MIN($F500,EOMONTH(DATE(cfg_FY,5,1),0))-MAX($E500,DATE(cfg_FY,5,1))+1)*(1-IF($M500="نعم",0,N($J500))))</f>
        <v>0</v>
      </c>
      <c r="AA500" s="65" t="n">
        <f aca="false">IF(OR($B500="",$E500="",$F500=""),0,MAX(0,MIN($F500,EOMONTH(DATE(cfg_FY,6,1),0))-MAX($E500,DATE(cfg_FY,6,1))+1)*(1-IF($M500="نعم",0,N($J500))))</f>
        <v>0</v>
      </c>
      <c r="AB500" s="65" t="n">
        <f aca="false">IF(OR($B500="",$E500="",$F500=""),0,MAX(0,MIN($F500,EOMONTH(DATE(cfg_FY,7,1),0))-MAX($E500,DATE(cfg_FY,7,1))+1)*(1-IF($M500="نعم",0,N($J500))))</f>
        <v>0</v>
      </c>
      <c r="AC500" s="65" t="n">
        <f aca="false">IF(OR($B500="",$E500="",$F500=""),0,MAX(0,MIN($F500,EOMONTH(DATE(cfg_FY,8,1),0))-MAX($E500,DATE(cfg_FY,8,1))+1)*(1-IF($M500="نعم",0,N($J500))))</f>
        <v>0</v>
      </c>
      <c r="AD500" s="65" t="n">
        <f aca="false">IF(OR($B500="",$E500="",$F500=""),0,MAX(0,MIN($F500,EOMONTH(DATE(cfg_FY,9,1),0))-MAX($E500,DATE(cfg_FY,9,1))+1)*(1-IF($M500="نعم",0,N($J500))))</f>
        <v>0</v>
      </c>
      <c r="AE500" s="65" t="n">
        <f aca="false">IF(OR($B500="",$E500="",$F500=""),0,MAX(0,MIN($F500,EOMONTH(DATE(cfg_FY,10,1),0))-MAX($E500,DATE(cfg_FY,10,1))+1)*(1-IF($M500="نعم",0,N($J500))))</f>
        <v>0</v>
      </c>
      <c r="AF500" s="65" t="n">
        <f aca="false">IF(OR($B500="",$E500="",$F500=""),0,MAX(0,MIN($F500,EOMONTH(DATE(cfg_FY,11,1),0))-MAX($E500,DATE(cfg_FY,11,1))+1)*(1-IF($M500="نعم",0,N($J500))))</f>
        <v>0</v>
      </c>
      <c r="AG500" s="65" t="n">
        <f aca="false">IF(OR($B500="",$E500="",$F500=""),0,MAX(0,MIN($F500,EOMONTH(DATE(cfg_FY,12,1),0))-MAX($E500,DATE(cfg_FY,12,1))+1)*(1-IF($M500="نعم",0,N($J500))))</f>
        <v>0</v>
      </c>
      <c r="AH500" s="65" t="n">
        <f aca="false">IF(OR(OR($B500="",$E500="",$F500=""),$L500&lt;&gt;"لا"),0,MAX(0,MIN($F500,EOMONTH(DATE(cfg_FY,1,1),0))-$E500+1))</f>
        <v>0</v>
      </c>
      <c r="AI500" s="65" t="n">
        <f aca="false">IF(OR(OR($B500="",$E500="",$F500=""),$L500&lt;&gt;"لا"),0,MAX(0,MIN($F500,EOMONTH(DATE(cfg_FY,2,1),0))-$E500+1))</f>
        <v>0</v>
      </c>
      <c r="AJ500" s="65" t="n">
        <f aca="false">IF(OR(OR($B500="",$E500="",$F500=""),$L500&lt;&gt;"لا"),0,MAX(0,MIN($F500,EOMONTH(DATE(cfg_FY,3,1),0))-$E500+1))</f>
        <v>0</v>
      </c>
      <c r="AK500" s="65" t="n">
        <f aca="false">IF(OR(OR($B500="",$E500="",$F500=""),$L500&lt;&gt;"لا"),0,MAX(0,MIN($F500,EOMONTH(DATE(cfg_FY,4,1),0))-$E500+1))</f>
        <v>0</v>
      </c>
      <c r="AL500" s="65" t="n">
        <f aca="false">IF(OR(OR($B500="",$E500="",$F500=""),$L500&lt;&gt;"لا"),0,MAX(0,MIN($F500,EOMONTH(DATE(cfg_FY,5,1),0))-$E500+1))</f>
        <v>0</v>
      </c>
      <c r="AM500" s="65" t="n">
        <f aca="false">IF(OR(OR($B500="",$E500="",$F500=""),$L500&lt;&gt;"لا"),0,MAX(0,MIN($F500,EOMONTH(DATE(cfg_FY,6,1),0))-$E500+1))</f>
        <v>0</v>
      </c>
      <c r="AN500" s="65" t="n">
        <f aca="false">IF(OR(OR($B500="",$E500="",$F500=""),$L500&lt;&gt;"لا"),0,MAX(0,MIN($F500,EOMONTH(DATE(cfg_FY,7,1),0))-$E500+1))</f>
        <v>0</v>
      </c>
      <c r="AO500" s="65" t="n">
        <f aca="false">IF(OR(OR($B500="",$E500="",$F500=""),$L500&lt;&gt;"لا"),0,MAX(0,MIN($F500,EOMONTH(DATE(cfg_FY,8,1),0))-$E500+1))</f>
        <v>0</v>
      </c>
      <c r="AP500" s="65" t="n">
        <f aca="false">IF(OR(OR($B500="",$E500="",$F500=""),$L500&lt;&gt;"لا"),0,MAX(0,MIN($F500,EOMONTH(DATE(cfg_FY,9,1),0))-$E500+1))</f>
        <v>0</v>
      </c>
      <c r="AQ500" s="65" t="n">
        <f aca="false">IF(OR(OR($B500="",$E500="",$F500=""),$L500&lt;&gt;"لا"),0,MAX(0,MIN($F500,EOMONTH(DATE(cfg_FY,10,1),0))-$E500+1))</f>
        <v>0</v>
      </c>
      <c r="AR500" s="65" t="n">
        <f aca="false">IF(OR(OR($B500="",$E500="",$F500=""),$L500&lt;&gt;"لا"),0,MAX(0,MIN($F500,EOMONTH(DATE(cfg_FY,11,1),0))-$E500+1))</f>
        <v>0</v>
      </c>
      <c r="AS500" s="65" t="n">
        <f aca="false">IF(OR(OR($B500="",$E500="",$F500=""),$L500&lt;&gt;"لا"),0,MAX(0,MIN($F500,EOMONTH(DATE(cfg_FY,12,1),0))-$E500+1))</f>
        <v>0</v>
      </c>
      <c r="AT500" s="65" t="n">
        <f aca="false">IF(OR(OR($B500="",$E500="",$F500=""),$K500&lt;&gt;"نعم",$M500="نعم"),0,MAX(0,MIN($F500,EOMONTH(DATE(cfg_FY,1,1),0))-MAX($E500,DATE(cfg_FY,1,1))+1))</f>
        <v>0</v>
      </c>
      <c r="AU500" s="65" t="n">
        <f aca="false">IF(OR(OR($B500="",$E500="",$F500=""),$K500&lt;&gt;"نعم",$M500="نعم"),0,MAX(0,MIN($F500,EOMONTH(DATE(cfg_FY,2,1),0))-MAX($E500,DATE(cfg_FY,2,1))+1))</f>
        <v>0</v>
      </c>
      <c r="AV500" s="65" t="n">
        <f aca="false">IF(OR(OR($B500="",$E500="",$F500=""),$K500&lt;&gt;"نعم",$M500="نعم"),0,MAX(0,MIN($F500,EOMONTH(DATE(cfg_FY,3,1),0))-MAX($E500,DATE(cfg_FY,3,1))+1))</f>
        <v>0</v>
      </c>
      <c r="AW500" s="65" t="n">
        <f aca="false">IF(OR(OR($B500="",$E500="",$F500=""),$K500&lt;&gt;"نعم",$M500="نعم"),0,MAX(0,MIN($F500,EOMONTH(DATE(cfg_FY,4,1),0))-MAX($E500,DATE(cfg_FY,4,1))+1))</f>
        <v>0</v>
      </c>
      <c r="AX500" s="65" t="n">
        <f aca="false">IF(OR(OR($B500="",$E500="",$F500=""),$K500&lt;&gt;"نعم",$M500="نعم"),0,MAX(0,MIN($F500,EOMONTH(DATE(cfg_FY,5,1),0))-MAX($E500,DATE(cfg_FY,5,1))+1))</f>
        <v>0</v>
      </c>
      <c r="AY500" s="65" t="n">
        <f aca="false">IF(OR(OR($B500="",$E500="",$F500=""),$K500&lt;&gt;"نعم",$M500="نعم"),0,MAX(0,MIN($F500,EOMONTH(DATE(cfg_FY,6,1),0))-MAX($E500,DATE(cfg_FY,6,1))+1))</f>
        <v>0</v>
      </c>
      <c r="AZ500" s="65" t="n">
        <f aca="false">IF(OR(OR($B500="",$E500="",$F500=""),$K500&lt;&gt;"نعم",$M500="نعم"),0,MAX(0,MIN($F500,EOMONTH(DATE(cfg_FY,7,1),0))-MAX($E500,DATE(cfg_FY,7,1))+1))</f>
        <v>0</v>
      </c>
      <c r="BA500" s="65" t="n">
        <f aca="false">IF(OR(OR($B500="",$E500="",$F500=""),$K500&lt;&gt;"نعم",$M500="نعم"),0,MAX(0,MIN($F500,EOMONTH(DATE(cfg_FY,8,1),0))-MAX($E500,DATE(cfg_FY,8,1))+1))</f>
        <v>0</v>
      </c>
      <c r="BB500" s="65" t="n">
        <f aca="false">IF(OR(OR($B500="",$E500="",$F500=""),$K500&lt;&gt;"نعم",$M500="نعم"),0,MAX(0,MIN($F500,EOMONTH(DATE(cfg_FY,9,1),0))-MAX($E500,DATE(cfg_FY,9,1))+1))</f>
        <v>0</v>
      </c>
      <c r="BC500" s="65" t="n">
        <f aca="false">IF(OR(OR($B500="",$E500="",$F500=""),$K500&lt;&gt;"نعم",$M500="نعم"),0,MAX(0,MIN($F500,EOMONTH(DATE(cfg_FY,10,1),0))-MAX($E500,DATE(cfg_FY,10,1))+1))</f>
        <v>0</v>
      </c>
      <c r="BD500" s="65" t="n">
        <f aca="false">IF(OR(OR($B500="",$E500="",$F500=""),$K500&lt;&gt;"نعم",$M500="نعم"),0,MAX(0,MIN($F500,EOMONTH(DATE(cfg_FY,11,1),0))-MAX($E500,DATE(cfg_FY,11,1))+1))</f>
        <v>0</v>
      </c>
      <c r="BE500" s="65" t="n">
        <f aca="false">IF(OR(OR($B500="",$E500="",$F500=""),$K500&lt;&gt;"نعم",$M500="نعم"),0,MAX(0,MIN($F500,EOMONTH(DATE(cfg_FY,12,1),0))-MAX($E500,DATE(cfg_FY,12,1))+1))</f>
        <v>0</v>
      </c>
    </row>
    <row r="501" customFormat="false" ht="15" hidden="false" customHeight="false" outlineLevel="0" collapsed="false">
      <c r="A501" s="115" t="str">
        <f aca="false">IF(B501="","",ROW()-5)</f>
        <v/>
      </c>
      <c r="B501" s="118"/>
      <c r="C501" s="117" t="str">
        <f aca="false">IF(B501="","",IFERROR(INDEX(الموظفون!$C$6:$C$105,MATCH(B501,الموظفون!$B$6:$B$105,0)),"✖ رقم غير موجود"))</f>
        <v/>
      </c>
      <c r="D501" s="118"/>
      <c r="E501" s="119"/>
      <c r="F501" s="119"/>
      <c r="G501" s="133" t="str">
        <f aca="false">IF(OR($B501="",$E501="",$F501=""),"",MAX(0,F501-E501+1))</f>
        <v/>
      </c>
      <c r="H501" s="134" t="str">
        <f aca="false">IF(D501="","",IFERROR(VLOOKUP(D501,cfg_LT,2,FALSE()),1))</f>
        <v/>
      </c>
      <c r="I501" s="135"/>
      <c r="J501" s="134" t="str">
        <f aca="false">IF(D501="","",IF(I501&lt;&gt;"",I501,H501))</f>
        <v/>
      </c>
      <c r="K501" s="117" t="str">
        <f aca="false">IF(D501="","",IFERROR(VLOOKUP($D501,cfg_LT,3,FALSE()),""))</f>
        <v/>
      </c>
      <c r="L501" s="117" t="str">
        <f aca="false">IF(D501="","",IFERROR(VLOOKUP($D501,cfg_LT,4,FALSE()),""))</f>
        <v/>
      </c>
      <c r="M501" s="117" t="str">
        <f aca="false">IF(D501="","",IFERROR(VLOOKUP($D501,cfg_LT,5,FALSE()),""))</f>
        <v/>
      </c>
      <c r="N501" s="116" t="n">
        <f aca="false">IF(OR(OR($B501="",$E501="",$F501=""),M501&lt;&gt;"نعم"),0,G501*J501*IFERROR(INDEX(الموظفون!$R$6:$R$105,MATCH(B501,الموظفون!$B$6:$B$105,0)),0)/cfg_DAYS_M)</f>
        <v>0</v>
      </c>
      <c r="O501" s="115" t="str">
        <f aca="false">IF(OR(OR($B501="",$E501="",$F501=""),M501&lt;&gt;"نعم"),"",IF(YEAR(E501)=cfg_FY,MONTH(E501),""))</f>
        <v/>
      </c>
      <c r="P501" s="117" t="str">
        <f aca="false">IF(B501="","",IF(OR(D501="",E501="",F501=""),"⚠ أكمل النوع والتواريخ",IF(F501&lt;E501,"✖ النهاية قبل البداية",IF(COUNTIFS($B$6:$B$505,B501,$E$6:$E$505,"&lt;="&amp;F501,$F$6:$F$505,"&gt;="&amp;E501)&gt;1,"⚠ تداخل مع سجل آخر",IF(E501&gt;cfg_VAL_DATE,"⏳ قادمة",IF(F501&lt;cfg_VAL_DATE,"✔ منتهية","✈ جارية في تاريخ التقرير"))))))</f>
        <v/>
      </c>
      <c r="Q501" s="118"/>
      <c r="R501" s="133" t="n">
        <f aca="false">IF(OR(OR($B501="",$E501="",$F501=""),L501&lt;&gt;"لا"),0,MAX(0,MIN(F501,cfg_Y_START-1)-E501+1))</f>
        <v>0</v>
      </c>
      <c r="S501" s="133" t="n">
        <f aca="false">IF(OR(OR($B501="",$E501="",$F501=""),L501&lt;&gt;"لا"),0,MAX(0,MIN(F501,cfg_VAL_DATE)-E501+1))</f>
        <v>0</v>
      </c>
      <c r="T501" s="133" t="n">
        <f aca="false">IF(OR(OR($B501="",$E501="",$F501=""),K501&lt;&gt;"نعم"),0,IF(M501="نعم",IF(AND(ISNUMBER(O501),N(O501)&lt;=cfg_VAL_M),G501,0),MAX(0,MIN(F501,cfg_VAL_DATE)-MAX(E501,cfg_Y_START)+1)))</f>
        <v>0</v>
      </c>
      <c r="V501" s="133" t="n">
        <f aca="false">IF(OR($B501="",$E501="",$F501=""),0,MAX(0,MIN($F501,EOMONTH(DATE(cfg_FY,1,1),0))-MAX($E501,DATE(cfg_FY,1,1))+1)*(1-IF($M501="نعم",0,N($J501))))</f>
        <v>0</v>
      </c>
      <c r="W501" s="133" t="n">
        <f aca="false">IF(OR($B501="",$E501="",$F501=""),0,MAX(0,MIN($F501,EOMONTH(DATE(cfg_FY,2,1),0))-MAX($E501,DATE(cfg_FY,2,1))+1)*(1-IF($M501="نعم",0,N($J501))))</f>
        <v>0</v>
      </c>
      <c r="X501" s="133" t="n">
        <f aca="false">IF(OR($B501="",$E501="",$F501=""),0,MAX(0,MIN($F501,EOMONTH(DATE(cfg_FY,3,1),0))-MAX($E501,DATE(cfg_FY,3,1))+1)*(1-IF($M501="نعم",0,N($J501))))</f>
        <v>0</v>
      </c>
      <c r="Y501" s="133" t="n">
        <f aca="false">IF(OR($B501="",$E501="",$F501=""),0,MAX(0,MIN($F501,EOMONTH(DATE(cfg_FY,4,1),0))-MAX($E501,DATE(cfg_FY,4,1))+1)*(1-IF($M501="نعم",0,N($J501))))</f>
        <v>0</v>
      </c>
      <c r="Z501" s="133" t="n">
        <f aca="false">IF(OR($B501="",$E501="",$F501=""),0,MAX(0,MIN($F501,EOMONTH(DATE(cfg_FY,5,1),0))-MAX($E501,DATE(cfg_FY,5,1))+1)*(1-IF($M501="نعم",0,N($J501))))</f>
        <v>0</v>
      </c>
      <c r="AA501" s="133" t="n">
        <f aca="false">IF(OR($B501="",$E501="",$F501=""),0,MAX(0,MIN($F501,EOMONTH(DATE(cfg_FY,6,1),0))-MAX($E501,DATE(cfg_FY,6,1))+1)*(1-IF($M501="نعم",0,N($J501))))</f>
        <v>0</v>
      </c>
      <c r="AB501" s="133" t="n">
        <f aca="false">IF(OR($B501="",$E501="",$F501=""),0,MAX(0,MIN($F501,EOMONTH(DATE(cfg_FY,7,1),0))-MAX($E501,DATE(cfg_FY,7,1))+1)*(1-IF($M501="نعم",0,N($J501))))</f>
        <v>0</v>
      </c>
      <c r="AC501" s="133" t="n">
        <f aca="false">IF(OR($B501="",$E501="",$F501=""),0,MAX(0,MIN($F501,EOMONTH(DATE(cfg_FY,8,1),0))-MAX($E501,DATE(cfg_FY,8,1))+1)*(1-IF($M501="نعم",0,N($J501))))</f>
        <v>0</v>
      </c>
      <c r="AD501" s="133" t="n">
        <f aca="false">IF(OR($B501="",$E501="",$F501=""),0,MAX(0,MIN($F501,EOMONTH(DATE(cfg_FY,9,1),0))-MAX($E501,DATE(cfg_FY,9,1))+1)*(1-IF($M501="نعم",0,N($J501))))</f>
        <v>0</v>
      </c>
      <c r="AE501" s="133" t="n">
        <f aca="false">IF(OR($B501="",$E501="",$F501=""),0,MAX(0,MIN($F501,EOMONTH(DATE(cfg_FY,10,1),0))-MAX($E501,DATE(cfg_FY,10,1))+1)*(1-IF($M501="نعم",0,N($J501))))</f>
        <v>0</v>
      </c>
      <c r="AF501" s="133" t="n">
        <f aca="false">IF(OR($B501="",$E501="",$F501=""),0,MAX(0,MIN($F501,EOMONTH(DATE(cfg_FY,11,1),0))-MAX($E501,DATE(cfg_FY,11,1))+1)*(1-IF($M501="نعم",0,N($J501))))</f>
        <v>0</v>
      </c>
      <c r="AG501" s="133" t="n">
        <f aca="false">IF(OR($B501="",$E501="",$F501=""),0,MAX(0,MIN($F501,EOMONTH(DATE(cfg_FY,12,1),0))-MAX($E501,DATE(cfg_FY,12,1))+1)*(1-IF($M501="نعم",0,N($J501))))</f>
        <v>0</v>
      </c>
      <c r="AH501" s="133" t="n">
        <f aca="false">IF(OR(OR($B501="",$E501="",$F501=""),$L501&lt;&gt;"لا"),0,MAX(0,MIN($F501,EOMONTH(DATE(cfg_FY,1,1),0))-$E501+1))</f>
        <v>0</v>
      </c>
      <c r="AI501" s="133" t="n">
        <f aca="false">IF(OR(OR($B501="",$E501="",$F501=""),$L501&lt;&gt;"لا"),0,MAX(0,MIN($F501,EOMONTH(DATE(cfg_FY,2,1),0))-$E501+1))</f>
        <v>0</v>
      </c>
      <c r="AJ501" s="133" t="n">
        <f aca="false">IF(OR(OR($B501="",$E501="",$F501=""),$L501&lt;&gt;"لا"),0,MAX(0,MIN($F501,EOMONTH(DATE(cfg_FY,3,1),0))-$E501+1))</f>
        <v>0</v>
      </c>
      <c r="AK501" s="133" t="n">
        <f aca="false">IF(OR(OR($B501="",$E501="",$F501=""),$L501&lt;&gt;"لا"),0,MAX(0,MIN($F501,EOMONTH(DATE(cfg_FY,4,1),0))-$E501+1))</f>
        <v>0</v>
      </c>
      <c r="AL501" s="133" t="n">
        <f aca="false">IF(OR(OR($B501="",$E501="",$F501=""),$L501&lt;&gt;"لا"),0,MAX(0,MIN($F501,EOMONTH(DATE(cfg_FY,5,1),0))-$E501+1))</f>
        <v>0</v>
      </c>
      <c r="AM501" s="133" t="n">
        <f aca="false">IF(OR(OR($B501="",$E501="",$F501=""),$L501&lt;&gt;"لا"),0,MAX(0,MIN($F501,EOMONTH(DATE(cfg_FY,6,1),0))-$E501+1))</f>
        <v>0</v>
      </c>
      <c r="AN501" s="133" t="n">
        <f aca="false">IF(OR(OR($B501="",$E501="",$F501=""),$L501&lt;&gt;"لا"),0,MAX(0,MIN($F501,EOMONTH(DATE(cfg_FY,7,1),0))-$E501+1))</f>
        <v>0</v>
      </c>
      <c r="AO501" s="133" t="n">
        <f aca="false">IF(OR(OR($B501="",$E501="",$F501=""),$L501&lt;&gt;"لا"),0,MAX(0,MIN($F501,EOMONTH(DATE(cfg_FY,8,1),0))-$E501+1))</f>
        <v>0</v>
      </c>
      <c r="AP501" s="133" t="n">
        <f aca="false">IF(OR(OR($B501="",$E501="",$F501=""),$L501&lt;&gt;"لا"),0,MAX(0,MIN($F501,EOMONTH(DATE(cfg_FY,9,1),0))-$E501+1))</f>
        <v>0</v>
      </c>
      <c r="AQ501" s="133" t="n">
        <f aca="false">IF(OR(OR($B501="",$E501="",$F501=""),$L501&lt;&gt;"لا"),0,MAX(0,MIN($F501,EOMONTH(DATE(cfg_FY,10,1),0))-$E501+1))</f>
        <v>0</v>
      </c>
      <c r="AR501" s="133" t="n">
        <f aca="false">IF(OR(OR($B501="",$E501="",$F501=""),$L501&lt;&gt;"لا"),0,MAX(0,MIN($F501,EOMONTH(DATE(cfg_FY,11,1),0))-$E501+1))</f>
        <v>0</v>
      </c>
      <c r="AS501" s="133" t="n">
        <f aca="false">IF(OR(OR($B501="",$E501="",$F501=""),$L501&lt;&gt;"لا"),0,MAX(0,MIN($F501,EOMONTH(DATE(cfg_FY,12,1),0))-$E501+1))</f>
        <v>0</v>
      </c>
      <c r="AT501" s="133" t="n">
        <f aca="false">IF(OR(OR($B501="",$E501="",$F501=""),$K501&lt;&gt;"نعم",$M501="نعم"),0,MAX(0,MIN($F501,EOMONTH(DATE(cfg_FY,1,1),0))-MAX($E501,DATE(cfg_FY,1,1))+1))</f>
        <v>0</v>
      </c>
      <c r="AU501" s="133" t="n">
        <f aca="false">IF(OR(OR($B501="",$E501="",$F501=""),$K501&lt;&gt;"نعم",$M501="نعم"),0,MAX(0,MIN($F501,EOMONTH(DATE(cfg_FY,2,1),0))-MAX($E501,DATE(cfg_FY,2,1))+1))</f>
        <v>0</v>
      </c>
      <c r="AV501" s="133" t="n">
        <f aca="false">IF(OR(OR($B501="",$E501="",$F501=""),$K501&lt;&gt;"نعم",$M501="نعم"),0,MAX(0,MIN($F501,EOMONTH(DATE(cfg_FY,3,1),0))-MAX($E501,DATE(cfg_FY,3,1))+1))</f>
        <v>0</v>
      </c>
      <c r="AW501" s="133" t="n">
        <f aca="false">IF(OR(OR($B501="",$E501="",$F501=""),$K501&lt;&gt;"نعم",$M501="نعم"),0,MAX(0,MIN($F501,EOMONTH(DATE(cfg_FY,4,1),0))-MAX($E501,DATE(cfg_FY,4,1))+1))</f>
        <v>0</v>
      </c>
      <c r="AX501" s="133" t="n">
        <f aca="false">IF(OR(OR($B501="",$E501="",$F501=""),$K501&lt;&gt;"نعم",$M501="نعم"),0,MAX(0,MIN($F501,EOMONTH(DATE(cfg_FY,5,1),0))-MAX($E501,DATE(cfg_FY,5,1))+1))</f>
        <v>0</v>
      </c>
      <c r="AY501" s="133" t="n">
        <f aca="false">IF(OR(OR($B501="",$E501="",$F501=""),$K501&lt;&gt;"نعم",$M501="نعم"),0,MAX(0,MIN($F501,EOMONTH(DATE(cfg_FY,6,1),0))-MAX($E501,DATE(cfg_FY,6,1))+1))</f>
        <v>0</v>
      </c>
      <c r="AZ501" s="133" t="n">
        <f aca="false">IF(OR(OR($B501="",$E501="",$F501=""),$K501&lt;&gt;"نعم",$M501="نعم"),0,MAX(0,MIN($F501,EOMONTH(DATE(cfg_FY,7,1),0))-MAX($E501,DATE(cfg_FY,7,1))+1))</f>
        <v>0</v>
      </c>
      <c r="BA501" s="133" t="n">
        <f aca="false">IF(OR(OR($B501="",$E501="",$F501=""),$K501&lt;&gt;"نعم",$M501="نعم"),0,MAX(0,MIN($F501,EOMONTH(DATE(cfg_FY,8,1),0))-MAX($E501,DATE(cfg_FY,8,1))+1))</f>
        <v>0</v>
      </c>
      <c r="BB501" s="133" t="n">
        <f aca="false">IF(OR(OR($B501="",$E501="",$F501=""),$K501&lt;&gt;"نعم",$M501="نعم"),0,MAX(0,MIN($F501,EOMONTH(DATE(cfg_FY,9,1),0))-MAX($E501,DATE(cfg_FY,9,1))+1))</f>
        <v>0</v>
      </c>
      <c r="BC501" s="133" t="n">
        <f aca="false">IF(OR(OR($B501="",$E501="",$F501=""),$K501&lt;&gt;"نعم",$M501="نعم"),0,MAX(0,MIN($F501,EOMONTH(DATE(cfg_FY,10,1),0))-MAX($E501,DATE(cfg_FY,10,1))+1))</f>
        <v>0</v>
      </c>
      <c r="BD501" s="133" t="n">
        <f aca="false">IF(OR(OR($B501="",$E501="",$F501=""),$K501&lt;&gt;"نعم",$M501="نعم"),0,MAX(0,MIN($F501,EOMONTH(DATE(cfg_FY,11,1),0))-MAX($E501,DATE(cfg_FY,11,1))+1))</f>
        <v>0</v>
      </c>
      <c r="BE501" s="133" t="n">
        <f aca="false">IF(OR(OR($B501="",$E501="",$F501=""),$K501&lt;&gt;"نعم",$M501="نعم"),0,MAX(0,MIN($F501,EOMONTH(DATE(cfg_FY,12,1),0))-MAX($E501,DATE(cfg_FY,12,1))+1))</f>
        <v>0</v>
      </c>
    </row>
    <row r="502" customFormat="false" ht="15" hidden="false" customHeight="false" outlineLevel="0" collapsed="false">
      <c r="A502" s="106" t="str">
        <f aca="false">IF(B502="","",ROW()-5)</f>
        <v/>
      </c>
      <c r="B502" s="118"/>
      <c r="C502" s="114" t="str">
        <f aca="false">IF(B502="","",IFERROR(INDEX(الموظفون!$C$6:$C$105,MATCH(B502,الموظفون!$B$6:$B$105,0)),"✖ رقم غير موجود"))</f>
        <v/>
      </c>
      <c r="D502" s="118"/>
      <c r="E502" s="119"/>
      <c r="F502" s="119"/>
      <c r="G502" s="65" t="str">
        <f aca="false">IF(OR($B502="",$E502="",$F502=""),"",MAX(0,F502-E502+1))</f>
        <v/>
      </c>
      <c r="H502" s="66" t="str">
        <f aca="false">IF(D502="","",IFERROR(VLOOKUP(D502,cfg_LT,2,FALSE()),1))</f>
        <v/>
      </c>
      <c r="I502" s="135"/>
      <c r="J502" s="66" t="str">
        <f aca="false">IF(D502="","",IF(I502&lt;&gt;"",I502,H502))</f>
        <v/>
      </c>
      <c r="K502" s="114" t="str">
        <f aca="false">IF(D502="","",IFERROR(VLOOKUP($D502,cfg_LT,3,FALSE()),""))</f>
        <v/>
      </c>
      <c r="L502" s="114" t="str">
        <f aca="false">IF(D502="","",IFERROR(VLOOKUP($D502,cfg_LT,4,FALSE()),""))</f>
        <v/>
      </c>
      <c r="M502" s="114" t="str">
        <f aca="false">IF(D502="","",IFERROR(VLOOKUP($D502,cfg_LT,5,FALSE()),""))</f>
        <v/>
      </c>
      <c r="N502" s="111" t="n">
        <f aca="false">IF(OR(OR($B502="",$E502="",$F502=""),M502&lt;&gt;"نعم"),0,G502*J502*IFERROR(INDEX(الموظفون!$R$6:$R$105,MATCH(B502,الموظفون!$B$6:$B$105,0)),0)/cfg_DAYS_M)</f>
        <v>0</v>
      </c>
      <c r="O502" s="106" t="str">
        <f aca="false">IF(OR(OR($B502="",$E502="",$F502=""),M502&lt;&gt;"نعم"),"",IF(YEAR(E502)=cfg_FY,MONTH(E502),""))</f>
        <v/>
      </c>
      <c r="P502" s="114" t="str">
        <f aca="false">IF(B502="","",IF(OR(D502="",E502="",F502=""),"⚠ أكمل النوع والتواريخ",IF(F502&lt;E502,"✖ النهاية قبل البداية",IF(COUNTIFS($B$6:$B$505,B502,$E$6:$E$505,"&lt;="&amp;F502,$F$6:$F$505,"&gt;="&amp;E502)&gt;1,"⚠ تداخل مع سجل آخر",IF(E502&gt;cfg_VAL_DATE,"⏳ قادمة",IF(F502&lt;cfg_VAL_DATE,"✔ منتهية","✈ جارية في تاريخ التقرير"))))))</f>
        <v/>
      </c>
      <c r="Q502" s="118"/>
      <c r="R502" s="65" t="n">
        <f aca="false">IF(OR(OR($B502="",$E502="",$F502=""),L502&lt;&gt;"لا"),0,MAX(0,MIN(F502,cfg_Y_START-1)-E502+1))</f>
        <v>0</v>
      </c>
      <c r="S502" s="65" t="n">
        <f aca="false">IF(OR(OR($B502="",$E502="",$F502=""),L502&lt;&gt;"لا"),0,MAX(0,MIN(F502,cfg_VAL_DATE)-E502+1))</f>
        <v>0</v>
      </c>
      <c r="T502" s="65" t="n">
        <f aca="false">IF(OR(OR($B502="",$E502="",$F502=""),K502&lt;&gt;"نعم"),0,IF(M502="نعم",IF(AND(ISNUMBER(O502),N(O502)&lt;=cfg_VAL_M),G502,0),MAX(0,MIN(F502,cfg_VAL_DATE)-MAX(E502,cfg_Y_START)+1)))</f>
        <v>0</v>
      </c>
      <c r="V502" s="65" t="n">
        <f aca="false">IF(OR($B502="",$E502="",$F502=""),0,MAX(0,MIN($F502,EOMONTH(DATE(cfg_FY,1,1),0))-MAX($E502,DATE(cfg_FY,1,1))+1)*(1-IF($M502="نعم",0,N($J502))))</f>
        <v>0</v>
      </c>
      <c r="W502" s="65" t="n">
        <f aca="false">IF(OR($B502="",$E502="",$F502=""),0,MAX(0,MIN($F502,EOMONTH(DATE(cfg_FY,2,1),0))-MAX($E502,DATE(cfg_FY,2,1))+1)*(1-IF($M502="نعم",0,N($J502))))</f>
        <v>0</v>
      </c>
      <c r="X502" s="65" t="n">
        <f aca="false">IF(OR($B502="",$E502="",$F502=""),0,MAX(0,MIN($F502,EOMONTH(DATE(cfg_FY,3,1),0))-MAX($E502,DATE(cfg_FY,3,1))+1)*(1-IF($M502="نعم",0,N($J502))))</f>
        <v>0</v>
      </c>
      <c r="Y502" s="65" t="n">
        <f aca="false">IF(OR($B502="",$E502="",$F502=""),0,MAX(0,MIN($F502,EOMONTH(DATE(cfg_FY,4,1),0))-MAX($E502,DATE(cfg_FY,4,1))+1)*(1-IF($M502="نعم",0,N($J502))))</f>
        <v>0</v>
      </c>
      <c r="Z502" s="65" t="n">
        <f aca="false">IF(OR($B502="",$E502="",$F502=""),0,MAX(0,MIN($F502,EOMONTH(DATE(cfg_FY,5,1),0))-MAX($E502,DATE(cfg_FY,5,1))+1)*(1-IF($M502="نعم",0,N($J502))))</f>
        <v>0</v>
      </c>
      <c r="AA502" s="65" t="n">
        <f aca="false">IF(OR($B502="",$E502="",$F502=""),0,MAX(0,MIN($F502,EOMONTH(DATE(cfg_FY,6,1),0))-MAX($E502,DATE(cfg_FY,6,1))+1)*(1-IF($M502="نعم",0,N($J502))))</f>
        <v>0</v>
      </c>
      <c r="AB502" s="65" t="n">
        <f aca="false">IF(OR($B502="",$E502="",$F502=""),0,MAX(0,MIN($F502,EOMONTH(DATE(cfg_FY,7,1),0))-MAX($E502,DATE(cfg_FY,7,1))+1)*(1-IF($M502="نعم",0,N($J502))))</f>
        <v>0</v>
      </c>
      <c r="AC502" s="65" t="n">
        <f aca="false">IF(OR($B502="",$E502="",$F502=""),0,MAX(0,MIN($F502,EOMONTH(DATE(cfg_FY,8,1),0))-MAX($E502,DATE(cfg_FY,8,1))+1)*(1-IF($M502="نعم",0,N($J502))))</f>
        <v>0</v>
      </c>
      <c r="AD502" s="65" t="n">
        <f aca="false">IF(OR($B502="",$E502="",$F502=""),0,MAX(0,MIN($F502,EOMONTH(DATE(cfg_FY,9,1),0))-MAX($E502,DATE(cfg_FY,9,1))+1)*(1-IF($M502="نعم",0,N($J502))))</f>
        <v>0</v>
      </c>
      <c r="AE502" s="65" t="n">
        <f aca="false">IF(OR($B502="",$E502="",$F502=""),0,MAX(0,MIN($F502,EOMONTH(DATE(cfg_FY,10,1),0))-MAX($E502,DATE(cfg_FY,10,1))+1)*(1-IF($M502="نعم",0,N($J502))))</f>
        <v>0</v>
      </c>
      <c r="AF502" s="65" t="n">
        <f aca="false">IF(OR($B502="",$E502="",$F502=""),0,MAX(0,MIN($F502,EOMONTH(DATE(cfg_FY,11,1),0))-MAX($E502,DATE(cfg_FY,11,1))+1)*(1-IF($M502="نعم",0,N($J502))))</f>
        <v>0</v>
      </c>
      <c r="AG502" s="65" t="n">
        <f aca="false">IF(OR($B502="",$E502="",$F502=""),0,MAX(0,MIN($F502,EOMONTH(DATE(cfg_FY,12,1),0))-MAX($E502,DATE(cfg_FY,12,1))+1)*(1-IF($M502="نعم",0,N($J502))))</f>
        <v>0</v>
      </c>
      <c r="AH502" s="65" t="n">
        <f aca="false">IF(OR(OR($B502="",$E502="",$F502=""),$L502&lt;&gt;"لا"),0,MAX(0,MIN($F502,EOMONTH(DATE(cfg_FY,1,1),0))-$E502+1))</f>
        <v>0</v>
      </c>
      <c r="AI502" s="65" t="n">
        <f aca="false">IF(OR(OR($B502="",$E502="",$F502=""),$L502&lt;&gt;"لا"),0,MAX(0,MIN($F502,EOMONTH(DATE(cfg_FY,2,1),0))-$E502+1))</f>
        <v>0</v>
      </c>
      <c r="AJ502" s="65" t="n">
        <f aca="false">IF(OR(OR($B502="",$E502="",$F502=""),$L502&lt;&gt;"لا"),0,MAX(0,MIN($F502,EOMONTH(DATE(cfg_FY,3,1),0))-$E502+1))</f>
        <v>0</v>
      </c>
      <c r="AK502" s="65" t="n">
        <f aca="false">IF(OR(OR($B502="",$E502="",$F502=""),$L502&lt;&gt;"لا"),0,MAX(0,MIN($F502,EOMONTH(DATE(cfg_FY,4,1),0))-$E502+1))</f>
        <v>0</v>
      </c>
      <c r="AL502" s="65" t="n">
        <f aca="false">IF(OR(OR($B502="",$E502="",$F502=""),$L502&lt;&gt;"لا"),0,MAX(0,MIN($F502,EOMONTH(DATE(cfg_FY,5,1),0))-$E502+1))</f>
        <v>0</v>
      </c>
      <c r="AM502" s="65" t="n">
        <f aca="false">IF(OR(OR($B502="",$E502="",$F502=""),$L502&lt;&gt;"لا"),0,MAX(0,MIN($F502,EOMONTH(DATE(cfg_FY,6,1),0))-$E502+1))</f>
        <v>0</v>
      </c>
      <c r="AN502" s="65" t="n">
        <f aca="false">IF(OR(OR($B502="",$E502="",$F502=""),$L502&lt;&gt;"لا"),0,MAX(0,MIN($F502,EOMONTH(DATE(cfg_FY,7,1),0))-$E502+1))</f>
        <v>0</v>
      </c>
      <c r="AO502" s="65" t="n">
        <f aca="false">IF(OR(OR($B502="",$E502="",$F502=""),$L502&lt;&gt;"لا"),0,MAX(0,MIN($F502,EOMONTH(DATE(cfg_FY,8,1),0))-$E502+1))</f>
        <v>0</v>
      </c>
      <c r="AP502" s="65" t="n">
        <f aca="false">IF(OR(OR($B502="",$E502="",$F502=""),$L502&lt;&gt;"لا"),0,MAX(0,MIN($F502,EOMONTH(DATE(cfg_FY,9,1),0))-$E502+1))</f>
        <v>0</v>
      </c>
      <c r="AQ502" s="65" t="n">
        <f aca="false">IF(OR(OR($B502="",$E502="",$F502=""),$L502&lt;&gt;"لا"),0,MAX(0,MIN($F502,EOMONTH(DATE(cfg_FY,10,1),0))-$E502+1))</f>
        <v>0</v>
      </c>
      <c r="AR502" s="65" t="n">
        <f aca="false">IF(OR(OR($B502="",$E502="",$F502=""),$L502&lt;&gt;"لا"),0,MAX(0,MIN($F502,EOMONTH(DATE(cfg_FY,11,1),0))-$E502+1))</f>
        <v>0</v>
      </c>
      <c r="AS502" s="65" t="n">
        <f aca="false">IF(OR(OR($B502="",$E502="",$F502=""),$L502&lt;&gt;"لا"),0,MAX(0,MIN($F502,EOMONTH(DATE(cfg_FY,12,1),0))-$E502+1))</f>
        <v>0</v>
      </c>
      <c r="AT502" s="65" t="n">
        <f aca="false">IF(OR(OR($B502="",$E502="",$F502=""),$K502&lt;&gt;"نعم",$M502="نعم"),0,MAX(0,MIN($F502,EOMONTH(DATE(cfg_FY,1,1),0))-MAX($E502,DATE(cfg_FY,1,1))+1))</f>
        <v>0</v>
      </c>
      <c r="AU502" s="65" t="n">
        <f aca="false">IF(OR(OR($B502="",$E502="",$F502=""),$K502&lt;&gt;"نعم",$M502="نعم"),0,MAX(0,MIN($F502,EOMONTH(DATE(cfg_FY,2,1),0))-MAX($E502,DATE(cfg_FY,2,1))+1))</f>
        <v>0</v>
      </c>
      <c r="AV502" s="65" t="n">
        <f aca="false">IF(OR(OR($B502="",$E502="",$F502=""),$K502&lt;&gt;"نعم",$M502="نعم"),0,MAX(0,MIN($F502,EOMONTH(DATE(cfg_FY,3,1),0))-MAX($E502,DATE(cfg_FY,3,1))+1))</f>
        <v>0</v>
      </c>
      <c r="AW502" s="65" t="n">
        <f aca="false">IF(OR(OR($B502="",$E502="",$F502=""),$K502&lt;&gt;"نعم",$M502="نعم"),0,MAX(0,MIN($F502,EOMONTH(DATE(cfg_FY,4,1),0))-MAX($E502,DATE(cfg_FY,4,1))+1))</f>
        <v>0</v>
      </c>
      <c r="AX502" s="65" t="n">
        <f aca="false">IF(OR(OR($B502="",$E502="",$F502=""),$K502&lt;&gt;"نعم",$M502="نعم"),0,MAX(0,MIN($F502,EOMONTH(DATE(cfg_FY,5,1),0))-MAX($E502,DATE(cfg_FY,5,1))+1))</f>
        <v>0</v>
      </c>
      <c r="AY502" s="65" t="n">
        <f aca="false">IF(OR(OR($B502="",$E502="",$F502=""),$K502&lt;&gt;"نعم",$M502="نعم"),0,MAX(0,MIN($F502,EOMONTH(DATE(cfg_FY,6,1),0))-MAX($E502,DATE(cfg_FY,6,1))+1))</f>
        <v>0</v>
      </c>
      <c r="AZ502" s="65" t="n">
        <f aca="false">IF(OR(OR($B502="",$E502="",$F502=""),$K502&lt;&gt;"نعم",$M502="نعم"),0,MAX(0,MIN($F502,EOMONTH(DATE(cfg_FY,7,1),0))-MAX($E502,DATE(cfg_FY,7,1))+1))</f>
        <v>0</v>
      </c>
      <c r="BA502" s="65" t="n">
        <f aca="false">IF(OR(OR($B502="",$E502="",$F502=""),$K502&lt;&gt;"نعم",$M502="نعم"),0,MAX(0,MIN($F502,EOMONTH(DATE(cfg_FY,8,1),0))-MAX($E502,DATE(cfg_FY,8,1))+1))</f>
        <v>0</v>
      </c>
      <c r="BB502" s="65" t="n">
        <f aca="false">IF(OR(OR($B502="",$E502="",$F502=""),$K502&lt;&gt;"نعم",$M502="نعم"),0,MAX(0,MIN($F502,EOMONTH(DATE(cfg_FY,9,1),0))-MAX($E502,DATE(cfg_FY,9,1))+1))</f>
        <v>0</v>
      </c>
      <c r="BC502" s="65" t="n">
        <f aca="false">IF(OR(OR($B502="",$E502="",$F502=""),$K502&lt;&gt;"نعم",$M502="نعم"),0,MAX(0,MIN($F502,EOMONTH(DATE(cfg_FY,10,1),0))-MAX($E502,DATE(cfg_FY,10,1))+1))</f>
        <v>0</v>
      </c>
      <c r="BD502" s="65" t="n">
        <f aca="false">IF(OR(OR($B502="",$E502="",$F502=""),$K502&lt;&gt;"نعم",$M502="نعم"),0,MAX(0,MIN($F502,EOMONTH(DATE(cfg_FY,11,1),0))-MAX($E502,DATE(cfg_FY,11,1))+1))</f>
        <v>0</v>
      </c>
      <c r="BE502" s="65" t="n">
        <f aca="false">IF(OR(OR($B502="",$E502="",$F502=""),$K502&lt;&gt;"نعم",$M502="نعم"),0,MAX(0,MIN($F502,EOMONTH(DATE(cfg_FY,12,1),0))-MAX($E502,DATE(cfg_FY,12,1))+1))</f>
        <v>0</v>
      </c>
    </row>
    <row r="503" customFormat="false" ht="15" hidden="false" customHeight="false" outlineLevel="0" collapsed="false">
      <c r="A503" s="115" t="str">
        <f aca="false">IF(B503="","",ROW()-5)</f>
        <v/>
      </c>
      <c r="B503" s="118"/>
      <c r="C503" s="117" t="str">
        <f aca="false">IF(B503="","",IFERROR(INDEX(الموظفون!$C$6:$C$105,MATCH(B503,الموظفون!$B$6:$B$105,0)),"✖ رقم غير موجود"))</f>
        <v/>
      </c>
      <c r="D503" s="118"/>
      <c r="E503" s="119"/>
      <c r="F503" s="119"/>
      <c r="G503" s="133" t="str">
        <f aca="false">IF(OR($B503="",$E503="",$F503=""),"",MAX(0,F503-E503+1))</f>
        <v/>
      </c>
      <c r="H503" s="134" t="str">
        <f aca="false">IF(D503="","",IFERROR(VLOOKUP(D503,cfg_LT,2,FALSE()),1))</f>
        <v/>
      </c>
      <c r="I503" s="135"/>
      <c r="J503" s="134" t="str">
        <f aca="false">IF(D503="","",IF(I503&lt;&gt;"",I503,H503))</f>
        <v/>
      </c>
      <c r="K503" s="117" t="str">
        <f aca="false">IF(D503="","",IFERROR(VLOOKUP($D503,cfg_LT,3,FALSE()),""))</f>
        <v/>
      </c>
      <c r="L503" s="117" t="str">
        <f aca="false">IF(D503="","",IFERROR(VLOOKUP($D503,cfg_LT,4,FALSE()),""))</f>
        <v/>
      </c>
      <c r="M503" s="117" t="str">
        <f aca="false">IF(D503="","",IFERROR(VLOOKUP($D503,cfg_LT,5,FALSE()),""))</f>
        <v/>
      </c>
      <c r="N503" s="116" t="n">
        <f aca="false">IF(OR(OR($B503="",$E503="",$F503=""),M503&lt;&gt;"نعم"),0,G503*J503*IFERROR(INDEX(الموظفون!$R$6:$R$105,MATCH(B503,الموظفون!$B$6:$B$105,0)),0)/cfg_DAYS_M)</f>
        <v>0</v>
      </c>
      <c r="O503" s="115" t="str">
        <f aca="false">IF(OR(OR($B503="",$E503="",$F503=""),M503&lt;&gt;"نعم"),"",IF(YEAR(E503)=cfg_FY,MONTH(E503),""))</f>
        <v/>
      </c>
      <c r="P503" s="117" t="str">
        <f aca="false">IF(B503="","",IF(OR(D503="",E503="",F503=""),"⚠ أكمل النوع والتواريخ",IF(F503&lt;E503,"✖ النهاية قبل البداية",IF(COUNTIFS($B$6:$B$505,B503,$E$6:$E$505,"&lt;="&amp;F503,$F$6:$F$505,"&gt;="&amp;E503)&gt;1,"⚠ تداخل مع سجل آخر",IF(E503&gt;cfg_VAL_DATE,"⏳ قادمة",IF(F503&lt;cfg_VAL_DATE,"✔ منتهية","✈ جارية في تاريخ التقرير"))))))</f>
        <v/>
      </c>
      <c r="Q503" s="118"/>
      <c r="R503" s="133" t="n">
        <f aca="false">IF(OR(OR($B503="",$E503="",$F503=""),L503&lt;&gt;"لا"),0,MAX(0,MIN(F503,cfg_Y_START-1)-E503+1))</f>
        <v>0</v>
      </c>
      <c r="S503" s="133" t="n">
        <f aca="false">IF(OR(OR($B503="",$E503="",$F503=""),L503&lt;&gt;"لا"),0,MAX(0,MIN(F503,cfg_VAL_DATE)-E503+1))</f>
        <v>0</v>
      </c>
      <c r="T503" s="133" t="n">
        <f aca="false">IF(OR(OR($B503="",$E503="",$F503=""),K503&lt;&gt;"نعم"),0,IF(M503="نعم",IF(AND(ISNUMBER(O503),N(O503)&lt;=cfg_VAL_M),G503,0),MAX(0,MIN(F503,cfg_VAL_DATE)-MAX(E503,cfg_Y_START)+1)))</f>
        <v>0</v>
      </c>
      <c r="V503" s="133" t="n">
        <f aca="false">IF(OR($B503="",$E503="",$F503=""),0,MAX(0,MIN($F503,EOMONTH(DATE(cfg_FY,1,1),0))-MAX($E503,DATE(cfg_FY,1,1))+1)*(1-IF($M503="نعم",0,N($J503))))</f>
        <v>0</v>
      </c>
      <c r="W503" s="133" t="n">
        <f aca="false">IF(OR($B503="",$E503="",$F503=""),0,MAX(0,MIN($F503,EOMONTH(DATE(cfg_FY,2,1),0))-MAX($E503,DATE(cfg_FY,2,1))+1)*(1-IF($M503="نعم",0,N($J503))))</f>
        <v>0</v>
      </c>
      <c r="X503" s="133" t="n">
        <f aca="false">IF(OR($B503="",$E503="",$F503=""),0,MAX(0,MIN($F503,EOMONTH(DATE(cfg_FY,3,1),0))-MAX($E503,DATE(cfg_FY,3,1))+1)*(1-IF($M503="نعم",0,N($J503))))</f>
        <v>0</v>
      </c>
      <c r="Y503" s="133" t="n">
        <f aca="false">IF(OR($B503="",$E503="",$F503=""),0,MAX(0,MIN($F503,EOMONTH(DATE(cfg_FY,4,1),0))-MAX($E503,DATE(cfg_FY,4,1))+1)*(1-IF($M503="نعم",0,N($J503))))</f>
        <v>0</v>
      </c>
      <c r="Z503" s="133" t="n">
        <f aca="false">IF(OR($B503="",$E503="",$F503=""),0,MAX(0,MIN($F503,EOMONTH(DATE(cfg_FY,5,1),0))-MAX($E503,DATE(cfg_FY,5,1))+1)*(1-IF($M503="نعم",0,N($J503))))</f>
        <v>0</v>
      </c>
      <c r="AA503" s="133" t="n">
        <f aca="false">IF(OR($B503="",$E503="",$F503=""),0,MAX(0,MIN($F503,EOMONTH(DATE(cfg_FY,6,1),0))-MAX($E503,DATE(cfg_FY,6,1))+1)*(1-IF($M503="نعم",0,N($J503))))</f>
        <v>0</v>
      </c>
      <c r="AB503" s="133" t="n">
        <f aca="false">IF(OR($B503="",$E503="",$F503=""),0,MAX(0,MIN($F503,EOMONTH(DATE(cfg_FY,7,1),0))-MAX($E503,DATE(cfg_FY,7,1))+1)*(1-IF($M503="نعم",0,N($J503))))</f>
        <v>0</v>
      </c>
      <c r="AC503" s="133" t="n">
        <f aca="false">IF(OR($B503="",$E503="",$F503=""),0,MAX(0,MIN($F503,EOMONTH(DATE(cfg_FY,8,1),0))-MAX($E503,DATE(cfg_FY,8,1))+1)*(1-IF($M503="نعم",0,N($J503))))</f>
        <v>0</v>
      </c>
      <c r="AD503" s="133" t="n">
        <f aca="false">IF(OR($B503="",$E503="",$F503=""),0,MAX(0,MIN($F503,EOMONTH(DATE(cfg_FY,9,1),0))-MAX($E503,DATE(cfg_FY,9,1))+1)*(1-IF($M503="نعم",0,N($J503))))</f>
        <v>0</v>
      </c>
      <c r="AE503" s="133" t="n">
        <f aca="false">IF(OR($B503="",$E503="",$F503=""),0,MAX(0,MIN($F503,EOMONTH(DATE(cfg_FY,10,1),0))-MAX($E503,DATE(cfg_FY,10,1))+1)*(1-IF($M503="نعم",0,N($J503))))</f>
        <v>0</v>
      </c>
      <c r="AF503" s="133" t="n">
        <f aca="false">IF(OR($B503="",$E503="",$F503=""),0,MAX(0,MIN($F503,EOMONTH(DATE(cfg_FY,11,1),0))-MAX($E503,DATE(cfg_FY,11,1))+1)*(1-IF($M503="نعم",0,N($J503))))</f>
        <v>0</v>
      </c>
      <c r="AG503" s="133" t="n">
        <f aca="false">IF(OR($B503="",$E503="",$F503=""),0,MAX(0,MIN($F503,EOMONTH(DATE(cfg_FY,12,1),0))-MAX($E503,DATE(cfg_FY,12,1))+1)*(1-IF($M503="نعم",0,N($J503))))</f>
        <v>0</v>
      </c>
      <c r="AH503" s="133" t="n">
        <f aca="false">IF(OR(OR($B503="",$E503="",$F503=""),$L503&lt;&gt;"لا"),0,MAX(0,MIN($F503,EOMONTH(DATE(cfg_FY,1,1),0))-$E503+1))</f>
        <v>0</v>
      </c>
      <c r="AI503" s="133" t="n">
        <f aca="false">IF(OR(OR($B503="",$E503="",$F503=""),$L503&lt;&gt;"لا"),0,MAX(0,MIN($F503,EOMONTH(DATE(cfg_FY,2,1),0))-$E503+1))</f>
        <v>0</v>
      </c>
      <c r="AJ503" s="133" t="n">
        <f aca="false">IF(OR(OR($B503="",$E503="",$F503=""),$L503&lt;&gt;"لا"),0,MAX(0,MIN($F503,EOMONTH(DATE(cfg_FY,3,1),0))-$E503+1))</f>
        <v>0</v>
      </c>
      <c r="AK503" s="133" t="n">
        <f aca="false">IF(OR(OR($B503="",$E503="",$F503=""),$L503&lt;&gt;"لا"),0,MAX(0,MIN($F503,EOMONTH(DATE(cfg_FY,4,1),0))-$E503+1))</f>
        <v>0</v>
      </c>
      <c r="AL503" s="133" t="n">
        <f aca="false">IF(OR(OR($B503="",$E503="",$F503=""),$L503&lt;&gt;"لا"),0,MAX(0,MIN($F503,EOMONTH(DATE(cfg_FY,5,1),0))-$E503+1))</f>
        <v>0</v>
      </c>
      <c r="AM503" s="133" t="n">
        <f aca="false">IF(OR(OR($B503="",$E503="",$F503=""),$L503&lt;&gt;"لا"),0,MAX(0,MIN($F503,EOMONTH(DATE(cfg_FY,6,1),0))-$E503+1))</f>
        <v>0</v>
      </c>
      <c r="AN503" s="133" t="n">
        <f aca="false">IF(OR(OR($B503="",$E503="",$F503=""),$L503&lt;&gt;"لا"),0,MAX(0,MIN($F503,EOMONTH(DATE(cfg_FY,7,1),0))-$E503+1))</f>
        <v>0</v>
      </c>
      <c r="AO503" s="133" t="n">
        <f aca="false">IF(OR(OR($B503="",$E503="",$F503=""),$L503&lt;&gt;"لا"),0,MAX(0,MIN($F503,EOMONTH(DATE(cfg_FY,8,1),0))-$E503+1))</f>
        <v>0</v>
      </c>
      <c r="AP503" s="133" t="n">
        <f aca="false">IF(OR(OR($B503="",$E503="",$F503=""),$L503&lt;&gt;"لا"),0,MAX(0,MIN($F503,EOMONTH(DATE(cfg_FY,9,1),0))-$E503+1))</f>
        <v>0</v>
      </c>
      <c r="AQ503" s="133" t="n">
        <f aca="false">IF(OR(OR($B503="",$E503="",$F503=""),$L503&lt;&gt;"لا"),0,MAX(0,MIN($F503,EOMONTH(DATE(cfg_FY,10,1),0))-$E503+1))</f>
        <v>0</v>
      </c>
      <c r="AR503" s="133" t="n">
        <f aca="false">IF(OR(OR($B503="",$E503="",$F503=""),$L503&lt;&gt;"لا"),0,MAX(0,MIN($F503,EOMONTH(DATE(cfg_FY,11,1),0))-$E503+1))</f>
        <v>0</v>
      </c>
      <c r="AS503" s="133" t="n">
        <f aca="false">IF(OR(OR($B503="",$E503="",$F503=""),$L503&lt;&gt;"لا"),0,MAX(0,MIN($F503,EOMONTH(DATE(cfg_FY,12,1),0))-$E503+1))</f>
        <v>0</v>
      </c>
      <c r="AT503" s="133" t="n">
        <f aca="false">IF(OR(OR($B503="",$E503="",$F503=""),$K503&lt;&gt;"نعم",$M503="نعم"),0,MAX(0,MIN($F503,EOMONTH(DATE(cfg_FY,1,1),0))-MAX($E503,DATE(cfg_FY,1,1))+1))</f>
        <v>0</v>
      </c>
      <c r="AU503" s="133" t="n">
        <f aca="false">IF(OR(OR($B503="",$E503="",$F503=""),$K503&lt;&gt;"نعم",$M503="نعم"),0,MAX(0,MIN($F503,EOMONTH(DATE(cfg_FY,2,1),0))-MAX($E503,DATE(cfg_FY,2,1))+1))</f>
        <v>0</v>
      </c>
      <c r="AV503" s="133" t="n">
        <f aca="false">IF(OR(OR($B503="",$E503="",$F503=""),$K503&lt;&gt;"نعم",$M503="نعم"),0,MAX(0,MIN($F503,EOMONTH(DATE(cfg_FY,3,1),0))-MAX($E503,DATE(cfg_FY,3,1))+1))</f>
        <v>0</v>
      </c>
      <c r="AW503" s="133" t="n">
        <f aca="false">IF(OR(OR($B503="",$E503="",$F503=""),$K503&lt;&gt;"نعم",$M503="نعم"),0,MAX(0,MIN($F503,EOMONTH(DATE(cfg_FY,4,1),0))-MAX($E503,DATE(cfg_FY,4,1))+1))</f>
        <v>0</v>
      </c>
      <c r="AX503" s="133" t="n">
        <f aca="false">IF(OR(OR($B503="",$E503="",$F503=""),$K503&lt;&gt;"نعم",$M503="نعم"),0,MAX(0,MIN($F503,EOMONTH(DATE(cfg_FY,5,1),0))-MAX($E503,DATE(cfg_FY,5,1))+1))</f>
        <v>0</v>
      </c>
      <c r="AY503" s="133" t="n">
        <f aca="false">IF(OR(OR($B503="",$E503="",$F503=""),$K503&lt;&gt;"نعم",$M503="نعم"),0,MAX(0,MIN($F503,EOMONTH(DATE(cfg_FY,6,1),0))-MAX($E503,DATE(cfg_FY,6,1))+1))</f>
        <v>0</v>
      </c>
      <c r="AZ503" s="133" t="n">
        <f aca="false">IF(OR(OR($B503="",$E503="",$F503=""),$K503&lt;&gt;"نعم",$M503="نعم"),0,MAX(0,MIN($F503,EOMONTH(DATE(cfg_FY,7,1),0))-MAX($E503,DATE(cfg_FY,7,1))+1))</f>
        <v>0</v>
      </c>
      <c r="BA503" s="133" t="n">
        <f aca="false">IF(OR(OR($B503="",$E503="",$F503=""),$K503&lt;&gt;"نعم",$M503="نعم"),0,MAX(0,MIN($F503,EOMONTH(DATE(cfg_FY,8,1),0))-MAX($E503,DATE(cfg_FY,8,1))+1))</f>
        <v>0</v>
      </c>
      <c r="BB503" s="133" t="n">
        <f aca="false">IF(OR(OR($B503="",$E503="",$F503=""),$K503&lt;&gt;"نعم",$M503="نعم"),0,MAX(0,MIN($F503,EOMONTH(DATE(cfg_FY,9,1),0))-MAX($E503,DATE(cfg_FY,9,1))+1))</f>
        <v>0</v>
      </c>
      <c r="BC503" s="133" t="n">
        <f aca="false">IF(OR(OR($B503="",$E503="",$F503=""),$K503&lt;&gt;"نعم",$M503="نعم"),0,MAX(0,MIN($F503,EOMONTH(DATE(cfg_FY,10,1),0))-MAX($E503,DATE(cfg_FY,10,1))+1))</f>
        <v>0</v>
      </c>
      <c r="BD503" s="133" t="n">
        <f aca="false">IF(OR(OR($B503="",$E503="",$F503=""),$K503&lt;&gt;"نعم",$M503="نعم"),0,MAX(0,MIN($F503,EOMONTH(DATE(cfg_FY,11,1),0))-MAX($E503,DATE(cfg_FY,11,1))+1))</f>
        <v>0</v>
      </c>
      <c r="BE503" s="133" t="n">
        <f aca="false">IF(OR(OR($B503="",$E503="",$F503=""),$K503&lt;&gt;"نعم",$M503="نعم"),0,MAX(0,MIN($F503,EOMONTH(DATE(cfg_FY,12,1),0))-MAX($E503,DATE(cfg_FY,12,1))+1))</f>
        <v>0</v>
      </c>
    </row>
    <row r="504" customFormat="false" ht="15" hidden="false" customHeight="false" outlineLevel="0" collapsed="false">
      <c r="A504" s="106" t="str">
        <f aca="false">IF(B504="","",ROW()-5)</f>
        <v/>
      </c>
      <c r="B504" s="118"/>
      <c r="C504" s="114" t="str">
        <f aca="false">IF(B504="","",IFERROR(INDEX(الموظفون!$C$6:$C$105,MATCH(B504,الموظفون!$B$6:$B$105,0)),"✖ رقم غير موجود"))</f>
        <v/>
      </c>
      <c r="D504" s="118"/>
      <c r="E504" s="119"/>
      <c r="F504" s="119"/>
      <c r="G504" s="65" t="str">
        <f aca="false">IF(OR($B504="",$E504="",$F504=""),"",MAX(0,F504-E504+1))</f>
        <v/>
      </c>
      <c r="H504" s="66" t="str">
        <f aca="false">IF(D504="","",IFERROR(VLOOKUP(D504,cfg_LT,2,FALSE()),1))</f>
        <v/>
      </c>
      <c r="I504" s="135"/>
      <c r="J504" s="66" t="str">
        <f aca="false">IF(D504="","",IF(I504&lt;&gt;"",I504,H504))</f>
        <v/>
      </c>
      <c r="K504" s="114" t="str">
        <f aca="false">IF(D504="","",IFERROR(VLOOKUP($D504,cfg_LT,3,FALSE()),""))</f>
        <v/>
      </c>
      <c r="L504" s="114" t="str">
        <f aca="false">IF(D504="","",IFERROR(VLOOKUP($D504,cfg_LT,4,FALSE()),""))</f>
        <v/>
      </c>
      <c r="M504" s="114" t="str">
        <f aca="false">IF(D504="","",IFERROR(VLOOKUP($D504,cfg_LT,5,FALSE()),""))</f>
        <v/>
      </c>
      <c r="N504" s="111" t="n">
        <f aca="false">IF(OR(OR($B504="",$E504="",$F504=""),M504&lt;&gt;"نعم"),0,G504*J504*IFERROR(INDEX(الموظفون!$R$6:$R$105,MATCH(B504,الموظفون!$B$6:$B$105,0)),0)/cfg_DAYS_M)</f>
        <v>0</v>
      </c>
      <c r="O504" s="106" t="str">
        <f aca="false">IF(OR(OR($B504="",$E504="",$F504=""),M504&lt;&gt;"نعم"),"",IF(YEAR(E504)=cfg_FY,MONTH(E504),""))</f>
        <v/>
      </c>
      <c r="P504" s="114" t="str">
        <f aca="false">IF(B504="","",IF(OR(D504="",E504="",F504=""),"⚠ أكمل النوع والتواريخ",IF(F504&lt;E504,"✖ النهاية قبل البداية",IF(COUNTIFS($B$6:$B$505,B504,$E$6:$E$505,"&lt;="&amp;F504,$F$6:$F$505,"&gt;="&amp;E504)&gt;1,"⚠ تداخل مع سجل آخر",IF(E504&gt;cfg_VAL_DATE,"⏳ قادمة",IF(F504&lt;cfg_VAL_DATE,"✔ منتهية","✈ جارية في تاريخ التقرير"))))))</f>
        <v/>
      </c>
      <c r="Q504" s="118"/>
      <c r="R504" s="65" t="n">
        <f aca="false">IF(OR(OR($B504="",$E504="",$F504=""),L504&lt;&gt;"لا"),0,MAX(0,MIN(F504,cfg_Y_START-1)-E504+1))</f>
        <v>0</v>
      </c>
      <c r="S504" s="65" t="n">
        <f aca="false">IF(OR(OR($B504="",$E504="",$F504=""),L504&lt;&gt;"لا"),0,MAX(0,MIN(F504,cfg_VAL_DATE)-E504+1))</f>
        <v>0</v>
      </c>
      <c r="T504" s="65" t="n">
        <f aca="false">IF(OR(OR($B504="",$E504="",$F504=""),K504&lt;&gt;"نعم"),0,IF(M504="نعم",IF(AND(ISNUMBER(O504),N(O504)&lt;=cfg_VAL_M),G504,0),MAX(0,MIN(F504,cfg_VAL_DATE)-MAX(E504,cfg_Y_START)+1)))</f>
        <v>0</v>
      </c>
      <c r="V504" s="65" t="n">
        <f aca="false">IF(OR($B504="",$E504="",$F504=""),0,MAX(0,MIN($F504,EOMONTH(DATE(cfg_FY,1,1),0))-MAX($E504,DATE(cfg_FY,1,1))+1)*(1-IF($M504="نعم",0,N($J504))))</f>
        <v>0</v>
      </c>
      <c r="W504" s="65" t="n">
        <f aca="false">IF(OR($B504="",$E504="",$F504=""),0,MAX(0,MIN($F504,EOMONTH(DATE(cfg_FY,2,1),0))-MAX($E504,DATE(cfg_FY,2,1))+1)*(1-IF($M504="نعم",0,N($J504))))</f>
        <v>0</v>
      </c>
      <c r="X504" s="65" t="n">
        <f aca="false">IF(OR($B504="",$E504="",$F504=""),0,MAX(0,MIN($F504,EOMONTH(DATE(cfg_FY,3,1),0))-MAX($E504,DATE(cfg_FY,3,1))+1)*(1-IF($M504="نعم",0,N($J504))))</f>
        <v>0</v>
      </c>
      <c r="Y504" s="65" t="n">
        <f aca="false">IF(OR($B504="",$E504="",$F504=""),0,MAX(0,MIN($F504,EOMONTH(DATE(cfg_FY,4,1),0))-MAX($E504,DATE(cfg_FY,4,1))+1)*(1-IF($M504="نعم",0,N($J504))))</f>
        <v>0</v>
      </c>
      <c r="Z504" s="65" t="n">
        <f aca="false">IF(OR($B504="",$E504="",$F504=""),0,MAX(0,MIN($F504,EOMONTH(DATE(cfg_FY,5,1),0))-MAX($E504,DATE(cfg_FY,5,1))+1)*(1-IF($M504="نعم",0,N($J504))))</f>
        <v>0</v>
      </c>
      <c r="AA504" s="65" t="n">
        <f aca="false">IF(OR($B504="",$E504="",$F504=""),0,MAX(0,MIN($F504,EOMONTH(DATE(cfg_FY,6,1),0))-MAX($E504,DATE(cfg_FY,6,1))+1)*(1-IF($M504="نعم",0,N($J504))))</f>
        <v>0</v>
      </c>
      <c r="AB504" s="65" t="n">
        <f aca="false">IF(OR($B504="",$E504="",$F504=""),0,MAX(0,MIN($F504,EOMONTH(DATE(cfg_FY,7,1),0))-MAX($E504,DATE(cfg_FY,7,1))+1)*(1-IF($M504="نعم",0,N($J504))))</f>
        <v>0</v>
      </c>
      <c r="AC504" s="65" t="n">
        <f aca="false">IF(OR($B504="",$E504="",$F504=""),0,MAX(0,MIN($F504,EOMONTH(DATE(cfg_FY,8,1),0))-MAX($E504,DATE(cfg_FY,8,1))+1)*(1-IF($M504="نعم",0,N($J504))))</f>
        <v>0</v>
      </c>
      <c r="AD504" s="65" t="n">
        <f aca="false">IF(OR($B504="",$E504="",$F504=""),0,MAX(0,MIN($F504,EOMONTH(DATE(cfg_FY,9,1),0))-MAX($E504,DATE(cfg_FY,9,1))+1)*(1-IF($M504="نعم",0,N($J504))))</f>
        <v>0</v>
      </c>
      <c r="AE504" s="65" t="n">
        <f aca="false">IF(OR($B504="",$E504="",$F504=""),0,MAX(0,MIN($F504,EOMONTH(DATE(cfg_FY,10,1),0))-MAX($E504,DATE(cfg_FY,10,1))+1)*(1-IF($M504="نعم",0,N($J504))))</f>
        <v>0</v>
      </c>
      <c r="AF504" s="65" t="n">
        <f aca="false">IF(OR($B504="",$E504="",$F504=""),0,MAX(0,MIN($F504,EOMONTH(DATE(cfg_FY,11,1),0))-MAX($E504,DATE(cfg_FY,11,1))+1)*(1-IF($M504="نعم",0,N($J504))))</f>
        <v>0</v>
      </c>
      <c r="AG504" s="65" t="n">
        <f aca="false">IF(OR($B504="",$E504="",$F504=""),0,MAX(0,MIN($F504,EOMONTH(DATE(cfg_FY,12,1),0))-MAX($E504,DATE(cfg_FY,12,1))+1)*(1-IF($M504="نعم",0,N($J504))))</f>
        <v>0</v>
      </c>
      <c r="AH504" s="65" t="n">
        <f aca="false">IF(OR(OR($B504="",$E504="",$F504=""),$L504&lt;&gt;"لا"),0,MAX(0,MIN($F504,EOMONTH(DATE(cfg_FY,1,1),0))-$E504+1))</f>
        <v>0</v>
      </c>
      <c r="AI504" s="65" t="n">
        <f aca="false">IF(OR(OR($B504="",$E504="",$F504=""),$L504&lt;&gt;"لا"),0,MAX(0,MIN($F504,EOMONTH(DATE(cfg_FY,2,1),0))-$E504+1))</f>
        <v>0</v>
      </c>
      <c r="AJ504" s="65" t="n">
        <f aca="false">IF(OR(OR($B504="",$E504="",$F504=""),$L504&lt;&gt;"لا"),0,MAX(0,MIN($F504,EOMONTH(DATE(cfg_FY,3,1),0))-$E504+1))</f>
        <v>0</v>
      </c>
      <c r="AK504" s="65" t="n">
        <f aca="false">IF(OR(OR($B504="",$E504="",$F504=""),$L504&lt;&gt;"لا"),0,MAX(0,MIN($F504,EOMONTH(DATE(cfg_FY,4,1),0))-$E504+1))</f>
        <v>0</v>
      </c>
      <c r="AL504" s="65" t="n">
        <f aca="false">IF(OR(OR($B504="",$E504="",$F504=""),$L504&lt;&gt;"لا"),0,MAX(0,MIN($F504,EOMONTH(DATE(cfg_FY,5,1),0))-$E504+1))</f>
        <v>0</v>
      </c>
      <c r="AM504" s="65" t="n">
        <f aca="false">IF(OR(OR($B504="",$E504="",$F504=""),$L504&lt;&gt;"لا"),0,MAX(0,MIN($F504,EOMONTH(DATE(cfg_FY,6,1),0))-$E504+1))</f>
        <v>0</v>
      </c>
      <c r="AN504" s="65" t="n">
        <f aca="false">IF(OR(OR($B504="",$E504="",$F504=""),$L504&lt;&gt;"لا"),0,MAX(0,MIN($F504,EOMONTH(DATE(cfg_FY,7,1),0))-$E504+1))</f>
        <v>0</v>
      </c>
      <c r="AO504" s="65" t="n">
        <f aca="false">IF(OR(OR($B504="",$E504="",$F504=""),$L504&lt;&gt;"لا"),0,MAX(0,MIN($F504,EOMONTH(DATE(cfg_FY,8,1),0))-$E504+1))</f>
        <v>0</v>
      </c>
      <c r="AP504" s="65" t="n">
        <f aca="false">IF(OR(OR($B504="",$E504="",$F504=""),$L504&lt;&gt;"لا"),0,MAX(0,MIN($F504,EOMONTH(DATE(cfg_FY,9,1),0))-$E504+1))</f>
        <v>0</v>
      </c>
      <c r="AQ504" s="65" t="n">
        <f aca="false">IF(OR(OR($B504="",$E504="",$F504=""),$L504&lt;&gt;"لا"),0,MAX(0,MIN($F504,EOMONTH(DATE(cfg_FY,10,1),0))-$E504+1))</f>
        <v>0</v>
      </c>
      <c r="AR504" s="65" t="n">
        <f aca="false">IF(OR(OR($B504="",$E504="",$F504=""),$L504&lt;&gt;"لا"),0,MAX(0,MIN($F504,EOMONTH(DATE(cfg_FY,11,1),0))-$E504+1))</f>
        <v>0</v>
      </c>
      <c r="AS504" s="65" t="n">
        <f aca="false">IF(OR(OR($B504="",$E504="",$F504=""),$L504&lt;&gt;"لا"),0,MAX(0,MIN($F504,EOMONTH(DATE(cfg_FY,12,1),0))-$E504+1))</f>
        <v>0</v>
      </c>
      <c r="AT504" s="65" t="n">
        <f aca="false">IF(OR(OR($B504="",$E504="",$F504=""),$K504&lt;&gt;"نعم",$M504="نعم"),0,MAX(0,MIN($F504,EOMONTH(DATE(cfg_FY,1,1),0))-MAX($E504,DATE(cfg_FY,1,1))+1))</f>
        <v>0</v>
      </c>
      <c r="AU504" s="65" t="n">
        <f aca="false">IF(OR(OR($B504="",$E504="",$F504=""),$K504&lt;&gt;"نعم",$M504="نعم"),0,MAX(0,MIN($F504,EOMONTH(DATE(cfg_FY,2,1),0))-MAX($E504,DATE(cfg_FY,2,1))+1))</f>
        <v>0</v>
      </c>
      <c r="AV504" s="65" t="n">
        <f aca="false">IF(OR(OR($B504="",$E504="",$F504=""),$K504&lt;&gt;"نعم",$M504="نعم"),0,MAX(0,MIN($F504,EOMONTH(DATE(cfg_FY,3,1),0))-MAX($E504,DATE(cfg_FY,3,1))+1))</f>
        <v>0</v>
      </c>
      <c r="AW504" s="65" t="n">
        <f aca="false">IF(OR(OR($B504="",$E504="",$F504=""),$K504&lt;&gt;"نعم",$M504="نعم"),0,MAX(0,MIN($F504,EOMONTH(DATE(cfg_FY,4,1),0))-MAX($E504,DATE(cfg_FY,4,1))+1))</f>
        <v>0</v>
      </c>
      <c r="AX504" s="65" t="n">
        <f aca="false">IF(OR(OR($B504="",$E504="",$F504=""),$K504&lt;&gt;"نعم",$M504="نعم"),0,MAX(0,MIN($F504,EOMONTH(DATE(cfg_FY,5,1),0))-MAX($E504,DATE(cfg_FY,5,1))+1))</f>
        <v>0</v>
      </c>
      <c r="AY504" s="65" t="n">
        <f aca="false">IF(OR(OR($B504="",$E504="",$F504=""),$K504&lt;&gt;"نعم",$M504="نعم"),0,MAX(0,MIN($F504,EOMONTH(DATE(cfg_FY,6,1),0))-MAX($E504,DATE(cfg_FY,6,1))+1))</f>
        <v>0</v>
      </c>
      <c r="AZ504" s="65" t="n">
        <f aca="false">IF(OR(OR($B504="",$E504="",$F504=""),$K504&lt;&gt;"نعم",$M504="نعم"),0,MAX(0,MIN($F504,EOMONTH(DATE(cfg_FY,7,1),0))-MAX($E504,DATE(cfg_FY,7,1))+1))</f>
        <v>0</v>
      </c>
      <c r="BA504" s="65" t="n">
        <f aca="false">IF(OR(OR($B504="",$E504="",$F504=""),$K504&lt;&gt;"نعم",$M504="نعم"),0,MAX(0,MIN($F504,EOMONTH(DATE(cfg_FY,8,1),0))-MAX($E504,DATE(cfg_FY,8,1))+1))</f>
        <v>0</v>
      </c>
      <c r="BB504" s="65" t="n">
        <f aca="false">IF(OR(OR($B504="",$E504="",$F504=""),$K504&lt;&gt;"نعم",$M504="نعم"),0,MAX(0,MIN($F504,EOMONTH(DATE(cfg_FY,9,1),0))-MAX($E504,DATE(cfg_FY,9,1))+1))</f>
        <v>0</v>
      </c>
      <c r="BC504" s="65" t="n">
        <f aca="false">IF(OR(OR($B504="",$E504="",$F504=""),$K504&lt;&gt;"نعم",$M504="نعم"),0,MAX(0,MIN($F504,EOMONTH(DATE(cfg_FY,10,1),0))-MAX($E504,DATE(cfg_FY,10,1))+1))</f>
        <v>0</v>
      </c>
      <c r="BD504" s="65" t="n">
        <f aca="false">IF(OR(OR($B504="",$E504="",$F504=""),$K504&lt;&gt;"نعم",$M504="نعم"),0,MAX(0,MIN($F504,EOMONTH(DATE(cfg_FY,11,1),0))-MAX($E504,DATE(cfg_FY,11,1))+1))</f>
        <v>0</v>
      </c>
      <c r="BE504" s="65" t="n">
        <f aca="false">IF(OR(OR($B504="",$E504="",$F504=""),$K504&lt;&gt;"نعم",$M504="نعم"),0,MAX(0,MIN($F504,EOMONTH(DATE(cfg_FY,12,1),0))-MAX($E504,DATE(cfg_FY,12,1))+1))</f>
        <v>0</v>
      </c>
    </row>
    <row r="505" customFormat="false" ht="15" hidden="false" customHeight="false" outlineLevel="0" collapsed="false">
      <c r="A505" s="115" t="str">
        <f aca="false">IF(B505="","",ROW()-5)</f>
        <v/>
      </c>
      <c r="B505" s="118"/>
      <c r="C505" s="117" t="str">
        <f aca="false">IF(B505="","",IFERROR(INDEX(الموظفون!$C$6:$C$105,MATCH(B505,الموظفون!$B$6:$B$105,0)),"✖ رقم غير موجود"))</f>
        <v/>
      </c>
      <c r="D505" s="118"/>
      <c r="E505" s="119"/>
      <c r="F505" s="119"/>
      <c r="G505" s="133" t="str">
        <f aca="false">IF(OR($B505="",$E505="",$F505=""),"",MAX(0,F505-E505+1))</f>
        <v/>
      </c>
      <c r="H505" s="134" t="str">
        <f aca="false">IF(D505="","",IFERROR(VLOOKUP(D505,cfg_LT,2,FALSE()),1))</f>
        <v/>
      </c>
      <c r="I505" s="135"/>
      <c r="J505" s="134" t="str">
        <f aca="false">IF(D505="","",IF(I505&lt;&gt;"",I505,H505))</f>
        <v/>
      </c>
      <c r="K505" s="117" t="str">
        <f aca="false">IF(D505="","",IFERROR(VLOOKUP($D505,cfg_LT,3,FALSE()),""))</f>
        <v/>
      </c>
      <c r="L505" s="117" t="str">
        <f aca="false">IF(D505="","",IFERROR(VLOOKUP($D505,cfg_LT,4,FALSE()),""))</f>
        <v/>
      </c>
      <c r="M505" s="117" t="str">
        <f aca="false">IF(D505="","",IFERROR(VLOOKUP($D505,cfg_LT,5,FALSE()),""))</f>
        <v/>
      </c>
      <c r="N505" s="116" t="n">
        <f aca="false">IF(OR(OR($B505="",$E505="",$F505=""),M505&lt;&gt;"نعم"),0,G505*J505*IFERROR(INDEX(الموظفون!$R$6:$R$105,MATCH(B505,الموظفون!$B$6:$B$105,0)),0)/cfg_DAYS_M)</f>
        <v>0</v>
      </c>
      <c r="O505" s="115" t="str">
        <f aca="false">IF(OR(OR($B505="",$E505="",$F505=""),M505&lt;&gt;"نعم"),"",IF(YEAR(E505)=cfg_FY,MONTH(E505),""))</f>
        <v/>
      </c>
      <c r="P505" s="117" t="str">
        <f aca="false">IF(B505="","",IF(OR(D505="",E505="",F505=""),"⚠ أكمل النوع والتواريخ",IF(F505&lt;E505,"✖ النهاية قبل البداية",IF(COUNTIFS($B$6:$B$505,B505,$E$6:$E$505,"&lt;="&amp;F505,$F$6:$F$505,"&gt;="&amp;E505)&gt;1,"⚠ تداخل مع سجل آخر",IF(E505&gt;cfg_VAL_DATE,"⏳ قادمة",IF(F505&lt;cfg_VAL_DATE,"✔ منتهية","✈ جارية في تاريخ التقرير"))))))</f>
        <v/>
      </c>
      <c r="Q505" s="118"/>
      <c r="R505" s="133" t="n">
        <f aca="false">IF(OR(OR($B505="",$E505="",$F505=""),L505&lt;&gt;"لا"),0,MAX(0,MIN(F505,cfg_Y_START-1)-E505+1))</f>
        <v>0</v>
      </c>
      <c r="S505" s="133" t="n">
        <f aca="false">IF(OR(OR($B505="",$E505="",$F505=""),L505&lt;&gt;"لا"),0,MAX(0,MIN(F505,cfg_VAL_DATE)-E505+1))</f>
        <v>0</v>
      </c>
      <c r="T505" s="133" t="n">
        <f aca="false">IF(OR(OR($B505="",$E505="",$F505=""),K505&lt;&gt;"نعم"),0,IF(M505="نعم",IF(AND(ISNUMBER(O505),N(O505)&lt;=cfg_VAL_M),G505,0),MAX(0,MIN(F505,cfg_VAL_DATE)-MAX(E505,cfg_Y_START)+1)))</f>
        <v>0</v>
      </c>
      <c r="V505" s="133" t="n">
        <f aca="false">IF(OR($B505="",$E505="",$F505=""),0,MAX(0,MIN($F505,EOMONTH(DATE(cfg_FY,1,1),0))-MAX($E505,DATE(cfg_FY,1,1))+1)*(1-IF($M505="نعم",0,N($J505))))</f>
        <v>0</v>
      </c>
      <c r="W505" s="133" t="n">
        <f aca="false">IF(OR($B505="",$E505="",$F505=""),0,MAX(0,MIN($F505,EOMONTH(DATE(cfg_FY,2,1),0))-MAX($E505,DATE(cfg_FY,2,1))+1)*(1-IF($M505="نعم",0,N($J505))))</f>
        <v>0</v>
      </c>
      <c r="X505" s="133" t="n">
        <f aca="false">IF(OR($B505="",$E505="",$F505=""),0,MAX(0,MIN($F505,EOMONTH(DATE(cfg_FY,3,1),0))-MAX($E505,DATE(cfg_FY,3,1))+1)*(1-IF($M505="نعم",0,N($J505))))</f>
        <v>0</v>
      </c>
      <c r="Y505" s="133" t="n">
        <f aca="false">IF(OR($B505="",$E505="",$F505=""),0,MAX(0,MIN($F505,EOMONTH(DATE(cfg_FY,4,1),0))-MAX($E505,DATE(cfg_FY,4,1))+1)*(1-IF($M505="نعم",0,N($J505))))</f>
        <v>0</v>
      </c>
      <c r="Z505" s="133" t="n">
        <f aca="false">IF(OR($B505="",$E505="",$F505=""),0,MAX(0,MIN($F505,EOMONTH(DATE(cfg_FY,5,1),0))-MAX($E505,DATE(cfg_FY,5,1))+1)*(1-IF($M505="نعم",0,N($J505))))</f>
        <v>0</v>
      </c>
      <c r="AA505" s="133" t="n">
        <f aca="false">IF(OR($B505="",$E505="",$F505=""),0,MAX(0,MIN($F505,EOMONTH(DATE(cfg_FY,6,1),0))-MAX($E505,DATE(cfg_FY,6,1))+1)*(1-IF($M505="نعم",0,N($J505))))</f>
        <v>0</v>
      </c>
      <c r="AB505" s="133" t="n">
        <f aca="false">IF(OR($B505="",$E505="",$F505=""),0,MAX(0,MIN($F505,EOMONTH(DATE(cfg_FY,7,1),0))-MAX($E505,DATE(cfg_FY,7,1))+1)*(1-IF($M505="نعم",0,N($J505))))</f>
        <v>0</v>
      </c>
      <c r="AC505" s="133" t="n">
        <f aca="false">IF(OR($B505="",$E505="",$F505=""),0,MAX(0,MIN($F505,EOMONTH(DATE(cfg_FY,8,1),0))-MAX($E505,DATE(cfg_FY,8,1))+1)*(1-IF($M505="نعم",0,N($J505))))</f>
        <v>0</v>
      </c>
      <c r="AD505" s="133" t="n">
        <f aca="false">IF(OR($B505="",$E505="",$F505=""),0,MAX(0,MIN($F505,EOMONTH(DATE(cfg_FY,9,1),0))-MAX($E505,DATE(cfg_FY,9,1))+1)*(1-IF($M505="نعم",0,N($J505))))</f>
        <v>0</v>
      </c>
      <c r="AE505" s="133" t="n">
        <f aca="false">IF(OR($B505="",$E505="",$F505=""),0,MAX(0,MIN($F505,EOMONTH(DATE(cfg_FY,10,1),0))-MAX($E505,DATE(cfg_FY,10,1))+1)*(1-IF($M505="نعم",0,N($J505))))</f>
        <v>0</v>
      </c>
      <c r="AF505" s="133" t="n">
        <f aca="false">IF(OR($B505="",$E505="",$F505=""),0,MAX(0,MIN($F505,EOMONTH(DATE(cfg_FY,11,1),0))-MAX($E505,DATE(cfg_FY,11,1))+1)*(1-IF($M505="نعم",0,N($J505))))</f>
        <v>0</v>
      </c>
      <c r="AG505" s="133" t="n">
        <f aca="false">IF(OR($B505="",$E505="",$F505=""),0,MAX(0,MIN($F505,EOMONTH(DATE(cfg_FY,12,1),0))-MAX($E505,DATE(cfg_FY,12,1))+1)*(1-IF($M505="نعم",0,N($J505))))</f>
        <v>0</v>
      </c>
      <c r="AH505" s="133" t="n">
        <f aca="false">IF(OR(OR($B505="",$E505="",$F505=""),$L505&lt;&gt;"لا"),0,MAX(0,MIN($F505,EOMONTH(DATE(cfg_FY,1,1),0))-$E505+1))</f>
        <v>0</v>
      </c>
      <c r="AI505" s="133" t="n">
        <f aca="false">IF(OR(OR($B505="",$E505="",$F505=""),$L505&lt;&gt;"لا"),0,MAX(0,MIN($F505,EOMONTH(DATE(cfg_FY,2,1),0))-$E505+1))</f>
        <v>0</v>
      </c>
      <c r="AJ505" s="133" t="n">
        <f aca="false">IF(OR(OR($B505="",$E505="",$F505=""),$L505&lt;&gt;"لا"),0,MAX(0,MIN($F505,EOMONTH(DATE(cfg_FY,3,1),0))-$E505+1))</f>
        <v>0</v>
      </c>
      <c r="AK505" s="133" t="n">
        <f aca="false">IF(OR(OR($B505="",$E505="",$F505=""),$L505&lt;&gt;"لا"),0,MAX(0,MIN($F505,EOMONTH(DATE(cfg_FY,4,1),0))-$E505+1))</f>
        <v>0</v>
      </c>
      <c r="AL505" s="133" t="n">
        <f aca="false">IF(OR(OR($B505="",$E505="",$F505=""),$L505&lt;&gt;"لا"),0,MAX(0,MIN($F505,EOMONTH(DATE(cfg_FY,5,1),0))-$E505+1))</f>
        <v>0</v>
      </c>
      <c r="AM505" s="133" t="n">
        <f aca="false">IF(OR(OR($B505="",$E505="",$F505=""),$L505&lt;&gt;"لا"),0,MAX(0,MIN($F505,EOMONTH(DATE(cfg_FY,6,1),0))-$E505+1))</f>
        <v>0</v>
      </c>
      <c r="AN505" s="133" t="n">
        <f aca="false">IF(OR(OR($B505="",$E505="",$F505=""),$L505&lt;&gt;"لا"),0,MAX(0,MIN($F505,EOMONTH(DATE(cfg_FY,7,1),0))-$E505+1))</f>
        <v>0</v>
      </c>
      <c r="AO505" s="133" t="n">
        <f aca="false">IF(OR(OR($B505="",$E505="",$F505=""),$L505&lt;&gt;"لا"),0,MAX(0,MIN($F505,EOMONTH(DATE(cfg_FY,8,1),0))-$E505+1))</f>
        <v>0</v>
      </c>
      <c r="AP505" s="133" t="n">
        <f aca="false">IF(OR(OR($B505="",$E505="",$F505=""),$L505&lt;&gt;"لا"),0,MAX(0,MIN($F505,EOMONTH(DATE(cfg_FY,9,1),0))-$E505+1))</f>
        <v>0</v>
      </c>
      <c r="AQ505" s="133" t="n">
        <f aca="false">IF(OR(OR($B505="",$E505="",$F505=""),$L505&lt;&gt;"لا"),0,MAX(0,MIN($F505,EOMONTH(DATE(cfg_FY,10,1),0))-$E505+1))</f>
        <v>0</v>
      </c>
      <c r="AR505" s="133" t="n">
        <f aca="false">IF(OR(OR($B505="",$E505="",$F505=""),$L505&lt;&gt;"لا"),0,MAX(0,MIN($F505,EOMONTH(DATE(cfg_FY,11,1),0))-$E505+1))</f>
        <v>0</v>
      </c>
      <c r="AS505" s="133" t="n">
        <f aca="false">IF(OR(OR($B505="",$E505="",$F505=""),$L505&lt;&gt;"لا"),0,MAX(0,MIN($F505,EOMONTH(DATE(cfg_FY,12,1),0))-$E505+1))</f>
        <v>0</v>
      </c>
      <c r="AT505" s="133" t="n">
        <f aca="false">IF(OR(OR($B505="",$E505="",$F505=""),$K505&lt;&gt;"نعم",$M505="نعم"),0,MAX(0,MIN($F505,EOMONTH(DATE(cfg_FY,1,1),0))-MAX($E505,DATE(cfg_FY,1,1))+1))</f>
        <v>0</v>
      </c>
      <c r="AU505" s="133" t="n">
        <f aca="false">IF(OR(OR($B505="",$E505="",$F505=""),$K505&lt;&gt;"نعم",$M505="نعم"),0,MAX(0,MIN($F505,EOMONTH(DATE(cfg_FY,2,1),0))-MAX($E505,DATE(cfg_FY,2,1))+1))</f>
        <v>0</v>
      </c>
      <c r="AV505" s="133" t="n">
        <f aca="false">IF(OR(OR($B505="",$E505="",$F505=""),$K505&lt;&gt;"نعم",$M505="نعم"),0,MAX(0,MIN($F505,EOMONTH(DATE(cfg_FY,3,1),0))-MAX($E505,DATE(cfg_FY,3,1))+1))</f>
        <v>0</v>
      </c>
      <c r="AW505" s="133" t="n">
        <f aca="false">IF(OR(OR($B505="",$E505="",$F505=""),$K505&lt;&gt;"نعم",$M505="نعم"),0,MAX(0,MIN($F505,EOMONTH(DATE(cfg_FY,4,1),0))-MAX($E505,DATE(cfg_FY,4,1))+1))</f>
        <v>0</v>
      </c>
      <c r="AX505" s="133" t="n">
        <f aca="false">IF(OR(OR($B505="",$E505="",$F505=""),$K505&lt;&gt;"نعم",$M505="نعم"),0,MAX(0,MIN($F505,EOMONTH(DATE(cfg_FY,5,1),0))-MAX($E505,DATE(cfg_FY,5,1))+1))</f>
        <v>0</v>
      </c>
      <c r="AY505" s="133" t="n">
        <f aca="false">IF(OR(OR($B505="",$E505="",$F505=""),$K505&lt;&gt;"نعم",$M505="نعم"),0,MAX(0,MIN($F505,EOMONTH(DATE(cfg_FY,6,1),0))-MAX($E505,DATE(cfg_FY,6,1))+1))</f>
        <v>0</v>
      </c>
      <c r="AZ505" s="133" t="n">
        <f aca="false">IF(OR(OR($B505="",$E505="",$F505=""),$K505&lt;&gt;"نعم",$M505="نعم"),0,MAX(0,MIN($F505,EOMONTH(DATE(cfg_FY,7,1),0))-MAX($E505,DATE(cfg_FY,7,1))+1))</f>
        <v>0</v>
      </c>
      <c r="BA505" s="133" t="n">
        <f aca="false">IF(OR(OR($B505="",$E505="",$F505=""),$K505&lt;&gt;"نعم",$M505="نعم"),0,MAX(0,MIN($F505,EOMONTH(DATE(cfg_FY,8,1),0))-MAX($E505,DATE(cfg_FY,8,1))+1))</f>
        <v>0</v>
      </c>
      <c r="BB505" s="133" t="n">
        <f aca="false">IF(OR(OR($B505="",$E505="",$F505=""),$K505&lt;&gt;"نعم",$M505="نعم"),0,MAX(0,MIN($F505,EOMONTH(DATE(cfg_FY,9,1),0))-MAX($E505,DATE(cfg_FY,9,1))+1))</f>
        <v>0</v>
      </c>
      <c r="BC505" s="133" t="n">
        <f aca="false">IF(OR(OR($B505="",$E505="",$F505=""),$K505&lt;&gt;"نعم",$M505="نعم"),0,MAX(0,MIN($F505,EOMONTH(DATE(cfg_FY,10,1),0))-MAX($E505,DATE(cfg_FY,10,1))+1))</f>
        <v>0</v>
      </c>
      <c r="BD505" s="133" t="n">
        <f aca="false">IF(OR(OR($B505="",$E505="",$F505=""),$K505&lt;&gt;"نعم",$M505="نعم"),0,MAX(0,MIN($F505,EOMONTH(DATE(cfg_FY,11,1),0))-MAX($E505,DATE(cfg_FY,11,1))+1))</f>
        <v>0</v>
      </c>
      <c r="BE505" s="133" t="n">
        <f aca="false">IF(OR(OR($B505="",$E505="",$F505=""),$K505&lt;&gt;"نعم",$M505="نعم"),0,MAX(0,MIN($F505,EOMONTH(DATE(cfg_FY,12,1),0))-MAX($E505,DATE(cfg_FY,12,1))+1))</f>
        <v>0</v>
      </c>
    </row>
  </sheetData>
  <sheetProtection sheet="true" password="ffa5" objects="true" scenarios="true"/>
  <autoFilter ref="A5:T505"/>
  <mergeCells count="6">
    <mergeCell ref="A1:Q1"/>
    <mergeCell ref="A2:Q2"/>
    <mergeCell ref="A4:G4"/>
    <mergeCell ref="V4:AG4"/>
    <mergeCell ref="AH4:AS4"/>
    <mergeCell ref="AT4:BE4"/>
  </mergeCells>
  <conditionalFormatting sqref="P6:P505">
    <cfRule type="expression" priority="2" aboveAverage="0" equalAverage="0" bottom="0" percent="0" rank="0" text="" dxfId="0">
      <formula>ISNUMBER(SEARCH("✔",P6))</formula>
    </cfRule>
    <cfRule type="expression" priority="3" aboveAverage="0" equalAverage="0" bottom="0" percent="0" rank="0" text="" dxfId="1">
      <formula>ISNUMBER(SEARCH("✖",P6))</formula>
    </cfRule>
    <cfRule type="expression" priority="4" aboveAverage="0" equalAverage="0" bottom="0" percent="0" rank="0" text="" dxfId="2">
      <formula>ISNUMBER(SEARCH("⚠",P6))</formula>
    </cfRule>
    <cfRule type="expression" priority="5" aboveAverage="0" equalAverage="0" bottom="0" percent="0" rank="0" text="" dxfId="3">
      <formula>ISNUMBER(SEARCH("✈",P6))</formula>
    </cfRule>
    <cfRule type="expression" priority="6" aboveAverage="0" equalAverage="0" bottom="0" percent="0" rank="0" text="" dxfId="1">
      <formula>ISNUMBER(SEARCH("⛔",P6))</formula>
    </cfRule>
    <cfRule type="expression" priority="7" aboveAverage="0" equalAverage="0" bottom="0" percent="0" rank="0" text="" dxfId="0">
      <formula>ISNUMBER(SEARCH("🌴",P6))</formula>
    </cfRule>
    <cfRule type="expression" priority="8" aboveAverage="0" equalAverage="0" bottom="0" percent="0" rank="0" text="" dxfId="4">
      <formula>ISNUMBER(SEARCH("⏳",P6))</formula>
    </cfRule>
  </conditionalFormatting>
  <conditionalFormatting sqref="C6:C505">
    <cfRule type="expression" priority="9" aboveAverage="0" equalAverage="0" bottom="0" percent="0" rank="0" text="" dxfId="0">
      <formula>ISNUMBER(SEARCH("✔",C6))</formula>
    </cfRule>
    <cfRule type="expression" priority="10" aboveAverage="0" equalAverage="0" bottom="0" percent="0" rank="0" text="" dxfId="1">
      <formula>ISNUMBER(SEARCH("✖",C6))</formula>
    </cfRule>
    <cfRule type="expression" priority="11" aboveAverage="0" equalAverage="0" bottom="0" percent="0" rank="0" text="" dxfId="2">
      <formula>ISNUMBER(SEARCH("⚠",C6))</formula>
    </cfRule>
    <cfRule type="expression" priority="12" aboveAverage="0" equalAverage="0" bottom="0" percent="0" rank="0" text="" dxfId="3">
      <formula>ISNUMBER(SEARCH("✈",C6))</formula>
    </cfRule>
    <cfRule type="expression" priority="13" aboveAverage="0" equalAverage="0" bottom="0" percent="0" rank="0" text="" dxfId="1">
      <formula>ISNUMBER(SEARCH("⛔",C6))</formula>
    </cfRule>
    <cfRule type="expression" priority="14" aboveAverage="0" equalAverage="0" bottom="0" percent="0" rank="0" text="" dxfId="0">
      <formula>ISNUMBER(SEARCH("🌴",C6))</formula>
    </cfRule>
    <cfRule type="expression" priority="15" aboveAverage="0" equalAverage="0" bottom="0" percent="0" rank="0" text="" dxfId="4">
      <formula>ISNUMBER(SEARCH("⏳",C6))</formula>
    </cfRule>
  </conditionalFormatting>
  <dataValidations count="4">
    <dataValidation allowBlank="true" error="أدخل تاريخاً صحيحاً بالصيغة yyyy/mm/dd" errorStyle="stop" errorTitle="تاريخ غير صحيح" operator="greaterThan" showDropDown="false" showErrorMessage="true" showInputMessage="false" sqref="E6:F505" type="date">
      <formula1>1</formula1>
      <formula2>0</formula2>
    </dataValidation>
    <dataValidation allowBlank="true" error="من فضلك اختر قيمة من القائمة المنسدلة." errorStyle="stop" errorTitle="قيمة غير مسموحة" operator="between" prompt="اختر رقم الموظف" promptTitle="الرقم الوظيفي" showDropDown="false" showErrorMessage="true" showInputMessage="true" sqref="B6:B505" type="list">
      <formula1>L_EMPID</formula1>
      <formula2>0</formula2>
    </dataValidation>
    <dataValidation allowBlank="true" error="من فضلك اختر قيمة من القائمة المنسدلة." errorStyle="stop" errorTitle="قيمة غير مسموحة" operator="between" prompt="يحدد نسبة الأجر وأثره على رصيد الإجازة ومدة الخدمة (من الإعدادات)." promptTitle="نوع الإجازة / الحالة" showDropDown="false" showErrorMessage="true" showInputMessage="true" sqref="D6:D505" type="list">
      <formula1>L_LTYPE</formula1>
      <formula2>0</formula2>
    </dataValidation>
    <dataValidation allowBlank="true" error="النسبة بين 0% و100%" errorStyle="stop" errorTitle="قيمة غير صحيحة" operator="between" showDropDown="false" showErrorMessage="true" showInputMessage="false" sqref="I6:I505" type="decimal">
      <formula1>0</formula1>
      <formula2>1</formula2>
    </dataValidation>
  </dataValidations>
  <hyperlinks>
    <hyperlink ref="A2" r:id="rId2" display="https://accopro.net/"/>
    <hyperlink ref="A3" location="'الرئيسية'!A1" display="🏠 الرئيسية"/>
    <hyperlink ref="B3" location="'لوحة التحكم'!A1" display="📊 لوحة التحكم"/>
    <hyperlink ref="C3" location="'الإعدادات'!A1" display="⚙ الإعدادات"/>
    <hyperlink ref="D3" location="'الموظفون'!A1" display="👥 الموظفون"/>
    <hyperlink ref="E3" location="'الحركات الشهرية'!A1" display="✍ الحركات"/>
    <hyperlink ref="F3" location="'الإقامات ورخص العمل'!A1" display="🪪 الإقامات"/>
    <hyperlink ref="G3" location="'الملخص الشهري'!A1" display="📅 الملخص الشهري"/>
    <hyperlink ref="H3" location="'قيود الرواتب'!A1" display="🧾 القيود"/>
    <hyperlink ref="I3" location="'قسيمة الراتب'!A1" display="💳 القسيمة"/>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&amp;Cنسخة تجريبية — النسخة الكاملة: accopro.net</oddHeader>
    <oddFooter>&amp;CAccoPro — https://accopro.net</oddFooter>
  </headerFooter>
  <drawing r:id="rId3"/>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005"/>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11"/>
    <col collapsed="false" customWidth="true" hidden="false" outlineLevel="0" max="3" min="3" style="0" width="26"/>
    <col collapsed="false" customWidth="true" hidden="false" outlineLevel="0" max="4" min="4" style="0" width="9"/>
    <col collapsed="false" customWidth="true" hidden="false" outlineLevel="0" max="6" min="5" style="0" width="10"/>
    <col collapsed="false" customWidth="true" hidden="false" outlineLevel="0" max="10" min="7" style="0" width="12"/>
    <col collapsed="false" customWidth="true" hidden="false" outlineLevel="0" max="12" min="11" style="0" width="11"/>
    <col collapsed="false" customWidth="true" hidden="false" outlineLevel="0" max="13" min="13" style="0" width="12"/>
    <col collapsed="false" customWidth="true" hidden="false" outlineLevel="0" max="14" min="14" style="0" width="13"/>
    <col collapsed="false" customWidth="true" hidden="false" outlineLevel="0" max="15" min="15" style="0" width="28"/>
  </cols>
  <sheetData>
    <row r="1" customFormat="false" ht="37.5" hidden="false" customHeight="true" outlineLevel="0" collapsed="false">
      <c r="A1" s="1" t="s">
        <v>445</v>
      </c>
      <c r="B1" s="1"/>
      <c r="C1" s="1"/>
      <c r="D1" s="1"/>
      <c r="E1" s="1"/>
      <c r="F1" s="1"/>
      <c r="G1" s="1"/>
      <c r="H1" s="1"/>
      <c r="I1" s="1"/>
      <c r="J1" s="1"/>
      <c r="K1" s="1"/>
      <c r="L1" s="1"/>
      <c r="M1" s="1"/>
      <c r="N1" s="1"/>
      <c r="O1" s="1"/>
    </row>
    <row r="2" customFormat="false" ht="19.5" hidden="false" customHeight="true" outlineLevel="0" collapsed="false">
      <c r="A2" s="2" t="str">
        <f aca="false">"🛒 نسخة تجريبية — للنسخة الكاملة اضغط هنا ← accopro.net   |   "&amp;cfg_CO&amp;"   |   السنة المالية "&amp;cfg_FY&amp;"   |   شهر التقرير: "&amp;INDEX(L_MONTH,cfg_VAL_M)&amp;"   |   المبالغ بـ "&amp;cfg_CUR</f>
        <v>🛒 نسخة تجريبية — للنسخة الكاملة اضغط هنا ← accopro.net   |   شركة النخبة للتجارة والمقاولات   |   السنة المالية 2026   |   شهر التقرير: سبتمبر   |   المبالغ بـ ريال سعودي</v>
      </c>
      <c r="B2" s="2"/>
      <c r="C2" s="2"/>
      <c r="D2" s="2"/>
      <c r="E2" s="2"/>
      <c r="F2" s="2"/>
      <c r="G2" s="2"/>
      <c r="H2" s="2"/>
      <c r="I2" s="2"/>
      <c r="J2" s="2"/>
      <c r="K2" s="2"/>
      <c r="L2" s="2"/>
      <c r="M2" s="2"/>
      <c r="N2" s="2"/>
      <c r="O2" s="2"/>
    </row>
    <row r="3" customFormat="false" ht="25.5" hidden="false" customHeight="true" outlineLevel="0" collapsed="false">
      <c r="A3" s="31" t="s">
        <v>114</v>
      </c>
      <c r="B3" s="12" t="s">
        <v>172</v>
      </c>
      <c r="C3" s="32" t="s">
        <v>115</v>
      </c>
      <c r="D3" s="32" t="s">
        <v>116</v>
      </c>
      <c r="E3" s="33" t="s">
        <v>117</v>
      </c>
      <c r="F3" s="34" t="s">
        <v>119</v>
      </c>
      <c r="G3" s="32" t="s">
        <v>39</v>
      </c>
      <c r="H3" s="32" t="s">
        <v>173</v>
      </c>
      <c r="I3" s="32" t="s">
        <v>174</v>
      </c>
    </row>
    <row r="4" customFormat="false" ht="19.5" hidden="false" customHeight="true" outlineLevel="0" collapsed="false">
      <c r="A4" s="105" t="s">
        <v>446</v>
      </c>
      <c r="B4" s="105"/>
      <c r="C4" s="105"/>
      <c r="D4" s="105"/>
      <c r="E4" s="105"/>
      <c r="F4" s="105"/>
      <c r="G4" s="105"/>
    </row>
    <row r="5" customFormat="false" ht="48" hidden="false" customHeight="true" outlineLevel="0" collapsed="false">
      <c r="A5" s="6" t="s">
        <v>447</v>
      </c>
      <c r="B5" s="6" t="s">
        <v>309</v>
      </c>
      <c r="C5" s="6" t="s">
        <v>419</v>
      </c>
      <c r="D5" s="6" t="s">
        <v>448</v>
      </c>
      <c r="E5" s="6" t="s">
        <v>449</v>
      </c>
      <c r="F5" s="6" t="s">
        <v>450</v>
      </c>
      <c r="G5" s="6" t="s">
        <v>451</v>
      </c>
      <c r="H5" s="6" t="s">
        <v>452</v>
      </c>
      <c r="I5" s="6" t="s">
        <v>453</v>
      </c>
      <c r="J5" s="6" t="s">
        <v>454</v>
      </c>
      <c r="K5" s="6" t="s">
        <v>455</v>
      </c>
      <c r="L5" s="6" t="s">
        <v>456</v>
      </c>
      <c r="M5" s="6" t="s">
        <v>457</v>
      </c>
      <c r="N5" s="6" t="s">
        <v>458</v>
      </c>
      <c r="O5" s="6" t="s">
        <v>342</v>
      </c>
    </row>
    <row r="6" customFormat="false" ht="15" hidden="false" customHeight="false" outlineLevel="0" collapsed="false">
      <c r="A6" s="112" t="n">
        <v>1</v>
      </c>
      <c r="B6" s="107" t="s">
        <v>355</v>
      </c>
      <c r="C6" s="114" t="str">
        <f aca="false">IF(B6="","",IFERROR(INDEX(الموظفون!$C$6:$C$105,MATCH(B6,الموظفون!$B$6:$B$105,0)),"✖ رقم غير موجود"))</f>
        <v>محمد علي حسن</v>
      </c>
      <c r="D6" s="113"/>
      <c r="E6" s="113"/>
      <c r="F6" s="113" t="n">
        <v>12</v>
      </c>
      <c r="G6" s="110"/>
      <c r="H6" s="110"/>
      <c r="I6" s="110" t="n">
        <v>1000</v>
      </c>
      <c r="J6" s="110"/>
      <c r="K6" s="113"/>
      <c r="L6" s="113"/>
      <c r="M6" s="110"/>
      <c r="N6" s="110"/>
      <c r="O6" s="107" t="s">
        <v>459</v>
      </c>
    </row>
    <row r="7" customFormat="false" ht="15" hidden="false" customHeight="false" outlineLevel="0" collapsed="false">
      <c r="A7" s="112" t="n">
        <v>1</v>
      </c>
      <c r="B7" s="107" t="s">
        <v>392</v>
      </c>
      <c r="C7" s="117" t="str">
        <f aca="false">IF(B7="","",IFERROR(INDEX(الموظفون!$C$6:$C$105,MATCH(B7,الموظفون!$B$6:$B$105,0)),"✖ رقم غير موجود"))</f>
        <v>محمد رفيق</v>
      </c>
      <c r="D7" s="113" t="n">
        <v>1</v>
      </c>
      <c r="E7" s="113"/>
      <c r="F7" s="113" t="n">
        <v>20</v>
      </c>
      <c r="G7" s="110"/>
      <c r="H7" s="110"/>
      <c r="I7" s="110"/>
      <c r="J7" s="110" t="n">
        <v>100</v>
      </c>
      <c r="K7" s="113"/>
      <c r="L7" s="113"/>
      <c r="M7" s="110"/>
      <c r="N7" s="110"/>
      <c r="O7" s="107" t="s">
        <v>460</v>
      </c>
    </row>
    <row r="8" customFormat="false" ht="15" hidden="false" customHeight="false" outlineLevel="0" collapsed="false">
      <c r="A8" s="112" t="n">
        <v>2</v>
      </c>
      <c r="B8" s="107" t="s">
        <v>355</v>
      </c>
      <c r="C8" s="114" t="str">
        <f aca="false">IF(B8="","",IFERROR(INDEX(الموظفون!$C$6:$C$105,MATCH(B8,الموظفون!$B$6:$B$105,0)),"✖ رقم غير موجود"))</f>
        <v>محمد علي حسن</v>
      </c>
      <c r="D8" s="113"/>
      <c r="E8" s="113"/>
      <c r="F8" s="113" t="n">
        <v>8</v>
      </c>
      <c r="G8" s="110"/>
      <c r="H8" s="110"/>
      <c r="I8" s="110" t="n">
        <v>1000</v>
      </c>
      <c r="J8" s="110"/>
      <c r="K8" s="113"/>
      <c r="L8" s="113"/>
      <c r="M8" s="110"/>
      <c r="N8" s="110"/>
      <c r="O8" s="107" t="s">
        <v>461</v>
      </c>
    </row>
    <row r="9" customFormat="false" ht="15" hidden="false" customHeight="false" outlineLevel="0" collapsed="false">
      <c r="A9" s="112" t="n">
        <v>2</v>
      </c>
      <c r="B9" s="107" t="s">
        <v>374</v>
      </c>
      <c r="C9" s="117" t="str">
        <f aca="false">IF(B9="","",IFERROR(INDEX(الموظفون!$C$6:$C$105,MATCH(B9,الموظفون!$B$6:$B$105,0)),"✖ رقم غير موجود"))</f>
        <v>فهد ناصر الشمري</v>
      </c>
      <c r="D9" s="113"/>
      <c r="E9" s="113"/>
      <c r="F9" s="113"/>
      <c r="G9" s="110" t="n">
        <v>5000</v>
      </c>
      <c r="H9" s="110"/>
      <c r="I9" s="110"/>
      <c r="J9" s="110"/>
      <c r="K9" s="113"/>
      <c r="L9" s="113"/>
      <c r="M9" s="110"/>
      <c r="N9" s="110"/>
      <c r="O9" s="107" t="s">
        <v>462</v>
      </c>
    </row>
    <row r="10" customFormat="false" ht="15" hidden="false" customHeight="false" outlineLevel="0" collapsed="false">
      <c r="A10" s="112" t="n">
        <v>3</v>
      </c>
      <c r="B10" s="107" t="s">
        <v>355</v>
      </c>
      <c r="C10" s="114" t="str">
        <f aca="false">IF(B10="","",IFERROR(INDEX(الموظفون!$C$6:$C$105,MATCH(B10,الموظفون!$B$6:$B$105,0)),"✖ رقم غير موجود"))</f>
        <v>محمد علي حسن</v>
      </c>
      <c r="D10" s="113"/>
      <c r="E10" s="113"/>
      <c r="F10" s="113"/>
      <c r="G10" s="110"/>
      <c r="H10" s="110"/>
      <c r="I10" s="110" t="n">
        <v>1000</v>
      </c>
      <c r="J10" s="110"/>
      <c r="K10" s="113"/>
      <c r="L10" s="113"/>
      <c r="M10" s="110"/>
      <c r="N10" s="110"/>
      <c r="O10" s="107" t="s">
        <v>463</v>
      </c>
    </row>
    <row r="11" customFormat="false" ht="15" hidden="false" customHeight="false" outlineLevel="0" collapsed="false">
      <c r="A11" s="112" t="n">
        <v>3</v>
      </c>
      <c r="B11" s="107" t="s">
        <v>379</v>
      </c>
      <c r="C11" s="117" t="str">
        <f aca="false">IF(B11="","",IFERROR(INDEX(الموظفون!$C$6:$C$105,MATCH(B11,الموظفون!$B$6:$B$105,0)),"✖ رقم غير موجود"))</f>
        <v>خالد يوسف الأحمد</v>
      </c>
      <c r="D11" s="113"/>
      <c r="E11" s="113"/>
      <c r="F11" s="113" t="n">
        <v>10</v>
      </c>
      <c r="G11" s="110"/>
      <c r="H11" s="110"/>
      <c r="I11" s="110"/>
      <c r="J11" s="110"/>
      <c r="K11" s="113"/>
      <c r="L11" s="113"/>
      <c r="M11" s="110" t="n">
        <v>4500</v>
      </c>
      <c r="N11" s="110"/>
      <c r="O11" s="107" t="s">
        <v>464</v>
      </c>
    </row>
    <row r="12" customFormat="false" ht="15" hidden="false" customHeight="false" outlineLevel="0" collapsed="false">
      <c r="A12" s="112" t="n">
        <v>4</v>
      </c>
      <c r="B12" s="107" t="s">
        <v>355</v>
      </c>
      <c r="C12" s="114" t="str">
        <f aca="false">IF(B12="","",IFERROR(INDEX(الموظفون!$C$6:$C$105,MATCH(B12,الموظفون!$B$6:$B$105,0)),"✖ رقم غير موجود"))</f>
        <v>محمد علي حسن</v>
      </c>
      <c r="D12" s="113"/>
      <c r="E12" s="113"/>
      <c r="F12" s="113"/>
      <c r="G12" s="110"/>
      <c r="H12" s="110"/>
      <c r="I12" s="110" t="n">
        <v>1000</v>
      </c>
      <c r="J12" s="110"/>
      <c r="K12" s="113"/>
      <c r="L12" s="113"/>
      <c r="M12" s="110"/>
      <c r="N12" s="110"/>
      <c r="O12" s="107" t="s">
        <v>465</v>
      </c>
    </row>
    <row r="13" customFormat="false" ht="15" hidden="false" customHeight="false" outlineLevel="0" collapsed="false">
      <c r="A13" s="112" t="n">
        <v>4</v>
      </c>
      <c r="B13" s="107" t="s">
        <v>409</v>
      </c>
      <c r="C13" s="117" t="str">
        <f aca="false">IF(B13="","",IFERROR(INDEX(الموظفون!$C$6:$C$105,MATCH(B13,الموظفون!$B$6:$B$105,0)),"✖ رقم غير موجود"))</f>
        <v>عمر حسين البيشي</v>
      </c>
      <c r="D13" s="113" t="n">
        <v>2</v>
      </c>
      <c r="E13" s="113"/>
      <c r="F13" s="113"/>
      <c r="G13" s="110"/>
      <c r="H13" s="110"/>
      <c r="I13" s="110"/>
      <c r="J13" s="110"/>
      <c r="K13" s="113"/>
      <c r="L13" s="113"/>
      <c r="M13" s="110"/>
      <c r="N13" s="110"/>
      <c r="O13" s="107" t="s">
        <v>466</v>
      </c>
    </row>
    <row r="14" customFormat="false" ht="15" hidden="false" customHeight="false" outlineLevel="0" collapsed="false">
      <c r="A14" s="112" t="n">
        <v>5</v>
      </c>
      <c r="B14" s="107" t="s">
        <v>355</v>
      </c>
      <c r="C14" s="114" t="str">
        <f aca="false">IF(B14="","",IFERROR(INDEX(الموظفون!$C$6:$C$105,MATCH(B14,الموظفون!$B$6:$B$105,0)),"✖ رقم غير موجود"))</f>
        <v>محمد علي حسن</v>
      </c>
      <c r="D14" s="113"/>
      <c r="E14" s="113"/>
      <c r="F14" s="113"/>
      <c r="G14" s="110"/>
      <c r="H14" s="110"/>
      <c r="I14" s="110" t="n">
        <v>1000</v>
      </c>
      <c r="J14" s="110"/>
      <c r="K14" s="113"/>
      <c r="L14" s="113"/>
      <c r="M14" s="110"/>
      <c r="N14" s="110"/>
      <c r="O14" s="107" t="s">
        <v>467</v>
      </c>
    </row>
    <row r="15" customFormat="false" ht="15" hidden="false" customHeight="false" outlineLevel="0" collapsed="false">
      <c r="A15" s="112" t="n">
        <v>5</v>
      </c>
      <c r="B15" s="107" t="s">
        <v>368</v>
      </c>
      <c r="C15" s="117" t="str">
        <f aca="false">IF(B15="","",IFERROR(INDEX(الموظفون!$C$6:$C$105,MATCH(B15,الموظفون!$B$6:$B$105,0)),"✖ رقم غير موجود"))</f>
        <v>راجيش كومار</v>
      </c>
      <c r="D15" s="113"/>
      <c r="E15" s="113"/>
      <c r="F15" s="113" t="n">
        <v>16</v>
      </c>
      <c r="G15" s="110"/>
      <c r="H15" s="110"/>
      <c r="I15" s="110"/>
      <c r="J15" s="110"/>
      <c r="K15" s="113"/>
      <c r="L15" s="113"/>
      <c r="M15" s="110"/>
      <c r="N15" s="110"/>
      <c r="O15" s="107"/>
    </row>
    <row r="16" customFormat="false" ht="15" hidden="false" customHeight="false" outlineLevel="0" collapsed="false">
      <c r="A16" s="112" t="n">
        <v>6</v>
      </c>
      <c r="B16" s="107" t="s">
        <v>392</v>
      </c>
      <c r="C16" s="114" t="str">
        <f aca="false">IF(B16="","",IFERROR(INDEX(الموظفون!$C$6:$C$105,MATCH(B16,الموظفون!$B$6:$B$105,0)),"✖ رقم غير موجود"))</f>
        <v>محمد رفيق</v>
      </c>
      <c r="D16" s="113"/>
      <c r="E16" s="113"/>
      <c r="F16" s="113"/>
      <c r="G16" s="110"/>
      <c r="H16" s="110"/>
      <c r="I16" s="110"/>
      <c r="J16" s="110"/>
      <c r="K16" s="113"/>
      <c r="L16" s="113"/>
      <c r="M16" s="110" t="n">
        <v>2200</v>
      </c>
      <c r="N16" s="110"/>
      <c r="O16" s="107" t="s">
        <v>464</v>
      </c>
    </row>
    <row r="17" customFormat="false" ht="15" hidden="false" customHeight="false" outlineLevel="0" collapsed="false">
      <c r="A17" s="112" t="n">
        <v>6</v>
      </c>
      <c r="B17" s="107" t="s">
        <v>374</v>
      </c>
      <c r="C17" s="117" t="str">
        <f aca="false">IF(B17="","",IFERROR(INDEX(الموظفون!$C$6:$C$105,MATCH(B17,الموظفون!$B$6:$B$105,0)),"✖ رقم غير موجود"))</f>
        <v>فهد ناصر الشمري</v>
      </c>
      <c r="D17" s="113"/>
      <c r="E17" s="113"/>
      <c r="F17" s="113"/>
      <c r="G17" s="110" t="n">
        <v>6500</v>
      </c>
      <c r="H17" s="110"/>
      <c r="I17" s="110"/>
      <c r="J17" s="110"/>
      <c r="K17" s="113"/>
      <c r="L17" s="113"/>
      <c r="M17" s="110"/>
      <c r="N17" s="110"/>
      <c r="O17" s="107" t="s">
        <v>468</v>
      </c>
    </row>
    <row r="18" customFormat="false" ht="15" hidden="false" customHeight="false" outlineLevel="0" collapsed="false">
      <c r="A18" s="112" t="n">
        <v>7</v>
      </c>
      <c r="B18" s="107" t="s">
        <v>403</v>
      </c>
      <c r="C18" s="114" t="str">
        <f aca="false">IF(B18="","",IFERROR(INDEX(الموظفون!$C$6:$C$105,MATCH(B18,الموظفون!$B$6:$B$105,0)),"✖ رقم غير موجود"))</f>
        <v>جون ماتيو</v>
      </c>
      <c r="D18" s="113"/>
      <c r="E18" s="113"/>
      <c r="F18" s="113"/>
      <c r="G18" s="110"/>
      <c r="H18" s="110" t="n">
        <f aca="false">L18*INDEX('مخصص الإجازات'!$G$6:$G$105,MATCH(B18,'مخصص الإجازات'!$B$6:$B$105,0))</f>
        <v>8297.2602739726</v>
      </c>
      <c r="I18" s="110"/>
      <c r="J18" s="110"/>
      <c r="K18" s="113"/>
      <c r="L18" s="113" t="n">
        <f aca="false">INDEX('مخصص الإجازات'!$H$6:$H$105,MATCH(B18,'مخصص الإجازات'!$B$6:$B$105,0))+INDEX('مخصص الإجازات'!$L$6:$L$105,MATCH(B18,'مخصص الإجازات'!$B$6:$B$105,0))-INDEX('مخصص الإجازات'!$M$6:$M$105,MATCH(B18,'مخصص الإجازات'!$B$6:$B$105,0))</f>
        <v>36.8767123287671</v>
      </c>
      <c r="M18" s="110"/>
      <c r="N18" s="110" t="n">
        <f aca="false">INDEX('مخصص نهاية الخدمة'!$O$6:$O$105,MATCH(B18,'مخصص نهاية الخدمة'!$B$6:$B$105,0))</f>
        <v>21778.7671232877</v>
      </c>
      <c r="O18" s="107" t="s">
        <v>469</v>
      </c>
    </row>
    <row r="19" customFormat="false" ht="15" hidden="false" customHeight="false" outlineLevel="0" collapsed="false">
      <c r="A19" s="112" t="n">
        <v>8</v>
      </c>
      <c r="B19" s="107" t="s">
        <v>368</v>
      </c>
      <c r="C19" s="117" t="str">
        <f aca="false">IF(B19="","",IFERROR(INDEX(الموظفون!$C$6:$C$105,MATCH(B19,الموظفون!$B$6:$B$105,0)),"✖ رقم غير موجود"))</f>
        <v>راجيش كومار</v>
      </c>
      <c r="D19" s="113"/>
      <c r="E19" s="113"/>
      <c r="F19" s="113"/>
      <c r="G19" s="110"/>
      <c r="H19" s="110"/>
      <c r="I19" s="110"/>
      <c r="J19" s="110"/>
      <c r="K19" s="113"/>
      <c r="L19" s="113"/>
      <c r="M19" s="110" t="n">
        <v>2800</v>
      </c>
      <c r="N19" s="110"/>
      <c r="O19" s="107" t="s">
        <v>464</v>
      </c>
    </row>
    <row r="20" customFormat="false" ht="15" hidden="false" customHeight="false" outlineLevel="0" collapsed="false">
      <c r="A20" s="112" t="n">
        <v>9</v>
      </c>
      <c r="B20" s="107" t="s">
        <v>398</v>
      </c>
      <c r="C20" s="114" t="str">
        <f aca="false">IF(B20="","",IFERROR(INDEX(الموظفون!$C$6:$C$105,MATCH(B20,الموظفون!$B$6:$B$105,0)),"✖ رقم غير موجود"))</f>
        <v>ريم سلطان المطيري</v>
      </c>
      <c r="D20" s="113"/>
      <c r="E20" s="113"/>
      <c r="F20" s="113" t="n">
        <v>6</v>
      </c>
      <c r="G20" s="110"/>
      <c r="H20" s="110" t="n">
        <v>1500</v>
      </c>
      <c r="I20" s="110"/>
      <c r="J20" s="110"/>
      <c r="K20" s="113"/>
      <c r="L20" s="113"/>
      <c r="M20" s="110"/>
      <c r="N20" s="110"/>
      <c r="O20" s="107" t="s">
        <v>470</v>
      </c>
    </row>
    <row r="21" customFormat="false" ht="15" hidden="false" customHeight="false" outlineLevel="0" collapsed="false">
      <c r="A21" s="112" t="n">
        <v>9</v>
      </c>
      <c r="B21" s="107" t="s">
        <v>374</v>
      </c>
      <c r="C21" s="117" t="str">
        <f aca="false">IF(B21="","",IFERROR(INDEX(الموظفون!$C$6:$C$105,MATCH(B21,الموظفون!$B$6:$B$105,0)),"✖ رقم غير موجود"))</f>
        <v>فهد ناصر الشمري</v>
      </c>
      <c r="D21" s="113"/>
      <c r="E21" s="113"/>
      <c r="F21" s="113"/>
      <c r="G21" s="110"/>
      <c r="H21" s="110"/>
      <c r="I21" s="110"/>
      <c r="J21" s="110" t="n">
        <v>250</v>
      </c>
      <c r="K21" s="113"/>
      <c r="L21" s="113"/>
      <c r="M21" s="110"/>
      <c r="N21" s="110"/>
      <c r="O21" s="107" t="s">
        <v>471</v>
      </c>
    </row>
    <row r="22" customFormat="false" ht="15" hidden="false" customHeight="false" outlineLevel="0" collapsed="false">
      <c r="A22" s="112"/>
      <c r="B22" s="107"/>
      <c r="C22" s="114" t="str">
        <f aca="false">IF(B22="","",IFERROR(INDEX(الموظفون!$C$6:$C$105,MATCH(B22,الموظفون!$B$6:$B$105,0)),"✖ رقم غير موجود"))</f>
        <v/>
      </c>
      <c r="D22" s="113"/>
      <c r="E22" s="113"/>
      <c r="F22" s="113"/>
      <c r="G22" s="110"/>
      <c r="H22" s="110"/>
      <c r="I22" s="110"/>
      <c r="J22" s="110"/>
      <c r="K22" s="113"/>
      <c r="L22" s="113"/>
      <c r="M22" s="110"/>
      <c r="N22" s="110"/>
      <c r="O22" s="107"/>
    </row>
    <row r="23" customFormat="false" ht="15" hidden="false" customHeight="false" outlineLevel="0" collapsed="false">
      <c r="A23" s="112"/>
      <c r="B23" s="107"/>
      <c r="C23" s="117" t="str">
        <f aca="false">IF(B23="","",IFERROR(INDEX(الموظفون!$C$6:$C$105,MATCH(B23,الموظفون!$B$6:$B$105,0)),"✖ رقم غير موجود"))</f>
        <v/>
      </c>
      <c r="D23" s="113"/>
      <c r="E23" s="113"/>
      <c r="F23" s="113"/>
      <c r="G23" s="110"/>
      <c r="H23" s="110"/>
      <c r="I23" s="110"/>
      <c r="J23" s="110"/>
      <c r="K23" s="113"/>
      <c r="L23" s="113"/>
      <c r="M23" s="110"/>
      <c r="N23" s="110"/>
      <c r="O23" s="107"/>
    </row>
    <row r="24" customFormat="false" ht="15" hidden="false" customHeight="false" outlineLevel="0" collapsed="false">
      <c r="A24" s="112"/>
      <c r="B24" s="107"/>
      <c r="C24" s="114" t="str">
        <f aca="false">IF(B24="","",IFERROR(INDEX(الموظفون!$C$6:$C$105,MATCH(B24,الموظفون!$B$6:$B$105,0)),"✖ رقم غير موجود"))</f>
        <v/>
      </c>
      <c r="D24" s="113"/>
      <c r="E24" s="113"/>
      <c r="F24" s="113"/>
      <c r="G24" s="110"/>
      <c r="H24" s="110"/>
      <c r="I24" s="110"/>
      <c r="J24" s="110"/>
      <c r="K24" s="113"/>
      <c r="L24" s="113"/>
      <c r="M24" s="110"/>
      <c r="N24" s="110"/>
      <c r="O24" s="107"/>
    </row>
    <row r="25" customFormat="false" ht="15" hidden="false" customHeight="false" outlineLevel="0" collapsed="false">
      <c r="A25" s="112"/>
      <c r="B25" s="107"/>
      <c r="C25" s="117" t="str">
        <f aca="false">IF(B25="","",IFERROR(INDEX(الموظفون!$C$6:$C$105,MATCH(B25,الموظفون!$B$6:$B$105,0)),"✖ رقم غير موجود"))</f>
        <v/>
      </c>
      <c r="D25" s="113"/>
      <c r="E25" s="113"/>
      <c r="F25" s="113"/>
      <c r="G25" s="110"/>
      <c r="H25" s="110"/>
      <c r="I25" s="110"/>
      <c r="J25" s="110"/>
      <c r="K25" s="113"/>
      <c r="L25" s="113"/>
      <c r="M25" s="110"/>
      <c r="N25" s="110"/>
      <c r="O25" s="107"/>
    </row>
    <row r="26" customFormat="false" ht="15" hidden="false" customHeight="false" outlineLevel="0" collapsed="false">
      <c r="A26" s="122"/>
      <c r="B26" s="118"/>
      <c r="C26" s="114" t="str">
        <f aca="false">IF(B26="","",IFERROR(INDEX(الموظفون!$C$6:$C$105,MATCH(B26,الموظفون!$B$6:$B$105,0)),"✖ رقم غير موجود"))</f>
        <v/>
      </c>
      <c r="D26" s="123"/>
      <c r="E26" s="123"/>
      <c r="F26" s="123"/>
      <c r="G26" s="121"/>
      <c r="H26" s="121"/>
      <c r="I26" s="121"/>
      <c r="J26" s="121"/>
      <c r="K26" s="123"/>
      <c r="L26" s="123"/>
      <c r="M26" s="121"/>
      <c r="N26" s="121"/>
      <c r="O26" s="118"/>
    </row>
    <row r="27" customFormat="false" ht="15" hidden="false" customHeight="false" outlineLevel="0" collapsed="false">
      <c r="A27" s="122"/>
      <c r="B27" s="118"/>
      <c r="C27" s="117" t="str">
        <f aca="false">IF(B27="","",IFERROR(INDEX(الموظفون!$C$6:$C$105,MATCH(B27,الموظفون!$B$6:$B$105,0)),"✖ رقم غير موجود"))</f>
        <v/>
      </c>
      <c r="D27" s="123"/>
      <c r="E27" s="123"/>
      <c r="F27" s="123"/>
      <c r="G27" s="121"/>
      <c r="H27" s="121"/>
      <c r="I27" s="121"/>
      <c r="J27" s="121"/>
      <c r="K27" s="123"/>
      <c r="L27" s="123"/>
      <c r="M27" s="121"/>
      <c r="N27" s="121"/>
      <c r="O27" s="118"/>
    </row>
    <row r="28" customFormat="false" ht="15" hidden="false" customHeight="false" outlineLevel="0" collapsed="false">
      <c r="A28" s="122"/>
      <c r="B28" s="118"/>
      <c r="C28" s="114" t="str">
        <f aca="false">IF(B28="","",IFERROR(INDEX(الموظفون!$C$6:$C$105,MATCH(B28,الموظفون!$B$6:$B$105,0)),"✖ رقم غير موجود"))</f>
        <v/>
      </c>
      <c r="D28" s="123"/>
      <c r="E28" s="123"/>
      <c r="F28" s="123"/>
      <c r="G28" s="121"/>
      <c r="H28" s="121"/>
      <c r="I28" s="121"/>
      <c r="J28" s="121"/>
      <c r="K28" s="123"/>
      <c r="L28" s="123"/>
      <c r="M28" s="121"/>
      <c r="N28" s="121"/>
      <c r="O28" s="118"/>
    </row>
    <row r="29" customFormat="false" ht="15" hidden="false" customHeight="false" outlineLevel="0" collapsed="false">
      <c r="A29" s="122"/>
      <c r="B29" s="118"/>
      <c r="C29" s="117" t="str">
        <f aca="false">IF(B29="","",IFERROR(INDEX(الموظفون!$C$6:$C$105,MATCH(B29,الموظفون!$B$6:$B$105,0)),"✖ رقم غير موجود"))</f>
        <v/>
      </c>
      <c r="D29" s="123"/>
      <c r="E29" s="123"/>
      <c r="F29" s="123"/>
      <c r="G29" s="121"/>
      <c r="H29" s="121"/>
      <c r="I29" s="121"/>
      <c r="J29" s="121"/>
      <c r="K29" s="123"/>
      <c r="L29" s="123"/>
      <c r="M29" s="121"/>
      <c r="N29" s="121"/>
      <c r="O29" s="118"/>
    </row>
    <row r="30" customFormat="false" ht="15" hidden="false" customHeight="false" outlineLevel="0" collapsed="false">
      <c r="A30" s="122"/>
      <c r="B30" s="118"/>
      <c r="C30" s="114" t="str">
        <f aca="false">IF(B30="","",IFERROR(INDEX(الموظفون!$C$6:$C$105,MATCH(B30,الموظفون!$B$6:$B$105,0)),"✖ رقم غير موجود"))</f>
        <v/>
      </c>
      <c r="D30" s="123"/>
      <c r="E30" s="123"/>
      <c r="F30" s="123"/>
      <c r="G30" s="121"/>
      <c r="H30" s="121"/>
      <c r="I30" s="121"/>
      <c r="J30" s="121"/>
      <c r="K30" s="123"/>
      <c r="L30" s="123"/>
      <c r="M30" s="121"/>
      <c r="N30" s="121"/>
      <c r="O30" s="118"/>
    </row>
    <row r="31" customFormat="false" ht="15" hidden="false" customHeight="false" outlineLevel="0" collapsed="false">
      <c r="A31" s="122"/>
      <c r="B31" s="118"/>
      <c r="C31" s="117" t="str">
        <f aca="false">IF(B31="","",IFERROR(INDEX(الموظفون!$C$6:$C$105,MATCH(B31,الموظفون!$B$6:$B$105,0)),"✖ رقم غير موجود"))</f>
        <v/>
      </c>
      <c r="D31" s="123"/>
      <c r="E31" s="123"/>
      <c r="F31" s="123"/>
      <c r="G31" s="121"/>
      <c r="H31" s="121"/>
      <c r="I31" s="121"/>
      <c r="J31" s="121"/>
      <c r="K31" s="123"/>
      <c r="L31" s="123"/>
      <c r="M31" s="121"/>
      <c r="N31" s="121"/>
      <c r="O31" s="118"/>
    </row>
    <row r="32" customFormat="false" ht="15" hidden="false" customHeight="false" outlineLevel="0" collapsed="false">
      <c r="A32" s="122"/>
      <c r="B32" s="118"/>
      <c r="C32" s="114" t="str">
        <f aca="false">IF(B32="","",IFERROR(INDEX(الموظفون!$C$6:$C$105,MATCH(B32,الموظفون!$B$6:$B$105,0)),"✖ رقم غير موجود"))</f>
        <v/>
      </c>
      <c r="D32" s="123"/>
      <c r="E32" s="123"/>
      <c r="F32" s="123"/>
      <c r="G32" s="121"/>
      <c r="H32" s="121"/>
      <c r="I32" s="121"/>
      <c r="J32" s="121"/>
      <c r="K32" s="123"/>
      <c r="L32" s="123"/>
      <c r="M32" s="121"/>
      <c r="N32" s="121"/>
      <c r="O32" s="118"/>
    </row>
    <row r="33" customFormat="false" ht="15" hidden="false" customHeight="false" outlineLevel="0" collapsed="false">
      <c r="A33" s="122"/>
      <c r="B33" s="118"/>
      <c r="C33" s="117" t="str">
        <f aca="false">IF(B33="","",IFERROR(INDEX(الموظفون!$C$6:$C$105,MATCH(B33,الموظفون!$B$6:$B$105,0)),"✖ رقم غير موجود"))</f>
        <v/>
      </c>
      <c r="D33" s="123"/>
      <c r="E33" s="123"/>
      <c r="F33" s="123"/>
      <c r="G33" s="121"/>
      <c r="H33" s="121"/>
      <c r="I33" s="121"/>
      <c r="J33" s="121"/>
      <c r="K33" s="123"/>
      <c r="L33" s="123"/>
      <c r="M33" s="121"/>
      <c r="N33" s="121"/>
      <c r="O33" s="118"/>
    </row>
    <row r="34" customFormat="false" ht="15" hidden="false" customHeight="false" outlineLevel="0" collapsed="false">
      <c r="A34" s="122"/>
      <c r="B34" s="118"/>
      <c r="C34" s="114" t="str">
        <f aca="false">IF(B34="","",IFERROR(INDEX(الموظفون!$C$6:$C$105,MATCH(B34,الموظفون!$B$6:$B$105,0)),"✖ رقم غير موجود"))</f>
        <v/>
      </c>
      <c r="D34" s="123"/>
      <c r="E34" s="123"/>
      <c r="F34" s="123"/>
      <c r="G34" s="121"/>
      <c r="H34" s="121"/>
      <c r="I34" s="121"/>
      <c r="J34" s="121"/>
      <c r="K34" s="123"/>
      <c r="L34" s="123"/>
      <c r="M34" s="121"/>
      <c r="N34" s="121"/>
      <c r="O34" s="118"/>
    </row>
    <row r="35" customFormat="false" ht="15" hidden="false" customHeight="false" outlineLevel="0" collapsed="false">
      <c r="A35" s="122"/>
      <c r="B35" s="118"/>
      <c r="C35" s="117" t="str">
        <f aca="false">IF(B35="","",IFERROR(INDEX(الموظفون!$C$6:$C$105,MATCH(B35,الموظفون!$B$6:$B$105,0)),"✖ رقم غير موجود"))</f>
        <v/>
      </c>
      <c r="D35" s="123"/>
      <c r="E35" s="123"/>
      <c r="F35" s="123"/>
      <c r="G35" s="121"/>
      <c r="H35" s="121"/>
      <c r="I35" s="121"/>
      <c r="J35" s="121"/>
      <c r="K35" s="123"/>
      <c r="L35" s="123"/>
      <c r="M35" s="121"/>
      <c r="N35" s="121"/>
      <c r="O35" s="118"/>
    </row>
    <row r="36" customFormat="false" ht="15" hidden="false" customHeight="false" outlineLevel="0" collapsed="false">
      <c r="A36" s="122"/>
      <c r="B36" s="118"/>
      <c r="C36" s="114" t="str">
        <f aca="false">IF(B36="","",IFERROR(INDEX(الموظفون!$C$6:$C$105,MATCH(B36,الموظفون!$B$6:$B$105,0)),"✖ رقم غير موجود"))</f>
        <v/>
      </c>
      <c r="D36" s="123"/>
      <c r="E36" s="123"/>
      <c r="F36" s="123"/>
      <c r="G36" s="121"/>
      <c r="H36" s="121"/>
      <c r="I36" s="121"/>
      <c r="J36" s="121"/>
      <c r="K36" s="123"/>
      <c r="L36" s="123"/>
      <c r="M36" s="121"/>
      <c r="N36" s="121"/>
      <c r="O36" s="118"/>
    </row>
    <row r="37" customFormat="false" ht="15" hidden="false" customHeight="false" outlineLevel="0" collapsed="false">
      <c r="A37" s="122"/>
      <c r="B37" s="118"/>
      <c r="C37" s="117" t="str">
        <f aca="false">IF(B37="","",IFERROR(INDEX(الموظفون!$C$6:$C$105,MATCH(B37,الموظفون!$B$6:$B$105,0)),"✖ رقم غير موجود"))</f>
        <v/>
      </c>
      <c r="D37" s="123"/>
      <c r="E37" s="123"/>
      <c r="F37" s="123"/>
      <c r="G37" s="121"/>
      <c r="H37" s="121"/>
      <c r="I37" s="121"/>
      <c r="J37" s="121"/>
      <c r="K37" s="123"/>
      <c r="L37" s="123"/>
      <c r="M37" s="121"/>
      <c r="N37" s="121"/>
      <c r="O37" s="118"/>
    </row>
    <row r="38" customFormat="false" ht="15" hidden="false" customHeight="false" outlineLevel="0" collapsed="false">
      <c r="A38" s="122"/>
      <c r="B38" s="118"/>
      <c r="C38" s="114" t="str">
        <f aca="false">IF(B38="","",IFERROR(INDEX(الموظفون!$C$6:$C$105,MATCH(B38,الموظفون!$B$6:$B$105,0)),"✖ رقم غير موجود"))</f>
        <v/>
      </c>
      <c r="D38" s="123"/>
      <c r="E38" s="123"/>
      <c r="F38" s="123"/>
      <c r="G38" s="121"/>
      <c r="H38" s="121"/>
      <c r="I38" s="121"/>
      <c r="J38" s="121"/>
      <c r="K38" s="123"/>
      <c r="L38" s="123"/>
      <c r="M38" s="121"/>
      <c r="N38" s="121"/>
      <c r="O38" s="118"/>
    </row>
    <row r="39" customFormat="false" ht="15" hidden="false" customHeight="false" outlineLevel="0" collapsed="false">
      <c r="A39" s="122"/>
      <c r="B39" s="118"/>
      <c r="C39" s="117" t="str">
        <f aca="false">IF(B39="","",IFERROR(INDEX(الموظفون!$C$6:$C$105,MATCH(B39,الموظفون!$B$6:$B$105,0)),"✖ رقم غير موجود"))</f>
        <v/>
      </c>
      <c r="D39" s="123"/>
      <c r="E39" s="123"/>
      <c r="F39" s="123"/>
      <c r="G39" s="121"/>
      <c r="H39" s="121"/>
      <c r="I39" s="121"/>
      <c r="J39" s="121"/>
      <c r="K39" s="123"/>
      <c r="L39" s="123"/>
      <c r="M39" s="121"/>
      <c r="N39" s="121"/>
      <c r="O39" s="118"/>
    </row>
    <row r="40" customFormat="false" ht="15" hidden="false" customHeight="false" outlineLevel="0" collapsed="false">
      <c r="A40" s="122"/>
      <c r="B40" s="118"/>
      <c r="C40" s="114" t="str">
        <f aca="false">IF(B40="","",IFERROR(INDEX(الموظفون!$C$6:$C$105,MATCH(B40,الموظفون!$B$6:$B$105,0)),"✖ رقم غير موجود"))</f>
        <v/>
      </c>
      <c r="D40" s="123"/>
      <c r="E40" s="123"/>
      <c r="F40" s="123"/>
      <c r="G40" s="121"/>
      <c r="H40" s="121"/>
      <c r="I40" s="121"/>
      <c r="J40" s="121"/>
      <c r="K40" s="123"/>
      <c r="L40" s="123"/>
      <c r="M40" s="121"/>
      <c r="N40" s="121"/>
      <c r="O40" s="118"/>
    </row>
    <row r="41" customFormat="false" ht="15" hidden="false" customHeight="false" outlineLevel="0" collapsed="false">
      <c r="A41" s="122"/>
      <c r="B41" s="118"/>
      <c r="C41" s="117" t="str">
        <f aca="false">IF(B41="","",IFERROR(INDEX(الموظفون!$C$6:$C$105,MATCH(B41,الموظفون!$B$6:$B$105,0)),"✖ رقم غير موجود"))</f>
        <v/>
      </c>
      <c r="D41" s="123"/>
      <c r="E41" s="123"/>
      <c r="F41" s="123"/>
      <c r="G41" s="121"/>
      <c r="H41" s="121"/>
      <c r="I41" s="121"/>
      <c r="J41" s="121"/>
      <c r="K41" s="123"/>
      <c r="L41" s="123"/>
      <c r="M41" s="121"/>
      <c r="N41" s="121"/>
      <c r="O41" s="118"/>
    </row>
    <row r="42" customFormat="false" ht="15" hidden="false" customHeight="false" outlineLevel="0" collapsed="false">
      <c r="A42" s="122"/>
      <c r="B42" s="118"/>
      <c r="C42" s="114" t="str">
        <f aca="false">IF(B42="","",IFERROR(INDEX(الموظفون!$C$6:$C$105,MATCH(B42,الموظفون!$B$6:$B$105,0)),"✖ رقم غير موجود"))</f>
        <v/>
      </c>
      <c r="D42" s="123"/>
      <c r="E42" s="123"/>
      <c r="F42" s="123"/>
      <c r="G42" s="121"/>
      <c r="H42" s="121"/>
      <c r="I42" s="121"/>
      <c r="J42" s="121"/>
      <c r="K42" s="123"/>
      <c r="L42" s="123"/>
      <c r="M42" s="121"/>
      <c r="N42" s="121"/>
      <c r="O42" s="118"/>
    </row>
    <row r="43" customFormat="false" ht="15" hidden="false" customHeight="false" outlineLevel="0" collapsed="false">
      <c r="A43" s="122"/>
      <c r="B43" s="118"/>
      <c r="C43" s="117" t="str">
        <f aca="false">IF(B43="","",IFERROR(INDEX(الموظفون!$C$6:$C$105,MATCH(B43,الموظفون!$B$6:$B$105,0)),"✖ رقم غير موجود"))</f>
        <v/>
      </c>
      <c r="D43" s="123"/>
      <c r="E43" s="123"/>
      <c r="F43" s="123"/>
      <c r="G43" s="121"/>
      <c r="H43" s="121"/>
      <c r="I43" s="121"/>
      <c r="J43" s="121"/>
      <c r="K43" s="123"/>
      <c r="L43" s="123"/>
      <c r="M43" s="121"/>
      <c r="N43" s="121"/>
      <c r="O43" s="118"/>
    </row>
    <row r="44" customFormat="false" ht="15" hidden="false" customHeight="false" outlineLevel="0" collapsed="false">
      <c r="A44" s="122"/>
      <c r="B44" s="118"/>
      <c r="C44" s="114" t="str">
        <f aca="false">IF(B44="","",IFERROR(INDEX(الموظفون!$C$6:$C$105,MATCH(B44,الموظفون!$B$6:$B$105,0)),"✖ رقم غير موجود"))</f>
        <v/>
      </c>
      <c r="D44" s="123"/>
      <c r="E44" s="123"/>
      <c r="F44" s="123"/>
      <c r="G44" s="121"/>
      <c r="H44" s="121"/>
      <c r="I44" s="121"/>
      <c r="J44" s="121"/>
      <c r="K44" s="123"/>
      <c r="L44" s="123"/>
      <c r="M44" s="121"/>
      <c r="N44" s="121"/>
      <c r="O44" s="118"/>
    </row>
    <row r="45" customFormat="false" ht="15" hidden="false" customHeight="false" outlineLevel="0" collapsed="false">
      <c r="A45" s="122"/>
      <c r="B45" s="118"/>
      <c r="C45" s="117" t="str">
        <f aca="false">IF(B45="","",IFERROR(INDEX(الموظفون!$C$6:$C$105,MATCH(B45,الموظفون!$B$6:$B$105,0)),"✖ رقم غير موجود"))</f>
        <v/>
      </c>
      <c r="D45" s="123"/>
      <c r="E45" s="123"/>
      <c r="F45" s="123"/>
      <c r="G45" s="121"/>
      <c r="H45" s="121"/>
      <c r="I45" s="121"/>
      <c r="J45" s="121"/>
      <c r="K45" s="123"/>
      <c r="L45" s="123"/>
      <c r="M45" s="121"/>
      <c r="N45" s="121"/>
      <c r="O45" s="118"/>
    </row>
    <row r="46" customFormat="false" ht="15" hidden="false" customHeight="false" outlineLevel="0" collapsed="false">
      <c r="A46" s="122"/>
      <c r="B46" s="118"/>
      <c r="C46" s="114" t="str">
        <f aca="false">IF(B46="","",IFERROR(INDEX(الموظفون!$C$6:$C$105,MATCH(B46,الموظفون!$B$6:$B$105,0)),"✖ رقم غير موجود"))</f>
        <v/>
      </c>
      <c r="D46" s="123"/>
      <c r="E46" s="123"/>
      <c r="F46" s="123"/>
      <c r="G46" s="121"/>
      <c r="H46" s="121"/>
      <c r="I46" s="121"/>
      <c r="J46" s="121"/>
      <c r="K46" s="123"/>
      <c r="L46" s="123"/>
      <c r="M46" s="121"/>
      <c r="N46" s="121"/>
      <c r="O46" s="118"/>
    </row>
    <row r="47" customFormat="false" ht="15" hidden="false" customHeight="false" outlineLevel="0" collapsed="false">
      <c r="A47" s="122"/>
      <c r="B47" s="118"/>
      <c r="C47" s="117" t="str">
        <f aca="false">IF(B47="","",IFERROR(INDEX(الموظفون!$C$6:$C$105,MATCH(B47,الموظفون!$B$6:$B$105,0)),"✖ رقم غير موجود"))</f>
        <v/>
      </c>
      <c r="D47" s="123"/>
      <c r="E47" s="123"/>
      <c r="F47" s="123"/>
      <c r="G47" s="121"/>
      <c r="H47" s="121"/>
      <c r="I47" s="121"/>
      <c r="J47" s="121"/>
      <c r="K47" s="123"/>
      <c r="L47" s="123"/>
      <c r="M47" s="121"/>
      <c r="N47" s="121"/>
      <c r="O47" s="118"/>
    </row>
    <row r="48" customFormat="false" ht="15" hidden="false" customHeight="false" outlineLevel="0" collapsed="false">
      <c r="A48" s="122"/>
      <c r="B48" s="118"/>
      <c r="C48" s="114" t="str">
        <f aca="false">IF(B48="","",IFERROR(INDEX(الموظفون!$C$6:$C$105,MATCH(B48,الموظفون!$B$6:$B$105,0)),"✖ رقم غير موجود"))</f>
        <v/>
      </c>
      <c r="D48" s="123"/>
      <c r="E48" s="123"/>
      <c r="F48" s="123"/>
      <c r="G48" s="121"/>
      <c r="H48" s="121"/>
      <c r="I48" s="121"/>
      <c r="J48" s="121"/>
      <c r="K48" s="123"/>
      <c r="L48" s="123"/>
      <c r="M48" s="121"/>
      <c r="N48" s="121"/>
      <c r="O48" s="118"/>
    </row>
    <row r="49" customFormat="false" ht="15" hidden="false" customHeight="false" outlineLevel="0" collapsed="false">
      <c r="A49" s="122"/>
      <c r="B49" s="118"/>
      <c r="C49" s="117" t="str">
        <f aca="false">IF(B49="","",IFERROR(INDEX(الموظفون!$C$6:$C$105,MATCH(B49,الموظفون!$B$6:$B$105,0)),"✖ رقم غير موجود"))</f>
        <v/>
      </c>
      <c r="D49" s="123"/>
      <c r="E49" s="123"/>
      <c r="F49" s="123"/>
      <c r="G49" s="121"/>
      <c r="H49" s="121"/>
      <c r="I49" s="121"/>
      <c r="J49" s="121"/>
      <c r="K49" s="123"/>
      <c r="L49" s="123"/>
      <c r="M49" s="121"/>
      <c r="N49" s="121"/>
      <c r="O49" s="118"/>
    </row>
    <row r="50" customFormat="false" ht="15" hidden="false" customHeight="false" outlineLevel="0" collapsed="false">
      <c r="A50" s="122"/>
      <c r="B50" s="118"/>
      <c r="C50" s="114" t="str">
        <f aca="false">IF(B50="","",IFERROR(INDEX(الموظفون!$C$6:$C$105,MATCH(B50,الموظفون!$B$6:$B$105,0)),"✖ رقم غير موجود"))</f>
        <v/>
      </c>
      <c r="D50" s="123"/>
      <c r="E50" s="123"/>
      <c r="F50" s="123"/>
      <c r="G50" s="121"/>
      <c r="H50" s="121"/>
      <c r="I50" s="121"/>
      <c r="J50" s="121"/>
      <c r="K50" s="123"/>
      <c r="L50" s="123"/>
      <c r="M50" s="121"/>
      <c r="N50" s="121"/>
      <c r="O50" s="118"/>
    </row>
    <row r="51" customFormat="false" ht="15" hidden="false" customHeight="false" outlineLevel="0" collapsed="false">
      <c r="A51" s="122"/>
      <c r="B51" s="118"/>
      <c r="C51" s="117" t="str">
        <f aca="false">IF(B51="","",IFERROR(INDEX(الموظفون!$C$6:$C$105,MATCH(B51,الموظفون!$B$6:$B$105,0)),"✖ رقم غير موجود"))</f>
        <v/>
      </c>
      <c r="D51" s="123"/>
      <c r="E51" s="123"/>
      <c r="F51" s="123"/>
      <c r="G51" s="121"/>
      <c r="H51" s="121"/>
      <c r="I51" s="121"/>
      <c r="J51" s="121"/>
      <c r="K51" s="123"/>
      <c r="L51" s="123"/>
      <c r="M51" s="121"/>
      <c r="N51" s="121"/>
      <c r="O51" s="118"/>
    </row>
    <row r="52" customFormat="false" ht="15" hidden="false" customHeight="false" outlineLevel="0" collapsed="false">
      <c r="A52" s="122"/>
      <c r="B52" s="118"/>
      <c r="C52" s="114" t="str">
        <f aca="false">IF(B52="","",IFERROR(INDEX(الموظفون!$C$6:$C$105,MATCH(B52,الموظفون!$B$6:$B$105,0)),"✖ رقم غير موجود"))</f>
        <v/>
      </c>
      <c r="D52" s="123"/>
      <c r="E52" s="123"/>
      <c r="F52" s="123"/>
      <c r="G52" s="121"/>
      <c r="H52" s="121"/>
      <c r="I52" s="121"/>
      <c r="J52" s="121"/>
      <c r="K52" s="123"/>
      <c r="L52" s="123"/>
      <c r="M52" s="121"/>
      <c r="N52" s="121"/>
      <c r="O52" s="118"/>
    </row>
    <row r="53" customFormat="false" ht="15" hidden="false" customHeight="false" outlineLevel="0" collapsed="false">
      <c r="A53" s="122"/>
      <c r="B53" s="118"/>
      <c r="C53" s="117" t="str">
        <f aca="false">IF(B53="","",IFERROR(INDEX(الموظفون!$C$6:$C$105,MATCH(B53,الموظفون!$B$6:$B$105,0)),"✖ رقم غير موجود"))</f>
        <v/>
      </c>
      <c r="D53" s="123"/>
      <c r="E53" s="123"/>
      <c r="F53" s="123"/>
      <c r="G53" s="121"/>
      <c r="H53" s="121"/>
      <c r="I53" s="121"/>
      <c r="J53" s="121"/>
      <c r="K53" s="123"/>
      <c r="L53" s="123"/>
      <c r="M53" s="121"/>
      <c r="N53" s="121"/>
      <c r="O53" s="118"/>
    </row>
    <row r="54" customFormat="false" ht="15" hidden="false" customHeight="false" outlineLevel="0" collapsed="false">
      <c r="A54" s="122"/>
      <c r="B54" s="118"/>
      <c r="C54" s="114" t="str">
        <f aca="false">IF(B54="","",IFERROR(INDEX(الموظفون!$C$6:$C$105,MATCH(B54,الموظفون!$B$6:$B$105,0)),"✖ رقم غير موجود"))</f>
        <v/>
      </c>
      <c r="D54" s="123"/>
      <c r="E54" s="123"/>
      <c r="F54" s="123"/>
      <c r="G54" s="121"/>
      <c r="H54" s="121"/>
      <c r="I54" s="121"/>
      <c r="J54" s="121"/>
      <c r="K54" s="123"/>
      <c r="L54" s="123"/>
      <c r="M54" s="121"/>
      <c r="N54" s="121"/>
      <c r="O54" s="118"/>
    </row>
    <row r="55" customFormat="false" ht="15" hidden="false" customHeight="false" outlineLevel="0" collapsed="false">
      <c r="A55" s="122"/>
      <c r="B55" s="118"/>
      <c r="C55" s="117" t="str">
        <f aca="false">IF(B55="","",IFERROR(INDEX(الموظفون!$C$6:$C$105,MATCH(B55,الموظفون!$B$6:$B$105,0)),"✖ رقم غير موجود"))</f>
        <v/>
      </c>
      <c r="D55" s="123"/>
      <c r="E55" s="123"/>
      <c r="F55" s="123"/>
      <c r="G55" s="121"/>
      <c r="H55" s="121"/>
      <c r="I55" s="121"/>
      <c r="J55" s="121"/>
      <c r="K55" s="123"/>
      <c r="L55" s="123"/>
      <c r="M55" s="121"/>
      <c r="N55" s="121"/>
      <c r="O55" s="118"/>
    </row>
    <row r="56" customFormat="false" ht="15" hidden="false" customHeight="false" outlineLevel="0" collapsed="false">
      <c r="A56" s="122"/>
      <c r="B56" s="118"/>
      <c r="C56" s="114" t="str">
        <f aca="false">IF(B56="","",IFERROR(INDEX(الموظفون!$C$6:$C$105,MATCH(B56,الموظفون!$B$6:$B$105,0)),"✖ رقم غير موجود"))</f>
        <v/>
      </c>
      <c r="D56" s="123"/>
      <c r="E56" s="123"/>
      <c r="F56" s="123"/>
      <c r="G56" s="121"/>
      <c r="H56" s="121"/>
      <c r="I56" s="121"/>
      <c r="J56" s="121"/>
      <c r="K56" s="123"/>
      <c r="L56" s="123"/>
      <c r="M56" s="121"/>
      <c r="N56" s="121"/>
      <c r="O56" s="118"/>
    </row>
    <row r="57" customFormat="false" ht="15" hidden="false" customHeight="false" outlineLevel="0" collapsed="false">
      <c r="A57" s="122"/>
      <c r="B57" s="118"/>
      <c r="C57" s="117" t="str">
        <f aca="false">IF(B57="","",IFERROR(INDEX(الموظفون!$C$6:$C$105,MATCH(B57,الموظفون!$B$6:$B$105,0)),"✖ رقم غير موجود"))</f>
        <v/>
      </c>
      <c r="D57" s="123"/>
      <c r="E57" s="123"/>
      <c r="F57" s="123"/>
      <c r="G57" s="121"/>
      <c r="H57" s="121"/>
      <c r="I57" s="121"/>
      <c r="J57" s="121"/>
      <c r="K57" s="123"/>
      <c r="L57" s="123"/>
      <c r="M57" s="121"/>
      <c r="N57" s="121"/>
      <c r="O57" s="118"/>
    </row>
    <row r="58" customFormat="false" ht="15" hidden="false" customHeight="false" outlineLevel="0" collapsed="false">
      <c r="A58" s="122"/>
      <c r="B58" s="118"/>
      <c r="C58" s="114" t="str">
        <f aca="false">IF(B58="","",IFERROR(INDEX(الموظفون!$C$6:$C$105,MATCH(B58,الموظفون!$B$6:$B$105,0)),"✖ رقم غير موجود"))</f>
        <v/>
      </c>
      <c r="D58" s="123"/>
      <c r="E58" s="123"/>
      <c r="F58" s="123"/>
      <c r="G58" s="121"/>
      <c r="H58" s="121"/>
      <c r="I58" s="121"/>
      <c r="J58" s="121"/>
      <c r="K58" s="123"/>
      <c r="L58" s="123"/>
      <c r="M58" s="121"/>
      <c r="N58" s="121"/>
      <c r="O58" s="118"/>
    </row>
    <row r="59" customFormat="false" ht="15" hidden="false" customHeight="false" outlineLevel="0" collapsed="false">
      <c r="A59" s="122"/>
      <c r="B59" s="118"/>
      <c r="C59" s="117" t="str">
        <f aca="false">IF(B59="","",IFERROR(INDEX(الموظفون!$C$6:$C$105,MATCH(B59,الموظفون!$B$6:$B$105,0)),"✖ رقم غير موجود"))</f>
        <v/>
      </c>
      <c r="D59" s="123"/>
      <c r="E59" s="123"/>
      <c r="F59" s="123"/>
      <c r="G59" s="121"/>
      <c r="H59" s="121"/>
      <c r="I59" s="121"/>
      <c r="J59" s="121"/>
      <c r="K59" s="123"/>
      <c r="L59" s="123"/>
      <c r="M59" s="121"/>
      <c r="N59" s="121"/>
      <c r="O59" s="118"/>
    </row>
    <row r="60" customFormat="false" ht="15" hidden="false" customHeight="false" outlineLevel="0" collapsed="false">
      <c r="A60" s="122"/>
      <c r="B60" s="118"/>
      <c r="C60" s="114" t="str">
        <f aca="false">IF(B60="","",IFERROR(INDEX(الموظفون!$C$6:$C$105,MATCH(B60,الموظفون!$B$6:$B$105,0)),"✖ رقم غير موجود"))</f>
        <v/>
      </c>
      <c r="D60" s="123"/>
      <c r="E60" s="123"/>
      <c r="F60" s="123"/>
      <c r="G60" s="121"/>
      <c r="H60" s="121"/>
      <c r="I60" s="121"/>
      <c r="J60" s="121"/>
      <c r="K60" s="123"/>
      <c r="L60" s="123"/>
      <c r="M60" s="121"/>
      <c r="N60" s="121"/>
      <c r="O60" s="118"/>
    </row>
    <row r="61" customFormat="false" ht="15" hidden="false" customHeight="false" outlineLevel="0" collapsed="false">
      <c r="A61" s="122"/>
      <c r="B61" s="118"/>
      <c r="C61" s="117" t="str">
        <f aca="false">IF(B61="","",IFERROR(INDEX(الموظفون!$C$6:$C$105,MATCH(B61,الموظفون!$B$6:$B$105,0)),"✖ رقم غير موجود"))</f>
        <v/>
      </c>
      <c r="D61" s="123"/>
      <c r="E61" s="123"/>
      <c r="F61" s="123"/>
      <c r="G61" s="121"/>
      <c r="H61" s="121"/>
      <c r="I61" s="121"/>
      <c r="J61" s="121"/>
      <c r="K61" s="123"/>
      <c r="L61" s="123"/>
      <c r="M61" s="121"/>
      <c r="N61" s="121"/>
      <c r="O61" s="118"/>
    </row>
    <row r="62" customFormat="false" ht="15" hidden="false" customHeight="false" outlineLevel="0" collapsed="false">
      <c r="A62" s="122"/>
      <c r="B62" s="118"/>
      <c r="C62" s="114" t="str">
        <f aca="false">IF(B62="","",IFERROR(INDEX(الموظفون!$C$6:$C$105,MATCH(B62,الموظفون!$B$6:$B$105,0)),"✖ رقم غير موجود"))</f>
        <v/>
      </c>
      <c r="D62" s="123"/>
      <c r="E62" s="123"/>
      <c r="F62" s="123"/>
      <c r="G62" s="121"/>
      <c r="H62" s="121"/>
      <c r="I62" s="121"/>
      <c r="J62" s="121"/>
      <c r="K62" s="123"/>
      <c r="L62" s="123"/>
      <c r="M62" s="121"/>
      <c r="N62" s="121"/>
      <c r="O62" s="118"/>
    </row>
    <row r="63" customFormat="false" ht="15" hidden="false" customHeight="false" outlineLevel="0" collapsed="false">
      <c r="A63" s="122"/>
      <c r="B63" s="118"/>
      <c r="C63" s="117" t="str">
        <f aca="false">IF(B63="","",IFERROR(INDEX(الموظفون!$C$6:$C$105,MATCH(B63,الموظفون!$B$6:$B$105,0)),"✖ رقم غير موجود"))</f>
        <v/>
      </c>
      <c r="D63" s="123"/>
      <c r="E63" s="123"/>
      <c r="F63" s="123"/>
      <c r="G63" s="121"/>
      <c r="H63" s="121"/>
      <c r="I63" s="121"/>
      <c r="J63" s="121"/>
      <c r="K63" s="123"/>
      <c r="L63" s="123"/>
      <c r="M63" s="121"/>
      <c r="N63" s="121"/>
      <c r="O63" s="118"/>
    </row>
    <row r="64" customFormat="false" ht="15" hidden="false" customHeight="false" outlineLevel="0" collapsed="false">
      <c r="A64" s="122"/>
      <c r="B64" s="118"/>
      <c r="C64" s="114" t="str">
        <f aca="false">IF(B64="","",IFERROR(INDEX(الموظفون!$C$6:$C$105,MATCH(B64,الموظفون!$B$6:$B$105,0)),"✖ رقم غير موجود"))</f>
        <v/>
      </c>
      <c r="D64" s="123"/>
      <c r="E64" s="123"/>
      <c r="F64" s="123"/>
      <c r="G64" s="121"/>
      <c r="H64" s="121"/>
      <c r="I64" s="121"/>
      <c r="J64" s="121"/>
      <c r="K64" s="123"/>
      <c r="L64" s="123"/>
      <c r="M64" s="121"/>
      <c r="N64" s="121"/>
      <c r="O64" s="118"/>
    </row>
    <row r="65" customFormat="false" ht="15" hidden="false" customHeight="false" outlineLevel="0" collapsed="false">
      <c r="A65" s="122"/>
      <c r="B65" s="118"/>
      <c r="C65" s="117" t="str">
        <f aca="false">IF(B65="","",IFERROR(INDEX(الموظفون!$C$6:$C$105,MATCH(B65,الموظفون!$B$6:$B$105,0)),"✖ رقم غير موجود"))</f>
        <v/>
      </c>
      <c r="D65" s="123"/>
      <c r="E65" s="123"/>
      <c r="F65" s="123"/>
      <c r="G65" s="121"/>
      <c r="H65" s="121"/>
      <c r="I65" s="121"/>
      <c r="J65" s="121"/>
      <c r="K65" s="123"/>
      <c r="L65" s="123"/>
      <c r="M65" s="121"/>
      <c r="N65" s="121"/>
      <c r="O65" s="118"/>
    </row>
    <row r="66" customFormat="false" ht="15" hidden="false" customHeight="false" outlineLevel="0" collapsed="false">
      <c r="A66" s="122"/>
      <c r="B66" s="118"/>
      <c r="C66" s="114" t="str">
        <f aca="false">IF(B66="","",IFERROR(INDEX(الموظفون!$C$6:$C$105,MATCH(B66,الموظفون!$B$6:$B$105,0)),"✖ رقم غير موجود"))</f>
        <v/>
      </c>
      <c r="D66" s="123"/>
      <c r="E66" s="123"/>
      <c r="F66" s="123"/>
      <c r="G66" s="121"/>
      <c r="H66" s="121"/>
      <c r="I66" s="121"/>
      <c r="J66" s="121"/>
      <c r="K66" s="123"/>
      <c r="L66" s="123"/>
      <c r="M66" s="121"/>
      <c r="N66" s="121"/>
      <c r="O66" s="118"/>
    </row>
    <row r="67" customFormat="false" ht="15" hidden="false" customHeight="false" outlineLevel="0" collapsed="false">
      <c r="A67" s="122"/>
      <c r="B67" s="118"/>
      <c r="C67" s="117" t="str">
        <f aca="false">IF(B67="","",IFERROR(INDEX(الموظفون!$C$6:$C$105,MATCH(B67,الموظفون!$B$6:$B$105,0)),"✖ رقم غير موجود"))</f>
        <v/>
      </c>
      <c r="D67" s="123"/>
      <c r="E67" s="123"/>
      <c r="F67" s="123"/>
      <c r="G67" s="121"/>
      <c r="H67" s="121"/>
      <c r="I67" s="121"/>
      <c r="J67" s="121"/>
      <c r="K67" s="123"/>
      <c r="L67" s="123"/>
      <c r="M67" s="121"/>
      <c r="N67" s="121"/>
      <c r="O67" s="118"/>
    </row>
    <row r="68" customFormat="false" ht="15" hidden="false" customHeight="false" outlineLevel="0" collapsed="false">
      <c r="A68" s="122"/>
      <c r="B68" s="118"/>
      <c r="C68" s="114" t="str">
        <f aca="false">IF(B68="","",IFERROR(INDEX(الموظفون!$C$6:$C$105,MATCH(B68,الموظفون!$B$6:$B$105,0)),"✖ رقم غير موجود"))</f>
        <v/>
      </c>
      <c r="D68" s="123"/>
      <c r="E68" s="123"/>
      <c r="F68" s="123"/>
      <c r="G68" s="121"/>
      <c r="H68" s="121"/>
      <c r="I68" s="121"/>
      <c r="J68" s="121"/>
      <c r="K68" s="123"/>
      <c r="L68" s="123"/>
      <c r="M68" s="121"/>
      <c r="N68" s="121"/>
      <c r="O68" s="118"/>
    </row>
    <row r="69" customFormat="false" ht="15" hidden="false" customHeight="false" outlineLevel="0" collapsed="false">
      <c r="A69" s="122"/>
      <c r="B69" s="118"/>
      <c r="C69" s="117" t="str">
        <f aca="false">IF(B69="","",IFERROR(INDEX(الموظفون!$C$6:$C$105,MATCH(B69,الموظفون!$B$6:$B$105,0)),"✖ رقم غير موجود"))</f>
        <v/>
      </c>
      <c r="D69" s="123"/>
      <c r="E69" s="123"/>
      <c r="F69" s="123"/>
      <c r="G69" s="121"/>
      <c r="H69" s="121"/>
      <c r="I69" s="121"/>
      <c r="J69" s="121"/>
      <c r="K69" s="123"/>
      <c r="L69" s="123"/>
      <c r="M69" s="121"/>
      <c r="N69" s="121"/>
      <c r="O69" s="118"/>
    </row>
    <row r="70" customFormat="false" ht="15" hidden="false" customHeight="false" outlineLevel="0" collapsed="false">
      <c r="A70" s="122"/>
      <c r="B70" s="118"/>
      <c r="C70" s="114" t="str">
        <f aca="false">IF(B70="","",IFERROR(INDEX(الموظفون!$C$6:$C$105,MATCH(B70,الموظفون!$B$6:$B$105,0)),"✖ رقم غير موجود"))</f>
        <v/>
      </c>
      <c r="D70" s="123"/>
      <c r="E70" s="123"/>
      <c r="F70" s="123"/>
      <c r="G70" s="121"/>
      <c r="H70" s="121"/>
      <c r="I70" s="121"/>
      <c r="J70" s="121"/>
      <c r="K70" s="123"/>
      <c r="L70" s="123"/>
      <c r="M70" s="121"/>
      <c r="N70" s="121"/>
      <c r="O70" s="118"/>
    </row>
    <row r="71" customFormat="false" ht="15" hidden="false" customHeight="false" outlineLevel="0" collapsed="false">
      <c r="A71" s="122"/>
      <c r="B71" s="118"/>
      <c r="C71" s="117" t="str">
        <f aca="false">IF(B71="","",IFERROR(INDEX(الموظفون!$C$6:$C$105,MATCH(B71,الموظفون!$B$6:$B$105,0)),"✖ رقم غير موجود"))</f>
        <v/>
      </c>
      <c r="D71" s="123"/>
      <c r="E71" s="123"/>
      <c r="F71" s="123"/>
      <c r="G71" s="121"/>
      <c r="H71" s="121"/>
      <c r="I71" s="121"/>
      <c r="J71" s="121"/>
      <c r="K71" s="123"/>
      <c r="L71" s="123"/>
      <c r="M71" s="121"/>
      <c r="N71" s="121"/>
      <c r="O71" s="118"/>
    </row>
    <row r="72" customFormat="false" ht="15" hidden="false" customHeight="false" outlineLevel="0" collapsed="false">
      <c r="A72" s="122"/>
      <c r="B72" s="118"/>
      <c r="C72" s="114" t="str">
        <f aca="false">IF(B72="","",IFERROR(INDEX(الموظفون!$C$6:$C$105,MATCH(B72,الموظفون!$B$6:$B$105,0)),"✖ رقم غير موجود"))</f>
        <v/>
      </c>
      <c r="D72" s="123"/>
      <c r="E72" s="123"/>
      <c r="F72" s="123"/>
      <c r="G72" s="121"/>
      <c r="H72" s="121"/>
      <c r="I72" s="121"/>
      <c r="J72" s="121"/>
      <c r="K72" s="123"/>
      <c r="L72" s="123"/>
      <c r="M72" s="121"/>
      <c r="N72" s="121"/>
      <c r="O72" s="118"/>
    </row>
    <row r="73" customFormat="false" ht="15" hidden="false" customHeight="false" outlineLevel="0" collapsed="false">
      <c r="A73" s="122"/>
      <c r="B73" s="118"/>
      <c r="C73" s="117" t="str">
        <f aca="false">IF(B73="","",IFERROR(INDEX(الموظفون!$C$6:$C$105,MATCH(B73,الموظفون!$B$6:$B$105,0)),"✖ رقم غير موجود"))</f>
        <v/>
      </c>
      <c r="D73" s="123"/>
      <c r="E73" s="123"/>
      <c r="F73" s="123"/>
      <c r="G73" s="121"/>
      <c r="H73" s="121"/>
      <c r="I73" s="121"/>
      <c r="J73" s="121"/>
      <c r="K73" s="123"/>
      <c r="L73" s="123"/>
      <c r="M73" s="121"/>
      <c r="N73" s="121"/>
      <c r="O73" s="118"/>
    </row>
    <row r="74" customFormat="false" ht="15" hidden="false" customHeight="false" outlineLevel="0" collapsed="false">
      <c r="A74" s="122"/>
      <c r="B74" s="118"/>
      <c r="C74" s="114" t="str">
        <f aca="false">IF(B74="","",IFERROR(INDEX(الموظفون!$C$6:$C$105,MATCH(B74,الموظفون!$B$6:$B$105,0)),"✖ رقم غير موجود"))</f>
        <v/>
      </c>
      <c r="D74" s="123"/>
      <c r="E74" s="123"/>
      <c r="F74" s="123"/>
      <c r="G74" s="121"/>
      <c r="H74" s="121"/>
      <c r="I74" s="121"/>
      <c r="J74" s="121"/>
      <c r="K74" s="123"/>
      <c r="L74" s="123"/>
      <c r="M74" s="121"/>
      <c r="N74" s="121"/>
      <c r="O74" s="118"/>
    </row>
    <row r="75" customFormat="false" ht="15" hidden="false" customHeight="false" outlineLevel="0" collapsed="false">
      <c r="A75" s="122"/>
      <c r="B75" s="118"/>
      <c r="C75" s="117" t="str">
        <f aca="false">IF(B75="","",IFERROR(INDEX(الموظفون!$C$6:$C$105,MATCH(B75,الموظفون!$B$6:$B$105,0)),"✖ رقم غير موجود"))</f>
        <v/>
      </c>
      <c r="D75" s="123"/>
      <c r="E75" s="123"/>
      <c r="F75" s="123"/>
      <c r="G75" s="121"/>
      <c r="H75" s="121"/>
      <c r="I75" s="121"/>
      <c r="J75" s="121"/>
      <c r="K75" s="123"/>
      <c r="L75" s="123"/>
      <c r="M75" s="121"/>
      <c r="N75" s="121"/>
      <c r="O75" s="118"/>
    </row>
    <row r="76" customFormat="false" ht="15" hidden="false" customHeight="false" outlineLevel="0" collapsed="false">
      <c r="A76" s="122"/>
      <c r="B76" s="118"/>
      <c r="C76" s="114" t="str">
        <f aca="false">IF(B76="","",IFERROR(INDEX(الموظفون!$C$6:$C$105,MATCH(B76,الموظفون!$B$6:$B$105,0)),"✖ رقم غير موجود"))</f>
        <v/>
      </c>
      <c r="D76" s="123"/>
      <c r="E76" s="123"/>
      <c r="F76" s="123"/>
      <c r="G76" s="121"/>
      <c r="H76" s="121"/>
      <c r="I76" s="121"/>
      <c r="J76" s="121"/>
      <c r="K76" s="123"/>
      <c r="L76" s="123"/>
      <c r="M76" s="121"/>
      <c r="N76" s="121"/>
      <c r="O76" s="118"/>
    </row>
    <row r="77" customFormat="false" ht="15" hidden="false" customHeight="false" outlineLevel="0" collapsed="false">
      <c r="A77" s="122"/>
      <c r="B77" s="118"/>
      <c r="C77" s="117" t="str">
        <f aca="false">IF(B77="","",IFERROR(INDEX(الموظفون!$C$6:$C$105,MATCH(B77,الموظفون!$B$6:$B$105,0)),"✖ رقم غير موجود"))</f>
        <v/>
      </c>
      <c r="D77" s="123"/>
      <c r="E77" s="123"/>
      <c r="F77" s="123"/>
      <c r="G77" s="121"/>
      <c r="H77" s="121"/>
      <c r="I77" s="121"/>
      <c r="J77" s="121"/>
      <c r="K77" s="123"/>
      <c r="L77" s="123"/>
      <c r="M77" s="121"/>
      <c r="N77" s="121"/>
      <c r="O77" s="118"/>
    </row>
    <row r="78" customFormat="false" ht="15" hidden="false" customHeight="false" outlineLevel="0" collapsed="false">
      <c r="A78" s="122"/>
      <c r="B78" s="118"/>
      <c r="C78" s="114" t="str">
        <f aca="false">IF(B78="","",IFERROR(INDEX(الموظفون!$C$6:$C$105,MATCH(B78,الموظفون!$B$6:$B$105,0)),"✖ رقم غير موجود"))</f>
        <v/>
      </c>
      <c r="D78" s="123"/>
      <c r="E78" s="123"/>
      <c r="F78" s="123"/>
      <c r="G78" s="121"/>
      <c r="H78" s="121"/>
      <c r="I78" s="121"/>
      <c r="J78" s="121"/>
      <c r="K78" s="123"/>
      <c r="L78" s="123"/>
      <c r="M78" s="121"/>
      <c r="N78" s="121"/>
      <c r="O78" s="118"/>
    </row>
    <row r="79" customFormat="false" ht="15" hidden="false" customHeight="false" outlineLevel="0" collapsed="false">
      <c r="A79" s="122"/>
      <c r="B79" s="118"/>
      <c r="C79" s="117" t="str">
        <f aca="false">IF(B79="","",IFERROR(INDEX(الموظفون!$C$6:$C$105,MATCH(B79,الموظفون!$B$6:$B$105,0)),"✖ رقم غير موجود"))</f>
        <v/>
      </c>
      <c r="D79" s="123"/>
      <c r="E79" s="123"/>
      <c r="F79" s="123"/>
      <c r="G79" s="121"/>
      <c r="H79" s="121"/>
      <c r="I79" s="121"/>
      <c r="J79" s="121"/>
      <c r="K79" s="123"/>
      <c r="L79" s="123"/>
      <c r="M79" s="121"/>
      <c r="N79" s="121"/>
      <c r="O79" s="118"/>
    </row>
    <row r="80" customFormat="false" ht="15" hidden="false" customHeight="false" outlineLevel="0" collapsed="false">
      <c r="A80" s="122"/>
      <c r="B80" s="118"/>
      <c r="C80" s="114" t="str">
        <f aca="false">IF(B80="","",IFERROR(INDEX(الموظفون!$C$6:$C$105,MATCH(B80,الموظفون!$B$6:$B$105,0)),"✖ رقم غير موجود"))</f>
        <v/>
      </c>
      <c r="D80" s="123"/>
      <c r="E80" s="123"/>
      <c r="F80" s="123"/>
      <c r="G80" s="121"/>
      <c r="H80" s="121"/>
      <c r="I80" s="121"/>
      <c r="J80" s="121"/>
      <c r="K80" s="123"/>
      <c r="L80" s="123"/>
      <c r="M80" s="121"/>
      <c r="N80" s="121"/>
      <c r="O80" s="118"/>
    </row>
    <row r="81" customFormat="false" ht="15" hidden="false" customHeight="false" outlineLevel="0" collapsed="false">
      <c r="A81" s="122"/>
      <c r="B81" s="118"/>
      <c r="C81" s="117" t="str">
        <f aca="false">IF(B81="","",IFERROR(INDEX(الموظفون!$C$6:$C$105,MATCH(B81,الموظفون!$B$6:$B$105,0)),"✖ رقم غير موجود"))</f>
        <v/>
      </c>
      <c r="D81" s="123"/>
      <c r="E81" s="123"/>
      <c r="F81" s="123"/>
      <c r="G81" s="121"/>
      <c r="H81" s="121"/>
      <c r="I81" s="121"/>
      <c r="J81" s="121"/>
      <c r="K81" s="123"/>
      <c r="L81" s="123"/>
      <c r="M81" s="121"/>
      <c r="N81" s="121"/>
      <c r="O81" s="118"/>
    </row>
    <row r="82" customFormat="false" ht="15" hidden="false" customHeight="false" outlineLevel="0" collapsed="false">
      <c r="A82" s="122"/>
      <c r="B82" s="118"/>
      <c r="C82" s="114" t="str">
        <f aca="false">IF(B82="","",IFERROR(INDEX(الموظفون!$C$6:$C$105,MATCH(B82,الموظفون!$B$6:$B$105,0)),"✖ رقم غير موجود"))</f>
        <v/>
      </c>
      <c r="D82" s="123"/>
      <c r="E82" s="123"/>
      <c r="F82" s="123"/>
      <c r="G82" s="121"/>
      <c r="H82" s="121"/>
      <c r="I82" s="121"/>
      <c r="J82" s="121"/>
      <c r="K82" s="123"/>
      <c r="L82" s="123"/>
      <c r="M82" s="121"/>
      <c r="N82" s="121"/>
      <c r="O82" s="118"/>
    </row>
    <row r="83" customFormat="false" ht="15" hidden="false" customHeight="false" outlineLevel="0" collapsed="false">
      <c r="A83" s="122"/>
      <c r="B83" s="118"/>
      <c r="C83" s="117" t="str">
        <f aca="false">IF(B83="","",IFERROR(INDEX(الموظفون!$C$6:$C$105,MATCH(B83,الموظفون!$B$6:$B$105,0)),"✖ رقم غير موجود"))</f>
        <v/>
      </c>
      <c r="D83" s="123"/>
      <c r="E83" s="123"/>
      <c r="F83" s="123"/>
      <c r="G83" s="121"/>
      <c r="H83" s="121"/>
      <c r="I83" s="121"/>
      <c r="J83" s="121"/>
      <c r="K83" s="123"/>
      <c r="L83" s="123"/>
      <c r="M83" s="121"/>
      <c r="N83" s="121"/>
      <c r="O83" s="118"/>
    </row>
    <row r="84" customFormat="false" ht="15" hidden="false" customHeight="false" outlineLevel="0" collapsed="false">
      <c r="A84" s="122"/>
      <c r="B84" s="118"/>
      <c r="C84" s="114" t="str">
        <f aca="false">IF(B84="","",IFERROR(INDEX(الموظفون!$C$6:$C$105,MATCH(B84,الموظفون!$B$6:$B$105,0)),"✖ رقم غير موجود"))</f>
        <v/>
      </c>
      <c r="D84" s="123"/>
      <c r="E84" s="123"/>
      <c r="F84" s="123"/>
      <c r="G84" s="121"/>
      <c r="H84" s="121"/>
      <c r="I84" s="121"/>
      <c r="J84" s="121"/>
      <c r="K84" s="123"/>
      <c r="L84" s="123"/>
      <c r="M84" s="121"/>
      <c r="N84" s="121"/>
      <c r="O84" s="118"/>
    </row>
    <row r="85" customFormat="false" ht="15" hidden="false" customHeight="false" outlineLevel="0" collapsed="false">
      <c r="A85" s="122"/>
      <c r="B85" s="118"/>
      <c r="C85" s="117" t="str">
        <f aca="false">IF(B85="","",IFERROR(INDEX(الموظفون!$C$6:$C$105,MATCH(B85,الموظفون!$B$6:$B$105,0)),"✖ رقم غير موجود"))</f>
        <v/>
      </c>
      <c r="D85" s="123"/>
      <c r="E85" s="123"/>
      <c r="F85" s="123"/>
      <c r="G85" s="121"/>
      <c r="H85" s="121"/>
      <c r="I85" s="121"/>
      <c r="J85" s="121"/>
      <c r="K85" s="123"/>
      <c r="L85" s="123"/>
      <c r="M85" s="121"/>
      <c r="N85" s="121"/>
      <c r="O85" s="118"/>
    </row>
    <row r="86" customFormat="false" ht="15" hidden="false" customHeight="false" outlineLevel="0" collapsed="false">
      <c r="A86" s="122"/>
      <c r="B86" s="118"/>
      <c r="C86" s="114" t="str">
        <f aca="false">IF(B86="","",IFERROR(INDEX(الموظفون!$C$6:$C$105,MATCH(B86,الموظفون!$B$6:$B$105,0)),"✖ رقم غير موجود"))</f>
        <v/>
      </c>
      <c r="D86" s="123"/>
      <c r="E86" s="123"/>
      <c r="F86" s="123"/>
      <c r="G86" s="121"/>
      <c r="H86" s="121"/>
      <c r="I86" s="121"/>
      <c r="J86" s="121"/>
      <c r="K86" s="123"/>
      <c r="L86" s="123"/>
      <c r="M86" s="121"/>
      <c r="N86" s="121"/>
      <c r="O86" s="118"/>
    </row>
    <row r="87" customFormat="false" ht="15" hidden="false" customHeight="false" outlineLevel="0" collapsed="false">
      <c r="A87" s="122"/>
      <c r="B87" s="118"/>
      <c r="C87" s="117" t="str">
        <f aca="false">IF(B87="","",IFERROR(INDEX(الموظفون!$C$6:$C$105,MATCH(B87,الموظفون!$B$6:$B$105,0)),"✖ رقم غير موجود"))</f>
        <v/>
      </c>
      <c r="D87" s="123"/>
      <c r="E87" s="123"/>
      <c r="F87" s="123"/>
      <c r="G87" s="121"/>
      <c r="H87" s="121"/>
      <c r="I87" s="121"/>
      <c r="J87" s="121"/>
      <c r="K87" s="123"/>
      <c r="L87" s="123"/>
      <c r="M87" s="121"/>
      <c r="N87" s="121"/>
      <c r="O87" s="118"/>
    </row>
    <row r="88" customFormat="false" ht="15" hidden="false" customHeight="false" outlineLevel="0" collapsed="false">
      <c r="A88" s="122"/>
      <c r="B88" s="118"/>
      <c r="C88" s="114" t="str">
        <f aca="false">IF(B88="","",IFERROR(INDEX(الموظفون!$C$6:$C$105,MATCH(B88,الموظفون!$B$6:$B$105,0)),"✖ رقم غير موجود"))</f>
        <v/>
      </c>
      <c r="D88" s="123"/>
      <c r="E88" s="123"/>
      <c r="F88" s="123"/>
      <c r="G88" s="121"/>
      <c r="H88" s="121"/>
      <c r="I88" s="121"/>
      <c r="J88" s="121"/>
      <c r="K88" s="123"/>
      <c r="L88" s="123"/>
      <c r="M88" s="121"/>
      <c r="N88" s="121"/>
      <c r="O88" s="118"/>
    </row>
    <row r="89" customFormat="false" ht="15" hidden="false" customHeight="false" outlineLevel="0" collapsed="false">
      <c r="A89" s="122"/>
      <c r="B89" s="118"/>
      <c r="C89" s="117" t="str">
        <f aca="false">IF(B89="","",IFERROR(INDEX(الموظفون!$C$6:$C$105,MATCH(B89,الموظفون!$B$6:$B$105,0)),"✖ رقم غير موجود"))</f>
        <v/>
      </c>
      <c r="D89" s="123"/>
      <c r="E89" s="123"/>
      <c r="F89" s="123"/>
      <c r="G89" s="121"/>
      <c r="H89" s="121"/>
      <c r="I89" s="121"/>
      <c r="J89" s="121"/>
      <c r="K89" s="123"/>
      <c r="L89" s="123"/>
      <c r="M89" s="121"/>
      <c r="N89" s="121"/>
      <c r="O89" s="118"/>
    </row>
    <row r="90" customFormat="false" ht="15" hidden="false" customHeight="false" outlineLevel="0" collapsed="false">
      <c r="A90" s="122"/>
      <c r="B90" s="118"/>
      <c r="C90" s="114" t="str">
        <f aca="false">IF(B90="","",IFERROR(INDEX(الموظفون!$C$6:$C$105,MATCH(B90,الموظفون!$B$6:$B$105,0)),"✖ رقم غير موجود"))</f>
        <v/>
      </c>
      <c r="D90" s="123"/>
      <c r="E90" s="123"/>
      <c r="F90" s="123"/>
      <c r="G90" s="121"/>
      <c r="H90" s="121"/>
      <c r="I90" s="121"/>
      <c r="J90" s="121"/>
      <c r="K90" s="123"/>
      <c r="L90" s="123"/>
      <c r="M90" s="121"/>
      <c r="N90" s="121"/>
      <c r="O90" s="118"/>
    </row>
    <row r="91" customFormat="false" ht="15" hidden="false" customHeight="false" outlineLevel="0" collapsed="false">
      <c r="A91" s="122"/>
      <c r="B91" s="118"/>
      <c r="C91" s="117" t="str">
        <f aca="false">IF(B91="","",IFERROR(INDEX(الموظفون!$C$6:$C$105,MATCH(B91,الموظفون!$B$6:$B$105,0)),"✖ رقم غير موجود"))</f>
        <v/>
      </c>
      <c r="D91" s="123"/>
      <c r="E91" s="123"/>
      <c r="F91" s="123"/>
      <c r="G91" s="121"/>
      <c r="H91" s="121"/>
      <c r="I91" s="121"/>
      <c r="J91" s="121"/>
      <c r="K91" s="123"/>
      <c r="L91" s="123"/>
      <c r="M91" s="121"/>
      <c r="N91" s="121"/>
      <c r="O91" s="118"/>
    </row>
    <row r="92" customFormat="false" ht="15" hidden="false" customHeight="false" outlineLevel="0" collapsed="false">
      <c r="A92" s="122"/>
      <c r="B92" s="118"/>
      <c r="C92" s="114" t="str">
        <f aca="false">IF(B92="","",IFERROR(INDEX(الموظفون!$C$6:$C$105,MATCH(B92,الموظفون!$B$6:$B$105,0)),"✖ رقم غير موجود"))</f>
        <v/>
      </c>
      <c r="D92" s="123"/>
      <c r="E92" s="123"/>
      <c r="F92" s="123"/>
      <c r="G92" s="121"/>
      <c r="H92" s="121"/>
      <c r="I92" s="121"/>
      <c r="J92" s="121"/>
      <c r="K92" s="123"/>
      <c r="L92" s="123"/>
      <c r="M92" s="121"/>
      <c r="N92" s="121"/>
      <c r="O92" s="118"/>
    </row>
    <row r="93" customFormat="false" ht="15" hidden="false" customHeight="false" outlineLevel="0" collapsed="false">
      <c r="A93" s="122"/>
      <c r="B93" s="118"/>
      <c r="C93" s="117" t="str">
        <f aca="false">IF(B93="","",IFERROR(INDEX(الموظفون!$C$6:$C$105,MATCH(B93,الموظفون!$B$6:$B$105,0)),"✖ رقم غير موجود"))</f>
        <v/>
      </c>
      <c r="D93" s="123"/>
      <c r="E93" s="123"/>
      <c r="F93" s="123"/>
      <c r="G93" s="121"/>
      <c r="H93" s="121"/>
      <c r="I93" s="121"/>
      <c r="J93" s="121"/>
      <c r="K93" s="123"/>
      <c r="L93" s="123"/>
      <c r="M93" s="121"/>
      <c r="N93" s="121"/>
      <c r="O93" s="118"/>
    </row>
    <row r="94" customFormat="false" ht="15" hidden="false" customHeight="false" outlineLevel="0" collapsed="false">
      <c r="A94" s="122"/>
      <c r="B94" s="118"/>
      <c r="C94" s="114" t="str">
        <f aca="false">IF(B94="","",IFERROR(INDEX(الموظفون!$C$6:$C$105,MATCH(B94,الموظفون!$B$6:$B$105,0)),"✖ رقم غير موجود"))</f>
        <v/>
      </c>
      <c r="D94" s="123"/>
      <c r="E94" s="123"/>
      <c r="F94" s="123"/>
      <c r="G94" s="121"/>
      <c r="H94" s="121"/>
      <c r="I94" s="121"/>
      <c r="J94" s="121"/>
      <c r="K94" s="123"/>
      <c r="L94" s="123"/>
      <c r="M94" s="121"/>
      <c r="N94" s="121"/>
      <c r="O94" s="118"/>
    </row>
    <row r="95" customFormat="false" ht="15" hidden="false" customHeight="false" outlineLevel="0" collapsed="false">
      <c r="A95" s="122"/>
      <c r="B95" s="118"/>
      <c r="C95" s="117" t="str">
        <f aca="false">IF(B95="","",IFERROR(INDEX(الموظفون!$C$6:$C$105,MATCH(B95,الموظفون!$B$6:$B$105,0)),"✖ رقم غير موجود"))</f>
        <v/>
      </c>
      <c r="D95" s="123"/>
      <c r="E95" s="123"/>
      <c r="F95" s="123"/>
      <c r="G95" s="121"/>
      <c r="H95" s="121"/>
      <c r="I95" s="121"/>
      <c r="J95" s="121"/>
      <c r="K95" s="123"/>
      <c r="L95" s="123"/>
      <c r="M95" s="121"/>
      <c r="N95" s="121"/>
      <c r="O95" s="118"/>
    </row>
    <row r="96" customFormat="false" ht="15" hidden="false" customHeight="false" outlineLevel="0" collapsed="false">
      <c r="A96" s="122"/>
      <c r="B96" s="118"/>
      <c r="C96" s="114" t="str">
        <f aca="false">IF(B96="","",IFERROR(INDEX(الموظفون!$C$6:$C$105,MATCH(B96,الموظفون!$B$6:$B$105,0)),"✖ رقم غير موجود"))</f>
        <v/>
      </c>
      <c r="D96" s="123"/>
      <c r="E96" s="123"/>
      <c r="F96" s="123"/>
      <c r="G96" s="121"/>
      <c r="H96" s="121"/>
      <c r="I96" s="121"/>
      <c r="J96" s="121"/>
      <c r="K96" s="123"/>
      <c r="L96" s="123"/>
      <c r="M96" s="121"/>
      <c r="N96" s="121"/>
      <c r="O96" s="118"/>
    </row>
    <row r="97" customFormat="false" ht="15" hidden="false" customHeight="false" outlineLevel="0" collapsed="false">
      <c r="A97" s="122"/>
      <c r="B97" s="118"/>
      <c r="C97" s="117" t="str">
        <f aca="false">IF(B97="","",IFERROR(INDEX(الموظفون!$C$6:$C$105,MATCH(B97,الموظفون!$B$6:$B$105,0)),"✖ رقم غير موجود"))</f>
        <v/>
      </c>
      <c r="D97" s="123"/>
      <c r="E97" s="123"/>
      <c r="F97" s="123"/>
      <c r="G97" s="121"/>
      <c r="H97" s="121"/>
      <c r="I97" s="121"/>
      <c r="J97" s="121"/>
      <c r="K97" s="123"/>
      <c r="L97" s="123"/>
      <c r="M97" s="121"/>
      <c r="N97" s="121"/>
      <c r="O97" s="118"/>
    </row>
    <row r="98" customFormat="false" ht="15" hidden="false" customHeight="false" outlineLevel="0" collapsed="false">
      <c r="A98" s="122"/>
      <c r="B98" s="118"/>
      <c r="C98" s="114" t="str">
        <f aca="false">IF(B98="","",IFERROR(INDEX(الموظفون!$C$6:$C$105,MATCH(B98,الموظفون!$B$6:$B$105,0)),"✖ رقم غير موجود"))</f>
        <v/>
      </c>
      <c r="D98" s="123"/>
      <c r="E98" s="123"/>
      <c r="F98" s="123"/>
      <c r="G98" s="121"/>
      <c r="H98" s="121"/>
      <c r="I98" s="121"/>
      <c r="J98" s="121"/>
      <c r="K98" s="123"/>
      <c r="L98" s="123"/>
      <c r="M98" s="121"/>
      <c r="N98" s="121"/>
      <c r="O98" s="118"/>
    </row>
    <row r="99" customFormat="false" ht="15" hidden="false" customHeight="false" outlineLevel="0" collapsed="false">
      <c r="A99" s="122"/>
      <c r="B99" s="118"/>
      <c r="C99" s="117" t="str">
        <f aca="false">IF(B99="","",IFERROR(INDEX(الموظفون!$C$6:$C$105,MATCH(B99,الموظفون!$B$6:$B$105,0)),"✖ رقم غير موجود"))</f>
        <v/>
      </c>
      <c r="D99" s="123"/>
      <c r="E99" s="123"/>
      <c r="F99" s="123"/>
      <c r="G99" s="121"/>
      <c r="H99" s="121"/>
      <c r="I99" s="121"/>
      <c r="J99" s="121"/>
      <c r="K99" s="123"/>
      <c r="L99" s="123"/>
      <c r="M99" s="121"/>
      <c r="N99" s="121"/>
      <c r="O99" s="118"/>
    </row>
    <row r="100" customFormat="false" ht="15" hidden="false" customHeight="false" outlineLevel="0" collapsed="false">
      <c r="A100" s="122"/>
      <c r="B100" s="118"/>
      <c r="C100" s="114" t="str">
        <f aca="false">IF(B100="","",IFERROR(INDEX(الموظفون!$C$6:$C$105,MATCH(B100,الموظفون!$B$6:$B$105,0)),"✖ رقم غير موجود"))</f>
        <v/>
      </c>
      <c r="D100" s="123"/>
      <c r="E100" s="123"/>
      <c r="F100" s="123"/>
      <c r="G100" s="121"/>
      <c r="H100" s="121"/>
      <c r="I100" s="121"/>
      <c r="J100" s="121"/>
      <c r="K100" s="123"/>
      <c r="L100" s="123"/>
      <c r="M100" s="121"/>
      <c r="N100" s="121"/>
      <c r="O100" s="118"/>
    </row>
    <row r="101" customFormat="false" ht="15" hidden="false" customHeight="false" outlineLevel="0" collapsed="false">
      <c r="A101" s="122"/>
      <c r="B101" s="118"/>
      <c r="C101" s="117" t="str">
        <f aca="false">IF(B101="","",IFERROR(INDEX(الموظفون!$C$6:$C$105,MATCH(B101,الموظفون!$B$6:$B$105,0)),"✖ رقم غير موجود"))</f>
        <v/>
      </c>
      <c r="D101" s="123"/>
      <c r="E101" s="123"/>
      <c r="F101" s="123"/>
      <c r="G101" s="121"/>
      <c r="H101" s="121"/>
      <c r="I101" s="121"/>
      <c r="J101" s="121"/>
      <c r="K101" s="123"/>
      <c r="L101" s="123"/>
      <c r="M101" s="121"/>
      <c r="N101" s="121"/>
      <c r="O101" s="118"/>
    </row>
    <row r="102" customFormat="false" ht="15" hidden="false" customHeight="false" outlineLevel="0" collapsed="false">
      <c r="A102" s="122"/>
      <c r="B102" s="118"/>
      <c r="C102" s="114" t="str">
        <f aca="false">IF(B102="","",IFERROR(INDEX(الموظفون!$C$6:$C$105,MATCH(B102,الموظفون!$B$6:$B$105,0)),"✖ رقم غير موجود"))</f>
        <v/>
      </c>
      <c r="D102" s="123"/>
      <c r="E102" s="123"/>
      <c r="F102" s="123"/>
      <c r="G102" s="121"/>
      <c r="H102" s="121"/>
      <c r="I102" s="121"/>
      <c r="J102" s="121"/>
      <c r="K102" s="123"/>
      <c r="L102" s="123"/>
      <c r="M102" s="121"/>
      <c r="N102" s="121"/>
      <c r="O102" s="118"/>
    </row>
    <row r="103" customFormat="false" ht="15" hidden="false" customHeight="false" outlineLevel="0" collapsed="false">
      <c r="A103" s="122"/>
      <c r="B103" s="118"/>
      <c r="C103" s="117" t="str">
        <f aca="false">IF(B103="","",IFERROR(INDEX(الموظفون!$C$6:$C$105,MATCH(B103,الموظفون!$B$6:$B$105,0)),"✖ رقم غير موجود"))</f>
        <v/>
      </c>
      <c r="D103" s="123"/>
      <c r="E103" s="123"/>
      <c r="F103" s="123"/>
      <c r="G103" s="121"/>
      <c r="H103" s="121"/>
      <c r="I103" s="121"/>
      <c r="J103" s="121"/>
      <c r="K103" s="123"/>
      <c r="L103" s="123"/>
      <c r="M103" s="121"/>
      <c r="N103" s="121"/>
      <c r="O103" s="118"/>
    </row>
    <row r="104" customFormat="false" ht="15" hidden="false" customHeight="false" outlineLevel="0" collapsed="false">
      <c r="A104" s="122"/>
      <c r="B104" s="118"/>
      <c r="C104" s="114" t="str">
        <f aca="false">IF(B104="","",IFERROR(INDEX(الموظفون!$C$6:$C$105,MATCH(B104,الموظفون!$B$6:$B$105,0)),"✖ رقم غير موجود"))</f>
        <v/>
      </c>
      <c r="D104" s="123"/>
      <c r="E104" s="123"/>
      <c r="F104" s="123"/>
      <c r="G104" s="121"/>
      <c r="H104" s="121"/>
      <c r="I104" s="121"/>
      <c r="J104" s="121"/>
      <c r="K104" s="123"/>
      <c r="L104" s="123"/>
      <c r="M104" s="121"/>
      <c r="N104" s="121"/>
      <c r="O104" s="118"/>
    </row>
    <row r="105" customFormat="false" ht="15" hidden="false" customHeight="false" outlineLevel="0" collapsed="false">
      <c r="A105" s="122"/>
      <c r="B105" s="118"/>
      <c r="C105" s="117" t="str">
        <f aca="false">IF(B105="","",IFERROR(INDEX(الموظفون!$C$6:$C$105,MATCH(B105,الموظفون!$B$6:$B$105,0)),"✖ رقم غير موجود"))</f>
        <v/>
      </c>
      <c r="D105" s="123"/>
      <c r="E105" s="123"/>
      <c r="F105" s="123"/>
      <c r="G105" s="121"/>
      <c r="H105" s="121"/>
      <c r="I105" s="121"/>
      <c r="J105" s="121"/>
      <c r="K105" s="123"/>
      <c r="L105" s="123"/>
      <c r="M105" s="121"/>
      <c r="N105" s="121"/>
      <c r="O105" s="118"/>
    </row>
    <row r="106" customFormat="false" ht="15" hidden="false" customHeight="false" outlineLevel="0" collapsed="false">
      <c r="A106" s="122"/>
      <c r="B106" s="118"/>
      <c r="C106" s="114" t="str">
        <f aca="false">IF(B106="","",IFERROR(INDEX(الموظفون!$C$6:$C$105,MATCH(B106,الموظفون!$B$6:$B$105,0)),"✖ رقم غير موجود"))</f>
        <v/>
      </c>
      <c r="D106" s="123"/>
      <c r="E106" s="123"/>
      <c r="F106" s="123"/>
      <c r="G106" s="121"/>
      <c r="H106" s="121"/>
      <c r="I106" s="121"/>
      <c r="J106" s="121"/>
      <c r="K106" s="123"/>
      <c r="L106" s="123"/>
      <c r="M106" s="121"/>
      <c r="N106" s="121"/>
      <c r="O106" s="118"/>
    </row>
    <row r="107" customFormat="false" ht="15" hidden="false" customHeight="false" outlineLevel="0" collapsed="false">
      <c r="A107" s="122"/>
      <c r="B107" s="118"/>
      <c r="C107" s="117" t="str">
        <f aca="false">IF(B107="","",IFERROR(INDEX(الموظفون!$C$6:$C$105,MATCH(B107,الموظفون!$B$6:$B$105,0)),"✖ رقم غير موجود"))</f>
        <v/>
      </c>
      <c r="D107" s="123"/>
      <c r="E107" s="123"/>
      <c r="F107" s="123"/>
      <c r="G107" s="121"/>
      <c r="H107" s="121"/>
      <c r="I107" s="121"/>
      <c r="J107" s="121"/>
      <c r="K107" s="123"/>
      <c r="L107" s="123"/>
      <c r="M107" s="121"/>
      <c r="N107" s="121"/>
      <c r="O107" s="118"/>
    </row>
    <row r="108" customFormat="false" ht="15" hidden="false" customHeight="false" outlineLevel="0" collapsed="false">
      <c r="A108" s="122"/>
      <c r="B108" s="118"/>
      <c r="C108" s="114" t="str">
        <f aca="false">IF(B108="","",IFERROR(INDEX(الموظفون!$C$6:$C$105,MATCH(B108,الموظفون!$B$6:$B$105,0)),"✖ رقم غير موجود"))</f>
        <v/>
      </c>
      <c r="D108" s="123"/>
      <c r="E108" s="123"/>
      <c r="F108" s="123"/>
      <c r="G108" s="121"/>
      <c r="H108" s="121"/>
      <c r="I108" s="121"/>
      <c r="J108" s="121"/>
      <c r="K108" s="123"/>
      <c r="L108" s="123"/>
      <c r="M108" s="121"/>
      <c r="N108" s="121"/>
      <c r="O108" s="118"/>
    </row>
    <row r="109" customFormat="false" ht="15" hidden="false" customHeight="false" outlineLevel="0" collapsed="false">
      <c r="A109" s="122"/>
      <c r="B109" s="118"/>
      <c r="C109" s="117" t="str">
        <f aca="false">IF(B109="","",IFERROR(INDEX(الموظفون!$C$6:$C$105,MATCH(B109,الموظفون!$B$6:$B$105,0)),"✖ رقم غير موجود"))</f>
        <v/>
      </c>
      <c r="D109" s="123"/>
      <c r="E109" s="123"/>
      <c r="F109" s="123"/>
      <c r="G109" s="121"/>
      <c r="H109" s="121"/>
      <c r="I109" s="121"/>
      <c r="J109" s="121"/>
      <c r="K109" s="123"/>
      <c r="L109" s="123"/>
      <c r="M109" s="121"/>
      <c r="N109" s="121"/>
      <c r="O109" s="118"/>
    </row>
    <row r="110" customFormat="false" ht="15" hidden="false" customHeight="false" outlineLevel="0" collapsed="false">
      <c r="A110" s="122"/>
      <c r="B110" s="118"/>
      <c r="C110" s="114" t="str">
        <f aca="false">IF(B110="","",IFERROR(INDEX(الموظفون!$C$6:$C$105,MATCH(B110,الموظفون!$B$6:$B$105,0)),"✖ رقم غير موجود"))</f>
        <v/>
      </c>
      <c r="D110" s="123"/>
      <c r="E110" s="123"/>
      <c r="F110" s="123"/>
      <c r="G110" s="121"/>
      <c r="H110" s="121"/>
      <c r="I110" s="121"/>
      <c r="J110" s="121"/>
      <c r="K110" s="123"/>
      <c r="L110" s="123"/>
      <c r="M110" s="121"/>
      <c r="N110" s="121"/>
      <c r="O110" s="118"/>
    </row>
    <row r="111" customFormat="false" ht="15" hidden="false" customHeight="false" outlineLevel="0" collapsed="false">
      <c r="A111" s="122"/>
      <c r="B111" s="118"/>
      <c r="C111" s="117" t="str">
        <f aca="false">IF(B111="","",IFERROR(INDEX(الموظفون!$C$6:$C$105,MATCH(B111,الموظفون!$B$6:$B$105,0)),"✖ رقم غير موجود"))</f>
        <v/>
      </c>
      <c r="D111" s="123"/>
      <c r="E111" s="123"/>
      <c r="F111" s="123"/>
      <c r="G111" s="121"/>
      <c r="H111" s="121"/>
      <c r="I111" s="121"/>
      <c r="J111" s="121"/>
      <c r="K111" s="123"/>
      <c r="L111" s="123"/>
      <c r="M111" s="121"/>
      <c r="N111" s="121"/>
      <c r="O111" s="118"/>
    </row>
    <row r="112" customFormat="false" ht="15" hidden="false" customHeight="false" outlineLevel="0" collapsed="false">
      <c r="A112" s="122"/>
      <c r="B112" s="118"/>
      <c r="C112" s="114" t="str">
        <f aca="false">IF(B112="","",IFERROR(INDEX(الموظفون!$C$6:$C$105,MATCH(B112,الموظفون!$B$6:$B$105,0)),"✖ رقم غير موجود"))</f>
        <v/>
      </c>
      <c r="D112" s="123"/>
      <c r="E112" s="123"/>
      <c r="F112" s="123"/>
      <c r="G112" s="121"/>
      <c r="H112" s="121"/>
      <c r="I112" s="121"/>
      <c r="J112" s="121"/>
      <c r="K112" s="123"/>
      <c r="L112" s="123"/>
      <c r="M112" s="121"/>
      <c r="N112" s="121"/>
      <c r="O112" s="118"/>
    </row>
    <row r="113" customFormat="false" ht="15" hidden="false" customHeight="false" outlineLevel="0" collapsed="false">
      <c r="A113" s="122"/>
      <c r="B113" s="118"/>
      <c r="C113" s="117" t="str">
        <f aca="false">IF(B113="","",IFERROR(INDEX(الموظفون!$C$6:$C$105,MATCH(B113,الموظفون!$B$6:$B$105,0)),"✖ رقم غير موجود"))</f>
        <v/>
      </c>
      <c r="D113" s="123"/>
      <c r="E113" s="123"/>
      <c r="F113" s="123"/>
      <c r="G113" s="121"/>
      <c r="H113" s="121"/>
      <c r="I113" s="121"/>
      <c r="J113" s="121"/>
      <c r="K113" s="123"/>
      <c r="L113" s="123"/>
      <c r="M113" s="121"/>
      <c r="N113" s="121"/>
      <c r="O113" s="118"/>
    </row>
    <row r="114" customFormat="false" ht="15" hidden="false" customHeight="false" outlineLevel="0" collapsed="false">
      <c r="A114" s="122"/>
      <c r="B114" s="118"/>
      <c r="C114" s="114" t="str">
        <f aca="false">IF(B114="","",IFERROR(INDEX(الموظفون!$C$6:$C$105,MATCH(B114,الموظفون!$B$6:$B$105,0)),"✖ رقم غير موجود"))</f>
        <v/>
      </c>
      <c r="D114" s="123"/>
      <c r="E114" s="123"/>
      <c r="F114" s="123"/>
      <c r="G114" s="121"/>
      <c r="H114" s="121"/>
      <c r="I114" s="121"/>
      <c r="J114" s="121"/>
      <c r="K114" s="123"/>
      <c r="L114" s="123"/>
      <c r="M114" s="121"/>
      <c r="N114" s="121"/>
      <c r="O114" s="118"/>
    </row>
    <row r="115" customFormat="false" ht="15" hidden="false" customHeight="false" outlineLevel="0" collapsed="false">
      <c r="A115" s="122"/>
      <c r="B115" s="118"/>
      <c r="C115" s="117" t="str">
        <f aca="false">IF(B115="","",IFERROR(INDEX(الموظفون!$C$6:$C$105,MATCH(B115,الموظفون!$B$6:$B$105,0)),"✖ رقم غير موجود"))</f>
        <v/>
      </c>
      <c r="D115" s="123"/>
      <c r="E115" s="123"/>
      <c r="F115" s="123"/>
      <c r="G115" s="121"/>
      <c r="H115" s="121"/>
      <c r="I115" s="121"/>
      <c r="J115" s="121"/>
      <c r="K115" s="123"/>
      <c r="L115" s="123"/>
      <c r="M115" s="121"/>
      <c r="N115" s="121"/>
      <c r="O115" s="118"/>
    </row>
    <row r="116" customFormat="false" ht="15" hidden="false" customHeight="false" outlineLevel="0" collapsed="false">
      <c r="A116" s="122"/>
      <c r="B116" s="118"/>
      <c r="C116" s="114" t="str">
        <f aca="false">IF(B116="","",IFERROR(INDEX(الموظفون!$C$6:$C$105,MATCH(B116,الموظفون!$B$6:$B$105,0)),"✖ رقم غير موجود"))</f>
        <v/>
      </c>
      <c r="D116" s="123"/>
      <c r="E116" s="123"/>
      <c r="F116" s="123"/>
      <c r="G116" s="121"/>
      <c r="H116" s="121"/>
      <c r="I116" s="121"/>
      <c r="J116" s="121"/>
      <c r="K116" s="123"/>
      <c r="L116" s="123"/>
      <c r="M116" s="121"/>
      <c r="N116" s="121"/>
      <c r="O116" s="118"/>
    </row>
    <row r="117" customFormat="false" ht="15" hidden="false" customHeight="false" outlineLevel="0" collapsed="false">
      <c r="A117" s="122"/>
      <c r="B117" s="118"/>
      <c r="C117" s="117" t="str">
        <f aca="false">IF(B117="","",IFERROR(INDEX(الموظفون!$C$6:$C$105,MATCH(B117,الموظفون!$B$6:$B$105,0)),"✖ رقم غير موجود"))</f>
        <v/>
      </c>
      <c r="D117" s="123"/>
      <c r="E117" s="123"/>
      <c r="F117" s="123"/>
      <c r="G117" s="121"/>
      <c r="H117" s="121"/>
      <c r="I117" s="121"/>
      <c r="J117" s="121"/>
      <c r="K117" s="123"/>
      <c r="L117" s="123"/>
      <c r="M117" s="121"/>
      <c r="N117" s="121"/>
      <c r="O117" s="118"/>
    </row>
    <row r="118" customFormat="false" ht="15" hidden="false" customHeight="false" outlineLevel="0" collapsed="false">
      <c r="A118" s="122"/>
      <c r="B118" s="118"/>
      <c r="C118" s="114" t="str">
        <f aca="false">IF(B118="","",IFERROR(INDEX(الموظفون!$C$6:$C$105,MATCH(B118,الموظفون!$B$6:$B$105,0)),"✖ رقم غير موجود"))</f>
        <v/>
      </c>
      <c r="D118" s="123"/>
      <c r="E118" s="123"/>
      <c r="F118" s="123"/>
      <c r="G118" s="121"/>
      <c r="H118" s="121"/>
      <c r="I118" s="121"/>
      <c r="J118" s="121"/>
      <c r="K118" s="123"/>
      <c r="L118" s="123"/>
      <c r="M118" s="121"/>
      <c r="N118" s="121"/>
      <c r="O118" s="118"/>
    </row>
    <row r="119" customFormat="false" ht="15" hidden="false" customHeight="false" outlineLevel="0" collapsed="false">
      <c r="A119" s="122"/>
      <c r="B119" s="118"/>
      <c r="C119" s="117" t="str">
        <f aca="false">IF(B119="","",IFERROR(INDEX(الموظفون!$C$6:$C$105,MATCH(B119,الموظفون!$B$6:$B$105,0)),"✖ رقم غير موجود"))</f>
        <v/>
      </c>
      <c r="D119" s="123"/>
      <c r="E119" s="123"/>
      <c r="F119" s="123"/>
      <c r="G119" s="121"/>
      <c r="H119" s="121"/>
      <c r="I119" s="121"/>
      <c r="J119" s="121"/>
      <c r="K119" s="123"/>
      <c r="L119" s="123"/>
      <c r="M119" s="121"/>
      <c r="N119" s="121"/>
      <c r="O119" s="118"/>
    </row>
    <row r="120" customFormat="false" ht="15" hidden="false" customHeight="false" outlineLevel="0" collapsed="false">
      <c r="A120" s="122"/>
      <c r="B120" s="118"/>
      <c r="C120" s="114" t="str">
        <f aca="false">IF(B120="","",IFERROR(INDEX(الموظفون!$C$6:$C$105,MATCH(B120,الموظفون!$B$6:$B$105,0)),"✖ رقم غير موجود"))</f>
        <v/>
      </c>
      <c r="D120" s="123"/>
      <c r="E120" s="123"/>
      <c r="F120" s="123"/>
      <c r="G120" s="121"/>
      <c r="H120" s="121"/>
      <c r="I120" s="121"/>
      <c r="J120" s="121"/>
      <c r="K120" s="123"/>
      <c r="L120" s="123"/>
      <c r="M120" s="121"/>
      <c r="N120" s="121"/>
      <c r="O120" s="118"/>
    </row>
    <row r="121" customFormat="false" ht="15" hidden="false" customHeight="false" outlineLevel="0" collapsed="false">
      <c r="A121" s="122"/>
      <c r="B121" s="118"/>
      <c r="C121" s="117" t="str">
        <f aca="false">IF(B121="","",IFERROR(INDEX(الموظفون!$C$6:$C$105,MATCH(B121,الموظفون!$B$6:$B$105,0)),"✖ رقم غير موجود"))</f>
        <v/>
      </c>
      <c r="D121" s="123"/>
      <c r="E121" s="123"/>
      <c r="F121" s="123"/>
      <c r="G121" s="121"/>
      <c r="H121" s="121"/>
      <c r="I121" s="121"/>
      <c r="J121" s="121"/>
      <c r="K121" s="123"/>
      <c r="L121" s="123"/>
      <c r="M121" s="121"/>
      <c r="N121" s="121"/>
      <c r="O121" s="118"/>
    </row>
    <row r="122" customFormat="false" ht="15" hidden="false" customHeight="false" outlineLevel="0" collapsed="false">
      <c r="A122" s="122"/>
      <c r="B122" s="118"/>
      <c r="C122" s="114" t="str">
        <f aca="false">IF(B122="","",IFERROR(INDEX(الموظفون!$C$6:$C$105,MATCH(B122,الموظفون!$B$6:$B$105,0)),"✖ رقم غير موجود"))</f>
        <v/>
      </c>
      <c r="D122" s="123"/>
      <c r="E122" s="123"/>
      <c r="F122" s="123"/>
      <c r="G122" s="121"/>
      <c r="H122" s="121"/>
      <c r="I122" s="121"/>
      <c r="J122" s="121"/>
      <c r="K122" s="123"/>
      <c r="L122" s="123"/>
      <c r="M122" s="121"/>
      <c r="N122" s="121"/>
      <c r="O122" s="118"/>
    </row>
    <row r="123" customFormat="false" ht="15" hidden="false" customHeight="false" outlineLevel="0" collapsed="false">
      <c r="A123" s="122"/>
      <c r="B123" s="118"/>
      <c r="C123" s="117" t="str">
        <f aca="false">IF(B123="","",IFERROR(INDEX(الموظفون!$C$6:$C$105,MATCH(B123,الموظفون!$B$6:$B$105,0)),"✖ رقم غير موجود"))</f>
        <v/>
      </c>
      <c r="D123" s="123"/>
      <c r="E123" s="123"/>
      <c r="F123" s="123"/>
      <c r="G123" s="121"/>
      <c r="H123" s="121"/>
      <c r="I123" s="121"/>
      <c r="J123" s="121"/>
      <c r="K123" s="123"/>
      <c r="L123" s="123"/>
      <c r="M123" s="121"/>
      <c r="N123" s="121"/>
      <c r="O123" s="118"/>
    </row>
    <row r="124" customFormat="false" ht="15" hidden="false" customHeight="false" outlineLevel="0" collapsed="false">
      <c r="A124" s="122"/>
      <c r="B124" s="118"/>
      <c r="C124" s="114" t="str">
        <f aca="false">IF(B124="","",IFERROR(INDEX(الموظفون!$C$6:$C$105,MATCH(B124,الموظفون!$B$6:$B$105,0)),"✖ رقم غير موجود"))</f>
        <v/>
      </c>
      <c r="D124" s="123"/>
      <c r="E124" s="123"/>
      <c r="F124" s="123"/>
      <c r="G124" s="121"/>
      <c r="H124" s="121"/>
      <c r="I124" s="121"/>
      <c r="J124" s="121"/>
      <c r="K124" s="123"/>
      <c r="L124" s="123"/>
      <c r="M124" s="121"/>
      <c r="N124" s="121"/>
      <c r="O124" s="118"/>
    </row>
    <row r="125" customFormat="false" ht="15" hidden="false" customHeight="false" outlineLevel="0" collapsed="false">
      <c r="A125" s="122"/>
      <c r="B125" s="118"/>
      <c r="C125" s="117" t="str">
        <f aca="false">IF(B125="","",IFERROR(INDEX(الموظفون!$C$6:$C$105,MATCH(B125,الموظفون!$B$6:$B$105,0)),"✖ رقم غير موجود"))</f>
        <v/>
      </c>
      <c r="D125" s="123"/>
      <c r="E125" s="123"/>
      <c r="F125" s="123"/>
      <c r="G125" s="121"/>
      <c r="H125" s="121"/>
      <c r="I125" s="121"/>
      <c r="J125" s="121"/>
      <c r="K125" s="123"/>
      <c r="L125" s="123"/>
      <c r="M125" s="121"/>
      <c r="N125" s="121"/>
      <c r="O125" s="118"/>
    </row>
    <row r="126" customFormat="false" ht="15" hidden="false" customHeight="false" outlineLevel="0" collapsed="false">
      <c r="A126" s="122"/>
      <c r="B126" s="118"/>
      <c r="C126" s="114" t="str">
        <f aca="false">IF(B126="","",IFERROR(INDEX(الموظفون!$C$6:$C$105,MATCH(B126,الموظفون!$B$6:$B$105,0)),"✖ رقم غير موجود"))</f>
        <v/>
      </c>
      <c r="D126" s="123"/>
      <c r="E126" s="123"/>
      <c r="F126" s="123"/>
      <c r="G126" s="121"/>
      <c r="H126" s="121"/>
      <c r="I126" s="121"/>
      <c r="J126" s="121"/>
      <c r="K126" s="123"/>
      <c r="L126" s="123"/>
      <c r="M126" s="121"/>
      <c r="N126" s="121"/>
      <c r="O126" s="118"/>
    </row>
    <row r="127" customFormat="false" ht="15" hidden="false" customHeight="false" outlineLevel="0" collapsed="false">
      <c r="A127" s="122"/>
      <c r="B127" s="118"/>
      <c r="C127" s="117" t="str">
        <f aca="false">IF(B127="","",IFERROR(INDEX(الموظفون!$C$6:$C$105,MATCH(B127,الموظفون!$B$6:$B$105,0)),"✖ رقم غير موجود"))</f>
        <v/>
      </c>
      <c r="D127" s="123"/>
      <c r="E127" s="123"/>
      <c r="F127" s="123"/>
      <c r="G127" s="121"/>
      <c r="H127" s="121"/>
      <c r="I127" s="121"/>
      <c r="J127" s="121"/>
      <c r="K127" s="123"/>
      <c r="L127" s="123"/>
      <c r="M127" s="121"/>
      <c r="N127" s="121"/>
      <c r="O127" s="118"/>
    </row>
    <row r="128" customFormat="false" ht="15" hidden="false" customHeight="false" outlineLevel="0" collapsed="false">
      <c r="A128" s="122"/>
      <c r="B128" s="118"/>
      <c r="C128" s="114" t="str">
        <f aca="false">IF(B128="","",IFERROR(INDEX(الموظفون!$C$6:$C$105,MATCH(B128,الموظفون!$B$6:$B$105,0)),"✖ رقم غير موجود"))</f>
        <v/>
      </c>
      <c r="D128" s="123"/>
      <c r="E128" s="123"/>
      <c r="F128" s="123"/>
      <c r="G128" s="121"/>
      <c r="H128" s="121"/>
      <c r="I128" s="121"/>
      <c r="J128" s="121"/>
      <c r="K128" s="123"/>
      <c r="L128" s="123"/>
      <c r="M128" s="121"/>
      <c r="N128" s="121"/>
      <c r="O128" s="118"/>
    </row>
    <row r="129" customFormat="false" ht="15" hidden="false" customHeight="false" outlineLevel="0" collapsed="false">
      <c r="A129" s="122"/>
      <c r="B129" s="118"/>
      <c r="C129" s="117" t="str">
        <f aca="false">IF(B129="","",IFERROR(INDEX(الموظفون!$C$6:$C$105,MATCH(B129,الموظفون!$B$6:$B$105,0)),"✖ رقم غير موجود"))</f>
        <v/>
      </c>
      <c r="D129" s="123"/>
      <c r="E129" s="123"/>
      <c r="F129" s="123"/>
      <c r="G129" s="121"/>
      <c r="H129" s="121"/>
      <c r="I129" s="121"/>
      <c r="J129" s="121"/>
      <c r="K129" s="123"/>
      <c r="L129" s="123"/>
      <c r="M129" s="121"/>
      <c r="N129" s="121"/>
      <c r="O129" s="118"/>
    </row>
    <row r="130" customFormat="false" ht="15" hidden="false" customHeight="false" outlineLevel="0" collapsed="false">
      <c r="A130" s="122"/>
      <c r="B130" s="118"/>
      <c r="C130" s="114" t="str">
        <f aca="false">IF(B130="","",IFERROR(INDEX(الموظفون!$C$6:$C$105,MATCH(B130,الموظفون!$B$6:$B$105,0)),"✖ رقم غير موجود"))</f>
        <v/>
      </c>
      <c r="D130" s="123"/>
      <c r="E130" s="123"/>
      <c r="F130" s="123"/>
      <c r="G130" s="121"/>
      <c r="H130" s="121"/>
      <c r="I130" s="121"/>
      <c r="J130" s="121"/>
      <c r="K130" s="123"/>
      <c r="L130" s="123"/>
      <c r="M130" s="121"/>
      <c r="N130" s="121"/>
      <c r="O130" s="118"/>
    </row>
    <row r="131" customFormat="false" ht="15" hidden="false" customHeight="false" outlineLevel="0" collapsed="false">
      <c r="A131" s="122"/>
      <c r="B131" s="118"/>
      <c r="C131" s="117" t="str">
        <f aca="false">IF(B131="","",IFERROR(INDEX(الموظفون!$C$6:$C$105,MATCH(B131,الموظفون!$B$6:$B$105,0)),"✖ رقم غير موجود"))</f>
        <v/>
      </c>
      <c r="D131" s="123"/>
      <c r="E131" s="123"/>
      <c r="F131" s="123"/>
      <c r="G131" s="121"/>
      <c r="H131" s="121"/>
      <c r="I131" s="121"/>
      <c r="J131" s="121"/>
      <c r="K131" s="123"/>
      <c r="L131" s="123"/>
      <c r="M131" s="121"/>
      <c r="N131" s="121"/>
      <c r="O131" s="118"/>
    </row>
    <row r="132" customFormat="false" ht="15" hidden="false" customHeight="false" outlineLevel="0" collapsed="false">
      <c r="A132" s="122"/>
      <c r="B132" s="118"/>
      <c r="C132" s="114" t="str">
        <f aca="false">IF(B132="","",IFERROR(INDEX(الموظفون!$C$6:$C$105,MATCH(B132,الموظفون!$B$6:$B$105,0)),"✖ رقم غير موجود"))</f>
        <v/>
      </c>
      <c r="D132" s="123"/>
      <c r="E132" s="123"/>
      <c r="F132" s="123"/>
      <c r="G132" s="121"/>
      <c r="H132" s="121"/>
      <c r="I132" s="121"/>
      <c r="J132" s="121"/>
      <c r="K132" s="123"/>
      <c r="L132" s="123"/>
      <c r="M132" s="121"/>
      <c r="N132" s="121"/>
      <c r="O132" s="118"/>
    </row>
    <row r="133" customFormat="false" ht="15" hidden="false" customHeight="false" outlineLevel="0" collapsed="false">
      <c r="A133" s="122"/>
      <c r="B133" s="118"/>
      <c r="C133" s="117" t="str">
        <f aca="false">IF(B133="","",IFERROR(INDEX(الموظفون!$C$6:$C$105,MATCH(B133,الموظفون!$B$6:$B$105,0)),"✖ رقم غير موجود"))</f>
        <v/>
      </c>
      <c r="D133" s="123"/>
      <c r="E133" s="123"/>
      <c r="F133" s="123"/>
      <c r="G133" s="121"/>
      <c r="H133" s="121"/>
      <c r="I133" s="121"/>
      <c r="J133" s="121"/>
      <c r="K133" s="123"/>
      <c r="L133" s="123"/>
      <c r="M133" s="121"/>
      <c r="N133" s="121"/>
      <c r="O133" s="118"/>
    </row>
    <row r="134" customFormat="false" ht="15" hidden="false" customHeight="false" outlineLevel="0" collapsed="false">
      <c r="A134" s="122"/>
      <c r="B134" s="118"/>
      <c r="C134" s="114" t="str">
        <f aca="false">IF(B134="","",IFERROR(INDEX(الموظفون!$C$6:$C$105,MATCH(B134,الموظفون!$B$6:$B$105,0)),"✖ رقم غير موجود"))</f>
        <v/>
      </c>
      <c r="D134" s="123"/>
      <c r="E134" s="123"/>
      <c r="F134" s="123"/>
      <c r="G134" s="121"/>
      <c r="H134" s="121"/>
      <c r="I134" s="121"/>
      <c r="J134" s="121"/>
      <c r="K134" s="123"/>
      <c r="L134" s="123"/>
      <c r="M134" s="121"/>
      <c r="N134" s="121"/>
      <c r="O134" s="118"/>
    </row>
    <row r="135" customFormat="false" ht="15" hidden="false" customHeight="false" outlineLevel="0" collapsed="false">
      <c r="A135" s="122"/>
      <c r="B135" s="118"/>
      <c r="C135" s="117" t="str">
        <f aca="false">IF(B135="","",IFERROR(INDEX(الموظفون!$C$6:$C$105,MATCH(B135,الموظفون!$B$6:$B$105,0)),"✖ رقم غير موجود"))</f>
        <v/>
      </c>
      <c r="D135" s="123"/>
      <c r="E135" s="123"/>
      <c r="F135" s="123"/>
      <c r="G135" s="121"/>
      <c r="H135" s="121"/>
      <c r="I135" s="121"/>
      <c r="J135" s="121"/>
      <c r="K135" s="123"/>
      <c r="L135" s="123"/>
      <c r="M135" s="121"/>
      <c r="N135" s="121"/>
      <c r="O135" s="118"/>
    </row>
    <row r="136" customFormat="false" ht="15" hidden="false" customHeight="false" outlineLevel="0" collapsed="false">
      <c r="A136" s="122"/>
      <c r="B136" s="118"/>
      <c r="C136" s="114" t="str">
        <f aca="false">IF(B136="","",IFERROR(INDEX(الموظفون!$C$6:$C$105,MATCH(B136,الموظفون!$B$6:$B$105,0)),"✖ رقم غير موجود"))</f>
        <v/>
      </c>
      <c r="D136" s="123"/>
      <c r="E136" s="123"/>
      <c r="F136" s="123"/>
      <c r="G136" s="121"/>
      <c r="H136" s="121"/>
      <c r="I136" s="121"/>
      <c r="J136" s="121"/>
      <c r="K136" s="123"/>
      <c r="L136" s="123"/>
      <c r="M136" s="121"/>
      <c r="N136" s="121"/>
      <c r="O136" s="118"/>
    </row>
    <row r="137" customFormat="false" ht="15" hidden="false" customHeight="false" outlineLevel="0" collapsed="false">
      <c r="A137" s="122"/>
      <c r="B137" s="118"/>
      <c r="C137" s="117" t="str">
        <f aca="false">IF(B137="","",IFERROR(INDEX(الموظفون!$C$6:$C$105,MATCH(B137,الموظفون!$B$6:$B$105,0)),"✖ رقم غير موجود"))</f>
        <v/>
      </c>
      <c r="D137" s="123"/>
      <c r="E137" s="123"/>
      <c r="F137" s="123"/>
      <c r="G137" s="121"/>
      <c r="H137" s="121"/>
      <c r="I137" s="121"/>
      <c r="J137" s="121"/>
      <c r="K137" s="123"/>
      <c r="L137" s="123"/>
      <c r="M137" s="121"/>
      <c r="N137" s="121"/>
      <c r="O137" s="118"/>
    </row>
    <row r="138" customFormat="false" ht="15" hidden="false" customHeight="false" outlineLevel="0" collapsed="false">
      <c r="A138" s="122"/>
      <c r="B138" s="118"/>
      <c r="C138" s="114" t="str">
        <f aca="false">IF(B138="","",IFERROR(INDEX(الموظفون!$C$6:$C$105,MATCH(B138,الموظفون!$B$6:$B$105,0)),"✖ رقم غير موجود"))</f>
        <v/>
      </c>
      <c r="D138" s="123"/>
      <c r="E138" s="123"/>
      <c r="F138" s="123"/>
      <c r="G138" s="121"/>
      <c r="H138" s="121"/>
      <c r="I138" s="121"/>
      <c r="J138" s="121"/>
      <c r="K138" s="123"/>
      <c r="L138" s="123"/>
      <c r="M138" s="121"/>
      <c r="N138" s="121"/>
      <c r="O138" s="118"/>
    </row>
    <row r="139" customFormat="false" ht="15" hidden="false" customHeight="false" outlineLevel="0" collapsed="false">
      <c r="A139" s="122"/>
      <c r="B139" s="118"/>
      <c r="C139" s="117" t="str">
        <f aca="false">IF(B139="","",IFERROR(INDEX(الموظفون!$C$6:$C$105,MATCH(B139,الموظفون!$B$6:$B$105,0)),"✖ رقم غير موجود"))</f>
        <v/>
      </c>
      <c r="D139" s="123"/>
      <c r="E139" s="123"/>
      <c r="F139" s="123"/>
      <c r="G139" s="121"/>
      <c r="H139" s="121"/>
      <c r="I139" s="121"/>
      <c r="J139" s="121"/>
      <c r="K139" s="123"/>
      <c r="L139" s="123"/>
      <c r="M139" s="121"/>
      <c r="N139" s="121"/>
      <c r="O139" s="118"/>
    </row>
    <row r="140" customFormat="false" ht="15" hidden="false" customHeight="false" outlineLevel="0" collapsed="false">
      <c r="A140" s="122"/>
      <c r="B140" s="118"/>
      <c r="C140" s="114" t="str">
        <f aca="false">IF(B140="","",IFERROR(INDEX(الموظفون!$C$6:$C$105,MATCH(B140,الموظفون!$B$6:$B$105,0)),"✖ رقم غير موجود"))</f>
        <v/>
      </c>
      <c r="D140" s="123"/>
      <c r="E140" s="123"/>
      <c r="F140" s="123"/>
      <c r="G140" s="121"/>
      <c r="H140" s="121"/>
      <c r="I140" s="121"/>
      <c r="J140" s="121"/>
      <c r="K140" s="123"/>
      <c r="L140" s="123"/>
      <c r="M140" s="121"/>
      <c r="N140" s="121"/>
      <c r="O140" s="118"/>
    </row>
    <row r="141" customFormat="false" ht="15" hidden="false" customHeight="false" outlineLevel="0" collapsed="false">
      <c r="A141" s="122"/>
      <c r="B141" s="118"/>
      <c r="C141" s="117" t="str">
        <f aca="false">IF(B141="","",IFERROR(INDEX(الموظفون!$C$6:$C$105,MATCH(B141,الموظفون!$B$6:$B$105,0)),"✖ رقم غير موجود"))</f>
        <v/>
      </c>
      <c r="D141" s="123"/>
      <c r="E141" s="123"/>
      <c r="F141" s="123"/>
      <c r="G141" s="121"/>
      <c r="H141" s="121"/>
      <c r="I141" s="121"/>
      <c r="J141" s="121"/>
      <c r="K141" s="123"/>
      <c r="L141" s="123"/>
      <c r="M141" s="121"/>
      <c r="N141" s="121"/>
      <c r="O141" s="118"/>
    </row>
    <row r="142" customFormat="false" ht="15" hidden="false" customHeight="false" outlineLevel="0" collapsed="false">
      <c r="A142" s="122"/>
      <c r="B142" s="118"/>
      <c r="C142" s="114" t="str">
        <f aca="false">IF(B142="","",IFERROR(INDEX(الموظفون!$C$6:$C$105,MATCH(B142,الموظفون!$B$6:$B$105,0)),"✖ رقم غير موجود"))</f>
        <v/>
      </c>
      <c r="D142" s="123"/>
      <c r="E142" s="123"/>
      <c r="F142" s="123"/>
      <c r="G142" s="121"/>
      <c r="H142" s="121"/>
      <c r="I142" s="121"/>
      <c r="J142" s="121"/>
      <c r="K142" s="123"/>
      <c r="L142" s="123"/>
      <c r="M142" s="121"/>
      <c r="N142" s="121"/>
      <c r="O142" s="118"/>
    </row>
    <row r="143" customFormat="false" ht="15" hidden="false" customHeight="false" outlineLevel="0" collapsed="false">
      <c r="A143" s="122"/>
      <c r="B143" s="118"/>
      <c r="C143" s="117" t="str">
        <f aca="false">IF(B143="","",IFERROR(INDEX(الموظفون!$C$6:$C$105,MATCH(B143,الموظفون!$B$6:$B$105,0)),"✖ رقم غير موجود"))</f>
        <v/>
      </c>
      <c r="D143" s="123"/>
      <c r="E143" s="123"/>
      <c r="F143" s="123"/>
      <c r="G143" s="121"/>
      <c r="H143" s="121"/>
      <c r="I143" s="121"/>
      <c r="J143" s="121"/>
      <c r="K143" s="123"/>
      <c r="L143" s="123"/>
      <c r="M143" s="121"/>
      <c r="N143" s="121"/>
      <c r="O143" s="118"/>
    </row>
    <row r="144" customFormat="false" ht="15" hidden="false" customHeight="false" outlineLevel="0" collapsed="false">
      <c r="A144" s="122"/>
      <c r="B144" s="118"/>
      <c r="C144" s="114" t="str">
        <f aca="false">IF(B144="","",IFERROR(INDEX(الموظفون!$C$6:$C$105,MATCH(B144,الموظفون!$B$6:$B$105,0)),"✖ رقم غير موجود"))</f>
        <v/>
      </c>
      <c r="D144" s="123"/>
      <c r="E144" s="123"/>
      <c r="F144" s="123"/>
      <c r="G144" s="121"/>
      <c r="H144" s="121"/>
      <c r="I144" s="121"/>
      <c r="J144" s="121"/>
      <c r="K144" s="123"/>
      <c r="L144" s="123"/>
      <c r="M144" s="121"/>
      <c r="N144" s="121"/>
      <c r="O144" s="118"/>
    </row>
    <row r="145" customFormat="false" ht="15" hidden="false" customHeight="false" outlineLevel="0" collapsed="false">
      <c r="A145" s="122"/>
      <c r="B145" s="118"/>
      <c r="C145" s="117" t="str">
        <f aca="false">IF(B145="","",IFERROR(INDEX(الموظفون!$C$6:$C$105,MATCH(B145,الموظفون!$B$6:$B$105,0)),"✖ رقم غير موجود"))</f>
        <v/>
      </c>
      <c r="D145" s="123"/>
      <c r="E145" s="123"/>
      <c r="F145" s="123"/>
      <c r="G145" s="121"/>
      <c r="H145" s="121"/>
      <c r="I145" s="121"/>
      <c r="J145" s="121"/>
      <c r="K145" s="123"/>
      <c r="L145" s="123"/>
      <c r="M145" s="121"/>
      <c r="N145" s="121"/>
      <c r="O145" s="118"/>
    </row>
    <row r="146" customFormat="false" ht="15" hidden="false" customHeight="false" outlineLevel="0" collapsed="false">
      <c r="A146" s="122"/>
      <c r="B146" s="118"/>
      <c r="C146" s="114" t="str">
        <f aca="false">IF(B146="","",IFERROR(INDEX(الموظفون!$C$6:$C$105,MATCH(B146,الموظفون!$B$6:$B$105,0)),"✖ رقم غير موجود"))</f>
        <v/>
      </c>
      <c r="D146" s="123"/>
      <c r="E146" s="123"/>
      <c r="F146" s="123"/>
      <c r="G146" s="121"/>
      <c r="H146" s="121"/>
      <c r="I146" s="121"/>
      <c r="J146" s="121"/>
      <c r="K146" s="123"/>
      <c r="L146" s="123"/>
      <c r="M146" s="121"/>
      <c r="N146" s="121"/>
      <c r="O146" s="118"/>
    </row>
    <row r="147" customFormat="false" ht="15" hidden="false" customHeight="false" outlineLevel="0" collapsed="false">
      <c r="A147" s="122"/>
      <c r="B147" s="118"/>
      <c r="C147" s="117" t="str">
        <f aca="false">IF(B147="","",IFERROR(INDEX(الموظفون!$C$6:$C$105,MATCH(B147,الموظفون!$B$6:$B$105,0)),"✖ رقم غير موجود"))</f>
        <v/>
      </c>
      <c r="D147" s="123"/>
      <c r="E147" s="123"/>
      <c r="F147" s="123"/>
      <c r="G147" s="121"/>
      <c r="H147" s="121"/>
      <c r="I147" s="121"/>
      <c r="J147" s="121"/>
      <c r="K147" s="123"/>
      <c r="L147" s="123"/>
      <c r="M147" s="121"/>
      <c r="N147" s="121"/>
      <c r="O147" s="118"/>
    </row>
    <row r="148" customFormat="false" ht="15" hidden="false" customHeight="false" outlineLevel="0" collapsed="false">
      <c r="A148" s="122"/>
      <c r="B148" s="118"/>
      <c r="C148" s="114" t="str">
        <f aca="false">IF(B148="","",IFERROR(INDEX(الموظفون!$C$6:$C$105,MATCH(B148,الموظفون!$B$6:$B$105,0)),"✖ رقم غير موجود"))</f>
        <v/>
      </c>
      <c r="D148" s="123"/>
      <c r="E148" s="123"/>
      <c r="F148" s="123"/>
      <c r="G148" s="121"/>
      <c r="H148" s="121"/>
      <c r="I148" s="121"/>
      <c r="J148" s="121"/>
      <c r="K148" s="123"/>
      <c r="L148" s="123"/>
      <c r="M148" s="121"/>
      <c r="N148" s="121"/>
      <c r="O148" s="118"/>
    </row>
    <row r="149" customFormat="false" ht="15" hidden="false" customHeight="false" outlineLevel="0" collapsed="false">
      <c r="A149" s="122"/>
      <c r="B149" s="118"/>
      <c r="C149" s="117" t="str">
        <f aca="false">IF(B149="","",IFERROR(INDEX(الموظفون!$C$6:$C$105,MATCH(B149,الموظفون!$B$6:$B$105,0)),"✖ رقم غير موجود"))</f>
        <v/>
      </c>
      <c r="D149" s="123"/>
      <c r="E149" s="123"/>
      <c r="F149" s="123"/>
      <c r="G149" s="121"/>
      <c r="H149" s="121"/>
      <c r="I149" s="121"/>
      <c r="J149" s="121"/>
      <c r="K149" s="123"/>
      <c r="L149" s="123"/>
      <c r="M149" s="121"/>
      <c r="N149" s="121"/>
      <c r="O149" s="118"/>
    </row>
    <row r="150" customFormat="false" ht="15" hidden="false" customHeight="false" outlineLevel="0" collapsed="false">
      <c r="A150" s="122"/>
      <c r="B150" s="118"/>
      <c r="C150" s="114" t="str">
        <f aca="false">IF(B150="","",IFERROR(INDEX(الموظفون!$C$6:$C$105,MATCH(B150,الموظفون!$B$6:$B$105,0)),"✖ رقم غير موجود"))</f>
        <v/>
      </c>
      <c r="D150" s="123"/>
      <c r="E150" s="123"/>
      <c r="F150" s="123"/>
      <c r="G150" s="121"/>
      <c r="H150" s="121"/>
      <c r="I150" s="121"/>
      <c r="J150" s="121"/>
      <c r="K150" s="123"/>
      <c r="L150" s="123"/>
      <c r="M150" s="121"/>
      <c r="N150" s="121"/>
      <c r="O150" s="118"/>
    </row>
    <row r="151" customFormat="false" ht="15" hidden="false" customHeight="false" outlineLevel="0" collapsed="false">
      <c r="A151" s="122"/>
      <c r="B151" s="118"/>
      <c r="C151" s="117" t="str">
        <f aca="false">IF(B151="","",IFERROR(INDEX(الموظفون!$C$6:$C$105,MATCH(B151,الموظفون!$B$6:$B$105,0)),"✖ رقم غير موجود"))</f>
        <v/>
      </c>
      <c r="D151" s="123"/>
      <c r="E151" s="123"/>
      <c r="F151" s="123"/>
      <c r="G151" s="121"/>
      <c r="H151" s="121"/>
      <c r="I151" s="121"/>
      <c r="J151" s="121"/>
      <c r="K151" s="123"/>
      <c r="L151" s="123"/>
      <c r="M151" s="121"/>
      <c r="N151" s="121"/>
      <c r="O151" s="118"/>
    </row>
    <row r="152" customFormat="false" ht="15" hidden="false" customHeight="false" outlineLevel="0" collapsed="false">
      <c r="A152" s="122"/>
      <c r="B152" s="118"/>
      <c r="C152" s="114" t="str">
        <f aca="false">IF(B152="","",IFERROR(INDEX(الموظفون!$C$6:$C$105,MATCH(B152,الموظفون!$B$6:$B$105,0)),"✖ رقم غير موجود"))</f>
        <v/>
      </c>
      <c r="D152" s="123"/>
      <c r="E152" s="123"/>
      <c r="F152" s="123"/>
      <c r="G152" s="121"/>
      <c r="H152" s="121"/>
      <c r="I152" s="121"/>
      <c r="J152" s="121"/>
      <c r="K152" s="123"/>
      <c r="L152" s="123"/>
      <c r="M152" s="121"/>
      <c r="N152" s="121"/>
      <c r="O152" s="118"/>
    </row>
    <row r="153" customFormat="false" ht="15" hidden="false" customHeight="false" outlineLevel="0" collapsed="false">
      <c r="A153" s="122"/>
      <c r="B153" s="118"/>
      <c r="C153" s="117" t="str">
        <f aca="false">IF(B153="","",IFERROR(INDEX(الموظفون!$C$6:$C$105,MATCH(B153,الموظفون!$B$6:$B$105,0)),"✖ رقم غير موجود"))</f>
        <v/>
      </c>
      <c r="D153" s="123"/>
      <c r="E153" s="123"/>
      <c r="F153" s="123"/>
      <c r="G153" s="121"/>
      <c r="H153" s="121"/>
      <c r="I153" s="121"/>
      <c r="J153" s="121"/>
      <c r="K153" s="123"/>
      <c r="L153" s="123"/>
      <c r="M153" s="121"/>
      <c r="N153" s="121"/>
      <c r="O153" s="118"/>
    </row>
    <row r="154" customFormat="false" ht="15" hidden="false" customHeight="false" outlineLevel="0" collapsed="false">
      <c r="A154" s="122"/>
      <c r="B154" s="118"/>
      <c r="C154" s="114" t="str">
        <f aca="false">IF(B154="","",IFERROR(INDEX(الموظفون!$C$6:$C$105,MATCH(B154,الموظفون!$B$6:$B$105,0)),"✖ رقم غير موجود"))</f>
        <v/>
      </c>
      <c r="D154" s="123"/>
      <c r="E154" s="123"/>
      <c r="F154" s="123"/>
      <c r="G154" s="121"/>
      <c r="H154" s="121"/>
      <c r="I154" s="121"/>
      <c r="J154" s="121"/>
      <c r="K154" s="123"/>
      <c r="L154" s="123"/>
      <c r="M154" s="121"/>
      <c r="N154" s="121"/>
      <c r="O154" s="118"/>
    </row>
    <row r="155" customFormat="false" ht="15" hidden="false" customHeight="false" outlineLevel="0" collapsed="false">
      <c r="A155" s="122"/>
      <c r="B155" s="118"/>
      <c r="C155" s="117" t="str">
        <f aca="false">IF(B155="","",IFERROR(INDEX(الموظفون!$C$6:$C$105,MATCH(B155,الموظفون!$B$6:$B$105,0)),"✖ رقم غير موجود"))</f>
        <v/>
      </c>
      <c r="D155" s="123"/>
      <c r="E155" s="123"/>
      <c r="F155" s="123"/>
      <c r="G155" s="121"/>
      <c r="H155" s="121"/>
      <c r="I155" s="121"/>
      <c r="J155" s="121"/>
      <c r="K155" s="123"/>
      <c r="L155" s="123"/>
      <c r="M155" s="121"/>
      <c r="N155" s="121"/>
      <c r="O155" s="118"/>
    </row>
    <row r="156" customFormat="false" ht="15" hidden="false" customHeight="false" outlineLevel="0" collapsed="false">
      <c r="A156" s="122"/>
      <c r="B156" s="118"/>
      <c r="C156" s="114" t="str">
        <f aca="false">IF(B156="","",IFERROR(INDEX(الموظفون!$C$6:$C$105,MATCH(B156,الموظفون!$B$6:$B$105,0)),"✖ رقم غير موجود"))</f>
        <v/>
      </c>
      <c r="D156" s="123"/>
      <c r="E156" s="123"/>
      <c r="F156" s="123"/>
      <c r="G156" s="121"/>
      <c r="H156" s="121"/>
      <c r="I156" s="121"/>
      <c r="J156" s="121"/>
      <c r="K156" s="123"/>
      <c r="L156" s="123"/>
      <c r="M156" s="121"/>
      <c r="N156" s="121"/>
      <c r="O156" s="118"/>
    </row>
    <row r="157" customFormat="false" ht="15" hidden="false" customHeight="false" outlineLevel="0" collapsed="false">
      <c r="A157" s="122"/>
      <c r="B157" s="118"/>
      <c r="C157" s="117" t="str">
        <f aca="false">IF(B157="","",IFERROR(INDEX(الموظفون!$C$6:$C$105,MATCH(B157,الموظفون!$B$6:$B$105,0)),"✖ رقم غير موجود"))</f>
        <v/>
      </c>
      <c r="D157" s="123"/>
      <c r="E157" s="123"/>
      <c r="F157" s="123"/>
      <c r="G157" s="121"/>
      <c r="H157" s="121"/>
      <c r="I157" s="121"/>
      <c r="J157" s="121"/>
      <c r="K157" s="123"/>
      <c r="L157" s="123"/>
      <c r="M157" s="121"/>
      <c r="N157" s="121"/>
      <c r="O157" s="118"/>
    </row>
    <row r="158" customFormat="false" ht="15" hidden="false" customHeight="false" outlineLevel="0" collapsed="false">
      <c r="A158" s="122"/>
      <c r="B158" s="118"/>
      <c r="C158" s="114" t="str">
        <f aca="false">IF(B158="","",IFERROR(INDEX(الموظفون!$C$6:$C$105,MATCH(B158,الموظفون!$B$6:$B$105,0)),"✖ رقم غير موجود"))</f>
        <v/>
      </c>
      <c r="D158" s="123"/>
      <c r="E158" s="123"/>
      <c r="F158" s="123"/>
      <c r="G158" s="121"/>
      <c r="H158" s="121"/>
      <c r="I158" s="121"/>
      <c r="J158" s="121"/>
      <c r="K158" s="123"/>
      <c r="L158" s="123"/>
      <c r="M158" s="121"/>
      <c r="N158" s="121"/>
      <c r="O158" s="118"/>
    </row>
    <row r="159" customFormat="false" ht="15" hidden="false" customHeight="false" outlineLevel="0" collapsed="false">
      <c r="A159" s="122"/>
      <c r="B159" s="118"/>
      <c r="C159" s="117" t="str">
        <f aca="false">IF(B159="","",IFERROR(INDEX(الموظفون!$C$6:$C$105,MATCH(B159,الموظفون!$B$6:$B$105,0)),"✖ رقم غير موجود"))</f>
        <v/>
      </c>
      <c r="D159" s="123"/>
      <c r="E159" s="123"/>
      <c r="F159" s="123"/>
      <c r="G159" s="121"/>
      <c r="H159" s="121"/>
      <c r="I159" s="121"/>
      <c r="J159" s="121"/>
      <c r="K159" s="123"/>
      <c r="L159" s="123"/>
      <c r="M159" s="121"/>
      <c r="N159" s="121"/>
      <c r="O159" s="118"/>
    </row>
    <row r="160" customFormat="false" ht="15" hidden="false" customHeight="false" outlineLevel="0" collapsed="false">
      <c r="A160" s="122"/>
      <c r="B160" s="118"/>
      <c r="C160" s="114" t="str">
        <f aca="false">IF(B160="","",IFERROR(INDEX(الموظفون!$C$6:$C$105,MATCH(B160,الموظفون!$B$6:$B$105,0)),"✖ رقم غير موجود"))</f>
        <v/>
      </c>
      <c r="D160" s="123"/>
      <c r="E160" s="123"/>
      <c r="F160" s="123"/>
      <c r="G160" s="121"/>
      <c r="H160" s="121"/>
      <c r="I160" s="121"/>
      <c r="J160" s="121"/>
      <c r="K160" s="123"/>
      <c r="L160" s="123"/>
      <c r="M160" s="121"/>
      <c r="N160" s="121"/>
      <c r="O160" s="118"/>
    </row>
    <row r="161" customFormat="false" ht="15" hidden="false" customHeight="false" outlineLevel="0" collapsed="false">
      <c r="A161" s="122"/>
      <c r="B161" s="118"/>
      <c r="C161" s="117" t="str">
        <f aca="false">IF(B161="","",IFERROR(INDEX(الموظفون!$C$6:$C$105,MATCH(B161,الموظفون!$B$6:$B$105,0)),"✖ رقم غير موجود"))</f>
        <v/>
      </c>
      <c r="D161" s="123"/>
      <c r="E161" s="123"/>
      <c r="F161" s="123"/>
      <c r="G161" s="121"/>
      <c r="H161" s="121"/>
      <c r="I161" s="121"/>
      <c r="J161" s="121"/>
      <c r="K161" s="123"/>
      <c r="L161" s="123"/>
      <c r="M161" s="121"/>
      <c r="N161" s="121"/>
      <c r="O161" s="118"/>
    </row>
    <row r="162" customFormat="false" ht="15" hidden="false" customHeight="false" outlineLevel="0" collapsed="false">
      <c r="A162" s="122"/>
      <c r="B162" s="118"/>
      <c r="C162" s="114" t="str">
        <f aca="false">IF(B162="","",IFERROR(INDEX(الموظفون!$C$6:$C$105,MATCH(B162,الموظفون!$B$6:$B$105,0)),"✖ رقم غير موجود"))</f>
        <v/>
      </c>
      <c r="D162" s="123"/>
      <c r="E162" s="123"/>
      <c r="F162" s="123"/>
      <c r="G162" s="121"/>
      <c r="H162" s="121"/>
      <c r="I162" s="121"/>
      <c r="J162" s="121"/>
      <c r="K162" s="123"/>
      <c r="L162" s="123"/>
      <c r="M162" s="121"/>
      <c r="N162" s="121"/>
      <c r="O162" s="118"/>
    </row>
    <row r="163" customFormat="false" ht="15" hidden="false" customHeight="false" outlineLevel="0" collapsed="false">
      <c r="A163" s="122"/>
      <c r="B163" s="118"/>
      <c r="C163" s="117" t="str">
        <f aca="false">IF(B163="","",IFERROR(INDEX(الموظفون!$C$6:$C$105,MATCH(B163,الموظفون!$B$6:$B$105,0)),"✖ رقم غير موجود"))</f>
        <v/>
      </c>
      <c r="D163" s="123"/>
      <c r="E163" s="123"/>
      <c r="F163" s="123"/>
      <c r="G163" s="121"/>
      <c r="H163" s="121"/>
      <c r="I163" s="121"/>
      <c r="J163" s="121"/>
      <c r="K163" s="123"/>
      <c r="L163" s="123"/>
      <c r="M163" s="121"/>
      <c r="N163" s="121"/>
      <c r="O163" s="118"/>
    </row>
    <row r="164" customFormat="false" ht="15" hidden="false" customHeight="false" outlineLevel="0" collapsed="false">
      <c r="A164" s="122"/>
      <c r="B164" s="118"/>
      <c r="C164" s="114" t="str">
        <f aca="false">IF(B164="","",IFERROR(INDEX(الموظفون!$C$6:$C$105,MATCH(B164,الموظفون!$B$6:$B$105,0)),"✖ رقم غير موجود"))</f>
        <v/>
      </c>
      <c r="D164" s="123"/>
      <c r="E164" s="123"/>
      <c r="F164" s="123"/>
      <c r="G164" s="121"/>
      <c r="H164" s="121"/>
      <c r="I164" s="121"/>
      <c r="J164" s="121"/>
      <c r="K164" s="123"/>
      <c r="L164" s="123"/>
      <c r="M164" s="121"/>
      <c r="N164" s="121"/>
      <c r="O164" s="118"/>
    </row>
    <row r="165" customFormat="false" ht="15" hidden="false" customHeight="false" outlineLevel="0" collapsed="false">
      <c r="A165" s="122"/>
      <c r="B165" s="118"/>
      <c r="C165" s="117" t="str">
        <f aca="false">IF(B165="","",IFERROR(INDEX(الموظفون!$C$6:$C$105,MATCH(B165,الموظفون!$B$6:$B$105,0)),"✖ رقم غير موجود"))</f>
        <v/>
      </c>
      <c r="D165" s="123"/>
      <c r="E165" s="123"/>
      <c r="F165" s="123"/>
      <c r="G165" s="121"/>
      <c r="H165" s="121"/>
      <c r="I165" s="121"/>
      <c r="J165" s="121"/>
      <c r="K165" s="123"/>
      <c r="L165" s="123"/>
      <c r="M165" s="121"/>
      <c r="N165" s="121"/>
      <c r="O165" s="118"/>
    </row>
    <row r="166" customFormat="false" ht="15" hidden="false" customHeight="false" outlineLevel="0" collapsed="false">
      <c r="A166" s="122"/>
      <c r="B166" s="118"/>
      <c r="C166" s="114" t="str">
        <f aca="false">IF(B166="","",IFERROR(INDEX(الموظفون!$C$6:$C$105,MATCH(B166,الموظفون!$B$6:$B$105,0)),"✖ رقم غير موجود"))</f>
        <v/>
      </c>
      <c r="D166" s="123"/>
      <c r="E166" s="123"/>
      <c r="F166" s="123"/>
      <c r="G166" s="121"/>
      <c r="H166" s="121"/>
      <c r="I166" s="121"/>
      <c r="J166" s="121"/>
      <c r="K166" s="123"/>
      <c r="L166" s="123"/>
      <c r="M166" s="121"/>
      <c r="N166" s="121"/>
      <c r="O166" s="118"/>
    </row>
    <row r="167" customFormat="false" ht="15" hidden="false" customHeight="false" outlineLevel="0" collapsed="false">
      <c r="A167" s="122"/>
      <c r="B167" s="118"/>
      <c r="C167" s="117" t="str">
        <f aca="false">IF(B167="","",IFERROR(INDEX(الموظفون!$C$6:$C$105,MATCH(B167,الموظفون!$B$6:$B$105,0)),"✖ رقم غير موجود"))</f>
        <v/>
      </c>
      <c r="D167" s="123"/>
      <c r="E167" s="123"/>
      <c r="F167" s="123"/>
      <c r="G167" s="121"/>
      <c r="H167" s="121"/>
      <c r="I167" s="121"/>
      <c r="J167" s="121"/>
      <c r="K167" s="123"/>
      <c r="L167" s="123"/>
      <c r="M167" s="121"/>
      <c r="N167" s="121"/>
      <c r="O167" s="118"/>
    </row>
    <row r="168" customFormat="false" ht="15" hidden="false" customHeight="false" outlineLevel="0" collapsed="false">
      <c r="A168" s="122"/>
      <c r="B168" s="118"/>
      <c r="C168" s="114" t="str">
        <f aca="false">IF(B168="","",IFERROR(INDEX(الموظفون!$C$6:$C$105,MATCH(B168,الموظفون!$B$6:$B$105,0)),"✖ رقم غير موجود"))</f>
        <v/>
      </c>
      <c r="D168" s="123"/>
      <c r="E168" s="123"/>
      <c r="F168" s="123"/>
      <c r="G168" s="121"/>
      <c r="H168" s="121"/>
      <c r="I168" s="121"/>
      <c r="J168" s="121"/>
      <c r="K168" s="123"/>
      <c r="L168" s="123"/>
      <c r="M168" s="121"/>
      <c r="N168" s="121"/>
      <c r="O168" s="118"/>
    </row>
    <row r="169" customFormat="false" ht="15" hidden="false" customHeight="false" outlineLevel="0" collapsed="false">
      <c r="A169" s="122"/>
      <c r="B169" s="118"/>
      <c r="C169" s="117" t="str">
        <f aca="false">IF(B169="","",IFERROR(INDEX(الموظفون!$C$6:$C$105,MATCH(B169,الموظفون!$B$6:$B$105,0)),"✖ رقم غير موجود"))</f>
        <v/>
      </c>
      <c r="D169" s="123"/>
      <c r="E169" s="123"/>
      <c r="F169" s="123"/>
      <c r="G169" s="121"/>
      <c r="H169" s="121"/>
      <c r="I169" s="121"/>
      <c r="J169" s="121"/>
      <c r="K169" s="123"/>
      <c r="L169" s="123"/>
      <c r="M169" s="121"/>
      <c r="N169" s="121"/>
      <c r="O169" s="118"/>
    </row>
    <row r="170" customFormat="false" ht="15" hidden="false" customHeight="false" outlineLevel="0" collapsed="false">
      <c r="A170" s="122"/>
      <c r="B170" s="118"/>
      <c r="C170" s="114" t="str">
        <f aca="false">IF(B170="","",IFERROR(INDEX(الموظفون!$C$6:$C$105,MATCH(B170,الموظفون!$B$6:$B$105,0)),"✖ رقم غير موجود"))</f>
        <v/>
      </c>
      <c r="D170" s="123"/>
      <c r="E170" s="123"/>
      <c r="F170" s="123"/>
      <c r="G170" s="121"/>
      <c r="H170" s="121"/>
      <c r="I170" s="121"/>
      <c r="J170" s="121"/>
      <c r="K170" s="123"/>
      <c r="L170" s="123"/>
      <c r="M170" s="121"/>
      <c r="N170" s="121"/>
      <c r="O170" s="118"/>
    </row>
    <row r="171" customFormat="false" ht="15" hidden="false" customHeight="false" outlineLevel="0" collapsed="false">
      <c r="A171" s="122"/>
      <c r="B171" s="118"/>
      <c r="C171" s="117" t="str">
        <f aca="false">IF(B171="","",IFERROR(INDEX(الموظفون!$C$6:$C$105,MATCH(B171,الموظفون!$B$6:$B$105,0)),"✖ رقم غير موجود"))</f>
        <v/>
      </c>
      <c r="D171" s="123"/>
      <c r="E171" s="123"/>
      <c r="F171" s="123"/>
      <c r="G171" s="121"/>
      <c r="H171" s="121"/>
      <c r="I171" s="121"/>
      <c r="J171" s="121"/>
      <c r="K171" s="123"/>
      <c r="L171" s="123"/>
      <c r="M171" s="121"/>
      <c r="N171" s="121"/>
      <c r="O171" s="118"/>
    </row>
    <row r="172" customFormat="false" ht="15" hidden="false" customHeight="false" outlineLevel="0" collapsed="false">
      <c r="A172" s="122"/>
      <c r="B172" s="118"/>
      <c r="C172" s="114" t="str">
        <f aca="false">IF(B172="","",IFERROR(INDEX(الموظفون!$C$6:$C$105,MATCH(B172,الموظفون!$B$6:$B$105,0)),"✖ رقم غير موجود"))</f>
        <v/>
      </c>
      <c r="D172" s="123"/>
      <c r="E172" s="123"/>
      <c r="F172" s="123"/>
      <c r="G172" s="121"/>
      <c r="H172" s="121"/>
      <c r="I172" s="121"/>
      <c r="J172" s="121"/>
      <c r="K172" s="123"/>
      <c r="L172" s="123"/>
      <c r="M172" s="121"/>
      <c r="N172" s="121"/>
      <c r="O172" s="118"/>
    </row>
    <row r="173" customFormat="false" ht="15" hidden="false" customHeight="false" outlineLevel="0" collapsed="false">
      <c r="A173" s="122"/>
      <c r="B173" s="118"/>
      <c r="C173" s="117" t="str">
        <f aca="false">IF(B173="","",IFERROR(INDEX(الموظفون!$C$6:$C$105,MATCH(B173,الموظفون!$B$6:$B$105,0)),"✖ رقم غير موجود"))</f>
        <v/>
      </c>
      <c r="D173" s="123"/>
      <c r="E173" s="123"/>
      <c r="F173" s="123"/>
      <c r="G173" s="121"/>
      <c r="H173" s="121"/>
      <c r="I173" s="121"/>
      <c r="J173" s="121"/>
      <c r="K173" s="123"/>
      <c r="L173" s="123"/>
      <c r="M173" s="121"/>
      <c r="N173" s="121"/>
      <c r="O173" s="118"/>
    </row>
    <row r="174" customFormat="false" ht="15" hidden="false" customHeight="false" outlineLevel="0" collapsed="false">
      <c r="A174" s="122"/>
      <c r="B174" s="118"/>
      <c r="C174" s="114" t="str">
        <f aca="false">IF(B174="","",IFERROR(INDEX(الموظفون!$C$6:$C$105,MATCH(B174,الموظفون!$B$6:$B$105,0)),"✖ رقم غير موجود"))</f>
        <v/>
      </c>
      <c r="D174" s="123"/>
      <c r="E174" s="123"/>
      <c r="F174" s="123"/>
      <c r="G174" s="121"/>
      <c r="H174" s="121"/>
      <c r="I174" s="121"/>
      <c r="J174" s="121"/>
      <c r="K174" s="123"/>
      <c r="L174" s="123"/>
      <c r="M174" s="121"/>
      <c r="N174" s="121"/>
      <c r="O174" s="118"/>
    </row>
    <row r="175" customFormat="false" ht="15" hidden="false" customHeight="false" outlineLevel="0" collapsed="false">
      <c r="A175" s="122"/>
      <c r="B175" s="118"/>
      <c r="C175" s="117" t="str">
        <f aca="false">IF(B175="","",IFERROR(INDEX(الموظفون!$C$6:$C$105,MATCH(B175,الموظفون!$B$6:$B$105,0)),"✖ رقم غير موجود"))</f>
        <v/>
      </c>
      <c r="D175" s="123"/>
      <c r="E175" s="123"/>
      <c r="F175" s="123"/>
      <c r="G175" s="121"/>
      <c r="H175" s="121"/>
      <c r="I175" s="121"/>
      <c r="J175" s="121"/>
      <c r="K175" s="123"/>
      <c r="L175" s="123"/>
      <c r="M175" s="121"/>
      <c r="N175" s="121"/>
      <c r="O175" s="118"/>
    </row>
    <row r="176" customFormat="false" ht="15" hidden="false" customHeight="false" outlineLevel="0" collapsed="false">
      <c r="A176" s="122"/>
      <c r="B176" s="118"/>
      <c r="C176" s="114" t="str">
        <f aca="false">IF(B176="","",IFERROR(INDEX(الموظفون!$C$6:$C$105,MATCH(B176,الموظفون!$B$6:$B$105,0)),"✖ رقم غير موجود"))</f>
        <v/>
      </c>
      <c r="D176" s="123"/>
      <c r="E176" s="123"/>
      <c r="F176" s="123"/>
      <c r="G176" s="121"/>
      <c r="H176" s="121"/>
      <c r="I176" s="121"/>
      <c r="J176" s="121"/>
      <c r="K176" s="123"/>
      <c r="L176" s="123"/>
      <c r="M176" s="121"/>
      <c r="N176" s="121"/>
      <c r="O176" s="118"/>
    </row>
    <row r="177" customFormat="false" ht="15" hidden="false" customHeight="false" outlineLevel="0" collapsed="false">
      <c r="A177" s="122"/>
      <c r="B177" s="118"/>
      <c r="C177" s="117" t="str">
        <f aca="false">IF(B177="","",IFERROR(INDEX(الموظفون!$C$6:$C$105,MATCH(B177,الموظفون!$B$6:$B$105,0)),"✖ رقم غير موجود"))</f>
        <v/>
      </c>
      <c r="D177" s="123"/>
      <c r="E177" s="123"/>
      <c r="F177" s="123"/>
      <c r="G177" s="121"/>
      <c r="H177" s="121"/>
      <c r="I177" s="121"/>
      <c r="J177" s="121"/>
      <c r="K177" s="123"/>
      <c r="L177" s="123"/>
      <c r="M177" s="121"/>
      <c r="N177" s="121"/>
      <c r="O177" s="118"/>
    </row>
    <row r="178" customFormat="false" ht="15" hidden="false" customHeight="false" outlineLevel="0" collapsed="false">
      <c r="A178" s="122"/>
      <c r="B178" s="118"/>
      <c r="C178" s="114" t="str">
        <f aca="false">IF(B178="","",IFERROR(INDEX(الموظفون!$C$6:$C$105,MATCH(B178,الموظفون!$B$6:$B$105,0)),"✖ رقم غير موجود"))</f>
        <v/>
      </c>
      <c r="D178" s="123"/>
      <c r="E178" s="123"/>
      <c r="F178" s="123"/>
      <c r="G178" s="121"/>
      <c r="H178" s="121"/>
      <c r="I178" s="121"/>
      <c r="J178" s="121"/>
      <c r="K178" s="123"/>
      <c r="L178" s="123"/>
      <c r="M178" s="121"/>
      <c r="N178" s="121"/>
      <c r="O178" s="118"/>
    </row>
    <row r="179" customFormat="false" ht="15" hidden="false" customHeight="false" outlineLevel="0" collapsed="false">
      <c r="A179" s="122"/>
      <c r="B179" s="118"/>
      <c r="C179" s="117" t="str">
        <f aca="false">IF(B179="","",IFERROR(INDEX(الموظفون!$C$6:$C$105,MATCH(B179,الموظفون!$B$6:$B$105,0)),"✖ رقم غير موجود"))</f>
        <v/>
      </c>
      <c r="D179" s="123"/>
      <c r="E179" s="123"/>
      <c r="F179" s="123"/>
      <c r="G179" s="121"/>
      <c r="H179" s="121"/>
      <c r="I179" s="121"/>
      <c r="J179" s="121"/>
      <c r="K179" s="123"/>
      <c r="L179" s="123"/>
      <c r="M179" s="121"/>
      <c r="N179" s="121"/>
      <c r="O179" s="118"/>
    </row>
    <row r="180" customFormat="false" ht="15" hidden="false" customHeight="false" outlineLevel="0" collapsed="false">
      <c r="A180" s="122"/>
      <c r="B180" s="118"/>
      <c r="C180" s="114" t="str">
        <f aca="false">IF(B180="","",IFERROR(INDEX(الموظفون!$C$6:$C$105,MATCH(B180,الموظفون!$B$6:$B$105,0)),"✖ رقم غير موجود"))</f>
        <v/>
      </c>
      <c r="D180" s="123"/>
      <c r="E180" s="123"/>
      <c r="F180" s="123"/>
      <c r="G180" s="121"/>
      <c r="H180" s="121"/>
      <c r="I180" s="121"/>
      <c r="J180" s="121"/>
      <c r="K180" s="123"/>
      <c r="L180" s="123"/>
      <c r="M180" s="121"/>
      <c r="N180" s="121"/>
      <c r="O180" s="118"/>
    </row>
    <row r="181" customFormat="false" ht="15" hidden="false" customHeight="false" outlineLevel="0" collapsed="false">
      <c r="A181" s="122"/>
      <c r="B181" s="118"/>
      <c r="C181" s="117" t="str">
        <f aca="false">IF(B181="","",IFERROR(INDEX(الموظفون!$C$6:$C$105,MATCH(B181,الموظفون!$B$6:$B$105,0)),"✖ رقم غير موجود"))</f>
        <v/>
      </c>
      <c r="D181" s="123"/>
      <c r="E181" s="123"/>
      <c r="F181" s="123"/>
      <c r="G181" s="121"/>
      <c r="H181" s="121"/>
      <c r="I181" s="121"/>
      <c r="J181" s="121"/>
      <c r="K181" s="123"/>
      <c r="L181" s="123"/>
      <c r="M181" s="121"/>
      <c r="N181" s="121"/>
      <c r="O181" s="118"/>
    </row>
    <row r="182" customFormat="false" ht="15" hidden="false" customHeight="false" outlineLevel="0" collapsed="false">
      <c r="A182" s="122"/>
      <c r="B182" s="118"/>
      <c r="C182" s="114" t="str">
        <f aca="false">IF(B182="","",IFERROR(INDEX(الموظفون!$C$6:$C$105,MATCH(B182,الموظفون!$B$6:$B$105,0)),"✖ رقم غير موجود"))</f>
        <v/>
      </c>
      <c r="D182" s="123"/>
      <c r="E182" s="123"/>
      <c r="F182" s="123"/>
      <c r="G182" s="121"/>
      <c r="H182" s="121"/>
      <c r="I182" s="121"/>
      <c r="J182" s="121"/>
      <c r="K182" s="123"/>
      <c r="L182" s="123"/>
      <c r="M182" s="121"/>
      <c r="N182" s="121"/>
      <c r="O182" s="118"/>
    </row>
    <row r="183" customFormat="false" ht="15" hidden="false" customHeight="false" outlineLevel="0" collapsed="false">
      <c r="A183" s="122"/>
      <c r="B183" s="118"/>
      <c r="C183" s="117" t="str">
        <f aca="false">IF(B183="","",IFERROR(INDEX(الموظفون!$C$6:$C$105,MATCH(B183,الموظفون!$B$6:$B$105,0)),"✖ رقم غير موجود"))</f>
        <v/>
      </c>
      <c r="D183" s="123"/>
      <c r="E183" s="123"/>
      <c r="F183" s="123"/>
      <c r="G183" s="121"/>
      <c r="H183" s="121"/>
      <c r="I183" s="121"/>
      <c r="J183" s="121"/>
      <c r="K183" s="123"/>
      <c r="L183" s="123"/>
      <c r="M183" s="121"/>
      <c r="N183" s="121"/>
      <c r="O183" s="118"/>
    </row>
    <row r="184" customFormat="false" ht="15" hidden="false" customHeight="false" outlineLevel="0" collapsed="false">
      <c r="A184" s="122"/>
      <c r="B184" s="118"/>
      <c r="C184" s="114" t="str">
        <f aca="false">IF(B184="","",IFERROR(INDEX(الموظفون!$C$6:$C$105,MATCH(B184,الموظفون!$B$6:$B$105,0)),"✖ رقم غير موجود"))</f>
        <v/>
      </c>
      <c r="D184" s="123"/>
      <c r="E184" s="123"/>
      <c r="F184" s="123"/>
      <c r="G184" s="121"/>
      <c r="H184" s="121"/>
      <c r="I184" s="121"/>
      <c r="J184" s="121"/>
      <c r="K184" s="123"/>
      <c r="L184" s="123"/>
      <c r="M184" s="121"/>
      <c r="N184" s="121"/>
      <c r="O184" s="118"/>
    </row>
    <row r="185" customFormat="false" ht="15" hidden="false" customHeight="false" outlineLevel="0" collapsed="false">
      <c r="A185" s="122"/>
      <c r="B185" s="118"/>
      <c r="C185" s="117" t="str">
        <f aca="false">IF(B185="","",IFERROR(INDEX(الموظفون!$C$6:$C$105,MATCH(B185,الموظفون!$B$6:$B$105,0)),"✖ رقم غير موجود"))</f>
        <v/>
      </c>
      <c r="D185" s="123"/>
      <c r="E185" s="123"/>
      <c r="F185" s="123"/>
      <c r="G185" s="121"/>
      <c r="H185" s="121"/>
      <c r="I185" s="121"/>
      <c r="J185" s="121"/>
      <c r="K185" s="123"/>
      <c r="L185" s="123"/>
      <c r="M185" s="121"/>
      <c r="N185" s="121"/>
      <c r="O185" s="118"/>
    </row>
    <row r="186" customFormat="false" ht="15" hidden="false" customHeight="false" outlineLevel="0" collapsed="false">
      <c r="A186" s="122"/>
      <c r="B186" s="118"/>
      <c r="C186" s="114" t="str">
        <f aca="false">IF(B186="","",IFERROR(INDEX(الموظفون!$C$6:$C$105,MATCH(B186,الموظفون!$B$6:$B$105,0)),"✖ رقم غير موجود"))</f>
        <v/>
      </c>
      <c r="D186" s="123"/>
      <c r="E186" s="123"/>
      <c r="F186" s="123"/>
      <c r="G186" s="121"/>
      <c r="H186" s="121"/>
      <c r="I186" s="121"/>
      <c r="J186" s="121"/>
      <c r="K186" s="123"/>
      <c r="L186" s="123"/>
      <c r="M186" s="121"/>
      <c r="N186" s="121"/>
      <c r="O186" s="118"/>
    </row>
    <row r="187" customFormat="false" ht="15" hidden="false" customHeight="false" outlineLevel="0" collapsed="false">
      <c r="A187" s="122"/>
      <c r="B187" s="118"/>
      <c r="C187" s="117" t="str">
        <f aca="false">IF(B187="","",IFERROR(INDEX(الموظفون!$C$6:$C$105,MATCH(B187,الموظفون!$B$6:$B$105,0)),"✖ رقم غير موجود"))</f>
        <v/>
      </c>
      <c r="D187" s="123"/>
      <c r="E187" s="123"/>
      <c r="F187" s="123"/>
      <c r="G187" s="121"/>
      <c r="H187" s="121"/>
      <c r="I187" s="121"/>
      <c r="J187" s="121"/>
      <c r="K187" s="123"/>
      <c r="L187" s="123"/>
      <c r="M187" s="121"/>
      <c r="N187" s="121"/>
      <c r="O187" s="118"/>
    </row>
    <row r="188" customFormat="false" ht="15" hidden="false" customHeight="false" outlineLevel="0" collapsed="false">
      <c r="A188" s="122"/>
      <c r="B188" s="118"/>
      <c r="C188" s="114" t="str">
        <f aca="false">IF(B188="","",IFERROR(INDEX(الموظفون!$C$6:$C$105,MATCH(B188,الموظفون!$B$6:$B$105,0)),"✖ رقم غير موجود"))</f>
        <v/>
      </c>
      <c r="D188" s="123"/>
      <c r="E188" s="123"/>
      <c r="F188" s="123"/>
      <c r="G188" s="121"/>
      <c r="H188" s="121"/>
      <c r="I188" s="121"/>
      <c r="J188" s="121"/>
      <c r="K188" s="123"/>
      <c r="L188" s="123"/>
      <c r="M188" s="121"/>
      <c r="N188" s="121"/>
      <c r="O188" s="118"/>
    </row>
    <row r="189" customFormat="false" ht="15" hidden="false" customHeight="false" outlineLevel="0" collapsed="false">
      <c r="A189" s="122"/>
      <c r="B189" s="118"/>
      <c r="C189" s="117" t="str">
        <f aca="false">IF(B189="","",IFERROR(INDEX(الموظفون!$C$6:$C$105,MATCH(B189,الموظفون!$B$6:$B$105,0)),"✖ رقم غير موجود"))</f>
        <v/>
      </c>
      <c r="D189" s="123"/>
      <c r="E189" s="123"/>
      <c r="F189" s="123"/>
      <c r="G189" s="121"/>
      <c r="H189" s="121"/>
      <c r="I189" s="121"/>
      <c r="J189" s="121"/>
      <c r="K189" s="123"/>
      <c r="L189" s="123"/>
      <c r="M189" s="121"/>
      <c r="N189" s="121"/>
      <c r="O189" s="118"/>
    </row>
    <row r="190" customFormat="false" ht="15" hidden="false" customHeight="false" outlineLevel="0" collapsed="false">
      <c r="A190" s="122"/>
      <c r="B190" s="118"/>
      <c r="C190" s="114" t="str">
        <f aca="false">IF(B190="","",IFERROR(INDEX(الموظفون!$C$6:$C$105,MATCH(B190,الموظفون!$B$6:$B$105,0)),"✖ رقم غير موجود"))</f>
        <v/>
      </c>
      <c r="D190" s="123"/>
      <c r="E190" s="123"/>
      <c r="F190" s="123"/>
      <c r="G190" s="121"/>
      <c r="H190" s="121"/>
      <c r="I190" s="121"/>
      <c r="J190" s="121"/>
      <c r="K190" s="123"/>
      <c r="L190" s="123"/>
      <c r="M190" s="121"/>
      <c r="N190" s="121"/>
      <c r="O190" s="118"/>
    </row>
    <row r="191" customFormat="false" ht="15" hidden="false" customHeight="false" outlineLevel="0" collapsed="false">
      <c r="A191" s="122"/>
      <c r="B191" s="118"/>
      <c r="C191" s="117" t="str">
        <f aca="false">IF(B191="","",IFERROR(INDEX(الموظفون!$C$6:$C$105,MATCH(B191,الموظفون!$B$6:$B$105,0)),"✖ رقم غير موجود"))</f>
        <v/>
      </c>
      <c r="D191" s="123"/>
      <c r="E191" s="123"/>
      <c r="F191" s="123"/>
      <c r="G191" s="121"/>
      <c r="H191" s="121"/>
      <c r="I191" s="121"/>
      <c r="J191" s="121"/>
      <c r="K191" s="123"/>
      <c r="L191" s="123"/>
      <c r="M191" s="121"/>
      <c r="N191" s="121"/>
      <c r="O191" s="118"/>
    </row>
    <row r="192" customFormat="false" ht="15" hidden="false" customHeight="false" outlineLevel="0" collapsed="false">
      <c r="A192" s="122"/>
      <c r="B192" s="118"/>
      <c r="C192" s="114" t="str">
        <f aca="false">IF(B192="","",IFERROR(INDEX(الموظفون!$C$6:$C$105,MATCH(B192,الموظفون!$B$6:$B$105,0)),"✖ رقم غير موجود"))</f>
        <v/>
      </c>
      <c r="D192" s="123"/>
      <c r="E192" s="123"/>
      <c r="F192" s="123"/>
      <c r="G192" s="121"/>
      <c r="H192" s="121"/>
      <c r="I192" s="121"/>
      <c r="J192" s="121"/>
      <c r="K192" s="123"/>
      <c r="L192" s="123"/>
      <c r="M192" s="121"/>
      <c r="N192" s="121"/>
      <c r="O192" s="118"/>
    </row>
    <row r="193" customFormat="false" ht="15" hidden="false" customHeight="false" outlineLevel="0" collapsed="false">
      <c r="A193" s="122"/>
      <c r="B193" s="118"/>
      <c r="C193" s="117" t="str">
        <f aca="false">IF(B193="","",IFERROR(INDEX(الموظفون!$C$6:$C$105,MATCH(B193,الموظفون!$B$6:$B$105,0)),"✖ رقم غير موجود"))</f>
        <v/>
      </c>
      <c r="D193" s="123"/>
      <c r="E193" s="123"/>
      <c r="F193" s="123"/>
      <c r="G193" s="121"/>
      <c r="H193" s="121"/>
      <c r="I193" s="121"/>
      <c r="J193" s="121"/>
      <c r="K193" s="123"/>
      <c r="L193" s="123"/>
      <c r="M193" s="121"/>
      <c r="N193" s="121"/>
      <c r="O193" s="118"/>
    </row>
    <row r="194" customFormat="false" ht="15" hidden="false" customHeight="false" outlineLevel="0" collapsed="false">
      <c r="A194" s="122"/>
      <c r="B194" s="118"/>
      <c r="C194" s="114" t="str">
        <f aca="false">IF(B194="","",IFERROR(INDEX(الموظفون!$C$6:$C$105,MATCH(B194,الموظفون!$B$6:$B$105,0)),"✖ رقم غير موجود"))</f>
        <v/>
      </c>
      <c r="D194" s="123"/>
      <c r="E194" s="123"/>
      <c r="F194" s="123"/>
      <c r="G194" s="121"/>
      <c r="H194" s="121"/>
      <c r="I194" s="121"/>
      <c r="J194" s="121"/>
      <c r="K194" s="123"/>
      <c r="L194" s="123"/>
      <c r="M194" s="121"/>
      <c r="N194" s="121"/>
      <c r="O194" s="118"/>
    </row>
    <row r="195" customFormat="false" ht="15" hidden="false" customHeight="false" outlineLevel="0" collapsed="false">
      <c r="A195" s="122"/>
      <c r="B195" s="118"/>
      <c r="C195" s="117" t="str">
        <f aca="false">IF(B195="","",IFERROR(INDEX(الموظفون!$C$6:$C$105,MATCH(B195,الموظفون!$B$6:$B$105,0)),"✖ رقم غير موجود"))</f>
        <v/>
      </c>
      <c r="D195" s="123"/>
      <c r="E195" s="123"/>
      <c r="F195" s="123"/>
      <c r="G195" s="121"/>
      <c r="H195" s="121"/>
      <c r="I195" s="121"/>
      <c r="J195" s="121"/>
      <c r="K195" s="123"/>
      <c r="L195" s="123"/>
      <c r="M195" s="121"/>
      <c r="N195" s="121"/>
      <c r="O195" s="118"/>
    </row>
    <row r="196" customFormat="false" ht="15" hidden="false" customHeight="false" outlineLevel="0" collapsed="false">
      <c r="A196" s="122"/>
      <c r="B196" s="118"/>
      <c r="C196" s="114" t="str">
        <f aca="false">IF(B196="","",IFERROR(INDEX(الموظفون!$C$6:$C$105,MATCH(B196,الموظفون!$B$6:$B$105,0)),"✖ رقم غير موجود"))</f>
        <v/>
      </c>
      <c r="D196" s="123"/>
      <c r="E196" s="123"/>
      <c r="F196" s="123"/>
      <c r="G196" s="121"/>
      <c r="H196" s="121"/>
      <c r="I196" s="121"/>
      <c r="J196" s="121"/>
      <c r="K196" s="123"/>
      <c r="L196" s="123"/>
      <c r="M196" s="121"/>
      <c r="N196" s="121"/>
      <c r="O196" s="118"/>
    </row>
    <row r="197" customFormat="false" ht="15" hidden="false" customHeight="false" outlineLevel="0" collapsed="false">
      <c r="A197" s="122"/>
      <c r="B197" s="118"/>
      <c r="C197" s="117" t="str">
        <f aca="false">IF(B197="","",IFERROR(INDEX(الموظفون!$C$6:$C$105,MATCH(B197,الموظفون!$B$6:$B$105,0)),"✖ رقم غير موجود"))</f>
        <v/>
      </c>
      <c r="D197" s="123"/>
      <c r="E197" s="123"/>
      <c r="F197" s="123"/>
      <c r="G197" s="121"/>
      <c r="H197" s="121"/>
      <c r="I197" s="121"/>
      <c r="J197" s="121"/>
      <c r="K197" s="123"/>
      <c r="L197" s="123"/>
      <c r="M197" s="121"/>
      <c r="N197" s="121"/>
      <c r="O197" s="118"/>
    </row>
    <row r="198" customFormat="false" ht="15" hidden="false" customHeight="false" outlineLevel="0" collapsed="false">
      <c r="A198" s="122"/>
      <c r="B198" s="118"/>
      <c r="C198" s="114" t="str">
        <f aca="false">IF(B198="","",IFERROR(INDEX(الموظفون!$C$6:$C$105,MATCH(B198,الموظفون!$B$6:$B$105,0)),"✖ رقم غير موجود"))</f>
        <v/>
      </c>
      <c r="D198" s="123"/>
      <c r="E198" s="123"/>
      <c r="F198" s="123"/>
      <c r="G198" s="121"/>
      <c r="H198" s="121"/>
      <c r="I198" s="121"/>
      <c r="J198" s="121"/>
      <c r="K198" s="123"/>
      <c r="L198" s="123"/>
      <c r="M198" s="121"/>
      <c r="N198" s="121"/>
      <c r="O198" s="118"/>
    </row>
    <row r="199" customFormat="false" ht="15" hidden="false" customHeight="false" outlineLevel="0" collapsed="false">
      <c r="A199" s="122"/>
      <c r="B199" s="118"/>
      <c r="C199" s="117" t="str">
        <f aca="false">IF(B199="","",IFERROR(INDEX(الموظفون!$C$6:$C$105,MATCH(B199,الموظفون!$B$6:$B$105,0)),"✖ رقم غير موجود"))</f>
        <v/>
      </c>
      <c r="D199" s="123"/>
      <c r="E199" s="123"/>
      <c r="F199" s="123"/>
      <c r="G199" s="121"/>
      <c r="H199" s="121"/>
      <c r="I199" s="121"/>
      <c r="J199" s="121"/>
      <c r="K199" s="123"/>
      <c r="L199" s="123"/>
      <c r="M199" s="121"/>
      <c r="N199" s="121"/>
      <c r="O199" s="118"/>
    </row>
    <row r="200" customFormat="false" ht="15" hidden="false" customHeight="false" outlineLevel="0" collapsed="false">
      <c r="A200" s="122"/>
      <c r="B200" s="118"/>
      <c r="C200" s="114" t="str">
        <f aca="false">IF(B200="","",IFERROR(INDEX(الموظفون!$C$6:$C$105,MATCH(B200,الموظفون!$B$6:$B$105,0)),"✖ رقم غير موجود"))</f>
        <v/>
      </c>
      <c r="D200" s="123"/>
      <c r="E200" s="123"/>
      <c r="F200" s="123"/>
      <c r="G200" s="121"/>
      <c r="H200" s="121"/>
      <c r="I200" s="121"/>
      <c r="J200" s="121"/>
      <c r="K200" s="123"/>
      <c r="L200" s="123"/>
      <c r="M200" s="121"/>
      <c r="N200" s="121"/>
      <c r="O200" s="118"/>
    </row>
    <row r="201" customFormat="false" ht="15" hidden="false" customHeight="false" outlineLevel="0" collapsed="false">
      <c r="A201" s="122"/>
      <c r="B201" s="118"/>
      <c r="C201" s="117" t="str">
        <f aca="false">IF(B201="","",IFERROR(INDEX(الموظفون!$C$6:$C$105,MATCH(B201,الموظفون!$B$6:$B$105,0)),"✖ رقم غير موجود"))</f>
        <v/>
      </c>
      <c r="D201" s="123"/>
      <c r="E201" s="123"/>
      <c r="F201" s="123"/>
      <c r="G201" s="121"/>
      <c r="H201" s="121"/>
      <c r="I201" s="121"/>
      <c r="J201" s="121"/>
      <c r="K201" s="123"/>
      <c r="L201" s="123"/>
      <c r="M201" s="121"/>
      <c r="N201" s="121"/>
      <c r="O201" s="118"/>
    </row>
    <row r="202" customFormat="false" ht="15" hidden="false" customHeight="false" outlineLevel="0" collapsed="false">
      <c r="A202" s="122"/>
      <c r="B202" s="118"/>
      <c r="C202" s="114" t="str">
        <f aca="false">IF(B202="","",IFERROR(INDEX(الموظفون!$C$6:$C$105,MATCH(B202,الموظفون!$B$6:$B$105,0)),"✖ رقم غير موجود"))</f>
        <v/>
      </c>
      <c r="D202" s="123"/>
      <c r="E202" s="123"/>
      <c r="F202" s="123"/>
      <c r="G202" s="121"/>
      <c r="H202" s="121"/>
      <c r="I202" s="121"/>
      <c r="J202" s="121"/>
      <c r="K202" s="123"/>
      <c r="L202" s="123"/>
      <c r="M202" s="121"/>
      <c r="N202" s="121"/>
      <c r="O202" s="118"/>
    </row>
    <row r="203" customFormat="false" ht="15" hidden="false" customHeight="false" outlineLevel="0" collapsed="false">
      <c r="A203" s="122"/>
      <c r="B203" s="118"/>
      <c r="C203" s="117" t="str">
        <f aca="false">IF(B203="","",IFERROR(INDEX(الموظفون!$C$6:$C$105,MATCH(B203,الموظفون!$B$6:$B$105,0)),"✖ رقم غير موجود"))</f>
        <v/>
      </c>
      <c r="D203" s="123"/>
      <c r="E203" s="123"/>
      <c r="F203" s="123"/>
      <c r="G203" s="121"/>
      <c r="H203" s="121"/>
      <c r="I203" s="121"/>
      <c r="J203" s="121"/>
      <c r="K203" s="123"/>
      <c r="L203" s="123"/>
      <c r="M203" s="121"/>
      <c r="N203" s="121"/>
      <c r="O203" s="118"/>
    </row>
    <row r="204" customFormat="false" ht="15" hidden="false" customHeight="false" outlineLevel="0" collapsed="false">
      <c r="A204" s="122"/>
      <c r="B204" s="118"/>
      <c r="C204" s="114" t="str">
        <f aca="false">IF(B204="","",IFERROR(INDEX(الموظفون!$C$6:$C$105,MATCH(B204,الموظفون!$B$6:$B$105,0)),"✖ رقم غير موجود"))</f>
        <v/>
      </c>
      <c r="D204" s="123"/>
      <c r="E204" s="123"/>
      <c r="F204" s="123"/>
      <c r="G204" s="121"/>
      <c r="H204" s="121"/>
      <c r="I204" s="121"/>
      <c r="J204" s="121"/>
      <c r="K204" s="123"/>
      <c r="L204" s="123"/>
      <c r="M204" s="121"/>
      <c r="N204" s="121"/>
      <c r="O204" s="118"/>
    </row>
    <row r="205" customFormat="false" ht="15" hidden="false" customHeight="false" outlineLevel="0" collapsed="false">
      <c r="A205" s="122"/>
      <c r="B205" s="118"/>
      <c r="C205" s="117" t="str">
        <f aca="false">IF(B205="","",IFERROR(INDEX(الموظفون!$C$6:$C$105,MATCH(B205,الموظفون!$B$6:$B$105,0)),"✖ رقم غير موجود"))</f>
        <v/>
      </c>
      <c r="D205" s="123"/>
      <c r="E205" s="123"/>
      <c r="F205" s="123"/>
      <c r="G205" s="121"/>
      <c r="H205" s="121"/>
      <c r="I205" s="121"/>
      <c r="J205" s="121"/>
      <c r="K205" s="123"/>
      <c r="L205" s="123"/>
      <c r="M205" s="121"/>
      <c r="N205" s="121"/>
      <c r="O205" s="118"/>
    </row>
    <row r="206" customFormat="false" ht="15" hidden="false" customHeight="false" outlineLevel="0" collapsed="false">
      <c r="A206" s="122"/>
      <c r="B206" s="118"/>
      <c r="C206" s="114" t="str">
        <f aca="false">IF(B206="","",IFERROR(INDEX(الموظفون!$C$6:$C$105,MATCH(B206,الموظفون!$B$6:$B$105,0)),"✖ رقم غير موجود"))</f>
        <v/>
      </c>
      <c r="D206" s="123"/>
      <c r="E206" s="123"/>
      <c r="F206" s="123"/>
      <c r="G206" s="121"/>
      <c r="H206" s="121"/>
      <c r="I206" s="121"/>
      <c r="J206" s="121"/>
      <c r="K206" s="123"/>
      <c r="L206" s="123"/>
      <c r="M206" s="121"/>
      <c r="N206" s="121"/>
      <c r="O206" s="118"/>
    </row>
    <row r="207" customFormat="false" ht="15" hidden="false" customHeight="false" outlineLevel="0" collapsed="false">
      <c r="A207" s="122"/>
      <c r="B207" s="118"/>
      <c r="C207" s="117" t="str">
        <f aca="false">IF(B207="","",IFERROR(INDEX(الموظفون!$C$6:$C$105,MATCH(B207,الموظفون!$B$6:$B$105,0)),"✖ رقم غير موجود"))</f>
        <v/>
      </c>
      <c r="D207" s="123"/>
      <c r="E207" s="123"/>
      <c r="F207" s="123"/>
      <c r="G207" s="121"/>
      <c r="H207" s="121"/>
      <c r="I207" s="121"/>
      <c r="J207" s="121"/>
      <c r="K207" s="123"/>
      <c r="L207" s="123"/>
      <c r="M207" s="121"/>
      <c r="N207" s="121"/>
      <c r="O207" s="118"/>
    </row>
    <row r="208" customFormat="false" ht="15" hidden="false" customHeight="false" outlineLevel="0" collapsed="false">
      <c r="A208" s="122"/>
      <c r="B208" s="118"/>
      <c r="C208" s="114" t="str">
        <f aca="false">IF(B208="","",IFERROR(INDEX(الموظفون!$C$6:$C$105,MATCH(B208,الموظفون!$B$6:$B$105,0)),"✖ رقم غير موجود"))</f>
        <v/>
      </c>
      <c r="D208" s="123"/>
      <c r="E208" s="123"/>
      <c r="F208" s="123"/>
      <c r="G208" s="121"/>
      <c r="H208" s="121"/>
      <c r="I208" s="121"/>
      <c r="J208" s="121"/>
      <c r="K208" s="123"/>
      <c r="L208" s="123"/>
      <c r="M208" s="121"/>
      <c r="N208" s="121"/>
      <c r="O208" s="118"/>
    </row>
    <row r="209" customFormat="false" ht="15" hidden="false" customHeight="false" outlineLevel="0" collapsed="false">
      <c r="A209" s="122"/>
      <c r="B209" s="118"/>
      <c r="C209" s="117" t="str">
        <f aca="false">IF(B209="","",IFERROR(INDEX(الموظفون!$C$6:$C$105,MATCH(B209,الموظفون!$B$6:$B$105,0)),"✖ رقم غير موجود"))</f>
        <v/>
      </c>
      <c r="D209" s="123"/>
      <c r="E209" s="123"/>
      <c r="F209" s="123"/>
      <c r="G209" s="121"/>
      <c r="H209" s="121"/>
      <c r="I209" s="121"/>
      <c r="J209" s="121"/>
      <c r="K209" s="123"/>
      <c r="L209" s="123"/>
      <c r="M209" s="121"/>
      <c r="N209" s="121"/>
      <c r="O209" s="118"/>
    </row>
    <row r="210" customFormat="false" ht="15" hidden="false" customHeight="false" outlineLevel="0" collapsed="false">
      <c r="A210" s="122"/>
      <c r="B210" s="118"/>
      <c r="C210" s="114" t="str">
        <f aca="false">IF(B210="","",IFERROR(INDEX(الموظفون!$C$6:$C$105,MATCH(B210,الموظفون!$B$6:$B$105,0)),"✖ رقم غير موجود"))</f>
        <v/>
      </c>
      <c r="D210" s="123"/>
      <c r="E210" s="123"/>
      <c r="F210" s="123"/>
      <c r="G210" s="121"/>
      <c r="H210" s="121"/>
      <c r="I210" s="121"/>
      <c r="J210" s="121"/>
      <c r="K210" s="123"/>
      <c r="L210" s="123"/>
      <c r="M210" s="121"/>
      <c r="N210" s="121"/>
      <c r="O210" s="118"/>
    </row>
    <row r="211" customFormat="false" ht="15" hidden="false" customHeight="false" outlineLevel="0" collapsed="false">
      <c r="A211" s="122"/>
      <c r="B211" s="118"/>
      <c r="C211" s="117" t="str">
        <f aca="false">IF(B211="","",IFERROR(INDEX(الموظفون!$C$6:$C$105,MATCH(B211,الموظفون!$B$6:$B$105,0)),"✖ رقم غير موجود"))</f>
        <v/>
      </c>
      <c r="D211" s="123"/>
      <c r="E211" s="123"/>
      <c r="F211" s="123"/>
      <c r="G211" s="121"/>
      <c r="H211" s="121"/>
      <c r="I211" s="121"/>
      <c r="J211" s="121"/>
      <c r="K211" s="123"/>
      <c r="L211" s="123"/>
      <c r="M211" s="121"/>
      <c r="N211" s="121"/>
      <c r="O211" s="118"/>
    </row>
    <row r="212" customFormat="false" ht="15" hidden="false" customHeight="false" outlineLevel="0" collapsed="false">
      <c r="A212" s="122"/>
      <c r="B212" s="118"/>
      <c r="C212" s="114" t="str">
        <f aca="false">IF(B212="","",IFERROR(INDEX(الموظفون!$C$6:$C$105,MATCH(B212,الموظفون!$B$6:$B$105,0)),"✖ رقم غير موجود"))</f>
        <v/>
      </c>
      <c r="D212" s="123"/>
      <c r="E212" s="123"/>
      <c r="F212" s="123"/>
      <c r="G212" s="121"/>
      <c r="H212" s="121"/>
      <c r="I212" s="121"/>
      <c r="J212" s="121"/>
      <c r="K212" s="123"/>
      <c r="L212" s="123"/>
      <c r="M212" s="121"/>
      <c r="N212" s="121"/>
      <c r="O212" s="118"/>
    </row>
    <row r="213" customFormat="false" ht="15" hidden="false" customHeight="false" outlineLevel="0" collapsed="false">
      <c r="A213" s="122"/>
      <c r="B213" s="118"/>
      <c r="C213" s="117" t="str">
        <f aca="false">IF(B213="","",IFERROR(INDEX(الموظفون!$C$6:$C$105,MATCH(B213,الموظفون!$B$6:$B$105,0)),"✖ رقم غير موجود"))</f>
        <v/>
      </c>
      <c r="D213" s="123"/>
      <c r="E213" s="123"/>
      <c r="F213" s="123"/>
      <c r="G213" s="121"/>
      <c r="H213" s="121"/>
      <c r="I213" s="121"/>
      <c r="J213" s="121"/>
      <c r="K213" s="123"/>
      <c r="L213" s="123"/>
      <c r="M213" s="121"/>
      <c r="N213" s="121"/>
      <c r="O213" s="118"/>
    </row>
    <row r="214" customFormat="false" ht="15" hidden="false" customHeight="false" outlineLevel="0" collapsed="false">
      <c r="A214" s="122"/>
      <c r="B214" s="118"/>
      <c r="C214" s="114" t="str">
        <f aca="false">IF(B214="","",IFERROR(INDEX(الموظفون!$C$6:$C$105,MATCH(B214,الموظفون!$B$6:$B$105,0)),"✖ رقم غير موجود"))</f>
        <v/>
      </c>
      <c r="D214" s="123"/>
      <c r="E214" s="123"/>
      <c r="F214" s="123"/>
      <c r="G214" s="121"/>
      <c r="H214" s="121"/>
      <c r="I214" s="121"/>
      <c r="J214" s="121"/>
      <c r="K214" s="123"/>
      <c r="L214" s="123"/>
      <c r="M214" s="121"/>
      <c r="N214" s="121"/>
      <c r="O214" s="118"/>
    </row>
    <row r="215" customFormat="false" ht="15" hidden="false" customHeight="false" outlineLevel="0" collapsed="false">
      <c r="A215" s="122"/>
      <c r="B215" s="118"/>
      <c r="C215" s="117" t="str">
        <f aca="false">IF(B215="","",IFERROR(INDEX(الموظفون!$C$6:$C$105,MATCH(B215,الموظفون!$B$6:$B$105,0)),"✖ رقم غير موجود"))</f>
        <v/>
      </c>
      <c r="D215" s="123"/>
      <c r="E215" s="123"/>
      <c r="F215" s="123"/>
      <c r="G215" s="121"/>
      <c r="H215" s="121"/>
      <c r="I215" s="121"/>
      <c r="J215" s="121"/>
      <c r="K215" s="123"/>
      <c r="L215" s="123"/>
      <c r="M215" s="121"/>
      <c r="N215" s="121"/>
      <c r="O215" s="118"/>
    </row>
    <row r="216" customFormat="false" ht="15" hidden="false" customHeight="false" outlineLevel="0" collapsed="false">
      <c r="A216" s="122"/>
      <c r="B216" s="118"/>
      <c r="C216" s="114" t="str">
        <f aca="false">IF(B216="","",IFERROR(INDEX(الموظفون!$C$6:$C$105,MATCH(B216,الموظفون!$B$6:$B$105,0)),"✖ رقم غير موجود"))</f>
        <v/>
      </c>
      <c r="D216" s="123"/>
      <c r="E216" s="123"/>
      <c r="F216" s="123"/>
      <c r="G216" s="121"/>
      <c r="H216" s="121"/>
      <c r="I216" s="121"/>
      <c r="J216" s="121"/>
      <c r="K216" s="123"/>
      <c r="L216" s="123"/>
      <c r="M216" s="121"/>
      <c r="N216" s="121"/>
      <c r="O216" s="118"/>
    </row>
    <row r="217" customFormat="false" ht="15" hidden="false" customHeight="false" outlineLevel="0" collapsed="false">
      <c r="A217" s="122"/>
      <c r="B217" s="118"/>
      <c r="C217" s="117" t="str">
        <f aca="false">IF(B217="","",IFERROR(INDEX(الموظفون!$C$6:$C$105,MATCH(B217,الموظفون!$B$6:$B$105,0)),"✖ رقم غير موجود"))</f>
        <v/>
      </c>
      <c r="D217" s="123"/>
      <c r="E217" s="123"/>
      <c r="F217" s="123"/>
      <c r="G217" s="121"/>
      <c r="H217" s="121"/>
      <c r="I217" s="121"/>
      <c r="J217" s="121"/>
      <c r="K217" s="123"/>
      <c r="L217" s="123"/>
      <c r="M217" s="121"/>
      <c r="N217" s="121"/>
      <c r="O217" s="118"/>
    </row>
    <row r="218" customFormat="false" ht="15" hidden="false" customHeight="false" outlineLevel="0" collapsed="false">
      <c r="A218" s="122"/>
      <c r="B218" s="118"/>
      <c r="C218" s="114" t="str">
        <f aca="false">IF(B218="","",IFERROR(INDEX(الموظفون!$C$6:$C$105,MATCH(B218,الموظفون!$B$6:$B$105,0)),"✖ رقم غير موجود"))</f>
        <v/>
      </c>
      <c r="D218" s="123"/>
      <c r="E218" s="123"/>
      <c r="F218" s="123"/>
      <c r="G218" s="121"/>
      <c r="H218" s="121"/>
      <c r="I218" s="121"/>
      <c r="J218" s="121"/>
      <c r="K218" s="123"/>
      <c r="L218" s="123"/>
      <c r="M218" s="121"/>
      <c r="N218" s="121"/>
      <c r="O218" s="118"/>
    </row>
    <row r="219" customFormat="false" ht="15" hidden="false" customHeight="false" outlineLevel="0" collapsed="false">
      <c r="A219" s="122"/>
      <c r="B219" s="118"/>
      <c r="C219" s="117" t="str">
        <f aca="false">IF(B219="","",IFERROR(INDEX(الموظفون!$C$6:$C$105,MATCH(B219,الموظفون!$B$6:$B$105,0)),"✖ رقم غير موجود"))</f>
        <v/>
      </c>
      <c r="D219" s="123"/>
      <c r="E219" s="123"/>
      <c r="F219" s="123"/>
      <c r="G219" s="121"/>
      <c r="H219" s="121"/>
      <c r="I219" s="121"/>
      <c r="J219" s="121"/>
      <c r="K219" s="123"/>
      <c r="L219" s="123"/>
      <c r="M219" s="121"/>
      <c r="N219" s="121"/>
      <c r="O219" s="118"/>
    </row>
    <row r="220" customFormat="false" ht="15" hidden="false" customHeight="false" outlineLevel="0" collapsed="false">
      <c r="A220" s="122"/>
      <c r="B220" s="118"/>
      <c r="C220" s="114" t="str">
        <f aca="false">IF(B220="","",IFERROR(INDEX(الموظفون!$C$6:$C$105,MATCH(B220,الموظفون!$B$6:$B$105,0)),"✖ رقم غير موجود"))</f>
        <v/>
      </c>
      <c r="D220" s="123"/>
      <c r="E220" s="123"/>
      <c r="F220" s="123"/>
      <c r="G220" s="121"/>
      <c r="H220" s="121"/>
      <c r="I220" s="121"/>
      <c r="J220" s="121"/>
      <c r="K220" s="123"/>
      <c r="L220" s="123"/>
      <c r="M220" s="121"/>
      <c r="N220" s="121"/>
      <c r="O220" s="118"/>
    </row>
    <row r="221" customFormat="false" ht="15" hidden="false" customHeight="false" outlineLevel="0" collapsed="false">
      <c r="A221" s="122"/>
      <c r="B221" s="118"/>
      <c r="C221" s="117" t="str">
        <f aca="false">IF(B221="","",IFERROR(INDEX(الموظفون!$C$6:$C$105,MATCH(B221,الموظفون!$B$6:$B$105,0)),"✖ رقم غير موجود"))</f>
        <v/>
      </c>
      <c r="D221" s="123"/>
      <c r="E221" s="123"/>
      <c r="F221" s="123"/>
      <c r="G221" s="121"/>
      <c r="H221" s="121"/>
      <c r="I221" s="121"/>
      <c r="J221" s="121"/>
      <c r="K221" s="123"/>
      <c r="L221" s="123"/>
      <c r="M221" s="121"/>
      <c r="N221" s="121"/>
      <c r="O221" s="118"/>
    </row>
    <row r="222" customFormat="false" ht="15" hidden="false" customHeight="false" outlineLevel="0" collapsed="false">
      <c r="A222" s="122"/>
      <c r="B222" s="118"/>
      <c r="C222" s="114" t="str">
        <f aca="false">IF(B222="","",IFERROR(INDEX(الموظفون!$C$6:$C$105,MATCH(B222,الموظفون!$B$6:$B$105,0)),"✖ رقم غير موجود"))</f>
        <v/>
      </c>
      <c r="D222" s="123"/>
      <c r="E222" s="123"/>
      <c r="F222" s="123"/>
      <c r="G222" s="121"/>
      <c r="H222" s="121"/>
      <c r="I222" s="121"/>
      <c r="J222" s="121"/>
      <c r="K222" s="123"/>
      <c r="L222" s="123"/>
      <c r="M222" s="121"/>
      <c r="N222" s="121"/>
      <c r="O222" s="118"/>
    </row>
    <row r="223" customFormat="false" ht="15" hidden="false" customHeight="false" outlineLevel="0" collapsed="false">
      <c r="A223" s="122"/>
      <c r="B223" s="118"/>
      <c r="C223" s="117" t="str">
        <f aca="false">IF(B223="","",IFERROR(INDEX(الموظفون!$C$6:$C$105,MATCH(B223,الموظفون!$B$6:$B$105,0)),"✖ رقم غير موجود"))</f>
        <v/>
      </c>
      <c r="D223" s="123"/>
      <c r="E223" s="123"/>
      <c r="F223" s="123"/>
      <c r="G223" s="121"/>
      <c r="H223" s="121"/>
      <c r="I223" s="121"/>
      <c r="J223" s="121"/>
      <c r="K223" s="123"/>
      <c r="L223" s="123"/>
      <c r="M223" s="121"/>
      <c r="N223" s="121"/>
      <c r="O223" s="118"/>
    </row>
    <row r="224" customFormat="false" ht="15" hidden="false" customHeight="false" outlineLevel="0" collapsed="false">
      <c r="A224" s="122"/>
      <c r="B224" s="118"/>
      <c r="C224" s="114" t="str">
        <f aca="false">IF(B224="","",IFERROR(INDEX(الموظفون!$C$6:$C$105,MATCH(B224,الموظفون!$B$6:$B$105,0)),"✖ رقم غير موجود"))</f>
        <v/>
      </c>
      <c r="D224" s="123"/>
      <c r="E224" s="123"/>
      <c r="F224" s="123"/>
      <c r="G224" s="121"/>
      <c r="H224" s="121"/>
      <c r="I224" s="121"/>
      <c r="J224" s="121"/>
      <c r="K224" s="123"/>
      <c r="L224" s="123"/>
      <c r="M224" s="121"/>
      <c r="N224" s="121"/>
      <c r="O224" s="118"/>
    </row>
    <row r="225" customFormat="false" ht="15" hidden="false" customHeight="false" outlineLevel="0" collapsed="false">
      <c r="A225" s="122"/>
      <c r="B225" s="118"/>
      <c r="C225" s="117" t="str">
        <f aca="false">IF(B225="","",IFERROR(INDEX(الموظفون!$C$6:$C$105,MATCH(B225,الموظفون!$B$6:$B$105,0)),"✖ رقم غير موجود"))</f>
        <v/>
      </c>
      <c r="D225" s="123"/>
      <c r="E225" s="123"/>
      <c r="F225" s="123"/>
      <c r="G225" s="121"/>
      <c r="H225" s="121"/>
      <c r="I225" s="121"/>
      <c r="J225" s="121"/>
      <c r="K225" s="123"/>
      <c r="L225" s="123"/>
      <c r="M225" s="121"/>
      <c r="N225" s="121"/>
      <c r="O225" s="118"/>
    </row>
    <row r="226" customFormat="false" ht="15" hidden="false" customHeight="false" outlineLevel="0" collapsed="false">
      <c r="A226" s="122"/>
      <c r="B226" s="118"/>
      <c r="C226" s="114" t="str">
        <f aca="false">IF(B226="","",IFERROR(INDEX(الموظفون!$C$6:$C$105,MATCH(B226,الموظفون!$B$6:$B$105,0)),"✖ رقم غير موجود"))</f>
        <v/>
      </c>
      <c r="D226" s="123"/>
      <c r="E226" s="123"/>
      <c r="F226" s="123"/>
      <c r="G226" s="121"/>
      <c r="H226" s="121"/>
      <c r="I226" s="121"/>
      <c r="J226" s="121"/>
      <c r="K226" s="123"/>
      <c r="L226" s="123"/>
      <c r="M226" s="121"/>
      <c r="N226" s="121"/>
      <c r="O226" s="118"/>
    </row>
    <row r="227" customFormat="false" ht="15" hidden="false" customHeight="false" outlineLevel="0" collapsed="false">
      <c r="A227" s="122"/>
      <c r="B227" s="118"/>
      <c r="C227" s="117" t="str">
        <f aca="false">IF(B227="","",IFERROR(INDEX(الموظفون!$C$6:$C$105,MATCH(B227,الموظفون!$B$6:$B$105,0)),"✖ رقم غير موجود"))</f>
        <v/>
      </c>
      <c r="D227" s="123"/>
      <c r="E227" s="123"/>
      <c r="F227" s="123"/>
      <c r="G227" s="121"/>
      <c r="H227" s="121"/>
      <c r="I227" s="121"/>
      <c r="J227" s="121"/>
      <c r="K227" s="123"/>
      <c r="L227" s="123"/>
      <c r="M227" s="121"/>
      <c r="N227" s="121"/>
      <c r="O227" s="118"/>
    </row>
    <row r="228" customFormat="false" ht="15" hidden="false" customHeight="false" outlineLevel="0" collapsed="false">
      <c r="A228" s="122"/>
      <c r="B228" s="118"/>
      <c r="C228" s="114" t="str">
        <f aca="false">IF(B228="","",IFERROR(INDEX(الموظفون!$C$6:$C$105,MATCH(B228,الموظفون!$B$6:$B$105,0)),"✖ رقم غير موجود"))</f>
        <v/>
      </c>
      <c r="D228" s="123"/>
      <c r="E228" s="123"/>
      <c r="F228" s="123"/>
      <c r="G228" s="121"/>
      <c r="H228" s="121"/>
      <c r="I228" s="121"/>
      <c r="J228" s="121"/>
      <c r="K228" s="123"/>
      <c r="L228" s="123"/>
      <c r="M228" s="121"/>
      <c r="N228" s="121"/>
      <c r="O228" s="118"/>
    </row>
    <row r="229" customFormat="false" ht="15" hidden="false" customHeight="false" outlineLevel="0" collapsed="false">
      <c r="A229" s="122"/>
      <c r="B229" s="118"/>
      <c r="C229" s="117" t="str">
        <f aca="false">IF(B229="","",IFERROR(INDEX(الموظفون!$C$6:$C$105,MATCH(B229,الموظفون!$B$6:$B$105,0)),"✖ رقم غير موجود"))</f>
        <v/>
      </c>
      <c r="D229" s="123"/>
      <c r="E229" s="123"/>
      <c r="F229" s="123"/>
      <c r="G229" s="121"/>
      <c r="H229" s="121"/>
      <c r="I229" s="121"/>
      <c r="J229" s="121"/>
      <c r="K229" s="123"/>
      <c r="L229" s="123"/>
      <c r="M229" s="121"/>
      <c r="N229" s="121"/>
      <c r="O229" s="118"/>
    </row>
    <row r="230" customFormat="false" ht="15" hidden="false" customHeight="false" outlineLevel="0" collapsed="false">
      <c r="A230" s="122"/>
      <c r="B230" s="118"/>
      <c r="C230" s="114" t="str">
        <f aca="false">IF(B230="","",IFERROR(INDEX(الموظفون!$C$6:$C$105,MATCH(B230,الموظفون!$B$6:$B$105,0)),"✖ رقم غير موجود"))</f>
        <v/>
      </c>
      <c r="D230" s="123"/>
      <c r="E230" s="123"/>
      <c r="F230" s="123"/>
      <c r="G230" s="121"/>
      <c r="H230" s="121"/>
      <c r="I230" s="121"/>
      <c r="J230" s="121"/>
      <c r="K230" s="123"/>
      <c r="L230" s="123"/>
      <c r="M230" s="121"/>
      <c r="N230" s="121"/>
      <c r="O230" s="118"/>
    </row>
    <row r="231" customFormat="false" ht="15" hidden="false" customHeight="false" outlineLevel="0" collapsed="false">
      <c r="A231" s="122"/>
      <c r="B231" s="118"/>
      <c r="C231" s="117" t="str">
        <f aca="false">IF(B231="","",IFERROR(INDEX(الموظفون!$C$6:$C$105,MATCH(B231,الموظفون!$B$6:$B$105,0)),"✖ رقم غير موجود"))</f>
        <v/>
      </c>
      <c r="D231" s="123"/>
      <c r="E231" s="123"/>
      <c r="F231" s="123"/>
      <c r="G231" s="121"/>
      <c r="H231" s="121"/>
      <c r="I231" s="121"/>
      <c r="J231" s="121"/>
      <c r="K231" s="123"/>
      <c r="L231" s="123"/>
      <c r="M231" s="121"/>
      <c r="N231" s="121"/>
      <c r="O231" s="118"/>
    </row>
    <row r="232" customFormat="false" ht="15" hidden="false" customHeight="false" outlineLevel="0" collapsed="false">
      <c r="A232" s="122"/>
      <c r="B232" s="118"/>
      <c r="C232" s="114" t="str">
        <f aca="false">IF(B232="","",IFERROR(INDEX(الموظفون!$C$6:$C$105,MATCH(B232,الموظفون!$B$6:$B$105,0)),"✖ رقم غير موجود"))</f>
        <v/>
      </c>
      <c r="D232" s="123"/>
      <c r="E232" s="123"/>
      <c r="F232" s="123"/>
      <c r="G232" s="121"/>
      <c r="H232" s="121"/>
      <c r="I232" s="121"/>
      <c r="J232" s="121"/>
      <c r="K232" s="123"/>
      <c r="L232" s="123"/>
      <c r="M232" s="121"/>
      <c r="N232" s="121"/>
      <c r="O232" s="118"/>
    </row>
    <row r="233" customFormat="false" ht="15" hidden="false" customHeight="false" outlineLevel="0" collapsed="false">
      <c r="A233" s="122"/>
      <c r="B233" s="118"/>
      <c r="C233" s="117" t="str">
        <f aca="false">IF(B233="","",IFERROR(INDEX(الموظفون!$C$6:$C$105,MATCH(B233,الموظفون!$B$6:$B$105,0)),"✖ رقم غير موجود"))</f>
        <v/>
      </c>
      <c r="D233" s="123"/>
      <c r="E233" s="123"/>
      <c r="F233" s="123"/>
      <c r="G233" s="121"/>
      <c r="H233" s="121"/>
      <c r="I233" s="121"/>
      <c r="J233" s="121"/>
      <c r="K233" s="123"/>
      <c r="L233" s="123"/>
      <c r="M233" s="121"/>
      <c r="N233" s="121"/>
      <c r="O233" s="118"/>
    </row>
    <row r="234" customFormat="false" ht="15" hidden="false" customHeight="false" outlineLevel="0" collapsed="false">
      <c r="A234" s="122"/>
      <c r="B234" s="118"/>
      <c r="C234" s="114" t="str">
        <f aca="false">IF(B234="","",IFERROR(INDEX(الموظفون!$C$6:$C$105,MATCH(B234,الموظفون!$B$6:$B$105,0)),"✖ رقم غير موجود"))</f>
        <v/>
      </c>
      <c r="D234" s="123"/>
      <c r="E234" s="123"/>
      <c r="F234" s="123"/>
      <c r="G234" s="121"/>
      <c r="H234" s="121"/>
      <c r="I234" s="121"/>
      <c r="J234" s="121"/>
      <c r="K234" s="123"/>
      <c r="L234" s="123"/>
      <c r="M234" s="121"/>
      <c r="N234" s="121"/>
      <c r="O234" s="118"/>
    </row>
    <row r="235" customFormat="false" ht="15" hidden="false" customHeight="false" outlineLevel="0" collapsed="false">
      <c r="A235" s="122"/>
      <c r="B235" s="118"/>
      <c r="C235" s="117" t="str">
        <f aca="false">IF(B235="","",IFERROR(INDEX(الموظفون!$C$6:$C$105,MATCH(B235,الموظفون!$B$6:$B$105,0)),"✖ رقم غير موجود"))</f>
        <v/>
      </c>
      <c r="D235" s="123"/>
      <c r="E235" s="123"/>
      <c r="F235" s="123"/>
      <c r="G235" s="121"/>
      <c r="H235" s="121"/>
      <c r="I235" s="121"/>
      <c r="J235" s="121"/>
      <c r="K235" s="123"/>
      <c r="L235" s="123"/>
      <c r="M235" s="121"/>
      <c r="N235" s="121"/>
      <c r="O235" s="118"/>
    </row>
    <row r="236" customFormat="false" ht="15" hidden="false" customHeight="false" outlineLevel="0" collapsed="false">
      <c r="A236" s="122"/>
      <c r="B236" s="118"/>
      <c r="C236" s="114" t="str">
        <f aca="false">IF(B236="","",IFERROR(INDEX(الموظفون!$C$6:$C$105,MATCH(B236,الموظفون!$B$6:$B$105,0)),"✖ رقم غير موجود"))</f>
        <v/>
      </c>
      <c r="D236" s="123"/>
      <c r="E236" s="123"/>
      <c r="F236" s="123"/>
      <c r="G236" s="121"/>
      <c r="H236" s="121"/>
      <c r="I236" s="121"/>
      <c r="J236" s="121"/>
      <c r="K236" s="123"/>
      <c r="L236" s="123"/>
      <c r="M236" s="121"/>
      <c r="N236" s="121"/>
      <c r="O236" s="118"/>
    </row>
    <row r="237" customFormat="false" ht="15" hidden="false" customHeight="false" outlineLevel="0" collapsed="false">
      <c r="A237" s="122"/>
      <c r="B237" s="118"/>
      <c r="C237" s="117" t="str">
        <f aca="false">IF(B237="","",IFERROR(INDEX(الموظفون!$C$6:$C$105,MATCH(B237,الموظفون!$B$6:$B$105,0)),"✖ رقم غير موجود"))</f>
        <v/>
      </c>
      <c r="D237" s="123"/>
      <c r="E237" s="123"/>
      <c r="F237" s="123"/>
      <c r="G237" s="121"/>
      <c r="H237" s="121"/>
      <c r="I237" s="121"/>
      <c r="J237" s="121"/>
      <c r="K237" s="123"/>
      <c r="L237" s="123"/>
      <c r="M237" s="121"/>
      <c r="N237" s="121"/>
      <c r="O237" s="118"/>
    </row>
    <row r="238" customFormat="false" ht="15" hidden="false" customHeight="false" outlineLevel="0" collapsed="false">
      <c r="A238" s="122"/>
      <c r="B238" s="118"/>
      <c r="C238" s="114" t="str">
        <f aca="false">IF(B238="","",IFERROR(INDEX(الموظفون!$C$6:$C$105,MATCH(B238,الموظفون!$B$6:$B$105,0)),"✖ رقم غير موجود"))</f>
        <v/>
      </c>
      <c r="D238" s="123"/>
      <c r="E238" s="123"/>
      <c r="F238" s="123"/>
      <c r="G238" s="121"/>
      <c r="H238" s="121"/>
      <c r="I238" s="121"/>
      <c r="J238" s="121"/>
      <c r="K238" s="123"/>
      <c r="L238" s="123"/>
      <c r="M238" s="121"/>
      <c r="N238" s="121"/>
      <c r="O238" s="118"/>
    </row>
    <row r="239" customFormat="false" ht="15" hidden="false" customHeight="false" outlineLevel="0" collapsed="false">
      <c r="A239" s="122"/>
      <c r="B239" s="118"/>
      <c r="C239" s="117" t="str">
        <f aca="false">IF(B239="","",IFERROR(INDEX(الموظفون!$C$6:$C$105,MATCH(B239,الموظفون!$B$6:$B$105,0)),"✖ رقم غير موجود"))</f>
        <v/>
      </c>
      <c r="D239" s="123"/>
      <c r="E239" s="123"/>
      <c r="F239" s="123"/>
      <c r="G239" s="121"/>
      <c r="H239" s="121"/>
      <c r="I239" s="121"/>
      <c r="J239" s="121"/>
      <c r="K239" s="123"/>
      <c r="L239" s="123"/>
      <c r="M239" s="121"/>
      <c r="N239" s="121"/>
      <c r="O239" s="118"/>
    </row>
    <row r="240" customFormat="false" ht="15" hidden="false" customHeight="false" outlineLevel="0" collapsed="false">
      <c r="A240" s="122"/>
      <c r="B240" s="118"/>
      <c r="C240" s="114" t="str">
        <f aca="false">IF(B240="","",IFERROR(INDEX(الموظفون!$C$6:$C$105,MATCH(B240,الموظفون!$B$6:$B$105,0)),"✖ رقم غير موجود"))</f>
        <v/>
      </c>
      <c r="D240" s="123"/>
      <c r="E240" s="123"/>
      <c r="F240" s="123"/>
      <c r="G240" s="121"/>
      <c r="H240" s="121"/>
      <c r="I240" s="121"/>
      <c r="J240" s="121"/>
      <c r="K240" s="123"/>
      <c r="L240" s="123"/>
      <c r="M240" s="121"/>
      <c r="N240" s="121"/>
      <c r="O240" s="118"/>
    </row>
    <row r="241" customFormat="false" ht="15" hidden="false" customHeight="false" outlineLevel="0" collapsed="false">
      <c r="A241" s="122"/>
      <c r="B241" s="118"/>
      <c r="C241" s="117" t="str">
        <f aca="false">IF(B241="","",IFERROR(INDEX(الموظفون!$C$6:$C$105,MATCH(B241,الموظفون!$B$6:$B$105,0)),"✖ رقم غير موجود"))</f>
        <v/>
      </c>
      <c r="D241" s="123"/>
      <c r="E241" s="123"/>
      <c r="F241" s="123"/>
      <c r="G241" s="121"/>
      <c r="H241" s="121"/>
      <c r="I241" s="121"/>
      <c r="J241" s="121"/>
      <c r="K241" s="123"/>
      <c r="L241" s="123"/>
      <c r="M241" s="121"/>
      <c r="N241" s="121"/>
      <c r="O241" s="118"/>
    </row>
    <row r="242" customFormat="false" ht="15" hidden="false" customHeight="false" outlineLevel="0" collapsed="false">
      <c r="A242" s="122"/>
      <c r="B242" s="118"/>
      <c r="C242" s="114" t="str">
        <f aca="false">IF(B242="","",IFERROR(INDEX(الموظفون!$C$6:$C$105,MATCH(B242,الموظفون!$B$6:$B$105,0)),"✖ رقم غير موجود"))</f>
        <v/>
      </c>
      <c r="D242" s="123"/>
      <c r="E242" s="123"/>
      <c r="F242" s="123"/>
      <c r="G242" s="121"/>
      <c r="H242" s="121"/>
      <c r="I242" s="121"/>
      <c r="J242" s="121"/>
      <c r="K242" s="123"/>
      <c r="L242" s="123"/>
      <c r="M242" s="121"/>
      <c r="N242" s="121"/>
      <c r="O242" s="118"/>
    </row>
    <row r="243" customFormat="false" ht="15" hidden="false" customHeight="false" outlineLevel="0" collapsed="false">
      <c r="A243" s="122"/>
      <c r="B243" s="118"/>
      <c r="C243" s="117" t="str">
        <f aca="false">IF(B243="","",IFERROR(INDEX(الموظفون!$C$6:$C$105,MATCH(B243,الموظفون!$B$6:$B$105,0)),"✖ رقم غير موجود"))</f>
        <v/>
      </c>
      <c r="D243" s="123"/>
      <c r="E243" s="123"/>
      <c r="F243" s="123"/>
      <c r="G243" s="121"/>
      <c r="H243" s="121"/>
      <c r="I243" s="121"/>
      <c r="J243" s="121"/>
      <c r="K243" s="123"/>
      <c r="L243" s="123"/>
      <c r="M243" s="121"/>
      <c r="N243" s="121"/>
      <c r="O243" s="118"/>
    </row>
    <row r="244" customFormat="false" ht="15" hidden="false" customHeight="false" outlineLevel="0" collapsed="false">
      <c r="A244" s="122"/>
      <c r="B244" s="118"/>
      <c r="C244" s="114" t="str">
        <f aca="false">IF(B244="","",IFERROR(INDEX(الموظفون!$C$6:$C$105,MATCH(B244,الموظفون!$B$6:$B$105,0)),"✖ رقم غير موجود"))</f>
        <v/>
      </c>
      <c r="D244" s="123"/>
      <c r="E244" s="123"/>
      <c r="F244" s="123"/>
      <c r="G244" s="121"/>
      <c r="H244" s="121"/>
      <c r="I244" s="121"/>
      <c r="J244" s="121"/>
      <c r="K244" s="123"/>
      <c r="L244" s="123"/>
      <c r="M244" s="121"/>
      <c r="N244" s="121"/>
      <c r="O244" s="118"/>
    </row>
    <row r="245" customFormat="false" ht="15" hidden="false" customHeight="false" outlineLevel="0" collapsed="false">
      <c r="A245" s="122"/>
      <c r="B245" s="118"/>
      <c r="C245" s="117" t="str">
        <f aca="false">IF(B245="","",IFERROR(INDEX(الموظفون!$C$6:$C$105,MATCH(B245,الموظفون!$B$6:$B$105,0)),"✖ رقم غير موجود"))</f>
        <v/>
      </c>
      <c r="D245" s="123"/>
      <c r="E245" s="123"/>
      <c r="F245" s="123"/>
      <c r="G245" s="121"/>
      <c r="H245" s="121"/>
      <c r="I245" s="121"/>
      <c r="J245" s="121"/>
      <c r="K245" s="123"/>
      <c r="L245" s="123"/>
      <c r="M245" s="121"/>
      <c r="N245" s="121"/>
      <c r="O245" s="118"/>
    </row>
    <row r="246" customFormat="false" ht="15" hidden="false" customHeight="false" outlineLevel="0" collapsed="false">
      <c r="A246" s="122"/>
      <c r="B246" s="118"/>
      <c r="C246" s="114" t="str">
        <f aca="false">IF(B246="","",IFERROR(INDEX(الموظفون!$C$6:$C$105,MATCH(B246,الموظفون!$B$6:$B$105,0)),"✖ رقم غير موجود"))</f>
        <v/>
      </c>
      <c r="D246" s="123"/>
      <c r="E246" s="123"/>
      <c r="F246" s="123"/>
      <c r="G246" s="121"/>
      <c r="H246" s="121"/>
      <c r="I246" s="121"/>
      <c r="J246" s="121"/>
      <c r="K246" s="123"/>
      <c r="L246" s="123"/>
      <c r="M246" s="121"/>
      <c r="N246" s="121"/>
      <c r="O246" s="118"/>
    </row>
    <row r="247" customFormat="false" ht="15" hidden="false" customHeight="false" outlineLevel="0" collapsed="false">
      <c r="A247" s="122"/>
      <c r="B247" s="118"/>
      <c r="C247" s="117" t="str">
        <f aca="false">IF(B247="","",IFERROR(INDEX(الموظفون!$C$6:$C$105,MATCH(B247,الموظفون!$B$6:$B$105,0)),"✖ رقم غير موجود"))</f>
        <v/>
      </c>
      <c r="D247" s="123"/>
      <c r="E247" s="123"/>
      <c r="F247" s="123"/>
      <c r="G247" s="121"/>
      <c r="H247" s="121"/>
      <c r="I247" s="121"/>
      <c r="J247" s="121"/>
      <c r="K247" s="123"/>
      <c r="L247" s="123"/>
      <c r="M247" s="121"/>
      <c r="N247" s="121"/>
      <c r="O247" s="118"/>
    </row>
    <row r="248" customFormat="false" ht="15" hidden="false" customHeight="false" outlineLevel="0" collapsed="false">
      <c r="A248" s="122"/>
      <c r="B248" s="118"/>
      <c r="C248" s="114" t="str">
        <f aca="false">IF(B248="","",IFERROR(INDEX(الموظفون!$C$6:$C$105,MATCH(B248,الموظفون!$B$6:$B$105,0)),"✖ رقم غير موجود"))</f>
        <v/>
      </c>
      <c r="D248" s="123"/>
      <c r="E248" s="123"/>
      <c r="F248" s="123"/>
      <c r="G248" s="121"/>
      <c r="H248" s="121"/>
      <c r="I248" s="121"/>
      <c r="J248" s="121"/>
      <c r="K248" s="123"/>
      <c r="L248" s="123"/>
      <c r="M248" s="121"/>
      <c r="N248" s="121"/>
      <c r="O248" s="118"/>
    </row>
    <row r="249" customFormat="false" ht="15" hidden="false" customHeight="false" outlineLevel="0" collapsed="false">
      <c r="A249" s="122"/>
      <c r="B249" s="118"/>
      <c r="C249" s="117" t="str">
        <f aca="false">IF(B249="","",IFERROR(INDEX(الموظفون!$C$6:$C$105,MATCH(B249,الموظفون!$B$6:$B$105,0)),"✖ رقم غير موجود"))</f>
        <v/>
      </c>
      <c r="D249" s="123"/>
      <c r="E249" s="123"/>
      <c r="F249" s="123"/>
      <c r="G249" s="121"/>
      <c r="H249" s="121"/>
      <c r="I249" s="121"/>
      <c r="J249" s="121"/>
      <c r="K249" s="123"/>
      <c r="L249" s="123"/>
      <c r="M249" s="121"/>
      <c r="N249" s="121"/>
      <c r="O249" s="118"/>
    </row>
    <row r="250" customFormat="false" ht="15" hidden="false" customHeight="false" outlineLevel="0" collapsed="false">
      <c r="A250" s="122"/>
      <c r="B250" s="118"/>
      <c r="C250" s="114" t="str">
        <f aca="false">IF(B250="","",IFERROR(INDEX(الموظفون!$C$6:$C$105,MATCH(B250,الموظفون!$B$6:$B$105,0)),"✖ رقم غير موجود"))</f>
        <v/>
      </c>
      <c r="D250" s="123"/>
      <c r="E250" s="123"/>
      <c r="F250" s="123"/>
      <c r="G250" s="121"/>
      <c r="H250" s="121"/>
      <c r="I250" s="121"/>
      <c r="J250" s="121"/>
      <c r="K250" s="123"/>
      <c r="L250" s="123"/>
      <c r="M250" s="121"/>
      <c r="N250" s="121"/>
      <c r="O250" s="118"/>
    </row>
    <row r="251" customFormat="false" ht="15" hidden="false" customHeight="false" outlineLevel="0" collapsed="false">
      <c r="A251" s="122"/>
      <c r="B251" s="118"/>
      <c r="C251" s="117" t="str">
        <f aca="false">IF(B251="","",IFERROR(INDEX(الموظفون!$C$6:$C$105,MATCH(B251,الموظفون!$B$6:$B$105,0)),"✖ رقم غير موجود"))</f>
        <v/>
      </c>
      <c r="D251" s="123"/>
      <c r="E251" s="123"/>
      <c r="F251" s="123"/>
      <c r="G251" s="121"/>
      <c r="H251" s="121"/>
      <c r="I251" s="121"/>
      <c r="J251" s="121"/>
      <c r="K251" s="123"/>
      <c r="L251" s="123"/>
      <c r="M251" s="121"/>
      <c r="N251" s="121"/>
      <c r="O251" s="118"/>
    </row>
    <row r="252" customFormat="false" ht="15" hidden="false" customHeight="false" outlineLevel="0" collapsed="false">
      <c r="A252" s="122"/>
      <c r="B252" s="118"/>
      <c r="C252" s="114" t="str">
        <f aca="false">IF(B252="","",IFERROR(INDEX(الموظفون!$C$6:$C$105,MATCH(B252,الموظفون!$B$6:$B$105,0)),"✖ رقم غير موجود"))</f>
        <v/>
      </c>
      <c r="D252" s="123"/>
      <c r="E252" s="123"/>
      <c r="F252" s="123"/>
      <c r="G252" s="121"/>
      <c r="H252" s="121"/>
      <c r="I252" s="121"/>
      <c r="J252" s="121"/>
      <c r="K252" s="123"/>
      <c r="L252" s="123"/>
      <c r="M252" s="121"/>
      <c r="N252" s="121"/>
      <c r="O252" s="118"/>
    </row>
    <row r="253" customFormat="false" ht="15" hidden="false" customHeight="false" outlineLevel="0" collapsed="false">
      <c r="A253" s="122"/>
      <c r="B253" s="118"/>
      <c r="C253" s="117" t="str">
        <f aca="false">IF(B253="","",IFERROR(INDEX(الموظفون!$C$6:$C$105,MATCH(B253,الموظفون!$B$6:$B$105,0)),"✖ رقم غير موجود"))</f>
        <v/>
      </c>
      <c r="D253" s="123"/>
      <c r="E253" s="123"/>
      <c r="F253" s="123"/>
      <c r="G253" s="121"/>
      <c r="H253" s="121"/>
      <c r="I253" s="121"/>
      <c r="J253" s="121"/>
      <c r="K253" s="123"/>
      <c r="L253" s="123"/>
      <c r="M253" s="121"/>
      <c r="N253" s="121"/>
      <c r="O253" s="118"/>
    </row>
    <row r="254" customFormat="false" ht="15" hidden="false" customHeight="false" outlineLevel="0" collapsed="false">
      <c r="A254" s="122"/>
      <c r="B254" s="118"/>
      <c r="C254" s="114" t="str">
        <f aca="false">IF(B254="","",IFERROR(INDEX(الموظفون!$C$6:$C$105,MATCH(B254,الموظفون!$B$6:$B$105,0)),"✖ رقم غير موجود"))</f>
        <v/>
      </c>
      <c r="D254" s="123"/>
      <c r="E254" s="123"/>
      <c r="F254" s="123"/>
      <c r="G254" s="121"/>
      <c r="H254" s="121"/>
      <c r="I254" s="121"/>
      <c r="J254" s="121"/>
      <c r="K254" s="123"/>
      <c r="L254" s="123"/>
      <c r="M254" s="121"/>
      <c r="N254" s="121"/>
      <c r="O254" s="118"/>
    </row>
    <row r="255" customFormat="false" ht="15" hidden="false" customHeight="false" outlineLevel="0" collapsed="false">
      <c r="A255" s="122"/>
      <c r="B255" s="118"/>
      <c r="C255" s="117" t="str">
        <f aca="false">IF(B255="","",IFERROR(INDEX(الموظفون!$C$6:$C$105,MATCH(B255,الموظفون!$B$6:$B$105,0)),"✖ رقم غير موجود"))</f>
        <v/>
      </c>
      <c r="D255" s="123"/>
      <c r="E255" s="123"/>
      <c r="F255" s="123"/>
      <c r="G255" s="121"/>
      <c r="H255" s="121"/>
      <c r="I255" s="121"/>
      <c r="J255" s="121"/>
      <c r="K255" s="123"/>
      <c r="L255" s="123"/>
      <c r="M255" s="121"/>
      <c r="N255" s="121"/>
      <c r="O255" s="118"/>
    </row>
    <row r="256" customFormat="false" ht="15" hidden="false" customHeight="false" outlineLevel="0" collapsed="false">
      <c r="A256" s="122"/>
      <c r="B256" s="118"/>
      <c r="C256" s="114" t="str">
        <f aca="false">IF(B256="","",IFERROR(INDEX(الموظفون!$C$6:$C$105,MATCH(B256,الموظفون!$B$6:$B$105,0)),"✖ رقم غير موجود"))</f>
        <v/>
      </c>
      <c r="D256" s="123"/>
      <c r="E256" s="123"/>
      <c r="F256" s="123"/>
      <c r="G256" s="121"/>
      <c r="H256" s="121"/>
      <c r="I256" s="121"/>
      <c r="J256" s="121"/>
      <c r="K256" s="123"/>
      <c r="L256" s="123"/>
      <c r="M256" s="121"/>
      <c r="N256" s="121"/>
      <c r="O256" s="118"/>
    </row>
    <row r="257" customFormat="false" ht="15" hidden="false" customHeight="false" outlineLevel="0" collapsed="false">
      <c r="A257" s="122"/>
      <c r="B257" s="118"/>
      <c r="C257" s="117" t="str">
        <f aca="false">IF(B257="","",IFERROR(INDEX(الموظفون!$C$6:$C$105,MATCH(B257,الموظفون!$B$6:$B$105,0)),"✖ رقم غير موجود"))</f>
        <v/>
      </c>
      <c r="D257" s="123"/>
      <c r="E257" s="123"/>
      <c r="F257" s="123"/>
      <c r="G257" s="121"/>
      <c r="H257" s="121"/>
      <c r="I257" s="121"/>
      <c r="J257" s="121"/>
      <c r="K257" s="123"/>
      <c r="L257" s="123"/>
      <c r="M257" s="121"/>
      <c r="N257" s="121"/>
      <c r="O257" s="118"/>
    </row>
    <row r="258" customFormat="false" ht="15" hidden="false" customHeight="false" outlineLevel="0" collapsed="false">
      <c r="A258" s="122"/>
      <c r="B258" s="118"/>
      <c r="C258" s="114" t="str">
        <f aca="false">IF(B258="","",IFERROR(INDEX(الموظفون!$C$6:$C$105,MATCH(B258,الموظفون!$B$6:$B$105,0)),"✖ رقم غير موجود"))</f>
        <v/>
      </c>
      <c r="D258" s="123"/>
      <c r="E258" s="123"/>
      <c r="F258" s="123"/>
      <c r="G258" s="121"/>
      <c r="H258" s="121"/>
      <c r="I258" s="121"/>
      <c r="J258" s="121"/>
      <c r="K258" s="123"/>
      <c r="L258" s="123"/>
      <c r="M258" s="121"/>
      <c r="N258" s="121"/>
      <c r="O258" s="118"/>
    </row>
    <row r="259" customFormat="false" ht="15" hidden="false" customHeight="false" outlineLevel="0" collapsed="false">
      <c r="A259" s="122"/>
      <c r="B259" s="118"/>
      <c r="C259" s="117" t="str">
        <f aca="false">IF(B259="","",IFERROR(INDEX(الموظفون!$C$6:$C$105,MATCH(B259,الموظفون!$B$6:$B$105,0)),"✖ رقم غير موجود"))</f>
        <v/>
      </c>
      <c r="D259" s="123"/>
      <c r="E259" s="123"/>
      <c r="F259" s="123"/>
      <c r="G259" s="121"/>
      <c r="H259" s="121"/>
      <c r="I259" s="121"/>
      <c r="J259" s="121"/>
      <c r="K259" s="123"/>
      <c r="L259" s="123"/>
      <c r="M259" s="121"/>
      <c r="N259" s="121"/>
      <c r="O259" s="118"/>
    </row>
    <row r="260" customFormat="false" ht="15" hidden="false" customHeight="false" outlineLevel="0" collapsed="false">
      <c r="A260" s="122"/>
      <c r="B260" s="118"/>
      <c r="C260" s="114" t="str">
        <f aca="false">IF(B260="","",IFERROR(INDEX(الموظفون!$C$6:$C$105,MATCH(B260,الموظفون!$B$6:$B$105,0)),"✖ رقم غير موجود"))</f>
        <v/>
      </c>
      <c r="D260" s="123"/>
      <c r="E260" s="123"/>
      <c r="F260" s="123"/>
      <c r="G260" s="121"/>
      <c r="H260" s="121"/>
      <c r="I260" s="121"/>
      <c r="J260" s="121"/>
      <c r="K260" s="123"/>
      <c r="L260" s="123"/>
      <c r="M260" s="121"/>
      <c r="N260" s="121"/>
      <c r="O260" s="118"/>
    </row>
    <row r="261" customFormat="false" ht="15" hidden="false" customHeight="false" outlineLevel="0" collapsed="false">
      <c r="A261" s="122"/>
      <c r="B261" s="118"/>
      <c r="C261" s="117" t="str">
        <f aca="false">IF(B261="","",IFERROR(INDEX(الموظفون!$C$6:$C$105,MATCH(B261,الموظفون!$B$6:$B$105,0)),"✖ رقم غير موجود"))</f>
        <v/>
      </c>
      <c r="D261" s="123"/>
      <c r="E261" s="123"/>
      <c r="F261" s="123"/>
      <c r="G261" s="121"/>
      <c r="H261" s="121"/>
      <c r="I261" s="121"/>
      <c r="J261" s="121"/>
      <c r="K261" s="123"/>
      <c r="L261" s="123"/>
      <c r="M261" s="121"/>
      <c r="N261" s="121"/>
      <c r="O261" s="118"/>
    </row>
    <row r="262" customFormat="false" ht="15" hidden="false" customHeight="false" outlineLevel="0" collapsed="false">
      <c r="A262" s="122"/>
      <c r="B262" s="118"/>
      <c r="C262" s="114" t="str">
        <f aca="false">IF(B262="","",IFERROR(INDEX(الموظفون!$C$6:$C$105,MATCH(B262,الموظفون!$B$6:$B$105,0)),"✖ رقم غير موجود"))</f>
        <v/>
      </c>
      <c r="D262" s="123"/>
      <c r="E262" s="123"/>
      <c r="F262" s="123"/>
      <c r="G262" s="121"/>
      <c r="H262" s="121"/>
      <c r="I262" s="121"/>
      <c r="J262" s="121"/>
      <c r="K262" s="123"/>
      <c r="L262" s="123"/>
      <c r="M262" s="121"/>
      <c r="N262" s="121"/>
      <c r="O262" s="118"/>
    </row>
    <row r="263" customFormat="false" ht="15" hidden="false" customHeight="false" outlineLevel="0" collapsed="false">
      <c r="A263" s="122"/>
      <c r="B263" s="118"/>
      <c r="C263" s="117" t="str">
        <f aca="false">IF(B263="","",IFERROR(INDEX(الموظفون!$C$6:$C$105,MATCH(B263,الموظفون!$B$6:$B$105,0)),"✖ رقم غير موجود"))</f>
        <v/>
      </c>
      <c r="D263" s="123"/>
      <c r="E263" s="123"/>
      <c r="F263" s="123"/>
      <c r="G263" s="121"/>
      <c r="H263" s="121"/>
      <c r="I263" s="121"/>
      <c r="J263" s="121"/>
      <c r="K263" s="123"/>
      <c r="L263" s="123"/>
      <c r="M263" s="121"/>
      <c r="N263" s="121"/>
      <c r="O263" s="118"/>
    </row>
    <row r="264" customFormat="false" ht="15" hidden="false" customHeight="false" outlineLevel="0" collapsed="false">
      <c r="A264" s="122"/>
      <c r="B264" s="118"/>
      <c r="C264" s="114" t="str">
        <f aca="false">IF(B264="","",IFERROR(INDEX(الموظفون!$C$6:$C$105,MATCH(B264,الموظفون!$B$6:$B$105,0)),"✖ رقم غير موجود"))</f>
        <v/>
      </c>
      <c r="D264" s="123"/>
      <c r="E264" s="123"/>
      <c r="F264" s="123"/>
      <c r="G264" s="121"/>
      <c r="H264" s="121"/>
      <c r="I264" s="121"/>
      <c r="J264" s="121"/>
      <c r="K264" s="123"/>
      <c r="L264" s="123"/>
      <c r="M264" s="121"/>
      <c r="N264" s="121"/>
      <c r="O264" s="118"/>
    </row>
    <row r="265" customFormat="false" ht="15" hidden="false" customHeight="false" outlineLevel="0" collapsed="false">
      <c r="A265" s="122"/>
      <c r="B265" s="118"/>
      <c r="C265" s="117" t="str">
        <f aca="false">IF(B265="","",IFERROR(INDEX(الموظفون!$C$6:$C$105,MATCH(B265,الموظفون!$B$6:$B$105,0)),"✖ رقم غير موجود"))</f>
        <v/>
      </c>
      <c r="D265" s="123"/>
      <c r="E265" s="123"/>
      <c r="F265" s="123"/>
      <c r="G265" s="121"/>
      <c r="H265" s="121"/>
      <c r="I265" s="121"/>
      <c r="J265" s="121"/>
      <c r="K265" s="123"/>
      <c r="L265" s="123"/>
      <c r="M265" s="121"/>
      <c r="N265" s="121"/>
      <c r="O265" s="118"/>
    </row>
    <row r="266" customFormat="false" ht="15" hidden="false" customHeight="false" outlineLevel="0" collapsed="false">
      <c r="A266" s="122"/>
      <c r="B266" s="118"/>
      <c r="C266" s="114" t="str">
        <f aca="false">IF(B266="","",IFERROR(INDEX(الموظفون!$C$6:$C$105,MATCH(B266,الموظفون!$B$6:$B$105,0)),"✖ رقم غير موجود"))</f>
        <v/>
      </c>
      <c r="D266" s="123"/>
      <c r="E266" s="123"/>
      <c r="F266" s="123"/>
      <c r="G266" s="121"/>
      <c r="H266" s="121"/>
      <c r="I266" s="121"/>
      <c r="J266" s="121"/>
      <c r="K266" s="123"/>
      <c r="L266" s="123"/>
      <c r="M266" s="121"/>
      <c r="N266" s="121"/>
      <c r="O266" s="118"/>
    </row>
    <row r="267" customFormat="false" ht="15" hidden="false" customHeight="false" outlineLevel="0" collapsed="false">
      <c r="A267" s="122"/>
      <c r="B267" s="118"/>
      <c r="C267" s="117" t="str">
        <f aca="false">IF(B267="","",IFERROR(INDEX(الموظفون!$C$6:$C$105,MATCH(B267,الموظفون!$B$6:$B$105,0)),"✖ رقم غير موجود"))</f>
        <v/>
      </c>
      <c r="D267" s="123"/>
      <c r="E267" s="123"/>
      <c r="F267" s="123"/>
      <c r="G267" s="121"/>
      <c r="H267" s="121"/>
      <c r="I267" s="121"/>
      <c r="J267" s="121"/>
      <c r="K267" s="123"/>
      <c r="L267" s="123"/>
      <c r="M267" s="121"/>
      <c r="N267" s="121"/>
      <c r="O267" s="118"/>
    </row>
    <row r="268" customFormat="false" ht="15" hidden="false" customHeight="false" outlineLevel="0" collapsed="false">
      <c r="A268" s="122"/>
      <c r="B268" s="118"/>
      <c r="C268" s="114" t="str">
        <f aca="false">IF(B268="","",IFERROR(INDEX(الموظفون!$C$6:$C$105,MATCH(B268,الموظفون!$B$6:$B$105,0)),"✖ رقم غير موجود"))</f>
        <v/>
      </c>
      <c r="D268" s="123"/>
      <c r="E268" s="123"/>
      <c r="F268" s="123"/>
      <c r="G268" s="121"/>
      <c r="H268" s="121"/>
      <c r="I268" s="121"/>
      <c r="J268" s="121"/>
      <c r="K268" s="123"/>
      <c r="L268" s="123"/>
      <c r="M268" s="121"/>
      <c r="N268" s="121"/>
      <c r="O268" s="118"/>
    </row>
    <row r="269" customFormat="false" ht="15" hidden="false" customHeight="false" outlineLevel="0" collapsed="false">
      <c r="A269" s="122"/>
      <c r="B269" s="118"/>
      <c r="C269" s="117" t="str">
        <f aca="false">IF(B269="","",IFERROR(INDEX(الموظفون!$C$6:$C$105,MATCH(B269,الموظفون!$B$6:$B$105,0)),"✖ رقم غير موجود"))</f>
        <v/>
      </c>
      <c r="D269" s="123"/>
      <c r="E269" s="123"/>
      <c r="F269" s="123"/>
      <c r="G269" s="121"/>
      <c r="H269" s="121"/>
      <c r="I269" s="121"/>
      <c r="J269" s="121"/>
      <c r="K269" s="123"/>
      <c r="L269" s="123"/>
      <c r="M269" s="121"/>
      <c r="N269" s="121"/>
      <c r="O269" s="118"/>
    </row>
    <row r="270" customFormat="false" ht="15" hidden="false" customHeight="false" outlineLevel="0" collapsed="false">
      <c r="A270" s="122"/>
      <c r="B270" s="118"/>
      <c r="C270" s="114" t="str">
        <f aca="false">IF(B270="","",IFERROR(INDEX(الموظفون!$C$6:$C$105,MATCH(B270,الموظفون!$B$6:$B$105,0)),"✖ رقم غير موجود"))</f>
        <v/>
      </c>
      <c r="D270" s="123"/>
      <c r="E270" s="123"/>
      <c r="F270" s="123"/>
      <c r="G270" s="121"/>
      <c r="H270" s="121"/>
      <c r="I270" s="121"/>
      <c r="J270" s="121"/>
      <c r="K270" s="123"/>
      <c r="L270" s="123"/>
      <c r="M270" s="121"/>
      <c r="N270" s="121"/>
      <c r="O270" s="118"/>
    </row>
    <row r="271" customFormat="false" ht="15" hidden="false" customHeight="false" outlineLevel="0" collapsed="false">
      <c r="A271" s="122"/>
      <c r="B271" s="118"/>
      <c r="C271" s="117" t="str">
        <f aca="false">IF(B271="","",IFERROR(INDEX(الموظفون!$C$6:$C$105,MATCH(B271,الموظفون!$B$6:$B$105,0)),"✖ رقم غير موجود"))</f>
        <v/>
      </c>
      <c r="D271" s="123"/>
      <c r="E271" s="123"/>
      <c r="F271" s="123"/>
      <c r="G271" s="121"/>
      <c r="H271" s="121"/>
      <c r="I271" s="121"/>
      <c r="J271" s="121"/>
      <c r="K271" s="123"/>
      <c r="L271" s="123"/>
      <c r="M271" s="121"/>
      <c r="N271" s="121"/>
      <c r="O271" s="118"/>
    </row>
    <row r="272" customFormat="false" ht="15" hidden="false" customHeight="false" outlineLevel="0" collapsed="false">
      <c r="A272" s="122"/>
      <c r="B272" s="118"/>
      <c r="C272" s="114" t="str">
        <f aca="false">IF(B272="","",IFERROR(INDEX(الموظفون!$C$6:$C$105,MATCH(B272,الموظفون!$B$6:$B$105,0)),"✖ رقم غير موجود"))</f>
        <v/>
      </c>
      <c r="D272" s="123"/>
      <c r="E272" s="123"/>
      <c r="F272" s="123"/>
      <c r="G272" s="121"/>
      <c r="H272" s="121"/>
      <c r="I272" s="121"/>
      <c r="J272" s="121"/>
      <c r="K272" s="123"/>
      <c r="L272" s="123"/>
      <c r="M272" s="121"/>
      <c r="N272" s="121"/>
      <c r="O272" s="118"/>
    </row>
    <row r="273" customFormat="false" ht="15" hidden="false" customHeight="false" outlineLevel="0" collapsed="false">
      <c r="A273" s="122"/>
      <c r="B273" s="118"/>
      <c r="C273" s="117" t="str">
        <f aca="false">IF(B273="","",IFERROR(INDEX(الموظفون!$C$6:$C$105,MATCH(B273,الموظفون!$B$6:$B$105,0)),"✖ رقم غير موجود"))</f>
        <v/>
      </c>
      <c r="D273" s="123"/>
      <c r="E273" s="123"/>
      <c r="F273" s="123"/>
      <c r="G273" s="121"/>
      <c r="H273" s="121"/>
      <c r="I273" s="121"/>
      <c r="J273" s="121"/>
      <c r="K273" s="123"/>
      <c r="L273" s="123"/>
      <c r="M273" s="121"/>
      <c r="N273" s="121"/>
      <c r="O273" s="118"/>
    </row>
    <row r="274" customFormat="false" ht="15" hidden="false" customHeight="false" outlineLevel="0" collapsed="false">
      <c r="A274" s="122"/>
      <c r="B274" s="118"/>
      <c r="C274" s="114" t="str">
        <f aca="false">IF(B274="","",IFERROR(INDEX(الموظفون!$C$6:$C$105,MATCH(B274,الموظفون!$B$6:$B$105,0)),"✖ رقم غير موجود"))</f>
        <v/>
      </c>
      <c r="D274" s="123"/>
      <c r="E274" s="123"/>
      <c r="F274" s="123"/>
      <c r="G274" s="121"/>
      <c r="H274" s="121"/>
      <c r="I274" s="121"/>
      <c r="J274" s="121"/>
      <c r="K274" s="123"/>
      <c r="L274" s="123"/>
      <c r="M274" s="121"/>
      <c r="N274" s="121"/>
      <c r="O274" s="118"/>
    </row>
    <row r="275" customFormat="false" ht="15" hidden="false" customHeight="false" outlineLevel="0" collapsed="false">
      <c r="A275" s="122"/>
      <c r="B275" s="118"/>
      <c r="C275" s="117" t="str">
        <f aca="false">IF(B275="","",IFERROR(INDEX(الموظفون!$C$6:$C$105,MATCH(B275,الموظفون!$B$6:$B$105,0)),"✖ رقم غير موجود"))</f>
        <v/>
      </c>
      <c r="D275" s="123"/>
      <c r="E275" s="123"/>
      <c r="F275" s="123"/>
      <c r="G275" s="121"/>
      <c r="H275" s="121"/>
      <c r="I275" s="121"/>
      <c r="J275" s="121"/>
      <c r="K275" s="123"/>
      <c r="L275" s="123"/>
      <c r="M275" s="121"/>
      <c r="N275" s="121"/>
      <c r="O275" s="118"/>
    </row>
    <row r="276" customFormat="false" ht="15" hidden="false" customHeight="false" outlineLevel="0" collapsed="false">
      <c r="A276" s="122"/>
      <c r="B276" s="118"/>
      <c r="C276" s="114" t="str">
        <f aca="false">IF(B276="","",IFERROR(INDEX(الموظفون!$C$6:$C$105,MATCH(B276,الموظفون!$B$6:$B$105,0)),"✖ رقم غير موجود"))</f>
        <v/>
      </c>
      <c r="D276" s="123"/>
      <c r="E276" s="123"/>
      <c r="F276" s="123"/>
      <c r="G276" s="121"/>
      <c r="H276" s="121"/>
      <c r="I276" s="121"/>
      <c r="J276" s="121"/>
      <c r="K276" s="123"/>
      <c r="L276" s="123"/>
      <c r="M276" s="121"/>
      <c r="N276" s="121"/>
      <c r="O276" s="118"/>
    </row>
    <row r="277" customFormat="false" ht="15" hidden="false" customHeight="false" outlineLevel="0" collapsed="false">
      <c r="A277" s="122"/>
      <c r="B277" s="118"/>
      <c r="C277" s="117" t="str">
        <f aca="false">IF(B277="","",IFERROR(INDEX(الموظفون!$C$6:$C$105,MATCH(B277,الموظفون!$B$6:$B$105,0)),"✖ رقم غير موجود"))</f>
        <v/>
      </c>
      <c r="D277" s="123"/>
      <c r="E277" s="123"/>
      <c r="F277" s="123"/>
      <c r="G277" s="121"/>
      <c r="H277" s="121"/>
      <c r="I277" s="121"/>
      <c r="J277" s="121"/>
      <c r="K277" s="123"/>
      <c r="L277" s="123"/>
      <c r="M277" s="121"/>
      <c r="N277" s="121"/>
      <c r="O277" s="118"/>
    </row>
    <row r="278" customFormat="false" ht="15" hidden="false" customHeight="false" outlineLevel="0" collapsed="false">
      <c r="A278" s="122"/>
      <c r="B278" s="118"/>
      <c r="C278" s="114" t="str">
        <f aca="false">IF(B278="","",IFERROR(INDEX(الموظفون!$C$6:$C$105,MATCH(B278,الموظفون!$B$6:$B$105,0)),"✖ رقم غير موجود"))</f>
        <v/>
      </c>
      <c r="D278" s="123"/>
      <c r="E278" s="123"/>
      <c r="F278" s="123"/>
      <c r="G278" s="121"/>
      <c r="H278" s="121"/>
      <c r="I278" s="121"/>
      <c r="J278" s="121"/>
      <c r="K278" s="123"/>
      <c r="L278" s="123"/>
      <c r="M278" s="121"/>
      <c r="N278" s="121"/>
      <c r="O278" s="118"/>
    </row>
    <row r="279" customFormat="false" ht="15" hidden="false" customHeight="false" outlineLevel="0" collapsed="false">
      <c r="A279" s="122"/>
      <c r="B279" s="118"/>
      <c r="C279" s="117" t="str">
        <f aca="false">IF(B279="","",IFERROR(INDEX(الموظفون!$C$6:$C$105,MATCH(B279,الموظفون!$B$6:$B$105,0)),"✖ رقم غير موجود"))</f>
        <v/>
      </c>
      <c r="D279" s="123"/>
      <c r="E279" s="123"/>
      <c r="F279" s="123"/>
      <c r="G279" s="121"/>
      <c r="H279" s="121"/>
      <c r="I279" s="121"/>
      <c r="J279" s="121"/>
      <c r="K279" s="123"/>
      <c r="L279" s="123"/>
      <c r="M279" s="121"/>
      <c r="N279" s="121"/>
      <c r="O279" s="118"/>
    </row>
    <row r="280" customFormat="false" ht="15" hidden="false" customHeight="false" outlineLevel="0" collapsed="false">
      <c r="A280" s="122"/>
      <c r="B280" s="118"/>
      <c r="C280" s="114" t="str">
        <f aca="false">IF(B280="","",IFERROR(INDEX(الموظفون!$C$6:$C$105,MATCH(B280,الموظفون!$B$6:$B$105,0)),"✖ رقم غير موجود"))</f>
        <v/>
      </c>
      <c r="D280" s="123"/>
      <c r="E280" s="123"/>
      <c r="F280" s="123"/>
      <c r="G280" s="121"/>
      <c r="H280" s="121"/>
      <c r="I280" s="121"/>
      <c r="J280" s="121"/>
      <c r="K280" s="123"/>
      <c r="L280" s="123"/>
      <c r="M280" s="121"/>
      <c r="N280" s="121"/>
      <c r="O280" s="118"/>
    </row>
    <row r="281" customFormat="false" ht="15" hidden="false" customHeight="false" outlineLevel="0" collapsed="false">
      <c r="A281" s="122"/>
      <c r="B281" s="118"/>
      <c r="C281" s="117" t="str">
        <f aca="false">IF(B281="","",IFERROR(INDEX(الموظفون!$C$6:$C$105,MATCH(B281,الموظفون!$B$6:$B$105,0)),"✖ رقم غير موجود"))</f>
        <v/>
      </c>
      <c r="D281" s="123"/>
      <c r="E281" s="123"/>
      <c r="F281" s="123"/>
      <c r="G281" s="121"/>
      <c r="H281" s="121"/>
      <c r="I281" s="121"/>
      <c r="J281" s="121"/>
      <c r="K281" s="123"/>
      <c r="L281" s="123"/>
      <c r="M281" s="121"/>
      <c r="N281" s="121"/>
      <c r="O281" s="118"/>
    </row>
    <row r="282" customFormat="false" ht="15" hidden="false" customHeight="false" outlineLevel="0" collapsed="false">
      <c r="A282" s="122"/>
      <c r="B282" s="118"/>
      <c r="C282" s="114" t="str">
        <f aca="false">IF(B282="","",IFERROR(INDEX(الموظفون!$C$6:$C$105,MATCH(B282,الموظفون!$B$6:$B$105,0)),"✖ رقم غير موجود"))</f>
        <v/>
      </c>
      <c r="D282" s="123"/>
      <c r="E282" s="123"/>
      <c r="F282" s="123"/>
      <c r="G282" s="121"/>
      <c r="H282" s="121"/>
      <c r="I282" s="121"/>
      <c r="J282" s="121"/>
      <c r="K282" s="123"/>
      <c r="L282" s="123"/>
      <c r="M282" s="121"/>
      <c r="N282" s="121"/>
      <c r="O282" s="118"/>
    </row>
    <row r="283" customFormat="false" ht="15" hidden="false" customHeight="false" outlineLevel="0" collapsed="false">
      <c r="A283" s="122"/>
      <c r="B283" s="118"/>
      <c r="C283" s="117" t="str">
        <f aca="false">IF(B283="","",IFERROR(INDEX(الموظفون!$C$6:$C$105,MATCH(B283,الموظفون!$B$6:$B$105,0)),"✖ رقم غير موجود"))</f>
        <v/>
      </c>
      <c r="D283" s="123"/>
      <c r="E283" s="123"/>
      <c r="F283" s="123"/>
      <c r="G283" s="121"/>
      <c r="H283" s="121"/>
      <c r="I283" s="121"/>
      <c r="J283" s="121"/>
      <c r="K283" s="123"/>
      <c r="L283" s="123"/>
      <c r="M283" s="121"/>
      <c r="N283" s="121"/>
      <c r="O283" s="118"/>
    </row>
    <row r="284" customFormat="false" ht="15" hidden="false" customHeight="false" outlineLevel="0" collapsed="false">
      <c r="A284" s="122"/>
      <c r="B284" s="118"/>
      <c r="C284" s="114" t="str">
        <f aca="false">IF(B284="","",IFERROR(INDEX(الموظفون!$C$6:$C$105,MATCH(B284,الموظفون!$B$6:$B$105,0)),"✖ رقم غير موجود"))</f>
        <v/>
      </c>
      <c r="D284" s="123"/>
      <c r="E284" s="123"/>
      <c r="F284" s="123"/>
      <c r="G284" s="121"/>
      <c r="H284" s="121"/>
      <c r="I284" s="121"/>
      <c r="J284" s="121"/>
      <c r="K284" s="123"/>
      <c r="L284" s="123"/>
      <c r="M284" s="121"/>
      <c r="N284" s="121"/>
      <c r="O284" s="118"/>
    </row>
    <row r="285" customFormat="false" ht="15" hidden="false" customHeight="false" outlineLevel="0" collapsed="false">
      <c r="A285" s="122"/>
      <c r="B285" s="118"/>
      <c r="C285" s="117" t="str">
        <f aca="false">IF(B285="","",IFERROR(INDEX(الموظفون!$C$6:$C$105,MATCH(B285,الموظفون!$B$6:$B$105,0)),"✖ رقم غير موجود"))</f>
        <v/>
      </c>
      <c r="D285" s="123"/>
      <c r="E285" s="123"/>
      <c r="F285" s="123"/>
      <c r="G285" s="121"/>
      <c r="H285" s="121"/>
      <c r="I285" s="121"/>
      <c r="J285" s="121"/>
      <c r="K285" s="123"/>
      <c r="L285" s="123"/>
      <c r="M285" s="121"/>
      <c r="N285" s="121"/>
      <c r="O285" s="118"/>
    </row>
    <row r="286" customFormat="false" ht="15" hidden="false" customHeight="false" outlineLevel="0" collapsed="false">
      <c r="A286" s="122"/>
      <c r="B286" s="118"/>
      <c r="C286" s="114" t="str">
        <f aca="false">IF(B286="","",IFERROR(INDEX(الموظفون!$C$6:$C$105,MATCH(B286,الموظفون!$B$6:$B$105,0)),"✖ رقم غير موجود"))</f>
        <v/>
      </c>
      <c r="D286" s="123"/>
      <c r="E286" s="123"/>
      <c r="F286" s="123"/>
      <c r="G286" s="121"/>
      <c r="H286" s="121"/>
      <c r="I286" s="121"/>
      <c r="J286" s="121"/>
      <c r="K286" s="123"/>
      <c r="L286" s="123"/>
      <c r="M286" s="121"/>
      <c r="N286" s="121"/>
      <c r="O286" s="118"/>
    </row>
    <row r="287" customFormat="false" ht="15" hidden="false" customHeight="false" outlineLevel="0" collapsed="false">
      <c r="A287" s="122"/>
      <c r="B287" s="118"/>
      <c r="C287" s="117" t="str">
        <f aca="false">IF(B287="","",IFERROR(INDEX(الموظفون!$C$6:$C$105,MATCH(B287,الموظفون!$B$6:$B$105,0)),"✖ رقم غير موجود"))</f>
        <v/>
      </c>
      <c r="D287" s="123"/>
      <c r="E287" s="123"/>
      <c r="F287" s="123"/>
      <c r="G287" s="121"/>
      <c r="H287" s="121"/>
      <c r="I287" s="121"/>
      <c r="J287" s="121"/>
      <c r="K287" s="123"/>
      <c r="L287" s="123"/>
      <c r="M287" s="121"/>
      <c r="N287" s="121"/>
      <c r="O287" s="118"/>
    </row>
    <row r="288" customFormat="false" ht="15" hidden="false" customHeight="false" outlineLevel="0" collapsed="false">
      <c r="A288" s="122"/>
      <c r="B288" s="118"/>
      <c r="C288" s="114" t="str">
        <f aca="false">IF(B288="","",IFERROR(INDEX(الموظفون!$C$6:$C$105,MATCH(B288,الموظفون!$B$6:$B$105,0)),"✖ رقم غير موجود"))</f>
        <v/>
      </c>
      <c r="D288" s="123"/>
      <c r="E288" s="123"/>
      <c r="F288" s="123"/>
      <c r="G288" s="121"/>
      <c r="H288" s="121"/>
      <c r="I288" s="121"/>
      <c r="J288" s="121"/>
      <c r="K288" s="123"/>
      <c r="L288" s="123"/>
      <c r="M288" s="121"/>
      <c r="N288" s="121"/>
      <c r="O288" s="118"/>
    </row>
    <row r="289" customFormat="false" ht="15" hidden="false" customHeight="false" outlineLevel="0" collapsed="false">
      <c r="A289" s="122"/>
      <c r="B289" s="118"/>
      <c r="C289" s="117" t="str">
        <f aca="false">IF(B289="","",IFERROR(INDEX(الموظفون!$C$6:$C$105,MATCH(B289,الموظفون!$B$6:$B$105,0)),"✖ رقم غير موجود"))</f>
        <v/>
      </c>
      <c r="D289" s="123"/>
      <c r="E289" s="123"/>
      <c r="F289" s="123"/>
      <c r="G289" s="121"/>
      <c r="H289" s="121"/>
      <c r="I289" s="121"/>
      <c r="J289" s="121"/>
      <c r="K289" s="123"/>
      <c r="L289" s="123"/>
      <c r="M289" s="121"/>
      <c r="N289" s="121"/>
      <c r="O289" s="118"/>
    </row>
    <row r="290" customFormat="false" ht="15" hidden="false" customHeight="false" outlineLevel="0" collapsed="false">
      <c r="A290" s="122"/>
      <c r="B290" s="118"/>
      <c r="C290" s="114" t="str">
        <f aca="false">IF(B290="","",IFERROR(INDEX(الموظفون!$C$6:$C$105,MATCH(B290,الموظفون!$B$6:$B$105,0)),"✖ رقم غير موجود"))</f>
        <v/>
      </c>
      <c r="D290" s="123"/>
      <c r="E290" s="123"/>
      <c r="F290" s="123"/>
      <c r="G290" s="121"/>
      <c r="H290" s="121"/>
      <c r="I290" s="121"/>
      <c r="J290" s="121"/>
      <c r="K290" s="123"/>
      <c r="L290" s="123"/>
      <c r="M290" s="121"/>
      <c r="N290" s="121"/>
      <c r="O290" s="118"/>
    </row>
    <row r="291" customFormat="false" ht="15" hidden="false" customHeight="false" outlineLevel="0" collapsed="false">
      <c r="A291" s="122"/>
      <c r="B291" s="118"/>
      <c r="C291" s="117" t="str">
        <f aca="false">IF(B291="","",IFERROR(INDEX(الموظفون!$C$6:$C$105,MATCH(B291,الموظفون!$B$6:$B$105,0)),"✖ رقم غير موجود"))</f>
        <v/>
      </c>
      <c r="D291" s="123"/>
      <c r="E291" s="123"/>
      <c r="F291" s="123"/>
      <c r="G291" s="121"/>
      <c r="H291" s="121"/>
      <c r="I291" s="121"/>
      <c r="J291" s="121"/>
      <c r="K291" s="123"/>
      <c r="L291" s="123"/>
      <c r="M291" s="121"/>
      <c r="N291" s="121"/>
      <c r="O291" s="118"/>
    </row>
    <row r="292" customFormat="false" ht="15" hidden="false" customHeight="false" outlineLevel="0" collapsed="false">
      <c r="A292" s="122"/>
      <c r="B292" s="118"/>
      <c r="C292" s="114" t="str">
        <f aca="false">IF(B292="","",IFERROR(INDEX(الموظفون!$C$6:$C$105,MATCH(B292,الموظفون!$B$6:$B$105,0)),"✖ رقم غير موجود"))</f>
        <v/>
      </c>
      <c r="D292" s="123"/>
      <c r="E292" s="123"/>
      <c r="F292" s="123"/>
      <c r="G292" s="121"/>
      <c r="H292" s="121"/>
      <c r="I292" s="121"/>
      <c r="J292" s="121"/>
      <c r="K292" s="123"/>
      <c r="L292" s="123"/>
      <c r="M292" s="121"/>
      <c r="N292" s="121"/>
      <c r="O292" s="118"/>
    </row>
    <row r="293" customFormat="false" ht="15" hidden="false" customHeight="false" outlineLevel="0" collapsed="false">
      <c r="A293" s="122"/>
      <c r="B293" s="118"/>
      <c r="C293" s="117" t="str">
        <f aca="false">IF(B293="","",IFERROR(INDEX(الموظفون!$C$6:$C$105,MATCH(B293,الموظفون!$B$6:$B$105,0)),"✖ رقم غير موجود"))</f>
        <v/>
      </c>
      <c r="D293" s="123"/>
      <c r="E293" s="123"/>
      <c r="F293" s="123"/>
      <c r="G293" s="121"/>
      <c r="H293" s="121"/>
      <c r="I293" s="121"/>
      <c r="J293" s="121"/>
      <c r="K293" s="123"/>
      <c r="L293" s="123"/>
      <c r="M293" s="121"/>
      <c r="N293" s="121"/>
      <c r="O293" s="118"/>
    </row>
    <row r="294" customFormat="false" ht="15" hidden="false" customHeight="false" outlineLevel="0" collapsed="false">
      <c r="A294" s="122"/>
      <c r="B294" s="118"/>
      <c r="C294" s="114" t="str">
        <f aca="false">IF(B294="","",IFERROR(INDEX(الموظفون!$C$6:$C$105,MATCH(B294,الموظفون!$B$6:$B$105,0)),"✖ رقم غير موجود"))</f>
        <v/>
      </c>
      <c r="D294" s="123"/>
      <c r="E294" s="123"/>
      <c r="F294" s="123"/>
      <c r="G294" s="121"/>
      <c r="H294" s="121"/>
      <c r="I294" s="121"/>
      <c r="J294" s="121"/>
      <c r="K294" s="123"/>
      <c r="L294" s="123"/>
      <c r="M294" s="121"/>
      <c r="N294" s="121"/>
      <c r="O294" s="118"/>
    </row>
    <row r="295" customFormat="false" ht="15" hidden="false" customHeight="false" outlineLevel="0" collapsed="false">
      <c r="A295" s="122"/>
      <c r="B295" s="118"/>
      <c r="C295" s="117" t="str">
        <f aca="false">IF(B295="","",IFERROR(INDEX(الموظفون!$C$6:$C$105,MATCH(B295,الموظفون!$B$6:$B$105,0)),"✖ رقم غير موجود"))</f>
        <v/>
      </c>
      <c r="D295" s="123"/>
      <c r="E295" s="123"/>
      <c r="F295" s="123"/>
      <c r="G295" s="121"/>
      <c r="H295" s="121"/>
      <c r="I295" s="121"/>
      <c r="J295" s="121"/>
      <c r="K295" s="123"/>
      <c r="L295" s="123"/>
      <c r="M295" s="121"/>
      <c r="N295" s="121"/>
      <c r="O295" s="118"/>
    </row>
    <row r="296" customFormat="false" ht="15" hidden="false" customHeight="false" outlineLevel="0" collapsed="false">
      <c r="A296" s="122"/>
      <c r="B296" s="118"/>
      <c r="C296" s="114" t="str">
        <f aca="false">IF(B296="","",IFERROR(INDEX(الموظفون!$C$6:$C$105,MATCH(B296,الموظفون!$B$6:$B$105,0)),"✖ رقم غير موجود"))</f>
        <v/>
      </c>
      <c r="D296" s="123"/>
      <c r="E296" s="123"/>
      <c r="F296" s="123"/>
      <c r="G296" s="121"/>
      <c r="H296" s="121"/>
      <c r="I296" s="121"/>
      <c r="J296" s="121"/>
      <c r="K296" s="123"/>
      <c r="L296" s="123"/>
      <c r="M296" s="121"/>
      <c r="N296" s="121"/>
      <c r="O296" s="118"/>
    </row>
    <row r="297" customFormat="false" ht="15" hidden="false" customHeight="false" outlineLevel="0" collapsed="false">
      <c r="A297" s="122"/>
      <c r="B297" s="118"/>
      <c r="C297" s="117" t="str">
        <f aca="false">IF(B297="","",IFERROR(INDEX(الموظفون!$C$6:$C$105,MATCH(B297,الموظفون!$B$6:$B$105,0)),"✖ رقم غير موجود"))</f>
        <v/>
      </c>
      <c r="D297" s="123"/>
      <c r="E297" s="123"/>
      <c r="F297" s="123"/>
      <c r="G297" s="121"/>
      <c r="H297" s="121"/>
      <c r="I297" s="121"/>
      <c r="J297" s="121"/>
      <c r="K297" s="123"/>
      <c r="L297" s="123"/>
      <c r="M297" s="121"/>
      <c r="N297" s="121"/>
      <c r="O297" s="118"/>
    </row>
    <row r="298" customFormat="false" ht="15" hidden="false" customHeight="false" outlineLevel="0" collapsed="false">
      <c r="A298" s="122"/>
      <c r="B298" s="118"/>
      <c r="C298" s="114" t="str">
        <f aca="false">IF(B298="","",IFERROR(INDEX(الموظفون!$C$6:$C$105,MATCH(B298,الموظفون!$B$6:$B$105,0)),"✖ رقم غير موجود"))</f>
        <v/>
      </c>
      <c r="D298" s="123"/>
      <c r="E298" s="123"/>
      <c r="F298" s="123"/>
      <c r="G298" s="121"/>
      <c r="H298" s="121"/>
      <c r="I298" s="121"/>
      <c r="J298" s="121"/>
      <c r="K298" s="123"/>
      <c r="L298" s="123"/>
      <c r="M298" s="121"/>
      <c r="N298" s="121"/>
      <c r="O298" s="118"/>
    </row>
    <row r="299" customFormat="false" ht="15" hidden="false" customHeight="false" outlineLevel="0" collapsed="false">
      <c r="A299" s="122"/>
      <c r="B299" s="118"/>
      <c r="C299" s="117" t="str">
        <f aca="false">IF(B299="","",IFERROR(INDEX(الموظفون!$C$6:$C$105,MATCH(B299,الموظفون!$B$6:$B$105,0)),"✖ رقم غير موجود"))</f>
        <v/>
      </c>
      <c r="D299" s="123"/>
      <c r="E299" s="123"/>
      <c r="F299" s="123"/>
      <c r="G299" s="121"/>
      <c r="H299" s="121"/>
      <c r="I299" s="121"/>
      <c r="J299" s="121"/>
      <c r="K299" s="123"/>
      <c r="L299" s="123"/>
      <c r="M299" s="121"/>
      <c r="N299" s="121"/>
      <c r="O299" s="118"/>
    </row>
    <row r="300" customFormat="false" ht="15" hidden="false" customHeight="false" outlineLevel="0" collapsed="false">
      <c r="A300" s="122"/>
      <c r="B300" s="118"/>
      <c r="C300" s="114" t="str">
        <f aca="false">IF(B300="","",IFERROR(INDEX(الموظفون!$C$6:$C$105,MATCH(B300,الموظفون!$B$6:$B$105,0)),"✖ رقم غير موجود"))</f>
        <v/>
      </c>
      <c r="D300" s="123"/>
      <c r="E300" s="123"/>
      <c r="F300" s="123"/>
      <c r="G300" s="121"/>
      <c r="H300" s="121"/>
      <c r="I300" s="121"/>
      <c r="J300" s="121"/>
      <c r="K300" s="123"/>
      <c r="L300" s="123"/>
      <c r="M300" s="121"/>
      <c r="N300" s="121"/>
      <c r="O300" s="118"/>
    </row>
    <row r="301" customFormat="false" ht="15" hidden="false" customHeight="false" outlineLevel="0" collapsed="false">
      <c r="A301" s="122"/>
      <c r="B301" s="118"/>
      <c r="C301" s="117" t="str">
        <f aca="false">IF(B301="","",IFERROR(INDEX(الموظفون!$C$6:$C$105,MATCH(B301,الموظفون!$B$6:$B$105,0)),"✖ رقم غير موجود"))</f>
        <v/>
      </c>
      <c r="D301" s="123"/>
      <c r="E301" s="123"/>
      <c r="F301" s="123"/>
      <c r="G301" s="121"/>
      <c r="H301" s="121"/>
      <c r="I301" s="121"/>
      <c r="J301" s="121"/>
      <c r="K301" s="123"/>
      <c r="L301" s="123"/>
      <c r="M301" s="121"/>
      <c r="N301" s="121"/>
      <c r="O301" s="118"/>
    </row>
    <row r="302" customFormat="false" ht="15" hidden="false" customHeight="false" outlineLevel="0" collapsed="false">
      <c r="A302" s="122"/>
      <c r="B302" s="118"/>
      <c r="C302" s="114" t="str">
        <f aca="false">IF(B302="","",IFERROR(INDEX(الموظفون!$C$6:$C$105,MATCH(B302,الموظفون!$B$6:$B$105,0)),"✖ رقم غير موجود"))</f>
        <v/>
      </c>
      <c r="D302" s="123"/>
      <c r="E302" s="123"/>
      <c r="F302" s="123"/>
      <c r="G302" s="121"/>
      <c r="H302" s="121"/>
      <c r="I302" s="121"/>
      <c r="J302" s="121"/>
      <c r="K302" s="123"/>
      <c r="L302" s="123"/>
      <c r="M302" s="121"/>
      <c r="N302" s="121"/>
      <c r="O302" s="118"/>
    </row>
    <row r="303" customFormat="false" ht="15" hidden="false" customHeight="false" outlineLevel="0" collapsed="false">
      <c r="A303" s="122"/>
      <c r="B303" s="118"/>
      <c r="C303" s="117" t="str">
        <f aca="false">IF(B303="","",IFERROR(INDEX(الموظفون!$C$6:$C$105,MATCH(B303,الموظفون!$B$6:$B$105,0)),"✖ رقم غير موجود"))</f>
        <v/>
      </c>
      <c r="D303" s="123"/>
      <c r="E303" s="123"/>
      <c r="F303" s="123"/>
      <c r="G303" s="121"/>
      <c r="H303" s="121"/>
      <c r="I303" s="121"/>
      <c r="J303" s="121"/>
      <c r="K303" s="123"/>
      <c r="L303" s="123"/>
      <c r="M303" s="121"/>
      <c r="N303" s="121"/>
      <c r="O303" s="118"/>
    </row>
    <row r="304" customFormat="false" ht="15" hidden="false" customHeight="false" outlineLevel="0" collapsed="false">
      <c r="A304" s="122"/>
      <c r="B304" s="118"/>
      <c r="C304" s="114" t="str">
        <f aca="false">IF(B304="","",IFERROR(INDEX(الموظفون!$C$6:$C$105,MATCH(B304,الموظفون!$B$6:$B$105,0)),"✖ رقم غير موجود"))</f>
        <v/>
      </c>
      <c r="D304" s="123"/>
      <c r="E304" s="123"/>
      <c r="F304" s="123"/>
      <c r="G304" s="121"/>
      <c r="H304" s="121"/>
      <c r="I304" s="121"/>
      <c r="J304" s="121"/>
      <c r="K304" s="123"/>
      <c r="L304" s="123"/>
      <c r="M304" s="121"/>
      <c r="N304" s="121"/>
      <c r="O304" s="118"/>
    </row>
    <row r="305" customFormat="false" ht="15" hidden="false" customHeight="false" outlineLevel="0" collapsed="false">
      <c r="A305" s="122"/>
      <c r="B305" s="118"/>
      <c r="C305" s="117" t="str">
        <f aca="false">IF(B305="","",IFERROR(INDEX(الموظفون!$C$6:$C$105,MATCH(B305,الموظفون!$B$6:$B$105,0)),"✖ رقم غير موجود"))</f>
        <v/>
      </c>
      <c r="D305" s="123"/>
      <c r="E305" s="123"/>
      <c r="F305" s="123"/>
      <c r="G305" s="121"/>
      <c r="H305" s="121"/>
      <c r="I305" s="121"/>
      <c r="J305" s="121"/>
      <c r="K305" s="123"/>
      <c r="L305" s="123"/>
      <c r="M305" s="121"/>
      <c r="N305" s="121"/>
      <c r="O305" s="118"/>
    </row>
    <row r="306" customFormat="false" ht="15" hidden="false" customHeight="false" outlineLevel="0" collapsed="false">
      <c r="A306" s="122"/>
      <c r="B306" s="118"/>
      <c r="C306" s="114" t="str">
        <f aca="false">IF(B306="","",IFERROR(INDEX(الموظفون!$C$6:$C$105,MATCH(B306,الموظفون!$B$6:$B$105,0)),"✖ رقم غير موجود"))</f>
        <v/>
      </c>
      <c r="D306" s="123"/>
      <c r="E306" s="123"/>
      <c r="F306" s="123"/>
      <c r="G306" s="121"/>
      <c r="H306" s="121"/>
      <c r="I306" s="121"/>
      <c r="J306" s="121"/>
      <c r="K306" s="123"/>
      <c r="L306" s="123"/>
      <c r="M306" s="121"/>
      <c r="N306" s="121"/>
      <c r="O306" s="118"/>
    </row>
    <row r="307" customFormat="false" ht="15" hidden="false" customHeight="false" outlineLevel="0" collapsed="false">
      <c r="A307" s="122"/>
      <c r="B307" s="118"/>
      <c r="C307" s="117" t="str">
        <f aca="false">IF(B307="","",IFERROR(INDEX(الموظفون!$C$6:$C$105,MATCH(B307,الموظفون!$B$6:$B$105,0)),"✖ رقم غير موجود"))</f>
        <v/>
      </c>
      <c r="D307" s="123"/>
      <c r="E307" s="123"/>
      <c r="F307" s="123"/>
      <c r="G307" s="121"/>
      <c r="H307" s="121"/>
      <c r="I307" s="121"/>
      <c r="J307" s="121"/>
      <c r="K307" s="123"/>
      <c r="L307" s="123"/>
      <c r="M307" s="121"/>
      <c r="N307" s="121"/>
      <c r="O307" s="118"/>
    </row>
    <row r="308" customFormat="false" ht="15" hidden="false" customHeight="false" outlineLevel="0" collapsed="false">
      <c r="A308" s="122"/>
      <c r="B308" s="118"/>
      <c r="C308" s="114" t="str">
        <f aca="false">IF(B308="","",IFERROR(INDEX(الموظفون!$C$6:$C$105,MATCH(B308,الموظفون!$B$6:$B$105,0)),"✖ رقم غير موجود"))</f>
        <v/>
      </c>
      <c r="D308" s="123"/>
      <c r="E308" s="123"/>
      <c r="F308" s="123"/>
      <c r="G308" s="121"/>
      <c r="H308" s="121"/>
      <c r="I308" s="121"/>
      <c r="J308" s="121"/>
      <c r="K308" s="123"/>
      <c r="L308" s="123"/>
      <c r="M308" s="121"/>
      <c r="N308" s="121"/>
      <c r="O308" s="118"/>
    </row>
    <row r="309" customFormat="false" ht="15" hidden="false" customHeight="false" outlineLevel="0" collapsed="false">
      <c r="A309" s="122"/>
      <c r="B309" s="118"/>
      <c r="C309" s="117" t="str">
        <f aca="false">IF(B309="","",IFERROR(INDEX(الموظفون!$C$6:$C$105,MATCH(B309,الموظفون!$B$6:$B$105,0)),"✖ رقم غير موجود"))</f>
        <v/>
      </c>
      <c r="D309" s="123"/>
      <c r="E309" s="123"/>
      <c r="F309" s="123"/>
      <c r="G309" s="121"/>
      <c r="H309" s="121"/>
      <c r="I309" s="121"/>
      <c r="J309" s="121"/>
      <c r="K309" s="123"/>
      <c r="L309" s="123"/>
      <c r="M309" s="121"/>
      <c r="N309" s="121"/>
      <c r="O309" s="118"/>
    </row>
    <row r="310" customFormat="false" ht="15" hidden="false" customHeight="false" outlineLevel="0" collapsed="false">
      <c r="A310" s="122"/>
      <c r="B310" s="118"/>
      <c r="C310" s="114" t="str">
        <f aca="false">IF(B310="","",IFERROR(INDEX(الموظفون!$C$6:$C$105,MATCH(B310,الموظفون!$B$6:$B$105,0)),"✖ رقم غير موجود"))</f>
        <v/>
      </c>
      <c r="D310" s="123"/>
      <c r="E310" s="123"/>
      <c r="F310" s="123"/>
      <c r="G310" s="121"/>
      <c r="H310" s="121"/>
      <c r="I310" s="121"/>
      <c r="J310" s="121"/>
      <c r="K310" s="123"/>
      <c r="L310" s="123"/>
      <c r="M310" s="121"/>
      <c r="N310" s="121"/>
      <c r="O310" s="118"/>
    </row>
    <row r="311" customFormat="false" ht="15" hidden="false" customHeight="false" outlineLevel="0" collapsed="false">
      <c r="A311" s="122"/>
      <c r="B311" s="118"/>
      <c r="C311" s="117" t="str">
        <f aca="false">IF(B311="","",IFERROR(INDEX(الموظفون!$C$6:$C$105,MATCH(B311,الموظفون!$B$6:$B$105,0)),"✖ رقم غير موجود"))</f>
        <v/>
      </c>
      <c r="D311" s="123"/>
      <c r="E311" s="123"/>
      <c r="F311" s="123"/>
      <c r="G311" s="121"/>
      <c r="H311" s="121"/>
      <c r="I311" s="121"/>
      <c r="J311" s="121"/>
      <c r="K311" s="123"/>
      <c r="L311" s="123"/>
      <c r="M311" s="121"/>
      <c r="N311" s="121"/>
      <c r="O311" s="118"/>
    </row>
    <row r="312" customFormat="false" ht="15" hidden="false" customHeight="false" outlineLevel="0" collapsed="false">
      <c r="A312" s="122"/>
      <c r="B312" s="118"/>
      <c r="C312" s="114" t="str">
        <f aca="false">IF(B312="","",IFERROR(INDEX(الموظفون!$C$6:$C$105,MATCH(B312,الموظفون!$B$6:$B$105,0)),"✖ رقم غير موجود"))</f>
        <v/>
      </c>
      <c r="D312" s="123"/>
      <c r="E312" s="123"/>
      <c r="F312" s="123"/>
      <c r="G312" s="121"/>
      <c r="H312" s="121"/>
      <c r="I312" s="121"/>
      <c r="J312" s="121"/>
      <c r="K312" s="123"/>
      <c r="L312" s="123"/>
      <c r="M312" s="121"/>
      <c r="N312" s="121"/>
      <c r="O312" s="118"/>
    </row>
    <row r="313" customFormat="false" ht="15" hidden="false" customHeight="false" outlineLevel="0" collapsed="false">
      <c r="A313" s="122"/>
      <c r="B313" s="118"/>
      <c r="C313" s="117" t="str">
        <f aca="false">IF(B313="","",IFERROR(INDEX(الموظفون!$C$6:$C$105,MATCH(B313,الموظفون!$B$6:$B$105,0)),"✖ رقم غير موجود"))</f>
        <v/>
      </c>
      <c r="D313" s="123"/>
      <c r="E313" s="123"/>
      <c r="F313" s="123"/>
      <c r="G313" s="121"/>
      <c r="H313" s="121"/>
      <c r="I313" s="121"/>
      <c r="J313" s="121"/>
      <c r="K313" s="123"/>
      <c r="L313" s="123"/>
      <c r="M313" s="121"/>
      <c r="N313" s="121"/>
      <c r="O313" s="118"/>
    </row>
    <row r="314" customFormat="false" ht="15" hidden="false" customHeight="false" outlineLevel="0" collapsed="false">
      <c r="A314" s="122"/>
      <c r="B314" s="118"/>
      <c r="C314" s="114" t="str">
        <f aca="false">IF(B314="","",IFERROR(INDEX(الموظفون!$C$6:$C$105,MATCH(B314,الموظفون!$B$6:$B$105,0)),"✖ رقم غير موجود"))</f>
        <v/>
      </c>
      <c r="D314" s="123"/>
      <c r="E314" s="123"/>
      <c r="F314" s="123"/>
      <c r="G314" s="121"/>
      <c r="H314" s="121"/>
      <c r="I314" s="121"/>
      <c r="J314" s="121"/>
      <c r="K314" s="123"/>
      <c r="L314" s="123"/>
      <c r="M314" s="121"/>
      <c r="N314" s="121"/>
      <c r="O314" s="118"/>
    </row>
    <row r="315" customFormat="false" ht="15" hidden="false" customHeight="false" outlineLevel="0" collapsed="false">
      <c r="A315" s="122"/>
      <c r="B315" s="118"/>
      <c r="C315" s="117" t="str">
        <f aca="false">IF(B315="","",IFERROR(INDEX(الموظفون!$C$6:$C$105,MATCH(B315,الموظفون!$B$6:$B$105,0)),"✖ رقم غير موجود"))</f>
        <v/>
      </c>
      <c r="D315" s="123"/>
      <c r="E315" s="123"/>
      <c r="F315" s="123"/>
      <c r="G315" s="121"/>
      <c r="H315" s="121"/>
      <c r="I315" s="121"/>
      <c r="J315" s="121"/>
      <c r="K315" s="123"/>
      <c r="L315" s="123"/>
      <c r="M315" s="121"/>
      <c r="N315" s="121"/>
      <c r="O315" s="118"/>
    </row>
    <row r="316" customFormat="false" ht="15" hidden="false" customHeight="false" outlineLevel="0" collapsed="false">
      <c r="A316" s="122"/>
      <c r="B316" s="118"/>
      <c r="C316" s="114" t="str">
        <f aca="false">IF(B316="","",IFERROR(INDEX(الموظفون!$C$6:$C$105,MATCH(B316,الموظفون!$B$6:$B$105,0)),"✖ رقم غير موجود"))</f>
        <v/>
      </c>
      <c r="D316" s="123"/>
      <c r="E316" s="123"/>
      <c r="F316" s="123"/>
      <c r="G316" s="121"/>
      <c r="H316" s="121"/>
      <c r="I316" s="121"/>
      <c r="J316" s="121"/>
      <c r="K316" s="123"/>
      <c r="L316" s="123"/>
      <c r="M316" s="121"/>
      <c r="N316" s="121"/>
      <c r="O316" s="118"/>
    </row>
    <row r="317" customFormat="false" ht="15" hidden="false" customHeight="false" outlineLevel="0" collapsed="false">
      <c r="A317" s="122"/>
      <c r="B317" s="118"/>
      <c r="C317" s="117" t="str">
        <f aca="false">IF(B317="","",IFERROR(INDEX(الموظفون!$C$6:$C$105,MATCH(B317,الموظفون!$B$6:$B$105,0)),"✖ رقم غير موجود"))</f>
        <v/>
      </c>
      <c r="D317" s="123"/>
      <c r="E317" s="123"/>
      <c r="F317" s="123"/>
      <c r="G317" s="121"/>
      <c r="H317" s="121"/>
      <c r="I317" s="121"/>
      <c r="J317" s="121"/>
      <c r="K317" s="123"/>
      <c r="L317" s="123"/>
      <c r="M317" s="121"/>
      <c r="N317" s="121"/>
      <c r="O317" s="118"/>
    </row>
    <row r="318" customFormat="false" ht="15" hidden="false" customHeight="false" outlineLevel="0" collapsed="false">
      <c r="A318" s="122"/>
      <c r="B318" s="118"/>
      <c r="C318" s="114" t="str">
        <f aca="false">IF(B318="","",IFERROR(INDEX(الموظفون!$C$6:$C$105,MATCH(B318,الموظفون!$B$6:$B$105,0)),"✖ رقم غير موجود"))</f>
        <v/>
      </c>
      <c r="D318" s="123"/>
      <c r="E318" s="123"/>
      <c r="F318" s="123"/>
      <c r="G318" s="121"/>
      <c r="H318" s="121"/>
      <c r="I318" s="121"/>
      <c r="J318" s="121"/>
      <c r="K318" s="123"/>
      <c r="L318" s="123"/>
      <c r="M318" s="121"/>
      <c r="N318" s="121"/>
      <c r="O318" s="118"/>
    </row>
    <row r="319" customFormat="false" ht="15" hidden="false" customHeight="false" outlineLevel="0" collapsed="false">
      <c r="A319" s="122"/>
      <c r="B319" s="118"/>
      <c r="C319" s="117" t="str">
        <f aca="false">IF(B319="","",IFERROR(INDEX(الموظفون!$C$6:$C$105,MATCH(B319,الموظفون!$B$6:$B$105,0)),"✖ رقم غير موجود"))</f>
        <v/>
      </c>
      <c r="D319" s="123"/>
      <c r="E319" s="123"/>
      <c r="F319" s="123"/>
      <c r="G319" s="121"/>
      <c r="H319" s="121"/>
      <c r="I319" s="121"/>
      <c r="J319" s="121"/>
      <c r="K319" s="123"/>
      <c r="L319" s="123"/>
      <c r="M319" s="121"/>
      <c r="N319" s="121"/>
      <c r="O319" s="118"/>
    </row>
    <row r="320" customFormat="false" ht="15" hidden="false" customHeight="false" outlineLevel="0" collapsed="false">
      <c r="A320" s="122"/>
      <c r="B320" s="118"/>
      <c r="C320" s="114" t="str">
        <f aca="false">IF(B320="","",IFERROR(INDEX(الموظفون!$C$6:$C$105,MATCH(B320,الموظفون!$B$6:$B$105,0)),"✖ رقم غير موجود"))</f>
        <v/>
      </c>
      <c r="D320" s="123"/>
      <c r="E320" s="123"/>
      <c r="F320" s="123"/>
      <c r="G320" s="121"/>
      <c r="H320" s="121"/>
      <c r="I320" s="121"/>
      <c r="J320" s="121"/>
      <c r="K320" s="123"/>
      <c r="L320" s="123"/>
      <c r="M320" s="121"/>
      <c r="N320" s="121"/>
      <c r="O320" s="118"/>
    </row>
    <row r="321" customFormat="false" ht="15" hidden="false" customHeight="false" outlineLevel="0" collapsed="false">
      <c r="A321" s="122"/>
      <c r="B321" s="118"/>
      <c r="C321" s="117" t="str">
        <f aca="false">IF(B321="","",IFERROR(INDEX(الموظفون!$C$6:$C$105,MATCH(B321,الموظفون!$B$6:$B$105,0)),"✖ رقم غير موجود"))</f>
        <v/>
      </c>
      <c r="D321" s="123"/>
      <c r="E321" s="123"/>
      <c r="F321" s="123"/>
      <c r="G321" s="121"/>
      <c r="H321" s="121"/>
      <c r="I321" s="121"/>
      <c r="J321" s="121"/>
      <c r="K321" s="123"/>
      <c r="L321" s="123"/>
      <c r="M321" s="121"/>
      <c r="N321" s="121"/>
      <c r="O321" s="118"/>
    </row>
    <row r="322" customFormat="false" ht="15" hidden="false" customHeight="false" outlineLevel="0" collapsed="false">
      <c r="A322" s="122"/>
      <c r="B322" s="118"/>
      <c r="C322" s="114" t="str">
        <f aca="false">IF(B322="","",IFERROR(INDEX(الموظفون!$C$6:$C$105,MATCH(B322,الموظفون!$B$6:$B$105,0)),"✖ رقم غير موجود"))</f>
        <v/>
      </c>
      <c r="D322" s="123"/>
      <c r="E322" s="123"/>
      <c r="F322" s="123"/>
      <c r="G322" s="121"/>
      <c r="H322" s="121"/>
      <c r="I322" s="121"/>
      <c r="J322" s="121"/>
      <c r="K322" s="123"/>
      <c r="L322" s="123"/>
      <c r="M322" s="121"/>
      <c r="N322" s="121"/>
      <c r="O322" s="118"/>
    </row>
    <row r="323" customFormat="false" ht="15" hidden="false" customHeight="false" outlineLevel="0" collapsed="false">
      <c r="A323" s="122"/>
      <c r="B323" s="118"/>
      <c r="C323" s="117" t="str">
        <f aca="false">IF(B323="","",IFERROR(INDEX(الموظفون!$C$6:$C$105,MATCH(B323,الموظفون!$B$6:$B$105,0)),"✖ رقم غير موجود"))</f>
        <v/>
      </c>
      <c r="D323" s="123"/>
      <c r="E323" s="123"/>
      <c r="F323" s="123"/>
      <c r="G323" s="121"/>
      <c r="H323" s="121"/>
      <c r="I323" s="121"/>
      <c r="J323" s="121"/>
      <c r="K323" s="123"/>
      <c r="L323" s="123"/>
      <c r="M323" s="121"/>
      <c r="N323" s="121"/>
      <c r="O323" s="118"/>
    </row>
    <row r="324" customFormat="false" ht="15" hidden="false" customHeight="false" outlineLevel="0" collapsed="false">
      <c r="A324" s="122"/>
      <c r="B324" s="118"/>
      <c r="C324" s="114" t="str">
        <f aca="false">IF(B324="","",IFERROR(INDEX(الموظفون!$C$6:$C$105,MATCH(B324,الموظفون!$B$6:$B$105,0)),"✖ رقم غير موجود"))</f>
        <v/>
      </c>
      <c r="D324" s="123"/>
      <c r="E324" s="123"/>
      <c r="F324" s="123"/>
      <c r="G324" s="121"/>
      <c r="H324" s="121"/>
      <c r="I324" s="121"/>
      <c r="J324" s="121"/>
      <c r="K324" s="123"/>
      <c r="L324" s="123"/>
      <c r="M324" s="121"/>
      <c r="N324" s="121"/>
      <c r="O324" s="118"/>
    </row>
    <row r="325" customFormat="false" ht="15" hidden="false" customHeight="false" outlineLevel="0" collapsed="false">
      <c r="A325" s="122"/>
      <c r="B325" s="118"/>
      <c r="C325" s="117" t="str">
        <f aca="false">IF(B325="","",IFERROR(INDEX(الموظفون!$C$6:$C$105,MATCH(B325,الموظفون!$B$6:$B$105,0)),"✖ رقم غير موجود"))</f>
        <v/>
      </c>
      <c r="D325" s="123"/>
      <c r="E325" s="123"/>
      <c r="F325" s="123"/>
      <c r="G325" s="121"/>
      <c r="H325" s="121"/>
      <c r="I325" s="121"/>
      <c r="J325" s="121"/>
      <c r="K325" s="123"/>
      <c r="L325" s="123"/>
      <c r="M325" s="121"/>
      <c r="N325" s="121"/>
      <c r="O325" s="118"/>
    </row>
    <row r="326" customFormat="false" ht="15" hidden="false" customHeight="false" outlineLevel="0" collapsed="false">
      <c r="A326" s="122"/>
      <c r="B326" s="118"/>
      <c r="C326" s="114" t="str">
        <f aca="false">IF(B326="","",IFERROR(INDEX(الموظفون!$C$6:$C$105,MATCH(B326,الموظفون!$B$6:$B$105,0)),"✖ رقم غير موجود"))</f>
        <v/>
      </c>
      <c r="D326" s="123"/>
      <c r="E326" s="123"/>
      <c r="F326" s="123"/>
      <c r="G326" s="121"/>
      <c r="H326" s="121"/>
      <c r="I326" s="121"/>
      <c r="J326" s="121"/>
      <c r="K326" s="123"/>
      <c r="L326" s="123"/>
      <c r="M326" s="121"/>
      <c r="N326" s="121"/>
      <c r="O326" s="118"/>
    </row>
    <row r="327" customFormat="false" ht="15" hidden="false" customHeight="false" outlineLevel="0" collapsed="false">
      <c r="A327" s="122"/>
      <c r="B327" s="118"/>
      <c r="C327" s="117" t="str">
        <f aca="false">IF(B327="","",IFERROR(INDEX(الموظفون!$C$6:$C$105,MATCH(B327,الموظفون!$B$6:$B$105,0)),"✖ رقم غير موجود"))</f>
        <v/>
      </c>
      <c r="D327" s="123"/>
      <c r="E327" s="123"/>
      <c r="F327" s="123"/>
      <c r="G327" s="121"/>
      <c r="H327" s="121"/>
      <c r="I327" s="121"/>
      <c r="J327" s="121"/>
      <c r="K327" s="123"/>
      <c r="L327" s="123"/>
      <c r="M327" s="121"/>
      <c r="N327" s="121"/>
      <c r="O327" s="118"/>
    </row>
    <row r="328" customFormat="false" ht="15" hidden="false" customHeight="false" outlineLevel="0" collapsed="false">
      <c r="A328" s="122"/>
      <c r="B328" s="118"/>
      <c r="C328" s="114" t="str">
        <f aca="false">IF(B328="","",IFERROR(INDEX(الموظفون!$C$6:$C$105,MATCH(B328,الموظفون!$B$6:$B$105,0)),"✖ رقم غير موجود"))</f>
        <v/>
      </c>
      <c r="D328" s="123"/>
      <c r="E328" s="123"/>
      <c r="F328" s="123"/>
      <c r="G328" s="121"/>
      <c r="H328" s="121"/>
      <c r="I328" s="121"/>
      <c r="J328" s="121"/>
      <c r="K328" s="123"/>
      <c r="L328" s="123"/>
      <c r="M328" s="121"/>
      <c r="N328" s="121"/>
      <c r="O328" s="118"/>
    </row>
    <row r="329" customFormat="false" ht="15" hidden="false" customHeight="false" outlineLevel="0" collapsed="false">
      <c r="A329" s="122"/>
      <c r="B329" s="118"/>
      <c r="C329" s="117" t="str">
        <f aca="false">IF(B329="","",IFERROR(INDEX(الموظفون!$C$6:$C$105,MATCH(B329,الموظفون!$B$6:$B$105,0)),"✖ رقم غير موجود"))</f>
        <v/>
      </c>
      <c r="D329" s="123"/>
      <c r="E329" s="123"/>
      <c r="F329" s="123"/>
      <c r="G329" s="121"/>
      <c r="H329" s="121"/>
      <c r="I329" s="121"/>
      <c r="J329" s="121"/>
      <c r="K329" s="123"/>
      <c r="L329" s="123"/>
      <c r="M329" s="121"/>
      <c r="N329" s="121"/>
      <c r="O329" s="118"/>
    </row>
    <row r="330" customFormat="false" ht="15" hidden="false" customHeight="false" outlineLevel="0" collapsed="false">
      <c r="A330" s="122"/>
      <c r="B330" s="118"/>
      <c r="C330" s="114" t="str">
        <f aca="false">IF(B330="","",IFERROR(INDEX(الموظفون!$C$6:$C$105,MATCH(B330,الموظفون!$B$6:$B$105,0)),"✖ رقم غير موجود"))</f>
        <v/>
      </c>
      <c r="D330" s="123"/>
      <c r="E330" s="123"/>
      <c r="F330" s="123"/>
      <c r="G330" s="121"/>
      <c r="H330" s="121"/>
      <c r="I330" s="121"/>
      <c r="J330" s="121"/>
      <c r="K330" s="123"/>
      <c r="L330" s="123"/>
      <c r="M330" s="121"/>
      <c r="N330" s="121"/>
      <c r="O330" s="118"/>
    </row>
    <row r="331" customFormat="false" ht="15" hidden="false" customHeight="false" outlineLevel="0" collapsed="false">
      <c r="A331" s="122"/>
      <c r="B331" s="118"/>
      <c r="C331" s="117" t="str">
        <f aca="false">IF(B331="","",IFERROR(INDEX(الموظفون!$C$6:$C$105,MATCH(B331,الموظفون!$B$6:$B$105,0)),"✖ رقم غير موجود"))</f>
        <v/>
      </c>
      <c r="D331" s="123"/>
      <c r="E331" s="123"/>
      <c r="F331" s="123"/>
      <c r="G331" s="121"/>
      <c r="H331" s="121"/>
      <c r="I331" s="121"/>
      <c r="J331" s="121"/>
      <c r="K331" s="123"/>
      <c r="L331" s="123"/>
      <c r="M331" s="121"/>
      <c r="N331" s="121"/>
      <c r="O331" s="118"/>
    </row>
    <row r="332" customFormat="false" ht="15" hidden="false" customHeight="false" outlineLevel="0" collapsed="false">
      <c r="A332" s="122"/>
      <c r="B332" s="118"/>
      <c r="C332" s="114" t="str">
        <f aca="false">IF(B332="","",IFERROR(INDEX(الموظفون!$C$6:$C$105,MATCH(B332,الموظفون!$B$6:$B$105,0)),"✖ رقم غير موجود"))</f>
        <v/>
      </c>
      <c r="D332" s="123"/>
      <c r="E332" s="123"/>
      <c r="F332" s="123"/>
      <c r="G332" s="121"/>
      <c r="H332" s="121"/>
      <c r="I332" s="121"/>
      <c r="J332" s="121"/>
      <c r="K332" s="123"/>
      <c r="L332" s="123"/>
      <c r="M332" s="121"/>
      <c r="N332" s="121"/>
      <c r="O332" s="118"/>
    </row>
    <row r="333" customFormat="false" ht="15" hidden="false" customHeight="false" outlineLevel="0" collapsed="false">
      <c r="A333" s="122"/>
      <c r="B333" s="118"/>
      <c r="C333" s="117" t="str">
        <f aca="false">IF(B333="","",IFERROR(INDEX(الموظفون!$C$6:$C$105,MATCH(B333,الموظفون!$B$6:$B$105,0)),"✖ رقم غير موجود"))</f>
        <v/>
      </c>
      <c r="D333" s="123"/>
      <c r="E333" s="123"/>
      <c r="F333" s="123"/>
      <c r="G333" s="121"/>
      <c r="H333" s="121"/>
      <c r="I333" s="121"/>
      <c r="J333" s="121"/>
      <c r="K333" s="123"/>
      <c r="L333" s="123"/>
      <c r="M333" s="121"/>
      <c r="N333" s="121"/>
      <c r="O333" s="118"/>
    </row>
    <row r="334" customFormat="false" ht="15" hidden="false" customHeight="false" outlineLevel="0" collapsed="false">
      <c r="A334" s="122"/>
      <c r="B334" s="118"/>
      <c r="C334" s="114" t="str">
        <f aca="false">IF(B334="","",IFERROR(INDEX(الموظفون!$C$6:$C$105,MATCH(B334,الموظفون!$B$6:$B$105,0)),"✖ رقم غير موجود"))</f>
        <v/>
      </c>
      <c r="D334" s="123"/>
      <c r="E334" s="123"/>
      <c r="F334" s="123"/>
      <c r="G334" s="121"/>
      <c r="H334" s="121"/>
      <c r="I334" s="121"/>
      <c r="J334" s="121"/>
      <c r="K334" s="123"/>
      <c r="L334" s="123"/>
      <c r="M334" s="121"/>
      <c r="N334" s="121"/>
      <c r="O334" s="118"/>
    </row>
    <row r="335" customFormat="false" ht="15" hidden="false" customHeight="false" outlineLevel="0" collapsed="false">
      <c r="A335" s="122"/>
      <c r="B335" s="118"/>
      <c r="C335" s="117" t="str">
        <f aca="false">IF(B335="","",IFERROR(INDEX(الموظفون!$C$6:$C$105,MATCH(B335,الموظفون!$B$6:$B$105,0)),"✖ رقم غير موجود"))</f>
        <v/>
      </c>
      <c r="D335" s="123"/>
      <c r="E335" s="123"/>
      <c r="F335" s="123"/>
      <c r="G335" s="121"/>
      <c r="H335" s="121"/>
      <c r="I335" s="121"/>
      <c r="J335" s="121"/>
      <c r="K335" s="123"/>
      <c r="L335" s="123"/>
      <c r="M335" s="121"/>
      <c r="N335" s="121"/>
      <c r="O335" s="118"/>
    </row>
    <row r="336" customFormat="false" ht="15" hidden="false" customHeight="false" outlineLevel="0" collapsed="false">
      <c r="A336" s="122"/>
      <c r="B336" s="118"/>
      <c r="C336" s="114" t="str">
        <f aca="false">IF(B336="","",IFERROR(INDEX(الموظفون!$C$6:$C$105,MATCH(B336,الموظفون!$B$6:$B$105,0)),"✖ رقم غير موجود"))</f>
        <v/>
      </c>
      <c r="D336" s="123"/>
      <c r="E336" s="123"/>
      <c r="F336" s="123"/>
      <c r="G336" s="121"/>
      <c r="H336" s="121"/>
      <c r="I336" s="121"/>
      <c r="J336" s="121"/>
      <c r="K336" s="123"/>
      <c r="L336" s="123"/>
      <c r="M336" s="121"/>
      <c r="N336" s="121"/>
      <c r="O336" s="118"/>
    </row>
    <row r="337" customFormat="false" ht="15" hidden="false" customHeight="false" outlineLevel="0" collapsed="false">
      <c r="A337" s="122"/>
      <c r="B337" s="118"/>
      <c r="C337" s="117" t="str">
        <f aca="false">IF(B337="","",IFERROR(INDEX(الموظفون!$C$6:$C$105,MATCH(B337,الموظفون!$B$6:$B$105,0)),"✖ رقم غير موجود"))</f>
        <v/>
      </c>
      <c r="D337" s="123"/>
      <c r="E337" s="123"/>
      <c r="F337" s="123"/>
      <c r="G337" s="121"/>
      <c r="H337" s="121"/>
      <c r="I337" s="121"/>
      <c r="J337" s="121"/>
      <c r="K337" s="123"/>
      <c r="L337" s="123"/>
      <c r="M337" s="121"/>
      <c r="N337" s="121"/>
      <c r="O337" s="118"/>
    </row>
    <row r="338" customFormat="false" ht="15" hidden="false" customHeight="false" outlineLevel="0" collapsed="false">
      <c r="A338" s="122"/>
      <c r="B338" s="118"/>
      <c r="C338" s="114" t="str">
        <f aca="false">IF(B338="","",IFERROR(INDEX(الموظفون!$C$6:$C$105,MATCH(B338,الموظفون!$B$6:$B$105,0)),"✖ رقم غير موجود"))</f>
        <v/>
      </c>
      <c r="D338" s="123"/>
      <c r="E338" s="123"/>
      <c r="F338" s="123"/>
      <c r="G338" s="121"/>
      <c r="H338" s="121"/>
      <c r="I338" s="121"/>
      <c r="J338" s="121"/>
      <c r="K338" s="123"/>
      <c r="L338" s="123"/>
      <c r="M338" s="121"/>
      <c r="N338" s="121"/>
      <c r="O338" s="118"/>
    </row>
    <row r="339" customFormat="false" ht="15" hidden="false" customHeight="false" outlineLevel="0" collapsed="false">
      <c r="A339" s="122"/>
      <c r="B339" s="118"/>
      <c r="C339" s="117" t="str">
        <f aca="false">IF(B339="","",IFERROR(INDEX(الموظفون!$C$6:$C$105,MATCH(B339,الموظفون!$B$6:$B$105,0)),"✖ رقم غير موجود"))</f>
        <v/>
      </c>
      <c r="D339" s="123"/>
      <c r="E339" s="123"/>
      <c r="F339" s="123"/>
      <c r="G339" s="121"/>
      <c r="H339" s="121"/>
      <c r="I339" s="121"/>
      <c r="J339" s="121"/>
      <c r="K339" s="123"/>
      <c r="L339" s="123"/>
      <c r="M339" s="121"/>
      <c r="N339" s="121"/>
      <c r="O339" s="118"/>
    </row>
    <row r="340" customFormat="false" ht="15" hidden="false" customHeight="false" outlineLevel="0" collapsed="false">
      <c r="A340" s="122"/>
      <c r="B340" s="118"/>
      <c r="C340" s="114" t="str">
        <f aca="false">IF(B340="","",IFERROR(INDEX(الموظفون!$C$6:$C$105,MATCH(B340,الموظفون!$B$6:$B$105,0)),"✖ رقم غير موجود"))</f>
        <v/>
      </c>
      <c r="D340" s="123"/>
      <c r="E340" s="123"/>
      <c r="F340" s="123"/>
      <c r="G340" s="121"/>
      <c r="H340" s="121"/>
      <c r="I340" s="121"/>
      <c r="J340" s="121"/>
      <c r="K340" s="123"/>
      <c r="L340" s="123"/>
      <c r="M340" s="121"/>
      <c r="N340" s="121"/>
      <c r="O340" s="118"/>
    </row>
    <row r="341" customFormat="false" ht="15" hidden="false" customHeight="false" outlineLevel="0" collapsed="false">
      <c r="A341" s="122"/>
      <c r="B341" s="118"/>
      <c r="C341" s="117" t="str">
        <f aca="false">IF(B341="","",IFERROR(INDEX(الموظفون!$C$6:$C$105,MATCH(B341,الموظفون!$B$6:$B$105,0)),"✖ رقم غير موجود"))</f>
        <v/>
      </c>
      <c r="D341" s="123"/>
      <c r="E341" s="123"/>
      <c r="F341" s="123"/>
      <c r="G341" s="121"/>
      <c r="H341" s="121"/>
      <c r="I341" s="121"/>
      <c r="J341" s="121"/>
      <c r="K341" s="123"/>
      <c r="L341" s="123"/>
      <c r="M341" s="121"/>
      <c r="N341" s="121"/>
      <c r="O341" s="118"/>
    </row>
    <row r="342" customFormat="false" ht="15" hidden="false" customHeight="false" outlineLevel="0" collapsed="false">
      <c r="A342" s="122"/>
      <c r="B342" s="118"/>
      <c r="C342" s="114" t="str">
        <f aca="false">IF(B342="","",IFERROR(INDEX(الموظفون!$C$6:$C$105,MATCH(B342,الموظفون!$B$6:$B$105,0)),"✖ رقم غير موجود"))</f>
        <v/>
      </c>
      <c r="D342" s="123"/>
      <c r="E342" s="123"/>
      <c r="F342" s="123"/>
      <c r="G342" s="121"/>
      <c r="H342" s="121"/>
      <c r="I342" s="121"/>
      <c r="J342" s="121"/>
      <c r="K342" s="123"/>
      <c r="L342" s="123"/>
      <c r="M342" s="121"/>
      <c r="N342" s="121"/>
      <c r="O342" s="118"/>
    </row>
    <row r="343" customFormat="false" ht="15" hidden="false" customHeight="false" outlineLevel="0" collapsed="false">
      <c r="A343" s="122"/>
      <c r="B343" s="118"/>
      <c r="C343" s="117" t="str">
        <f aca="false">IF(B343="","",IFERROR(INDEX(الموظفون!$C$6:$C$105,MATCH(B343,الموظفون!$B$6:$B$105,0)),"✖ رقم غير موجود"))</f>
        <v/>
      </c>
      <c r="D343" s="123"/>
      <c r="E343" s="123"/>
      <c r="F343" s="123"/>
      <c r="G343" s="121"/>
      <c r="H343" s="121"/>
      <c r="I343" s="121"/>
      <c r="J343" s="121"/>
      <c r="K343" s="123"/>
      <c r="L343" s="123"/>
      <c r="M343" s="121"/>
      <c r="N343" s="121"/>
      <c r="O343" s="118"/>
    </row>
    <row r="344" customFormat="false" ht="15" hidden="false" customHeight="false" outlineLevel="0" collapsed="false">
      <c r="A344" s="122"/>
      <c r="B344" s="118"/>
      <c r="C344" s="114" t="str">
        <f aca="false">IF(B344="","",IFERROR(INDEX(الموظفون!$C$6:$C$105,MATCH(B344,الموظفون!$B$6:$B$105,0)),"✖ رقم غير موجود"))</f>
        <v/>
      </c>
      <c r="D344" s="123"/>
      <c r="E344" s="123"/>
      <c r="F344" s="123"/>
      <c r="G344" s="121"/>
      <c r="H344" s="121"/>
      <c r="I344" s="121"/>
      <c r="J344" s="121"/>
      <c r="K344" s="123"/>
      <c r="L344" s="123"/>
      <c r="M344" s="121"/>
      <c r="N344" s="121"/>
      <c r="O344" s="118"/>
    </row>
    <row r="345" customFormat="false" ht="15" hidden="false" customHeight="false" outlineLevel="0" collapsed="false">
      <c r="A345" s="122"/>
      <c r="B345" s="118"/>
      <c r="C345" s="117" t="str">
        <f aca="false">IF(B345="","",IFERROR(INDEX(الموظفون!$C$6:$C$105,MATCH(B345,الموظفون!$B$6:$B$105,0)),"✖ رقم غير موجود"))</f>
        <v/>
      </c>
      <c r="D345" s="123"/>
      <c r="E345" s="123"/>
      <c r="F345" s="123"/>
      <c r="G345" s="121"/>
      <c r="H345" s="121"/>
      <c r="I345" s="121"/>
      <c r="J345" s="121"/>
      <c r="K345" s="123"/>
      <c r="L345" s="123"/>
      <c r="M345" s="121"/>
      <c r="N345" s="121"/>
      <c r="O345" s="118"/>
    </row>
    <row r="346" customFormat="false" ht="15" hidden="false" customHeight="false" outlineLevel="0" collapsed="false">
      <c r="A346" s="122"/>
      <c r="B346" s="118"/>
      <c r="C346" s="114" t="str">
        <f aca="false">IF(B346="","",IFERROR(INDEX(الموظفون!$C$6:$C$105,MATCH(B346,الموظفون!$B$6:$B$105,0)),"✖ رقم غير موجود"))</f>
        <v/>
      </c>
      <c r="D346" s="123"/>
      <c r="E346" s="123"/>
      <c r="F346" s="123"/>
      <c r="G346" s="121"/>
      <c r="H346" s="121"/>
      <c r="I346" s="121"/>
      <c r="J346" s="121"/>
      <c r="K346" s="123"/>
      <c r="L346" s="123"/>
      <c r="M346" s="121"/>
      <c r="N346" s="121"/>
      <c r="O346" s="118"/>
    </row>
    <row r="347" customFormat="false" ht="15" hidden="false" customHeight="false" outlineLevel="0" collapsed="false">
      <c r="A347" s="122"/>
      <c r="B347" s="118"/>
      <c r="C347" s="117" t="str">
        <f aca="false">IF(B347="","",IFERROR(INDEX(الموظفون!$C$6:$C$105,MATCH(B347,الموظفون!$B$6:$B$105,0)),"✖ رقم غير موجود"))</f>
        <v/>
      </c>
      <c r="D347" s="123"/>
      <c r="E347" s="123"/>
      <c r="F347" s="123"/>
      <c r="G347" s="121"/>
      <c r="H347" s="121"/>
      <c r="I347" s="121"/>
      <c r="J347" s="121"/>
      <c r="K347" s="123"/>
      <c r="L347" s="123"/>
      <c r="M347" s="121"/>
      <c r="N347" s="121"/>
      <c r="O347" s="118"/>
    </row>
    <row r="348" customFormat="false" ht="15" hidden="false" customHeight="false" outlineLevel="0" collapsed="false">
      <c r="A348" s="122"/>
      <c r="B348" s="118"/>
      <c r="C348" s="114" t="str">
        <f aca="false">IF(B348="","",IFERROR(INDEX(الموظفون!$C$6:$C$105,MATCH(B348,الموظفون!$B$6:$B$105,0)),"✖ رقم غير موجود"))</f>
        <v/>
      </c>
      <c r="D348" s="123"/>
      <c r="E348" s="123"/>
      <c r="F348" s="123"/>
      <c r="G348" s="121"/>
      <c r="H348" s="121"/>
      <c r="I348" s="121"/>
      <c r="J348" s="121"/>
      <c r="K348" s="123"/>
      <c r="L348" s="123"/>
      <c r="M348" s="121"/>
      <c r="N348" s="121"/>
      <c r="O348" s="118"/>
    </row>
    <row r="349" customFormat="false" ht="15" hidden="false" customHeight="false" outlineLevel="0" collapsed="false">
      <c r="A349" s="122"/>
      <c r="B349" s="118"/>
      <c r="C349" s="117" t="str">
        <f aca="false">IF(B349="","",IFERROR(INDEX(الموظفون!$C$6:$C$105,MATCH(B349,الموظفون!$B$6:$B$105,0)),"✖ رقم غير موجود"))</f>
        <v/>
      </c>
      <c r="D349" s="123"/>
      <c r="E349" s="123"/>
      <c r="F349" s="123"/>
      <c r="G349" s="121"/>
      <c r="H349" s="121"/>
      <c r="I349" s="121"/>
      <c r="J349" s="121"/>
      <c r="K349" s="123"/>
      <c r="L349" s="123"/>
      <c r="M349" s="121"/>
      <c r="N349" s="121"/>
      <c r="O349" s="118"/>
    </row>
    <row r="350" customFormat="false" ht="15" hidden="false" customHeight="false" outlineLevel="0" collapsed="false">
      <c r="A350" s="122"/>
      <c r="B350" s="118"/>
      <c r="C350" s="114" t="str">
        <f aca="false">IF(B350="","",IFERROR(INDEX(الموظفون!$C$6:$C$105,MATCH(B350,الموظفون!$B$6:$B$105,0)),"✖ رقم غير موجود"))</f>
        <v/>
      </c>
      <c r="D350" s="123"/>
      <c r="E350" s="123"/>
      <c r="F350" s="123"/>
      <c r="G350" s="121"/>
      <c r="H350" s="121"/>
      <c r="I350" s="121"/>
      <c r="J350" s="121"/>
      <c r="K350" s="123"/>
      <c r="L350" s="123"/>
      <c r="M350" s="121"/>
      <c r="N350" s="121"/>
      <c r="O350" s="118"/>
    </row>
    <row r="351" customFormat="false" ht="15" hidden="false" customHeight="false" outlineLevel="0" collapsed="false">
      <c r="A351" s="122"/>
      <c r="B351" s="118"/>
      <c r="C351" s="117" t="str">
        <f aca="false">IF(B351="","",IFERROR(INDEX(الموظفون!$C$6:$C$105,MATCH(B351,الموظفون!$B$6:$B$105,0)),"✖ رقم غير موجود"))</f>
        <v/>
      </c>
      <c r="D351" s="123"/>
      <c r="E351" s="123"/>
      <c r="F351" s="123"/>
      <c r="G351" s="121"/>
      <c r="H351" s="121"/>
      <c r="I351" s="121"/>
      <c r="J351" s="121"/>
      <c r="K351" s="123"/>
      <c r="L351" s="123"/>
      <c r="M351" s="121"/>
      <c r="N351" s="121"/>
      <c r="O351" s="118"/>
    </row>
    <row r="352" customFormat="false" ht="15" hidden="false" customHeight="false" outlineLevel="0" collapsed="false">
      <c r="A352" s="122"/>
      <c r="B352" s="118"/>
      <c r="C352" s="114" t="str">
        <f aca="false">IF(B352="","",IFERROR(INDEX(الموظفون!$C$6:$C$105,MATCH(B352,الموظفون!$B$6:$B$105,0)),"✖ رقم غير موجود"))</f>
        <v/>
      </c>
      <c r="D352" s="123"/>
      <c r="E352" s="123"/>
      <c r="F352" s="123"/>
      <c r="G352" s="121"/>
      <c r="H352" s="121"/>
      <c r="I352" s="121"/>
      <c r="J352" s="121"/>
      <c r="K352" s="123"/>
      <c r="L352" s="123"/>
      <c r="M352" s="121"/>
      <c r="N352" s="121"/>
      <c r="O352" s="118"/>
    </row>
    <row r="353" customFormat="false" ht="15" hidden="false" customHeight="false" outlineLevel="0" collapsed="false">
      <c r="A353" s="122"/>
      <c r="B353" s="118"/>
      <c r="C353" s="117" t="str">
        <f aca="false">IF(B353="","",IFERROR(INDEX(الموظفون!$C$6:$C$105,MATCH(B353,الموظفون!$B$6:$B$105,0)),"✖ رقم غير موجود"))</f>
        <v/>
      </c>
      <c r="D353" s="123"/>
      <c r="E353" s="123"/>
      <c r="F353" s="123"/>
      <c r="G353" s="121"/>
      <c r="H353" s="121"/>
      <c r="I353" s="121"/>
      <c r="J353" s="121"/>
      <c r="K353" s="123"/>
      <c r="L353" s="123"/>
      <c r="M353" s="121"/>
      <c r="N353" s="121"/>
      <c r="O353" s="118"/>
    </row>
    <row r="354" customFormat="false" ht="15" hidden="false" customHeight="false" outlineLevel="0" collapsed="false">
      <c r="A354" s="122"/>
      <c r="B354" s="118"/>
      <c r="C354" s="114" t="str">
        <f aca="false">IF(B354="","",IFERROR(INDEX(الموظفون!$C$6:$C$105,MATCH(B354,الموظفون!$B$6:$B$105,0)),"✖ رقم غير موجود"))</f>
        <v/>
      </c>
      <c r="D354" s="123"/>
      <c r="E354" s="123"/>
      <c r="F354" s="123"/>
      <c r="G354" s="121"/>
      <c r="H354" s="121"/>
      <c r="I354" s="121"/>
      <c r="J354" s="121"/>
      <c r="K354" s="123"/>
      <c r="L354" s="123"/>
      <c r="M354" s="121"/>
      <c r="N354" s="121"/>
      <c r="O354" s="118"/>
    </row>
    <row r="355" customFormat="false" ht="15" hidden="false" customHeight="false" outlineLevel="0" collapsed="false">
      <c r="A355" s="122"/>
      <c r="B355" s="118"/>
      <c r="C355" s="117" t="str">
        <f aca="false">IF(B355="","",IFERROR(INDEX(الموظفون!$C$6:$C$105,MATCH(B355,الموظفون!$B$6:$B$105,0)),"✖ رقم غير موجود"))</f>
        <v/>
      </c>
      <c r="D355" s="123"/>
      <c r="E355" s="123"/>
      <c r="F355" s="123"/>
      <c r="G355" s="121"/>
      <c r="H355" s="121"/>
      <c r="I355" s="121"/>
      <c r="J355" s="121"/>
      <c r="K355" s="123"/>
      <c r="L355" s="123"/>
      <c r="M355" s="121"/>
      <c r="N355" s="121"/>
      <c r="O355" s="118"/>
    </row>
    <row r="356" customFormat="false" ht="15" hidden="false" customHeight="false" outlineLevel="0" collapsed="false">
      <c r="A356" s="122"/>
      <c r="B356" s="118"/>
      <c r="C356" s="114" t="str">
        <f aca="false">IF(B356="","",IFERROR(INDEX(الموظفون!$C$6:$C$105,MATCH(B356,الموظفون!$B$6:$B$105,0)),"✖ رقم غير موجود"))</f>
        <v/>
      </c>
      <c r="D356" s="123"/>
      <c r="E356" s="123"/>
      <c r="F356" s="123"/>
      <c r="G356" s="121"/>
      <c r="H356" s="121"/>
      <c r="I356" s="121"/>
      <c r="J356" s="121"/>
      <c r="K356" s="123"/>
      <c r="L356" s="123"/>
      <c r="M356" s="121"/>
      <c r="N356" s="121"/>
      <c r="O356" s="118"/>
    </row>
    <row r="357" customFormat="false" ht="15" hidden="false" customHeight="false" outlineLevel="0" collapsed="false">
      <c r="A357" s="122"/>
      <c r="B357" s="118"/>
      <c r="C357" s="117" t="str">
        <f aca="false">IF(B357="","",IFERROR(INDEX(الموظفون!$C$6:$C$105,MATCH(B357,الموظفون!$B$6:$B$105,0)),"✖ رقم غير موجود"))</f>
        <v/>
      </c>
      <c r="D357" s="123"/>
      <c r="E357" s="123"/>
      <c r="F357" s="123"/>
      <c r="G357" s="121"/>
      <c r="H357" s="121"/>
      <c r="I357" s="121"/>
      <c r="J357" s="121"/>
      <c r="K357" s="123"/>
      <c r="L357" s="123"/>
      <c r="M357" s="121"/>
      <c r="N357" s="121"/>
      <c r="O357" s="118"/>
    </row>
    <row r="358" customFormat="false" ht="15" hidden="false" customHeight="false" outlineLevel="0" collapsed="false">
      <c r="A358" s="122"/>
      <c r="B358" s="118"/>
      <c r="C358" s="114" t="str">
        <f aca="false">IF(B358="","",IFERROR(INDEX(الموظفون!$C$6:$C$105,MATCH(B358,الموظفون!$B$6:$B$105,0)),"✖ رقم غير موجود"))</f>
        <v/>
      </c>
      <c r="D358" s="123"/>
      <c r="E358" s="123"/>
      <c r="F358" s="123"/>
      <c r="G358" s="121"/>
      <c r="H358" s="121"/>
      <c r="I358" s="121"/>
      <c r="J358" s="121"/>
      <c r="K358" s="123"/>
      <c r="L358" s="123"/>
      <c r="M358" s="121"/>
      <c r="N358" s="121"/>
      <c r="O358" s="118"/>
    </row>
    <row r="359" customFormat="false" ht="15" hidden="false" customHeight="false" outlineLevel="0" collapsed="false">
      <c r="A359" s="122"/>
      <c r="B359" s="118"/>
      <c r="C359" s="117" t="str">
        <f aca="false">IF(B359="","",IFERROR(INDEX(الموظفون!$C$6:$C$105,MATCH(B359,الموظفون!$B$6:$B$105,0)),"✖ رقم غير موجود"))</f>
        <v/>
      </c>
      <c r="D359" s="123"/>
      <c r="E359" s="123"/>
      <c r="F359" s="123"/>
      <c r="G359" s="121"/>
      <c r="H359" s="121"/>
      <c r="I359" s="121"/>
      <c r="J359" s="121"/>
      <c r="K359" s="123"/>
      <c r="L359" s="123"/>
      <c r="M359" s="121"/>
      <c r="N359" s="121"/>
      <c r="O359" s="118"/>
    </row>
    <row r="360" customFormat="false" ht="15" hidden="false" customHeight="false" outlineLevel="0" collapsed="false">
      <c r="A360" s="122"/>
      <c r="B360" s="118"/>
      <c r="C360" s="114" t="str">
        <f aca="false">IF(B360="","",IFERROR(INDEX(الموظفون!$C$6:$C$105,MATCH(B360,الموظفون!$B$6:$B$105,0)),"✖ رقم غير موجود"))</f>
        <v/>
      </c>
      <c r="D360" s="123"/>
      <c r="E360" s="123"/>
      <c r="F360" s="123"/>
      <c r="G360" s="121"/>
      <c r="H360" s="121"/>
      <c r="I360" s="121"/>
      <c r="J360" s="121"/>
      <c r="K360" s="123"/>
      <c r="L360" s="123"/>
      <c r="M360" s="121"/>
      <c r="N360" s="121"/>
      <c r="O360" s="118"/>
    </row>
    <row r="361" customFormat="false" ht="15" hidden="false" customHeight="false" outlineLevel="0" collapsed="false">
      <c r="A361" s="122"/>
      <c r="B361" s="118"/>
      <c r="C361" s="117" t="str">
        <f aca="false">IF(B361="","",IFERROR(INDEX(الموظفون!$C$6:$C$105,MATCH(B361,الموظفون!$B$6:$B$105,0)),"✖ رقم غير موجود"))</f>
        <v/>
      </c>
      <c r="D361" s="123"/>
      <c r="E361" s="123"/>
      <c r="F361" s="123"/>
      <c r="G361" s="121"/>
      <c r="H361" s="121"/>
      <c r="I361" s="121"/>
      <c r="J361" s="121"/>
      <c r="K361" s="123"/>
      <c r="L361" s="123"/>
      <c r="M361" s="121"/>
      <c r="N361" s="121"/>
      <c r="O361" s="118"/>
    </row>
    <row r="362" customFormat="false" ht="15" hidden="false" customHeight="false" outlineLevel="0" collapsed="false">
      <c r="A362" s="122"/>
      <c r="B362" s="118"/>
      <c r="C362" s="114" t="str">
        <f aca="false">IF(B362="","",IFERROR(INDEX(الموظفون!$C$6:$C$105,MATCH(B362,الموظفون!$B$6:$B$105,0)),"✖ رقم غير موجود"))</f>
        <v/>
      </c>
      <c r="D362" s="123"/>
      <c r="E362" s="123"/>
      <c r="F362" s="123"/>
      <c r="G362" s="121"/>
      <c r="H362" s="121"/>
      <c r="I362" s="121"/>
      <c r="J362" s="121"/>
      <c r="K362" s="123"/>
      <c r="L362" s="123"/>
      <c r="M362" s="121"/>
      <c r="N362" s="121"/>
      <c r="O362" s="118"/>
    </row>
    <row r="363" customFormat="false" ht="15" hidden="false" customHeight="false" outlineLevel="0" collapsed="false">
      <c r="A363" s="122"/>
      <c r="B363" s="118"/>
      <c r="C363" s="117" t="str">
        <f aca="false">IF(B363="","",IFERROR(INDEX(الموظفون!$C$6:$C$105,MATCH(B363,الموظفون!$B$6:$B$105,0)),"✖ رقم غير موجود"))</f>
        <v/>
      </c>
      <c r="D363" s="123"/>
      <c r="E363" s="123"/>
      <c r="F363" s="123"/>
      <c r="G363" s="121"/>
      <c r="H363" s="121"/>
      <c r="I363" s="121"/>
      <c r="J363" s="121"/>
      <c r="K363" s="123"/>
      <c r="L363" s="123"/>
      <c r="M363" s="121"/>
      <c r="N363" s="121"/>
      <c r="O363" s="118"/>
    </row>
    <row r="364" customFormat="false" ht="15" hidden="false" customHeight="false" outlineLevel="0" collapsed="false">
      <c r="A364" s="122"/>
      <c r="B364" s="118"/>
      <c r="C364" s="114" t="str">
        <f aca="false">IF(B364="","",IFERROR(INDEX(الموظفون!$C$6:$C$105,MATCH(B364,الموظفون!$B$6:$B$105,0)),"✖ رقم غير موجود"))</f>
        <v/>
      </c>
      <c r="D364" s="123"/>
      <c r="E364" s="123"/>
      <c r="F364" s="123"/>
      <c r="G364" s="121"/>
      <c r="H364" s="121"/>
      <c r="I364" s="121"/>
      <c r="J364" s="121"/>
      <c r="K364" s="123"/>
      <c r="L364" s="123"/>
      <c r="M364" s="121"/>
      <c r="N364" s="121"/>
      <c r="O364" s="118"/>
    </row>
    <row r="365" customFormat="false" ht="15" hidden="false" customHeight="false" outlineLevel="0" collapsed="false">
      <c r="A365" s="122"/>
      <c r="B365" s="118"/>
      <c r="C365" s="117" t="str">
        <f aca="false">IF(B365="","",IFERROR(INDEX(الموظفون!$C$6:$C$105,MATCH(B365,الموظفون!$B$6:$B$105,0)),"✖ رقم غير موجود"))</f>
        <v/>
      </c>
      <c r="D365" s="123"/>
      <c r="E365" s="123"/>
      <c r="F365" s="123"/>
      <c r="G365" s="121"/>
      <c r="H365" s="121"/>
      <c r="I365" s="121"/>
      <c r="J365" s="121"/>
      <c r="K365" s="123"/>
      <c r="L365" s="123"/>
      <c r="M365" s="121"/>
      <c r="N365" s="121"/>
      <c r="O365" s="118"/>
    </row>
    <row r="366" customFormat="false" ht="15" hidden="false" customHeight="false" outlineLevel="0" collapsed="false">
      <c r="A366" s="122"/>
      <c r="B366" s="118"/>
      <c r="C366" s="114" t="str">
        <f aca="false">IF(B366="","",IFERROR(INDEX(الموظفون!$C$6:$C$105,MATCH(B366,الموظفون!$B$6:$B$105,0)),"✖ رقم غير موجود"))</f>
        <v/>
      </c>
      <c r="D366" s="123"/>
      <c r="E366" s="123"/>
      <c r="F366" s="123"/>
      <c r="G366" s="121"/>
      <c r="H366" s="121"/>
      <c r="I366" s="121"/>
      <c r="J366" s="121"/>
      <c r="K366" s="123"/>
      <c r="L366" s="123"/>
      <c r="M366" s="121"/>
      <c r="N366" s="121"/>
      <c r="O366" s="118"/>
    </row>
    <row r="367" customFormat="false" ht="15" hidden="false" customHeight="false" outlineLevel="0" collapsed="false">
      <c r="A367" s="122"/>
      <c r="B367" s="118"/>
      <c r="C367" s="117" t="str">
        <f aca="false">IF(B367="","",IFERROR(INDEX(الموظفون!$C$6:$C$105,MATCH(B367,الموظفون!$B$6:$B$105,0)),"✖ رقم غير موجود"))</f>
        <v/>
      </c>
      <c r="D367" s="123"/>
      <c r="E367" s="123"/>
      <c r="F367" s="123"/>
      <c r="G367" s="121"/>
      <c r="H367" s="121"/>
      <c r="I367" s="121"/>
      <c r="J367" s="121"/>
      <c r="K367" s="123"/>
      <c r="L367" s="123"/>
      <c r="M367" s="121"/>
      <c r="N367" s="121"/>
      <c r="O367" s="118"/>
    </row>
    <row r="368" customFormat="false" ht="15" hidden="false" customHeight="false" outlineLevel="0" collapsed="false">
      <c r="A368" s="122"/>
      <c r="B368" s="118"/>
      <c r="C368" s="114" t="str">
        <f aca="false">IF(B368="","",IFERROR(INDEX(الموظفون!$C$6:$C$105,MATCH(B368,الموظفون!$B$6:$B$105,0)),"✖ رقم غير موجود"))</f>
        <v/>
      </c>
      <c r="D368" s="123"/>
      <c r="E368" s="123"/>
      <c r="F368" s="123"/>
      <c r="G368" s="121"/>
      <c r="H368" s="121"/>
      <c r="I368" s="121"/>
      <c r="J368" s="121"/>
      <c r="K368" s="123"/>
      <c r="L368" s="123"/>
      <c r="M368" s="121"/>
      <c r="N368" s="121"/>
      <c r="O368" s="118"/>
    </row>
    <row r="369" customFormat="false" ht="15" hidden="false" customHeight="false" outlineLevel="0" collapsed="false">
      <c r="A369" s="122"/>
      <c r="B369" s="118"/>
      <c r="C369" s="117" t="str">
        <f aca="false">IF(B369="","",IFERROR(INDEX(الموظفون!$C$6:$C$105,MATCH(B369,الموظفون!$B$6:$B$105,0)),"✖ رقم غير موجود"))</f>
        <v/>
      </c>
      <c r="D369" s="123"/>
      <c r="E369" s="123"/>
      <c r="F369" s="123"/>
      <c r="G369" s="121"/>
      <c r="H369" s="121"/>
      <c r="I369" s="121"/>
      <c r="J369" s="121"/>
      <c r="K369" s="123"/>
      <c r="L369" s="123"/>
      <c r="M369" s="121"/>
      <c r="N369" s="121"/>
      <c r="O369" s="118"/>
    </row>
    <row r="370" customFormat="false" ht="15" hidden="false" customHeight="false" outlineLevel="0" collapsed="false">
      <c r="A370" s="122"/>
      <c r="B370" s="118"/>
      <c r="C370" s="114" t="str">
        <f aca="false">IF(B370="","",IFERROR(INDEX(الموظفون!$C$6:$C$105,MATCH(B370,الموظفون!$B$6:$B$105,0)),"✖ رقم غير موجود"))</f>
        <v/>
      </c>
      <c r="D370" s="123"/>
      <c r="E370" s="123"/>
      <c r="F370" s="123"/>
      <c r="G370" s="121"/>
      <c r="H370" s="121"/>
      <c r="I370" s="121"/>
      <c r="J370" s="121"/>
      <c r="K370" s="123"/>
      <c r="L370" s="123"/>
      <c r="M370" s="121"/>
      <c r="N370" s="121"/>
      <c r="O370" s="118"/>
    </row>
    <row r="371" customFormat="false" ht="15" hidden="false" customHeight="false" outlineLevel="0" collapsed="false">
      <c r="A371" s="122"/>
      <c r="B371" s="118"/>
      <c r="C371" s="117" t="str">
        <f aca="false">IF(B371="","",IFERROR(INDEX(الموظفون!$C$6:$C$105,MATCH(B371,الموظفون!$B$6:$B$105,0)),"✖ رقم غير موجود"))</f>
        <v/>
      </c>
      <c r="D371" s="123"/>
      <c r="E371" s="123"/>
      <c r="F371" s="123"/>
      <c r="G371" s="121"/>
      <c r="H371" s="121"/>
      <c r="I371" s="121"/>
      <c r="J371" s="121"/>
      <c r="K371" s="123"/>
      <c r="L371" s="123"/>
      <c r="M371" s="121"/>
      <c r="N371" s="121"/>
      <c r="O371" s="118"/>
    </row>
    <row r="372" customFormat="false" ht="15" hidden="false" customHeight="false" outlineLevel="0" collapsed="false">
      <c r="A372" s="122"/>
      <c r="B372" s="118"/>
      <c r="C372" s="114" t="str">
        <f aca="false">IF(B372="","",IFERROR(INDEX(الموظفون!$C$6:$C$105,MATCH(B372,الموظفون!$B$6:$B$105,0)),"✖ رقم غير موجود"))</f>
        <v/>
      </c>
      <c r="D372" s="123"/>
      <c r="E372" s="123"/>
      <c r="F372" s="123"/>
      <c r="G372" s="121"/>
      <c r="H372" s="121"/>
      <c r="I372" s="121"/>
      <c r="J372" s="121"/>
      <c r="K372" s="123"/>
      <c r="L372" s="123"/>
      <c r="M372" s="121"/>
      <c r="N372" s="121"/>
      <c r="O372" s="118"/>
    </row>
    <row r="373" customFormat="false" ht="15" hidden="false" customHeight="false" outlineLevel="0" collapsed="false">
      <c r="A373" s="122"/>
      <c r="B373" s="118"/>
      <c r="C373" s="117" t="str">
        <f aca="false">IF(B373="","",IFERROR(INDEX(الموظفون!$C$6:$C$105,MATCH(B373,الموظفون!$B$6:$B$105,0)),"✖ رقم غير موجود"))</f>
        <v/>
      </c>
      <c r="D373" s="123"/>
      <c r="E373" s="123"/>
      <c r="F373" s="123"/>
      <c r="G373" s="121"/>
      <c r="H373" s="121"/>
      <c r="I373" s="121"/>
      <c r="J373" s="121"/>
      <c r="K373" s="123"/>
      <c r="L373" s="123"/>
      <c r="M373" s="121"/>
      <c r="N373" s="121"/>
      <c r="O373" s="118"/>
    </row>
    <row r="374" customFormat="false" ht="15" hidden="false" customHeight="false" outlineLevel="0" collapsed="false">
      <c r="A374" s="122"/>
      <c r="B374" s="118"/>
      <c r="C374" s="114" t="str">
        <f aca="false">IF(B374="","",IFERROR(INDEX(الموظفون!$C$6:$C$105,MATCH(B374,الموظفون!$B$6:$B$105,0)),"✖ رقم غير موجود"))</f>
        <v/>
      </c>
      <c r="D374" s="123"/>
      <c r="E374" s="123"/>
      <c r="F374" s="123"/>
      <c r="G374" s="121"/>
      <c r="H374" s="121"/>
      <c r="I374" s="121"/>
      <c r="J374" s="121"/>
      <c r="K374" s="123"/>
      <c r="L374" s="123"/>
      <c r="M374" s="121"/>
      <c r="N374" s="121"/>
      <c r="O374" s="118"/>
    </row>
    <row r="375" customFormat="false" ht="15" hidden="false" customHeight="false" outlineLevel="0" collapsed="false">
      <c r="A375" s="122"/>
      <c r="B375" s="118"/>
      <c r="C375" s="117" t="str">
        <f aca="false">IF(B375="","",IFERROR(INDEX(الموظفون!$C$6:$C$105,MATCH(B375,الموظفون!$B$6:$B$105,0)),"✖ رقم غير موجود"))</f>
        <v/>
      </c>
      <c r="D375" s="123"/>
      <c r="E375" s="123"/>
      <c r="F375" s="123"/>
      <c r="G375" s="121"/>
      <c r="H375" s="121"/>
      <c r="I375" s="121"/>
      <c r="J375" s="121"/>
      <c r="K375" s="123"/>
      <c r="L375" s="123"/>
      <c r="M375" s="121"/>
      <c r="N375" s="121"/>
      <c r="O375" s="118"/>
    </row>
    <row r="376" customFormat="false" ht="15" hidden="false" customHeight="false" outlineLevel="0" collapsed="false">
      <c r="A376" s="122"/>
      <c r="B376" s="118"/>
      <c r="C376" s="114" t="str">
        <f aca="false">IF(B376="","",IFERROR(INDEX(الموظفون!$C$6:$C$105,MATCH(B376,الموظفون!$B$6:$B$105,0)),"✖ رقم غير موجود"))</f>
        <v/>
      </c>
      <c r="D376" s="123"/>
      <c r="E376" s="123"/>
      <c r="F376" s="123"/>
      <c r="G376" s="121"/>
      <c r="H376" s="121"/>
      <c r="I376" s="121"/>
      <c r="J376" s="121"/>
      <c r="K376" s="123"/>
      <c r="L376" s="123"/>
      <c r="M376" s="121"/>
      <c r="N376" s="121"/>
      <c r="O376" s="118"/>
    </row>
    <row r="377" customFormat="false" ht="15" hidden="false" customHeight="false" outlineLevel="0" collapsed="false">
      <c r="A377" s="122"/>
      <c r="B377" s="118"/>
      <c r="C377" s="117" t="str">
        <f aca="false">IF(B377="","",IFERROR(INDEX(الموظفون!$C$6:$C$105,MATCH(B377,الموظفون!$B$6:$B$105,0)),"✖ رقم غير موجود"))</f>
        <v/>
      </c>
      <c r="D377" s="123"/>
      <c r="E377" s="123"/>
      <c r="F377" s="123"/>
      <c r="G377" s="121"/>
      <c r="H377" s="121"/>
      <c r="I377" s="121"/>
      <c r="J377" s="121"/>
      <c r="K377" s="123"/>
      <c r="L377" s="123"/>
      <c r="M377" s="121"/>
      <c r="N377" s="121"/>
      <c r="O377" s="118"/>
    </row>
    <row r="378" customFormat="false" ht="15" hidden="false" customHeight="false" outlineLevel="0" collapsed="false">
      <c r="A378" s="122"/>
      <c r="B378" s="118"/>
      <c r="C378" s="114" t="str">
        <f aca="false">IF(B378="","",IFERROR(INDEX(الموظفون!$C$6:$C$105,MATCH(B378,الموظفون!$B$6:$B$105,0)),"✖ رقم غير موجود"))</f>
        <v/>
      </c>
      <c r="D378" s="123"/>
      <c r="E378" s="123"/>
      <c r="F378" s="123"/>
      <c r="G378" s="121"/>
      <c r="H378" s="121"/>
      <c r="I378" s="121"/>
      <c r="J378" s="121"/>
      <c r="K378" s="123"/>
      <c r="L378" s="123"/>
      <c r="M378" s="121"/>
      <c r="N378" s="121"/>
      <c r="O378" s="118"/>
    </row>
    <row r="379" customFormat="false" ht="15" hidden="false" customHeight="false" outlineLevel="0" collapsed="false">
      <c r="A379" s="122"/>
      <c r="B379" s="118"/>
      <c r="C379" s="117" t="str">
        <f aca="false">IF(B379="","",IFERROR(INDEX(الموظفون!$C$6:$C$105,MATCH(B379,الموظفون!$B$6:$B$105,0)),"✖ رقم غير موجود"))</f>
        <v/>
      </c>
      <c r="D379" s="123"/>
      <c r="E379" s="123"/>
      <c r="F379" s="123"/>
      <c r="G379" s="121"/>
      <c r="H379" s="121"/>
      <c r="I379" s="121"/>
      <c r="J379" s="121"/>
      <c r="K379" s="123"/>
      <c r="L379" s="123"/>
      <c r="M379" s="121"/>
      <c r="N379" s="121"/>
      <c r="O379" s="118"/>
    </row>
    <row r="380" customFormat="false" ht="15" hidden="false" customHeight="false" outlineLevel="0" collapsed="false">
      <c r="A380" s="122"/>
      <c r="B380" s="118"/>
      <c r="C380" s="114" t="str">
        <f aca="false">IF(B380="","",IFERROR(INDEX(الموظفون!$C$6:$C$105,MATCH(B380,الموظفون!$B$6:$B$105,0)),"✖ رقم غير موجود"))</f>
        <v/>
      </c>
      <c r="D380" s="123"/>
      <c r="E380" s="123"/>
      <c r="F380" s="123"/>
      <c r="G380" s="121"/>
      <c r="H380" s="121"/>
      <c r="I380" s="121"/>
      <c r="J380" s="121"/>
      <c r="K380" s="123"/>
      <c r="L380" s="123"/>
      <c r="M380" s="121"/>
      <c r="N380" s="121"/>
      <c r="O380" s="118"/>
    </row>
    <row r="381" customFormat="false" ht="15" hidden="false" customHeight="false" outlineLevel="0" collapsed="false">
      <c r="A381" s="122"/>
      <c r="B381" s="118"/>
      <c r="C381" s="117" t="str">
        <f aca="false">IF(B381="","",IFERROR(INDEX(الموظفون!$C$6:$C$105,MATCH(B381,الموظفون!$B$6:$B$105,0)),"✖ رقم غير موجود"))</f>
        <v/>
      </c>
      <c r="D381" s="123"/>
      <c r="E381" s="123"/>
      <c r="F381" s="123"/>
      <c r="G381" s="121"/>
      <c r="H381" s="121"/>
      <c r="I381" s="121"/>
      <c r="J381" s="121"/>
      <c r="K381" s="123"/>
      <c r="L381" s="123"/>
      <c r="M381" s="121"/>
      <c r="N381" s="121"/>
      <c r="O381" s="118"/>
    </row>
    <row r="382" customFormat="false" ht="15" hidden="false" customHeight="false" outlineLevel="0" collapsed="false">
      <c r="A382" s="122"/>
      <c r="B382" s="118"/>
      <c r="C382" s="114" t="str">
        <f aca="false">IF(B382="","",IFERROR(INDEX(الموظفون!$C$6:$C$105,MATCH(B382,الموظفون!$B$6:$B$105,0)),"✖ رقم غير موجود"))</f>
        <v/>
      </c>
      <c r="D382" s="123"/>
      <c r="E382" s="123"/>
      <c r="F382" s="123"/>
      <c r="G382" s="121"/>
      <c r="H382" s="121"/>
      <c r="I382" s="121"/>
      <c r="J382" s="121"/>
      <c r="K382" s="123"/>
      <c r="L382" s="123"/>
      <c r="M382" s="121"/>
      <c r="N382" s="121"/>
      <c r="O382" s="118"/>
    </row>
    <row r="383" customFormat="false" ht="15" hidden="false" customHeight="false" outlineLevel="0" collapsed="false">
      <c r="A383" s="122"/>
      <c r="B383" s="118"/>
      <c r="C383" s="117" t="str">
        <f aca="false">IF(B383="","",IFERROR(INDEX(الموظفون!$C$6:$C$105,MATCH(B383,الموظفون!$B$6:$B$105,0)),"✖ رقم غير موجود"))</f>
        <v/>
      </c>
      <c r="D383" s="123"/>
      <c r="E383" s="123"/>
      <c r="F383" s="123"/>
      <c r="G383" s="121"/>
      <c r="H383" s="121"/>
      <c r="I383" s="121"/>
      <c r="J383" s="121"/>
      <c r="K383" s="123"/>
      <c r="L383" s="123"/>
      <c r="M383" s="121"/>
      <c r="N383" s="121"/>
      <c r="O383" s="118"/>
    </row>
    <row r="384" customFormat="false" ht="15" hidden="false" customHeight="false" outlineLevel="0" collapsed="false">
      <c r="A384" s="122"/>
      <c r="B384" s="118"/>
      <c r="C384" s="114" t="str">
        <f aca="false">IF(B384="","",IFERROR(INDEX(الموظفون!$C$6:$C$105,MATCH(B384,الموظفون!$B$6:$B$105,0)),"✖ رقم غير موجود"))</f>
        <v/>
      </c>
      <c r="D384" s="123"/>
      <c r="E384" s="123"/>
      <c r="F384" s="123"/>
      <c r="G384" s="121"/>
      <c r="H384" s="121"/>
      <c r="I384" s="121"/>
      <c r="J384" s="121"/>
      <c r="K384" s="123"/>
      <c r="L384" s="123"/>
      <c r="M384" s="121"/>
      <c r="N384" s="121"/>
      <c r="O384" s="118"/>
    </row>
    <row r="385" customFormat="false" ht="15" hidden="false" customHeight="false" outlineLevel="0" collapsed="false">
      <c r="A385" s="122"/>
      <c r="B385" s="118"/>
      <c r="C385" s="117" t="str">
        <f aca="false">IF(B385="","",IFERROR(INDEX(الموظفون!$C$6:$C$105,MATCH(B385,الموظفون!$B$6:$B$105,0)),"✖ رقم غير موجود"))</f>
        <v/>
      </c>
      <c r="D385" s="123"/>
      <c r="E385" s="123"/>
      <c r="F385" s="123"/>
      <c r="G385" s="121"/>
      <c r="H385" s="121"/>
      <c r="I385" s="121"/>
      <c r="J385" s="121"/>
      <c r="K385" s="123"/>
      <c r="L385" s="123"/>
      <c r="M385" s="121"/>
      <c r="N385" s="121"/>
      <c r="O385" s="118"/>
    </row>
    <row r="386" customFormat="false" ht="15" hidden="false" customHeight="false" outlineLevel="0" collapsed="false">
      <c r="A386" s="122"/>
      <c r="B386" s="118"/>
      <c r="C386" s="114" t="str">
        <f aca="false">IF(B386="","",IFERROR(INDEX(الموظفون!$C$6:$C$105,MATCH(B386,الموظفون!$B$6:$B$105,0)),"✖ رقم غير موجود"))</f>
        <v/>
      </c>
      <c r="D386" s="123"/>
      <c r="E386" s="123"/>
      <c r="F386" s="123"/>
      <c r="G386" s="121"/>
      <c r="H386" s="121"/>
      <c r="I386" s="121"/>
      <c r="J386" s="121"/>
      <c r="K386" s="123"/>
      <c r="L386" s="123"/>
      <c r="M386" s="121"/>
      <c r="N386" s="121"/>
      <c r="O386" s="118"/>
    </row>
    <row r="387" customFormat="false" ht="15" hidden="false" customHeight="false" outlineLevel="0" collapsed="false">
      <c r="A387" s="122"/>
      <c r="B387" s="118"/>
      <c r="C387" s="117" t="str">
        <f aca="false">IF(B387="","",IFERROR(INDEX(الموظفون!$C$6:$C$105,MATCH(B387,الموظفون!$B$6:$B$105,0)),"✖ رقم غير موجود"))</f>
        <v/>
      </c>
      <c r="D387" s="123"/>
      <c r="E387" s="123"/>
      <c r="F387" s="123"/>
      <c r="G387" s="121"/>
      <c r="H387" s="121"/>
      <c r="I387" s="121"/>
      <c r="J387" s="121"/>
      <c r="K387" s="123"/>
      <c r="L387" s="123"/>
      <c r="M387" s="121"/>
      <c r="N387" s="121"/>
      <c r="O387" s="118"/>
    </row>
    <row r="388" customFormat="false" ht="15" hidden="false" customHeight="false" outlineLevel="0" collapsed="false">
      <c r="A388" s="122"/>
      <c r="B388" s="118"/>
      <c r="C388" s="114" t="str">
        <f aca="false">IF(B388="","",IFERROR(INDEX(الموظفون!$C$6:$C$105,MATCH(B388,الموظفون!$B$6:$B$105,0)),"✖ رقم غير موجود"))</f>
        <v/>
      </c>
      <c r="D388" s="123"/>
      <c r="E388" s="123"/>
      <c r="F388" s="123"/>
      <c r="G388" s="121"/>
      <c r="H388" s="121"/>
      <c r="I388" s="121"/>
      <c r="J388" s="121"/>
      <c r="K388" s="123"/>
      <c r="L388" s="123"/>
      <c r="M388" s="121"/>
      <c r="N388" s="121"/>
      <c r="O388" s="118"/>
    </row>
    <row r="389" customFormat="false" ht="15" hidden="false" customHeight="false" outlineLevel="0" collapsed="false">
      <c r="A389" s="122"/>
      <c r="B389" s="118"/>
      <c r="C389" s="117" t="str">
        <f aca="false">IF(B389="","",IFERROR(INDEX(الموظفون!$C$6:$C$105,MATCH(B389,الموظفون!$B$6:$B$105,0)),"✖ رقم غير موجود"))</f>
        <v/>
      </c>
      <c r="D389" s="123"/>
      <c r="E389" s="123"/>
      <c r="F389" s="123"/>
      <c r="G389" s="121"/>
      <c r="H389" s="121"/>
      <c r="I389" s="121"/>
      <c r="J389" s="121"/>
      <c r="K389" s="123"/>
      <c r="L389" s="123"/>
      <c r="M389" s="121"/>
      <c r="N389" s="121"/>
      <c r="O389" s="118"/>
    </row>
    <row r="390" customFormat="false" ht="15" hidden="false" customHeight="false" outlineLevel="0" collapsed="false">
      <c r="A390" s="122"/>
      <c r="B390" s="118"/>
      <c r="C390" s="114" t="str">
        <f aca="false">IF(B390="","",IFERROR(INDEX(الموظفون!$C$6:$C$105,MATCH(B390,الموظفون!$B$6:$B$105,0)),"✖ رقم غير موجود"))</f>
        <v/>
      </c>
      <c r="D390" s="123"/>
      <c r="E390" s="123"/>
      <c r="F390" s="123"/>
      <c r="G390" s="121"/>
      <c r="H390" s="121"/>
      <c r="I390" s="121"/>
      <c r="J390" s="121"/>
      <c r="K390" s="123"/>
      <c r="L390" s="123"/>
      <c r="M390" s="121"/>
      <c r="N390" s="121"/>
      <c r="O390" s="118"/>
    </row>
    <row r="391" customFormat="false" ht="15" hidden="false" customHeight="false" outlineLevel="0" collapsed="false">
      <c r="A391" s="122"/>
      <c r="B391" s="118"/>
      <c r="C391" s="117" t="str">
        <f aca="false">IF(B391="","",IFERROR(INDEX(الموظفون!$C$6:$C$105,MATCH(B391,الموظفون!$B$6:$B$105,0)),"✖ رقم غير موجود"))</f>
        <v/>
      </c>
      <c r="D391" s="123"/>
      <c r="E391" s="123"/>
      <c r="F391" s="123"/>
      <c r="G391" s="121"/>
      <c r="H391" s="121"/>
      <c r="I391" s="121"/>
      <c r="J391" s="121"/>
      <c r="K391" s="123"/>
      <c r="L391" s="123"/>
      <c r="M391" s="121"/>
      <c r="N391" s="121"/>
      <c r="O391" s="118"/>
    </row>
    <row r="392" customFormat="false" ht="15" hidden="false" customHeight="false" outlineLevel="0" collapsed="false">
      <c r="A392" s="122"/>
      <c r="B392" s="118"/>
      <c r="C392" s="114" t="str">
        <f aca="false">IF(B392="","",IFERROR(INDEX(الموظفون!$C$6:$C$105,MATCH(B392,الموظفون!$B$6:$B$105,0)),"✖ رقم غير موجود"))</f>
        <v/>
      </c>
      <c r="D392" s="123"/>
      <c r="E392" s="123"/>
      <c r="F392" s="123"/>
      <c r="G392" s="121"/>
      <c r="H392" s="121"/>
      <c r="I392" s="121"/>
      <c r="J392" s="121"/>
      <c r="K392" s="123"/>
      <c r="L392" s="123"/>
      <c r="M392" s="121"/>
      <c r="N392" s="121"/>
      <c r="O392" s="118"/>
    </row>
    <row r="393" customFormat="false" ht="15" hidden="false" customHeight="false" outlineLevel="0" collapsed="false">
      <c r="A393" s="122"/>
      <c r="B393" s="118"/>
      <c r="C393" s="117" t="str">
        <f aca="false">IF(B393="","",IFERROR(INDEX(الموظفون!$C$6:$C$105,MATCH(B393,الموظفون!$B$6:$B$105,0)),"✖ رقم غير موجود"))</f>
        <v/>
      </c>
      <c r="D393" s="123"/>
      <c r="E393" s="123"/>
      <c r="F393" s="123"/>
      <c r="G393" s="121"/>
      <c r="H393" s="121"/>
      <c r="I393" s="121"/>
      <c r="J393" s="121"/>
      <c r="K393" s="123"/>
      <c r="L393" s="123"/>
      <c r="M393" s="121"/>
      <c r="N393" s="121"/>
      <c r="O393" s="118"/>
    </row>
    <row r="394" customFormat="false" ht="15" hidden="false" customHeight="false" outlineLevel="0" collapsed="false">
      <c r="A394" s="122"/>
      <c r="B394" s="118"/>
      <c r="C394" s="114" t="str">
        <f aca="false">IF(B394="","",IFERROR(INDEX(الموظفون!$C$6:$C$105,MATCH(B394,الموظفون!$B$6:$B$105,0)),"✖ رقم غير موجود"))</f>
        <v/>
      </c>
      <c r="D394" s="123"/>
      <c r="E394" s="123"/>
      <c r="F394" s="123"/>
      <c r="G394" s="121"/>
      <c r="H394" s="121"/>
      <c r="I394" s="121"/>
      <c r="J394" s="121"/>
      <c r="K394" s="123"/>
      <c r="L394" s="123"/>
      <c r="M394" s="121"/>
      <c r="N394" s="121"/>
      <c r="O394" s="118"/>
    </row>
    <row r="395" customFormat="false" ht="15" hidden="false" customHeight="false" outlineLevel="0" collapsed="false">
      <c r="A395" s="122"/>
      <c r="B395" s="118"/>
      <c r="C395" s="117" t="str">
        <f aca="false">IF(B395="","",IFERROR(INDEX(الموظفون!$C$6:$C$105,MATCH(B395,الموظفون!$B$6:$B$105,0)),"✖ رقم غير موجود"))</f>
        <v/>
      </c>
      <c r="D395" s="123"/>
      <c r="E395" s="123"/>
      <c r="F395" s="123"/>
      <c r="G395" s="121"/>
      <c r="H395" s="121"/>
      <c r="I395" s="121"/>
      <c r="J395" s="121"/>
      <c r="K395" s="123"/>
      <c r="L395" s="123"/>
      <c r="M395" s="121"/>
      <c r="N395" s="121"/>
      <c r="O395" s="118"/>
    </row>
    <row r="396" customFormat="false" ht="15" hidden="false" customHeight="false" outlineLevel="0" collapsed="false">
      <c r="A396" s="122"/>
      <c r="B396" s="118"/>
      <c r="C396" s="114" t="str">
        <f aca="false">IF(B396="","",IFERROR(INDEX(الموظفون!$C$6:$C$105,MATCH(B396,الموظفون!$B$6:$B$105,0)),"✖ رقم غير موجود"))</f>
        <v/>
      </c>
      <c r="D396" s="123"/>
      <c r="E396" s="123"/>
      <c r="F396" s="123"/>
      <c r="G396" s="121"/>
      <c r="H396" s="121"/>
      <c r="I396" s="121"/>
      <c r="J396" s="121"/>
      <c r="K396" s="123"/>
      <c r="L396" s="123"/>
      <c r="M396" s="121"/>
      <c r="N396" s="121"/>
      <c r="O396" s="118"/>
    </row>
    <row r="397" customFormat="false" ht="15" hidden="false" customHeight="false" outlineLevel="0" collapsed="false">
      <c r="A397" s="122"/>
      <c r="B397" s="118"/>
      <c r="C397" s="117" t="str">
        <f aca="false">IF(B397="","",IFERROR(INDEX(الموظفون!$C$6:$C$105,MATCH(B397,الموظفون!$B$6:$B$105,0)),"✖ رقم غير موجود"))</f>
        <v/>
      </c>
      <c r="D397" s="123"/>
      <c r="E397" s="123"/>
      <c r="F397" s="123"/>
      <c r="G397" s="121"/>
      <c r="H397" s="121"/>
      <c r="I397" s="121"/>
      <c r="J397" s="121"/>
      <c r="K397" s="123"/>
      <c r="L397" s="123"/>
      <c r="M397" s="121"/>
      <c r="N397" s="121"/>
      <c r="O397" s="118"/>
    </row>
    <row r="398" customFormat="false" ht="15" hidden="false" customHeight="false" outlineLevel="0" collapsed="false">
      <c r="A398" s="122"/>
      <c r="B398" s="118"/>
      <c r="C398" s="114" t="str">
        <f aca="false">IF(B398="","",IFERROR(INDEX(الموظفون!$C$6:$C$105,MATCH(B398,الموظفون!$B$6:$B$105,0)),"✖ رقم غير موجود"))</f>
        <v/>
      </c>
      <c r="D398" s="123"/>
      <c r="E398" s="123"/>
      <c r="F398" s="123"/>
      <c r="G398" s="121"/>
      <c r="H398" s="121"/>
      <c r="I398" s="121"/>
      <c r="J398" s="121"/>
      <c r="K398" s="123"/>
      <c r="L398" s="123"/>
      <c r="M398" s="121"/>
      <c r="N398" s="121"/>
      <c r="O398" s="118"/>
    </row>
    <row r="399" customFormat="false" ht="15" hidden="false" customHeight="false" outlineLevel="0" collapsed="false">
      <c r="A399" s="122"/>
      <c r="B399" s="118"/>
      <c r="C399" s="117" t="str">
        <f aca="false">IF(B399="","",IFERROR(INDEX(الموظفون!$C$6:$C$105,MATCH(B399,الموظفون!$B$6:$B$105,0)),"✖ رقم غير موجود"))</f>
        <v/>
      </c>
      <c r="D399" s="123"/>
      <c r="E399" s="123"/>
      <c r="F399" s="123"/>
      <c r="G399" s="121"/>
      <c r="H399" s="121"/>
      <c r="I399" s="121"/>
      <c r="J399" s="121"/>
      <c r="K399" s="123"/>
      <c r="L399" s="123"/>
      <c r="M399" s="121"/>
      <c r="N399" s="121"/>
      <c r="O399" s="118"/>
    </row>
    <row r="400" customFormat="false" ht="15" hidden="false" customHeight="false" outlineLevel="0" collapsed="false">
      <c r="A400" s="122"/>
      <c r="B400" s="118"/>
      <c r="C400" s="114" t="str">
        <f aca="false">IF(B400="","",IFERROR(INDEX(الموظفون!$C$6:$C$105,MATCH(B400,الموظفون!$B$6:$B$105,0)),"✖ رقم غير موجود"))</f>
        <v/>
      </c>
      <c r="D400" s="123"/>
      <c r="E400" s="123"/>
      <c r="F400" s="123"/>
      <c r="G400" s="121"/>
      <c r="H400" s="121"/>
      <c r="I400" s="121"/>
      <c r="J400" s="121"/>
      <c r="K400" s="123"/>
      <c r="L400" s="123"/>
      <c r="M400" s="121"/>
      <c r="N400" s="121"/>
      <c r="O400" s="118"/>
    </row>
    <row r="401" customFormat="false" ht="15" hidden="false" customHeight="false" outlineLevel="0" collapsed="false">
      <c r="A401" s="122"/>
      <c r="B401" s="118"/>
      <c r="C401" s="117" t="str">
        <f aca="false">IF(B401="","",IFERROR(INDEX(الموظفون!$C$6:$C$105,MATCH(B401,الموظفون!$B$6:$B$105,0)),"✖ رقم غير موجود"))</f>
        <v/>
      </c>
      <c r="D401" s="123"/>
      <c r="E401" s="123"/>
      <c r="F401" s="123"/>
      <c r="G401" s="121"/>
      <c r="H401" s="121"/>
      <c r="I401" s="121"/>
      <c r="J401" s="121"/>
      <c r="K401" s="123"/>
      <c r="L401" s="123"/>
      <c r="M401" s="121"/>
      <c r="N401" s="121"/>
      <c r="O401" s="118"/>
    </row>
    <row r="402" customFormat="false" ht="15" hidden="false" customHeight="false" outlineLevel="0" collapsed="false">
      <c r="A402" s="122"/>
      <c r="B402" s="118"/>
      <c r="C402" s="114" t="str">
        <f aca="false">IF(B402="","",IFERROR(INDEX(الموظفون!$C$6:$C$105,MATCH(B402,الموظفون!$B$6:$B$105,0)),"✖ رقم غير موجود"))</f>
        <v/>
      </c>
      <c r="D402" s="123"/>
      <c r="E402" s="123"/>
      <c r="F402" s="123"/>
      <c r="G402" s="121"/>
      <c r="H402" s="121"/>
      <c r="I402" s="121"/>
      <c r="J402" s="121"/>
      <c r="K402" s="123"/>
      <c r="L402" s="123"/>
      <c r="M402" s="121"/>
      <c r="N402" s="121"/>
      <c r="O402" s="118"/>
    </row>
    <row r="403" customFormat="false" ht="15" hidden="false" customHeight="false" outlineLevel="0" collapsed="false">
      <c r="A403" s="122"/>
      <c r="B403" s="118"/>
      <c r="C403" s="117" t="str">
        <f aca="false">IF(B403="","",IFERROR(INDEX(الموظفون!$C$6:$C$105,MATCH(B403,الموظفون!$B$6:$B$105,0)),"✖ رقم غير موجود"))</f>
        <v/>
      </c>
      <c r="D403" s="123"/>
      <c r="E403" s="123"/>
      <c r="F403" s="123"/>
      <c r="G403" s="121"/>
      <c r="H403" s="121"/>
      <c r="I403" s="121"/>
      <c r="J403" s="121"/>
      <c r="K403" s="123"/>
      <c r="L403" s="123"/>
      <c r="M403" s="121"/>
      <c r="N403" s="121"/>
      <c r="O403" s="118"/>
    </row>
    <row r="404" customFormat="false" ht="15" hidden="false" customHeight="false" outlineLevel="0" collapsed="false">
      <c r="A404" s="122"/>
      <c r="B404" s="118"/>
      <c r="C404" s="114" t="str">
        <f aca="false">IF(B404="","",IFERROR(INDEX(الموظفون!$C$6:$C$105,MATCH(B404,الموظفون!$B$6:$B$105,0)),"✖ رقم غير موجود"))</f>
        <v/>
      </c>
      <c r="D404" s="123"/>
      <c r="E404" s="123"/>
      <c r="F404" s="123"/>
      <c r="G404" s="121"/>
      <c r="H404" s="121"/>
      <c r="I404" s="121"/>
      <c r="J404" s="121"/>
      <c r="K404" s="123"/>
      <c r="L404" s="123"/>
      <c r="M404" s="121"/>
      <c r="N404" s="121"/>
      <c r="O404" s="118"/>
    </row>
    <row r="405" customFormat="false" ht="15" hidden="false" customHeight="false" outlineLevel="0" collapsed="false">
      <c r="A405" s="122"/>
      <c r="B405" s="118"/>
      <c r="C405" s="117" t="str">
        <f aca="false">IF(B405="","",IFERROR(INDEX(الموظفون!$C$6:$C$105,MATCH(B405,الموظفون!$B$6:$B$105,0)),"✖ رقم غير موجود"))</f>
        <v/>
      </c>
      <c r="D405" s="123"/>
      <c r="E405" s="123"/>
      <c r="F405" s="123"/>
      <c r="G405" s="121"/>
      <c r="H405" s="121"/>
      <c r="I405" s="121"/>
      <c r="J405" s="121"/>
      <c r="K405" s="123"/>
      <c r="L405" s="123"/>
      <c r="M405" s="121"/>
      <c r="N405" s="121"/>
      <c r="O405" s="118"/>
    </row>
    <row r="406" customFormat="false" ht="15" hidden="false" customHeight="false" outlineLevel="0" collapsed="false">
      <c r="A406" s="122"/>
      <c r="B406" s="118"/>
      <c r="C406" s="114" t="str">
        <f aca="false">IF(B406="","",IFERROR(INDEX(الموظفون!$C$6:$C$105,MATCH(B406,الموظفون!$B$6:$B$105,0)),"✖ رقم غير موجود"))</f>
        <v/>
      </c>
      <c r="D406" s="123"/>
      <c r="E406" s="123"/>
      <c r="F406" s="123"/>
      <c r="G406" s="121"/>
      <c r="H406" s="121"/>
      <c r="I406" s="121"/>
      <c r="J406" s="121"/>
      <c r="K406" s="123"/>
      <c r="L406" s="123"/>
      <c r="M406" s="121"/>
      <c r="N406" s="121"/>
      <c r="O406" s="118"/>
    </row>
    <row r="407" customFormat="false" ht="15" hidden="false" customHeight="false" outlineLevel="0" collapsed="false">
      <c r="A407" s="122"/>
      <c r="B407" s="118"/>
      <c r="C407" s="117" t="str">
        <f aca="false">IF(B407="","",IFERROR(INDEX(الموظفون!$C$6:$C$105,MATCH(B407,الموظفون!$B$6:$B$105,0)),"✖ رقم غير موجود"))</f>
        <v/>
      </c>
      <c r="D407" s="123"/>
      <c r="E407" s="123"/>
      <c r="F407" s="123"/>
      <c r="G407" s="121"/>
      <c r="H407" s="121"/>
      <c r="I407" s="121"/>
      <c r="J407" s="121"/>
      <c r="K407" s="123"/>
      <c r="L407" s="123"/>
      <c r="M407" s="121"/>
      <c r="N407" s="121"/>
      <c r="O407" s="118"/>
    </row>
    <row r="408" customFormat="false" ht="15" hidden="false" customHeight="false" outlineLevel="0" collapsed="false">
      <c r="A408" s="122"/>
      <c r="B408" s="118"/>
      <c r="C408" s="114" t="str">
        <f aca="false">IF(B408="","",IFERROR(INDEX(الموظفون!$C$6:$C$105,MATCH(B408,الموظفون!$B$6:$B$105,0)),"✖ رقم غير موجود"))</f>
        <v/>
      </c>
      <c r="D408" s="123"/>
      <c r="E408" s="123"/>
      <c r="F408" s="123"/>
      <c r="G408" s="121"/>
      <c r="H408" s="121"/>
      <c r="I408" s="121"/>
      <c r="J408" s="121"/>
      <c r="K408" s="123"/>
      <c r="L408" s="123"/>
      <c r="M408" s="121"/>
      <c r="N408" s="121"/>
      <c r="O408" s="118"/>
    </row>
    <row r="409" customFormat="false" ht="15" hidden="false" customHeight="false" outlineLevel="0" collapsed="false">
      <c r="A409" s="122"/>
      <c r="B409" s="118"/>
      <c r="C409" s="117" t="str">
        <f aca="false">IF(B409="","",IFERROR(INDEX(الموظفون!$C$6:$C$105,MATCH(B409,الموظفون!$B$6:$B$105,0)),"✖ رقم غير موجود"))</f>
        <v/>
      </c>
      <c r="D409" s="123"/>
      <c r="E409" s="123"/>
      <c r="F409" s="123"/>
      <c r="G409" s="121"/>
      <c r="H409" s="121"/>
      <c r="I409" s="121"/>
      <c r="J409" s="121"/>
      <c r="K409" s="123"/>
      <c r="L409" s="123"/>
      <c r="M409" s="121"/>
      <c r="N409" s="121"/>
      <c r="O409" s="118"/>
    </row>
    <row r="410" customFormat="false" ht="15" hidden="false" customHeight="false" outlineLevel="0" collapsed="false">
      <c r="A410" s="122"/>
      <c r="B410" s="118"/>
      <c r="C410" s="114" t="str">
        <f aca="false">IF(B410="","",IFERROR(INDEX(الموظفون!$C$6:$C$105,MATCH(B410,الموظفون!$B$6:$B$105,0)),"✖ رقم غير موجود"))</f>
        <v/>
      </c>
      <c r="D410" s="123"/>
      <c r="E410" s="123"/>
      <c r="F410" s="123"/>
      <c r="G410" s="121"/>
      <c r="H410" s="121"/>
      <c r="I410" s="121"/>
      <c r="J410" s="121"/>
      <c r="K410" s="123"/>
      <c r="L410" s="123"/>
      <c r="M410" s="121"/>
      <c r="N410" s="121"/>
      <c r="O410" s="118"/>
    </row>
    <row r="411" customFormat="false" ht="15" hidden="false" customHeight="false" outlineLevel="0" collapsed="false">
      <c r="A411" s="122"/>
      <c r="B411" s="118"/>
      <c r="C411" s="117" t="str">
        <f aca="false">IF(B411="","",IFERROR(INDEX(الموظفون!$C$6:$C$105,MATCH(B411,الموظفون!$B$6:$B$105,0)),"✖ رقم غير موجود"))</f>
        <v/>
      </c>
      <c r="D411" s="123"/>
      <c r="E411" s="123"/>
      <c r="F411" s="123"/>
      <c r="G411" s="121"/>
      <c r="H411" s="121"/>
      <c r="I411" s="121"/>
      <c r="J411" s="121"/>
      <c r="K411" s="123"/>
      <c r="L411" s="123"/>
      <c r="M411" s="121"/>
      <c r="N411" s="121"/>
      <c r="O411" s="118"/>
    </row>
    <row r="412" customFormat="false" ht="15" hidden="false" customHeight="false" outlineLevel="0" collapsed="false">
      <c r="A412" s="122"/>
      <c r="B412" s="118"/>
      <c r="C412" s="114" t="str">
        <f aca="false">IF(B412="","",IFERROR(INDEX(الموظفون!$C$6:$C$105,MATCH(B412,الموظفون!$B$6:$B$105,0)),"✖ رقم غير موجود"))</f>
        <v/>
      </c>
      <c r="D412" s="123"/>
      <c r="E412" s="123"/>
      <c r="F412" s="123"/>
      <c r="G412" s="121"/>
      <c r="H412" s="121"/>
      <c r="I412" s="121"/>
      <c r="J412" s="121"/>
      <c r="K412" s="123"/>
      <c r="L412" s="123"/>
      <c r="M412" s="121"/>
      <c r="N412" s="121"/>
      <c r="O412" s="118"/>
    </row>
    <row r="413" customFormat="false" ht="15" hidden="false" customHeight="false" outlineLevel="0" collapsed="false">
      <c r="A413" s="122"/>
      <c r="B413" s="118"/>
      <c r="C413" s="117" t="str">
        <f aca="false">IF(B413="","",IFERROR(INDEX(الموظفون!$C$6:$C$105,MATCH(B413,الموظفون!$B$6:$B$105,0)),"✖ رقم غير موجود"))</f>
        <v/>
      </c>
      <c r="D413" s="123"/>
      <c r="E413" s="123"/>
      <c r="F413" s="123"/>
      <c r="G413" s="121"/>
      <c r="H413" s="121"/>
      <c r="I413" s="121"/>
      <c r="J413" s="121"/>
      <c r="K413" s="123"/>
      <c r="L413" s="123"/>
      <c r="M413" s="121"/>
      <c r="N413" s="121"/>
      <c r="O413" s="118"/>
    </row>
    <row r="414" customFormat="false" ht="15" hidden="false" customHeight="false" outlineLevel="0" collapsed="false">
      <c r="A414" s="122"/>
      <c r="B414" s="118"/>
      <c r="C414" s="114" t="str">
        <f aca="false">IF(B414="","",IFERROR(INDEX(الموظفون!$C$6:$C$105,MATCH(B414,الموظفون!$B$6:$B$105,0)),"✖ رقم غير موجود"))</f>
        <v/>
      </c>
      <c r="D414" s="123"/>
      <c r="E414" s="123"/>
      <c r="F414" s="123"/>
      <c r="G414" s="121"/>
      <c r="H414" s="121"/>
      <c r="I414" s="121"/>
      <c r="J414" s="121"/>
      <c r="K414" s="123"/>
      <c r="L414" s="123"/>
      <c r="M414" s="121"/>
      <c r="N414" s="121"/>
      <c r="O414" s="118"/>
    </row>
    <row r="415" customFormat="false" ht="15" hidden="false" customHeight="false" outlineLevel="0" collapsed="false">
      <c r="A415" s="122"/>
      <c r="B415" s="118"/>
      <c r="C415" s="117" t="str">
        <f aca="false">IF(B415="","",IFERROR(INDEX(الموظفون!$C$6:$C$105,MATCH(B415,الموظفون!$B$6:$B$105,0)),"✖ رقم غير موجود"))</f>
        <v/>
      </c>
      <c r="D415" s="123"/>
      <c r="E415" s="123"/>
      <c r="F415" s="123"/>
      <c r="G415" s="121"/>
      <c r="H415" s="121"/>
      <c r="I415" s="121"/>
      <c r="J415" s="121"/>
      <c r="K415" s="123"/>
      <c r="L415" s="123"/>
      <c r="M415" s="121"/>
      <c r="N415" s="121"/>
      <c r="O415" s="118"/>
    </row>
    <row r="416" customFormat="false" ht="15" hidden="false" customHeight="false" outlineLevel="0" collapsed="false">
      <c r="A416" s="122"/>
      <c r="B416" s="118"/>
      <c r="C416" s="114" t="str">
        <f aca="false">IF(B416="","",IFERROR(INDEX(الموظفون!$C$6:$C$105,MATCH(B416,الموظفون!$B$6:$B$105,0)),"✖ رقم غير موجود"))</f>
        <v/>
      </c>
      <c r="D416" s="123"/>
      <c r="E416" s="123"/>
      <c r="F416" s="123"/>
      <c r="G416" s="121"/>
      <c r="H416" s="121"/>
      <c r="I416" s="121"/>
      <c r="J416" s="121"/>
      <c r="K416" s="123"/>
      <c r="L416" s="123"/>
      <c r="M416" s="121"/>
      <c r="N416" s="121"/>
      <c r="O416" s="118"/>
    </row>
    <row r="417" customFormat="false" ht="15" hidden="false" customHeight="false" outlineLevel="0" collapsed="false">
      <c r="A417" s="122"/>
      <c r="B417" s="118"/>
      <c r="C417" s="117" t="str">
        <f aca="false">IF(B417="","",IFERROR(INDEX(الموظفون!$C$6:$C$105,MATCH(B417,الموظفون!$B$6:$B$105,0)),"✖ رقم غير موجود"))</f>
        <v/>
      </c>
      <c r="D417" s="123"/>
      <c r="E417" s="123"/>
      <c r="F417" s="123"/>
      <c r="G417" s="121"/>
      <c r="H417" s="121"/>
      <c r="I417" s="121"/>
      <c r="J417" s="121"/>
      <c r="K417" s="123"/>
      <c r="L417" s="123"/>
      <c r="M417" s="121"/>
      <c r="N417" s="121"/>
      <c r="O417" s="118"/>
    </row>
    <row r="418" customFormat="false" ht="15" hidden="false" customHeight="false" outlineLevel="0" collapsed="false">
      <c r="A418" s="122"/>
      <c r="B418" s="118"/>
      <c r="C418" s="114" t="str">
        <f aca="false">IF(B418="","",IFERROR(INDEX(الموظفون!$C$6:$C$105,MATCH(B418,الموظفون!$B$6:$B$105,0)),"✖ رقم غير موجود"))</f>
        <v/>
      </c>
      <c r="D418" s="123"/>
      <c r="E418" s="123"/>
      <c r="F418" s="123"/>
      <c r="G418" s="121"/>
      <c r="H418" s="121"/>
      <c r="I418" s="121"/>
      <c r="J418" s="121"/>
      <c r="K418" s="123"/>
      <c r="L418" s="123"/>
      <c r="M418" s="121"/>
      <c r="N418" s="121"/>
      <c r="O418" s="118"/>
    </row>
    <row r="419" customFormat="false" ht="15" hidden="false" customHeight="false" outlineLevel="0" collapsed="false">
      <c r="A419" s="122"/>
      <c r="B419" s="118"/>
      <c r="C419" s="117" t="str">
        <f aca="false">IF(B419="","",IFERROR(INDEX(الموظفون!$C$6:$C$105,MATCH(B419,الموظفون!$B$6:$B$105,0)),"✖ رقم غير موجود"))</f>
        <v/>
      </c>
      <c r="D419" s="123"/>
      <c r="E419" s="123"/>
      <c r="F419" s="123"/>
      <c r="G419" s="121"/>
      <c r="H419" s="121"/>
      <c r="I419" s="121"/>
      <c r="J419" s="121"/>
      <c r="K419" s="123"/>
      <c r="L419" s="123"/>
      <c r="M419" s="121"/>
      <c r="N419" s="121"/>
      <c r="O419" s="118"/>
    </row>
    <row r="420" customFormat="false" ht="15" hidden="false" customHeight="false" outlineLevel="0" collapsed="false">
      <c r="A420" s="122"/>
      <c r="B420" s="118"/>
      <c r="C420" s="114" t="str">
        <f aca="false">IF(B420="","",IFERROR(INDEX(الموظفون!$C$6:$C$105,MATCH(B420,الموظفون!$B$6:$B$105,0)),"✖ رقم غير موجود"))</f>
        <v/>
      </c>
      <c r="D420" s="123"/>
      <c r="E420" s="123"/>
      <c r="F420" s="123"/>
      <c r="G420" s="121"/>
      <c r="H420" s="121"/>
      <c r="I420" s="121"/>
      <c r="J420" s="121"/>
      <c r="K420" s="123"/>
      <c r="L420" s="123"/>
      <c r="M420" s="121"/>
      <c r="N420" s="121"/>
      <c r="O420" s="118"/>
    </row>
    <row r="421" customFormat="false" ht="15" hidden="false" customHeight="false" outlineLevel="0" collapsed="false">
      <c r="A421" s="122"/>
      <c r="B421" s="118"/>
      <c r="C421" s="117" t="str">
        <f aca="false">IF(B421="","",IFERROR(INDEX(الموظفون!$C$6:$C$105,MATCH(B421,الموظفون!$B$6:$B$105,0)),"✖ رقم غير موجود"))</f>
        <v/>
      </c>
      <c r="D421" s="123"/>
      <c r="E421" s="123"/>
      <c r="F421" s="123"/>
      <c r="G421" s="121"/>
      <c r="H421" s="121"/>
      <c r="I421" s="121"/>
      <c r="J421" s="121"/>
      <c r="K421" s="123"/>
      <c r="L421" s="123"/>
      <c r="M421" s="121"/>
      <c r="N421" s="121"/>
      <c r="O421" s="118"/>
    </row>
    <row r="422" customFormat="false" ht="15" hidden="false" customHeight="false" outlineLevel="0" collapsed="false">
      <c r="A422" s="122"/>
      <c r="B422" s="118"/>
      <c r="C422" s="114" t="str">
        <f aca="false">IF(B422="","",IFERROR(INDEX(الموظفون!$C$6:$C$105,MATCH(B422,الموظفون!$B$6:$B$105,0)),"✖ رقم غير موجود"))</f>
        <v/>
      </c>
      <c r="D422" s="123"/>
      <c r="E422" s="123"/>
      <c r="F422" s="123"/>
      <c r="G422" s="121"/>
      <c r="H422" s="121"/>
      <c r="I422" s="121"/>
      <c r="J422" s="121"/>
      <c r="K422" s="123"/>
      <c r="L422" s="123"/>
      <c r="M422" s="121"/>
      <c r="N422" s="121"/>
      <c r="O422" s="118"/>
    </row>
    <row r="423" customFormat="false" ht="15" hidden="false" customHeight="false" outlineLevel="0" collapsed="false">
      <c r="A423" s="122"/>
      <c r="B423" s="118"/>
      <c r="C423" s="117" t="str">
        <f aca="false">IF(B423="","",IFERROR(INDEX(الموظفون!$C$6:$C$105,MATCH(B423,الموظفون!$B$6:$B$105,0)),"✖ رقم غير موجود"))</f>
        <v/>
      </c>
      <c r="D423" s="123"/>
      <c r="E423" s="123"/>
      <c r="F423" s="123"/>
      <c r="G423" s="121"/>
      <c r="H423" s="121"/>
      <c r="I423" s="121"/>
      <c r="J423" s="121"/>
      <c r="K423" s="123"/>
      <c r="L423" s="123"/>
      <c r="M423" s="121"/>
      <c r="N423" s="121"/>
      <c r="O423" s="118"/>
    </row>
    <row r="424" customFormat="false" ht="15" hidden="false" customHeight="false" outlineLevel="0" collapsed="false">
      <c r="A424" s="122"/>
      <c r="B424" s="118"/>
      <c r="C424" s="114" t="str">
        <f aca="false">IF(B424="","",IFERROR(INDEX(الموظفون!$C$6:$C$105,MATCH(B424,الموظفون!$B$6:$B$105,0)),"✖ رقم غير موجود"))</f>
        <v/>
      </c>
      <c r="D424" s="123"/>
      <c r="E424" s="123"/>
      <c r="F424" s="123"/>
      <c r="G424" s="121"/>
      <c r="H424" s="121"/>
      <c r="I424" s="121"/>
      <c r="J424" s="121"/>
      <c r="K424" s="123"/>
      <c r="L424" s="123"/>
      <c r="M424" s="121"/>
      <c r="N424" s="121"/>
      <c r="O424" s="118"/>
    </row>
    <row r="425" customFormat="false" ht="15" hidden="false" customHeight="false" outlineLevel="0" collapsed="false">
      <c r="A425" s="122"/>
      <c r="B425" s="118"/>
      <c r="C425" s="117" t="str">
        <f aca="false">IF(B425="","",IFERROR(INDEX(الموظفون!$C$6:$C$105,MATCH(B425,الموظفون!$B$6:$B$105,0)),"✖ رقم غير موجود"))</f>
        <v/>
      </c>
      <c r="D425" s="123"/>
      <c r="E425" s="123"/>
      <c r="F425" s="123"/>
      <c r="G425" s="121"/>
      <c r="H425" s="121"/>
      <c r="I425" s="121"/>
      <c r="J425" s="121"/>
      <c r="K425" s="123"/>
      <c r="L425" s="123"/>
      <c r="M425" s="121"/>
      <c r="N425" s="121"/>
      <c r="O425" s="118"/>
    </row>
    <row r="426" customFormat="false" ht="15" hidden="false" customHeight="false" outlineLevel="0" collapsed="false">
      <c r="A426" s="122"/>
      <c r="B426" s="118"/>
      <c r="C426" s="114" t="str">
        <f aca="false">IF(B426="","",IFERROR(INDEX(الموظفون!$C$6:$C$105,MATCH(B426,الموظفون!$B$6:$B$105,0)),"✖ رقم غير موجود"))</f>
        <v/>
      </c>
      <c r="D426" s="123"/>
      <c r="E426" s="123"/>
      <c r="F426" s="123"/>
      <c r="G426" s="121"/>
      <c r="H426" s="121"/>
      <c r="I426" s="121"/>
      <c r="J426" s="121"/>
      <c r="K426" s="123"/>
      <c r="L426" s="123"/>
      <c r="M426" s="121"/>
      <c r="N426" s="121"/>
      <c r="O426" s="118"/>
    </row>
    <row r="427" customFormat="false" ht="15" hidden="false" customHeight="false" outlineLevel="0" collapsed="false">
      <c r="A427" s="122"/>
      <c r="B427" s="118"/>
      <c r="C427" s="117" t="str">
        <f aca="false">IF(B427="","",IFERROR(INDEX(الموظفون!$C$6:$C$105,MATCH(B427,الموظفون!$B$6:$B$105,0)),"✖ رقم غير موجود"))</f>
        <v/>
      </c>
      <c r="D427" s="123"/>
      <c r="E427" s="123"/>
      <c r="F427" s="123"/>
      <c r="G427" s="121"/>
      <c r="H427" s="121"/>
      <c r="I427" s="121"/>
      <c r="J427" s="121"/>
      <c r="K427" s="123"/>
      <c r="L427" s="123"/>
      <c r="M427" s="121"/>
      <c r="N427" s="121"/>
      <c r="O427" s="118"/>
    </row>
    <row r="428" customFormat="false" ht="15" hidden="false" customHeight="false" outlineLevel="0" collapsed="false">
      <c r="A428" s="122"/>
      <c r="B428" s="118"/>
      <c r="C428" s="114" t="str">
        <f aca="false">IF(B428="","",IFERROR(INDEX(الموظفون!$C$6:$C$105,MATCH(B428,الموظفون!$B$6:$B$105,0)),"✖ رقم غير موجود"))</f>
        <v/>
      </c>
      <c r="D428" s="123"/>
      <c r="E428" s="123"/>
      <c r="F428" s="123"/>
      <c r="G428" s="121"/>
      <c r="H428" s="121"/>
      <c r="I428" s="121"/>
      <c r="J428" s="121"/>
      <c r="K428" s="123"/>
      <c r="L428" s="123"/>
      <c r="M428" s="121"/>
      <c r="N428" s="121"/>
      <c r="O428" s="118"/>
    </row>
    <row r="429" customFormat="false" ht="15" hidden="false" customHeight="false" outlineLevel="0" collapsed="false">
      <c r="A429" s="122"/>
      <c r="B429" s="118"/>
      <c r="C429" s="117" t="str">
        <f aca="false">IF(B429="","",IFERROR(INDEX(الموظفون!$C$6:$C$105,MATCH(B429,الموظفون!$B$6:$B$105,0)),"✖ رقم غير موجود"))</f>
        <v/>
      </c>
      <c r="D429" s="123"/>
      <c r="E429" s="123"/>
      <c r="F429" s="123"/>
      <c r="G429" s="121"/>
      <c r="H429" s="121"/>
      <c r="I429" s="121"/>
      <c r="J429" s="121"/>
      <c r="K429" s="123"/>
      <c r="L429" s="123"/>
      <c r="M429" s="121"/>
      <c r="N429" s="121"/>
      <c r="O429" s="118"/>
    </row>
    <row r="430" customFormat="false" ht="15" hidden="false" customHeight="false" outlineLevel="0" collapsed="false">
      <c r="A430" s="122"/>
      <c r="B430" s="118"/>
      <c r="C430" s="114" t="str">
        <f aca="false">IF(B430="","",IFERROR(INDEX(الموظفون!$C$6:$C$105,MATCH(B430,الموظفون!$B$6:$B$105,0)),"✖ رقم غير موجود"))</f>
        <v/>
      </c>
      <c r="D430" s="123"/>
      <c r="E430" s="123"/>
      <c r="F430" s="123"/>
      <c r="G430" s="121"/>
      <c r="H430" s="121"/>
      <c r="I430" s="121"/>
      <c r="J430" s="121"/>
      <c r="K430" s="123"/>
      <c r="L430" s="123"/>
      <c r="M430" s="121"/>
      <c r="N430" s="121"/>
      <c r="O430" s="118"/>
    </row>
    <row r="431" customFormat="false" ht="15" hidden="false" customHeight="false" outlineLevel="0" collapsed="false">
      <c r="A431" s="122"/>
      <c r="B431" s="118"/>
      <c r="C431" s="117" t="str">
        <f aca="false">IF(B431="","",IFERROR(INDEX(الموظفون!$C$6:$C$105,MATCH(B431,الموظفون!$B$6:$B$105,0)),"✖ رقم غير موجود"))</f>
        <v/>
      </c>
      <c r="D431" s="123"/>
      <c r="E431" s="123"/>
      <c r="F431" s="123"/>
      <c r="G431" s="121"/>
      <c r="H431" s="121"/>
      <c r="I431" s="121"/>
      <c r="J431" s="121"/>
      <c r="K431" s="123"/>
      <c r="L431" s="123"/>
      <c r="M431" s="121"/>
      <c r="N431" s="121"/>
      <c r="O431" s="118"/>
    </row>
    <row r="432" customFormat="false" ht="15" hidden="false" customHeight="false" outlineLevel="0" collapsed="false">
      <c r="A432" s="122"/>
      <c r="B432" s="118"/>
      <c r="C432" s="114" t="str">
        <f aca="false">IF(B432="","",IFERROR(INDEX(الموظفون!$C$6:$C$105,MATCH(B432,الموظفون!$B$6:$B$105,0)),"✖ رقم غير موجود"))</f>
        <v/>
      </c>
      <c r="D432" s="123"/>
      <c r="E432" s="123"/>
      <c r="F432" s="123"/>
      <c r="G432" s="121"/>
      <c r="H432" s="121"/>
      <c r="I432" s="121"/>
      <c r="J432" s="121"/>
      <c r="K432" s="123"/>
      <c r="L432" s="123"/>
      <c r="M432" s="121"/>
      <c r="N432" s="121"/>
      <c r="O432" s="118"/>
    </row>
    <row r="433" customFormat="false" ht="15" hidden="false" customHeight="false" outlineLevel="0" collapsed="false">
      <c r="A433" s="122"/>
      <c r="B433" s="118"/>
      <c r="C433" s="117" t="str">
        <f aca="false">IF(B433="","",IFERROR(INDEX(الموظفون!$C$6:$C$105,MATCH(B433,الموظفون!$B$6:$B$105,0)),"✖ رقم غير موجود"))</f>
        <v/>
      </c>
      <c r="D433" s="123"/>
      <c r="E433" s="123"/>
      <c r="F433" s="123"/>
      <c r="G433" s="121"/>
      <c r="H433" s="121"/>
      <c r="I433" s="121"/>
      <c r="J433" s="121"/>
      <c r="K433" s="123"/>
      <c r="L433" s="123"/>
      <c r="M433" s="121"/>
      <c r="N433" s="121"/>
      <c r="O433" s="118"/>
    </row>
    <row r="434" customFormat="false" ht="15" hidden="false" customHeight="false" outlineLevel="0" collapsed="false">
      <c r="A434" s="122"/>
      <c r="B434" s="118"/>
      <c r="C434" s="114" t="str">
        <f aca="false">IF(B434="","",IFERROR(INDEX(الموظفون!$C$6:$C$105,MATCH(B434,الموظفون!$B$6:$B$105,0)),"✖ رقم غير موجود"))</f>
        <v/>
      </c>
      <c r="D434" s="123"/>
      <c r="E434" s="123"/>
      <c r="F434" s="123"/>
      <c r="G434" s="121"/>
      <c r="H434" s="121"/>
      <c r="I434" s="121"/>
      <c r="J434" s="121"/>
      <c r="K434" s="123"/>
      <c r="L434" s="123"/>
      <c r="M434" s="121"/>
      <c r="N434" s="121"/>
      <c r="O434" s="118"/>
    </row>
    <row r="435" customFormat="false" ht="15" hidden="false" customHeight="false" outlineLevel="0" collapsed="false">
      <c r="A435" s="122"/>
      <c r="B435" s="118"/>
      <c r="C435" s="117" t="str">
        <f aca="false">IF(B435="","",IFERROR(INDEX(الموظفون!$C$6:$C$105,MATCH(B435,الموظفون!$B$6:$B$105,0)),"✖ رقم غير موجود"))</f>
        <v/>
      </c>
      <c r="D435" s="123"/>
      <c r="E435" s="123"/>
      <c r="F435" s="123"/>
      <c r="G435" s="121"/>
      <c r="H435" s="121"/>
      <c r="I435" s="121"/>
      <c r="J435" s="121"/>
      <c r="K435" s="123"/>
      <c r="L435" s="123"/>
      <c r="M435" s="121"/>
      <c r="N435" s="121"/>
      <c r="O435" s="118"/>
    </row>
    <row r="436" customFormat="false" ht="15" hidden="false" customHeight="false" outlineLevel="0" collapsed="false">
      <c r="A436" s="122"/>
      <c r="B436" s="118"/>
      <c r="C436" s="114" t="str">
        <f aca="false">IF(B436="","",IFERROR(INDEX(الموظفون!$C$6:$C$105,MATCH(B436,الموظفون!$B$6:$B$105,0)),"✖ رقم غير موجود"))</f>
        <v/>
      </c>
      <c r="D436" s="123"/>
      <c r="E436" s="123"/>
      <c r="F436" s="123"/>
      <c r="G436" s="121"/>
      <c r="H436" s="121"/>
      <c r="I436" s="121"/>
      <c r="J436" s="121"/>
      <c r="K436" s="123"/>
      <c r="L436" s="123"/>
      <c r="M436" s="121"/>
      <c r="N436" s="121"/>
      <c r="O436" s="118"/>
    </row>
    <row r="437" customFormat="false" ht="15" hidden="false" customHeight="false" outlineLevel="0" collapsed="false">
      <c r="A437" s="122"/>
      <c r="B437" s="118"/>
      <c r="C437" s="117" t="str">
        <f aca="false">IF(B437="","",IFERROR(INDEX(الموظفون!$C$6:$C$105,MATCH(B437,الموظفون!$B$6:$B$105,0)),"✖ رقم غير موجود"))</f>
        <v/>
      </c>
      <c r="D437" s="123"/>
      <c r="E437" s="123"/>
      <c r="F437" s="123"/>
      <c r="G437" s="121"/>
      <c r="H437" s="121"/>
      <c r="I437" s="121"/>
      <c r="J437" s="121"/>
      <c r="K437" s="123"/>
      <c r="L437" s="123"/>
      <c r="M437" s="121"/>
      <c r="N437" s="121"/>
      <c r="O437" s="118"/>
    </row>
    <row r="438" customFormat="false" ht="15" hidden="false" customHeight="false" outlineLevel="0" collapsed="false">
      <c r="A438" s="122"/>
      <c r="B438" s="118"/>
      <c r="C438" s="114" t="str">
        <f aca="false">IF(B438="","",IFERROR(INDEX(الموظفون!$C$6:$C$105,MATCH(B438,الموظفون!$B$6:$B$105,0)),"✖ رقم غير موجود"))</f>
        <v/>
      </c>
      <c r="D438" s="123"/>
      <c r="E438" s="123"/>
      <c r="F438" s="123"/>
      <c r="G438" s="121"/>
      <c r="H438" s="121"/>
      <c r="I438" s="121"/>
      <c r="J438" s="121"/>
      <c r="K438" s="123"/>
      <c r="L438" s="123"/>
      <c r="M438" s="121"/>
      <c r="N438" s="121"/>
      <c r="O438" s="118"/>
    </row>
    <row r="439" customFormat="false" ht="15" hidden="false" customHeight="false" outlineLevel="0" collapsed="false">
      <c r="A439" s="122"/>
      <c r="B439" s="118"/>
      <c r="C439" s="117" t="str">
        <f aca="false">IF(B439="","",IFERROR(INDEX(الموظفون!$C$6:$C$105,MATCH(B439,الموظفون!$B$6:$B$105,0)),"✖ رقم غير موجود"))</f>
        <v/>
      </c>
      <c r="D439" s="123"/>
      <c r="E439" s="123"/>
      <c r="F439" s="123"/>
      <c r="G439" s="121"/>
      <c r="H439" s="121"/>
      <c r="I439" s="121"/>
      <c r="J439" s="121"/>
      <c r="K439" s="123"/>
      <c r="L439" s="123"/>
      <c r="M439" s="121"/>
      <c r="N439" s="121"/>
      <c r="O439" s="118"/>
    </row>
    <row r="440" customFormat="false" ht="15" hidden="false" customHeight="false" outlineLevel="0" collapsed="false">
      <c r="A440" s="122"/>
      <c r="B440" s="118"/>
      <c r="C440" s="114" t="str">
        <f aca="false">IF(B440="","",IFERROR(INDEX(الموظفون!$C$6:$C$105,MATCH(B440,الموظفون!$B$6:$B$105,0)),"✖ رقم غير موجود"))</f>
        <v/>
      </c>
      <c r="D440" s="123"/>
      <c r="E440" s="123"/>
      <c r="F440" s="123"/>
      <c r="G440" s="121"/>
      <c r="H440" s="121"/>
      <c r="I440" s="121"/>
      <c r="J440" s="121"/>
      <c r="K440" s="123"/>
      <c r="L440" s="123"/>
      <c r="M440" s="121"/>
      <c r="N440" s="121"/>
      <c r="O440" s="118"/>
    </row>
    <row r="441" customFormat="false" ht="15" hidden="false" customHeight="false" outlineLevel="0" collapsed="false">
      <c r="A441" s="122"/>
      <c r="B441" s="118"/>
      <c r="C441" s="117" t="str">
        <f aca="false">IF(B441="","",IFERROR(INDEX(الموظفون!$C$6:$C$105,MATCH(B441,الموظفون!$B$6:$B$105,0)),"✖ رقم غير موجود"))</f>
        <v/>
      </c>
      <c r="D441" s="123"/>
      <c r="E441" s="123"/>
      <c r="F441" s="123"/>
      <c r="G441" s="121"/>
      <c r="H441" s="121"/>
      <c r="I441" s="121"/>
      <c r="J441" s="121"/>
      <c r="K441" s="123"/>
      <c r="L441" s="123"/>
      <c r="M441" s="121"/>
      <c r="N441" s="121"/>
      <c r="O441" s="118"/>
    </row>
    <row r="442" customFormat="false" ht="15" hidden="false" customHeight="false" outlineLevel="0" collapsed="false">
      <c r="A442" s="122"/>
      <c r="B442" s="118"/>
      <c r="C442" s="114" t="str">
        <f aca="false">IF(B442="","",IFERROR(INDEX(الموظفون!$C$6:$C$105,MATCH(B442,الموظفون!$B$6:$B$105,0)),"✖ رقم غير موجود"))</f>
        <v/>
      </c>
      <c r="D442" s="123"/>
      <c r="E442" s="123"/>
      <c r="F442" s="123"/>
      <c r="G442" s="121"/>
      <c r="H442" s="121"/>
      <c r="I442" s="121"/>
      <c r="J442" s="121"/>
      <c r="K442" s="123"/>
      <c r="L442" s="123"/>
      <c r="M442" s="121"/>
      <c r="N442" s="121"/>
      <c r="O442" s="118"/>
    </row>
    <row r="443" customFormat="false" ht="15" hidden="false" customHeight="false" outlineLevel="0" collapsed="false">
      <c r="A443" s="122"/>
      <c r="B443" s="118"/>
      <c r="C443" s="117" t="str">
        <f aca="false">IF(B443="","",IFERROR(INDEX(الموظفون!$C$6:$C$105,MATCH(B443,الموظفون!$B$6:$B$105,0)),"✖ رقم غير موجود"))</f>
        <v/>
      </c>
      <c r="D443" s="123"/>
      <c r="E443" s="123"/>
      <c r="F443" s="123"/>
      <c r="G443" s="121"/>
      <c r="H443" s="121"/>
      <c r="I443" s="121"/>
      <c r="J443" s="121"/>
      <c r="K443" s="123"/>
      <c r="L443" s="123"/>
      <c r="M443" s="121"/>
      <c r="N443" s="121"/>
      <c r="O443" s="118"/>
    </row>
    <row r="444" customFormat="false" ht="15" hidden="false" customHeight="false" outlineLevel="0" collapsed="false">
      <c r="A444" s="122"/>
      <c r="B444" s="118"/>
      <c r="C444" s="114" t="str">
        <f aca="false">IF(B444="","",IFERROR(INDEX(الموظفون!$C$6:$C$105,MATCH(B444,الموظفون!$B$6:$B$105,0)),"✖ رقم غير موجود"))</f>
        <v/>
      </c>
      <c r="D444" s="123"/>
      <c r="E444" s="123"/>
      <c r="F444" s="123"/>
      <c r="G444" s="121"/>
      <c r="H444" s="121"/>
      <c r="I444" s="121"/>
      <c r="J444" s="121"/>
      <c r="K444" s="123"/>
      <c r="L444" s="123"/>
      <c r="M444" s="121"/>
      <c r="N444" s="121"/>
      <c r="O444" s="118"/>
    </row>
    <row r="445" customFormat="false" ht="15" hidden="false" customHeight="false" outlineLevel="0" collapsed="false">
      <c r="A445" s="122"/>
      <c r="B445" s="118"/>
      <c r="C445" s="117" t="str">
        <f aca="false">IF(B445="","",IFERROR(INDEX(الموظفون!$C$6:$C$105,MATCH(B445,الموظفون!$B$6:$B$105,0)),"✖ رقم غير موجود"))</f>
        <v/>
      </c>
      <c r="D445" s="123"/>
      <c r="E445" s="123"/>
      <c r="F445" s="123"/>
      <c r="G445" s="121"/>
      <c r="H445" s="121"/>
      <c r="I445" s="121"/>
      <c r="J445" s="121"/>
      <c r="K445" s="123"/>
      <c r="L445" s="123"/>
      <c r="M445" s="121"/>
      <c r="N445" s="121"/>
      <c r="O445" s="118"/>
    </row>
    <row r="446" customFormat="false" ht="15" hidden="false" customHeight="false" outlineLevel="0" collapsed="false">
      <c r="A446" s="122"/>
      <c r="B446" s="118"/>
      <c r="C446" s="114" t="str">
        <f aca="false">IF(B446="","",IFERROR(INDEX(الموظفون!$C$6:$C$105,MATCH(B446,الموظفون!$B$6:$B$105,0)),"✖ رقم غير موجود"))</f>
        <v/>
      </c>
      <c r="D446" s="123"/>
      <c r="E446" s="123"/>
      <c r="F446" s="123"/>
      <c r="G446" s="121"/>
      <c r="H446" s="121"/>
      <c r="I446" s="121"/>
      <c r="J446" s="121"/>
      <c r="K446" s="123"/>
      <c r="L446" s="123"/>
      <c r="M446" s="121"/>
      <c r="N446" s="121"/>
      <c r="O446" s="118"/>
    </row>
    <row r="447" customFormat="false" ht="15" hidden="false" customHeight="false" outlineLevel="0" collapsed="false">
      <c r="A447" s="122"/>
      <c r="B447" s="118"/>
      <c r="C447" s="117" t="str">
        <f aca="false">IF(B447="","",IFERROR(INDEX(الموظفون!$C$6:$C$105,MATCH(B447,الموظفون!$B$6:$B$105,0)),"✖ رقم غير موجود"))</f>
        <v/>
      </c>
      <c r="D447" s="123"/>
      <c r="E447" s="123"/>
      <c r="F447" s="123"/>
      <c r="G447" s="121"/>
      <c r="H447" s="121"/>
      <c r="I447" s="121"/>
      <c r="J447" s="121"/>
      <c r="K447" s="123"/>
      <c r="L447" s="123"/>
      <c r="M447" s="121"/>
      <c r="N447" s="121"/>
      <c r="O447" s="118"/>
    </row>
    <row r="448" customFormat="false" ht="15" hidden="false" customHeight="false" outlineLevel="0" collapsed="false">
      <c r="A448" s="122"/>
      <c r="B448" s="118"/>
      <c r="C448" s="114" t="str">
        <f aca="false">IF(B448="","",IFERROR(INDEX(الموظفون!$C$6:$C$105,MATCH(B448,الموظفون!$B$6:$B$105,0)),"✖ رقم غير موجود"))</f>
        <v/>
      </c>
      <c r="D448" s="123"/>
      <c r="E448" s="123"/>
      <c r="F448" s="123"/>
      <c r="G448" s="121"/>
      <c r="H448" s="121"/>
      <c r="I448" s="121"/>
      <c r="J448" s="121"/>
      <c r="K448" s="123"/>
      <c r="L448" s="123"/>
      <c r="M448" s="121"/>
      <c r="N448" s="121"/>
      <c r="O448" s="118"/>
    </row>
    <row r="449" customFormat="false" ht="15" hidden="false" customHeight="false" outlineLevel="0" collapsed="false">
      <c r="A449" s="122"/>
      <c r="B449" s="118"/>
      <c r="C449" s="117" t="str">
        <f aca="false">IF(B449="","",IFERROR(INDEX(الموظفون!$C$6:$C$105,MATCH(B449,الموظفون!$B$6:$B$105,0)),"✖ رقم غير موجود"))</f>
        <v/>
      </c>
      <c r="D449" s="123"/>
      <c r="E449" s="123"/>
      <c r="F449" s="123"/>
      <c r="G449" s="121"/>
      <c r="H449" s="121"/>
      <c r="I449" s="121"/>
      <c r="J449" s="121"/>
      <c r="K449" s="123"/>
      <c r="L449" s="123"/>
      <c r="M449" s="121"/>
      <c r="N449" s="121"/>
      <c r="O449" s="118"/>
    </row>
    <row r="450" customFormat="false" ht="15" hidden="false" customHeight="false" outlineLevel="0" collapsed="false">
      <c r="A450" s="122"/>
      <c r="B450" s="118"/>
      <c r="C450" s="114" t="str">
        <f aca="false">IF(B450="","",IFERROR(INDEX(الموظفون!$C$6:$C$105,MATCH(B450,الموظفون!$B$6:$B$105,0)),"✖ رقم غير موجود"))</f>
        <v/>
      </c>
      <c r="D450" s="123"/>
      <c r="E450" s="123"/>
      <c r="F450" s="123"/>
      <c r="G450" s="121"/>
      <c r="H450" s="121"/>
      <c r="I450" s="121"/>
      <c r="J450" s="121"/>
      <c r="K450" s="123"/>
      <c r="L450" s="123"/>
      <c r="M450" s="121"/>
      <c r="N450" s="121"/>
      <c r="O450" s="118"/>
    </row>
    <row r="451" customFormat="false" ht="15" hidden="false" customHeight="false" outlineLevel="0" collapsed="false">
      <c r="A451" s="122"/>
      <c r="B451" s="118"/>
      <c r="C451" s="117" t="str">
        <f aca="false">IF(B451="","",IFERROR(INDEX(الموظفون!$C$6:$C$105,MATCH(B451,الموظفون!$B$6:$B$105,0)),"✖ رقم غير موجود"))</f>
        <v/>
      </c>
      <c r="D451" s="123"/>
      <c r="E451" s="123"/>
      <c r="F451" s="123"/>
      <c r="G451" s="121"/>
      <c r="H451" s="121"/>
      <c r="I451" s="121"/>
      <c r="J451" s="121"/>
      <c r="K451" s="123"/>
      <c r="L451" s="123"/>
      <c r="M451" s="121"/>
      <c r="N451" s="121"/>
      <c r="O451" s="118"/>
    </row>
    <row r="452" customFormat="false" ht="15" hidden="false" customHeight="false" outlineLevel="0" collapsed="false">
      <c r="A452" s="122"/>
      <c r="B452" s="118"/>
      <c r="C452" s="114" t="str">
        <f aca="false">IF(B452="","",IFERROR(INDEX(الموظفون!$C$6:$C$105,MATCH(B452,الموظفون!$B$6:$B$105,0)),"✖ رقم غير موجود"))</f>
        <v/>
      </c>
      <c r="D452" s="123"/>
      <c r="E452" s="123"/>
      <c r="F452" s="123"/>
      <c r="G452" s="121"/>
      <c r="H452" s="121"/>
      <c r="I452" s="121"/>
      <c r="J452" s="121"/>
      <c r="K452" s="123"/>
      <c r="L452" s="123"/>
      <c r="M452" s="121"/>
      <c r="N452" s="121"/>
      <c r="O452" s="118"/>
    </row>
    <row r="453" customFormat="false" ht="15" hidden="false" customHeight="false" outlineLevel="0" collapsed="false">
      <c r="A453" s="122"/>
      <c r="B453" s="118"/>
      <c r="C453" s="117" t="str">
        <f aca="false">IF(B453="","",IFERROR(INDEX(الموظفون!$C$6:$C$105,MATCH(B453,الموظفون!$B$6:$B$105,0)),"✖ رقم غير موجود"))</f>
        <v/>
      </c>
      <c r="D453" s="123"/>
      <c r="E453" s="123"/>
      <c r="F453" s="123"/>
      <c r="G453" s="121"/>
      <c r="H453" s="121"/>
      <c r="I453" s="121"/>
      <c r="J453" s="121"/>
      <c r="K453" s="123"/>
      <c r="L453" s="123"/>
      <c r="M453" s="121"/>
      <c r="N453" s="121"/>
      <c r="O453" s="118"/>
    </row>
    <row r="454" customFormat="false" ht="15" hidden="false" customHeight="false" outlineLevel="0" collapsed="false">
      <c r="A454" s="122"/>
      <c r="B454" s="118"/>
      <c r="C454" s="114" t="str">
        <f aca="false">IF(B454="","",IFERROR(INDEX(الموظفون!$C$6:$C$105,MATCH(B454,الموظفون!$B$6:$B$105,0)),"✖ رقم غير موجود"))</f>
        <v/>
      </c>
      <c r="D454" s="123"/>
      <c r="E454" s="123"/>
      <c r="F454" s="123"/>
      <c r="G454" s="121"/>
      <c r="H454" s="121"/>
      <c r="I454" s="121"/>
      <c r="J454" s="121"/>
      <c r="K454" s="123"/>
      <c r="L454" s="123"/>
      <c r="M454" s="121"/>
      <c r="N454" s="121"/>
      <c r="O454" s="118"/>
    </row>
    <row r="455" customFormat="false" ht="15" hidden="false" customHeight="false" outlineLevel="0" collapsed="false">
      <c r="A455" s="122"/>
      <c r="B455" s="118"/>
      <c r="C455" s="117" t="str">
        <f aca="false">IF(B455="","",IFERROR(INDEX(الموظفون!$C$6:$C$105,MATCH(B455,الموظفون!$B$6:$B$105,0)),"✖ رقم غير موجود"))</f>
        <v/>
      </c>
      <c r="D455" s="123"/>
      <c r="E455" s="123"/>
      <c r="F455" s="123"/>
      <c r="G455" s="121"/>
      <c r="H455" s="121"/>
      <c r="I455" s="121"/>
      <c r="J455" s="121"/>
      <c r="K455" s="123"/>
      <c r="L455" s="123"/>
      <c r="M455" s="121"/>
      <c r="N455" s="121"/>
      <c r="O455" s="118"/>
    </row>
    <row r="456" customFormat="false" ht="15" hidden="false" customHeight="false" outlineLevel="0" collapsed="false">
      <c r="A456" s="122"/>
      <c r="B456" s="118"/>
      <c r="C456" s="114" t="str">
        <f aca="false">IF(B456="","",IFERROR(INDEX(الموظفون!$C$6:$C$105,MATCH(B456,الموظفون!$B$6:$B$105,0)),"✖ رقم غير موجود"))</f>
        <v/>
      </c>
      <c r="D456" s="123"/>
      <c r="E456" s="123"/>
      <c r="F456" s="123"/>
      <c r="G456" s="121"/>
      <c r="H456" s="121"/>
      <c r="I456" s="121"/>
      <c r="J456" s="121"/>
      <c r="K456" s="123"/>
      <c r="L456" s="123"/>
      <c r="M456" s="121"/>
      <c r="N456" s="121"/>
      <c r="O456" s="118"/>
    </row>
    <row r="457" customFormat="false" ht="15" hidden="false" customHeight="false" outlineLevel="0" collapsed="false">
      <c r="A457" s="122"/>
      <c r="B457" s="118"/>
      <c r="C457" s="117" t="str">
        <f aca="false">IF(B457="","",IFERROR(INDEX(الموظفون!$C$6:$C$105,MATCH(B457,الموظفون!$B$6:$B$105,0)),"✖ رقم غير موجود"))</f>
        <v/>
      </c>
      <c r="D457" s="123"/>
      <c r="E457" s="123"/>
      <c r="F457" s="123"/>
      <c r="G457" s="121"/>
      <c r="H457" s="121"/>
      <c r="I457" s="121"/>
      <c r="J457" s="121"/>
      <c r="K457" s="123"/>
      <c r="L457" s="123"/>
      <c r="M457" s="121"/>
      <c r="N457" s="121"/>
      <c r="O457" s="118"/>
    </row>
    <row r="458" customFormat="false" ht="15" hidden="false" customHeight="false" outlineLevel="0" collapsed="false">
      <c r="A458" s="122"/>
      <c r="B458" s="118"/>
      <c r="C458" s="114" t="str">
        <f aca="false">IF(B458="","",IFERROR(INDEX(الموظفون!$C$6:$C$105,MATCH(B458,الموظفون!$B$6:$B$105,0)),"✖ رقم غير موجود"))</f>
        <v/>
      </c>
      <c r="D458" s="123"/>
      <c r="E458" s="123"/>
      <c r="F458" s="123"/>
      <c r="G458" s="121"/>
      <c r="H458" s="121"/>
      <c r="I458" s="121"/>
      <c r="J458" s="121"/>
      <c r="K458" s="123"/>
      <c r="L458" s="123"/>
      <c r="M458" s="121"/>
      <c r="N458" s="121"/>
      <c r="O458" s="118"/>
    </row>
    <row r="459" customFormat="false" ht="15" hidden="false" customHeight="false" outlineLevel="0" collapsed="false">
      <c r="A459" s="122"/>
      <c r="B459" s="118"/>
      <c r="C459" s="117" t="str">
        <f aca="false">IF(B459="","",IFERROR(INDEX(الموظفون!$C$6:$C$105,MATCH(B459,الموظفون!$B$6:$B$105,0)),"✖ رقم غير موجود"))</f>
        <v/>
      </c>
      <c r="D459" s="123"/>
      <c r="E459" s="123"/>
      <c r="F459" s="123"/>
      <c r="G459" s="121"/>
      <c r="H459" s="121"/>
      <c r="I459" s="121"/>
      <c r="J459" s="121"/>
      <c r="K459" s="123"/>
      <c r="L459" s="123"/>
      <c r="M459" s="121"/>
      <c r="N459" s="121"/>
      <c r="O459" s="118"/>
    </row>
    <row r="460" customFormat="false" ht="15" hidden="false" customHeight="false" outlineLevel="0" collapsed="false">
      <c r="A460" s="122"/>
      <c r="B460" s="118"/>
      <c r="C460" s="114" t="str">
        <f aca="false">IF(B460="","",IFERROR(INDEX(الموظفون!$C$6:$C$105,MATCH(B460,الموظفون!$B$6:$B$105,0)),"✖ رقم غير موجود"))</f>
        <v/>
      </c>
      <c r="D460" s="123"/>
      <c r="E460" s="123"/>
      <c r="F460" s="123"/>
      <c r="G460" s="121"/>
      <c r="H460" s="121"/>
      <c r="I460" s="121"/>
      <c r="J460" s="121"/>
      <c r="K460" s="123"/>
      <c r="L460" s="123"/>
      <c r="M460" s="121"/>
      <c r="N460" s="121"/>
      <c r="O460" s="118"/>
    </row>
    <row r="461" customFormat="false" ht="15" hidden="false" customHeight="false" outlineLevel="0" collapsed="false">
      <c r="A461" s="122"/>
      <c r="B461" s="118"/>
      <c r="C461" s="117" t="str">
        <f aca="false">IF(B461="","",IFERROR(INDEX(الموظفون!$C$6:$C$105,MATCH(B461,الموظفون!$B$6:$B$105,0)),"✖ رقم غير موجود"))</f>
        <v/>
      </c>
      <c r="D461" s="123"/>
      <c r="E461" s="123"/>
      <c r="F461" s="123"/>
      <c r="G461" s="121"/>
      <c r="H461" s="121"/>
      <c r="I461" s="121"/>
      <c r="J461" s="121"/>
      <c r="K461" s="123"/>
      <c r="L461" s="123"/>
      <c r="M461" s="121"/>
      <c r="N461" s="121"/>
      <c r="O461" s="118"/>
    </row>
    <row r="462" customFormat="false" ht="15" hidden="false" customHeight="false" outlineLevel="0" collapsed="false">
      <c r="A462" s="122"/>
      <c r="B462" s="118"/>
      <c r="C462" s="114" t="str">
        <f aca="false">IF(B462="","",IFERROR(INDEX(الموظفون!$C$6:$C$105,MATCH(B462,الموظفون!$B$6:$B$105,0)),"✖ رقم غير موجود"))</f>
        <v/>
      </c>
      <c r="D462" s="123"/>
      <c r="E462" s="123"/>
      <c r="F462" s="123"/>
      <c r="G462" s="121"/>
      <c r="H462" s="121"/>
      <c r="I462" s="121"/>
      <c r="J462" s="121"/>
      <c r="K462" s="123"/>
      <c r="L462" s="123"/>
      <c r="M462" s="121"/>
      <c r="N462" s="121"/>
      <c r="O462" s="118"/>
    </row>
    <row r="463" customFormat="false" ht="15" hidden="false" customHeight="false" outlineLevel="0" collapsed="false">
      <c r="A463" s="122"/>
      <c r="B463" s="118"/>
      <c r="C463" s="117" t="str">
        <f aca="false">IF(B463="","",IFERROR(INDEX(الموظفون!$C$6:$C$105,MATCH(B463,الموظفون!$B$6:$B$105,0)),"✖ رقم غير موجود"))</f>
        <v/>
      </c>
      <c r="D463" s="123"/>
      <c r="E463" s="123"/>
      <c r="F463" s="123"/>
      <c r="G463" s="121"/>
      <c r="H463" s="121"/>
      <c r="I463" s="121"/>
      <c r="J463" s="121"/>
      <c r="K463" s="123"/>
      <c r="L463" s="123"/>
      <c r="M463" s="121"/>
      <c r="N463" s="121"/>
      <c r="O463" s="118"/>
    </row>
    <row r="464" customFormat="false" ht="15" hidden="false" customHeight="false" outlineLevel="0" collapsed="false">
      <c r="A464" s="122"/>
      <c r="B464" s="118"/>
      <c r="C464" s="114" t="str">
        <f aca="false">IF(B464="","",IFERROR(INDEX(الموظفون!$C$6:$C$105,MATCH(B464,الموظفون!$B$6:$B$105,0)),"✖ رقم غير موجود"))</f>
        <v/>
      </c>
      <c r="D464" s="123"/>
      <c r="E464" s="123"/>
      <c r="F464" s="123"/>
      <c r="G464" s="121"/>
      <c r="H464" s="121"/>
      <c r="I464" s="121"/>
      <c r="J464" s="121"/>
      <c r="K464" s="123"/>
      <c r="L464" s="123"/>
      <c r="M464" s="121"/>
      <c r="N464" s="121"/>
      <c r="O464" s="118"/>
    </row>
    <row r="465" customFormat="false" ht="15" hidden="false" customHeight="false" outlineLevel="0" collapsed="false">
      <c r="A465" s="122"/>
      <c r="B465" s="118"/>
      <c r="C465" s="117" t="str">
        <f aca="false">IF(B465="","",IFERROR(INDEX(الموظفون!$C$6:$C$105,MATCH(B465,الموظفون!$B$6:$B$105,0)),"✖ رقم غير موجود"))</f>
        <v/>
      </c>
      <c r="D465" s="123"/>
      <c r="E465" s="123"/>
      <c r="F465" s="123"/>
      <c r="G465" s="121"/>
      <c r="H465" s="121"/>
      <c r="I465" s="121"/>
      <c r="J465" s="121"/>
      <c r="K465" s="123"/>
      <c r="L465" s="123"/>
      <c r="M465" s="121"/>
      <c r="N465" s="121"/>
      <c r="O465" s="118"/>
    </row>
    <row r="466" customFormat="false" ht="15" hidden="false" customHeight="false" outlineLevel="0" collapsed="false">
      <c r="A466" s="122"/>
      <c r="B466" s="118"/>
      <c r="C466" s="114" t="str">
        <f aca="false">IF(B466="","",IFERROR(INDEX(الموظفون!$C$6:$C$105,MATCH(B466,الموظفون!$B$6:$B$105,0)),"✖ رقم غير موجود"))</f>
        <v/>
      </c>
      <c r="D466" s="123"/>
      <c r="E466" s="123"/>
      <c r="F466" s="123"/>
      <c r="G466" s="121"/>
      <c r="H466" s="121"/>
      <c r="I466" s="121"/>
      <c r="J466" s="121"/>
      <c r="K466" s="123"/>
      <c r="L466" s="123"/>
      <c r="M466" s="121"/>
      <c r="N466" s="121"/>
      <c r="O466" s="118"/>
    </row>
    <row r="467" customFormat="false" ht="15" hidden="false" customHeight="false" outlineLevel="0" collapsed="false">
      <c r="A467" s="122"/>
      <c r="B467" s="118"/>
      <c r="C467" s="117" t="str">
        <f aca="false">IF(B467="","",IFERROR(INDEX(الموظفون!$C$6:$C$105,MATCH(B467,الموظفون!$B$6:$B$105,0)),"✖ رقم غير موجود"))</f>
        <v/>
      </c>
      <c r="D467" s="123"/>
      <c r="E467" s="123"/>
      <c r="F467" s="123"/>
      <c r="G467" s="121"/>
      <c r="H467" s="121"/>
      <c r="I467" s="121"/>
      <c r="J467" s="121"/>
      <c r="K467" s="123"/>
      <c r="L467" s="123"/>
      <c r="M467" s="121"/>
      <c r="N467" s="121"/>
      <c r="O467" s="118"/>
    </row>
    <row r="468" customFormat="false" ht="15" hidden="false" customHeight="false" outlineLevel="0" collapsed="false">
      <c r="A468" s="122"/>
      <c r="B468" s="118"/>
      <c r="C468" s="114" t="str">
        <f aca="false">IF(B468="","",IFERROR(INDEX(الموظفون!$C$6:$C$105,MATCH(B468,الموظفون!$B$6:$B$105,0)),"✖ رقم غير موجود"))</f>
        <v/>
      </c>
      <c r="D468" s="123"/>
      <c r="E468" s="123"/>
      <c r="F468" s="123"/>
      <c r="G468" s="121"/>
      <c r="H468" s="121"/>
      <c r="I468" s="121"/>
      <c r="J468" s="121"/>
      <c r="K468" s="123"/>
      <c r="L468" s="123"/>
      <c r="M468" s="121"/>
      <c r="N468" s="121"/>
      <c r="O468" s="118"/>
    </row>
    <row r="469" customFormat="false" ht="15" hidden="false" customHeight="false" outlineLevel="0" collapsed="false">
      <c r="A469" s="122"/>
      <c r="B469" s="118"/>
      <c r="C469" s="117" t="str">
        <f aca="false">IF(B469="","",IFERROR(INDEX(الموظفون!$C$6:$C$105,MATCH(B469,الموظفون!$B$6:$B$105,0)),"✖ رقم غير موجود"))</f>
        <v/>
      </c>
      <c r="D469" s="123"/>
      <c r="E469" s="123"/>
      <c r="F469" s="123"/>
      <c r="G469" s="121"/>
      <c r="H469" s="121"/>
      <c r="I469" s="121"/>
      <c r="J469" s="121"/>
      <c r="K469" s="123"/>
      <c r="L469" s="123"/>
      <c r="M469" s="121"/>
      <c r="N469" s="121"/>
      <c r="O469" s="118"/>
    </row>
    <row r="470" customFormat="false" ht="15" hidden="false" customHeight="false" outlineLevel="0" collapsed="false">
      <c r="A470" s="122"/>
      <c r="B470" s="118"/>
      <c r="C470" s="114" t="str">
        <f aca="false">IF(B470="","",IFERROR(INDEX(الموظفون!$C$6:$C$105,MATCH(B470,الموظفون!$B$6:$B$105,0)),"✖ رقم غير موجود"))</f>
        <v/>
      </c>
      <c r="D470" s="123"/>
      <c r="E470" s="123"/>
      <c r="F470" s="123"/>
      <c r="G470" s="121"/>
      <c r="H470" s="121"/>
      <c r="I470" s="121"/>
      <c r="J470" s="121"/>
      <c r="K470" s="123"/>
      <c r="L470" s="123"/>
      <c r="M470" s="121"/>
      <c r="N470" s="121"/>
      <c r="O470" s="118"/>
    </row>
    <row r="471" customFormat="false" ht="15" hidden="false" customHeight="false" outlineLevel="0" collapsed="false">
      <c r="A471" s="122"/>
      <c r="B471" s="118"/>
      <c r="C471" s="117" t="str">
        <f aca="false">IF(B471="","",IFERROR(INDEX(الموظفون!$C$6:$C$105,MATCH(B471,الموظفون!$B$6:$B$105,0)),"✖ رقم غير موجود"))</f>
        <v/>
      </c>
      <c r="D471" s="123"/>
      <c r="E471" s="123"/>
      <c r="F471" s="123"/>
      <c r="G471" s="121"/>
      <c r="H471" s="121"/>
      <c r="I471" s="121"/>
      <c r="J471" s="121"/>
      <c r="K471" s="123"/>
      <c r="L471" s="123"/>
      <c r="M471" s="121"/>
      <c r="N471" s="121"/>
      <c r="O471" s="118"/>
    </row>
    <row r="472" customFormat="false" ht="15" hidden="false" customHeight="false" outlineLevel="0" collapsed="false">
      <c r="A472" s="122"/>
      <c r="B472" s="118"/>
      <c r="C472" s="114" t="str">
        <f aca="false">IF(B472="","",IFERROR(INDEX(الموظفون!$C$6:$C$105,MATCH(B472,الموظفون!$B$6:$B$105,0)),"✖ رقم غير موجود"))</f>
        <v/>
      </c>
      <c r="D472" s="123"/>
      <c r="E472" s="123"/>
      <c r="F472" s="123"/>
      <c r="G472" s="121"/>
      <c r="H472" s="121"/>
      <c r="I472" s="121"/>
      <c r="J472" s="121"/>
      <c r="K472" s="123"/>
      <c r="L472" s="123"/>
      <c r="M472" s="121"/>
      <c r="N472" s="121"/>
      <c r="O472" s="118"/>
    </row>
    <row r="473" customFormat="false" ht="15" hidden="false" customHeight="false" outlineLevel="0" collapsed="false">
      <c r="A473" s="122"/>
      <c r="B473" s="118"/>
      <c r="C473" s="117" t="str">
        <f aca="false">IF(B473="","",IFERROR(INDEX(الموظفون!$C$6:$C$105,MATCH(B473,الموظفون!$B$6:$B$105,0)),"✖ رقم غير موجود"))</f>
        <v/>
      </c>
      <c r="D473" s="123"/>
      <c r="E473" s="123"/>
      <c r="F473" s="123"/>
      <c r="G473" s="121"/>
      <c r="H473" s="121"/>
      <c r="I473" s="121"/>
      <c r="J473" s="121"/>
      <c r="K473" s="123"/>
      <c r="L473" s="123"/>
      <c r="M473" s="121"/>
      <c r="N473" s="121"/>
      <c r="O473" s="118"/>
    </row>
    <row r="474" customFormat="false" ht="15" hidden="false" customHeight="false" outlineLevel="0" collapsed="false">
      <c r="A474" s="122"/>
      <c r="B474" s="118"/>
      <c r="C474" s="114" t="str">
        <f aca="false">IF(B474="","",IFERROR(INDEX(الموظفون!$C$6:$C$105,MATCH(B474,الموظفون!$B$6:$B$105,0)),"✖ رقم غير موجود"))</f>
        <v/>
      </c>
      <c r="D474" s="123"/>
      <c r="E474" s="123"/>
      <c r="F474" s="123"/>
      <c r="G474" s="121"/>
      <c r="H474" s="121"/>
      <c r="I474" s="121"/>
      <c r="J474" s="121"/>
      <c r="K474" s="123"/>
      <c r="L474" s="123"/>
      <c r="M474" s="121"/>
      <c r="N474" s="121"/>
      <c r="O474" s="118"/>
    </row>
    <row r="475" customFormat="false" ht="15" hidden="false" customHeight="false" outlineLevel="0" collapsed="false">
      <c r="A475" s="122"/>
      <c r="B475" s="118"/>
      <c r="C475" s="117" t="str">
        <f aca="false">IF(B475="","",IFERROR(INDEX(الموظفون!$C$6:$C$105,MATCH(B475,الموظفون!$B$6:$B$105,0)),"✖ رقم غير موجود"))</f>
        <v/>
      </c>
      <c r="D475" s="123"/>
      <c r="E475" s="123"/>
      <c r="F475" s="123"/>
      <c r="G475" s="121"/>
      <c r="H475" s="121"/>
      <c r="I475" s="121"/>
      <c r="J475" s="121"/>
      <c r="K475" s="123"/>
      <c r="L475" s="123"/>
      <c r="M475" s="121"/>
      <c r="N475" s="121"/>
      <c r="O475" s="118"/>
    </row>
    <row r="476" customFormat="false" ht="15" hidden="false" customHeight="false" outlineLevel="0" collapsed="false">
      <c r="A476" s="122"/>
      <c r="B476" s="118"/>
      <c r="C476" s="114" t="str">
        <f aca="false">IF(B476="","",IFERROR(INDEX(الموظفون!$C$6:$C$105,MATCH(B476,الموظفون!$B$6:$B$105,0)),"✖ رقم غير موجود"))</f>
        <v/>
      </c>
      <c r="D476" s="123"/>
      <c r="E476" s="123"/>
      <c r="F476" s="123"/>
      <c r="G476" s="121"/>
      <c r="H476" s="121"/>
      <c r="I476" s="121"/>
      <c r="J476" s="121"/>
      <c r="K476" s="123"/>
      <c r="L476" s="123"/>
      <c r="M476" s="121"/>
      <c r="N476" s="121"/>
      <c r="O476" s="118"/>
    </row>
    <row r="477" customFormat="false" ht="15" hidden="false" customHeight="false" outlineLevel="0" collapsed="false">
      <c r="A477" s="122"/>
      <c r="B477" s="118"/>
      <c r="C477" s="117" t="str">
        <f aca="false">IF(B477="","",IFERROR(INDEX(الموظفون!$C$6:$C$105,MATCH(B477,الموظفون!$B$6:$B$105,0)),"✖ رقم غير موجود"))</f>
        <v/>
      </c>
      <c r="D477" s="123"/>
      <c r="E477" s="123"/>
      <c r="F477" s="123"/>
      <c r="G477" s="121"/>
      <c r="H477" s="121"/>
      <c r="I477" s="121"/>
      <c r="J477" s="121"/>
      <c r="K477" s="123"/>
      <c r="L477" s="123"/>
      <c r="M477" s="121"/>
      <c r="N477" s="121"/>
      <c r="O477" s="118"/>
    </row>
    <row r="478" customFormat="false" ht="15" hidden="false" customHeight="false" outlineLevel="0" collapsed="false">
      <c r="A478" s="122"/>
      <c r="B478" s="118"/>
      <c r="C478" s="114" t="str">
        <f aca="false">IF(B478="","",IFERROR(INDEX(الموظفون!$C$6:$C$105,MATCH(B478,الموظفون!$B$6:$B$105,0)),"✖ رقم غير موجود"))</f>
        <v/>
      </c>
      <c r="D478" s="123"/>
      <c r="E478" s="123"/>
      <c r="F478" s="123"/>
      <c r="G478" s="121"/>
      <c r="H478" s="121"/>
      <c r="I478" s="121"/>
      <c r="J478" s="121"/>
      <c r="K478" s="123"/>
      <c r="L478" s="123"/>
      <c r="M478" s="121"/>
      <c r="N478" s="121"/>
      <c r="O478" s="118"/>
    </row>
    <row r="479" customFormat="false" ht="15" hidden="false" customHeight="false" outlineLevel="0" collapsed="false">
      <c r="A479" s="122"/>
      <c r="B479" s="118"/>
      <c r="C479" s="117" t="str">
        <f aca="false">IF(B479="","",IFERROR(INDEX(الموظفون!$C$6:$C$105,MATCH(B479,الموظفون!$B$6:$B$105,0)),"✖ رقم غير موجود"))</f>
        <v/>
      </c>
      <c r="D479" s="123"/>
      <c r="E479" s="123"/>
      <c r="F479" s="123"/>
      <c r="G479" s="121"/>
      <c r="H479" s="121"/>
      <c r="I479" s="121"/>
      <c r="J479" s="121"/>
      <c r="K479" s="123"/>
      <c r="L479" s="123"/>
      <c r="M479" s="121"/>
      <c r="N479" s="121"/>
      <c r="O479" s="118"/>
    </row>
    <row r="480" customFormat="false" ht="15" hidden="false" customHeight="false" outlineLevel="0" collapsed="false">
      <c r="A480" s="122"/>
      <c r="B480" s="118"/>
      <c r="C480" s="114" t="str">
        <f aca="false">IF(B480="","",IFERROR(INDEX(الموظفون!$C$6:$C$105,MATCH(B480,الموظفون!$B$6:$B$105,0)),"✖ رقم غير موجود"))</f>
        <v/>
      </c>
      <c r="D480" s="123"/>
      <c r="E480" s="123"/>
      <c r="F480" s="123"/>
      <c r="G480" s="121"/>
      <c r="H480" s="121"/>
      <c r="I480" s="121"/>
      <c r="J480" s="121"/>
      <c r="K480" s="123"/>
      <c r="L480" s="123"/>
      <c r="M480" s="121"/>
      <c r="N480" s="121"/>
      <c r="O480" s="118"/>
    </row>
    <row r="481" customFormat="false" ht="15" hidden="false" customHeight="false" outlineLevel="0" collapsed="false">
      <c r="A481" s="122"/>
      <c r="B481" s="118"/>
      <c r="C481" s="117" t="str">
        <f aca="false">IF(B481="","",IFERROR(INDEX(الموظفون!$C$6:$C$105,MATCH(B481,الموظفون!$B$6:$B$105,0)),"✖ رقم غير موجود"))</f>
        <v/>
      </c>
      <c r="D481" s="123"/>
      <c r="E481" s="123"/>
      <c r="F481" s="123"/>
      <c r="G481" s="121"/>
      <c r="H481" s="121"/>
      <c r="I481" s="121"/>
      <c r="J481" s="121"/>
      <c r="K481" s="123"/>
      <c r="L481" s="123"/>
      <c r="M481" s="121"/>
      <c r="N481" s="121"/>
      <c r="O481" s="118"/>
    </row>
    <row r="482" customFormat="false" ht="15" hidden="false" customHeight="false" outlineLevel="0" collapsed="false">
      <c r="A482" s="122"/>
      <c r="B482" s="118"/>
      <c r="C482" s="114" t="str">
        <f aca="false">IF(B482="","",IFERROR(INDEX(الموظفون!$C$6:$C$105,MATCH(B482,الموظفون!$B$6:$B$105,0)),"✖ رقم غير موجود"))</f>
        <v/>
      </c>
      <c r="D482" s="123"/>
      <c r="E482" s="123"/>
      <c r="F482" s="123"/>
      <c r="G482" s="121"/>
      <c r="H482" s="121"/>
      <c r="I482" s="121"/>
      <c r="J482" s="121"/>
      <c r="K482" s="123"/>
      <c r="L482" s="123"/>
      <c r="M482" s="121"/>
      <c r="N482" s="121"/>
      <c r="O482" s="118"/>
    </row>
    <row r="483" customFormat="false" ht="15" hidden="false" customHeight="false" outlineLevel="0" collapsed="false">
      <c r="A483" s="122"/>
      <c r="B483" s="118"/>
      <c r="C483" s="117" t="str">
        <f aca="false">IF(B483="","",IFERROR(INDEX(الموظفون!$C$6:$C$105,MATCH(B483,الموظفون!$B$6:$B$105,0)),"✖ رقم غير موجود"))</f>
        <v/>
      </c>
      <c r="D483" s="123"/>
      <c r="E483" s="123"/>
      <c r="F483" s="123"/>
      <c r="G483" s="121"/>
      <c r="H483" s="121"/>
      <c r="I483" s="121"/>
      <c r="J483" s="121"/>
      <c r="K483" s="123"/>
      <c r="L483" s="123"/>
      <c r="M483" s="121"/>
      <c r="N483" s="121"/>
      <c r="O483" s="118"/>
    </row>
    <row r="484" customFormat="false" ht="15" hidden="false" customHeight="false" outlineLevel="0" collapsed="false">
      <c r="A484" s="122"/>
      <c r="B484" s="118"/>
      <c r="C484" s="114" t="str">
        <f aca="false">IF(B484="","",IFERROR(INDEX(الموظفون!$C$6:$C$105,MATCH(B484,الموظفون!$B$6:$B$105,0)),"✖ رقم غير موجود"))</f>
        <v/>
      </c>
      <c r="D484" s="123"/>
      <c r="E484" s="123"/>
      <c r="F484" s="123"/>
      <c r="G484" s="121"/>
      <c r="H484" s="121"/>
      <c r="I484" s="121"/>
      <c r="J484" s="121"/>
      <c r="K484" s="123"/>
      <c r="L484" s="123"/>
      <c r="M484" s="121"/>
      <c r="N484" s="121"/>
      <c r="O484" s="118"/>
    </row>
    <row r="485" customFormat="false" ht="15" hidden="false" customHeight="false" outlineLevel="0" collapsed="false">
      <c r="A485" s="122"/>
      <c r="B485" s="118"/>
      <c r="C485" s="117" t="str">
        <f aca="false">IF(B485="","",IFERROR(INDEX(الموظفون!$C$6:$C$105,MATCH(B485,الموظفون!$B$6:$B$105,0)),"✖ رقم غير موجود"))</f>
        <v/>
      </c>
      <c r="D485" s="123"/>
      <c r="E485" s="123"/>
      <c r="F485" s="123"/>
      <c r="G485" s="121"/>
      <c r="H485" s="121"/>
      <c r="I485" s="121"/>
      <c r="J485" s="121"/>
      <c r="K485" s="123"/>
      <c r="L485" s="123"/>
      <c r="M485" s="121"/>
      <c r="N485" s="121"/>
      <c r="O485" s="118"/>
    </row>
    <row r="486" customFormat="false" ht="15" hidden="false" customHeight="false" outlineLevel="0" collapsed="false">
      <c r="A486" s="122"/>
      <c r="B486" s="118"/>
      <c r="C486" s="114" t="str">
        <f aca="false">IF(B486="","",IFERROR(INDEX(الموظفون!$C$6:$C$105,MATCH(B486,الموظفون!$B$6:$B$105,0)),"✖ رقم غير موجود"))</f>
        <v/>
      </c>
      <c r="D486" s="123"/>
      <c r="E486" s="123"/>
      <c r="F486" s="123"/>
      <c r="G486" s="121"/>
      <c r="H486" s="121"/>
      <c r="I486" s="121"/>
      <c r="J486" s="121"/>
      <c r="K486" s="123"/>
      <c r="L486" s="123"/>
      <c r="M486" s="121"/>
      <c r="N486" s="121"/>
      <c r="O486" s="118"/>
    </row>
    <row r="487" customFormat="false" ht="15" hidden="false" customHeight="false" outlineLevel="0" collapsed="false">
      <c r="A487" s="122"/>
      <c r="B487" s="118"/>
      <c r="C487" s="117" t="str">
        <f aca="false">IF(B487="","",IFERROR(INDEX(الموظفون!$C$6:$C$105,MATCH(B487,الموظفون!$B$6:$B$105,0)),"✖ رقم غير موجود"))</f>
        <v/>
      </c>
      <c r="D487" s="123"/>
      <c r="E487" s="123"/>
      <c r="F487" s="123"/>
      <c r="G487" s="121"/>
      <c r="H487" s="121"/>
      <c r="I487" s="121"/>
      <c r="J487" s="121"/>
      <c r="K487" s="123"/>
      <c r="L487" s="123"/>
      <c r="M487" s="121"/>
      <c r="N487" s="121"/>
      <c r="O487" s="118"/>
    </row>
    <row r="488" customFormat="false" ht="15" hidden="false" customHeight="false" outlineLevel="0" collapsed="false">
      <c r="A488" s="122"/>
      <c r="B488" s="118"/>
      <c r="C488" s="114" t="str">
        <f aca="false">IF(B488="","",IFERROR(INDEX(الموظفون!$C$6:$C$105,MATCH(B488,الموظفون!$B$6:$B$105,0)),"✖ رقم غير موجود"))</f>
        <v/>
      </c>
      <c r="D488" s="123"/>
      <c r="E488" s="123"/>
      <c r="F488" s="123"/>
      <c r="G488" s="121"/>
      <c r="H488" s="121"/>
      <c r="I488" s="121"/>
      <c r="J488" s="121"/>
      <c r="K488" s="123"/>
      <c r="L488" s="123"/>
      <c r="M488" s="121"/>
      <c r="N488" s="121"/>
      <c r="O488" s="118"/>
    </row>
    <row r="489" customFormat="false" ht="15" hidden="false" customHeight="false" outlineLevel="0" collapsed="false">
      <c r="A489" s="122"/>
      <c r="B489" s="118"/>
      <c r="C489" s="117" t="str">
        <f aca="false">IF(B489="","",IFERROR(INDEX(الموظفون!$C$6:$C$105,MATCH(B489,الموظفون!$B$6:$B$105,0)),"✖ رقم غير موجود"))</f>
        <v/>
      </c>
      <c r="D489" s="123"/>
      <c r="E489" s="123"/>
      <c r="F489" s="123"/>
      <c r="G489" s="121"/>
      <c r="H489" s="121"/>
      <c r="I489" s="121"/>
      <c r="J489" s="121"/>
      <c r="K489" s="123"/>
      <c r="L489" s="123"/>
      <c r="M489" s="121"/>
      <c r="N489" s="121"/>
      <c r="O489" s="118"/>
    </row>
    <row r="490" customFormat="false" ht="15" hidden="false" customHeight="false" outlineLevel="0" collapsed="false">
      <c r="A490" s="122"/>
      <c r="B490" s="118"/>
      <c r="C490" s="114" t="str">
        <f aca="false">IF(B490="","",IFERROR(INDEX(الموظفون!$C$6:$C$105,MATCH(B490,الموظفون!$B$6:$B$105,0)),"✖ رقم غير موجود"))</f>
        <v/>
      </c>
      <c r="D490" s="123"/>
      <c r="E490" s="123"/>
      <c r="F490" s="123"/>
      <c r="G490" s="121"/>
      <c r="H490" s="121"/>
      <c r="I490" s="121"/>
      <c r="J490" s="121"/>
      <c r="K490" s="123"/>
      <c r="L490" s="123"/>
      <c r="M490" s="121"/>
      <c r="N490" s="121"/>
      <c r="O490" s="118"/>
    </row>
    <row r="491" customFormat="false" ht="15" hidden="false" customHeight="false" outlineLevel="0" collapsed="false">
      <c r="A491" s="122"/>
      <c r="B491" s="118"/>
      <c r="C491" s="117" t="str">
        <f aca="false">IF(B491="","",IFERROR(INDEX(الموظفون!$C$6:$C$105,MATCH(B491,الموظفون!$B$6:$B$105,0)),"✖ رقم غير موجود"))</f>
        <v/>
      </c>
      <c r="D491" s="123"/>
      <c r="E491" s="123"/>
      <c r="F491" s="123"/>
      <c r="G491" s="121"/>
      <c r="H491" s="121"/>
      <c r="I491" s="121"/>
      <c r="J491" s="121"/>
      <c r="K491" s="123"/>
      <c r="L491" s="123"/>
      <c r="M491" s="121"/>
      <c r="N491" s="121"/>
      <c r="O491" s="118"/>
    </row>
    <row r="492" customFormat="false" ht="15" hidden="false" customHeight="false" outlineLevel="0" collapsed="false">
      <c r="A492" s="122"/>
      <c r="B492" s="118"/>
      <c r="C492" s="114" t="str">
        <f aca="false">IF(B492="","",IFERROR(INDEX(الموظفون!$C$6:$C$105,MATCH(B492,الموظفون!$B$6:$B$105,0)),"✖ رقم غير موجود"))</f>
        <v/>
      </c>
      <c r="D492" s="123"/>
      <c r="E492" s="123"/>
      <c r="F492" s="123"/>
      <c r="G492" s="121"/>
      <c r="H492" s="121"/>
      <c r="I492" s="121"/>
      <c r="J492" s="121"/>
      <c r="K492" s="123"/>
      <c r="L492" s="123"/>
      <c r="M492" s="121"/>
      <c r="N492" s="121"/>
      <c r="O492" s="118"/>
    </row>
    <row r="493" customFormat="false" ht="15" hidden="false" customHeight="false" outlineLevel="0" collapsed="false">
      <c r="A493" s="122"/>
      <c r="B493" s="118"/>
      <c r="C493" s="117" t="str">
        <f aca="false">IF(B493="","",IFERROR(INDEX(الموظفون!$C$6:$C$105,MATCH(B493,الموظفون!$B$6:$B$105,0)),"✖ رقم غير موجود"))</f>
        <v/>
      </c>
      <c r="D493" s="123"/>
      <c r="E493" s="123"/>
      <c r="F493" s="123"/>
      <c r="G493" s="121"/>
      <c r="H493" s="121"/>
      <c r="I493" s="121"/>
      <c r="J493" s="121"/>
      <c r="K493" s="123"/>
      <c r="L493" s="123"/>
      <c r="M493" s="121"/>
      <c r="N493" s="121"/>
      <c r="O493" s="118"/>
    </row>
    <row r="494" customFormat="false" ht="15" hidden="false" customHeight="false" outlineLevel="0" collapsed="false">
      <c r="A494" s="122"/>
      <c r="B494" s="118"/>
      <c r="C494" s="114" t="str">
        <f aca="false">IF(B494="","",IFERROR(INDEX(الموظفون!$C$6:$C$105,MATCH(B494,الموظفون!$B$6:$B$105,0)),"✖ رقم غير موجود"))</f>
        <v/>
      </c>
      <c r="D494" s="123"/>
      <c r="E494" s="123"/>
      <c r="F494" s="123"/>
      <c r="G494" s="121"/>
      <c r="H494" s="121"/>
      <c r="I494" s="121"/>
      <c r="J494" s="121"/>
      <c r="K494" s="123"/>
      <c r="L494" s="123"/>
      <c r="M494" s="121"/>
      <c r="N494" s="121"/>
      <c r="O494" s="118"/>
    </row>
    <row r="495" customFormat="false" ht="15" hidden="false" customHeight="false" outlineLevel="0" collapsed="false">
      <c r="A495" s="122"/>
      <c r="B495" s="118"/>
      <c r="C495" s="117" t="str">
        <f aca="false">IF(B495="","",IFERROR(INDEX(الموظفون!$C$6:$C$105,MATCH(B495,الموظفون!$B$6:$B$105,0)),"✖ رقم غير موجود"))</f>
        <v/>
      </c>
      <c r="D495" s="123"/>
      <c r="E495" s="123"/>
      <c r="F495" s="123"/>
      <c r="G495" s="121"/>
      <c r="H495" s="121"/>
      <c r="I495" s="121"/>
      <c r="J495" s="121"/>
      <c r="K495" s="123"/>
      <c r="L495" s="123"/>
      <c r="M495" s="121"/>
      <c r="N495" s="121"/>
      <c r="O495" s="118"/>
    </row>
    <row r="496" customFormat="false" ht="15" hidden="false" customHeight="false" outlineLevel="0" collapsed="false">
      <c r="A496" s="122"/>
      <c r="B496" s="118"/>
      <c r="C496" s="114" t="str">
        <f aca="false">IF(B496="","",IFERROR(INDEX(الموظفون!$C$6:$C$105,MATCH(B496,الموظفون!$B$6:$B$105,0)),"✖ رقم غير موجود"))</f>
        <v/>
      </c>
      <c r="D496" s="123"/>
      <c r="E496" s="123"/>
      <c r="F496" s="123"/>
      <c r="G496" s="121"/>
      <c r="H496" s="121"/>
      <c r="I496" s="121"/>
      <c r="J496" s="121"/>
      <c r="K496" s="123"/>
      <c r="L496" s="123"/>
      <c r="M496" s="121"/>
      <c r="N496" s="121"/>
      <c r="O496" s="118"/>
    </row>
    <row r="497" customFormat="false" ht="15" hidden="false" customHeight="false" outlineLevel="0" collapsed="false">
      <c r="A497" s="122"/>
      <c r="B497" s="118"/>
      <c r="C497" s="117" t="str">
        <f aca="false">IF(B497="","",IFERROR(INDEX(الموظفون!$C$6:$C$105,MATCH(B497,الموظفون!$B$6:$B$105,0)),"✖ رقم غير موجود"))</f>
        <v/>
      </c>
      <c r="D497" s="123"/>
      <c r="E497" s="123"/>
      <c r="F497" s="123"/>
      <c r="G497" s="121"/>
      <c r="H497" s="121"/>
      <c r="I497" s="121"/>
      <c r="J497" s="121"/>
      <c r="K497" s="123"/>
      <c r="L497" s="123"/>
      <c r="M497" s="121"/>
      <c r="N497" s="121"/>
      <c r="O497" s="118"/>
    </row>
    <row r="498" customFormat="false" ht="15" hidden="false" customHeight="false" outlineLevel="0" collapsed="false">
      <c r="A498" s="122"/>
      <c r="B498" s="118"/>
      <c r="C498" s="114" t="str">
        <f aca="false">IF(B498="","",IFERROR(INDEX(الموظفون!$C$6:$C$105,MATCH(B498,الموظفون!$B$6:$B$105,0)),"✖ رقم غير موجود"))</f>
        <v/>
      </c>
      <c r="D498" s="123"/>
      <c r="E498" s="123"/>
      <c r="F498" s="123"/>
      <c r="G498" s="121"/>
      <c r="H498" s="121"/>
      <c r="I498" s="121"/>
      <c r="J498" s="121"/>
      <c r="K498" s="123"/>
      <c r="L498" s="123"/>
      <c r="M498" s="121"/>
      <c r="N498" s="121"/>
      <c r="O498" s="118"/>
    </row>
    <row r="499" customFormat="false" ht="15" hidden="false" customHeight="false" outlineLevel="0" collapsed="false">
      <c r="A499" s="122"/>
      <c r="B499" s="118"/>
      <c r="C499" s="117" t="str">
        <f aca="false">IF(B499="","",IFERROR(INDEX(الموظفون!$C$6:$C$105,MATCH(B499,الموظفون!$B$6:$B$105,0)),"✖ رقم غير موجود"))</f>
        <v/>
      </c>
      <c r="D499" s="123"/>
      <c r="E499" s="123"/>
      <c r="F499" s="123"/>
      <c r="G499" s="121"/>
      <c r="H499" s="121"/>
      <c r="I499" s="121"/>
      <c r="J499" s="121"/>
      <c r="K499" s="123"/>
      <c r="L499" s="123"/>
      <c r="M499" s="121"/>
      <c r="N499" s="121"/>
      <c r="O499" s="118"/>
    </row>
    <row r="500" customFormat="false" ht="15" hidden="false" customHeight="false" outlineLevel="0" collapsed="false">
      <c r="A500" s="122"/>
      <c r="B500" s="118"/>
      <c r="C500" s="114" t="str">
        <f aca="false">IF(B500="","",IFERROR(INDEX(الموظفون!$C$6:$C$105,MATCH(B500,الموظفون!$B$6:$B$105,0)),"✖ رقم غير موجود"))</f>
        <v/>
      </c>
      <c r="D500" s="123"/>
      <c r="E500" s="123"/>
      <c r="F500" s="123"/>
      <c r="G500" s="121"/>
      <c r="H500" s="121"/>
      <c r="I500" s="121"/>
      <c r="J500" s="121"/>
      <c r="K500" s="123"/>
      <c r="L500" s="123"/>
      <c r="M500" s="121"/>
      <c r="N500" s="121"/>
      <c r="O500" s="118"/>
    </row>
    <row r="501" customFormat="false" ht="15" hidden="false" customHeight="false" outlineLevel="0" collapsed="false">
      <c r="A501" s="122"/>
      <c r="B501" s="118"/>
      <c r="C501" s="117" t="str">
        <f aca="false">IF(B501="","",IFERROR(INDEX(الموظفون!$C$6:$C$105,MATCH(B501,الموظفون!$B$6:$B$105,0)),"✖ رقم غير موجود"))</f>
        <v/>
      </c>
      <c r="D501" s="123"/>
      <c r="E501" s="123"/>
      <c r="F501" s="123"/>
      <c r="G501" s="121"/>
      <c r="H501" s="121"/>
      <c r="I501" s="121"/>
      <c r="J501" s="121"/>
      <c r="K501" s="123"/>
      <c r="L501" s="123"/>
      <c r="M501" s="121"/>
      <c r="N501" s="121"/>
      <c r="O501" s="118"/>
    </row>
    <row r="502" customFormat="false" ht="15" hidden="false" customHeight="false" outlineLevel="0" collapsed="false">
      <c r="A502" s="122"/>
      <c r="B502" s="118"/>
      <c r="C502" s="114" t="str">
        <f aca="false">IF(B502="","",IFERROR(INDEX(الموظفون!$C$6:$C$105,MATCH(B502,الموظفون!$B$6:$B$105,0)),"✖ رقم غير موجود"))</f>
        <v/>
      </c>
      <c r="D502" s="123"/>
      <c r="E502" s="123"/>
      <c r="F502" s="123"/>
      <c r="G502" s="121"/>
      <c r="H502" s="121"/>
      <c r="I502" s="121"/>
      <c r="J502" s="121"/>
      <c r="K502" s="123"/>
      <c r="L502" s="123"/>
      <c r="M502" s="121"/>
      <c r="N502" s="121"/>
      <c r="O502" s="118"/>
    </row>
    <row r="503" customFormat="false" ht="15" hidden="false" customHeight="false" outlineLevel="0" collapsed="false">
      <c r="A503" s="122"/>
      <c r="B503" s="118"/>
      <c r="C503" s="117" t="str">
        <f aca="false">IF(B503="","",IFERROR(INDEX(الموظفون!$C$6:$C$105,MATCH(B503,الموظفون!$B$6:$B$105,0)),"✖ رقم غير موجود"))</f>
        <v/>
      </c>
      <c r="D503" s="123"/>
      <c r="E503" s="123"/>
      <c r="F503" s="123"/>
      <c r="G503" s="121"/>
      <c r="H503" s="121"/>
      <c r="I503" s="121"/>
      <c r="J503" s="121"/>
      <c r="K503" s="123"/>
      <c r="L503" s="123"/>
      <c r="M503" s="121"/>
      <c r="N503" s="121"/>
      <c r="O503" s="118"/>
    </row>
    <row r="504" customFormat="false" ht="15" hidden="false" customHeight="false" outlineLevel="0" collapsed="false">
      <c r="A504" s="122"/>
      <c r="B504" s="118"/>
      <c r="C504" s="114" t="str">
        <f aca="false">IF(B504="","",IFERROR(INDEX(الموظفون!$C$6:$C$105,MATCH(B504,الموظفون!$B$6:$B$105,0)),"✖ رقم غير موجود"))</f>
        <v/>
      </c>
      <c r="D504" s="123"/>
      <c r="E504" s="123"/>
      <c r="F504" s="123"/>
      <c r="G504" s="121"/>
      <c r="H504" s="121"/>
      <c r="I504" s="121"/>
      <c r="J504" s="121"/>
      <c r="K504" s="123"/>
      <c r="L504" s="123"/>
      <c r="M504" s="121"/>
      <c r="N504" s="121"/>
      <c r="O504" s="118"/>
    </row>
    <row r="505" customFormat="false" ht="15" hidden="false" customHeight="false" outlineLevel="0" collapsed="false">
      <c r="A505" s="122"/>
      <c r="B505" s="118"/>
      <c r="C505" s="117" t="str">
        <f aca="false">IF(B505="","",IFERROR(INDEX(الموظفون!$C$6:$C$105,MATCH(B505,الموظفون!$B$6:$B$105,0)),"✖ رقم غير موجود"))</f>
        <v/>
      </c>
      <c r="D505" s="123"/>
      <c r="E505" s="123"/>
      <c r="F505" s="123"/>
      <c r="G505" s="121"/>
      <c r="H505" s="121"/>
      <c r="I505" s="121"/>
      <c r="J505" s="121"/>
      <c r="K505" s="123"/>
      <c r="L505" s="123"/>
      <c r="M505" s="121"/>
      <c r="N505" s="121"/>
      <c r="O505" s="118"/>
    </row>
    <row r="506" customFormat="false" ht="15" hidden="false" customHeight="false" outlineLevel="0" collapsed="false">
      <c r="A506" s="122"/>
      <c r="B506" s="118"/>
      <c r="C506" s="114" t="str">
        <f aca="false">IF(B506="","",IFERROR(INDEX(الموظفون!$C$6:$C$105,MATCH(B506,الموظفون!$B$6:$B$105,0)),"✖ رقم غير موجود"))</f>
        <v/>
      </c>
      <c r="D506" s="123"/>
      <c r="E506" s="123"/>
      <c r="F506" s="123"/>
      <c r="G506" s="121"/>
      <c r="H506" s="121"/>
      <c r="I506" s="121"/>
      <c r="J506" s="121"/>
      <c r="K506" s="123"/>
      <c r="L506" s="123"/>
      <c r="M506" s="121"/>
      <c r="N506" s="121"/>
      <c r="O506" s="118"/>
    </row>
    <row r="507" customFormat="false" ht="15" hidden="false" customHeight="false" outlineLevel="0" collapsed="false">
      <c r="A507" s="122"/>
      <c r="B507" s="118"/>
      <c r="C507" s="117" t="str">
        <f aca="false">IF(B507="","",IFERROR(INDEX(الموظفون!$C$6:$C$105,MATCH(B507,الموظفون!$B$6:$B$105,0)),"✖ رقم غير موجود"))</f>
        <v/>
      </c>
      <c r="D507" s="123"/>
      <c r="E507" s="123"/>
      <c r="F507" s="123"/>
      <c r="G507" s="121"/>
      <c r="H507" s="121"/>
      <c r="I507" s="121"/>
      <c r="J507" s="121"/>
      <c r="K507" s="123"/>
      <c r="L507" s="123"/>
      <c r="M507" s="121"/>
      <c r="N507" s="121"/>
      <c r="O507" s="118"/>
    </row>
    <row r="508" customFormat="false" ht="15" hidden="false" customHeight="false" outlineLevel="0" collapsed="false">
      <c r="A508" s="122"/>
      <c r="B508" s="118"/>
      <c r="C508" s="114" t="str">
        <f aca="false">IF(B508="","",IFERROR(INDEX(الموظفون!$C$6:$C$105,MATCH(B508,الموظفون!$B$6:$B$105,0)),"✖ رقم غير موجود"))</f>
        <v/>
      </c>
      <c r="D508" s="123"/>
      <c r="E508" s="123"/>
      <c r="F508" s="123"/>
      <c r="G508" s="121"/>
      <c r="H508" s="121"/>
      <c r="I508" s="121"/>
      <c r="J508" s="121"/>
      <c r="K508" s="123"/>
      <c r="L508" s="123"/>
      <c r="M508" s="121"/>
      <c r="N508" s="121"/>
      <c r="O508" s="118"/>
    </row>
    <row r="509" customFormat="false" ht="15" hidden="false" customHeight="false" outlineLevel="0" collapsed="false">
      <c r="A509" s="122"/>
      <c r="B509" s="118"/>
      <c r="C509" s="117" t="str">
        <f aca="false">IF(B509="","",IFERROR(INDEX(الموظفون!$C$6:$C$105,MATCH(B509,الموظفون!$B$6:$B$105,0)),"✖ رقم غير موجود"))</f>
        <v/>
      </c>
      <c r="D509" s="123"/>
      <c r="E509" s="123"/>
      <c r="F509" s="123"/>
      <c r="G509" s="121"/>
      <c r="H509" s="121"/>
      <c r="I509" s="121"/>
      <c r="J509" s="121"/>
      <c r="K509" s="123"/>
      <c r="L509" s="123"/>
      <c r="M509" s="121"/>
      <c r="N509" s="121"/>
      <c r="O509" s="118"/>
    </row>
    <row r="510" customFormat="false" ht="15" hidden="false" customHeight="false" outlineLevel="0" collapsed="false">
      <c r="A510" s="122"/>
      <c r="B510" s="118"/>
      <c r="C510" s="114" t="str">
        <f aca="false">IF(B510="","",IFERROR(INDEX(الموظفون!$C$6:$C$105,MATCH(B510,الموظفون!$B$6:$B$105,0)),"✖ رقم غير موجود"))</f>
        <v/>
      </c>
      <c r="D510" s="123"/>
      <c r="E510" s="123"/>
      <c r="F510" s="123"/>
      <c r="G510" s="121"/>
      <c r="H510" s="121"/>
      <c r="I510" s="121"/>
      <c r="J510" s="121"/>
      <c r="K510" s="123"/>
      <c r="L510" s="123"/>
      <c r="M510" s="121"/>
      <c r="N510" s="121"/>
      <c r="O510" s="118"/>
    </row>
    <row r="511" customFormat="false" ht="15" hidden="false" customHeight="false" outlineLevel="0" collapsed="false">
      <c r="A511" s="122"/>
      <c r="B511" s="118"/>
      <c r="C511" s="117" t="str">
        <f aca="false">IF(B511="","",IFERROR(INDEX(الموظفون!$C$6:$C$105,MATCH(B511,الموظفون!$B$6:$B$105,0)),"✖ رقم غير موجود"))</f>
        <v/>
      </c>
      <c r="D511" s="123"/>
      <c r="E511" s="123"/>
      <c r="F511" s="123"/>
      <c r="G511" s="121"/>
      <c r="H511" s="121"/>
      <c r="I511" s="121"/>
      <c r="J511" s="121"/>
      <c r="K511" s="123"/>
      <c r="L511" s="123"/>
      <c r="M511" s="121"/>
      <c r="N511" s="121"/>
      <c r="O511" s="118"/>
    </row>
    <row r="512" customFormat="false" ht="15" hidden="false" customHeight="false" outlineLevel="0" collapsed="false">
      <c r="A512" s="122"/>
      <c r="B512" s="118"/>
      <c r="C512" s="114" t="str">
        <f aca="false">IF(B512="","",IFERROR(INDEX(الموظفون!$C$6:$C$105,MATCH(B512,الموظفون!$B$6:$B$105,0)),"✖ رقم غير موجود"))</f>
        <v/>
      </c>
      <c r="D512" s="123"/>
      <c r="E512" s="123"/>
      <c r="F512" s="123"/>
      <c r="G512" s="121"/>
      <c r="H512" s="121"/>
      <c r="I512" s="121"/>
      <c r="J512" s="121"/>
      <c r="K512" s="123"/>
      <c r="L512" s="123"/>
      <c r="M512" s="121"/>
      <c r="N512" s="121"/>
      <c r="O512" s="118"/>
    </row>
    <row r="513" customFormat="false" ht="15" hidden="false" customHeight="false" outlineLevel="0" collapsed="false">
      <c r="A513" s="122"/>
      <c r="B513" s="118"/>
      <c r="C513" s="117" t="str">
        <f aca="false">IF(B513="","",IFERROR(INDEX(الموظفون!$C$6:$C$105,MATCH(B513,الموظفون!$B$6:$B$105,0)),"✖ رقم غير موجود"))</f>
        <v/>
      </c>
      <c r="D513" s="123"/>
      <c r="E513" s="123"/>
      <c r="F513" s="123"/>
      <c r="G513" s="121"/>
      <c r="H513" s="121"/>
      <c r="I513" s="121"/>
      <c r="J513" s="121"/>
      <c r="K513" s="123"/>
      <c r="L513" s="123"/>
      <c r="M513" s="121"/>
      <c r="N513" s="121"/>
      <c r="O513" s="118"/>
    </row>
    <row r="514" customFormat="false" ht="15" hidden="false" customHeight="false" outlineLevel="0" collapsed="false">
      <c r="A514" s="122"/>
      <c r="B514" s="118"/>
      <c r="C514" s="114" t="str">
        <f aca="false">IF(B514="","",IFERROR(INDEX(الموظفون!$C$6:$C$105,MATCH(B514,الموظفون!$B$6:$B$105,0)),"✖ رقم غير موجود"))</f>
        <v/>
      </c>
      <c r="D514" s="123"/>
      <c r="E514" s="123"/>
      <c r="F514" s="123"/>
      <c r="G514" s="121"/>
      <c r="H514" s="121"/>
      <c r="I514" s="121"/>
      <c r="J514" s="121"/>
      <c r="K514" s="123"/>
      <c r="L514" s="123"/>
      <c r="M514" s="121"/>
      <c r="N514" s="121"/>
      <c r="O514" s="118"/>
    </row>
    <row r="515" customFormat="false" ht="15" hidden="false" customHeight="false" outlineLevel="0" collapsed="false">
      <c r="A515" s="122"/>
      <c r="B515" s="118"/>
      <c r="C515" s="117" t="str">
        <f aca="false">IF(B515="","",IFERROR(INDEX(الموظفون!$C$6:$C$105,MATCH(B515,الموظفون!$B$6:$B$105,0)),"✖ رقم غير موجود"))</f>
        <v/>
      </c>
      <c r="D515" s="123"/>
      <c r="E515" s="123"/>
      <c r="F515" s="123"/>
      <c r="G515" s="121"/>
      <c r="H515" s="121"/>
      <c r="I515" s="121"/>
      <c r="J515" s="121"/>
      <c r="K515" s="123"/>
      <c r="L515" s="123"/>
      <c r="M515" s="121"/>
      <c r="N515" s="121"/>
      <c r="O515" s="118"/>
    </row>
    <row r="516" customFormat="false" ht="15" hidden="false" customHeight="false" outlineLevel="0" collapsed="false">
      <c r="A516" s="122"/>
      <c r="B516" s="118"/>
      <c r="C516" s="114" t="str">
        <f aca="false">IF(B516="","",IFERROR(INDEX(الموظفون!$C$6:$C$105,MATCH(B516,الموظفون!$B$6:$B$105,0)),"✖ رقم غير موجود"))</f>
        <v/>
      </c>
      <c r="D516" s="123"/>
      <c r="E516" s="123"/>
      <c r="F516" s="123"/>
      <c r="G516" s="121"/>
      <c r="H516" s="121"/>
      <c r="I516" s="121"/>
      <c r="J516" s="121"/>
      <c r="K516" s="123"/>
      <c r="L516" s="123"/>
      <c r="M516" s="121"/>
      <c r="N516" s="121"/>
      <c r="O516" s="118"/>
    </row>
    <row r="517" customFormat="false" ht="15" hidden="false" customHeight="false" outlineLevel="0" collapsed="false">
      <c r="A517" s="122"/>
      <c r="B517" s="118"/>
      <c r="C517" s="117" t="str">
        <f aca="false">IF(B517="","",IFERROR(INDEX(الموظفون!$C$6:$C$105,MATCH(B517,الموظفون!$B$6:$B$105,0)),"✖ رقم غير موجود"))</f>
        <v/>
      </c>
      <c r="D517" s="123"/>
      <c r="E517" s="123"/>
      <c r="F517" s="123"/>
      <c r="G517" s="121"/>
      <c r="H517" s="121"/>
      <c r="I517" s="121"/>
      <c r="J517" s="121"/>
      <c r="K517" s="123"/>
      <c r="L517" s="123"/>
      <c r="M517" s="121"/>
      <c r="N517" s="121"/>
      <c r="O517" s="118"/>
    </row>
    <row r="518" customFormat="false" ht="15" hidden="false" customHeight="false" outlineLevel="0" collapsed="false">
      <c r="A518" s="122"/>
      <c r="B518" s="118"/>
      <c r="C518" s="114" t="str">
        <f aca="false">IF(B518="","",IFERROR(INDEX(الموظفون!$C$6:$C$105,MATCH(B518,الموظفون!$B$6:$B$105,0)),"✖ رقم غير موجود"))</f>
        <v/>
      </c>
      <c r="D518" s="123"/>
      <c r="E518" s="123"/>
      <c r="F518" s="123"/>
      <c r="G518" s="121"/>
      <c r="H518" s="121"/>
      <c r="I518" s="121"/>
      <c r="J518" s="121"/>
      <c r="K518" s="123"/>
      <c r="L518" s="123"/>
      <c r="M518" s="121"/>
      <c r="N518" s="121"/>
      <c r="O518" s="118"/>
    </row>
    <row r="519" customFormat="false" ht="15" hidden="false" customHeight="false" outlineLevel="0" collapsed="false">
      <c r="A519" s="122"/>
      <c r="B519" s="118"/>
      <c r="C519" s="117" t="str">
        <f aca="false">IF(B519="","",IFERROR(INDEX(الموظفون!$C$6:$C$105,MATCH(B519,الموظفون!$B$6:$B$105,0)),"✖ رقم غير موجود"))</f>
        <v/>
      </c>
      <c r="D519" s="123"/>
      <c r="E519" s="123"/>
      <c r="F519" s="123"/>
      <c r="G519" s="121"/>
      <c r="H519" s="121"/>
      <c r="I519" s="121"/>
      <c r="J519" s="121"/>
      <c r="K519" s="123"/>
      <c r="L519" s="123"/>
      <c r="M519" s="121"/>
      <c r="N519" s="121"/>
      <c r="O519" s="118"/>
    </row>
    <row r="520" customFormat="false" ht="15" hidden="false" customHeight="false" outlineLevel="0" collapsed="false">
      <c r="A520" s="122"/>
      <c r="B520" s="118"/>
      <c r="C520" s="114" t="str">
        <f aca="false">IF(B520="","",IFERROR(INDEX(الموظفون!$C$6:$C$105,MATCH(B520,الموظفون!$B$6:$B$105,0)),"✖ رقم غير موجود"))</f>
        <v/>
      </c>
      <c r="D520" s="123"/>
      <c r="E520" s="123"/>
      <c r="F520" s="123"/>
      <c r="G520" s="121"/>
      <c r="H520" s="121"/>
      <c r="I520" s="121"/>
      <c r="J520" s="121"/>
      <c r="K520" s="123"/>
      <c r="L520" s="123"/>
      <c r="M520" s="121"/>
      <c r="N520" s="121"/>
      <c r="O520" s="118"/>
    </row>
    <row r="521" customFormat="false" ht="15" hidden="false" customHeight="false" outlineLevel="0" collapsed="false">
      <c r="A521" s="122"/>
      <c r="B521" s="118"/>
      <c r="C521" s="117" t="str">
        <f aca="false">IF(B521="","",IFERROR(INDEX(الموظفون!$C$6:$C$105,MATCH(B521,الموظفون!$B$6:$B$105,0)),"✖ رقم غير موجود"))</f>
        <v/>
      </c>
      <c r="D521" s="123"/>
      <c r="E521" s="123"/>
      <c r="F521" s="123"/>
      <c r="G521" s="121"/>
      <c r="H521" s="121"/>
      <c r="I521" s="121"/>
      <c r="J521" s="121"/>
      <c r="K521" s="123"/>
      <c r="L521" s="123"/>
      <c r="M521" s="121"/>
      <c r="N521" s="121"/>
      <c r="O521" s="118"/>
    </row>
    <row r="522" customFormat="false" ht="15" hidden="false" customHeight="false" outlineLevel="0" collapsed="false">
      <c r="A522" s="122"/>
      <c r="B522" s="118"/>
      <c r="C522" s="114" t="str">
        <f aca="false">IF(B522="","",IFERROR(INDEX(الموظفون!$C$6:$C$105,MATCH(B522,الموظفون!$B$6:$B$105,0)),"✖ رقم غير موجود"))</f>
        <v/>
      </c>
      <c r="D522" s="123"/>
      <c r="E522" s="123"/>
      <c r="F522" s="123"/>
      <c r="G522" s="121"/>
      <c r="H522" s="121"/>
      <c r="I522" s="121"/>
      <c r="J522" s="121"/>
      <c r="K522" s="123"/>
      <c r="L522" s="123"/>
      <c r="M522" s="121"/>
      <c r="N522" s="121"/>
      <c r="O522" s="118"/>
    </row>
    <row r="523" customFormat="false" ht="15" hidden="false" customHeight="false" outlineLevel="0" collapsed="false">
      <c r="A523" s="122"/>
      <c r="B523" s="118"/>
      <c r="C523" s="117" t="str">
        <f aca="false">IF(B523="","",IFERROR(INDEX(الموظفون!$C$6:$C$105,MATCH(B523,الموظفون!$B$6:$B$105,0)),"✖ رقم غير موجود"))</f>
        <v/>
      </c>
      <c r="D523" s="123"/>
      <c r="E523" s="123"/>
      <c r="F523" s="123"/>
      <c r="G523" s="121"/>
      <c r="H523" s="121"/>
      <c r="I523" s="121"/>
      <c r="J523" s="121"/>
      <c r="K523" s="123"/>
      <c r="L523" s="123"/>
      <c r="M523" s="121"/>
      <c r="N523" s="121"/>
      <c r="O523" s="118"/>
    </row>
    <row r="524" customFormat="false" ht="15" hidden="false" customHeight="false" outlineLevel="0" collapsed="false">
      <c r="A524" s="122"/>
      <c r="B524" s="118"/>
      <c r="C524" s="114" t="str">
        <f aca="false">IF(B524="","",IFERROR(INDEX(الموظفون!$C$6:$C$105,MATCH(B524,الموظفون!$B$6:$B$105,0)),"✖ رقم غير موجود"))</f>
        <v/>
      </c>
      <c r="D524" s="123"/>
      <c r="E524" s="123"/>
      <c r="F524" s="123"/>
      <c r="G524" s="121"/>
      <c r="H524" s="121"/>
      <c r="I524" s="121"/>
      <c r="J524" s="121"/>
      <c r="K524" s="123"/>
      <c r="L524" s="123"/>
      <c r="M524" s="121"/>
      <c r="N524" s="121"/>
      <c r="O524" s="118"/>
    </row>
    <row r="525" customFormat="false" ht="15" hidden="false" customHeight="false" outlineLevel="0" collapsed="false">
      <c r="A525" s="122"/>
      <c r="B525" s="118"/>
      <c r="C525" s="117" t="str">
        <f aca="false">IF(B525="","",IFERROR(INDEX(الموظفون!$C$6:$C$105,MATCH(B525,الموظفون!$B$6:$B$105,0)),"✖ رقم غير موجود"))</f>
        <v/>
      </c>
      <c r="D525" s="123"/>
      <c r="E525" s="123"/>
      <c r="F525" s="123"/>
      <c r="G525" s="121"/>
      <c r="H525" s="121"/>
      <c r="I525" s="121"/>
      <c r="J525" s="121"/>
      <c r="K525" s="123"/>
      <c r="L525" s="123"/>
      <c r="M525" s="121"/>
      <c r="N525" s="121"/>
      <c r="O525" s="118"/>
    </row>
    <row r="526" customFormat="false" ht="15" hidden="false" customHeight="false" outlineLevel="0" collapsed="false">
      <c r="A526" s="122"/>
      <c r="B526" s="118"/>
      <c r="C526" s="114" t="str">
        <f aca="false">IF(B526="","",IFERROR(INDEX(الموظفون!$C$6:$C$105,MATCH(B526,الموظفون!$B$6:$B$105,0)),"✖ رقم غير موجود"))</f>
        <v/>
      </c>
      <c r="D526" s="123"/>
      <c r="E526" s="123"/>
      <c r="F526" s="123"/>
      <c r="G526" s="121"/>
      <c r="H526" s="121"/>
      <c r="I526" s="121"/>
      <c r="J526" s="121"/>
      <c r="K526" s="123"/>
      <c r="L526" s="123"/>
      <c r="M526" s="121"/>
      <c r="N526" s="121"/>
      <c r="O526" s="118"/>
    </row>
    <row r="527" customFormat="false" ht="15" hidden="false" customHeight="false" outlineLevel="0" collapsed="false">
      <c r="A527" s="122"/>
      <c r="B527" s="118"/>
      <c r="C527" s="117" t="str">
        <f aca="false">IF(B527="","",IFERROR(INDEX(الموظفون!$C$6:$C$105,MATCH(B527,الموظفون!$B$6:$B$105,0)),"✖ رقم غير موجود"))</f>
        <v/>
      </c>
      <c r="D527" s="123"/>
      <c r="E527" s="123"/>
      <c r="F527" s="123"/>
      <c r="G527" s="121"/>
      <c r="H527" s="121"/>
      <c r="I527" s="121"/>
      <c r="J527" s="121"/>
      <c r="K527" s="123"/>
      <c r="L527" s="123"/>
      <c r="M527" s="121"/>
      <c r="N527" s="121"/>
      <c r="O527" s="118"/>
    </row>
    <row r="528" customFormat="false" ht="15" hidden="false" customHeight="false" outlineLevel="0" collapsed="false">
      <c r="A528" s="122"/>
      <c r="B528" s="118"/>
      <c r="C528" s="114" t="str">
        <f aca="false">IF(B528="","",IFERROR(INDEX(الموظفون!$C$6:$C$105,MATCH(B528,الموظفون!$B$6:$B$105,0)),"✖ رقم غير موجود"))</f>
        <v/>
      </c>
      <c r="D528" s="123"/>
      <c r="E528" s="123"/>
      <c r="F528" s="123"/>
      <c r="G528" s="121"/>
      <c r="H528" s="121"/>
      <c r="I528" s="121"/>
      <c r="J528" s="121"/>
      <c r="K528" s="123"/>
      <c r="L528" s="123"/>
      <c r="M528" s="121"/>
      <c r="N528" s="121"/>
      <c r="O528" s="118"/>
    </row>
    <row r="529" customFormat="false" ht="15" hidden="false" customHeight="false" outlineLevel="0" collapsed="false">
      <c r="A529" s="122"/>
      <c r="B529" s="118"/>
      <c r="C529" s="117" t="str">
        <f aca="false">IF(B529="","",IFERROR(INDEX(الموظفون!$C$6:$C$105,MATCH(B529,الموظفون!$B$6:$B$105,0)),"✖ رقم غير موجود"))</f>
        <v/>
      </c>
      <c r="D529" s="123"/>
      <c r="E529" s="123"/>
      <c r="F529" s="123"/>
      <c r="G529" s="121"/>
      <c r="H529" s="121"/>
      <c r="I529" s="121"/>
      <c r="J529" s="121"/>
      <c r="K529" s="123"/>
      <c r="L529" s="123"/>
      <c r="M529" s="121"/>
      <c r="N529" s="121"/>
      <c r="O529" s="118"/>
    </row>
    <row r="530" customFormat="false" ht="15" hidden="false" customHeight="false" outlineLevel="0" collapsed="false">
      <c r="A530" s="122"/>
      <c r="B530" s="118"/>
      <c r="C530" s="114" t="str">
        <f aca="false">IF(B530="","",IFERROR(INDEX(الموظفون!$C$6:$C$105,MATCH(B530,الموظفون!$B$6:$B$105,0)),"✖ رقم غير موجود"))</f>
        <v/>
      </c>
      <c r="D530" s="123"/>
      <c r="E530" s="123"/>
      <c r="F530" s="123"/>
      <c r="G530" s="121"/>
      <c r="H530" s="121"/>
      <c r="I530" s="121"/>
      <c r="J530" s="121"/>
      <c r="K530" s="123"/>
      <c r="L530" s="123"/>
      <c r="M530" s="121"/>
      <c r="N530" s="121"/>
      <c r="O530" s="118"/>
    </row>
    <row r="531" customFormat="false" ht="15" hidden="false" customHeight="false" outlineLevel="0" collapsed="false">
      <c r="A531" s="122"/>
      <c r="B531" s="118"/>
      <c r="C531" s="117" t="str">
        <f aca="false">IF(B531="","",IFERROR(INDEX(الموظفون!$C$6:$C$105,MATCH(B531,الموظفون!$B$6:$B$105,0)),"✖ رقم غير موجود"))</f>
        <v/>
      </c>
      <c r="D531" s="123"/>
      <c r="E531" s="123"/>
      <c r="F531" s="123"/>
      <c r="G531" s="121"/>
      <c r="H531" s="121"/>
      <c r="I531" s="121"/>
      <c r="J531" s="121"/>
      <c r="K531" s="123"/>
      <c r="L531" s="123"/>
      <c r="M531" s="121"/>
      <c r="N531" s="121"/>
      <c r="O531" s="118"/>
    </row>
    <row r="532" customFormat="false" ht="15" hidden="false" customHeight="false" outlineLevel="0" collapsed="false">
      <c r="A532" s="122"/>
      <c r="B532" s="118"/>
      <c r="C532" s="114" t="str">
        <f aca="false">IF(B532="","",IFERROR(INDEX(الموظفون!$C$6:$C$105,MATCH(B532,الموظفون!$B$6:$B$105,0)),"✖ رقم غير موجود"))</f>
        <v/>
      </c>
      <c r="D532" s="123"/>
      <c r="E532" s="123"/>
      <c r="F532" s="123"/>
      <c r="G532" s="121"/>
      <c r="H532" s="121"/>
      <c r="I532" s="121"/>
      <c r="J532" s="121"/>
      <c r="K532" s="123"/>
      <c r="L532" s="123"/>
      <c r="M532" s="121"/>
      <c r="N532" s="121"/>
      <c r="O532" s="118"/>
    </row>
    <row r="533" customFormat="false" ht="15" hidden="false" customHeight="false" outlineLevel="0" collapsed="false">
      <c r="A533" s="122"/>
      <c r="B533" s="118"/>
      <c r="C533" s="117" t="str">
        <f aca="false">IF(B533="","",IFERROR(INDEX(الموظفون!$C$6:$C$105,MATCH(B533,الموظفون!$B$6:$B$105,0)),"✖ رقم غير موجود"))</f>
        <v/>
      </c>
      <c r="D533" s="123"/>
      <c r="E533" s="123"/>
      <c r="F533" s="123"/>
      <c r="G533" s="121"/>
      <c r="H533" s="121"/>
      <c r="I533" s="121"/>
      <c r="J533" s="121"/>
      <c r="K533" s="123"/>
      <c r="L533" s="123"/>
      <c r="M533" s="121"/>
      <c r="N533" s="121"/>
      <c r="O533" s="118"/>
    </row>
    <row r="534" customFormat="false" ht="15" hidden="false" customHeight="false" outlineLevel="0" collapsed="false">
      <c r="A534" s="122"/>
      <c r="B534" s="118"/>
      <c r="C534" s="114" t="str">
        <f aca="false">IF(B534="","",IFERROR(INDEX(الموظفون!$C$6:$C$105,MATCH(B534,الموظفون!$B$6:$B$105,0)),"✖ رقم غير موجود"))</f>
        <v/>
      </c>
      <c r="D534" s="123"/>
      <c r="E534" s="123"/>
      <c r="F534" s="123"/>
      <c r="G534" s="121"/>
      <c r="H534" s="121"/>
      <c r="I534" s="121"/>
      <c r="J534" s="121"/>
      <c r="K534" s="123"/>
      <c r="L534" s="123"/>
      <c r="M534" s="121"/>
      <c r="N534" s="121"/>
      <c r="O534" s="118"/>
    </row>
    <row r="535" customFormat="false" ht="15" hidden="false" customHeight="false" outlineLevel="0" collapsed="false">
      <c r="A535" s="122"/>
      <c r="B535" s="118"/>
      <c r="C535" s="117" t="str">
        <f aca="false">IF(B535="","",IFERROR(INDEX(الموظفون!$C$6:$C$105,MATCH(B535,الموظفون!$B$6:$B$105,0)),"✖ رقم غير موجود"))</f>
        <v/>
      </c>
      <c r="D535" s="123"/>
      <c r="E535" s="123"/>
      <c r="F535" s="123"/>
      <c r="G535" s="121"/>
      <c r="H535" s="121"/>
      <c r="I535" s="121"/>
      <c r="J535" s="121"/>
      <c r="K535" s="123"/>
      <c r="L535" s="123"/>
      <c r="M535" s="121"/>
      <c r="N535" s="121"/>
      <c r="O535" s="118"/>
    </row>
    <row r="536" customFormat="false" ht="15" hidden="false" customHeight="false" outlineLevel="0" collapsed="false">
      <c r="A536" s="122"/>
      <c r="B536" s="118"/>
      <c r="C536" s="114" t="str">
        <f aca="false">IF(B536="","",IFERROR(INDEX(الموظفون!$C$6:$C$105,MATCH(B536,الموظفون!$B$6:$B$105,0)),"✖ رقم غير موجود"))</f>
        <v/>
      </c>
      <c r="D536" s="123"/>
      <c r="E536" s="123"/>
      <c r="F536" s="123"/>
      <c r="G536" s="121"/>
      <c r="H536" s="121"/>
      <c r="I536" s="121"/>
      <c r="J536" s="121"/>
      <c r="K536" s="123"/>
      <c r="L536" s="123"/>
      <c r="M536" s="121"/>
      <c r="N536" s="121"/>
      <c r="O536" s="118"/>
    </row>
    <row r="537" customFormat="false" ht="15" hidden="false" customHeight="false" outlineLevel="0" collapsed="false">
      <c r="A537" s="122"/>
      <c r="B537" s="118"/>
      <c r="C537" s="117" t="str">
        <f aca="false">IF(B537="","",IFERROR(INDEX(الموظفون!$C$6:$C$105,MATCH(B537,الموظفون!$B$6:$B$105,0)),"✖ رقم غير موجود"))</f>
        <v/>
      </c>
      <c r="D537" s="123"/>
      <c r="E537" s="123"/>
      <c r="F537" s="123"/>
      <c r="G537" s="121"/>
      <c r="H537" s="121"/>
      <c r="I537" s="121"/>
      <c r="J537" s="121"/>
      <c r="K537" s="123"/>
      <c r="L537" s="123"/>
      <c r="M537" s="121"/>
      <c r="N537" s="121"/>
      <c r="O537" s="118"/>
    </row>
    <row r="538" customFormat="false" ht="15" hidden="false" customHeight="false" outlineLevel="0" collapsed="false">
      <c r="A538" s="122"/>
      <c r="B538" s="118"/>
      <c r="C538" s="114" t="str">
        <f aca="false">IF(B538="","",IFERROR(INDEX(الموظفون!$C$6:$C$105,MATCH(B538,الموظفون!$B$6:$B$105,0)),"✖ رقم غير موجود"))</f>
        <v/>
      </c>
      <c r="D538" s="123"/>
      <c r="E538" s="123"/>
      <c r="F538" s="123"/>
      <c r="G538" s="121"/>
      <c r="H538" s="121"/>
      <c r="I538" s="121"/>
      <c r="J538" s="121"/>
      <c r="K538" s="123"/>
      <c r="L538" s="123"/>
      <c r="M538" s="121"/>
      <c r="N538" s="121"/>
      <c r="O538" s="118"/>
    </row>
    <row r="539" customFormat="false" ht="15" hidden="false" customHeight="false" outlineLevel="0" collapsed="false">
      <c r="A539" s="122"/>
      <c r="B539" s="118"/>
      <c r="C539" s="117" t="str">
        <f aca="false">IF(B539="","",IFERROR(INDEX(الموظفون!$C$6:$C$105,MATCH(B539,الموظفون!$B$6:$B$105,0)),"✖ رقم غير موجود"))</f>
        <v/>
      </c>
      <c r="D539" s="123"/>
      <c r="E539" s="123"/>
      <c r="F539" s="123"/>
      <c r="G539" s="121"/>
      <c r="H539" s="121"/>
      <c r="I539" s="121"/>
      <c r="J539" s="121"/>
      <c r="K539" s="123"/>
      <c r="L539" s="123"/>
      <c r="M539" s="121"/>
      <c r="N539" s="121"/>
      <c r="O539" s="118"/>
    </row>
    <row r="540" customFormat="false" ht="15" hidden="false" customHeight="false" outlineLevel="0" collapsed="false">
      <c r="A540" s="122"/>
      <c r="B540" s="118"/>
      <c r="C540" s="114" t="str">
        <f aca="false">IF(B540="","",IFERROR(INDEX(الموظفون!$C$6:$C$105,MATCH(B540,الموظفون!$B$6:$B$105,0)),"✖ رقم غير موجود"))</f>
        <v/>
      </c>
      <c r="D540" s="123"/>
      <c r="E540" s="123"/>
      <c r="F540" s="123"/>
      <c r="G540" s="121"/>
      <c r="H540" s="121"/>
      <c r="I540" s="121"/>
      <c r="J540" s="121"/>
      <c r="K540" s="123"/>
      <c r="L540" s="123"/>
      <c r="M540" s="121"/>
      <c r="N540" s="121"/>
      <c r="O540" s="118"/>
    </row>
    <row r="541" customFormat="false" ht="15" hidden="false" customHeight="false" outlineLevel="0" collapsed="false">
      <c r="A541" s="122"/>
      <c r="B541" s="118"/>
      <c r="C541" s="117" t="str">
        <f aca="false">IF(B541="","",IFERROR(INDEX(الموظفون!$C$6:$C$105,MATCH(B541,الموظفون!$B$6:$B$105,0)),"✖ رقم غير موجود"))</f>
        <v/>
      </c>
      <c r="D541" s="123"/>
      <c r="E541" s="123"/>
      <c r="F541" s="123"/>
      <c r="G541" s="121"/>
      <c r="H541" s="121"/>
      <c r="I541" s="121"/>
      <c r="J541" s="121"/>
      <c r="K541" s="123"/>
      <c r="L541" s="123"/>
      <c r="M541" s="121"/>
      <c r="N541" s="121"/>
      <c r="O541" s="118"/>
    </row>
    <row r="542" customFormat="false" ht="15" hidden="false" customHeight="false" outlineLevel="0" collapsed="false">
      <c r="A542" s="122"/>
      <c r="B542" s="118"/>
      <c r="C542" s="114" t="str">
        <f aca="false">IF(B542="","",IFERROR(INDEX(الموظفون!$C$6:$C$105,MATCH(B542,الموظفون!$B$6:$B$105,0)),"✖ رقم غير موجود"))</f>
        <v/>
      </c>
      <c r="D542" s="123"/>
      <c r="E542" s="123"/>
      <c r="F542" s="123"/>
      <c r="G542" s="121"/>
      <c r="H542" s="121"/>
      <c r="I542" s="121"/>
      <c r="J542" s="121"/>
      <c r="K542" s="123"/>
      <c r="L542" s="123"/>
      <c r="M542" s="121"/>
      <c r="N542" s="121"/>
      <c r="O542" s="118"/>
    </row>
    <row r="543" customFormat="false" ht="15" hidden="false" customHeight="false" outlineLevel="0" collapsed="false">
      <c r="A543" s="122"/>
      <c r="B543" s="118"/>
      <c r="C543" s="117" t="str">
        <f aca="false">IF(B543="","",IFERROR(INDEX(الموظفون!$C$6:$C$105,MATCH(B543,الموظفون!$B$6:$B$105,0)),"✖ رقم غير موجود"))</f>
        <v/>
      </c>
      <c r="D543" s="123"/>
      <c r="E543" s="123"/>
      <c r="F543" s="123"/>
      <c r="G543" s="121"/>
      <c r="H543" s="121"/>
      <c r="I543" s="121"/>
      <c r="J543" s="121"/>
      <c r="K543" s="123"/>
      <c r="L543" s="123"/>
      <c r="M543" s="121"/>
      <c r="N543" s="121"/>
      <c r="O543" s="118"/>
    </row>
    <row r="544" customFormat="false" ht="15" hidden="false" customHeight="false" outlineLevel="0" collapsed="false">
      <c r="A544" s="122"/>
      <c r="B544" s="118"/>
      <c r="C544" s="114" t="str">
        <f aca="false">IF(B544="","",IFERROR(INDEX(الموظفون!$C$6:$C$105,MATCH(B544,الموظفون!$B$6:$B$105,0)),"✖ رقم غير موجود"))</f>
        <v/>
      </c>
      <c r="D544" s="123"/>
      <c r="E544" s="123"/>
      <c r="F544" s="123"/>
      <c r="G544" s="121"/>
      <c r="H544" s="121"/>
      <c r="I544" s="121"/>
      <c r="J544" s="121"/>
      <c r="K544" s="123"/>
      <c r="L544" s="123"/>
      <c r="M544" s="121"/>
      <c r="N544" s="121"/>
      <c r="O544" s="118"/>
    </row>
    <row r="545" customFormat="false" ht="15" hidden="false" customHeight="false" outlineLevel="0" collapsed="false">
      <c r="A545" s="122"/>
      <c r="B545" s="118"/>
      <c r="C545" s="117" t="str">
        <f aca="false">IF(B545="","",IFERROR(INDEX(الموظفون!$C$6:$C$105,MATCH(B545,الموظفون!$B$6:$B$105,0)),"✖ رقم غير موجود"))</f>
        <v/>
      </c>
      <c r="D545" s="123"/>
      <c r="E545" s="123"/>
      <c r="F545" s="123"/>
      <c r="G545" s="121"/>
      <c r="H545" s="121"/>
      <c r="I545" s="121"/>
      <c r="J545" s="121"/>
      <c r="K545" s="123"/>
      <c r="L545" s="123"/>
      <c r="M545" s="121"/>
      <c r="N545" s="121"/>
      <c r="O545" s="118"/>
    </row>
    <row r="546" customFormat="false" ht="15" hidden="false" customHeight="false" outlineLevel="0" collapsed="false">
      <c r="A546" s="122"/>
      <c r="B546" s="118"/>
      <c r="C546" s="114" t="str">
        <f aca="false">IF(B546="","",IFERROR(INDEX(الموظفون!$C$6:$C$105,MATCH(B546,الموظفون!$B$6:$B$105,0)),"✖ رقم غير موجود"))</f>
        <v/>
      </c>
      <c r="D546" s="123"/>
      <c r="E546" s="123"/>
      <c r="F546" s="123"/>
      <c r="G546" s="121"/>
      <c r="H546" s="121"/>
      <c r="I546" s="121"/>
      <c r="J546" s="121"/>
      <c r="K546" s="123"/>
      <c r="L546" s="123"/>
      <c r="M546" s="121"/>
      <c r="N546" s="121"/>
      <c r="O546" s="118"/>
    </row>
    <row r="547" customFormat="false" ht="15" hidden="false" customHeight="false" outlineLevel="0" collapsed="false">
      <c r="A547" s="122"/>
      <c r="B547" s="118"/>
      <c r="C547" s="117" t="str">
        <f aca="false">IF(B547="","",IFERROR(INDEX(الموظفون!$C$6:$C$105,MATCH(B547,الموظفون!$B$6:$B$105,0)),"✖ رقم غير موجود"))</f>
        <v/>
      </c>
      <c r="D547" s="123"/>
      <c r="E547" s="123"/>
      <c r="F547" s="123"/>
      <c r="G547" s="121"/>
      <c r="H547" s="121"/>
      <c r="I547" s="121"/>
      <c r="J547" s="121"/>
      <c r="K547" s="123"/>
      <c r="L547" s="123"/>
      <c r="M547" s="121"/>
      <c r="N547" s="121"/>
      <c r="O547" s="118"/>
    </row>
    <row r="548" customFormat="false" ht="15" hidden="false" customHeight="false" outlineLevel="0" collapsed="false">
      <c r="A548" s="122"/>
      <c r="B548" s="118"/>
      <c r="C548" s="114" t="str">
        <f aca="false">IF(B548="","",IFERROR(INDEX(الموظفون!$C$6:$C$105,MATCH(B548,الموظفون!$B$6:$B$105,0)),"✖ رقم غير موجود"))</f>
        <v/>
      </c>
      <c r="D548" s="123"/>
      <c r="E548" s="123"/>
      <c r="F548" s="123"/>
      <c r="G548" s="121"/>
      <c r="H548" s="121"/>
      <c r="I548" s="121"/>
      <c r="J548" s="121"/>
      <c r="K548" s="123"/>
      <c r="L548" s="123"/>
      <c r="M548" s="121"/>
      <c r="N548" s="121"/>
      <c r="O548" s="118"/>
    </row>
    <row r="549" customFormat="false" ht="15" hidden="false" customHeight="false" outlineLevel="0" collapsed="false">
      <c r="A549" s="122"/>
      <c r="B549" s="118"/>
      <c r="C549" s="117" t="str">
        <f aca="false">IF(B549="","",IFERROR(INDEX(الموظفون!$C$6:$C$105,MATCH(B549,الموظفون!$B$6:$B$105,0)),"✖ رقم غير موجود"))</f>
        <v/>
      </c>
      <c r="D549" s="123"/>
      <c r="E549" s="123"/>
      <c r="F549" s="123"/>
      <c r="G549" s="121"/>
      <c r="H549" s="121"/>
      <c r="I549" s="121"/>
      <c r="J549" s="121"/>
      <c r="K549" s="123"/>
      <c r="L549" s="123"/>
      <c r="M549" s="121"/>
      <c r="N549" s="121"/>
      <c r="O549" s="118"/>
    </row>
    <row r="550" customFormat="false" ht="15" hidden="false" customHeight="false" outlineLevel="0" collapsed="false">
      <c r="A550" s="122"/>
      <c r="B550" s="118"/>
      <c r="C550" s="114" t="str">
        <f aca="false">IF(B550="","",IFERROR(INDEX(الموظفون!$C$6:$C$105,MATCH(B550,الموظفون!$B$6:$B$105,0)),"✖ رقم غير موجود"))</f>
        <v/>
      </c>
      <c r="D550" s="123"/>
      <c r="E550" s="123"/>
      <c r="F550" s="123"/>
      <c r="G550" s="121"/>
      <c r="H550" s="121"/>
      <c r="I550" s="121"/>
      <c r="J550" s="121"/>
      <c r="K550" s="123"/>
      <c r="L550" s="123"/>
      <c r="M550" s="121"/>
      <c r="N550" s="121"/>
      <c r="O550" s="118"/>
    </row>
    <row r="551" customFormat="false" ht="15" hidden="false" customHeight="false" outlineLevel="0" collapsed="false">
      <c r="A551" s="122"/>
      <c r="B551" s="118"/>
      <c r="C551" s="117" t="str">
        <f aca="false">IF(B551="","",IFERROR(INDEX(الموظفون!$C$6:$C$105,MATCH(B551,الموظفون!$B$6:$B$105,0)),"✖ رقم غير موجود"))</f>
        <v/>
      </c>
      <c r="D551" s="123"/>
      <c r="E551" s="123"/>
      <c r="F551" s="123"/>
      <c r="G551" s="121"/>
      <c r="H551" s="121"/>
      <c r="I551" s="121"/>
      <c r="J551" s="121"/>
      <c r="K551" s="123"/>
      <c r="L551" s="123"/>
      <c r="M551" s="121"/>
      <c r="N551" s="121"/>
      <c r="O551" s="118"/>
    </row>
    <row r="552" customFormat="false" ht="15" hidden="false" customHeight="false" outlineLevel="0" collapsed="false">
      <c r="A552" s="122"/>
      <c r="B552" s="118"/>
      <c r="C552" s="114" t="str">
        <f aca="false">IF(B552="","",IFERROR(INDEX(الموظفون!$C$6:$C$105,MATCH(B552,الموظفون!$B$6:$B$105,0)),"✖ رقم غير موجود"))</f>
        <v/>
      </c>
      <c r="D552" s="123"/>
      <c r="E552" s="123"/>
      <c r="F552" s="123"/>
      <c r="G552" s="121"/>
      <c r="H552" s="121"/>
      <c r="I552" s="121"/>
      <c r="J552" s="121"/>
      <c r="K552" s="123"/>
      <c r="L552" s="123"/>
      <c r="M552" s="121"/>
      <c r="N552" s="121"/>
      <c r="O552" s="118"/>
    </row>
    <row r="553" customFormat="false" ht="15" hidden="false" customHeight="false" outlineLevel="0" collapsed="false">
      <c r="A553" s="122"/>
      <c r="B553" s="118"/>
      <c r="C553" s="117" t="str">
        <f aca="false">IF(B553="","",IFERROR(INDEX(الموظفون!$C$6:$C$105,MATCH(B553,الموظفون!$B$6:$B$105,0)),"✖ رقم غير موجود"))</f>
        <v/>
      </c>
      <c r="D553" s="123"/>
      <c r="E553" s="123"/>
      <c r="F553" s="123"/>
      <c r="G553" s="121"/>
      <c r="H553" s="121"/>
      <c r="I553" s="121"/>
      <c r="J553" s="121"/>
      <c r="K553" s="123"/>
      <c r="L553" s="123"/>
      <c r="M553" s="121"/>
      <c r="N553" s="121"/>
      <c r="O553" s="118"/>
    </row>
    <row r="554" customFormat="false" ht="15" hidden="false" customHeight="false" outlineLevel="0" collapsed="false">
      <c r="A554" s="122"/>
      <c r="B554" s="118"/>
      <c r="C554" s="114" t="str">
        <f aca="false">IF(B554="","",IFERROR(INDEX(الموظفون!$C$6:$C$105,MATCH(B554,الموظفون!$B$6:$B$105,0)),"✖ رقم غير موجود"))</f>
        <v/>
      </c>
      <c r="D554" s="123"/>
      <c r="E554" s="123"/>
      <c r="F554" s="123"/>
      <c r="G554" s="121"/>
      <c r="H554" s="121"/>
      <c r="I554" s="121"/>
      <c r="J554" s="121"/>
      <c r="K554" s="123"/>
      <c r="L554" s="123"/>
      <c r="M554" s="121"/>
      <c r="N554" s="121"/>
      <c r="O554" s="118"/>
    </row>
    <row r="555" customFormat="false" ht="15" hidden="false" customHeight="false" outlineLevel="0" collapsed="false">
      <c r="A555" s="122"/>
      <c r="B555" s="118"/>
      <c r="C555" s="117" t="str">
        <f aca="false">IF(B555="","",IFERROR(INDEX(الموظفون!$C$6:$C$105,MATCH(B555,الموظفون!$B$6:$B$105,0)),"✖ رقم غير موجود"))</f>
        <v/>
      </c>
      <c r="D555" s="123"/>
      <c r="E555" s="123"/>
      <c r="F555" s="123"/>
      <c r="G555" s="121"/>
      <c r="H555" s="121"/>
      <c r="I555" s="121"/>
      <c r="J555" s="121"/>
      <c r="K555" s="123"/>
      <c r="L555" s="123"/>
      <c r="M555" s="121"/>
      <c r="N555" s="121"/>
      <c r="O555" s="118"/>
    </row>
    <row r="556" customFormat="false" ht="15" hidden="false" customHeight="false" outlineLevel="0" collapsed="false">
      <c r="A556" s="122"/>
      <c r="B556" s="118"/>
      <c r="C556" s="114" t="str">
        <f aca="false">IF(B556="","",IFERROR(INDEX(الموظفون!$C$6:$C$105,MATCH(B556,الموظفون!$B$6:$B$105,0)),"✖ رقم غير موجود"))</f>
        <v/>
      </c>
      <c r="D556" s="123"/>
      <c r="E556" s="123"/>
      <c r="F556" s="123"/>
      <c r="G556" s="121"/>
      <c r="H556" s="121"/>
      <c r="I556" s="121"/>
      <c r="J556" s="121"/>
      <c r="K556" s="123"/>
      <c r="L556" s="123"/>
      <c r="M556" s="121"/>
      <c r="N556" s="121"/>
      <c r="O556" s="118"/>
    </row>
    <row r="557" customFormat="false" ht="15" hidden="false" customHeight="false" outlineLevel="0" collapsed="false">
      <c r="A557" s="122"/>
      <c r="B557" s="118"/>
      <c r="C557" s="117" t="str">
        <f aca="false">IF(B557="","",IFERROR(INDEX(الموظفون!$C$6:$C$105,MATCH(B557,الموظفون!$B$6:$B$105,0)),"✖ رقم غير موجود"))</f>
        <v/>
      </c>
      <c r="D557" s="123"/>
      <c r="E557" s="123"/>
      <c r="F557" s="123"/>
      <c r="G557" s="121"/>
      <c r="H557" s="121"/>
      <c r="I557" s="121"/>
      <c r="J557" s="121"/>
      <c r="K557" s="123"/>
      <c r="L557" s="123"/>
      <c r="M557" s="121"/>
      <c r="N557" s="121"/>
      <c r="O557" s="118"/>
    </row>
    <row r="558" customFormat="false" ht="15" hidden="false" customHeight="false" outlineLevel="0" collapsed="false">
      <c r="A558" s="122"/>
      <c r="B558" s="118"/>
      <c r="C558" s="114" t="str">
        <f aca="false">IF(B558="","",IFERROR(INDEX(الموظفون!$C$6:$C$105,MATCH(B558,الموظفون!$B$6:$B$105,0)),"✖ رقم غير موجود"))</f>
        <v/>
      </c>
      <c r="D558" s="123"/>
      <c r="E558" s="123"/>
      <c r="F558" s="123"/>
      <c r="G558" s="121"/>
      <c r="H558" s="121"/>
      <c r="I558" s="121"/>
      <c r="J558" s="121"/>
      <c r="K558" s="123"/>
      <c r="L558" s="123"/>
      <c r="M558" s="121"/>
      <c r="N558" s="121"/>
      <c r="O558" s="118"/>
    </row>
    <row r="559" customFormat="false" ht="15" hidden="false" customHeight="false" outlineLevel="0" collapsed="false">
      <c r="A559" s="122"/>
      <c r="B559" s="118"/>
      <c r="C559" s="117" t="str">
        <f aca="false">IF(B559="","",IFERROR(INDEX(الموظفون!$C$6:$C$105,MATCH(B559,الموظفون!$B$6:$B$105,0)),"✖ رقم غير موجود"))</f>
        <v/>
      </c>
      <c r="D559" s="123"/>
      <c r="E559" s="123"/>
      <c r="F559" s="123"/>
      <c r="G559" s="121"/>
      <c r="H559" s="121"/>
      <c r="I559" s="121"/>
      <c r="J559" s="121"/>
      <c r="K559" s="123"/>
      <c r="L559" s="123"/>
      <c r="M559" s="121"/>
      <c r="N559" s="121"/>
      <c r="O559" s="118"/>
    </row>
    <row r="560" customFormat="false" ht="15" hidden="false" customHeight="false" outlineLevel="0" collapsed="false">
      <c r="A560" s="122"/>
      <c r="B560" s="118"/>
      <c r="C560" s="114" t="str">
        <f aca="false">IF(B560="","",IFERROR(INDEX(الموظفون!$C$6:$C$105,MATCH(B560,الموظفون!$B$6:$B$105,0)),"✖ رقم غير موجود"))</f>
        <v/>
      </c>
      <c r="D560" s="123"/>
      <c r="E560" s="123"/>
      <c r="F560" s="123"/>
      <c r="G560" s="121"/>
      <c r="H560" s="121"/>
      <c r="I560" s="121"/>
      <c r="J560" s="121"/>
      <c r="K560" s="123"/>
      <c r="L560" s="123"/>
      <c r="M560" s="121"/>
      <c r="N560" s="121"/>
      <c r="O560" s="118"/>
    </row>
    <row r="561" customFormat="false" ht="15" hidden="false" customHeight="false" outlineLevel="0" collapsed="false">
      <c r="A561" s="122"/>
      <c r="B561" s="118"/>
      <c r="C561" s="117" t="str">
        <f aca="false">IF(B561="","",IFERROR(INDEX(الموظفون!$C$6:$C$105,MATCH(B561,الموظفون!$B$6:$B$105,0)),"✖ رقم غير موجود"))</f>
        <v/>
      </c>
      <c r="D561" s="123"/>
      <c r="E561" s="123"/>
      <c r="F561" s="123"/>
      <c r="G561" s="121"/>
      <c r="H561" s="121"/>
      <c r="I561" s="121"/>
      <c r="J561" s="121"/>
      <c r="K561" s="123"/>
      <c r="L561" s="123"/>
      <c r="M561" s="121"/>
      <c r="N561" s="121"/>
      <c r="O561" s="118"/>
    </row>
    <row r="562" customFormat="false" ht="15" hidden="false" customHeight="false" outlineLevel="0" collapsed="false">
      <c r="A562" s="122"/>
      <c r="B562" s="118"/>
      <c r="C562" s="114" t="str">
        <f aca="false">IF(B562="","",IFERROR(INDEX(الموظفون!$C$6:$C$105,MATCH(B562,الموظفون!$B$6:$B$105,0)),"✖ رقم غير موجود"))</f>
        <v/>
      </c>
      <c r="D562" s="123"/>
      <c r="E562" s="123"/>
      <c r="F562" s="123"/>
      <c r="G562" s="121"/>
      <c r="H562" s="121"/>
      <c r="I562" s="121"/>
      <c r="J562" s="121"/>
      <c r="K562" s="123"/>
      <c r="L562" s="123"/>
      <c r="M562" s="121"/>
      <c r="N562" s="121"/>
      <c r="O562" s="118"/>
    </row>
    <row r="563" customFormat="false" ht="15" hidden="false" customHeight="false" outlineLevel="0" collapsed="false">
      <c r="A563" s="122"/>
      <c r="B563" s="118"/>
      <c r="C563" s="117" t="str">
        <f aca="false">IF(B563="","",IFERROR(INDEX(الموظفون!$C$6:$C$105,MATCH(B563,الموظفون!$B$6:$B$105,0)),"✖ رقم غير موجود"))</f>
        <v/>
      </c>
      <c r="D563" s="123"/>
      <c r="E563" s="123"/>
      <c r="F563" s="123"/>
      <c r="G563" s="121"/>
      <c r="H563" s="121"/>
      <c r="I563" s="121"/>
      <c r="J563" s="121"/>
      <c r="K563" s="123"/>
      <c r="L563" s="123"/>
      <c r="M563" s="121"/>
      <c r="N563" s="121"/>
      <c r="O563" s="118"/>
    </row>
    <row r="564" customFormat="false" ht="15" hidden="false" customHeight="false" outlineLevel="0" collapsed="false">
      <c r="A564" s="122"/>
      <c r="B564" s="118"/>
      <c r="C564" s="114" t="str">
        <f aca="false">IF(B564="","",IFERROR(INDEX(الموظفون!$C$6:$C$105,MATCH(B564,الموظفون!$B$6:$B$105,0)),"✖ رقم غير موجود"))</f>
        <v/>
      </c>
      <c r="D564" s="123"/>
      <c r="E564" s="123"/>
      <c r="F564" s="123"/>
      <c r="G564" s="121"/>
      <c r="H564" s="121"/>
      <c r="I564" s="121"/>
      <c r="J564" s="121"/>
      <c r="K564" s="123"/>
      <c r="L564" s="123"/>
      <c r="M564" s="121"/>
      <c r="N564" s="121"/>
      <c r="O564" s="118"/>
    </row>
    <row r="565" customFormat="false" ht="15" hidden="false" customHeight="false" outlineLevel="0" collapsed="false">
      <c r="A565" s="122"/>
      <c r="B565" s="118"/>
      <c r="C565" s="117" t="str">
        <f aca="false">IF(B565="","",IFERROR(INDEX(الموظفون!$C$6:$C$105,MATCH(B565,الموظفون!$B$6:$B$105,0)),"✖ رقم غير موجود"))</f>
        <v/>
      </c>
      <c r="D565" s="123"/>
      <c r="E565" s="123"/>
      <c r="F565" s="123"/>
      <c r="G565" s="121"/>
      <c r="H565" s="121"/>
      <c r="I565" s="121"/>
      <c r="J565" s="121"/>
      <c r="K565" s="123"/>
      <c r="L565" s="123"/>
      <c r="M565" s="121"/>
      <c r="N565" s="121"/>
      <c r="O565" s="118"/>
    </row>
    <row r="566" customFormat="false" ht="15" hidden="false" customHeight="false" outlineLevel="0" collapsed="false">
      <c r="A566" s="122"/>
      <c r="B566" s="118"/>
      <c r="C566" s="114" t="str">
        <f aca="false">IF(B566="","",IFERROR(INDEX(الموظفون!$C$6:$C$105,MATCH(B566,الموظفون!$B$6:$B$105,0)),"✖ رقم غير موجود"))</f>
        <v/>
      </c>
      <c r="D566" s="123"/>
      <c r="E566" s="123"/>
      <c r="F566" s="123"/>
      <c r="G566" s="121"/>
      <c r="H566" s="121"/>
      <c r="I566" s="121"/>
      <c r="J566" s="121"/>
      <c r="K566" s="123"/>
      <c r="L566" s="123"/>
      <c r="M566" s="121"/>
      <c r="N566" s="121"/>
      <c r="O566" s="118"/>
    </row>
    <row r="567" customFormat="false" ht="15" hidden="false" customHeight="false" outlineLevel="0" collapsed="false">
      <c r="A567" s="122"/>
      <c r="B567" s="118"/>
      <c r="C567" s="117" t="str">
        <f aca="false">IF(B567="","",IFERROR(INDEX(الموظفون!$C$6:$C$105,MATCH(B567,الموظفون!$B$6:$B$105,0)),"✖ رقم غير موجود"))</f>
        <v/>
      </c>
      <c r="D567" s="123"/>
      <c r="E567" s="123"/>
      <c r="F567" s="123"/>
      <c r="G567" s="121"/>
      <c r="H567" s="121"/>
      <c r="I567" s="121"/>
      <c r="J567" s="121"/>
      <c r="K567" s="123"/>
      <c r="L567" s="123"/>
      <c r="M567" s="121"/>
      <c r="N567" s="121"/>
      <c r="O567" s="118"/>
    </row>
    <row r="568" customFormat="false" ht="15" hidden="false" customHeight="false" outlineLevel="0" collapsed="false">
      <c r="A568" s="122"/>
      <c r="B568" s="118"/>
      <c r="C568" s="114" t="str">
        <f aca="false">IF(B568="","",IFERROR(INDEX(الموظفون!$C$6:$C$105,MATCH(B568,الموظفون!$B$6:$B$105,0)),"✖ رقم غير موجود"))</f>
        <v/>
      </c>
      <c r="D568" s="123"/>
      <c r="E568" s="123"/>
      <c r="F568" s="123"/>
      <c r="G568" s="121"/>
      <c r="H568" s="121"/>
      <c r="I568" s="121"/>
      <c r="J568" s="121"/>
      <c r="K568" s="123"/>
      <c r="L568" s="123"/>
      <c r="M568" s="121"/>
      <c r="N568" s="121"/>
      <c r="O568" s="118"/>
    </row>
    <row r="569" customFormat="false" ht="15" hidden="false" customHeight="false" outlineLevel="0" collapsed="false">
      <c r="A569" s="122"/>
      <c r="B569" s="118"/>
      <c r="C569" s="117" t="str">
        <f aca="false">IF(B569="","",IFERROR(INDEX(الموظفون!$C$6:$C$105,MATCH(B569,الموظفون!$B$6:$B$105,0)),"✖ رقم غير موجود"))</f>
        <v/>
      </c>
      <c r="D569" s="123"/>
      <c r="E569" s="123"/>
      <c r="F569" s="123"/>
      <c r="G569" s="121"/>
      <c r="H569" s="121"/>
      <c r="I569" s="121"/>
      <c r="J569" s="121"/>
      <c r="K569" s="123"/>
      <c r="L569" s="123"/>
      <c r="M569" s="121"/>
      <c r="N569" s="121"/>
      <c r="O569" s="118"/>
    </row>
    <row r="570" customFormat="false" ht="15" hidden="false" customHeight="false" outlineLevel="0" collapsed="false">
      <c r="A570" s="122"/>
      <c r="B570" s="118"/>
      <c r="C570" s="114" t="str">
        <f aca="false">IF(B570="","",IFERROR(INDEX(الموظفون!$C$6:$C$105,MATCH(B570,الموظفون!$B$6:$B$105,0)),"✖ رقم غير موجود"))</f>
        <v/>
      </c>
      <c r="D570" s="123"/>
      <c r="E570" s="123"/>
      <c r="F570" s="123"/>
      <c r="G570" s="121"/>
      <c r="H570" s="121"/>
      <c r="I570" s="121"/>
      <c r="J570" s="121"/>
      <c r="K570" s="123"/>
      <c r="L570" s="123"/>
      <c r="M570" s="121"/>
      <c r="N570" s="121"/>
      <c r="O570" s="118"/>
    </row>
    <row r="571" customFormat="false" ht="15" hidden="false" customHeight="false" outlineLevel="0" collapsed="false">
      <c r="A571" s="122"/>
      <c r="B571" s="118"/>
      <c r="C571" s="117" t="str">
        <f aca="false">IF(B571="","",IFERROR(INDEX(الموظفون!$C$6:$C$105,MATCH(B571,الموظفون!$B$6:$B$105,0)),"✖ رقم غير موجود"))</f>
        <v/>
      </c>
      <c r="D571" s="123"/>
      <c r="E571" s="123"/>
      <c r="F571" s="123"/>
      <c r="G571" s="121"/>
      <c r="H571" s="121"/>
      <c r="I571" s="121"/>
      <c r="J571" s="121"/>
      <c r="K571" s="123"/>
      <c r="L571" s="123"/>
      <c r="M571" s="121"/>
      <c r="N571" s="121"/>
      <c r="O571" s="118"/>
    </row>
    <row r="572" customFormat="false" ht="15" hidden="false" customHeight="false" outlineLevel="0" collapsed="false">
      <c r="A572" s="122"/>
      <c r="B572" s="118"/>
      <c r="C572" s="114" t="str">
        <f aca="false">IF(B572="","",IFERROR(INDEX(الموظفون!$C$6:$C$105,MATCH(B572,الموظفون!$B$6:$B$105,0)),"✖ رقم غير موجود"))</f>
        <v/>
      </c>
      <c r="D572" s="123"/>
      <c r="E572" s="123"/>
      <c r="F572" s="123"/>
      <c r="G572" s="121"/>
      <c r="H572" s="121"/>
      <c r="I572" s="121"/>
      <c r="J572" s="121"/>
      <c r="K572" s="123"/>
      <c r="L572" s="123"/>
      <c r="M572" s="121"/>
      <c r="N572" s="121"/>
      <c r="O572" s="118"/>
    </row>
    <row r="573" customFormat="false" ht="15" hidden="false" customHeight="false" outlineLevel="0" collapsed="false">
      <c r="A573" s="122"/>
      <c r="B573" s="118"/>
      <c r="C573" s="117" t="str">
        <f aca="false">IF(B573="","",IFERROR(INDEX(الموظفون!$C$6:$C$105,MATCH(B573,الموظفون!$B$6:$B$105,0)),"✖ رقم غير موجود"))</f>
        <v/>
      </c>
      <c r="D573" s="123"/>
      <c r="E573" s="123"/>
      <c r="F573" s="123"/>
      <c r="G573" s="121"/>
      <c r="H573" s="121"/>
      <c r="I573" s="121"/>
      <c r="J573" s="121"/>
      <c r="K573" s="123"/>
      <c r="L573" s="123"/>
      <c r="M573" s="121"/>
      <c r="N573" s="121"/>
      <c r="O573" s="118"/>
    </row>
    <row r="574" customFormat="false" ht="15" hidden="false" customHeight="false" outlineLevel="0" collapsed="false">
      <c r="A574" s="122"/>
      <c r="B574" s="118"/>
      <c r="C574" s="114" t="str">
        <f aca="false">IF(B574="","",IFERROR(INDEX(الموظفون!$C$6:$C$105,MATCH(B574,الموظفون!$B$6:$B$105,0)),"✖ رقم غير موجود"))</f>
        <v/>
      </c>
      <c r="D574" s="123"/>
      <c r="E574" s="123"/>
      <c r="F574" s="123"/>
      <c r="G574" s="121"/>
      <c r="H574" s="121"/>
      <c r="I574" s="121"/>
      <c r="J574" s="121"/>
      <c r="K574" s="123"/>
      <c r="L574" s="123"/>
      <c r="M574" s="121"/>
      <c r="N574" s="121"/>
      <c r="O574" s="118"/>
    </row>
    <row r="575" customFormat="false" ht="15" hidden="false" customHeight="false" outlineLevel="0" collapsed="false">
      <c r="A575" s="122"/>
      <c r="B575" s="118"/>
      <c r="C575" s="117" t="str">
        <f aca="false">IF(B575="","",IFERROR(INDEX(الموظفون!$C$6:$C$105,MATCH(B575,الموظفون!$B$6:$B$105,0)),"✖ رقم غير موجود"))</f>
        <v/>
      </c>
      <c r="D575" s="123"/>
      <c r="E575" s="123"/>
      <c r="F575" s="123"/>
      <c r="G575" s="121"/>
      <c r="H575" s="121"/>
      <c r="I575" s="121"/>
      <c r="J575" s="121"/>
      <c r="K575" s="123"/>
      <c r="L575" s="123"/>
      <c r="M575" s="121"/>
      <c r="N575" s="121"/>
      <c r="O575" s="118"/>
    </row>
    <row r="576" customFormat="false" ht="15" hidden="false" customHeight="false" outlineLevel="0" collapsed="false">
      <c r="A576" s="122"/>
      <c r="B576" s="118"/>
      <c r="C576" s="114" t="str">
        <f aca="false">IF(B576="","",IFERROR(INDEX(الموظفون!$C$6:$C$105,MATCH(B576,الموظفون!$B$6:$B$105,0)),"✖ رقم غير موجود"))</f>
        <v/>
      </c>
      <c r="D576" s="123"/>
      <c r="E576" s="123"/>
      <c r="F576" s="123"/>
      <c r="G576" s="121"/>
      <c r="H576" s="121"/>
      <c r="I576" s="121"/>
      <c r="J576" s="121"/>
      <c r="K576" s="123"/>
      <c r="L576" s="123"/>
      <c r="M576" s="121"/>
      <c r="N576" s="121"/>
      <c r="O576" s="118"/>
    </row>
    <row r="577" customFormat="false" ht="15" hidden="false" customHeight="false" outlineLevel="0" collapsed="false">
      <c r="A577" s="122"/>
      <c r="B577" s="118"/>
      <c r="C577" s="117" t="str">
        <f aca="false">IF(B577="","",IFERROR(INDEX(الموظفون!$C$6:$C$105,MATCH(B577,الموظفون!$B$6:$B$105,0)),"✖ رقم غير موجود"))</f>
        <v/>
      </c>
      <c r="D577" s="123"/>
      <c r="E577" s="123"/>
      <c r="F577" s="123"/>
      <c r="G577" s="121"/>
      <c r="H577" s="121"/>
      <c r="I577" s="121"/>
      <c r="J577" s="121"/>
      <c r="K577" s="123"/>
      <c r="L577" s="123"/>
      <c r="M577" s="121"/>
      <c r="N577" s="121"/>
      <c r="O577" s="118"/>
    </row>
    <row r="578" customFormat="false" ht="15" hidden="false" customHeight="false" outlineLevel="0" collapsed="false">
      <c r="A578" s="122"/>
      <c r="B578" s="118"/>
      <c r="C578" s="114" t="str">
        <f aca="false">IF(B578="","",IFERROR(INDEX(الموظفون!$C$6:$C$105,MATCH(B578,الموظفون!$B$6:$B$105,0)),"✖ رقم غير موجود"))</f>
        <v/>
      </c>
      <c r="D578" s="123"/>
      <c r="E578" s="123"/>
      <c r="F578" s="123"/>
      <c r="G578" s="121"/>
      <c r="H578" s="121"/>
      <c r="I578" s="121"/>
      <c r="J578" s="121"/>
      <c r="K578" s="123"/>
      <c r="L578" s="123"/>
      <c r="M578" s="121"/>
      <c r="N578" s="121"/>
      <c r="O578" s="118"/>
    </row>
    <row r="579" customFormat="false" ht="15" hidden="false" customHeight="false" outlineLevel="0" collapsed="false">
      <c r="A579" s="122"/>
      <c r="B579" s="118"/>
      <c r="C579" s="117" t="str">
        <f aca="false">IF(B579="","",IFERROR(INDEX(الموظفون!$C$6:$C$105,MATCH(B579,الموظفون!$B$6:$B$105,0)),"✖ رقم غير موجود"))</f>
        <v/>
      </c>
      <c r="D579" s="123"/>
      <c r="E579" s="123"/>
      <c r="F579" s="123"/>
      <c r="G579" s="121"/>
      <c r="H579" s="121"/>
      <c r="I579" s="121"/>
      <c r="J579" s="121"/>
      <c r="K579" s="123"/>
      <c r="L579" s="123"/>
      <c r="M579" s="121"/>
      <c r="N579" s="121"/>
      <c r="O579" s="118"/>
    </row>
    <row r="580" customFormat="false" ht="15" hidden="false" customHeight="false" outlineLevel="0" collapsed="false">
      <c r="A580" s="122"/>
      <c r="B580" s="118"/>
      <c r="C580" s="114" t="str">
        <f aca="false">IF(B580="","",IFERROR(INDEX(الموظفون!$C$6:$C$105,MATCH(B580,الموظفون!$B$6:$B$105,0)),"✖ رقم غير موجود"))</f>
        <v/>
      </c>
      <c r="D580" s="123"/>
      <c r="E580" s="123"/>
      <c r="F580" s="123"/>
      <c r="G580" s="121"/>
      <c r="H580" s="121"/>
      <c r="I580" s="121"/>
      <c r="J580" s="121"/>
      <c r="K580" s="123"/>
      <c r="L580" s="123"/>
      <c r="M580" s="121"/>
      <c r="N580" s="121"/>
      <c r="O580" s="118"/>
    </row>
    <row r="581" customFormat="false" ht="15" hidden="false" customHeight="false" outlineLevel="0" collapsed="false">
      <c r="A581" s="122"/>
      <c r="B581" s="118"/>
      <c r="C581" s="117" t="str">
        <f aca="false">IF(B581="","",IFERROR(INDEX(الموظفون!$C$6:$C$105,MATCH(B581,الموظفون!$B$6:$B$105,0)),"✖ رقم غير موجود"))</f>
        <v/>
      </c>
      <c r="D581" s="123"/>
      <c r="E581" s="123"/>
      <c r="F581" s="123"/>
      <c r="G581" s="121"/>
      <c r="H581" s="121"/>
      <c r="I581" s="121"/>
      <c r="J581" s="121"/>
      <c r="K581" s="123"/>
      <c r="L581" s="123"/>
      <c r="M581" s="121"/>
      <c r="N581" s="121"/>
      <c r="O581" s="118"/>
    </row>
    <row r="582" customFormat="false" ht="15" hidden="false" customHeight="false" outlineLevel="0" collapsed="false">
      <c r="A582" s="122"/>
      <c r="B582" s="118"/>
      <c r="C582" s="114" t="str">
        <f aca="false">IF(B582="","",IFERROR(INDEX(الموظفون!$C$6:$C$105,MATCH(B582,الموظفون!$B$6:$B$105,0)),"✖ رقم غير موجود"))</f>
        <v/>
      </c>
      <c r="D582" s="123"/>
      <c r="E582" s="123"/>
      <c r="F582" s="123"/>
      <c r="G582" s="121"/>
      <c r="H582" s="121"/>
      <c r="I582" s="121"/>
      <c r="J582" s="121"/>
      <c r="K582" s="123"/>
      <c r="L582" s="123"/>
      <c r="M582" s="121"/>
      <c r="N582" s="121"/>
      <c r="O582" s="118"/>
    </row>
    <row r="583" customFormat="false" ht="15" hidden="false" customHeight="false" outlineLevel="0" collapsed="false">
      <c r="A583" s="122"/>
      <c r="B583" s="118"/>
      <c r="C583" s="117" t="str">
        <f aca="false">IF(B583="","",IFERROR(INDEX(الموظفون!$C$6:$C$105,MATCH(B583,الموظفون!$B$6:$B$105,0)),"✖ رقم غير موجود"))</f>
        <v/>
      </c>
      <c r="D583" s="123"/>
      <c r="E583" s="123"/>
      <c r="F583" s="123"/>
      <c r="G583" s="121"/>
      <c r="H583" s="121"/>
      <c r="I583" s="121"/>
      <c r="J583" s="121"/>
      <c r="K583" s="123"/>
      <c r="L583" s="123"/>
      <c r="M583" s="121"/>
      <c r="N583" s="121"/>
      <c r="O583" s="118"/>
    </row>
    <row r="584" customFormat="false" ht="15" hidden="false" customHeight="false" outlineLevel="0" collapsed="false">
      <c r="A584" s="122"/>
      <c r="B584" s="118"/>
      <c r="C584" s="114" t="str">
        <f aca="false">IF(B584="","",IFERROR(INDEX(الموظفون!$C$6:$C$105,MATCH(B584,الموظفون!$B$6:$B$105,0)),"✖ رقم غير موجود"))</f>
        <v/>
      </c>
      <c r="D584" s="123"/>
      <c r="E584" s="123"/>
      <c r="F584" s="123"/>
      <c r="G584" s="121"/>
      <c r="H584" s="121"/>
      <c r="I584" s="121"/>
      <c r="J584" s="121"/>
      <c r="K584" s="123"/>
      <c r="L584" s="123"/>
      <c r="M584" s="121"/>
      <c r="N584" s="121"/>
      <c r="O584" s="118"/>
    </row>
    <row r="585" customFormat="false" ht="15" hidden="false" customHeight="false" outlineLevel="0" collapsed="false">
      <c r="A585" s="122"/>
      <c r="B585" s="118"/>
      <c r="C585" s="117" t="str">
        <f aca="false">IF(B585="","",IFERROR(INDEX(الموظفون!$C$6:$C$105,MATCH(B585,الموظفون!$B$6:$B$105,0)),"✖ رقم غير موجود"))</f>
        <v/>
      </c>
      <c r="D585" s="123"/>
      <c r="E585" s="123"/>
      <c r="F585" s="123"/>
      <c r="G585" s="121"/>
      <c r="H585" s="121"/>
      <c r="I585" s="121"/>
      <c r="J585" s="121"/>
      <c r="K585" s="123"/>
      <c r="L585" s="123"/>
      <c r="M585" s="121"/>
      <c r="N585" s="121"/>
      <c r="O585" s="118"/>
    </row>
    <row r="586" customFormat="false" ht="15" hidden="false" customHeight="false" outlineLevel="0" collapsed="false">
      <c r="A586" s="122"/>
      <c r="B586" s="118"/>
      <c r="C586" s="114" t="str">
        <f aca="false">IF(B586="","",IFERROR(INDEX(الموظفون!$C$6:$C$105,MATCH(B586,الموظفون!$B$6:$B$105,0)),"✖ رقم غير موجود"))</f>
        <v/>
      </c>
      <c r="D586" s="123"/>
      <c r="E586" s="123"/>
      <c r="F586" s="123"/>
      <c r="G586" s="121"/>
      <c r="H586" s="121"/>
      <c r="I586" s="121"/>
      <c r="J586" s="121"/>
      <c r="K586" s="123"/>
      <c r="L586" s="123"/>
      <c r="M586" s="121"/>
      <c r="N586" s="121"/>
      <c r="O586" s="118"/>
    </row>
    <row r="587" customFormat="false" ht="15" hidden="false" customHeight="false" outlineLevel="0" collapsed="false">
      <c r="A587" s="122"/>
      <c r="B587" s="118"/>
      <c r="C587" s="117" t="str">
        <f aca="false">IF(B587="","",IFERROR(INDEX(الموظفون!$C$6:$C$105,MATCH(B587,الموظفون!$B$6:$B$105,0)),"✖ رقم غير موجود"))</f>
        <v/>
      </c>
      <c r="D587" s="123"/>
      <c r="E587" s="123"/>
      <c r="F587" s="123"/>
      <c r="G587" s="121"/>
      <c r="H587" s="121"/>
      <c r="I587" s="121"/>
      <c r="J587" s="121"/>
      <c r="K587" s="123"/>
      <c r="L587" s="123"/>
      <c r="M587" s="121"/>
      <c r="N587" s="121"/>
      <c r="O587" s="118"/>
    </row>
    <row r="588" customFormat="false" ht="15" hidden="false" customHeight="false" outlineLevel="0" collapsed="false">
      <c r="A588" s="122"/>
      <c r="B588" s="118"/>
      <c r="C588" s="114" t="str">
        <f aca="false">IF(B588="","",IFERROR(INDEX(الموظفون!$C$6:$C$105,MATCH(B588,الموظفون!$B$6:$B$105,0)),"✖ رقم غير موجود"))</f>
        <v/>
      </c>
      <c r="D588" s="123"/>
      <c r="E588" s="123"/>
      <c r="F588" s="123"/>
      <c r="G588" s="121"/>
      <c r="H588" s="121"/>
      <c r="I588" s="121"/>
      <c r="J588" s="121"/>
      <c r="K588" s="123"/>
      <c r="L588" s="123"/>
      <c r="M588" s="121"/>
      <c r="N588" s="121"/>
      <c r="O588" s="118"/>
    </row>
    <row r="589" customFormat="false" ht="15" hidden="false" customHeight="false" outlineLevel="0" collapsed="false">
      <c r="A589" s="122"/>
      <c r="B589" s="118"/>
      <c r="C589" s="117" t="str">
        <f aca="false">IF(B589="","",IFERROR(INDEX(الموظفون!$C$6:$C$105,MATCH(B589,الموظفون!$B$6:$B$105,0)),"✖ رقم غير موجود"))</f>
        <v/>
      </c>
      <c r="D589" s="123"/>
      <c r="E589" s="123"/>
      <c r="F589" s="123"/>
      <c r="G589" s="121"/>
      <c r="H589" s="121"/>
      <c r="I589" s="121"/>
      <c r="J589" s="121"/>
      <c r="K589" s="123"/>
      <c r="L589" s="123"/>
      <c r="M589" s="121"/>
      <c r="N589" s="121"/>
      <c r="O589" s="118"/>
    </row>
    <row r="590" customFormat="false" ht="15" hidden="false" customHeight="false" outlineLevel="0" collapsed="false">
      <c r="A590" s="122"/>
      <c r="B590" s="118"/>
      <c r="C590" s="114" t="str">
        <f aca="false">IF(B590="","",IFERROR(INDEX(الموظفون!$C$6:$C$105,MATCH(B590,الموظفون!$B$6:$B$105,0)),"✖ رقم غير موجود"))</f>
        <v/>
      </c>
      <c r="D590" s="123"/>
      <c r="E590" s="123"/>
      <c r="F590" s="123"/>
      <c r="G590" s="121"/>
      <c r="H590" s="121"/>
      <c r="I590" s="121"/>
      <c r="J590" s="121"/>
      <c r="K590" s="123"/>
      <c r="L590" s="123"/>
      <c r="M590" s="121"/>
      <c r="N590" s="121"/>
      <c r="O590" s="118"/>
    </row>
    <row r="591" customFormat="false" ht="15" hidden="false" customHeight="false" outlineLevel="0" collapsed="false">
      <c r="A591" s="122"/>
      <c r="B591" s="118"/>
      <c r="C591" s="117" t="str">
        <f aca="false">IF(B591="","",IFERROR(INDEX(الموظفون!$C$6:$C$105,MATCH(B591,الموظفون!$B$6:$B$105,0)),"✖ رقم غير موجود"))</f>
        <v/>
      </c>
      <c r="D591" s="123"/>
      <c r="E591" s="123"/>
      <c r="F591" s="123"/>
      <c r="G591" s="121"/>
      <c r="H591" s="121"/>
      <c r="I591" s="121"/>
      <c r="J591" s="121"/>
      <c r="K591" s="123"/>
      <c r="L591" s="123"/>
      <c r="M591" s="121"/>
      <c r="N591" s="121"/>
      <c r="O591" s="118"/>
    </row>
    <row r="592" customFormat="false" ht="15" hidden="false" customHeight="false" outlineLevel="0" collapsed="false">
      <c r="A592" s="122"/>
      <c r="B592" s="118"/>
      <c r="C592" s="114" t="str">
        <f aca="false">IF(B592="","",IFERROR(INDEX(الموظفون!$C$6:$C$105,MATCH(B592,الموظفون!$B$6:$B$105,0)),"✖ رقم غير موجود"))</f>
        <v/>
      </c>
      <c r="D592" s="123"/>
      <c r="E592" s="123"/>
      <c r="F592" s="123"/>
      <c r="G592" s="121"/>
      <c r="H592" s="121"/>
      <c r="I592" s="121"/>
      <c r="J592" s="121"/>
      <c r="K592" s="123"/>
      <c r="L592" s="123"/>
      <c r="M592" s="121"/>
      <c r="N592" s="121"/>
      <c r="O592" s="118"/>
    </row>
    <row r="593" customFormat="false" ht="15" hidden="false" customHeight="false" outlineLevel="0" collapsed="false">
      <c r="A593" s="122"/>
      <c r="B593" s="118"/>
      <c r="C593" s="117" t="str">
        <f aca="false">IF(B593="","",IFERROR(INDEX(الموظفون!$C$6:$C$105,MATCH(B593,الموظفون!$B$6:$B$105,0)),"✖ رقم غير موجود"))</f>
        <v/>
      </c>
      <c r="D593" s="123"/>
      <c r="E593" s="123"/>
      <c r="F593" s="123"/>
      <c r="G593" s="121"/>
      <c r="H593" s="121"/>
      <c r="I593" s="121"/>
      <c r="J593" s="121"/>
      <c r="K593" s="123"/>
      <c r="L593" s="123"/>
      <c r="M593" s="121"/>
      <c r="N593" s="121"/>
      <c r="O593" s="118"/>
    </row>
    <row r="594" customFormat="false" ht="15" hidden="false" customHeight="false" outlineLevel="0" collapsed="false">
      <c r="A594" s="122"/>
      <c r="B594" s="118"/>
      <c r="C594" s="114" t="str">
        <f aca="false">IF(B594="","",IFERROR(INDEX(الموظفون!$C$6:$C$105,MATCH(B594,الموظفون!$B$6:$B$105,0)),"✖ رقم غير موجود"))</f>
        <v/>
      </c>
      <c r="D594" s="123"/>
      <c r="E594" s="123"/>
      <c r="F594" s="123"/>
      <c r="G594" s="121"/>
      <c r="H594" s="121"/>
      <c r="I594" s="121"/>
      <c r="J594" s="121"/>
      <c r="K594" s="123"/>
      <c r="L594" s="123"/>
      <c r="M594" s="121"/>
      <c r="N594" s="121"/>
      <c r="O594" s="118"/>
    </row>
    <row r="595" customFormat="false" ht="15" hidden="false" customHeight="false" outlineLevel="0" collapsed="false">
      <c r="A595" s="122"/>
      <c r="B595" s="118"/>
      <c r="C595" s="117" t="str">
        <f aca="false">IF(B595="","",IFERROR(INDEX(الموظفون!$C$6:$C$105,MATCH(B595,الموظفون!$B$6:$B$105,0)),"✖ رقم غير موجود"))</f>
        <v/>
      </c>
      <c r="D595" s="123"/>
      <c r="E595" s="123"/>
      <c r="F595" s="123"/>
      <c r="G595" s="121"/>
      <c r="H595" s="121"/>
      <c r="I595" s="121"/>
      <c r="J595" s="121"/>
      <c r="K595" s="123"/>
      <c r="L595" s="123"/>
      <c r="M595" s="121"/>
      <c r="N595" s="121"/>
      <c r="O595" s="118"/>
    </row>
    <row r="596" customFormat="false" ht="15" hidden="false" customHeight="false" outlineLevel="0" collapsed="false">
      <c r="A596" s="122"/>
      <c r="B596" s="118"/>
      <c r="C596" s="114" t="str">
        <f aca="false">IF(B596="","",IFERROR(INDEX(الموظفون!$C$6:$C$105,MATCH(B596,الموظفون!$B$6:$B$105,0)),"✖ رقم غير موجود"))</f>
        <v/>
      </c>
      <c r="D596" s="123"/>
      <c r="E596" s="123"/>
      <c r="F596" s="123"/>
      <c r="G596" s="121"/>
      <c r="H596" s="121"/>
      <c r="I596" s="121"/>
      <c r="J596" s="121"/>
      <c r="K596" s="123"/>
      <c r="L596" s="123"/>
      <c r="M596" s="121"/>
      <c r="N596" s="121"/>
      <c r="O596" s="118"/>
    </row>
    <row r="597" customFormat="false" ht="15" hidden="false" customHeight="false" outlineLevel="0" collapsed="false">
      <c r="A597" s="122"/>
      <c r="B597" s="118"/>
      <c r="C597" s="117" t="str">
        <f aca="false">IF(B597="","",IFERROR(INDEX(الموظفون!$C$6:$C$105,MATCH(B597,الموظفون!$B$6:$B$105,0)),"✖ رقم غير موجود"))</f>
        <v/>
      </c>
      <c r="D597" s="123"/>
      <c r="E597" s="123"/>
      <c r="F597" s="123"/>
      <c r="G597" s="121"/>
      <c r="H597" s="121"/>
      <c r="I597" s="121"/>
      <c r="J597" s="121"/>
      <c r="K597" s="123"/>
      <c r="L597" s="123"/>
      <c r="M597" s="121"/>
      <c r="N597" s="121"/>
      <c r="O597" s="118"/>
    </row>
    <row r="598" customFormat="false" ht="15" hidden="false" customHeight="false" outlineLevel="0" collapsed="false">
      <c r="A598" s="122"/>
      <c r="B598" s="118"/>
      <c r="C598" s="114" t="str">
        <f aca="false">IF(B598="","",IFERROR(INDEX(الموظفون!$C$6:$C$105,MATCH(B598,الموظفون!$B$6:$B$105,0)),"✖ رقم غير موجود"))</f>
        <v/>
      </c>
      <c r="D598" s="123"/>
      <c r="E598" s="123"/>
      <c r="F598" s="123"/>
      <c r="G598" s="121"/>
      <c r="H598" s="121"/>
      <c r="I598" s="121"/>
      <c r="J598" s="121"/>
      <c r="K598" s="123"/>
      <c r="L598" s="123"/>
      <c r="M598" s="121"/>
      <c r="N598" s="121"/>
      <c r="O598" s="118"/>
    </row>
    <row r="599" customFormat="false" ht="15" hidden="false" customHeight="false" outlineLevel="0" collapsed="false">
      <c r="A599" s="122"/>
      <c r="B599" s="118"/>
      <c r="C599" s="117" t="str">
        <f aca="false">IF(B599="","",IFERROR(INDEX(الموظفون!$C$6:$C$105,MATCH(B599,الموظفون!$B$6:$B$105,0)),"✖ رقم غير موجود"))</f>
        <v/>
      </c>
      <c r="D599" s="123"/>
      <c r="E599" s="123"/>
      <c r="F599" s="123"/>
      <c r="G599" s="121"/>
      <c r="H599" s="121"/>
      <c r="I599" s="121"/>
      <c r="J599" s="121"/>
      <c r="K599" s="123"/>
      <c r="L599" s="123"/>
      <c r="M599" s="121"/>
      <c r="N599" s="121"/>
      <c r="O599" s="118"/>
    </row>
    <row r="600" customFormat="false" ht="15" hidden="false" customHeight="false" outlineLevel="0" collapsed="false">
      <c r="A600" s="122"/>
      <c r="B600" s="118"/>
      <c r="C600" s="114" t="str">
        <f aca="false">IF(B600="","",IFERROR(INDEX(الموظفون!$C$6:$C$105,MATCH(B600,الموظفون!$B$6:$B$105,0)),"✖ رقم غير موجود"))</f>
        <v/>
      </c>
      <c r="D600" s="123"/>
      <c r="E600" s="123"/>
      <c r="F600" s="123"/>
      <c r="G600" s="121"/>
      <c r="H600" s="121"/>
      <c r="I600" s="121"/>
      <c r="J600" s="121"/>
      <c r="K600" s="123"/>
      <c r="L600" s="123"/>
      <c r="M600" s="121"/>
      <c r="N600" s="121"/>
      <c r="O600" s="118"/>
    </row>
    <row r="601" customFormat="false" ht="15" hidden="false" customHeight="false" outlineLevel="0" collapsed="false">
      <c r="A601" s="122"/>
      <c r="B601" s="118"/>
      <c r="C601" s="117" t="str">
        <f aca="false">IF(B601="","",IFERROR(INDEX(الموظفون!$C$6:$C$105,MATCH(B601,الموظفون!$B$6:$B$105,0)),"✖ رقم غير موجود"))</f>
        <v/>
      </c>
      <c r="D601" s="123"/>
      <c r="E601" s="123"/>
      <c r="F601" s="123"/>
      <c r="G601" s="121"/>
      <c r="H601" s="121"/>
      <c r="I601" s="121"/>
      <c r="J601" s="121"/>
      <c r="K601" s="123"/>
      <c r="L601" s="123"/>
      <c r="M601" s="121"/>
      <c r="N601" s="121"/>
      <c r="O601" s="118"/>
    </row>
    <row r="602" customFormat="false" ht="15" hidden="false" customHeight="false" outlineLevel="0" collapsed="false">
      <c r="A602" s="122"/>
      <c r="B602" s="118"/>
      <c r="C602" s="114" t="str">
        <f aca="false">IF(B602="","",IFERROR(INDEX(الموظفون!$C$6:$C$105,MATCH(B602,الموظفون!$B$6:$B$105,0)),"✖ رقم غير موجود"))</f>
        <v/>
      </c>
      <c r="D602" s="123"/>
      <c r="E602" s="123"/>
      <c r="F602" s="123"/>
      <c r="G602" s="121"/>
      <c r="H602" s="121"/>
      <c r="I602" s="121"/>
      <c r="J602" s="121"/>
      <c r="K602" s="123"/>
      <c r="L602" s="123"/>
      <c r="M602" s="121"/>
      <c r="N602" s="121"/>
      <c r="O602" s="118"/>
    </row>
    <row r="603" customFormat="false" ht="15" hidden="false" customHeight="false" outlineLevel="0" collapsed="false">
      <c r="A603" s="122"/>
      <c r="B603" s="118"/>
      <c r="C603" s="117" t="str">
        <f aca="false">IF(B603="","",IFERROR(INDEX(الموظفون!$C$6:$C$105,MATCH(B603,الموظفون!$B$6:$B$105,0)),"✖ رقم غير موجود"))</f>
        <v/>
      </c>
      <c r="D603" s="123"/>
      <c r="E603" s="123"/>
      <c r="F603" s="123"/>
      <c r="G603" s="121"/>
      <c r="H603" s="121"/>
      <c r="I603" s="121"/>
      <c r="J603" s="121"/>
      <c r="K603" s="123"/>
      <c r="L603" s="123"/>
      <c r="M603" s="121"/>
      <c r="N603" s="121"/>
      <c r="O603" s="118"/>
    </row>
    <row r="604" customFormat="false" ht="15" hidden="false" customHeight="false" outlineLevel="0" collapsed="false">
      <c r="A604" s="122"/>
      <c r="B604" s="118"/>
      <c r="C604" s="114" t="str">
        <f aca="false">IF(B604="","",IFERROR(INDEX(الموظفون!$C$6:$C$105,MATCH(B604,الموظفون!$B$6:$B$105,0)),"✖ رقم غير موجود"))</f>
        <v/>
      </c>
      <c r="D604" s="123"/>
      <c r="E604" s="123"/>
      <c r="F604" s="123"/>
      <c r="G604" s="121"/>
      <c r="H604" s="121"/>
      <c r="I604" s="121"/>
      <c r="J604" s="121"/>
      <c r="K604" s="123"/>
      <c r="L604" s="123"/>
      <c r="M604" s="121"/>
      <c r="N604" s="121"/>
      <c r="O604" s="118"/>
    </row>
    <row r="605" customFormat="false" ht="15" hidden="false" customHeight="false" outlineLevel="0" collapsed="false">
      <c r="A605" s="122"/>
      <c r="B605" s="118"/>
      <c r="C605" s="117" t="str">
        <f aca="false">IF(B605="","",IFERROR(INDEX(الموظفون!$C$6:$C$105,MATCH(B605,الموظفون!$B$6:$B$105,0)),"✖ رقم غير موجود"))</f>
        <v/>
      </c>
      <c r="D605" s="123"/>
      <c r="E605" s="123"/>
      <c r="F605" s="123"/>
      <c r="G605" s="121"/>
      <c r="H605" s="121"/>
      <c r="I605" s="121"/>
      <c r="J605" s="121"/>
      <c r="K605" s="123"/>
      <c r="L605" s="123"/>
      <c r="M605" s="121"/>
      <c r="N605" s="121"/>
      <c r="O605" s="118"/>
    </row>
    <row r="606" customFormat="false" ht="15" hidden="false" customHeight="false" outlineLevel="0" collapsed="false">
      <c r="A606" s="122"/>
      <c r="B606" s="118"/>
      <c r="C606" s="114" t="str">
        <f aca="false">IF(B606="","",IFERROR(INDEX(الموظفون!$C$6:$C$105,MATCH(B606,الموظفون!$B$6:$B$105,0)),"✖ رقم غير موجود"))</f>
        <v/>
      </c>
      <c r="D606" s="123"/>
      <c r="E606" s="123"/>
      <c r="F606" s="123"/>
      <c r="G606" s="121"/>
      <c r="H606" s="121"/>
      <c r="I606" s="121"/>
      <c r="J606" s="121"/>
      <c r="K606" s="123"/>
      <c r="L606" s="123"/>
      <c r="M606" s="121"/>
      <c r="N606" s="121"/>
      <c r="O606" s="118"/>
    </row>
    <row r="607" customFormat="false" ht="15" hidden="false" customHeight="false" outlineLevel="0" collapsed="false">
      <c r="A607" s="122"/>
      <c r="B607" s="118"/>
      <c r="C607" s="117" t="str">
        <f aca="false">IF(B607="","",IFERROR(INDEX(الموظفون!$C$6:$C$105,MATCH(B607,الموظفون!$B$6:$B$105,0)),"✖ رقم غير موجود"))</f>
        <v/>
      </c>
      <c r="D607" s="123"/>
      <c r="E607" s="123"/>
      <c r="F607" s="123"/>
      <c r="G607" s="121"/>
      <c r="H607" s="121"/>
      <c r="I607" s="121"/>
      <c r="J607" s="121"/>
      <c r="K607" s="123"/>
      <c r="L607" s="123"/>
      <c r="M607" s="121"/>
      <c r="N607" s="121"/>
      <c r="O607" s="118"/>
    </row>
    <row r="608" customFormat="false" ht="15" hidden="false" customHeight="false" outlineLevel="0" collapsed="false">
      <c r="A608" s="122"/>
      <c r="B608" s="118"/>
      <c r="C608" s="114" t="str">
        <f aca="false">IF(B608="","",IFERROR(INDEX(الموظفون!$C$6:$C$105,MATCH(B608,الموظفون!$B$6:$B$105,0)),"✖ رقم غير موجود"))</f>
        <v/>
      </c>
      <c r="D608" s="123"/>
      <c r="E608" s="123"/>
      <c r="F608" s="123"/>
      <c r="G608" s="121"/>
      <c r="H608" s="121"/>
      <c r="I608" s="121"/>
      <c r="J608" s="121"/>
      <c r="K608" s="123"/>
      <c r="L608" s="123"/>
      <c r="M608" s="121"/>
      <c r="N608" s="121"/>
      <c r="O608" s="118"/>
    </row>
    <row r="609" customFormat="false" ht="15" hidden="false" customHeight="false" outlineLevel="0" collapsed="false">
      <c r="A609" s="122"/>
      <c r="B609" s="118"/>
      <c r="C609" s="117" t="str">
        <f aca="false">IF(B609="","",IFERROR(INDEX(الموظفون!$C$6:$C$105,MATCH(B609,الموظفون!$B$6:$B$105,0)),"✖ رقم غير موجود"))</f>
        <v/>
      </c>
      <c r="D609" s="123"/>
      <c r="E609" s="123"/>
      <c r="F609" s="123"/>
      <c r="G609" s="121"/>
      <c r="H609" s="121"/>
      <c r="I609" s="121"/>
      <c r="J609" s="121"/>
      <c r="K609" s="123"/>
      <c r="L609" s="123"/>
      <c r="M609" s="121"/>
      <c r="N609" s="121"/>
      <c r="O609" s="118"/>
    </row>
    <row r="610" customFormat="false" ht="15" hidden="false" customHeight="false" outlineLevel="0" collapsed="false">
      <c r="A610" s="122"/>
      <c r="B610" s="118"/>
      <c r="C610" s="114" t="str">
        <f aca="false">IF(B610="","",IFERROR(INDEX(الموظفون!$C$6:$C$105,MATCH(B610,الموظفون!$B$6:$B$105,0)),"✖ رقم غير موجود"))</f>
        <v/>
      </c>
      <c r="D610" s="123"/>
      <c r="E610" s="123"/>
      <c r="F610" s="123"/>
      <c r="G610" s="121"/>
      <c r="H610" s="121"/>
      <c r="I610" s="121"/>
      <c r="J610" s="121"/>
      <c r="K610" s="123"/>
      <c r="L610" s="123"/>
      <c r="M610" s="121"/>
      <c r="N610" s="121"/>
      <c r="O610" s="118"/>
    </row>
    <row r="611" customFormat="false" ht="15" hidden="false" customHeight="false" outlineLevel="0" collapsed="false">
      <c r="A611" s="122"/>
      <c r="B611" s="118"/>
      <c r="C611" s="117" t="str">
        <f aca="false">IF(B611="","",IFERROR(INDEX(الموظفون!$C$6:$C$105,MATCH(B611,الموظفون!$B$6:$B$105,0)),"✖ رقم غير موجود"))</f>
        <v/>
      </c>
      <c r="D611" s="123"/>
      <c r="E611" s="123"/>
      <c r="F611" s="123"/>
      <c r="G611" s="121"/>
      <c r="H611" s="121"/>
      <c r="I611" s="121"/>
      <c r="J611" s="121"/>
      <c r="K611" s="123"/>
      <c r="L611" s="123"/>
      <c r="M611" s="121"/>
      <c r="N611" s="121"/>
      <c r="O611" s="118"/>
    </row>
    <row r="612" customFormat="false" ht="15" hidden="false" customHeight="false" outlineLevel="0" collapsed="false">
      <c r="A612" s="122"/>
      <c r="B612" s="118"/>
      <c r="C612" s="114" t="str">
        <f aca="false">IF(B612="","",IFERROR(INDEX(الموظفون!$C$6:$C$105,MATCH(B612,الموظفون!$B$6:$B$105,0)),"✖ رقم غير موجود"))</f>
        <v/>
      </c>
      <c r="D612" s="123"/>
      <c r="E612" s="123"/>
      <c r="F612" s="123"/>
      <c r="G612" s="121"/>
      <c r="H612" s="121"/>
      <c r="I612" s="121"/>
      <c r="J612" s="121"/>
      <c r="K612" s="123"/>
      <c r="L612" s="123"/>
      <c r="M612" s="121"/>
      <c r="N612" s="121"/>
      <c r="O612" s="118"/>
    </row>
    <row r="613" customFormat="false" ht="15" hidden="false" customHeight="false" outlineLevel="0" collapsed="false">
      <c r="A613" s="122"/>
      <c r="B613" s="118"/>
      <c r="C613" s="117" t="str">
        <f aca="false">IF(B613="","",IFERROR(INDEX(الموظفون!$C$6:$C$105,MATCH(B613,الموظفون!$B$6:$B$105,0)),"✖ رقم غير موجود"))</f>
        <v/>
      </c>
      <c r="D613" s="123"/>
      <c r="E613" s="123"/>
      <c r="F613" s="123"/>
      <c r="G613" s="121"/>
      <c r="H613" s="121"/>
      <c r="I613" s="121"/>
      <c r="J613" s="121"/>
      <c r="K613" s="123"/>
      <c r="L613" s="123"/>
      <c r="M613" s="121"/>
      <c r="N613" s="121"/>
      <c r="O613" s="118"/>
    </row>
    <row r="614" customFormat="false" ht="15" hidden="false" customHeight="false" outlineLevel="0" collapsed="false">
      <c r="A614" s="122"/>
      <c r="B614" s="118"/>
      <c r="C614" s="114" t="str">
        <f aca="false">IF(B614="","",IFERROR(INDEX(الموظفون!$C$6:$C$105,MATCH(B614,الموظفون!$B$6:$B$105,0)),"✖ رقم غير موجود"))</f>
        <v/>
      </c>
      <c r="D614" s="123"/>
      <c r="E614" s="123"/>
      <c r="F614" s="123"/>
      <c r="G614" s="121"/>
      <c r="H614" s="121"/>
      <c r="I614" s="121"/>
      <c r="J614" s="121"/>
      <c r="K614" s="123"/>
      <c r="L614" s="123"/>
      <c r="M614" s="121"/>
      <c r="N614" s="121"/>
      <c r="O614" s="118"/>
    </row>
    <row r="615" customFormat="false" ht="15" hidden="false" customHeight="false" outlineLevel="0" collapsed="false">
      <c r="A615" s="122"/>
      <c r="B615" s="118"/>
      <c r="C615" s="117" t="str">
        <f aca="false">IF(B615="","",IFERROR(INDEX(الموظفون!$C$6:$C$105,MATCH(B615,الموظفون!$B$6:$B$105,0)),"✖ رقم غير موجود"))</f>
        <v/>
      </c>
      <c r="D615" s="123"/>
      <c r="E615" s="123"/>
      <c r="F615" s="123"/>
      <c r="G615" s="121"/>
      <c r="H615" s="121"/>
      <c r="I615" s="121"/>
      <c r="J615" s="121"/>
      <c r="K615" s="123"/>
      <c r="L615" s="123"/>
      <c r="M615" s="121"/>
      <c r="N615" s="121"/>
      <c r="O615" s="118"/>
    </row>
    <row r="616" customFormat="false" ht="15" hidden="false" customHeight="false" outlineLevel="0" collapsed="false">
      <c r="A616" s="122"/>
      <c r="B616" s="118"/>
      <c r="C616" s="114" t="str">
        <f aca="false">IF(B616="","",IFERROR(INDEX(الموظفون!$C$6:$C$105,MATCH(B616,الموظفون!$B$6:$B$105,0)),"✖ رقم غير موجود"))</f>
        <v/>
      </c>
      <c r="D616" s="123"/>
      <c r="E616" s="123"/>
      <c r="F616" s="123"/>
      <c r="G616" s="121"/>
      <c r="H616" s="121"/>
      <c r="I616" s="121"/>
      <c r="J616" s="121"/>
      <c r="K616" s="123"/>
      <c r="L616" s="123"/>
      <c r="M616" s="121"/>
      <c r="N616" s="121"/>
      <c r="O616" s="118"/>
    </row>
    <row r="617" customFormat="false" ht="15" hidden="false" customHeight="false" outlineLevel="0" collapsed="false">
      <c r="A617" s="122"/>
      <c r="B617" s="118"/>
      <c r="C617" s="117" t="str">
        <f aca="false">IF(B617="","",IFERROR(INDEX(الموظفون!$C$6:$C$105,MATCH(B617,الموظفون!$B$6:$B$105,0)),"✖ رقم غير موجود"))</f>
        <v/>
      </c>
      <c r="D617" s="123"/>
      <c r="E617" s="123"/>
      <c r="F617" s="123"/>
      <c r="G617" s="121"/>
      <c r="H617" s="121"/>
      <c r="I617" s="121"/>
      <c r="J617" s="121"/>
      <c r="K617" s="123"/>
      <c r="L617" s="123"/>
      <c r="M617" s="121"/>
      <c r="N617" s="121"/>
      <c r="O617" s="118"/>
    </row>
    <row r="618" customFormat="false" ht="15" hidden="false" customHeight="false" outlineLevel="0" collapsed="false">
      <c r="A618" s="122"/>
      <c r="B618" s="118"/>
      <c r="C618" s="114" t="str">
        <f aca="false">IF(B618="","",IFERROR(INDEX(الموظفون!$C$6:$C$105,MATCH(B618,الموظفون!$B$6:$B$105,0)),"✖ رقم غير موجود"))</f>
        <v/>
      </c>
      <c r="D618" s="123"/>
      <c r="E618" s="123"/>
      <c r="F618" s="123"/>
      <c r="G618" s="121"/>
      <c r="H618" s="121"/>
      <c r="I618" s="121"/>
      <c r="J618" s="121"/>
      <c r="K618" s="123"/>
      <c r="L618" s="123"/>
      <c r="M618" s="121"/>
      <c r="N618" s="121"/>
      <c r="O618" s="118"/>
    </row>
    <row r="619" customFormat="false" ht="15" hidden="false" customHeight="false" outlineLevel="0" collapsed="false">
      <c r="A619" s="122"/>
      <c r="B619" s="118"/>
      <c r="C619" s="117" t="str">
        <f aca="false">IF(B619="","",IFERROR(INDEX(الموظفون!$C$6:$C$105,MATCH(B619,الموظفون!$B$6:$B$105,0)),"✖ رقم غير موجود"))</f>
        <v/>
      </c>
      <c r="D619" s="123"/>
      <c r="E619" s="123"/>
      <c r="F619" s="123"/>
      <c r="G619" s="121"/>
      <c r="H619" s="121"/>
      <c r="I619" s="121"/>
      <c r="J619" s="121"/>
      <c r="K619" s="123"/>
      <c r="L619" s="123"/>
      <c r="M619" s="121"/>
      <c r="N619" s="121"/>
      <c r="O619" s="118"/>
    </row>
    <row r="620" customFormat="false" ht="15" hidden="false" customHeight="false" outlineLevel="0" collapsed="false">
      <c r="A620" s="122"/>
      <c r="B620" s="118"/>
      <c r="C620" s="114" t="str">
        <f aca="false">IF(B620="","",IFERROR(INDEX(الموظفون!$C$6:$C$105,MATCH(B620,الموظفون!$B$6:$B$105,0)),"✖ رقم غير موجود"))</f>
        <v/>
      </c>
      <c r="D620" s="123"/>
      <c r="E620" s="123"/>
      <c r="F620" s="123"/>
      <c r="G620" s="121"/>
      <c r="H620" s="121"/>
      <c r="I620" s="121"/>
      <c r="J620" s="121"/>
      <c r="K620" s="123"/>
      <c r="L620" s="123"/>
      <c r="M620" s="121"/>
      <c r="N620" s="121"/>
      <c r="O620" s="118"/>
    </row>
    <row r="621" customFormat="false" ht="15" hidden="false" customHeight="false" outlineLevel="0" collapsed="false">
      <c r="A621" s="122"/>
      <c r="B621" s="118"/>
      <c r="C621" s="117" t="str">
        <f aca="false">IF(B621="","",IFERROR(INDEX(الموظفون!$C$6:$C$105,MATCH(B621,الموظفون!$B$6:$B$105,0)),"✖ رقم غير موجود"))</f>
        <v/>
      </c>
      <c r="D621" s="123"/>
      <c r="E621" s="123"/>
      <c r="F621" s="123"/>
      <c r="G621" s="121"/>
      <c r="H621" s="121"/>
      <c r="I621" s="121"/>
      <c r="J621" s="121"/>
      <c r="K621" s="123"/>
      <c r="L621" s="123"/>
      <c r="M621" s="121"/>
      <c r="N621" s="121"/>
      <c r="O621" s="118"/>
    </row>
    <row r="622" customFormat="false" ht="15" hidden="false" customHeight="false" outlineLevel="0" collapsed="false">
      <c r="A622" s="122"/>
      <c r="B622" s="118"/>
      <c r="C622" s="114" t="str">
        <f aca="false">IF(B622="","",IFERROR(INDEX(الموظفون!$C$6:$C$105,MATCH(B622,الموظفون!$B$6:$B$105,0)),"✖ رقم غير موجود"))</f>
        <v/>
      </c>
      <c r="D622" s="123"/>
      <c r="E622" s="123"/>
      <c r="F622" s="123"/>
      <c r="G622" s="121"/>
      <c r="H622" s="121"/>
      <c r="I622" s="121"/>
      <c r="J622" s="121"/>
      <c r="K622" s="123"/>
      <c r="L622" s="123"/>
      <c r="M622" s="121"/>
      <c r="N622" s="121"/>
      <c r="O622" s="118"/>
    </row>
    <row r="623" customFormat="false" ht="15" hidden="false" customHeight="false" outlineLevel="0" collapsed="false">
      <c r="A623" s="122"/>
      <c r="B623" s="118"/>
      <c r="C623" s="117" t="str">
        <f aca="false">IF(B623="","",IFERROR(INDEX(الموظفون!$C$6:$C$105,MATCH(B623,الموظفون!$B$6:$B$105,0)),"✖ رقم غير موجود"))</f>
        <v/>
      </c>
      <c r="D623" s="123"/>
      <c r="E623" s="123"/>
      <c r="F623" s="123"/>
      <c r="G623" s="121"/>
      <c r="H623" s="121"/>
      <c r="I623" s="121"/>
      <c r="J623" s="121"/>
      <c r="K623" s="123"/>
      <c r="L623" s="123"/>
      <c r="M623" s="121"/>
      <c r="N623" s="121"/>
      <c r="O623" s="118"/>
    </row>
    <row r="624" customFormat="false" ht="15" hidden="false" customHeight="false" outlineLevel="0" collapsed="false">
      <c r="A624" s="122"/>
      <c r="B624" s="118"/>
      <c r="C624" s="114" t="str">
        <f aca="false">IF(B624="","",IFERROR(INDEX(الموظفون!$C$6:$C$105,MATCH(B624,الموظفون!$B$6:$B$105,0)),"✖ رقم غير موجود"))</f>
        <v/>
      </c>
      <c r="D624" s="123"/>
      <c r="E624" s="123"/>
      <c r="F624" s="123"/>
      <c r="G624" s="121"/>
      <c r="H624" s="121"/>
      <c r="I624" s="121"/>
      <c r="J624" s="121"/>
      <c r="K624" s="123"/>
      <c r="L624" s="123"/>
      <c r="M624" s="121"/>
      <c r="N624" s="121"/>
      <c r="O624" s="118"/>
    </row>
    <row r="625" customFormat="false" ht="15" hidden="false" customHeight="false" outlineLevel="0" collapsed="false">
      <c r="A625" s="122"/>
      <c r="B625" s="118"/>
      <c r="C625" s="117" t="str">
        <f aca="false">IF(B625="","",IFERROR(INDEX(الموظفون!$C$6:$C$105,MATCH(B625,الموظفون!$B$6:$B$105,0)),"✖ رقم غير موجود"))</f>
        <v/>
      </c>
      <c r="D625" s="123"/>
      <c r="E625" s="123"/>
      <c r="F625" s="123"/>
      <c r="G625" s="121"/>
      <c r="H625" s="121"/>
      <c r="I625" s="121"/>
      <c r="J625" s="121"/>
      <c r="K625" s="123"/>
      <c r="L625" s="123"/>
      <c r="M625" s="121"/>
      <c r="N625" s="121"/>
      <c r="O625" s="118"/>
    </row>
    <row r="626" customFormat="false" ht="15" hidden="false" customHeight="false" outlineLevel="0" collapsed="false">
      <c r="A626" s="122"/>
      <c r="B626" s="118"/>
      <c r="C626" s="114" t="str">
        <f aca="false">IF(B626="","",IFERROR(INDEX(الموظفون!$C$6:$C$105,MATCH(B626,الموظفون!$B$6:$B$105,0)),"✖ رقم غير موجود"))</f>
        <v/>
      </c>
      <c r="D626" s="123"/>
      <c r="E626" s="123"/>
      <c r="F626" s="123"/>
      <c r="G626" s="121"/>
      <c r="H626" s="121"/>
      <c r="I626" s="121"/>
      <c r="J626" s="121"/>
      <c r="K626" s="123"/>
      <c r="L626" s="123"/>
      <c r="M626" s="121"/>
      <c r="N626" s="121"/>
      <c r="O626" s="118"/>
    </row>
    <row r="627" customFormat="false" ht="15" hidden="false" customHeight="false" outlineLevel="0" collapsed="false">
      <c r="A627" s="122"/>
      <c r="B627" s="118"/>
      <c r="C627" s="117" t="str">
        <f aca="false">IF(B627="","",IFERROR(INDEX(الموظفون!$C$6:$C$105,MATCH(B627,الموظفون!$B$6:$B$105,0)),"✖ رقم غير موجود"))</f>
        <v/>
      </c>
      <c r="D627" s="123"/>
      <c r="E627" s="123"/>
      <c r="F627" s="123"/>
      <c r="G627" s="121"/>
      <c r="H627" s="121"/>
      <c r="I627" s="121"/>
      <c r="J627" s="121"/>
      <c r="K627" s="123"/>
      <c r="L627" s="123"/>
      <c r="M627" s="121"/>
      <c r="N627" s="121"/>
      <c r="O627" s="118"/>
    </row>
    <row r="628" customFormat="false" ht="15" hidden="false" customHeight="false" outlineLevel="0" collapsed="false">
      <c r="A628" s="122"/>
      <c r="B628" s="118"/>
      <c r="C628" s="114" t="str">
        <f aca="false">IF(B628="","",IFERROR(INDEX(الموظفون!$C$6:$C$105,MATCH(B628,الموظفون!$B$6:$B$105,0)),"✖ رقم غير موجود"))</f>
        <v/>
      </c>
      <c r="D628" s="123"/>
      <c r="E628" s="123"/>
      <c r="F628" s="123"/>
      <c r="G628" s="121"/>
      <c r="H628" s="121"/>
      <c r="I628" s="121"/>
      <c r="J628" s="121"/>
      <c r="K628" s="123"/>
      <c r="L628" s="123"/>
      <c r="M628" s="121"/>
      <c r="N628" s="121"/>
      <c r="O628" s="118"/>
    </row>
    <row r="629" customFormat="false" ht="15" hidden="false" customHeight="false" outlineLevel="0" collapsed="false">
      <c r="A629" s="122"/>
      <c r="B629" s="118"/>
      <c r="C629" s="117" t="str">
        <f aca="false">IF(B629="","",IFERROR(INDEX(الموظفون!$C$6:$C$105,MATCH(B629,الموظفون!$B$6:$B$105,0)),"✖ رقم غير موجود"))</f>
        <v/>
      </c>
      <c r="D629" s="123"/>
      <c r="E629" s="123"/>
      <c r="F629" s="123"/>
      <c r="G629" s="121"/>
      <c r="H629" s="121"/>
      <c r="I629" s="121"/>
      <c r="J629" s="121"/>
      <c r="K629" s="123"/>
      <c r="L629" s="123"/>
      <c r="M629" s="121"/>
      <c r="N629" s="121"/>
      <c r="O629" s="118"/>
    </row>
    <row r="630" customFormat="false" ht="15" hidden="false" customHeight="false" outlineLevel="0" collapsed="false">
      <c r="A630" s="122"/>
      <c r="B630" s="118"/>
      <c r="C630" s="114" t="str">
        <f aca="false">IF(B630="","",IFERROR(INDEX(الموظفون!$C$6:$C$105,MATCH(B630,الموظفون!$B$6:$B$105,0)),"✖ رقم غير موجود"))</f>
        <v/>
      </c>
      <c r="D630" s="123"/>
      <c r="E630" s="123"/>
      <c r="F630" s="123"/>
      <c r="G630" s="121"/>
      <c r="H630" s="121"/>
      <c r="I630" s="121"/>
      <c r="J630" s="121"/>
      <c r="K630" s="123"/>
      <c r="L630" s="123"/>
      <c r="M630" s="121"/>
      <c r="N630" s="121"/>
      <c r="O630" s="118"/>
    </row>
    <row r="631" customFormat="false" ht="15" hidden="false" customHeight="false" outlineLevel="0" collapsed="false">
      <c r="A631" s="122"/>
      <c r="B631" s="118"/>
      <c r="C631" s="117" t="str">
        <f aca="false">IF(B631="","",IFERROR(INDEX(الموظفون!$C$6:$C$105,MATCH(B631,الموظفون!$B$6:$B$105,0)),"✖ رقم غير موجود"))</f>
        <v/>
      </c>
      <c r="D631" s="123"/>
      <c r="E631" s="123"/>
      <c r="F631" s="123"/>
      <c r="G631" s="121"/>
      <c r="H631" s="121"/>
      <c r="I631" s="121"/>
      <c r="J631" s="121"/>
      <c r="K631" s="123"/>
      <c r="L631" s="123"/>
      <c r="M631" s="121"/>
      <c r="N631" s="121"/>
      <c r="O631" s="118"/>
    </row>
    <row r="632" customFormat="false" ht="15" hidden="false" customHeight="false" outlineLevel="0" collapsed="false">
      <c r="A632" s="122"/>
      <c r="B632" s="118"/>
      <c r="C632" s="114" t="str">
        <f aca="false">IF(B632="","",IFERROR(INDEX(الموظفون!$C$6:$C$105,MATCH(B632,الموظفون!$B$6:$B$105,0)),"✖ رقم غير موجود"))</f>
        <v/>
      </c>
      <c r="D632" s="123"/>
      <c r="E632" s="123"/>
      <c r="F632" s="123"/>
      <c r="G632" s="121"/>
      <c r="H632" s="121"/>
      <c r="I632" s="121"/>
      <c r="J632" s="121"/>
      <c r="K632" s="123"/>
      <c r="L632" s="123"/>
      <c r="M632" s="121"/>
      <c r="N632" s="121"/>
      <c r="O632" s="118"/>
    </row>
    <row r="633" customFormat="false" ht="15" hidden="false" customHeight="false" outlineLevel="0" collapsed="false">
      <c r="A633" s="122"/>
      <c r="B633" s="118"/>
      <c r="C633" s="117" t="str">
        <f aca="false">IF(B633="","",IFERROR(INDEX(الموظفون!$C$6:$C$105,MATCH(B633,الموظفون!$B$6:$B$105,0)),"✖ رقم غير موجود"))</f>
        <v/>
      </c>
      <c r="D633" s="123"/>
      <c r="E633" s="123"/>
      <c r="F633" s="123"/>
      <c r="G633" s="121"/>
      <c r="H633" s="121"/>
      <c r="I633" s="121"/>
      <c r="J633" s="121"/>
      <c r="K633" s="123"/>
      <c r="L633" s="123"/>
      <c r="M633" s="121"/>
      <c r="N633" s="121"/>
      <c r="O633" s="118"/>
    </row>
    <row r="634" customFormat="false" ht="15" hidden="false" customHeight="false" outlineLevel="0" collapsed="false">
      <c r="A634" s="122"/>
      <c r="B634" s="118"/>
      <c r="C634" s="114" t="str">
        <f aca="false">IF(B634="","",IFERROR(INDEX(الموظفون!$C$6:$C$105,MATCH(B634,الموظفون!$B$6:$B$105,0)),"✖ رقم غير موجود"))</f>
        <v/>
      </c>
      <c r="D634" s="123"/>
      <c r="E634" s="123"/>
      <c r="F634" s="123"/>
      <c r="G634" s="121"/>
      <c r="H634" s="121"/>
      <c r="I634" s="121"/>
      <c r="J634" s="121"/>
      <c r="K634" s="123"/>
      <c r="L634" s="123"/>
      <c r="M634" s="121"/>
      <c r="N634" s="121"/>
      <c r="O634" s="118"/>
    </row>
    <row r="635" customFormat="false" ht="15" hidden="false" customHeight="false" outlineLevel="0" collapsed="false">
      <c r="A635" s="122"/>
      <c r="B635" s="118"/>
      <c r="C635" s="117" t="str">
        <f aca="false">IF(B635="","",IFERROR(INDEX(الموظفون!$C$6:$C$105,MATCH(B635,الموظفون!$B$6:$B$105,0)),"✖ رقم غير موجود"))</f>
        <v/>
      </c>
      <c r="D635" s="123"/>
      <c r="E635" s="123"/>
      <c r="F635" s="123"/>
      <c r="G635" s="121"/>
      <c r="H635" s="121"/>
      <c r="I635" s="121"/>
      <c r="J635" s="121"/>
      <c r="K635" s="123"/>
      <c r="L635" s="123"/>
      <c r="M635" s="121"/>
      <c r="N635" s="121"/>
      <c r="O635" s="118"/>
    </row>
    <row r="636" customFormat="false" ht="15" hidden="false" customHeight="false" outlineLevel="0" collapsed="false">
      <c r="A636" s="122"/>
      <c r="B636" s="118"/>
      <c r="C636" s="114" t="str">
        <f aca="false">IF(B636="","",IFERROR(INDEX(الموظفون!$C$6:$C$105,MATCH(B636,الموظفون!$B$6:$B$105,0)),"✖ رقم غير موجود"))</f>
        <v/>
      </c>
      <c r="D636" s="123"/>
      <c r="E636" s="123"/>
      <c r="F636" s="123"/>
      <c r="G636" s="121"/>
      <c r="H636" s="121"/>
      <c r="I636" s="121"/>
      <c r="J636" s="121"/>
      <c r="K636" s="123"/>
      <c r="L636" s="123"/>
      <c r="M636" s="121"/>
      <c r="N636" s="121"/>
      <c r="O636" s="118"/>
    </row>
    <row r="637" customFormat="false" ht="15" hidden="false" customHeight="false" outlineLevel="0" collapsed="false">
      <c r="A637" s="122"/>
      <c r="B637" s="118"/>
      <c r="C637" s="117" t="str">
        <f aca="false">IF(B637="","",IFERROR(INDEX(الموظفون!$C$6:$C$105,MATCH(B637,الموظفون!$B$6:$B$105,0)),"✖ رقم غير موجود"))</f>
        <v/>
      </c>
      <c r="D637" s="123"/>
      <c r="E637" s="123"/>
      <c r="F637" s="123"/>
      <c r="G637" s="121"/>
      <c r="H637" s="121"/>
      <c r="I637" s="121"/>
      <c r="J637" s="121"/>
      <c r="K637" s="123"/>
      <c r="L637" s="123"/>
      <c r="M637" s="121"/>
      <c r="N637" s="121"/>
      <c r="O637" s="118"/>
    </row>
    <row r="638" customFormat="false" ht="15" hidden="false" customHeight="false" outlineLevel="0" collapsed="false">
      <c r="A638" s="122"/>
      <c r="B638" s="118"/>
      <c r="C638" s="114" t="str">
        <f aca="false">IF(B638="","",IFERROR(INDEX(الموظفون!$C$6:$C$105,MATCH(B638,الموظفون!$B$6:$B$105,0)),"✖ رقم غير موجود"))</f>
        <v/>
      </c>
      <c r="D638" s="123"/>
      <c r="E638" s="123"/>
      <c r="F638" s="123"/>
      <c r="G638" s="121"/>
      <c r="H638" s="121"/>
      <c r="I638" s="121"/>
      <c r="J638" s="121"/>
      <c r="K638" s="123"/>
      <c r="L638" s="123"/>
      <c r="M638" s="121"/>
      <c r="N638" s="121"/>
      <c r="O638" s="118"/>
    </row>
    <row r="639" customFormat="false" ht="15" hidden="false" customHeight="false" outlineLevel="0" collapsed="false">
      <c r="A639" s="122"/>
      <c r="B639" s="118"/>
      <c r="C639" s="117" t="str">
        <f aca="false">IF(B639="","",IFERROR(INDEX(الموظفون!$C$6:$C$105,MATCH(B639,الموظفون!$B$6:$B$105,0)),"✖ رقم غير موجود"))</f>
        <v/>
      </c>
      <c r="D639" s="123"/>
      <c r="E639" s="123"/>
      <c r="F639" s="123"/>
      <c r="G639" s="121"/>
      <c r="H639" s="121"/>
      <c r="I639" s="121"/>
      <c r="J639" s="121"/>
      <c r="K639" s="123"/>
      <c r="L639" s="123"/>
      <c r="M639" s="121"/>
      <c r="N639" s="121"/>
      <c r="O639" s="118"/>
    </row>
    <row r="640" customFormat="false" ht="15" hidden="false" customHeight="false" outlineLevel="0" collapsed="false">
      <c r="A640" s="122"/>
      <c r="B640" s="118"/>
      <c r="C640" s="114" t="str">
        <f aca="false">IF(B640="","",IFERROR(INDEX(الموظفون!$C$6:$C$105,MATCH(B640,الموظفون!$B$6:$B$105,0)),"✖ رقم غير موجود"))</f>
        <v/>
      </c>
      <c r="D640" s="123"/>
      <c r="E640" s="123"/>
      <c r="F640" s="123"/>
      <c r="G640" s="121"/>
      <c r="H640" s="121"/>
      <c r="I640" s="121"/>
      <c r="J640" s="121"/>
      <c r="K640" s="123"/>
      <c r="L640" s="123"/>
      <c r="M640" s="121"/>
      <c r="N640" s="121"/>
      <c r="O640" s="118"/>
    </row>
    <row r="641" customFormat="false" ht="15" hidden="false" customHeight="false" outlineLevel="0" collapsed="false">
      <c r="A641" s="122"/>
      <c r="B641" s="118"/>
      <c r="C641" s="117" t="str">
        <f aca="false">IF(B641="","",IFERROR(INDEX(الموظفون!$C$6:$C$105,MATCH(B641,الموظفون!$B$6:$B$105,0)),"✖ رقم غير موجود"))</f>
        <v/>
      </c>
      <c r="D641" s="123"/>
      <c r="E641" s="123"/>
      <c r="F641" s="123"/>
      <c r="G641" s="121"/>
      <c r="H641" s="121"/>
      <c r="I641" s="121"/>
      <c r="J641" s="121"/>
      <c r="K641" s="123"/>
      <c r="L641" s="123"/>
      <c r="M641" s="121"/>
      <c r="N641" s="121"/>
      <c r="O641" s="118"/>
    </row>
    <row r="642" customFormat="false" ht="15" hidden="false" customHeight="false" outlineLevel="0" collapsed="false">
      <c r="A642" s="122"/>
      <c r="B642" s="118"/>
      <c r="C642" s="114" t="str">
        <f aca="false">IF(B642="","",IFERROR(INDEX(الموظفون!$C$6:$C$105,MATCH(B642,الموظفون!$B$6:$B$105,0)),"✖ رقم غير موجود"))</f>
        <v/>
      </c>
      <c r="D642" s="123"/>
      <c r="E642" s="123"/>
      <c r="F642" s="123"/>
      <c r="G642" s="121"/>
      <c r="H642" s="121"/>
      <c r="I642" s="121"/>
      <c r="J642" s="121"/>
      <c r="K642" s="123"/>
      <c r="L642" s="123"/>
      <c r="M642" s="121"/>
      <c r="N642" s="121"/>
      <c r="O642" s="118"/>
    </row>
    <row r="643" customFormat="false" ht="15" hidden="false" customHeight="false" outlineLevel="0" collapsed="false">
      <c r="A643" s="122"/>
      <c r="B643" s="118"/>
      <c r="C643" s="117" t="str">
        <f aca="false">IF(B643="","",IFERROR(INDEX(الموظفون!$C$6:$C$105,MATCH(B643,الموظفون!$B$6:$B$105,0)),"✖ رقم غير موجود"))</f>
        <v/>
      </c>
      <c r="D643" s="123"/>
      <c r="E643" s="123"/>
      <c r="F643" s="123"/>
      <c r="G643" s="121"/>
      <c r="H643" s="121"/>
      <c r="I643" s="121"/>
      <c r="J643" s="121"/>
      <c r="K643" s="123"/>
      <c r="L643" s="123"/>
      <c r="M643" s="121"/>
      <c r="N643" s="121"/>
      <c r="O643" s="118"/>
    </row>
    <row r="644" customFormat="false" ht="15" hidden="false" customHeight="false" outlineLevel="0" collapsed="false">
      <c r="A644" s="122"/>
      <c r="B644" s="118"/>
      <c r="C644" s="114" t="str">
        <f aca="false">IF(B644="","",IFERROR(INDEX(الموظفون!$C$6:$C$105,MATCH(B644,الموظفون!$B$6:$B$105,0)),"✖ رقم غير موجود"))</f>
        <v/>
      </c>
      <c r="D644" s="123"/>
      <c r="E644" s="123"/>
      <c r="F644" s="123"/>
      <c r="G644" s="121"/>
      <c r="H644" s="121"/>
      <c r="I644" s="121"/>
      <c r="J644" s="121"/>
      <c r="K644" s="123"/>
      <c r="L644" s="123"/>
      <c r="M644" s="121"/>
      <c r="N644" s="121"/>
      <c r="O644" s="118"/>
    </row>
    <row r="645" customFormat="false" ht="15" hidden="false" customHeight="false" outlineLevel="0" collapsed="false">
      <c r="A645" s="122"/>
      <c r="B645" s="118"/>
      <c r="C645" s="117" t="str">
        <f aca="false">IF(B645="","",IFERROR(INDEX(الموظفون!$C$6:$C$105,MATCH(B645,الموظفون!$B$6:$B$105,0)),"✖ رقم غير موجود"))</f>
        <v/>
      </c>
      <c r="D645" s="123"/>
      <c r="E645" s="123"/>
      <c r="F645" s="123"/>
      <c r="G645" s="121"/>
      <c r="H645" s="121"/>
      <c r="I645" s="121"/>
      <c r="J645" s="121"/>
      <c r="K645" s="123"/>
      <c r="L645" s="123"/>
      <c r="M645" s="121"/>
      <c r="N645" s="121"/>
      <c r="O645" s="118"/>
    </row>
    <row r="646" customFormat="false" ht="15" hidden="false" customHeight="false" outlineLevel="0" collapsed="false">
      <c r="A646" s="122"/>
      <c r="B646" s="118"/>
      <c r="C646" s="114" t="str">
        <f aca="false">IF(B646="","",IFERROR(INDEX(الموظفون!$C$6:$C$105,MATCH(B646,الموظفون!$B$6:$B$105,0)),"✖ رقم غير موجود"))</f>
        <v/>
      </c>
      <c r="D646" s="123"/>
      <c r="E646" s="123"/>
      <c r="F646" s="123"/>
      <c r="G646" s="121"/>
      <c r="H646" s="121"/>
      <c r="I646" s="121"/>
      <c r="J646" s="121"/>
      <c r="K646" s="123"/>
      <c r="L646" s="123"/>
      <c r="M646" s="121"/>
      <c r="N646" s="121"/>
      <c r="O646" s="118"/>
    </row>
    <row r="647" customFormat="false" ht="15" hidden="false" customHeight="false" outlineLevel="0" collapsed="false">
      <c r="A647" s="122"/>
      <c r="B647" s="118"/>
      <c r="C647" s="117" t="str">
        <f aca="false">IF(B647="","",IFERROR(INDEX(الموظفون!$C$6:$C$105,MATCH(B647,الموظفون!$B$6:$B$105,0)),"✖ رقم غير موجود"))</f>
        <v/>
      </c>
      <c r="D647" s="123"/>
      <c r="E647" s="123"/>
      <c r="F647" s="123"/>
      <c r="G647" s="121"/>
      <c r="H647" s="121"/>
      <c r="I647" s="121"/>
      <c r="J647" s="121"/>
      <c r="K647" s="123"/>
      <c r="L647" s="123"/>
      <c r="M647" s="121"/>
      <c r="N647" s="121"/>
      <c r="O647" s="118"/>
    </row>
    <row r="648" customFormat="false" ht="15" hidden="false" customHeight="false" outlineLevel="0" collapsed="false">
      <c r="A648" s="122"/>
      <c r="B648" s="118"/>
      <c r="C648" s="114" t="str">
        <f aca="false">IF(B648="","",IFERROR(INDEX(الموظفون!$C$6:$C$105,MATCH(B648,الموظفون!$B$6:$B$105,0)),"✖ رقم غير موجود"))</f>
        <v/>
      </c>
      <c r="D648" s="123"/>
      <c r="E648" s="123"/>
      <c r="F648" s="123"/>
      <c r="G648" s="121"/>
      <c r="H648" s="121"/>
      <c r="I648" s="121"/>
      <c r="J648" s="121"/>
      <c r="K648" s="123"/>
      <c r="L648" s="123"/>
      <c r="M648" s="121"/>
      <c r="N648" s="121"/>
      <c r="O648" s="118"/>
    </row>
    <row r="649" customFormat="false" ht="15" hidden="false" customHeight="false" outlineLevel="0" collapsed="false">
      <c r="A649" s="122"/>
      <c r="B649" s="118"/>
      <c r="C649" s="117" t="str">
        <f aca="false">IF(B649="","",IFERROR(INDEX(الموظفون!$C$6:$C$105,MATCH(B649,الموظفون!$B$6:$B$105,0)),"✖ رقم غير موجود"))</f>
        <v/>
      </c>
      <c r="D649" s="123"/>
      <c r="E649" s="123"/>
      <c r="F649" s="123"/>
      <c r="G649" s="121"/>
      <c r="H649" s="121"/>
      <c r="I649" s="121"/>
      <c r="J649" s="121"/>
      <c r="K649" s="123"/>
      <c r="L649" s="123"/>
      <c r="M649" s="121"/>
      <c r="N649" s="121"/>
      <c r="O649" s="118"/>
    </row>
    <row r="650" customFormat="false" ht="15" hidden="false" customHeight="false" outlineLevel="0" collapsed="false">
      <c r="A650" s="122"/>
      <c r="B650" s="118"/>
      <c r="C650" s="114" t="str">
        <f aca="false">IF(B650="","",IFERROR(INDEX(الموظفون!$C$6:$C$105,MATCH(B650,الموظفون!$B$6:$B$105,0)),"✖ رقم غير موجود"))</f>
        <v/>
      </c>
      <c r="D650" s="123"/>
      <c r="E650" s="123"/>
      <c r="F650" s="123"/>
      <c r="G650" s="121"/>
      <c r="H650" s="121"/>
      <c r="I650" s="121"/>
      <c r="J650" s="121"/>
      <c r="K650" s="123"/>
      <c r="L650" s="123"/>
      <c r="M650" s="121"/>
      <c r="N650" s="121"/>
      <c r="O650" s="118"/>
    </row>
    <row r="651" customFormat="false" ht="15" hidden="false" customHeight="false" outlineLevel="0" collapsed="false">
      <c r="A651" s="122"/>
      <c r="B651" s="118"/>
      <c r="C651" s="117" t="str">
        <f aca="false">IF(B651="","",IFERROR(INDEX(الموظفون!$C$6:$C$105,MATCH(B651,الموظفون!$B$6:$B$105,0)),"✖ رقم غير موجود"))</f>
        <v/>
      </c>
      <c r="D651" s="123"/>
      <c r="E651" s="123"/>
      <c r="F651" s="123"/>
      <c r="G651" s="121"/>
      <c r="H651" s="121"/>
      <c r="I651" s="121"/>
      <c r="J651" s="121"/>
      <c r="K651" s="123"/>
      <c r="L651" s="123"/>
      <c r="M651" s="121"/>
      <c r="N651" s="121"/>
      <c r="O651" s="118"/>
    </row>
    <row r="652" customFormat="false" ht="15" hidden="false" customHeight="false" outlineLevel="0" collapsed="false">
      <c r="A652" s="122"/>
      <c r="B652" s="118"/>
      <c r="C652" s="114" t="str">
        <f aca="false">IF(B652="","",IFERROR(INDEX(الموظفون!$C$6:$C$105,MATCH(B652,الموظفون!$B$6:$B$105,0)),"✖ رقم غير موجود"))</f>
        <v/>
      </c>
      <c r="D652" s="123"/>
      <c r="E652" s="123"/>
      <c r="F652" s="123"/>
      <c r="G652" s="121"/>
      <c r="H652" s="121"/>
      <c r="I652" s="121"/>
      <c r="J652" s="121"/>
      <c r="K652" s="123"/>
      <c r="L652" s="123"/>
      <c r="M652" s="121"/>
      <c r="N652" s="121"/>
      <c r="O652" s="118"/>
    </row>
    <row r="653" customFormat="false" ht="15" hidden="false" customHeight="false" outlineLevel="0" collapsed="false">
      <c r="A653" s="122"/>
      <c r="B653" s="118"/>
      <c r="C653" s="117" t="str">
        <f aca="false">IF(B653="","",IFERROR(INDEX(الموظفون!$C$6:$C$105,MATCH(B653,الموظفون!$B$6:$B$105,0)),"✖ رقم غير موجود"))</f>
        <v/>
      </c>
      <c r="D653" s="123"/>
      <c r="E653" s="123"/>
      <c r="F653" s="123"/>
      <c r="G653" s="121"/>
      <c r="H653" s="121"/>
      <c r="I653" s="121"/>
      <c r="J653" s="121"/>
      <c r="K653" s="123"/>
      <c r="L653" s="123"/>
      <c r="M653" s="121"/>
      <c r="N653" s="121"/>
      <c r="O653" s="118"/>
    </row>
    <row r="654" customFormat="false" ht="15" hidden="false" customHeight="false" outlineLevel="0" collapsed="false">
      <c r="A654" s="122"/>
      <c r="B654" s="118"/>
      <c r="C654" s="114" t="str">
        <f aca="false">IF(B654="","",IFERROR(INDEX(الموظفون!$C$6:$C$105,MATCH(B654,الموظفون!$B$6:$B$105,0)),"✖ رقم غير موجود"))</f>
        <v/>
      </c>
      <c r="D654" s="123"/>
      <c r="E654" s="123"/>
      <c r="F654" s="123"/>
      <c r="G654" s="121"/>
      <c r="H654" s="121"/>
      <c r="I654" s="121"/>
      <c r="J654" s="121"/>
      <c r="K654" s="123"/>
      <c r="L654" s="123"/>
      <c r="M654" s="121"/>
      <c r="N654" s="121"/>
      <c r="O654" s="118"/>
    </row>
    <row r="655" customFormat="false" ht="15" hidden="false" customHeight="false" outlineLevel="0" collapsed="false">
      <c r="A655" s="122"/>
      <c r="B655" s="118"/>
      <c r="C655" s="117" t="str">
        <f aca="false">IF(B655="","",IFERROR(INDEX(الموظفون!$C$6:$C$105,MATCH(B655,الموظفون!$B$6:$B$105,0)),"✖ رقم غير موجود"))</f>
        <v/>
      </c>
      <c r="D655" s="123"/>
      <c r="E655" s="123"/>
      <c r="F655" s="123"/>
      <c r="G655" s="121"/>
      <c r="H655" s="121"/>
      <c r="I655" s="121"/>
      <c r="J655" s="121"/>
      <c r="K655" s="123"/>
      <c r="L655" s="123"/>
      <c r="M655" s="121"/>
      <c r="N655" s="121"/>
      <c r="O655" s="118"/>
    </row>
    <row r="656" customFormat="false" ht="15" hidden="false" customHeight="false" outlineLevel="0" collapsed="false">
      <c r="A656" s="122"/>
      <c r="B656" s="118"/>
      <c r="C656" s="114" t="str">
        <f aca="false">IF(B656="","",IFERROR(INDEX(الموظفون!$C$6:$C$105,MATCH(B656,الموظفون!$B$6:$B$105,0)),"✖ رقم غير موجود"))</f>
        <v/>
      </c>
      <c r="D656" s="123"/>
      <c r="E656" s="123"/>
      <c r="F656" s="123"/>
      <c r="G656" s="121"/>
      <c r="H656" s="121"/>
      <c r="I656" s="121"/>
      <c r="J656" s="121"/>
      <c r="K656" s="123"/>
      <c r="L656" s="123"/>
      <c r="M656" s="121"/>
      <c r="N656" s="121"/>
      <c r="O656" s="118"/>
    </row>
    <row r="657" customFormat="false" ht="15" hidden="false" customHeight="false" outlineLevel="0" collapsed="false">
      <c r="A657" s="122"/>
      <c r="B657" s="118"/>
      <c r="C657" s="117" t="str">
        <f aca="false">IF(B657="","",IFERROR(INDEX(الموظفون!$C$6:$C$105,MATCH(B657,الموظفون!$B$6:$B$105,0)),"✖ رقم غير موجود"))</f>
        <v/>
      </c>
      <c r="D657" s="123"/>
      <c r="E657" s="123"/>
      <c r="F657" s="123"/>
      <c r="G657" s="121"/>
      <c r="H657" s="121"/>
      <c r="I657" s="121"/>
      <c r="J657" s="121"/>
      <c r="K657" s="123"/>
      <c r="L657" s="123"/>
      <c r="M657" s="121"/>
      <c r="N657" s="121"/>
      <c r="O657" s="118"/>
    </row>
    <row r="658" customFormat="false" ht="15" hidden="false" customHeight="false" outlineLevel="0" collapsed="false">
      <c r="A658" s="122"/>
      <c r="B658" s="118"/>
      <c r="C658" s="114" t="str">
        <f aca="false">IF(B658="","",IFERROR(INDEX(الموظفون!$C$6:$C$105,MATCH(B658,الموظفون!$B$6:$B$105,0)),"✖ رقم غير موجود"))</f>
        <v/>
      </c>
      <c r="D658" s="123"/>
      <c r="E658" s="123"/>
      <c r="F658" s="123"/>
      <c r="G658" s="121"/>
      <c r="H658" s="121"/>
      <c r="I658" s="121"/>
      <c r="J658" s="121"/>
      <c r="K658" s="123"/>
      <c r="L658" s="123"/>
      <c r="M658" s="121"/>
      <c r="N658" s="121"/>
      <c r="O658" s="118"/>
    </row>
    <row r="659" customFormat="false" ht="15" hidden="false" customHeight="false" outlineLevel="0" collapsed="false">
      <c r="A659" s="122"/>
      <c r="B659" s="118"/>
      <c r="C659" s="117" t="str">
        <f aca="false">IF(B659="","",IFERROR(INDEX(الموظفون!$C$6:$C$105,MATCH(B659,الموظفون!$B$6:$B$105,0)),"✖ رقم غير موجود"))</f>
        <v/>
      </c>
      <c r="D659" s="123"/>
      <c r="E659" s="123"/>
      <c r="F659" s="123"/>
      <c r="G659" s="121"/>
      <c r="H659" s="121"/>
      <c r="I659" s="121"/>
      <c r="J659" s="121"/>
      <c r="K659" s="123"/>
      <c r="L659" s="123"/>
      <c r="M659" s="121"/>
      <c r="N659" s="121"/>
      <c r="O659" s="118"/>
    </row>
    <row r="660" customFormat="false" ht="15" hidden="false" customHeight="false" outlineLevel="0" collapsed="false">
      <c r="A660" s="122"/>
      <c r="B660" s="118"/>
      <c r="C660" s="114" t="str">
        <f aca="false">IF(B660="","",IFERROR(INDEX(الموظفون!$C$6:$C$105,MATCH(B660,الموظفون!$B$6:$B$105,0)),"✖ رقم غير موجود"))</f>
        <v/>
      </c>
      <c r="D660" s="123"/>
      <c r="E660" s="123"/>
      <c r="F660" s="123"/>
      <c r="G660" s="121"/>
      <c r="H660" s="121"/>
      <c r="I660" s="121"/>
      <c r="J660" s="121"/>
      <c r="K660" s="123"/>
      <c r="L660" s="123"/>
      <c r="M660" s="121"/>
      <c r="N660" s="121"/>
      <c r="O660" s="118"/>
    </row>
    <row r="661" customFormat="false" ht="15" hidden="false" customHeight="false" outlineLevel="0" collapsed="false">
      <c r="A661" s="122"/>
      <c r="B661" s="118"/>
      <c r="C661" s="117" t="str">
        <f aca="false">IF(B661="","",IFERROR(INDEX(الموظفون!$C$6:$C$105,MATCH(B661,الموظفون!$B$6:$B$105,0)),"✖ رقم غير موجود"))</f>
        <v/>
      </c>
      <c r="D661" s="123"/>
      <c r="E661" s="123"/>
      <c r="F661" s="123"/>
      <c r="G661" s="121"/>
      <c r="H661" s="121"/>
      <c r="I661" s="121"/>
      <c r="J661" s="121"/>
      <c r="K661" s="123"/>
      <c r="L661" s="123"/>
      <c r="M661" s="121"/>
      <c r="N661" s="121"/>
      <c r="O661" s="118"/>
    </row>
    <row r="662" customFormat="false" ht="15" hidden="false" customHeight="false" outlineLevel="0" collapsed="false">
      <c r="A662" s="122"/>
      <c r="B662" s="118"/>
      <c r="C662" s="114" t="str">
        <f aca="false">IF(B662="","",IFERROR(INDEX(الموظفون!$C$6:$C$105,MATCH(B662,الموظفون!$B$6:$B$105,0)),"✖ رقم غير موجود"))</f>
        <v/>
      </c>
      <c r="D662" s="123"/>
      <c r="E662" s="123"/>
      <c r="F662" s="123"/>
      <c r="G662" s="121"/>
      <c r="H662" s="121"/>
      <c r="I662" s="121"/>
      <c r="J662" s="121"/>
      <c r="K662" s="123"/>
      <c r="L662" s="123"/>
      <c r="M662" s="121"/>
      <c r="N662" s="121"/>
      <c r="O662" s="118"/>
    </row>
    <row r="663" customFormat="false" ht="15" hidden="false" customHeight="false" outlineLevel="0" collapsed="false">
      <c r="A663" s="122"/>
      <c r="B663" s="118"/>
      <c r="C663" s="117" t="str">
        <f aca="false">IF(B663="","",IFERROR(INDEX(الموظفون!$C$6:$C$105,MATCH(B663,الموظفون!$B$6:$B$105,0)),"✖ رقم غير موجود"))</f>
        <v/>
      </c>
      <c r="D663" s="123"/>
      <c r="E663" s="123"/>
      <c r="F663" s="123"/>
      <c r="G663" s="121"/>
      <c r="H663" s="121"/>
      <c r="I663" s="121"/>
      <c r="J663" s="121"/>
      <c r="K663" s="123"/>
      <c r="L663" s="123"/>
      <c r="M663" s="121"/>
      <c r="N663" s="121"/>
      <c r="O663" s="118"/>
    </row>
    <row r="664" customFormat="false" ht="15" hidden="false" customHeight="false" outlineLevel="0" collapsed="false">
      <c r="A664" s="122"/>
      <c r="B664" s="118"/>
      <c r="C664" s="114" t="str">
        <f aca="false">IF(B664="","",IFERROR(INDEX(الموظفون!$C$6:$C$105,MATCH(B664,الموظفون!$B$6:$B$105,0)),"✖ رقم غير موجود"))</f>
        <v/>
      </c>
      <c r="D664" s="123"/>
      <c r="E664" s="123"/>
      <c r="F664" s="123"/>
      <c r="G664" s="121"/>
      <c r="H664" s="121"/>
      <c r="I664" s="121"/>
      <c r="J664" s="121"/>
      <c r="K664" s="123"/>
      <c r="L664" s="123"/>
      <c r="M664" s="121"/>
      <c r="N664" s="121"/>
      <c r="O664" s="118"/>
    </row>
    <row r="665" customFormat="false" ht="15" hidden="false" customHeight="false" outlineLevel="0" collapsed="false">
      <c r="A665" s="122"/>
      <c r="B665" s="118"/>
      <c r="C665" s="117" t="str">
        <f aca="false">IF(B665="","",IFERROR(INDEX(الموظفون!$C$6:$C$105,MATCH(B665,الموظفون!$B$6:$B$105,0)),"✖ رقم غير موجود"))</f>
        <v/>
      </c>
      <c r="D665" s="123"/>
      <c r="E665" s="123"/>
      <c r="F665" s="123"/>
      <c r="G665" s="121"/>
      <c r="H665" s="121"/>
      <c r="I665" s="121"/>
      <c r="J665" s="121"/>
      <c r="K665" s="123"/>
      <c r="L665" s="123"/>
      <c r="M665" s="121"/>
      <c r="N665" s="121"/>
      <c r="O665" s="118"/>
    </row>
    <row r="666" customFormat="false" ht="15" hidden="false" customHeight="false" outlineLevel="0" collapsed="false">
      <c r="A666" s="122"/>
      <c r="B666" s="118"/>
      <c r="C666" s="114" t="str">
        <f aca="false">IF(B666="","",IFERROR(INDEX(الموظفون!$C$6:$C$105,MATCH(B666,الموظفون!$B$6:$B$105,0)),"✖ رقم غير موجود"))</f>
        <v/>
      </c>
      <c r="D666" s="123"/>
      <c r="E666" s="123"/>
      <c r="F666" s="123"/>
      <c r="G666" s="121"/>
      <c r="H666" s="121"/>
      <c r="I666" s="121"/>
      <c r="J666" s="121"/>
      <c r="K666" s="123"/>
      <c r="L666" s="123"/>
      <c r="M666" s="121"/>
      <c r="N666" s="121"/>
      <c r="O666" s="118"/>
    </row>
    <row r="667" customFormat="false" ht="15" hidden="false" customHeight="false" outlineLevel="0" collapsed="false">
      <c r="A667" s="122"/>
      <c r="B667" s="118"/>
      <c r="C667" s="117" t="str">
        <f aca="false">IF(B667="","",IFERROR(INDEX(الموظفون!$C$6:$C$105,MATCH(B667,الموظفون!$B$6:$B$105,0)),"✖ رقم غير موجود"))</f>
        <v/>
      </c>
      <c r="D667" s="123"/>
      <c r="E667" s="123"/>
      <c r="F667" s="123"/>
      <c r="G667" s="121"/>
      <c r="H667" s="121"/>
      <c r="I667" s="121"/>
      <c r="J667" s="121"/>
      <c r="K667" s="123"/>
      <c r="L667" s="123"/>
      <c r="M667" s="121"/>
      <c r="N667" s="121"/>
      <c r="O667" s="118"/>
    </row>
    <row r="668" customFormat="false" ht="15" hidden="false" customHeight="false" outlineLevel="0" collapsed="false">
      <c r="A668" s="122"/>
      <c r="B668" s="118"/>
      <c r="C668" s="114" t="str">
        <f aca="false">IF(B668="","",IFERROR(INDEX(الموظفون!$C$6:$C$105,MATCH(B668,الموظفون!$B$6:$B$105,0)),"✖ رقم غير موجود"))</f>
        <v/>
      </c>
      <c r="D668" s="123"/>
      <c r="E668" s="123"/>
      <c r="F668" s="123"/>
      <c r="G668" s="121"/>
      <c r="H668" s="121"/>
      <c r="I668" s="121"/>
      <c r="J668" s="121"/>
      <c r="K668" s="123"/>
      <c r="L668" s="123"/>
      <c r="M668" s="121"/>
      <c r="N668" s="121"/>
      <c r="O668" s="118"/>
    </row>
    <row r="669" customFormat="false" ht="15" hidden="false" customHeight="false" outlineLevel="0" collapsed="false">
      <c r="A669" s="122"/>
      <c r="B669" s="118"/>
      <c r="C669" s="117" t="str">
        <f aca="false">IF(B669="","",IFERROR(INDEX(الموظفون!$C$6:$C$105,MATCH(B669,الموظفون!$B$6:$B$105,0)),"✖ رقم غير موجود"))</f>
        <v/>
      </c>
      <c r="D669" s="123"/>
      <c r="E669" s="123"/>
      <c r="F669" s="123"/>
      <c r="G669" s="121"/>
      <c r="H669" s="121"/>
      <c r="I669" s="121"/>
      <c r="J669" s="121"/>
      <c r="K669" s="123"/>
      <c r="L669" s="123"/>
      <c r="M669" s="121"/>
      <c r="N669" s="121"/>
      <c r="O669" s="118"/>
    </row>
    <row r="670" customFormat="false" ht="15" hidden="false" customHeight="false" outlineLevel="0" collapsed="false">
      <c r="A670" s="122"/>
      <c r="B670" s="118"/>
      <c r="C670" s="114" t="str">
        <f aca="false">IF(B670="","",IFERROR(INDEX(الموظفون!$C$6:$C$105,MATCH(B670,الموظفون!$B$6:$B$105,0)),"✖ رقم غير موجود"))</f>
        <v/>
      </c>
      <c r="D670" s="123"/>
      <c r="E670" s="123"/>
      <c r="F670" s="123"/>
      <c r="G670" s="121"/>
      <c r="H670" s="121"/>
      <c r="I670" s="121"/>
      <c r="J670" s="121"/>
      <c r="K670" s="123"/>
      <c r="L670" s="123"/>
      <c r="M670" s="121"/>
      <c r="N670" s="121"/>
      <c r="O670" s="118"/>
    </row>
    <row r="671" customFormat="false" ht="15" hidden="false" customHeight="false" outlineLevel="0" collapsed="false">
      <c r="A671" s="122"/>
      <c r="B671" s="118"/>
      <c r="C671" s="117" t="str">
        <f aca="false">IF(B671="","",IFERROR(INDEX(الموظفون!$C$6:$C$105,MATCH(B671,الموظفون!$B$6:$B$105,0)),"✖ رقم غير موجود"))</f>
        <v/>
      </c>
      <c r="D671" s="123"/>
      <c r="E671" s="123"/>
      <c r="F671" s="123"/>
      <c r="G671" s="121"/>
      <c r="H671" s="121"/>
      <c r="I671" s="121"/>
      <c r="J671" s="121"/>
      <c r="K671" s="123"/>
      <c r="L671" s="123"/>
      <c r="M671" s="121"/>
      <c r="N671" s="121"/>
      <c r="O671" s="118"/>
    </row>
    <row r="672" customFormat="false" ht="15" hidden="false" customHeight="false" outlineLevel="0" collapsed="false">
      <c r="A672" s="122"/>
      <c r="B672" s="118"/>
      <c r="C672" s="114" t="str">
        <f aca="false">IF(B672="","",IFERROR(INDEX(الموظفون!$C$6:$C$105,MATCH(B672,الموظفون!$B$6:$B$105,0)),"✖ رقم غير موجود"))</f>
        <v/>
      </c>
      <c r="D672" s="123"/>
      <c r="E672" s="123"/>
      <c r="F672" s="123"/>
      <c r="G672" s="121"/>
      <c r="H672" s="121"/>
      <c r="I672" s="121"/>
      <c r="J672" s="121"/>
      <c r="K672" s="123"/>
      <c r="L672" s="123"/>
      <c r="M672" s="121"/>
      <c r="N672" s="121"/>
      <c r="O672" s="118"/>
    </row>
    <row r="673" customFormat="false" ht="15" hidden="false" customHeight="false" outlineLevel="0" collapsed="false">
      <c r="A673" s="122"/>
      <c r="B673" s="118"/>
      <c r="C673" s="117" t="str">
        <f aca="false">IF(B673="","",IFERROR(INDEX(الموظفون!$C$6:$C$105,MATCH(B673,الموظفون!$B$6:$B$105,0)),"✖ رقم غير موجود"))</f>
        <v/>
      </c>
      <c r="D673" s="123"/>
      <c r="E673" s="123"/>
      <c r="F673" s="123"/>
      <c r="G673" s="121"/>
      <c r="H673" s="121"/>
      <c r="I673" s="121"/>
      <c r="J673" s="121"/>
      <c r="K673" s="123"/>
      <c r="L673" s="123"/>
      <c r="M673" s="121"/>
      <c r="N673" s="121"/>
      <c r="O673" s="118"/>
    </row>
    <row r="674" customFormat="false" ht="15" hidden="false" customHeight="false" outlineLevel="0" collapsed="false">
      <c r="A674" s="122"/>
      <c r="B674" s="118"/>
      <c r="C674" s="114" t="str">
        <f aca="false">IF(B674="","",IFERROR(INDEX(الموظفون!$C$6:$C$105,MATCH(B674,الموظفون!$B$6:$B$105,0)),"✖ رقم غير موجود"))</f>
        <v/>
      </c>
      <c r="D674" s="123"/>
      <c r="E674" s="123"/>
      <c r="F674" s="123"/>
      <c r="G674" s="121"/>
      <c r="H674" s="121"/>
      <c r="I674" s="121"/>
      <c r="J674" s="121"/>
      <c r="K674" s="123"/>
      <c r="L674" s="123"/>
      <c r="M674" s="121"/>
      <c r="N674" s="121"/>
      <c r="O674" s="118"/>
    </row>
    <row r="675" customFormat="false" ht="15" hidden="false" customHeight="false" outlineLevel="0" collapsed="false">
      <c r="A675" s="122"/>
      <c r="B675" s="118"/>
      <c r="C675" s="117" t="str">
        <f aca="false">IF(B675="","",IFERROR(INDEX(الموظفون!$C$6:$C$105,MATCH(B675,الموظفون!$B$6:$B$105,0)),"✖ رقم غير موجود"))</f>
        <v/>
      </c>
      <c r="D675" s="123"/>
      <c r="E675" s="123"/>
      <c r="F675" s="123"/>
      <c r="G675" s="121"/>
      <c r="H675" s="121"/>
      <c r="I675" s="121"/>
      <c r="J675" s="121"/>
      <c r="K675" s="123"/>
      <c r="L675" s="123"/>
      <c r="M675" s="121"/>
      <c r="N675" s="121"/>
      <c r="O675" s="118"/>
    </row>
    <row r="676" customFormat="false" ht="15" hidden="false" customHeight="false" outlineLevel="0" collapsed="false">
      <c r="A676" s="122"/>
      <c r="B676" s="118"/>
      <c r="C676" s="114" t="str">
        <f aca="false">IF(B676="","",IFERROR(INDEX(الموظفون!$C$6:$C$105,MATCH(B676,الموظفون!$B$6:$B$105,0)),"✖ رقم غير موجود"))</f>
        <v/>
      </c>
      <c r="D676" s="123"/>
      <c r="E676" s="123"/>
      <c r="F676" s="123"/>
      <c r="G676" s="121"/>
      <c r="H676" s="121"/>
      <c r="I676" s="121"/>
      <c r="J676" s="121"/>
      <c r="K676" s="123"/>
      <c r="L676" s="123"/>
      <c r="M676" s="121"/>
      <c r="N676" s="121"/>
      <c r="O676" s="118"/>
    </row>
    <row r="677" customFormat="false" ht="15" hidden="false" customHeight="false" outlineLevel="0" collapsed="false">
      <c r="A677" s="122"/>
      <c r="B677" s="118"/>
      <c r="C677" s="117" t="str">
        <f aca="false">IF(B677="","",IFERROR(INDEX(الموظفون!$C$6:$C$105,MATCH(B677,الموظفون!$B$6:$B$105,0)),"✖ رقم غير موجود"))</f>
        <v/>
      </c>
      <c r="D677" s="123"/>
      <c r="E677" s="123"/>
      <c r="F677" s="123"/>
      <c r="G677" s="121"/>
      <c r="H677" s="121"/>
      <c r="I677" s="121"/>
      <c r="J677" s="121"/>
      <c r="K677" s="123"/>
      <c r="L677" s="123"/>
      <c r="M677" s="121"/>
      <c r="N677" s="121"/>
      <c r="O677" s="118"/>
    </row>
    <row r="678" customFormat="false" ht="15" hidden="false" customHeight="false" outlineLevel="0" collapsed="false">
      <c r="A678" s="122"/>
      <c r="B678" s="118"/>
      <c r="C678" s="114" t="str">
        <f aca="false">IF(B678="","",IFERROR(INDEX(الموظفون!$C$6:$C$105,MATCH(B678,الموظفون!$B$6:$B$105,0)),"✖ رقم غير موجود"))</f>
        <v/>
      </c>
      <c r="D678" s="123"/>
      <c r="E678" s="123"/>
      <c r="F678" s="123"/>
      <c r="G678" s="121"/>
      <c r="H678" s="121"/>
      <c r="I678" s="121"/>
      <c r="J678" s="121"/>
      <c r="K678" s="123"/>
      <c r="L678" s="123"/>
      <c r="M678" s="121"/>
      <c r="N678" s="121"/>
      <c r="O678" s="118"/>
    </row>
    <row r="679" customFormat="false" ht="15" hidden="false" customHeight="false" outlineLevel="0" collapsed="false">
      <c r="A679" s="122"/>
      <c r="B679" s="118"/>
      <c r="C679" s="117" t="str">
        <f aca="false">IF(B679="","",IFERROR(INDEX(الموظفون!$C$6:$C$105,MATCH(B679,الموظفون!$B$6:$B$105,0)),"✖ رقم غير موجود"))</f>
        <v/>
      </c>
      <c r="D679" s="123"/>
      <c r="E679" s="123"/>
      <c r="F679" s="123"/>
      <c r="G679" s="121"/>
      <c r="H679" s="121"/>
      <c r="I679" s="121"/>
      <c r="J679" s="121"/>
      <c r="K679" s="123"/>
      <c r="L679" s="123"/>
      <c r="M679" s="121"/>
      <c r="N679" s="121"/>
      <c r="O679" s="118"/>
    </row>
    <row r="680" customFormat="false" ht="15" hidden="false" customHeight="false" outlineLevel="0" collapsed="false">
      <c r="A680" s="122"/>
      <c r="B680" s="118"/>
      <c r="C680" s="114" t="str">
        <f aca="false">IF(B680="","",IFERROR(INDEX(الموظفون!$C$6:$C$105,MATCH(B680,الموظفون!$B$6:$B$105,0)),"✖ رقم غير موجود"))</f>
        <v/>
      </c>
      <c r="D680" s="123"/>
      <c r="E680" s="123"/>
      <c r="F680" s="123"/>
      <c r="G680" s="121"/>
      <c r="H680" s="121"/>
      <c r="I680" s="121"/>
      <c r="J680" s="121"/>
      <c r="K680" s="123"/>
      <c r="L680" s="123"/>
      <c r="M680" s="121"/>
      <c r="N680" s="121"/>
      <c r="O680" s="118"/>
    </row>
    <row r="681" customFormat="false" ht="15" hidden="false" customHeight="false" outlineLevel="0" collapsed="false">
      <c r="A681" s="122"/>
      <c r="B681" s="118"/>
      <c r="C681" s="117" t="str">
        <f aca="false">IF(B681="","",IFERROR(INDEX(الموظفون!$C$6:$C$105,MATCH(B681,الموظفون!$B$6:$B$105,0)),"✖ رقم غير موجود"))</f>
        <v/>
      </c>
      <c r="D681" s="123"/>
      <c r="E681" s="123"/>
      <c r="F681" s="123"/>
      <c r="G681" s="121"/>
      <c r="H681" s="121"/>
      <c r="I681" s="121"/>
      <c r="J681" s="121"/>
      <c r="K681" s="123"/>
      <c r="L681" s="123"/>
      <c r="M681" s="121"/>
      <c r="N681" s="121"/>
      <c r="O681" s="118"/>
    </row>
    <row r="682" customFormat="false" ht="15" hidden="false" customHeight="false" outlineLevel="0" collapsed="false">
      <c r="A682" s="122"/>
      <c r="B682" s="118"/>
      <c r="C682" s="114" t="str">
        <f aca="false">IF(B682="","",IFERROR(INDEX(الموظفون!$C$6:$C$105,MATCH(B682,الموظفون!$B$6:$B$105,0)),"✖ رقم غير موجود"))</f>
        <v/>
      </c>
      <c r="D682" s="123"/>
      <c r="E682" s="123"/>
      <c r="F682" s="123"/>
      <c r="G682" s="121"/>
      <c r="H682" s="121"/>
      <c r="I682" s="121"/>
      <c r="J682" s="121"/>
      <c r="K682" s="123"/>
      <c r="L682" s="123"/>
      <c r="M682" s="121"/>
      <c r="N682" s="121"/>
      <c r="O682" s="118"/>
    </row>
    <row r="683" customFormat="false" ht="15" hidden="false" customHeight="false" outlineLevel="0" collapsed="false">
      <c r="A683" s="122"/>
      <c r="B683" s="118"/>
      <c r="C683" s="117" t="str">
        <f aca="false">IF(B683="","",IFERROR(INDEX(الموظفون!$C$6:$C$105,MATCH(B683,الموظفون!$B$6:$B$105,0)),"✖ رقم غير موجود"))</f>
        <v/>
      </c>
      <c r="D683" s="123"/>
      <c r="E683" s="123"/>
      <c r="F683" s="123"/>
      <c r="G683" s="121"/>
      <c r="H683" s="121"/>
      <c r="I683" s="121"/>
      <c r="J683" s="121"/>
      <c r="K683" s="123"/>
      <c r="L683" s="123"/>
      <c r="M683" s="121"/>
      <c r="N683" s="121"/>
      <c r="O683" s="118"/>
    </row>
    <row r="684" customFormat="false" ht="15" hidden="false" customHeight="false" outlineLevel="0" collapsed="false">
      <c r="A684" s="122"/>
      <c r="B684" s="118"/>
      <c r="C684" s="114" t="str">
        <f aca="false">IF(B684="","",IFERROR(INDEX(الموظفون!$C$6:$C$105,MATCH(B684,الموظفون!$B$6:$B$105,0)),"✖ رقم غير موجود"))</f>
        <v/>
      </c>
      <c r="D684" s="123"/>
      <c r="E684" s="123"/>
      <c r="F684" s="123"/>
      <c r="G684" s="121"/>
      <c r="H684" s="121"/>
      <c r="I684" s="121"/>
      <c r="J684" s="121"/>
      <c r="K684" s="123"/>
      <c r="L684" s="123"/>
      <c r="M684" s="121"/>
      <c r="N684" s="121"/>
      <c r="O684" s="118"/>
    </row>
    <row r="685" customFormat="false" ht="15" hidden="false" customHeight="false" outlineLevel="0" collapsed="false">
      <c r="A685" s="122"/>
      <c r="B685" s="118"/>
      <c r="C685" s="117" t="str">
        <f aca="false">IF(B685="","",IFERROR(INDEX(الموظفون!$C$6:$C$105,MATCH(B685,الموظفون!$B$6:$B$105,0)),"✖ رقم غير موجود"))</f>
        <v/>
      </c>
      <c r="D685" s="123"/>
      <c r="E685" s="123"/>
      <c r="F685" s="123"/>
      <c r="G685" s="121"/>
      <c r="H685" s="121"/>
      <c r="I685" s="121"/>
      <c r="J685" s="121"/>
      <c r="K685" s="123"/>
      <c r="L685" s="123"/>
      <c r="M685" s="121"/>
      <c r="N685" s="121"/>
      <c r="O685" s="118"/>
    </row>
    <row r="686" customFormat="false" ht="15" hidden="false" customHeight="false" outlineLevel="0" collapsed="false">
      <c r="A686" s="122"/>
      <c r="B686" s="118"/>
      <c r="C686" s="114" t="str">
        <f aca="false">IF(B686="","",IFERROR(INDEX(الموظفون!$C$6:$C$105,MATCH(B686,الموظفون!$B$6:$B$105,0)),"✖ رقم غير موجود"))</f>
        <v/>
      </c>
      <c r="D686" s="123"/>
      <c r="E686" s="123"/>
      <c r="F686" s="123"/>
      <c r="G686" s="121"/>
      <c r="H686" s="121"/>
      <c r="I686" s="121"/>
      <c r="J686" s="121"/>
      <c r="K686" s="123"/>
      <c r="L686" s="123"/>
      <c r="M686" s="121"/>
      <c r="N686" s="121"/>
      <c r="O686" s="118"/>
    </row>
    <row r="687" customFormat="false" ht="15" hidden="false" customHeight="false" outlineLevel="0" collapsed="false">
      <c r="A687" s="122"/>
      <c r="B687" s="118"/>
      <c r="C687" s="117" t="str">
        <f aca="false">IF(B687="","",IFERROR(INDEX(الموظفون!$C$6:$C$105,MATCH(B687,الموظفون!$B$6:$B$105,0)),"✖ رقم غير موجود"))</f>
        <v/>
      </c>
      <c r="D687" s="123"/>
      <c r="E687" s="123"/>
      <c r="F687" s="123"/>
      <c r="G687" s="121"/>
      <c r="H687" s="121"/>
      <c r="I687" s="121"/>
      <c r="J687" s="121"/>
      <c r="K687" s="123"/>
      <c r="L687" s="123"/>
      <c r="M687" s="121"/>
      <c r="N687" s="121"/>
      <c r="O687" s="118"/>
    </row>
    <row r="688" customFormat="false" ht="15" hidden="false" customHeight="false" outlineLevel="0" collapsed="false">
      <c r="A688" s="122"/>
      <c r="B688" s="118"/>
      <c r="C688" s="114" t="str">
        <f aca="false">IF(B688="","",IFERROR(INDEX(الموظفون!$C$6:$C$105,MATCH(B688,الموظفون!$B$6:$B$105,0)),"✖ رقم غير موجود"))</f>
        <v/>
      </c>
      <c r="D688" s="123"/>
      <c r="E688" s="123"/>
      <c r="F688" s="123"/>
      <c r="G688" s="121"/>
      <c r="H688" s="121"/>
      <c r="I688" s="121"/>
      <c r="J688" s="121"/>
      <c r="K688" s="123"/>
      <c r="L688" s="123"/>
      <c r="M688" s="121"/>
      <c r="N688" s="121"/>
      <c r="O688" s="118"/>
    </row>
    <row r="689" customFormat="false" ht="15" hidden="false" customHeight="false" outlineLevel="0" collapsed="false">
      <c r="A689" s="122"/>
      <c r="B689" s="118"/>
      <c r="C689" s="117" t="str">
        <f aca="false">IF(B689="","",IFERROR(INDEX(الموظفون!$C$6:$C$105,MATCH(B689,الموظفون!$B$6:$B$105,0)),"✖ رقم غير موجود"))</f>
        <v/>
      </c>
      <c r="D689" s="123"/>
      <c r="E689" s="123"/>
      <c r="F689" s="123"/>
      <c r="G689" s="121"/>
      <c r="H689" s="121"/>
      <c r="I689" s="121"/>
      <c r="J689" s="121"/>
      <c r="K689" s="123"/>
      <c r="L689" s="123"/>
      <c r="M689" s="121"/>
      <c r="N689" s="121"/>
      <c r="O689" s="118"/>
    </row>
    <row r="690" customFormat="false" ht="15" hidden="false" customHeight="false" outlineLevel="0" collapsed="false">
      <c r="A690" s="122"/>
      <c r="B690" s="118"/>
      <c r="C690" s="114" t="str">
        <f aca="false">IF(B690="","",IFERROR(INDEX(الموظفون!$C$6:$C$105,MATCH(B690,الموظفون!$B$6:$B$105,0)),"✖ رقم غير موجود"))</f>
        <v/>
      </c>
      <c r="D690" s="123"/>
      <c r="E690" s="123"/>
      <c r="F690" s="123"/>
      <c r="G690" s="121"/>
      <c r="H690" s="121"/>
      <c r="I690" s="121"/>
      <c r="J690" s="121"/>
      <c r="K690" s="123"/>
      <c r="L690" s="123"/>
      <c r="M690" s="121"/>
      <c r="N690" s="121"/>
      <c r="O690" s="118"/>
    </row>
    <row r="691" customFormat="false" ht="15" hidden="false" customHeight="false" outlineLevel="0" collapsed="false">
      <c r="A691" s="122"/>
      <c r="B691" s="118"/>
      <c r="C691" s="117" t="str">
        <f aca="false">IF(B691="","",IFERROR(INDEX(الموظفون!$C$6:$C$105,MATCH(B691,الموظفون!$B$6:$B$105,0)),"✖ رقم غير موجود"))</f>
        <v/>
      </c>
      <c r="D691" s="123"/>
      <c r="E691" s="123"/>
      <c r="F691" s="123"/>
      <c r="G691" s="121"/>
      <c r="H691" s="121"/>
      <c r="I691" s="121"/>
      <c r="J691" s="121"/>
      <c r="K691" s="123"/>
      <c r="L691" s="123"/>
      <c r="M691" s="121"/>
      <c r="N691" s="121"/>
      <c r="O691" s="118"/>
    </row>
    <row r="692" customFormat="false" ht="15" hidden="false" customHeight="false" outlineLevel="0" collapsed="false">
      <c r="A692" s="122"/>
      <c r="B692" s="118"/>
      <c r="C692" s="114" t="str">
        <f aca="false">IF(B692="","",IFERROR(INDEX(الموظفون!$C$6:$C$105,MATCH(B692,الموظفون!$B$6:$B$105,0)),"✖ رقم غير موجود"))</f>
        <v/>
      </c>
      <c r="D692" s="123"/>
      <c r="E692" s="123"/>
      <c r="F692" s="123"/>
      <c r="G692" s="121"/>
      <c r="H692" s="121"/>
      <c r="I692" s="121"/>
      <c r="J692" s="121"/>
      <c r="K692" s="123"/>
      <c r="L692" s="123"/>
      <c r="M692" s="121"/>
      <c r="N692" s="121"/>
      <c r="O692" s="118"/>
    </row>
    <row r="693" customFormat="false" ht="15" hidden="false" customHeight="false" outlineLevel="0" collapsed="false">
      <c r="A693" s="122"/>
      <c r="B693" s="118"/>
      <c r="C693" s="117" t="str">
        <f aca="false">IF(B693="","",IFERROR(INDEX(الموظفون!$C$6:$C$105,MATCH(B693,الموظفون!$B$6:$B$105,0)),"✖ رقم غير موجود"))</f>
        <v/>
      </c>
      <c r="D693" s="123"/>
      <c r="E693" s="123"/>
      <c r="F693" s="123"/>
      <c r="G693" s="121"/>
      <c r="H693" s="121"/>
      <c r="I693" s="121"/>
      <c r="J693" s="121"/>
      <c r="K693" s="123"/>
      <c r="L693" s="123"/>
      <c r="M693" s="121"/>
      <c r="N693" s="121"/>
      <c r="O693" s="118"/>
    </row>
    <row r="694" customFormat="false" ht="15" hidden="false" customHeight="false" outlineLevel="0" collapsed="false">
      <c r="A694" s="122"/>
      <c r="B694" s="118"/>
      <c r="C694" s="114" t="str">
        <f aca="false">IF(B694="","",IFERROR(INDEX(الموظفون!$C$6:$C$105,MATCH(B694,الموظفون!$B$6:$B$105,0)),"✖ رقم غير موجود"))</f>
        <v/>
      </c>
      <c r="D694" s="123"/>
      <c r="E694" s="123"/>
      <c r="F694" s="123"/>
      <c r="G694" s="121"/>
      <c r="H694" s="121"/>
      <c r="I694" s="121"/>
      <c r="J694" s="121"/>
      <c r="K694" s="123"/>
      <c r="L694" s="123"/>
      <c r="M694" s="121"/>
      <c r="N694" s="121"/>
      <c r="O694" s="118"/>
    </row>
    <row r="695" customFormat="false" ht="15" hidden="false" customHeight="false" outlineLevel="0" collapsed="false">
      <c r="A695" s="122"/>
      <c r="B695" s="118"/>
      <c r="C695" s="117" t="str">
        <f aca="false">IF(B695="","",IFERROR(INDEX(الموظفون!$C$6:$C$105,MATCH(B695,الموظفون!$B$6:$B$105,0)),"✖ رقم غير موجود"))</f>
        <v/>
      </c>
      <c r="D695" s="123"/>
      <c r="E695" s="123"/>
      <c r="F695" s="123"/>
      <c r="G695" s="121"/>
      <c r="H695" s="121"/>
      <c r="I695" s="121"/>
      <c r="J695" s="121"/>
      <c r="K695" s="123"/>
      <c r="L695" s="123"/>
      <c r="M695" s="121"/>
      <c r="N695" s="121"/>
      <c r="O695" s="118"/>
    </row>
    <row r="696" customFormat="false" ht="15" hidden="false" customHeight="false" outlineLevel="0" collapsed="false">
      <c r="A696" s="122"/>
      <c r="B696" s="118"/>
      <c r="C696" s="114" t="str">
        <f aca="false">IF(B696="","",IFERROR(INDEX(الموظفون!$C$6:$C$105,MATCH(B696,الموظفون!$B$6:$B$105,0)),"✖ رقم غير موجود"))</f>
        <v/>
      </c>
      <c r="D696" s="123"/>
      <c r="E696" s="123"/>
      <c r="F696" s="123"/>
      <c r="G696" s="121"/>
      <c r="H696" s="121"/>
      <c r="I696" s="121"/>
      <c r="J696" s="121"/>
      <c r="K696" s="123"/>
      <c r="L696" s="123"/>
      <c r="M696" s="121"/>
      <c r="N696" s="121"/>
      <c r="O696" s="118"/>
    </row>
    <row r="697" customFormat="false" ht="15" hidden="false" customHeight="false" outlineLevel="0" collapsed="false">
      <c r="A697" s="122"/>
      <c r="B697" s="118"/>
      <c r="C697" s="117" t="str">
        <f aca="false">IF(B697="","",IFERROR(INDEX(الموظفون!$C$6:$C$105,MATCH(B697,الموظفون!$B$6:$B$105,0)),"✖ رقم غير موجود"))</f>
        <v/>
      </c>
      <c r="D697" s="123"/>
      <c r="E697" s="123"/>
      <c r="F697" s="123"/>
      <c r="G697" s="121"/>
      <c r="H697" s="121"/>
      <c r="I697" s="121"/>
      <c r="J697" s="121"/>
      <c r="K697" s="123"/>
      <c r="L697" s="123"/>
      <c r="M697" s="121"/>
      <c r="N697" s="121"/>
      <c r="O697" s="118"/>
    </row>
    <row r="698" customFormat="false" ht="15" hidden="false" customHeight="false" outlineLevel="0" collapsed="false">
      <c r="A698" s="122"/>
      <c r="B698" s="118"/>
      <c r="C698" s="114" t="str">
        <f aca="false">IF(B698="","",IFERROR(INDEX(الموظفون!$C$6:$C$105,MATCH(B698,الموظفون!$B$6:$B$105,0)),"✖ رقم غير موجود"))</f>
        <v/>
      </c>
      <c r="D698" s="123"/>
      <c r="E698" s="123"/>
      <c r="F698" s="123"/>
      <c r="G698" s="121"/>
      <c r="H698" s="121"/>
      <c r="I698" s="121"/>
      <c r="J698" s="121"/>
      <c r="K698" s="123"/>
      <c r="L698" s="123"/>
      <c r="M698" s="121"/>
      <c r="N698" s="121"/>
      <c r="O698" s="118"/>
    </row>
    <row r="699" customFormat="false" ht="15" hidden="false" customHeight="false" outlineLevel="0" collapsed="false">
      <c r="A699" s="122"/>
      <c r="B699" s="118"/>
      <c r="C699" s="117" t="str">
        <f aca="false">IF(B699="","",IFERROR(INDEX(الموظفون!$C$6:$C$105,MATCH(B699,الموظفون!$B$6:$B$105,0)),"✖ رقم غير موجود"))</f>
        <v/>
      </c>
      <c r="D699" s="123"/>
      <c r="E699" s="123"/>
      <c r="F699" s="123"/>
      <c r="G699" s="121"/>
      <c r="H699" s="121"/>
      <c r="I699" s="121"/>
      <c r="J699" s="121"/>
      <c r="K699" s="123"/>
      <c r="L699" s="123"/>
      <c r="M699" s="121"/>
      <c r="N699" s="121"/>
      <c r="O699" s="118"/>
    </row>
    <row r="700" customFormat="false" ht="15" hidden="false" customHeight="false" outlineLevel="0" collapsed="false">
      <c r="A700" s="122"/>
      <c r="B700" s="118"/>
      <c r="C700" s="114" t="str">
        <f aca="false">IF(B700="","",IFERROR(INDEX(الموظفون!$C$6:$C$105,MATCH(B700,الموظفون!$B$6:$B$105,0)),"✖ رقم غير موجود"))</f>
        <v/>
      </c>
      <c r="D700" s="123"/>
      <c r="E700" s="123"/>
      <c r="F700" s="123"/>
      <c r="G700" s="121"/>
      <c r="H700" s="121"/>
      <c r="I700" s="121"/>
      <c r="J700" s="121"/>
      <c r="K700" s="123"/>
      <c r="L700" s="123"/>
      <c r="M700" s="121"/>
      <c r="N700" s="121"/>
      <c r="O700" s="118"/>
    </row>
    <row r="701" customFormat="false" ht="15" hidden="false" customHeight="false" outlineLevel="0" collapsed="false">
      <c r="A701" s="122"/>
      <c r="B701" s="118"/>
      <c r="C701" s="117" t="str">
        <f aca="false">IF(B701="","",IFERROR(INDEX(الموظفون!$C$6:$C$105,MATCH(B701,الموظفون!$B$6:$B$105,0)),"✖ رقم غير موجود"))</f>
        <v/>
      </c>
      <c r="D701" s="123"/>
      <c r="E701" s="123"/>
      <c r="F701" s="123"/>
      <c r="G701" s="121"/>
      <c r="H701" s="121"/>
      <c r="I701" s="121"/>
      <c r="J701" s="121"/>
      <c r="K701" s="123"/>
      <c r="L701" s="123"/>
      <c r="M701" s="121"/>
      <c r="N701" s="121"/>
      <c r="O701" s="118"/>
    </row>
    <row r="702" customFormat="false" ht="15" hidden="false" customHeight="false" outlineLevel="0" collapsed="false">
      <c r="A702" s="122"/>
      <c r="B702" s="118"/>
      <c r="C702" s="114" t="str">
        <f aca="false">IF(B702="","",IFERROR(INDEX(الموظفون!$C$6:$C$105,MATCH(B702,الموظفون!$B$6:$B$105,0)),"✖ رقم غير موجود"))</f>
        <v/>
      </c>
      <c r="D702" s="123"/>
      <c r="E702" s="123"/>
      <c r="F702" s="123"/>
      <c r="G702" s="121"/>
      <c r="H702" s="121"/>
      <c r="I702" s="121"/>
      <c r="J702" s="121"/>
      <c r="K702" s="123"/>
      <c r="L702" s="123"/>
      <c r="M702" s="121"/>
      <c r="N702" s="121"/>
      <c r="O702" s="118"/>
    </row>
    <row r="703" customFormat="false" ht="15" hidden="false" customHeight="false" outlineLevel="0" collapsed="false">
      <c r="A703" s="122"/>
      <c r="B703" s="118"/>
      <c r="C703" s="117" t="str">
        <f aca="false">IF(B703="","",IFERROR(INDEX(الموظفون!$C$6:$C$105,MATCH(B703,الموظفون!$B$6:$B$105,0)),"✖ رقم غير موجود"))</f>
        <v/>
      </c>
      <c r="D703" s="123"/>
      <c r="E703" s="123"/>
      <c r="F703" s="123"/>
      <c r="G703" s="121"/>
      <c r="H703" s="121"/>
      <c r="I703" s="121"/>
      <c r="J703" s="121"/>
      <c r="K703" s="123"/>
      <c r="L703" s="123"/>
      <c r="M703" s="121"/>
      <c r="N703" s="121"/>
      <c r="O703" s="118"/>
    </row>
    <row r="704" customFormat="false" ht="15" hidden="false" customHeight="false" outlineLevel="0" collapsed="false">
      <c r="A704" s="122"/>
      <c r="B704" s="118"/>
      <c r="C704" s="114" t="str">
        <f aca="false">IF(B704="","",IFERROR(INDEX(الموظفون!$C$6:$C$105,MATCH(B704,الموظفون!$B$6:$B$105,0)),"✖ رقم غير موجود"))</f>
        <v/>
      </c>
      <c r="D704" s="123"/>
      <c r="E704" s="123"/>
      <c r="F704" s="123"/>
      <c r="G704" s="121"/>
      <c r="H704" s="121"/>
      <c r="I704" s="121"/>
      <c r="J704" s="121"/>
      <c r="K704" s="123"/>
      <c r="L704" s="123"/>
      <c r="M704" s="121"/>
      <c r="N704" s="121"/>
      <c r="O704" s="118"/>
    </row>
    <row r="705" customFormat="false" ht="15" hidden="false" customHeight="false" outlineLevel="0" collapsed="false">
      <c r="A705" s="122"/>
      <c r="B705" s="118"/>
      <c r="C705" s="117" t="str">
        <f aca="false">IF(B705="","",IFERROR(INDEX(الموظفون!$C$6:$C$105,MATCH(B705,الموظفون!$B$6:$B$105,0)),"✖ رقم غير موجود"))</f>
        <v/>
      </c>
      <c r="D705" s="123"/>
      <c r="E705" s="123"/>
      <c r="F705" s="123"/>
      <c r="G705" s="121"/>
      <c r="H705" s="121"/>
      <c r="I705" s="121"/>
      <c r="J705" s="121"/>
      <c r="K705" s="123"/>
      <c r="L705" s="123"/>
      <c r="M705" s="121"/>
      <c r="N705" s="121"/>
      <c r="O705" s="118"/>
    </row>
    <row r="706" customFormat="false" ht="15" hidden="false" customHeight="false" outlineLevel="0" collapsed="false">
      <c r="A706" s="122"/>
      <c r="B706" s="118"/>
      <c r="C706" s="114" t="str">
        <f aca="false">IF(B706="","",IFERROR(INDEX(الموظفون!$C$6:$C$105,MATCH(B706,الموظفون!$B$6:$B$105,0)),"✖ رقم غير موجود"))</f>
        <v/>
      </c>
      <c r="D706" s="123"/>
      <c r="E706" s="123"/>
      <c r="F706" s="123"/>
      <c r="G706" s="121"/>
      <c r="H706" s="121"/>
      <c r="I706" s="121"/>
      <c r="J706" s="121"/>
      <c r="K706" s="123"/>
      <c r="L706" s="123"/>
      <c r="M706" s="121"/>
      <c r="N706" s="121"/>
      <c r="O706" s="118"/>
    </row>
    <row r="707" customFormat="false" ht="15" hidden="false" customHeight="false" outlineLevel="0" collapsed="false">
      <c r="A707" s="122"/>
      <c r="B707" s="118"/>
      <c r="C707" s="117" t="str">
        <f aca="false">IF(B707="","",IFERROR(INDEX(الموظفون!$C$6:$C$105,MATCH(B707,الموظفون!$B$6:$B$105,0)),"✖ رقم غير موجود"))</f>
        <v/>
      </c>
      <c r="D707" s="123"/>
      <c r="E707" s="123"/>
      <c r="F707" s="123"/>
      <c r="G707" s="121"/>
      <c r="H707" s="121"/>
      <c r="I707" s="121"/>
      <c r="J707" s="121"/>
      <c r="K707" s="123"/>
      <c r="L707" s="123"/>
      <c r="M707" s="121"/>
      <c r="N707" s="121"/>
      <c r="O707" s="118"/>
    </row>
    <row r="708" customFormat="false" ht="15" hidden="false" customHeight="false" outlineLevel="0" collapsed="false">
      <c r="A708" s="122"/>
      <c r="B708" s="118"/>
      <c r="C708" s="114" t="str">
        <f aca="false">IF(B708="","",IFERROR(INDEX(الموظفون!$C$6:$C$105,MATCH(B708,الموظفون!$B$6:$B$105,0)),"✖ رقم غير موجود"))</f>
        <v/>
      </c>
      <c r="D708" s="123"/>
      <c r="E708" s="123"/>
      <c r="F708" s="123"/>
      <c r="G708" s="121"/>
      <c r="H708" s="121"/>
      <c r="I708" s="121"/>
      <c r="J708" s="121"/>
      <c r="K708" s="123"/>
      <c r="L708" s="123"/>
      <c r="M708" s="121"/>
      <c r="N708" s="121"/>
      <c r="O708" s="118"/>
    </row>
    <row r="709" customFormat="false" ht="15" hidden="false" customHeight="false" outlineLevel="0" collapsed="false">
      <c r="A709" s="122"/>
      <c r="B709" s="118"/>
      <c r="C709" s="117" t="str">
        <f aca="false">IF(B709="","",IFERROR(INDEX(الموظفون!$C$6:$C$105,MATCH(B709,الموظفون!$B$6:$B$105,0)),"✖ رقم غير موجود"))</f>
        <v/>
      </c>
      <c r="D709" s="123"/>
      <c r="E709" s="123"/>
      <c r="F709" s="123"/>
      <c r="G709" s="121"/>
      <c r="H709" s="121"/>
      <c r="I709" s="121"/>
      <c r="J709" s="121"/>
      <c r="K709" s="123"/>
      <c r="L709" s="123"/>
      <c r="M709" s="121"/>
      <c r="N709" s="121"/>
      <c r="O709" s="118"/>
    </row>
    <row r="710" customFormat="false" ht="15" hidden="false" customHeight="false" outlineLevel="0" collapsed="false">
      <c r="A710" s="122"/>
      <c r="B710" s="118"/>
      <c r="C710" s="114" t="str">
        <f aca="false">IF(B710="","",IFERROR(INDEX(الموظفون!$C$6:$C$105,MATCH(B710,الموظفون!$B$6:$B$105,0)),"✖ رقم غير موجود"))</f>
        <v/>
      </c>
      <c r="D710" s="123"/>
      <c r="E710" s="123"/>
      <c r="F710" s="123"/>
      <c r="G710" s="121"/>
      <c r="H710" s="121"/>
      <c r="I710" s="121"/>
      <c r="J710" s="121"/>
      <c r="K710" s="123"/>
      <c r="L710" s="123"/>
      <c r="M710" s="121"/>
      <c r="N710" s="121"/>
      <c r="O710" s="118"/>
    </row>
    <row r="711" customFormat="false" ht="15" hidden="false" customHeight="false" outlineLevel="0" collapsed="false">
      <c r="A711" s="122"/>
      <c r="B711" s="118"/>
      <c r="C711" s="117" t="str">
        <f aca="false">IF(B711="","",IFERROR(INDEX(الموظفون!$C$6:$C$105,MATCH(B711,الموظفون!$B$6:$B$105,0)),"✖ رقم غير موجود"))</f>
        <v/>
      </c>
      <c r="D711" s="123"/>
      <c r="E711" s="123"/>
      <c r="F711" s="123"/>
      <c r="G711" s="121"/>
      <c r="H711" s="121"/>
      <c r="I711" s="121"/>
      <c r="J711" s="121"/>
      <c r="K711" s="123"/>
      <c r="L711" s="123"/>
      <c r="M711" s="121"/>
      <c r="N711" s="121"/>
      <c r="O711" s="118"/>
    </row>
    <row r="712" customFormat="false" ht="15" hidden="false" customHeight="false" outlineLevel="0" collapsed="false">
      <c r="A712" s="122"/>
      <c r="B712" s="118"/>
      <c r="C712" s="114" t="str">
        <f aca="false">IF(B712="","",IFERROR(INDEX(الموظفون!$C$6:$C$105,MATCH(B712,الموظفون!$B$6:$B$105,0)),"✖ رقم غير موجود"))</f>
        <v/>
      </c>
      <c r="D712" s="123"/>
      <c r="E712" s="123"/>
      <c r="F712" s="123"/>
      <c r="G712" s="121"/>
      <c r="H712" s="121"/>
      <c r="I712" s="121"/>
      <c r="J712" s="121"/>
      <c r="K712" s="123"/>
      <c r="L712" s="123"/>
      <c r="M712" s="121"/>
      <c r="N712" s="121"/>
      <c r="O712" s="118"/>
    </row>
    <row r="713" customFormat="false" ht="15" hidden="false" customHeight="false" outlineLevel="0" collapsed="false">
      <c r="A713" s="122"/>
      <c r="B713" s="118"/>
      <c r="C713" s="117" t="str">
        <f aca="false">IF(B713="","",IFERROR(INDEX(الموظفون!$C$6:$C$105,MATCH(B713,الموظفون!$B$6:$B$105,0)),"✖ رقم غير موجود"))</f>
        <v/>
      </c>
      <c r="D713" s="123"/>
      <c r="E713" s="123"/>
      <c r="F713" s="123"/>
      <c r="G713" s="121"/>
      <c r="H713" s="121"/>
      <c r="I713" s="121"/>
      <c r="J713" s="121"/>
      <c r="K713" s="123"/>
      <c r="L713" s="123"/>
      <c r="M713" s="121"/>
      <c r="N713" s="121"/>
      <c r="O713" s="118"/>
    </row>
    <row r="714" customFormat="false" ht="15" hidden="false" customHeight="false" outlineLevel="0" collapsed="false">
      <c r="A714" s="122"/>
      <c r="B714" s="118"/>
      <c r="C714" s="114" t="str">
        <f aca="false">IF(B714="","",IFERROR(INDEX(الموظفون!$C$6:$C$105,MATCH(B714,الموظفون!$B$6:$B$105,0)),"✖ رقم غير موجود"))</f>
        <v/>
      </c>
      <c r="D714" s="123"/>
      <c r="E714" s="123"/>
      <c r="F714" s="123"/>
      <c r="G714" s="121"/>
      <c r="H714" s="121"/>
      <c r="I714" s="121"/>
      <c r="J714" s="121"/>
      <c r="K714" s="123"/>
      <c r="L714" s="123"/>
      <c r="M714" s="121"/>
      <c r="N714" s="121"/>
      <c r="O714" s="118"/>
    </row>
    <row r="715" customFormat="false" ht="15" hidden="false" customHeight="false" outlineLevel="0" collapsed="false">
      <c r="A715" s="122"/>
      <c r="B715" s="118"/>
      <c r="C715" s="117" t="str">
        <f aca="false">IF(B715="","",IFERROR(INDEX(الموظفون!$C$6:$C$105,MATCH(B715,الموظفون!$B$6:$B$105,0)),"✖ رقم غير موجود"))</f>
        <v/>
      </c>
      <c r="D715" s="123"/>
      <c r="E715" s="123"/>
      <c r="F715" s="123"/>
      <c r="G715" s="121"/>
      <c r="H715" s="121"/>
      <c r="I715" s="121"/>
      <c r="J715" s="121"/>
      <c r="K715" s="123"/>
      <c r="L715" s="123"/>
      <c r="M715" s="121"/>
      <c r="N715" s="121"/>
      <c r="O715" s="118"/>
    </row>
    <row r="716" customFormat="false" ht="15" hidden="false" customHeight="false" outlineLevel="0" collapsed="false">
      <c r="A716" s="122"/>
      <c r="B716" s="118"/>
      <c r="C716" s="114" t="str">
        <f aca="false">IF(B716="","",IFERROR(INDEX(الموظفون!$C$6:$C$105,MATCH(B716,الموظفون!$B$6:$B$105,0)),"✖ رقم غير موجود"))</f>
        <v/>
      </c>
      <c r="D716" s="123"/>
      <c r="E716" s="123"/>
      <c r="F716" s="123"/>
      <c r="G716" s="121"/>
      <c r="H716" s="121"/>
      <c r="I716" s="121"/>
      <c r="J716" s="121"/>
      <c r="K716" s="123"/>
      <c r="L716" s="123"/>
      <c r="M716" s="121"/>
      <c r="N716" s="121"/>
      <c r="O716" s="118"/>
    </row>
    <row r="717" customFormat="false" ht="15" hidden="false" customHeight="false" outlineLevel="0" collapsed="false">
      <c r="A717" s="122"/>
      <c r="B717" s="118"/>
      <c r="C717" s="117" t="str">
        <f aca="false">IF(B717="","",IFERROR(INDEX(الموظفون!$C$6:$C$105,MATCH(B717,الموظفون!$B$6:$B$105,0)),"✖ رقم غير موجود"))</f>
        <v/>
      </c>
      <c r="D717" s="123"/>
      <c r="E717" s="123"/>
      <c r="F717" s="123"/>
      <c r="G717" s="121"/>
      <c r="H717" s="121"/>
      <c r="I717" s="121"/>
      <c r="J717" s="121"/>
      <c r="K717" s="123"/>
      <c r="L717" s="123"/>
      <c r="M717" s="121"/>
      <c r="N717" s="121"/>
      <c r="O717" s="118"/>
    </row>
    <row r="718" customFormat="false" ht="15" hidden="false" customHeight="false" outlineLevel="0" collapsed="false">
      <c r="A718" s="122"/>
      <c r="B718" s="118"/>
      <c r="C718" s="114" t="str">
        <f aca="false">IF(B718="","",IFERROR(INDEX(الموظفون!$C$6:$C$105,MATCH(B718,الموظفون!$B$6:$B$105,0)),"✖ رقم غير موجود"))</f>
        <v/>
      </c>
      <c r="D718" s="123"/>
      <c r="E718" s="123"/>
      <c r="F718" s="123"/>
      <c r="G718" s="121"/>
      <c r="H718" s="121"/>
      <c r="I718" s="121"/>
      <c r="J718" s="121"/>
      <c r="K718" s="123"/>
      <c r="L718" s="123"/>
      <c r="M718" s="121"/>
      <c r="N718" s="121"/>
      <c r="O718" s="118"/>
    </row>
    <row r="719" customFormat="false" ht="15" hidden="false" customHeight="false" outlineLevel="0" collapsed="false">
      <c r="A719" s="122"/>
      <c r="B719" s="118"/>
      <c r="C719" s="117" t="str">
        <f aca="false">IF(B719="","",IFERROR(INDEX(الموظفون!$C$6:$C$105,MATCH(B719,الموظفون!$B$6:$B$105,0)),"✖ رقم غير موجود"))</f>
        <v/>
      </c>
      <c r="D719" s="123"/>
      <c r="E719" s="123"/>
      <c r="F719" s="123"/>
      <c r="G719" s="121"/>
      <c r="H719" s="121"/>
      <c r="I719" s="121"/>
      <c r="J719" s="121"/>
      <c r="K719" s="123"/>
      <c r="L719" s="123"/>
      <c r="M719" s="121"/>
      <c r="N719" s="121"/>
      <c r="O719" s="118"/>
    </row>
    <row r="720" customFormat="false" ht="15" hidden="false" customHeight="false" outlineLevel="0" collapsed="false">
      <c r="A720" s="122"/>
      <c r="B720" s="118"/>
      <c r="C720" s="114" t="str">
        <f aca="false">IF(B720="","",IFERROR(INDEX(الموظفون!$C$6:$C$105,MATCH(B720,الموظفون!$B$6:$B$105,0)),"✖ رقم غير موجود"))</f>
        <v/>
      </c>
      <c r="D720" s="123"/>
      <c r="E720" s="123"/>
      <c r="F720" s="123"/>
      <c r="G720" s="121"/>
      <c r="H720" s="121"/>
      <c r="I720" s="121"/>
      <c r="J720" s="121"/>
      <c r="K720" s="123"/>
      <c r="L720" s="123"/>
      <c r="M720" s="121"/>
      <c r="N720" s="121"/>
      <c r="O720" s="118"/>
    </row>
    <row r="721" customFormat="false" ht="15" hidden="false" customHeight="false" outlineLevel="0" collapsed="false">
      <c r="A721" s="122"/>
      <c r="B721" s="118"/>
      <c r="C721" s="117" t="str">
        <f aca="false">IF(B721="","",IFERROR(INDEX(الموظفون!$C$6:$C$105,MATCH(B721,الموظفون!$B$6:$B$105,0)),"✖ رقم غير موجود"))</f>
        <v/>
      </c>
      <c r="D721" s="123"/>
      <c r="E721" s="123"/>
      <c r="F721" s="123"/>
      <c r="G721" s="121"/>
      <c r="H721" s="121"/>
      <c r="I721" s="121"/>
      <c r="J721" s="121"/>
      <c r="K721" s="123"/>
      <c r="L721" s="123"/>
      <c r="M721" s="121"/>
      <c r="N721" s="121"/>
      <c r="O721" s="118"/>
    </row>
    <row r="722" customFormat="false" ht="15" hidden="false" customHeight="false" outlineLevel="0" collapsed="false">
      <c r="A722" s="122"/>
      <c r="B722" s="118"/>
      <c r="C722" s="114" t="str">
        <f aca="false">IF(B722="","",IFERROR(INDEX(الموظفون!$C$6:$C$105,MATCH(B722,الموظفون!$B$6:$B$105,0)),"✖ رقم غير موجود"))</f>
        <v/>
      </c>
      <c r="D722" s="123"/>
      <c r="E722" s="123"/>
      <c r="F722" s="123"/>
      <c r="G722" s="121"/>
      <c r="H722" s="121"/>
      <c r="I722" s="121"/>
      <c r="J722" s="121"/>
      <c r="K722" s="123"/>
      <c r="L722" s="123"/>
      <c r="M722" s="121"/>
      <c r="N722" s="121"/>
      <c r="O722" s="118"/>
    </row>
    <row r="723" customFormat="false" ht="15" hidden="false" customHeight="false" outlineLevel="0" collapsed="false">
      <c r="A723" s="122"/>
      <c r="B723" s="118"/>
      <c r="C723" s="117" t="str">
        <f aca="false">IF(B723="","",IFERROR(INDEX(الموظفون!$C$6:$C$105,MATCH(B723,الموظفون!$B$6:$B$105,0)),"✖ رقم غير موجود"))</f>
        <v/>
      </c>
      <c r="D723" s="123"/>
      <c r="E723" s="123"/>
      <c r="F723" s="123"/>
      <c r="G723" s="121"/>
      <c r="H723" s="121"/>
      <c r="I723" s="121"/>
      <c r="J723" s="121"/>
      <c r="K723" s="123"/>
      <c r="L723" s="123"/>
      <c r="M723" s="121"/>
      <c r="N723" s="121"/>
      <c r="O723" s="118"/>
    </row>
    <row r="724" customFormat="false" ht="15" hidden="false" customHeight="false" outlineLevel="0" collapsed="false">
      <c r="A724" s="122"/>
      <c r="B724" s="118"/>
      <c r="C724" s="114" t="str">
        <f aca="false">IF(B724="","",IFERROR(INDEX(الموظفون!$C$6:$C$105,MATCH(B724,الموظفون!$B$6:$B$105,0)),"✖ رقم غير موجود"))</f>
        <v/>
      </c>
      <c r="D724" s="123"/>
      <c r="E724" s="123"/>
      <c r="F724" s="123"/>
      <c r="G724" s="121"/>
      <c r="H724" s="121"/>
      <c r="I724" s="121"/>
      <c r="J724" s="121"/>
      <c r="K724" s="123"/>
      <c r="L724" s="123"/>
      <c r="M724" s="121"/>
      <c r="N724" s="121"/>
      <c r="O724" s="118"/>
    </row>
    <row r="725" customFormat="false" ht="15" hidden="false" customHeight="false" outlineLevel="0" collapsed="false">
      <c r="A725" s="122"/>
      <c r="B725" s="118"/>
      <c r="C725" s="117" t="str">
        <f aca="false">IF(B725="","",IFERROR(INDEX(الموظفون!$C$6:$C$105,MATCH(B725,الموظفون!$B$6:$B$105,0)),"✖ رقم غير موجود"))</f>
        <v/>
      </c>
      <c r="D725" s="123"/>
      <c r="E725" s="123"/>
      <c r="F725" s="123"/>
      <c r="G725" s="121"/>
      <c r="H725" s="121"/>
      <c r="I725" s="121"/>
      <c r="J725" s="121"/>
      <c r="K725" s="123"/>
      <c r="L725" s="123"/>
      <c r="M725" s="121"/>
      <c r="N725" s="121"/>
      <c r="O725" s="118"/>
    </row>
    <row r="726" customFormat="false" ht="15" hidden="false" customHeight="false" outlineLevel="0" collapsed="false">
      <c r="A726" s="122"/>
      <c r="B726" s="118"/>
      <c r="C726" s="114" t="str">
        <f aca="false">IF(B726="","",IFERROR(INDEX(الموظفون!$C$6:$C$105,MATCH(B726,الموظفون!$B$6:$B$105,0)),"✖ رقم غير موجود"))</f>
        <v/>
      </c>
      <c r="D726" s="123"/>
      <c r="E726" s="123"/>
      <c r="F726" s="123"/>
      <c r="G726" s="121"/>
      <c r="H726" s="121"/>
      <c r="I726" s="121"/>
      <c r="J726" s="121"/>
      <c r="K726" s="123"/>
      <c r="L726" s="123"/>
      <c r="M726" s="121"/>
      <c r="N726" s="121"/>
      <c r="O726" s="118"/>
    </row>
    <row r="727" customFormat="false" ht="15" hidden="false" customHeight="false" outlineLevel="0" collapsed="false">
      <c r="A727" s="122"/>
      <c r="B727" s="118"/>
      <c r="C727" s="117" t="str">
        <f aca="false">IF(B727="","",IFERROR(INDEX(الموظفون!$C$6:$C$105,MATCH(B727,الموظفون!$B$6:$B$105,0)),"✖ رقم غير موجود"))</f>
        <v/>
      </c>
      <c r="D727" s="123"/>
      <c r="E727" s="123"/>
      <c r="F727" s="123"/>
      <c r="G727" s="121"/>
      <c r="H727" s="121"/>
      <c r="I727" s="121"/>
      <c r="J727" s="121"/>
      <c r="K727" s="123"/>
      <c r="L727" s="123"/>
      <c r="M727" s="121"/>
      <c r="N727" s="121"/>
      <c r="O727" s="118"/>
    </row>
    <row r="728" customFormat="false" ht="15" hidden="false" customHeight="false" outlineLevel="0" collapsed="false">
      <c r="A728" s="122"/>
      <c r="B728" s="118"/>
      <c r="C728" s="114" t="str">
        <f aca="false">IF(B728="","",IFERROR(INDEX(الموظفون!$C$6:$C$105,MATCH(B728,الموظفون!$B$6:$B$105,0)),"✖ رقم غير موجود"))</f>
        <v/>
      </c>
      <c r="D728" s="123"/>
      <c r="E728" s="123"/>
      <c r="F728" s="123"/>
      <c r="G728" s="121"/>
      <c r="H728" s="121"/>
      <c r="I728" s="121"/>
      <c r="J728" s="121"/>
      <c r="K728" s="123"/>
      <c r="L728" s="123"/>
      <c r="M728" s="121"/>
      <c r="N728" s="121"/>
      <c r="O728" s="118"/>
    </row>
    <row r="729" customFormat="false" ht="15" hidden="false" customHeight="false" outlineLevel="0" collapsed="false">
      <c r="A729" s="122"/>
      <c r="B729" s="118"/>
      <c r="C729" s="117" t="str">
        <f aca="false">IF(B729="","",IFERROR(INDEX(الموظفون!$C$6:$C$105,MATCH(B729,الموظفون!$B$6:$B$105,0)),"✖ رقم غير موجود"))</f>
        <v/>
      </c>
      <c r="D729" s="123"/>
      <c r="E729" s="123"/>
      <c r="F729" s="123"/>
      <c r="G729" s="121"/>
      <c r="H729" s="121"/>
      <c r="I729" s="121"/>
      <c r="J729" s="121"/>
      <c r="K729" s="123"/>
      <c r="L729" s="123"/>
      <c r="M729" s="121"/>
      <c r="N729" s="121"/>
      <c r="O729" s="118"/>
    </row>
    <row r="730" customFormat="false" ht="15" hidden="false" customHeight="false" outlineLevel="0" collapsed="false">
      <c r="A730" s="122"/>
      <c r="B730" s="118"/>
      <c r="C730" s="114" t="str">
        <f aca="false">IF(B730="","",IFERROR(INDEX(الموظفون!$C$6:$C$105,MATCH(B730,الموظفون!$B$6:$B$105,0)),"✖ رقم غير موجود"))</f>
        <v/>
      </c>
      <c r="D730" s="123"/>
      <c r="E730" s="123"/>
      <c r="F730" s="123"/>
      <c r="G730" s="121"/>
      <c r="H730" s="121"/>
      <c r="I730" s="121"/>
      <c r="J730" s="121"/>
      <c r="K730" s="123"/>
      <c r="L730" s="123"/>
      <c r="M730" s="121"/>
      <c r="N730" s="121"/>
      <c r="O730" s="118"/>
    </row>
    <row r="731" customFormat="false" ht="15" hidden="false" customHeight="false" outlineLevel="0" collapsed="false">
      <c r="A731" s="122"/>
      <c r="B731" s="118"/>
      <c r="C731" s="117" t="str">
        <f aca="false">IF(B731="","",IFERROR(INDEX(الموظفون!$C$6:$C$105,MATCH(B731,الموظفون!$B$6:$B$105,0)),"✖ رقم غير موجود"))</f>
        <v/>
      </c>
      <c r="D731" s="123"/>
      <c r="E731" s="123"/>
      <c r="F731" s="123"/>
      <c r="G731" s="121"/>
      <c r="H731" s="121"/>
      <c r="I731" s="121"/>
      <c r="J731" s="121"/>
      <c r="K731" s="123"/>
      <c r="L731" s="123"/>
      <c r="M731" s="121"/>
      <c r="N731" s="121"/>
      <c r="O731" s="118"/>
    </row>
    <row r="732" customFormat="false" ht="15" hidden="false" customHeight="false" outlineLevel="0" collapsed="false">
      <c r="A732" s="122"/>
      <c r="B732" s="118"/>
      <c r="C732" s="114" t="str">
        <f aca="false">IF(B732="","",IFERROR(INDEX(الموظفون!$C$6:$C$105,MATCH(B732,الموظفون!$B$6:$B$105,0)),"✖ رقم غير موجود"))</f>
        <v/>
      </c>
      <c r="D732" s="123"/>
      <c r="E732" s="123"/>
      <c r="F732" s="123"/>
      <c r="G732" s="121"/>
      <c r="H732" s="121"/>
      <c r="I732" s="121"/>
      <c r="J732" s="121"/>
      <c r="K732" s="123"/>
      <c r="L732" s="123"/>
      <c r="M732" s="121"/>
      <c r="N732" s="121"/>
      <c r="O732" s="118"/>
    </row>
    <row r="733" customFormat="false" ht="15" hidden="false" customHeight="false" outlineLevel="0" collapsed="false">
      <c r="A733" s="122"/>
      <c r="B733" s="118"/>
      <c r="C733" s="117" t="str">
        <f aca="false">IF(B733="","",IFERROR(INDEX(الموظفون!$C$6:$C$105,MATCH(B733,الموظفون!$B$6:$B$105,0)),"✖ رقم غير موجود"))</f>
        <v/>
      </c>
      <c r="D733" s="123"/>
      <c r="E733" s="123"/>
      <c r="F733" s="123"/>
      <c r="G733" s="121"/>
      <c r="H733" s="121"/>
      <c r="I733" s="121"/>
      <c r="J733" s="121"/>
      <c r="K733" s="123"/>
      <c r="L733" s="123"/>
      <c r="M733" s="121"/>
      <c r="N733" s="121"/>
      <c r="O733" s="118"/>
    </row>
    <row r="734" customFormat="false" ht="15" hidden="false" customHeight="false" outlineLevel="0" collapsed="false">
      <c r="A734" s="122"/>
      <c r="B734" s="118"/>
      <c r="C734" s="114" t="str">
        <f aca="false">IF(B734="","",IFERROR(INDEX(الموظفون!$C$6:$C$105,MATCH(B734,الموظفون!$B$6:$B$105,0)),"✖ رقم غير موجود"))</f>
        <v/>
      </c>
      <c r="D734" s="123"/>
      <c r="E734" s="123"/>
      <c r="F734" s="123"/>
      <c r="G734" s="121"/>
      <c r="H734" s="121"/>
      <c r="I734" s="121"/>
      <c r="J734" s="121"/>
      <c r="K734" s="123"/>
      <c r="L734" s="123"/>
      <c r="M734" s="121"/>
      <c r="N734" s="121"/>
      <c r="O734" s="118"/>
    </row>
    <row r="735" customFormat="false" ht="15" hidden="false" customHeight="false" outlineLevel="0" collapsed="false">
      <c r="A735" s="122"/>
      <c r="B735" s="118"/>
      <c r="C735" s="117" t="str">
        <f aca="false">IF(B735="","",IFERROR(INDEX(الموظفون!$C$6:$C$105,MATCH(B735,الموظفون!$B$6:$B$105,0)),"✖ رقم غير موجود"))</f>
        <v/>
      </c>
      <c r="D735" s="123"/>
      <c r="E735" s="123"/>
      <c r="F735" s="123"/>
      <c r="G735" s="121"/>
      <c r="H735" s="121"/>
      <c r="I735" s="121"/>
      <c r="J735" s="121"/>
      <c r="K735" s="123"/>
      <c r="L735" s="123"/>
      <c r="M735" s="121"/>
      <c r="N735" s="121"/>
      <c r="O735" s="118"/>
    </row>
    <row r="736" customFormat="false" ht="15" hidden="false" customHeight="false" outlineLevel="0" collapsed="false">
      <c r="A736" s="122"/>
      <c r="B736" s="118"/>
      <c r="C736" s="114" t="str">
        <f aca="false">IF(B736="","",IFERROR(INDEX(الموظفون!$C$6:$C$105,MATCH(B736,الموظفون!$B$6:$B$105,0)),"✖ رقم غير موجود"))</f>
        <v/>
      </c>
      <c r="D736" s="123"/>
      <c r="E736" s="123"/>
      <c r="F736" s="123"/>
      <c r="G736" s="121"/>
      <c r="H736" s="121"/>
      <c r="I736" s="121"/>
      <c r="J736" s="121"/>
      <c r="K736" s="123"/>
      <c r="L736" s="123"/>
      <c r="M736" s="121"/>
      <c r="N736" s="121"/>
      <c r="O736" s="118"/>
    </row>
    <row r="737" customFormat="false" ht="15" hidden="false" customHeight="false" outlineLevel="0" collapsed="false">
      <c r="A737" s="122"/>
      <c r="B737" s="118"/>
      <c r="C737" s="117" t="str">
        <f aca="false">IF(B737="","",IFERROR(INDEX(الموظفون!$C$6:$C$105,MATCH(B737,الموظفون!$B$6:$B$105,0)),"✖ رقم غير موجود"))</f>
        <v/>
      </c>
      <c r="D737" s="123"/>
      <c r="E737" s="123"/>
      <c r="F737" s="123"/>
      <c r="G737" s="121"/>
      <c r="H737" s="121"/>
      <c r="I737" s="121"/>
      <c r="J737" s="121"/>
      <c r="K737" s="123"/>
      <c r="L737" s="123"/>
      <c r="M737" s="121"/>
      <c r="N737" s="121"/>
      <c r="O737" s="118"/>
    </row>
    <row r="738" customFormat="false" ht="15" hidden="false" customHeight="false" outlineLevel="0" collapsed="false">
      <c r="A738" s="122"/>
      <c r="B738" s="118"/>
      <c r="C738" s="114" t="str">
        <f aca="false">IF(B738="","",IFERROR(INDEX(الموظفون!$C$6:$C$105,MATCH(B738,الموظفون!$B$6:$B$105,0)),"✖ رقم غير موجود"))</f>
        <v/>
      </c>
      <c r="D738" s="123"/>
      <c r="E738" s="123"/>
      <c r="F738" s="123"/>
      <c r="G738" s="121"/>
      <c r="H738" s="121"/>
      <c r="I738" s="121"/>
      <c r="J738" s="121"/>
      <c r="K738" s="123"/>
      <c r="L738" s="123"/>
      <c r="M738" s="121"/>
      <c r="N738" s="121"/>
      <c r="O738" s="118"/>
    </row>
    <row r="739" customFormat="false" ht="15" hidden="false" customHeight="false" outlineLevel="0" collapsed="false">
      <c r="A739" s="122"/>
      <c r="B739" s="118"/>
      <c r="C739" s="117" t="str">
        <f aca="false">IF(B739="","",IFERROR(INDEX(الموظفون!$C$6:$C$105,MATCH(B739,الموظفون!$B$6:$B$105,0)),"✖ رقم غير موجود"))</f>
        <v/>
      </c>
      <c r="D739" s="123"/>
      <c r="E739" s="123"/>
      <c r="F739" s="123"/>
      <c r="G739" s="121"/>
      <c r="H739" s="121"/>
      <c r="I739" s="121"/>
      <c r="J739" s="121"/>
      <c r="K739" s="123"/>
      <c r="L739" s="123"/>
      <c r="M739" s="121"/>
      <c r="N739" s="121"/>
      <c r="O739" s="118"/>
    </row>
    <row r="740" customFormat="false" ht="15" hidden="false" customHeight="false" outlineLevel="0" collapsed="false">
      <c r="A740" s="122"/>
      <c r="B740" s="118"/>
      <c r="C740" s="114" t="str">
        <f aca="false">IF(B740="","",IFERROR(INDEX(الموظفون!$C$6:$C$105,MATCH(B740,الموظفون!$B$6:$B$105,0)),"✖ رقم غير موجود"))</f>
        <v/>
      </c>
      <c r="D740" s="123"/>
      <c r="E740" s="123"/>
      <c r="F740" s="123"/>
      <c r="G740" s="121"/>
      <c r="H740" s="121"/>
      <c r="I740" s="121"/>
      <c r="J740" s="121"/>
      <c r="K740" s="123"/>
      <c r="L740" s="123"/>
      <c r="M740" s="121"/>
      <c r="N740" s="121"/>
      <c r="O740" s="118"/>
    </row>
    <row r="741" customFormat="false" ht="15" hidden="false" customHeight="false" outlineLevel="0" collapsed="false">
      <c r="A741" s="122"/>
      <c r="B741" s="118"/>
      <c r="C741" s="117" t="str">
        <f aca="false">IF(B741="","",IFERROR(INDEX(الموظفون!$C$6:$C$105,MATCH(B741,الموظفون!$B$6:$B$105,0)),"✖ رقم غير موجود"))</f>
        <v/>
      </c>
      <c r="D741" s="123"/>
      <c r="E741" s="123"/>
      <c r="F741" s="123"/>
      <c r="G741" s="121"/>
      <c r="H741" s="121"/>
      <c r="I741" s="121"/>
      <c r="J741" s="121"/>
      <c r="K741" s="123"/>
      <c r="L741" s="123"/>
      <c r="M741" s="121"/>
      <c r="N741" s="121"/>
      <c r="O741" s="118"/>
    </row>
    <row r="742" customFormat="false" ht="15" hidden="false" customHeight="false" outlineLevel="0" collapsed="false">
      <c r="A742" s="122"/>
      <c r="B742" s="118"/>
      <c r="C742" s="114" t="str">
        <f aca="false">IF(B742="","",IFERROR(INDEX(الموظفون!$C$6:$C$105,MATCH(B742,الموظفون!$B$6:$B$105,0)),"✖ رقم غير موجود"))</f>
        <v/>
      </c>
      <c r="D742" s="123"/>
      <c r="E742" s="123"/>
      <c r="F742" s="123"/>
      <c r="G742" s="121"/>
      <c r="H742" s="121"/>
      <c r="I742" s="121"/>
      <c r="J742" s="121"/>
      <c r="K742" s="123"/>
      <c r="L742" s="123"/>
      <c r="M742" s="121"/>
      <c r="N742" s="121"/>
      <c r="O742" s="118"/>
    </row>
    <row r="743" customFormat="false" ht="15" hidden="false" customHeight="false" outlineLevel="0" collapsed="false">
      <c r="A743" s="122"/>
      <c r="B743" s="118"/>
      <c r="C743" s="117" t="str">
        <f aca="false">IF(B743="","",IFERROR(INDEX(الموظفون!$C$6:$C$105,MATCH(B743,الموظفون!$B$6:$B$105,0)),"✖ رقم غير موجود"))</f>
        <v/>
      </c>
      <c r="D743" s="123"/>
      <c r="E743" s="123"/>
      <c r="F743" s="123"/>
      <c r="G743" s="121"/>
      <c r="H743" s="121"/>
      <c r="I743" s="121"/>
      <c r="J743" s="121"/>
      <c r="K743" s="123"/>
      <c r="L743" s="123"/>
      <c r="M743" s="121"/>
      <c r="N743" s="121"/>
      <c r="O743" s="118"/>
    </row>
    <row r="744" customFormat="false" ht="15" hidden="false" customHeight="false" outlineLevel="0" collapsed="false">
      <c r="A744" s="122"/>
      <c r="B744" s="118"/>
      <c r="C744" s="114" t="str">
        <f aca="false">IF(B744="","",IFERROR(INDEX(الموظفون!$C$6:$C$105,MATCH(B744,الموظفون!$B$6:$B$105,0)),"✖ رقم غير موجود"))</f>
        <v/>
      </c>
      <c r="D744" s="123"/>
      <c r="E744" s="123"/>
      <c r="F744" s="123"/>
      <c r="G744" s="121"/>
      <c r="H744" s="121"/>
      <c r="I744" s="121"/>
      <c r="J744" s="121"/>
      <c r="K744" s="123"/>
      <c r="L744" s="123"/>
      <c r="M744" s="121"/>
      <c r="N744" s="121"/>
      <c r="O744" s="118"/>
    </row>
    <row r="745" customFormat="false" ht="15" hidden="false" customHeight="false" outlineLevel="0" collapsed="false">
      <c r="A745" s="122"/>
      <c r="B745" s="118"/>
      <c r="C745" s="117" t="str">
        <f aca="false">IF(B745="","",IFERROR(INDEX(الموظفون!$C$6:$C$105,MATCH(B745,الموظفون!$B$6:$B$105,0)),"✖ رقم غير موجود"))</f>
        <v/>
      </c>
      <c r="D745" s="123"/>
      <c r="E745" s="123"/>
      <c r="F745" s="123"/>
      <c r="G745" s="121"/>
      <c r="H745" s="121"/>
      <c r="I745" s="121"/>
      <c r="J745" s="121"/>
      <c r="K745" s="123"/>
      <c r="L745" s="123"/>
      <c r="M745" s="121"/>
      <c r="N745" s="121"/>
      <c r="O745" s="118"/>
    </row>
    <row r="746" customFormat="false" ht="15" hidden="false" customHeight="false" outlineLevel="0" collapsed="false">
      <c r="A746" s="122"/>
      <c r="B746" s="118"/>
      <c r="C746" s="114" t="str">
        <f aca="false">IF(B746="","",IFERROR(INDEX(الموظفون!$C$6:$C$105,MATCH(B746,الموظفون!$B$6:$B$105,0)),"✖ رقم غير موجود"))</f>
        <v/>
      </c>
      <c r="D746" s="123"/>
      <c r="E746" s="123"/>
      <c r="F746" s="123"/>
      <c r="G746" s="121"/>
      <c r="H746" s="121"/>
      <c r="I746" s="121"/>
      <c r="J746" s="121"/>
      <c r="K746" s="123"/>
      <c r="L746" s="123"/>
      <c r="M746" s="121"/>
      <c r="N746" s="121"/>
      <c r="O746" s="118"/>
    </row>
    <row r="747" customFormat="false" ht="15" hidden="false" customHeight="false" outlineLevel="0" collapsed="false">
      <c r="A747" s="122"/>
      <c r="B747" s="118"/>
      <c r="C747" s="117" t="str">
        <f aca="false">IF(B747="","",IFERROR(INDEX(الموظفون!$C$6:$C$105,MATCH(B747,الموظفون!$B$6:$B$105,0)),"✖ رقم غير موجود"))</f>
        <v/>
      </c>
      <c r="D747" s="123"/>
      <c r="E747" s="123"/>
      <c r="F747" s="123"/>
      <c r="G747" s="121"/>
      <c r="H747" s="121"/>
      <c r="I747" s="121"/>
      <c r="J747" s="121"/>
      <c r="K747" s="123"/>
      <c r="L747" s="123"/>
      <c r="M747" s="121"/>
      <c r="N747" s="121"/>
      <c r="O747" s="118"/>
    </row>
    <row r="748" customFormat="false" ht="15" hidden="false" customHeight="false" outlineLevel="0" collapsed="false">
      <c r="A748" s="122"/>
      <c r="B748" s="118"/>
      <c r="C748" s="114" t="str">
        <f aca="false">IF(B748="","",IFERROR(INDEX(الموظفون!$C$6:$C$105,MATCH(B748,الموظفون!$B$6:$B$105,0)),"✖ رقم غير موجود"))</f>
        <v/>
      </c>
      <c r="D748" s="123"/>
      <c r="E748" s="123"/>
      <c r="F748" s="123"/>
      <c r="G748" s="121"/>
      <c r="H748" s="121"/>
      <c r="I748" s="121"/>
      <c r="J748" s="121"/>
      <c r="K748" s="123"/>
      <c r="L748" s="123"/>
      <c r="M748" s="121"/>
      <c r="N748" s="121"/>
      <c r="O748" s="118"/>
    </row>
    <row r="749" customFormat="false" ht="15" hidden="false" customHeight="false" outlineLevel="0" collapsed="false">
      <c r="A749" s="122"/>
      <c r="B749" s="118"/>
      <c r="C749" s="117" t="str">
        <f aca="false">IF(B749="","",IFERROR(INDEX(الموظفون!$C$6:$C$105,MATCH(B749,الموظفون!$B$6:$B$105,0)),"✖ رقم غير موجود"))</f>
        <v/>
      </c>
      <c r="D749" s="123"/>
      <c r="E749" s="123"/>
      <c r="F749" s="123"/>
      <c r="G749" s="121"/>
      <c r="H749" s="121"/>
      <c r="I749" s="121"/>
      <c r="J749" s="121"/>
      <c r="K749" s="123"/>
      <c r="L749" s="123"/>
      <c r="M749" s="121"/>
      <c r="N749" s="121"/>
      <c r="O749" s="118"/>
    </row>
    <row r="750" customFormat="false" ht="15" hidden="false" customHeight="false" outlineLevel="0" collapsed="false">
      <c r="A750" s="122"/>
      <c r="B750" s="118"/>
      <c r="C750" s="114" t="str">
        <f aca="false">IF(B750="","",IFERROR(INDEX(الموظفون!$C$6:$C$105,MATCH(B750,الموظفون!$B$6:$B$105,0)),"✖ رقم غير موجود"))</f>
        <v/>
      </c>
      <c r="D750" s="123"/>
      <c r="E750" s="123"/>
      <c r="F750" s="123"/>
      <c r="G750" s="121"/>
      <c r="H750" s="121"/>
      <c r="I750" s="121"/>
      <c r="J750" s="121"/>
      <c r="K750" s="123"/>
      <c r="L750" s="123"/>
      <c r="M750" s="121"/>
      <c r="N750" s="121"/>
      <c r="O750" s="118"/>
    </row>
    <row r="751" customFormat="false" ht="15" hidden="false" customHeight="false" outlineLevel="0" collapsed="false">
      <c r="A751" s="122"/>
      <c r="B751" s="118"/>
      <c r="C751" s="117" t="str">
        <f aca="false">IF(B751="","",IFERROR(INDEX(الموظفون!$C$6:$C$105,MATCH(B751,الموظفون!$B$6:$B$105,0)),"✖ رقم غير موجود"))</f>
        <v/>
      </c>
      <c r="D751" s="123"/>
      <c r="E751" s="123"/>
      <c r="F751" s="123"/>
      <c r="G751" s="121"/>
      <c r="H751" s="121"/>
      <c r="I751" s="121"/>
      <c r="J751" s="121"/>
      <c r="K751" s="123"/>
      <c r="L751" s="123"/>
      <c r="M751" s="121"/>
      <c r="N751" s="121"/>
      <c r="O751" s="118"/>
    </row>
    <row r="752" customFormat="false" ht="15" hidden="false" customHeight="false" outlineLevel="0" collapsed="false">
      <c r="A752" s="122"/>
      <c r="B752" s="118"/>
      <c r="C752" s="114" t="str">
        <f aca="false">IF(B752="","",IFERROR(INDEX(الموظفون!$C$6:$C$105,MATCH(B752,الموظفون!$B$6:$B$105,0)),"✖ رقم غير موجود"))</f>
        <v/>
      </c>
      <c r="D752" s="123"/>
      <c r="E752" s="123"/>
      <c r="F752" s="123"/>
      <c r="G752" s="121"/>
      <c r="H752" s="121"/>
      <c r="I752" s="121"/>
      <c r="J752" s="121"/>
      <c r="K752" s="123"/>
      <c r="L752" s="123"/>
      <c r="M752" s="121"/>
      <c r="N752" s="121"/>
      <c r="O752" s="118"/>
    </row>
    <row r="753" customFormat="false" ht="15" hidden="false" customHeight="false" outlineLevel="0" collapsed="false">
      <c r="A753" s="122"/>
      <c r="B753" s="118"/>
      <c r="C753" s="117" t="str">
        <f aca="false">IF(B753="","",IFERROR(INDEX(الموظفون!$C$6:$C$105,MATCH(B753,الموظفون!$B$6:$B$105,0)),"✖ رقم غير موجود"))</f>
        <v/>
      </c>
      <c r="D753" s="123"/>
      <c r="E753" s="123"/>
      <c r="F753" s="123"/>
      <c r="G753" s="121"/>
      <c r="H753" s="121"/>
      <c r="I753" s="121"/>
      <c r="J753" s="121"/>
      <c r="K753" s="123"/>
      <c r="L753" s="123"/>
      <c r="M753" s="121"/>
      <c r="N753" s="121"/>
      <c r="O753" s="118"/>
    </row>
    <row r="754" customFormat="false" ht="15" hidden="false" customHeight="false" outlineLevel="0" collapsed="false">
      <c r="A754" s="122"/>
      <c r="B754" s="118"/>
      <c r="C754" s="114" t="str">
        <f aca="false">IF(B754="","",IFERROR(INDEX(الموظفون!$C$6:$C$105,MATCH(B754,الموظفون!$B$6:$B$105,0)),"✖ رقم غير موجود"))</f>
        <v/>
      </c>
      <c r="D754" s="123"/>
      <c r="E754" s="123"/>
      <c r="F754" s="123"/>
      <c r="G754" s="121"/>
      <c r="H754" s="121"/>
      <c r="I754" s="121"/>
      <c r="J754" s="121"/>
      <c r="K754" s="123"/>
      <c r="L754" s="123"/>
      <c r="M754" s="121"/>
      <c r="N754" s="121"/>
      <c r="O754" s="118"/>
    </row>
    <row r="755" customFormat="false" ht="15" hidden="false" customHeight="false" outlineLevel="0" collapsed="false">
      <c r="A755" s="122"/>
      <c r="B755" s="118"/>
      <c r="C755" s="117" t="str">
        <f aca="false">IF(B755="","",IFERROR(INDEX(الموظفون!$C$6:$C$105,MATCH(B755,الموظفون!$B$6:$B$105,0)),"✖ رقم غير موجود"))</f>
        <v/>
      </c>
      <c r="D755" s="123"/>
      <c r="E755" s="123"/>
      <c r="F755" s="123"/>
      <c r="G755" s="121"/>
      <c r="H755" s="121"/>
      <c r="I755" s="121"/>
      <c r="J755" s="121"/>
      <c r="K755" s="123"/>
      <c r="L755" s="123"/>
      <c r="M755" s="121"/>
      <c r="N755" s="121"/>
      <c r="O755" s="118"/>
    </row>
    <row r="756" customFormat="false" ht="15" hidden="false" customHeight="false" outlineLevel="0" collapsed="false">
      <c r="A756" s="122"/>
      <c r="B756" s="118"/>
      <c r="C756" s="114" t="str">
        <f aca="false">IF(B756="","",IFERROR(INDEX(الموظفون!$C$6:$C$105,MATCH(B756,الموظفون!$B$6:$B$105,0)),"✖ رقم غير موجود"))</f>
        <v/>
      </c>
      <c r="D756" s="123"/>
      <c r="E756" s="123"/>
      <c r="F756" s="123"/>
      <c r="G756" s="121"/>
      <c r="H756" s="121"/>
      <c r="I756" s="121"/>
      <c r="J756" s="121"/>
      <c r="K756" s="123"/>
      <c r="L756" s="123"/>
      <c r="M756" s="121"/>
      <c r="N756" s="121"/>
      <c r="O756" s="118"/>
    </row>
    <row r="757" customFormat="false" ht="15" hidden="false" customHeight="false" outlineLevel="0" collapsed="false">
      <c r="A757" s="122"/>
      <c r="B757" s="118"/>
      <c r="C757" s="117" t="str">
        <f aca="false">IF(B757="","",IFERROR(INDEX(الموظفون!$C$6:$C$105,MATCH(B757,الموظفون!$B$6:$B$105,0)),"✖ رقم غير موجود"))</f>
        <v/>
      </c>
      <c r="D757" s="123"/>
      <c r="E757" s="123"/>
      <c r="F757" s="123"/>
      <c r="G757" s="121"/>
      <c r="H757" s="121"/>
      <c r="I757" s="121"/>
      <c r="J757" s="121"/>
      <c r="K757" s="123"/>
      <c r="L757" s="123"/>
      <c r="M757" s="121"/>
      <c r="N757" s="121"/>
      <c r="O757" s="118"/>
    </row>
    <row r="758" customFormat="false" ht="15" hidden="false" customHeight="false" outlineLevel="0" collapsed="false">
      <c r="A758" s="122"/>
      <c r="B758" s="118"/>
      <c r="C758" s="114" t="str">
        <f aca="false">IF(B758="","",IFERROR(INDEX(الموظفون!$C$6:$C$105,MATCH(B758,الموظفون!$B$6:$B$105,0)),"✖ رقم غير موجود"))</f>
        <v/>
      </c>
      <c r="D758" s="123"/>
      <c r="E758" s="123"/>
      <c r="F758" s="123"/>
      <c r="G758" s="121"/>
      <c r="H758" s="121"/>
      <c r="I758" s="121"/>
      <c r="J758" s="121"/>
      <c r="K758" s="123"/>
      <c r="L758" s="123"/>
      <c r="M758" s="121"/>
      <c r="N758" s="121"/>
      <c r="O758" s="118"/>
    </row>
    <row r="759" customFormat="false" ht="15" hidden="false" customHeight="false" outlineLevel="0" collapsed="false">
      <c r="A759" s="122"/>
      <c r="B759" s="118"/>
      <c r="C759" s="117" t="str">
        <f aca="false">IF(B759="","",IFERROR(INDEX(الموظفون!$C$6:$C$105,MATCH(B759,الموظفون!$B$6:$B$105,0)),"✖ رقم غير موجود"))</f>
        <v/>
      </c>
      <c r="D759" s="123"/>
      <c r="E759" s="123"/>
      <c r="F759" s="123"/>
      <c r="G759" s="121"/>
      <c r="H759" s="121"/>
      <c r="I759" s="121"/>
      <c r="J759" s="121"/>
      <c r="K759" s="123"/>
      <c r="L759" s="123"/>
      <c r="M759" s="121"/>
      <c r="N759" s="121"/>
      <c r="O759" s="118"/>
    </row>
    <row r="760" customFormat="false" ht="15" hidden="false" customHeight="false" outlineLevel="0" collapsed="false">
      <c r="A760" s="122"/>
      <c r="B760" s="118"/>
      <c r="C760" s="114" t="str">
        <f aca="false">IF(B760="","",IFERROR(INDEX(الموظفون!$C$6:$C$105,MATCH(B760,الموظفون!$B$6:$B$105,0)),"✖ رقم غير موجود"))</f>
        <v/>
      </c>
      <c r="D760" s="123"/>
      <c r="E760" s="123"/>
      <c r="F760" s="123"/>
      <c r="G760" s="121"/>
      <c r="H760" s="121"/>
      <c r="I760" s="121"/>
      <c r="J760" s="121"/>
      <c r="K760" s="123"/>
      <c r="L760" s="123"/>
      <c r="M760" s="121"/>
      <c r="N760" s="121"/>
      <c r="O760" s="118"/>
    </row>
    <row r="761" customFormat="false" ht="15" hidden="false" customHeight="false" outlineLevel="0" collapsed="false">
      <c r="A761" s="122"/>
      <c r="B761" s="118"/>
      <c r="C761" s="117" t="str">
        <f aca="false">IF(B761="","",IFERROR(INDEX(الموظفون!$C$6:$C$105,MATCH(B761,الموظفون!$B$6:$B$105,0)),"✖ رقم غير موجود"))</f>
        <v/>
      </c>
      <c r="D761" s="123"/>
      <c r="E761" s="123"/>
      <c r="F761" s="123"/>
      <c r="G761" s="121"/>
      <c r="H761" s="121"/>
      <c r="I761" s="121"/>
      <c r="J761" s="121"/>
      <c r="K761" s="123"/>
      <c r="L761" s="123"/>
      <c r="M761" s="121"/>
      <c r="N761" s="121"/>
      <c r="O761" s="118"/>
    </row>
    <row r="762" customFormat="false" ht="15" hidden="false" customHeight="false" outlineLevel="0" collapsed="false">
      <c r="A762" s="122"/>
      <c r="B762" s="118"/>
      <c r="C762" s="114" t="str">
        <f aca="false">IF(B762="","",IFERROR(INDEX(الموظفون!$C$6:$C$105,MATCH(B762,الموظفون!$B$6:$B$105,0)),"✖ رقم غير موجود"))</f>
        <v/>
      </c>
      <c r="D762" s="123"/>
      <c r="E762" s="123"/>
      <c r="F762" s="123"/>
      <c r="G762" s="121"/>
      <c r="H762" s="121"/>
      <c r="I762" s="121"/>
      <c r="J762" s="121"/>
      <c r="K762" s="123"/>
      <c r="L762" s="123"/>
      <c r="M762" s="121"/>
      <c r="N762" s="121"/>
      <c r="O762" s="118"/>
    </row>
    <row r="763" customFormat="false" ht="15" hidden="false" customHeight="false" outlineLevel="0" collapsed="false">
      <c r="A763" s="122"/>
      <c r="B763" s="118"/>
      <c r="C763" s="117" t="str">
        <f aca="false">IF(B763="","",IFERROR(INDEX(الموظفون!$C$6:$C$105,MATCH(B763,الموظفون!$B$6:$B$105,0)),"✖ رقم غير موجود"))</f>
        <v/>
      </c>
      <c r="D763" s="123"/>
      <c r="E763" s="123"/>
      <c r="F763" s="123"/>
      <c r="G763" s="121"/>
      <c r="H763" s="121"/>
      <c r="I763" s="121"/>
      <c r="J763" s="121"/>
      <c r="K763" s="123"/>
      <c r="L763" s="123"/>
      <c r="M763" s="121"/>
      <c r="N763" s="121"/>
      <c r="O763" s="118"/>
    </row>
    <row r="764" customFormat="false" ht="15" hidden="false" customHeight="false" outlineLevel="0" collapsed="false">
      <c r="A764" s="122"/>
      <c r="B764" s="118"/>
      <c r="C764" s="114" t="str">
        <f aca="false">IF(B764="","",IFERROR(INDEX(الموظفون!$C$6:$C$105,MATCH(B764,الموظفون!$B$6:$B$105,0)),"✖ رقم غير موجود"))</f>
        <v/>
      </c>
      <c r="D764" s="123"/>
      <c r="E764" s="123"/>
      <c r="F764" s="123"/>
      <c r="G764" s="121"/>
      <c r="H764" s="121"/>
      <c r="I764" s="121"/>
      <c r="J764" s="121"/>
      <c r="K764" s="123"/>
      <c r="L764" s="123"/>
      <c r="M764" s="121"/>
      <c r="N764" s="121"/>
      <c r="O764" s="118"/>
    </row>
    <row r="765" customFormat="false" ht="15" hidden="false" customHeight="false" outlineLevel="0" collapsed="false">
      <c r="A765" s="122"/>
      <c r="B765" s="118"/>
      <c r="C765" s="117" t="str">
        <f aca="false">IF(B765="","",IFERROR(INDEX(الموظفون!$C$6:$C$105,MATCH(B765,الموظفون!$B$6:$B$105,0)),"✖ رقم غير موجود"))</f>
        <v/>
      </c>
      <c r="D765" s="123"/>
      <c r="E765" s="123"/>
      <c r="F765" s="123"/>
      <c r="G765" s="121"/>
      <c r="H765" s="121"/>
      <c r="I765" s="121"/>
      <c r="J765" s="121"/>
      <c r="K765" s="123"/>
      <c r="L765" s="123"/>
      <c r="M765" s="121"/>
      <c r="N765" s="121"/>
      <c r="O765" s="118"/>
    </row>
    <row r="766" customFormat="false" ht="15" hidden="false" customHeight="false" outlineLevel="0" collapsed="false">
      <c r="A766" s="122"/>
      <c r="B766" s="118"/>
      <c r="C766" s="114" t="str">
        <f aca="false">IF(B766="","",IFERROR(INDEX(الموظفون!$C$6:$C$105,MATCH(B766,الموظفون!$B$6:$B$105,0)),"✖ رقم غير موجود"))</f>
        <v/>
      </c>
      <c r="D766" s="123"/>
      <c r="E766" s="123"/>
      <c r="F766" s="123"/>
      <c r="G766" s="121"/>
      <c r="H766" s="121"/>
      <c r="I766" s="121"/>
      <c r="J766" s="121"/>
      <c r="K766" s="123"/>
      <c r="L766" s="123"/>
      <c r="M766" s="121"/>
      <c r="N766" s="121"/>
      <c r="O766" s="118"/>
    </row>
    <row r="767" customFormat="false" ht="15" hidden="false" customHeight="false" outlineLevel="0" collapsed="false">
      <c r="A767" s="122"/>
      <c r="B767" s="118"/>
      <c r="C767" s="117" t="str">
        <f aca="false">IF(B767="","",IFERROR(INDEX(الموظفون!$C$6:$C$105,MATCH(B767,الموظفون!$B$6:$B$105,0)),"✖ رقم غير موجود"))</f>
        <v/>
      </c>
      <c r="D767" s="123"/>
      <c r="E767" s="123"/>
      <c r="F767" s="123"/>
      <c r="G767" s="121"/>
      <c r="H767" s="121"/>
      <c r="I767" s="121"/>
      <c r="J767" s="121"/>
      <c r="K767" s="123"/>
      <c r="L767" s="123"/>
      <c r="M767" s="121"/>
      <c r="N767" s="121"/>
      <c r="O767" s="118"/>
    </row>
    <row r="768" customFormat="false" ht="15" hidden="false" customHeight="false" outlineLevel="0" collapsed="false">
      <c r="A768" s="122"/>
      <c r="B768" s="118"/>
      <c r="C768" s="114" t="str">
        <f aca="false">IF(B768="","",IFERROR(INDEX(الموظفون!$C$6:$C$105,MATCH(B768,الموظفون!$B$6:$B$105,0)),"✖ رقم غير موجود"))</f>
        <v/>
      </c>
      <c r="D768" s="123"/>
      <c r="E768" s="123"/>
      <c r="F768" s="123"/>
      <c r="G768" s="121"/>
      <c r="H768" s="121"/>
      <c r="I768" s="121"/>
      <c r="J768" s="121"/>
      <c r="K768" s="123"/>
      <c r="L768" s="123"/>
      <c r="M768" s="121"/>
      <c r="N768" s="121"/>
      <c r="O768" s="118"/>
    </row>
    <row r="769" customFormat="false" ht="15" hidden="false" customHeight="false" outlineLevel="0" collapsed="false">
      <c r="A769" s="122"/>
      <c r="B769" s="118"/>
      <c r="C769" s="117" t="str">
        <f aca="false">IF(B769="","",IFERROR(INDEX(الموظفون!$C$6:$C$105,MATCH(B769,الموظفون!$B$6:$B$105,0)),"✖ رقم غير موجود"))</f>
        <v/>
      </c>
      <c r="D769" s="123"/>
      <c r="E769" s="123"/>
      <c r="F769" s="123"/>
      <c r="G769" s="121"/>
      <c r="H769" s="121"/>
      <c r="I769" s="121"/>
      <c r="J769" s="121"/>
      <c r="K769" s="123"/>
      <c r="L769" s="123"/>
      <c r="M769" s="121"/>
      <c r="N769" s="121"/>
      <c r="O769" s="118"/>
    </row>
    <row r="770" customFormat="false" ht="15" hidden="false" customHeight="false" outlineLevel="0" collapsed="false">
      <c r="A770" s="122"/>
      <c r="B770" s="118"/>
      <c r="C770" s="114" t="str">
        <f aca="false">IF(B770="","",IFERROR(INDEX(الموظفون!$C$6:$C$105,MATCH(B770,الموظفون!$B$6:$B$105,0)),"✖ رقم غير موجود"))</f>
        <v/>
      </c>
      <c r="D770" s="123"/>
      <c r="E770" s="123"/>
      <c r="F770" s="123"/>
      <c r="G770" s="121"/>
      <c r="H770" s="121"/>
      <c r="I770" s="121"/>
      <c r="J770" s="121"/>
      <c r="K770" s="123"/>
      <c r="L770" s="123"/>
      <c r="M770" s="121"/>
      <c r="N770" s="121"/>
      <c r="O770" s="118"/>
    </row>
    <row r="771" customFormat="false" ht="15" hidden="false" customHeight="false" outlineLevel="0" collapsed="false">
      <c r="A771" s="122"/>
      <c r="B771" s="118"/>
      <c r="C771" s="117" t="str">
        <f aca="false">IF(B771="","",IFERROR(INDEX(الموظفون!$C$6:$C$105,MATCH(B771,الموظفون!$B$6:$B$105,0)),"✖ رقم غير موجود"))</f>
        <v/>
      </c>
      <c r="D771" s="123"/>
      <c r="E771" s="123"/>
      <c r="F771" s="123"/>
      <c r="G771" s="121"/>
      <c r="H771" s="121"/>
      <c r="I771" s="121"/>
      <c r="J771" s="121"/>
      <c r="K771" s="123"/>
      <c r="L771" s="123"/>
      <c r="M771" s="121"/>
      <c r="N771" s="121"/>
      <c r="O771" s="118"/>
    </row>
    <row r="772" customFormat="false" ht="15" hidden="false" customHeight="false" outlineLevel="0" collapsed="false">
      <c r="A772" s="122"/>
      <c r="B772" s="118"/>
      <c r="C772" s="114" t="str">
        <f aca="false">IF(B772="","",IFERROR(INDEX(الموظفون!$C$6:$C$105,MATCH(B772,الموظفون!$B$6:$B$105,0)),"✖ رقم غير موجود"))</f>
        <v/>
      </c>
      <c r="D772" s="123"/>
      <c r="E772" s="123"/>
      <c r="F772" s="123"/>
      <c r="G772" s="121"/>
      <c r="H772" s="121"/>
      <c r="I772" s="121"/>
      <c r="J772" s="121"/>
      <c r="K772" s="123"/>
      <c r="L772" s="123"/>
      <c r="M772" s="121"/>
      <c r="N772" s="121"/>
      <c r="O772" s="118"/>
    </row>
    <row r="773" customFormat="false" ht="15" hidden="false" customHeight="false" outlineLevel="0" collapsed="false">
      <c r="A773" s="122"/>
      <c r="B773" s="118"/>
      <c r="C773" s="117" t="str">
        <f aca="false">IF(B773="","",IFERROR(INDEX(الموظفون!$C$6:$C$105,MATCH(B773,الموظفون!$B$6:$B$105,0)),"✖ رقم غير موجود"))</f>
        <v/>
      </c>
      <c r="D773" s="123"/>
      <c r="E773" s="123"/>
      <c r="F773" s="123"/>
      <c r="G773" s="121"/>
      <c r="H773" s="121"/>
      <c r="I773" s="121"/>
      <c r="J773" s="121"/>
      <c r="K773" s="123"/>
      <c r="L773" s="123"/>
      <c r="M773" s="121"/>
      <c r="N773" s="121"/>
      <c r="O773" s="118"/>
    </row>
    <row r="774" customFormat="false" ht="15" hidden="false" customHeight="false" outlineLevel="0" collapsed="false">
      <c r="A774" s="122"/>
      <c r="B774" s="118"/>
      <c r="C774" s="114" t="str">
        <f aca="false">IF(B774="","",IFERROR(INDEX(الموظفون!$C$6:$C$105,MATCH(B774,الموظفون!$B$6:$B$105,0)),"✖ رقم غير موجود"))</f>
        <v/>
      </c>
      <c r="D774" s="123"/>
      <c r="E774" s="123"/>
      <c r="F774" s="123"/>
      <c r="G774" s="121"/>
      <c r="H774" s="121"/>
      <c r="I774" s="121"/>
      <c r="J774" s="121"/>
      <c r="K774" s="123"/>
      <c r="L774" s="123"/>
      <c r="M774" s="121"/>
      <c r="N774" s="121"/>
      <c r="O774" s="118"/>
    </row>
    <row r="775" customFormat="false" ht="15" hidden="false" customHeight="false" outlineLevel="0" collapsed="false">
      <c r="A775" s="122"/>
      <c r="B775" s="118"/>
      <c r="C775" s="117" t="str">
        <f aca="false">IF(B775="","",IFERROR(INDEX(الموظفون!$C$6:$C$105,MATCH(B775,الموظفون!$B$6:$B$105,0)),"✖ رقم غير موجود"))</f>
        <v/>
      </c>
      <c r="D775" s="123"/>
      <c r="E775" s="123"/>
      <c r="F775" s="123"/>
      <c r="G775" s="121"/>
      <c r="H775" s="121"/>
      <c r="I775" s="121"/>
      <c r="J775" s="121"/>
      <c r="K775" s="123"/>
      <c r="L775" s="123"/>
      <c r="M775" s="121"/>
      <c r="N775" s="121"/>
      <c r="O775" s="118"/>
    </row>
    <row r="776" customFormat="false" ht="15" hidden="false" customHeight="false" outlineLevel="0" collapsed="false">
      <c r="A776" s="122"/>
      <c r="B776" s="118"/>
      <c r="C776" s="114" t="str">
        <f aca="false">IF(B776="","",IFERROR(INDEX(الموظفون!$C$6:$C$105,MATCH(B776,الموظفون!$B$6:$B$105,0)),"✖ رقم غير موجود"))</f>
        <v/>
      </c>
      <c r="D776" s="123"/>
      <c r="E776" s="123"/>
      <c r="F776" s="123"/>
      <c r="G776" s="121"/>
      <c r="H776" s="121"/>
      <c r="I776" s="121"/>
      <c r="J776" s="121"/>
      <c r="K776" s="123"/>
      <c r="L776" s="123"/>
      <c r="M776" s="121"/>
      <c r="N776" s="121"/>
      <c r="O776" s="118"/>
    </row>
    <row r="777" customFormat="false" ht="15" hidden="false" customHeight="false" outlineLevel="0" collapsed="false">
      <c r="A777" s="122"/>
      <c r="B777" s="118"/>
      <c r="C777" s="117" t="str">
        <f aca="false">IF(B777="","",IFERROR(INDEX(الموظفون!$C$6:$C$105,MATCH(B777,الموظفون!$B$6:$B$105,0)),"✖ رقم غير موجود"))</f>
        <v/>
      </c>
      <c r="D777" s="123"/>
      <c r="E777" s="123"/>
      <c r="F777" s="123"/>
      <c r="G777" s="121"/>
      <c r="H777" s="121"/>
      <c r="I777" s="121"/>
      <c r="J777" s="121"/>
      <c r="K777" s="123"/>
      <c r="L777" s="123"/>
      <c r="M777" s="121"/>
      <c r="N777" s="121"/>
      <c r="O777" s="118"/>
    </row>
    <row r="778" customFormat="false" ht="15" hidden="false" customHeight="false" outlineLevel="0" collapsed="false">
      <c r="A778" s="122"/>
      <c r="B778" s="118"/>
      <c r="C778" s="114" t="str">
        <f aca="false">IF(B778="","",IFERROR(INDEX(الموظفون!$C$6:$C$105,MATCH(B778,الموظفون!$B$6:$B$105,0)),"✖ رقم غير موجود"))</f>
        <v/>
      </c>
      <c r="D778" s="123"/>
      <c r="E778" s="123"/>
      <c r="F778" s="123"/>
      <c r="G778" s="121"/>
      <c r="H778" s="121"/>
      <c r="I778" s="121"/>
      <c r="J778" s="121"/>
      <c r="K778" s="123"/>
      <c r="L778" s="123"/>
      <c r="M778" s="121"/>
      <c r="N778" s="121"/>
      <c r="O778" s="118"/>
    </row>
    <row r="779" customFormat="false" ht="15" hidden="false" customHeight="false" outlineLevel="0" collapsed="false">
      <c r="A779" s="122"/>
      <c r="B779" s="118"/>
      <c r="C779" s="117" t="str">
        <f aca="false">IF(B779="","",IFERROR(INDEX(الموظفون!$C$6:$C$105,MATCH(B779,الموظفون!$B$6:$B$105,0)),"✖ رقم غير موجود"))</f>
        <v/>
      </c>
      <c r="D779" s="123"/>
      <c r="E779" s="123"/>
      <c r="F779" s="123"/>
      <c r="G779" s="121"/>
      <c r="H779" s="121"/>
      <c r="I779" s="121"/>
      <c r="J779" s="121"/>
      <c r="K779" s="123"/>
      <c r="L779" s="123"/>
      <c r="M779" s="121"/>
      <c r="N779" s="121"/>
      <c r="O779" s="118"/>
    </row>
    <row r="780" customFormat="false" ht="15" hidden="false" customHeight="false" outlineLevel="0" collapsed="false">
      <c r="A780" s="122"/>
      <c r="B780" s="118"/>
      <c r="C780" s="114" t="str">
        <f aca="false">IF(B780="","",IFERROR(INDEX(الموظفون!$C$6:$C$105,MATCH(B780,الموظفون!$B$6:$B$105,0)),"✖ رقم غير موجود"))</f>
        <v/>
      </c>
      <c r="D780" s="123"/>
      <c r="E780" s="123"/>
      <c r="F780" s="123"/>
      <c r="G780" s="121"/>
      <c r="H780" s="121"/>
      <c r="I780" s="121"/>
      <c r="J780" s="121"/>
      <c r="K780" s="123"/>
      <c r="L780" s="123"/>
      <c r="M780" s="121"/>
      <c r="N780" s="121"/>
      <c r="O780" s="118"/>
    </row>
    <row r="781" customFormat="false" ht="15" hidden="false" customHeight="false" outlineLevel="0" collapsed="false">
      <c r="A781" s="122"/>
      <c r="B781" s="118"/>
      <c r="C781" s="117" t="str">
        <f aca="false">IF(B781="","",IFERROR(INDEX(الموظفون!$C$6:$C$105,MATCH(B781,الموظفون!$B$6:$B$105,0)),"✖ رقم غير موجود"))</f>
        <v/>
      </c>
      <c r="D781" s="123"/>
      <c r="E781" s="123"/>
      <c r="F781" s="123"/>
      <c r="G781" s="121"/>
      <c r="H781" s="121"/>
      <c r="I781" s="121"/>
      <c r="J781" s="121"/>
      <c r="K781" s="123"/>
      <c r="L781" s="123"/>
      <c r="M781" s="121"/>
      <c r="N781" s="121"/>
      <c r="O781" s="118"/>
    </row>
    <row r="782" customFormat="false" ht="15" hidden="false" customHeight="false" outlineLevel="0" collapsed="false">
      <c r="A782" s="122"/>
      <c r="B782" s="118"/>
      <c r="C782" s="114" t="str">
        <f aca="false">IF(B782="","",IFERROR(INDEX(الموظفون!$C$6:$C$105,MATCH(B782,الموظفون!$B$6:$B$105,0)),"✖ رقم غير موجود"))</f>
        <v/>
      </c>
      <c r="D782" s="123"/>
      <c r="E782" s="123"/>
      <c r="F782" s="123"/>
      <c r="G782" s="121"/>
      <c r="H782" s="121"/>
      <c r="I782" s="121"/>
      <c r="J782" s="121"/>
      <c r="K782" s="123"/>
      <c r="L782" s="123"/>
      <c r="M782" s="121"/>
      <c r="N782" s="121"/>
      <c r="O782" s="118"/>
    </row>
    <row r="783" customFormat="false" ht="15" hidden="false" customHeight="false" outlineLevel="0" collapsed="false">
      <c r="A783" s="122"/>
      <c r="B783" s="118"/>
      <c r="C783" s="117" t="str">
        <f aca="false">IF(B783="","",IFERROR(INDEX(الموظفون!$C$6:$C$105,MATCH(B783,الموظفون!$B$6:$B$105,0)),"✖ رقم غير موجود"))</f>
        <v/>
      </c>
      <c r="D783" s="123"/>
      <c r="E783" s="123"/>
      <c r="F783" s="123"/>
      <c r="G783" s="121"/>
      <c r="H783" s="121"/>
      <c r="I783" s="121"/>
      <c r="J783" s="121"/>
      <c r="K783" s="123"/>
      <c r="L783" s="123"/>
      <c r="M783" s="121"/>
      <c r="N783" s="121"/>
      <c r="O783" s="118"/>
    </row>
    <row r="784" customFormat="false" ht="15" hidden="false" customHeight="false" outlineLevel="0" collapsed="false">
      <c r="A784" s="122"/>
      <c r="B784" s="118"/>
      <c r="C784" s="114" t="str">
        <f aca="false">IF(B784="","",IFERROR(INDEX(الموظفون!$C$6:$C$105,MATCH(B784,الموظفون!$B$6:$B$105,0)),"✖ رقم غير موجود"))</f>
        <v/>
      </c>
      <c r="D784" s="123"/>
      <c r="E784" s="123"/>
      <c r="F784" s="123"/>
      <c r="G784" s="121"/>
      <c r="H784" s="121"/>
      <c r="I784" s="121"/>
      <c r="J784" s="121"/>
      <c r="K784" s="123"/>
      <c r="L784" s="123"/>
      <c r="M784" s="121"/>
      <c r="N784" s="121"/>
      <c r="O784" s="118"/>
    </row>
    <row r="785" customFormat="false" ht="15" hidden="false" customHeight="false" outlineLevel="0" collapsed="false">
      <c r="A785" s="122"/>
      <c r="B785" s="118"/>
      <c r="C785" s="117" t="str">
        <f aca="false">IF(B785="","",IFERROR(INDEX(الموظفون!$C$6:$C$105,MATCH(B785,الموظفون!$B$6:$B$105,0)),"✖ رقم غير موجود"))</f>
        <v/>
      </c>
      <c r="D785" s="123"/>
      <c r="E785" s="123"/>
      <c r="F785" s="123"/>
      <c r="G785" s="121"/>
      <c r="H785" s="121"/>
      <c r="I785" s="121"/>
      <c r="J785" s="121"/>
      <c r="K785" s="123"/>
      <c r="L785" s="123"/>
      <c r="M785" s="121"/>
      <c r="N785" s="121"/>
      <c r="O785" s="118"/>
    </row>
    <row r="786" customFormat="false" ht="15" hidden="false" customHeight="false" outlineLevel="0" collapsed="false">
      <c r="A786" s="122"/>
      <c r="B786" s="118"/>
      <c r="C786" s="114" t="str">
        <f aca="false">IF(B786="","",IFERROR(INDEX(الموظفون!$C$6:$C$105,MATCH(B786,الموظفون!$B$6:$B$105,0)),"✖ رقم غير موجود"))</f>
        <v/>
      </c>
      <c r="D786" s="123"/>
      <c r="E786" s="123"/>
      <c r="F786" s="123"/>
      <c r="G786" s="121"/>
      <c r="H786" s="121"/>
      <c r="I786" s="121"/>
      <c r="J786" s="121"/>
      <c r="K786" s="123"/>
      <c r="L786" s="123"/>
      <c r="M786" s="121"/>
      <c r="N786" s="121"/>
      <c r="O786" s="118"/>
    </row>
    <row r="787" customFormat="false" ht="15" hidden="false" customHeight="false" outlineLevel="0" collapsed="false">
      <c r="A787" s="122"/>
      <c r="B787" s="118"/>
      <c r="C787" s="117" t="str">
        <f aca="false">IF(B787="","",IFERROR(INDEX(الموظفون!$C$6:$C$105,MATCH(B787,الموظفون!$B$6:$B$105,0)),"✖ رقم غير موجود"))</f>
        <v/>
      </c>
      <c r="D787" s="123"/>
      <c r="E787" s="123"/>
      <c r="F787" s="123"/>
      <c r="G787" s="121"/>
      <c r="H787" s="121"/>
      <c r="I787" s="121"/>
      <c r="J787" s="121"/>
      <c r="K787" s="123"/>
      <c r="L787" s="123"/>
      <c r="M787" s="121"/>
      <c r="N787" s="121"/>
      <c r="O787" s="118"/>
    </row>
    <row r="788" customFormat="false" ht="15" hidden="false" customHeight="false" outlineLevel="0" collapsed="false">
      <c r="A788" s="122"/>
      <c r="B788" s="118"/>
      <c r="C788" s="114" t="str">
        <f aca="false">IF(B788="","",IFERROR(INDEX(الموظفون!$C$6:$C$105,MATCH(B788,الموظفون!$B$6:$B$105,0)),"✖ رقم غير موجود"))</f>
        <v/>
      </c>
      <c r="D788" s="123"/>
      <c r="E788" s="123"/>
      <c r="F788" s="123"/>
      <c r="G788" s="121"/>
      <c r="H788" s="121"/>
      <c r="I788" s="121"/>
      <c r="J788" s="121"/>
      <c r="K788" s="123"/>
      <c r="L788" s="123"/>
      <c r="M788" s="121"/>
      <c r="N788" s="121"/>
      <c r="O788" s="118"/>
    </row>
    <row r="789" customFormat="false" ht="15" hidden="false" customHeight="false" outlineLevel="0" collapsed="false">
      <c r="A789" s="122"/>
      <c r="B789" s="118"/>
      <c r="C789" s="117" t="str">
        <f aca="false">IF(B789="","",IFERROR(INDEX(الموظفون!$C$6:$C$105,MATCH(B789,الموظفون!$B$6:$B$105,0)),"✖ رقم غير موجود"))</f>
        <v/>
      </c>
      <c r="D789" s="123"/>
      <c r="E789" s="123"/>
      <c r="F789" s="123"/>
      <c r="G789" s="121"/>
      <c r="H789" s="121"/>
      <c r="I789" s="121"/>
      <c r="J789" s="121"/>
      <c r="K789" s="123"/>
      <c r="L789" s="123"/>
      <c r="M789" s="121"/>
      <c r="N789" s="121"/>
      <c r="O789" s="118"/>
    </row>
    <row r="790" customFormat="false" ht="15" hidden="false" customHeight="false" outlineLevel="0" collapsed="false">
      <c r="A790" s="122"/>
      <c r="B790" s="118"/>
      <c r="C790" s="114" t="str">
        <f aca="false">IF(B790="","",IFERROR(INDEX(الموظفون!$C$6:$C$105,MATCH(B790,الموظفون!$B$6:$B$105,0)),"✖ رقم غير موجود"))</f>
        <v/>
      </c>
      <c r="D790" s="123"/>
      <c r="E790" s="123"/>
      <c r="F790" s="123"/>
      <c r="G790" s="121"/>
      <c r="H790" s="121"/>
      <c r="I790" s="121"/>
      <c r="J790" s="121"/>
      <c r="K790" s="123"/>
      <c r="L790" s="123"/>
      <c r="M790" s="121"/>
      <c r="N790" s="121"/>
      <c r="O790" s="118"/>
    </row>
    <row r="791" customFormat="false" ht="15" hidden="false" customHeight="false" outlineLevel="0" collapsed="false">
      <c r="A791" s="122"/>
      <c r="B791" s="118"/>
      <c r="C791" s="117" t="str">
        <f aca="false">IF(B791="","",IFERROR(INDEX(الموظفون!$C$6:$C$105,MATCH(B791,الموظفون!$B$6:$B$105,0)),"✖ رقم غير موجود"))</f>
        <v/>
      </c>
      <c r="D791" s="123"/>
      <c r="E791" s="123"/>
      <c r="F791" s="123"/>
      <c r="G791" s="121"/>
      <c r="H791" s="121"/>
      <c r="I791" s="121"/>
      <c r="J791" s="121"/>
      <c r="K791" s="123"/>
      <c r="L791" s="123"/>
      <c r="M791" s="121"/>
      <c r="N791" s="121"/>
      <c r="O791" s="118"/>
    </row>
    <row r="792" customFormat="false" ht="15" hidden="false" customHeight="false" outlineLevel="0" collapsed="false">
      <c r="A792" s="122"/>
      <c r="B792" s="118"/>
      <c r="C792" s="114" t="str">
        <f aca="false">IF(B792="","",IFERROR(INDEX(الموظفون!$C$6:$C$105,MATCH(B792,الموظفون!$B$6:$B$105,0)),"✖ رقم غير موجود"))</f>
        <v/>
      </c>
      <c r="D792" s="123"/>
      <c r="E792" s="123"/>
      <c r="F792" s="123"/>
      <c r="G792" s="121"/>
      <c r="H792" s="121"/>
      <c r="I792" s="121"/>
      <c r="J792" s="121"/>
      <c r="K792" s="123"/>
      <c r="L792" s="123"/>
      <c r="M792" s="121"/>
      <c r="N792" s="121"/>
      <c r="O792" s="118"/>
    </row>
    <row r="793" customFormat="false" ht="15" hidden="false" customHeight="false" outlineLevel="0" collapsed="false">
      <c r="A793" s="122"/>
      <c r="B793" s="118"/>
      <c r="C793" s="117" t="str">
        <f aca="false">IF(B793="","",IFERROR(INDEX(الموظفون!$C$6:$C$105,MATCH(B793,الموظفون!$B$6:$B$105,0)),"✖ رقم غير موجود"))</f>
        <v/>
      </c>
      <c r="D793" s="123"/>
      <c r="E793" s="123"/>
      <c r="F793" s="123"/>
      <c r="G793" s="121"/>
      <c r="H793" s="121"/>
      <c r="I793" s="121"/>
      <c r="J793" s="121"/>
      <c r="K793" s="123"/>
      <c r="L793" s="123"/>
      <c r="M793" s="121"/>
      <c r="N793" s="121"/>
      <c r="O793" s="118"/>
    </row>
    <row r="794" customFormat="false" ht="15" hidden="false" customHeight="false" outlineLevel="0" collapsed="false">
      <c r="A794" s="122"/>
      <c r="B794" s="118"/>
      <c r="C794" s="114" t="str">
        <f aca="false">IF(B794="","",IFERROR(INDEX(الموظفون!$C$6:$C$105,MATCH(B794,الموظفون!$B$6:$B$105,0)),"✖ رقم غير موجود"))</f>
        <v/>
      </c>
      <c r="D794" s="123"/>
      <c r="E794" s="123"/>
      <c r="F794" s="123"/>
      <c r="G794" s="121"/>
      <c r="H794" s="121"/>
      <c r="I794" s="121"/>
      <c r="J794" s="121"/>
      <c r="K794" s="123"/>
      <c r="L794" s="123"/>
      <c r="M794" s="121"/>
      <c r="N794" s="121"/>
      <c r="O794" s="118"/>
    </row>
    <row r="795" customFormat="false" ht="15" hidden="false" customHeight="false" outlineLevel="0" collapsed="false">
      <c r="A795" s="122"/>
      <c r="B795" s="118"/>
      <c r="C795" s="117" t="str">
        <f aca="false">IF(B795="","",IFERROR(INDEX(الموظفون!$C$6:$C$105,MATCH(B795,الموظفون!$B$6:$B$105,0)),"✖ رقم غير موجود"))</f>
        <v/>
      </c>
      <c r="D795" s="123"/>
      <c r="E795" s="123"/>
      <c r="F795" s="123"/>
      <c r="G795" s="121"/>
      <c r="H795" s="121"/>
      <c r="I795" s="121"/>
      <c r="J795" s="121"/>
      <c r="K795" s="123"/>
      <c r="L795" s="123"/>
      <c r="M795" s="121"/>
      <c r="N795" s="121"/>
      <c r="O795" s="118"/>
    </row>
    <row r="796" customFormat="false" ht="15" hidden="false" customHeight="false" outlineLevel="0" collapsed="false">
      <c r="A796" s="122"/>
      <c r="B796" s="118"/>
      <c r="C796" s="114" t="str">
        <f aca="false">IF(B796="","",IFERROR(INDEX(الموظفون!$C$6:$C$105,MATCH(B796,الموظفون!$B$6:$B$105,0)),"✖ رقم غير موجود"))</f>
        <v/>
      </c>
      <c r="D796" s="123"/>
      <c r="E796" s="123"/>
      <c r="F796" s="123"/>
      <c r="G796" s="121"/>
      <c r="H796" s="121"/>
      <c r="I796" s="121"/>
      <c r="J796" s="121"/>
      <c r="K796" s="123"/>
      <c r="L796" s="123"/>
      <c r="M796" s="121"/>
      <c r="N796" s="121"/>
      <c r="O796" s="118"/>
    </row>
    <row r="797" customFormat="false" ht="15" hidden="false" customHeight="false" outlineLevel="0" collapsed="false">
      <c r="A797" s="122"/>
      <c r="B797" s="118"/>
      <c r="C797" s="117" t="str">
        <f aca="false">IF(B797="","",IFERROR(INDEX(الموظفون!$C$6:$C$105,MATCH(B797,الموظفون!$B$6:$B$105,0)),"✖ رقم غير موجود"))</f>
        <v/>
      </c>
      <c r="D797" s="123"/>
      <c r="E797" s="123"/>
      <c r="F797" s="123"/>
      <c r="G797" s="121"/>
      <c r="H797" s="121"/>
      <c r="I797" s="121"/>
      <c r="J797" s="121"/>
      <c r="K797" s="123"/>
      <c r="L797" s="123"/>
      <c r="M797" s="121"/>
      <c r="N797" s="121"/>
      <c r="O797" s="118"/>
    </row>
    <row r="798" customFormat="false" ht="15" hidden="false" customHeight="false" outlineLevel="0" collapsed="false">
      <c r="A798" s="122"/>
      <c r="B798" s="118"/>
      <c r="C798" s="114" t="str">
        <f aca="false">IF(B798="","",IFERROR(INDEX(الموظفون!$C$6:$C$105,MATCH(B798,الموظفون!$B$6:$B$105,0)),"✖ رقم غير موجود"))</f>
        <v/>
      </c>
      <c r="D798" s="123"/>
      <c r="E798" s="123"/>
      <c r="F798" s="123"/>
      <c r="G798" s="121"/>
      <c r="H798" s="121"/>
      <c r="I798" s="121"/>
      <c r="J798" s="121"/>
      <c r="K798" s="123"/>
      <c r="L798" s="123"/>
      <c r="M798" s="121"/>
      <c r="N798" s="121"/>
      <c r="O798" s="118"/>
    </row>
    <row r="799" customFormat="false" ht="15" hidden="false" customHeight="false" outlineLevel="0" collapsed="false">
      <c r="A799" s="122"/>
      <c r="B799" s="118"/>
      <c r="C799" s="117" t="str">
        <f aca="false">IF(B799="","",IFERROR(INDEX(الموظفون!$C$6:$C$105,MATCH(B799,الموظفون!$B$6:$B$105,0)),"✖ رقم غير موجود"))</f>
        <v/>
      </c>
      <c r="D799" s="123"/>
      <c r="E799" s="123"/>
      <c r="F799" s="123"/>
      <c r="G799" s="121"/>
      <c r="H799" s="121"/>
      <c r="I799" s="121"/>
      <c r="J799" s="121"/>
      <c r="K799" s="123"/>
      <c r="L799" s="123"/>
      <c r="M799" s="121"/>
      <c r="N799" s="121"/>
      <c r="O799" s="118"/>
    </row>
    <row r="800" customFormat="false" ht="15" hidden="false" customHeight="false" outlineLevel="0" collapsed="false">
      <c r="A800" s="122"/>
      <c r="B800" s="118"/>
      <c r="C800" s="114" t="str">
        <f aca="false">IF(B800="","",IFERROR(INDEX(الموظفون!$C$6:$C$105,MATCH(B800,الموظفون!$B$6:$B$105,0)),"✖ رقم غير موجود"))</f>
        <v/>
      </c>
      <c r="D800" s="123"/>
      <c r="E800" s="123"/>
      <c r="F800" s="123"/>
      <c r="G800" s="121"/>
      <c r="H800" s="121"/>
      <c r="I800" s="121"/>
      <c r="J800" s="121"/>
      <c r="K800" s="123"/>
      <c r="L800" s="123"/>
      <c r="M800" s="121"/>
      <c r="N800" s="121"/>
      <c r="O800" s="118"/>
    </row>
    <row r="801" customFormat="false" ht="15" hidden="false" customHeight="false" outlineLevel="0" collapsed="false">
      <c r="A801" s="122"/>
      <c r="B801" s="118"/>
      <c r="C801" s="117" t="str">
        <f aca="false">IF(B801="","",IFERROR(INDEX(الموظفون!$C$6:$C$105,MATCH(B801,الموظفون!$B$6:$B$105,0)),"✖ رقم غير موجود"))</f>
        <v/>
      </c>
      <c r="D801" s="123"/>
      <c r="E801" s="123"/>
      <c r="F801" s="123"/>
      <c r="G801" s="121"/>
      <c r="H801" s="121"/>
      <c r="I801" s="121"/>
      <c r="J801" s="121"/>
      <c r="K801" s="123"/>
      <c r="L801" s="123"/>
      <c r="M801" s="121"/>
      <c r="N801" s="121"/>
      <c r="O801" s="118"/>
    </row>
    <row r="802" customFormat="false" ht="15" hidden="false" customHeight="false" outlineLevel="0" collapsed="false">
      <c r="A802" s="122"/>
      <c r="B802" s="118"/>
      <c r="C802" s="114" t="str">
        <f aca="false">IF(B802="","",IFERROR(INDEX(الموظفون!$C$6:$C$105,MATCH(B802,الموظفون!$B$6:$B$105,0)),"✖ رقم غير موجود"))</f>
        <v/>
      </c>
      <c r="D802" s="123"/>
      <c r="E802" s="123"/>
      <c r="F802" s="123"/>
      <c r="G802" s="121"/>
      <c r="H802" s="121"/>
      <c r="I802" s="121"/>
      <c r="J802" s="121"/>
      <c r="K802" s="123"/>
      <c r="L802" s="123"/>
      <c r="M802" s="121"/>
      <c r="N802" s="121"/>
      <c r="O802" s="118"/>
    </row>
    <row r="803" customFormat="false" ht="15" hidden="false" customHeight="false" outlineLevel="0" collapsed="false">
      <c r="A803" s="122"/>
      <c r="B803" s="118"/>
      <c r="C803" s="117" t="str">
        <f aca="false">IF(B803="","",IFERROR(INDEX(الموظفون!$C$6:$C$105,MATCH(B803,الموظفون!$B$6:$B$105,0)),"✖ رقم غير موجود"))</f>
        <v/>
      </c>
      <c r="D803" s="123"/>
      <c r="E803" s="123"/>
      <c r="F803" s="123"/>
      <c r="G803" s="121"/>
      <c r="H803" s="121"/>
      <c r="I803" s="121"/>
      <c r="J803" s="121"/>
      <c r="K803" s="123"/>
      <c r="L803" s="123"/>
      <c r="M803" s="121"/>
      <c r="N803" s="121"/>
      <c r="O803" s="118"/>
    </row>
    <row r="804" customFormat="false" ht="15" hidden="false" customHeight="false" outlineLevel="0" collapsed="false">
      <c r="A804" s="122"/>
      <c r="B804" s="118"/>
      <c r="C804" s="114" t="str">
        <f aca="false">IF(B804="","",IFERROR(INDEX(الموظفون!$C$6:$C$105,MATCH(B804,الموظفون!$B$6:$B$105,0)),"✖ رقم غير موجود"))</f>
        <v/>
      </c>
      <c r="D804" s="123"/>
      <c r="E804" s="123"/>
      <c r="F804" s="123"/>
      <c r="G804" s="121"/>
      <c r="H804" s="121"/>
      <c r="I804" s="121"/>
      <c r="J804" s="121"/>
      <c r="K804" s="123"/>
      <c r="L804" s="123"/>
      <c r="M804" s="121"/>
      <c r="N804" s="121"/>
      <c r="O804" s="118"/>
    </row>
    <row r="805" customFormat="false" ht="15" hidden="false" customHeight="false" outlineLevel="0" collapsed="false">
      <c r="A805" s="122"/>
      <c r="B805" s="118"/>
      <c r="C805" s="117" t="str">
        <f aca="false">IF(B805="","",IFERROR(INDEX(الموظفون!$C$6:$C$105,MATCH(B805,الموظفون!$B$6:$B$105,0)),"✖ رقم غير موجود"))</f>
        <v/>
      </c>
      <c r="D805" s="123"/>
      <c r="E805" s="123"/>
      <c r="F805" s="123"/>
      <c r="G805" s="121"/>
      <c r="H805" s="121"/>
      <c r="I805" s="121"/>
      <c r="J805" s="121"/>
      <c r="K805" s="123"/>
      <c r="L805" s="123"/>
      <c r="M805" s="121"/>
      <c r="N805" s="121"/>
      <c r="O805" s="118"/>
    </row>
    <row r="806" customFormat="false" ht="15" hidden="false" customHeight="false" outlineLevel="0" collapsed="false">
      <c r="A806" s="122"/>
      <c r="B806" s="118"/>
      <c r="C806" s="114" t="str">
        <f aca="false">IF(B806="","",IFERROR(INDEX(الموظفون!$C$6:$C$105,MATCH(B806,الموظفون!$B$6:$B$105,0)),"✖ رقم غير موجود"))</f>
        <v/>
      </c>
      <c r="D806" s="123"/>
      <c r="E806" s="123"/>
      <c r="F806" s="123"/>
      <c r="G806" s="121"/>
      <c r="H806" s="121"/>
      <c r="I806" s="121"/>
      <c r="J806" s="121"/>
      <c r="K806" s="123"/>
      <c r="L806" s="123"/>
      <c r="M806" s="121"/>
      <c r="N806" s="121"/>
      <c r="O806" s="118"/>
    </row>
    <row r="807" customFormat="false" ht="15" hidden="false" customHeight="false" outlineLevel="0" collapsed="false">
      <c r="A807" s="122"/>
      <c r="B807" s="118"/>
      <c r="C807" s="117" t="str">
        <f aca="false">IF(B807="","",IFERROR(INDEX(الموظفون!$C$6:$C$105,MATCH(B807,الموظفون!$B$6:$B$105,0)),"✖ رقم غير موجود"))</f>
        <v/>
      </c>
      <c r="D807" s="123"/>
      <c r="E807" s="123"/>
      <c r="F807" s="123"/>
      <c r="G807" s="121"/>
      <c r="H807" s="121"/>
      <c r="I807" s="121"/>
      <c r="J807" s="121"/>
      <c r="K807" s="123"/>
      <c r="L807" s="123"/>
      <c r="M807" s="121"/>
      <c r="N807" s="121"/>
      <c r="O807" s="118"/>
    </row>
    <row r="808" customFormat="false" ht="15" hidden="false" customHeight="false" outlineLevel="0" collapsed="false">
      <c r="A808" s="122"/>
      <c r="B808" s="118"/>
      <c r="C808" s="114" t="str">
        <f aca="false">IF(B808="","",IFERROR(INDEX(الموظفون!$C$6:$C$105,MATCH(B808,الموظفون!$B$6:$B$105,0)),"✖ رقم غير موجود"))</f>
        <v/>
      </c>
      <c r="D808" s="123"/>
      <c r="E808" s="123"/>
      <c r="F808" s="123"/>
      <c r="G808" s="121"/>
      <c r="H808" s="121"/>
      <c r="I808" s="121"/>
      <c r="J808" s="121"/>
      <c r="K808" s="123"/>
      <c r="L808" s="123"/>
      <c r="M808" s="121"/>
      <c r="N808" s="121"/>
      <c r="O808" s="118"/>
    </row>
    <row r="809" customFormat="false" ht="15" hidden="false" customHeight="false" outlineLevel="0" collapsed="false">
      <c r="A809" s="122"/>
      <c r="B809" s="118"/>
      <c r="C809" s="117" t="str">
        <f aca="false">IF(B809="","",IFERROR(INDEX(الموظفون!$C$6:$C$105,MATCH(B809,الموظفون!$B$6:$B$105,0)),"✖ رقم غير موجود"))</f>
        <v/>
      </c>
      <c r="D809" s="123"/>
      <c r="E809" s="123"/>
      <c r="F809" s="123"/>
      <c r="G809" s="121"/>
      <c r="H809" s="121"/>
      <c r="I809" s="121"/>
      <c r="J809" s="121"/>
      <c r="K809" s="123"/>
      <c r="L809" s="123"/>
      <c r="M809" s="121"/>
      <c r="N809" s="121"/>
      <c r="O809" s="118"/>
    </row>
    <row r="810" customFormat="false" ht="15" hidden="false" customHeight="false" outlineLevel="0" collapsed="false">
      <c r="A810" s="122"/>
      <c r="B810" s="118"/>
      <c r="C810" s="114" t="str">
        <f aca="false">IF(B810="","",IFERROR(INDEX(الموظفون!$C$6:$C$105,MATCH(B810,الموظفون!$B$6:$B$105,0)),"✖ رقم غير موجود"))</f>
        <v/>
      </c>
      <c r="D810" s="123"/>
      <c r="E810" s="123"/>
      <c r="F810" s="123"/>
      <c r="G810" s="121"/>
      <c r="H810" s="121"/>
      <c r="I810" s="121"/>
      <c r="J810" s="121"/>
      <c r="K810" s="123"/>
      <c r="L810" s="123"/>
      <c r="M810" s="121"/>
      <c r="N810" s="121"/>
      <c r="O810" s="118"/>
    </row>
    <row r="811" customFormat="false" ht="15" hidden="false" customHeight="false" outlineLevel="0" collapsed="false">
      <c r="A811" s="122"/>
      <c r="B811" s="118"/>
      <c r="C811" s="117" t="str">
        <f aca="false">IF(B811="","",IFERROR(INDEX(الموظفون!$C$6:$C$105,MATCH(B811,الموظفون!$B$6:$B$105,0)),"✖ رقم غير موجود"))</f>
        <v/>
      </c>
      <c r="D811" s="123"/>
      <c r="E811" s="123"/>
      <c r="F811" s="123"/>
      <c r="G811" s="121"/>
      <c r="H811" s="121"/>
      <c r="I811" s="121"/>
      <c r="J811" s="121"/>
      <c r="K811" s="123"/>
      <c r="L811" s="123"/>
      <c r="M811" s="121"/>
      <c r="N811" s="121"/>
      <c r="O811" s="118"/>
    </row>
    <row r="812" customFormat="false" ht="15" hidden="false" customHeight="false" outlineLevel="0" collapsed="false">
      <c r="A812" s="122"/>
      <c r="B812" s="118"/>
      <c r="C812" s="114" t="str">
        <f aca="false">IF(B812="","",IFERROR(INDEX(الموظفون!$C$6:$C$105,MATCH(B812,الموظفون!$B$6:$B$105,0)),"✖ رقم غير موجود"))</f>
        <v/>
      </c>
      <c r="D812" s="123"/>
      <c r="E812" s="123"/>
      <c r="F812" s="123"/>
      <c r="G812" s="121"/>
      <c r="H812" s="121"/>
      <c r="I812" s="121"/>
      <c r="J812" s="121"/>
      <c r="K812" s="123"/>
      <c r="L812" s="123"/>
      <c r="M812" s="121"/>
      <c r="N812" s="121"/>
      <c r="O812" s="118"/>
    </row>
    <row r="813" customFormat="false" ht="15" hidden="false" customHeight="false" outlineLevel="0" collapsed="false">
      <c r="A813" s="122"/>
      <c r="B813" s="118"/>
      <c r="C813" s="117" t="str">
        <f aca="false">IF(B813="","",IFERROR(INDEX(الموظفون!$C$6:$C$105,MATCH(B813,الموظفون!$B$6:$B$105,0)),"✖ رقم غير موجود"))</f>
        <v/>
      </c>
      <c r="D813" s="123"/>
      <c r="E813" s="123"/>
      <c r="F813" s="123"/>
      <c r="G813" s="121"/>
      <c r="H813" s="121"/>
      <c r="I813" s="121"/>
      <c r="J813" s="121"/>
      <c r="K813" s="123"/>
      <c r="L813" s="123"/>
      <c r="M813" s="121"/>
      <c r="N813" s="121"/>
      <c r="O813" s="118"/>
    </row>
    <row r="814" customFormat="false" ht="15" hidden="false" customHeight="false" outlineLevel="0" collapsed="false">
      <c r="A814" s="122"/>
      <c r="B814" s="118"/>
      <c r="C814" s="114" t="str">
        <f aca="false">IF(B814="","",IFERROR(INDEX(الموظفون!$C$6:$C$105,MATCH(B814,الموظفون!$B$6:$B$105,0)),"✖ رقم غير موجود"))</f>
        <v/>
      </c>
      <c r="D814" s="123"/>
      <c r="E814" s="123"/>
      <c r="F814" s="123"/>
      <c r="G814" s="121"/>
      <c r="H814" s="121"/>
      <c r="I814" s="121"/>
      <c r="J814" s="121"/>
      <c r="K814" s="123"/>
      <c r="L814" s="123"/>
      <c r="M814" s="121"/>
      <c r="N814" s="121"/>
      <c r="O814" s="118"/>
    </row>
    <row r="815" customFormat="false" ht="15" hidden="false" customHeight="false" outlineLevel="0" collapsed="false">
      <c r="A815" s="122"/>
      <c r="B815" s="118"/>
      <c r="C815" s="117" t="str">
        <f aca="false">IF(B815="","",IFERROR(INDEX(الموظفون!$C$6:$C$105,MATCH(B815,الموظفون!$B$6:$B$105,0)),"✖ رقم غير موجود"))</f>
        <v/>
      </c>
      <c r="D815" s="123"/>
      <c r="E815" s="123"/>
      <c r="F815" s="123"/>
      <c r="G815" s="121"/>
      <c r="H815" s="121"/>
      <c r="I815" s="121"/>
      <c r="J815" s="121"/>
      <c r="K815" s="123"/>
      <c r="L815" s="123"/>
      <c r="M815" s="121"/>
      <c r="N815" s="121"/>
      <c r="O815" s="118"/>
    </row>
    <row r="816" customFormat="false" ht="15" hidden="false" customHeight="false" outlineLevel="0" collapsed="false">
      <c r="A816" s="122"/>
      <c r="B816" s="118"/>
      <c r="C816" s="114" t="str">
        <f aca="false">IF(B816="","",IFERROR(INDEX(الموظفون!$C$6:$C$105,MATCH(B816,الموظفون!$B$6:$B$105,0)),"✖ رقم غير موجود"))</f>
        <v/>
      </c>
      <c r="D816" s="123"/>
      <c r="E816" s="123"/>
      <c r="F816" s="123"/>
      <c r="G816" s="121"/>
      <c r="H816" s="121"/>
      <c r="I816" s="121"/>
      <c r="J816" s="121"/>
      <c r="K816" s="123"/>
      <c r="L816" s="123"/>
      <c r="M816" s="121"/>
      <c r="N816" s="121"/>
      <c r="O816" s="118"/>
    </row>
    <row r="817" customFormat="false" ht="15" hidden="false" customHeight="false" outlineLevel="0" collapsed="false">
      <c r="A817" s="122"/>
      <c r="B817" s="118"/>
      <c r="C817" s="117" t="str">
        <f aca="false">IF(B817="","",IFERROR(INDEX(الموظفون!$C$6:$C$105,MATCH(B817,الموظفون!$B$6:$B$105,0)),"✖ رقم غير موجود"))</f>
        <v/>
      </c>
      <c r="D817" s="123"/>
      <c r="E817" s="123"/>
      <c r="F817" s="123"/>
      <c r="G817" s="121"/>
      <c r="H817" s="121"/>
      <c r="I817" s="121"/>
      <c r="J817" s="121"/>
      <c r="K817" s="123"/>
      <c r="L817" s="123"/>
      <c r="M817" s="121"/>
      <c r="N817" s="121"/>
      <c r="O817" s="118"/>
    </row>
    <row r="818" customFormat="false" ht="15" hidden="false" customHeight="false" outlineLevel="0" collapsed="false">
      <c r="A818" s="122"/>
      <c r="B818" s="118"/>
      <c r="C818" s="114" t="str">
        <f aca="false">IF(B818="","",IFERROR(INDEX(الموظفون!$C$6:$C$105,MATCH(B818,الموظفون!$B$6:$B$105,0)),"✖ رقم غير موجود"))</f>
        <v/>
      </c>
      <c r="D818" s="123"/>
      <c r="E818" s="123"/>
      <c r="F818" s="123"/>
      <c r="G818" s="121"/>
      <c r="H818" s="121"/>
      <c r="I818" s="121"/>
      <c r="J818" s="121"/>
      <c r="K818" s="123"/>
      <c r="L818" s="123"/>
      <c r="M818" s="121"/>
      <c r="N818" s="121"/>
      <c r="O818" s="118"/>
    </row>
    <row r="819" customFormat="false" ht="15" hidden="false" customHeight="false" outlineLevel="0" collapsed="false">
      <c r="A819" s="122"/>
      <c r="B819" s="118"/>
      <c r="C819" s="117" t="str">
        <f aca="false">IF(B819="","",IFERROR(INDEX(الموظفون!$C$6:$C$105,MATCH(B819,الموظفون!$B$6:$B$105,0)),"✖ رقم غير موجود"))</f>
        <v/>
      </c>
      <c r="D819" s="123"/>
      <c r="E819" s="123"/>
      <c r="F819" s="123"/>
      <c r="G819" s="121"/>
      <c r="H819" s="121"/>
      <c r="I819" s="121"/>
      <c r="J819" s="121"/>
      <c r="K819" s="123"/>
      <c r="L819" s="123"/>
      <c r="M819" s="121"/>
      <c r="N819" s="121"/>
      <c r="O819" s="118"/>
    </row>
    <row r="820" customFormat="false" ht="15" hidden="false" customHeight="false" outlineLevel="0" collapsed="false">
      <c r="A820" s="122"/>
      <c r="B820" s="118"/>
      <c r="C820" s="114" t="str">
        <f aca="false">IF(B820="","",IFERROR(INDEX(الموظفون!$C$6:$C$105,MATCH(B820,الموظفون!$B$6:$B$105,0)),"✖ رقم غير موجود"))</f>
        <v/>
      </c>
      <c r="D820" s="123"/>
      <c r="E820" s="123"/>
      <c r="F820" s="123"/>
      <c r="G820" s="121"/>
      <c r="H820" s="121"/>
      <c r="I820" s="121"/>
      <c r="J820" s="121"/>
      <c r="K820" s="123"/>
      <c r="L820" s="123"/>
      <c r="M820" s="121"/>
      <c r="N820" s="121"/>
      <c r="O820" s="118"/>
    </row>
    <row r="821" customFormat="false" ht="15" hidden="false" customHeight="false" outlineLevel="0" collapsed="false">
      <c r="A821" s="122"/>
      <c r="B821" s="118"/>
      <c r="C821" s="117" t="str">
        <f aca="false">IF(B821="","",IFERROR(INDEX(الموظفون!$C$6:$C$105,MATCH(B821,الموظفون!$B$6:$B$105,0)),"✖ رقم غير موجود"))</f>
        <v/>
      </c>
      <c r="D821" s="123"/>
      <c r="E821" s="123"/>
      <c r="F821" s="123"/>
      <c r="G821" s="121"/>
      <c r="H821" s="121"/>
      <c r="I821" s="121"/>
      <c r="J821" s="121"/>
      <c r="K821" s="123"/>
      <c r="L821" s="123"/>
      <c r="M821" s="121"/>
      <c r="N821" s="121"/>
      <c r="O821" s="118"/>
    </row>
    <row r="822" customFormat="false" ht="15" hidden="false" customHeight="false" outlineLevel="0" collapsed="false">
      <c r="A822" s="122"/>
      <c r="B822" s="118"/>
      <c r="C822" s="114" t="str">
        <f aca="false">IF(B822="","",IFERROR(INDEX(الموظفون!$C$6:$C$105,MATCH(B822,الموظفون!$B$6:$B$105,0)),"✖ رقم غير موجود"))</f>
        <v/>
      </c>
      <c r="D822" s="123"/>
      <c r="E822" s="123"/>
      <c r="F822" s="123"/>
      <c r="G822" s="121"/>
      <c r="H822" s="121"/>
      <c r="I822" s="121"/>
      <c r="J822" s="121"/>
      <c r="K822" s="123"/>
      <c r="L822" s="123"/>
      <c r="M822" s="121"/>
      <c r="N822" s="121"/>
      <c r="O822" s="118"/>
    </row>
    <row r="823" customFormat="false" ht="15" hidden="false" customHeight="false" outlineLevel="0" collapsed="false">
      <c r="A823" s="122"/>
      <c r="B823" s="118"/>
      <c r="C823" s="117" t="str">
        <f aca="false">IF(B823="","",IFERROR(INDEX(الموظفون!$C$6:$C$105,MATCH(B823,الموظفون!$B$6:$B$105,0)),"✖ رقم غير موجود"))</f>
        <v/>
      </c>
      <c r="D823" s="123"/>
      <c r="E823" s="123"/>
      <c r="F823" s="123"/>
      <c r="G823" s="121"/>
      <c r="H823" s="121"/>
      <c r="I823" s="121"/>
      <c r="J823" s="121"/>
      <c r="K823" s="123"/>
      <c r="L823" s="123"/>
      <c r="M823" s="121"/>
      <c r="N823" s="121"/>
      <c r="O823" s="118"/>
    </row>
    <row r="824" customFormat="false" ht="15" hidden="false" customHeight="false" outlineLevel="0" collapsed="false">
      <c r="A824" s="122"/>
      <c r="B824" s="118"/>
      <c r="C824" s="114" t="str">
        <f aca="false">IF(B824="","",IFERROR(INDEX(الموظفون!$C$6:$C$105,MATCH(B824,الموظفون!$B$6:$B$105,0)),"✖ رقم غير موجود"))</f>
        <v/>
      </c>
      <c r="D824" s="123"/>
      <c r="E824" s="123"/>
      <c r="F824" s="123"/>
      <c r="G824" s="121"/>
      <c r="H824" s="121"/>
      <c r="I824" s="121"/>
      <c r="J824" s="121"/>
      <c r="K824" s="123"/>
      <c r="L824" s="123"/>
      <c r="M824" s="121"/>
      <c r="N824" s="121"/>
      <c r="O824" s="118"/>
    </row>
    <row r="825" customFormat="false" ht="15" hidden="false" customHeight="false" outlineLevel="0" collapsed="false">
      <c r="A825" s="122"/>
      <c r="B825" s="118"/>
      <c r="C825" s="117" t="str">
        <f aca="false">IF(B825="","",IFERROR(INDEX(الموظفون!$C$6:$C$105,MATCH(B825,الموظفون!$B$6:$B$105,0)),"✖ رقم غير موجود"))</f>
        <v/>
      </c>
      <c r="D825" s="123"/>
      <c r="E825" s="123"/>
      <c r="F825" s="123"/>
      <c r="G825" s="121"/>
      <c r="H825" s="121"/>
      <c r="I825" s="121"/>
      <c r="J825" s="121"/>
      <c r="K825" s="123"/>
      <c r="L825" s="123"/>
      <c r="M825" s="121"/>
      <c r="N825" s="121"/>
      <c r="O825" s="118"/>
    </row>
    <row r="826" customFormat="false" ht="15" hidden="false" customHeight="false" outlineLevel="0" collapsed="false">
      <c r="A826" s="122"/>
      <c r="B826" s="118"/>
      <c r="C826" s="114" t="str">
        <f aca="false">IF(B826="","",IFERROR(INDEX(الموظفون!$C$6:$C$105,MATCH(B826,الموظفون!$B$6:$B$105,0)),"✖ رقم غير موجود"))</f>
        <v/>
      </c>
      <c r="D826" s="123"/>
      <c r="E826" s="123"/>
      <c r="F826" s="123"/>
      <c r="G826" s="121"/>
      <c r="H826" s="121"/>
      <c r="I826" s="121"/>
      <c r="J826" s="121"/>
      <c r="K826" s="123"/>
      <c r="L826" s="123"/>
      <c r="M826" s="121"/>
      <c r="N826" s="121"/>
      <c r="O826" s="118"/>
    </row>
    <row r="827" customFormat="false" ht="15" hidden="false" customHeight="false" outlineLevel="0" collapsed="false">
      <c r="A827" s="122"/>
      <c r="B827" s="118"/>
      <c r="C827" s="117" t="str">
        <f aca="false">IF(B827="","",IFERROR(INDEX(الموظفون!$C$6:$C$105,MATCH(B827,الموظفون!$B$6:$B$105,0)),"✖ رقم غير موجود"))</f>
        <v/>
      </c>
      <c r="D827" s="123"/>
      <c r="E827" s="123"/>
      <c r="F827" s="123"/>
      <c r="G827" s="121"/>
      <c r="H827" s="121"/>
      <c r="I827" s="121"/>
      <c r="J827" s="121"/>
      <c r="K827" s="123"/>
      <c r="L827" s="123"/>
      <c r="M827" s="121"/>
      <c r="N827" s="121"/>
      <c r="O827" s="118"/>
    </row>
    <row r="828" customFormat="false" ht="15" hidden="false" customHeight="false" outlineLevel="0" collapsed="false">
      <c r="A828" s="122"/>
      <c r="B828" s="118"/>
      <c r="C828" s="114" t="str">
        <f aca="false">IF(B828="","",IFERROR(INDEX(الموظفون!$C$6:$C$105,MATCH(B828,الموظفون!$B$6:$B$105,0)),"✖ رقم غير موجود"))</f>
        <v/>
      </c>
      <c r="D828" s="123"/>
      <c r="E828" s="123"/>
      <c r="F828" s="123"/>
      <c r="G828" s="121"/>
      <c r="H828" s="121"/>
      <c r="I828" s="121"/>
      <c r="J828" s="121"/>
      <c r="K828" s="123"/>
      <c r="L828" s="123"/>
      <c r="M828" s="121"/>
      <c r="N828" s="121"/>
      <c r="O828" s="118"/>
    </row>
    <row r="829" customFormat="false" ht="15" hidden="false" customHeight="false" outlineLevel="0" collapsed="false">
      <c r="A829" s="122"/>
      <c r="B829" s="118"/>
      <c r="C829" s="117" t="str">
        <f aca="false">IF(B829="","",IFERROR(INDEX(الموظفون!$C$6:$C$105,MATCH(B829,الموظفون!$B$6:$B$105,0)),"✖ رقم غير موجود"))</f>
        <v/>
      </c>
      <c r="D829" s="123"/>
      <c r="E829" s="123"/>
      <c r="F829" s="123"/>
      <c r="G829" s="121"/>
      <c r="H829" s="121"/>
      <c r="I829" s="121"/>
      <c r="J829" s="121"/>
      <c r="K829" s="123"/>
      <c r="L829" s="123"/>
      <c r="M829" s="121"/>
      <c r="N829" s="121"/>
      <c r="O829" s="118"/>
    </row>
    <row r="830" customFormat="false" ht="15" hidden="false" customHeight="false" outlineLevel="0" collapsed="false">
      <c r="A830" s="122"/>
      <c r="B830" s="118"/>
      <c r="C830" s="114" t="str">
        <f aca="false">IF(B830="","",IFERROR(INDEX(الموظفون!$C$6:$C$105,MATCH(B830,الموظفون!$B$6:$B$105,0)),"✖ رقم غير موجود"))</f>
        <v/>
      </c>
      <c r="D830" s="123"/>
      <c r="E830" s="123"/>
      <c r="F830" s="123"/>
      <c r="G830" s="121"/>
      <c r="H830" s="121"/>
      <c r="I830" s="121"/>
      <c r="J830" s="121"/>
      <c r="K830" s="123"/>
      <c r="L830" s="123"/>
      <c r="M830" s="121"/>
      <c r="N830" s="121"/>
      <c r="O830" s="118"/>
    </row>
    <row r="831" customFormat="false" ht="15" hidden="false" customHeight="false" outlineLevel="0" collapsed="false">
      <c r="A831" s="122"/>
      <c r="B831" s="118"/>
      <c r="C831" s="117" t="str">
        <f aca="false">IF(B831="","",IFERROR(INDEX(الموظفون!$C$6:$C$105,MATCH(B831,الموظفون!$B$6:$B$105,0)),"✖ رقم غير موجود"))</f>
        <v/>
      </c>
      <c r="D831" s="123"/>
      <c r="E831" s="123"/>
      <c r="F831" s="123"/>
      <c r="G831" s="121"/>
      <c r="H831" s="121"/>
      <c r="I831" s="121"/>
      <c r="J831" s="121"/>
      <c r="K831" s="123"/>
      <c r="L831" s="123"/>
      <c r="M831" s="121"/>
      <c r="N831" s="121"/>
      <c r="O831" s="118"/>
    </row>
    <row r="832" customFormat="false" ht="15" hidden="false" customHeight="false" outlineLevel="0" collapsed="false">
      <c r="A832" s="122"/>
      <c r="B832" s="118"/>
      <c r="C832" s="114" t="str">
        <f aca="false">IF(B832="","",IFERROR(INDEX(الموظفون!$C$6:$C$105,MATCH(B832,الموظفون!$B$6:$B$105,0)),"✖ رقم غير موجود"))</f>
        <v/>
      </c>
      <c r="D832" s="123"/>
      <c r="E832" s="123"/>
      <c r="F832" s="123"/>
      <c r="G832" s="121"/>
      <c r="H832" s="121"/>
      <c r="I832" s="121"/>
      <c r="J832" s="121"/>
      <c r="K832" s="123"/>
      <c r="L832" s="123"/>
      <c r="M832" s="121"/>
      <c r="N832" s="121"/>
      <c r="O832" s="118"/>
    </row>
    <row r="833" customFormat="false" ht="15" hidden="false" customHeight="false" outlineLevel="0" collapsed="false">
      <c r="A833" s="122"/>
      <c r="B833" s="118"/>
      <c r="C833" s="117" t="str">
        <f aca="false">IF(B833="","",IFERROR(INDEX(الموظفون!$C$6:$C$105,MATCH(B833,الموظفون!$B$6:$B$105,0)),"✖ رقم غير موجود"))</f>
        <v/>
      </c>
      <c r="D833" s="123"/>
      <c r="E833" s="123"/>
      <c r="F833" s="123"/>
      <c r="G833" s="121"/>
      <c r="H833" s="121"/>
      <c r="I833" s="121"/>
      <c r="J833" s="121"/>
      <c r="K833" s="123"/>
      <c r="L833" s="123"/>
      <c r="M833" s="121"/>
      <c r="N833" s="121"/>
      <c r="O833" s="118"/>
    </row>
    <row r="834" customFormat="false" ht="15" hidden="false" customHeight="false" outlineLevel="0" collapsed="false">
      <c r="A834" s="122"/>
      <c r="B834" s="118"/>
      <c r="C834" s="114" t="str">
        <f aca="false">IF(B834="","",IFERROR(INDEX(الموظفون!$C$6:$C$105,MATCH(B834,الموظفون!$B$6:$B$105,0)),"✖ رقم غير موجود"))</f>
        <v/>
      </c>
      <c r="D834" s="123"/>
      <c r="E834" s="123"/>
      <c r="F834" s="123"/>
      <c r="G834" s="121"/>
      <c r="H834" s="121"/>
      <c r="I834" s="121"/>
      <c r="J834" s="121"/>
      <c r="K834" s="123"/>
      <c r="L834" s="123"/>
      <c r="M834" s="121"/>
      <c r="N834" s="121"/>
      <c r="O834" s="118"/>
    </row>
    <row r="835" customFormat="false" ht="15" hidden="false" customHeight="false" outlineLevel="0" collapsed="false">
      <c r="A835" s="122"/>
      <c r="B835" s="118"/>
      <c r="C835" s="117" t="str">
        <f aca="false">IF(B835="","",IFERROR(INDEX(الموظفون!$C$6:$C$105,MATCH(B835,الموظفون!$B$6:$B$105,0)),"✖ رقم غير موجود"))</f>
        <v/>
      </c>
      <c r="D835" s="123"/>
      <c r="E835" s="123"/>
      <c r="F835" s="123"/>
      <c r="G835" s="121"/>
      <c r="H835" s="121"/>
      <c r="I835" s="121"/>
      <c r="J835" s="121"/>
      <c r="K835" s="123"/>
      <c r="L835" s="123"/>
      <c r="M835" s="121"/>
      <c r="N835" s="121"/>
      <c r="O835" s="118"/>
    </row>
    <row r="836" customFormat="false" ht="15" hidden="false" customHeight="false" outlineLevel="0" collapsed="false">
      <c r="A836" s="122"/>
      <c r="B836" s="118"/>
      <c r="C836" s="114" t="str">
        <f aca="false">IF(B836="","",IFERROR(INDEX(الموظفون!$C$6:$C$105,MATCH(B836,الموظفون!$B$6:$B$105,0)),"✖ رقم غير موجود"))</f>
        <v/>
      </c>
      <c r="D836" s="123"/>
      <c r="E836" s="123"/>
      <c r="F836" s="123"/>
      <c r="G836" s="121"/>
      <c r="H836" s="121"/>
      <c r="I836" s="121"/>
      <c r="J836" s="121"/>
      <c r="K836" s="123"/>
      <c r="L836" s="123"/>
      <c r="M836" s="121"/>
      <c r="N836" s="121"/>
      <c r="O836" s="118"/>
    </row>
    <row r="837" customFormat="false" ht="15" hidden="false" customHeight="false" outlineLevel="0" collapsed="false">
      <c r="A837" s="122"/>
      <c r="B837" s="118"/>
      <c r="C837" s="117" t="str">
        <f aca="false">IF(B837="","",IFERROR(INDEX(الموظفون!$C$6:$C$105,MATCH(B837,الموظفون!$B$6:$B$105,0)),"✖ رقم غير موجود"))</f>
        <v/>
      </c>
      <c r="D837" s="123"/>
      <c r="E837" s="123"/>
      <c r="F837" s="123"/>
      <c r="G837" s="121"/>
      <c r="H837" s="121"/>
      <c r="I837" s="121"/>
      <c r="J837" s="121"/>
      <c r="K837" s="123"/>
      <c r="L837" s="123"/>
      <c r="M837" s="121"/>
      <c r="N837" s="121"/>
      <c r="O837" s="118"/>
    </row>
    <row r="838" customFormat="false" ht="15" hidden="false" customHeight="false" outlineLevel="0" collapsed="false">
      <c r="A838" s="122"/>
      <c r="B838" s="118"/>
      <c r="C838" s="114" t="str">
        <f aca="false">IF(B838="","",IFERROR(INDEX(الموظفون!$C$6:$C$105,MATCH(B838,الموظفون!$B$6:$B$105,0)),"✖ رقم غير موجود"))</f>
        <v/>
      </c>
      <c r="D838" s="123"/>
      <c r="E838" s="123"/>
      <c r="F838" s="123"/>
      <c r="G838" s="121"/>
      <c r="H838" s="121"/>
      <c r="I838" s="121"/>
      <c r="J838" s="121"/>
      <c r="K838" s="123"/>
      <c r="L838" s="123"/>
      <c r="M838" s="121"/>
      <c r="N838" s="121"/>
      <c r="O838" s="118"/>
    </row>
    <row r="839" customFormat="false" ht="15" hidden="false" customHeight="false" outlineLevel="0" collapsed="false">
      <c r="A839" s="122"/>
      <c r="B839" s="118"/>
      <c r="C839" s="117" t="str">
        <f aca="false">IF(B839="","",IFERROR(INDEX(الموظفون!$C$6:$C$105,MATCH(B839,الموظفون!$B$6:$B$105,0)),"✖ رقم غير موجود"))</f>
        <v/>
      </c>
      <c r="D839" s="123"/>
      <c r="E839" s="123"/>
      <c r="F839" s="123"/>
      <c r="G839" s="121"/>
      <c r="H839" s="121"/>
      <c r="I839" s="121"/>
      <c r="J839" s="121"/>
      <c r="K839" s="123"/>
      <c r="L839" s="123"/>
      <c r="M839" s="121"/>
      <c r="N839" s="121"/>
      <c r="O839" s="118"/>
    </row>
    <row r="840" customFormat="false" ht="15" hidden="false" customHeight="false" outlineLevel="0" collapsed="false">
      <c r="A840" s="122"/>
      <c r="B840" s="118"/>
      <c r="C840" s="114" t="str">
        <f aca="false">IF(B840="","",IFERROR(INDEX(الموظفون!$C$6:$C$105,MATCH(B840,الموظفون!$B$6:$B$105,0)),"✖ رقم غير موجود"))</f>
        <v/>
      </c>
      <c r="D840" s="123"/>
      <c r="E840" s="123"/>
      <c r="F840" s="123"/>
      <c r="G840" s="121"/>
      <c r="H840" s="121"/>
      <c r="I840" s="121"/>
      <c r="J840" s="121"/>
      <c r="K840" s="123"/>
      <c r="L840" s="123"/>
      <c r="M840" s="121"/>
      <c r="N840" s="121"/>
      <c r="O840" s="118"/>
    </row>
    <row r="841" customFormat="false" ht="15" hidden="false" customHeight="false" outlineLevel="0" collapsed="false">
      <c r="A841" s="122"/>
      <c r="B841" s="118"/>
      <c r="C841" s="117" t="str">
        <f aca="false">IF(B841="","",IFERROR(INDEX(الموظفون!$C$6:$C$105,MATCH(B841,الموظفون!$B$6:$B$105,0)),"✖ رقم غير موجود"))</f>
        <v/>
      </c>
      <c r="D841" s="123"/>
      <c r="E841" s="123"/>
      <c r="F841" s="123"/>
      <c r="G841" s="121"/>
      <c r="H841" s="121"/>
      <c r="I841" s="121"/>
      <c r="J841" s="121"/>
      <c r="K841" s="123"/>
      <c r="L841" s="123"/>
      <c r="M841" s="121"/>
      <c r="N841" s="121"/>
      <c r="O841" s="118"/>
    </row>
    <row r="842" customFormat="false" ht="15" hidden="false" customHeight="false" outlineLevel="0" collapsed="false">
      <c r="A842" s="122"/>
      <c r="B842" s="118"/>
      <c r="C842" s="114" t="str">
        <f aca="false">IF(B842="","",IFERROR(INDEX(الموظفون!$C$6:$C$105,MATCH(B842,الموظفون!$B$6:$B$105,0)),"✖ رقم غير موجود"))</f>
        <v/>
      </c>
      <c r="D842" s="123"/>
      <c r="E842" s="123"/>
      <c r="F842" s="123"/>
      <c r="G842" s="121"/>
      <c r="H842" s="121"/>
      <c r="I842" s="121"/>
      <c r="J842" s="121"/>
      <c r="K842" s="123"/>
      <c r="L842" s="123"/>
      <c r="M842" s="121"/>
      <c r="N842" s="121"/>
      <c r="O842" s="118"/>
    </row>
    <row r="843" customFormat="false" ht="15" hidden="false" customHeight="false" outlineLevel="0" collapsed="false">
      <c r="A843" s="122"/>
      <c r="B843" s="118"/>
      <c r="C843" s="117" t="str">
        <f aca="false">IF(B843="","",IFERROR(INDEX(الموظفون!$C$6:$C$105,MATCH(B843,الموظفون!$B$6:$B$105,0)),"✖ رقم غير موجود"))</f>
        <v/>
      </c>
      <c r="D843" s="123"/>
      <c r="E843" s="123"/>
      <c r="F843" s="123"/>
      <c r="G843" s="121"/>
      <c r="H843" s="121"/>
      <c r="I843" s="121"/>
      <c r="J843" s="121"/>
      <c r="K843" s="123"/>
      <c r="L843" s="123"/>
      <c r="M843" s="121"/>
      <c r="N843" s="121"/>
      <c r="O843" s="118"/>
    </row>
    <row r="844" customFormat="false" ht="15" hidden="false" customHeight="false" outlineLevel="0" collapsed="false">
      <c r="A844" s="122"/>
      <c r="B844" s="118"/>
      <c r="C844" s="114" t="str">
        <f aca="false">IF(B844="","",IFERROR(INDEX(الموظفون!$C$6:$C$105,MATCH(B844,الموظفون!$B$6:$B$105,0)),"✖ رقم غير موجود"))</f>
        <v/>
      </c>
      <c r="D844" s="123"/>
      <c r="E844" s="123"/>
      <c r="F844" s="123"/>
      <c r="G844" s="121"/>
      <c r="H844" s="121"/>
      <c r="I844" s="121"/>
      <c r="J844" s="121"/>
      <c r="K844" s="123"/>
      <c r="L844" s="123"/>
      <c r="M844" s="121"/>
      <c r="N844" s="121"/>
      <c r="O844" s="118"/>
    </row>
    <row r="845" customFormat="false" ht="15" hidden="false" customHeight="false" outlineLevel="0" collapsed="false">
      <c r="A845" s="122"/>
      <c r="B845" s="118"/>
      <c r="C845" s="117" t="str">
        <f aca="false">IF(B845="","",IFERROR(INDEX(الموظفون!$C$6:$C$105,MATCH(B845,الموظفون!$B$6:$B$105,0)),"✖ رقم غير موجود"))</f>
        <v/>
      </c>
      <c r="D845" s="123"/>
      <c r="E845" s="123"/>
      <c r="F845" s="123"/>
      <c r="G845" s="121"/>
      <c r="H845" s="121"/>
      <c r="I845" s="121"/>
      <c r="J845" s="121"/>
      <c r="K845" s="123"/>
      <c r="L845" s="123"/>
      <c r="M845" s="121"/>
      <c r="N845" s="121"/>
      <c r="O845" s="118"/>
    </row>
    <row r="846" customFormat="false" ht="15" hidden="false" customHeight="false" outlineLevel="0" collapsed="false">
      <c r="A846" s="122"/>
      <c r="B846" s="118"/>
      <c r="C846" s="114" t="str">
        <f aca="false">IF(B846="","",IFERROR(INDEX(الموظفون!$C$6:$C$105,MATCH(B846,الموظفون!$B$6:$B$105,0)),"✖ رقم غير موجود"))</f>
        <v/>
      </c>
      <c r="D846" s="123"/>
      <c r="E846" s="123"/>
      <c r="F846" s="123"/>
      <c r="G846" s="121"/>
      <c r="H846" s="121"/>
      <c r="I846" s="121"/>
      <c r="J846" s="121"/>
      <c r="K846" s="123"/>
      <c r="L846" s="123"/>
      <c r="M846" s="121"/>
      <c r="N846" s="121"/>
      <c r="O846" s="118"/>
    </row>
    <row r="847" customFormat="false" ht="15" hidden="false" customHeight="false" outlineLevel="0" collapsed="false">
      <c r="A847" s="122"/>
      <c r="B847" s="118"/>
      <c r="C847" s="117" t="str">
        <f aca="false">IF(B847="","",IFERROR(INDEX(الموظفون!$C$6:$C$105,MATCH(B847,الموظفون!$B$6:$B$105,0)),"✖ رقم غير موجود"))</f>
        <v/>
      </c>
      <c r="D847" s="123"/>
      <c r="E847" s="123"/>
      <c r="F847" s="123"/>
      <c r="G847" s="121"/>
      <c r="H847" s="121"/>
      <c r="I847" s="121"/>
      <c r="J847" s="121"/>
      <c r="K847" s="123"/>
      <c r="L847" s="123"/>
      <c r="M847" s="121"/>
      <c r="N847" s="121"/>
      <c r="O847" s="118"/>
    </row>
    <row r="848" customFormat="false" ht="15" hidden="false" customHeight="false" outlineLevel="0" collapsed="false">
      <c r="A848" s="122"/>
      <c r="B848" s="118"/>
      <c r="C848" s="114" t="str">
        <f aca="false">IF(B848="","",IFERROR(INDEX(الموظفون!$C$6:$C$105,MATCH(B848,الموظفون!$B$6:$B$105,0)),"✖ رقم غير موجود"))</f>
        <v/>
      </c>
      <c r="D848" s="123"/>
      <c r="E848" s="123"/>
      <c r="F848" s="123"/>
      <c r="G848" s="121"/>
      <c r="H848" s="121"/>
      <c r="I848" s="121"/>
      <c r="J848" s="121"/>
      <c r="K848" s="123"/>
      <c r="L848" s="123"/>
      <c r="M848" s="121"/>
      <c r="N848" s="121"/>
      <c r="O848" s="118"/>
    </row>
    <row r="849" customFormat="false" ht="15" hidden="false" customHeight="false" outlineLevel="0" collapsed="false">
      <c r="A849" s="122"/>
      <c r="B849" s="118"/>
      <c r="C849" s="117" t="str">
        <f aca="false">IF(B849="","",IFERROR(INDEX(الموظفون!$C$6:$C$105,MATCH(B849,الموظفون!$B$6:$B$105,0)),"✖ رقم غير موجود"))</f>
        <v/>
      </c>
      <c r="D849" s="123"/>
      <c r="E849" s="123"/>
      <c r="F849" s="123"/>
      <c r="G849" s="121"/>
      <c r="H849" s="121"/>
      <c r="I849" s="121"/>
      <c r="J849" s="121"/>
      <c r="K849" s="123"/>
      <c r="L849" s="123"/>
      <c r="M849" s="121"/>
      <c r="N849" s="121"/>
      <c r="O849" s="118"/>
    </row>
    <row r="850" customFormat="false" ht="15" hidden="false" customHeight="false" outlineLevel="0" collapsed="false">
      <c r="A850" s="122"/>
      <c r="B850" s="118"/>
      <c r="C850" s="114" t="str">
        <f aca="false">IF(B850="","",IFERROR(INDEX(الموظفون!$C$6:$C$105,MATCH(B850,الموظفون!$B$6:$B$105,0)),"✖ رقم غير موجود"))</f>
        <v/>
      </c>
      <c r="D850" s="123"/>
      <c r="E850" s="123"/>
      <c r="F850" s="123"/>
      <c r="G850" s="121"/>
      <c r="H850" s="121"/>
      <c r="I850" s="121"/>
      <c r="J850" s="121"/>
      <c r="K850" s="123"/>
      <c r="L850" s="123"/>
      <c r="M850" s="121"/>
      <c r="N850" s="121"/>
      <c r="O850" s="118"/>
    </row>
    <row r="851" customFormat="false" ht="15" hidden="false" customHeight="false" outlineLevel="0" collapsed="false">
      <c r="A851" s="122"/>
      <c r="B851" s="118"/>
      <c r="C851" s="117" t="str">
        <f aca="false">IF(B851="","",IFERROR(INDEX(الموظفون!$C$6:$C$105,MATCH(B851,الموظفون!$B$6:$B$105,0)),"✖ رقم غير موجود"))</f>
        <v/>
      </c>
      <c r="D851" s="123"/>
      <c r="E851" s="123"/>
      <c r="F851" s="123"/>
      <c r="G851" s="121"/>
      <c r="H851" s="121"/>
      <c r="I851" s="121"/>
      <c r="J851" s="121"/>
      <c r="K851" s="123"/>
      <c r="L851" s="123"/>
      <c r="M851" s="121"/>
      <c r="N851" s="121"/>
      <c r="O851" s="118"/>
    </row>
    <row r="852" customFormat="false" ht="15" hidden="false" customHeight="false" outlineLevel="0" collapsed="false">
      <c r="A852" s="122"/>
      <c r="B852" s="118"/>
      <c r="C852" s="114" t="str">
        <f aca="false">IF(B852="","",IFERROR(INDEX(الموظفون!$C$6:$C$105,MATCH(B852,الموظفون!$B$6:$B$105,0)),"✖ رقم غير موجود"))</f>
        <v/>
      </c>
      <c r="D852" s="123"/>
      <c r="E852" s="123"/>
      <c r="F852" s="123"/>
      <c r="G852" s="121"/>
      <c r="H852" s="121"/>
      <c r="I852" s="121"/>
      <c r="J852" s="121"/>
      <c r="K852" s="123"/>
      <c r="L852" s="123"/>
      <c r="M852" s="121"/>
      <c r="N852" s="121"/>
      <c r="O852" s="118"/>
    </row>
    <row r="853" customFormat="false" ht="15" hidden="false" customHeight="false" outlineLevel="0" collapsed="false">
      <c r="A853" s="122"/>
      <c r="B853" s="118"/>
      <c r="C853" s="117" t="str">
        <f aca="false">IF(B853="","",IFERROR(INDEX(الموظفون!$C$6:$C$105,MATCH(B853,الموظفون!$B$6:$B$105,0)),"✖ رقم غير موجود"))</f>
        <v/>
      </c>
      <c r="D853" s="123"/>
      <c r="E853" s="123"/>
      <c r="F853" s="123"/>
      <c r="G853" s="121"/>
      <c r="H853" s="121"/>
      <c r="I853" s="121"/>
      <c r="J853" s="121"/>
      <c r="K853" s="123"/>
      <c r="L853" s="123"/>
      <c r="M853" s="121"/>
      <c r="N853" s="121"/>
      <c r="O853" s="118"/>
    </row>
    <row r="854" customFormat="false" ht="15" hidden="false" customHeight="false" outlineLevel="0" collapsed="false">
      <c r="A854" s="122"/>
      <c r="B854" s="118"/>
      <c r="C854" s="114" t="str">
        <f aca="false">IF(B854="","",IFERROR(INDEX(الموظفون!$C$6:$C$105,MATCH(B854,الموظفون!$B$6:$B$105,0)),"✖ رقم غير موجود"))</f>
        <v/>
      </c>
      <c r="D854" s="123"/>
      <c r="E854" s="123"/>
      <c r="F854" s="123"/>
      <c r="G854" s="121"/>
      <c r="H854" s="121"/>
      <c r="I854" s="121"/>
      <c r="J854" s="121"/>
      <c r="K854" s="123"/>
      <c r="L854" s="123"/>
      <c r="M854" s="121"/>
      <c r="N854" s="121"/>
      <c r="O854" s="118"/>
    </row>
    <row r="855" customFormat="false" ht="15" hidden="false" customHeight="false" outlineLevel="0" collapsed="false">
      <c r="A855" s="122"/>
      <c r="B855" s="118"/>
      <c r="C855" s="117" t="str">
        <f aca="false">IF(B855="","",IFERROR(INDEX(الموظفون!$C$6:$C$105,MATCH(B855,الموظفون!$B$6:$B$105,0)),"✖ رقم غير موجود"))</f>
        <v/>
      </c>
      <c r="D855" s="123"/>
      <c r="E855" s="123"/>
      <c r="F855" s="123"/>
      <c r="G855" s="121"/>
      <c r="H855" s="121"/>
      <c r="I855" s="121"/>
      <c r="J855" s="121"/>
      <c r="K855" s="123"/>
      <c r="L855" s="123"/>
      <c r="M855" s="121"/>
      <c r="N855" s="121"/>
      <c r="O855" s="118"/>
    </row>
    <row r="856" customFormat="false" ht="15" hidden="false" customHeight="false" outlineLevel="0" collapsed="false">
      <c r="A856" s="122"/>
      <c r="B856" s="118"/>
      <c r="C856" s="114" t="str">
        <f aca="false">IF(B856="","",IFERROR(INDEX(الموظفون!$C$6:$C$105,MATCH(B856,الموظفون!$B$6:$B$105,0)),"✖ رقم غير موجود"))</f>
        <v/>
      </c>
      <c r="D856" s="123"/>
      <c r="E856" s="123"/>
      <c r="F856" s="123"/>
      <c r="G856" s="121"/>
      <c r="H856" s="121"/>
      <c r="I856" s="121"/>
      <c r="J856" s="121"/>
      <c r="K856" s="123"/>
      <c r="L856" s="123"/>
      <c r="M856" s="121"/>
      <c r="N856" s="121"/>
      <c r="O856" s="118"/>
    </row>
    <row r="857" customFormat="false" ht="15" hidden="false" customHeight="false" outlineLevel="0" collapsed="false">
      <c r="A857" s="122"/>
      <c r="B857" s="118"/>
      <c r="C857" s="117" t="str">
        <f aca="false">IF(B857="","",IFERROR(INDEX(الموظفون!$C$6:$C$105,MATCH(B857,الموظفون!$B$6:$B$105,0)),"✖ رقم غير موجود"))</f>
        <v/>
      </c>
      <c r="D857" s="123"/>
      <c r="E857" s="123"/>
      <c r="F857" s="123"/>
      <c r="G857" s="121"/>
      <c r="H857" s="121"/>
      <c r="I857" s="121"/>
      <c r="J857" s="121"/>
      <c r="K857" s="123"/>
      <c r="L857" s="123"/>
      <c r="M857" s="121"/>
      <c r="N857" s="121"/>
      <c r="O857" s="118"/>
    </row>
    <row r="858" customFormat="false" ht="15" hidden="false" customHeight="false" outlineLevel="0" collapsed="false">
      <c r="A858" s="122"/>
      <c r="B858" s="118"/>
      <c r="C858" s="114" t="str">
        <f aca="false">IF(B858="","",IFERROR(INDEX(الموظفون!$C$6:$C$105,MATCH(B858,الموظفون!$B$6:$B$105,0)),"✖ رقم غير موجود"))</f>
        <v/>
      </c>
      <c r="D858" s="123"/>
      <c r="E858" s="123"/>
      <c r="F858" s="123"/>
      <c r="G858" s="121"/>
      <c r="H858" s="121"/>
      <c r="I858" s="121"/>
      <c r="J858" s="121"/>
      <c r="K858" s="123"/>
      <c r="L858" s="123"/>
      <c r="M858" s="121"/>
      <c r="N858" s="121"/>
      <c r="O858" s="118"/>
    </row>
    <row r="859" customFormat="false" ht="15" hidden="false" customHeight="false" outlineLevel="0" collapsed="false">
      <c r="A859" s="122"/>
      <c r="B859" s="118"/>
      <c r="C859" s="117" t="str">
        <f aca="false">IF(B859="","",IFERROR(INDEX(الموظفون!$C$6:$C$105,MATCH(B859,الموظفون!$B$6:$B$105,0)),"✖ رقم غير موجود"))</f>
        <v/>
      </c>
      <c r="D859" s="123"/>
      <c r="E859" s="123"/>
      <c r="F859" s="123"/>
      <c r="G859" s="121"/>
      <c r="H859" s="121"/>
      <c r="I859" s="121"/>
      <c r="J859" s="121"/>
      <c r="K859" s="123"/>
      <c r="L859" s="123"/>
      <c r="M859" s="121"/>
      <c r="N859" s="121"/>
      <c r="O859" s="118"/>
    </row>
    <row r="860" customFormat="false" ht="15" hidden="false" customHeight="false" outlineLevel="0" collapsed="false">
      <c r="A860" s="122"/>
      <c r="B860" s="118"/>
      <c r="C860" s="114" t="str">
        <f aca="false">IF(B860="","",IFERROR(INDEX(الموظفون!$C$6:$C$105,MATCH(B860,الموظفون!$B$6:$B$105,0)),"✖ رقم غير موجود"))</f>
        <v/>
      </c>
      <c r="D860" s="123"/>
      <c r="E860" s="123"/>
      <c r="F860" s="123"/>
      <c r="G860" s="121"/>
      <c r="H860" s="121"/>
      <c r="I860" s="121"/>
      <c r="J860" s="121"/>
      <c r="K860" s="123"/>
      <c r="L860" s="123"/>
      <c r="M860" s="121"/>
      <c r="N860" s="121"/>
      <c r="O860" s="118"/>
    </row>
    <row r="861" customFormat="false" ht="15" hidden="false" customHeight="false" outlineLevel="0" collapsed="false">
      <c r="A861" s="122"/>
      <c r="B861" s="118"/>
      <c r="C861" s="117" t="str">
        <f aca="false">IF(B861="","",IFERROR(INDEX(الموظفون!$C$6:$C$105,MATCH(B861,الموظفون!$B$6:$B$105,0)),"✖ رقم غير موجود"))</f>
        <v/>
      </c>
      <c r="D861" s="123"/>
      <c r="E861" s="123"/>
      <c r="F861" s="123"/>
      <c r="G861" s="121"/>
      <c r="H861" s="121"/>
      <c r="I861" s="121"/>
      <c r="J861" s="121"/>
      <c r="K861" s="123"/>
      <c r="L861" s="123"/>
      <c r="M861" s="121"/>
      <c r="N861" s="121"/>
      <c r="O861" s="118"/>
    </row>
    <row r="862" customFormat="false" ht="15" hidden="false" customHeight="false" outlineLevel="0" collapsed="false">
      <c r="A862" s="122"/>
      <c r="B862" s="118"/>
      <c r="C862" s="114" t="str">
        <f aca="false">IF(B862="","",IFERROR(INDEX(الموظفون!$C$6:$C$105,MATCH(B862,الموظفون!$B$6:$B$105,0)),"✖ رقم غير موجود"))</f>
        <v/>
      </c>
      <c r="D862" s="123"/>
      <c r="E862" s="123"/>
      <c r="F862" s="123"/>
      <c r="G862" s="121"/>
      <c r="H862" s="121"/>
      <c r="I862" s="121"/>
      <c r="J862" s="121"/>
      <c r="K862" s="123"/>
      <c r="L862" s="123"/>
      <c r="M862" s="121"/>
      <c r="N862" s="121"/>
      <c r="O862" s="118"/>
    </row>
    <row r="863" customFormat="false" ht="15" hidden="false" customHeight="false" outlineLevel="0" collapsed="false">
      <c r="A863" s="122"/>
      <c r="B863" s="118"/>
      <c r="C863" s="117" t="str">
        <f aca="false">IF(B863="","",IFERROR(INDEX(الموظفون!$C$6:$C$105,MATCH(B863,الموظفون!$B$6:$B$105,0)),"✖ رقم غير موجود"))</f>
        <v/>
      </c>
      <c r="D863" s="123"/>
      <c r="E863" s="123"/>
      <c r="F863" s="123"/>
      <c r="G863" s="121"/>
      <c r="H863" s="121"/>
      <c r="I863" s="121"/>
      <c r="J863" s="121"/>
      <c r="K863" s="123"/>
      <c r="L863" s="123"/>
      <c r="M863" s="121"/>
      <c r="N863" s="121"/>
      <c r="O863" s="118"/>
    </row>
    <row r="864" customFormat="false" ht="15" hidden="false" customHeight="false" outlineLevel="0" collapsed="false">
      <c r="A864" s="122"/>
      <c r="B864" s="118"/>
      <c r="C864" s="114" t="str">
        <f aca="false">IF(B864="","",IFERROR(INDEX(الموظفون!$C$6:$C$105,MATCH(B864,الموظفون!$B$6:$B$105,0)),"✖ رقم غير موجود"))</f>
        <v/>
      </c>
      <c r="D864" s="123"/>
      <c r="E864" s="123"/>
      <c r="F864" s="123"/>
      <c r="G864" s="121"/>
      <c r="H864" s="121"/>
      <c r="I864" s="121"/>
      <c r="J864" s="121"/>
      <c r="K864" s="123"/>
      <c r="L864" s="123"/>
      <c r="M864" s="121"/>
      <c r="N864" s="121"/>
      <c r="O864" s="118"/>
    </row>
    <row r="865" customFormat="false" ht="15" hidden="false" customHeight="false" outlineLevel="0" collapsed="false">
      <c r="A865" s="122"/>
      <c r="B865" s="118"/>
      <c r="C865" s="117" t="str">
        <f aca="false">IF(B865="","",IFERROR(INDEX(الموظفون!$C$6:$C$105,MATCH(B865,الموظفون!$B$6:$B$105,0)),"✖ رقم غير موجود"))</f>
        <v/>
      </c>
      <c r="D865" s="123"/>
      <c r="E865" s="123"/>
      <c r="F865" s="123"/>
      <c r="G865" s="121"/>
      <c r="H865" s="121"/>
      <c r="I865" s="121"/>
      <c r="J865" s="121"/>
      <c r="K865" s="123"/>
      <c r="L865" s="123"/>
      <c r="M865" s="121"/>
      <c r="N865" s="121"/>
      <c r="O865" s="118"/>
    </row>
    <row r="866" customFormat="false" ht="15" hidden="false" customHeight="false" outlineLevel="0" collapsed="false">
      <c r="A866" s="122"/>
      <c r="B866" s="118"/>
      <c r="C866" s="114" t="str">
        <f aca="false">IF(B866="","",IFERROR(INDEX(الموظفون!$C$6:$C$105,MATCH(B866,الموظفون!$B$6:$B$105,0)),"✖ رقم غير موجود"))</f>
        <v/>
      </c>
      <c r="D866" s="123"/>
      <c r="E866" s="123"/>
      <c r="F866" s="123"/>
      <c r="G866" s="121"/>
      <c r="H866" s="121"/>
      <c r="I866" s="121"/>
      <c r="J866" s="121"/>
      <c r="K866" s="123"/>
      <c r="L866" s="123"/>
      <c r="M866" s="121"/>
      <c r="N866" s="121"/>
      <c r="O866" s="118"/>
    </row>
    <row r="867" customFormat="false" ht="15" hidden="false" customHeight="false" outlineLevel="0" collapsed="false">
      <c r="A867" s="122"/>
      <c r="B867" s="118"/>
      <c r="C867" s="117" t="str">
        <f aca="false">IF(B867="","",IFERROR(INDEX(الموظفون!$C$6:$C$105,MATCH(B867,الموظفون!$B$6:$B$105,0)),"✖ رقم غير موجود"))</f>
        <v/>
      </c>
      <c r="D867" s="123"/>
      <c r="E867" s="123"/>
      <c r="F867" s="123"/>
      <c r="G867" s="121"/>
      <c r="H867" s="121"/>
      <c r="I867" s="121"/>
      <c r="J867" s="121"/>
      <c r="K867" s="123"/>
      <c r="L867" s="123"/>
      <c r="M867" s="121"/>
      <c r="N867" s="121"/>
      <c r="O867" s="118"/>
    </row>
    <row r="868" customFormat="false" ht="15" hidden="false" customHeight="false" outlineLevel="0" collapsed="false">
      <c r="A868" s="122"/>
      <c r="B868" s="118"/>
      <c r="C868" s="114" t="str">
        <f aca="false">IF(B868="","",IFERROR(INDEX(الموظفون!$C$6:$C$105,MATCH(B868,الموظفون!$B$6:$B$105,0)),"✖ رقم غير موجود"))</f>
        <v/>
      </c>
      <c r="D868" s="123"/>
      <c r="E868" s="123"/>
      <c r="F868" s="123"/>
      <c r="G868" s="121"/>
      <c r="H868" s="121"/>
      <c r="I868" s="121"/>
      <c r="J868" s="121"/>
      <c r="K868" s="123"/>
      <c r="L868" s="123"/>
      <c r="M868" s="121"/>
      <c r="N868" s="121"/>
      <c r="O868" s="118"/>
    </row>
    <row r="869" customFormat="false" ht="15" hidden="false" customHeight="false" outlineLevel="0" collapsed="false">
      <c r="A869" s="122"/>
      <c r="B869" s="118"/>
      <c r="C869" s="117" t="str">
        <f aca="false">IF(B869="","",IFERROR(INDEX(الموظفون!$C$6:$C$105,MATCH(B869,الموظفون!$B$6:$B$105,0)),"✖ رقم غير موجود"))</f>
        <v/>
      </c>
      <c r="D869" s="123"/>
      <c r="E869" s="123"/>
      <c r="F869" s="123"/>
      <c r="G869" s="121"/>
      <c r="H869" s="121"/>
      <c r="I869" s="121"/>
      <c r="J869" s="121"/>
      <c r="K869" s="123"/>
      <c r="L869" s="123"/>
      <c r="M869" s="121"/>
      <c r="N869" s="121"/>
      <c r="O869" s="118"/>
    </row>
    <row r="870" customFormat="false" ht="15" hidden="false" customHeight="false" outlineLevel="0" collapsed="false">
      <c r="A870" s="122"/>
      <c r="B870" s="118"/>
      <c r="C870" s="114" t="str">
        <f aca="false">IF(B870="","",IFERROR(INDEX(الموظفون!$C$6:$C$105,MATCH(B870,الموظفون!$B$6:$B$105,0)),"✖ رقم غير موجود"))</f>
        <v/>
      </c>
      <c r="D870" s="123"/>
      <c r="E870" s="123"/>
      <c r="F870" s="123"/>
      <c r="G870" s="121"/>
      <c r="H870" s="121"/>
      <c r="I870" s="121"/>
      <c r="J870" s="121"/>
      <c r="K870" s="123"/>
      <c r="L870" s="123"/>
      <c r="M870" s="121"/>
      <c r="N870" s="121"/>
      <c r="O870" s="118"/>
    </row>
    <row r="871" customFormat="false" ht="15" hidden="false" customHeight="false" outlineLevel="0" collapsed="false">
      <c r="A871" s="122"/>
      <c r="B871" s="118"/>
      <c r="C871" s="117" t="str">
        <f aca="false">IF(B871="","",IFERROR(INDEX(الموظفون!$C$6:$C$105,MATCH(B871,الموظفون!$B$6:$B$105,0)),"✖ رقم غير موجود"))</f>
        <v/>
      </c>
      <c r="D871" s="123"/>
      <c r="E871" s="123"/>
      <c r="F871" s="123"/>
      <c r="G871" s="121"/>
      <c r="H871" s="121"/>
      <c r="I871" s="121"/>
      <c r="J871" s="121"/>
      <c r="K871" s="123"/>
      <c r="L871" s="123"/>
      <c r="M871" s="121"/>
      <c r="N871" s="121"/>
      <c r="O871" s="118"/>
    </row>
    <row r="872" customFormat="false" ht="15" hidden="false" customHeight="false" outlineLevel="0" collapsed="false">
      <c r="A872" s="122"/>
      <c r="B872" s="118"/>
      <c r="C872" s="114" t="str">
        <f aca="false">IF(B872="","",IFERROR(INDEX(الموظفون!$C$6:$C$105,MATCH(B872,الموظفون!$B$6:$B$105,0)),"✖ رقم غير موجود"))</f>
        <v/>
      </c>
      <c r="D872" s="123"/>
      <c r="E872" s="123"/>
      <c r="F872" s="123"/>
      <c r="G872" s="121"/>
      <c r="H872" s="121"/>
      <c r="I872" s="121"/>
      <c r="J872" s="121"/>
      <c r="K872" s="123"/>
      <c r="L872" s="123"/>
      <c r="M872" s="121"/>
      <c r="N872" s="121"/>
      <c r="O872" s="118"/>
    </row>
    <row r="873" customFormat="false" ht="15" hidden="false" customHeight="false" outlineLevel="0" collapsed="false">
      <c r="A873" s="122"/>
      <c r="B873" s="118"/>
      <c r="C873" s="117" t="str">
        <f aca="false">IF(B873="","",IFERROR(INDEX(الموظفون!$C$6:$C$105,MATCH(B873,الموظفون!$B$6:$B$105,0)),"✖ رقم غير موجود"))</f>
        <v/>
      </c>
      <c r="D873" s="123"/>
      <c r="E873" s="123"/>
      <c r="F873" s="123"/>
      <c r="G873" s="121"/>
      <c r="H873" s="121"/>
      <c r="I873" s="121"/>
      <c r="J873" s="121"/>
      <c r="K873" s="123"/>
      <c r="L873" s="123"/>
      <c r="M873" s="121"/>
      <c r="N873" s="121"/>
      <c r="O873" s="118"/>
    </row>
    <row r="874" customFormat="false" ht="15" hidden="false" customHeight="false" outlineLevel="0" collapsed="false">
      <c r="A874" s="122"/>
      <c r="B874" s="118"/>
      <c r="C874" s="114" t="str">
        <f aca="false">IF(B874="","",IFERROR(INDEX(الموظفون!$C$6:$C$105,MATCH(B874,الموظفون!$B$6:$B$105,0)),"✖ رقم غير موجود"))</f>
        <v/>
      </c>
      <c r="D874" s="123"/>
      <c r="E874" s="123"/>
      <c r="F874" s="123"/>
      <c r="G874" s="121"/>
      <c r="H874" s="121"/>
      <c r="I874" s="121"/>
      <c r="J874" s="121"/>
      <c r="K874" s="123"/>
      <c r="L874" s="123"/>
      <c r="M874" s="121"/>
      <c r="N874" s="121"/>
      <c r="O874" s="118"/>
    </row>
    <row r="875" customFormat="false" ht="15" hidden="false" customHeight="false" outlineLevel="0" collapsed="false">
      <c r="A875" s="122"/>
      <c r="B875" s="118"/>
      <c r="C875" s="117" t="str">
        <f aca="false">IF(B875="","",IFERROR(INDEX(الموظفون!$C$6:$C$105,MATCH(B875,الموظفون!$B$6:$B$105,0)),"✖ رقم غير موجود"))</f>
        <v/>
      </c>
      <c r="D875" s="123"/>
      <c r="E875" s="123"/>
      <c r="F875" s="123"/>
      <c r="G875" s="121"/>
      <c r="H875" s="121"/>
      <c r="I875" s="121"/>
      <c r="J875" s="121"/>
      <c r="K875" s="123"/>
      <c r="L875" s="123"/>
      <c r="M875" s="121"/>
      <c r="N875" s="121"/>
      <c r="O875" s="118"/>
    </row>
    <row r="876" customFormat="false" ht="15" hidden="false" customHeight="false" outlineLevel="0" collapsed="false">
      <c r="A876" s="122"/>
      <c r="B876" s="118"/>
      <c r="C876" s="114" t="str">
        <f aca="false">IF(B876="","",IFERROR(INDEX(الموظفون!$C$6:$C$105,MATCH(B876,الموظفون!$B$6:$B$105,0)),"✖ رقم غير موجود"))</f>
        <v/>
      </c>
      <c r="D876" s="123"/>
      <c r="E876" s="123"/>
      <c r="F876" s="123"/>
      <c r="G876" s="121"/>
      <c r="H876" s="121"/>
      <c r="I876" s="121"/>
      <c r="J876" s="121"/>
      <c r="K876" s="123"/>
      <c r="L876" s="123"/>
      <c r="M876" s="121"/>
      <c r="N876" s="121"/>
      <c r="O876" s="118"/>
    </row>
    <row r="877" customFormat="false" ht="15" hidden="false" customHeight="false" outlineLevel="0" collapsed="false">
      <c r="A877" s="122"/>
      <c r="B877" s="118"/>
      <c r="C877" s="117" t="str">
        <f aca="false">IF(B877="","",IFERROR(INDEX(الموظفون!$C$6:$C$105,MATCH(B877,الموظفون!$B$6:$B$105,0)),"✖ رقم غير موجود"))</f>
        <v/>
      </c>
      <c r="D877" s="123"/>
      <c r="E877" s="123"/>
      <c r="F877" s="123"/>
      <c r="G877" s="121"/>
      <c r="H877" s="121"/>
      <c r="I877" s="121"/>
      <c r="J877" s="121"/>
      <c r="K877" s="123"/>
      <c r="L877" s="123"/>
      <c r="M877" s="121"/>
      <c r="N877" s="121"/>
      <c r="O877" s="118"/>
    </row>
    <row r="878" customFormat="false" ht="15" hidden="false" customHeight="false" outlineLevel="0" collapsed="false">
      <c r="A878" s="122"/>
      <c r="B878" s="118"/>
      <c r="C878" s="114" t="str">
        <f aca="false">IF(B878="","",IFERROR(INDEX(الموظفون!$C$6:$C$105,MATCH(B878,الموظفون!$B$6:$B$105,0)),"✖ رقم غير موجود"))</f>
        <v/>
      </c>
      <c r="D878" s="123"/>
      <c r="E878" s="123"/>
      <c r="F878" s="123"/>
      <c r="G878" s="121"/>
      <c r="H878" s="121"/>
      <c r="I878" s="121"/>
      <c r="J878" s="121"/>
      <c r="K878" s="123"/>
      <c r="L878" s="123"/>
      <c r="M878" s="121"/>
      <c r="N878" s="121"/>
      <c r="O878" s="118"/>
    </row>
    <row r="879" customFormat="false" ht="15" hidden="false" customHeight="false" outlineLevel="0" collapsed="false">
      <c r="A879" s="122"/>
      <c r="B879" s="118"/>
      <c r="C879" s="117" t="str">
        <f aca="false">IF(B879="","",IFERROR(INDEX(الموظفون!$C$6:$C$105,MATCH(B879,الموظفون!$B$6:$B$105,0)),"✖ رقم غير موجود"))</f>
        <v/>
      </c>
      <c r="D879" s="123"/>
      <c r="E879" s="123"/>
      <c r="F879" s="123"/>
      <c r="G879" s="121"/>
      <c r="H879" s="121"/>
      <c r="I879" s="121"/>
      <c r="J879" s="121"/>
      <c r="K879" s="123"/>
      <c r="L879" s="123"/>
      <c r="M879" s="121"/>
      <c r="N879" s="121"/>
      <c r="O879" s="118"/>
    </row>
    <row r="880" customFormat="false" ht="15" hidden="false" customHeight="false" outlineLevel="0" collapsed="false">
      <c r="A880" s="122"/>
      <c r="B880" s="118"/>
      <c r="C880" s="114" t="str">
        <f aca="false">IF(B880="","",IFERROR(INDEX(الموظفون!$C$6:$C$105,MATCH(B880,الموظفون!$B$6:$B$105,0)),"✖ رقم غير موجود"))</f>
        <v/>
      </c>
      <c r="D880" s="123"/>
      <c r="E880" s="123"/>
      <c r="F880" s="123"/>
      <c r="G880" s="121"/>
      <c r="H880" s="121"/>
      <c r="I880" s="121"/>
      <c r="J880" s="121"/>
      <c r="K880" s="123"/>
      <c r="L880" s="123"/>
      <c r="M880" s="121"/>
      <c r="N880" s="121"/>
      <c r="O880" s="118"/>
    </row>
    <row r="881" customFormat="false" ht="15" hidden="false" customHeight="false" outlineLevel="0" collapsed="false">
      <c r="A881" s="122"/>
      <c r="B881" s="118"/>
      <c r="C881" s="117" t="str">
        <f aca="false">IF(B881="","",IFERROR(INDEX(الموظفون!$C$6:$C$105,MATCH(B881,الموظفون!$B$6:$B$105,0)),"✖ رقم غير موجود"))</f>
        <v/>
      </c>
      <c r="D881" s="123"/>
      <c r="E881" s="123"/>
      <c r="F881" s="123"/>
      <c r="G881" s="121"/>
      <c r="H881" s="121"/>
      <c r="I881" s="121"/>
      <c r="J881" s="121"/>
      <c r="K881" s="123"/>
      <c r="L881" s="123"/>
      <c r="M881" s="121"/>
      <c r="N881" s="121"/>
      <c r="O881" s="118"/>
    </row>
    <row r="882" customFormat="false" ht="15" hidden="false" customHeight="false" outlineLevel="0" collapsed="false">
      <c r="A882" s="122"/>
      <c r="B882" s="118"/>
      <c r="C882" s="114" t="str">
        <f aca="false">IF(B882="","",IFERROR(INDEX(الموظفون!$C$6:$C$105,MATCH(B882,الموظفون!$B$6:$B$105,0)),"✖ رقم غير موجود"))</f>
        <v/>
      </c>
      <c r="D882" s="123"/>
      <c r="E882" s="123"/>
      <c r="F882" s="123"/>
      <c r="G882" s="121"/>
      <c r="H882" s="121"/>
      <c r="I882" s="121"/>
      <c r="J882" s="121"/>
      <c r="K882" s="123"/>
      <c r="L882" s="123"/>
      <c r="M882" s="121"/>
      <c r="N882" s="121"/>
      <c r="O882" s="118"/>
    </row>
    <row r="883" customFormat="false" ht="15" hidden="false" customHeight="false" outlineLevel="0" collapsed="false">
      <c r="A883" s="122"/>
      <c r="B883" s="118"/>
      <c r="C883" s="117" t="str">
        <f aca="false">IF(B883="","",IFERROR(INDEX(الموظفون!$C$6:$C$105,MATCH(B883,الموظفون!$B$6:$B$105,0)),"✖ رقم غير موجود"))</f>
        <v/>
      </c>
      <c r="D883" s="123"/>
      <c r="E883" s="123"/>
      <c r="F883" s="123"/>
      <c r="G883" s="121"/>
      <c r="H883" s="121"/>
      <c r="I883" s="121"/>
      <c r="J883" s="121"/>
      <c r="K883" s="123"/>
      <c r="L883" s="123"/>
      <c r="M883" s="121"/>
      <c r="N883" s="121"/>
      <c r="O883" s="118"/>
    </row>
    <row r="884" customFormat="false" ht="15" hidden="false" customHeight="false" outlineLevel="0" collapsed="false">
      <c r="A884" s="122"/>
      <c r="B884" s="118"/>
      <c r="C884" s="114" t="str">
        <f aca="false">IF(B884="","",IFERROR(INDEX(الموظفون!$C$6:$C$105,MATCH(B884,الموظفون!$B$6:$B$105,0)),"✖ رقم غير موجود"))</f>
        <v/>
      </c>
      <c r="D884" s="123"/>
      <c r="E884" s="123"/>
      <c r="F884" s="123"/>
      <c r="G884" s="121"/>
      <c r="H884" s="121"/>
      <c r="I884" s="121"/>
      <c r="J884" s="121"/>
      <c r="K884" s="123"/>
      <c r="L884" s="123"/>
      <c r="M884" s="121"/>
      <c r="N884" s="121"/>
      <c r="O884" s="118"/>
    </row>
    <row r="885" customFormat="false" ht="15" hidden="false" customHeight="false" outlineLevel="0" collapsed="false">
      <c r="A885" s="122"/>
      <c r="B885" s="118"/>
      <c r="C885" s="117" t="str">
        <f aca="false">IF(B885="","",IFERROR(INDEX(الموظفون!$C$6:$C$105,MATCH(B885,الموظفون!$B$6:$B$105,0)),"✖ رقم غير موجود"))</f>
        <v/>
      </c>
      <c r="D885" s="123"/>
      <c r="E885" s="123"/>
      <c r="F885" s="123"/>
      <c r="G885" s="121"/>
      <c r="H885" s="121"/>
      <c r="I885" s="121"/>
      <c r="J885" s="121"/>
      <c r="K885" s="123"/>
      <c r="L885" s="123"/>
      <c r="M885" s="121"/>
      <c r="N885" s="121"/>
      <c r="O885" s="118"/>
    </row>
    <row r="886" customFormat="false" ht="15" hidden="false" customHeight="false" outlineLevel="0" collapsed="false">
      <c r="A886" s="122"/>
      <c r="B886" s="118"/>
      <c r="C886" s="114" t="str">
        <f aca="false">IF(B886="","",IFERROR(INDEX(الموظفون!$C$6:$C$105,MATCH(B886,الموظفون!$B$6:$B$105,0)),"✖ رقم غير موجود"))</f>
        <v/>
      </c>
      <c r="D886" s="123"/>
      <c r="E886" s="123"/>
      <c r="F886" s="123"/>
      <c r="G886" s="121"/>
      <c r="H886" s="121"/>
      <c r="I886" s="121"/>
      <c r="J886" s="121"/>
      <c r="K886" s="123"/>
      <c r="L886" s="123"/>
      <c r="M886" s="121"/>
      <c r="N886" s="121"/>
      <c r="O886" s="118"/>
    </row>
    <row r="887" customFormat="false" ht="15" hidden="false" customHeight="false" outlineLevel="0" collapsed="false">
      <c r="A887" s="122"/>
      <c r="B887" s="118"/>
      <c r="C887" s="117" t="str">
        <f aca="false">IF(B887="","",IFERROR(INDEX(الموظفون!$C$6:$C$105,MATCH(B887,الموظفون!$B$6:$B$105,0)),"✖ رقم غير موجود"))</f>
        <v/>
      </c>
      <c r="D887" s="123"/>
      <c r="E887" s="123"/>
      <c r="F887" s="123"/>
      <c r="G887" s="121"/>
      <c r="H887" s="121"/>
      <c r="I887" s="121"/>
      <c r="J887" s="121"/>
      <c r="K887" s="123"/>
      <c r="L887" s="123"/>
      <c r="M887" s="121"/>
      <c r="N887" s="121"/>
      <c r="O887" s="118"/>
    </row>
    <row r="888" customFormat="false" ht="15" hidden="false" customHeight="false" outlineLevel="0" collapsed="false">
      <c r="A888" s="122"/>
      <c r="B888" s="118"/>
      <c r="C888" s="114" t="str">
        <f aca="false">IF(B888="","",IFERROR(INDEX(الموظفون!$C$6:$C$105,MATCH(B888,الموظفون!$B$6:$B$105,0)),"✖ رقم غير موجود"))</f>
        <v/>
      </c>
      <c r="D888" s="123"/>
      <c r="E888" s="123"/>
      <c r="F888" s="123"/>
      <c r="G888" s="121"/>
      <c r="H888" s="121"/>
      <c r="I888" s="121"/>
      <c r="J888" s="121"/>
      <c r="K888" s="123"/>
      <c r="L888" s="123"/>
      <c r="M888" s="121"/>
      <c r="N888" s="121"/>
      <c r="O888" s="118"/>
    </row>
    <row r="889" customFormat="false" ht="15" hidden="false" customHeight="false" outlineLevel="0" collapsed="false">
      <c r="A889" s="122"/>
      <c r="B889" s="118"/>
      <c r="C889" s="117" t="str">
        <f aca="false">IF(B889="","",IFERROR(INDEX(الموظفون!$C$6:$C$105,MATCH(B889,الموظفون!$B$6:$B$105,0)),"✖ رقم غير موجود"))</f>
        <v/>
      </c>
      <c r="D889" s="123"/>
      <c r="E889" s="123"/>
      <c r="F889" s="123"/>
      <c r="G889" s="121"/>
      <c r="H889" s="121"/>
      <c r="I889" s="121"/>
      <c r="J889" s="121"/>
      <c r="K889" s="123"/>
      <c r="L889" s="123"/>
      <c r="M889" s="121"/>
      <c r="N889" s="121"/>
      <c r="O889" s="118"/>
    </row>
    <row r="890" customFormat="false" ht="15" hidden="false" customHeight="false" outlineLevel="0" collapsed="false">
      <c r="A890" s="122"/>
      <c r="B890" s="118"/>
      <c r="C890" s="114" t="str">
        <f aca="false">IF(B890="","",IFERROR(INDEX(الموظفون!$C$6:$C$105,MATCH(B890,الموظفون!$B$6:$B$105,0)),"✖ رقم غير موجود"))</f>
        <v/>
      </c>
      <c r="D890" s="123"/>
      <c r="E890" s="123"/>
      <c r="F890" s="123"/>
      <c r="G890" s="121"/>
      <c r="H890" s="121"/>
      <c r="I890" s="121"/>
      <c r="J890" s="121"/>
      <c r="K890" s="123"/>
      <c r="L890" s="123"/>
      <c r="M890" s="121"/>
      <c r="N890" s="121"/>
      <c r="O890" s="118"/>
    </row>
    <row r="891" customFormat="false" ht="15" hidden="false" customHeight="false" outlineLevel="0" collapsed="false">
      <c r="A891" s="122"/>
      <c r="B891" s="118"/>
      <c r="C891" s="117" t="str">
        <f aca="false">IF(B891="","",IFERROR(INDEX(الموظفون!$C$6:$C$105,MATCH(B891,الموظفون!$B$6:$B$105,0)),"✖ رقم غير موجود"))</f>
        <v/>
      </c>
      <c r="D891" s="123"/>
      <c r="E891" s="123"/>
      <c r="F891" s="123"/>
      <c r="G891" s="121"/>
      <c r="H891" s="121"/>
      <c r="I891" s="121"/>
      <c r="J891" s="121"/>
      <c r="K891" s="123"/>
      <c r="L891" s="123"/>
      <c r="M891" s="121"/>
      <c r="N891" s="121"/>
      <c r="O891" s="118"/>
    </row>
    <row r="892" customFormat="false" ht="15" hidden="false" customHeight="false" outlineLevel="0" collapsed="false">
      <c r="A892" s="122"/>
      <c r="B892" s="118"/>
      <c r="C892" s="114" t="str">
        <f aca="false">IF(B892="","",IFERROR(INDEX(الموظفون!$C$6:$C$105,MATCH(B892,الموظفون!$B$6:$B$105,0)),"✖ رقم غير موجود"))</f>
        <v/>
      </c>
      <c r="D892" s="123"/>
      <c r="E892" s="123"/>
      <c r="F892" s="123"/>
      <c r="G892" s="121"/>
      <c r="H892" s="121"/>
      <c r="I892" s="121"/>
      <c r="J892" s="121"/>
      <c r="K892" s="123"/>
      <c r="L892" s="123"/>
      <c r="M892" s="121"/>
      <c r="N892" s="121"/>
      <c r="O892" s="118"/>
    </row>
    <row r="893" customFormat="false" ht="15" hidden="false" customHeight="false" outlineLevel="0" collapsed="false">
      <c r="A893" s="122"/>
      <c r="B893" s="118"/>
      <c r="C893" s="117" t="str">
        <f aca="false">IF(B893="","",IFERROR(INDEX(الموظفون!$C$6:$C$105,MATCH(B893,الموظفون!$B$6:$B$105,0)),"✖ رقم غير موجود"))</f>
        <v/>
      </c>
      <c r="D893" s="123"/>
      <c r="E893" s="123"/>
      <c r="F893" s="123"/>
      <c r="G893" s="121"/>
      <c r="H893" s="121"/>
      <c r="I893" s="121"/>
      <c r="J893" s="121"/>
      <c r="K893" s="123"/>
      <c r="L893" s="123"/>
      <c r="M893" s="121"/>
      <c r="N893" s="121"/>
      <c r="O893" s="118"/>
    </row>
    <row r="894" customFormat="false" ht="15" hidden="false" customHeight="false" outlineLevel="0" collapsed="false">
      <c r="A894" s="122"/>
      <c r="B894" s="118"/>
      <c r="C894" s="114" t="str">
        <f aca="false">IF(B894="","",IFERROR(INDEX(الموظفون!$C$6:$C$105,MATCH(B894,الموظفون!$B$6:$B$105,0)),"✖ رقم غير موجود"))</f>
        <v/>
      </c>
      <c r="D894" s="123"/>
      <c r="E894" s="123"/>
      <c r="F894" s="123"/>
      <c r="G894" s="121"/>
      <c r="H894" s="121"/>
      <c r="I894" s="121"/>
      <c r="J894" s="121"/>
      <c r="K894" s="123"/>
      <c r="L894" s="123"/>
      <c r="M894" s="121"/>
      <c r="N894" s="121"/>
      <c r="O894" s="118"/>
    </row>
    <row r="895" customFormat="false" ht="15" hidden="false" customHeight="false" outlineLevel="0" collapsed="false">
      <c r="A895" s="122"/>
      <c r="B895" s="118"/>
      <c r="C895" s="117" t="str">
        <f aca="false">IF(B895="","",IFERROR(INDEX(الموظفون!$C$6:$C$105,MATCH(B895,الموظفون!$B$6:$B$105,0)),"✖ رقم غير موجود"))</f>
        <v/>
      </c>
      <c r="D895" s="123"/>
      <c r="E895" s="123"/>
      <c r="F895" s="123"/>
      <c r="G895" s="121"/>
      <c r="H895" s="121"/>
      <c r="I895" s="121"/>
      <c r="J895" s="121"/>
      <c r="K895" s="123"/>
      <c r="L895" s="123"/>
      <c r="M895" s="121"/>
      <c r="N895" s="121"/>
      <c r="O895" s="118"/>
    </row>
    <row r="896" customFormat="false" ht="15" hidden="false" customHeight="false" outlineLevel="0" collapsed="false">
      <c r="A896" s="122"/>
      <c r="B896" s="118"/>
      <c r="C896" s="114" t="str">
        <f aca="false">IF(B896="","",IFERROR(INDEX(الموظفون!$C$6:$C$105,MATCH(B896,الموظفون!$B$6:$B$105,0)),"✖ رقم غير موجود"))</f>
        <v/>
      </c>
      <c r="D896" s="123"/>
      <c r="E896" s="123"/>
      <c r="F896" s="123"/>
      <c r="G896" s="121"/>
      <c r="H896" s="121"/>
      <c r="I896" s="121"/>
      <c r="J896" s="121"/>
      <c r="K896" s="123"/>
      <c r="L896" s="123"/>
      <c r="M896" s="121"/>
      <c r="N896" s="121"/>
      <c r="O896" s="118"/>
    </row>
    <row r="897" customFormat="false" ht="15" hidden="false" customHeight="false" outlineLevel="0" collapsed="false">
      <c r="A897" s="122"/>
      <c r="B897" s="118"/>
      <c r="C897" s="117" t="str">
        <f aca="false">IF(B897="","",IFERROR(INDEX(الموظفون!$C$6:$C$105,MATCH(B897,الموظفون!$B$6:$B$105,0)),"✖ رقم غير موجود"))</f>
        <v/>
      </c>
      <c r="D897" s="123"/>
      <c r="E897" s="123"/>
      <c r="F897" s="123"/>
      <c r="G897" s="121"/>
      <c r="H897" s="121"/>
      <c r="I897" s="121"/>
      <c r="J897" s="121"/>
      <c r="K897" s="123"/>
      <c r="L897" s="123"/>
      <c r="M897" s="121"/>
      <c r="N897" s="121"/>
      <c r="O897" s="118"/>
    </row>
    <row r="898" customFormat="false" ht="15" hidden="false" customHeight="false" outlineLevel="0" collapsed="false">
      <c r="A898" s="122"/>
      <c r="B898" s="118"/>
      <c r="C898" s="114" t="str">
        <f aca="false">IF(B898="","",IFERROR(INDEX(الموظفون!$C$6:$C$105,MATCH(B898,الموظفون!$B$6:$B$105,0)),"✖ رقم غير موجود"))</f>
        <v/>
      </c>
      <c r="D898" s="123"/>
      <c r="E898" s="123"/>
      <c r="F898" s="123"/>
      <c r="G898" s="121"/>
      <c r="H898" s="121"/>
      <c r="I898" s="121"/>
      <c r="J898" s="121"/>
      <c r="K898" s="123"/>
      <c r="L898" s="123"/>
      <c r="M898" s="121"/>
      <c r="N898" s="121"/>
      <c r="O898" s="118"/>
    </row>
    <row r="899" customFormat="false" ht="15" hidden="false" customHeight="false" outlineLevel="0" collapsed="false">
      <c r="A899" s="122"/>
      <c r="B899" s="118"/>
      <c r="C899" s="117" t="str">
        <f aca="false">IF(B899="","",IFERROR(INDEX(الموظفون!$C$6:$C$105,MATCH(B899,الموظفون!$B$6:$B$105,0)),"✖ رقم غير موجود"))</f>
        <v/>
      </c>
      <c r="D899" s="123"/>
      <c r="E899" s="123"/>
      <c r="F899" s="123"/>
      <c r="G899" s="121"/>
      <c r="H899" s="121"/>
      <c r="I899" s="121"/>
      <c r="J899" s="121"/>
      <c r="K899" s="123"/>
      <c r="L899" s="123"/>
      <c r="M899" s="121"/>
      <c r="N899" s="121"/>
      <c r="O899" s="118"/>
    </row>
    <row r="900" customFormat="false" ht="15" hidden="false" customHeight="false" outlineLevel="0" collapsed="false">
      <c r="A900" s="122"/>
      <c r="B900" s="118"/>
      <c r="C900" s="114" t="str">
        <f aca="false">IF(B900="","",IFERROR(INDEX(الموظفون!$C$6:$C$105,MATCH(B900,الموظفون!$B$6:$B$105,0)),"✖ رقم غير موجود"))</f>
        <v/>
      </c>
      <c r="D900" s="123"/>
      <c r="E900" s="123"/>
      <c r="F900" s="123"/>
      <c r="G900" s="121"/>
      <c r="H900" s="121"/>
      <c r="I900" s="121"/>
      <c r="J900" s="121"/>
      <c r="K900" s="123"/>
      <c r="L900" s="123"/>
      <c r="M900" s="121"/>
      <c r="N900" s="121"/>
      <c r="O900" s="118"/>
    </row>
    <row r="901" customFormat="false" ht="15" hidden="false" customHeight="false" outlineLevel="0" collapsed="false">
      <c r="A901" s="122"/>
      <c r="B901" s="118"/>
      <c r="C901" s="117" t="str">
        <f aca="false">IF(B901="","",IFERROR(INDEX(الموظفون!$C$6:$C$105,MATCH(B901,الموظفون!$B$6:$B$105,0)),"✖ رقم غير موجود"))</f>
        <v/>
      </c>
      <c r="D901" s="123"/>
      <c r="E901" s="123"/>
      <c r="F901" s="123"/>
      <c r="G901" s="121"/>
      <c r="H901" s="121"/>
      <c r="I901" s="121"/>
      <c r="J901" s="121"/>
      <c r="K901" s="123"/>
      <c r="L901" s="123"/>
      <c r="M901" s="121"/>
      <c r="N901" s="121"/>
      <c r="O901" s="118"/>
    </row>
    <row r="902" customFormat="false" ht="15" hidden="false" customHeight="false" outlineLevel="0" collapsed="false">
      <c r="A902" s="122"/>
      <c r="B902" s="118"/>
      <c r="C902" s="114" t="str">
        <f aca="false">IF(B902="","",IFERROR(INDEX(الموظفون!$C$6:$C$105,MATCH(B902,الموظفون!$B$6:$B$105,0)),"✖ رقم غير موجود"))</f>
        <v/>
      </c>
      <c r="D902" s="123"/>
      <c r="E902" s="123"/>
      <c r="F902" s="123"/>
      <c r="G902" s="121"/>
      <c r="H902" s="121"/>
      <c r="I902" s="121"/>
      <c r="J902" s="121"/>
      <c r="K902" s="123"/>
      <c r="L902" s="123"/>
      <c r="M902" s="121"/>
      <c r="N902" s="121"/>
      <c r="O902" s="118"/>
    </row>
    <row r="903" customFormat="false" ht="15" hidden="false" customHeight="false" outlineLevel="0" collapsed="false">
      <c r="A903" s="122"/>
      <c r="B903" s="118"/>
      <c r="C903" s="117" t="str">
        <f aca="false">IF(B903="","",IFERROR(INDEX(الموظفون!$C$6:$C$105,MATCH(B903,الموظفون!$B$6:$B$105,0)),"✖ رقم غير موجود"))</f>
        <v/>
      </c>
      <c r="D903" s="123"/>
      <c r="E903" s="123"/>
      <c r="F903" s="123"/>
      <c r="G903" s="121"/>
      <c r="H903" s="121"/>
      <c r="I903" s="121"/>
      <c r="J903" s="121"/>
      <c r="K903" s="123"/>
      <c r="L903" s="123"/>
      <c r="M903" s="121"/>
      <c r="N903" s="121"/>
      <c r="O903" s="118"/>
    </row>
    <row r="904" customFormat="false" ht="15" hidden="false" customHeight="false" outlineLevel="0" collapsed="false">
      <c r="A904" s="122"/>
      <c r="B904" s="118"/>
      <c r="C904" s="114" t="str">
        <f aca="false">IF(B904="","",IFERROR(INDEX(الموظفون!$C$6:$C$105,MATCH(B904,الموظفون!$B$6:$B$105,0)),"✖ رقم غير موجود"))</f>
        <v/>
      </c>
      <c r="D904" s="123"/>
      <c r="E904" s="123"/>
      <c r="F904" s="123"/>
      <c r="G904" s="121"/>
      <c r="H904" s="121"/>
      <c r="I904" s="121"/>
      <c r="J904" s="121"/>
      <c r="K904" s="123"/>
      <c r="L904" s="123"/>
      <c r="M904" s="121"/>
      <c r="N904" s="121"/>
      <c r="O904" s="118"/>
    </row>
    <row r="905" customFormat="false" ht="15" hidden="false" customHeight="false" outlineLevel="0" collapsed="false">
      <c r="A905" s="122"/>
      <c r="B905" s="118"/>
      <c r="C905" s="117" t="str">
        <f aca="false">IF(B905="","",IFERROR(INDEX(الموظفون!$C$6:$C$105,MATCH(B905,الموظفون!$B$6:$B$105,0)),"✖ رقم غير موجود"))</f>
        <v/>
      </c>
      <c r="D905" s="123"/>
      <c r="E905" s="123"/>
      <c r="F905" s="123"/>
      <c r="G905" s="121"/>
      <c r="H905" s="121"/>
      <c r="I905" s="121"/>
      <c r="J905" s="121"/>
      <c r="K905" s="123"/>
      <c r="L905" s="123"/>
      <c r="M905" s="121"/>
      <c r="N905" s="121"/>
      <c r="O905" s="118"/>
    </row>
    <row r="906" customFormat="false" ht="15" hidden="false" customHeight="false" outlineLevel="0" collapsed="false">
      <c r="A906" s="122"/>
      <c r="B906" s="118"/>
      <c r="C906" s="114" t="str">
        <f aca="false">IF(B906="","",IFERROR(INDEX(الموظفون!$C$6:$C$105,MATCH(B906,الموظفون!$B$6:$B$105,0)),"✖ رقم غير موجود"))</f>
        <v/>
      </c>
      <c r="D906" s="123"/>
      <c r="E906" s="123"/>
      <c r="F906" s="123"/>
      <c r="G906" s="121"/>
      <c r="H906" s="121"/>
      <c r="I906" s="121"/>
      <c r="J906" s="121"/>
      <c r="K906" s="123"/>
      <c r="L906" s="123"/>
      <c r="M906" s="121"/>
      <c r="N906" s="121"/>
      <c r="O906" s="118"/>
    </row>
    <row r="907" customFormat="false" ht="15" hidden="false" customHeight="false" outlineLevel="0" collapsed="false">
      <c r="A907" s="122"/>
      <c r="B907" s="118"/>
      <c r="C907" s="117" t="str">
        <f aca="false">IF(B907="","",IFERROR(INDEX(الموظفون!$C$6:$C$105,MATCH(B907,الموظفون!$B$6:$B$105,0)),"✖ رقم غير موجود"))</f>
        <v/>
      </c>
      <c r="D907" s="123"/>
      <c r="E907" s="123"/>
      <c r="F907" s="123"/>
      <c r="G907" s="121"/>
      <c r="H907" s="121"/>
      <c r="I907" s="121"/>
      <c r="J907" s="121"/>
      <c r="K907" s="123"/>
      <c r="L907" s="123"/>
      <c r="M907" s="121"/>
      <c r="N907" s="121"/>
      <c r="O907" s="118"/>
    </row>
    <row r="908" customFormat="false" ht="15" hidden="false" customHeight="false" outlineLevel="0" collapsed="false">
      <c r="A908" s="122"/>
      <c r="B908" s="118"/>
      <c r="C908" s="114" t="str">
        <f aca="false">IF(B908="","",IFERROR(INDEX(الموظفون!$C$6:$C$105,MATCH(B908,الموظفون!$B$6:$B$105,0)),"✖ رقم غير موجود"))</f>
        <v/>
      </c>
      <c r="D908" s="123"/>
      <c r="E908" s="123"/>
      <c r="F908" s="123"/>
      <c r="G908" s="121"/>
      <c r="H908" s="121"/>
      <c r="I908" s="121"/>
      <c r="J908" s="121"/>
      <c r="K908" s="123"/>
      <c r="L908" s="123"/>
      <c r="M908" s="121"/>
      <c r="N908" s="121"/>
      <c r="O908" s="118"/>
    </row>
    <row r="909" customFormat="false" ht="15" hidden="false" customHeight="false" outlineLevel="0" collapsed="false">
      <c r="A909" s="122"/>
      <c r="B909" s="118"/>
      <c r="C909" s="117" t="str">
        <f aca="false">IF(B909="","",IFERROR(INDEX(الموظفون!$C$6:$C$105,MATCH(B909,الموظفون!$B$6:$B$105,0)),"✖ رقم غير موجود"))</f>
        <v/>
      </c>
      <c r="D909" s="123"/>
      <c r="E909" s="123"/>
      <c r="F909" s="123"/>
      <c r="G909" s="121"/>
      <c r="H909" s="121"/>
      <c r="I909" s="121"/>
      <c r="J909" s="121"/>
      <c r="K909" s="123"/>
      <c r="L909" s="123"/>
      <c r="M909" s="121"/>
      <c r="N909" s="121"/>
      <c r="O909" s="118"/>
    </row>
    <row r="910" customFormat="false" ht="15" hidden="false" customHeight="false" outlineLevel="0" collapsed="false">
      <c r="A910" s="122"/>
      <c r="B910" s="118"/>
      <c r="C910" s="114" t="str">
        <f aca="false">IF(B910="","",IFERROR(INDEX(الموظفون!$C$6:$C$105,MATCH(B910,الموظفون!$B$6:$B$105,0)),"✖ رقم غير موجود"))</f>
        <v/>
      </c>
      <c r="D910" s="123"/>
      <c r="E910" s="123"/>
      <c r="F910" s="123"/>
      <c r="G910" s="121"/>
      <c r="H910" s="121"/>
      <c r="I910" s="121"/>
      <c r="J910" s="121"/>
      <c r="K910" s="123"/>
      <c r="L910" s="123"/>
      <c r="M910" s="121"/>
      <c r="N910" s="121"/>
      <c r="O910" s="118"/>
    </row>
    <row r="911" customFormat="false" ht="15" hidden="false" customHeight="false" outlineLevel="0" collapsed="false">
      <c r="A911" s="122"/>
      <c r="B911" s="118"/>
      <c r="C911" s="117" t="str">
        <f aca="false">IF(B911="","",IFERROR(INDEX(الموظفون!$C$6:$C$105,MATCH(B911,الموظفون!$B$6:$B$105,0)),"✖ رقم غير موجود"))</f>
        <v/>
      </c>
      <c r="D911" s="123"/>
      <c r="E911" s="123"/>
      <c r="F911" s="123"/>
      <c r="G911" s="121"/>
      <c r="H911" s="121"/>
      <c r="I911" s="121"/>
      <c r="J911" s="121"/>
      <c r="K911" s="123"/>
      <c r="L911" s="123"/>
      <c r="M911" s="121"/>
      <c r="N911" s="121"/>
      <c r="O911" s="118"/>
    </row>
    <row r="912" customFormat="false" ht="15" hidden="false" customHeight="false" outlineLevel="0" collapsed="false">
      <c r="A912" s="122"/>
      <c r="B912" s="118"/>
      <c r="C912" s="114" t="str">
        <f aca="false">IF(B912="","",IFERROR(INDEX(الموظفون!$C$6:$C$105,MATCH(B912,الموظفون!$B$6:$B$105,0)),"✖ رقم غير موجود"))</f>
        <v/>
      </c>
      <c r="D912" s="123"/>
      <c r="E912" s="123"/>
      <c r="F912" s="123"/>
      <c r="G912" s="121"/>
      <c r="H912" s="121"/>
      <c r="I912" s="121"/>
      <c r="J912" s="121"/>
      <c r="K912" s="123"/>
      <c r="L912" s="123"/>
      <c r="M912" s="121"/>
      <c r="N912" s="121"/>
      <c r="O912" s="118"/>
    </row>
    <row r="913" customFormat="false" ht="15" hidden="false" customHeight="false" outlineLevel="0" collapsed="false">
      <c r="A913" s="122"/>
      <c r="B913" s="118"/>
      <c r="C913" s="117" t="str">
        <f aca="false">IF(B913="","",IFERROR(INDEX(الموظفون!$C$6:$C$105,MATCH(B913,الموظفون!$B$6:$B$105,0)),"✖ رقم غير موجود"))</f>
        <v/>
      </c>
      <c r="D913" s="123"/>
      <c r="E913" s="123"/>
      <c r="F913" s="123"/>
      <c r="G913" s="121"/>
      <c r="H913" s="121"/>
      <c r="I913" s="121"/>
      <c r="J913" s="121"/>
      <c r="K913" s="123"/>
      <c r="L913" s="123"/>
      <c r="M913" s="121"/>
      <c r="N913" s="121"/>
      <c r="O913" s="118"/>
    </row>
    <row r="914" customFormat="false" ht="15" hidden="false" customHeight="false" outlineLevel="0" collapsed="false">
      <c r="A914" s="122"/>
      <c r="B914" s="118"/>
      <c r="C914" s="114" t="str">
        <f aca="false">IF(B914="","",IFERROR(INDEX(الموظفون!$C$6:$C$105,MATCH(B914,الموظفون!$B$6:$B$105,0)),"✖ رقم غير موجود"))</f>
        <v/>
      </c>
      <c r="D914" s="123"/>
      <c r="E914" s="123"/>
      <c r="F914" s="123"/>
      <c r="G914" s="121"/>
      <c r="H914" s="121"/>
      <c r="I914" s="121"/>
      <c r="J914" s="121"/>
      <c r="K914" s="123"/>
      <c r="L914" s="123"/>
      <c r="M914" s="121"/>
      <c r="N914" s="121"/>
      <c r="O914" s="118"/>
    </row>
    <row r="915" customFormat="false" ht="15" hidden="false" customHeight="false" outlineLevel="0" collapsed="false">
      <c r="A915" s="122"/>
      <c r="B915" s="118"/>
      <c r="C915" s="117" t="str">
        <f aca="false">IF(B915="","",IFERROR(INDEX(الموظفون!$C$6:$C$105,MATCH(B915,الموظفون!$B$6:$B$105,0)),"✖ رقم غير موجود"))</f>
        <v/>
      </c>
      <c r="D915" s="123"/>
      <c r="E915" s="123"/>
      <c r="F915" s="123"/>
      <c r="G915" s="121"/>
      <c r="H915" s="121"/>
      <c r="I915" s="121"/>
      <c r="J915" s="121"/>
      <c r="K915" s="123"/>
      <c r="L915" s="123"/>
      <c r="M915" s="121"/>
      <c r="N915" s="121"/>
      <c r="O915" s="118"/>
    </row>
    <row r="916" customFormat="false" ht="15" hidden="false" customHeight="false" outlineLevel="0" collapsed="false">
      <c r="A916" s="122"/>
      <c r="B916" s="118"/>
      <c r="C916" s="114" t="str">
        <f aca="false">IF(B916="","",IFERROR(INDEX(الموظفون!$C$6:$C$105,MATCH(B916,الموظفون!$B$6:$B$105,0)),"✖ رقم غير موجود"))</f>
        <v/>
      </c>
      <c r="D916" s="123"/>
      <c r="E916" s="123"/>
      <c r="F916" s="123"/>
      <c r="G916" s="121"/>
      <c r="H916" s="121"/>
      <c r="I916" s="121"/>
      <c r="J916" s="121"/>
      <c r="K916" s="123"/>
      <c r="L916" s="123"/>
      <c r="M916" s="121"/>
      <c r="N916" s="121"/>
      <c r="O916" s="118"/>
    </row>
    <row r="917" customFormat="false" ht="15" hidden="false" customHeight="false" outlineLevel="0" collapsed="false">
      <c r="A917" s="122"/>
      <c r="B917" s="118"/>
      <c r="C917" s="117" t="str">
        <f aca="false">IF(B917="","",IFERROR(INDEX(الموظفون!$C$6:$C$105,MATCH(B917,الموظفون!$B$6:$B$105,0)),"✖ رقم غير موجود"))</f>
        <v/>
      </c>
      <c r="D917" s="123"/>
      <c r="E917" s="123"/>
      <c r="F917" s="123"/>
      <c r="G917" s="121"/>
      <c r="H917" s="121"/>
      <c r="I917" s="121"/>
      <c r="J917" s="121"/>
      <c r="K917" s="123"/>
      <c r="L917" s="123"/>
      <c r="M917" s="121"/>
      <c r="N917" s="121"/>
      <c r="O917" s="118"/>
    </row>
    <row r="918" customFormat="false" ht="15" hidden="false" customHeight="false" outlineLevel="0" collapsed="false">
      <c r="A918" s="122"/>
      <c r="B918" s="118"/>
      <c r="C918" s="114" t="str">
        <f aca="false">IF(B918="","",IFERROR(INDEX(الموظفون!$C$6:$C$105,MATCH(B918,الموظفون!$B$6:$B$105,0)),"✖ رقم غير موجود"))</f>
        <v/>
      </c>
      <c r="D918" s="123"/>
      <c r="E918" s="123"/>
      <c r="F918" s="123"/>
      <c r="G918" s="121"/>
      <c r="H918" s="121"/>
      <c r="I918" s="121"/>
      <c r="J918" s="121"/>
      <c r="K918" s="123"/>
      <c r="L918" s="123"/>
      <c r="M918" s="121"/>
      <c r="N918" s="121"/>
      <c r="O918" s="118"/>
    </row>
    <row r="919" customFormat="false" ht="15" hidden="false" customHeight="false" outlineLevel="0" collapsed="false">
      <c r="A919" s="122"/>
      <c r="B919" s="118"/>
      <c r="C919" s="117" t="str">
        <f aca="false">IF(B919="","",IFERROR(INDEX(الموظفون!$C$6:$C$105,MATCH(B919,الموظفون!$B$6:$B$105,0)),"✖ رقم غير موجود"))</f>
        <v/>
      </c>
      <c r="D919" s="123"/>
      <c r="E919" s="123"/>
      <c r="F919" s="123"/>
      <c r="G919" s="121"/>
      <c r="H919" s="121"/>
      <c r="I919" s="121"/>
      <c r="J919" s="121"/>
      <c r="K919" s="123"/>
      <c r="L919" s="123"/>
      <c r="M919" s="121"/>
      <c r="N919" s="121"/>
      <c r="O919" s="118"/>
    </row>
    <row r="920" customFormat="false" ht="15" hidden="false" customHeight="false" outlineLevel="0" collapsed="false">
      <c r="A920" s="122"/>
      <c r="B920" s="118"/>
      <c r="C920" s="114" t="str">
        <f aca="false">IF(B920="","",IFERROR(INDEX(الموظفون!$C$6:$C$105,MATCH(B920,الموظفون!$B$6:$B$105,0)),"✖ رقم غير موجود"))</f>
        <v/>
      </c>
      <c r="D920" s="123"/>
      <c r="E920" s="123"/>
      <c r="F920" s="123"/>
      <c r="G920" s="121"/>
      <c r="H920" s="121"/>
      <c r="I920" s="121"/>
      <c r="J920" s="121"/>
      <c r="K920" s="123"/>
      <c r="L920" s="123"/>
      <c r="M920" s="121"/>
      <c r="N920" s="121"/>
      <c r="O920" s="118"/>
    </row>
    <row r="921" customFormat="false" ht="15" hidden="false" customHeight="false" outlineLevel="0" collapsed="false">
      <c r="A921" s="122"/>
      <c r="B921" s="118"/>
      <c r="C921" s="117" t="str">
        <f aca="false">IF(B921="","",IFERROR(INDEX(الموظفون!$C$6:$C$105,MATCH(B921,الموظفون!$B$6:$B$105,0)),"✖ رقم غير موجود"))</f>
        <v/>
      </c>
      <c r="D921" s="123"/>
      <c r="E921" s="123"/>
      <c r="F921" s="123"/>
      <c r="G921" s="121"/>
      <c r="H921" s="121"/>
      <c r="I921" s="121"/>
      <c r="J921" s="121"/>
      <c r="K921" s="123"/>
      <c r="L921" s="123"/>
      <c r="M921" s="121"/>
      <c r="N921" s="121"/>
      <c r="O921" s="118"/>
    </row>
    <row r="922" customFormat="false" ht="15" hidden="false" customHeight="false" outlineLevel="0" collapsed="false">
      <c r="A922" s="122"/>
      <c r="B922" s="118"/>
      <c r="C922" s="114" t="str">
        <f aca="false">IF(B922="","",IFERROR(INDEX(الموظفون!$C$6:$C$105,MATCH(B922,الموظفون!$B$6:$B$105,0)),"✖ رقم غير موجود"))</f>
        <v/>
      </c>
      <c r="D922" s="123"/>
      <c r="E922" s="123"/>
      <c r="F922" s="123"/>
      <c r="G922" s="121"/>
      <c r="H922" s="121"/>
      <c r="I922" s="121"/>
      <c r="J922" s="121"/>
      <c r="K922" s="123"/>
      <c r="L922" s="123"/>
      <c r="M922" s="121"/>
      <c r="N922" s="121"/>
      <c r="O922" s="118"/>
    </row>
    <row r="923" customFormat="false" ht="15" hidden="false" customHeight="false" outlineLevel="0" collapsed="false">
      <c r="A923" s="122"/>
      <c r="B923" s="118"/>
      <c r="C923" s="117" t="str">
        <f aca="false">IF(B923="","",IFERROR(INDEX(الموظفون!$C$6:$C$105,MATCH(B923,الموظفون!$B$6:$B$105,0)),"✖ رقم غير موجود"))</f>
        <v/>
      </c>
      <c r="D923" s="123"/>
      <c r="E923" s="123"/>
      <c r="F923" s="123"/>
      <c r="G923" s="121"/>
      <c r="H923" s="121"/>
      <c r="I923" s="121"/>
      <c r="J923" s="121"/>
      <c r="K923" s="123"/>
      <c r="L923" s="123"/>
      <c r="M923" s="121"/>
      <c r="N923" s="121"/>
      <c r="O923" s="118"/>
    </row>
    <row r="924" customFormat="false" ht="15" hidden="false" customHeight="false" outlineLevel="0" collapsed="false">
      <c r="A924" s="122"/>
      <c r="B924" s="118"/>
      <c r="C924" s="114" t="str">
        <f aca="false">IF(B924="","",IFERROR(INDEX(الموظفون!$C$6:$C$105,MATCH(B924,الموظفون!$B$6:$B$105,0)),"✖ رقم غير موجود"))</f>
        <v/>
      </c>
      <c r="D924" s="123"/>
      <c r="E924" s="123"/>
      <c r="F924" s="123"/>
      <c r="G924" s="121"/>
      <c r="H924" s="121"/>
      <c r="I924" s="121"/>
      <c r="J924" s="121"/>
      <c r="K924" s="123"/>
      <c r="L924" s="123"/>
      <c r="M924" s="121"/>
      <c r="N924" s="121"/>
      <c r="O924" s="118"/>
    </row>
    <row r="925" customFormat="false" ht="15" hidden="false" customHeight="false" outlineLevel="0" collapsed="false">
      <c r="A925" s="122"/>
      <c r="B925" s="118"/>
      <c r="C925" s="117" t="str">
        <f aca="false">IF(B925="","",IFERROR(INDEX(الموظفون!$C$6:$C$105,MATCH(B925,الموظفون!$B$6:$B$105,0)),"✖ رقم غير موجود"))</f>
        <v/>
      </c>
      <c r="D925" s="123"/>
      <c r="E925" s="123"/>
      <c r="F925" s="123"/>
      <c r="G925" s="121"/>
      <c r="H925" s="121"/>
      <c r="I925" s="121"/>
      <c r="J925" s="121"/>
      <c r="K925" s="123"/>
      <c r="L925" s="123"/>
      <c r="M925" s="121"/>
      <c r="N925" s="121"/>
      <c r="O925" s="118"/>
    </row>
    <row r="926" customFormat="false" ht="15" hidden="false" customHeight="false" outlineLevel="0" collapsed="false">
      <c r="A926" s="122"/>
      <c r="B926" s="118"/>
      <c r="C926" s="114" t="str">
        <f aca="false">IF(B926="","",IFERROR(INDEX(الموظفون!$C$6:$C$105,MATCH(B926,الموظفون!$B$6:$B$105,0)),"✖ رقم غير موجود"))</f>
        <v/>
      </c>
      <c r="D926" s="123"/>
      <c r="E926" s="123"/>
      <c r="F926" s="123"/>
      <c r="G926" s="121"/>
      <c r="H926" s="121"/>
      <c r="I926" s="121"/>
      <c r="J926" s="121"/>
      <c r="K926" s="123"/>
      <c r="L926" s="123"/>
      <c r="M926" s="121"/>
      <c r="N926" s="121"/>
      <c r="O926" s="118"/>
    </row>
    <row r="927" customFormat="false" ht="15" hidden="false" customHeight="false" outlineLevel="0" collapsed="false">
      <c r="A927" s="122"/>
      <c r="B927" s="118"/>
      <c r="C927" s="117" t="str">
        <f aca="false">IF(B927="","",IFERROR(INDEX(الموظفون!$C$6:$C$105,MATCH(B927,الموظفون!$B$6:$B$105,0)),"✖ رقم غير موجود"))</f>
        <v/>
      </c>
      <c r="D927" s="123"/>
      <c r="E927" s="123"/>
      <c r="F927" s="123"/>
      <c r="G927" s="121"/>
      <c r="H927" s="121"/>
      <c r="I927" s="121"/>
      <c r="J927" s="121"/>
      <c r="K927" s="123"/>
      <c r="L927" s="123"/>
      <c r="M927" s="121"/>
      <c r="N927" s="121"/>
      <c r="O927" s="118"/>
    </row>
    <row r="928" customFormat="false" ht="15" hidden="false" customHeight="false" outlineLevel="0" collapsed="false">
      <c r="A928" s="122"/>
      <c r="B928" s="118"/>
      <c r="C928" s="114" t="str">
        <f aca="false">IF(B928="","",IFERROR(INDEX(الموظفون!$C$6:$C$105,MATCH(B928,الموظفون!$B$6:$B$105,0)),"✖ رقم غير موجود"))</f>
        <v/>
      </c>
      <c r="D928" s="123"/>
      <c r="E928" s="123"/>
      <c r="F928" s="123"/>
      <c r="G928" s="121"/>
      <c r="H928" s="121"/>
      <c r="I928" s="121"/>
      <c r="J928" s="121"/>
      <c r="K928" s="123"/>
      <c r="L928" s="123"/>
      <c r="M928" s="121"/>
      <c r="N928" s="121"/>
      <c r="O928" s="118"/>
    </row>
    <row r="929" customFormat="false" ht="15" hidden="false" customHeight="false" outlineLevel="0" collapsed="false">
      <c r="A929" s="122"/>
      <c r="B929" s="118"/>
      <c r="C929" s="117" t="str">
        <f aca="false">IF(B929="","",IFERROR(INDEX(الموظفون!$C$6:$C$105,MATCH(B929,الموظفون!$B$6:$B$105,0)),"✖ رقم غير موجود"))</f>
        <v/>
      </c>
      <c r="D929" s="123"/>
      <c r="E929" s="123"/>
      <c r="F929" s="123"/>
      <c r="G929" s="121"/>
      <c r="H929" s="121"/>
      <c r="I929" s="121"/>
      <c r="J929" s="121"/>
      <c r="K929" s="123"/>
      <c r="L929" s="123"/>
      <c r="M929" s="121"/>
      <c r="N929" s="121"/>
      <c r="O929" s="118"/>
    </row>
    <row r="930" customFormat="false" ht="15" hidden="false" customHeight="false" outlineLevel="0" collapsed="false">
      <c r="A930" s="122"/>
      <c r="B930" s="118"/>
      <c r="C930" s="114" t="str">
        <f aca="false">IF(B930="","",IFERROR(INDEX(الموظفون!$C$6:$C$105,MATCH(B930,الموظفون!$B$6:$B$105,0)),"✖ رقم غير موجود"))</f>
        <v/>
      </c>
      <c r="D930" s="123"/>
      <c r="E930" s="123"/>
      <c r="F930" s="123"/>
      <c r="G930" s="121"/>
      <c r="H930" s="121"/>
      <c r="I930" s="121"/>
      <c r="J930" s="121"/>
      <c r="K930" s="123"/>
      <c r="L930" s="123"/>
      <c r="M930" s="121"/>
      <c r="N930" s="121"/>
      <c r="O930" s="118"/>
    </row>
    <row r="931" customFormat="false" ht="15" hidden="false" customHeight="false" outlineLevel="0" collapsed="false">
      <c r="A931" s="122"/>
      <c r="B931" s="118"/>
      <c r="C931" s="117" t="str">
        <f aca="false">IF(B931="","",IFERROR(INDEX(الموظفون!$C$6:$C$105,MATCH(B931,الموظفون!$B$6:$B$105,0)),"✖ رقم غير موجود"))</f>
        <v/>
      </c>
      <c r="D931" s="123"/>
      <c r="E931" s="123"/>
      <c r="F931" s="123"/>
      <c r="G931" s="121"/>
      <c r="H931" s="121"/>
      <c r="I931" s="121"/>
      <c r="J931" s="121"/>
      <c r="K931" s="123"/>
      <c r="L931" s="123"/>
      <c r="M931" s="121"/>
      <c r="N931" s="121"/>
      <c r="O931" s="118"/>
    </row>
    <row r="932" customFormat="false" ht="15" hidden="false" customHeight="false" outlineLevel="0" collapsed="false">
      <c r="A932" s="122"/>
      <c r="B932" s="118"/>
      <c r="C932" s="114" t="str">
        <f aca="false">IF(B932="","",IFERROR(INDEX(الموظفون!$C$6:$C$105,MATCH(B932,الموظفون!$B$6:$B$105,0)),"✖ رقم غير موجود"))</f>
        <v/>
      </c>
      <c r="D932" s="123"/>
      <c r="E932" s="123"/>
      <c r="F932" s="123"/>
      <c r="G932" s="121"/>
      <c r="H932" s="121"/>
      <c r="I932" s="121"/>
      <c r="J932" s="121"/>
      <c r="K932" s="123"/>
      <c r="L932" s="123"/>
      <c r="M932" s="121"/>
      <c r="N932" s="121"/>
      <c r="O932" s="118"/>
    </row>
    <row r="933" customFormat="false" ht="15" hidden="false" customHeight="false" outlineLevel="0" collapsed="false">
      <c r="A933" s="122"/>
      <c r="B933" s="118"/>
      <c r="C933" s="117" t="str">
        <f aca="false">IF(B933="","",IFERROR(INDEX(الموظفون!$C$6:$C$105,MATCH(B933,الموظفون!$B$6:$B$105,0)),"✖ رقم غير موجود"))</f>
        <v/>
      </c>
      <c r="D933" s="123"/>
      <c r="E933" s="123"/>
      <c r="F933" s="123"/>
      <c r="G933" s="121"/>
      <c r="H933" s="121"/>
      <c r="I933" s="121"/>
      <c r="J933" s="121"/>
      <c r="K933" s="123"/>
      <c r="L933" s="123"/>
      <c r="M933" s="121"/>
      <c r="N933" s="121"/>
      <c r="O933" s="118"/>
    </row>
    <row r="934" customFormat="false" ht="15" hidden="false" customHeight="false" outlineLevel="0" collapsed="false">
      <c r="A934" s="122"/>
      <c r="B934" s="118"/>
      <c r="C934" s="114" t="str">
        <f aca="false">IF(B934="","",IFERROR(INDEX(الموظفون!$C$6:$C$105,MATCH(B934,الموظفون!$B$6:$B$105,0)),"✖ رقم غير موجود"))</f>
        <v/>
      </c>
      <c r="D934" s="123"/>
      <c r="E934" s="123"/>
      <c r="F934" s="123"/>
      <c r="G934" s="121"/>
      <c r="H934" s="121"/>
      <c r="I934" s="121"/>
      <c r="J934" s="121"/>
      <c r="K934" s="123"/>
      <c r="L934" s="123"/>
      <c r="M934" s="121"/>
      <c r="N934" s="121"/>
      <c r="O934" s="118"/>
    </row>
    <row r="935" customFormat="false" ht="15" hidden="false" customHeight="false" outlineLevel="0" collapsed="false">
      <c r="A935" s="122"/>
      <c r="B935" s="118"/>
      <c r="C935" s="117" t="str">
        <f aca="false">IF(B935="","",IFERROR(INDEX(الموظفون!$C$6:$C$105,MATCH(B935,الموظفون!$B$6:$B$105,0)),"✖ رقم غير موجود"))</f>
        <v/>
      </c>
      <c r="D935" s="123"/>
      <c r="E935" s="123"/>
      <c r="F935" s="123"/>
      <c r="G935" s="121"/>
      <c r="H935" s="121"/>
      <c r="I935" s="121"/>
      <c r="J935" s="121"/>
      <c r="K935" s="123"/>
      <c r="L935" s="123"/>
      <c r="M935" s="121"/>
      <c r="N935" s="121"/>
      <c r="O935" s="118"/>
    </row>
    <row r="936" customFormat="false" ht="15" hidden="false" customHeight="false" outlineLevel="0" collapsed="false">
      <c r="A936" s="122"/>
      <c r="B936" s="118"/>
      <c r="C936" s="114" t="str">
        <f aca="false">IF(B936="","",IFERROR(INDEX(الموظفون!$C$6:$C$105,MATCH(B936,الموظفون!$B$6:$B$105,0)),"✖ رقم غير موجود"))</f>
        <v/>
      </c>
      <c r="D936" s="123"/>
      <c r="E936" s="123"/>
      <c r="F936" s="123"/>
      <c r="G936" s="121"/>
      <c r="H936" s="121"/>
      <c r="I936" s="121"/>
      <c r="J936" s="121"/>
      <c r="K936" s="123"/>
      <c r="L936" s="123"/>
      <c r="M936" s="121"/>
      <c r="N936" s="121"/>
      <c r="O936" s="118"/>
    </row>
    <row r="937" customFormat="false" ht="15" hidden="false" customHeight="false" outlineLevel="0" collapsed="false">
      <c r="A937" s="122"/>
      <c r="B937" s="118"/>
      <c r="C937" s="117" t="str">
        <f aca="false">IF(B937="","",IFERROR(INDEX(الموظفون!$C$6:$C$105,MATCH(B937,الموظفون!$B$6:$B$105,0)),"✖ رقم غير موجود"))</f>
        <v/>
      </c>
      <c r="D937" s="123"/>
      <c r="E937" s="123"/>
      <c r="F937" s="123"/>
      <c r="G937" s="121"/>
      <c r="H937" s="121"/>
      <c r="I937" s="121"/>
      <c r="J937" s="121"/>
      <c r="K937" s="123"/>
      <c r="L937" s="123"/>
      <c r="M937" s="121"/>
      <c r="N937" s="121"/>
      <c r="O937" s="118"/>
    </row>
    <row r="938" customFormat="false" ht="15" hidden="false" customHeight="false" outlineLevel="0" collapsed="false">
      <c r="A938" s="122"/>
      <c r="B938" s="118"/>
      <c r="C938" s="114" t="str">
        <f aca="false">IF(B938="","",IFERROR(INDEX(الموظفون!$C$6:$C$105,MATCH(B938,الموظفون!$B$6:$B$105,0)),"✖ رقم غير موجود"))</f>
        <v/>
      </c>
      <c r="D938" s="123"/>
      <c r="E938" s="123"/>
      <c r="F938" s="123"/>
      <c r="G938" s="121"/>
      <c r="H938" s="121"/>
      <c r="I938" s="121"/>
      <c r="J938" s="121"/>
      <c r="K938" s="123"/>
      <c r="L938" s="123"/>
      <c r="M938" s="121"/>
      <c r="N938" s="121"/>
      <c r="O938" s="118"/>
    </row>
    <row r="939" customFormat="false" ht="15" hidden="false" customHeight="false" outlineLevel="0" collapsed="false">
      <c r="A939" s="122"/>
      <c r="B939" s="118"/>
      <c r="C939" s="117" t="str">
        <f aca="false">IF(B939="","",IFERROR(INDEX(الموظفون!$C$6:$C$105,MATCH(B939,الموظفون!$B$6:$B$105,0)),"✖ رقم غير موجود"))</f>
        <v/>
      </c>
      <c r="D939" s="123"/>
      <c r="E939" s="123"/>
      <c r="F939" s="123"/>
      <c r="G939" s="121"/>
      <c r="H939" s="121"/>
      <c r="I939" s="121"/>
      <c r="J939" s="121"/>
      <c r="K939" s="123"/>
      <c r="L939" s="123"/>
      <c r="M939" s="121"/>
      <c r="N939" s="121"/>
      <c r="O939" s="118"/>
    </row>
    <row r="940" customFormat="false" ht="15" hidden="false" customHeight="false" outlineLevel="0" collapsed="false">
      <c r="A940" s="122"/>
      <c r="B940" s="118"/>
      <c r="C940" s="114" t="str">
        <f aca="false">IF(B940="","",IFERROR(INDEX(الموظفون!$C$6:$C$105,MATCH(B940,الموظفون!$B$6:$B$105,0)),"✖ رقم غير موجود"))</f>
        <v/>
      </c>
      <c r="D940" s="123"/>
      <c r="E940" s="123"/>
      <c r="F940" s="123"/>
      <c r="G940" s="121"/>
      <c r="H940" s="121"/>
      <c r="I940" s="121"/>
      <c r="J940" s="121"/>
      <c r="K940" s="123"/>
      <c r="L940" s="123"/>
      <c r="M940" s="121"/>
      <c r="N940" s="121"/>
      <c r="O940" s="118"/>
    </row>
    <row r="941" customFormat="false" ht="15" hidden="false" customHeight="false" outlineLevel="0" collapsed="false">
      <c r="A941" s="122"/>
      <c r="B941" s="118"/>
      <c r="C941" s="117" t="str">
        <f aca="false">IF(B941="","",IFERROR(INDEX(الموظفون!$C$6:$C$105,MATCH(B941,الموظفون!$B$6:$B$105,0)),"✖ رقم غير موجود"))</f>
        <v/>
      </c>
      <c r="D941" s="123"/>
      <c r="E941" s="123"/>
      <c r="F941" s="123"/>
      <c r="G941" s="121"/>
      <c r="H941" s="121"/>
      <c r="I941" s="121"/>
      <c r="J941" s="121"/>
      <c r="K941" s="123"/>
      <c r="L941" s="123"/>
      <c r="M941" s="121"/>
      <c r="N941" s="121"/>
      <c r="O941" s="118"/>
    </row>
    <row r="942" customFormat="false" ht="15" hidden="false" customHeight="false" outlineLevel="0" collapsed="false">
      <c r="A942" s="122"/>
      <c r="B942" s="118"/>
      <c r="C942" s="114" t="str">
        <f aca="false">IF(B942="","",IFERROR(INDEX(الموظفون!$C$6:$C$105,MATCH(B942,الموظفون!$B$6:$B$105,0)),"✖ رقم غير موجود"))</f>
        <v/>
      </c>
      <c r="D942" s="123"/>
      <c r="E942" s="123"/>
      <c r="F942" s="123"/>
      <c r="G942" s="121"/>
      <c r="H942" s="121"/>
      <c r="I942" s="121"/>
      <c r="J942" s="121"/>
      <c r="K942" s="123"/>
      <c r="L942" s="123"/>
      <c r="M942" s="121"/>
      <c r="N942" s="121"/>
      <c r="O942" s="118"/>
    </row>
    <row r="943" customFormat="false" ht="15" hidden="false" customHeight="false" outlineLevel="0" collapsed="false">
      <c r="A943" s="122"/>
      <c r="B943" s="118"/>
      <c r="C943" s="117" t="str">
        <f aca="false">IF(B943="","",IFERROR(INDEX(الموظفون!$C$6:$C$105,MATCH(B943,الموظفون!$B$6:$B$105,0)),"✖ رقم غير موجود"))</f>
        <v/>
      </c>
      <c r="D943" s="123"/>
      <c r="E943" s="123"/>
      <c r="F943" s="123"/>
      <c r="G943" s="121"/>
      <c r="H943" s="121"/>
      <c r="I943" s="121"/>
      <c r="J943" s="121"/>
      <c r="K943" s="123"/>
      <c r="L943" s="123"/>
      <c r="M943" s="121"/>
      <c r="N943" s="121"/>
      <c r="O943" s="118"/>
    </row>
    <row r="944" customFormat="false" ht="15" hidden="false" customHeight="false" outlineLevel="0" collapsed="false">
      <c r="A944" s="122"/>
      <c r="B944" s="118"/>
      <c r="C944" s="114" t="str">
        <f aca="false">IF(B944="","",IFERROR(INDEX(الموظفون!$C$6:$C$105,MATCH(B944,الموظفون!$B$6:$B$105,0)),"✖ رقم غير موجود"))</f>
        <v/>
      </c>
      <c r="D944" s="123"/>
      <c r="E944" s="123"/>
      <c r="F944" s="123"/>
      <c r="G944" s="121"/>
      <c r="H944" s="121"/>
      <c r="I944" s="121"/>
      <c r="J944" s="121"/>
      <c r="K944" s="123"/>
      <c r="L944" s="123"/>
      <c r="M944" s="121"/>
      <c r="N944" s="121"/>
      <c r="O944" s="118"/>
    </row>
    <row r="945" customFormat="false" ht="15" hidden="false" customHeight="false" outlineLevel="0" collapsed="false">
      <c r="A945" s="122"/>
      <c r="B945" s="118"/>
      <c r="C945" s="117" t="str">
        <f aca="false">IF(B945="","",IFERROR(INDEX(الموظفون!$C$6:$C$105,MATCH(B945,الموظفون!$B$6:$B$105,0)),"✖ رقم غير موجود"))</f>
        <v/>
      </c>
      <c r="D945" s="123"/>
      <c r="E945" s="123"/>
      <c r="F945" s="123"/>
      <c r="G945" s="121"/>
      <c r="H945" s="121"/>
      <c r="I945" s="121"/>
      <c r="J945" s="121"/>
      <c r="K945" s="123"/>
      <c r="L945" s="123"/>
      <c r="M945" s="121"/>
      <c r="N945" s="121"/>
      <c r="O945" s="118"/>
    </row>
    <row r="946" customFormat="false" ht="15" hidden="false" customHeight="false" outlineLevel="0" collapsed="false">
      <c r="A946" s="122"/>
      <c r="B946" s="118"/>
      <c r="C946" s="114" t="str">
        <f aca="false">IF(B946="","",IFERROR(INDEX(الموظفون!$C$6:$C$105,MATCH(B946,الموظفون!$B$6:$B$105,0)),"✖ رقم غير موجود"))</f>
        <v/>
      </c>
      <c r="D946" s="123"/>
      <c r="E946" s="123"/>
      <c r="F946" s="123"/>
      <c r="G946" s="121"/>
      <c r="H946" s="121"/>
      <c r="I946" s="121"/>
      <c r="J946" s="121"/>
      <c r="K946" s="123"/>
      <c r="L946" s="123"/>
      <c r="M946" s="121"/>
      <c r="N946" s="121"/>
      <c r="O946" s="118"/>
    </row>
    <row r="947" customFormat="false" ht="15" hidden="false" customHeight="false" outlineLevel="0" collapsed="false">
      <c r="A947" s="122"/>
      <c r="B947" s="118"/>
      <c r="C947" s="117" t="str">
        <f aca="false">IF(B947="","",IFERROR(INDEX(الموظفون!$C$6:$C$105,MATCH(B947,الموظفون!$B$6:$B$105,0)),"✖ رقم غير موجود"))</f>
        <v/>
      </c>
      <c r="D947" s="123"/>
      <c r="E947" s="123"/>
      <c r="F947" s="123"/>
      <c r="G947" s="121"/>
      <c r="H947" s="121"/>
      <c r="I947" s="121"/>
      <c r="J947" s="121"/>
      <c r="K947" s="123"/>
      <c r="L947" s="123"/>
      <c r="M947" s="121"/>
      <c r="N947" s="121"/>
      <c r="O947" s="118"/>
    </row>
    <row r="948" customFormat="false" ht="15" hidden="false" customHeight="false" outlineLevel="0" collapsed="false">
      <c r="A948" s="122"/>
      <c r="B948" s="118"/>
      <c r="C948" s="114" t="str">
        <f aca="false">IF(B948="","",IFERROR(INDEX(الموظفون!$C$6:$C$105,MATCH(B948,الموظفون!$B$6:$B$105,0)),"✖ رقم غير موجود"))</f>
        <v/>
      </c>
      <c r="D948" s="123"/>
      <c r="E948" s="123"/>
      <c r="F948" s="123"/>
      <c r="G948" s="121"/>
      <c r="H948" s="121"/>
      <c r="I948" s="121"/>
      <c r="J948" s="121"/>
      <c r="K948" s="123"/>
      <c r="L948" s="123"/>
      <c r="M948" s="121"/>
      <c r="N948" s="121"/>
      <c r="O948" s="118"/>
    </row>
    <row r="949" customFormat="false" ht="15" hidden="false" customHeight="false" outlineLevel="0" collapsed="false">
      <c r="A949" s="122"/>
      <c r="B949" s="118"/>
      <c r="C949" s="117" t="str">
        <f aca="false">IF(B949="","",IFERROR(INDEX(الموظفون!$C$6:$C$105,MATCH(B949,الموظفون!$B$6:$B$105,0)),"✖ رقم غير موجود"))</f>
        <v/>
      </c>
      <c r="D949" s="123"/>
      <c r="E949" s="123"/>
      <c r="F949" s="123"/>
      <c r="G949" s="121"/>
      <c r="H949" s="121"/>
      <c r="I949" s="121"/>
      <c r="J949" s="121"/>
      <c r="K949" s="123"/>
      <c r="L949" s="123"/>
      <c r="M949" s="121"/>
      <c r="N949" s="121"/>
      <c r="O949" s="118"/>
    </row>
    <row r="950" customFormat="false" ht="15" hidden="false" customHeight="false" outlineLevel="0" collapsed="false">
      <c r="A950" s="122"/>
      <c r="B950" s="118"/>
      <c r="C950" s="114" t="str">
        <f aca="false">IF(B950="","",IFERROR(INDEX(الموظفون!$C$6:$C$105,MATCH(B950,الموظفون!$B$6:$B$105,0)),"✖ رقم غير موجود"))</f>
        <v/>
      </c>
      <c r="D950" s="123"/>
      <c r="E950" s="123"/>
      <c r="F950" s="123"/>
      <c r="G950" s="121"/>
      <c r="H950" s="121"/>
      <c r="I950" s="121"/>
      <c r="J950" s="121"/>
      <c r="K950" s="123"/>
      <c r="L950" s="123"/>
      <c r="M950" s="121"/>
      <c r="N950" s="121"/>
      <c r="O950" s="118"/>
    </row>
    <row r="951" customFormat="false" ht="15" hidden="false" customHeight="false" outlineLevel="0" collapsed="false">
      <c r="A951" s="122"/>
      <c r="B951" s="118"/>
      <c r="C951" s="117" t="str">
        <f aca="false">IF(B951="","",IFERROR(INDEX(الموظفون!$C$6:$C$105,MATCH(B951,الموظفون!$B$6:$B$105,0)),"✖ رقم غير موجود"))</f>
        <v/>
      </c>
      <c r="D951" s="123"/>
      <c r="E951" s="123"/>
      <c r="F951" s="123"/>
      <c r="G951" s="121"/>
      <c r="H951" s="121"/>
      <c r="I951" s="121"/>
      <c r="J951" s="121"/>
      <c r="K951" s="123"/>
      <c r="L951" s="123"/>
      <c r="M951" s="121"/>
      <c r="N951" s="121"/>
      <c r="O951" s="118"/>
    </row>
    <row r="952" customFormat="false" ht="15" hidden="false" customHeight="false" outlineLevel="0" collapsed="false">
      <c r="A952" s="122"/>
      <c r="B952" s="118"/>
      <c r="C952" s="114" t="str">
        <f aca="false">IF(B952="","",IFERROR(INDEX(الموظفون!$C$6:$C$105,MATCH(B952,الموظفون!$B$6:$B$105,0)),"✖ رقم غير موجود"))</f>
        <v/>
      </c>
      <c r="D952" s="123"/>
      <c r="E952" s="123"/>
      <c r="F952" s="123"/>
      <c r="G952" s="121"/>
      <c r="H952" s="121"/>
      <c r="I952" s="121"/>
      <c r="J952" s="121"/>
      <c r="K952" s="123"/>
      <c r="L952" s="123"/>
      <c r="M952" s="121"/>
      <c r="N952" s="121"/>
      <c r="O952" s="118"/>
    </row>
    <row r="953" customFormat="false" ht="15" hidden="false" customHeight="false" outlineLevel="0" collapsed="false">
      <c r="A953" s="122"/>
      <c r="B953" s="118"/>
      <c r="C953" s="117" t="str">
        <f aca="false">IF(B953="","",IFERROR(INDEX(الموظفون!$C$6:$C$105,MATCH(B953,الموظفون!$B$6:$B$105,0)),"✖ رقم غير موجود"))</f>
        <v/>
      </c>
      <c r="D953" s="123"/>
      <c r="E953" s="123"/>
      <c r="F953" s="123"/>
      <c r="G953" s="121"/>
      <c r="H953" s="121"/>
      <c r="I953" s="121"/>
      <c r="J953" s="121"/>
      <c r="K953" s="123"/>
      <c r="L953" s="123"/>
      <c r="M953" s="121"/>
      <c r="N953" s="121"/>
      <c r="O953" s="118"/>
    </row>
    <row r="954" customFormat="false" ht="15" hidden="false" customHeight="false" outlineLevel="0" collapsed="false">
      <c r="A954" s="122"/>
      <c r="B954" s="118"/>
      <c r="C954" s="114" t="str">
        <f aca="false">IF(B954="","",IFERROR(INDEX(الموظفون!$C$6:$C$105,MATCH(B954,الموظفون!$B$6:$B$105,0)),"✖ رقم غير موجود"))</f>
        <v/>
      </c>
      <c r="D954" s="123"/>
      <c r="E954" s="123"/>
      <c r="F954" s="123"/>
      <c r="G954" s="121"/>
      <c r="H954" s="121"/>
      <c r="I954" s="121"/>
      <c r="J954" s="121"/>
      <c r="K954" s="123"/>
      <c r="L954" s="123"/>
      <c r="M954" s="121"/>
      <c r="N954" s="121"/>
      <c r="O954" s="118"/>
    </row>
    <row r="955" customFormat="false" ht="15" hidden="false" customHeight="false" outlineLevel="0" collapsed="false">
      <c r="A955" s="122"/>
      <c r="B955" s="118"/>
      <c r="C955" s="117" t="str">
        <f aca="false">IF(B955="","",IFERROR(INDEX(الموظفون!$C$6:$C$105,MATCH(B955,الموظفون!$B$6:$B$105,0)),"✖ رقم غير موجود"))</f>
        <v/>
      </c>
      <c r="D955" s="123"/>
      <c r="E955" s="123"/>
      <c r="F955" s="123"/>
      <c r="G955" s="121"/>
      <c r="H955" s="121"/>
      <c r="I955" s="121"/>
      <c r="J955" s="121"/>
      <c r="K955" s="123"/>
      <c r="L955" s="123"/>
      <c r="M955" s="121"/>
      <c r="N955" s="121"/>
      <c r="O955" s="118"/>
    </row>
    <row r="956" customFormat="false" ht="15" hidden="false" customHeight="false" outlineLevel="0" collapsed="false">
      <c r="A956" s="122"/>
      <c r="B956" s="118"/>
      <c r="C956" s="114" t="str">
        <f aca="false">IF(B956="","",IFERROR(INDEX(الموظفون!$C$6:$C$105,MATCH(B956,الموظفون!$B$6:$B$105,0)),"✖ رقم غير موجود"))</f>
        <v/>
      </c>
      <c r="D956" s="123"/>
      <c r="E956" s="123"/>
      <c r="F956" s="123"/>
      <c r="G956" s="121"/>
      <c r="H956" s="121"/>
      <c r="I956" s="121"/>
      <c r="J956" s="121"/>
      <c r="K956" s="123"/>
      <c r="L956" s="123"/>
      <c r="M956" s="121"/>
      <c r="N956" s="121"/>
      <c r="O956" s="118"/>
    </row>
    <row r="957" customFormat="false" ht="15" hidden="false" customHeight="false" outlineLevel="0" collapsed="false">
      <c r="A957" s="122"/>
      <c r="B957" s="118"/>
      <c r="C957" s="117" t="str">
        <f aca="false">IF(B957="","",IFERROR(INDEX(الموظفون!$C$6:$C$105,MATCH(B957,الموظفون!$B$6:$B$105,0)),"✖ رقم غير موجود"))</f>
        <v/>
      </c>
      <c r="D957" s="123"/>
      <c r="E957" s="123"/>
      <c r="F957" s="123"/>
      <c r="G957" s="121"/>
      <c r="H957" s="121"/>
      <c r="I957" s="121"/>
      <c r="J957" s="121"/>
      <c r="K957" s="123"/>
      <c r="L957" s="123"/>
      <c r="M957" s="121"/>
      <c r="N957" s="121"/>
      <c r="O957" s="118"/>
    </row>
    <row r="958" customFormat="false" ht="15" hidden="false" customHeight="false" outlineLevel="0" collapsed="false">
      <c r="A958" s="122"/>
      <c r="B958" s="118"/>
      <c r="C958" s="114" t="str">
        <f aca="false">IF(B958="","",IFERROR(INDEX(الموظفون!$C$6:$C$105,MATCH(B958,الموظفون!$B$6:$B$105,0)),"✖ رقم غير موجود"))</f>
        <v/>
      </c>
      <c r="D958" s="123"/>
      <c r="E958" s="123"/>
      <c r="F958" s="123"/>
      <c r="G958" s="121"/>
      <c r="H958" s="121"/>
      <c r="I958" s="121"/>
      <c r="J958" s="121"/>
      <c r="K958" s="123"/>
      <c r="L958" s="123"/>
      <c r="M958" s="121"/>
      <c r="N958" s="121"/>
      <c r="O958" s="118"/>
    </row>
    <row r="959" customFormat="false" ht="15" hidden="false" customHeight="false" outlineLevel="0" collapsed="false">
      <c r="A959" s="122"/>
      <c r="B959" s="118"/>
      <c r="C959" s="117" t="str">
        <f aca="false">IF(B959="","",IFERROR(INDEX(الموظفون!$C$6:$C$105,MATCH(B959,الموظفون!$B$6:$B$105,0)),"✖ رقم غير موجود"))</f>
        <v/>
      </c>
      <c r="D959" s="123"/>
      <c r="E959" s="123"/>
      <c r="F959" s="123"/>
      <c r="G959" s="121"/>
      <c r="H959" s="121"/>
      <c r="I959" s="121"/>
      <c r="J959" s="121"/>
      <c r="K959" s="123"/>
      <c r="L959" s="123"/>
      <c r="M959" s="121"/>
      <c r="N959" s="121"/>
      <c r="O959" s="118"/>
    </row>
    <row r="960" customFormat="false" ht="15" hidden="false" customHeight="false" outlineLevel="0" collapsed="false">
      <c r="A960" s="122"/>
      <c r="B960" s="118"/>
      <c r="C960" s="114" t="str">
        <f aca="false">IF(B960="","",IFERROR(INDEX(الموظفون!$C$6:$C$105,MATCH(B960,الموظفون!$B$6:$B$105,0)),"✖ رقم غير موجود"))</f>
        <v/>
      </c>
      <c r="D960" s="123"/>
      <c r="E960" s="123"/>
      <c r="F960" s="123"/>
      <c r="G960" s="121"/>
      <c r="H960" s="121"/>
      <c r="I960" s="121"/>
      <c r="J960" s="121"/>
      <c r="K960" s="123"/>
      <c r="L960" s="123"/>
      <c r="M960" s="121"/>
      <c r="N960" s="121"/>
      <c r="O960" s="118"/>
    </row>
    <row r="961" customFormat="false" ht="15" hidden="false" customHeight="false" outlineLevel="0" collapsed="false">
      <c r="A961" s="122"/>
      <c r="B961" s="118"/>
      <c r="C961" s="117" t="str">
        <f aca="false">IF(B961="","",IFERROR(INDEX(الموظفون!$C$6:$C$105,MATCH(B961,الموظفون!$B$6:$B$105,0)),"✖ رقم غير موجود"))</f>
        <v/>
      </c>
      <c r="D961" s="123"/>
      <c r="E961" s="123"/>
      <c r="F961" s="123"/>
      <c r="G961" s="121"/>
      <c r="H961" s="121"/>
      <c r="I961" s="121"/>
      <c r="J961" s="121"/>
      <c r="K961" s="123"/>
      <c r="L961" s="123"/>
      <c r="M961" s="121"/>
      <c r="N961" s="121"/>
      <c r="O961" s="118"/>
    </row>
    <row r="962" customFormat="false" ht="15" hidden="false" customHeight="false" outlineLevel="0" collapsed="false">
      <c r="A962" s="122"/>
      <c r="B962" s="118"/>
      <c r="C962" s="114" t="str">
        <f aca="false">IF(B962="","",IFERROR(INDEX(الموظفون!$C$6:$C$105,MATCH(B962,الموظفون!$B$6:$B$105,0)),"✖ رقم غير موجود"))</f>
        <v/>
      </c>
      <c r="D962" s="123"/>
      <c r="E962" s="123"/>
      <c r="F962" s="123"/>
      <c r="G962" s="121"/>
      <c r="H962" s="121"/>
      <c r="I962" s="121"/>
      <c r="J962" s="121"/>
      <c r="K962" s="123"/>
      <c r="L962" s="123"/>
      <c r="M962" s="121"/>
      <c r="N962" s="121"/>
      <c r="O962" s="118"/>
    </row>
    <row r="963" customFormat="false" ht="15" hidden="false" customHeight="false" outlineLevel="0" collapsed="false">
      <c r="A963" s="122"/>
      <c r="B963" s="118"/>
      <c r="C963" s="117" t="str">
        <f aca="false">IF(B963="","",IFERROR(INDEX(الموظفون!$C$6:$C$105,MATCH(B963,الموظفون!$B$6:$B$105,0)),"✖ رقم غير موجود"))</f>
        <v/>
      </c>
      <c r="D963" s="123"/>
      <c r="E963" s="123"/>
      <c r="F963" s="123"/>
      <c r="G963" s="121"/>
      <c r="H963" s="121"/>
      <c r="I963" s="121"/>
      <c r="J963" s="121"/>
      <c r="K963" s="123"/>
      <c r="L963" s="123"/>
      <c r="M963" s="121"/>
      <c r="N963" s="121"/>
      <c r="O963" s="118"/>
    </row>
    <row r="964" customFormat="false" ht="15" hidden="false" customHeight="false" outlineLevel="0" collapsed="false">
      <c r="A964" s="122"/>
      <c r="B964" s="118"/>
      <c r="C964" s="114" t="str">
        <f aca="false">IF(B964="","",IFERROR(INDEX(الموظفون!$C$6:$C$105,MATCH(B964,الموظفون!$B$6:$B$105,0)),"✖ رقم غير موجود"))</f>
        <v/>
      </c>
      <c r="D964" s="123"/>
      <c r="E964" s="123"/>
      <c r="F964" s="123"/>
      <c r="G964" s="121"/>
      <c r="H964" s="121"/>
      <c r="I964" s="121"/>
      <c r="J964" s="121"/>
      <c r="K964" s="123"/>
      <c r="L964" s="123"/>
      <c r="M964" s="121"/>
      <c r="N964" s="121"/>
      <c r="O964" s="118"/>
    </row>
    <row r="965" customFormat="false" ht="15" hidden="false" customHeight="false" outlineLevel="0" collapsed="false">
      <c r="A965" s="122"/>
      <c r="B965" s="118"/>
      <c r="C965" s="117" t="str">
        <f aca="false">IF(B965="","",IFERROR(INDEX(الموظفون!$C$6:$C$105,MATCH(B965,الموظفون!$B$6:$B$105,0)),"✖ رقم غير موجود"))</f>
        <v/>
      </c>
      <c r="D965" s="123"/>
      <c r="E965" s="123"/>
      <c r="F965" s="123"/>
      <c r="G965" s="121"/>
      <c r="H965" s="121"/>
      <c r="I965" s="121"/>
      <c r="J965" s="121"/>
      <c r="K965" s="123"/>
      <c r="L965" s="123"/>
      <c r="M965" s="121"/>
      <c r="N965" s="121"/>
      <c r="O965" s="118"/>
    </row>
    <row r="966" customFormat="false" ht="15" hidden="false" customHeight="false" outlineLevel="0" collapsed="false">
      <c r="A966" s="122"/>
      <c r="B966" s="118"/>
      <c r="C966" s="114" t="str">
        <f aca="false">IF(B966="","",IFERROR(INDEX(الموظفون!$C$6:$C$105,MATCH(B966,الموظفون!$B$6:$B$105,0)),"✖ رقم غير موجود"))</f>
        <v/>
      </c>
      <c r="D966" s="123"/>
      <c r="E966" s="123"/>
      <c r="F966" s="123"/>
      <c r="G966" s="121"/>
      <c r="H966" s="121"/>
      <c r="I966" s="121"/>
      <c r="J966" s="121"/>
      <c r="K966" s="123"/>
      <c r="L966" s="123"/>
      <c r="M966" s="121"/>
      <c r="N966" s="121"/>
      <c r="O966" s="118"/>
    </row>
    <row r="967" customFormat="false" ht="15" hidden="false" customHeight="false" outlineLevel="0" collapsed="false">
      <c r="A967" s="122"/>
      <c r="B967" s="118"/>
      <c r="C967" s="117" t="str">
        <f aca="false">IF(B967="","",IFERROR(INDEX(الموظفون!$C$6:$C$105,MATCH(B967,الموظفون!$B$6:$B$105,0)),"✖ رقم غير موجود"))</f>
        <v/>
      </c>
      <c r="D967" s="123"/>
      <c r="E967" s="123"/>
      <c r="F967" s="123"/>
      <c r="G967" s="121"/>
      <c r="H967" s="121"/>
      <c r="I967" s="121"/>
      <c r="J967" s="121"/>
      <c r="K967" s="123"/>
      <c r="L967" s="123"/>
      <c r="M967" s="121"/>
      <c r="N967" s="121"/>
      <c r="O967" s="118"/>
    </row>
    <row r="968" customFormat="false" ht="15" hidden="false" customHeight="false" outlineLevel="0" collapsed="false">
      <c r="A968" s="122"/>
      <c r="B968" s="118"/>
      <c r="C968" s="114" t="str">
        <f aca="false">IF(B968="","",IFERROR(INDEX(الموظفون!$C$6:$C$105,MATCH(B968,الموظفون!$B$6:$B$105,0)),"✖ رقم غير موجود"))</f>
        <v/>
      </c>
      <c r="D968" s="123"/>
      <c r="E968" s="123"/>
      <c r="F968" s="123"/>
      <c r="G968" s="121"/>
      <c r="H968" s="121"/>
      <c r="I968" s="121"/>
      <c r="J968" s="121"/>
      <c r="K968" s="123"/>
      <c r="L968" s="123"/>
      <c r="M968" s="121"/>
      <c r="N968" s="121"/>
      <c r="O968" s="118"/>
    </row>
    <row r="969" customFormat="false" ht="15" hidden="false" customHeight="false" outlineLevel="0" collapsed="false">
      <c r="A969" s="122"/>
      <c r="B969" s="118"/>
      <c r="C969" s="117" t="str">
        <f aca="false">IF(B969="","",IFERROR(INDEX(الموظفون!$C$6:$C$105,MATCH(B969,الموظفون!$B$6:$B$105,0)),"✖ رقم غير موجود"))</f>
        <v/>
      </c>
      <c r="D969" s="123"/>
      <c r="E969" s="123"/>
      <c r="F969" s="123"/>
      <c r="G969" s="121"/>
      <c r="H969" s="121"/>
      <c r="I969" s="121"/>
      <c r="J969" s="121"/>
      <c r="K969" s="123"/>
      <c r="L969" s="123"/>
      <c r="M969" s="121"/>
      <c r="N969" s="121"/>
      <c r="O969" s="118"/>
    </row>
    <row r="970" customFormat="false" ht="15" hidden="false" customHeight="false" outlineLevel="0" collapsed="false">
      <c r="A970" s="122"/>
      <c r="B970" s="118"/>
      <c r="C970" s="114" t="str">
        <f aca="false">IF(B970="","",IFERROR(INDEX(الموظفون!$C$6:$C$105,MATCH(B970,الموظفون!$B$6:$B$105,0)),"✖ رقم غير موجود"))</f>
        <v/>
      </c>
      <c r="D970" s="123"/>
      <c r="E970" s="123"/>
      <c r="F970" s="123"/>
      <c r="G970" s="121"/>
      <c r="H970" s="121"/>
      <c r="I970" s="121"/>
      <c r="J970" s="121"/>
      <c r="K970" s="123"/>
      <c r="L970" s="123"/>
      <c r="M970" s="121"/>
      <c r="N970" s="121"/>
      <c r="O970" s="118"/>
    </row>
    <row r="971" customFormat="false" ht="15" hidden="false" customHeight="false" outlineLevel="0" collapsed="false">
      <c r="A971" s="122"/>
      <c r="B971" s="118"/>
      <c r="C971" s="117" t="str">
        <f aca="false">IF(B971="","",IFERROR(INDEX(الموظفون!$C$6:$C$105,MATCH(B971,الموظفون!$B$6:$B$105,0)),"✖ رقم غير موجود"))</f>
        <v/>
      </c>
      <c r="D971" s="123"/>
      <c r="E971" s="123"/>
      <c r="F971" s="123"/>
      <c r="G971" s="121"/>
      <c r="H971" s="121"/>
      <c r="I971" s="121"/>
      <c r="J971" s="121"/>
      <c r="K971" s="123"/>
      <c r="L971" s="123"/>
      <c r="M971" s="121"/>
      <c r="N971" s="121"/>
      <c r="O971" s="118"/>
    </row>
    <row r="972" customFormat="false" ht="15" hidden="false" customHeight="false" outlineLevel="0" collapsed="false">
      <c r="A972" s="122"/>
      <c r="B972" s="118"/>
      <c r="C972" s="114" t="str">
        <f aca="false">IF(B972="","",IFERROR(INDEX(الموظفون!$C$6:$C$105,MATCH(B972,الموظفون!$B$6:$B$105,0)),"✖ رقم غير موجود"))</f>
        <v/>
      </c>
      <c r="D972" s="123"/>
      <c r="E972" s="123"/>
      <c r="F972" s="123"/>
      <c r="G972" s="121"/>
      <c r="H972" s="121"/>
      <c r="I972" s="121"/>
      <c r="J972" s="121"/>
      <c r="K972" s="123"/>
      <c r="L972" s="123"/>
      <c r="M972" s="121"/>
      <c r="N972" s="121"/>
      <c r="O972" s="118"/>
    </row>
    <row r="973" customFormat="false" ht="15" hidden="false" customHeight="false" outlineLevel="0" collapsed="false">
      <c r="A973" s="122"/>
      <c r="B973" s="118"/>
      <c r="C973" s="117" t="str">
        <f aca="false">IF(B973="","",IFERROR(INDEX(الموظفون!$C$6:$C$105,MATCH(B973,الموظفون!$B$6:$B$105,0)),"✖ رقم غير موجود"))</f>
        <v/>
      </c>
      <c r="D973" s="123"/>
      <c r="E973" s="123"/>
      <c r="F973" s="123"/>
      <c r="G973" s="121"/>
      <c r="H973" s="121"/>
      <c r="I973" s="121"/>
      <c r="J973" s="121"/>
      <c r="K973" s="123"/>
      <c r="L973" s="123"/>
      <c r="M973" s="121"/>
      <c r="N973" s="121"/>
      <c r="O973" s="118"/>
    </row>
    <row r="974" customFormat="false" ht="15" hidden="false" customHeight="false" outlineLevel="0" collapsed="false">
      <c r="A974" s="122"/>
      <c r="B974" s="118"/>
      <c r="C974" s="114" t="str">
        <f aca="false">IF(B974="","",IFERROR(INDEX(الموظفون!$C$6:$C$105,MATCH(B974,الموظفون!$B$6:$B$105,0)),"✖ رقم غير موجود"))</f>
        <v/>
      </c>
      <c r="D974" s="123"/>
      <c r="E974" s="123"/>
      <c r="F974" s="123"/>
      <c r="G974" s="121"/>
      <c r="H974" s="121"/>
      <c r="I974" s="121"/>
      <c r="J974" s="121"/>
      <c r="K974" s="123"/>
      <c r="L974" s="123"/>
      <c r="M974" s="121"/>
      <c r="N974" s="121"/>
      <c r="O974" s="118"/>
    </row>
    <row r="975" customFormat="false" ht="15" hidden="false" customHeight="false" outlineLevel="0" collapsed="false">
      <c r="A975" s="122"/>
      <c r="B975" s="118"/>
      <c r="C975" s="117" t="str">
        <f aca="false">IF(B975="","",IFERROR(INDEX(الموظفون!$C$6:$C$105,MATCH(B975,الموظفون!$B$6:$B$105,0)),"✖ رقم غير موجود"))</f>
        <v/>
      </c>
      <c r="D975" s="123"/>
      <c r="E975" s="123"/>
      <c r="F975" s="123"/>
      <c r="G975" s="121"/>
      <c r="H975" s="121"/>
      <c r="I975" s="121"/>
      <c r="J975" s="121"/>
      <c r="K975" s="123"/>
      <c r="L975" s="123"/>
      <c r="M975" s="121"/>
      <c r="N975" s="121"/>
      <c r="O975" s="118"/>
    </row>
    <row r="976" customFormat="false" ht="15" hidden="false" customHeight="false" outlineLevel="0" collapsed="false">
      <c r="A976" s="122"/>
      <c r="B976" s="118"/>
      <c r="C976" s="114" t="str">
        <f aca="false">IF(B976="","",IFERROR(INDEX(الموظفون!$C$6:$C$105,MATCH(B976,الموظفون!$B$6:$B$105,0)),"✖ رقم غير موجود"))</f>
        <v/>
      </c>
      <c r="D976" s="123"/>
      <c r="E976" s="123"/>
      <c r="F976" s="123"/>
      <c r="G976" s="121"/>
      <c r="H976" s="121"/>
      <c r="I976" s="121"/>
      <c r="J976" s="121"/>
      <c r="K976" s="123"/>
      <c r="L976" s="123"/>
      <c r="M976" s="121"/>
      <c r="N976" s="121"/>
      <c r="O976" s="118"/>
    </row>
    <row r="977" customFormat="false" ht="15" hidden="false" customHeight="false" outlineLevel="0" collapsed="false">
      <c r="A977" s="122"/>
      <c r="B977" s="118"/>
      <c r="C977" s="117" t="str">
        <f aca="false">IF(B977="","",IFERROR(INDEX(الموظفون!$C$6:$C$105,MATCH(B977,الموظفون!$B$6:$B$105,0)),"✖ رقم غير موجود"))</f>
        <v/>
      </c>
      <c r="D977" s="123"/>
      <c r="E977" s="123"/>
      <c r="F977" s="123"/>
      <c r="G977" s="121"/>
      <c r="H977" s="121"/>
      <c r="I977" s="121"/>
      <c r="J977" s="121"/>
      <c r="K977" s="123"/>
      <c r="L977" s="123"/>
      <c r="M977" s="121"/>
      <c r="N977" s="121"/>
      <c r="O977" s="118"/>
    </row>
    <row r="978" customFormat="false" ht="15" hidden="false" customHeight="false" outlineLevel="0" collapsed="false">
      <c r="A978" s="122"/>
      <c r="B978" s="118"/>
      <c r="C978" s="114" t="str">
        <f aca="false">IF(B978="","",IFERROR(INDEX(الموظفون!$C$6:$C$105,MATCH(B978,الموظفون!$B$6:$B$105,0)),"✖ رقم غير موجود"))</f>
        <v/>
      </c>
      <c r="D978" s="123"/>
      <c r="E978" s="123"/>
      <c r="F978" s="123"/>
      <c r="G978" s="121"/>
      <c r="H978" s="121"/>
      <c r="I978" s="121"/>
      <c r="J978" s="121"/>
      <c r="K978" s="123"/>
      <c r="L978" s="123"/>
      <c r="M978" s="121"/>
      <c r="N978" s="121"/>
      <c r="O978" s="118"/>
    </row>
    <row r="979" customFormat="false" ht="15" hidden="false" customHeight="false" outlineLevel="0" collapsed="false">
      <c r="A979" s="122"/>
      <c r="B979" s="118"/>
      <c r="C979" s="117" t="str">
        <f aca="false">IF(B979="","",IFERROR(INDEX(الموظفون!$C$6:$C$105,MATCH(B979,الموظفون!$B$6:$B$105,0)),"✖ رقم غير موجود"))</f>
        <v/>
      </c>
      <c r="D979" s="123"/>
      <c r="E979" s="123"/>
      <c r="F979" s="123"/>
      <c r="G979" s="121"/>
      <c r="H979" s="121"/>
      <c r="I979" s="121"/>
      <c r="J979" s="121"/>
      <c r="K979" s="123"/>
      <c r="L979" s="123"/>
      <c r="M979" s="121"/>
      <c r="N979" s="121"/>
      <c r="O979" s="118"/>
    </row>
    <row r="980" customFormat="false" ht="15" hidden="false" customHeight="false" outlineLevel="0" collapsed="false">
      <c r="A980" s="122"/>
      <c r="B980" s="118"/>
      <c r="C980" s="114" t="str">
        <f aca="false">IF(B980="","",IFERROR(INDEX(الموظفون!$C$6:$C$105,MATCH(B980,الموظفون!$B$6:$B$105,0)),"✖ رقم غير موجود"))</f>
        <v/>
      </c>
      <c r="D980" s="123"/>
      <c r="E980" s="123"/>
      <c r="F980" s="123"/>
      <c r="G980" s="121"/>
      <c r="H980" s="121"/>
      <c r="I980" s="121"/>
      <c r="J980" s="121"/>
      <c r="K980" s="123"/>
      <c r="L980" s="123"/>
      <c r="M980" s="121"/>
      <c r="N980" s="121"/>
      <c r="O980" s="118"/>
    </row>
    <row r="981" customFormat="false" ht="15" hidden="false" customHeight="false" outlineLevel="0" collapsed="false">
      <c r="A981" s="122"/>
      <c r="B981" s="118"/>
      <c r="C981" s="117" t="str">
        <f aca="false">IF(B981="","",IFERROR(INDEX(الموظفون!$C$6:$C$105,MATCH(B981,الموظفون!$B$6:$B$105,0)),"✖ رقم غير موجود"))</f>
        <v/>
      </c>
      <c r="D981" s="123"/>
      <c r="E981" s="123"/>
      <c r="F981" s="123"/>
      <c r="G981" s="121"/>
      <c r="H981" s="121"/>
      <c r="I981" s="121"/>
      <c r="J981" s="121"/>
      <c r="K981" s="123"/>
      <c r="L981" s="123"/>
      <c r="M981" s="121"/>
      <c r="N981" s="121"/>
      <c r="O981" s="118"/>
    </row>
    <row r="982" customFormat="false" ht="15" hidden="false" customHeight="false" outlineLevel="0" collapsed="false">
      <c r="A982" s="122"/>
      <c r="B982" s="118"/>
      <c r="C982" s="114" t="str">
        <f aca="false">IF(B982="","",IFERROR(INDEX(الموظفون!$C$6:$C$105,MATCH(B982,الموظفون!$B$6:$B$105,0)),"✖ رقم غير موجود"))</f>
        <v/>
      </c>
      <c r="D982" s="123"/>
      <c r="E982" s="123"/>
      <c r="F982" s="123"/>
      <c r="G982" s="121"/>
      <c r="H982" s="121"/>
      <c r="I982" s="121"/>
      <c r="J982" s="121"/>
      <c r="K982" s="123"/>
      <c r="L982" s="123"/>
      <c r="M982" s="121"/>
      <c r="N982" s="121"/>
      <c r="O982" s="118"/>
    </row>
    <row r="983" customFormat="false" ht="15" hidden="false" customHeight="false" outlineLevel="0" collapsed="false">
      <c r="A983" s="122"/>
      <c r="B983" s="118"/>
      <c r="C983" s="117" t="str">
        <f aca="false">IF(B983="","",IFERROR(INDEX(الموظفون!$C$6:$C$105,MATCH(B983,الموظفون!$B$6:$B$105,0)),"✖ رقم غير موجود"))</f>
        <v/>
      </c>
      <c r="D983" s="123"/>
      <c r="E983" s="123"/>
      <c r="F983" s="123"/>
      <c r="G983" s="121"/>
      <c r="H983" s="121"/>
      <c r="I983" s="121"/>
      <c r="J983" s="121"/>
      <c r="K983" s="123"/>
      <c r="L983" s="123"/>
      <c r="M983" s="121"/>
      <c r="N983" s="121"/>
      <c r="O983" s="118"/>
    </row>
    <row r="984" customFormat="false" ht="15" hidden="false" customHeight="false" outlineLevel="0" collapsed="false">
      <c r="A984" s="122"/>
      <c r="B984" s="118"/>
      <c r="C984" s="114" t="str">
        <f aca="false">IF(B984="","",IFERROR(INDEX(الموظفون!$C$6:$C$105,MATCH(B984,الموظفون!$B$6:$B$105,0)),"✖ رقم غير موجود"))</f>
        <v/>
      </c>
      <c r="D984" s="123"/>
      <c r="E984" s="123"/>
      <c r="F984" s="123"/>
      <c r="G984" s="121"/>
      <c r="H984" s="121"/>
      <c r="I984" s="121"/>
      <c r="J984" s="121"/>
      <c r="K984" s="123"/>
      <c r="L984" s="123"/>
      <c r="M984" s="121"/>
      <c r="N984" s="121"/>
      <c r="O984" s="118"/>
    </row>
    <row r="985" customFormat="false" ht="15" hidden="false" customHeight="false" outlineLevel="0" collapsed="false">
      <c r="A985" s="122"/>
      <c r="B985" s="118"/>
      <c r="C985" s="117" t="str">
        <f aca="false">IF(B985="","",IFERROR(INDEX(الموظفون!$C$6:$C$105,MATCH(B985,الموظفون!$B$6:$B$105,0)),"✖ رقم غير موجود"))</f>
        <v/>
      </c>
      <c r="D985" s="123"/>
      <c r="E985" s="123"/>
      <c r="F985" s="123"/>
      <c r="G985" s="121"/>
      <c r="H985" s="121"/>
      <c r="I985" s="121"/>
      <c r="J985" s="121"/>
      <c r="K985" s="123"/>
      <c r="L985" s="123"/>
      <c r="M985" s="121"/>
      <c r="N985" s="121"/>
      <c r="O985" s="118"/>
    </row>
    <row r="986" customFormat="false" ht="15" hidden="false" customHeight="false" outlineLevel="0" collapsed="false">
      <c r="A986" s="122"/>
      <c r="B986" s="118"/>
      <c r="C986" s="114" t="str">
        <f aca="false">IF(B986="","",IFERROR(INDEX(الموظفون!$C$6:$C$105,MATCH(B986,الموظفون!$B$6:$B$105,0)),"✖ رقم غير موجود"))</f>
        <v/>
      </c>
      <c r="D986" s="123"/>
      <c r="E986" s="123"/>
      <c r="F986" s="123"/>
      <c r="G986" s="121"/>
      <c r="H986" s="121"/>
      <c r="I986" s="121"/>
      <c r="J986" s="121"/>
      <c r="K986" s="123"/>
      <c r="L986" s="123"/>
      <c r="M986" s="121"/>
      <c r="N986" s="121"/>
      <c r="O986" s="118"/>
    </row>
    <row r="987" customFormat="false" ht="15" hidden="false" customHeight="false" outlineLevel="0" collapsed="false">
      <c r="A987" s="122"/>
      <c r="B987" s="118"/>
      <c r="C987" s="117" t="str">
        <f aca="false">IF(B987="","",IFERROR(INDEX(الموظفون!$C$6:$C$105,MATCH(B987,الموظفون!$B$6:$B$105,0)),"✖ رقم غير موجود"))</f>
        <v/>
      </c>
      <c r="D987" s="123"/>
      <c r="E987" s="123"/>
      <c r="F987" s="123"/>
      <c r="G987" s="121"/>
      <c r="H987" s="121"/>
      <c r="I987" s="121"/>
      <c r="J987" s="121"/>
      <c r="K987" s="123"/>
      <c r="L987" s="123"/>
      <c r="M987" s="121"/>
      <c r="N987" s="121"/>
      <c r="O987" s="118"/>
    </row>
    <row r="988" customFormat="false" ht="15" hidden="false" customHeight="false" outlineLevel="0" collapsed="false">
      <c r="A988" s="122"/>
      <c r="B988" s="118"/>
      <c r="C988" s="114" t="str">
        <f aca="false">IF(B988="","",IFERROR(INDEX(الموظفون!$C$6:$C$105,MATCH(B988,الموظفون!$B$6:$B$105,0)),"✖ رقم غير موجود"))</f>
        <v/>
      </c>
      <c r="D988" s="123"/>
      <c r="E988" s="123"/>
      <c r="F988" s="123"/>
      <c r="G988" s="121"/>
      <c r="H988" s="121"/>
      <c r="I988" s="121"/>
      <c r="J988" s="121"/>
      <c r="K988" s="123"/>
      <c r="L988" s="123"/>
      <c r="M988" s="121"/>
      <c r="N988" s="121"/>
      <c r="O988" s="118"/>
    </row>
    <row r="989" customFormat="false" ht="15" hidden="false" customHeight="false" outlineLevel="0" collapsed="false">
      <c r="A989" s="122"/>
      <c r="B989" s="118"/>
      <c r="C989" s="117" t="str">
        <f aca="false">IF(B989="","",IFERROR(INDEX(الموظفون!$C$6:$C$105,MATCH(B989,الموظفون!$B$6:$B$105,0)),"✖ رقم غير موجود"))</f>
        <v/>
      </c>
      <c r="D989" s="123"/>
      <c r="E989" s="123"/>
      <c r="F989" s="123"/>
      <c r="G989" s="121"/>
      <c r="H989" s="121"/>
      <c r="I989" s="121"/>
      <c r="J989" s="121"/>
      <c r="K989" s="123"/>
      <c r="L989" s="123"/>
      <c r="M989" s="121"/>
      <c r="N989" s="121"/>
      <c r="O989" s="118"/>
    </row>
    <row r="990" customFormat="false" ht="15" hidden="false" customHeight="false" outlineLevel="0" collapsed="false">
      <c r="A990" s="122"/>
      <c r="B990" s="118"/>
      <c r="C990" s="114" t="str">
        <f aca="false">IF(B990="","",IFERROR(INDEX(الموظفون!$C$6:$C$105,MATCH(B990,الموظفون!$B$6:$B$105,0)),"✖ رقم غير موجود"))</f>
        <v/>
      </c>
      <c r="D990" s="123"/>
      <c r="E990" s="123"/>
      <c r="F990" s="123"/>
      <c r="G990" s="121"/>
      <c r="H990" s="121"/>
      <c r="I990" s="121"/>
      <c r="J990" s="121"/>
      <c r="K990" s="123"/>
      <c r="L990" s="123"/>
      <c r="M990" s="121"/>
      <c r="N990" s="121"/>
      <c r="O990" s="118"/>
    </row>
    <row r="991" customFormat="false" ht="15" hidden="false" customHeight="false" outlineLevel="0" collapsed="false">
      <c r="A991" s="122"/>
      <c r="B991" s="118"/>
      <c r="C991" s="117" t="str">
        <f aca="false">IF(B991="","",IFERROR(INDEX(الموظفون!$C$6:$C$105,MATCH(B991,الموظفون!$B$6:$B$105,0)),"✖ رقم غير موجود"))</f>
        <v/>
      </c>
      <c r="D991" s="123"/>
      <c r="E991" s="123"/>
      <c r="F991" s="123"/>
      <c r="G991" s="121"/>
      <c r="H991" s="121"/>
      <c r="I991" s="121"/>
      <c r="J991" s="121"/>
      <c r="K991" s="123"/>
      <c r="L991" s="123"/>
      <c r="M991" s="121"/>
      <c r="N991" s="121"/>
      <c r="O991" s="118"/>
    </row>
    <row r="992" customFormat="false" ht="15" hidden="false" customHeight="false" outlineLevel="0" collapsed="false">
      <c r="A992" s="122"/>
      <c r="B992" s="118"/>
      <c r="C992" s="114" t="str">
        <f aca="false">IF(B992="","",IFERROR(INDEX(الموظفون!$C$6:$C$105,MATCH(B992,الموظفون!$B$6:$B$105,0)),"✖ رقم غير موجود"))</f>
        <v/>
      </c>
      <c r="D992" s="123"/>
      <c r="E992" s="123"/>
      <c r="F992" s="123"/>
      <c r="G992" s="121"/>
      <c r="H992" s="121"/>
      <c r="I992" s="121"/>
      <c r="J992" s="121"/>
      <c r="K992" s="123"/>
      <c r="L992" s="123"/>
      <c r="M992" s="121"/>
      <c r="N992" s="121"/>
      <c r="O992" s="118"/>
    </row>
    <row r="993" customFormat="false" ht="15" hidden="false" customHeight="false" outlineLevel="0" collapsed="false">
      <c r="A993" s="122"/>
      <c r="B993" s="118"/>
      <c r="C993" s="117" t="str">
        <f aca="false">IF(B993="","",IFERROR(INDEX(الموظفون!$C$6:$C$105,MATCH(B993,الموظفون!$B$6:$B$105,0)),"✖ رقم غير موجود"))</f>
        <v/>
      </c>
      <c r="D993" s="123"/>
      <c r="E993" s="123"/>
      <c r="F993" s="123"/>
      <c r="G993" s="121"/>
      <c r="H993" s="121"/>
      <c r="I993" s="121"/>
      <c r="J993" s="121"/>
      <c r="K993" s="123"/>
      <c r="L993" s="123"/>
      <c r="M993" s="121"/>
      <c r="N993" s="121"/>
      <c r="O993" s="118"/>
    </row>
    <row r="994" customFormat="false" ht="15" hidden="false" customHeight="false" outlineLevel="0" collapsed="false">
      <c r="A994" s="122"/>
      <c r="B994" s="118"/>
      <c r="C994" s="114" t="str">
        <f aca="false">IF(B994="","",IFERROR(INDEX(الموظفون!$C$6:$C$105,MATCH(B994,الموظفون!$B$6:$B$105,0)),"✖ رقم غير موجود"))</f>
        <v/>
      </c>
      <c r="D994" s="123"/>
      <c r="E994" s="123"/>
      <c r="F994" s="123"/>
      <c r="G994" s="121"/>
      <c r="H994" s="121"/>
      <c r="I994" s="121"/>
      <c r="J994" s="121"/>
      <c r="K994" s="123"/>
      <c r="L994" s="123"/>
      <c r="M994" s="121"/>
      <c r="N994" s="121"/>
      <c r="O994" s="118"/>
    </row>
    <row r="995" customFormat="false" ht="15" hidden="false" customHeight="false" outlineLevel="0" collapsed="false">
      <c r="A995" s="122"/>
      <c r="B995" s="118"/>
      <c r="C995" s="117" t="str">
        <f aca="false">IF(B995="","",IFERROR(INDEX(الموظفون!$C$6:$C$105,MATCH(B995,الموظفون!$B$6:$B$105,0)),"✖ رقم غير موجود"))</f>
        <v/>
      </c>
      <c r="D995" s="123"/>
      <c r="E995" s="123"/>
      <c r="F995" s="123"/>
      <c r="G995" s="121"/>
      <c r="H995" s="121"/>
      <c r="I995" s="121"/>
      <c r="J995" s="121"/>
      <c r="K995" s="123"/>
      <c r="L995" s="123"/>
      <c r="M995" s="121"/>
      <c r="N995" s="121"/>
      <c r="O995" s="118"/>
    </row>
    <row r="996" customFormat="false" ht="15" hidden="false" customHeight="false" outlineLevel="0" collapsed="false">
      <c r="A996" s="122"/>
      <c r="B996" s="118"/>
      <c r="C996" s="114" t="str">
        <f aca="false">IF(B996="","",IFERROR(INDEX(الموظفون!$C$6:$C$105,MATCH(B996,الموظفون!$B$6:$B$105,0)),"✖ رقم غير موجود"))</f>
        <v/>
      </c>
      <c r="D996" s="123"/>
      <c r="E996" s="123"/>
      <c r="F996" s="123"/>
      <c r="G996" s="121"/>
      <c r="H996" s="121"/>
      <c r="I996" s="121"/>
      <c r="J996" s="121"/>
      <c r="K996" s="123"/>
      <c r="L996" s="123"/>
      <c r="M996" s="121"/>
      <c r="N996" s="121"/>
      <c r="O996" s="118"/>
    </row>
    <row r="997" customFormat="false" ht="15" hidden="false" customHeight="false" outlineLevel="0" collapsed="false">
      <c r="A997" s="122"/>
      <c r="B997" s="118"/>
      <c r="C997" s="117" t="str">
        <f aca="false">IF(B997="","",IFERROR(INDEX(الموظفون!$C$6:$C$105,MATCH(B997,الموظفون!$B$6:$B$105,0)),"✖ رقم غير موجود"))</f>
        <v/>
      </c>
      <c r="D997" s="123"/>
      <c r="E997" s="123"/>
      <c r="F997" s="123"/>
      <c r="G997" s="121"/>
      <c r="H997" s="121"/>
      <c r="I997" s="121"/>
      <c r="J997" s="121"/>
      <c r="K997" s="123"/>
      <c r="L997" s="123"/>
      <c r="M997" s="121"/>
      <c r="N997" s="121"/>
      <c r="O997" s="118"/>
    </row>
    <row r="998" customFormat="false" ht="15" hidden="false" customHeight="false" outlineLevel="0" collapsed="false">
      <c r="A998" s="122"/>
      <c r="B998" s="118"/>
      <c r="C998" s="114" t="str">
        <f aca="false">IF(B998="","",IFERROR(INDEX(الموظفون!$C$6:$C$105,MATCH(B998,الموظفون!$B$6:$B$105,0)),"✖ رقم غير موجود"))</f>
        <v/>
      </c>
      <c r="D998" s="123"/>
      <c r="E998" s="123"/>
      <c r="F998" s="123"/>
      <c r="G998" s="121"/>
      <c r="H998" s="121"/>
      <c r="I998" s="121"/>
      <c r="J998" s="121"/>
      <c r="K998" s="123"/>
      <c r="L998" s="123"/>
      <c r="M998" s="121"/>
      <c r="N998" s="121"/>
      <c r="O998" s="118"/>
    </row>
    <row r="999" customFormat="false" ht="15" hidden="false" customHeight="false" outlineLevel="0" collapsed="false">
      <c r="A999" s="122"/>
      <c r="B999" s="118"/>
      <c r="C999" s="117" t="str">
        <f aca="false">IF(B999="","",IFERROR(INDEX(الموظفون!$C$6:$C$105,MATCH(B999,الموظفون!$B$6:$B$105,0)),"✖ رقم غير موجود"))</f>
        <v/>
      </c>
      <c r="D999" s="123"/>
      <c r="E999" s="123"/>
      <c r="F999" s="123"/>
      <c r="G999" s="121"/>
      <c r="H999" s="121"/>
      <c r="I999" s="121"/>
      <c r="J999" s="121"/>
      <c r="K999" s="123"/>
      <c r="L999" s="123"/>
      <c r="M999" s="121"/>
      <c r="N999" s="121"/>
      <c r="O999" s="118"/>
    </row>
    <row r="1000" customFormat="false" ht="15" hidden="false" customHeight="false" outlineLevel="0" collapsed="false">
      <c r="A1000" s="122"/>
      <c r="B1000" s="118"/>
      <c r="C1000" s="114" t="str">
        <f aca="false">IF(B1000="","",IFERROR(INDEX(الموظفون!$C$6:$C$105,MATCH(B1000,الموظفون!$B$6:$B$105,0)),"✖ رقم غير موجود"))</f>
        <v/>
      </c>
      <c r="D1000" s="123"/>
      <c r="E1000" s="123"/>
      <c r="F1000" s="123"/>
      <c r="G1000" s="121"/>
      <c r="H1000" s="121"/>
      <c r="I1000" s="121"/>
      <c r="J1000" s="121"/>
      <c r="K1000" s="123"/>
      <c r="L1000" s="123"/>
      <c r="M1000" s="121"/>
      <c r="N1000" s="121"/>
      <c r="O1000" s="118"/>
    </row>
    <row r="1001" customFormat="false" ht="15" hidden="false" customHeight="false" outlineLevel="0" collapsed="false">
      <c r="A1001" s="122"/>
      <c r="B1001" s="118"/>
      <c r="C1001" s="117" t="str">
        <f aca="false">IF(B1001="","",IFERROR(INDEX(الموظفون!$C$6:$C$105,MATCH(B1001,الموظفون!$B$6:$B$105,0)),"✖ رقم غير موجود"))</f>
        <v/>
      </c>
      <c r="D1001" s="123"/>
      <c r="E1001" s="123"/>
      <c r="F1001" s="123"/>
      <c r="G1001" s="121"/>
      <c r="H1001" s="121"/>
      <c r="I1001" s="121"/>
      <c r="J1001" s="121"/>
      <c r="K1001" s="123"/>
      <c r="L1001" s="123"/>
      <c r="M1001" s="121"/>
      <c r="N1001" s="121"/>
      <c r="O1001" s="118"/>
    </row>
    <row r="1002" customFormat="false" ht="15" hidden="false" customHeight="false" outlineLevel="0" collapsed="false">
      <c r="A1002" s="122"/>
      <c r="B1002" s="118"/>
      <c r="C1002" s="114" t="str">
        <f aca="false">IF(B1002="","",IFERROR(INDEX(الموظفون!$C$6:$C$105,MATCH(B1002,الموظفون!$B$6:$B$105,0)),"✖ رقم غير موجود"))</f>
        <v/>
      </c>
      <c r="D1002" s="123"/>
      <c r="E1002" s="123"/>
      <c r="F1002" s="123"/>
      <c r="G1002" s="121"/>
      <c r="H1002" s="121"/>
      <c r="I1002" s="121"/>
      <c r="J1002" s="121"/>
      <c r="K1002" s="123"/>
      <c r="L1002" s="123"/>
      <c r="M1002" s="121"/>
      <c r="N1002" s="121"/>
      <c r="O1002" s="118"/>
    </row>
    <row r="1003" customFormat="false" ht="15" hidden="false" customHeight="false" outlineLevel="0" collapsed="false">
      <c r="A1003" s="122"/>
      <c r="B1003" s="118"/>
      <c r="C1003" s="117" t="str">
        <f aca="false">IF(B1003="","",IFERROR(INDEX(الموظفون!$C$6:$C$105,MATCH(B1003,الموظفون!$B$6:$B$105,0)),"✖ رقم غير موجود"))</f>
        <v/>
      </c>
      <c r="D1003" s="123"/>
      <c r="E1003" s="123"/>
      <c r="F1003" s="123"/>
      <c r="G1003" s="121"/>
      <c r="H1003" s="121"/>
      <c r="I1003" s="121"/>
      <c r="J1003" s="121"/>
      <c r="K1003" s="123"/>
      <c r="L1003" s="123"/>
      <c r="M1003" s="121"/>
      <c r="N1003" s="121"/>
      <c r="O1003" s="118"/>
    </row>
    <row r="1004" customFormat="false" ht="15" hidden="false" customHeight="false" outlineLevel="0" collapsed="false">
      <c r="A1004" s="122"/>
      <c r="B1004" s="118"/>
      <c r="C1004" s="114" t="str">
        <f aca="false">IF(B1004="","",IFERROR(INDEX(الموظفون!$C$6:$C$105,MATCH(B1004,الموظفون!$B$6:$B$105,0)),"✖ رقم غير موجود"))</f>
        <v/>
      </c>
      <c r="D1004" s="123"/>
      <c r="E1004" s="123"/>
      <c r="F1004" s="123"/>
      <c r="G1004" s="121"/>
      <c r="H1004" s="121"/>
      <c r="I1004" s="121"/>
      <c r="J1004" s="121"/>
      <c r="K1004" s="123"/>
      <c r="L1004" s="123"/>
      <c r="M1004" s="121"/>
      <c r="N1004" s="121"/>
      <c r="O1004" s="118"/>
    </row>
    <row r="1005" customFormat="false" ht="15" hidden="false" customHeight="false" outlineLevel="0" collapsed="false">
      <c r="A1005" s="122"/>
      <c r="B1005" s="118"/>
      <c r="C1005" s="117" t="str">
        <f aca="false">IF(B1005="","",IFERROR(INDEX(الموظفون!$C$6:$C$105,MATCH(B1005,الموظفون!$B$6:$B$105,0)),"✖ رقم غير موجود"))</f>
        <v/>
      </c>
      <c r="D1005" s="123"/>
      <c r="E1005" s="123"/>
      <c r="F1005" s="123"/>
      <c r="G1005" s="121"/>
      <c r="H1005" s="121"/>
      <c r="I1005" s="121"/>
      <c r="J1005" s="121"/>
      <c r="K1005" s="123"/>
      <c r="L1005" s="123"/>
      <c r="M1005" s="121"/>
      <c r="N1005" s="121"/>
      <c r="O1005" s="118"/>
    </row>
  </sheetData>
  <sheetProtection sheet="true" password="ffa5" objects="true" scenarios="true"/>
  <autoFilter ref="A5:O1005"/>
  <mergeCells count="3">
    <mergeCell ref="A1:O1"/>
    <mergeCell ref="A2:O2"/>
    <mergeCell ref="A4:G4"/>
  </mergeCells>
  <conditionalFormatting sqref="C6:C1005">
    <cfRule type="expression" priority="2" aboveAverage="0" equalAverage="0" bottom="0" percent="0" rank="0" text="" dxfId="0">
      <formula>ISNUMBER(SEARCH("✔",C6))</formula>
    </cfRule>
    <cfRule type="expression" priority="3" aboveAverage="0" equalAverage="0" bottom="0" percent="0" rank="0" text="" dxfId="1">
      <formula>ISNUMBER(SEARCH("✖",C6))</formula>
    </cfRule>
    <cfRule type="expression" priority="4" aboveAverage="0" equalAverage="0" bottom="0" percent="0" rank="0" text="" dxfId="2">
      <formula>ISNUMBER(SEARCH("⚠",C6))</formula>
    </cfRule>
    <cfRule type="expression" priority="5" aboveAverage="0" equalAverage="0" bottom="0" percent="0" rank="0" text="" dxfId="3">
      <formula>ISNUMBER(SEARCH("✈",C6))</formula>
    </cfRule>
    <cfRule type="expression" priority="6" aboveAverage="0" equalAverage="0" bottom="0" percent="0" rank="0" text="" dxfId="1">
      <formula>ISNUMBER(SEARCH("⛔",C6))</formula>
    </cfRule>
    <cfRule type="expression" priority="7" aboveAverage="0" equalAverage="0" bottom="0" percent="0" rank="0" text="" dxfId="0">
      <formula>ISNUMBER(SEARCH("🌴",C6))</formula>
    </cfRule>
    <cfRule type="expression" priority="8" aboveAverage="0" equalAverage="0" bottom="0" percent="0" rank="0" text="" dxfId="4">
      <formula>ISNUMBER(SEARCH("⏳",C6))</formula>
    </cfRule>
  </conditionalFormatting>
  <dataValidations count="3">
    <dataValidation allowBlank="true" error="الشهر رقم من 1 إلى 12" errorStyle="stop" errorTitle="قيمة غير صحيحة" operator="between" showDropDown="false" showErrorMessage="true" showInputMessage="false" sqref="A6:A1005" type="whole">
      <formula1>1</formula1>
      <formula2>12</formula2>
    </dataValidation>
    <dataValidation allowBlank="true" error="من فضلك اختر قيمة من القائمة المنسدلة." errorStyle="stop" errorTitle="قيمة غير مسموحة" operator="between" prompt="اختر رقم الموظف من القائمة" promptTitle="الرقم الوظيفي" showDropDown="false" showErrorMessage="true" showInputMessage="true" sqref="B6:B1005" type="list">
      <formula1>L_EMPID</formula1>
      <formula2>0</formula2>
    </dataValidation>
    <dataValidation allowBlank="true" error="القيم يجب أن تكون موجبة" errorStyle="stop" errorTitle="قيمة غير صحيحة" operator="greaterThanOrEqual" showDropDown="false" showErrorMessage="true" showInputMessage="false" sqref="D6:N1005" type="decimal">
      <formula1>0</formula1>
      <formula2>0</formula2>
    </dataValidation>
  </dataValidations>
  <hyperlinks>
    <hyperlink ref="A2" r:id="rId2" display="https://accopro.net/"/>
    <hyperlink ref="A3" location="'الرئيسية'!A1" display="🏠 الرئيسية"/>
    <hyperlink ref="B3" location="'لوحة التحكم'!A1" display="📊 لوحة التحكم"/>
    <hyperlink ref="C3" location="'الإعدادات'!A1" display="⚙ الإعدادات"/>
    <hyperlink ref="D3" location="'الموظفون'!A1" display="👥 الموظفون"/>
    <hyperlink ref="E3" location="'سجل الإجازات والحالات'!A1" display="🌴 سجل الإجازات"/>
    <hyperlink ref="F3" location="'الإقامات ورخص العمل'!A1" display="🪪 الإقامات"/>
    <hyperlink ref="G3" location="'الملخص الشهري'!A1" display="📅 الملخص الشهري"/>
    <hyperlink ref="H3" location="'قيود الرواتب'!A1" display="🧾 القيود"/>
    <hyperlink ref="I3" location="'قسيمة الراتب'!A1" display="💳 القسيمة"/>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&amp;Cنسخة تجريبية — النسخة الكاملة: accopro.net</oddHeader>
    <oddFooter>&amp;CAccoPro — https://accopro.net</oddFooter>
  </headerFooter>
  <drawing r:id="rId3"/>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N107"/>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24"/>
    <col collapsed="false" customWidth="true" hidden="false" outlineLevel="0" max="4" min="4" style="0" width="14"/>
    <col collapsed="false" customWidth="true" hidden="false" outlineLevel="0" max="5" min="5" style="0" width="10"/>
    <col collapsed="false" customWidth="true" hidden="false" outlineLevel="0" max="6" min="6" style="0" width="20"/>
    <col collapsed="false" customWidth="true" hidden="false" outlineLevel="0" max="8" min="7" style="0" width="8"/>
    <col collapsed="false" customWidth="true" hidden="false" outlineLevel="0" max="9" min="9" style="0" width="9"/>
    <col collapsed="false" customWidth="true" hidden="false" outlineLevel="0" max="10" min="10" style="0" width="8"/>
    <col collapsed="false" customWidth="true" hidden="false" outlineLevel="0" max="11" min="11" style="0" width="12"/>
    <col collapsed="false" customWidth="true" hidden="false" outlineLevel="0" max="12" min="12" style="0" width="11"/>
    <col collapsed="false" customWidth="true" hidden="false" outlineLevel="0" max="14" min="13" style="0" width="10"/>
    <col collapsed="false" customWidth="true" hidden="false" outlineLevel="0" max="15" min="15" style="0" width="7"/>
    <col collapsed="false" customWidth="true" hidden="false" outlineLevel="0" max="19" min="16" style="0" width="11"/>
    <col collapsed="false" customWidth="true" hidden="false" outlineLevel="0" max="20" min="20" style="0" width="13"/>
    <col collapsed="false" customWidth="true" hidden="false" outlineLevel="0" max="21" min="21" style="0" width="11"/>
    <col collapsed="false" customWidth="true" hidden="false" outlineLevel="0" max="23" min="22" style="0" width="10"/>
    <col collapsed="false" customWidth="true" hidden="false" outlineLevel="0" max="24" min="24" style="0" width="12"/>
    <col collapsed="false" customWidth="true" hidden="false" outlineLevel="0" max="25" min="25" style="0" width="13"/>
    <col collapsed="false" customWidth="true" hidden="false" outlineLevel="0" max="26" min="26" style="0" width="11"/>
    <col collapsed="false" customWidth="true" hidden="false" outlineLevel="0" max="27" min="27" style="0" width="12"/>
    <col collapsed="false" customWidth="true" hidden="false" outlineLevel="0" max="29" min="28" style="0" width="11"/>
    <col collapsed="false" customWidth="true" hidden="false" outlineLevel="0" max="30" min="30" style="0" width="12"/>
    <col collapsed="false" customWidth="true" hidden="false" outlineLevel="0" max="31" min="31" style="0" width="11"/>
    <col collapsed="false" customWidth="true" hidden="false" outlineLevel="0" max="32" min="32" style="0" width="10"/>
    <col collapsed="false" customWidth="true" hidden="false" outlineLevel="0" max="33" min="33" style="0" width="14"/>
    <col collapsed="false" customWidth="true" hidden="true" outlineLevel="0" max="38" min="34" style="0" width="9"/>
    <col collapsed="false" customWidth="true" hidden="true" outlineLevel="0" max="39" min="39" style="0" width="11"/>
    <col collapsed="false" customWidth="true" hidden="true" outlineLevel="0" max="40" min="40" style="0" width="9"/>
  </cols>
  <sheetData>
    <row r="1" customFormat="false" ht="37.5" hidden="false" customHeight="true" outlineLevel="0" collapsed="false">
      <c r="A1" s="136" t="str">
        <f aca="false">"💵 مسير رواتب شهر يناير "&amp;cfg_FY&amp;"   🔒 نسخة تجريبية"</f>
        <v>💵 مسير رواتب شهر يناير 2026   🔒 نسخة تجريبية</v>
      </c>
      <c r="B1" s="136"/>
      <c r="C1" s="136"/>
      <c r="D1" s="136"/>
      <c r="E1" s="136"/>
      <c r="F1" s="136"/>
      <c r="G1" s="136"/>
      <c r="H1" s="136"/>
      <c r="I1" s="136"/>
      <c r="J1" s="136"/>
      <c r="K1" s="136"/>
      <c r="L1" s="136"/>
      <c r="M1" s="136"/>
      <c r="N1" s="136"/>
      <c r="O1" s="136"/>
      <c r="P1" s="136"/>
      <c r="Q1" s="136"/>
      <c r="R1" s="136"/>
      <c r="S1" s="136"/>
      <c r="T1" s="136"/>
      <c r="U1" s="136"/>
      <c r="V1" s="136"/>
      <c r="W1" s="136"/>
      <c r="X1" s="136"/>
      <c r="Y1" s="136"/>
      <c r="Z1" s="136"/>
      <c r="AA1" s="136"/>
      <c r="AB1" s="136"/>
      <c r="AC1" s="136"/>
      <c r="AD1" s="136"/>
      <c r="AE1" s="136"/>
      <c r="AF1" s="136"/>
      <c r="AG1" s="136"/>
    </row>
    <row r="2" customFormat="false" ht="19.5" hidden="false" customHeight="true" outlineLevel="0" collapsed="false">
      <c r="A2" s="2" t="str">
        <f aca="false">"🛒 نسخة تجريبية — للنسخة الكاملة اضغط هنا ← accopro.net   |   "&amp;cfg_CO&amp;"   |   السنة المالية "&amp;cfg_FY&amp;"   |   شهر التقرير: "&amp;INDEX(L_MONTH,cfg_VAL_M)&amp;"   |   المبالغ بـ "&amp;cfg_CUR</f>
        <v>🛒 نسخة تجريبية — للنسخة الكاملة اضغط هنا ← accopro.net   |   شركة النخبة للتجارة والمقاولات   |   السنة المالية 2026   |   شهر التقرير: سبتمبر   |   المبالغ بـ ريال سعودي</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row>
    <row r="3" customFormat="false" ht="25.5" hidden="false" customHeight="true" outlineLevel="0" collapsed="false">
      <c r="B3" s="137" t="s">
        <v>163</v>
      </c>
      <c r="C3" s="138" t="n">
        <v>1</v>
      </c>
      <c r="D3" s="137" t="s">
        <v>472</v>
      </c>
      <c r="E3" s="139" t="n">
        <f aca="false">DATE(cfg_FY,C3,1)</f>
        <v>46023</v>
      </c>
      <c r="F3" s="139" t="n">
        <f aca="false">EOMONTH(E3,0)</f>
        <v>46053</v>
      </c>
      <c r="G3" s="140" t="str">
        <f aca="false">IF(C3&lt;=cfg_VAL_M,"✔ فعلي","⚠ متوقع")</f>
        <v>✔ فعلي</v>
      </c>
      <c r="H3" s="140"/>
      <c r="L3" s="141" t="s">
        <v>473</v>
      </c>
      <c r="M3" s="141"/>
      <c r="O3" s="31" t="s">
        <v>114</v>
      </c>
      <c r="P3" s="12" t="s">
        <v>172</v>
      </c>
      <c r="R3" s="32" t="s">
        <v>116</v>
      </c>
      <c r="S3" s="33" t="s">
        <v>117</v>
      </c>
      <c r="U3" s="32" t="s">
        <v>118</v>
      </c>
      <c r="W3" s="32" t="s">
        <v>39</v>
      </c>
      <c r="Y3" s="32" t="s">
        <v>173</v>
      </c>
    </row>
    <row r="4" customFormat="false" ht="7.5" hidden="false" customHeight="true" outlineLevel="0" collapsed="false"/>
    <row r="5" customFormat="false" ht="51.75" hidden="false" customHeight="true" outlineLevel="0" collapsed="false">
      <c r="A5" s="142" t="s">
        <v>308</v>
      </c>
      <c r="B5" s="142" t="s">
        <v>309</v>
      </c>
      <c r="C5" s="142" t="s">
        <v>310</v>
      </c>
      <c r="D5" s="142" t="s">
        <v>156</v>
      </c>
      <c r="E5" s="142" t="s">
        <v>142</v>
      </c>
      <c r="F5" s="142" t="s">
        <v>474</v>
      </c>
      <c r="G5" s="143" t="s">
        <v>475</v>
      </c>
      <c r="H5" s="143" t="s">
        <v>476</v>
      </c>
      <c r="I5" s="143" t="s">
        <v>477</v>
      </c>
      <c r="J5" s="143" t="s">
        <v>478</v>
      </c>
      <c r="K5" s="144" t="s">
        <v>479</v>
      </c>
      <c r="L5" s="144" t="s">
        <v>480</v>
      </c>
      <c r="M5" s="144" t="s">
        <v>481</v>
      </c>
      <c r="N5" s="144" t="s">
        <v>482</v>
      </c>
      <c r="O5" s="144" t="s">
        <v>483</v>
      </c>
      <c r="P5" s="144" t="s">
        <v>484</v>
      </c>
      <c r="Q5" s="144" t="s">
        <v>451</v>
      </c>
      <c r="R5" s="144" t="s">
        <v>485</v>
      </c>
      <c r="S5" s="144" t="s">
        <v>486</v>
      </c>
      <c r="T5" s="144" t="s">
        <v>127</v>
      </c>
      <c r="U5" s="145" t="s">
        <v>487</v>
      </c>
      <c r="V5" s="145" t="s">
        <v>453</v>
      </c>
      <c r="W5" s="145" t="s">
        <v>454</v>
      </c>
      <c r="X5" s="145" t="s">
        <v>488</v>
      </c>
      <c r="Y5" s="146" t="s">
        <v>489</v>
      </c>
      <c r="Z5" s="147" t="s">
        <v>490</v>
      </c>
      <c r="AA5" s="147" t="s">
        <v>491</v>
      </c>
      <c r="AB5" s="147" t="s">
        <v>492</v>
      </c>
      <c r="AC5" s="147" t="s">
        <v>493</v>
      </c>
      <c r="AD5" s="148" t="s">
        <v>494</v>
      </c>
      <c r="AE5" s="148" t="s">
        <v>495</v>
      </c>
      <c r="AF5" s="148" t="s">
        <v>496</v>
      </c>
      <c r="AG5" s="149" t="s">
        <v>497</v>
      </c>
      <c r="AH5" s="150" t="s">
        <v>498</v>
      </c>
      <c r="AI5" s="150" t="s">
        <v>499</v>
      </c>
      <c r="AJ5" s="150" t="s">
        <v>500</v>
      </c>
      <c r="AK5" s="150" t="s">
        <v>501</v>
      </c>
      <c r="AL5" s="150" t="s">
        <v>502</v>
      </c>
      <c r="AM5" s="150" t="s">
        <v>503</v>
      </c>
      <c r="AN5" s="150" t="s">
        <v>504</v>
      </c>
    </row>
    <row r="6" customFormat="false" ht="15" hidden="false" customHeight="false" outlineLevel="0" collapsed="false">
      <c r="A6" s="106" t="n">
        <f aca="false">IF($B6="","",الموظفون!$A6)</f>
        <v>1</v>
      </c>
      <c r="B6" s="114" t="str">
        <f aca="false">IF(الموظفون!$B6="","",الموظفون!$B6)</f>
        <v>E001</v>
      </c>
      <c r="C6" s="114" t="str">
        <f aca="false">IF($B6="","",الموظفون!$C6)</f>
        <v>عبدالله محمد العتيبي</v>
      </c>
      <c r="D6" s="114" t="str">
        <f aca="false">IF($B6="","",الموظفون!$F6)</f>
        <v>الإدارة العليا</v>
      </c>
      <c r="E6" s="114" t="str">
        <f aca="false">IF($B6="","",الموظفون!$E6)</f>
        <v>سعودي</v>
      </c>
      <c r="F6" s="114" t="str">
        <f aca="false">IF($B6="","",IF(AK6=0,IF(AND(الموظفون!$AE6&lt;&gt;"",الموظفون!$AE6&lt;$E$3),"✖ منتهي الخدمة","⏳ لم يباشر"),IF(S6&gt;0,"✈ راتب إجازة مقدم",IF(J6=0,"⛔ بدون راتب هذا الشهر",IF(I6&gt;0,"✈ خصم "&amp;ROUND(I6,2)&amp;" يوم بدون أجر",IF(AL6&gt;0,"🌴 إجازة سنوية "&amp;ROUND(AL6,2)&amp;" يوم",IF(H6&gt;0,"⚠ غياب "&amp;ROUND(H6,2)&amp;" يوم","✔ على رأس العمل")))))))</f>
        <v>✔ على رأس العمل</v>
      </c>
      <c r="G6" s="151" t="n">
        <f aca="false">IF($B6="","",IF(AK6&gt;=DAY($F$3),cfg_DAYS_M,MIN(AK6,cfg_DAYS_M)))</f>
        <v>30</v>
      </c>
      <c r="H6" s="151" t="n">
        <f aca="false">IF($B6="","",SUMIFS('الحركات الشهرية'!$D$6:$D$1005,'الحركات الشهرية'!$B$6:$B$1005,$B6,'الحركات الشهرية'!$A$6:$A$1005,$C$3))</f>
        <v>0</v>
      </c>
      <c r="I6" s="151" t="n">
        <f aca="false">IF($B6="","",MIN(G6,IF(AND(AK6&gt;0,AN6&gt;=AK6),G6,AN6)+SUMIFS('الحركات الشهرية'!$E$6:$E$1005,'الحركات الشهرية'!$B$6:$B$1005,$B6,'الحركات الشهرية'!$A$6:$A$1005,$C$3)))</f>
        <v>0</v>
      </c>
      <c r="J6" s="151" t="n">
        <f aca="false">IF($B6="","",MAX(0,G6-H6-I6))</f>
        <v>30</v>
      </c>
      <c r="K6" s="111" t="n">
        <f aca="false">IF($B6="","",الموظفون!$L6*$J6/cfg_DAYS_M)</f>
        <v>28000</v>
      </c>
      <c r="L6" s="111" t="n">
        <f aca="false">IF($B6="","",الموظفون!$M6*$J6/cfg_DAYS_M)</f>
        <v>7000</v>
      </c>
      <c r="M6" s="111" t="n">
        <f aca="false">IF($B6="","",الموظفون!$N6*$J6/cfg_DAYS_M)</f>
        <v>2800</v>
      </c>
      <c r="N6" s="111" t="n">
        <f aca="false">IF($B6="","",الموظفون!$O6*$J6/cfg_DAYS_M)</f>
        <v>3000</v>
      </c>
      <c r="O6" s="151" t="n">
        <f aca="false">IF($B6="","",SUMIFS('الحركات الشهرية'!$F$6:$F$1005,'الحركات الشهرية'!$B$6:$B$1005,$B6,'الحركات الشهرية'!$A$6:$A$1005,$C$3))</f>
        <v>0</v>
      </c>
      <c r="P6" s="111" t="n">
        <f aca="false">IF($B6="","",O6*(الموظفون!$P6+الموظفون!$L6*cfg_OT_P)/cfg_DAYS_M/cfg_HRS)</f>
        <v>0</v>
      </c>
      <c r="Q6" s="111" t="n">
        <f aca="false">IF($B6="","",SUMIFS('الحركات الشهرية'!$G$6:$G$1005,'الحركات الشهرية'!$B$6:$B$1005,$B6,'الحركات الشهرية'!$A$6:$A$1005,$C$3))</f>
        <v>0</v>
      </c>
      <c r="R6" s="111" t="n">
        <f aca="false">IF($B6="","",SUMIFS('الحركات الشهرية'!$H$6:$H$1005,'الحركات الشهرية'!$B$6:$B$1005,$B6,'الحركات الشهرية'!$A$6:$A$1005,$C$3))</f>
        <v>0</v>
      </c>
      <c r="S6" s="111" t="n">
        <f aca="false">IF($B6="","",SUMIFS('سجل الإجازات والحالات'!$N$6:$N$505,'سجل الإجازات والحالات'!$B$6:$B$505,$B6,'سجل الإجازات والحالات'!$O$6:$O$505,$C$3))</f>
        <v>0</v>
      </c>
      <c r="T6" s="152" t="n">
        <f aca="false">IF($B6="","",SUM(K6:N6)+SUM(P6:S6))</f>
        <v>40800</v>
      </c>
      <c r="U6" s="111" t="n">
        <f aca="false">IF($B6="","",الموظفون!$S6*IF(E6="سعودي",cfg_G_SE,cfg_G_NE)*G6/cfg_DAYS_M)</f>
        <v>3412.5</v>
      </c>
      <c r="V6" s="111" t="n">
        <f aca="false">IF($B6="","",SUMIFS('الحركات الشهرية'!$I$6:$I$1005,'الحركات الشهرية'!$B$6:$B$1005,$B6,'الحركات الشهرية'!$A$6:$A$1005,$C$3))</f>
        <v>0</v>
      </c>
      <c r="W6" s="111" t="n">
        <f aca="false">IF($B6="","",SUMIFS('الحركات الشهرية'!$J$6:$J$1005,'الحركات الشهرية'!$B$6:$B$1005,$B6,'الحركات الشهرية'!$A$6:$A$1005,$C$3))</f>
        <v>0</v>
      </c>
      <c r="X6" s="111" t="n">
        <f aca="false">IF($B6="","",SUM(U6:W6))</f>
        <v>3412.5</v>
      </c>
      <c r="Y6" s="153" t="n">
        <f aca="false">IF($B6="","",T6-X6)</f>
        <v>37387.5</v>
      </c>
      <c r="Z6" s="111" t="n">
        <f aca="false">IF($B6="","",الموظفون!$S6*IF(E6="سعودي",cfg_G_SR,cfg_G_NR)*G6/cfg_DAYS_M)</f>
        <v>4112.5</v>
      </c>
      <c r="AA6" s="111" t="n">
        <f aca="false">IF($B6="","",الموظفون!$Q6*(cfg_EOS_R1*(MIN(AH6,cfg_EOS_TH)-MIN(AI6,cfg_EOS_TH))+cfg_EOS_R2*(MAX(AH6-cfg_EOS_TH,0)-MAX(AI6-cfg_EOS_TH,0))))</f>
        <v>3210.41095890406</v>
      </c>
      <c r="AB6" s="111" t="n">
        <f aca="false">IF($B6="","",IF(الموظفون!$T6&lt;&gt;"",الموظفون!$T6,IF(AH6&gt;=cfg_LV_TH,cfg_LV_D2,cfg_LV_D1))/cfg_DAYS_Y*AJ6*الموظفون!$R6/cfg_DAYS_M)</f>
        <v>3210.41095890411</v>
      </c>
      <c r="AC6" s="111" t="n">
        <f aca="false">IF($B6="","",IF(AND(الموظفون!$U6="نعم",N(الموظفون!$W6)&gt;0),الموظفون!$V6/الموظفون!$W6*12/cfg_DAYS_Y*AJ6,0))</f>
        <v>0</v>
      </c>
      <c r="AD6" s="111" t="n">
        <f aca="false">IF($B6="","",(IF(الموظفون!$X6&lt;&gt;"",الموظفون!$X6,IF(الموظفون!$E6="غير سعودي",cfg_IQ,0))+IF(الموظفون!$Y6&lt;&gt;"",الموظفون!$Y6,IF(الموظفون!$E6="غير سعودي",cfg_WP,0)))/12*G6/cfg_DAYS_M)</f>
        <v>0</v>
      </c>
      <c r="AE6" s="111" t="n">
        <f aca="false">IF($B6="","",IF(الموظفون!$Z6&lt;&gt;"",الموظفون!$Z6,cfg_MED)/12*G6/cfg_DAYS_M)</f>
        <v>400</v>
      </c>
      <c r="AF6" s="111" t="n">
        <f aca="false">IF($B6="","",N(الموظفون!$AA6)/12*G6/cfg_DAYS_M)</f>
        <v>0</v>
      </c>
      <c r="AG6" s="154" t="n">
        <f aca="false">IF($B6="","",T6+SUM(Z6:AF6))</f>
        <v>51733.3219178082</v>
      </c>
      <c r="AH6" s="155" t="n">
        <f aca="false">IF($B6="","",MAX(0,IF(OR(الموظفون!$AE6="",الموظفون!$AE6&gt;$F$3),$F$3,الموظفون!$AE6)-الموظفون!$H6+1-SUMIFS('سجل الإجازات والحالات'!$AH$6:$AH$505,'سجل الإجازات والحالات'!$B$6:$B$505,$B6))/cfg_DAYS_Y)</f>
        <v>14.0575342465753</v>
      </c>
      <c r="AI6" s="155" t="n">
        <f aca="false">IF($B6="","",MAX(0,IF(OR(الموظفون!$AE6="",الموظفون!$AE6&gt;($E$3-1)),($E$3-1),الموظفون!$AE6)-الموظفون!$H6+1-SUMIFS('سجل الإجازات والحالات'!$R$6:$R$505,'سجل الإجازات والحالات'!$B$6:$B$505,$B6))/cfg_DAYS_Y)</f>
        <v>13.972602739726</v>
      </c>
      <c r="AJ6" s="65" t="n">
        <f aca="false">IF($B6="","",MAX(0,AK6-(SUMIFS('سجل الإجازات والحالات'!$AH$6:$AH$505,'سجل الإجازات والحالات'!$B$6:$B$505,$B6)-SUMIFS('سجل الإجازات والحالات'!$R$6:$R$505,'سجل الإجازات والحالات'!$B$6:$B$505,$B6))))</f>
        <v>31</v>
      </c>
      <c r="AK6" s="65" t="n">
        <f aca="false">IF($B6="","",MAX(0,IF(OR(الموظفون!$AE6="",الموظفون!$AE6&gt;$F$3),$F$3,الموظفون!$AE6)-MAX($E$3,الموظفون!$H6)+1))</f>
        <v>31</v>
      </c>
      <c r="AL6" s="151" t="n">
        <f aca="false">IF($B6="","",SUMIFS('سجل الإجازات والحالات'!$AT$6:$AT$505,'سجل الإجازات والحالات'!$B$6:$B$505,$B6)+SUMIFS('الحركات الشهرية'!$K$6:$K$1005,'الحركات الشهرية'!$B$6:$B$1005,$B6,'الحركات الشهرية'!$A$6:$A$1005,$C$3))</f>
        <v>0</v>
      </c>
      <c r="AM6" s="111" t="n">
        <f aca="false">IF($B6="","",AL6*الموظفون!$R6/cfg_DAYS_M+S6)</f>
        <v>0</v>
      </c>
      <c r="AN6" s="151" t="n">
        <f aca="false">IF($B6="","",SUMIFS('سجل الإجازات والحالات'!$V$6:$V$505,'سجل الإجازات والحالات'!$B$6:$B$505,$B6))</f>
        <v>0</v>
      </c>
    </row>
    <row r="7" customFormat="false" ht="15" hidden="false" customHeight="false" outlineLevel="0" collapsed="false">
      <c r="A7" s="115" t="n">
        <f aca="false">IF($B7="","",الموظفون!$A7)</f>
        <v>2</v>
      </c>
      <c r="B7" s="117" t="str">
        <f aca="false">IF(الموظفون!$B7="","",الموظفون!$B7)</f>
        <v>E002</v>
      </c>
      <c r="C7" s="117" t="str">
        <f aca="false">IF($B7="","",الموظفون!$C7)</f>
        <v>أحمد سعيد القحطاني</v>
      </c>
      <c r="D7" s="117" t="str">
        <f aca="false">IF($B7="","",الموظفون!$F7)</f>
        <v>المالية</v>
      </c>
      <c r="E7" s="117" t="str">
        <f aca="false">IF($B7="","",الموظفون!$E7)</f>
        <v>سعودي</v>
      </c>
      <c r="F7" s="117" t="str">
        <f aca="false">IF($B7="","",IF(AK7=0,IF(AND(الموظفون!$AE7&lt;&gt;"",الموظفون!$AE7&lt;$E$3),"✖ منتهي الخدمة","⏳ لم يباشر"),IF(S7&gt;0,"✈ راتب إجازة مقدم",IF(J7=0,"⛔ بدون راتب هذا الشهر",IF(I7&gt;0,"✈ خصم "&amp;ROUND(I7,2)&amp;" يوم بدون أجر",IF(AL7&gt;0,"🌴 إجازة سنوية "&amp;ROUND(AL7,2)&amp;" يوم",IF(H7&gt;0,"⚠ غياب "&amp;ROUND(H7,2)&amp;" يوم","✔ على رأس العمل")))))))</f>
        <v>✔ على رأس العمل</v>
      </c>
      <c r="G7" s="156" t="n">
        <f aca="false">IF($B7="","",IF(AK7&gt;=DAY($F$3),cfg_DAYS_M,MIN(AK7,cfg_DAYS_M)))</f>
        <v>30</v>
      </c>
      <c r="H7" s="156" t="n">
        <f aca="false">IF($B7="","",SUMIFS('الحركات الشهرية'!$D$6:$D$1005,'الحركات الشهرية'!$B$6:$B$1005,$B7,'الحركات الشهرية'!$A$6:$A$1005,$C$3))</f>
        <v>0</v>
      </c>
      <c r="I7" s="156" t="n">
        <f aca="false">IF($B7="","",MIN(G7,IF(AND(AK7&gt;0,AN7&gt;=AK7),G7,AN7)+SUMIFS('الحركات الشهرية'!$E$6:$E$1005,'الحركات الشهرية'!$B$6:$B$1005,$B7,'الحركات الشهرية'!$A$6:$A$1005,$C$3)))</f>
        <v>0</v>
      </c>
      <c r="J7" s="156" t="n">
        <f aca="false">IF($B7="","",MAX(0,G7-H7-I7))</f>
        <v>30</v>
      </c>
      <c r="K7" s="116" t="n">
        <f aca="false">IF($B7="","",الموظفون!$L7*$J7/cfg_DAYS_M)</f>
        <v>18000</v>
      </c>
      <c r="L7" s="116" t="n">
        <f aca="false">IF($B7="","",الموظفون!$M7*$J7/cfg_DAYS_M)</f>
        <v>4500</v>
      </c>
      <c r="M7" s="116" t="n">
        <f aca="false">IF($B7="","",الموظفون!$N7*$J7/cfg_DAYS_M)</f>
        <v>1800</v>
      </c>
      <c r="N7" s="116" t="n">
        <f aca="false">IF($B7="","",الموظفون!$O7*$J7/cfg_DAYS_M)</f>
        <v>1000</v>
      </c>
      <c r="O7" s="156" t="n">
        <f aca="false">IF($B7="","",SUMIFS('الحركات الشهرية'!$F$6:$F$1005,'الحركات الشهرية'!$B$6:$B$1005,$B7,'الحركات الشهرية'!$A$6:$A$1005,$C$3))</f>
        <v>0</v>
      </c>
      <c r="P7" s="116" t="n">
        <f aca="false">IF($B7="","",O7*(الموظفون!$P7+الموظفون!$L7*cfg_OT_P)/cfg_DAYS_M/cfg_HRS)</f>
        <v>0</v>
      </c>
      <c r="Q7" s="116" t="n">
        <f aca="false">IF($B7="","",SUMIFS('الحركات الشهرية'!$G$6:$G$1005,'الحركات الشهرية'!$B$6:$B$1005,$B7,'الحركات الشهرية'!$A$6:$A$1005,$C$3))</f>
        <v>0</v>
      </c>
      <c r="R7" s="116" t="n">
        <f aca="false">IF($B7="","",SUMIFS('الحركات الشهرية'!$H$6:$H$1005,'الحركات الشهرية'!$B$6:$B$1005,$B7,'الحركات الشهرية'!$A$6:$A$1005,$C$3))</f>
        <v>0</v>
      </c>
      <c r="S7" s="116" t="n">
        <f aca="false">IF($B7="","",SUMIFS('سجل الإجازات والحالات'!$N$6:$N$505,'سجل الإجازات والحالات'!$B$6:$B$505,$B7,'سجل الإجازات والحالات'!$O$6:$O$505,$C$3))</f>
        <v>0</v>
      </c>
      <c r="T7" s="157" t="n">
        <f aca="false">IF($B7="","",SUM(K7:N7)+SUM(P7:S7))</f>
        <v>25300</v>
      </c>
      <c r="U7" s="116" t="n">
        <f aca="false">IF($B7="","",الموظفون!$S7*IF(E7="سعودي",cfg_G_SE,cfg_G_NE)*G7/cfg_DAYS_M)</f>
        <v>2193.75</v>
      </c>
      <c r="V7" s="116" t="n">
        <f aca="false">IF($B7="","",SUMIFS('الحركات الشهرية'!$I$6:$I$1005,'الحركات الشهرية'!$B$6:$B$1005,$B7,'الحركات الشهرية'!$A$6:$A$1005,$C$3))</f>
        <v>0</v>
      </c>
      <c r="W7" s="116" t="n">
        <f aca="false">IF($B7="","",SUMIFS('الحركات الشهرية'!$J$6:$J$1005,'الحركات الشهرية'!$B$6:$B$1005,$B7,'الحركات الشهرية'!$A$6:$A$1005,$C$3))</f>
        <v>0</v>
      </c>
      <c r="X7" s="116" t="n">
        <f aca="false">IF($B7="","",SUM(U7:W7))</f>
        <v>2193.75</v>
      </c>
      <c r="Y7" s="158" t="n">
        <f aca="false">IF($B7="","",T7-X7)</f>
        <v>23106.25</v>
      </c>
      <c r="Z7" s="116" t="n">
        <f aca="false">IF($B7="","",الموظفون!$S7*IF(E7="سعودي",cfg_G_SR,cfg_G_NR)*G7/cfg_DAYS_M)</f>
        <v>2643.75</v>
      </c>
      <c r="AA7" s="116" t="n">
        <f aca="false">IF($B7="","",الموظفون!$Q7*(cfg_EOS_R1*(MIN(AH7,cfg_EOS_TH)-MIN(AI7,cfg_EOS_TH))+cfg_EOS_R2*(MAX(AH7-cfg_EOS_TH,0)-MAX(AI7-cfg_EOS_TH,0))))</f>
        <v>2063.83561643837</v>
      </c>
      <c r="AB7" s="116" t="n">
        <f aca="false">IF($B7="","",IF(الموظفون!$T7&lt;&gt;"",الموظفون!$T7,IF(AH7&gt;=cfg_LV_TH,cfg_LV_D2,cfg_LV_D1))/cfg_DAYS_Y*AJ7*الموظفون!$R7/cfg_DAYS_M)</f>
        <v>2063.83561643836</v>
      </c>
      <c r="AC7" s="116" t="n">
        <f aca="false">IF($B7="","",IF(AND(الموظفون!$U7="نعم",N(الموظفون!$W7)&gt;0),الموظفون!$V7/الموظفون!$W7*12/cfg_DAYS_Y*AJ7,0))</f>
        <v>0</v>
      </c>
      <c r="AD7" s="116" t="n">
        <f aca="false">IF($B7="","",(IF(الموظفون!$X7&lt;&gt;"",الموظفون!$X7,IF(الموظفون!$E7="غير سعودي",cfg_IQ,0))+IF(الموظفون!$Y7&lt;&gt;"",الموظفون!$Y7,IF(الموظفون!$E7="غير سعودي",cfg_WP,0)))/12*G7/cfg_DAYS_M)</f>
        <v>0</v>
      </c>
      <c r="AE7" s="116" t="n">
        <f aca="false">IF($B7="","",IF(الموظفون!$Z7&lt;&gt;"",الموظفون!$Z7,cfg_MED)/12*G7/cfg_DAYS_M)</f>
        <v>300</v>
      </c>
      <c r="AF7" s="116" t="n">
        <f aca="false">IF($B7="","",N(الموظفون!$AA7)/12*G7/cfg_DAYS_M)</f>
        <v>0</v>
      </c>
      <c r="AG7" s="159" t="n">
        <f aca="false">IF($B7="","",T7+SUM(Z7:AF7))</f>
        <v>32371.4212328767</v>
      </c>
      <c r="AH7" s="160" t="n">
        <f aca="false">IF($B7="","",MAX(0,IF(OR(الموظفون!$AE7="",الموظفون!$AE7&gt;$F$3),$F$3,الموظفون!$AE7)-الموظفون!$H7+1-SUMIFS('سجل الإجازات والحالات'!$AH$6:$AH$505,'سجل الإجازات والحالات'!$B$6:$B$505,$B7))/cfg_DAYS_Y)</f>
        <v>9.67671232876712</v>
      </c>
      <c r="AI7" s="160" t="n">
        <f aca="false">IF($B7="","",MAX(0,IF(OR(الموظفون!$AE7="",الموظفون!$AE7&gt;($E$3-1)),($E$3-1),الموظفون!$AE7)-الموظفون!$H7+1-SUMIFS('سجل الإجازات والحالات'!$R$6:$R$505,'سجل الإجازات والحالات'!$B$6:$B$505,$B7))/cfg_DAYS_Y)</f>
        <v>9.59178082191781</v>
      </c>
      <c r="AJ7" s="133" t="n">
        <f aca="false">IF($B7="","",MAX(0,AK7-(SUMIFS('سجل الإجازات والحالات'!$AH$6:$AH$505,'سجل الإجازات والحالات'!$B$6:$B$505,$B7)-SUMIFS('سجل الإجازات والحالات'!$R$6:$R$505,'سجل الإجازات والحالات'!$B$6:$B$505,$B7))))</f>
        <v>31</v>
      </c>
      <c r="AK7" s="133" t="n">
        <f aca="false">IF($B7="","",MAX(0,IF(OR(الموظفون!$AE7="",الموظفون!$AE7&gt;$F$3),$F$3,الموظفون!$AE7)-MAX($E$3,الموظفون!$H7)+1))</f>
        <v>31</v>
      </c>
      <c r="AL7" s="156" t="n">
        <f aca="false">IF($B7="","",SUMIFS('سجل الإجازات والحالات'!$AT$6:$AT$505,'سجل الإجازات والحالات'!$B$6:$B$505,$B7)+SUMIFS('الحركات الشهرية'!$K$6:$K$1005,'الحركات الشهرية'!$B$6:$B$1005,$B7,'الحركات الشهرية'!$A$6:$A$1005,$C$3))</f>
        <v>0</v>
      </c>
      <c r="AM7" s="116" t="n">
        <f aca="false">IF($B7="","",AL7*الموظفون!$R7/cfg_DAYS_M+S7)</f>
        <v>0</v>
      </c>
      <c r="AN7" s="156" t="n">
        <f aca="false">IF($B7="","",SUMIFS('سجل الإجازات والحالات'!$V$6:$V$505,'سجل الإجازات والحالات'!$B$6:$B$505,$B7))</f>
        <v>0</v>
      </c>
    </row>
    <row r="8" customFormat="false" ht="15" hidden="false" customHeight="false" outlineLevel="0" collapsed="false">
      <c r="A8" s="106" t="n">
        <f aca="false">IF($B8="","",الموظفون!$A8)</f>
        <v>3</v>
      </c>
      <c r="B8" s="114" t="str">
        <f aca="false">IF(الموظفون!$B8="","",الموظفون!$B8)</f>
        <v>E003</v>
      </c>
      <c r="C8" s="114" t="str">
        <f aca="false">IF($B8="","",الموظفون!$C8)</f>
        <v>محمد علي حسن</v>
      </c>
      <c r="D8" s="114" t="str">
        <f aca="false">IF($B8="","",الموظفون!$F8)</f>
        <v>المالية</v>
      </c>
      <c r="E8" s="114" t="str">
        <f aca="false">IF($B8="","",الموظفون!$E8)</f>
        <v>غير سعودي</v>
      </c>
      <c r="F8" s="114" t="str">
        <f aca="false">IF($B8="","",IF(AK8=0,IF(AND(الموظفون!$AE8&lt;&gt;"",الموظفون!$AE8&lt;$E$3),"✖ منتهي الخدمة","⏳ لم يباشر"),IF(S8&gt;0,"✈ راتب إجازة مقدم",IF(J8=0,"⛔ بدون راتب هذا الشهر",IF(I8&gt;0,"✈ خصم "&amp;ROUND(I8,2)&amp;" يوم بدون أجر",IF(AL8&gt;0,"🌴 إجازة سنوية "&amp;ROUND(AL8,2)&amp;" يوم",IF(H8&gt;0,"⚠ غياب "&amp;ROUND(H8,2)&amp;" يوم","✔ على رأس العمل")))))))</f>
        <v>✔ على رأس العمل</v>
      </c>
      <c r="G8" s="151" t="n">
        <f aca="false">IF($B8="","",IF(AK8&gt;=DAY($F$3),cfg_DAYS_M,MIN(AK8,cfg_DAYS_M)))</f>
        <v>30</v>
      </c>
      <c r="H8" s="151" t="n">
        <f aca="false">IF($B8="","",SUMIFS('الحركات الشهرية'!$D$6:$D$1005,'الحركات الشهرية'!$B$6:$B$1005,$B8,'الحركات الشهرية'!$A$6:$A$1005,$C$3))</f>
        <v>0</v>
      </c>
      <c r="I8" s="151" t="n">
        <f aca="false">IF($B8="","",MIN(G8,IF(AND(AK8&gt;0,AN8&gt;=AK8),G8,AN8)+SUMIFS('الحركات الشهرية'!$E$6:$E$1005,'الحركات الشهرية'!$B$6:$B$1005,$B8,'الحركات الشهرية'!$A$6:$A$1005,$C$3)))</f>
        <v>0</v>
      </c>
      <c r="J8" s="151" t="n">
        <f aca="false">IF($B8="","",MAX(0,G8-H8-I8))</f>
        <v>30</v>
      </c>
      <c r="K8" s="111" t="n">
        <f aca="false">IF($B8="","",الموظفون!$L8*$J8/cfg_DAYS_M)</f>
        <v>8500</v>
      </c>
      <c r="L8" s="111" t="n">
        <f aca="false">IF($B8="","",الموظفون!$M8*$J8/cfg_DAYS_M)</f>
        <v>2125</v>
      </c>
      <c r="M8" s="111" t="n">
        <f aca="false">IF($B8="","",الموظفون!$N8*$J8/cfg_DAYS_M)</f>
        <v>850</v>
      </c>
      <c r="N8" s="111" t="n">
        <f aca="false">IF($B8="","",الموظفون!$O8*$J8/cfg_DAYS_M)</f>
        <v>500</v>
      </c>
      <c r="O8" s="151" t="n">
        <f aca="false">IF($B8="","",SUMIFS('الحركات الشهرية'!$F$6:$F$1005,'الحركات الشهرية'!$B$6:$B$1005,$B8,'الحركات الشهرية'!$A$6:$A$1005,$C$3))</f>
        <v>12</v>
      </c>
      <c r="P8" s="111" t="n">
        <f aca="false">IF($B8="","",O8*(الموظفون!$P8+الموظفون!$L8*cfg_OT_P)/cfg_DAYS_M/cfg_HRS)</f>
        <v>811.25</v>
      </c>
      <c r="Q8" s="111" t="n">
        <f aca="false">IF($B8="","",SUMIFS('الحركات الشهرية'!$G$6:$G$1005,'الحركات الشهرية'!$B$6:$B$1005,$B8,'الحركات الشهرية'!$A$6:$A$1005,$C$3))</f>
        <v>0</v>
      </c>
      <c r="R8" s="111" t="n">
        <f aca="false">IF($B8="","",SUMIFS('الحركات الشهرية'!$H$6:$H$1005,'الحركات الشهرية'!$B$6:$B$1005,$B8,'الحركات الشهرية'!$A$6:$A$1005,$C$3))</f>
        <v>0</v>
      </c>
      <c r="S8" s="111" t="n">
        <f aca="false">IF($B8="","",SUMIFS('سجل الإجازات والحالات'!$N$6:$N$505,'سجل الإجازات والحالات'!$B$6:$B$505,$B8,'سجل الإجازات والحالات'!$O$6:$O$505,$C$3))</f>
        <v>0</v>
      </c>
      <c r="T8" s="152" t="n">
        <f aca="false">IF($B8="","",SUM(K8:N8)+SUM(P8:S8))</f>
        <v>12786.25</v>
      </c>
      <c r="U8" s="111" t="n">
        <f aca="false">IF($B8="","",الموظفون!$S8*IF(E8="سعودي",cfg_G_SE,cfg_G_NE)*G8/cfg_DAYS_M)</f>
        <v>0</v>
      </c>
      <c r="V8" s="111" t="n">
        <f aca="false">IF($B8="","",SUMIFS('الحركات الشهرية'!$I$6:$I$1005,'الحركات الشهرية'!$B$6:$B$1005,$B8,'الحركات الشهرية'!$A$6:$A$1005,$C$3))</f>
        <v>1000</v>
      </c>
      <c r="W8" s="111" t="n">
        <f aca="false">IF($B8="","",SUMIFS('الحركات الشهرية'!$J$6:$J$1005,'الحركات الشهرية'!$B$6:$B$1005,$B8,'الحركات الشهرية'!$A$6:$A$1005,$C$3))</f>
        <v>0</v>
      </c>
      <c r="X8" s="111" t="n">
        <f aca="false">IF($B8="","",SUM(U8:W8))</f>
        <v>1000</v>
      </c>
      <c r="Y8" s="153" t="n">
        <f aca="false">IF($B8="","",T8-X8)</f>
        <v>11786.25</v>
      </c>
      <c r="Z8" s="111" t="n">
        <f aca="false">IF($B8="","",الموظفون!$S8*IF(E8="سعودي",cfg_G_SR,cfg_G_NR)*G8/cfg_DAYS_M)</f>
        <v>212.5</v>
      </c>
      <c r="AA8" s="111" t="n">
        <f aca="false">IF($B8="","",الموظفون!$Q8*(cfg_EOS_R1*(MIN(AH8,cfg_EOS_TH)-MIN(AI8,cfg_EOS_TH))+cfg_EOS_R2*(MAX(AH8-cfg_EOS_TH,0)-MAX(AI8-cfg_EOS_TH,0))))</f>
        <v>974.589041095895</v>
      </c>
      <c r="AB8" s="111" t="n">
        <f aca="false">IF($B8="","",IF(الموظفون!$T8&lt;&gt;"",الموظفون!$T8,IF(AH8&gt;=cfg_LV_TH,cfg_LV_D2,cfg_LV_D1))/cfg_DAYS_Y*AJ8*الموظفون!$R8/cfg_DAYS_M)</f>
        <v>974.589041095891</v>
      </c>
      <c r="AC8" s="111" t="n">
        <f aca="false">IF($B8="","",IF(AND(الموظفون!$U8="نعم",N(الموظفون!$W8)&gt;0),الموظفون!$V8/الموظفون!$W8*12/cfg_DAYS_Y*AJ8,0))</f>
        <v>135.890410958904</v>
      </c>
      <c r="AD8" s="111" t="n">
        <f aca="false">IF($B8="","",(IF(الموظفون!$X8&lt;&gt;"",الموظفون!$X8,IF(الموظفون!$E8="غير سعودي",cfg_IQ,0))+IF(الموظفون!$Y8&lt;&gt;"",الموظفون!$Y8,IF(الموظفون!$E8="غير سعودي",cfg_WP,0)))/12*G8/cfg_DAYS_M)</f>
        <v>854.166666666667</v>
      </c>
      <c r="AE8" s="111" t="n">
        <f aca="false">IF($B8="","",IF(الموظفون!$Z8&lt;&gt;"",الموظفون!$Z8,cfg_MED)/12*G8/cfg_DAYS_M)</f>
        <v>200</v>
      </c>
      <c r="AF8" s="111" t="n">
        <f aca="false">IF($B8="","",N(الموظفون!$AA8)/12*G8/cfg_DAYS_M)</f>
        <v>0</v>
      </c>
      <c r="AG8" s="154" t="n">
        <f aca="false">IF($B8="","",T8+SUM(Z8:AF8))</f>
        <v>16137.9851598174</v>
      </c>
      <c r="AH8" s="155" t="n">
        <f aca="false">IF($B8="","",MAX(0,IF(OR(الموظفون!$AE8="",الموظفون!$AE8&gt;$F$3),$F$3,الموظفون!$AE8)-الموظفون!$H8+1-SUMIFS('سجل الإجازات والحالات'!$AH$6:$AH$505,'سجل الإجازات والحالات'!$B$6:$B$505,$B8))/cfg_DAYS_Y)</f>
        <v>7.4</v>
      </c>
      <c r="AI8" s="155" t="n">
        <f aca="false">IF($B8="","",MAX(0,IF(OR(الموظفون!$AE8="",الموظفون!$AE8&gt;($E$3-1)),($E$3-1),الموظفون!$AE8)-الموظفون!$H8+1-SUMIFS('سجل الإجازات والحالات'!$R$6:$R$505,'سجل الإجازات والحالات'!$B$6:$B$505,$B8))/cfg_DAYS_Y)</f>
        <v>7.31506849315069</v>
      </c>
      <c r="AJ8" s="65" t="n">
        <f aca="false">IF($B8="","",MAX(0,AK8-(SUMIFS('سجل الإجازات والحالات'!$AH$6:$AH$505,'سجل الإجازات والحالات'!$B$6:$B$505,$B8)-SUMIFS('سجل الإجازات والحالات'!$R$6:$R$505,'سجل الإجازات والحالات'!$B$6:$B$505,$B8))))</f>
        <v>31</v>
      </c>
      <c r="AK8" s="65" t="n">
        <f aca="false">IF($B8="","",MAX(0,IF(OR(الموظفون!$AE8="",الموظفون!$AE8&gt;$F$3),$F$3,الموظفون!$AE8)-MAX($E$3,الموظفون!$H8)+1))</f>
        <v>31</v>
      </c>
      <c r="AL8" s="151" t="n">
        <f aca="false">IF($B8="","",SUMIFS('سجل الإجازات والحالات'!$AT$6:$AT$505,'سجل الإجازات والحالات'!$B$6:$B$505,$B8)+SUMIFS('الحركات الشهرية'!$K$6:$K$1005,'الحركات الشهرية'!$B$6:$B$1005,$B8,'الحركات الشهرية'!$A$6:$A$1005,$C$3))</f>
        <v>0</v>
      </c>
      <c r="AM8" s="111" t="n">
        <f aca="false">IF($B8="","",AL8*الموظفون!$R8/cfg_DAYS_M+S8)</f>
        <v>0</v>
      </c>
      <c r="AN8" s="151" t="n">
        <f aca="false">IF($B8="","",SUMIFS('سجل الإجازات والحالات'!$V$6:$V$505,'سجل الإجازات والحالات'!$B$6:$B$505,$B8))</f>
        <v>0</v>
      </c>
    </row>
    <row r="9" customFormat="false" ht="15" hidden="false" customHeight="false" outlineLevel="0" collapsed="false">
      <c r="A9" s="115" t="n">
        <f aca="false">IF($B9="","",الموظفون!$A9)</f>
        <v>4</v>
      </c>
      <c r="B9" s="117" t="str">
        <f aca="false">IF(الموظفون!$B9="","",الموظفون!$B9)</f>
        <v>E004</v>
      </c>
      <c r="C9" s="117" t="str">
        <f aca="false">IF($B9="","",الموظفون!$C9)</f>
        <v>نورة خالد الدوسري</v>
      </c>
      <c r="D9" s="117" t="str">
        <f aca="false">IF($B9="","",الموظفون!$F9)</f>
        <v>الموارد البشرية</v>
      </c>
      <c r="E9" s="117" t="str">
        <f aca="false">IF($B9="","",الموظفون!$E9)</f>
        <v>سعودي</v>
      </c>
      <c r="F9" s="117" t="str">
        <f aca="false">IF($B9="","",IF(AK9=0,IF(AND(الموظفون!$AE9&lt;&gt;"",الموظفون!$AE9&lt;$E$3),"✖ منتهي الخدمة","⏳ لم يباشر"),IF(S9&gt;0,"✈ راتب إجازة مقدم",IF(J9=0,"⛔ بدون راتب هذا الشهر",IF(I9&gt;0,"✈ خصم "&amp;ROUND(I9,2)&amp;" يوم بدون أجر",IF(AL9&gt;0,"🌴 إجازة سنوية "&amp;ROUND(AL9,2)&amp;" يوم",IF(H9&gt;0,"⚠ غياب "&amp;ROUND(H9,2)&amp;" يوم","✔ على رأس العمل")))))))</f>
        <v>✔ على رأس العمل</v>
      </c>
      <c r="G9" s="156" t="n">
        <f aca="false">IF($B9="","",IF(AK9&gt;=DAY($F$3),cfg_DAYS_M,MIN(AK9,cfg_DAYS_M)))</f>
        <v>30</v>
      </c>
      <c r="H9" s="156" t="n">
        <f aca="false">IF($B9="","",SUMIFS('الحركات الشهرية'!$D$6:$D$1005,'الحركات الشهرية'!$B$6:$B$1005,$B9,'الحركات الشهرية'!$A$6:$A$1005,$C$3))</f>
        <v>0</v>
      </c>
      <c r="I9" s="156" t="n">
        <f aca="false">IF($B9="","",MIN(G9,IF(AND(AK9&gt;0,AN9&gt;=AK9),G9,AN9)+SUMIFS('الحركات الشهرية'!$E$6:$E$1005,'الحركات الشهرية'!$B$6:$B$1005,$B9,'الحركات الشهرية'!$A$6:$A$1005,$C$3)))</f>
        <v>0</v>
      </c>
      <c r="J9" s="156" t="n">
        <f aca="false">IF($B9="","",MAX(0,G9-H9-I9))</f>
        <v>30</v>
      </c>
      <c r="K9" s="116" t="n">
        <f aca="false">IF($B9="","",الموظفون!$L9*$J9/cfg_DAYS_M)</f>
        <v>14000</v>
      </c>
      <c r="L9" s="116" t="n">
        <f aca="false">IF($B9="","",الموظفون!$M9*$J9/cfg_DAYS_M)</f>
        <v>3500</v>
      </c>
      <c r="M9" s="116" t="n">
        <f aca="false">IF($B9="","",الموظفون!$N9*$J9/cfg_DAYS_M)</f>
        <v>1400</v>
      </c>
      <c r="N9" s="116" t="n">
        <f aca="false">IF($B9="","",الموظفون!$O9*$J9/cfg_DAYS_M)</f>
        <v>0</v>
      </c>
      <c r="O9" s="156" t="n">
        <f aca="false">IF($B9="","",SUMIFS('الحركات الشهرية'!$F$6:$F$1005,'الحركات الشهرية'!$B$6:$B$1005,$B9,'الحركات الشهرية'!$A$6:$A$1005,$C$3))</f>
        <v>0</v>
      </c>
      <c r="P9" s="116" t="n">
        <f aca="false">IF($B9="","",O9*(الموظفون!$P9+الموظفون!$L9*cfg_OT_P)/cfg_DAYS_M/cfg_HRS)</f>
        <v>0</v>
      </c>
      <c r="Q9" s="116" t="n">
        <f aca="false">IF($B9="","",SUMIFS('الحركات الشهرية'!$G$6:$G$1005,'الحركات الشهرية'!$B$6:$B$1005,$B9,'الحركات الشهرية'!$A$6:$A$1005,$C$3))</f>
        <v>0</v>
      </c>
      <c r="R9" s="116" t="n">
        <f aca="false">IF($B9="","",SUMIFS('الحركات الشهرية'!$H$6:$H$1005,'الحركات الشهرية'!$B$6:$B$1005,$B9,'الحركات الشهرية'!$A$6:$A$1005,$C$3))</f>
        <v>0</v>
      </c>
      <c r="S9" s="116" t="n">
        <f aca="false">IF($B9="","",SUMIFS('سجل الإجازات والحالات'!$N$6:$N$505,'سجل الإجازات والحالات'!$B$6:$B$505,$B9,'سجل الإجازات والحالات'!$O$6:$O$505,$C$3))</f>
        <v>0</v>
      </c>
      <c r="T9" s="157" t="n">
        <f aca="false">IF($B9="","",SUM(K9:N9)+SUM(P9:S9))</f>
        <v>18900</v>
      </c>
      <c r="U9" s="116" t="n">
        <f aca="false">IF($B9="","",الموظفون!$S9*IF(E9="سعودي",cfg_G_SE,cfg_G_NE)*G9/cfg_DAYS_M)</f>
        <v>1706.25</v>
      </c>
      <c r="V9" s="116" t="n">
        <f aca="false">IF($B9="","",SUMIFS('الحركات الشهرية'!$I$6:$I$1005,'الحركات الشهرية'!$B$6:$B$1005,$B9,'الحركات الشهرية'!$A$6:$A$1005,$C$3))</f>
        <v>0</v>
      </c>
      <c r="W9" s="116" t="n">
        <f aca="false">IF($B9="","",SUMIFS('الحركات الشهرية'!$J$6:$J$1005,'الحركات الشهرية'!$B$6:$B$1005,$B9,'الحركات الشهرية'!$A$6:$A$1005,$C$3))</f>
        <v>0</v>
      </c>
      <c r="X9" s="116" t="n">
        <f aca="false">IF($B9="","",SUM(U9:W9))</f>
        <v>1706.25</v>
      </c>
      <c r="Y9" s="158" t="n">
        <f aca="false">IF($B9="","",T9-X9)</f>
        <v>17193.75</v>
      </c>
      <c r="Z9" s="116" t="n">
        <f aca="false">IF($B9="","",الموظفون!$S9*IF(E9="سعودي",cfg_G_SR,cfg_G_NR)*G9/cfg_DAYS_M)</f>
        <v>2056.25</v>
      </c>
      <c r="AA9" s="116" t="n">
        <f aca="false">IF($B9="","",الموظفون!$Q9*(cfg_EOS_R1*(MIN(AH9,cfg_EOS_TH)-MIN(AI9,cfg_EOS_TH))+cfg_EOS_R2*(MAX(AH9-cfg_EOS_TH,0)-MAX(AI9-cfg_EOS_TH,0))))</f>
        <v>1605.20547945206</v>
      </c>
      <c r="AB9" s="116" t="n">
        <f aca="false">IF($B9="","",IF(الموظفون!$T9&lt;&gt;"",الموظفون!$T9,IF(AH9&gt;=cfg_LV_TH,cfg_LV_D2,cfg_LV_D1))/cfg_DAYS_Y*AJ9*الموظفون!$R9/cfg_DAYS_M)</f>
        <v>1605.20547945205</v>
      </c>
      <c r="AC9" s="116" t="n">
        <f aca="false">IF($B9="","",IF(AND(الموظفون!$U9="نعم",N(الموظفون!$W9)&gt;0),الموظفون!$V9/الموظفون!$W9*12/cfg_DAYS_Y*AJ9,0))</f>
        <v>0</v>
      </c>
      <c r="AD9" s="116" t="n">
        <f aca="false">IF($B9="","",(IF(الموظفون!$X9&lt;&gt;"",الموظفون!$X9,IF(الموظفون!$E9="غير سعودي",cfg_IQ,0))+IF(الموظفون!$Y9&lt;&gt;"",الموظفون!$Y9,IF(الموظفون!$E9="غير سعودي",cfg_WP,0)))/12*G9/cfg_DAYS_M)</f>
        <v>0</v>
      </c>
      <c r="AE9" s="116" t="n">
        <f aca="false">IF($B9="","",IF(الموظفون!$Z9&lt;&gt;"",الموظفون!$Z9,cfg_MED)/12*G9/cfg_DAYS_M)</f>
        <v>300</v>
      </c>
      <c r="AF9" s="116" t="n">
        <f aca="false">IF($B9="","",N(الموظفون!$AA9)/12*G9/cfg_DAYS_M)</f>
        <v>0</v>
      </c>
      <c r="AG9" s="159" t="n">
        <f aca="false">IF($B9="","",T9+SUM(Z9:AF9))</f>
        <v>24466.6609589041</v>
      </c>
      <c r="AH9" s="160" t="n">
        <f aca="false">IF($B9="","",MAX(0,IF(OR(الموظفون!$AE9="",الموظفون!$AE9&gt;$F$3),$F$3,الموظفون!$AE9)-الموظفون!$H9+1-SUMIFS('سجل الإجازات والحالات'!$AH$6:$AH$505,'سجل الإجازات والحالات'!$B$6:$B$505,$B9))/cfg_DAYS_Y)</f>
        <v>7.0054794520548</v>
      </c>
      <c r="AI9" s="160" t="n">
        <f aca="false">IF($B9="","",MAX(0,IF(OR(الموظفون!$AE9="",الموظفون!$AE9&gt;($E$3-1)),($E$3-1),الموظفون!$AE9)-الموظفون!$H9+1-SUMIFS('سجل الإجازات والحالات'!$R$6:$R$505,'سجل الإجازات والحالات'!$B$6:$B$505,$B9))/cfg_DAYS_Y)</f>
        <v>6.92054794520548</v>
      </c>
      <c r="AJ9" s="133" t="n">
        <f aca="false">IF($B9="","",MAX(0,AK9-(SUMIFS('سجل الإجازات والحالات'!$AH$6:$AH$505,'سجل الإجازات والحالات'!$B$6:$B$505,$B9)-SUMIFS('سجل الإجازات والحالات'!$R$6:$R$505,'سجل الإجازات والحالات'!$B$6:$B$505,$B9))))</f>
        <v>31</v>
      </c>
      <c r="AK9" s="133" t="n">
        <f aca="false">IF($B9="","",MAX(0,IF(OR(الموظفون!$AE9="",الموظفون!$AE9&gt;$F$3),$F$3,الموظفون!$AE9)-MAX($E$3,الموظفون!$H9)+1))</f>
        <v>31</v>
      </c>
      <c r="AL9" s="156" t="n">
        <f aca="false">IF($B9="","",SUMIFS('سجل الإجازات والحالات'!$AT$6:$AT$505,'سجل الإجازات والحالات'!$B$6:$B$505,$B9)+SUMIFS('الحركات الشهرية'!$K$6:$K$1005,'الحركات الشهرية'!$B$6:$B$1005,$B9,'الحركات الشهرية'!$A$6:$A$1005,$C$3))</f>
        <v>0</v>
      </c>
      <c r="AM9" s="116" t="n">
        <f aca="false">IF($B9="","",AL9*الموظفون!$R9/cfg_DAYS_M+S9)</f>
        <v>0</v>
      </c>
      <c r="AN9" s="156" t="n">
        <f aca="false">IF($B9="","",SUMIFS('سجل الإجازات والحالات'!$V$6:$V$505,'سجل الإجازات والحالات'!$B$6:$B$505,$B9))</f>
        <v>0</v>
      </c>
    </row>
    <row r="10" customFormat="false" ht="15" hidden="false" customHeight="false" outlineLevel="0" collapsed="false">
      <c r="A10" s="106" t="n">
        <f aca="false">IF($B10="","",الموظفون!$A10)</f>
        <v>5</v>
      </c>
      <c r="B10" s="114" t="str">
        <f aca="false">IF(الموظفون!$B10="","",الموظفون!$B10)</f>
        <v>E005</v>
      </c>
      <c r="C10" s="114" t="str">
        <f aca="false">IF($B10="","",الموظفون!$C10)</f>
        <v>راجيش كومار</v>
      </c>
      <c r="D10" s="114" t="str">
        <f aca="false">IF($B10="","",الموظفون!$F10)</f>
        <v>تقنية المعلومات</v>
      </c>
      <c r="E10" s="114" t="str">
        <f aca="false">IF($B10="","",الموظفون!$E10)</f>
        <v>غير سعودي</v>
      </c>
      <c r="F10" s="114" t="str">
        <f aca="false">IF($B10="","",IF(AK10=0,IF(AND(الموظفون!$AE10&lt;&gt;"",الموظفون!$AE10&lt;$E$3),"✖ منتهي الخدمة","⏳ لم يباشر"),IF(S10&gt;0,"✈ راتب إجازة مقدم",IF(J10=0,"⛔ بدون راتب هذا الشهر",IF(I10&gt;0,"✈ خصم "&amp;ROUND(I10,2)&amp;" يوم بدون أجر",IF(AL10&gt;0,"🌴 إجازة سنوية "&amp;ROUND(AL10,2)&amp;" يوم",IF(H10&gt;0,"⚠ غياب "&amp;ROUND(H10,2)&amp;" يوم","✔ على رأس العمل")))))))</f>
        <v>✔ على رأس العمل</v>
      </c>
      <c r="G10" s="151" t="n">
        <f aca="false">IF($B10="","",IF(AK10&gt;=DAY($F$3),cfg_DAYS_M,MIN(AK10,cfg_DAYS_M)))</f>
        <v>30</v>
      </c>
      <c r="H10" s="151" t="n">
        <f aca="false">IF($B10="","",SUMIFS('الحركات الشهرية'!$D$6:$D$1005,'الحركات الشهرية'!$B$6:$B$1005,$B10,'الحركات الشهرية'!$A$6:$A$1005,$C$3))</f>
        <v>0</v>
      </c>
      <c r="I10" s="151" t="n">
        <f aca="false">IF($B10="","",MIN(G10,IF(AND(AK10&gt;0,AN10&gt;=AK10),G10,AN10)+SUMIFS('الحركات الشهرية'!$E$6:$E$1005,'الحركات الشهرية'!$B$6:$B$1005,$B10,'الحركات الشهرية'!$A$6:$A$1005,$C$3)))</f>
        <v>0</v>
      </c>
      <c r="J10" s="151" t="n">
        <f aca="false">IF($B10="","",MAX(0,G10-H10-I10))</f>
        <v>30</v>
      </c>
      <c r="K10" s="111" t="n">
        <f aca="false">IF($B10="","",الموظفون!$L10*$J10/cfg_DAYS_M)</f>
        <v>9000</v>
      </c>
      <c r="L10" s="111" t="n">
        <f aca="false">IF($B10="","",الموظفون!$M10*$J10/cfg_DAYS_M)</f>
        <v>2250</v>
      </c>
      <c r="M10" s="111" t="n">
        <f aca="false">IF($B10="","",الموظفون!$N10*$J10/cfg_DAYS_M)</f>
        <v>900</v>
      </c>
      <c r="N10" s="111" t="n">
        <f aca="false">IF($B10="","",الموظفون!$O10*$J10/cfg_DAYS_M)</f>
        <v>700</v>
      </c>
      <c r="O10" s="151" t="n">
        <f aca="false">IF($B10="","",SUMIFS('الحركات الشهرية'!$F$6:$F$1005,'الحركات الشهرية'!$B$6:$B$1005,$B10,'الحركات الشهرية'!$A$6:$A$1005,$C$3))</f>
        <v>0</v>
      </c>
      <c r="P10" s="111" t="n">
        <f aca="false">IF($B10="","",O10*(الموظفون!$P10+الموظفون!$L10*cfg_OT_P)/cfg_DAYS_M/cfg_HRS)</f>
        <v>0</v>
      </c>
      <c r="Q10" s="111" t="n">
        <f aca="false">IF($B10="","",SUMIFS('الحركات الشهرية'!$G$6:$G$1005,'الحركات الشهرية'!$B$6:$B$1005,$B10,'الحركات الشهرية'!$A$6:$A$1005,$C$3))</f>
        <v>0</v>
      </c>
      <c r="R10" s="111" t="n">
        <f aca="false">IF($B10="","",SUMIFS('الحركات الشهرية'!$H$6:$H$1005,'الحركات الشهرية'!$B$6:$B$1005,$B10,'الحركات الشهرية'!$A$6:$A$1005,$C$3))</f>
        <v>0</v>
      </c>
      <c r="S10" s="111" t="n">
        <f aca="false">IF($B10="","",SUMIFS('سجل الإجازات والحالات'!$N$6:$N$505,'سجل الإجازات والحالات'!$B$6:$B$505,$B10,'سجل الإجازات والحالات'!$O$6:$O$505,$C$3))</f>
        <v>0</v>
      </c>
      <c r="T10" s="152" t="n">
        <f aca="false">IF($B10="","",SUM(K10:N10)+SUM(P10:S10))</f>
        <v>12850</v>
      </c>
      <c r="U10" s="111" t="n">
        <f aca="false">IF($B10="","",الموظفون!$S10*IF(E10="سعودي",cfg_G_SE,cfg_G_NE)*G10/cfg_DAYS_M)</f>
        <v>0</v>
      </c>
      <c r="V10" s="111" t="n">
        <f aca="false">IF($B10="","",SUMIFS('الحركات الشهرية'!$I$6:$I$1005,'الحركات الشهرية'!$B$6:$B$1005,$B10,'الحركات الشهرية'!$A$6:$A$1005,$C$3))</f>
        <v>0</v>
      </c>
      <c r="W10" s="111" t="n">
        <f aca="false">IF($B10="","",SUMIFS('الحركات الشهرية'!$J$6:$J$1005,'الحركات الشهرية'!$B$6:$B$1005,$B10,'الحركات الشهرية'!$A$6:$A$1005,$C$3))</f>
        <v>0</v>
      </c>
      <c r="X10" s="111" t="n">
        <f aca="false">IF($B10="","",SUM(U10:W10))</f>
        <v>0</v>
      </c>
      <c r="Y10" s="153" t="n">
        <f aca="false">IF($B10="","",T10-X10)</f>
        <v>12850</v>
      </c>
      <c r="Z10" s="111" t="n">
        <f aca="false">IF($B10="","",الموظفون!$S10*IF(E10="سعودي",cfg_G_SR,cfg_G_NR)*G10/cfg_DAYS_M)</f>
        <v>225</v>
      </c>
      <c r="AA10" s="111" t="n">
        <f aca="false">IF($B10="","",الموظفون!$Q10*(cfg_EOS_R1*(MIN(AH10,cfg_EOS_TH)-MIN(AI10,cfg_EOS_TH))+cfg_EOS_R2*(MAX(AH10-cfg_EOS_TH,0)-MAX(AI10-cfg_EOS_TH,0))))</f>
        <v>1031.91780821918</v>
      </c>
      <c r="AB10" s="111" t="n">
        <f aca="false">IF($B10="","",IF(الموظفون!$T10&lt;&gt;"",الموظفون!$T10,IF(AH10&gt;=cfg_LV_TH,cfg_LV_D2,cfg_LV_D1))/cfg_DAYS_Y*AJ10*الموظفون!$R10/cfg_DAYS_M)</f>
        <v>1031.91780821918</v>
      </c>
      <c r="AC10" s="111" t="n">
        <f aca="false">IF($B10="","",IF(AND(الموظفون!$U10="نعم",N(الموظفون!$W10)&gt;0),الموظفون!$V10/الموظفون!$W10*12/cfg_DAYS_Y*AJ10,0))</f>
        <v>237.808219178082</v>
      </c>
      <c r="AD10" s="111" t="n">
        <f aca="false">IF($B10="","",(IF(الموظفون!$X10&lt;&gt;"",الموظفون!$X10,IF(الموظفون!$E10="غير سعودي",cfg_IQ,0))+IF(الموظفون!$Y10&lt;&gt;"",الموظفون!$Y10,IF(الموظفون!$E10="غير سعودي",cfg_WP,0)))/12*G10/cfg_DAYS_M)</f>
        <v>854.166666666667</v>
      </c>
      <c r="AE10" s="111" t="n">
        <f aca="false">IF($B10="","",IF(الموظفون!$Z10&lt;&gt;"",الموظفون!$Z10,cfg_MED)/12*G10/cfg_DAYS_M)</f>
        <v>200</v>
      </c>
      <c r="AF10" s="111" t="n">
        <f aca="false">IF($B10="","",N(الموظفون!$AA10)/12*G10/cfg_DAYS_M)</f>
        <v>0</v>
      </c>
      <c r="AG10" s="154" t="n">
        <f aca="false">IF($B10="","",T10+SUM(Z10:AF10))</f>
        <v>16430.8105022831</v>
      </c>
      <c r="AH10" s="155" t="n">
        <f aca="false">IF($B10="","",MAX(0,IF(OR(الموظفون!$AE10="",الموظفون!$AE10&gt;$F$3),$F$3,الموظفون!$AE10)-الموظفون!$H10+1-SUMIFS('سجل الإجازات والحالات'!$AH$6:$AH$505,'سجل الإجازات والحالات'!$B$6:$B$505,$B10))/cfg_DAYS_Y)</f>
        <v>5.81095890410959</v>
      </c>
      <c r="AI10" s="155" t="n">
        <f aca="false">IF($B10="","",MAX(0,IF(OR(الموظفون!$AE10="",الموظفون!$AE10&gt;($E$3-1)),($E$3-1),الموظفون!$AE10)-الموظفون!$H10+1-SUMIFS('سجل الإجازات والحالات'!$R$6:$R$505,'سجل الإجازات والحالات'!$B$6:$B$505,$B10))/cfg_DAYS_Y)</f>
        <v>5.72602739726027</v>
      </c>
      <c r="AJ10" s="65" t="n">
        <f aca="false">IF($B10="","",MAX(0,AK10-(SUMIFS('سجل الإجازات والحالات'!$AH$6:$AH$505,'سجل الإجازات والحالات'!$B$6:$B$505,$B10)-SUMIFS('سجل الإجازات والحالات'!$R$6:$R$505,'سجل الإجازات والحالات'!$B$6:$B$505,$B10))))</f>
        <v>31</v>
      </c>
      <c r="AK10" s="65" t="n">
        <f aca="false">IF($B10="","",MAX(0,IF(OR(الموظفون!$AE10="",الموظفون!$AE10&gt;$F$3),$F$3,الموظفون!$AE10)-MAX($E$3,الموظفون!$H10)+1))</f>
        <v>31</v>
      </c>
      <c r="AL10" s="151" t="n">
        <f aca="false">IF($B10="","",SUMIFS('سجل الإجازات والحالات'!$AT$6:$AT$505,'سجل الإجازات والحالات'!$B$6:$B$505,$B10)+SUMIFS('الحركات الشهرية'!$K$6:$K$1005,'الحركات الشهرية'!$B$6:$B$1005,$B10,'الحركات الشهرية'!$A$6:$A$1005,$C$3))</f>
        <v>0</v>
      </c>
      <c r="AM10" s="111" t="n">
        <f aca="false">IF($B10="","",AL10*الموظفون!$R10/cfg_DAYS_M+S10)</f>
        <v>0</v>
      </c>
      <c r="AN10" s="151" t="n">
        <f aca="false">IF($B10="","",SUMIFS('سجل الإجازات والحالات'!$V$6:$V$505,'سجل الإجازات والحالات'!$B$6:$B$505,$B10))</f>
        <v>0</v>
      </c>
    </row>
    <row r="11" customFormat="false" ht="15" hidden="false" customHeight="false" outlineLevel="0" collapsed="false">
      <c r="A11" s="115" t="n">
        <f aca="false">IF($B11="","",الموظفون!$A11)</f>
        <v>6</v>
      </c>
      <c r="B11" s="117" t="str">
        <f aca="false">IF(الموظفون!$B11="","",الموظفون!$B11)</f>
        <v>E006</v>
      </c>
      <c r="C11" s="117" t="str">
        <f aca="false">IF($B11="","",الموظفون!$C11)</f>
        <v>فهد ناصر الشمري</v>
      </c>
      <c r="D11" s="117" t="str">
        <f aca="false">IF($B11="","",الموظفون!$F11)</f>
        <v>المبيعات</v>
      </c>
      <c r="E11" s="117" t="str">
        <f aca="false">IF($B11="","",الموظفون!$E11)</f>
        <v>سعودي</v>
      </c>
      <c r="F11" s="117" t="str">
        <f aca="false">IF($B11="","",IF(AK11=0,IF(AND(الموظفون!$AE11&lt;&gt;"",الموظفون!$AE11&lt;$E$3),"✖ منتهي الخدمة","⏳ لم يباشر"),IF(S11&gt;0,"✈ راتب إجازة مقدم",IF(J11=0,"⛔ بدون راتب هذا الشهر",IF(I11&gt;0,"✈ خصم "&amp;ROUND(I11,2)&amp;" يوم بدون أجر",IF(AL11&gt;0,"🌴 إجازة سنوية "&amp;ROUND(AL11,2)&amp;" يوم",IF(H11&gt;0,"⚠ غياب "&amp;ROUND(H11,2)&amp;" يوم","✔ على رأس العمل")))))))</f>
        <v>✔ على رأس العمل</v>
      </c>
      <c r="G11" s="156" t="n">
        <f aca="false">IF($B11="","",IF(AK11&gt;=DAY($F$3),cfg_DAYS_M,MIN(AK11,cfg_DAYS_M)))</f>
        <v>30</v>
      </c>
      <c r="H11" s="156" t="n">
        <f aca="false">IF($B11="","",SUMIFS('الحركات الشهرية'!$D$6:$D$1005,'الحركات الشهرية'!$B$6:$B$1005,$B11,'الحركات الشهرية'!$A$6:$A$1005,$C$3))</f>
        <v>0</v>
      </c>
      <c r="I11" s="156" t="n">
        <f aca="false">IF($B11="","",MIN(G11,IF(AND(AK11&gt;0,AN11&gt;=AK11),G11,AN11)+SUMIFS('الحركات الشهرية'!$E$6:$E$1005,'الحركات الشهرية'!$B$6:$B$1005,$B11,'الحركات الشهرية'!$A$6:$A$1005,$C$3)))</f>
        <v>0</v>
      </c>
      <c r="J11" s="156" t="n">
        <f aca="false">IF($B11="","",MAX(0,G11-H11-I11))</f>
        <v>30</v>
      </c>
      <c r="K11" s="116" t="n">
        <f aca="false">IF($B11="","",الموظفون!$L11*$J11/cfg_DAYS_M)</f>
        <v>13000</v>
      </c>
      <c r="L11" s="116" t="n">
        <f aca="false">IF($B11="","",الموظفون!$M11*$J11/cfg_DAYS_M)</f>
        <v>3250</v>
      </c>
      <c r="M11" s="116" t="n">
        <f aca="false">IF($B11="","",الموظفون!$N11*$J11/cfg_DAYS_M)</f>
        <v>1300</v>
      </c>
      <c r="N11" s="116" t="n">
        <f aca="false">IF($B11="","",الموظفون!$O11*$J11/cfg_DAYS_M)</f>
        <v>2500</v>
      </c>
      <c r="O11" s="156" t="n">
        <f aca="false">IF($B11="","",SUMIFS('الحركات الشهرية'!$F$6:$F$1005,'الحركات الشهرية'!$B$6:$B$1005,$B11,'الحركات الشهرية'!$A$6:$A$1005,$C$3))</f>
        <v>0</v>
      </c>
      <c r="P11" s="116" t="n">
        <f aca="false">IF($B11="","",O11*(الموظفون!$P11+الموظفون!$L11*cfg_OT_P)/cfg_DAYS_M/cfg_HRS)</f>
        <v>0</v>
      </c>
      <c r="Q11" s="116" t="n">
        <f aca="false">IF($B11="","",SUMIFS('الحركات الشهرية'!$G$6:$G$1005,'الحركات الشهرية'!$B$6:$B$1005,$B11,'الحركات الشهرية'!$A$6:$A$1005,$C$3))</f>
        <v>0</v>
      </c>
      <c r="R11" s="116" t="n">
        <f aca="false">IF($B11="","",SUMIFS('الحركات الشهرية'!$H$6:$H$1005,'الحركات الشهرية'!$B$6:$B$1005,$B11,'الحركات الشهرية'!$A$6:$A$1005,$C$3))</f>
        <v>0</v>
      </c>
      <c r="S11" s="116" t="n">
        <f aca="false">IF($B11="","",SUMIFS('سجل الإجازات والحالات'!$N$6:$N$505,'سجل الإجازات والحالات'!$B$6:$B$505,$B11,'سجل الإجازات والحالات'!$O$6:$O$505,$C$3))</f>
        <v>0</v>
      </c>
      <c r="T11" s="157" t="n">
        <f aca="false">IF($B11="","",SUM(K11:N11)+SUM(P11:S11))</f>
        <v>20050</v>
      </c>
      <c r="U11" s="116" t="n">
        <f aca="false">IF($B11="","",الموظفون!$S11*IF(E11="سعودي",cfg_G_SE,cfg_G_NE)*G11/cfg_DAYS_M)</f>
        <v>1584.375</v>
      </c>
      <c r="V11" s="116" t="n">
        <f aca="false">IF($B11="","",SUMIFS('الحركات الشهرية'!$I$6:$I$1005,'الحركات الشهرية'!$B$6:$B$1005,$B11,'الحركات الشهرية'!$A$6:$A$1005,$C$3))</f>
        <v>0</v>
      </c>
      <c r="W11" s="116" t="n">
        <f aca="false">IF($B11="","",SUMIFS('الحركات الشهرية'!$J$6:$J$1005,'الحركات الشهرية'!$B$6:$B$1005,$B11,'الحركات الشهرية'!$A$6:$A$1005,$C$3))</f>
        <v>0</v>
      </c>
      <c r="X11" s="116" t="n">
        <f aca="false">IF($B11="","",SUM(U11:W11))</f>
        <v>1584.375</v>
      </c>
      <c r="Y11" s="158" t="n">
        <f aca="false">IF($B11="","",T11-X11)</f>
        <v>18465.625</v>
      </c>
      <c r="Z11" s="116" t="n">
        <f aca="false">IF($B11="","",الموظفون!$S11*IF(E11="سعودي",cfg_G_SR,cfg_G_NR)*G11/cfg_DAYS_M)</f>
        <v>1909.375</v>
      </c>
      <c r="AA11" s="116" t="n">
        <f aca="false">IF($B11="","",الموظفون!$Q11*(cfg_EOS_R1*(MIN(AH11,cfg_EOS_TH)-MIN(AI11,cfg_EOS_TH))+cfg_EOS_R2*(MAX(AH11-cfg_EOS_TH,0)-MAX(AI11-cfg_EOS_TH,0))))</f>
        <v>1490.54794520549</v>
      </c>
      <c r="AB11" s="116" t="n">
        <f aca="false">IF($B11="","",IF(الموظفون!$T11&lt;&gt;"",الموظفون!$T11,IF(AH11&gt;=cfg_LV_TH,cfg_LV_D2,cfg_LV_D1))/cfg_DAYS_Y*AJ11*الموظفون!$R11/cfg_DAYS_M)</f>
        <v>1490.54794520548</v>
      </c>
      <c r="AC11" s="116" t="n">
        <f aca="false">IF($B11="","",IF(AND(الموظفون!$U11="نعم",N(الموظفون!$W11)&gt;0),الموظفون!$V11/الموظفون!$W11*12/cfg_DAYS_Y*AJ11,0))</f>
        <v>0</v>
      </c>
      <c r="AD11" s="116" t="n">
        <f aca="false">IF($B11="","",(IF(الموظفون!$X11&lt;&gt;"",الموظفون!$X11,IF(الموظفون!$E11="غير سعودي",cfg_IQ,0))+IF(الموظفون!$Y11&lt;&gt;"",الموظفون!$Y11,IF(الموظفون!$E11="غير سعودي",cfg_WP,0)))/12*G11/cfg_DAYS_M)</f>
        <v>0</v>
      </c>
      <c r="AE11" s="116" t="n">
        <f aca="false">IF($B11="","",IF(الموظفون!$Z11&lt;&gt;"",الموظفون!$Z11,cfg_MED)/12*G11/cfg_DAYS_M)</f>
        <v>300</v>
      </c>
      <c r="AF11" s="116" t="n">
        <f aca="false">IF($B11="","",N(الموظفون!$AA11)/12*G11/cfg_DAYS_M)</f>
        <v>0</v>
      </c>
      <c r="AG11" s="159" t="n">
        <f aca="false">IF($B11="","",T11+SUM(Z11:AF11))</f>
        <v>25240.470890411</v>
      </c>
      <c r="AH11" s="160" t="n">
        <f aca="false">IF($B11="","",MAX(0,IF(OR(الموظفون!$AE11="",الموظفون!$AE11&gt;$F$3),$F$3,الموظفون!$AE11)-الموظفون!$H11+1-SUMIFS('سجل الإجازات والحالات'!$AH$6:$AH$505,'سجل الإجازات والحالات'!$B$6:$B$505,$B11))/cfg_DAYS_Y)</f>
        <v>8.24657534246575</v>
      </c>
      <c r="AI11" s="160" t="n">
        <f aca="false">IF($B11="","",MAX(0,IF(OR(الموظفون!$AE11="",الموظفون!$AE11&gt;($E$3-1)),($E$3-1),الموظفون!$AE11)-الموظفون!$H11+1-SUMIFS('سجل الإجازات والحالات'!$R$6:$R$505,'سجل الإجازات والحالات'!$B$6:$B$505,$B11))/cfg_DAYS_Y)</f>
        <v>8.16164383561644</v>
      </c>
      <c r="AJ11" s="133" t="n">
        <f aca="false">IF($B11="","",MAX(0,AK11-(SUMIFS('سجل الإجازات والحالات'!$AH$6:$AH$505,'سجل الإجازات والحالات'!$B$6:$B$505,$B11)-SUMIFS('سجل الإجازات والحالات'!$R$6:$R$505,'سجل الإجازات والحالات'!$B$6:$B$505,$B11))))</f>
        <v>31</v>
      </c>
      <c r="AK11" s="133" t="n">
        <f aca="false">IF($B11="","",MAX(0,IF(OR(الموظفون!$AE11="",الموظفون!$AE11&gt;$F$3),$F$3,الموظفون!$AE11)-MAX($E$3,الموظفون!$H11)+1))</f>
        <v>31</v>
      </c>
      <c r="AL11" s="156" t="n">
        <f aca="false">IF($B11="","",SUMIFS('سجل الإجازات والحالات'!$AT$6:$AT$505,'سجل الإجازات والحالات'!$B$6:$B$505,$B11)+SUMIFS('الحركات الشهرية'!$K$6:$K$1005,'الحركات الشهرية'!$B$6:$B$1005,$B11,'الحركات الشهرية'!$A$6:$A$1005,$C$3))</f>
        <v>0</v>
      </c>
      <c r="AM11" s="116" t="n">
        <f aca="false">IF($B11="","",AL11*الموظفون!$R11/cfg_DAYS_M+S11)</f>
        <v>0</v>
      </c>
      <c r="AN11" s="156" t="n">
        <f aca="false">IF($B11="","",SUMIFS('سجل الإجازات والحالات'!$V$6:$V$505,'سجل الإجازات والحالات'!$B$6:$B$505,$B11))</f>
        <v>0</v>
      </c>
    </row>
    <row r="12" customFormat="false" ht="15" hidden="false" customHeight="false" outlineLevel="0" collapsed="false">
      <c r="A12" s="106" t="n">
        <f aca="false">IF($B12="","",الموظفون!$A12)</f>
        <v>7</v>
      </c>
      <c r="B12" s="114" t="str">
        <f aca="false">IF(الموظفون!$B12="","",الموظفون!$B12)</f>
        <v>E007</v>
      </c>
      <c r="C12" s="114" t="str">
        <f aca="false">IF($B12="","",الموظفون!$C12)</f>
        <v>خالد يوسف الأحمد</v>
      </c>
      <c r="D12" s="114" t="str">
        <f aca="false">IF($B12="","",الموظفون!$F12)</f>
        <v>المشاريع</v>
      </c>
      <c r="E12" s="114" t="str">
        <f aca="false">IF($B12="","",الموظفون!$E12)</f>
        <v>غير سعودي</v>
      </c>
      <c r="F12" s="114" t="str">
        <f aca="false">IF($B12="","",IF(AK12=0,IF(AND(الموظفون!$AE12&lt;&gt;"",الموظفون!$AE12&lt;$E$3),"✖ منتهي الخدمة","⏳ لم يباشر"),IF(S12&gt;0,"✈ راتب إجازة مقدم",IF(J12=0,"⛔ بدون راتب هذا الشهر",IF(I12&gt;0,"✈ خصم "&amp;ROUND(I12,2)&amp;" يوم بدون أجر",IF(AL12&gt;0,"🌴 إجازة سنوية "&amp;ROUND(AL12,2)&amp;" يوم",IF(H12&gt;0,"⚠ غياب "&amp;ROUND(H12,2)&amp;" يوم","✔ على رأس العمل")))))))</f>
        <v>✔ على رأس العمل</v>
      </c>
      <c r="G12" s="151" t="n">
        <f aca="false">IF($B12="","",IF(AK12&gt;=DAY($F$3),cfg_DAYS_M,MIN(AK12,cfg_DAYS_M)))</f>
        <v>30</v>
      </c>
      <c r="H12" s="151" t="n">
        <f aca="false">IF($B12="","",SUMIFS('الحركات الشهرية'!$D$6:$D$1005,'الحركات الشهرية'!$B$6:$B$1005,$B12,'الحركات الشهرية'!$A$6:$A$1005,$C$3))</f>
        <v>0</v>
      </c>
      <c r="I12" s="151" t="n">
        <f aca="false">IF($B12="","",MIN(G12,IF(AND(AK12&gt;0,AN12&gt;=AK12),G12,AN12)+SUMIFS('الحركات الشهرية'!$E$6:$E$1005,'الحركات الشهرية'!$B$6:$B$1005,$B12,'الحركات الشهرية'!$A$6:$A$1005,$C$3)))</f>
        <v>0</v>
      </c>
      <c r="J12" s="151" t="n">
        <f aca="false">IF($B12="","",MAX(0,G12-H12-I12))</f>
        <v>30</v>
      </c>
      <c r="K12" s="111" t="n">
        <f aca="false">IF($B12="","",الموظفون!$L12*$J12/cfg_DAYS_M)</f>
        <v>11000</v>
      </c>
      <c r="L12" s="111" t="n">
        <f aca="false">IF($B12="","",الموظفون!$M12*$J12/cfg_DAYS_M)</f>
        <v>2750</v>
      </c>
      <c r="M12" s="111" t="n">
        <f aca="false">IF($B12="","",الموظفون!$N12*$J12/cfg_DAYS_M)</f>
        <v>1100</v>
      </c>
      <c r="N12" s="111" t="n">
        <f aca="false">IF($B12="","",الموظفون!$O12*$J12/cfg_DAYS_M)</f>
        <v>800</v>
      </c>
      <c r="O12" s="151" t="n">
        <f aca="false">IF($B12="","",SUMIFS('الحركات الشهرية'!$F$6:$F$1005,'الحركات الشهرية'!$B$6:$B$1005,$B12,'الحركات الشهرية'!$A$6:$A$1005,$C$3))</f>
        <v>0</v>
      </c>
      <c r="P12" s="111" t="n">
        <f aca="false">IF($B12="","",O12*(الموظفون!$P12+الموظفون!$L12*cfg_OT_P)/cfg_DAYS_M/cfg_HRS)</f>
        <v>0</v>
      </c>
      <c r="Q12" s="111" t="n">
        <f aca="false">IF($B12="","",SUMIFS('الحركات الشهرية'!$G$6:$G$1005,'الحركات الشهرية'!$B$6:$B$1005,$B12,'الحركات الشهرية'!$A$6:$A$1005,$C$3))</f>
        <v>0</v>
      </c>
      <c r="R12" s="111" t="n">
        <f aca="false">IF($B12="","",SUMIFS('الحركات الشهرية'!$H$6:$H$1005,'الحركات الشهرية'!$B$6:$B$1005,$B12,'الحركات الشهرية'!$A$6:$A$1005,$C$3))</f>
        <v>0</v>
      </c>
      <c r="S12" s="111" t="n">
        <f aca="false">IF($B12="","",SUMIFS('سجل الإجازات والحالات'!$N$6:$N$505,'سجل الإجازات والحالات'!$B$6:$B$505,$B12,'سجل الإجازات والحالات'!$O$6:$O$505,$C$3))</f>
        <v>0</v>
      </c>
      <c r="T12" s="152" t="n">
        <f aca="false">IF($B12="","",SUM(K12:N12)+SUM(P12:S12))</f>
        <v>15650</v>
      </c>
      <c r="U12" s="111" t="n">
        <f aca="false">IF($B12="","",الموظفون!$S12*IF(E12="سعودي",cfg_G_SE,cfg_G_NE)*G12/cfg_DAYS_M)</f>
        <v>0</v>
      </c>
      <c r="V12" s="111" t="n">
        <f aca="false">IF($B12="","",SUMIFS('الحركات الشهرية'!$I$6:$I$1005,'الحركات الشهرية'!$B$6:$B$1005,$B12,'الحركات الشهرية'!$A$6:$A$1005,$C$3))</f>
        <v>0</v>
      </c>
      <c r="W12" s="111" t="n">
        <f aca="false">IF($B12="","",SUMIFS('الحركات الشهرية'!$J$6:$J$1005,'الحركات الشهرية'!$B$6:$B$1005,$B12,'الحركات الشهرية'!$A$6:$A$1005,$C$3))</f>
        <v>0</v>
      </c>
      <c r="X12" s="111" t="n">
        <f aca="false">IF($B12="","",SUM(U12:W12))</f>
        <v>0</v>
      </c>
      <c r="Y12" s="153" t="n">
        <f aca="false">IF($B12="","",T12-X12)</f>
        <v>15650</v>
      </c>
      <c r="Z12" s="111" t="n">
        <f aca="false">IF($B12="","",الموظفون!$S12*IF(E12="سعودي",cfg_G_SR,cfg_G_NR)*G12/cfg_DAYS_M)</f>
        <v>275</v>
      </c>
      <c r="AA12" s="111" t="n">
        <f aca="false">IF($B12="","",الموظفون!$Q12*(cfg_EOS_R1*(MIN(AH12,cfg_EOS_TH)-MIN(AI12,cfg_EOS_TH))+cfg_EOS_R2*(MAX(AH12-cfg_EOS_TH,0)-MAX(AI12-cfg_EOS_TH,0))))</f>
        <v>895.068493150691</v>
      </c>
      <c r="AB12" s="111" t="n">
        <f aca="false">IF($B12="","",IF(الموظفون!$T12&lt;&gt;"",الموظفون!$T12,IF(AH12&gt;=cfg_LV_TH,cfg_LV_D2,cfg_LV_D1))/cfg_DAYS_Y*AJ12*الموظفون!$R12/cfg_DAYS_M)</f>
        <v>1261.23287671233</v>
      </c>
      <c r="AC12" s="111" t="n">
        <f aca="false">IF($B12="","",IF(AND(الموظفون!$U12="نعم",N(الموظفون!$W12)&gt;0),الموظفون!$V12/الموظفون!$W12*12/cfg_DAYS_Y*AJ12,0))</f>
        <v>382.191780821918</v>
      </c>
      <c r="AD12" s="111" t="n">
        <f aca="false">IF($B12="","",(IF(الموظفون!$X12&lt;&gt;"",الموظفون!$X12,IF(الموظفون!$E12="غير سعودي",cfg_IQ,0))+IF(الموظفون!$Y12&lt;&gt;"",الموظفون!$Y12,IF(الموظفون!$E12="غير سعودي",cfg_WP,0)))/12*G12/cfg_DAYS_M)</f>
        <v>854.166666666667</v>
      </c>
      <c r="AE12" s="111" t="n">
        <f aca="false">IF($B12="","",IF(الموظفون!$Z12&lt;&gt;"",الموظفون!$Z12,cfg_MED)/12*G12/cfg_DAYS_M)</f>
        <v>200</v>
      </c>
      <c r="AF12" s="111" t="n">
        <f aca="false">IF($B12="","",N(الموظفون!$AA12)/12*G12/cfg_DAYS_M)</f>
        <v>400</v>
      </c>
      <c r="AG12" s="154" t="n">
        <f aca="false">IF($B12="","",T12+SUM(Z12:AF12))</f>
        <v>19917.6598173516</v>
      </c>
      <c r="AH12" s="155" t="n">
        <f aca="false">IF($B12="","",MAX(0,IF(OR(الموظفون!$AE12="",الموظفون!$AE12&gt;$F$3),$F$3,الموظفون!$AE12)-الموظفون!$H12+1-SUMIFS('سجل الإجازات والحالات'!$AH$6:$AH$505,'سجل الإجازات والحالات'!$B$6:$B$505,$B12))/cfg_DAYS_Y)</f>
        <v>5.03561643835617</v>
      </c>
      <c r="AI12" s="155" t="n">
        <f aca="false">IF($B12="","",MAX(0,IF(OR(الموظفون!$AE12="",الموظفون!$AE12&gt;($E$3-1)),($E$3-1),الموظفون!$AE12)-الموظفون!$H12+1-SUMIFS('سجل الإجازات والحالات'!$R$6:$R$505,'سجل الإجازات والحالات'!$B$6:$B$505,$B12))/cfg_DAYS_Y)</f>
        <v>4.95068493150685</v>
      </c>
      <c r="AJ12" s="65" t="n">
        <f aca="false">IF($B12="","",MAX(0,AK12-(SUMIFS('سجل الإجازات والحالات'!$AH$6:$AH$505,'سجل الإجازات والحالات'!$B$6:$B$505,$B12)-SUMIFS('سجل الإجازات والحالات'!$R$6:$R$505,'سجل الإجازات والحالات'!$B$6:$B$505,$B12))))</f>
        <v>31</v>
      </c>
      <c r="AK12" s="65" t="n">
        <f aca="false">IF($B12="","",MAX(0,IF(OR(الموظفون!$AE12="",الموظفون!$AE12&gt;$F$3),$F$3,الموظفون!$AE12)-MAX($E$3,الموظفون!$H12)+1))</f>
        <v>31</v>
      </c>
      <c r="AL12" s="151" t="n">
        <f aca="false">IF($B12="","",SUMIFS('سجل الإجازات والحالات'!$AT$6:$AT$505,'سجل الإجازات والحالات'!$B$6:$B$505,$B12)+SUMIFS('الحركات الشهرية'!$K$6:$K$1005,'الحركات الشهرية'!$B$6:$B$1005,$B12,'الحركات الشهرية'!$A$6:$A$1005,$C$3))</f>
        <v>0</v>
      </c>
      <c r="AM12" s="111" t="n">
        <f aca="false">IF($B12="","",AL12*الموظفون!$R12/cfg_DAYS_M+S12)</f>
        <v>0</v>
      </c>
      <c r="AN12" s="151" t="n">
        <f aca="false">IF($B12="","",SUMIFS('سجل الإجازات والحالات'!$V$6:$V$505,'سجل الإجازات والحالات'!$B$6:$B$505,$B12))</f>
        <v>0</v>
      </c>
    </row>
    <row r="13" customFormat="false" ht="15" hidden="false" customHeight="false" outlineLevel="0" collapsed="false">
      <c r="A13" s="115" t="n">
        <f aca="false">IF($B13="","",الموظفون!$A13)</f>
        <v>8</v>
      </c>
      <c r="B13" s="117" t="str">
        <f aca="false">IF(الموظفون!$B13="","",الموظفون!$B13)</f>
        <v>E008</v>
      </c>
      <c r="C13" s="117" t="str">
        <f aca="false">IF($B13="","",الموظفون!$C13)</f>
        <v>سارة عبدالرحمن الزهراني</v>
      </c>
      <c r="D13" s="117" t="str">
        <f aca="false">IF($B13="","",الموظفون!$F13)</f>
        <v>المالية</v>
      </c>
      <c r="E13" s="117" t="str">
        <f aca="false">IF($B13="","",الموظفون!$E13)</f>
        <v>سعودي</v>
      </c>
      <c r="F13" s="117" t="str">
        <f aca="false">IF($B13="","",IF(AK13=0,IF(AND(الموظفون!$AE13&lt;&gt;"",الموظفون!$AE13&lt;$E$3),"✖ منتهي الخدمة","⏳ لم يباشر"),IF(S13&gt;0,"✈ راتب إجازة مقدم",IF(J13=0,"⛔ بدون راتب هذا الشهر",IF(I13&gt;0,"✈ خصم "&amp;ROUND(I13,2)&amp;" يوم بدون أجر",IF(AL13&gt;0,"🌴 إجازة سنوية "&amp;ROUND(AL13,2)&amp;" يوم",IF(H13&gt;0,"⚠ غياب "&amp;ROUND(H13,2)&amp;" يوم","✔ على رأس العمل")))))))</f>
        <v>✔ على رأس العمل</v>
      </c>
      <c r="G13" s="156" t="n">
        <f aca="false">IF($B13="","",IF(AK13&gt;=DAY($F$3),cfg_DAYS_M,MIN(AK13,cfg_DAYS_M)))</f>
        <v>30</v>
      </c>
      <c r="H13" s="156" t="n">
        <f aca="false">IF($B13="","",SUMIFS('الحركات الشهرية'!$D$6:$D$1005,'الحركات الشهرية'!$B$6:$B$1005,$B13,'الحركات الشهرية'!$A$6:$A$1005,$C$3))</f>
        <v>0</v>
      </c>
      <c r="I13" s="156" t="n">
        <f aca="false">IF($B13="","",MIN(G13,IF(AND(AK13&gt;0,AN13&gt;=AK13),G13,AN13)+SUMIFS('الحركات الشهرية'!$E$6:$E$1005,'الحركات الشهرية'!$B$6:$B$1005,$B13,'الحركات الشهرية'!$A$6:$A$1005,$C$3)))</f>
        <v>0</v>
      </c>
      <c r="J13" s="156" t="n">
        <f aca="false">IF($B13="","",MAX(0,G13-H13-I13))</f>
        <v>30</v>
      </c>
      <c r="K13" s="116" t="n">
        <f aca="false">IF($B13="","",الموظفون!$L13*$J13/cfg_DAYS_M)</f>
        <v>7500</v>
      </c>
      <c r="L13" s="116" t="n">
        <f aca="false">IF($B13="","",الموظفون!$M13*$J13/cfg_DAYS_M)</f>
        <v>1875</v>
      </c>
      <c r="M13" s="116" t="n">
        <f aca="false">IF($B13="","",الموظفون!$N13*$J13/cfg_DAYS_M)</f>
        <v>750</v>
      </c>
      <c r="N13" s="116" t="n">
        <f aca="false">IF($B13="","",الموظفون!$O13*$J13/cfg_DAYS_M)</f>
        <v>0</v>
      </c>
      <c r="O13" s="156" t="n">
        <f aca="false">IF($B13="","",SUMIFS('الحركات الشهرية'!$F$6:$F$1005,'الحركات الشهرية'!$B$6:$B$1005,$B13,'الحركات الشهرية'!$A$6:$A$1005,$C$3))</f>
        <v>0</v>
      </c>
      <c r="P13" s="116" t="n">
        <f aca="false">IF($B13="","",O13*(الموظفون!$P13+الموظفون!$L13*cfg_OT_P)/cfg_DAYS_M/cfg_HRS)</f>
        <v>0</v>
      </c>
      <c r="Q13" s="116" t="n">
        <f aca="false">IF($B13="","",SUMIFS('الحركات الشهرية'!$G$6:$G$1005,'الحركات الشهرية'!$B$6:$B$1005,$B13,'الحركات الشهرية'!$A$6:$A$1005,$C$3))</f>
        <v>0</v>
      </c>
      <c r="R13" s="116" t="n">
        <f aca="false">IF($B13="","",SUMIFS('الحركات الشهرية'!$H$6:$H$1005,'الحركات الشهرية'!$B$6:$B$1005,$B13,'الحركات الشهرية'!$A$6:$A$1005,$C$3))</f>
        <v>0</v>
      </c>
      <c r="S13" s="116" t="n">
        <f aca="false">IF($B13="","",SUMIFS('سجل الإجازات والحالات'!$N$6:$N$505,'سجل الإجازات والحالات'!$B$6:$B$505,$B13,'سجل الإجازات والحالات'!$O$6:$O$505,$C$3))</f>
        <v>0</v>
      </c>
      <c r="T13" s="157" t="n">
        <f aca="false">IF($B13="","",SUM(K13:N13)+SUM(P13:S13))</f>
        <v>10125</v>
      </c>
      <c r="U13" s="116" t="n">
        <f aca="false">IF($B13="","",الموظفون!$S13*IF(E13="سعودي",cfg_G_SE,cfg_G_NE)*G13/cfg_DAYS_M)</f>
        <v>914.0625</v>
      </c>
      <c r="V13" s="116" t="n">
        <f aca="false">IF($B13="","",SUMIFS('الحركات الشهرية'!$I$6:$I$1005,'الحركات الشهرية'!$B$6:$B$1005,$B13,'الحركات الشهرية'!$A$6:$A$1005,$C$3))</f>
        <v>0</v>
      </c>
      <c r="W13" s="116" t="n">
        <f aca="false">IF($B13="","",SUMIFS('الحركات الشهرية'!$J$6:$J$1005,'الحركات الشهرية'!$B$6:$B$1005,$B13,'الحركات الشهرية'!$A$6:$A$1005,$C$3))</f>
        <v>0</v>
      </c>
      <c r="X13" s="116" t="n">
        <f aca="false">IF($B13="","",SUM(U13:W13))</f>
        <v>914.0625</v>
      </c>
      <c r="Y13" s="158" t="n">
        <f aca="false">IF($B13="","",T13-X13)</f>
        <v>9210.9375</v>
      </c>
      <c r="Z13" s="116" t="n">
        <f aca="false">IF($B13="","",الموظفون!$S13*IF(E13="سعودي",cfg_G_SR,cfg_G_NR)*G13/cfg_DAYS_M)</f>
        <v>1101.5625</v>
      </c>
      <c r="AA13" s="116" t="n">
        <f aca="false">IF($B13="","",الموظفون!$Q13*(cfg_EOS_R1*(MIN(AH13,cfg_EOS_TH)-MIN(AI13,cfg_EOS_TH))+cfg_EOS_R2*(MAX(AH13-cfg_EOS_TH,0)-MAX(AI13-cfg_EOS_TH,0))))</f>
        <v>429.965753424657</v>
      </c>
      <c r="AB13" s="116" t="n">
        <f aca="false">IF($B13="","",IF(الموظفون!$T13&lt;&gt;"",الموظفون!$T13,IF(AH13&gt;=cfg_LV_TH,cfg_LV_D2,cfg_LV_D1))/cfg_DAYS_Y*AJ13*الموظفون!$R13/cfg_DAYS_M)</f>
        <v>601.952054794521</v>
      </c>
      <c r="AC13" s="116" t="n">
        <f aca="false">IF($B13="","",IF(AND(الموظفون!$U13="نعم",N(الموظفون!$W13)&gt;0),الموظفون!$V13/الموظفون!$W13*12/cfg_DAYS_Y*AJ13,0))</f>
        <v>0</v>
      </c>
      <c r="AD13" s="116" t="n">
        <f aca="false">IF($B13="","",(IF(الموظفون!$X13&lt;&gt;"",الموظفون!$X13,IF(الموظفون!$E13="غير سعودي",cfg_IQ,0))+IF(الموظفون!$Y13&lt;&gt;"",الموظفون!$Y13,IF(الموظفون!$E13="غير سعودي",cfg_WP,0)))/12*G13/cfg_DAYS_M)</f>
        <v>0</v>
      </c>
      <c r="AE13" s="116" t="n">
        <f aca="false">IF($B13="","",IF(الموظفون!$Z13&lt;&gt;"",الموظفون!$Z13,cfg_MED)/12*G13/cfg_DAYS_M)</f>
        <v>200</v>
      </c>
      <c r="AF13" s="116" t="n">
        <f aca="false">IF($B13="","",N(الموظفون!$AA13)/12*G13/cfg_DAYS_M)</f>
        <v>0</v>
      </c>
      <c r="AG13" s="159" t="n">
        <f aca="false">IF($B13="","",T13+SUM(Z13:AF13))</f>
        <v>12458.4803082192</v>
      </c>
      <c r="AH13" s="160" t="n">
        <f aca="false">IF($B13="","",MAX(0,IF(OR(الموظفون!$AE13="",الموظفون!$AE13&gt;$F$3),$F$3,الموظفون!$AE13)-الموظفون!$H13+1-SUMIFS('سجل الإجازات والحالات'!$AH$6:$AH$505,'سجل الإجازات والحالات'!$B$6:$B$505,$B13))/cfg_DAYS_Y)</f>
        <v>2.92602739726027</v>
      </c>
      <c r="AI13" s="160" t="n">
        <f aca="false">IF($B13="","",MAX(0,IF(OR(الموظفون!$AE13="",الموظفون!$AE13&gt;($E$3-1)),($E$3-1),الموظفون!$AE13)-الموظفون!$H13+1-SUMIFS('سجل الإجازات والحالات'!$R$6:$R$505,'سجل الإجازات والحالات'!$B$6:$B$505,$B13))/cfg_DAYS_Y)</f>
        <v>2.84109589041096</v>
      </c>
      <c r="AJ13" s="133" t="n">
        <f aca="false">IF($B13="","",MAX(0,AK13-(SUMIFS('سجل الإجازات والحالات'!$AH$6:$AH$505,'سجل الإجازات والحالات'!$B$6:$B$505,$B13)-SUMIFS('سجل الإجازات والحالات'!$R$6:$R$505,'سجل الإجازات والحالات'!$B$6:$B$505,$B13))))</f>
        <v>31</v>
      </c>
      <c r="AK13" s="133" t="n">
        <f aca="false">IF($B13="","",MAX(0,IF(OR(الموظفون!$AE13="",الموظفون!$AE13&gt;$F$3),$F$3,الموظفون!$AE13)-MAX($E$3,الموظفون!$H13)+1))</f>
        <v>31</v>
      </c>
      <c r="AL13" s="156" t="n">
        <f aca="false">IF($B13="","",SUMIFS('سجل الإجازات والحالات'!$AT$6:$AT$505,'سجل الإجازات والحالات'!$B$6:$B$505,$B13)+SUMIFS('الحركات الشهرية'!$K$6:$K$1005,'الحركات الشهرية'!$B$6:$B$1005,$B13,'الحركات الشهرية'!$A$6:$A$1005,$C$3))</f>
        <v>0</v>
      </c>
      <c r="AM13" s="116" t="n">
        <f aca="false">IF($B13="","",AL13*الموظفون!$R13/cfg_DAYS_M+S13)</f>
        <v>0</v>
      </c>
      <c r="AN13" s="156" t="n">
        <f aca="false">IF($B13="","",SUMIFS('سجل الإجازات والحالات'!$V$6:$V$505,'سجل الإجازات والحالات'!$B$6:$B$505,$B13))</f>
        <v>0</v>
      </c>
    </row>
    <row r="14" customFormat="false" ht="15" hidden="false" customHeight="false" outlineLevel="0" collapsed="false">
      <c r="A14" s="106" t="n">
        <f aca="false">IF($B14="","",الموظفون!$A14)</f>
        <v>9</v>
      </c>
      <c r="B14" s="114" t="str">
        <f aca="false">IF(الموظفون!$B14="","",الموظفون!$B14)</f>
        <v>E009</v>
      </c>
      <c r="C14" s="114" t="str">
        <f aca="false">IF($B14="","",الموظفون!$C14)</f>
        <v>محمد رفيق</v>
      </c>
      <c r="D14" s="114" t="str">
        <f aca="false">IF($B14="","",الموظفون!$F14)</f>
        <v>العمليات</v>
      </c>
      <c r="E14" s="114" t="str">
        <f aca="false">IF($B14="","",الموظفون!$E14)</f>
        <v>غير سعودي</v>
      </c>
      <c r="F14" s="114" t="str">
        <f aca="false">IF($B14="","",IF(AK14=0,IF(AND(الموظفون!$AE14&lt;&gt;"",الموظفون!$AE14&lt;$E$3),"✖ منتهي الخدمة","⏳ لم يباشر"),IF(S14&gt;0,"✈ راتب إجازة مقدم",IF(J14=0,"⛔ بدون راتب هذا الشهر",IF(I14&gt;0,"✈ خصم "&amp;ROUND(I14,2)&amp;" يوم بدون أجر",IF(AL14&gt;0,"🌴 إجازة سنوية "&amp;ROUND(AL14,2)&amp;" يوم",IF(H14&gt;0,"⚠ غياب "&amp;ROUND(H14,2)&amp;" يوم","✔ على رأس العمل")))))))</f>
        <v>⚠ غياب 1 يوم</v>
      </c>
      <c r="G14" s="151" t="n">
        <f aca="false">IF($B14="","",IF(AK14&gt;=DAY($F$3),cfg_DAYS_M,MIN(AK14,cfg_DAYS_M)))</f>
        <v>30</v>
      </c>
      <c r="H14" s="151" t="n">
        <f aca="false">IF($B14="","",SUMIFS('الحركات الشهرية'!$D$6:$D$1005,'الحركات الشهرية'!$B$6:$B$1005,$B14,'الحركات الشهرية'!$A$6:$A$1005,$C$3))</f>
        <v>1</v>
      </c>
      <c r="I14" s="151" t="n">
        <f aca="false">IF($B14="","",MIN(G14,IF(AND(AK14&gt;0,AN14&gt;=AK14),G14,AN14)+SUMIFS('الحركات الشهرية'!$E$6:$E$1005,'الحركات الشهرية'!$B$6:$B$1005,$B14,'الحركات الشهرية'!$A$6:$A$1005,$C$3)))</f>
        <v>0</v>
      </c>
      <c r="J14" s="151" t="n">
        <f aca="false">IF($B14="","",MAX(0,G14-H14-I14))</f>
        <v>29</v>
      </c>
      <c r="K14" s="111" t="n">
        <f aca="false">IF($B14="","",الموظفون!$L14*$J14/cfg_DAYS_M)</f>
        <v>6283.33333333333</v>
      </c>
      <c r="L14" s="111" t="n">
        <f aca="false">IF($B14="","",الموظفون!$M14*$J14/cfg_DAYS_M)</f>
        <v>1570.83333333333</v>
      </c>
      <c r="M14" s="111" t="n">
        <f aca="false">IF($B14="","",الموظفون!$N14*$J14/cfg_DAYS_M)</f>
        <v>628.333333333333</v>
      </c>
      <c r="N14" s="111" t="n">
        <f aca="false">IF($B14="","",الموظفون!$O14*$J14/cfg_DAYS_M)</f>
        <v>290</v>
      </c>
      <c r="O14" s="151" t="n">
        <f aca="false">IF($B14="","",SUMIFS('الحركات الشهرية'!$F$6:$F$1005,'الحركات الشهرية'!$B$6:$B$1005,$B14,'الحركات الشهرية'!$A$6:$A$1005,$C$3))</f>
        <v>20</v>
      </c>
      <c r="P14" s="111" t="n">
        <f aca="false">IF($B14="","",O14*(الموظفون!$P14+الموظفون!$L14*cfg_OT_P)/cfg_DAYS_M/cfg_HRS)</f>
        <v>1027.08333333333</v>
      </c>
      <c r="Q14" s="111" t="n">
        <f aca="false">IF($B14="","",SUMIFS('الحركات الشهرية'!$G$6:$G$1005,'الحركات الشهرية'!$B$6:$B$1005,$B14,'الحركات الشهرية'!$A$6:$A$1005,$C$3))</f>
        <v>0</v>
      </c>
      <c r="R14" s="111" t="n">
        <f aca="false">IF($B14="","",SUMIFS('الحركات الشهرية'!$H$6:$H$1005,'الحركات الشهرية'!$B$6:$B$1005,$B14,'الحركات الشهرية'!$A$6:$A$1005,$C$3))</f>
        <v>0</v>
      </c>
      <c r="S14" s="111" t="n">
        <f aca="false">IF($B14="","",SUMIFS('سجل الإجازات والحالات'!$N$6:$N$505,'سجل الإجازات والحالات'!$B$6:$B$505,$B14,'سجل الإجازات والحالات'!$O$6:$O$505,$C$3))</f>
        <v>0</v>
      </c>
      <c r="T14" s="152" t="n">
        <f aca="false">IF($B14="","",SUM(K14:N14)+SUM(P14:S14))</f>
        <v>9799.58333333333</v>
      </c>
      <c r="U14" s="111" t="n">
        <f aca="false">IF($B14="","",الموظفون!$S14*IF(E14="سعودي",cfg_G_SE,cfg_G_NE)*G14/cfg_DAYS_M)</f>
        <v>0</v>
      </c>
      <c r="V14" s="111" t="n">
        <f aca="false">IF($B14="","",SUMIFS('الحركات الشهرية'!$I$6:$I$1005,'الحركات الشهرية'!$B$6:$B$1005,$B14,'الحركات الشهرية'!$A$6:$A$1005,$C$3))</f>
        <v>0</v>
      </c>
      <c r="W14" s="111" t="n">
        <f aca="false">IF($B14="","",SUMIFS('الحركات الشهرية'!$J$6:$J$1005,'الحركات الشهرية'!$B$6:$B$1005,$B14,'الحركات الشهرية'!$A$6:$A$1005,$C$3))</f>
        <v>100</v>
      </c>
      <c r="X14" s="111" t="n">
        <f aca="false">IF($B14="","",SUM(U14:W14))</f>
        <v>100</v>
      </c>
      <c r="Y14" s="153" t="n">
        <f aca="false">IF($B14="","",T14-X14)</f>
        <v>9699.58333333333</v>
      </c>
      <c r="Z14" s="111" t="n">
        <f aca="false">IF($B14="","",الموظفون!$S14*IF(E14="سعودي",cfg_G_SR,cfg_G_NR)*G14/cfg_DAYS_M)</f>
        <v>162.5</v>
      </c>
      <c r="AA14" s="111" t="n">
        <f aca="false">IF($B14="","",الموظفون!$Q14*(cfg_EOS_R1*(MIN(AH14,cfg_EOS_TH)-MIN(AI14,cfg_EOS_TH))+cfg_EOS_R2*(MAX(AH14-cfg_EOS_TH,0)-MAX(AI14-cfg_EOS_TH,0))))</f>
        <v>745.273972602728</v>
      </c>
      <c r="AB14" s="111" t="n">
        <f aca="false">IF($B14="","",IF(الموظفون!$T14&lt;&gt;"",الموظفون!$T14,IF(AH14&gt;=cfg_LV_TH,cfg_LV_D2,cfg_LV_D1))/cfg_DAYS_Y*AJ14*الموظفون!$R14/cfg_DAYS_M)</f>
        <v>745.27397260274</v>
      </c>
      <c r="AC14" s="111" t="n">
        <f aca="false">IF($B14="","",IF(AND(الموظفون!$U14="نعم",N(الموظفون!$W14)&gt;0),الموظفون!$V14/الموظفون!$W14*12/cfg_DAYS_Y*AJ14,0))</f>
        <v>93.4246575342466</v>
      </c>
      <c r="AD14" s="111" t="n">
        <f aca="false">IF($B14="","",(IF(الموظفون!$X14&lt;&gt;"",الموظفون!$X14,IF(الموظفون!$E14="غير سعودي",cfg_IQ,0))+IF(الموظفون!$Y14&lt;&gt;"",الموظفون!$Y14,IF(الموظفون!$E14="غير سعودي",cfg_WP,0)))/12*G14/cfg_DAYS_M)</f>
        <v>854.166666666667</v>
      </c>
      <c r="AE14" s="111" t="n">
        <f aca="false">IF($B14="","",IF(الموظفون!$Z14&lt;&gt;"",الموظفون!$Z14,cfg_MED)/12*G14/cfg_DAYS_M)</f>
        <v>150</v>
      </c>
      <c r="AF14" s="111" t="n">
        <f aca="false">IF($B14="","",N(الموظفون!$AA14)/12*G14/cfg_DAYS_M)</f>
        <v>0</v>
      </c>
      <c r="AG14" s="154" t="n">
        <f aca="false">IF($B14="","",T14+SUM(Z14:AF14))</f>
        <v>12550.2226027397</v>
      </c>
      <c r="AH14" s="155" t="n">
        <f aca="false">IF($B14="","",MAX(0,IF(OR(الموظفون!$AE14="",الموظفون!$AE14&gt;$F$3),$F$3,الموظفون!$AE14)-الموظفون!$H14+1-SUMIFS('سجل الإجازات والحالات'!$AH$6:$AH$505,'سجل الإجازات والحالات'!$B$6:$B$505,$B14))/cfg_DAYS_Y)</f>
        <v>11.4657534246575</v>
      </c>
      <c r="AI14" s="155" t="n">
        <f aca="false">IF($B14="","",MAX(0,IF(OR(الموظفون!$AE14="",الموظفون!$AE14&gt;($E$3-1)),($E$3-1),الموظفون!$AE14)-الموظفون!$H14+1-SUMIFS('سجل الإجازات والحالات'!$R$6:$R$505,'سجل الإجازات والحالات'!$B$6:$B$505,$B14))/cfg_DAYS_Y)</f>
        <v>11.3808219178082</v>
      </c>
      <c r="AJ14" s="65" t="n">
        <f aca="false">IF($B14="","",MAX(0,AK14-(SUMIFS('سجل الإجازات والحالات'!$AH$6:$AH$505,'سجل الإجازات والحالات'!$B$6:$B$505,$B14)-SUMIFS('سجل الإجازات والحالات'!$R$6:$R$505,'سجل الإجازات والحالات'!$B$6:$B$505,$B14))))</f>
        <v>31</v>
      </c>
      <c r="AK14" s="65" t="n">
        <f aca="false">IF($B14="","",MAX(0,IF(OR(الموظفون!$AE14="",الموظفون!$AE14&gt;$F$3),$F$3,الموظفون!$AE14)-MAX($E$3,الموظفون!$H14)+1))</f>
        <v>31</v>
      </c>
      <c r="AL14" s="151" t="n">
        <f aca="false">IF($B14="","",SUMIFS('سجل الإجازات والحالات'!$AT$6:$AT$505,'سجل الإجازات والحالات'!$B$6:$B$505,$B14)+SUMIFS('الحركات الشهرية'!$K$6:$K$1005,'الحركات الشهرية'!$B$6:$B$1005,$B14,'الحركات الشهرية'!$A$6:$A$1005,$C$3))</f>
        <v>0</v>
      </c>
      <c r="AM14" s="111" t="n">
        <f aca="false">IF($B14="","",AL14*الموظفون!$R14/cfg_DAYS_M+S14)</f>
        <v>0</v>
      </c>
      <c r="AN14" s="151" t="n">
        <f aca="false">IF($B14="","",SUMIFS('سجل الإجازات والحالات'!$V$6:$V$505,'سجل الإجازات والحالات'!$B$6:$B$505,$B14))</f>
        <v>0</v>
      </c>
    </row>
    <row r="15" customFormat="false" ht="15" hidden="false" customHeight="false" outlineLevel="0" collapsed="false">
      <c r="A15" s="115" t="n">
        <f aca="false">IF($B15="","",الموظفون!$A15)</f>
        <v>10</v>
      </c>
      <c r="B15" s="117" t="str">
        <f aca="false">IF(الموظفون!$B15="","",الموظفون!$B15)</f>
        <v>E010</v>
      </c>
      <c r="C15" s="117" t="str">
        <f aca="false">IF($B15="","",الموظفون!$C15)</f>
        <v>ريم سلطان المطيري</v>
      </c>
      <c r="D15" s="117" t="str">
        <f aca="false">IF($B15="","",الموظفون!$F15)</f>
        <v>المبيعات</v>
      </c>
      <c r="E15" s="117" t="str">
        <f aca="false">IF($B15="","",الموظفون!$E15)</f>
        <v>سعودي</v>
      </c>
      <c r="F15" s="117" t="str">
        <f aca="false">IF($B15="","",IF(AK15=0,IF(AND(الموظفون!$AE15&lt;&gt;"",الموظفون!$AE15&lt;$E$3),"✖ منتهي الخدمة","⏳ لم يباشر"),IF(S15&gt;0,"✈ راتب إجازة مقدم",IF(J15=0,"⛔ بدون راتب هذا الشهر",IF(I15&gt;0,"✈ خصم "&amp;ROUND(I15,2)&amp;" يوم بدون أجر",IF(AL15&gt;0,"🌴 إجازة سنوية "&amp;ROUND(AL15,2)&amp;" يوم",IF(H15&gt;0,"⚠ غياب "&amp;ROUND(H15,2)&amp;" يوم","✔ على رأس العمل")))))))</f>
        <v>⏳ لم يباشر</v>
      </c>
      <c r="G15" s="156" t="n">
        <f aca="false">IF($B15="","",IF(AK15&gt;=DAY($F$3),cfg_DAYS_M,MIN(AK15,cfg_DAYS_M)))</f>
        <v>0</v>
      </c>
      <c r="H15" s="156" t="n">
        <f aca="false">IF($B15="","",SUMIFS('الحركات الشهرية'!$D$6:$D$1005,'الحركات الشهرية'!$B$6:$B$1005,$B15,'الحركات الشهرية'!$A$6:$A$1005,$C$3))</f>
        <v>0</v>
      </c>
      <c r="I15" s="156" t="n">
        <f aca="false">IF($B15="","",MIN(G15,IF(AND(AK15&gt;0,AN15&gt;=AK15),G15,AN15)+SUMIFS('الحركات الشهرية'!$E$6:$E$1005,'الحركات الشهرية'!$B$6:$B$1005,$B15,'الحركات الشهرية'!$A$6:$A$1005,$C$3)))</f>
        <v>0</v>
      </c>
      <c r="J15" s="156" t="n">
        <f aca="false">IF($B15="","",MAX(0,G15-H15-I15))</f>
        <v>0</v>
      </c>
      <c r="K15" s="116" t="n">
        <f aca="false">IF($B15="","",الموظفون!$L15*$J15/cfg_DAYS_M)</f>
        <v>0</v>
      </c>
      <c r="L15" s="116" t="n">
        <f aca="false">IF($B15="","",الموظفون!$M15*$J15/cfg_DAYS_M)</f>
        <v>0</v>
      </c>
      <c r="M15" s="116" t="n">
        <f aca="false">IF($B15="","",الموظفون!$N15*$J15/cfg_DAYS_M)</f>
        <v>0</v>
      </c>
      <c r="N15" s="116" t="n">
        <f aca="false">IF($B15="","",الموظفون!$O15*$J15/cfg_DAYS_M)</f>
        <v>0</v>
      </c>
      <c r="O15" s="156" t="n">
        <f aca="false">IF($B15="","",SUMIFS('الحركات الشهرية'!$F$6:$F$1005,'الحركات الشهرية'!$B$6:$B$1005,$B15,'الحركات الشهرية'!$A$6:$A$1005,$C$3))</f>
        <v>0</v>
      </c>
      <c r="P15" s="116" t="n">
        <f aca="false">IF($B15="","",O15*(الموظفون!$P15+الموظفون!$L15*cfg_OT_P)/cfg_DAYS_M/cfg_HRS)</f>
        <v>0</v>
      </c>
      <c r="Q15" s="116" t="n">
        <f aca="false">IF($B15="","",SUMIFS('الحركات الشهرية'!$G$6:$G$1005,'الحركات الشهرية'!$B$6:$B$1005,$B15,'الحركات الشهرية'!$A$6:$A$1005,$C$3))</f>
        <v>0</v>
      </c>
      <c r="R15" s="116" t="n">
        <f aca="false">IF($B15="","",SUMIFS('الحركات الشهرية'!$H$6:$H$1005,'الحركات الشهرية'!$B$6:$B$1005,$B15,'الحركات الشهرية'!$A$6:$A$1005,$C$3))</f>
        <v>0</v>
      </c>
      <c r="S15" s="116" t="n">
        <f aca="false">IF($B15="","",SUMIFS('سجل الإجازات والحالات'!$N$6:$N$505,'سجل الإجازات والحالات'!$B$6:$B$505,$B15,'سجل الإجازات والحالات'!$O$6:$O$505,$C$3))</f>
        <v>0</v>
      </c>
      <c r="T15" s="157" t="n">
        <f aca="false">IF($B15="","",SUM(K15:N15)+SUM(P15:S15))</f>
        <v>0</v>
      </c>
      <c r="U15" s="116" t="n">
        <f aca="false">IF($B15="","",الموظفون!$S15*IF(E15="سعودي",cfg_G_SE,cfg_G_NE)*G15/cfg_DAYS_M)</f>
        <v>0</v>
      </c>
      <c r="V15" s="116" t="n">
        <f aca="false">IF($B15="","",SUMIFS('الحركات الشهرية'!$I$6:$I$1005,'الحركات الشهرية'!$B$6:$B$1005,$B15,'الحركات الشهرية'!$A$6:$A$1005,$C$3))</f>
        <v>0</v>
      </c>
      <c r="W15" s="116" t="n">
        <f aca="false">IF($B15="","",SUMIFS('الحركات الشهرية'!$J$6:$J$1005,'الحركات الشهرية'!$B$6:$B$1005,$B15,'الحركات الشهرية'!$A$6:$A$1005,$C$3))</f>
        <v>0</v>
      </c>
      <c r="X15" s="116" t="n">
        <f aca="false">IF($B15="","",SUM(U15:W15))</f>
        <v>0</v>
      </c>
      <c r="Y15" s="158" t="n">
        <f aca="false">IF($B15="","",T15-X15)</f>
        <v>0</v>
      </c>
      <c r="Z15" s="116" t="n">
        <f aca="false">IF($B15="","",الموظفون!$S15*IF(E15="سعودي",cfg_G_SR,cfg_G_NR)*G15/cfg_DAYS_M)</f>
        <v>0</v>
      </c>
      <c r="AA15" s="116" t="n">
        <f aca="false">IF($B15="","",الموظفون!$Q15*(cfg_EOS_R1*(MIN(AH15,cfg_EOS_TH)-MIN(AI15,cfg_EOS_TH))+cfg_EOS_R2*(MAX(AH15-cfg_EOS_TH,0)-MAX(AI15-cfg_EOS_TH,0))))</f>
        <v>0</v>
      </c>
      <c r="AB15" s="116" t="n">
        <f aca="false">IF($B15="","",IF(الموظفون!$T15&lt;&gt;"",الموظفون!$T15,IF(AH15&gt;=cfg_LV_TH,cfg_LV_D2,cfg_LV_D1))/cfg_DAYS_Y*AJ15*الموظفون!$R15/cfg_DAYS_M)</f>
        <v>0</v>
      </c>
      <c r="AC15" s="116" t="n">
        <f aca="false">IF($B15="","",IF(AND(الموظفون!$U15="نعم",N(الموظفون!$W15)&gt;0),الموظفون!$V15/الموظفون!$W15*12/cfg_DAYS_Y*AJ15,0))</f>
        <v>0</v>
      </c>
      <c r="AD15" s="116" t="n">
        <f aca="false">IF($B15="","",(IF(الموظفون!$X15&lt;&gt;"",الموظفون!$X15,IF(الموظفون!$E15="غير سعودي",cfg_IQ,0))+IF(الموظفون!$Y15&lt;&gt;"",الموظفون!$Y15,IF(الموظفون!$E15="غير سعودي",cfg_WP,0)))/12*G15/cfg_DAYS_M)</f>
        <v>0</v>
      </c>
      <c r="AE15" s="116" t="n">
        <f aca="false">IF($B15="","",IF(الموظفون!$Z15&lt;&gt;"",الموظفون!$Z15,cfg_MED)/12*G15/cfg_DAYS_M)</f>
        <v>0</v>
      </c>
      <c r="AF15" s="116" t="n">
        <f aca="false">IF($B15="","",N(الموظفون!$AA15)/12*G15/cfg_DAYS_M)</f>
        <v>0</v>
      </c>
      <c r="AG15" s="159" t="n">
        <f aca="false">IF($B15="","",T15+SUM(Z15:AF15))</f>
        <v>0</v>
      </c>
      <c r="AH15" s="160" t="n">
        <f aca="false">IF($B15="","",MAX(0,IF(OR(الموظفون!$AE15="",الموظفون!$AE15&gt;$F$3),$F$3,الموظفون!$AE15)-الموظفون!$H15+1-SUMIFS('سجل الإجازات والحالات'!$AH$6:$AH$505,'سجل الإجازات والحالات'!$B$6:$B$505,$B15))/cfg_DAYS_Y)</f>
        <v>0</v>
      </c>
      <c r="AI15" s="160" t="n">
        <f aca="false">IF($B15="","",MAX(0,IF(OR(الموظفون!$AE15="",الموظفون!$AE15&gt;($E$3-1)),($E$3-1),الموظفون!$AE15)-الموظفون!$H15+1-SUMIFS('سجل الإجازات والحالات'!$R$6:$R$505,'سجل الإجازات والحالات'!$B$6:$B$505,$B15))/cfg_DAYS_Y)</f>
        <v>0</v>
      </c>
      <c r="AJ15" s="133" t="n">
        <f aca="false">IF($B15="","",MAX(0,AK15-(SUMIFS('سجل الإجازات والحالات'!$AH$6:$AH$505,'سجل الإجازات والحالات'!$B$6:$B$505,$B15)-SUMIFS('سجل الإجازات والحالات'!$R$6:$R$505,'سجل الإجازات والحالات'!$B$6:$B$505,$B15))))</f>
        <v>0</v>
      </c>
      <c r="AK15" s="133" t="n">
        <f aca="false">IF($B15="","",MAX(0,IF(OR(الموظفون!$AE15="",الموظفون!$AE15&gt;$F$3),$F$3,الموظفون!$AE15)-MAX($E$3,الموظفون!$H15)+1))</f>
        <v>0</v>
      </c>
      <c r="AL15" s="156" t="n">
        <f aca="false">IF($B15="","",SUMIFS('سجل الإجازات والحالات'!$AT$6:$AT$505,'سجل الإجازات والحالات'!$B$6:$B$505,$B15)+SUMIFS('الحركات الشهرية'!$K$6:$K$1005,'الحركات الشهرية'!$B$6:$B$1005,$B15,'الحركات الشهرية'!$A$6:$A$1005,$C$3))</f>
        <v>0</v>
      </c>
      <c r="AM15" s="116" t="n">
        <f aca="false">IF($B15="","",AL15*الموظفون!$R15/cfg_DAYS_M+S15)</f>
        <v>0</v>
      </c>
      <c r="AN15" s="156" t="n">
        <f aca="false">IF($B15="","",SUMIFS('سجل الإجازات والحالات'!$V$6:$V$505,'سجل الإجازات والحالات'!$B$6:$B$505,$B15))</f>
        <v>0</v>
      </c>
    </row>
    <row r="16" customFormat="false" ht="15" hidden="false" customHeight="false" outlineLevel="0" collapsed="false">
      <c r="A16" s="106" t="n">
        <f aca="false">IF($B16="","",الموظفون!$A16)</f>
        <v>11</v>
      </c>
      <c r="B16" s="114" t="str">
        <f aca="false">IF(الموظفون!$B16="","",الموظفون!$B16)</f>
        <v>E011</v>
      </c>
      <c r="C16" s="114" t="str">
        <f aca="false">IF($B16="","",الموظفون!$C16)</f>
        <v>جون ماتيو</v>
      </c>
      <c r="D16" s="114" t="str">
        <f aca="false">IF($B16="","",الموظفون!$F16)</f>
        <v>العمليات</v>
      </c>
      <c r="E16" s="114" t="str">
        <f aca="false">IF($B16="","",الموظفون!$E16)</f>
        <v>غير سعودي</v>
      </c>
      <c r="F16" s="114" t="str">
        <f aca="false">IF($B16="","",IF(AK16=0,IF(AND(الموظفون!$AE16&lt;&gt;"",الموظفون!$AE16&lt;$E$3),"✖ منتهي الخدمة","⏳ لم يباشر"),IF(S16&gt;0,"✈ راتب إجازة مقدم",IF(J16=0,"⛔ بدون راتب هذا الشهر",IF(I16&gt;0,"✈ خصم "&amp;ROUND(I16,2)&amp;" يوم بدون أجر",IF(AL16&gt;0,"🌴 إجازة سنوية "&amp;ROUND(AL16,2)&amp;" يوم",IF(H16&gt;0,"⚠ غياب "&amp;ROUND(H16,2)&amp;" يوم","✔ على رأس العمل")))))))</f>
        <v>✔ على رأس العمل</v>
      </c>
      <c r="G16" s="151" t="n">
        <f aca="false">IF($B16="","",IF(AK16&gt;=DAY($F$3),cfg_DAYS_M,MIN(AK16,cfg_DAYS_M)))</f>
        <v>30</v>
      </c>
      <c r="H16" s="151" t="n">
        <f aca="false">IF($B16="","",SUMIFS('الحركات الشهرية'!$D$6:$D$1005,'الحركات الشهرية'!$B$6:$B$1005,$B16,'الحركات الشهرية'!$A$6:$A$1005,$C$3))</f>
        <v>0</v>
      </c>
      <c r="I16" s="151" t="n">
        <f aca="false">IF($B16="","",MIN(G16,IF(AND(AK16&gt;0,AN16&gt;=AK16),G16,AN16)+SUMIFS('الحركات الشهرية'!$E$6:$E$1005,'الحركات الشهرية'!$B$6:$B$1005,$B16,'الحركات الشهرية'!$A$6:$A$1005,$C$3)))</f>
        <v>0</v>
      </c>
      <c r="J16" s="151" t="n">
        <f aca="false">IF($B16="","",MAX(0,G16-H16-I16))</f>
        <v>30</v>
      </c>
      <c r="K16" s="111" t="n">
        <f aca="false">IF($B16="","",الموظفون!$L16*$J16/cfg_DAYS_M)</f>
        <v>5000</v>
      </c>
      <c r="L16" s="111" t="n">
        <f aca="false">IF($B16="","",الموظفون!$M16*$J16/cfg_DAYS_M)</f>
        <v>1250</v>
      </c>
      <c r="M16" s="111" t="n">
        <f aca="false">IF($B16="","",الموظفون!$N16*$J16/cfg_DAYS_M)</f>
        <v>500</v>
      </c>
      <c r="N16" s="111" t="n">
        <f aca="false">IF($B16="","",الموظفون!$O16*$J16/cfg_DAYS_M)</f>
        <v>0</v>
      </c>
      <c r="O16" s="151" t="n">
        <f aca="false">IF($B16="","",SUMIFS('الحركات الشهرية'!$F$6:$F$1005,'الحركات الشهرية'!$B$6:$B$1005,$B16,'الحركات الشهرية'!$A$6:$A$1005,$C$3))</f>
        <v>0</v>
      </c>
      <c r="P16" s="111" t="n">
        <f aca="false">IF($B16="","",O16*(الموظفون!$P16+الموظفون!$L16*cfg_OT_P)/cfg_DAYS_M/cfg_HRS)</f>
        <v>0</v>
      </c>
      <c r="Q16" s="111" t="n">
        <f aca="false">IF($B16="","",SUMIFS('الحركات الشهرية'!$G$6:$G$1005,'الحركات الشهرية'!$B$6:$B$1005,$B16,'الحركات الشهرية'!$A$6:$A$1005,$C$3))</f>
        <v>0</v>
      </c>
      <c r="R16" s="111" t="n">
        <f aca="false">IF($B16="","",SUMIFS('الحركات الشهرية'!$H$6:$H$1005,'الحركات الشهرية'!$B$6:$B$1005,$B16,'الحركات الشهرية'!$A$6:$A$1005,$C$3))</f>
        <v>0</v>
      </c>
      <c r="S16" s="111" t="n">
        <f aca="false">IF($B16="","",SUMIFS('سجل الإجازات والحالات'!$N$6:$N$505,'سجل الإجازات والحالات'!$B$6:$B$505,$B16,'سجل الإجازات والحالات'!$O$6:$O$505,$C$3))</f>
        <v>0</v>
      </c>
      <c r="T16" s="152" t="n">
        <f aca="false">IF($B16="","",SUM(K16:N16)+SUM(P16:S16))</f>
        <v>6750</v>
      </c>
      <c r="U16" s="111" t="n">
        <f aca="false">IF($B16="","",الموظفون!$S16*IF(E16="سعودي",cfg_G_SE,cfg_G_NE)*G16/cfg_DAYS_M)</f>
        <v>0</v>
      </c>
      <c r="V16" s="111" t="n">
        <f aca="false">IF($B16="","",SUMIFS('الحركات الشهرية'!$I$6:$I$1005,'الحركات الشهرية'!$B$6:$B$1005,$B16,'الحركات الشهرية'!$A$6:$A$1005,$C$3))</f>
        <v>0</v>
      </c>
      <c r="W16" s="111" t="n">
        <f aca="false">IF($B16="","",SUMIFS('الحركات الشهرية'!$J$6:$J$1005,'الحركات الشهرية'!$B$6:$B$1005,$B16,'الحركات الشهرية'!$A$6:$A$1005,$C$3))</f>
        <v>0</v>
      </c>
      <c r="X16" s="111" t="n">
        <f aca="false">IF($B16="","",SUM(U16:W16))</f>
        <v>0</v>
      </c>
      <c r="Y16" s="153" t="n">
        <f aca="false">IF($B16="","",T16-X16)</f>
        <v>6750</v>
      </c>
      <c r="Z16" s="111" t="n">
        <f aca="false">IF($B16="","",الموظفون!$S16*IF(E16="سعودي",cfg_G_SR,cfg_G_NR)*G16/cfg_DAYS_M)</f>
        <v>125</v>
      </c>
      <c r="AA16" s="111" t="n">
        <f aca="false">IF($B16="","",الموظفون!$Q16*(cfg_EOS_R1*(MIN(AH16,cfg_EOS_TH)-MIN(AI16,cfg_EOS_TH))+cfg_EOS_R2*(MAX(AH16-cfg_EOS_TH,0)-MAX(AI16-cfg_EOS_TH,0))))</f>
        <v>573.28767123288</v>
      </c>
      <c r="AB16" s="111" t="n">
        <f aca="false">IF($B16="","",IF(الموظفون!$T16&lt;&gt;"",الموظفون!$T16,IF(AH16&gt;=cfg_LV_TH,cfg_LV_D2,cfg_LV_D1))/cfg_DAYS_Y*AJ16*الموظفون!$R16/cfg_DAYS_M)</f>
        <v>573.287671232877</v>
      </c>
      <c r="AC16" s="111" t="n">
        <f aca="false">IF($B16="","",IF(AND(الموظفون!$U16="نعم",N(الموظفون!$W16)&gt;0),الموظفون!$V16/الموظفون!$W16*12/cfg_DAYS_Y*AJ16,0))</f>
        <v>110.41095890411</v>
      </c>
      <c r="AD16" s="111" t="n">
        <f aca="false">IF($B16="","",(IF(الموظفون!$X16&lt;&gt;"",الموظفون!$X16,IF(الموظفون!$E16="غير سعودي",cfg_IQ,0))+IF(الموظفون!$Y16&lt;&gt;"",الموظفون!$Y16,IF(الموظفون!$E16="غير سعودي",cfg_WP,0)))/12*G16/cfg_DAYS_M)</f>
        <v>854.166666666667</v>
      </c>
      <c r="AE16" s="111" t="n">
        <f aca="false">IF($B16="","",IF(الموظفون!$Z16&lt;&gt;"",الموظفون!$Z16,cfg_MED)/12*G16/cfg_DAYS_M)</f>
        <v>150</v>
      </c>
      <c r="AF16" s="111" t="n">
        <f aca="false">IF($B16="","",N(الموظفون!$AA16)/12*G16/cfg_DAYS_M)</f>
        <v>0</v>
      </c>
      <c r="AG16" s="154" t="n">
        <f aca="false">IF($B16="","",T16+SUM(Z16:AF16))</f>
        <v>9136.15296803653</v>
      </c>
      <c r="AH16" s="155" t="n">
        <f aca="false">IF($B16="","",MAX(0,IF(OR(الموظفون!$AE16="",الموظفون!$AE16&gt;$F$3),$F$3,الموظفون!$AE16)-الموظفون!$H16+1-SUMIFS('سجل الإجازات والحالات'!$AH$6:$AH$505,'سجل الإجازات والحالات'!$B$6:$B$505,$B16))/cfg_DAYS_Y)</f>
        <v>6.92876712328767</v>
      </c>
      <c r="AI16" s="155" t="n">
        <f aca="false">IF($B16="","",MAX(0,IF(OR(الموظفون!$AE16="",الموظفون!$AE16&gt;($E$3-1)),($E$3-1),الموظفون!$AE16)-الموظفون!$H16+1-SUMIFS('سجل الإجازات والحالات'!$R$6:$R$505,'سجل الإجازات والحالات'!$B$6:$B$505,$B16))/cfg_DAYS_Y)</f>
        <v>6.84383561643836</v>
      </c>
      <c r="AJ16" s="65" t="n">
        <f aca="false">IF($B16="","",MAX(0,AK16-(SUMIFS('سجل الإجازات والحالات'!$AH$6:$AH$505,'سجل الإجازات والحالات'!$B$6:$B$505,$B16)-SUMIFS('سجل الإجازات والحالات'!$R$6:$R$505,'سجل الإجازات والحالات'!$B$6:$B$505,$B16))))</f>
        <v>31</v>
      </c>
      <c r="AK16" s="65" t="n">
        <f aca="false">IF($B16="","",MAX(0,IF(OR(الموظفون!$AE16="",الموظفون!$AE16&gt;$F$3),$F$3,الموظفون!$AE16)-MAX($E$3,الموظفون!$H16)+1))</f>
        <v>31</v>
      </c>
      <c r="AL16" s="151" t="n">
        <f aca="false">IF($B16="","",SUMIFS('سجل الإجازات والحالات'!$AT$6:$AT$505,'سجل الإجازات والحالات'!$B$6:$B$505,$B16)+SUMIFS('الحركات الشهرية'!$K$6:$K$1005,'الحركات الشهرية'!$B$6:$B$1005,$B16,'الحركات الشهرية'!$A$6:$A$1005,$C$3))</f>
        <v>0</v>
      </c>
      <c r="AM16" s="111" t="n">
        <f aca="false">IF($B16="","",AL16*الموظفون!$R16/cfg_DAYS_M+S16)</f>
        <v>0</v>
      </c>
      <c r="AN16" s="151" t="n">
        <f aca="false">IF($B16="","",SUMIFS('سجل الإجازات والحالات'!$V$6:$V$505,'سجل الإجازات والحالات'!$B$6:$B$505,$B16))</f>
        <v>0</v>
      </c>
    </row>
    <row r="17" customFormat="false" ht="15" hidden="false" customHeight="false" outlineLevel="0" collapsed="false">
      <c r="A17" s="115" t="n">
        <f aca="false">IF($B17="","",الموظفون!$A17)</f>
        <v>12</v>
      </c>
      <c r="B17" s="117" t="str">
        <f aca="false">IF(الموظفون!$B17="","",الموظفون!$B17)</f>
        <v>E012</v>
      </c>
      <c r="C17" s="117" t="str">
        <f aca="false">IF($B17="","",الموظفون!$C17)</f>
        <v>عمر حسين البيشي</v>
      </c>
      <c r="D17" s="117" t="str">
        <f aca="false">IF($B17="","",الموظفون!$F17)</f>
        <v>تقنية المعلومات</v>
      </c>
      <c r="E17" s="117" t="str">
        <f aca="false">IF($B17="","",الموظفون!$E17)</f>
        <v>سعودي</v>
      </c>
      <c r="F17" s="117" t="str">
        <f aca="false">IF($B17="","",IF(AK17=0,IF(AND(الموظفون!$AE17&lt;&gt;"",الموظفون!$AE17&lt;$E$3),"✖ منتهي الخدمة","⏳ لم يباشر"),IF(S17&gt;0,"✈ راتب إجازة مقدم",IF(J17=0,"⛔ بدون راتب هذا الشهر",IF(I17&gt;0,"✈ خصم "&amp;ROUND(I17,2)&amp;" يوم بدون أجر",IF(AL17&gt;0,"🌴 إجازة سنوية "&amp;ROUND(AL17,2)&amp;" يوم",IF(H17&gt;0,"⚠ غياب "&amp;ROUND(H17,2)&amp;" يوم","✔ على رأس العمل")))))))</f>
        <v>✔ على رأس العمل</v>
      </c>
      <c r="G17" s="156" t="n">
        <f aca="false">IF($B17="","",IF(AK17&gt;=DAY($F$3),cfg_DAYS_M,MIN(AK17,cfg_DAYS_M)))</f>
        <v>30</v>
      </c>
      <c r="H17" s="156" t="n">
        <f aca="false">IF($B17="","",SUMIFS('الحركات الشهرية'!$D$6:$D$1005,'الحركات الشهرية'!$B$6:$B$1005,$B17,'الحركات الشهرية'!$A$6:$A$1005,$C$3))</f>
        <v>0</v>
      </c>
      <c r="I17" s="156" t="n">
        <f aca="false">IF($B17="","",MIN(G17,IF(AND(AK17&gt;0,AN17&gt;=AK17),G17,AN17)+SUMIFS('الحركات الشهرية'!$E$6:$E$1005,'الحركات الشهرية'!$B$6:$B$1005,$B17,'الحركات الشهرية'!$A$6:$A$1005,$C$3)))</f>
        <v>0</v>
      </c>
      <c r="J17" s="156" t="n">
        <f aca="false">IF($B17="","",MAX(0,G17-H17-I17))</f>
        <v>30</v>
      </c>
      <c r="K17" s="116" t="n">
        <f aca="false">IF($B17="","",الموظفون!$L17*$J17/cfg_DAYS_M)</f>
        <v>12000</v>
      </c>
      <c r="L17" s="116" t="n">
        <f aca="false">IF($B17="","",الموظفون!$M17*$J17/cfg_DAYS_M)</f>
        <v>3000</v>
      </c>
      <c r="M17" s="116" t="n">
        <f aca="false">IF($B17="","",الموظفون!$N17*$J17/cfg_DAYS_M)</f>
        <v>1200</v>
      </c>
      <c r="N17" s="116" t="n">
        <f aca="false">IF($B17="","",الموظفون!$O17*$J17/cfg_DAYS_M)</f>
        <v>1500</v>
      </c>
      <c r="O17" s="156" t="n">
        <f aca="false">IF($B17="","",SUMIFS('الحركات الشهرية'!$F$6:$F$1005,'الحركات الشهرية'!$B$6:$B$1005,$B17,'الحركات الشهرية'!$A$6:$A$1005,$C$3))</f>
        <v>0</v>
      </c>
      <c r="P17" s="116" t="n">
        <f aca="false">IF($B17="","",O17*(الموظفون!$P17+الموظفون!$L17*cfg_OT_P)/cfg_DAYS_M/cfg_HRS)</f>
        <v>0</v>
      </c>
      <c r="Q17" s="116" t="n">
        <f aca="false">IF($B17="","",SUMIFS('الحركات الشهرية'!$G$6:$G$1005,'الحركات الشهرية'!$B$6:$B$1005,$B17,'الحركات الشهرية'!$A$6:$A$1005,$C$3))</f>
        <v>0</v>
      </c>
      <c r="R17" s="116" t="n">
        <f aca="false">IF($B17="","",SUMIFS('الحركات الشهرية'!$H$6:$H$1005,'الحركات الشهرية'!$B$6:$B$1005,$B17,'الحركات الشهرية'!$A$6:$A$1005,$C$3))</f>
        <v>0</v>
      </c>
      <c r="S17" s="116" t="n">
        <f aca="false">IF($B17="","",SUMIFS('سجل الإجازات والحالات'!$N$6:$N$505,'سجل الإجازات والحالات'!$B$6:$B$505,$B17,'سجل الإجازات والحالات'!$O$6:$O$505,$C$3))</f>
        <v>0</v>
      </c>
      <c r="T17" s="157" t="n">
        <f aca="false">IF($B17="","",SUM(K17:N17)+SUM(P17:S17))</f>
        <v>17700</v>
      </c>
      <c r="U17" s="116" t="n">
        <f aca="false">IF($B17="","",الموظفون!$S17*IF(E17="سعودي",cfg_G_SE,cfg_G_NE)*G17/cfg_DAYS_M)</f>
        <v>1462.5</v>
      </c>
      <c r="V17" s="116" t="n">
        <f aca="false">IF($B17="","",SUMIFS('الحركات الشهرية'!$I$6:$I$1005,'الحركات الشهرية'!$B$6:$B$1005,$B17,'الحركات الشهرية'!$A$6:$A$1005,$C$3))</f>
        <v>0</v>
      </c>
      <c r="W17" s="116" t="n">
        <f aca="false">IF($B17="","",SUMIFS('الحركات الشهرية'!$J$6:$J$1005,'الحركات الشهرية'!$B$6:$B$1005,$B17,'الحركات الشهرية'!$A$6:$A$1005,$C$3))</f>
        <v>0</v>
      </c>
      <c r="X17" s="116" t="n">
        <f aca="false">IF($B17="","",SUM(U17:W17))</f>
        <v>1462.5</v>
      </c>
      <c r="Y17" s="158" t="n">
        <f aca="false">IF($B17="","",T17-X17)</f>
        <v>16237.5</v>
      </c>
      <c r="Z17" s="116" t="n">
        <f aca="false">IF($B17="","",الموظفون!$S17*IF(E17="سعودي",cfg_G_SR,cfg_G_NR)*G17/cfg_DAYS_M)</f>
        <v>1762.5</v>
      </c>
      <c r="AA17" s="116" t="n">
        <f aca="false">IF($B17="","",الموظفون!$Q17*(cfg_EOS_R1*(MIN(AH17,cfg_EOS_TH)-MIN(AI17,cfg_EOS_TH))+cfg_EOS_R2*(MAX(AH17-cfg_EOS_TH,0)-MAX(AI17-cfg_EOS_TH,0))))</f>
        <v>687.945205479452</v>
      </c>
      <c r="AB17" s="116" t="n">
        <f aca="false">IF($B17="","",IF(الموظفون!$T17&lt;&gt;"",الموظفون!$T17,IF(AH17&gt;=cfg_LV_TH,cfg_LV_D2,cfg_LV_D1))/cfg_DAYS_Y*AJ17*الموظفون!$R17/cfg_DAYS_M)</f>
        <v>963.123287671233</v>
      </c>
      <c r="AC17" s="116" t="n">
        <f aca="false">IF($B17="","",IF(AND(الموظفون!$U17="نعم",N(الموظفون!$W17)&gt;0),الموظفون!$V17/الموظفون!$W17*12/cfg_DAYS_Y*AJ17,0))</f>
        <v>0</v>
      </c>
      <c r="AD17" s="116" t="n">
        <f aca="false">IF($B17="","",(IF(الموظفون!$X17&lt;&gt;"",الموظفون!$X17,IF(الموظفون!$E17="غير سعودي",cfg_IQ,0))+IF(الموظفون!$Y17&lt;&gt;"",الموظفون!$Y17,IF(الموظفون!$E17="غير سعودي",cfg_WP,0)))/12*G17/cfg_DAYS_M)</f>
        <v>0</v>
      </c>
      <c r="AE17" s="116" t="n">
        <f aca="false">IF($B17="","",IF(الموظفون!$Z17&lt;&gt;"",الموظفون!$Z17,cfg_MED)/12*G17/cfg_DAYS_M)</f>
        <v>200</v>
      </c>
      <c r="AF17" s="116" t="n">
        <f aca="false">IF($B17="","",N(الموظفون!$AA17)/12*G17/cfg_DAYS_M)</f>
        <v>0</v>
      </c>
      <c r="AG17" s="159" t="n">
        <f aca="false">IF($B17="","",T17+SUM(Z17:AF17))</f>
        <v>21313.5684931507</v>
      </c>
      <c r="AH17" s="160" t="n">
        <f aca="false">IF($B17="","",MAX(0,IF(OR(الموظفون!$AE17="",الموظفون!$AE17&gt;$F$3),$F$3,الموظفون!$AE17)-الموظفون!$H17+1-SUMIFS('سجل الإجازات والحالات'!$AH$6:$AH$505,'سجل الإجازات والحالات'!$B$6:$B$505,$B17))/cfg_DAYS_Y)</f>
        <v>3.56712328767123</v>
      </c>
      <c r="AI17" s="160" t="n">
        <f aca="false">IF($B17="","",MAX(0,IF(OR(الموظفون!$AE17="",الموظفون!$AE17&gt;($E$3-1)),($E$3-1),الموظفون!$AE17)-الموظفون!$H17+1-SUMIFS('سجل الإجازات والحالات'!$R$6:$R$505,'سجل الإجازات والحالات'!$B$6:$B$505,$B17))/cfg_DAYS_Y)</f>
        <v>3.48219178082192</v>
      </c>
      <c r="AJ17" s="133" t="n">
        <f aca="false">IF($B17="","",MAX(0,AK17-(SUMIFS('سجل الإجازات والحالات'!$AH$6:$AH$505,'سجل الإجازات والحالات'!$B$6:$B$505,$B17)-SUMIFS('سجل الإجازات والحالات'!$R$6:$R$505,'سجل الإجازات والحالات'!$B$6:$B$505,$B17))))</f>
        <v>31</v>
      </c>
      <c r="AK17" s="133" t="n">
        <f aca="false">IF($B17="","",MAX(0,IF(OR(الموظفون!$AE17="",الموظفون!$AE17&gt;$F$3),$F$3,الموظفون!$AE17)-MAX($E$3,الموظفون!$H17)+1))</f>
        <v>31</v>
      </c>
      <c r="AL17" s="156" t="n">
        <f aca="false">IF($B17="","",SUMIFS('سجل الإجازات والحالات'!$AT$6:$AT$505,'سجل الإجازات والحالات'!$B$6:$B$505,$B17)+SUMIFS('الحركات الشهرية'!$K$6:$K$1005,'الحركات الشهرية'!$B$6:$B$1005,$B17,'الحركات الشهرية'!$A$6:$A$1005,$C$3))</f>
        <v>0</v>
      </c>
      <c r="AM17" s="116" t="n">
        <f aca="false">IF($B17="","",AL17*الموظفون!$R17/cfg_DAYS_M+S17)</f>
        <v>0</v>
      </c>
      <c r="AN17" s="156" t="n">
        <f aca="false">IF($B17="","",SUMIFS('سجل الإجازات والحالات'!$V$6:$V$505,'سجل الإجازات والحالات'!$B$6:$B$505,$B17))</f>
        <v>0</v>
      </c>
    </row>
    <row r="18" customFormat="false" ht="15" hidden="false" customHeight="false" outlineLevel="0" collapsed="false">
      <c r="A18" s="106" t="str">
        <f aca="false">IF($B18="","",الموظفون!$A18)</f>
        <v/>
      </c>
      <c r="B18" s="114" t="str">
        <f aca="false">IF(الموظفون!$B18="","",الموظفون!$B18)</f>
        <v/>
      </c>
      <c r="C18" s="114" t="str">
        <f aca="false">IF($B18="","",الموظفون!$C18)</f>
        <v/>
      </c>
      <c r="D18" s="114" t="str">
        <f aca="false">IF($B18="","",الموظفون!$F18)</f>
        <v/>
      </c>
      <c r="E18" s="114" t="str">
        <f aca="false">IF($B18="","",الموظفون!$E18)</f>
        <v/>
      </c>
      <c r="F18" s="114" t="str">
        <f aca="false">IF($B18="","",IF(AK18=0,IF(AND(الموظفون!$AE18&lt;&gt;"",الموظفون!$AE18&lt;$E$3),"✖ منتهي الخدمة","⏳ لم يباشر"),IF(S18&gt;0,"✈ راتب إجازة مقدم",IF(J18=0,"⛔ بدون راتب هذا الشهر",IF(I18&gt;0,"✈ خصم "&amp;ROUND(I18,2)&amp;" يوم بدون أجر",IF(AL18&gt;0,"🌴 إجازة سنوية "&amp;ROUND(AL18,2)&amp;" يوم",IF(H18&gt;0,"⚠ غياب "&amp;ROUND(H18,2)&amp;" يوم","✔ على رأس العمل")))))))</f>
        <v/>
      </c>
      <c r="G18" s="151" t="str">
        <f aca="false">IF($B18="","",IF(AK18&gt;=DAY($F$3),cfg_DAYS_M,MIN(AK18,cfg_DAYS_M)))</f>
        <v/>
      </c>
      <c r="H18" s="151" t="str">
        <f aca="false">IF($B18="","",SUMIFS('الحركات الشهرية'!$D$6:$D$1005,'الحركات الشهرية'!$B$6:$B$1005,$B18,'الحركات الشهرية'!$A$6:$A$1005,$C$3))</f>
        <v/>
      </c>
      <c r="I18" s="151" t="str">
        <f aca="false">IF($B18="","",MIN(G18,IF(AND(AK18&gt;0,AN18&gt;=AK18),G18,AN18)+SUMIFS('الحركات الشهرية'!$E$6:$E$1005,'الحركات الشهرية'!$B$6:$B$1005,$B18,'الحركات الشهرية'!$A$6:$A$1005,$C$3)))</f>
        <v/>
      </c>
      <c r="J18" s="151" t="str">
        <f aca="false">IF($B18="","",MAX(0,G18-H18-I18))</f>
        <v/>
      </c>
      <c r="K18" s="111" t="str">
        <f aca="false">IF($B18="","",الموظفون!$L18*$J18/cfg_DAYS_M)</f>
        <v/>
      </c>
      <c r="L18" s="111" t="str">
        <f aca="false">IF($B18="","",الموظفون!$M18*$J18/cfg_DAYS_M)</f>
        <v/>
      </c>
      <c r="M18" s="111" t="str">
        <f aca="false">IF($B18="","",الموظفون!$N18*$J18/cfg_DAYS_M)</f>
        <v/>
      </c>
      <c r="N18" s="111" t="str">
        <f aca="false">IF($B18="","",الموظفون!$O18*$J18/cfg_DAYS_M)</f>
        <v/>
      </c>
      <c r="O18" s="151" t="str">
        <f aca="false">IF($B18="","",SUMIFS('الحركات الشهرية'!$F$6:$F$1005,'الحركات الشهرية'!$B$6:$B$1005,$B18,'الحركات الشهرية'!$A$6:$A$1005,$C$3))</f>
        <v/>
      </c>
      <c r="P18" s="111" t="str">
        <f aca="false">IF($B18="","",O18*(الموظفون!$P18+الموظفون!$L18*cfg_OT_P)/cfg_DAYS_M/cfg_HRS)</f>
        <v/>
      </c>
      <c r="Q18" s="111" t="str">
        <f aca="false">IF($B18="","",SUMIFS('الحركات الشهرية'!$G$6:$G$1005,'الحركات الشهرية'!$B$6:$B$1005,$B18,'الحركات الشهرية'!$A$6:$A$1005,$C$3))</f>
        <v/>
      </c>
      <c r="R18" s="111" t="str">
        <f aca="false">IF($B18="","",SUMIFS('الحركات الشهرية'!$H$6:$H$1005,'الحركات الشهرية'!$B$6:$B$1005,$B18,'الحركات الشهرية'!$A$6:$A$1005,$C$3))</f>
        <v/>
      </c>
      <c r="S18" s="111" t="str">
        <f aca="false">IF($B18="","",SUMIFS('سجل الإجازات والحالات'!$N$6:$N$505,'سجل الإجازات والحالات'!$B$6:$B$505,$B18,'سجل الإجازات والحالات'!$O$6:$O$505,$C$3))</f>
        <v/>
      </c>
      <c r="T18" s="152" t="str">
        <f aca="false">IF($B18="","",SUM(K18:N18)+SUM(P18:S18))</f>
        <v/>
      </c>
      <c r="U18" s="111" t="str">
        <f aca="false">IF($B18="","",الموظفون!$S18*IF(E18="سعودي",cfg_G_SE,cfg_G_NE)*G18/cfg_DAYS_M)</f>
        <v/>
      </c>
      <c r="V18" s="111" t="str">
        <f aca="false">IF($B18="","",SUMIFS('الحركات الشهرية'!$I$6:$I$1005,'الحركات الشهرية'!$B$6:$B$1005,$B18,'الحركات الشهرية'!$A$6:$A$1005,$C$3))</f>
        <v/>
      </c>
      <c r="W18" s="111" t="str">
        <f aca="false">IF($B18="","",SUMIFS('الحركات الشهرية'!$J$6:$J$1005,'الحركات الشهرية'!$B$6:$B$1005,$B18,'الحركات الشهرية'!$A$6:$A$1005,$C$3))</f>
        <v/>
      </c>
      <c r="X18" s="111" t="str">
        <f aca="false">IF($B18="","",SUM(U18:W18))</f>
        <v/>
      </c>
      <c r="Y18" s="153" t="str">
        <f aca="false">IF($B18="","",T18-X18)</f>
        <v/>
      </c>
      <c r="Z18" s="111" t="str">
        <f aca="false">IF($B18="","",الموظفون!$S18*IF(E18="سعودي",cfg_G_SR,cfg_G_NR)*G18/cfg_DAYS_M)</f>
        <v/>
      </c>
      <c r="AA18" s="111" t="str">
        <f aca="false">IF($B18="","",الموظفون!$Q18*(cfg_EOS_R1*(MIN(AH18,cfg_EOS_TH)-MIN(AI18,cfg_EOS_TH))+cfg_EOS_R2*(MAX(AH18-cfg_EOS_TH,0)-MAX(AI18-cfg_EOS_TH,0))))</f>
        <v/>
      </c>
      <c r="AB18" s="111" t="str">
        <f aca="false">IF($B18="","",IF(الموظفون!$T18&lt;&gt;"",الموظفون!$T18,IF(AH18&gt;=cfg_LV_TH,cfg_LV_D2,cfg_LV_D1))/cfg_DAYS_Y*AJ18*الموظفون!$R18/cfg_DAYS_M)</f>
        <v/>
      </c>
      <c r="AC18" s="111" t="str">
        <f aca="false">IF($B18="","",IF(AND(الموظفون!$U18="نعم",N(الموظفون!$W18)&gt;0),الموظفون!$V18/الموظفون!$W18*12/cfg_DAYS_Y*AJ18,0))</f>
        <v/>
      </c>
      <c r="AD18" s="111" t="str">
        <f aca="false">IF($B18="","",(IF(الموظفون!$X18&lt;&gt;"",الموظفون!$X18,IF(الموظفون!$E18="غير سعودي",cfg_IQ,0))+IF(الموظفون!$Y18&lt;&gt;"",الموظفون!$Y18,IF(الموظفون!$E18="غير سعودي",cfg_WP,0)))/12*G18/cfg_DAYS_M)</f>
        <v/>
      </c>
      <c r="AE18" s="111" t="str">
        <f aca="false">IF($B18="","",IF(الموظفون!$Z18&lt;&gt;"",الموظفون!$Z18,cfg_MED)/12*G18/cfg_DAYS_M)</f>
        <v/>
      </c>
      <c r="AF18" s="111" t="str">
        <f aca="false">IF($B18="","",N(الموظفون!$AA18)/12*G18/cfg_DAYS_M)</f>
        <v/>
      </c>
      <c r="AG18" s="154" t="str">
        <f aca="false">IF($B18="","",T18+SUM(Z18:AF18))</f>
        <v/>
      </c>
      <c r="AH18" s="155" t="str">
        <f aca="false">IF($B18="","",MAX(0,IF(OR(الموظفون!$AE18="",الموظفون!$AE18&gt;$F$3),$F$3,الموظفون!$AE18)-الموظفون!$H18+1-SUMIFS('سجل الإجازات والحالات'!$AH$6:$AH$505,'سجل الإجازات والحالات'!$B$6:$B$505,$B18))/cfg_DAYS_Y)</f>
        <v/>
      </c>
      <c r="AI18" s="155" t="str">
        <f aca="false">IF($B18="","",MAX(0,IF(OR(الموظفون!$AE18="",الموظفون!$AE18&gt;($E$3-1)),($E$3-1),الموظفون!$AE18)-الموظفون!$H18+1-SUMIFS('سجل الإجازات والحالات'!$R$6:$R$505,'سجل الإجازات والحالات'!$B$6:$B$505,$B18))/cfg_DAYS_Y)</f>
        <v/>
      </c>
      <c r="AJ18" s="65" t="str">
        <f aca="false">IF($B18="","",MAX(0,AK18-(SUMIFS('سجل الإجازات والحالات'!$AH$6:$AH$505,'سجل الإجازات والحالات'!$B$6:$B$505,$B18)-SUMIFS('سجل الإجازات والحالات'!$R$6:$R$505,'سجل الإجازات والحالات'!$B$6:$B$505,$B18))))</f>
        <v/>
      </c>
      <c r="AK18" s="65" t="str">
        <f aca="false">IF($B18="","",MAX(0,IF(OR(الموظفون!$AE18="",الموظفون!$AE18&gt;$F$3),$F$3,الموظفون!$AE18)-MAX($E$3,الموظفون!$H18)+1))</f>
        <v/>
      </c>
      <c r="AL18" s="151" t="str">
        <f aca="false">IF($B18="","",SUMIFS('سجل الإجازات والحالات'!$AT$6:$AT$505,'سجل الإجازات والحالات'!$B$6:$B$505,$B18)+SUMIFS('الحركات الشهرية'!$K$6:$K$1005,'الحركات الشهرية'!$B$6:$B$1005,$B18,'الحركات الشهرية'!$A$6:$A$1005,$C$3))</f>
        <v/>
      </c>
      <c r="AM18" s="111" t="str">
        <f aca="false">IF($B18="","",AL18*الموظفون!$R18/cfg_DAYS_M+S18)</f>
        <v/>
      </c>
      <c r="AN18" s="151" t="str">
        <f aca="false">IF($B18="","",SUMIFS('سجل الإجازات والحالات'!$V$6:$V$505,'سجل الإجازات والحالات'!$B$6:$B$505,$B18))</f>
        <v/>
      </c>
    </row>
    <row r="19" customFormat="false" ht="15" hidden="false" customHeight="false" outlineLevel="0" collapsed="false">
      <c r="A19" s="115" t="str">
        <f aca="false">IF($B19="","",الموظفون!$A19)</f>
        <v/>
      </c>
      <c r="B19" s="117" t="str">
        <f aca="false">IF(الموظفون!$B19="","",الموظفون!$B19)</f>
        <v/>
      </c>
      <c r="C19" s="117" t="str">
        <f aca="false">IF($B19="","",الموظفون!$C19)</f>
        <v/>
      </c>
      <c r="D19" s="117" t="str">
        <f aca="false">IF($B19="","",الموظفون!$F19)</f>
        <v/>
      </c>
      <c r="E19" s="117" t="str">
        <f aca="false">IF($B19="","",الموظفون!$E19)</f>
        <v/>
      </c>
      <c r="F19" s="117" t="str">
        <f aca="false">IF($B19="","",IF(AK19=0,IF(AND(الموظفون!$AE19&lt;&gt;"",الموظفون!$AE19&lt;$E$3),"✖ منتهي الخدمة","⏳ لم يباشر"),IF(S19&gt;0,"✈ راتب إجازة مقدم",IF(J19=0,"⛔ بدون راتب هذا الشهر",IF(I19&gt;0,"✈ خصم "&amp;ROUND(I19,2)&amp;" يوم بدون أجر",IF(AL19&gt;0,"🌴 إجازة سنوية "&amp;ROUND(AL19,2)&amp;" يوم",IF(H19&gt;0,"⚠ غياب "&amp;ROUND(H19,2)&amp;" يوم","✔ على رأس العمل")))))))</f>
        <v/>
      </c>
      <c r="G19" s="156" t="str">
        <f aca="false">IF($B19="","",IF(AK19&gt;=DAY($F$3),cfg_DAYS_M,MIN(AK19,cfg_DAYS_M)))</f>
        <v/>
      </c>
      <c r="H19" s="156" t="str">
        <f aca="false">IF($B19="","",SUMIFS('الحركات الشهرية'!$D$6:$D$1005,'الحركات الشهرية'!$B$6:$B$1005,$B19,'الحركات الشهرية'!$A$6:$A$1005,$C$3))</f>
        <v/>
      </c>
      <c r="I19" s="156" t="str">
        <f aca="false">IF($B19="","",MIN(G19,IF(AND(AK19&gt;0,AN19&gt;=AK19),G19,AN19)+SUMIFS('الحركات الشهرية'!$E$6:$E$1005,'الحركات الشهرية'!$B$6:$B$1005,$B19,'الحركات الشهرية'!$A$6:$A$1005,$C$3)))</f>
        <v/>
      </c>
      <c r="J19" s="156" t="str">
        <f aca="false">IF($B19="","",MAX(0,G19-H19-I19))</f>
        <v/>
      </c>
      <c r="K19" s="116" t="str">
        <f aca="false">IF($B19="","",الموظفون!$L19*$J19/cfg_DAYS_M)</f>
        <v/>
      </c>
      <c r="L19" s="116" t="str">
        <f aca="false">IF($B19="","",الموظفون!$M19*$J19/cfg_DAYS_M)</f>
        <v/>
      </c>
      <c r="M19" s="116" t="str">
        <f aca="false">IF($B19="","",الموظفون!$N19*$J19/cfg_DAYS_M)</f>
        <v/>
      </c>
      <c r="N19" s="116" t="str">
        <f aca="false">IF($B19="","",الموظفون!$O19*$J19/cfg_DAYS_M)</f>
        <v/>
      </c>
      <c r="O19" s="156" t="str">
        <f aca="false">IF($B19="","",SUMIFS('الحركات الشهرية'!$F$6:$F$1005,'الحركات الشهرية'!$B$6:$B$1005,$B19,'الحركات الشهرية'!$A$6:$A$1005,$C$3))</f>
        <v/>
      </c>
      <c r="P19" s="116" t="str">
        <f aca="false">IF($B19="","",O19*(الموظفون!$P19+الموظفون!$L19*cfg_OT_P)/cfg_DAYS_M/cfg_HRS)</f>
        <v/>
      </c>
      <c r="Q19" s="116" t="str">
        <f aca="false">IF($B19="","",SUMIFS('الحركات الشهرية'!$G$6:$G$1005,'الحركات الشهرية'!$B$6:$B$1005,$B19,'الحركات الشهرية'!$A$6:$A$1005,$C$3))</f>
        <v/>
      </c>
      <c r="R19" s="116" t="str">
        <f aca="false">IF($B19="","",SUMIFS('الحركات الشهرية'!$H$6:$H$1005,'الحركات الشهرية'!$B$6:$B$1005,$B19,'الحركات الشهرية'!$A$6:$A$1005,$C$3))</f>
        <v/>
      </c>
      <c r="S19" s="116" t="str">
        <f aca="false">IF($B19="","",SUMIFS('سجل الإجازات والحالات'!$N$6:$N$505,'سجل الإجازات والحالات'!$B$6:$B$505,$B19,'سجل الإجازات والحالات'!$O$6:$O$505,$C$3))</f>
        <v/>
      </c>
      <c r="T19" s="157" t="str">
        <f aca="false">IF($B19="","",SUM(K19:N19)+SUM(P19:S19))</f>
        <v/>
      </c>
      <c r="U19" s="116" t="str">
        <f aca="false">IF($B19="","",الموظفون!$S19*IF(E19="سعودي",cfg_G_SE,cfg_G_NE)*G19/cfg_DAYS_M)</f>
        <v/>
      </c>
      <c r="V19" s="116" t="str">
        <f aca="false">IF($B19="","",SUMIFS('الحركات الشهرية'!$I$6:$I$1005,'الحركات الشهرية'!$B$6:$B$1005,$B19,'الحركات الشهرية'!$A$6:$A$1005,$C$3))</f>
        <v/>
      </c>
      <c r="W19" s="116" t="str">
        <f aca="false">IF($B19="","",SUMIFS('الحركات الشهرية'!$J$6:$J$1005,'الحركات الشهرية'!$B$6:$B$1005,$B19,'الحركات الشهرية'!$A$6:$A$1005,$C$3))</f>
        <v/>
      </c>
      <c r="X19" s="116" t="str">
        <f aca="false">IF($B19="","",SUM(U19:W19))</f>
        <v/>
      </c>
      <c r="Y19" s="158" t="str">
        <f aca="false">IF($B19="","",T19-X19)</f>
        <v/>
      </c>
      <c r="Z19" s="116" t="str">
        <f aca="false">IF($B19="","",الموظفون!$S19*IF(E19="سعودي",cfg_G_SR,cfg_G_NR)*G19/cfg_DAYS_M)</f>
        <v/>
      </c>
      <c r="AA19" s="116" t="str">
        <f aca="false">IF($B19="","",الموظفون!$Q19*(cfg_EOS_R1*(MIN(AH19,cfg_EOS_TH)-MIN(AI19,cfg_EOS_TH))+cfg_EOS_R2*(MAX(AH19-cfg_EOS_TH,0)-MAX(AI19-cfg_EOS_TH,0))))</f>
        <v/>
      </c>
      <c r="AB19" s="116" t="str">
        <f aca="false">IF($B19="","",IF(الموظفون!$T19&lt;&gt;"",الموظفون!$T19,IF(AH19&gt;=cfg_LV_TH,cfg_LV_D2,cfg_LV_D1))/cfg_DAYS_Y*AJ19*الموظفون!$R19/cfg_DAYS_M)</f>
        <v/>
      </c>
      <c r="AC19" s="116" t="str">
        <f aca="false">IF($B19="","",IF(AND(الموظفون!$U19="نعم",N(الموظفون!$W19)&gt;0),الموظفون!$V19/الموظفون!$W19*12/cfg_DAYS_Y*AJ19,0))</f>
        <v/>
      </c>
      <c r="AD19" s="116" t="str">
        <f aca="false">IF($B19="","",(IF(الموظفون!$X19&lt;&gt;"",الموظفون!$X19,IF(الموظفون!$E19="غير سعودي",cfg_IQ,0))+IF(الموظفون!$Y19&lt;&gt;"",الموظفون!$Y19,IF(الموظفون!$E19="غير سعودي",cfg_WP,0)))/12*G19/cfg_DAYS_M)</f>
        <v/>
      </c>
      <c r="AE19" s="116" t="str">
        <f aca="false">IF($B19="","",IF(الموظفون!$Z19&lt;&gt;"",الموظفون!$Z19,cfg_MED)/12*G19/cfg_DAYS_M)</f>
        <v/>
      </c>
      <c r="AF19" s="116" t="str">
        <f aca="false">IF($B19="","",N(الموظفون!$AA19)/12*G19/cfg_DAYS_M)</f>
        <v/>
      </c>
      <c r="AG19" s="159" t="str">
        <f aca="false">IF($B19="","",T19+SUM(Z19:AF19))</f>
        <v/>
      </c>
      <c r="AH19" s="160" t="str">
        <f aca="false">IF($B19="","",MAX(0,IF(OR(الموظفون!$AE19="",الموظفون!$AE19&gt;$F$3),$F$3,الموظفون!$AE19)-الموظفون!$H19+1-SUMIFS('سجل الإجازات والحالات'!$AH$6:$AH$505,'سجل الإجازات والحالات'!$B$6:$B$505,$B19))/cfg_DAYS_Y)</f>
        <v/>
      </c>
      <c r="AI19" s="160" t="str">
        <f aca="false">IF($B19="","",MAX(0,IF(OR(الموظفون!$AE19="",الموظفون!$AE19&gt;($E$3-1)),($E$3-1),الموظفون!$AE19)-الموظفون!$H19+1-SUMIFS('سجل الإجازات والحالات'!$R$6:$R$505,'سجل الإجازات والحالات'!$B$6:$B$505,$B19))/cfg_DAYS_Y)</f>
        <v/>
      </c>
      <c r="AJ19" s="133" t="str">
        <f aca="false">IF($B19="","",MAX(0,AK19-(SUMIFS('سجل الإجازات والحالات'!$AH$6:$AH$505,'سجل الإجازات والحالات'!$B$6:$B$505,$B19)-SUMIFS('سجل الإجازات والحالات'!$R$6:$R$505,'سجل الإجازات والحالات'!$B$6:$B$505,$B19))))</f>
        <v/>
      </c>
      <c r="AK19" s="133" t="str">
        <f aca="false">IF($B19="","",MAX(0,IF(OR(الموظفون!$AE19="",الموظفون!$AE19&gt;$F$3),$F$3,الموظفون!$AE19)-MAX($E$3,الموظفون!$H19)+1))</f>
        <v/>
      </c>
      <c r="AL19" s="156" t="str">
        <f aca="false">IF($B19="","",SUMIFS('سجل الإجازات والحالات'!$AT$6:$AT$505,'سجل الإجازات والحالات'!$B$6:$B$505,$B19)+SUMIFS('الحركات الشهرية'!$K$6:$K$1005,'الحركات الشهرية'!$B$6:$B$1005,$B19,'الحركات الشهرية'!$A$6:$A$1005,$C$3))</f>
        <v/>
      </c>
      <c r="AM19" s="116" t="str">
        <f aca="false">IF($B19="","",AL19*الموظفون!$R19/cfg_DAYS_M+S19)</f>
        <v/>
      </c>
      <c r="AN19" s="156" t="str">
        <f aca="false">IF($B19="","",SUMIFS('سجل الإجازات والحالات'!$V$6:$V$505,'سجل الإجازات والحالات'!$B$6:$B$505,$B19))</f>
        <v/>
      </c>
    </row>
    <row r="20" customFormat="false" ht="15" hidden="false" customHeight="false" outlineLevel="0" collapsed="false">
      <c r="A20" s="106" t="str">
        <f aca="false">IF($B20="","",الموظفون!$A20)</f>
        <v/>
      </c>
      <c r="B20" s="114" t="str">
        <f aca="false">IF(الموظفون!$B20="","",الموظفون!$B20)</f>
        <v/>
      </c>
      <c r="C20" s="114" t="str">
        <f aca="false">IF($B20="","",الموظفون!$C20)</f>
        <v/>
      </c>
      <c r="D20" s="114" t="str">
        <f aca="false">IF($B20="","",الموظفون!$F20)</f>
        <v/>
      </c>
      <c r="E20" s="114" t="str">
        <f aca="false">IF($B20="","",الموظفون!$E20)</f>
        <v/>
      </c>
      <c r="F20" s="114" t="str">
        <f aca="false">IF($B20="","",IF(AK20=0,IF(AND(الموظفون!$AE20&lt;&gt;"",الموظفون!$AE20&lt;$E$3),"✖ منتهي الخدمة","⏳ لم يباشر"),IF(S20&gt;0,"✈ راتب إجازة مقدم",IF(J20=0,"⛔ بدون راتب هذا الشهر",IF(I20&gt;0,"✈ خصم "&amp;ROUND(I20,2)&amp;" يوم بدون أجر",IF(AL20&gt;0,"🌴 إجازة سنوية "&amp;ROUND(AL20,2)&amp;" يوم",IF(H20&gt;0,"⚠ غياب "&amp;ROUND(H20,2)&amp;" يوم","✔ على رأس العمل")))))))</f>
        <v/>
      </c>
      <c r="G20" s="151" t="str">
        <f aca="false">IF($B20="","",IF(AK20&gt;=DAY($F$3),cfg_DAYS_M,MIN(AK20,cfg_DAYS_M)))</f>
        <v/>
      </c>
      <c r="H20" s="151" t="str">
        <f aca="false">IF($B20="","",SUMIFS('الحركات الشهرية'!$D$6:$D$1005,'الحركات الشهرية'!$B$6:$B$1005,$B20,'الحركات الشهرية'!$A$6:$A$1005,$C$3))</f>
        <v/>
      </c>
      <c r="I20" s="151" t="str">
        <f aca="false">IF($B20="","",MIN(G20,IF(AND(AK20&gt;0,AN20&gt;=AK20),G20,AN20)+SUMIFS('الحركات الشهرية'!$E$6:$E$1005,'الحركات الشهرية'!$B$6:$B$1005,$B20,'الحركات الشهرية'!$A$6:$A$1005,$C$3)))</f>
        <v/>
      </c>
      <c r="J20" s="151" t="str">
        <f aca="false">IF($B20="","",MAX(0,G20-H20-I20))</f>
        <v/>
      </c>
      <c r="K20" s="111" t="str">
        <f aca="false">IF($B20="","",الموظفون!$L20*$J20/cfg_DAYS_M)</f>
        <v/>
      </c>
      <c r="L20" s="111" t="str">
        <f aca="false">IF($B20="","",الموظفون!$M20*$J20/cfg_DAYS_M)</f>
        <v/>
      </c>
      <c r="M20" s="111" t="str">
        <f aca="false">IF($B20="","",الموظفون!$N20*$J20/cfg_DAYS_M)</f>
        <v/>
      </c>
      <c r="N20" s="111" t="str">
        <f aca="false">IF($B20="","",الموظفون!$O20*$J20/cfg_DAYS_M)</f>
        <v/>
      </c>
      <c r="O20" s="151" t="str">
        <f aca="false">IF($B20="","",SUMIFS('الحركات الشهرية'!$F$6:$F$1005,'الحركات الشهرية'!$B$6:$B$1005,$B20,'الحركات الشهرية'!$A$6:$A$1005,$C$3))</f>
        <v/>
      </c>
      <c r="P20" s="111" t="str">
        <f aca="false">IF($B20="","",O20*(الموظفون!$P20+الموظفون!$L20*cfg_OT_P)/cfg_DAYS_M/cfg_HRS)</f>
        <v/>
      </c>
      <c r="Q20" s="111" t="str">
        <f aca="false">IF($B20="","",SUMIFS('الحركات الشهرية'!$G$6:$G$1005,'الحركات الشهرية'!$B$6:$B$1005,$B20,'الحركات الشهرية'!$A$6:$A$1005,$C$3))</f>
        <v/>
      </c>
      <c r="R20" s="111" t="str">
        <f aca="false">IF($B20="","",SUMIFS('الحركات الشهرية'!$H$6:$H$1005,'الحركات الشهرية'!$B$6:$B$1005,$B20,'الحركات الشهرية'!$A$6:$A$1005,$C$3))</f>
        <v/>
      </c>
      <c r="S20" s="111" t="str">
        <f aca="false">IF($B20="","",SUMIFS('سجل الإجازات والحالات'!$N$6:$N$505,'سجل الإجازات والحالات'!$B$6:$B$505,$B20,'سجل الإجازات والحالات'!$O$6:$O$505,$C$3))</f>
        <v/>
      </c>
      <c r="T20" s="152" t="str">
        <f aca="false">IF($B20="","",SUM(K20:N20)+SUM(P20:S20))</f>
        <v/>
      </c>
      <c r="U20" s="111" t="str">
        <f aca="false">IF($B20="","",الموظفون!$S20*IF(E20="سعودي",cfg_G_SE,cfg_G_NE)*G20/cfg_DAYS_M)</f>
        <v/>
      </c>
      <c r="V20" s="111" t="str">
        <f aca="false">IF($B20="","",SUMIFS('الحركات الشهرية'!$I$6:$I$1005,'الحركات الشهرية'!$B$6:$B$1005,$B20,'الحركات الشهرية'!$A$6:$A$1005,$C$3))</f>
        <v/>
      </c>
      <c r="W20" s="111" t="str">
        <f aca="false">IF($B20="","",SUMIFS('الحركات الشهرية'!$J$6:$J$1005,'الحركات الشهرية'!$B$6:$B$1005,$B20,'الحركات الشهرية'!$A$6:$A$1005,$C$3))</f>
        <v/>
      </c>
      <c r="X20" s="111" t="str">
        <f aca="false">IF($B20="","",SUM(U20:W20))</f>
        <v/>
      </c>
      <c r="Y20" s="153" t="str">
        <f aca="false">IF($B20="","",T20-X20)</f>
        <v/>
      </c>
      <c r="Z20" s="111" t="str">
        <f aca="false">IF($B20="","",الموظفون!$S20*IF(E20="سعودي",cfg_G_SR,cfg_G_NR)*G20/cfg_DAYS_M)</f>
        <v/>
      </c>
      <c r="AA20" s="111" t="str">
        <f aca="false">IF($B20="","",الموظفون!$Q20*(cfg_EOS_R1*(MIN(AH20,cfg_EOS_TH)-MIN(AI20,cfg_EOS_TH))+cfg_EOS_R2*(MAX(AH20-cfg_EOS_TH,0)-MAX(AI20-cfg_EOS_TH,0))))</f>
        <v/>
      </c>
      <c r="AB20" s="111" t="str">
        <f aca="false">IF($B20="","",IF(الموظفون!$T20&lt;&gt;"",الموظفون!$T20,IF(AH20&gt;=cfg_LV_TH,cfg_LV_D2,cfg_LV_D1))/cfg_DAYS_Y*AJ20*الموظفون!$R20/cfg_DAYS_M)</f>
        <v/>
      </c>
      <c r="AC20" s="111" t="str">
        <f aca="false">IF($B20="","",IF(AND(الموظفون!$U20="نعم",N(الموظفون!$W20)&gt;0),الموظفون!$V20/الموظفون!$W20*12/cfg_DAYS_Y*AJ20,0))</f>
        <v/>
      </c>
      <c r="AD20" s="111" t="str">
        <f aca="false">IF($B20="","",(IF(الموظفون!$X20&lt;&gt;"",الموظفون!$X20,IF(الموظفون!$E20="غير سعودي",cfg_IQ,0))+IF(الموظفون!$Y20&lt;&gt;"",الموظفون!$Y20,IF(الموظفون!$E20="غير سعودي",cfg_WP,0)))/12*G20/cfg_DAYS_M)</f>
        <v/>
      </c>
      <c r="AE20" s="111" t="str">
        <f aca="false">IF($B20="","",IF(الموظفون!$Z20&lt;&gt;"",الموظفون!$Z20,cfg_MED)/12*G20/cfg_DAYS_M)</f>
        <v/>
      </c>
      <c r="AF20" s="111" t="str">
        <f aca="false">IF($B20="","",N(الموظفون!$AA20)/12*G20/cfg_DAYS_M)</f>
        <v/>
      </c>
      <c r="AG20" s="154" t="str">
        <f aca="false">IF($B20="","",T20+SUM(Z20:AF20))</f>
        <v/>
      </c>
      <c r="AH20" s="155" t="str">
        <f aca="false">IF($B20="","",MAX(0,IF(OR(الموظفون!$AE20="",الموظفون!$AE20&gt;$F$3),$F$3,الموظفون!$AE20)-الموظفون!$H20+1-SUMIFS('سجل الإجازات والحالات'!$AH$6:$AH$505,'سجل الإجازات والحالات'!$B$6:$B$505,$B20))/cfg_DAYS_Y)</f>
        <v/>
      </c>
      <c r="AI20" s="155" t="str">
        <f aca="false">IF($B20="","",MAX(0,IF(OR(الموظفون!$AE20="",الموظفون!$AE20&gt;($E$3-1)),($E$3-1),الموظفون!$AE20)-الموظفون!$H20+1-SUMIFS('سجل الإجازات والحالات'!$R$6:$R$505,'سجل الإجازات والحالات'!$B$6:$B$505,$B20))/cfg_DAYS_Y)</f>
        <v/>
      </c>
      <c r="AJ20" s="65" t="str">
        <f aca="false">IF($B20="","",MAX(0,AK20-(SUMIFS('سجل الإجازات والحالات'!$AH$6:$AH$505,'سجل الإجازات والحالات'!$B$6:$B$505,$B20)-SUMIFS('سجل الإجازات والحالات'!$R$6:$R$505,'سجل الإجازات والحالات'!$B$6:$B$505,$B20))))</f>
        <v/>
      </c>
      <c r="AK20" s="65" t="str">
        <f aca="false">IF($B20="","",MAX(0,IF(OR(الموظفون!$AE20="",الموظفون!$AE20&gt;$F$3),$F$3,الموظفون!$AE20)-MAX($E$3,الموظفون!$H20)+1))</f>
        <v/>
      </c>
      <c r="AL20" s="151" t="str">
        <f aca="false">IF($B20="","",SUMIFS('سجل الإجازات والحالات'!$AT$6:$AT$505,'سجل الإجازات والحالات'!$B$6:$B$505,$B20)+SUMIFS('الحركات الشهرية'!$K$6:$K$1005,'الحركات الشهرية'!$B$6:$B$1005,$B20,'الحركات الشهرية'!$A$6:$A$1005,$C$3))</f>
        <v/>
      </c>
      <c r="AM20" s="111" t="str">
        <f aca="false">IF($B20="","",AL20*الموظفون!$R20/cfg_DAYS_M+S20)</f>
        <v/>
      </c>
      <c r="AN20" s="151" t="str">
        <f aca="false">IF($B20="","",SUMIFS('سجل الإجازات والحالات'!$V$6:$V$505,'سجل الإجازات والحالات'!$B$6:$B$505,$B20))</f>
        <v/>
      </c>
    </row>
    <row r="21" customFormat="false" ht="15" hidden="false" customHeight="false" outlineLevel="0" collapsed="false">
      <c r="A21" s="115" t="str">
        <f aca="false">IF($B21="","",الموظفون!$A21)</f>
        <v/>
      </c>
      <c r="B21" s="117" t="str">
        <f aca="false">IF(الموظفون!$B21="","",الموظفون!$B21)</f>
        <v/>
      </c>
      <c r="C21" s="117" t="str">
        <f aca="false">IF($B21="","",الموظفون!$C21)</f>
        <v/>
      </c>
      <c r="D21" s="117" t="str">
        <f aca="false">IF($B21="","",الموظفون!$F21)</f>
        <v/>
      </c>
      <c r="E21" s="117" t="str">
        <f aca="false">IF($B21="","",الموظفون!$E21)</f>
        <v/>
      </c>
      <c r="F21" s="117" t="str">
        <f aca="false">IF($B21="","",IF(AK21=0,IF(AND(الموظفون!$AE21&lt;&gt;"",الموظفون!$AE21&lt;$E$3),"✖ منتهي الخدمة","⏳ لم يباشر"),IF(S21&gt;0,"✈ راتب إجازة مقدم",IF(J21=0,"⛔ بدون راتب هذا الشهر",IF(I21&gt;0,"✈ خصم "&amp;ROUND(I21,2)&amp;" يوم بدون أجر",IF(AL21&gt;0,"🌴 إجازة سنوية "&amp;ROUND(AL21,2)&amp;" يوم",IF(H21&gt;0,"⚠ غياب "&amp;ROUND(H21,2)&amp;" يوم","✔ على رأس العمل")))))))</f>
        <v/>
      </c>
      <c r="G21" s="156" t="str">
        <f aca="false">IF($B21="","",IF(AK21&gt;=DAY($F$3),cfg_DAYS_M,MIN(AK21,cfg_DAYS_M)))</f>
        <v/>
      </c>
      <c r="H21" s="156" t="str">
        <f aca="false">IF($B21="","",SUMIFS('الحركات الشهرية'!$D$6:$D$1005,'الحركات الشهرية'!$B$6:$B$1005,$B21,'الحركات الشهرية'!$A$6:$A$1005,$C$3))</f>
        <v/>
      </c>
      <c r="I21" s="156" t="str">
        <f aca="false">IF($B21="","",MIN(G21,IF(AND(AK21&gt;0,AN21&gt;=AK21),G21,AN21)+SUMIFS('الحركات الشهرية'!$E$6:$E$1005,'الحركات الشهرية'!$B$6:$B$1005,$B21,'الحركات الشهرية'!$A$6:$A$1005,$C$3)))</f>
        <v/>
      </c>
      <c r="J21" s="156" t="str">
        <f aca="false">IF($B21="","",MAX(0,G21-H21-I21))</f>
        <v/>
      </c>
      <c r="K21" s="116" t="str">
        <f aca="false">IF($B21="","",الموظفون!$L21*$J21/cfg_DAYS_M)</f>
        <v/>
      </c>
      <c r="L21" s="116" t="str">
        <f aca="false">IF($B21="","",الموظفون!$M21*$J21/cfg_DAYS_M)</f>
        <v/>
      </c>
      <c r="M21" s="116" t="str">
        <f aca="false">IF($B21="","",الموظفون!$N21*$J21/cfg_DAYS_M)</f>
        <v/>
      </c>
      <c r="N21" s="116" t="str">
        <f aca="false">IF($B21="","",الموظفون!$O21*$J21/cfg_DAYS_M)</f>
        <v/>
      </c>
      <c r="O21" s="156" t="str">
        <f aca="false">IF($B21="","",SUMIFS('الحركات الشهرية'!$F$6:$F$1005,'الحركات الشهرية'!$B$6:$B$1005,$B21,'الحركات الشهرية'!$A$6:$A$1005,$C$3))</f>
        <v/>
      </c>
      <c r="P21" s="116" t="str">
        <f aca="false">IF($B21="","",O21*(الموظفون!$P21+الموظفون!$L21*cfg_OT_P)/cfg_DAYS_M/cfg_HRS)</f>
        <v/>
      </c>
      <c r="Q21" s="116" t="str">
        <f aca="false">IF($B21="","",SUMIFS('الحركات الشهرية'!$G$6:$G$1005,'الحركات الشهرية'!$B$6:$B$1005,$B21,'الحركات الشهرية'!$A$6:$A$1005,$C$3))</f>
        <v/>
      </c>
      <c r="R21" s="116" t="str">
        <f aca="false">IF($B21="","",SUMIFS('الحركات الشهرية'!$H$6:$H$1005,'الحركات الشهرية'!$B$6:$B$1005,$B21,'الحركات الشهرية'!$A$6:$A$1005,$C$3))</f>
        <v/>
      </c>
      <c r="S21" s="116" t="str">
        <f aca="false">IF($B21="","",SUMIFS('سجل الإجازات والحالات'!$N$6:$N$505,'سجل الإجازات والحالات'!$B$6:$B$505,$B21,'سجل الإجازات والحالات'!$O$6:$O$505,$C$3))</f>
        <v/>
      </c>
      <c r="T21" s="157" t="str">
        <f aca="false">IF($B21="","",SUM(K21:N21)+SUM(P21:S21))</f>
        <v/>
      </c>
      <c r="U21" s="116" t="str">
        <f aca="false">IF($B21="","",الموظفون!$S21*IF(E21="سعودي",cfg_G_SE,cfg_G_NE)*G21/cfg_DAYS_M)</f>
        <v/>
      </c>
      <c r="V21" s="116" t="str">
        <f aca="false">IF($B21="","",SUMIFS('الحركات الشهرية'!$I$6:$I$1005,'الحركات الشهرية'!$B$6:$B$1005,$B21,'الحركات الشهرية'!$A$6:$A$1005,$C$3))</f>
        <v/>
      </c>
      <c r="W21" s="116" t="str">
        <f aca="false">IF($B21="","",SUMIFS('الحركات الشهرية'!$J$6:$J$1005,'الحركات الشهرية'!$B$6:$B$1005,$B21,'الحركات الشهرية'!$A$6:$A$1005,$C$3))</f>
        <v/>
      </c>
      <c r="X21" s="116" t="str">
        <f aca="false">IF($B21="","",SUM(U21:W21))</f>
        <v/>
      </c>
      <c r="Y21" s="158" t="str">
        <f aca="false">IF($B21="","",T21-X21)</f>
        <v/>
      </c>
      <c r="Z21" s="116" t="str">
        <f aca="false">IF($B21="","",الموظفون!$S21*IF(E21="سعودي",cfg_G_SR,cfg_G_NR)*G21/cfg_DAYS_M)</f>
        <v/>
      </c>
      <c r="AA21" s="116" t="str">
        <f aca="false">IF($B21="","",الموظفون!$Q21*(cfg_EOS_R1*(MIN(AH21,cfg_EOS_TH)-MIN(AI21,cfg_EOS_TH))+cfg_EOS_R2*(MAX(AH21-cfg_EOS_TH,0)-MAX(AI21-cfg_EOS_TH,0))))</f>
        <v/>
      </c>
      <c r="AB21" s="116" t="str">
        <f aca="false">IF($B21="","",IF(الموظفون!$T21&lt;&gt;"",الموظفون!$T21,IF(AH21&gt;=cfg_LV_TH,cfg_LV_D2,cfg_LV_D1))/cfg_DAYS_Y*AJ21*الموظفون!$R21/cfg_DAYS_M)</f>
        <v/>
      </c>
      <c r="AC21" s="116" t="str">
        <f aca="false">IF($B21="","",IF(AND(الموظفون!$U21="نعم",N(الموظفون!$W21)&gt;0),الموظفون!$V21/الموظفون!$W21*12/cfg_DAYS_Y*AJ21,0))</f>
        <v/>
      </c>
      <c r="AD21" s="116" t="str">
        <f aca="false">IF($B21="","",(IF(الموظفون!$X21&lt;&gt;"",الموظفون!$X21,IF(الموظفون!$E21="غير سعودي",cfg_IQ,0))+IF(الموظفون!$Y21&lt;&gt;"",الموظفون!$Y21,IF(الموظفون!$E21="غير سعودي",cfg_WP,0)))/12*G21/cfg_DAYS_M)</f>
        <v/>
      </c>
      <c r="AE21" s="116" t="str">
        <f aca="false">IF($B21="","",IF(الموظفون!$Z21&lt;&gt;"",الموظفون!$Z21,cfg_MED)/12*G21/cfg_DAYS_M)</f>
        <v/>
      </c>
      <c r="AF21" s="116" t="str">
        <f aca="false">IF($B21="","",N(الموظفون!$AA21)/12*G21/cfg_DAYS_M)</f>
        <v/>
      </c>
      <c r="AG21" s="159" t="str">
        <f aca="false">IF($B21="","",T21+SUM(Z21:AF21))</f>
        <v/>
      </c>
      <c r="AH21" s="160" t="str">
        <f aca="false">IF($B21="","",MAX(0,IF(OR(الموظفون!$AE21="",الموظفون!$AE21&gt;$F$3),$F$3,الموظفون!$AE21)-الموظفون!$H21+1-SUMIFS('سجل الإجازات والحالات'!$AH$6:$AH$505,'سجل الإجازات والحالات'!$B$6:$B$505,$B21))/cfg_DAYS_Y)</f>
        <v/>
      </c>
      <c r="AI21" s="160" t="str">
        <f aca="false">IF($B21="","",MAX(0,IF(OR(الموظفون!$AE21="",الموظفون!$AE21&gt;($E$3-1)),($E$3-1),الموظفون!$AE21)-الموظفون!$H21+1-SUMIFS('سجل الإجازات والحالات'!$R$6:$R$505,'سجل الإجازات والحالات'!$B$6:$B$505,$B21))/cfg_DAYS_Y)</f>
        <v/>
      </c>
      <c r="AJ21" s="133" t="str">
        <f aca="false">IF($B21="","",MAX(0,AK21-(SUMIFS('سجل الإجازات والحالات'!$AH$6:$AH$505,'سجل الإجازات والحالات'!$B$6:$B$505,$B21)-SUMIFS('سجل الإجازات والحالات'!$R$6:$R$505,'سجل الإجازات والحالات'!$B$6:$B$505,$B21))))</f>
        <v/>
      </c>
      <c r="AK21" s="133" t="str">
        <f aca="false">IF($B21="","",MAX(0,IF(OR(الموظفون!$AE21="",الموظفون!$AE21&gt;$F$3),$F$3,الموظفون!$AE21)-MAX($E$3,الموظفون!$H21)+1))</f>
        <v/>
      </c>
      <c r="AL21" s="156" t="str">
        <f aca="false">IF($B21="","",SUMIFS('سجل الإجازات والحالات'!$AT$6:$AT$505,'سجل الإجازات والحالات'!$B$6:$B$505,$B21)+SUMIFS('الحركات الشهرية'!$K$6:$K$1005,'الحركات الشهرية'!$B$6:$B$1005,$B21,'الحركات الشهرية'!$A$6:$A$1005,$C$3))</f>
        <v/>
      </c>
      <c r="AM21" s="116" t="str">
        <f aca="false">IF($B21="","",AL21*الموظفون!$R21/cfg_DAYS_M+S21)</f>
        <v/>
      </c>
      <c r="AN21" s="156" t="str">
        <f aca="false">IF($B21="","",SUMIFS('سجل الإجازات والحالات'!$V$6:$V$505,'سجل الإجازات والحالات'!$B$6:$B$505,$B21))</f>
        <v/>
      </c>
    </row>
    <row r="22" customFormat="false" ht="15" hidden="false" customHeight="false" outlineLevel="0" collapsed="false">
      <c r="A22" s="106" t="str">
        <f aca="false">IF($B22="","",الموظفون!$A22)</f>
        <v/>
      </c>
      <c r="B22" s="114" t="str">
        <f aca="false">IF(الموظفون!$B22="","",الموظفون!$B22)</f>
        <v/>
      </c>
      <c r="C22" s="114" t="str">
        <f aca="false">IF($B22="","",الموظفون!$C22)</f>
        <v/>
      </c>
      <c r="D22" s="114" t="str">
        <f aca="false">IF($B22="","",الموظفون!$F22)</f>
        <v/>
      </c>
      <c r="E22" s="114" t="str">
        <f aca="false">IF($B22="","",الموظفون!$E22)</f>
        <v/>
      </c>
      <c r="F22" s="114" t="str">
        <f aca="false">IF($B22="","",IF(AK22=0,IF(AND(الموظفون!$AE22&lt;&gt;"",الموظفون!$AE22&lt;$E$3),"✖ منتهي الخدمة","⏳ لم يباشر"),IF(S22&gt;0,"✈ راتب إجازة مقدم",IF(J22=0,"⛔ بدون راتب هذا الشهر",IF(I22&gt;0,"✈ خصم "&amp;ROUND(I22,2)&amp;" يوم بدون أجر",IF(AL22&gt;0,"🌴 إجازة سنوية "&amp;ROUND(AL22,2)&amp;" يوم",IF(H22&gt;0,"⚠ غياب "&amp;ROUND(H22,2)&amp;" يوم","✔ على رأس العمل")))))))</f>
        <v/>
      </c>
      <c r="G22" s="151" t="str">
        <f aca="false">IF($B22="","",IF(AK22&gt;=DAY($F$3),cfg_DAYS_M,MIN(AK22,cfg_DAYS_M)))</f>
        <v/>
      </c>
      <c r="H22" s="151" t="str">
        <f aca="false">IF($B22="","",SUMIFS('الحركات الشهرية'!$D$6:$D$1005,'الحركات الشهرية'!$B$6:$B$1005,$B22,'الحركات الشهرية'!$A$6:$A$1005,$C$3))</f>
        <v/>
      </c>
      <c r="I22" s="151" t="str">
        <f aca="false">IF($B22="","",MIN(G22,IF(AND(AK22&gt;0,AN22&gt;=AK22),G22,AN22)+SUMIFS('الحركات الشهرية'!$E$6:$E$1005,'الحركات الشهرية'!$B$6:$B$1005,$B22,'الحركات الشهرية'!$A$6:$A$1005,$C$3)))</f>
        <v/>
      </c>
      <c r="J22" s="151" t="str">
        <f aca="false">IF($B22="","",MAX(0,G22-H22-I22))</f>
        <v/>
      </c>
      <c r="K22" s="111" t="str">
        <f aca="false">IF($B22="","",الموظفون!$L22*$J22/cfg_DAYS_M)</f>
        <v/>
      </c>
      <c r="L22" s="111" t="str">
        <f aca="false">IF($B22="","",الموظفون!$M22*$J22/cfg_DAYS_M)</f>
        <v/>
      </c>
      <c r="M22" s="111" t="str">
        <f aca="false">IF($B22="","",الموظفون!$N22*$J22/cfg_DAYS_M)</f>
        <v/>
      </c>
      <c r="N22" s="111" t="str">
        <f aca="false">IF($B22="","",الموظفون!$O22*$J22/cfg_DAYS_M)</f>
        <v/>
      </c>
      <c r="O22" s="151" t="str">
        <f aca="false">IF($B22="","",SUMIFS('الحركات الشهرية'!$F$6:$F$1005,'الحركات الشهرية'!$B$6:$B$1005,$B22,'الحركات الشهرية'!$A$6:$A$1005,$C$3))</f>
        <v/>
      </c>
      <c r="P22" s="111" t="str">
        <f aca="false">IF($B22="","",O22*(الموظفون!$P22+الموظفون!$L22*cfg_OT_P)/cfg_DAYS_M/cfg_HRS)</f>
        <v/>
      </c>
      <c r="Q22" s="111" t="str">
        <f aca="false">IF($B22="","",SUMIFS('الحركات الشهرية'!$G$6:$G$1005,'الحركات الشهرية'!$B$6:$B$1005,$B22,'الحركات الشهرية'!$A$6:$A$1005,$C$3))</f>
        <v/>
      </c>
      <c r="R22" s="111" t="str">
        <f aca="false">IF($B22="","",SUMIFS('الحركات الشهرية'!$H$6:$H$1005,'الحركات الشهرية'!$B$6:$B$1005,$B22,'الحركات الشهرية'!$A$6:$A$1005,$C$3))</f>
        <v/>
      </c>
      <c r="S22" s="111" t="str">
        <f aca="false">IF($B22="","",SUMIFS('سجل الإجازات والحالات'!$N$6:$N$505,'سجل الإجازات والحالات'!$B$6:$B$505,$B22,'سجل الإجازات والحالات'!$O$6:$O$505,$C$3))</f>
        <v/>
      </c>
      <c r="T22" s="152" t="str">
        <f aca="false">IF($B22="","",SUM(K22:N22)+SUM(P22:S22))</f>
        <v/>
      </c>
      <c r="U22" s="111" t="str">
        <f aca="false">IF($B22="","",الموظفون!$S22*IF(E22="سعودي",cfg_G_SE,cfg_G_NE)*G22/cfg_DAYS_M)</f>
        <v/>
      </c>
      <c r="V22" s="111" t="str">
        <f aca="false">IF($B22="","",SUMIFS('الحركات الشهرية'!$I$6:$I$1005,'الحركات الشهرية'!$B$6:$B$1005,$B22,'الحركات الشهرية'!$A$6:$A$1005,$C$3))</f>
        <v/>
      </c>
      <c r="W22" s="111" t="str">
        <f aca="false">IF($B22="","",SUMIFS('الحركات الشهرية'!$J$6:$J$1005,'الحركات الشهرية'!$B$6:$B$1005,$B22,'الحركات الشهرية'!$A$6:$A$1005,$C$3))</f>
        <v/>
      </c>
      <c r="X22" s="111" t="str">
        <f aca="false">IF($B22="","",SUM(U22:W22))</f>
        <v/>
      </c>
      <c r="Y22" s="153" t="str">
        <f aca="false">IF($B22="","",T22-X22)</f>
        <v/>
      </c>
      <c r="Z22" s="111" t="str">
        <f aca="false">IF($B22="","",الموظفون!$S22*IF(E22="سعودي",cfg_G_SR,cfg_G_NR)*G22/cfg_DAYS_M)</f>
        <v/>
      </c>
      <c r="AA22" s="111" t="str">
        <f aca="false">IF($B22="","",الموظفون!$Q22*(cfg_EOS_R1*(MIN(AH22,cfg_EOS_TH)-MIN(AI22,cfg_EOS_TH))+cfg_EOS_R2*(MAX(AH22-cfg_EOS_TH,0)-MAX(AI22-cfg_EOS_TH,0))))</f>
        <v/>
      </c>
      <c r="AB22" s="111" t="str">
        <f aca="false">IF($B22="","",IF(الموظفون!$T22&lt;&gt;"",الموظفون!$T22,IF(AH22&gt;=cfg_LV_TH,cfg_LV_D2,cfg_LV_D1))/cfg_DAYS_Y*AJ22*الموظفون!$R22/cfg_DAYS_M)</f>
        <v/>
      </c>
      <c r="AC22" s="111" t="str">
        <f aca="false">IF($B22="","",IF(AND(الموظفون!$U22="نعم",N(الموظفون!$W22)&gt;0),الموظفون!$V22/الموظفون!$W22*12/cfg_DAYS_Y*AJ22,0))</f>
        <v/>
      </c>
      <c r="AD22" s="111" t="str">
        <f aca="false">IF($B22="","",(IF(الموظفون!$X22&lt;&gt;"",الموظفون!$X22,IF(الموظفون!$E22="غير سعودي",cfg_IQ,0))+IF(الموظفون!$Y22&lt;&gt;"",الموظفون!$Y22,IF(الموظفون!$E22="غير سعودي",cfg_WP,0)))/12*G22/cfg_DAYS_M)</f>
        <v/>
      </c>
      <c r="AE22" s="111" t="str">
        <f aca="false">IF($B22="","",IF(الموظفون!$Z22&lt;&gt;"",الموظفون!$Z22,cfg_MED)/12*G22/cfg_DAYS_M)</f>
        <v/>
      </c>
      <c r="AF22" s="111" t="str">
        <f aca="false">IF($B22="","",N(الموظفون!$AA22)/12*G22/cfg_DAYS_M)</f>
        <v/>
      </c>
      <c r="AG22" s="154" t="str">
        <f aca="false">IF($B22="","",T22+SUM(Z22:AF22))</f>
        <v/>
      </c>
      <c r="AH22" s="155" t="str">
        <f aca="false">IF($B22="","",MAX(0,IF(OR(الموظفون!$AE22="",الموظفون!$AE22&gt;$F$3),$F$3,الموظفون!$AE22)-الموظفون!$H22+1-SUMIFS('سجل الإجازات والحالات'!$AH$6:$AH$505,'سجل الإجازات والحالات'!$B$6:$B$505,$B22))/cfg_DAYS_Y)</f>
        <v/>
      </c>
      <c r="AI22" s="155" t="str">
        <f aca="false">IF($B22="","",MAX(0,IF(OR(الموظفون!$AE22="",الموظفون!$AE22&gt;($E$3-1)),($E$3-1),الموظفون!$AE22)-الموظفون!$H22+1-SUMIFS('سجل الإجازات والحالات'!$R$6:$R$505,'سجل الإجازات والحالات'!$B$6:$B$505,$B22))/cfg_DAYS_Y)</f>
        <v/>
      </c>
      <c r="AJ22" s="65" t="str">
        <f aca="false">IF($B22="","",MAX(0,AK22-(SUMIFS('سجل الإجازات والحالات'!$AH$6:$AH$505,'سجل الإجازات والحالات'!$B$6:$B$505,$B22)-SUMIFS('سجل الإجازات والحالات'!$R$6:$R$505,'سجل الإجازات والحالات'!$B$6:$B$505,$B22))))</f>
        <v/>
      </c>
      <c r="AK22" s="65" t="str">
        <f aca="false">IF($B22="","",MAX(0,IF(OR(الموظفون!$AE22="",الموظفون!$AE22&gt;$F$3),$F$3,الموظفون!$AE22)-MAX($E$3,الموظفون!$H22)+1))</f>
        <v/>
      </c>
      <c r="AL22" s="151" t="str">
        <f aca="false">IF($B22="","",SUMIFS('سجل الإجازات والحالات'!$AT$6:$AT$505,'سجل الإجازات والحالات'!$B$6:$B$505,$B22)+SUMIFS('الحركات الشهرية'!$K$6:$K$1005,'الحركات الشهرية'!$B$6:$B$1005,$B22,'الحركات الشهرية'!$A$6:$A$1005,$C$3))</f>
        <v/>
      </c>
      <c r="AM22" s="111" t="str">
        <f aca="false">IF($B22="","",AL22*الموظفون!$R22/cfg_DAYS_M+S22)</f>
        <v/>
      </c>
      <c r="AN22" s="151" t="str">
        <f aca="false">IF($B22="","",SUMIFS('سجل الإجازات والحالات'!$V$6:$V$505,'سجل الإجازات والحالات'!$B$6:$B$505,$B22))</f>
        <v/>
      </c>
    </row>
    <row r="23" customFormat="false" ht="15" hidden="false" customHeight="false" outlineLevel="0" collapsed="false">
      <c r="A23" s="115" t="str">
        <f aca="false">IF($B23="","",الموظفون!$A23)</f>
        <v/>
      </c>
      <c r="B23" s="117" t="str">
        <f aca="false">IF(الموظفون!$B23="","",الموظفون!$B23)</f>
        <v/>
      </c>
      <c r="C23" s="117" t="str">
        <f aca="false">IF($B23="","",الموظفون!$C23)</f>
        <v/>
      </c>
      <c r="D23" s="117" t="str">
        <f aca="false">IF($B23="","",الموظفون!$F23)</f>
        <v/>
      </c>
      <c r="E23" s="117" t="str">
        <f aca="false">IF($B23="","",الموظفون!$E23)</f>
        <v/>
      </c>
      <c r="F23" s="117" t="str">
        <f aca="false">IF($B23="","",IF(AK23=0,IF(AND(الموظفون!$AE23&lt;&gt;"",الموظفون!$AE23&lt;$E$3),"✖ منتهي الخدمة","⏳ لم يباشر"),IF(S23&gt;0,"✈ راتب إجازة مقدم",IF(J23=0,"⛔ بدون راتب هذا الشهر",IF(I23&gt;0,"✈ خصم "&amp;ROUND(I23,2)&amp;" يوم بدون أجر",IF(AL23&gt;0,"🌴 إجازة سنوية "&amp;ROUND(AL23,2)&amp;" يوم",IF(H23&gt;0,"⚠ غياب "&amp;ROUND(H23,2)&amp;" يوم","✔ على رأس العمل")))))))</f>
        <v/>
      </c>
      <c r="G23" s="156" t="str">
        <f aca="false">IF($B23="","",IF(AK23&gt;=DAY($F$3),cfg_DAYS_M,MIN(AK23,cfg_DAYS_M)))</f>
        <v/>
      </c>
      <c r="H23" s="156" t="str">
        <f aca="false">IF($B23="","",SUMIFS('الحركات الشهرية'!$D$6:$D$1005,'الحركات الشهرية'!$B$6:$B$1005,$B23,'الحركات الشهرية'!$A$6:$A$1005,$C$3))</f>
        <v/>
      </c>
      <c r="I23" s="156" t="str">
        <f aca="false">IF($B23="","",MIN(G23,IF(AND(AK23&gt;0,AN23&gt;=AK23),G23,AN23)+SUMIFS('الحركات الشهرية'!$E$6:$E$1005,'الحركات الشهرية'!$B$6:$B$1005,$B23,'الحركات الشهرية'!$A$6:$A$1005,$C$3)))</f>
        <v/>
      </c>
      <c r="J23" s="156" t="str">
        <f aca="false">IF($B23="","",MAX(0,G23-H23-I23))</f>
        <v/>
      </c>
      <c r="K23" s="116" t="str">
        <f aca="false">IF($B23="","",الموظفون!$L23*$J23/cfg_DAYS_M)</f>
        <v/>
      </c>
      <c r="L23" s="116" t="str">
        <f aca="false">IF($B23="","",الموظفون!$M23*$J23/cfg_DAYS_M)</f>
        <v/>
      </c>
      <c r="M23" s="116" t="str">
        <f aca="false">IF($B23="","",الموظفون!$N23*$J23/cfg_DAYS_M)</f>
        <v/>
      </c>
      <c r="N23" s="116" t="str">
        <f aca="false">IF($B23="","",الموظفون!$O23*$J23/cfg_DAYS_M)</f>
        <v/>
      </c>
      <c r="O23" s="156" t="str">
        <f aca="false">IF($B23="","",SUMIFS('الحركات الشهرية'!$F$6:$F$1005,'الحركات الشهرية'!$B$6:$B$1005,$B23,'الحركات الشهرية'!$A$6:$A$1005,$C$3))</f>
        <v/>
      </c>
      <c r="P23" s="116" t="str">
        <f aca="false">IF($B23="","",O23*(الموظفون!$P23+الموظفون!$L23*cfg_OT_P)/cfg_DAYS_M/cfg_HRS)</f>
        <v/>
      </c>
      <c r="Q23" s="116" t="str">
        <f aca="false">IF($B23="","",SUMIFS('الحركات الشهرية'!$G$6:$G$1005,'الحركات الشهرية'!$B$6:$B$1005,$B23,'الحركات الشهرية'!$A$6:$A$1005,$C$3))</f>
        <v/>
      </c>
      <c r="R23" s="116" t="str">
        <f aca="false">IF($B23="","",SUMIFS('الحركات الشهرية'!$H$6:$H$1005,'الحركات الشهرية'!$B$6:$B$1005,$B23,'الحركات الشهرية'!$A$6:$A$1005,$C$3))</f>
        <v/>
      </c>
      <c r="S23" s="116" t="str">
        <f aca="false">IF($B23="","",SUMIFS('سجل الإجازات والحالات'!$N$6:$N$505,'سجل الإجازات والحالات'!$B$6:$B$505,$B23,'سجل الإجازات والحالات'!$O$6:$O$505,$C$3))</f>
        <v/>
      </c>
      <c r="T23" s="157" t="str">
        <f aca="false">IF($B23="","",SUM(K23:N23)+SUM(P23:S23))</f>
        <v/>
      </c>
      <c r="U23" s="116" t="str">
        <f aca="false">IF($B23="","",الموظفون!$S23*IF(E23="سعودي",cfg_G_SE,cfg_G_NE)*G23/cfg_DAYS_M)</f>
        <v/>
      </c>
      <c r="V23" s="116" t="str">
        <f aca="false">IF($B23="","",SUMIFS('الحركات الشهرية'!$I$6:$I$1005,'الحركات الشهرية'!$B$6:$B$1005,$B23,'الحركات الشهرية'!$A$6:$A$1005,$C$3))</f>
        <v/>
      </c>
      <c r="W23" s="116" t="str">
        <f aca="false">IF($B23="","",SUMIFS('الحركات الشهرية'!$J$6:$J$1005,'الحركات الشهرية'!$B$6:$B$1005,$B23,'الحركات الشهرية'!$A$6:$A$1005,$C$3))</f>
        <v/>
      </c>
      <c r="X23" s="116" t="str">
        <f aca="false">IF($B23="","",SUM(U23:W23))</f>
        <v/>
      </c>
      <c r="Y23" s="158" t="str">
        <f aca="false">IF($B23="","",T23-X23)</f>
        <v/>
      </c>
      <c r="Z23" s="116" t="str">
        <f aca="false">IF($B23="","",الموظفون!$S23*IF(E23="سعودي",cfg_G_SR,cfg_G_NR)*G23/cfg_DAYS_M)</f>
        <v/>
      </c>
      <c r="AA23" s="116" t="str">
        <f aca="false">IF($B23="","",الموظفون!$Q23*(cfg_EOS_R1*(MIN(AH23,cfg_EOS_TH)-MIN(AI23,cfg_EOS_TH))+cfg_EOS_R2*(MAX(AH23-cfg_EOS_TH,0)-MAX(AI23-cfg_EOS_TH,0))))</f>
        <v/>
      </c>
      <c r="AB23" s="116" t="str">
        <f aca="false">IF($B23="","",IF(الموظفون!$T23&lt;&gt;"",الموظفون!$T23,IF(AH23&gt;=cfg_LV_TH,cfg_LV_D2,cfg_LV_D1))/cfg_DAYS_Y*AJ23*الموظفون!$R23/cfg_DAYS_M)</f>
        <v/>
      </c>
      <c r="AC23" s="116" t="str">
        <f aca="false">IF($B23="","",IF(AND(الموظفون!$U23="نعم",N(الموظفون!$W23)&gt;0),الموظفون!$V23/الموظفون!$W23*12/cfg_DAYS_Y*AJ23,0))</f>
        <v/>
      </c>
      <c r="AD23" s="116" t="str">
        <f aca="false">IF($B23="","",(IF(الموظفون!$X23&lt;&gt;"",الموظفون!$X23,IF(الموظفون!$E23="غير سعودي",cfg_IQ,0))+IF(الموظفون!$Y23&lt;&gt;"",الموظفون!$Y23,IF(الموظفون!$E23="غير سعودي",cfg_WP,0)))/12*G23/cfg_DAYS_M)</f>
        <v/>
      </c>
      <c r="AE23" s="116" t="str">
        <f aca="false">IF($B23="","",IF(الموظفون!$Z23&lt;&gt;"",الموظفون!$Z23,cfg_MED)/12*G23/cfg_DAYS_M)</f>
        <v/>
      </c>
      <c r="AF23" s="116" t="str">
        <f aca="false">IF($B23="","",N(الموظفون!$AA23)/12*G23/cfg_DAYS_M)</f>
        <v/>
      </c>
      <c r="AG23" s="159" t="str">
        <f aca="false">IF($B23="","",T23+SUM(Z23:AF23))</f>
        <v/>
      </c>
      <c r="AH23" s="160" t="str">
        <f aca="false">IF($B23="","",MAX(0,IF(OR(الموظفون!$AE23="",الموظفون!$AE23&gt;$F$3),$F$3,الموظفون!$AE23)-الموظفون!$H23+1-SUMIFS('سجل الإجازات والحالات'!$AH$6:$AH$505,'سجل الإجازات والحالات'!$B$6:$B$505,$B23))/cfg_DAYS_Y)</f>
        <v/>
      </c>
      <c r="AI23" s="160" t="str">
        <f aca="false">IF($B23="","",MAX(0,IF(OR(الموظفون!$AE23="",الموظفون!$AE23&gt;($E$3-1)),($E$3-1),الموظفون!$AE23)-الموظفون!$H23+1-SUMIFS('سجل الإجازات والحالات'!$R$6:$R$505,'سجل الإجازات والحالات'!$B$6:$B$505,$B23))/cfg_DAYS_Y)</f>
        <v/>
      </c>
      <c r="AJ23" s="133" t="str">
        <f aca="false">IF($B23="","",MAX(0,AK23-(SUMIFS('سجل الإجازات والحالات'!$AH$6:$AH$505,'سجل الإجازات والحالات'!$B$6:$B$505,$B23)-SUMIFS('سجل الإجازات والحالات'!$R$6:$R$505,'سجل الإجازات والحالات'!$B$6:$B$505,$B23))))</f>
        <v/>
      </c>
      <c r="AK23" s="133" t="str">
        <f aca="false">IF($B23="","",MAX(0,IF(OR(الموظفون!$AE23="",الموظفون!$AE23&gt;$F$3),$F$3,الموظفون!$AE23)-MAX($E$3,الموظفون!$H23)+1))</f>
        <v/>
      </c>
      <c r="AL23" s="156" t="str">
        <f aca="false">IF($B23="","",SUMIFS('سجل الإجازات والحالات'!$AT$6:$AT$505,'سجل الإجازات والحالات'!$B$6:$B$505,$B23)+SUMIFS('الحركات الشهرية'!$K$6:$K$1005,'الحركات الشهرية'!$B$6:$B$1005,$B23,'الحركات الشهرية'!$A$6:$A$1005,$C$3))</f>
        <v/>
      </c>
      <c r="AM23" s="116" t="str">
        <f aca="false">IF($B23="","",AL23*الموظفون!$R23/cfg_DAYS_M+S23)</f>
        <v/>
      </c>
      <c r="AN23" s="156" t="str">
        <f aca="false">IF($B23="","",SUMIFS('سجل الإجازات والحالات'!$V$6:$V$505,'سجل الإجازات والحالات'!$B$6:$B$505,$B23))</f>
        <v/>
      </c>
    </row>
    <row r="24" customFormat="false" ht="15" hidden="false" customHeight="false" outlineLevel="0" collapsed="false">
      <c r="A24" s="106" t="str">
        <f aca="false">IF($B24="","",الموظفون!$A24)</f>
        <v/>
      </c>
      <c r="B24" s="114" t="str">
        <f aca="false">IF(الموظفون!$B24="","",الموظفون!$B24)</f>
        <v/>
      </c>
      <c r="C24" s="114" t="str">
        <f aca="false">IF($B24="","",الموظفون!$C24)</f>
        <v/>
      </c>
      <c r="D24" s="114" t="str">
        <f aca="false">IF($B24="","",الموظفون!$F24)</f>
        <v/>
      </c>
      <c r="E24" s="114" t="str">
        <f aca="false">IF($B24="","",الموظفون!$E24)</f>
        <v/>
      </c>
      <c r="F24" s="114" t="str">
        <f aca="false">IF($B24="","",IF(AK24=0,IF(AND(الموظفون!$AE24&lt;&gt;"",الموظفون!$AE24&lt;$E$3),"✖ منتهي الخدمة","⏳ لم يباشر"),IF(S24&gt;0,"✈ راتب إجازة مقدم",IF(J24=0,"⛔ بدون راتب هذا الشهر",IF(I24&gt;0,"✈ خصم "&amp;ROUND(I24,2)&amp;" يوم بدون أجر",IF(AL24&gt;0,"🌴 إجازة سنوية "&amp;ROUND(AL24,2)&amp;" يوم",IF(H24&gt;0,"⚠ غياب "&amp;ROUND(H24,2)&amp;" يوم","✔ على رأس العمل")))))))</f>
        <v/>
      </c>
      <c r="G24" s="151" t="str">
        <f aca="false">IF($B24="","",IF(AK24&gt;=DAY($F$3),cfg_DAYS_M,MIN(AK24,cfg_DAYS_M)))</f>
        <v/>
      </c>
      <c r="H24" s="151" t="str">
        <f aca="false">IF($B24="","",SUMIFS('الحركات الشهرية'!$D$6:$D$1005,'الحركات الشهرية'!$B$6:$B$1005,$B24,'الحركات الشهرية'!$A$6:$A$1005,$C$3))</f>
        <v/>
      </c>
      <c r="I24" s="151" t="str">
        <f aca="false">IF($B24="","",MIN(G24,IF(AND(AK24&gt;0,AN24&gt;=AK24),G24,AN24)+SUMIFS('الحركات الشهرية'!$E$6:$E$1005,'الحركات الشهرية'!$B$6:$B$1005,$B24,'الحركات الشهرية'!$A$6:$A$1005,$C$3)))</f>
        <v/>
      </c>
      <c r="J24" s="151" t="str">
        <f aca="false">IF($B24="","",MAX(0,G24-H24-I24))</f>
        <v/>
      </c>
      <c r="K24" s="111" t="str">
        <f aca="false">IF($B24="","",الموظفون!$L24*$J24/cfg_DAYS_M)</f>
        <v/>
      </c>
      <c r="L24" s="111" t="str">
        <f aca="false">IF($B24="","",الموظفون!$M24*$J24/cfg_DAYS_M)</f>
        <v/>
      </c>
      <c r="M24" s="111" t="str">
        <f aca="false">IF($B24="","",الموظفون!$N24*$J24/cfg_DAYS_M)</f>
        <v/>
      </c>
      <c r="N24" s="111" t="str">
        <f aca="false">IF($B24="","",الموظفون!$O24*$J24/cfg_DAYS_M)</f>
        <v/>
      </c>
      <c r="O24" s="151" t="str">
        <f aca="false">IF($B24="","",SUMIFS('الحركات الشهرية'!$F$6:$F$1005,'الحركات الشهرية'!$B$6:$B$1005,$B24,'الحركات الشهرية'!$A$6:$A$1005,$C$3))</f>
        <v/>
      </c>
      <c r="P24" s="111" t="str">
        <f aca="false">IF($B24="","",O24*(الموظفون!$P24+الموظفون!$L24*cfg_OT_P)/cfg_DAYS_M/cfg_HRS)</f>
        <v/>
      </c>
      <c r="Q24" s="111" t="str">
        <f aca="false">IF($B24="","",SUMIFS('الحركات الشهرية'!$G$6:$G$1005,'الحركات الشهرية'!$B$6:$B$1005,$B24,'الحركات الشهرية'!$A$6:$A$1005,$C$3))</f>
        <v/>
      </c>
      <c r="R24" s="111" t="str">
        <f aca="false">IF($B24="","",SUMIFS('الحركات الشهرية'!$H$6:$H$1005,'الحركات الشهرية'!$B$6:$B$1005,$B24,'الحركات الشهرية'!$A$6:$A$1005,$C$3))</f>
        <v/>
      </c>
      <c r="S24" s="111" t="str">
        <f aca="false">IF($B24="","",SUMIFS('سجل الإجازات والحالات'!$N$6:$N$505,'سجل الإجازات والحالات'!$B$6:$B$505,$B24,'سجل الإجازات والحالات'!$O$6:$O$505,$C$3))</f>
        <v/>
      </c>
      <c r="T24" s="152" t="str">
        <f aca="false">IF($B24="","",SUM(K24:N24)+SUM(P24:S24))</f>
        <v/>
      </c>
      <c r="U24" s="111" t="str">
        <f aca="false">IF($B24="","",الموظفون!$S24*IF(E24="سعودي",cfg_G_SE,cfg_G_NE)*G24/cfg_DAYS_M)</f>
        <v/>
      </c>
      <c r="V24" s="111" t="str">
        <f aca="false">IF($B24="","",SUMIFS('الحركات الشهرية'!$I$6:$I$1005,'الحركات الشهرية'!$B$6:$B$1005,$B24,'الحركات الشهرية'!$A$6:$A$1005,$C$3))</f>
        <v/>
      </c>
      <c r="W24" s="111" t="str">
        <f aca="false">IF($B24="","",SUMIFS('الحركات الشهرية'!$J$6:$J$1005,'الحركات الشهرية'!$B$6:$B$1005,$B24,'الحركات الشهرية'!$A$6:$A$1005,$C$3))</f>
        <v/>
      </c>
      <c r="X24" s="111" t="str">
        <f aca="false">IF($B24="","",SUM(U24:W24))</f>
        <v/>
      </c>
      <c r="Y24" s="153" t="str">
        <f aca="false">IF($B24="","",T24-X24)</f>
        <v/>
      </c>
      <c r="Z24" s="111" t="str">
        <f aca="false">IF($B24="","",الموظفون!$S24*IF(E24="سعودي",cfg_G_SR,cfg_G_NR)*G24/cfg_DAYS_M)</f>
        <v/>
      </c>
      <c r="AA24" s="111" t="str">
        <f aca="false">IF($B24="","",الموظفون!$Q24*(cfg_EOS_R1*(MIN(AH24,cfg_EOS_TH)-MIN(AI24,cfg_EOS_TH))+cfg_EOS_R2*(MAX(AH24-cfg_EOS_TH,0)-MAX(AI24-cfg_EOS_TH,0))))</f>
        <v/>
      </c>
      <c r="AB24" s="111" t="str">
        <f aca="false">IF($B24="","",IF(الموظفون!$T24&lt;&gt;"",الموظفون!$T24,IF(AH24&gt;=cfg_LV_TH,cfg_LV_D2,cfg_LV_D1))/cfg_DAYS_Y*AJ24*الموظفون!$R24/cfg_DAYS_M)</f>
        <v/>
      </c>
      <c r="AC24" s="111" t="str">
        <f aca="false">IF($B24="","",IF(AND(الموظفون!$U24="نعم",N(الموظفون!$W24)&gt;0),الموظفون!$V24/الموظفون!$W24*12/cfg_DAYS_Y*AJ24,0))</f>
        <v/>
      </c>
      <c r="AD24" s="111" t="str">
        <f aca="false">IF($B24="","",(IF(الموظفون!$X24&lt;&gt;"",الموظفون!$X24,IF(الموظفون!$E24="غير سعودي",cfg_IQ,0))+IF(الموظفون!$Y24&lt;&gt;"",الموظفون!$Y24,IF(الموظفون!$E24="غير سعودي",cfg_WP,0)))/12*G24/cfg_DAYS_M)</f>
        <v/>
      </c>
      <c r="AE24" s="111" t="str">
        <f aca="false">IF($B24="","",IF(الموظفون!$Z24&lt;&gt;"",الموظفون!$Z24,cfg_MED)/12*G24/cfg_DAYS_M)</f>
        <v/>
      </c>
      <c r="AF24" s="111" t="str">
        <f aca="false">IF($B24="","",N(الموظفون!$AA24)/12*G24/cfg_DAYS_M)</f>
        <v/>
      </c>
      <c r="AG24" s="154" t="str">
        <f aca="false">IF($B24="","",T24+SUM(Z24:AF24))</f>
        <v/>
      </c>
      <c r="AH24" s="155" t="str">
        <f aca="false">IF($B24="","",MAX(0,IF(OR(الموظفون!$AE24="",الموظفون!$AE24&gt;$F$3),$F$3,الموظفون!$AE24)-الموظفون!$H24+1-SUMIFS('سجل الإجازات والحالات'!$AH$6:$AH$505,'سجل الإجازات والحالات'!$B$6:$B$505,$B24))/cfg_DAYS_Y)</f>
        <v/>
      </c>
      <c r="AI24" s="155" t="str">
        <f aca="false">IF($B24="","",MAX(0,IF(OR(الموظفون!$AE24="",الموظفون!$AE24&gt;($E$3-1)),($E$3-1),الموظفون!$AE24)-الموظفون!$H24+1-SUMIFS('سجل الإجازات والحالات'!$R$6:$R$505,'سجل الإجازات والحالات'!$B$6:$B$505,$B24))/cfg_DAYS_Y)</f>
        <v/>
      </c>
      <c r="AJ24" s="65" t="str">
        <f aca="false">IF($B24="","",MAX(0,AK24-(SUMIFS('سجل الإجازات والحالات'!$AH$6:$AH$505,'سجل الإجازات والحالات'!$B$6:$B$505,$B24)-SUMIFS('سجل الإجازات والحالات'!$R$6:$R$505,'سجل الإجازات والحالات'!$B$6:$B$505,$B24))))</f>
        <v/>
      </c>
      <c r="AK24" s="65" t="str">
        <f aca="false">IF($B24="","",MAX(0,IF(OR(الموظفون!$AE24="",الموظفون!$AE24&gt;$F$3),$F$3,الموظفون!$AE24)-MAX($E$3,الموظفون!$H24)+1))</f>
        <v/>
      </c>
      <c r="AL24" s="151" t="str">
        <f aca="false">IF($B24="","",SUMIFS('سجل الإجازات والحالات'!$AT$6:$AT$505,'سجل الإجازات والحالات'!$B$6:$B$505,$B24)+SUMIFS('الحركات الشهرية'!$K$6:$K$1005,'الحركات الشهرية'!$B$6:$B$1005,$B24,'الحركات الشهرية'!$A$6:$A$1005,$C$3))</f>
        <v/>
      </c>
      <c r="AM24" s="111" t="str">
        <f aca="false">IF($B24="","",AL24*الموظفون!$R24/cfg_DAYS_M+S24)</f>
        <v/>
      </c>
      <c r="AN24" s="151" t="str">
        <f aca="false">IF($B24="","",SUMIFS('سجل الإجازات والحالات'!$V$6:$V$505,'سجل الإجازات والحالات'!$B$6:$B$505,$B24))</f>
        <v/>
      </c>
    </row>
    <row r="25" customFormat="false" ht="15" hidden="false" customHeight="false" outlineLevel="0" collapsed="false">
      <c r="A25" s="115" t="str">
        <f aca="false">IF($B25="","",الموظفون!$A25)</f>
        <v/>
      </c>
      <c r="B25" s="117" t="str">
        <f aca="false">IF(الموظفون!$B25="","",الموظفون!$B25)</f>
        <v/>
      </c>
      <c r="C25" s="117" t="str">
        <f aca="false">IF($B25="","",الموظفون!$C25)</f>
        <v/>
      </c>
      <c r="D25" s="117" t="str">
        <f aca="false">IF($B25="","",الموظفون!$F25)</f>
        <v/>
      </c>
      <c r="E25" s="117" t="str">
        <f aca="false">IF($B25="","",الموظفون!$E25)</f>
        <v/>
      </c>
      <c r="F25" s="117" t="str">
        <f aca="false">IF($B25="","",IF(AK25=0,IF(AND(الموظفون!$AE25&lt;&gt;"",الموظفون!$AE25&lt;$E$3),"✖ منتهي الخدمة","⏳ لم يباشر"),IF(S25&gt;0,"✈ راتب إجازة مقدم",IF(J25=0,"⛔ بدون راتب هذا الشهر",IF(I25&gt;0,"✈ خصم "&amp;ROUND(I25,2)&amp;" يوم بدون أجر",IF(AL25&gt;0,"🌴 إجازة سنوية "&amp;ROUND(AL25,2)&amp;" يوم",IF(H25&gt;0,"⚠ غياب "&amp;ROUND(H25,2)&amp;" يوم","✔ على رأس العمل")))))))</f>
        <v/>
      </c>
      <c r="G25" s="156" t="str">
        <f aca="false">IF($B25="","",IF(AK25&gt;=DAY($F$3),cfg_DAYS_M,MIN(AK25,cfg_DAYS_M)))</f>
        <v/>
      </c>
      <c r="H25" s="156" t="str">
        <f aca="false">IF($B25="","",SUMIFS('الحركات الشهرية'!$D$6:$D$1005,'الحركات الشهرية'!$B$6:$B$1005,$B25,'الحركات الشهرية'!$A$6:$A$1005,$C$3))</f>
        <v/>
      </c>
      <c r="I25" s="156" t="str">
        <f aca="false">IF($B25="","",MIN(G25,IF(AND(AK25&gt;0,AN25&gt;=AK25),G25,AN25)+SUMIFS('الحركات الشهرية'!$E$6:$E$1005,'الحركات الشهرية'!$B$6:$B$1005,$B25,'الحركات الشهرية'!$A$6:$A$1005,$C$3)))</f>
        <v/>
      </c>
      <c r="J25" s="156" t="str">
        <f aca="false">IF($B25="","",MAX(0,G25-H25-I25))</f>
        <v/>
      </c>
      <c r="K25" s="116" t="str">
        <f aca="false">IF($B25="","",الموظفون!$L25*$J25/cfg_DAYS_M)</f>
        <v/>
      </c>
      <c r="L25" s="116" t="str">
        <f aca="false">IF($B25="","",الموظفون!$M25*$J25/cfg_DAYS_M)</f>
        <v/>
      </c>
      <c r="M25" s="116" t="str">
        <f aca="false">IF($B25="","",الموظفون!$N25*$J25/cfg_DAYS_M)</f>
        <v/>
      </c>
      <c r="N25" s="116" t="str">
        <f aca="false">IF($B25="","",الموظفون!$O25*$J25/cfg_DAYS_M)</f>
        <v/>
      </c>
      <c r="O25" s="156" t="str">
        <f aca="false">IF($B25="","",SUMIFS('الحركات الشهرية'!$F$6:$F$1005,'الحركات الشهرية'!$B$6:$B$1005,$B25,'الحركات الشهرية'!$A$6:$A$1005,$C$3))</f>
        <v/>
      </c>
      <c r="P25" s="116" t="str">
        <f aca="false">IF($B25="","",O25*(الموظفون!$P25+الموظفون!$L25*cfg_OT_P)/cfg_DAYS_M/cfg_HRS)</f>
        <v/>
      </c>
      <c r="Q25" s="116" t="str">
        <f aca="false">IF($B25="","",SUMIFS('الحركات الشهرية'!$G$6:$G$1005,'الحركات الشهرية'!$B$6:$B$1005,$B25,'الحركات الشهرية'!$A$6:$A$1005,$C$3))</f>
        <v/>
      </c>
      <c r="R25" s="116" t="str">
        <f aca="false">IF($B25="","",SUMIFS('الحركات الشهرية'!$H$6:$H$1005,'الحركات الشهرية'!$B$6:$B$1005,$B25,'الحركات الشهرية'!$A$6:$A$1005,$C$3))</f>
        <v/>
      </c>
      <c r="S25" s="116" t="str">
        <f aca="false">IF($B25="","",SUMIFS('سجل الإجازات والحالات'!$N$6:$N$505,'سجل الإجازات والحالات'!$B$6:$B$505,$B25,'سجل الإجازات والحالات'!$O$6:$O$505,$C$3))</f>
        <v/>
      </c>
      <c r="T25" s="157" t="str">
        <f aca="false">IF($B25="","",SUM(K25:N25)+SUM(P25:S25))</f>
        <v/>
      </c>
      <c r="U25" s="116" t="str">
        <f aca="false">IF($B25="","",الموظفون!$S25*IF(E25="سعودي",cfg_G_SE,cfg_G_NE)*G25/cfg_DAYS_M)</f>
        <v/>
      </c>
      <c r="V25" s="116" t="str">
        <f aca="false">IF($B25="","",SUMIFS('الحركات الشهرية'!$I$6:$I$1005,'الحركات الشهرية'!$B$6:$B$1005,$B25,'الحركات الشهرية'!$A$6:$A$1005,$C$3))</f>
        <v/>
      </c>
      <c r="W25" s="116" t="str">
        <f aca="false">IF($B25="","",SUMIFS('الحركات الشهرية'!$J$6:$J$1005,'الحركات الشهرية'!$B$6:$B$1005,$B25,'الحركات الشهرية'!$A$6:$A$1005,$C$3))</f>
        <v/>
      </c>
      <c r="X25" s="116" t="str">
        <f aca="false">IF($B25="","",SUM(U25:W25))</f>
        <v/>
      </c>
      <c r="Y25" s="158" t="str">
        <f aca="false">IF($B25="","",T25-X25)</f>
        <v/>
      </c>
      <c r="Z25" s="116" t="str">
        <f aca="false">IF($B25="","",الموظفون!$S25*IF(E25="سعودي",cfg_G_SR,cfg_G_NR)*G25/cfg_DAYS_M)</f>
        <v/>
      </c>
      <c r="AA25" s="116" t="str">
        <f aca="false">IF($B25="","",الموظفون!$Q25*(cfg_EOS_R1*(MIN(AH25,cfg_EOS_TH)-MIN(AI25,cfg_EOS_TH))+cfg_EOS_R2*(MAX(AH25-cfg_EOS_TH,0)-MAX(AI25-cfg_EOS_TH,0))))</f>
        <v/>
      </c>
      <c r="AB25" s="116" t="str">
        <f aca="false">IF($B25="","",IF(الموظفون!$T25&lt;&gt;"",الموظفون!$T25,IF(AH25&gt;=cfg_LV_TH,cfg_LV_D2,cfg_LV_D1))/cfg_DAYS_Y*AJ25*الموظفون!$R25/cfg_DAYS_M)</f>
        <v/>
      </c>
      <c r="AC25" s="116" t="str">
        <f aca="false">IF($B25="","",IF(AND(الموظفون!$U25="نعم",N(الموظفون!$W25)&gt;0),الموظفون!$V25/الموظفون!$W25*12/cfg_DAYS_Y*AJ25,0))</f>
        <v/>
      </c>
      <c r="AD25" s="116" t="str">
        <f aca="false">IF($B25="","",(IF(الموظفون!$X25&lt;&gt;"",الموظفون!$X25,IF(الموظفون!$E25="غير سعودي",cfg_IQ,0))+IF(الموظفون!$Y25&lt;&gt;"",الموظفون!$Y25,IF(الموظفون!$E25="غير سعودي",cfg_WP,0)))/12*G25/cfg_DAYS_M)</f>
        <v/>
      </c>
      <c r="AE25" s="116" t="str">
        <f aca="false">IF($B25="","",IF(الموظفون!$Z25&lt;&gt;"",الموظفون!$Z25,cfg_MED)/12*G25/cfg_DAYS_M)</f>
        <v/>
      </c>
      <c r="AF25" s="116" t="str">
        <f aca="false">IF($B25="","",N(الموظفون!$AA25)/12*G25/cfg_DAYS_M)</f>
        <v/>
      </c>
      <c r="AG25" s="159" t="str">
        <f aca="false">IF($B25="","",T25+SUM(Z25:AF25))</f>
        <v/>
      </c>
      <c r="AH25" s="160" t="str">
        <f aca="false">IF($B25="","",MAX(0,IF(OR(الموظفون!$AE25="",الموظفون!$AE25&gt;$F$3),$F$3,الموظفون!$AE25)-الموظفون!$H25+1-SUMIFS('سجل الإجازات والحالات'!$AH$6:$AH$505,'سجل الإجازات والحالات'!$B$6:$B$505,$B25))/cfg_DAYS_Y)</f>
        <v/>
      </c>
      <c r="AI25" s="160" t="str">
        <f aca="false">IF($B25="","",MAX(0,IF(OR(الموظفون!$AE25="",الموظفون!$AE25&gt;($E$3-1)),($E$3-1),الموظفون!$AE25)-الموظفون!$H25+1-SUMIFS('سجل الإجازات والحالات'!$R$6:$R$505,'سجل الإجازات والحالات'!$B$6:$B$505,$B25))/cfg_DAYS_Y)</f>
        <v/>
      </c>
      <c r="AJ25" s="133" t="str">
        <f aca="false">IF($B25="","",MAX(0,AK25-(SUMIFS('سجل الإجازات والحالات'!$AH$6:$AH$505,'سجل الإجازات والحالات'!$B$6:$B$505,$B25)-SUMIFS('سجل الإجازات والحالات'!$R$6:$R$505,'سجل الإجازات والحالات'!$B$6:$B$505,$B25))))</f>
        <v/>
      </c>
      <c r="AK25" s="133" t="str">
        <f aca="false">IF($B25="","",MAX(0,IF(OR(الموظفون!$AE25="",الموظفون!$AE25&gt;$F$3),$F$3,الموظفون!$AE25)-MAX($E$3,الموظفون!$H25)+1))</f>
        <v/>
      </c>
      <c r="AL25" s="156" t="str">
        <f aca="false">IF($B25="","",SUMIFS('سجل الإجازات والحالات'!$AT$6:$AT$505,'سجل الإجازات والحالات'!$B$6:$B$505,$B25)+SUMIFS('الحركات الشهرية'!$K$6:$K$1005,'الحركات الشهرية'!$B$6:$B$1005,$B25,'الحركات الشهرية'!$A$6:$A$1005,$C$3))</f>
        <v/>
      </c>
      <c r="AM25" s="116" t="str">
        <f aca="false">IF($B25="","",AL25*الموظفون!$R25/cfg_DAYS_M+S25)</f>
        <v/>
      </c>
      <c r="AN25" s="156" t="str">
        <f aca="false">IF($B25="","",SUMIFS('سجل الإجازات والحالات'!$V$6:$V$505,'سجل الإجازات والحالات'!$B$6:$B$505,$B25))</f>
        <v/>
      </c>
    </row>
    <row r="26" customFormat="false" ht="15" hidden="false" customHeight="false" outlineLevel="0" collapsed="false">
      <c r="A26" s="106" t="str">
        <f aca="false">IF($B26="","",الموظفون!$A26)</f>
        <v/>
      </c>
      <c r="B26" s="114" t="str">
        <f aca="false">IF(الموظفون!$B26="","",الموظفون!$B26)</f>
        <v/>
      </c>
      <c r="C26" s="114" t="str">
        <f aca="false">IF($B26="","",الموظفون!$C26)</f>
        <v/>
      </c>
      <c r="D26" s="114" t="str">
        <f aca="false">IF($B26="","",الموظفون!$F26)</f>
        <v/>
      </c>
      <c r="E26" s="114" t="str">
        <f aca="false">IF($B26="","",الموظفون!$E26)</f>
        <v/>
      </c>
      <c r="F26" s="114" t="str">
        <f aca="false">IF($B26="","",IF(AK26=0,IF(AND(الموظفون!$AE26&lt;&gt;"",الموظفون!$AE26&lt;$E$3),"✖ منتهي الخدمة","⏳ لم يباشر"),IF(S26&gt;0,"✈ راتب إجازة مقدم",IF(J26=0,"⛔ بدون راتب هذا الشهر",IF(I26&gt;0,"✈ خصم "&amp;ROUND(I26,2)&amp;" يوم بدون أجر",IF(AL26&gt;0,"🌴 إجازة سنوية "&amp;ROUND(AL26,2)&amp;" يوم",IF(H26&gt;0,"⚠ غياب "&amp;ROUND(H26,2)&amp;" يوم","✔ على رأس العمل")))))))</f>
        <v/>
      </c>
      <c r="G26" s="151" t="str">
        <f aca="false">IF($B26="","",IF(AK26&gt;=DAY($F$3),cfg_DAYS_M,MIN(AK26,cfg_DAYS_M)))</f>
        <v/>
      </c>
      <c r="H26" s="151" t="str">
        <f aca="false">IF($B26="","",SUMIFS('الحركات الشهرية'!$D$6:$D$1005,'الحركات الشهرية'!$B$6:$B$1005,$B26,'الحركات الشهرية'!$A$6:$A$1005,$C$3))</f>
        <v/>
      </c>
      <c r="I26" s="151" t="str">
        <f aca="false">IF($B26="","",MIN(G26,IF(AND(AK26&gt;0,AN26&gt;=AK26),G26,AN26)+SUMIFS('الحركات الشهرية'!$E$6:$E$1005,'الحركات الشهرية'!$B$6:$B$1005,$B26,'الحركات الشهرية'!$A$6:$A$1005,$C$3)))</f>
        <v/>
      </c>
      <c r="J26" s="151" t="str">
        <f aca="false">IF($B26="","",MAX(0,G26-H26-I26))</f>
        <v/>
      </c>
      <c r="K26" s="111" t="str">
        <f aca="false">IF($B26="","",الموظفون!$L26*$J26/cfg_DAYS_M)</f>
        <v/>
      </c>
      <c r="L26" s="111" t="str">
        <f aca="false">IF($B26="","",الموظفون!$M26*$J26/cfg_DAYS_M)</f>
        <v/>
      </c>
      <c r="M26" s="111" t="str">
        <f aca="false">IF($B26="","",الموظفون!$N26*$J26/cfg_DAYS_M)</f>
        <v/>
      </c>
      <c r="N26" s="111" t="str">
        <f aca="false">IF($B26="","",الموظفون!$O26*$J26/cfg_DAYS_M)</f>
        <v/>
      </c>
      <c r="O26" s="151" t="str">
        <f aca="false">IF($B26="","",SUMIFS('الحركات الشهرية'!$F$6:$F$1005,'الحركات الشهرية'!$B$6:$B$1005,$B26,'الحركات الشهرية'!$A$6:$A$1005,$C$3))</f>
        <v/>
      </c>
      <c r="P26" s="111" t="str">
        <f aca="false">IF($B26="","",O26*(الموظفون!$P26+الموظفون!$L26*cfg_OT_P)/cfg_DAYS_M/cfg_HRS)</f>
        <v/>
      </c>
      <c r="Q26" s="111" t="str">
        <f aca="false">IF($B26="","",SUMIFS('الحركات الشهرية'!$G$6:$G$1005,'الحركات الشهرية'!$B$6:$B$1005,$B26,'الحركات الشهرية'!$A$6:$A$1005,$C$3))</f>
        <v/>
      </c>
      <c r="R26" s="111" t="str">
        <f aca="false">IF($B26="","",SUMIFS('الحركات الشهرية'!$H$6:$H$1005,'الحركات الشهرية'!$B$6:$B$1005,$B26,'الحركات الشهرية'!$A$6:$A$1005,$C$3))</f>
        <v/>
      </c>
      <c r="S26" s="111" t="str">
        <f aca="false">IF($B26="","",SUMIFS('سجل الإجازات والحالات'!$N$6:$N$505,'سجل الإجازات والحالات'!$B$6:$B$505,$B26,'سجل الإجازات والحالات'!$O$6:$O$505,$C$3))</f>
        <v/>
      </c>
      <c r="T26" s="152" t="str">
        <f aca="false">IF($B26="","",SUM(K26:N26)+SUM(P26:S26))</f>
        <v/>
      </c>
      <c r="U26" s="111" t="str">
        <f aca="false">IF($B26="","",الموظفون!$S26*IF(E26="سعودي",cfg_G_SE,cfg_G_NE)*G26/cfg_DAYS_M)</f>
        <v/>
      </c>
      <c r="V26" s="111" t="str">
        <f aca="false">IF($B26="","",SUMIFS('الحركات الشهرية'!$I$6:$I$1005,'الحركات الشهرية'!$B$6:$B$1005,$B26,'الحركات الشهرية'!$A$6:$A$1005,$C$3))</f>
        <v/>
      </c>
      <c r="W26" s="111" t="str">
        <f aca="false">IF($B26="","",SUMIFS('الحركات الشهرية'!$J$6:$J$1005,'الحركات الشهرية'!$B$6:$B$1005,$B26,'الحركات الشهرية'!$A$6:$A$1005,$C$3))</f>
        <v/>
      </c>
      <c r="X26" s="111" t="str">
        <f aca="false">IF($B26="","",SUM(U26:W26))</f>
        <v/>
      </c>
      <c r="Y26" s="153" t="str">
        <f aca="false">IF($B26="","",T26-X26)</f>
        <v/>
      </c>
      <c r="Z26" s="111" t="str">
        <f aca="false">IF($B26="","",الموظفون!$S26*IF(E26="سعودي",cfg_G_SR,cfg_G_NR)*G26/cfg_DAYS_M)</f>
        <v/>
      </c>
      <c r="AA26" s="111" t="str">
        <f aca="false">IF($B26="","",الموظفون!$Q26*(cfg_EOS_R1*(MIN(AH26,cfg_EOS_TH)-MIN(AI26,cfg_EOS_TH))+cfg_EOS_R2*(MAX(AH26-cfg_EOS_TH,0)-MAX(AI26-cfg_EOS_TH,0))))</f>
        <v/>
      </c>
      <c r="AB26" s="111" t="str">
        <f aca="false">IF($B26="","",IF(الموظفون!$T26&lt;&gt;"",الموظفون!$T26,IF(AH26&gt;=cfg_LV_TH,cfg_LV_D2,cfg_LV_D1))/cfg_DAYS_Y*AJ26*الموظفون!$R26/cfg_DAYS_M)</f>
        <v/>
      </c>
      <c r="AC26" s="111" t="str">
        <f aca="false">IF($B26="","",IF(AND(الموظفون!$U26="نعم",N(الموظفون!$W26)&gt;0),الموظفون!$V26/الموظفون!$W26*12/cfg_DAYS_Y*AJ26,0))</f>
        <v/>
      </c>
      <c r="AD26" s="111" t="str">
        <f aca="false">IF($B26="","",(IF(الموظفون!$X26&lt;&gt;"",الموظفون!$X26,IF(الموظفون!$E26="غير سعودي",cfg_IQ,0))+IF(الموظفون!$Y26&lt;&gt;"",الموظفون!$Y26,IF(الموظفون!$E26="غير سعودي",cfg_WP,0)))/12*G26/cfg_DAYS_M)</f>
        <v/>
      </c>
      <c r="AE26" s="111" t="str">
        <f aca="false">IF($B26="","",IF(الموظفون!$Z26&lt;&gt;"",الموظفون!$Z26,cfg_MED)/12*G26/cfg_DAYS_M)</f>
        <v/>
      </c>
      <c r="AF26" s="111" t="str">
        <f aca="false">IF($B26="","",N(الموظفون!$AA26)/12*G26/cfg_DAYS_M)</f>
        <v/>
      </c>
      <c r="AG26" s="154" t="str">
        <f aca="false">IF($B26="","",T26+SUM(Z26:AF26))</f>
        <v/>
      </c>
      <c r="AH26" s="155" t="str">
        <f aca="false">IF($B26="","",MAX(0,IF(OR(الموظفون!$AE26="",الموظفون!$AE26&gt;$F$3),$F$3,الموظفون!$AE26)-الموظفون!$H26+1-SUMIFS('سجل الإجازات والحالات'!$AH$6:$AH$505,'سجل الإجازات والحالات'!$B$6:$B$505,$B26))/cfg_DAYS_Y)</f>
        <v/>
      </c>
      <c r="AI26" s="155" t="str">
        <f aca="false">IF($B26="","",MAX(0,IF(OR(الموظفون!$AE26="",الموظفون!$AE26&gt;($E$3-1)),($E$3-1),الموظفون!$AE26)-الموظفون!$H26+1-SUMIFS('سجل الإجازات والحالات'!$R$6:$R$505,'سجل الإجازات والحالات'!$B$6:$B$505,$B26))/cfg_DAYS_Y)</f>
        <v/>
      </c>
      <c r="AJ26" s="65" t="str">
        <f aca="false">IF($B26="","",MAX(0,AK26-(SUMIFS('سجل الإجازات والحالات'!$AH$6:$AH$505,'سجل الإجازات والحالات'!$B$6:$B$505,$B26)-SUMIFS('سجل الإجازات والحالات'!$R$6:$R$505,'سجل الإجازات والحالات'!$B$6:$B$505,$B26))))</f>
        <v/>
      </c>
      <c r="AK26" s="65" t="str">
        <f aca="false">IF($B26="","",MAX(0,IF(OR(الموظفون!$AE26="",الموظفون!$AE26&gt;$F$3),$F$3,الموظفون!$AE26)-MAX($E$3,الموظفون!$H26)+1))</f>
        <v/>
      </c>
      <c r="AL26" s="151" t="str">
        <f aca="false">IF($B26="","",SUMIFS('سجل الإجازات والحالات'!$AT$6:$AT$505,'سجل الإجازات والحالات'!$B$6:$B$505,$B26)+SUMIFS('الحركات الشهرية'!$K$6:$K$1005,'الحركات الشهرية'!$B$6:$B$1005,$B26,'الحركات الشهرية'!$A$6:$A$1005,$C$3))</f>
        <v/>
      </c>
      <c r="AM26" s="111" t="str">
        <f aca="false">IF($B26="","",AL26*الموظفون!$R26/cfg_DAYS_M+S26)</f>
        <v/>
      </c>
      <c r="AN26" s="151" t="str">
        <f aca="false">IF($B26="","",SUMIFS('سجل الإجازات والحالات'!$V$6:$V$505,'سجل الإجازات والحالات'!$B$6:$B$505,$B26))</f>
        <v/>
      </c>
    </row>
    <row r="27" customFormat="false" ht="15" hidden="false" customHeight="false" outlineLevel="0" collapsed="false">
      <c r="A27" s="115" t="str">
        <f aca="false">IF($B27="","",الموظفون!$A27)</f>
        <v/>
      </c>
      <c r="B27" s="117" t="str">
        <f aca="false">IF(الموظفون!$B27="","",الموظفون!$B27)</f>
        <v/>
      </c>
      <c r="C27" s="117" t="str">
        <f aca="false">IF($B27="","",الموظفون!$C27)</f>
        <v/>
      </c>
      <c r="D27" s="117" t="str">
        <f aca="false">IF($B27="","",الموظفون!$F27)</f>
        <v/>
      </c>
      <c r="E27" s="117" t="str">
        <f aca="false">IF($B27="","",الموظفون!$E27)</f>
        <v/>
      </c>
      <c r="F27" s="117" t="str">
        <f aca="false">IF($B27="","",IF(AK27=0,IF(AND(الموظفون!$AE27&lt;&gt;"",الموظفون!$AE27&lt;$E$3),"✖ منتهي الخدمة","⏳ لم يباشر"),IF(S27&gt;0,"✈ راتب إجازة مقدم",IF(J27=0,"⛔ بدون راتب هذا الشهر",IF(I27&gt;0,"✈ خصم "&amp;ROUND(I27,2)&amp;" يوم بدون أجر",IF(AL27&gt;0,"🌴 إجازة سنوية "&amp;ROUND(AL27,2)&amp;" يوم",IF(H27&gt;0,"⚠ غياب "&amp;ROUND(H27,2)&amp;" يوم","✔ على رأس العمل")))))))</f>
        <v/>
      </c>
      <c r="G27" s="156" t="str">
        <f aca="false">IF($B27="","",IF(AK27&gt;=DAY($F$3),cfg_DAYS_M,MIN(AK27,cfg_DAYS_M)))</f>
        <v/>
      </c>
      <c r="H27" s="156" t="str">
        <f aca="false">IF($B27="","",SUMIFS('الحركات الشهرية'!$D$6:$D$1005,'الحركات الشهرية'!$B$6:$B$1005,$B27,'الحركات الشهرية'!$A$6:$A$1005,$C$3))</f>
        <v/>
      </c>
      <c r="I27" s="156" t="str">
        <f aca="false">IF($B27="","",MIN(G27,IF(AND(AK27&gt;0,AN27&gt;=AK27),G27,AN27)+SUMIFS('الحركات الشهرية'!$E$6:$E$1005,'الحركات الشهرية'!$B$6:$B$1005,$B27,'الحركات الشهرية'!$A$6:$A$1005,$C$3)))</f>
        <v/>
      </c>
      <c r="J27" s="156" t="str">
        <f aca="false">IF($B27="","",MAX(0,G27-H27-I27))</f>
        <v/>
      </c>
      <c r="K27" s="116" t="str">
        <f aca="false">IF($B27="","",الموظفون!$L27*$J27/cfg_DAYS_M)</f>
        <v/>
      </c>
      <c r="L27" s="116" t="str">
        <f aca="false">IF($B27="","",الموظفون!$M27*$J27/cfg_DAYS_M)</f>
        <v/>
      </c>
      <c r="M27" s="116" t="str">
        <f aca="false">IF($B27="","",الموظفون!$N27*$J27/cfg_DAYS_M)</f>
        <v/>
      </c>
      <c r="N27" s="116" t="str">
        <f aca="false">IF($B27="","",الموظفون!$O27*$J27/cfg_DAYS_M)</f>
        <v/>
      </c>
      <c r="O27" s="156" t="str">
        <f aca="false">IF($B27="","",SUMIFS('الحركات الشهرية'!$F$6:$F$1005,'الحركات الشهرية'!$B$6:$B$1005,$B27,'الحركات الشهرية'!$A$6:$A$1005,$C$3))</f>
        <v/>
      </c>
      <c r="P27" s="116" t="str">
        <f aca="false">IF($B27="","",O27*(الموظفون!$P27+الموظفون!$L27*cfg_OT_P)/cfg_DAYS_M/cfg_HRS)</f>
        <v/>
      </c>
      <c r="Q27" s="116" t="str">
        <f aca="false">IF($B27="","",SUMIFS('الحركات الشهرية'!$G$6:$G$1005,'الحركات الشهرية'!$B$6:$B$1005,$B27,'الحركات الشهرية'!$A$6:$A$1005,$C$3))</f>
        <v/>
      </c>
      <c r="R27" s="116" t="str">
        <f aca="false">IF($B27="","",SUMIFS('الحركات الشهرية'!$H$6:$H$1005,'الحركات الشهرية'!$B$6:$B$1005,$B27,'الحركات الشهرية'!$A$6:$A$1005,$C$3))</f>
        <v/>
      </c>
      <c r="S27" s="116" t="str">
        <f aca="false">IF($B27="","",SUMIFS('سجل الإجازات والحالات'!$N$6:$N$505,'سجل الإجازات والحالات'!$B$6:$B$505,$B27,'سجل الإجازات والحالات'!$O$6:$O$505,$C$3))</f>
        <v/>
      </c>
      <c r="T27" s="157" t="str">
        <f aca="false">IF($B27="","",SUM(K27:N27)+SUM(P27:S27))</f>
        <v/>
      </c>
      <c r="U27" s="116" t="str">
        <f aca="false">IF($B27="","",الموظفون!$S27*IF(E27="سعودي",cfg_G_SE,cfg_G_NE)*G27/cfg_DAYS_M)</f>
        <v/>
      </c>
      <c r="V27" s="116" t="str">
        <f aca="false">IF($B27="","",SUMIFS('الحركات الشهرية'!$I$6:$I$1005,'الحركات الشهرية'!$B$6:$B$1005,$B27,'الحركات الشهرية'!$A$6:$A$1005,$C$3))</f>
        <v/>
      </c>
      <c r="W27" s="116" t="str">
        <f aca="false">IF($B27="","",SUMIFS('الحركات الشهرية'!$J$6:$J$1005,'الحركات الشهرية'!$B$6:$B$1005,$B27,'الحركات الشهرية'!$A$6:$A$1005,$C$3))</f>
        <v/>
      </c>
      <c r="X27" s="116" t="str">
        <f aca="false">IF($B27="","",SUM(U27:W27))</f>
        <v/>
      </c>
      <c r="Y27" s="158" t="str">
        <f aca="false">IF($B27="","",T27-X27)</f>
        <v/>
      </c>
      <c r="Z27" s="116" t="str">
        <f aca="false">IF($B27="","",الموظفون!$S27*IF(E27="سعودي",cfg_G_SR,cfg_G_NR)*G27/cfg_DAYS_M)</f>
        <v/>
      </c>
      <c r="AA27" s="116" t="str">
        <f aca="false">IF($B27="","",الموظفون!$Q27*(cfg_EOS_R1*(MIN(AH27,cfg_EOS_TH)-MIN(AI27,cfg_EOS_TH))+cfg_EOS_R2*(MAX(AH27-cfg_EOS_TH,0)-MAX(AI27-cfg_EOS_TH,0))))</f>
        <v/>
      </c>
      <c r="AB27" s="116" t="str">
        <f aca="false">IF($B27="","",IF(الموظفون!$T27&lt;&gt;"",الموظفون!$T27,IF(AH27&gt;=cfg_LV_TH,cfg_LV_D2,cfg_LV_D1))/cfg_DAYS_Y*AJ27*الموظفون!$R27/cfg_DAYS_M)</f>
        <v/>
      </c>
      <c r="AC27" s="116" t="str">
        <f aca="false">IF($B27="","",IF(AND(الموظفون!$U27="نعم",N(الموظفون!$W27)&gt;0),الموظفون!$V27/الموظفون!$W27*12/cfg_DAYS_Y*AJ27,0))</f>
        <v/>
      </c>
      <c r="AD27" s="116" t="str">
        <f aca="false">IF($B27="","",(IF(الموظفون!$X27&lt;&gt;"",الموظفون!$X27,IF(الموظفون!$E27="غير سعودي",cfg_IQ,0))+IF(الموظفون!$Y27&lt;&gt;"",الموظفون!$Y27,IF(الموظفون!$E27="غير سعودي",cfg_WP,0)))/12*G27/cfg_DAYS_M)</f>
        <v/>
      </c>
      <c r="AE27" s="116" t="str">
        <f aca="false">IF($B27="","",IF(الموظفون!$Z27&lt;&gt;"",الموظفون!$Z27,cfg_MED)/12*G27/cfg_DAYS_M)</f>
        <v/>
      </c>
      <c r="AF27" s="116" t="str">
        <f aca="false">IF($B27="","",N(الموظفون!$AA27)/12*G27/cfg_DAYS_M)</f>
        <v/>
      </c>
      <c r="AG27" s="159" t="str">
        <f aca="false">IF($B27="","",T27+SUM(Z27:AF27))</f>
        <v/>
      </c>
      <c r="AH27" s="160" t="str">
        <f aca="false">IF($B27="","",MAX(0,IF(OR(الموظفون!$AE27="",الموظفون!$AE27&gt;$F$3),$F$3,الموظفون!$AE27)-الموظفون!$H27+1-SUMIFS('سجل الإجازات والحالات'!$AH$6:$AH$505,'سجل الإجازات والحالات'!$B$6:$B$505,$B27))/cfg_DAYS_Y)</f>
        <v/>
      </c>
      <c r="AI27" s="160" t="str">
        <f aca="false">IF($B27="","",MAX(0,IF(OR(الموظفون!$AE27="",الموظفون!$AE27&gt;($E$3-1)),($E$3-1),الموظفون!$AE27)-الموظفون!$H27+1-SUMIFS('سجل الإجازات والحالات'!$R$6:$R$505,'سجل الإجازات والحالات'!$B$6:$B$505,$B27))/cfg_DAYS_Y)</f>
        <v/>
      </c>
      <c r="AJ27" s="133" t="str">
        <f aca="false">IF($B27="","",MAX(0,AK27-(SUMIFS('سجل الإجازات والحالات'!$AH$6:$AH$505,'سجل الإجازات والحالات'!$B$6:$B$505,$B27)-SUMIFS('سجل الإجازات والحالات'!$R$6:$R$505,'سجل الإجازات والحالات'!$B$6:$B$505,$B27))))</f>
        <v/>
      </c>
      <c r="AK27" s="133" t="str">
        <f aca="false">IF($B27="","",MAX(0,IF(OR(الموظفون!$AE27="",الموظفون!$AE27&gt;$F$3),$F$3,الموظفون!$AE27)-MAX($E$3,الموظفون!$H27)+1))</f>
        <v/>
      </c>
      <c r="AL27" s="156" t="str">
        <f aca="false">IF($B27="","",SUMIFS('سجل الإجازات والحالات'!$AT$6:$AT$505,'سجل الإجازات والحالات'!$B$6:$B$505,$B27)+SUMIFS('الحركات الشهرية'!$K$6:$K$1005,'الحركات الشهرية'!$B$6:$B$1005,$B27,'الحركات الشهرية'!$A$6:$A$1005,$C$3))</f>
        <v/>
      </c>
      <c r="AM27" s="116" t="str">
        <f aca="false">IF($B27="","",AL27*الموظفون!$R27/cfg_DAYS_M+S27)</f>
        <v/>
      </c>
      <c r="AN27" s="156" t="str">
        <f aca="false">IF($B27="","",SUMIFS('سجل الإجازات والحالات'!$V$6:$V$505,'سجل الإجازات والحالات'!$B$6:$B$505,$B27))</f>
        <v/>
      </c>
    </row>
    <row r="28" customFormat="false" ht="15" hidden="false" customHeight="false" outlineLevel="0" collapsed="false">
      <c r="A28" s="106" t="str">
        <f aca="false">IF($B28="","",الموظفون!$A28)</f>
        <v/>
      </c>
      <c r="B28" s="114" t="str">
        <f aca="false">IF(الموظفون!$B28="","",الموظفون!$B28)</f>
        <v/>
      </c>
      <c r="C28" s="114" t="str">
        <f aca="false">IF($B28="","",الموظفون!$C28)</f>
        <v/>
      </c>
      <c r="D28" s="114" t="str">
        <f aca="false">IF($B28="","",الموظفون!$F28)</f>
        <v/>
      </c>
      <c r="E28" s="114" t="str">
        <f aca="false">IF($B28="","",الموظفون!$E28)</f>
        <v/>
      </c>
      <c r="F28" s="114" t="str">
        <f aca="false">IF($B28="","",IF(AK28=0,IF(AND(الموظفون!$AE28&lt;&gt;"",الموظفون!$AE28&lt;$E$3),"✖ منتهي الخدمة","⏳ لم يباشر"),IF(S28&gt;0,"✈ راتب إجازة مقدم",IF(J28=0,"⛔ بدون راتب هذا الشهر",IF(I28&gt;0,"✈ خصم "&amp;ROUND(I28,2)&amp;" يوم بدون أجر",IF(AL28&gt;0,"🌴 إجازة سنوية "&amp;ROUND(AL28,2)&amp;" يوم",IF(H28&gt;0,"⚠ غياب "&amp;ROUND(H28,2)&amp;" يوم","✔ على رأس العمل")))))))</f>
        <v/>
      </c>
      <c r="G28" s="151" t="str">
        <f aca="false">IF($B28="","",IF(AK28&gt;=DAY($F$3),cfg_DAYS_M,MIN(AK28,cfg_DAYS_M)))</f>
        <v/>
      </c>
      <c r="H28" s="151" t="str">
        <f aca="false">IF($B28="","",SUMIFS('الحركات الشهرية'!$D$6:$D$1005,'الحركات الشهرية'!$B$6:$B$1005,$B28,'الحركات الشهرية'!$A$6:$A$1005,$C$3))</f>
        <v/>
      </c>
      <c r="I28" s="151" t="str">
        <f aca="false">IF($B28="","",MIN(G28,IF(AND(AK28&gt;0,AN28&gt;=AK28),G28,AN28)+SUMIFS('الحركات الشهرية'!$E$6:$E$1005,'الحركات الشهرية'!$B$6:$B$1005,$B28,'الحركات الشهرية'!$A$6:$A$1005,$C$3)))</f>
        <v/>
      </c>
      <c r="J28" s="151" t="str">
        <f aca="false">IF($B28="","",MAX(0,G28-H28-I28))</f>
        <v/>
      </c>
      <c r="K28" s="111" t="str">
        <f aca="false">IF($B28="","",الموظفون!$L28*$J28/cfg_DAYS_M)</f>
        <v/>
      </c>
      <c r="L28" s="111" t="str">
        <f aca="false">IF($B28="","",الموظفون!$M28*$J28/cfg_DAYS_M)</f>
        <v/>
      </c>
      <c r="M28" s="111" t="str">
        <f aca="false">IF($B28="","",الموظفون!$N28*$J28/cfg_DAYS_M)</f>
        <v/>
      </c>
      <c r="N28" s="111" t="str">
        <f aca="false">IF($B28="","",الموظفون!$O28*$J28/cfg_DAYS_M)</f>
        <v/>
      </c>
      <c r="O28" s="151" t="str">
        <f aca="false">IF($B28="","",SUMIFS('الحركات الشهرية'!$F$6:$F$1005,'الحركات الشهرية'!$B$6:$B$1005,$B28,'الحركات الشهرية'!$A$6:$A$1005,$C$3))</f>
        <v/>
      </c>
      <c r="P28" s="111" t="str">
        <f aca="false">IF($B28="","",O28*(الموظفون!$P28+الموظفون!$L28*cfg_OT_P)/cfg_DAYS_M/cfg_HRS)</f>
        <v/>
      </c>
      <c r="Q28" s="111" t="str">
        <f aca="false">IF($B28="","",SUMIFS('الحركات الشهرية'!$G$6:$G$1005,'الحركات الشهرية'!$B$6:$B$1005,$B28,'الحركات الشهرية'!$A$6:$A$1005,$C$3))</f>
        <v/>
      </c>
      <c r="R28" s="111" t="str">
        <f aca="false">IF($B28="","",SUMIFS('الحركات الشهرية'!$H$6:$H$1005,'الحركات الشهرية'!$B$6:$B$1005,$B28,'الحركات الشهرية'!$A$6:$A$1005,$C$3))</f>
        <v/>
      </c>
      <c r="S28" s="111" t="str">
        <f aca="false">IF($B28="","",SUMIFS('سجل الإجازات والحالات'!$N$6:$N$505,'سجل الإجازات والحالات'!$B$6:$B$505,$B28,'سجل الإجازات والحالات'!$O$6:$O$505,$C$3))</f>
        <v/>
      </c>
      <c r="T28" s="152" t="str">
        <f aca="false">IF($B28="","",SUM(K28:N28)+SUM(P28:S28))</f>
        <v/>
      </c>
      <c r="U28" s="111" t="str">
        <f aca="false">IF($B28="","",الموظفون!$S28*IF(E28="سعودي",cfg_G_SE,cfg_G_NE)*G28/cfg_DAYS_M)</f>
        <v/>
      </c>
      <c r="V28" s="111" t="str">
        <f aca="false">IF($B28="","",SUMIFS('الحركات الشهرية'!$I$6:$I$1005,'الحركات الشهرية'!$B$6:$B$1005,$B28,'الحركات الشهرية'!$A$6:$A$1005,$C$3))</f>
        <v/>
      </c>
      <c r="W28" s="111" t="str">
        <f aca="false">IF($B28="","",SUMIFS('الحركات الشهرية'!$J$6:$J$1005,'الحركات الشهرية'!$B$6:$B$1005,$B28,'الحركات الشهرية'!$A$6:$A$1005,$C$3))</f>
        <v/>
      </c>
      <c r="X28" s="111" t="str">
        <f aca="false">IF($B28="","",SUM(U28:W28))</f>
        <v/>
      </c>
      <c r="Y28" s="153" t="str">
        <f aca="false">IF($B28="","",T28-X28)</f>
        <v/>
      </c>
      <c r="Z28" s="111" t="str">
        <f aca="false">IF($B28="","",الموظفون!$S28*IF(E28="سعودي",cfg_G_SR,cfg_G_NR)*G28/cfg_DAYS_M)</f>
        <v/>
      </c>
      <c r="AA28" s="111" t="str">
        <f aca="false">IF($B28="","",الموظفون!$Q28*(cfg_EOS_R1*(MIN(AH28,cfg_EOS_TH)-MIN(AI28,cfg_EOS_TH))+cfg_EOS_R2*(MAX(AH28-cfg_EOS_TH,0)-MAX(AI28-cfg_EOS_TH,0))))</f>
        <v/>
      </c>
      <c r="AB28" s="111" t="str">
        <f aca="false">IF($B28="","",IF(الموظفون!$T28&lt;&gt;"",الموظفون!$T28,IF(AH28&gt;=cfg_LV_TH,cfg_LV_D2,cfg_LV_D1))/cfg_DAYS_Y*AJ28*الموظفون!$R28/cfg_DAYS_M)</f>
        <v/>
      </c>
      <c r="AC28" s="111" t="str">
        <f aca="false">IF($B28="","",IF(AND(الموظفون!$U28="نعم",N(الموظفون!$W28)&gt;0),الموظفون!$V28/الموظفون!$W28*12/cfg_DAYS_Y*AJ28,0))</f>
        <v/>
      </c>
      <c r="AD28" s="111" t="str">
        <f aca="false">IF($B28="","",(IF(الموظفون!$X28&lt;&gt;"",الموظفون!$X28,IF(الموظفون!$E28="غير سعودي",cfg_IQ,0))+IF(الموظفون!$Y28&lt;&gt;"",الموظفون!$Y28,IF(الموظفون!$E28="غير سعودي",cfg_WP,0)))/12*G28/cfg_DAYS_M)</f>
        <v/>
      </c>
      <c r="AE28" s="111" t="str">
        <f aca="false">IF($B28="","",IF(الموظفون!$Z28&lt;&gt;"",الموظفون!$Z28,cfg_MED)/12*G28/cfg_DAYS_M)</f>
        <v/>
      </c>
      <c r="AF28" s="111" t="str">
        <f aca="false">IF($B28="","",N(الموظفون!$AA28)/12*G28/cfg_DAYS_M)</f>
        <v/>
      </c>
      <c r="AG28" s="154" t="str">
        <f aca="false">IF($B28="","",T28+SUM(Z28:AF28))</f>
        <v/>
      </c>
      <c r="AH28" s="155" t="str">
        <f aca="false">IF($B28="","",MAX(0,IF(OR(الموظفون!$AE28="",الموظفون!$AE28&gt;$F$3),$F$3,الموظفون!$AE28)-الموظفون!$H28+1-SUMIFS('سجل الإجازات والحالات'!$AH$6:$AH$505,'سجل الإجازات والحالات'!$B$6:$B$505,$B28))/cfg_DAYS_Y)</f>
        <v/>
      </c>
      <c r="AI28" s="155" t="str">
        <f aca="false">IF($B28="","",MAX(0,IF(OR(الموظفون!$AE28="",الموظفون!$AE28&gt;($E$3-1)),($E$3-1),الموظفون!$AE28)-الموظفون!$H28+1-SUMIFS('سجل الإجازات والحالات'!$R$6:$R$505,'سجل الإجازات والحالات'!$B$6:$B$505,$B28))/cfg_DAYS_Y)</f>
        <v/>
      </c>
      <c r="AJ28" s="65" t="str">
        <f aca="false">IF($B28="","",MAX(0,AK28-(SUMIFS('سجل الإجازات والحالات'!$AH$6:$AH$505,'سجل الإجازات والحالات'!$B$6:$B$505,$B28)-SUMIFS('سجل الإجازات والحالات'!$R$6:$R$505,'سجل الإجازات والحالات'!$B$6:$B$505,$B28))))</f>
        <v/>
      </c>
      <c r="AK28" s="65" t="str">
        <f aca="false">IF($B28="","",MAX(0,IF(OR(الموظفون!$AE28="",الموظفون!$AE28&gt;$F$3),$F$3,الموظفون!$AE28)-MAX($E$3,الموظفون!$H28)+1))</f>
        <v/>
      </c>
      <c r="AL28" s="151" t="str">
        <f aca="false">IF($B28="","",SUMIFS('سجل الإجازات والحالات'!$AT$6:$AT$505,'سجل الإجازات والحالات'!$B$6:$B$505,$B28)+SUMIFS('الحركات الشهرية'!$K$6:$K$1005,'الحركات الشهرية'!$B$6:$B$1005,$B28,'الحركات الشهرية'!$A$6:$A$1005,$C$3))</f>
        <v/>
      </c>
      <c r="AM28" s="111" t="str">
        <f aca="false">IF($B28="","",AL28*الموظفون!$R28/cfg_DAYS_M+S28)</f>
        <v/>
      </c>
      <c r="AN28" s="151" t="str">
        <f aca="false">IF($B28="","",SUMIFS('سجل الإجازات والحالات'!$V$6:$V$505,'سجل الإجازات والحالات'!$B$6:$B$505,$B28))</f>
        <v/>
      </c>
    </row>
    <row r="29" customFormat="false" ht="15" hidden="false" customHeight="false" outlineLevel="0" collapsed="false">
      <c r="A29" s="115" t="str">
        <f aca="false">IF($B29="","",الموظفون!$A29)</f>
        <v/>
      </c>
      <c r="B29" s="117" t="str">
        <f aca="false">IF(الموظفون!$B29="","",الموظفون!$B29)</f>
        <v/>
      </c>
      <c r="C29" s="117" t="str">
        <f aca="false">IF($B29="","",الموظفون!$C29)</f>
        <v/>
      </c>
      <c r="D29" s="117" t="str">
        <f aca="false">IF($B29="","",الموظفون!$F29)</f>
        <v/>
      </c>
      <c r="E29" s="117" t="str">
        <f aca="false">IF($B29="","",الموظفون!$E29)</f>
        <v/>
      </c>
      <c r="F29" s="117" t="str">
        <f aca="false">IF($B29="","",IF(AK29=0,IF(AND(الموظفون!$AE29&lt;&gt;"",الموظفون!$AE29&lt;$E$3),"✖ منتهي الخدمة","⏳ لم يباشر"),IF(S29&gt;0,"✈ راتب إجازة مقدم",IF(J29=0,"⛔ بدون راتب هذا الشهر",IF(I29&gt;0,"✈ خصم "&amp;ROUND(I29,2)&amp;" يوم بدون أجر",IF(AL29&gt;0,"🌴 إجازة سنوية "&amp;ROUND(AL29,2)&amp;" يوم",IF(H29&gt;0,"⚠ غياب "&amp;ROUND(H29,2)&amp;" يوم","✔ على رأس العمل")))))))</f>
        <v/>
      </c>
      <c r="G29" s="156" t="str">
        <f aca="false">IF($B29="","",IF(AK29&gt;=DAY($F$3),cfg_DAYS_M,MIN(AK29,cfg_DAYS_M)))</f>
        <v/>
      </c>
      <c r="H29" s="156" t="str">
        <f aca="false">IF($B29="","",SUMIFS('الحركات الشهرية'!$D$6:$D$1005,'الحركات الشهرية'!$B$6:$B$1005,$B29,'الحركات الشهرية'!$A$6:$A$1005,$C$3))</f>
        <v/>
      </c>
      <c r="I29" s="156" t="str">
        <f aca="false">IF($B29="","",MIN(G29,IF(AND(AK29&gt;0,AN29&gt;=AK29),G29,AN29)+SUMIFS('الحركات الشهرية'!$E$6:$E$1005,'الحركات الشهرية'!$B$6:$B$1005,$B29,'الحركات الشهرية'!$A$6:$A$1005,$C$3)))</f>
        <v/>
      </c>
      <c r="J29" s="156" t="str">
        <f aca="false">IF($B29="","",MAX(0,G29-H29-I29))</f>
        <v/>
      </c>
      <c r="K29" s="116" t="str">
        <f aca="false">IF($B29="","",الموظفون!$L29*$J29/cfg_DAYS_M)</f>
        <v/>
      </c>
      <c r="L29" s="116" t="str">
        <f aca="false">IF($B29="","",الموظفون!$M29*$J29/cfg_DAYS_M)</f>
        <v/>
      </c>
      <c r="M29" s="116" t="str">
        <f aca="false">IF($B29="","",الموظفون!$N29*$J29/cfg_DAYS_M)</f>
        <v/>
      </c>
      <c r="N29" s="116" t="str">
        <f aca="false">IF($B29="","",الموظفون!$O29*$J29/cfg_DAYS_M)</f>
        <v/>
      </c>
      <c r="O29" s="156" t="str">
        <f aca="false">IF($B29="","",SUMIFS('الحركات الشهرية'!$F$6:$F$1005,'الحركات الشهرية'!$B$6:$B$1005,$B29,'الحركات الشهرية'!$A$6:$A$1005,$C$3))</f>
        <v/>
      </c>
      <c r="P29" s="116" t="str">
        <f aca="false">IF($B29="","",O29*(الموظفون!$P29+الموظفون!$L29*cfg_OT_P)/cfg_DAYS_M/cfg_HRS)</f>
        <v/>
      </c>
      <c r="Q29" s="116" t="str">
        <f aca="false">IF($B29="","",SUMIFS('الحركات الشهرية'!$G$6:$G$1005,'الحركات الشهرية'!$B$6:$B$1005,$B29,'الحركات الشهرية'!$A$6:$A$1005,$C$3))</f>
        <v/>
      </c>
      <c r="R29" s="116" t="str">
        <f aca="false">IF($B29="","",SUMIFS('الحركات الشهرية'!$H$6:$H$1005,'الحركات الشهرية'!$B$6:$B$1005,$B29,'الحركات الشهرية'!$A$6:$A$1005,$C$3))</f>
        <v/>
      </c>
      <c r="S29" s="116" t="str">
        <f aca="false">IF($B29="","",SUMIFS('سجل الإجازات والحالات'!$N$6:$N$505,'سجل الإجازات والحالات'!$B$6:$B$505,$B29,'سجل الإجازات والحالات'!$O$6:$O$505,$C$3))</f>
        <v/>
      </c>
      <c r="T29" s="157" t="str">
        <f aca="false">IF($B29="","",SUM(K29:N29)+SUM(P29:S29))</f>
        <v/>
      </c>
      <c r="U29" s="116" t="str">
        <f aca="false">IF($B29="","",الموظفون!$S29*IF(E29="سعودي",cfg_G_SE,cfg_G_NE)*G29/cfg_DAYS_M)</f>
        <v/>
      </c>
      <c r="V29" s="116" t="str">
        <f aca="false">IF($B29="","",SUMIFS('الحركات الشهرية'!$I$6:$I$1005,'الحركات الشهرية'!$B$6:$B$1005,$B29,'الحركات الشهرية'!$A$6:$A$1005,$C$3))</f>
        <v/>
      </c>
      <c r="W29" s="116" t="str">
        <f aca="false">IF($B29="","",SUMIFS('الحركات الشهرية'!$J$6:$J$1005,'الحركات الشهرية'!$B$6:$B$1005,$B29,'الحركات الشهرية'!$A$6:$A$1005,$C$3))</f>
        <v/>
      </c>
      <c r="X29" s="116" t="str">
        <f aca="false">IF($B29="","",SUM(U29:W29))</f>
        <v/>
      </c>
      <c r="Y29" s="158" t="str">
        <f aca="false">IF($B29="","",T29-X29)</f>
        <v/>
      </c>
      <c r="Z29" s="116" t="str">
        <f aca="false">IF($B29="","",الموظفون!$S29*IF(E29="سعودي",cfg_G_SR,cfg_G_NR)*G29/cfg_DAYS_M)</f>
        <v/>
      </c>
      <c r="AA29" s="116" t="str">
        <f aca="false">IF($B29="","",الموظفون!$Q29*(cfg_EOS_R1*(MIN(AH29,cfg_EOS_TH)-MIN(AI29,cfg_EOS_TH))+cfg_EOS_R2*(MAX(AH29-cfg_EOS_TH,0)-MAX(AI29-cfg_EOS_TH,0))))</f>
        <v/>
      </c>
      <c r="AB29" s="116" t="str">
        <f aca="false">IF($B29="","",IF(الموظفون!$T29&lt;&gt;"",الموظفون!$T29,IF(AH29&gt;=cfg_LV_TH,cfg_LV_D2,cfg_LV_D1))/cfg_DAYS_Y*AJ29*الموظفون!$R29/cfg_DAYS_M)</f>
        <v/>
      </c>
      <c r="AC29" s="116" t="str">
        <f aca="false">IF($B29="","",IF(AND(الموظفون!$U29="نعم",N(الموظفون!$W29)&gt;0),الموظفون!$V29/الموظفون!$W29*12/cfg_DAYS_Y*AJ29,0))</f>
        <v/>
      </c>
      <c r="AD29" s="116" t="str">
        <f aca="false">IF($B29="","",(IF(الموظفون!$X29&lt;&gt;"",الموظفون!$X29,IF(الموظفون!$E29="غير سعودي",cfg_IQ,0))+IF(الموظفون!$Y29&lt;&gt;"",الموظفون!$Y29,IF(الموظفون!$E29="غير سعودي",cfg_WP,0)))/12*G29/cfg_DAYS_M)</f>
        <v/>
      </c>
      <c r="AE29" s="116" t="str">
        <f aca="false">IF($B29="","",IF(الموظفون!$Z29&lt;&gt;"",الموظفون!$Z29,cfg_MED)/12*G29/cfg_DAYS_M)</f>
        <v/>
      </c>
      <c r="AF29" s="116" t="str">
        <f aca="false">IF($B29="","",N(الموظفون!$AA29)/12*G29/cfg_DAYS_M)</f>
        <v/>
      </c>
      <c r="AG29" s="159" t="str">
        <f aca="false">IF($B29="","",T29+SUM(Z29:AF29))</f>
        <v/>
      </c>
      <c r="AH29" s="160" t="str">
        <f aca="false">IF($B29="","",MAX(0,IF(OR(الموظفون!$AE29="",الموظفون!$AE29&gt;$F$3),$F$3,الموظفون!$AE29)-الموظفون!$H29+1-SUMIFS('سجل الإجازات والحالات'!$AH$6:$AH$505,'سجل الإجازات والحالات'!$B$6:$B$505,$B29))/cfg_DAYS_Y)</f>
        <v/>
      </c>
      <c r="AI29" s="160" t="str">
        <f aca="false">IF($B29="","",MAX(0,IF(OR(الموظفون!$AE29="",الموظفون!$AE29&gt;($E$3-1)),($E$3-1),الموظفون!$AE29)-الموظفون!$H29+1-SUMIFS('سجل الإجازات والحالات'!$R$6:$R$505,'سجل الإجازات والحالات'!$B$6:$B$505,$B29))/cfg_DAYS_Y)</f>
        <v/>
      </c>
      <c r="AJ29" s="133" t="str">
        <f aca="false">IF($B29="","",MAX(0,AK29-(SUMIFS('سجل الإجازات والحالات'!$AH$6:$AH$505,'سجل الإجازات والحالات'!$B$6:$B$505,$B29)-SUMIFS('سجل الإجازات والحالات'!$R$6:$R$505,'سجل الإجازات والحالات'!$B$6:$B$505,$B29))))</f>
        <v/>
      </c>
      <c r="AK29" s="133" t="str">
        <f aca="false">IF($B29="","",MAX(0,IF(OR(الموظفون!$AE29="",الموظفون!$AE29&gt;$F$3),$F$3,الموظفون!$AE29)-MAX($E$3,الموظفون!$H29)+1))</f>
        <v/>
      </c>
      <c r="AL29" s="156" t="str">
        <f aca="false">IF($B29="","",SUMIFS('سجل الإجازات والحالات'!$AT$6:$AT$505,'سجل الإجازات والحالات'!$B$6:$B$505,$B29)+SUMIFS('الحركات الشهرية'!$K$6:$K$1005,'الحركات الشهرية'!$B$6:$B$1005,$B29,'الحركات الشهرية'!$A$6:$A$1005,$C$3))</f>
        <v/>
      </c>
      <c r="AM29" s="116" t="str">
        <f aca="false">IF($B29="","",AL29*الموظفون!$R29/cfg_DAYS_M+S29)</f>
        <v/>
      </c>
      <c r="AN29" s="156" t="str">
        <f aca="false">IF($B29="","",SUMIFS('سجل الإجازات والحالات'!$V$6:$V$505,'سجل الإجازات والحالات'!$B$6:$B$505,$B29))</f>
        <v/>
      </c>
    </row>
    <row r="30" customFormat="false" ht="15" hidden="false" customHeight="false" outlineLevel="0" collapsed="false">
      <c r="A30" s="106" t="str">
        <f aca="false">IF($B30="","",الموظفون!$A30)</f>
        <v/>
      </c>
      <c r="B30" s="114" t="str">
        <f aca="false">IF(الموظفون!$B30="","",الموظفون!$B30)</f>
        <v/>
      </c>
      <c r="C30" s="114" t="str">
        <f aca="false">IF($B30="","",الموظفون!$C30)</f>
        <v/>
      </c>
      <c r="D30" s="114" t="str">
        <f aca="false">IF($B30="","",الموظفون!$F30)</f>
        <v/>
      </c>
      <c r="E30" s="114" t="str">
        <f aca="false">IF($B30="","",الموظفون!$E30)</f>
        <v/>
      </c>
      <c r="F30" s="114" t="str">
        <f aca="false">IF($B30="","",IF(AK30=0,IF(AND(الموظفون!$AE30&lt;&gt;"",الموظفون!$AE30&lt;$E$3),"✖ منتهي الخدمة","⏳ لم يباشر"),IF(S30&gt;0,"✈ راتب إجازة مقدم",IF(J30=0,"⛔ بدون راتب هذا الشهر",IF(I30&gt;0,"✈ خصم "&amp;ROUND(I30,2)&amp;" يوم بدون أجر",IF(AL30&gt;0,"🌴 إجازة سنوية "&amp;ROUND(AL30,2)&amp;" يوم",IF(H30&gt;0,"⚠ غياب "&amp;ROUND(H30,2)&amp;" يوم","✔ على رأس العمل")))))))</f>
        <v/>
      </c>
      <c r="G30" s="151" t="str">
        <f aca="false">IF($B30="","",IF(AK30&gt;=DAY($F$3),cfg_DAYS_M,MIN(AK30,cfg_DAYS_M)))</f>
        <v/>
      </c>
      <c r="H30" s="151" t="str">
        <f aca="false">IF($B30="","",SUMIFS('الحركات الشهرية'!$D$6:$D$1005,'الحركات الشهرية'!$B$6:$B$1005,$B30,'الحركات الشهرية'!$A$6:$A$1005,$C$3))</f>
        <v/>
      </c>
      <c r="I30" s="151" t="str">
        <f aca="false">IF($B30="","",MIN(G30,IF(AND(AK30&gt;0,AN30&gt;=AK30),G30,AN30)+SUMIFS('الحركات الشهرية'!$E$6:$E$1005,'الحركات الشهرية'!$B$6:$B$1005,$B30,'الحركات الشهرية'!$A$6:$A$1005,$C$3)))</f>
        <v/>
      </c>
      <c r="J30" s="151" t="str">
        <f aca="false">IF($B30="","",MAX(0,G30-H30-I30))</f>
        <v/>
      </c>
      <c r="K30" s="111" t="str">
        <f aca="false">IF($B30="","",الموظفون!$L30*$J30/cfg_DAYS_M)</f>
        <v/>
      </c>
      <c r="L30" s="111" t="str">
        <f aca="false">IF($B30="","",الموظفون!$M30*$J30/cfg_DAYS_M)</f>
        <v/>
      </c>
      <c r="M30" s="111" t="str">
        <f aca="false">IF($B30="","",الموظفون!$N30*$J30/cfg_DAYS_M)</f>
        <v/>
      </c>
      <c r="N30" s="111" t="str">
        <f aca="false">IF($B30="","",الموظفون!$O30*$J30/cfg_DAYS_M)</f>
        <v/>
      </c>
      <c r="O30" s="151" t="str">
        <f aca="false">IF($B30="","",SUMIFS('الحركات الشهرية'!$F$6:$F$1005,'الحركات الشهرية'!$B$6:$B$1005,$B30,'الحركات الشهرية'!$A$6:$A$1005,$C$3))</f>
        <v/>
      </c>
      <c r="P30" s="111" t="str">
        <f aca="false">IF($B30="","",O30*(الموظفون!$P30+الموظفون!$L30*cfg_OT_P)/cfg_DAYS_M/cfg_HRS)</f>
        <v/>
      </c>
      <c r="Q30" s="111" t="str">
        <f aca="false">IF($B30="","",SUMIFS('الحركات الشهرية'!$G$6:$G$1005,'الحركات الشهرية'!$B$6:$B$1005,$B30,'الحركات الشهرية'!$A$6:$A$1005,$C$3))</f>
        <v/>
      </c>
      <c r="R30" s="111" t="str">
        <f aca="false">IF($B30="","",SUMIFS('الحركات الشهرية'!$H$6:$H$1005,'الحركات الشهرية'!$B$6:$B$1005,$B30,'الحركات الشهرية'!$A$6:$A$1005,$C$3))</f>
        <v/>
      </c>
      <c r="S30" s="111" t="str">
        <f aca="false">IF($B30="","",SUMIFS('سجل الإجازات والحالات'!$N$6:$N$505,'سجل الإجازات والحالات'!$B$6:$B$505,$B30,'سجل الإجازات والحالات'!$O$6:$O$505,$C$3))</f>
        <v/>
      </c>
      <c r="T30" s="152" t="str">
        <f aca="false">IF($B30="","",SUM(K30:N30)+SUM(P30:S30))</f>
        <v/>
      </c>
      <c r="U30" s="111" t="str">
        <f aca="false">IF($B30="","",الموظفون!$S30*IF(E30="سعودي",cfg_G_SE,cfg_G_NE)*G30/cfg_DAYS_M)</f>
        <v/>
      </c>
      <c r="V30" s="111" t="str">
        <f aca="false">IF($B30="","",SUMIFS('الحركات الشهرية'!$I$6:$I$1005,'الحركات الشهرية'!$B$6:$B$1005,$B30,'الحركات الشهرية'!$A$6:$A$1005,$C$3))</f>
        <v/>
      </c>
      <c r="W30" s="111" t="str">
        <f aca="false">IF($B30="","",SUMIFS('الحركات الشهرية'!$J$6:$J$1005,'الحركات الشهرية'!$B$6:$B$1005,$B30,'الحركات الشهرية'!$A$6:$A$1005,$C$3))</f>
        <v/>
      </c>
      <c r="X30" s="111" t="str">
        <f aca="false">IF($B30="","",SUM(U30:W30))</f>
        <v/>
      </c>
      <c r="Y30" s="153" t="str">
        <f aca="false">IF($B30="","",T30-X30)</f>
        <v/>
      </c>
      <c r="Z30" s="111" t="str">
        <f aca="false">IF($B30="","",الموظفون!$S30*IF(E30="سعودي",cfg_G_SR,cfg_G_NR)*G30/cfg_DAYS_M)</f>
        <v/>
      </c>
      <c r="AA30" s="111" t="str">
        <f aca="false">IF($B30="","",الموظفون!$Q30*(cfg_EOS_R1*(MIN(AH30,cfg_EOS_TH)-MIN(AI30,cfg_EOS_TH))+cfg_EOS_R2*(MAX(AH30-cfg_EOS_TH,0)-MAX(AI30-cfg_EOS_TH,0))))</f>
        <v/>
      </c>
      <c r="AB30" s="111" t="str">
        <f aca="false">IF($B30="","",IF(الموظفون!$T30&lt;&gt;"",الموظفون!$T30,IF(AH30&gt;=cfg_LV_TH,cfg_LV_D2,cfg_LV_D1))/cfg_DAYS_Y*AJ30*الموظفون!$R30/cfg_DAYS_M)</f>
        <v/>
      </c>
      <c r="AC30" s="111" t="str">
        <f aca="false">IF($B30="","",IF(AND(الموظفون!$U30="نعم",N(الموظفون!$W30)&gt;0),الموظفون!$V30/الموظفون!$W30*12/cfg_DAYS_Y*AJ30,0))</f>
        <v/>
      </c>
      <c r="AD30" s="111" t="str">
        <f aca="false">IF($B30="","",(IF(الموظفون!$X30&lt;&gt;"",الموظفون!$X30,IF(الموظفون!$E30="غير سعودي",cfg_IQ,0))+IF(الموظفون!$Y30&lt;&gt;"",الموظفون!$Y30,IF(الموظفون!$E30="غير سعودي",cfg_WP,0)))/12*G30/cfg_DAYS_M)</f>
        <v/>
      </c>
      <c r="AE30" s="111" t="str">
        <f aca="false">IF($B30="","",IF(الموظفون!$Z30&lt;&gt;"",الموظفون!$Z30,cfg_MED)/12*G30/cfg_DAYS_M)</f>
        <v/>
      </c>
      <c r="AF30" s="111" t="str">
        <f aca="false">IF($B30="","",N(الموظفون!$AA30)/12*G30/cfg_DAYS_M)</f>
        <v/>
      </c>
      <c r="AG30" s="154" t="str">
        <f aca="false">IF($B30="","",T30+SUM(Z30:AF30))</f>
        <v/>
      </c>
      <c r="AH30" s="155" t="str">
        <f aca="false">IF($B30="","",MAX(0,IF(OR(الموظفون!$AE30="",الموظفون!$AE30&gt;$F$3),$F$3,الموظفون!$AE30)-الموظفون!$H30+1-SUMIFS('سجل الإجازات والحالات'!$AH$6:$AH$505,'سجل الإجازات والحالات'!$B$6:$B$505,$B30))/cfg_DAYS_Y)</f>
        <v/>
      </c>
      <c r="AI30" s="155" t="str">
        <f aca="false">IF($B30="","",MAX(0,IF(OR(الموظفون!$AE30="",الموظفون!$AE30&gt;($E$3-1)),($E$3-1),الموظفون!$AE30)-الموظفون!$H30+1-SUMIFS('سجل الإجازات والحالات'!$R$6:$R$505,'سجل الإجازات والحالات'!$B$6:$B$505,$B30))/cfg_DAYS_Y)</f>
        <v/>
      </c>
      <c r="AJ30" s="65" t="str">
        <f aca="false">IF($B30="","",MAX(0,AK30-(SUMIFS('سجل الإجازات والحالات'!$AH$6:$AH$505,'سجل الإجازات والحالات'!$B$6:$B$505,$B30)-SUMIFS('سجل الإجازات والحالات'!$R$6:$R$505,'سجل الإجازات والحالات'!$B$6:$B$505,$B30))))</f>
        <v/>
      </c>
      <c r="AK30" s="65" t="str">
        <f aca="false">IF($B30="","",MAX(0,IF(OR(الموظفون!$AE30="",الموظفون!$AE30&gt;$F$3),$F$3,الموظفون!$AE30)-MAX($E$3,الموظفون!$H30)+1))</f>
        <v/>
      </c>
      <c r="AL30" s="151" t="str">
        <f aca="false">IF($B30="","",SUMIFS('سجل الإجازات والحالات'!$AT$6:$AT$505,'سجل الإجازات والحالات'!$B$6:$B$505,$B30)+SUMIFS('الحركات الشهرية'!$K$6:$K$1005,'الحركات الشهرية'!$B$6:$B$1005,$B30,'الحركات الشهرية'!$A$6:$A$1005,$C$3))</f>
        <v/>
      </c>
      <c r="AM30" s="111" t="str">
        <f aca="false">IF($B30="","",AL30*الموظفون!$R30/cfg_DAYS_M+S30)</f>
        <v/>
      </c>
      <c r="AN30" s="151" t="str">
        <f aca="false">IF($B30="","",SUMIFS('سجل الإجازات والحالات'!$V$6:$V$505,'سجل الإجازات والحالات'!$B$6:$B$505,$B30))</f>
        <v/>
      </c>
    </row>
    <row r="31" customFormat="false" ht="15" hidden="false" customHeight="false" outlineLevel="0" collapsed="false">
      <c r="A31" s="115" t="str">
        <f aca="false">IF($B31="","",الموظفون!$A31)</f>
        <v/>
      </c>
      <c r="B31" s="117" t="str">
        <f aca="false">IF(الموظفون!$B31="","",الموظفون!$B31)</f>
        <v/>
      </c>
      <c r="C31" s="117" t="str">
        <f aca="false">IF($B31="","",الموظفون!$C31)</f>
        <v/>
      </c>
      <c r="D31" s="117" t="str">
        <f aca="false">IF($B31="","",الموظفون!$F31)</f>
        <v/>
      </c>
      <c r="E31" s="117" t="str">
        <f aca="false">IF($B31="","",الموظفون!$E31)</f>
        <v/>
      </c>
      <c r="F31" s="117" t="str">
        <f aca="false">IF($B31="","",IF(AK31=0,IF(AND(الموظفون!$AE31&lt;&gt;"",الموظفون!$AE31&lt;$E$3),"✖ منتهي الخدمة","⏳ لم يباشر"),IF(S31&gt;0,"✈ راتب إجازة مقدم",IF(J31=0,"⛔ بدون راتب هذا الشهر",IF(I31&gt;0,"✈ خصم "&amp;ROUND(I31,2)&amp;" يوم بدون أجر",IF(AL31&gt;0,"🌴 إجازة سنوية "&amp;ROUND(AL31,2)&amp;" يوم",IF(H31&gt;0,"⚠ غياب "&amp;ROUND(H31,2)&amp;" يوم","✔ على رأس العمل")))))))</f>
        <v/>
      </c>
      <c r="G31" s="156" t="str">
        <f aca="false">IF($B31="","",IF(AK31&gt;=DAY($F$3),cfg_DAYS_M,MIN(AK31,cfg_DAYS_M)))</f>
        <v/>
      </c>
      <c r="H31" s="156" t="str">
        <f aca="false">IF($B31="","",SUMIFS('الحركات الشهرية'!$D$6:$D$1005,'الحركات الشهرية'!$B$6:$B$1005,$B31,'الحركات الشهرية'!$A$6:$A$1005,$C$3))</f>
        <v/>
      </c>
      <c r="I31" s="156" t="str">
        <f aca="false">IF($B31="","",MIN(G31,IF(AND(AK31&gt;0,AN31&gt;=AK31),G31,AN31)+SUMIFS('الحركات الشهرية'!$E$6:$E$1005,'الحركات الشهرية'!$B$6:$B$1005,$B31,'الحركات الشهرية'!$A$6:$A$1005,$C$3)))</f>
        <v/>
      </c>
      <c r="J31" s="156" t="str">
        <f aca="false">IF($B31="","",MAX(0,G31-H31-I31))</f>
        <v/>
      </c>
      <c r="K31" s="116" t="str">
        <f aca="false">IF($B31="","",الموظفون!$L31*$J31/cfg_DAYS_M)</f>
        <v/>
      </c>
      <c r="L31" s="116" t="str">
        <f aca="false">IF($B31="","",الموظفون!$M31*$J31/cfg_DAYS_M)</f>
        <v/>
      </c>
      <c r="M31" s="116" t="str">
        <f aca="false">IF($B31="","",الموظفون!$N31*$J31/cfg_DAYS_M)</f>
        <v/>
      </c>
      <c r="N31" s="116" t="str">
        <f aca="false">IF($B31="","",الموظفون!$O31*$J31/cfg_DAYS_M)</f>
        <v/>
      </c>
      <c r="O31" s="156" t="str">
        <f aca="false">IF($B31="","",SUMIFS('الحركات الشهرية'!$F$6:$F$1005,'الحركات الشهرية'!$B$6:$B$1005,$B31,'الحركات الشهرية'!$A$6:$A$1005,$C$3))</f>
        <v/>
      </c>
      <c r="P31" s="116" t="str">
        <f aca="false">IF($B31="","",O31*(الموظفون!$P31+الموظفون!$L31*cfg_OT_P)/cfg_DAYS_M/cfg_HRS)</f>
        <v/>
      </c>
      <c r="Q31" s="116" t="str">
        <f aca="false">IF($B31="","",SUMIFS('الحركات الشهرية'!$G$6:$G$1005,'الحركات الشهرية'!$B$6:$B$1005,$B31,'الحركات الشهرية'!$A$6:$A$1005,$C$3))</f>
        <v/>
      </c>
      <c r="R31" s="116" t="str">
        <f aca="false">IF($B31="","",SUMIFS('الحركات الشهرية'!$H$6:$H$1005,'الحركات الشهرية'!$B$6:$B$1005,$B31,'الحركات الشهرية'!$A$6:$A$1005,$C$3))</f>
        <v/>
      </c>
      <c r="S31" s="116" t="str">
        <f aca="false">IF($B31="","",SUMIFS('سجل الإجازات والحالات'!$N$6:$N$505,'سجل الإجازات والحالات'!$B$6:$B$505,$B31,'سجل الإجازات والحالات'!$O$6:$O$505,$C$3))</f>
        <v/>
      </c>
      <c r="T31" s="157" t="str">
        <f aca="false">IF($B31="","",SUM(K31:N31)+SUM(P31:S31))</f>
        <v/>
      </c>
      <c r="U31" s="116" t="str">
        <f aca="false">IF($B31="","",الموظفون!$S31*IF(E31="سعودي",cfg_G_SE,cfg_G_NE)*G31/cfg_DAYS_M)</f>
        <v/>
      </c>
      <c r="V31" s="116" t="str">
        <f aca="false">IF($B31="","",SUMIFS('الحركات الشهرية'!$I$6:$I$1005,'الحركات الشهرية'!$B$6:$B$1005,$B31,'الحركات الشهرية'!$A$6:$A$1005,$C$3))</f>
        <v/>
      </c>
      <c r="W31" s="116" t="str">
        <f aca="false">IF($B31="","",SUMIFS('الحركات الشهرية'!$J$6:$J$1005,'الحركات الشهرية'!$B$6:$B$1005,$B31,'الحركات الشهرية'!$A$6:$A$1005,$C$3))</f>
        <v/>
      </c>
      <c r="X31" s="116" t="str">
        <f aca="false">IF($B31="","",SUM(U31:W31))</f>
        <v/>
      </c>
      <c r="Y31" s="158" t="str">
        <f aca="false">IF($B31="","",T31-X31)</f>
        <v/>
      </c>
      <c r="Z31" s="116" t="str">
        <f aca="false">IF($B31="","",الموظفون!$S31*IF(E31="سعودي",cfg_G_SR,cfg_G_NR)*G31/cfg_DAYS_M)</f>
        <v/>
      </c>
      <c r="AA31" s="116" t="str">
        <f aca="false">IF($B31="","",الموظفون!$Q31*(cfg_EOS_R1*(MIN(AH31,cfg_EOS_TH)-MIN(AI31,cfg_EOS_TH))+cfg_EOS_R2*(MAX(AH31-cfg_EOS_TH,0)-MAX(AI31-cfg_EOS_TH,0))))</f>
        <v/>
      </c>
      <c r="AB31" s="116" t="str">
        <f aca="false">IF($B31="","",IF(الموظفون!$T31&lt;&gt;"",الموظفون!$T31,IF(AH31&gt;=cfg_LV_TH,cfg_LV_D2,cfg_LV_D1))/cfg_DAYS_Y*AJ31*الموظفون!$R31/cfg_DAYS_M)</f>
        <v/>
      </c>
      <c r="AC31" s="116" t="str">
        <f aca="false">IF($B31="","",IF(AND(الموظفون!$U31="نعم",N(الموظفون!$W31)&gt;0),الموظفون!$V31/الموظفون!$W31*12/cfg_DAYS_Y*AJ31,0))</f>
        <v/>
      </c>
      <c r="AD31" s="116" t="str">
        <f aca="false">IF($B31="","",(IF(الموظفون!$X31&lt;&gt;"",الموظفون!$X31,IF(الموظفون!$E31="غير سعودي",cfg_IQ,0))+IF(الموظفون!$Y31&lt;&gt;"",الموظفون!$Y31,IF(الموظفون!$E31="غير سعودي",cfg_WP,0)))/12*G31/cfg_DAYS_M)</f>
        <v/>
      </c>
      <c r="AE31" s="116" t="str">
        <f aca="false">IF($B31="","",IF(الموظفون!$Z31&lt;&gt;"",الموظفون!$Z31,cfg_MED)/12*G31/cfg_DAYS_M)</f>
        <v/>
      </c>
      <c r="AF31" s="116" t="str">
        <f aca="false">IF($B31="","",N(الموظفون!$AA31)/12*G31/cfg_DAYS_M)</f>
        <v/>
      </c>
      <c r="AG31" s="159" t="str">
        <f aca="false">IF($B31="","",T31+SUM(Z31:AF31))</f>
        <v/>
      </c>
      <c r="AH31" s="160" t="str">
        <f aca="false">IF($B31="","",MAX(0,IF(OR(الموظفون!$AE31="",الموظفون!$AE31&gt;$F$3),$F$3,الموظفون!$AE31)-الموظفون!$H31+1-SUMIFS('سجل الإجازات والحالات'!$AH$6:$AH$505,'سجل الإجازات والحالات'!$B$6:$B$505,$B31))/cfg_DAYS_Y)</f>
        <v/>
      </c>
      <c r="AI31" s="160" t="str">
        <f aca="false">IF($B31="","",MAX(0,IF(OR(الموظفون!$AE31="",الموظفون!$AE31&gt;($E$3-1)),($E$3-1),الموظفون!$AE31)-الموظفون!$H31+1-SUMIFS('سجل الإجازات والحالات'!$R$6:$R$505,'سجل الإجازات والحالات'!$B$6:$B$505,$B31))/cfg_DAYS_Y)</f>
        <v/>
      </c>
      <c r="AJ31" s="133" t="str">
        <f aca="false">IF($B31="","",MAX(0,AK31-(SUMIFS('سجل الإجازات والحالات'!$AH$6:$AH$505,'سجل الإجازات والحالات'!$B$6:$B$505,$B31)-SUMIFS('سجل الإجازات والحالات'!$R$6:$R$505,'سجل الإجازات والحالات'!$B$6:$B$505,$B31))))</f>
        <v/>
      </c>
      <c r="AK31" s="133" t="str">
        <f aca="false">IF($B31="","",MAX(0,IF(OR(الموظفون!$AE31="",الموظفون!$AE31&gt;$F$3),$F$3,الموظفون!$AE31)-MAX($E$3,الموظفون!$H31)+1))</f>
        <v/>
      </c>
      <c r="AL31" s="156" t="str">
        <f aca="false">IF($B31="","",SUMIFS('سجل الإجازات والحالات'!$AT$6:$AT$505,'سجل الإجازات والحالات'!$B$6:$B$505,$B31)+SUMIFS('الحركات الشهرية'!$K$6:$K$1005,'الحركات الشهرية'!$B$6:$B$1005,$B31,'الحركات الشهرية'!$A$6:$A$1005,$C$3))</f>
        <v/>
      </c>
      <c r="AM31" s="116" t="str">
        <f aca="false">IF($B31="","",AL31*الموظفون!$R31/cfg_DAYS_M+S31)</f>
        <v/>
      </c>
      <c r="AN31" s="156" t="str">
        <f aca="false">IF($B31="","",SUMIFS('سجل الإجازات والحالات'!$V$6:$V$505,'سجل الإجازات والحالات'!$B$6:$B$505,$B31))</f>
        <v/>
      </c>
    </row>
    <row r="32" customFormat="false" ht="15" hidden="false" customHeight="false" outlineLevel="0" collapsed="false">
      <c r="A32" s="106" t="str">
        <f aca="false">IF($B32="","",الموظفون!$A32)</f>
        <v/>
      </c>
      <c r="B32" s="114" t="str">
        <f aca="false">IF(الموظفون!$B32="","",الموظفون!$B32)</f>
        <v/>
      </c>
      <c r="C32" s="114" t="str">
        <f aca="false">IF($B32="","",الموظفون!$C32)</f>
        <v/>
      </c>
      <c r="D32" s="114" t="str">
        <f aca="false">IF($B32="","",الموظفون!$F32)</f>
        <v/>
      </c>
      <c r="E32" s="114" t="str">
        <f aca="false">IF($B32="","",الموظفون!$E32)</f>
        <v/>
      </c>
      <c r="F32" s="114" t="str">
        <f aca="false">IF($B32="","",IF(AK32=0,IF(AND(الموظفون!$AE32&lt;&gt;"",الموظفون!$AE32&lt;$E$3),"✖ منتهي الخدمة","⏳ لم يباشر"),IF(S32&gt;0,"✈ راتب إجازة مقدم",IF(J32=0,"⛔ بدون راتب هذا الشهر",IF(I32&gt;0,"✈ خصم "&amp;ROUND(I32,2)&amp;" يوم بدون أجر",IF(AL32&gt;0,"🌴 إجازة سنوية "&amp;ROUND(AL32,2)&amp;" يوم",IF(H32&gt;0,"⚠ غياب "&amp;ROUND(H32,2)&amp;" يوم","✔ على رأس العمل")))))))</f>
        <v/>
      </c>
      <c r="G32" s="151" t="str">
        <f aca="false">IF($B32="","",IF(AK32&gt;=DAY($F$3),cfg_DAYS_M,MIN(AK32,cfg_DAYS_M)))</f>
        <v/>
      </c>
      <c r="H32" s="151" t="str">
        <f aca="false">IF($B32="","",SUMIFS('الحركات الشهرية'!$D$6:$D$1005,'الحركات الشهرية'!$B$6:$B$1005,$B32,'الحركات الشهرية'!$A$6:$A$1005,$C$3))</f>
        <v/>
      </c>
      <c r="I32" s="151" t="str">
        <f aca="false">IF($B32="","",MIN(G32,IF(AND(AK32&gt;0,AN32&gt;=AK32),G32,AN32)+SUMIFS('الحركات الشهرية'!$E$6:$E$1005,'الحركات الشهرية'!$B$6:$B$1005,$B32,'الحركات الشهرية'!$A$6:$A$1005,$C$3)))</f>
        <v/>
      </c>
      <c r="J32" s="151" t="str">
        <f aca="false">IF($B32="","",MAX(0,G32-H32-I32))</f>
        <v/>
      </c>
      <c r="K32" s="111" t="str">
        <f aca="false">IF($B32="","",الموظفون!$L32*$J32/cfg_DAYS_M)</f>
        <v/>
      </c>
      <c r="L32" s="111" t="str">
        <f aca="false">IF($B32="","",الموظفون!$M32*$J32/cfg_DAYS_M)</f>
        <v/>
      </c>
      <c r="M32" s="111" t="str">
        <f aca="false">IF($B32="","",الموظفون!$N32*$J32/cfg_DAYS_M)</f>
        <v/>
      </c>
      <c r="N32" s="111" t="str">
        <f aca="false">IF($B32="","",الموظفون!$O32*$J32/cfg_DAYS_M)</f>
        <v/>
      </c>
      <c r="O32" s="151" t="str">
        <f aca="false">IF($B32="","",SUMIFS('الحركات الشهرية'!$F$6:$F$1005,'الحركات الشهرية'!$B$6:$B$1005,$B32,'الحركات الشهرية'!$A$6:$A$1005,$C$3))</f>
        <v/>
      </c>
      <c r="P32" s="111" t="str">
        <f aca="false">IF($B32="","",O32*(الموظفون!$P32+الموظفون!$L32*cfg_OT_P)/cfg_DAYS_M/cfg_HRS)</f>
        <v/>
      </c>
      <c r="Q32" s="111" t="str">
        <f aca="false">IF($B32="","",SUMIFS('الحركات الشهرية'!$G$6:$G$1005,'الحركات الشهرية'!$B$6:$B$1005,$B32,'الحركات الشهرية'!$A$6:$A$1005,$C$3))</f>
        <v/>
      </c>
      <c r="R32" s="111" t="str">
        <f aca="false">IF($B32="","",SUMIFS('الحركات الشهرية'!$H$6:$H$1005,'الحركات الشهرية'!$B$6:$B$1005,$B32,'الحركات الشهرية'!$A$6:$A$1005,$C$3))</f>
        <v/>
      </c>
      <c r="S32" s="111" t="str">
        <f aca="false">IF($B32="","",SUMIFS('سجل الإجازات والحالات'!$N$6:$N$505,'سجل الإجازات والحالات'!$B$6:$B$505,$B32,'سجل الإجازات والحالات'!$O$6:$O$505,$C$3))</f>
        <v/>
      </c>
      <c r="T32" s="152" t="str">
        <f aca="false">IF($B32="","",SUM(K32:N32)+SUM(P32:S32))</f>
        <v/>
      </c>
      <c r="U32" s="111" t="str">
        <f aca="false">IF($B32="","",الموظفون!$S32*IF(E32="سعودي",cfg_G_SE,cfg_G_NE)*G32/cfg_DAYS_M)</f>
        <v/>
      </c>
      <c r="V32" s="111" t="str">
        <f aca="false">IF($B32="","",SUMIFS('الحركات الشهرية'!$I$6:$I$1005,'الحركات الشهرية'!$B$6:$B$1005,$B32,'الحركات الشهرية'!$A$6:$A$1005,$C$3))</f>
        <v/>
      </c>
      <c r="W32" s="111" t="str">
        <f aca="false">IF($B32="","",SUMIFS('الحركات الشهرية'!$J$6:$J$1005,'الحركات الشهرية'!$B$6:$B$1005,$B32,'الحركات الشهرية'!$A$6:$A$1005,$C$3))</f>
        <v/>
      </c>
      <c r="X32" s="111" t="str">
        <f aca="false">IF($B32="","",SUM(U32:W32))</f>
        <v/>
      </c>
      <c r="Y32" s="153" t="str">
        <f aca="false">IF($B32="","",T32-X32)</f>
        <v/>
      </c>
      <c r="Z32" s="111" t="str">
        <f aca="false">IF($B32="","",الموظفون!$S32*IF(E32="سعودي",cfg_G_SR,cfg_G_NR)*G32/cfg_DAYS_M)</f>
        <v/>
      </c>
      <c r="AA32" s="111" t="str">
        <f aca="false">IF($B32="","",الموظفون!$Q32*(cfg_EOS_R1*(MIN(AH32,cfg_EOS_TH)-MIN(AI32,cfg_EOS_TH))+cfg_EOS_R2*(MAX(AH32-cfg_EOS_TH,0)-MAX(AI32-cfg_EOS_TH,0))))</f>
        <v/>
      </c>
      <c r="AB32" s="111" t="str">
        <f aca="false">IF($B32="","",IF(الموظفون!$T32&lt;&gt;"",الموظفون!$T32,IF(AH32&gt;=cfg_LV_TH,cfg_LV_D2,cfg_LV_D1))/cfg_DAYS_Y*AJ32*الموظفون!$R32/cfg_DAYS_M)</f>
        <v/>
      </c>
      <c r="AC32" s="111" t="str">
        <f aca="false">IF($B32="","",IF(AND(الموظفون!$U32="نعم",N(الموظفون!$W32)&gt;0),الموظفون!$V32/الموظفون!$W32*12/cfg_DAYS_Y*AJ32,0))</f>
        <v/>
      </c>
      <c r="AD32" s="111" t="str">
        <f aca="false">IF($B32="","",(IF(الموظفون!$X32&lt;&gt;"",الموظفون!$X32,IF(الموظفون!$E32="غير سعودي",cfg_IQ,0))+IF(الموظفون!$Y32&lt;&gt;"",الموظفون!$Y32,IF(الموظفون!$E32="غير سعودي",cfg_WP,0)))/12*G32/cfg_DAYS_M)</f>
        <v/>
      </c>
      <c r="AE32" s="111" t="str">
        <f aca="false">IF($B32="","",IF(الموظفون!$Z32&lt;&gt;"",الموظفون!$Z32,cfg_MED)/12*G32/cfg_DAYS_M)</f>
        <v/>
      </c>
      <c r="AF32" s="111" t="str">
        <f aca="false">IF($B32="","",N(الموظفون!$AA32)/12*G32/cfg_DAYS_M)</f>
        <v/>
      </c>
      <c r="AG32" s="154" t="str">
        <f aca="false">IF($B32="","",T32+SUM(Z32:AF32))</f>
        <v/>
      </c>
      <c r="AH32" s="155" t="str">
        <f aca="false">IF($B32="","",MAX(0,IF(OR(الموظفون!$AE32="",الموظفون!$AE32&gt;$F$3),$F$3,الموظفون!$AE32)-الموظفون!$H32+1-SUMIFS('سجل الإجازات والحالات'!$AH$6:$AH$505,'سجل الإجازات والحالات'!$B$6:$B$505,$B32))/cfg_DAYS_Y)</f>
        <v/>
      </c>
      <c r="AI32" s="155" t="str">
        <f aca="false">IF($B32="","",MAX(0,IF(OR(الموظفون!$AE32="",الموظفون!$AE32&gt;($E$3-1)),($E$3-1),الموظفون!$AE32)-الموظفون!$H32+1-SUMIFS('سجل الإجازات والحالات'!$R$6:$R$505,'سجل الإجازات والحالات'!$B$6:$B$505,$B32))/cfg_DAYS_Y)</f>
        <v/>
      </c>
      <c r="AJ32" s="65" t="str">
        <f aca="false">IF($B32="","",MAX(0,AK32-(SUMIFS('سجل الإجازات والحالات'!$AH$6:$AH$505,'سجل الإجازات والحالات'!$B$6:$B$505,$B32)-SUMIFS('سجل الإجازات والحالات'!$R$6:$R$505,'سجل الإجازات والحالات'!$B$6:$B$505,$B32))))</f>
        <v/>
      </c>
      <c r="AK32" s="65" t="str">
        <f aca="false">IF($B32="","",MAX(0,IF(OR(الموظفون!$AE32="",الموظفون!$AE32&gt;$F$3),$F$3,الموظفون!$AE32)-MAX($E$3,الموظفون!$H32)+1))</f>
        <v/>
      </c>
      <c r="AL32" s="151" t="str">
        <f aca="false">IF($B32="","",SUMIFS('سجل الإجازات والحالات'!$AT$6:$AT$505,'سجل الإجازات والحالات'!$B$6:$B$505,$B32)+SUMIFS('الحركات الشهرية'!$K$6:$K$1005,'الحركات الشهرية'!$B$6:$B$1005,$B32,'الحركات الشهرية'!$A$6:$A$1005,$C$3))</f>
        <v/>
      </c>
      <c r="AM32" s="111" t="str">
        <f aca="false">IF($B32="","",AL32*الموظفون!$R32/cfg_DAYS_M+S32)</f>
        <v/>
      </c>
      <c r="AN32" s="151" t="str">
        <f aca="false">IF($B32="","",SUMIFS('سجل الإجازات والحالات'!$V$6:$V$505,'سجل الإجازات والحالات'!$B$6:$B$505,$B32))</f>
        <v/>
      </c>
    </row>
    <row r="33" customFormat="false" ht="15" hidden="false" customHeight="false" outlineLevel="0" collapsed="false">
      <c r="A33" s="115" t="str">
        <f aca="false">IF($B33="","",الموظفون!$A33)</f>
        <v/>
      </c>
      <c r="B33" s="117" t="str">
        <f aca="false">IF(الموظفون!$B33="","",الموظفون!$B33)</f>
        <v/>
      </c>
      <c r="C33" s="117" t="str">
        <f aca="false">IF($B33="","",الموظفون!$C33)</f>
        <v/>
      </c>
      <c r="D33" s="117" t="str">
        <f aca="false">IF($B33="","",الموظفون!$F33)</f>
        <v/>
      </c>
      <c r="E33" s="117" t="str">
        <f aca="false">IF($B33="","",الموظفون!$E33)</f>
        <v/>
      </c>
      <c r="F33" s="117" t="str">
        <f aca="false">IF($B33="","",IF(AK33=0,IF(AND(الموظفون!$AE33&lt;&gt;"",الموظفون!$AE33&lt;$E$3),"✖ منتهي الخدمة","⏳ لم يباشر"),IF(S33&gt;0,"✈ راتب إجازة مقدم",IF(J33=0,"⛔ بدون راتب هذا الشهر",IF(I33&gt;0,"✈ خصم "&amp;ROUND(I33,2)&amp;" يوم بدون أجر",IF(AL33&gt;0,"🌴 إجازة سنوية "&amp;ROUND(AL33,2)&amp;" يوم",IF(H33&gt;0,"⚠ غياب "&amp;ROUND(H33,2)&amp;" يوم","✔ على رأس العمل")))))))</f>
        <v/>
      </c>
      <c r="G33" s="156" t="str">
        <f aca="false">IF($B33="","",IF(AK33&gt;=DAY($F$3),cfg_DAYS_M,MIN(AK33,cfg_DAYS_M)))</f>
        <v/>
      </c>
      <c r="H33" s="156" t="str">
        <f aca="false">IF($B33="","",SUMIFS('الحركات الشهرية'!$D$6:$D$1005,'الحركات الشهرية'!$B$6:$B$1005,$B33,'الحركات الشهرية'!$A$6:$A$1005,$C$3))</f>
        <v/>
      </c>
      <c r="I33" s="156" t="str">
        <f aca="false">IF($B33="","",MIN(G33,IF(AND(AK33&gt;0,AN33&gt;=AK33),G33,AN33)+SUMIFS('الحركات الشهرية'!$E$6:$E$1005,'الحركات الشهرية'!$B$6:$B$1005,$B33,'الحركات الشهرية'!$A$6:$A$1005,$C$3)))</f>
        <v/>
      </c>
      <c r="J33" s="156" t="str">
        <f aca="false">IF($B33="","",MAX(0,G33-H33-I33))</f>
        <v/>
      </c>
      <c r="K33" s="116" t="str">
        <f aca="false">IF($B33="","",الموظفون!$L33*$J33/cfg_DAYS_M)</f>
        <v/>
      </c>
      <c r="L33" s="116" t="str">
        <f aca="false">IF($B33="","",الموظفون!$M33*$J33/cfg_DAYS_M)</f>
        <v/>
      </c>
      <c r="M33" s="116" t="str">
        <f aca="false">IF($B33="","",الموظفون!$N33*$J33/cfg_DAYS_M)</f>
        <v/>
      </c>
      <c r="N33" s="116" t="str">
        <f aca="false">IF($B33="","",الموظفون!$O33*$J33/cfg_DAYS_M)</f>
        <v/>
      </c>
      <c r="O33" s="156" t="str">
        <f aca="false">IF($B33="","",SUMIFS('الحركات الشهرية'!$F$6:$F$1005,'الحركات الشهرية'!$B$6:$B$1005,$B33,'الحركات الشهرية'!$A$6:$A$1005,$C$3))</f>
        <v/>
      </c>
      <c r="P33" s="116" t="str">
        <f aca="false">IF($B33="","",O33*(الموظفون!$P33+الموظفون!$L33*cfg_OT_P)/cfg_DAYS_M/cfg_HRS)</f>
        <v/>
      </c>
      <c r="Q33" s="116" t="str">
        <f aca="false">IF($B33="","",SUMIFS('الحركات الشهرية'!$G$6:$G$1005,'الحركات الشهرية'!$B$6:$B$1005,$B33,'الحركات الشهرية'!$A$6:$A$1005,$C$3))</f>
        <v/>
      </c>
      <c r="R33" s="116" t="str">
        <f aca="false">IF($B33="","",SUMIFS('الحركات الشهرية'!$H$6:$H$1005,'الحركات الشهرية'!$B$6:$B$1005,$B33,'الحركات الشهرية'!$A$6:$A$1005,$C$3))</f>
        <v/>
      </c>
      <c r="S33" s="116" t="str">
        <f aca="false">IF($B33="","",SUMIFS('سجل الإجازات والحالات'!$N$6:$N$505,'سجل الإجازات والحالات'!$B$6:$B$505,$B33,'سجل الإجازات والحالات'!$O$6:$O$505,$C$3))</f>
        <v/>
      </c>
      <c r="T33" s="157" t="str">
        <f aca="false">IF($B33="","",SUM(K33:N33)+SUM(P33:S33))</f>
        <v/>
      </c>
      <c r="U33" s="116" t="str">
        <f aca="false">IF($B33="","",الموظفون!$S33*IF(E33="سعودي",cfg_G_SE,cfg_G_NE)*G33/cfg_DAYS_M)</f>
        <v/>
      </c>
      <c r="V33" s="116" t="str">
        <f aca="false">IF($B33="","",SUMIFS('الحركات الشهرية'!$I$6:$I$1005,'الحركات الشهرية'!$B$6:$B$1005,$B33,'الحركات الشهرية'!$A$6:$A$1005,$C$3))</f>
        <v/>
      </c>
      <c r="W33" s="116" t="str">
        <f aca="false">IF($B33="","",SUMIFS('الحركات الشهرية'!$J$6:$J$1005,'الحركات الشهرية'!$B$6:$B$1005,$B33,'الحركات الشهرية'!$A$6:$A$1005,$C$3))</f>
        <v/>
      </c>
      <c r="X33" s="116" t="str">
        <f aca="false">IF($B33="","",SUM(U33:W33))</f>
        <v/>
      </c>
      <c r="Y33" s="158" t="str">
        <f aca="false">IF($B33="","",T33-X33)</f>
        <v/>
      </c>
      <c r="Z33" s="116" t="str">
        <f aca="false">IF($B33="","",الموظفون!$S33*IF(E33="سعودي",cfg_G_SR,cfg_G_NR)*G33/cfg_DAYS_M)</f>
        <v/>
      </c>
      <c r="AA33" s="116" t="str">
        <f aca="false">IF($B33="","",الموظفون!$Q33*(cfg_EOS_R1*(MIN(AH33,cfg_EOS_TH)-MIN(AI33,cfg_EOS_TH))+cfg_EOS_R2*(MAX(AH33-cfg_EOS_TH,0)-MAX(AI33-cfg_EOS_TH,0))))</f>
        <v/>
      </c>
      <c r="AB33" s="116" t="str">
        <f aca="false">IF($B33="","",IF(الموظفون!$T33&lt;&gt;"",الموظفون!$T33,IF(AH33&gt;=cfg_LV_TH,cfg_LV_D2,cfg_LV_D1))/cfg_DAYS_Y*AJ33*الموظفون!$R33/cfg_DAYS_M)</f>
        <v/>
      </c>
      <c r="AC33" s="116" t="str">
        <f aca="false">IF($B33="","",IF(AND(الموظفون!$U33="نعم",N(الموظفون!$W33)&gt;0),الموظفون!$V33/الموظفون!$W33*12/cfg_DAYS_Y*AJ33,0))</f>
        <v/>
      </c>
      <c r="AD33" s="116" t="str">
        <f aca="false">IF($B33="","",(IF(الموظفون!$X33&lt;&gt;"",الموظفون!$X33,IF(الموظفون!$E33="غير سعودي",cfg_IQ,0))+IF(الموظفون!$Y33&lt;&gt;"",الموظفون!$Y33,IF(الموظفون!$E33="غير سعودي",cfg_WP,0)))/12*G33/cfg_DAYS_M)</f>
        <v/>
      </c>
      <c r="AE33" s="116" t="str">
        <f aca="false">IF($B33="","",IF(الموظفون!$Z33&lt;&gt;"",الموظفون!$Z33,cfg_MED)/12*G33/cfg_DAYS_M)</f>
        <v/>
      </c>
      <c r="AF33" s="116" t="str">
        <f aca="false">IF($B33="","",N(الموظفون!$AA33)/12*G33/cfg_DAYS_M)</f>
        <v/>
      </c>
      <c r="AG33" s="159" t="str">
        <f aca="false">IF($B33="","",T33+SUM(Z33:AF33))</f>
        <v/>
      </c>
      <c r="AH33" s="160" t="str">
        <f aca="false">IF($B33="","",MAX(0,IF(OR(الموظفون!$AE33="",الموظفون!$AE33&gt;$F$3),$F$3,الموظفون!$AE33)-الموظفون!$H33+1-SUMIFS('سجل الإجازات والحالات'!$AH$6:$AH$505,'سجل الإجازات والحالات'!$B$6:$B$505,$B33))/cfg_DAYS_Y)</f>
        <v/>
      </c>
      <c r="AI33" s="160" t="str">
        <f aca="false">IF($B33="","",MAX(0,IF(OR(الموظفون!$AE33="",الموظفون!$AE33&gt;($E$3-1)),($E$3-1),الموظفون!$AE33)-الموظفون!$H33+1-SUMIFS('سجل الإجازات والحالات'!$R$6:$R$505,'سجل الإجازات والحالات'!$B$6:$B$505,$B33))/cfg_DAYS_Y)</f>
        <v/>
      </c>
      <c r="AJ33" s="133" t="str">
        <f aca="false">IF($B33="","",MAX(0,AK33-(SUMIFS('سجل الإجازات والحالات'!$AH$6:$AH$505,'سجل الإجازات والحالات'!$B$6:$B$505,$B33)-SUMIFS('سجل الإجازات والحالات'!$R$6:$R$505,'سجل الإجازات والحالات'!$B$6:$B$505,$B33))))</f>
        <v/>
      </c>
      <c r="AK33" s="133" t="str">
        <f aca="false">IF($B33="","",MAX(0,IF(OR(الموظفون!$AE33="",الموظفون!$AE33&gt;$F$3),$F$3,الموظفون!$AE33)-MAX($E$3,الموظفون!$H33)+1))</f>
        <v/>
      </c>
      <c r="AL33" s="156" t="str">
        <f aca="false">IF($B33="","",SUMIFS('سجل الإجازات والحالات'!$AT$6:$AT$505,'سجل الإجازات والحالات'!$B$6:$B$505,$B33)+SUMIFS('الحركات الشهرية'!$K$6:$K$1005,'الحركات الشهرية'!$B$6:$B$1005,$B33,'الحركات الشهرية'!$A$6:$A$1005,$C$3))</f>
        <v/>
      </c>
      <c r="AM33" s="116" t="str">
        <f aca="false">IF($B33="","",AL33*الموظفون!$R33/cfg_DAYS_M+S33)</f>
        <v/>
      </c>
      <c r="AN33" s="156" t="str">
        <f aca="false">IF($B33="","",SUMIFS('سجل الإجازات والحالات'!$V$6:$V$505,'سجل الإجازات والحالات'!$B$6:$B$505,$B33))</f>
        <v/>
      </c>
    </row>
    <row r="34" customFormat="false" ht="15" hidden="false" customHeight="false" outlineLevel="0" collapsed="false">
      <c r="A34" s="106" t="str">
        <f aca="false">IF($B34="","",الموظفون!$A34)</f>
        <v/>
      </c>
      <c r="B34" s="114" t="str">
        <f aca="false">IF(الموظفون!$B34="","",الموظفون!$B34)</f>
        <v/>
      </c>
      <c r="C34" s="114" t="str">
        <f aca="false">IF($B34="","",الموظفون!$C34)</f>
        <v/>
      </c>
      <c r="D34" s="114" t="str">
        <f aca="false">IF($B34="","",الموظفون!$F34)</f>
        <v/>
      </c>
      <c r="E34" s="114" t="str">
        <f aca="false">IF($B34="","",الموظفون!$E34)</f>
        <v/>
      </c>
      <c r="F34" s="114" t="str">
        <f aca="false">IF($B34="","",IF(AK34=0,IF(AND(الموظفون!$AE34&lt;&gt;"",الموظفون!$AE34&lt;$E$3),"✖ منتهي الخدمة","⏳ لم يباشر"),IF(S34&gt;0,"✈ راتب إجازة مقدم",IF(J34=0,"⛔ بدون راتب هذا الشهر",IF(I34&gt;0,"✈ خصم "&amp;ROUND(I34,2)&amp;" يوم بدون أجر",IF(AL34&gt;0,"🌴 إجازة سنوية "&amp;ROUND(AL34,2)&amp;" يوم",IF(H34&gt;0,"⚠ غياب "&amp;ROUND(H34,2)&amp;" يوم","✔ على رأس العمل")))))))</f>
        <v/>
      </c>
      <c r="G34" s="151" t="str">
        <f aca="false">IF($B34="","",IF(AK34&gt;=DAY($F$3),cfg_DAYS_M,MIN(AK34,cfg_DAYS_M)))</f>
        <v/>
      </c>
      <c r="H34" s="151" t="str">
        <f aca="false">IF($B34="","",SUMIFS('الحركات الشهرية'!$D$6:$D$1005,'الحركات الشهرية'!$B$6:$B$1005,$B34,'الحركات الشهرية'!$A$6:$A$1005,$C$3))</f>
        <v/>
      </c>
      <c r="I34" s="151" t="str">
        <f aca="false">IF($B34="","",MIN(G34,IF(AND(AK34&gt;0,AN34&gt;=AK34),G34,AN34)+SUMIFS('الحركات الشهرية'!$E$6:$E$1005,'الحركات الشهرية'!$B$6:$B$1005,$B34,'الحركات الشهرية'!$A$6:$A$1005,$C$3)))</f>
        <v/>
      </c>
      <c r="J34" s="151" t="str">
        <f aca="false">IF($B34="","",MAX(0,G34-H34-I34))</f>
        <v/>
      </c>
      <c r="K34" s="111" t="str">
        <f aca="false">IF($B34="","",الموظفون!$L34*$J34/cfg_DAYS_M)</f>
        <v/>
      </c>
      <c r="L34" s="111" t="str">
        <f aca="false">IF($B34="","",الموظفون!$M34*$J34/cfg_DAYS_M)</f>
        <v/>
      </c>
      <c r="M34" s="111" t="str">
        <f aca="false">IF($B34="","",الموظفون!$N34*$J34/cfg_DAYS_M)</f>
        <v/>
      </c>
      <c r="N34" s="111" t="str">
        <f aca="false">IF($B34="","",الموظفون!$O34*$J34/cfg_DAYS_M)</f>
        <v/>
      </c>
      <c r="O34" s="151" t="str">
        <f aca="false">IF($B34="","",SUMIFS('الحركات الشهرية'!$F$6:$F$1005,'الحركات الشهرية'!$B$6:$B$1005,$B34,'الحركات الشهرية'!$A$6:$A$1005,$C$3))</f>
        <v/>
      </c>
      <c r="P34" s="111" t="str">
        <f aca="false">IF($B34="","",O34*(الموظفون!$P34+الموظفون!$L34*cfg_OT_P)/cfg_DAYS_M/cfg_HRS)</f>
        <v/>
      </c>
      <c r="Q34" s="111" t="str">
        <f aca="false">IF($B34="","",SUMIFS('الحركات الشهرية'!$G$6:$G$1005,'الحركات الشهرية'!$B$6:$B$1005,$B34,'الحركات الشهرية'!$A$6:$A$1005,$C$3))</f>
        <v/>
      </c>
      <c r="R34" s="111" t="str">
        <f aca="false">IF($B34="","",SUMIFS('الحركات الشهرية'!$H$6:$H$1005,'الحركات الشهرية'!$B$6:$B$1005,$B34,'الحركات الشهرية'!$A$6:$A$1005,$C$3))</f>
        <v/>
      </c>
      <c r="S34" s="111" t="str">
        <f aca="false">IF($B34="","",SUMIFS('سجل الإجازات والحالات'!$N$6:$N$505,'سجل الإجازات والحالات'!$B$6:$B$505,$B34,'سجل الإجازات والحالات'!$O$6:$O$505,$C$3))</f>
        <v/>
      </c>
      <c r="T34" s="152" t="str">
        <f aca="false">IF($B34="","",SUM(K34:N34)+SUM(P34:S34))</f>
        <v/>
      </c>
      <c r="U34" s="111" t="str">
        <f aca="false">IF($B34="","",الموظفون!$S34*IF(E34="سعودي",cfg_G_SE,cfg_G_NE)*G34/cfg_DAYS_M)</f>
        <v/>
      </c>
      <c r="V34" s="111" t="str">
        <f aca="false">IF($B34="","",SUMIFS('الحركات الشهرية'!$I$6:$I$1005,'الحركات الشهرية'!$B$6:$B$1005,$B34,'الحركات الشهرية'!$A$6:$A$1005,$C$3))</f>
        <v/>
      </c>
      <c r="W34" s="111" t="str">
        <f aca="false">IF($B34="","",SUMIFS('الحركات الشهرية'!$J$6:$J$1005,'الحركات الشهرية'!$B$6:$B$1005,$B34,'الحركات الشهرية'!$A$6:$A$1005,$C$3))</f>
        <v/>
      </c>
      <c r="X34" s="111" t="str">
        <f aca="false">IF($B34="","",SUM(U34:W34))</f>
        <v/>
      </c>
      <c r="Y34" s="153" t="str">
        <f aca="false">IF($B34="","",T34-X34)</f>
        <v/>
      </c>
      <c r="Z34" s="111" t="str">
        <f aca="false">IF($B34="","",الموظفون!$S34*IF(E34="سعودي",cfg_G_SR,cfg_G_NR)*G34/cfg_DAYS_M)</f>
        <v/>
      </c>
      <c r="AA34" s="111" t="str">
        <f aca="false">IF($B34="","",الموظفون!$Q34*(cfg_EOS_R1*(MIN(AH34,cfg_EOS_TH)-MIN(AI34,cfg_EOS_TH))+cfg_EOS_R2*(MAX(AH34-cfg_EOS_TH,0)-MAX(AI34-cfg_EOS_TH,0))))</f>
        <v/>
      </c>
      <c r="AB34" s="111" t="str">
        <f aca="false">IF($B34="","",IF(الموظفون!$T34&lt;&gt;"",الموظفون!$T34,IF(AH34&gt;=cfg_LV_TH,cfg_LV_D2,cfg_LV_D1))/cfg_DAYS_Y*AJ34*الموظفون!$R34/cfg_DAYS_M)</f>
        <v/>
      </c>
      <c r="AC34" s="111" t="str">
        <f aca="false">IF($B34="","",IF(AND(الموظفون!$U34="نعم",N(الموظفون!$W34)&gt;0),الموظفون!$V34/الموظفون!$W34*12/cfg_DAYS_Y*AJ34,0))</f>
        <v/>
      </c>
      <c r="AD34" s="111" t="str">
        <f aca="false">IF($B34="","",(IF(الموظفون!$X34&lt;&gt;"",الموظفون!$X34,IF(الموظفون!$E34="غير سعودي",cfg_IQ,0))+IF(الموظفون!$Y34&lt;&gt;"",الموظفون!$Y34,IF(الموظفون!$E34="غير سعودي",cfg_WP,0)))/12*G34/cfg_DAYS_M)</f>
        <v/>
      </c>
      <c r="AE34" s="111" t="str">
        <f aca="false">IF($B34="","",IF(الموظفون!$Z34&lt;&gt;"",الموظفون!$Z34,cfg_MED)/12*G34/cfg_DAYS_M)</f>
        <v/>
      </c>
      <c r="AF34" s="111" t="str">
        <f aca="false">IF($B34="","",N(الموظفون!$AA34)/12*G34/cfg_DAYS_M)</f>
        <v/>
      </c>
      <c r="AG34" s="154" t="str">
        <f aca="false">IF($B34="","",T34+SUM(Z34:AF34))</f>
        <v/>
      </c>
      <c r="AH34" s="155" t="str">
        <f aca="false">IF($B34="","",MAX(0,IF(OR(الموظفون!$AE34="",الموظفون!$AE34&gt;$F$3),$F$3,الموظفون!$AE34)-الموظفون!$H34+1-SUMIFS('سجل الإجازات والحالات'!$AH$6:$AH$505,'سجل الإجازات والحالات'!$B$6:$B$505,$B34))/cfg_DAYS_Y)</f>
        <v/>
      </c>
      <c r="AI34" s="155" t="str">
        <f aca="false">IF($B34="","",MAX(0,IF(OR(الموظفون!$AE34="",الموظفون!$AE34&gt;($E$3-1)),($E$3-1),الموظفون!$AE34)-الموظفون!$H34+1-SUMIFS('سجل الإجازات والحالات'!$R$6:$R$505,'سجل الإجازات والحالات'!$B$6:$B$505,$B34))/cfg_DAYS_Y)</f>
        <v/>
      </c>
      <c r="AJ34" s="65" t="str">
        <f aca="false">IF($B34="","",MAX(0,AK34-(SUMIFS('سجل الإجازات والحالات'!$AH$6:$AH$505,'سجل الإجازات والحالات'!$B$6:$B$505,$B34)-SUMIFS('سجل الإجازات والحالات'!$R$6:$R$505,'سجل الإجازات والحالات'!$B$6:$B$505,$B34))))</f>
        <v/>
      </c>
      <c r="AK34" s="65" t="str">
        <f aca="false">IF($B34="","",MAX(0,IF(OR(الموظفون!$AE34="",الموظفون!$AE34&gt;$F$3),$F$3,الموظفون!$AE34)-MAX($E$3,الموظفون!$H34)+1))</f>
        <v/>
      </c>
      <c r="AL34" s="151" t="str">
        <f aca="false">IF($B34="","",SUMIFS('سجل الإجازات والحالات'!$AT$6:$AT$505,'سجل الإجازات والحالات'!$B$6:$B$505,$B34)+SUMIFS('الحركات الشهرية'!$K$6:$K$1005,'الحركات الشهرية'!$B$6:$B$1005,$B34,'الحركات الشهرية'!$A$6:$A$1005,$C$3))</f>
        <v/>
      </c>
      <c r="AM34" s="111" t="str">
        <f aca="false">IF($B34="","",AL34*الموظفون!$R34/cfg_DAYS_M+S34)</f>
        <v/>
      </c>
      <c r="AN34" s="151" t="str">
        <f aca="false">IF($B34="","",SUMIFS('سجل الإجازات والحالات'!$V$6:$V$505,'سجل الإجازات والحالات'!$B$6:$B$505,$B34))</f>
        <v/>
      </c>
    </row>
    <row r="35" customFormat="false" ht="15" hidden="false" customHeight="false" outlineLevel="0" collapsed="false">
      <c r="A35" s="115" t="str">
        <f aca="false">IF($B35="","",الموظفون!$A35)</f>
        <v/>
      </c>
      <c r="B35" s="117" t="str">
        <f aca="false">IF(الموظفون!$B35="","",الموظفون!$B35)</f>
        <v/>
      </c>
      <c r="C35" s="117" t="str">
        <f aca="false">IF($B35="","",الموظفون!$C35)</f>
        <v/>
      </c>
      <c r="D35" s="117" t="str">
        <f aca="false">IF($B35="","",الموظفون!$F35)</f>
        <v/>
      </c>
      <c r="E35" s="117" t="str">
        <f aca="false">IF($B35="","",الموظفون!$E35)</f>
        <v/>
      </c>
      <c r="F35" s="117" t="str">
        <f aca="false">IF($B35="","",IF(AK35=0,IF(AND(الموظفون!$AE35&lt;&gt;"",الموظفون!$AE35&lt;$E$3),"✖ منتهي الخدمة","⏳ لم يباشر"),IF(S35&gt;0,"✈ راتب إجازة مقدم",IF(J35=0,"⛔ بدون راتب هذا الشهر",IF(I35&gt;0,"✈ خصم "&amp;ROUND(I35,2)&amp;" يوم بدون أجر",IF(AL35&gt;0,"🌴 إجازة سنوية "&amp;ROUND(AL35,2)&amp;" يوم",IF(H35&gt;0,"⚠ غياب "&amp;ROUND(H35,2)&amp;" يوم","✔ على رأس العمل")))))))</f>
        <v/>
      </c>
      <c r="G35" s="156" t="str">
        <f aca="false">IF($B35="","",IF(AK35&gt;=DAY($F$3),cfg_DAYS_M,MIN(AK35,cfg_DAYS_M)))</f>
        <v/>
      </c>
      <c r="H35" s="156" t="str">
        <f aca="false">IF($B35="","",SUMIFS('الحركات الشهرية'!$D$6:$D$1005,'الحركات الشهرية'!$B$6:$B$1005,$B35,'الحركات الشهرية'!$A$6:$A$1005,$C$3))</f>
        <v/>
      </c>
      <c r="I35" s="156" t="str">
        <f aca="false">IF($B35="","",MIN(G35,IF(AND(AK35&gt;0,AN35&gt;=AK35),G35,AN35)+SUMIFS('الحركات الشهرية'!$E$6:$E$1005,'الحركات الشهرية'!$B$6:$B$1005,$B35,'الحركات الشهرية'!$A$6:$A$1005,$C$3)))</f>
        <v/>
      </c>
      <c r="J35" s="156" t="str">
        <f aca="false">IF($B35="","",MAX(0,G35-H35-I35))</f>
        <v/>
      </c>
      <c r="K35" s="116" t="str">
        <f aca="false">IF($B35="","",الموظفون!$L35*$J35/cfg_DAYS_M)</f>
        <v/>
      </c>
      <c r="L35" s="116" t="str">
        <f aca="false">IF($B35="","",الموظفون!$M35*$J35/cfg_DAYS_M)</f>
        <v/>
      </c>
      <c r="M35" s="116" t="str">
        <f aca="false">IF($B35="","",الموظفون!$N35*$J35/cfg_DAYS_M)</f>
        <v/>
      </c>
      <c r="N35" s="116" t="str">
        <f aca="false">IF($B35="","",الموظفون!$O35*$J35/cfg_DAYS_M)</f>
        <v/>
      </c>
      <c r="O35" s="156" t="str">
        <f aca="false">IF($B35="","",SUMIFS('الحركات الشهرية'!$F$6:$F$1005,'الحركات الشهرية'!$B$6:$B$1005,$B35,'الحركات الشهرية'!$A$6:$A$1005,$C$3))</f>
        <v/>
      </c>
      <c r="P35" s="116" t="str">
        <f aca="false">IF($B35="","",O35*(الموظفون!$P35+الموظفون!$L35*cfg_OT_P)/cfg_DAYS_M/cfg_HRS)</f>
        <v/>
      </c>
      <c r="Q35" s="116" t="str">
        <f aca="false">IF($B35="","",SUMIFS('الحركات الشهرية'!$G$6:$G$1005,'الحركات الشهرية'!$B$6:$B$1005,$B35,'الحركات الشهرية'!$A$6:$A$1005,$C$3))</f>
        <v/>
      </c>
      <c r="R35" s="116" t="str">
        <f aca="false">IF($B35="","",SUMIFS('الحركات الشهرية'!$H$6:$H$1005,'الحركات الشهرية'!$B$6:$B$1005,$B35,'الحركات الشهرية'!$A$6:$A$1005,$C$3))</f>
        <v/>
      </c>
      <c r="S35" s="116" t="str">
        <f aca="false">IF($B35="","",SUMIFS('سجل الإجازات والحالات'!$N$6:$N$505,'سجل الإجازات والحالات'!$B$6:$B$505,$B35,'سجل الإجازات والحالات'!$O$6:$O$505,$C$3))</f>
        <v/>
      </c>
      <c r="T35" s="157" t="str">
        <f aca="false">IF($B35="","",SUM(K35:N35)+SUM(P35:S35))</f>
        <v/>
      </c>
      <c r="U35" s="116" t="str">
        <f aca="false">IF($B35="","",الموظفون!$S35*IF(E35="سعودي",cfg_G_SE,cfg_G_NE)*G35/cfg_DAYS_M)</f>
        <v/>
      </c>
      <c r="V35" s="116" t="str">
        <f aca="false">IF($B35="","",SUMIFS('الحركات الشهرية'!$I$6:$I$1005,'الحركات الشهرية'!$B$6:$B$1005,$B35,'الحركات الشهرية'!$A$6:$A$1005,$C$3))</f>
        <v/>
      </c>
      <c r="W35" s="116" t="str">
        <f aca="false">IF($B35="","",SUMIFS('الحركات الشهرية'!$J$6:$J$1005,'الحركات الشهرية'!$B$6:$B$1005,$B35,'الحركات الشهرية'!$A$6:$A$1005,$C$3))</f>
        <v/>
      </c>
      <c r="X35" s="116" t="str">
        <f aca="false">IF($B35="","",SUM(U35:W35))</f>
        <v/>
      </c>
      <c r="Y35" s="158" t="str">
        <f aca="false">IF($B35="","",T35-X35)</f>
        <v/>
      </c>
      <c r="Z35" s="116" t="str">
        <f aca="false">IF($B35="","",الموظفون!$S35*IF(E35="سعودي",cfg_G_SR,cfg_G_NR)*G35/cfg_DAYS_M)</f>
        <v/>
      </c>
      <c r="AA35" s="116" t="str">
        <f aca="false">IF($B35="","",الموظفون!$Q35*(cfg_EOS_R1*(MIN(AH35,cfg_EOS_TH)-MIN(AI35,cfg_EOS_TH))+cfg_EOS_R2*(MAX(AH35-cfg_EOS_TH,0)-MAX(AI35-cfg_EOS_TH,0))))</f>
        <v/>
      </c>
      <c r="AB35" s="116" t="str">
        <f aca="false">IF($B35="","",IF(الموظفون!$T35&lt;&gt;"",الموظفون!$T35,IF(AH35&gt;=cfg_LV_TH,cfg_LV_D2,cfg_LV_D1))/cfg_DAYS_Y*AJ35*الموظفون!$R35/cfg_DAYS_M)</f>
        <v/>
      </c>
      <c r="AC35" s="116" t="str">
        <f aca="false">IF($B35="","",IF(AND(الموظفون!$U35="نعم",N(الموظفون!$W35)&gt;0),الموظفون!$V35/الموظفون!$W35*12/cfg_DAYS_Y*AJ35,0))</f>
        <v/>
      </c>
      <c r="AD35" s="116" t="str">
        <f aca="false">IF($B35="","",(IF(الموظفون!$X35&lt;&gt;"",الموظفون!$X35,IF(الموظفون!$E35="غير سعودي",cfg_IQ,0))+IF(الموظفون!$Y35&lt;&gt;"",الموظفون!$Y35,IF(الموظفون!$E35="غير سعودي",cfg_WP,0)))/12*G35/cfg_DAYS_M)</f>
        <v/>
      </c>
      <c r="AE35" s="116" t="str">
        <f aca="false">IF($B35="","",IF(الموظفون!$Z35&lt;&gt;"",الموظفون!$Z35,cfg_MED)/12*G35/cfg_DAYS_M)</f>
        <v/>
      </c>
      <c r="AF35" s="116" t="str">
        <f aca="false">IF($B35="","",N(الموظفون!$AA35)/12*G35/cfg_DAYS_M)</f>
        <v/>
      </c>
      <c r="AG35" s="159" t="str">
        <f aca="false">IF($B35="","",T35+SUM(Z35:AF35))</f>
        <v/>
      </c>
      <c r="AH35" s="160" t="str">
        <f aca="false">IF($B35="","",MAX(0,IF(OR(الموظفون!$AE35="",الموظفون!$AE35&gt;$F$3),$F$3,الموظفون!$AE35)-الموظفون!$H35+1-SUMIFS('سجل الإجازات والحالات'!$AH$6:$AH$505,'سجل الإجازات والحالات'!$B$6:$B$505,$B35))/cfg_DAYS_Y)</f>
        <v/>
      </c>
      <c r="AI35" s="160" t="str">
        <f aca="false">IF($B35="","",MAX(0,IF(OR(الموظفون!$AE35="",الموظفون!$AE35&gt;($E$3-1)),($E$3-1),الموظفون!$AE35)-الموظفون!$H35+1-SUMIFS('سجل الإجازات والحالات'!$R$6:$R$505,'سجل الإجازات والحالات'!$B$6:$B$505,$B35))/cfg_DAYS_Y)</f>
        <v/>
      </c>
      <c r="AJ35" s="133" t="str">
        <f aca="false">IF($B35="","",MAX(0,AK35-(SUMIFS('سجل الإجازات والحالات'!$AH$6:$AH$505,'سجل الإجازات والحالات'!$B$6:$B$505,$B35)-SUMIFS('سجل الإجازات والحالات'!$R$6:$R$505,'سجل الإجازات والحالات'!$B$6:$B$505,$B35))))</f>
        <v/>
      </c>
      <c r="AK35" s="133" t="str">
        <f aca="false">IF($B35="","",MAX(0,IF(OR(الموظفون!$AE35="",الموظفون!$AE35&gt;$F$3),$F$3,الموظفون!$AE35)-MAX($E$3,الموظفون!$H35)+1))</f>
        <v/>
      </c>
      <c r="AL35" s="156" t="str">
        <f aca="false">IF($B35="","",SUMIFS('سجل الإجازات والحالات'!$AT$6:$AT$505,'سجل الإجازات والحالات'!$B$6:$B$505,$B35)+SUMIFS('الحركات الشهرية'!$K$6:$K$1005,'الحركات الشهرية'!$B$6:$B$1005,$B35,'الحركات الشهرية'!$A$6:$A$1005,$C$3))</f>
        <v/>
      </c>
      <c r="AM35" s="116" t="str">
        <f aca="false">IF($B35="","",AL35*الموظفون!$R35/cfg_DAYS_M+S35)</f>
        <v/>
      </c>
      <c r="AN35" s="156" t="str">
        <f aca="false">IF($B35="","",SUMIFS('سجل الإجازات والحالات'!$V$6:$V$505,'سجل الإجازات والحالات'!$B$6:$B$505,$B35))</f>
        <v/>
      </c>
    </row>
    <row r="36" customFormat="false" ht="15" hidden="false" customHeight="false" outlineLevel="0" collapsed="false">
      <c r="A36" s="106" t="str">
        <f aca="false">IF($B36="","",الموظفون!$A36)</f>
        <v/>
      </c>
      <c r="B36" s="114" t="str">
        <f aca="false">IF(الموظفون!$B36="","",الموظفون!$B36)</f>
        <v/>
      </c>
      <c r="C36" s="114" t="str">
        <f aca="false">IF($B36="","",الموظفون!$C36)</f>
        <v/>
      </c>
      <c r="D36" s="114" t="str">
        <f aca="false">IF($B36="","",الموظفون!$F36)</f>
        <v/>
      </c>
      <c r="E36" s="114" t="str">
        <f aca="false">IF($B36="","",الموظفون!$E36)</f>
        <v/>
      </c>
      <c r="F36" s="114" t="str">
        <f aca="false">IF($B36="","",IF(AK36=0,IF(AND(الموظفون!$AE36&lt;&gt;"",الموظفون!$AE36&lt;$E$3),"✖ منتهي الخدمة","⏳ لم يباشر"),IF(S36&gt;0,"✈ راتب إجازة مقدم",IF(J36=0,"⛔ بدون راتب هذا الشهر",IF(I36&gt;0,"✈ خصم "&amp;ROUND(I36,2)&amp;" يوم بدون أجر",IF(AL36&gt;0,"🌴 إجازة سنوية "&amp;ROUND(AL36,2)&amp;" يوم",IF(H36&gt;0,"⚠ غياب "&amp;ROUND(H36,2)&amp;" يوم","✔ على رأس العمل")))))))</f>
        <v/>
      </c>
      <c r="G36" s="151" t="str">
        <f aca="false">IF($B36="","",IF(AK36&gt;=DAY($F$3),cfg_DAYS_M,MIN(AK36,cfg_DAYS_M)))</f>
        <v/>
      </c>
      <c r="H36" s="151" t="str">
        <f aca="false">IF($B36="","",SUMIFS('الحركات الشهرية'!$D$6:$D$1005,'الحركات الشهرية'!$B$6:$B$1005,$B36,'الحركات الشهرية'!$A$6:$A$1005,$C$3))</f>
        <v/>
      </c>
      <c r="I36" s="151" t="str">
        <f aca="false">IF($B36="","",MIN(G36,IF(AND(AK36&gt;0,AN36&gt;=AK36),G36,AN36)+SUMIFS('الحركات الشهرية'!$E$6:$E$1005,'الحركات الشهرية'!$B$6:$B$1005,$B36,'الحركات الشهرية'!$A$6:$A$1005,$C$3)))</f>
        <v/>
      </c>
      <c r="J36" s="151" t="str">
        <f aca="false">IF($B36="","",MAX(0,G36-H36-I36))</f>
        <v/>
      </c>
      <c r="K36" s="111" t="str">
        <f aca="false">IF($B36="","",الموظفون!$L36*$J36/cfg_DAYS_M)</f>
        <v/>
      </c>
      <c r="L36" s="111" t="str">
        <f aca="false">IF($B36="","",الموظفون!$M36*$J36/cfg_DAYS_M)</f>
        <v/>
      </c>
      <c r="M36" s="111" t="str">
        <f aca="false">IF($B36="","",الموظفون!$N36*$J36/cfg_DAYS_M)</f>
        <v/>
      </c>
      <c r="N36" s="111" t="str">
        <f aca="false">IF($B36="","",الموظفون!$O36*$J36/cfg_DAYS_M)</f>
        <v/>
      </c>
      <c r="O36" s="151" t="str">
        <f aca="false">IF($B36="","",SUMIFS('الحركات الشهرية'!$F$6:$F$1005,'الحركات الشهرية'!$B$6:$B$1005,$B36,'الحركات الشهرية'!$A$6:$A$1005,$C$3))</f>
        <v/>
      </c>
      <c r="P36" s="111" t="str">
        <f aca="false">IF($B36="","",O36*(الموظفون!$P36+الموظفون!$L36*cfg_OT_P)/cfg_DAYS_M/cfg_HRS)</f>
        <v/>
      </c>
      <c r="Q36" s="111" t="str">
        <f aca="false">IF($B36="","",SUMIFS('الحركات الشهرية'!$G$6:$G$1005,'الحركات الشهرية'!$B$6:$B$1005,$B36,'الحركات الشهرية'!$A$6:$A$1005,$C$3))</f>
        <v/>
      </c>
      <c r="R36" s="111" t="str">
        <f aca="false">IF($B36="","",SUMIFS('الحركات الشهرية'!$H$6:$H$1005,'الحركات الشهرية'!$B$6:$B$1005,$B36,'الحركات الشهرية'!$A$6:$A$1005,$C$3))</f>
        <v/>
      </c>
      <c r="S36" s="111" t="str">
        <f aca="false">IF($B36="","",SUMIFS('سجل الإجازات والحالات'!$N$6:$N$505,'سجل الإجازات والحالات'!$B$6:$B$505,$B36,'سجل الإجازات والحالات'!$O$6:$O$505,$C$3))</f>
        <v/>
      </c>
      <c r="T36" s="152" t="str">
        <f aca="false">IF($B36="","",SUM(K36:N36)+SUM(P36:S36))</f>
        <v/>
      </c>
      <c r="U36" s="111" t="str">
        <f aca="false">IF($B36="","",الموظفون!$S36*IF(E36="سعودي",cfg_G_SE,cfg_G_NE)*G36/cfg_DAYS_M)</f>
        <v/>
      </c>
      <c r="V36" s="111" t="str">
        <f aca="false">IF($B36="","",SUMIFS('الحركات الشهرية'!$I$6:$I$1005,'الحركات الشهرية'!$B$6:$B$1005,$B36,'الحركات الشهرية'!$A$6:$A$1005,$C$3))</f>
        <v/>
      </c>
      <c r="W36" s="111" t="str">
        <f aca="false">IF($B36="","",SUMIFS('الحركات الشهرية'!$J$6:$J$1005,'الحركات الشهرية'!$B$6:$B$1005,$B36,'الحركات الشهرية'!$A$6:$A$1005,$C$3))</f>
        <v/>
      </c>
      <c r="X36" s="111" t="str">
        <f aca="false">IF($B36="","",SUM(U36:W36))</f>
        <v/>
      </c>
      <c r="Y36" s="153" t="str">
        <f aca="false">IF($B36="","",T36-X36)</f>
        <v/>
      </c>
      <c r="Z36" s="111" t="str">
        <f aca="false">IF($B36="","",الموظفون!$S36*IF(E36="سعودي",cfg_G_SR,cfg_G_NR)*G36/cfg_DAYS_M)</f>
        <v/>
      </c>
      <c r="AA36" s="111" t="str">
        <f aca="false">IF($B36="","",الموظفون!$Q36*(cfg_EOS_R1*(MIN(AH36,cfg_EOS_TH)-MIN(AI36,cfg_EOS_TH))+cfg_EOS_R2*(MAX(AH36-cfg_EOS_TH,0)-MAX(AI36-cfg_EOS_TH,0))))</f>
        <v/>
      </c>
      <c r="AB36" s="111" t="str">
        <f aca="false">IF($B36="","",IF(الموظفون!$T36&lt;&gt;"",الموظفون!$T36,IF(AH36&gt;=cfg_LV_TH,cfg_LV_D2,cfg_LV_D1))/cfg_DAYS_Y*AJ36*الموظفون!$R36/cfg_DAYS_M)</f>
        <v/>
      </c>
      <c r="AC36" s="111" t="str">
        <f aca="false">IF($B36="","",IF(AND(الموظفون!$U36="نعم",N(الموظفون!$W36)&gt;0),الموظفون!$V36/الموظفون!$W36*12/cfg_DAYS_Y*AJ36,0))</f>
        <v/>
      </c>
      <c r="AD36" s="111" t="str">
        <f aca="false">IF($B36="","",(IF(الموظفون!$X36&lt;&gt;"",الموظفون!$X36,IF(الموظفون!$E36="غير سعودي",cfg_IQ,0))+IF(الموظفون!$Y36&lt;&gt;"",الموظفون!$Y36,IF(الموظفون!$E36="غير سعودي",cfg_WP,0)))/12*G36/cfg_DAYS_M)</f>
        <v/>
      </c>
      <c r="AE36" s="111" t="str">
        <f aca="false">IF($B36="","",IF(الموظفون!$Z36&lt;&gt;"",الموظفون!$Z36,cfg_MED)/12*G36/cfg_DAYS_M)</f>
        <v/>
      </c>
      <c r="AF36" s="111" t="str">
        <f aca="false">IF($B36="","",N(الموظفون!$AA36)/12*G36/cfg_DAYS_M)</f>
        <v/>
      </c>
      <c r="AG36" s="154" t="str">
        <f aca="false">IF($B36="","",T36+SUM(Z36:AF36))</f>
        <v/>
      </c>
      <c r="AH36" s="155" t="str">
        <f aca="false">IF($B36="","",MAX(0,IF(OR(الموظفون!$AE36="",الموظفون!$AE36&gt;$F$3),$F$3,الموظفون!$AE36)-الموظفون!$H36+1-SUMIFS('سجل الإجازات والحالات'!$AH$6:$AH$505,'سجل الإجازات والحالات'!$B$6:$B$505,$B36))/cfg_DAYS_Y)</f>
        <v/>
      </c>
      <c r="AI36" s="155" t="str">
        <f aca="false">IF($B36="","",MAX(0,IF(OR(الموظفون!$AE36="",الموظفون!$AE36&gt;($E$3-1)),($E$3-1),الموظفون!$AE36)-الموظفون!$H36+1-SUMIFS('سجل الإجازات والحالات'!$R$6:$R$505,'سجل الإجازات والحالات'!$B$6:$B$505,$B36))/cfg_DAYS_Y)</f>
        <v/>
      </c>
      <c r="AJ36" s="65" t="str">
        <f aca="false">IF($B36="","",MAX(0,AK36-(SUMIFS('سجل الإجازات والحالات'!$AH$6:$AH$505,'سجل الإجازات والحالات'!$B$6:$B$505,$B36)-SUMIFS('سجل الإجازات والحالات'!$R$6:$R$505,'سجل الإجازات والحالات'!$B$6:$B$505,$B36))))</f>
        <v/>
      </c>
      <c r="AK36" s="65" t="str">
        <f aca="false">IF($B36="","",MAX(0,IF(OR(الموظفون!$AE36="",الموظفون!$AE36&gt;$F$3),$F$3,الموظفون!$AE36)-MAX($E$3,الموظفون!$H36)+1))</f>
        <v/>
      </c>
      <c r="AL36" s="151" t="str">
        <f aca="false">IF($B36="","",SUMIFS('سجل الإجازات والحالات'!$AT$6:$AT$505,'سجل الإجازات والحالات'!$B$6:$B$505,$B36)+SUMIFS('الحركات الشهرية'!$K$6:$K$1005,'الحركات الشهرية'!$B$6:$B$1005,$B36,'الحركات الشهرية'!$A$6:$A$1005,$C$3))</f>
        <v/>
      </c>
      <c r="AM36" s="111" t="str">
        <f aca="false">IF($B36="","",AL36*الموظفون!$R36/cfg_DAYS_M+S36)</f>
        <v/>
      </c>
      <c r="AN36" s="151" t="str">
        <f aca="false">IF($B36="","",SUMIFS('سجل الإجازات والحالات'!$V$6:$V$505,'سجل الإجازات والحالات'!$B$6:$B$505,$B36))</f>
        <v/>
      </c>
    </row>
    <row r="37" customFormat="false" ht="15" hidden="false" customHeight="false" outlineLevel="0" collapsed="false">
      <c r="A37" s="115" t="str">
        <f aca="false">IF($B37="","",الموظفون!$A37)</f>
        <v/>
      </c>
      <c r="B37" s="117" t="str">
        <f aca="false">IF(الموظفون!$B37="","",الموظفون!$B37)</f>
        <v/>
      </c>
      <c r="C37" s="117" t="str">
        <f aca="false">IF($B37="","",الموظفون!$C37)</f>
        <v/>
      </c>
      <c r="D37" s="117" t="str">
        <f aca="false">IF($B37="","",الموظفون!$F37)</f>
        <v/>
      </c>
      <c r="E37" s="117" t="str">
        <f aca="false">IF($B37="","",الموظفون!$E37)</f>
        <v/>
      </c>
      <c r="F37" s="117" t="str">
        <f aca="false">IF($B37="","",IF(AK37=0,IF(AND(الموظفون!$AE37&lt;&gt;"",الموظفون!$AE37&lt;$E$3),"✖ منتهي الخدمة","⏳ لم يباشر"),IF(S37&gt;0,"✈ راتب إجازة مقدم",IF(J37=0,"⛔ بدون راتب هذا الشهر",IF(I37&gt;0,"✈ خصم "&amp;ROUND(I37,2)&amp;" يوم بدون أجر",IF(AL37&gt;0,"🌴 إجازة سنوية "&amp;ROUND(AL37,2)&amp;" يوم",IF(H37&gt;0,"⚠ غياب "&amp;ROUND(H37,2)&amp;" يوم","✔ على رأس العمل")))))))</f>
        <v/>
      </c>
      <c r="G37" s="156" t="str">
        <f aca="false">IF($B37="","",IF(AK37&gt;=DAY($F$3),cfg_DAYS_M,MIN(AK37,cfg_DAYS_M)))</f>
        <v/>
      </c>
      <c r="H37" s="156" t="str">
        <f aca="false">IF($B37="","",SUMIFS('الحركات الشهرية'!$D$6:$D$1005,'الحركات الشهرية'!$B$6:$B$1005,$B37,'الحركات الشهرية'!$A$6:$A$1005,$C$3))</f>
        <v/>
      </c>
      <c r="I37" s="156" t="str">
        <f aca="false">IF($B37="","",MIN(G37,IF(AND(AK37&gt;0,AN37&gt;=AK37),G37,AN37)+SUMIFS('الحركات الشهرية'!$E$6:$E$1005,'الحركات الشهرية'!$B$6:$B$1005,$B37,'الحركات الشهرية'!$A$6:$A$1005,$C$3)))</f>
        <v/>
      </c>
      <c r="J37" s="156" t="str">
        <f aca="false">IF($B37="","",MAX(0,G37-H37-I37))</f>
        <v/>
      </c>
      <c r="K37" s="116" t="str">
        <f aca="false">IF($B37="","",الموظفون!$L37*$J37/cfg_DAYS_M)</f>
        <v/>
      </c>
      <c r="L37" s="116" t="str">
        <f aca="false">IF($B37="","",الموظفون!$M37*$J37/cfg_DAYS_M)</f>
        <v/>
      </c>
      <c r="M37" s="116" t="str">
        <f aca="false">IF($B37="","",الموظفون!$N37*$J37/cfg_DAYS_M)</f>
        <v/>
      </c>
      <c r="N37" s="116" t="str">
        <f aca="false">IF($B37="","",الموظفون!$O37*$J37/cfg_DAYS_M)</f>
        <v/>
      </c>
      <c r="O37" s="156" t="str">
        <f aca="false">IF($B37="","",SUMIFS('الحركات الشهرية'!$F$6:$F$1005,'الحركات الشهرية'!$B$6:$B$1005,$B37,'الحركات الشهرية'!$A$6:$A$1005,$C$3))</f>
        <v/>
      </c>
      <c r="P37" s="116" t="str">
        <f aca="false">IF($B37="","",O37*(الموظفون!$P37+الموظفون!$L37*cfg_OT_P)/cfg_DAYS_M/cfg_HRS)</f>
        <v/>
      </c>
      <c r="Q37" s="116" t="str">
        <f aca="false">IF($B37="","",SUMIFS('الحركات الشهرية'!$G$6:$G$1005,'الحركات الشهرية'!$B$6:$B$1005,$B37,'الحركات الشهرية'!$A$6:$A$1005,$C$3))</f>
        <v/>
      </c>
      <c r="R37" s="116" t="str">
        <f aca="false">IF($B37="","",SUMIFS('الحركات الشهرية'!$H$6:$H$1005,'الحركات الشهرية'!$B$6:$B$1005,$B37,'الحركات الشهرية'!$A$6:$A$1005,$C$3))</f>
        <v/>
      </c>
      <c r="S37" s="116" t="str">
        <f aca="false">IF($B37="","",SUMIFS('سجل الإجازات والحالات'!$N$6:$N$505,'سجل الإجازات والحالات'!$B$6:$B$505,$B37,'سجل الإجازات والحالات'!$O$6:$O$505,$C$3))</f>
        <v/>
      </c>
      <c r="T37" s="157" t="str">
        <f aca="false">IF($B37="","",SUM(K37:N37)+SUM(P37:S37))</f>
        <v/>
      </c>
      <c r="U37" s="116" t="str">
        <f aca="false">IF($B37="","",الموظفون!$S37*IF(E37="سعودي",cfg_G_SE,cfg_G_NE)*G37/cfg_DAYS_M)</f>
        <v/>
      </c>
      <c r="V37" s="116" t="str">
        <f aca="false">IF($B37="","",SUMIFS('الحركات الشهرية'!$I$6:$I$1005,'الحركات الشهرية'!$B$6:$B$1005,$B37,'الحركات الشهرية'!$A$6:$A$1005,$C$3))</f>
        <v/>
      </c>
      <c r="W37" s="116" t="str">
        <f aca="false">IF($B37="","",SUMIFS('الحركات الشهرية'!$J$6:$J$1005,'الحركات الشهرية'!$B$6:$B$1005,$B37,'الحركات الشهرية'!$A$6:$A$1005,$C$3))</f>
        <v/>
      </c>
      <c r="X37" s="116" t="str">
        <f aca="false">IF($B37="","",SUM(U37:W37))</f>
        <v/>
      </c>
      <c r="Y37" s="158" t="str">
        <f aca="false">IF($B37="","",T37-X37)</f>
        <v/>
      </c>
      <c r="Z37" s="116" t="str">
        <f aca="false">IF($B37="","",الموظفون!$S37*IF(E37="سعودي",cfg_G_SR,cfg_G_NR)*G37/cfg_DAYS_M)</f>
        <v/>
      </c>
      <c r="AA37" s="116" t="str">
        <f aca="false">IF($B37="","",الموظفون!$Q37*(cfg_EOS_R1*(MIN(AH37,cfg_EOS_TH)-MIN(AI37,cfg_EOS_TH))+cfg_EOS_R2*(MAX(AH37-cfg_EOS_TH,0)-MAX(AI37-cfg_EOS_TH,0))))</f>
        <v/>
      </c>
      <c r="AB37" s="116" t="str">
        <f aca="false">IF($B37="","",IF(الموظفون!$T37&lt;&gt;"",الموظفون!$T37,IF(AH37&gt;=cfg_LV_TH,cfg_LV_D2,cfg_LV_D1))/cfg_DAYS_Y*AJ37*الموظفون!$R37/cfg_DAYS_M)</f>
        <v/>
      </c>
      <c r="AC37" s="116" t="str">
        <f aca="false">IF($B37="","",IF(AND(الموظفون!$U37="نعم",N(الموظفون!$W37)&gt;0),الموظفون!$V37/الموظفون!$W37*12/cfg_DAYS_Y*AJ37,0))</f>
        <v/>
      </c>
      <c r="AD37" s="116" t="str">
        <f aca="false">IF($B37="","",(IF(الموظفون!$X37&lt;&gt;"",الموظفون!$X37,IF(الموظفون!$E37="غير سعودي",cfg_IQ,0))+IF(الموظفون!$Y37&lt;&gt;"",الموظفون!$Y37,IF(الموظفون!$E37="غير سعودي",cfg_WP,0)))/12*G37/cfg_DAYS_M)</f>
        <v/>
      </c>
      <c r="AE37" s="116" t="str">
        <f aca="false">IF($B37="","",IF(الموظفون!$Z37&lt;&gt;"",الموظفون!$Z37,cfg_MED)/12*G37/cfg_DAYS_M)</f>
        <v/>
      </c>
      <c r="AF37" s="116" t="str">
        <f aca="false">IF($B37="","",N(الموظفون!$AA37)/12*G37/cfg_DAYS_M)</f>
        <v/>
      </c>
      <c r="AG37" s="159" t="str">
        <f aca="false">IF($B37="","",T37+SUM(Z37:AF37))</f>
        <v/>
      </c>
      <c r="AH37" s="160" t="str">
        <f aca="false">IF($B37="","",MAX(0,IF(OR(الموظفون!$AE37="",الموظفون!$AE37&gt;$F$3),$F$3,الموظفون!$AE37)-الموظفون!$H37+1-SUMIFS('سجل الإجازات والحالات'!$AH$6:$AH$505,'سجل الإجازات والحالات'!$B$6:$B$505,$B37))/cfg_DAYS_Y)</f>
        <v/>
      </c>
      <c r="AI37" s="160" t="str">
        <f aca="false">IF($B37="","",MAX(0,IF(OR(الموظفون!$AE37="",الموظفون!$AE37&gt;($E$3-1)),($E$3-1),الموظفون!$AE37)-الموظفون!$H37+1-SUMIFS('سجل الإجازات والحالات'!$R$6:$R$505,'سجل الإجازات والحالات'!$B$6:$B$505,$B37))/cfg_DAYS_Y)</f>
        <v/>
      </c>
      <c r="AJ37" s="133" t="str">
        <f aca="false">IF($B37="","",MAX(0,AK37-(SUMIFS('سجل الإجازات والحالات'!$AH$6:$AH$505,'سجل الإجازات والحالات'!$B$6:$B$505,$B37)-SUMIFS('سجل الإجازات والحالات'!$R$6:$R$505,'سجل الإجازات والحالات'!$B$6:$B$505,$B37))))</f>
        <v/>
      </c>
      <c r="AK37" s="133" t="str">
        <f aca="false">IF($B37="","",MAX(0,IF(OR(الموظفون!$AE37="",الموظفون!$AE37&gt;$F$3),$F$3,الموظفون!$AE37)-MAX($E$3,الموظفون!$H37)+1))</f>
        <v/>
      </c>
      <c r="AL37" s="156" t="str">
        <f aca="false">IF($B37="","",SUMIFS('سجل الإجازات والحالات'!$AT$6:$AT$505,'سجل الإجازات والحالات'!$B$6:$B$505,$B37)+SUMIFS('الحركات الشهرية'!$K$6:$K$1005,'الحركات الشهرية'!$B$6:$B$1005,$B37,'الحركات الشهرية'!$A$6:$A$1005,$C$3))</f>
        <v/>
      </c>
      <c r="AM37" s="116" t="str">
        <f aca="false">IF($B37="","",AL37*الموظفون!$R37/cfg_DAYS_M+S37)</f>
        <v/>
      </c>
      <c r="AN37" s="156" t="str">
        <f aca="false">IF($B37="","",SUMIFS('سجل الإجازات والحالات'!$V$6:$V$505,'سجل الإجازات والحالات'!$B$6:$B$505,$B37))</f>
        <v/>
      </c>
    </row>
    <row r="38" customFormat="false" ht="15" hidden="false" customHeight="false" outlineLevel="0" collapsed="false">
      <c r="A38" s="106" t="str">
        <f aca="false">IF($B38="","",الموظفون!$A38)</f>
        <v/>
      </c>
      <c r="B38" s="114" t="str">
        <f aca="false">IF(الموظفون!$B38="","",الموظفون!$B38)</f>
        <v/>
      </c>
      <c r="C38" s="114" t="str">
        <f aca="false">IF($B38="","",الموظفون!$C38)</f>
        <v/>
      </c>
      <c r="D38" s="114" t="str">
        <f aca="false">IF($B38="","",الموظفون!$F38)</f>
        <v/>
      </c>
      <c r="E38" s="114" t="str">
        <f aca="false">IF($B38="","",الموظفون!$E38)</f>
        <v/>
      </c>
      <c r="F38" s="114" t="str">
        <f aca="false">IF($B38="","",IF(AK38=0,IF(AND(الموظفون!$AE38&lt;&gt;"",الموظفون!$AE38&lt;$E$3),"✖ منتهي الخدمة","⏳ لم يباشر"),IF(S38&gt;0,"✈ راتب إجازة مقدم",IF(J38=0,"⛔ بدون راتب هذا الشهر",IF(I38&gt;0,"✈ خصم "&amp;ROUND(I38,2)&amp;" يوم بدون أجر",IF(AL38&gt;0,"🌴 إجازة سنوية "&amp;ROUND(AL38,2)&amp;" يوم",IF(H38&gt;0,"⚠ غياب "&amp;ROUND(H38,2)&amp;" يوم","✔ على رأس العمل")))))))</f>
        <v/>
      </c>
      <c r="G38" s="151" t="str">
        <f aca="false">IF($B38="","",IF(AK38&gt;=DAY($F$3),cfg_DAYS_M,MIN(AK38,cfg_DAYS_M)))</f>
        <v/>
      </c>
      <c r="H38" s="151" t="str">
        <f aca="false">IF($B38="","",SUMIFS('الحركات الشهرية'!$D$6:$D$1005,'الحركات الشهرية'!$B$6:$B$1005,$B38,'الحركات الشهرية'!$A$6:$A$1005,$C$3))</f>
        <v/>
      </c>
      <c r="I38" s="151" t="str">
        <f aca="false">IF($B38="","",MIN(G38,IF(AND(AK38&gt;0,AN38&gt;=AK38),G38,AN38)+SUMIFS('الحركات الشهرية'!$E$6:$E$1005,'الحركات الشهرية'!$B$6:$B$1005,$B38,'الحركات الشهرية'!$A$6:$A$1005,$C$3)))</f>
        <v/>
      </c>
      <c r="J38" s="151" t="str">
        <f aca="false">IF($B38="","",MAX(0,G38-H38-I38))</f>
        <v/>
      </c>
      <c r="K38" s="111" t="str">
        <f aca="false">IF($B38="","",الموظفون!$L38*$J38/cfg_DAYS_M)</f>
        <v/>
      </c>
      <c r="L38" s="111" t="str">
        <f aca="false">IF($B38="","",الموظفون!$M38*$J38/cfg_DAYS_M)</f>
        <v/>
      </c>
      <c r="M38" s="111" t="str">
        <f aca="false">IF($B38="","",الموظفون!$N38*$J38/cfg_DAYS_M)</f>
        <v/>
      </c>
      <c r="N38" s="111" t="str">
        <f aca="false">IF($B38="","",الموظفون!$O38*$J38/cfg_DAYS_M)</f>
        <v/>
      </c>
      <c r="O38" s="151" t="str">
        <f aca="false">IF($B38="","",SUMIFS('الحركات الشهرية'!$F$6:$F$1005,'الحركات الشهرية'!$B$6:$B$1005,$B38,'الحركات الشهرية'!$A$6:$A$1005,$C$3))</f>
        <v/>
      </c>
      <c r="P38" s="111" t="str">
        <f aca="false">IF($B38="","",O38*(الموظفون!$P38+الموظفون!$L38*cfg_OT_P)/cfg_DAYS_M/cfg_HRS)</f>
        <v/>
      </c>
      <c r="Q38" s="111" t="str">
        <f aca="false">IF($B38="","",SUMIFS('الحركات الشهرية'!$G$6:$G$1005,'الحركات الشهرية'!$B$6:$B$1005,$B38,'الحركات الشهرية'!$A$6:$A$1005,$C$3))</f>
        <v/>
      </c>
      <c r="R38" s="111" t="str">
        <f aca="false">IF($B38="","",SUMIFS('الحركات الشهرية'!$H$6:$H$1005,'الحركات الشهرية'!$B$6:$B$1005,$B38,'الحركات الشهرية'!$A$6:$A$1005,$C$3))</f>
        <v/>
      </c>
      <c r="S38" s="111" t="str">
        <f aca="false">IF($B38="","",SUMIFS('سجل الإجازات والحالات'!$N$6:$N$505,'سجل الإجازات والحالات'!$B$6:$B$505,$B38,'سجل الإجازات والحالات'!$O$6:$O$505,$C$3))</f>
        <v/>
      </c>
      <c r="T38" s="152" t="str">
        <f aca="false">IF($B38="","",SUM(K38:N38)+SUM(P38:S38))</f>
        <v/>
      </c>
      <c r="U38" s="111" t="str">
        <f aca="false">IF($B38="","",الموظفون!$S38*IF(E38="سعودي",cfg_G_SE,cfg_G_NE)*G38/cfg_DAYS_M)</f>
        <v/>
      </c>
      <c r="V38" s="111" t="str">
        <f aca="false">IF($B38="","",SUMIFS('الحركات الشهرية'!$I$6:$I$1005,'الحركات الشهرية'!$B$6:$B$1005,$B38,'الحركات الشهرية'!$A$6:$A$1005,$C$3))</f>
        <v/>
      </c>
      <c r="W38" s="111" t="str">
        <f aca="false">IF($B38="","",SUMIFS('الحركات الشهرية'!$J$6:$J$1005,'الحركات الشهرية'!$B$6:$B$1005,$B38,'الحركات الشهرية'!$A$6:$A$1005,$C$3))</f>
        <v/>
      </c>
      <c r="X38" s="111" t="str">
        <f aca="false">IF($B38="","",SUM(U38:W38))</f>
        <v/>
      </c>
      <c r="Y38" s="153" t="str">
        <f aca="false">IF($B38="","",T38-X38)</f>
        <v/>
      </c>
      <c r="Z38" s="111" t="str">
        <f aca="false">IF($B38="","",الموظفون!$S38*IF(E38="سعودي",cfg_G_SR,cfg_G_NR)*G38/cfg_DAYS_M)</f>
        <v/>
      </c>
      <c r="AA38" s="111" t="str">
        <f aca="false">IF($B38="","",الموظفون!$Q38*(cfg_EOS_R1*(MIN(AH38,cfg_EOS_TH)-MIN(AI38,cfg_EOS_TH))+cfg_EOS_R2*(MAX(AH38-cfg_EOS_TH,0)-MAX(AI38-cfg_EOS_TH,0))))</f>
        <v/>
      </c>
      <c r="AB38" s="111" t="str">
        <f aca="false">IF($B38="","",IF(الموظفون!$T38&lt;&gt;"",الموظفون!$T38,IF(AH38&gt;=cfg_LV_TH,cfg_LV_D2,cfg_LV_D1))/cfg_DAYS_Y*AJ38*الموظفون!$R38/cfg_DAYS_M)</f>
        <v/>
      </c>
      <c r="AC38" s="111" t="str">
        <f aca="false">IF($B38="","",IF(AND(الموظفون!$U38="نعم",N(الموظفون!$W38)&gt;0),الموظفون!$V38/الموظفون!$W38*12/cfg_DAYS_Y*AJ38,0))</f>
        <v/>
      </c>
      <c r="AD38" s="111" t="str">
        <f aca="false">IF($B38="","",(IF(الموظفون!$X38&lt;&gt;"",الموظفون!$X38,IF(الموظفون!$E38="غير سعودي",cfg_IQ,0))+IF(الموظفون!$Y38&lt;&gt;"",الموظفون!$Y38,IF(الموظفون!$E38="غير سعودي",cfg_WP,0)))/12*G38/cfg_DAYS_M)</f>
        <v/>
      </c>
      <c r="AE38" s="111" t="str">
        <f aca="false">IF($B38="","",IF(الموظفون!$Z38&lt;&gt;"",الموظفون!$Z38,cfg_MED)/12*G38/cfg_DAYS_M)</f>
        <v/>
      </c>
      <c r="AF38" s="111" t="str">
        <f aca="false">IF($B38="","",N(الموظفون!$AA38)/12*G38/cfg_DAYS_M)</f>
        <v/>
      </c>
      <c r="AG38" s="154" t="str">
        <f aca="false">IF($B38="","",T38+SUM(Z38:AF38))</f>
        <v/>
      </c>
      <c r="AH38" s="155" t="str">
        <f aca="false">IF($B38="","",MAX(0,IF(OR(الموظفون!$AE38="",الموظفون!$AE38&gt;$F$3),$F$3,الموظفون!$AE38)-الموظفون!$H38+1-SUMIFS('سجل الإجازات والحالات'!$AH$6:$AH$505,'سجل الإجازات والحالات'!$B$6:$B$505,$B38))/cfg_DAYS_Y)</f>
        <v/>
      </c>
      <c r="AI38" s="155" t="str">
        <f aca="false">IF($B38="","",MAX(0,IF(OR(الموظفون!$AE38="",الموظفون!$AE38&gt;($E$3-1)),($E$3-1),الموظفون!$AE38)-الموظفون!$H38+1-SUMIFS('سجل الإجازات والحالات'!$R$6:$R$505,'سجل الإجازات والحالات'!$B$6:$B$505,$B38))/cfg_DAYS_Y)</f>
        <v/>
      </c>
      <c r="AJ38" s="65" t="str">
        <f aca="false">IF($B38="","",MAX(0,AK38-(SUMIFS('سجل الإجازات والحالات'!$AH$6:$AH$505,'سجل الإجازات والحالات'!$B$6:$B$505,$B38)-SUMIFS('سجل الإجازات والحالات'!$R$6:$R$505,'سجل الإجازات والحالات'!$B$6:$B$505,$B38))))</f>
        <v/>
      </c>
      <c r="AK38" s="65" t="str">
        <f aca="false">IF($B38="","",MAX(0,IF(OR(الموظفون!$AE38="",الموظفون!$AE38&gt;$F$3),$F$3,الموظفون!$AE38)-MAX($E$3,الموظفون!$H38)+1))</f>
        <v/>
      </c>
      <c r="AL38" s="151" t="str">
        <f aca="false">IF($B38="","",SUMIFS('سجل الإجازات والحالات'!$AT$6:$AT$505,'سجل الإجازات والحالات'!$B$6:$B$505,$B38)+SUMIFS('الحركات الشهرية'!$K$6:$K$1005,'الحركات الشهرية'!$B$6:$B$1005,$B38,'الحركات الشهرية'!$A$6:$A$1005,$C$3))</f>
        <v/>
      </c>
      <c r="AM38" s="111" t="str">
        <f aca="false">IF($B38="","",AL38*الموظفون!$R38/cfg_DAYS_M+S38)</f>
        <v/>
      </c>
      <c r="AN38" s="151" t="str">
        <f aca="false">IF($B38="","",SUMIFS('سجل الإجازات والحالات'!$V$6:$V$505,'سجل الإجازات والحالات'!$B$6:$B$505,$B38))</f>
        <v/>
      </c>
    </row>
    <row r="39" customFormat="false" ht="15" hidden="false" customHeight="false" outlineLevel="0" collapsed="false">
      <c r="A39" s="115" t="str">
        <f aca="false">IF($B39="","",الموظفون!$A39)</f>
        <v/>
      </c>
      <c r="B39" s="117" t="str">
        <f aca="false">IF(الموظفون!$B39="","",الموظفون!$B39)</f>
        <v/>
      </c>
      <c r="C39" s="117" t="str">
        <f aca="false">IF($B39="","",الموظفون!$C39)</f>
        <v/>
      </c>
      <c r="D39" s="117" t="str">
        <f aca="false">IF($B39="","",الموظفون!$F39)</f>
        <v/>
      </c>
      <c r="E39" s="117" t="str">
        <f aca="false">IF($B39="","",الموظفون!$E39)</f>
        <v/>
      </c>
      <c r="F39" s="117" t="str">
        <f aca="false">IF($B39="","",IF(AK39=0,IF(AND(الموظفون!$AE39&lt;&gt;"",الموظفون!$AE39&lt;$E$3),"✖ منتهي الخدمة","⏳ لم يباشر"),IF(S39&gt;0,"✈ راتب إجازة مقدم",IF(J39=0,"⛔ بدون راتب هذا الشهر",IF(I39&gt;0,"✈ خصم "&amp;ROUND(I39,2)&amp;" يوم بدون أجر",IF(AL39&gt;0,"🌴 إجازة سنوية "&amp;ROUND(AL39,2)&amp;" يوم",IF(H39&gt;0,"⚠ غياب "&amp;ROUND(H39,2)&amp;" يوم","✔ على رأس العمل")))))))</f>
        <v/>
      </c>
      <c r="G39" s="156" t="str">
        <f aca="false">IF($B39="","",IF(AK39&gt;=DAY($F$3),cfg_DAYS_M,MIN(AK39,cfg_DAYS_M)))</f>
        <v/>
      </c>
      <c r="H39" s="156" t="str">
        <f aca="false">IF($B39="","",SUMIFS('الحركات الشهرية'!$D$6:$D$1005,'الحركات الشهرية'!$B$6:$B$1005,$B39,'الحركات الشهرية'!$A$6:$A$1005,$C$3))</f>
        <v/>
      </c>
      <c r="I39" s="156" t="str">
        <f aca="false">IF($B39="","",MIN(G39,IF(AND(AK39&gt;0,AN39&gt;=AK39),G39,AN39)+SUMIFS('الحركات الشهرية'!$E$6:$E$1005,'الحركات الشهرية'!$B$6:$B$1005,$B39,'الحركات الشهرية'!$A$6:$A$1005,$C$3)))</f>
        <v/>
      </c>
      <c r="J39" s="156" t="str">
        <f aca="false">IF($B39="","",MAX(0,G39-H39-I39))</f>
        <v/>
      </c>
      <c r="K39" s="116" t="str">
        <f aca="false">IF($B39="","",الموظفون!$L39*$J39/cfg_DAYS_M)</f>
        <v/>
      </c>
      <c r="L39" s="116" t="str">
        <f aca="false">IF($B39="","",الموظفون!$M39*$J39/cfg_DAYS_M)</f>
        <v/>
      </c>
      <c r="M39" s="116" t="str">
        <f aca="false">IF($B39="","",الموظفون!$N39*$J39/cfg_DAYS_M)</f>
        <v/>
      </c>
      <c r="N39" s="116" t="str">
        <f aca="false">IF($B39="","",الموظفون!$O39*$J39/cfg_DAYS_M)</f>
        <v/>
      </c>
      <c r="O39" s="156" t="str">
        <f aca="false">IF($B39="","",SUMIFS('الحركات الشهرية'!$F$6:$F$1005,'الحركات الشهرية'!$B$6:$B$1005,$B39,'الحركات الشهرية'!$A$6:$A$1005,$C$3))</f>
        <v/>
      </c>
      <c r="P39" s="116" t="str">
        <f aca="false">IF($B39="","",O39*(الموظفون!$P39+الموظفون!$L39*cfg_OT_P)/cfg_DAYS_M/cfg_HRS)</f>
        <v/>
      </c>
      <c r="Q39" s="116" t="str">
        <f aca="false">IF($B39="","",SUMIFS('الحركات الشهرية'!$G$6:$G$1005,'الحركات الشهرية'!$B$6:$B$1005,$B39,'الحركات الشهرية'!$A$6:$A$1005,$C$3))</f>
        <v/>
      </c>
      <c r="R39" s="116" t="str">
        <f aca="false">IF($B39="","",SUMIFS('الحركات الشهرية'!$H$6:$H$1005,'الحركات الشهرية'!$B$6:$B$1005,$B39,'الحركات الشهرية'!$A$6:$A$1005,$C$3))</f>
        <v/>
      </c>
      <c r="S39" s="116" t="str">
        <f aca="false">IF($B39="","",SUMIFS('سجل الإجازات والحالات'!$N$6:$N$505,'سجل الإجازات والحالات'!$B$6:$B$505,$B39,'سجل الإجازات والحالات'!$O$6:$O$505,$C$3))</f>
        <v/>
      </c>
      <c r="T39" s="157" t="str">
        <f aca="false">IF($B39="","",SUM(K39:N39)+SUM(P39:S39))</f>
        <v/>
      </c>
      <c r="U39" s="116" t="str">
        <f aca="false">IF($B39="","",الموظفون!$S39*IF(E39="سعودي",cfg_G_SE,cfg_G_NE)*G39/cfg_DAYS_M)</f>
        <v/>
      </c>
      <c r="V39" s="116" t="str">
        <f aca="false">IF($B39="","",SUMIFS('الحركات الشهرية'!$I$6:$I$1005,'الحركات الشهرية'!$B$6:$B$1005,$B39,'الحركات الشهرية'!$A$6:$A$1005,$C$3))</f>
        <v/>
      </c>
      <c r="W39" s="116" t="str">
        <f aca="false">IF($B39="","",SUMIFS('الحركات الشهرية'!$J$6:$J$1005,'الحركات الشهرية'!$B$6:$B$1005,$B39,'الحركات الشهرية'!$A$6:$A$1005,$C$3))</f>
        <v/>
      </c>
      <c r="X39" s="116" t="str">
        <f aca="false">IF($B39="","",SUM(U39:W39))</f>
        <v/>
      </c>
      <c r="Y39" s="158" t="str">
        <f aca="false">IF($B39="","",T39-X39)</f>
        <v/>
      </c>
      <c r="Z39" s="116" t="str">
        <f aca="false">IF($B39="","",الموظفون!$S39*IF(E39="سعودي",cfg_G_SR,cfg_G_NR)*G39/cfg_DAYS_M)</f>
        <v/>
      </c>
      <c r="AA39" s="116" t="str">
        <f aca="false">IF($B39="","",الموظفون!$Q39*(cfg_EOS_R1*(MIN(AH39,cfg_EOS_TH)-MIN(AI39,cfg_EOS_TH))+cfg_EOS_R2*(MAX(AH39-cfg_EOS_TH,0)-MAX(AI39-cfg_EOS_TH,0))))</f>
        <v/>
      </c>
      <c r="AB39" s="116" t="str">
        <f aca="false">IF($B39="","",IF(الموظفون!$T39&lt;&gt;"",الموظفون!$T39,IF(AH39&gt;=cfg_LV_TH,cfg_LV_D2,cfg_LV_D1))/cfg_DAYS_Y*AJ39*الموظفون!$R39/cfg_DAYS_M)</f>
        <v/>
      </c>
      <c r="AC39" s="116" t="str">
        <f aca="false">IF($B39="","",IF(AND(الموظفون!$U39="نعم",N(الموظفون!$W39)&gt;0),الموظفون!$V39/الموظفون!$W39*12/cfg_DAYS_Y*AJ39,0))</f>
        <v/>
      </c>
      <c r="AD39" s="116" t="str">
        <f aca="false">IF($B39="","",(IF(الموظفون!$X39&lt;&gt;"",الموظفون!$X39,IF(الموظفون!$E39="غير سعودي",cfg_IQ,0))+IF(الموظفون!$Y39&lt;&gt;"",الموظفون!$Y39,IF(الموظفون!$E39="غير سعودي",cfg_WP,0)))/12*G39/cfg_DAYS_M)</f>
        <v/>
      </c>
      <c r="AE39" s="116" t="str">
        <f aca="false">IF($B39="","",IF(الموظفون!$Z39&lt;&gt;"",الموظفون!$Z39,cfg_MED)/12*G39/cfg_DAYS_M)</f>
        <v/>
      </c>
      <c r="AF39" s="116" t="str">
        <f aca="false">IF($B39="","",N(الموظفون!$AA39)/12*G39/cfg_DAYS_M)</f>
        <v/>
      </c>
      <c r="AG39" s="159" t="str">
        <f aca="false">IF($B39="","",T39+SUM(Z39:AF39))</f>
        <v/>
      </c>
      <c r="AH39" s="160" t="str">
        <f aca="false">IF($B39="","",MAX(0,IF(OR(الموظفون!$AE39="",الموظفون!$AE39&gt;$F$3),$F$3,الموظفون!$AE39)-الموظفون!$H39+1-SUMIFS('سجل الإجازات والحالات'!$AH$6:$AH$505,'سجل الإجازات والحالات'!$B$6:$B$505,$B39))/cfg_DAYS_Y)</f>
        <v/>
      </c>
      <c r="AI39" s="160" t="str">
        <f aca="false">IF($B39="","",MAX(0,IF(OR(الموظفون!$AE39="",الموظفون!$AE39&gt;($E$3-1)),($E$3-1),الموظفون!$AE39)-الموظفون!$H39+1-SUMIFS('سجل الإجازات والحالات'!$R$6:$R$505,'سجل الإجازات والحالات'!$B$6:$B$505,$B39))/cfg_DAYS_Y)</f>
        <v/>
      </c>
      <c r="AJ39" s="133" t="str">
        <f aca="false">IF($B39="","",MAX(0,AK39-(SUMIFS('سجل الإجازات والحالات'!$AH$6:$AH$505,'سجل الإجازات والحالات'!$B$6:$B$505,$B39)-SUMIFS('سجل الإجازات والحالات'!$R$6:$R$505,'سجل الإجازات والحالات'!$B$6:$B$505,$B39))))</f>
        <v/>
      </c>
      <c r="AK39" s="133" t="str">
        <f aca="false">IF($B39="","",MAX(0,IF(OR(الموظفون!$AE39="",الموظفون!$AE39&gt;$F$3),$F$3,الموظفون!$AE39)-MAX($E$3,الموظفون!$H39)+1))</f>
        <v/>
      </c>
      <c r="AL39" s="156" t="str">
        <f aca="false">IF($B39="","",SUMIFS('سجل الإجازات والحالات'!$AT$6:$AT$505,'سجل الإجازات والحالات'!$B$6:$B$505,$B39)+SUMIFS('الحركات الشهرية'!$K$6:$K$1005,'الحركات الشهرية'!$B$6:$B$1005,$B39,'الحركات الشهرية'!$A$6:$A$1005,$C$3))</f>
        <v/>
      </c>
      <c r="AM39" s="116" t="str">
        <f aca="false">IF($B39="","",AL39*الموظفون!$R39/cfg_DAYS_M+S39)</f>
        <v/>
      </c>
      <c r="AN39" s="156" t="str">
        <f aca="false">IF($B39="","",SUMIFS('سجل الإجازات والحالات'!$V$6:$V$505,'سجل الإجازات والحالات'!$B$6:$B$505,$B39))</f>
        <v/>
      </c>
    </row>
    <row r="40" customFormat="false" ht="15" hidden="false" customHeight="false" outlineLevel="0" collapsed="false">
      <c r="A40" s="106" t="str">
        <f aca="false">IF($B40="","",الموظفون!$A40)</f>
        <v/>
      </c>
      <c r="B40" s="114" t="str">
        <f aca="false">IF(الموظفون!$B40="","",الموظفون!$B40)</f>
        <v/>
      </c>
      <c r="C40" s="114" t="str">
        <f aca="false">IF($B40="","",الموظفون!$C40)</f>
        <v/>
      </c>
      <c r="D40" s="114" t="str">
        <f aca="false">IF($B40="","",الموظفون!$F40)</f>
        <v/>
      </c>
      <c r="E40" s="114" t="str">
        <f aca="false">IF($B40="","",الموظفون!$E40)</f>
        <v/>
      </c>
      <c r="F40" s="114" t="str">
        <f aca="false">IF($B40="","",IF(AK40=0,IF(AND(الموظفون!$AE40&lt;&gt;"",الموظفون!$AE40&lt;$E$3),"✖ منتهي الخدمة","⏳ لم يباشر"),IF(S40&gt;0,"✈ راتب إجازة مقدم",IF(J40=0,"⛔ بدون راتب هذا الشهر",IF(I40&gt;0,"✈ خصم "&amp;ROUND(I40,2)&amp;" يوم بدون أجر",IF(AL40&gt;0,"🌴 إجازة سنوية "&amp;ROUND(AL40,2)&amp;" يوم",IF(H40&gt;0,"⚠ غياب "&amp;ROUND(H40,2)&amp;" يوم","✔ على رأس العمل")))))))</f>
        <v/>
      </c>
      <c r="G40" s="151" t="str">
        <f aca="false">IF($B40="","",IF(AK40&gt;=DAY($F$3),cfg_DAYS_M,MIN(AK40,cfg_DAYS_M)))</f>
        <v/>
      </c>
      <c r="H40" s="151" t="str">
        <f aca="false">IF($B40="","",SUMIFS('الحركات الشهرية'!$D$6:$D$1005,'الحركات الشهرية'!$B$6:$B$1005,$B40,'الحركات الشهرية'!$A$6:$A$1005,$C$3))</f>
        <v/>
      </c>
      <c r="I40" s="151" t="str">
        <f aca="false">IF($B40="","",MIN(G40,IF(AND(AK40&gt;0,AN40&gt;=AK40),G40,AN40)+SUMIFS('الحركات الشهرية'!$E$6:$E$1005,'الحركات الشهرية'!$B$6:$B$1005,$B40,'الحركات الشهرية'!$A$6:$A$1005,$C$3)))</f>
        <v/>
      </c>
      <c r="J40" s="151" t="str">
        <f aca="false">IF($B40="","",MAX(0,G40-H40-I40))</f>
        <v/>
      </c>
      <c r="K40" s="111" t="str">
        <f aca="false">IF($B40="","",الموظفون!$L40*$J40/cfg_DAYS_M)</f>
        <v/>
      </c>
      <c r="L40" s="111" t="str">
        <f aca="false">IF($B40="","",الموظفون!$M40*$J40/cfg_DAYS_M)</f>
        <v/>
      </c>
      <c r="M40" s="111" t="str">
        <f aca="false">IF($B40="","",الموظفون!$N40*$J40/cfg_DAYS_M)</f>
        <v/>
      </c>
      <c r="N40" s="111" t="str">
        <f aca="false">IF($B40="","",الموظفون!$O40*$J40/cfg_DAYS_M)</f>
        <v/>
      </c>
      <c r="O40" s="151" t="str">
        <f aca="false">IF($B40="","",SUMIFS('الحركات الشهرية'!$F$6:$F$1005,'الحركات الشهرية'!$B$6:$B$1005,$B40,'الحركات الشهرية'!$A$6:$A$1005,$C$3))</f>
        <v/>
      </c>
      <c r="P40" s="111" t="str">
        <f aca="false">IF($B40="","",O40*(الموظفون!$P40+الموظفون!$L40*cfg_OT_P)/cfg_DAYS_M/cfg_HRS)</f>
        <v/>
      </c>
      <c r="Q40" s="111" t="str">
        <f aca="false">IF($B40="","",SUMIFS('الحركات الشهرية'!$G$6:$G$1005,'الحركات الشهرية'!$B$6:$B$1005,$B40,'الحركات الشهرية'!$A$6:$A$1005,$C$3))</f>
        <v/>
      </c>
      <c r="R40" s="111" t="str">
        <f aca="false">IF($B40="","",SUMIFS('الحركات الشهرية'!$H$6:$H$1005,'الحركات الشهرية'!$B$6:$B$1005,$B40,'الحركات الشهرية'!$A$6:$A$1005,$C$3))</f>
        <v/>
      </c>
      <c r="S40" s="111" t="str">
        <f aca="false">IF($B40="","",SUMIFS('سجل الإجازات والحالات'!$N$6:$N$505,'سجل الإجازات والحالات'!$B$6:$B$505,$B40,'سجل الإجازات والحالات'!$O$6:$O$505,$C$3))</f>
        <v/>
      </c>
      <c r="T40" s="152" t="str">
        <f aca="false">IF($B40="","",SUM(K40:N40)+SUM(P40:S40))</f>
        <v/>
      </c>
      <c r="U40" s="111" t="str">
        <f aca="false">IF($B40="","",الموظفون!$S40*IF(E40="سعودي",cfg_G_SE,cfg_G_NE)*G40/cfg_DAYS_M)</f>
        <v/>
      </c>
      <c r="V40" s="111" t="str">
        <f aca="false">IF($B40="","",SUMIFS('الحركات الشهرية'!$I$6:$I$1005,'الحركات الشهرية'!$B$6:$B$1005,$B40,'الحركات الشهرية'!$A$6:$A$1005,$C$3))</f>
        <v/>
      </c>
      <c r="W40" s="111" t="str">
        <f aca="false">IF($B40="","",SUMIFS('الحركات الشهرية'!$J$6:$J$1005,'الحركات الشهرية'!$B$6:$B$1005,$B40,'الحركات الشهرية'!$A$6:$A$1005,$C$3))</f>
        <v/>
      </c>
      <c r="X40" s="111" t="str">
        <f aca="false">IF($B40="","",SUM(U40:W40))</f>
        <v/>
      </c>
      <c r="Y40" s="153" t="str">
        <f aca="false">IF($B40="","",T40-X40)</f>
        <v/>
      </c>
      <c r="Z40" s="111" t="str">
        <f aca="false">IF($B40="","",الموظفون!$S40*IF(E40="سعودي",cfg_G_SR,cfg_G_NR)*G40/cfg_DAYS_M)</f>
        <v/>
      </c>
      <c r="AA40" s="111" t="str">
        <f aca="false">IF($B40="","",الموظفون!$Q40*(cfg_EOS_R1*(MIN(AH40,cfg_EOS_TH)-MIN(AI40,cfg_EOS_TH))+cfg_EOS_R2*(MAX(AH40-cfg_EOS_TH,0)-MAX(AI40-cfg_EOS_TH,0))))</f>
        <v/>
      </c>
      <c r="AB40" s="111" t="str">
        <f aca="false">IF($B40="","",IF(الموظفون!$T40&lt;&gt;"",الموظفون!$T40,IF(AH40&gt;=cfg_LV_TH,cfg_LV_D2,cfg_LV_D1))/cfg_DAYS_Y*AJ40*الموظفون!$R40/cfg_DAYS_M)</f>
        <v/>
      </c>
      <c r="AC40" s="111" t="str">
        <f aca="false">IF($B40="","",IF(AND(الموظفون!$U40="نعم",N(الموظفون!$W40)&gt;0),الموظفون!$V40/الموظفون!$W40*12/cfg_DAYS_Y*AJ40,0))</f>
        <v/>
      </c>
      <c r="AD40" s="111" t="str">
        <f aca="false">IF($B40="","",(IF(الموظفون!$X40&lt;&gt;"",الموظفون!$X40,IF(الموظفون!$E40="غير سعودي",cfg_IQ,0))+IF(الموظفون!$Y40&lt;&gt;"",الموظفون!$Y40,IF(الموظفون!$E40="غير سعودي",cfg_WP,0)))/12*G40/cfg_DAYS_M)</f>
        <v/>
      </c>
      <c r="AE40" s="111" t="str">
        <f aca="false">IF($B40="","",IF(الموظفون!$Z40&lt;&gt;"",الموظفون!$Z40,cfg_MED)/12*G40/cfg_DAYS_M)</f>
        <v/>
      </c>
      <c r="AF40" s="111" t="str">
        <f aca="false">IF($B40="","",N(الموظفون!$AA40)/12*G40/cfg_DAYS_M)</f>
        <v/>
      </c>
      <c r="AG40" s="154" t="str">
        <f aca="false">IF($B40="","",T40+SUM(Z40:AF40))</f>
        <v/>
      </c>
      <c r="AH40" s="155" t="str">
        <f aca="false">IF($B40="","",MAX(0,IF(OR(الموظفون!$AE40="",الموظفون!$AE40&gt;$F$3),$F$3,الموظفون!$AE40)-الموظفون!$H40+1-SUMIFS('سجل الإجازات والحالات'!$AH$6:$AH$505,'سجل الإجازات والحالات'!$B$6:$B$505,$B40))/cfg_DAYS_Y)</f>
        <v/>
      </c>
      <c r="AI40" s="155" t="str">
        <f aca="false">IF($B40="","",MAX(0,IF(OR(الموظفون!$AE40="",الموظفون!$AE40&gt;($E$3-1)),($E$3-1),الموظفون!$AE40)-الموظفون!$H40+1-SUMIFS('سجل الإجازات والحالات'!$R$6:$R$505,'سجل الإجازات والحالات'!$B$6:$B$505,$B40))/cfg_DAYS_Y)</f>
        <v/>
      </c>
      <c r="AJ40" s="65" t="str">
        <f aca="false">IF($B40="","",MAX(0,AK40-(SUMIFS('سجل الإجازات والحالات'!$AH$6:$AH$505,'سجل الإجازات والحالات'!$B$6:$B$505,$B40)-SUMIFS('سجل الإجازات والحالات'!$R$6:$R$505,'سجل الإجازات والحالات'!$B$6:$B$505,$B40))))</f>
        <v/>
      </c>
      <c r="AK40" s="65" t="str">
        <f aca="false">IF($B40="","",MAX(0,IF(OR(الموظفون!$AE40="",الموظفون!$AE40&gt;$F$3),$F$3,الموظفون!$AE40)-MAX($E$3,الموظفون!$H40)+1))</f>
        <v/>
      </c>
      <c r="AL40" s="151" t="str">
        <f aca="false">IF($B40="","",SUMIFS('سجل الإجازات والحالات'!$AT$6:$AT$505,'سجل الإجازات والحالات'!$B$6:$B$505,$B40)+SUMIFS('الحركات الشهرية'!$K$6:$K$1005,'الحركات الشهرية'!$B$6:$B$1005,$B40,'الحركات الشهرية'!$A$6:$A$1005,$C$3))</f>
        <v/>
      </c>
      <c r="AM40" s="111" t="str">
        <f aca="false">IF($B40="","",AL40*الموظفون!$R40/cfg_DAYS_M+S40)</f>
        <v/>
      </c>
      <c r="AN40" s="151" t="str">
        <f aca="false">IF($B40="","",SUMIFS('سجل الإجازات والحالات'!$V$6:$V$505,'سجل الإجازات والحالات'!$B$6:$B$505,$B40))</f>
        <v/>
      </c>
    </row>
    <row r="41" customFormat="false" ht="15" hidden="false" customHeight="false" outlineLevel="0" collapsed="false">
      <c r="A41" s="115" t="str">
        <f aca="false">IF($B41="","",الموظفون!$A41)</f>
        <v/>
      </c>
      <c r="B41" s="117" t="str">
        <f aca="false">IF(الموظفون!$B41="","",الموظفون!$B41)</f>
        <v/>
      </c>
      <c r="C41" s="117" t="str">
        <f aca="false">IF($B41="","",الموظفون!$C41)</f>
        <v/>
      </c>
      <c r="D41" s="117" t="str">
        <f aca="false">IF($B41="","",الموظفون!$F41)</f>
        <v/>
      </c>
      <c r="E41" s="117" t="str">
        <f aca="false">IF($B41="","",الموظفون!$E41)</f>
        <v/>
      </c>
      <c r="F41" s="117" t="str">
        <f aca="false">IF($B41="","",IF(AK41=0,IF(AND(الموظفون!$AE41&lt;&gt;"",الموظفون!$AE41&lt;$E$3),"✖ منتهي الخدمة","⏳ لم يباشر"),IF(S41&gt;0,"✈ راتب إجازة مقدم",IF(J41=0,"⛔ بدون راتب هذا الشهر",IF(I41&gt;0,"✈ خصم "&amp;ROUND(I41,2)&amp;" يوم بدون أجر",IF(AL41&gt;0,"🌴 إجازة سنوية "&amp;ROUND(AL41,2)&amp;" يوم",IF(H41&gt;0,"⚠ غياب "&amp;ROUND(H41,2)&amp;" يوم","✔ على رأس العمل")))))))</f>
        <v/>
      </c>
      <c r="G41" s="156" t="str">
        <f aca="false">IF($B41="","",IF(AK41&gt;=DAY($F$3),cfg_DAYS_M,MIN(AK41,cfg_DAYS_M)))</f>
        <v/>
      </c>
      <c r="H41" s="156" t="str">
        <f aca="false">IF($B41="","",SUMIFS('الحركات الشهرية'!$D$6:$D$1005,'الحركات الشهرية'!$B$6:$B$1005,$B41,'الحركات الشهرية'!$A$6:$A$1005,$C$3))</f>
        <v/>
      </c>
      <c r="I41" s="156" t="str">
        <f aca="false">IF($B41="","",MIN(G41,IF(AND(AK41&gt;0,AN41&gt;=AK41),G41,AN41)+SUMIFS('الحركات الشهرية'!$E$6:$E$1005,'الحركات الشهرية'!$B$6:$B$1005,$B41,'الحركات الشهرية'!$A$6:$A$1005,$C$3)))</f>
        <v/>
      </c>
      <c r="J41" s="156" t="str">
        <f aca="false">IF($B41="","",MAX(0,G41-H41-I41))</f>
        <v/>
      </c>
      <c r="K41" s="116" t="str">
        <f aca="false">IF($B41="","",الموظفون!$L41*$J41/cfg_DAYS_M)</f>
        <v/>
      </c>
      <c r="L41" s="116" t="str">
        <f aca="false">IF($B41="","",الموظفون!$M41*$J41/cfg_DAYS_M)</f>
        <v/>
      </c>
      <c r="M41" s="116" t="str">
        <f aca="false">IF($B41="","",الموظفون!$N41*$J41/cfg_DAYS_M)</f>
        <v/>
      </c>
      <c r="N41" s="116" t="str">
        <f aca="false">IF($B41="","",الموظفون!$O41*$J41/cfg_DAYS_M)</f>
        <v/>
      </c>
      <c r="O41" s="156" t="str">
        <f aca="false">IF($B41="","",SUMIFS('الحركات الشهرية'!$F$6:$F$1005,'الحركات الشهرية'!$B$6:$B$1005,$B41,'الحركات الشهرية'!$A$6:$A$1005,$C$3))</f>
        <v/>
      </c>
      <c r="P41" s="116" t="str">
        <f aca="false">IF($B41="","",O41*(الموظفون!$P41+الموظفون!$L41*cfg_OT_P)/cfg_DAYS_M/cfg_HRS)</f>
        <v/>
      </c>
      <c r="Q41" s="116" t="str">
        <f aca="false">IF($B41="","",SUMIFS('الحركات الشهرية'!$G$6:$G$1005,'الحركات الشهرية'!$B$6:$B$1005,$B41,'الحركات الشهرية'!$A$6:$A$1005,$C$3))</f>
        <v/>
      </c>
      <c r="R41" s="116" t="str">
        <f aca="false">IF($B41="","",SUMIFS('الحركات الشهرية'!$H$6:$H$1005,'الحركات الشهرية'!$B$6:$B$1005,$B41,'الحركات الشهرية'!$A$6:$A$1005,$C$3))</f>
        <v/>
      </c>
      <c r="S41" s="116" t="str">
        <f aca="false">IF($B41="","",SUMIFS('سجل الإجازات والحالات'!$N$6:$N$505,'سجل الإجازات والحالات'!$B$6:$B$505,$B41,'سجل الإجازات والحالات'!$O$6:$O$505,$C$3))</f>
        <v/>
      </c>
      <c r="T41" s="157" t="str">
        <f aca="false">IF($B41="","",SUM(K41:N41)+SUM(P41:S41))</f>
        <v/>
      </c>
      <c r="U41" s="116" t="str">
        <f aca="false">IF($B41="","",الموظفون!$S41*IF(E41="سعودي",cfg_G_SE,cfg_G_NE)*G41/cfg_DAYS_M)</f>
        <v/>
      </c>
      <c r="V41" s="116" t="str">
        <f aca="false">IF($B41="","",SUMIFS('الحركات الشهرية'!$I$6:$I$1005,'الحركات الشهرية'!$B$6:$B$1005,$B41,'الحركات الشهرية'!$A$6:$A$1005,$C$3))</f>
        <v/>
      </c>
      <c r="W41" s="116" t="str">
        <f aca="false">IF($B41="","",SUMIFS('الحركات الشهرية'!$J$6:$J$1005,'الحركات الشهرية'!$B$6:$B$1005,$B41,'الحركات الشهرية'!$A$6:$A$1005,$C$3))</f>
        <v/>
      </c>
      <c r="X41" s="116" t="str">
        <f aca="false">IF($B41="","",SUM(U41:W41))</f>
        <v/>
      </c>
      <c r="Y41" s="158" t="str">
        <f aca="false">IF($B41="","",T41-X41)</f>
        <v/>
      </c>
      <c r="Z41" s="116" t="str">
        <f aca="false">IF($B41="","",الموظفون!$S41*IF(E41="سعودي",cfg_G_SR,cfg_G_NR)*G41/cfg_DAYS_M)</f>
        <v/>
      </c>
      <c r="AA41" s="116" t="str">
        <f aca="false">IF($B41="","",الموظفون!$Q41*(cfg_EOS_R1*(MIN(AH41,cfg_EOS_TH)-MIN(AI41,cfg_EOS_TH))+cfg_EOS_R2*(MAX(AH41-cfg_EOS_TH,0)-MAX(AI41-cfg_EOS_TH,0))))</f>
        <v/>
      </c>
      <c r="AB41" s="116" t="str">
        <f aca="false">IF($B41="","",IF(الموظفون!$T41&lt;&gt;"",الموظفون!$T41,IF(AH41&gt;=cfg_LV_TH,cfg_LV_D2,cfg_LV_D1))/cfg_DAYS_Y*AJ41*الموظفون!$R41/cfg_DAYS_M)</f>
        <v/>
      </c>
      <c r="AC41" s="116" t="str">
        <f aca="false">IF($B41="","",IF(AND(الموظفون!$U41="نعم",N(الموظفون!$W41)&gt;0),الموظفون!$V41/الموظفون!$W41*12/cfg_DAYS_Y*AJ41,0))</f>
        <v/>
      </c>
      <c r="AD41" s="116" t="str">
        <f aca="false">IF($B41="","",(IF(الموظفون!$X41&lt;&gt;"",الموظفون!$X41,IF(الموظفون!$E41="غير سعودي",cfg_IQ,0))+IF(الموظفون!$Y41&lt;&gt;"",الموظفون!$Y41,IF(الموظفون!$E41="غير سعودي",cfg_WP,0)))/12*G41/cfg_DAYS_M)</f>
        <v/>
      </c>
      <c r="AE41" s="116" t="str">
        <f aca="false">IF($B41="","",IF(الموظفون!$Z41&lt;&gt;"",الموظفون!$Z41,cfg_MED)/12*G41/cfg_DAYS_M)</f>
        <v/>
      </c>
      <c r="AF41" s="116" t="str">
        <f aca="false">IF($B41="","",N(الموظفون!$AA41)/12*G41/cfg_DAYS_M)</f>
        <v/>
      </c>
      <c r="AG41" s="159" t="str">
        <f aca="false">IF($B41="","",T41+SUM(Z41:AF41))</f>
        <v/>
      </c>
      <c r="AH41" s="160" t="str">
        <f aca="false">IF($B41="","",MAX(0,IF(OR(الموظفون!$AE41="",الموظفون!$AE41&gt;$F$3),$F$3,الموظفون!$AE41)-الموظفون!$H41+1-SUMIFS('سجل الإجازات والحالات'!$AH$6:$AH$505,'سجل الإجازات والحالات'!$B$6:$B$505,$B41))/cfg_DAYS_Y)</f>
        <v/>
      </c>
      <c r="AI41" s="160" t="str">
        <f aca="false">IF($B41="","",MAX(0,IF(OR(الموظفون!$AE41="",الموظفون!$AE41&gt;($E$3-1)),($E$3-1),الموظفون!$AE41)-الموظفون!$H41+1-SUMIFS('سجل الإجازات والحالات'!$R$6:$R$505,'سجل الإجازات والحالات'!$B$6:$B$505,$B41))/cfg_DAYS_Y)</f>
        <v/>
      </c>
      <c r="AJ41" s="133" t="str">
        <f aca="false">IF($B41="","",MAX(0,AK41-(SUMIFS('سجل الإجازات والحالات'!$AH$6:$AH$505,'سجل الإجازات والحالات'!$B$6:$B$505,$B41)-SUMIFS('سجل الإجازات والحالات'!$R$6:$R$505,'سجل الإجازات والحالات'!$B$6:$B$505,$B41))))</f>
        <v/>
      </c>
      <c r="AK41" s="133" t="str">
        <f aca="false">IF($B41="","",MAX(0,IF(OR(الموظفون!$AE41="",الموظفون!$AE41&gt;$F$3),$F$3,الموظفون!$AE41)-MAX($E$3,الموظفون!$H41)+1))</f>
        <v/>
      </c>
      <c r="AL41" s="156" t="str">
        <f aca="false">IF($B41="","",SUMIFS('سجل الإجازات والحالات'!$AT$6:$AT$505,'سجل الإجازات والحالات'!$B$6:$B$505,$B41)+SUMIFS('الحركات الشهرية'!$K$6:$K$1005,'الحركات الشهرية'!$B$6:$B$1005,$B41,'الحركات الشهرية'!$A$6:$A$1005,$C$3))</f>
        <v/>
      </c>
      <c r="AM41" s="116" t="str">
        <f aca="false">IF($B41="","",AL41*الموظفون!$R41/cfg_DAYS_M+S41)</f>
        <v/>
      </c>
      <c r="AN41" s="156" t="str">
        <f aca="false">IF($B41="","",SUMIFS('سجل الإجازات والحالات'!$V$6:$V$505,'سجل الإجازات والحالات'!$B$6:$B$505,$B41))</f>
        <v/>
      </c>
    </row>
    <row r="42" customFormat="false" ht="15" hidden="false" customHeight="false" outlineLevel="0" collapsed="false">
      <c r="A42" s="106" t="str">
        <f aca="false">IF($B42="","",الموظفون!$A42)</f>
        <v/>
      </c>
      <c r="B42" s="114" t="str">
        <f aca="false">IF(الموظفون!$B42="","",الموظفون!$B42)</f>
        <v/>
      </c>
      <c r="C42" s="114" t="str">
        <f aca="false">IF($B42="","",الموظفون!$C42)</f>
        <v/>
      </c>
      <c r="D42" s="114" t="str">
        <f aca="false">IF($B42="","",الموظفون!$F42)</f>
        <v/>
      </c>
      <c r="E42" s="114" t="str">
        <f aca="false">IF($B42="","",الموظفون!$E42)</f>
        <v/>
      </c>
      <c r="F42" s="114" t="str">
        <f aca="false">IF($B42="","",IF(AK42=0,IF(AND(الموظفون!$AE42&lt;&gt;"",الموظفون!$AE42&lt;$E$3),"✖ منتهي الخدمة","⏳ لم يباشر"),IF(S42&gt;0,"✈ راتب إجازة مقدم",IF(J42=0,"⛔ بدون راتب هذا الشهر",IF(I42&gt;0,"✈ خصم "&amp;ROUND(I42,2)&amp;" يوم بدون أجر",IF(AL42&gt;0,"🌴 إجازة سنوية "&amp;ROUND(AL42,2)&amp;" يوم",IF(H42&gt;0,"⚠ غياب "&amp;ROUND(H42,2)&amp;" يوم","✔ على رأس العمل")))))))</f>
        <v/>
      </c>
      <c r="G42" s="151" t="str">
        <f aca="false">IF($B42="","",IF(AK42&gt;=DAY($F$3),cfg_DAYS_M,MIN(AK42,cfg_DAYS_M)))</f>
        <v/>
      </c>
      <c r="H42" s="151" t="str">
        <f aca="false">IF($B42="","",SUMIFS('الحركات الشهرية'!$D$6:$D$1005,'الحركات الشهرية'!$B$6:$B$1005,$B42,'الحركات الشهرية'!$A$6:$A$1005,$C$3))</f>
        <v/>
      </c>
      <c r="I42" s="151" t="str">
        <f aca="false">IF($B42="","",MIN(G42,IF(AND(AK42&gt;0,AN42&gt;=AK42),G42,AN42)+SUMIFS('الحركات الشهرية'!$E$6:$E$1005,'الحركات الشهرية'!$B$6:$B$1005,$B42,'الحركات الشهرية'!$A$6:$A$1005,$C$3)))</f>
        <v/>
      </c>
      <c r="J42" s="151" t="str">
        <f aca="false">IF($B42="","",MAX(0,G42-H42-I42))</f>
        <v/>
      </c>
      <c r="K42" s="111" t="str">
        <f aca="false">IF($B42="","",الموظفون!$L42*$J42/cfg_DAYS_M)</f>
        <v/>
      </c>
      <c r="L42" s="111" t="str">
        <f aca="false">IF($B42="","",الموظفون!$M42*$J42/cfg_DAYS_M)</f>
        <v/>
      </c>
      <c r="M42" s="111" t="str">
        <f aca="false">IF($B42="","",الموظفون!$N42*$J42/cfg_DAYS_M)</f>
        <v/>
      </c>
      <c r="N42" s="111" t="str">
        <f aca="false">IF($B42="","",الموظفون!$O42*$J42/cfg_DAYS_M)</f>
        <v/>
      </c>
      <c r="O42" s="151" t="str">
        <f aca="false">IF($B42="","",SUMIFS('الحركات الشهرية'!$F$6:$F$1005,'الحركات الشهرية'!$B$6:$B$1005,$B42,'الحركات الشهرية'!$A$6:$A$1005,$C$3))</f>
        <v/>
      </c>
      <c r="P42" s="111" t="str">
        <f aca="false">IF($B42="","",O42*(الموظفون!$P42+الموظفون!$L42*cfg_OT_P)/cfg_DAYS_M/cfg_HRS)</f>
        <v/>
      </c>
      <c r="Q42" s="111" t="str">
        <f aca="false">IF($B42="","",SUMIFS('الحركات الشهرية'!$G$6:$G$1005,'الحركات الشهرية'!$B$6:$B$1005,$B42,'الحركات الشهرية'!$A$6:$A$1005,$C$3))</f>
        <v/>
      </c>
      <c r="R42" s="111" t="str">
        <f aca="false">IF($B42="","",SUMIFS('الحركات الشهرية'!$H$6:$H$1005,'الحركات الشهرية'!$B$6:$B$1005,$B42,'الحركات الشهرية'!$A$6:$A$1005,$C$3))</f>
        <v/>
      </c>
      <c r="S42" s="111" t="str">
        <f aca="false">IF($B42="","",SUMIFS('سجل الإجازات والحالات'!$N$6:$N$505,'سجل الإجازات والحالات'!$B$6:$B$505,$B42,'سجل الإجازات والحالات'!$O$6:$O$505,$C$3))</f>
        <v/>
      </c>
      <c r="T42" s="152" t="str">
        <f aca="false">IF($B42="","",SUM(K42:N42)+SUM(P42:S42))</f>
        <v/>
      </c>
      <c r="U42" s="111" t="str">
        <f aca="false">IF($B42="","",الموظفون!$S42*IF(E42="سعودي",cfg_G_SE,cfg_G_NE)*G42/cfg_DAYS_M)</f>
        <v/>
      </c>
      <c r="V42" s="111" t="str">
        <f aca="false">IF($B42="","",SUMIFS('الحركات الشهرية'!$I$6:$I$1005,'الحركات الشهرية'!$B$6:$B$1005,$B42,'الحركات الشهرية'!$A$6:$A$1005,$C$3))</f>
        <v/>
      </c>
      <c r="W42" s="111" t="str">
        <f aca="false">IF($B42="","",SUMIFS('الحركات الشهرية'!$J$6:$J$1005,'الحركات الشهرية'!$B$6:$B$1005,$B42,'الحركات الشهرية'!$A$6:$A$1005,$C$3))</f>
        <v/>
      </c>
      <c r="X42" s="111" t="str">
        <f aca="false">IF($B42="","",SUM(U42:W42))</f>
        <v/>
      </c>
      <c r="Y42" s="153" t="str">
        <f aca="false">IF($B42="","",T42-X42)</f>
        <v/>
      </c>
      <c r="Z42" s="111" t="str">
        <f aca="false">IF($B42="","",الموظفون!$S42*IF(E42="سعودي",cfg_G_SR,cfg_G_NR)*G42/cfg_DAYS_M)</f>
        <v/>
      </c>
      <c r="AA42" s="111" t="str">
        <f aca="false">IF($B42="","",الموظفون!$Q42*(cfg_EOS_R1*(MIN(AH42,cfg_EOS_TH)-MIN(AI42,cfg_EOS_TH))+cfg_EOS_R2*(MAX(AH42-cfg_EOS_TH,0)-MAX(AI42-cfg_EOS_TH,0))))</f>
        <v/>
      </c>
      <c r="AB42" s="111" t="str">
        <f aca="false">IF($B42="","",IF(الموظفون!$T42&lt;&gt;"",الموظفون!$T42,IF(AH42&gt;=cfg_LV_TH,cfg_LV_D2,cfg_LV_D1))/cfg_DAYS_Y*AJ42*الموظفون!$R42/cfg_DAYS_M)</f>
        <v/>
      </c>
      <c r="AC42" s="111" t="str">
        <f aca="false">IF($B42="","",IF(AND(الموظفون!$U42="نعم",N(الموظفون!$W42)&gt;0),الموظفون!$V42/الموظفون!$W42*12/cfg_DAYS_Y*AJ42,0))</f>
        <v/>
      </c>
      <c r="AD42" s="111" t="str">
        <f aca="false">IF($B42="","",(IF(الموظفون!$X42&lt;&gt;"",الموظفون!$X42,IF(الموظفون!$E42="غير سعودي",cfg_IQ,0))+IF(الموظفون!$Y42&lt;&gt;"",الموظفون!$Y42,IF(الموظفون!$E42="غير سعودي",cfg_WP,0)))/12*G42/cfg_DAYS_M)</f>
        <v/>
      </c>
      <c r="AE42" s="111" t="str">
        <f aca="false">IF($B42="","",IF(الموظفون!$Z42&lt;&gt;"",الموظفون!$Z42,cfg_MED)/12*G42/cfg_DAYS_M)</f>
        <v/>
      </c>
      <c r="AF42" s="111" t="str">
        <f aca="false">IF($B42="","",N(الموظفون!$AA42)/12*G42/cfg_DAYS_M)</f>
        <v/>
      </c>
      <c r="AG42" s="154" t="str">
        <f aca="false">IF($B42="","",T42+SUM(Z42:AF42))</f>
        <v/>
      </c>
      <c r="AH42" s="155" t="str">
        <f aca="false">IF($B42="","",MAX(0,IF(OR(الموظفون!$AE42="",الموظفون!$AE42&gt;$F$3),$F$3,الموظفون!$AE42)-الموظفون!$H42+1-SUMIFS('سجل الإجازات والحالات'!$AH$6:$AH$505,'سجل الإجازات والحالات'!$B$6:$B$505,$B42))/cfg_DAYS_Y)</f>
        <v/>
      </c>
      <c r="AI42" s="155" t="str">
        <f aca="false">IF($B42="","",MAX(0,IF(OR(الموظفون!$AE42="",الموظفون!$AE42&gt;($E$3-1)),($E$3-1),الموظفون!$AE42)-الموظفون!$H42+1-SUMIFS('سجل الإجازات والحالات'!$R$6:$R$505,'سجل الإجازات والحالات'!$B$6:$B$505,$B42))/cfg_DAYS_Y)</f>
        <v/>
      </c>
      <c r="AJ42" s="65" t="str">
        <f aca="false">IF($B42="","",MAX(0,AK42-(SUMIFS('سجل الإجازات والحالات'!$AH$6:$AH$505,'سجل الإجازات والحالات'!$B$6:$B$505,$B42)-SUMIFS('سجل الإجازات والحالات'!$R$6:$R$505,'سجل الإجازات والحالات'!$B$6:$B$505,$B42))))</f>
        <v/>
      </c>
      <c r="AK42" s="65" t="str">
        <f aca="false">IF($B42="","",MAX(0,IF(OR(الموظفون!$AE42="",الموظفون!$AE42&gt;$F$3),$F$3,الموظفون!$AE42)-MAX($E$3,الموظفون!$H42)+1))</f>
        <v/>
      </c>
      <c r="AL42" s="151" t="str">
        <f aca="false">IF($B42="","",SUMIFS('سجل الإجازات والحالات'!$AT$6:$AT$505,'سجل الإجازات والحالات'!$B$6:$B$505,$B42)+SUMIFS('الحركات الشهرية'!$K$6:$K$1005,'الحركات الشهرية'!$B$6:$B$1005,$B42,'الحركات الشهرية'!$A$6:$A$1005,$C$3))</f>
        <v/>
      </c>
      <c r="AM42" s="111" t="str">
        <f aca="false">IF($B42="","",AL42*الموظفون!$R42/cfg_DAYS_M+S42)</f>
        <v/>
      </c>
      <c r="AN42" s="151" t="str">
        <f aca="false">IF($B42="","",SUMIFS('سجل الإجازات والحالات'!$V$6:$V$505,'سجل الإجازات والحالات'!$B$6:$B$505,$B42))</f>
        <v/>
      </c>
    </row>
    <row r="43" customFormat="false" ht="15" hidden="false" customHeight="false" outlineLevel="0" collapsed="false">
      <c r="A43" s="115" t="str">
        <f aca="false">IF($B43="","",الموظفون!$A43)</f>
        <v/>
      </c>
      <c r="B43" s="117" t="str">
        <f aca="false">IF(الموظفون!$B43="","",الموظفون!$B43)</f>
        <v/>
      </c>
      <c r="C43" s="117" t="str">
        <f aca="false">IF($B43="","",الموظفون!$C43)</f>
        <v/>
      </c>
      <c r="D43" s="117" t="str">
        <f aca="false">IF($B43="","",الموظفون!$F43)</f>
        <v/>
      </c>
      <c r="E43" s="117" t="str">
        <f aca="false">IF($B43="","",الموظفون!$E43)</f>
        <v/>
      </c>
      <c r="F43" s="117" t="str">
        <f aca="false">IF($B43="","",IF(AK43=0,IF(AND(الموظفون!$AE43&lt;&gt;"",الموظفون!$AE43&lt;$E$3),"✖ منتهي الخدمة","⏳ لم يباشر"),IF(S43&gt;0,"✈ راتب إجازة مقدم",IF(J43=0,"⛔ بدون راتب هذا الشهر",IF(I43&gt;0,"✈ خصم "&amp;ROUND(I43,2)&amp;" يوم بدون أجر",IF(AL43&gt;0,"🌴 إجازة سنوية "&amp;ROUND(AL43,2)&amp;" يوم",IF(H43&gt;0,"⚠ غياب "&amp;ROUND(H43,2)&amp;" يوم","✔ على رأس العمل")))))))</f>
        <v/>
      </c>
      <c r="G43" s="156" t="str">
        <f aca="false">IF($B43="","",IF(AK43&gt;=DAY($F$3),cfg_DAYS_M,MIN(AK43,cfg_DAYS_M)))</f>
        <v/>
      </c>
      <c r="H43" s="156" t="str">
        <f aca="false">IF($B43="","",SUMIFS('الحركات الشهرية'!$D$6:$D$1005,'الحركات الشهرية'!$B$6:$B$1005,$B43,'الحركات الشهرية'!$A$6:$A$1005,$C$3))</f>
        <v/>
      </c>
      <c r="I43" s="156" t="str">
        <f aca="false">IF($B43="","",MIN(G43,IF(AND(AK43&gt;0,AN43&gt;=AK43),G43,AN43)+SUMIFS('الحركات الشهرية'!$E$6:$E$1005,'الحركات الشهرية'!$B$6:$B$1005,$B43,'الحركات الشهرية'!$A$6:$A$1005,$C$3)))</f>
        <v/>
      </c>
      <c r="J43" s="156" t="str">
        <f aca="false">IF($B43="","",MAX(0,G43-H43-I43))</f>
        <v/>
      </c>
      <c r="K43" s="116" t="str">
        <f aca="false">IF($B43="","",الموظفون!$L43*$J43/cfg_DAYS_M)</f>
        <v/>
      </c>
      <c r="L43" s="116" t="str">
        <f aca="false">IF($B43="","",الموظفون!$M43*$J43/cfg_DAYS_M)</f>
        <v/>
      </c>
      <c r="M43" s="116" t="str">
        <f aca="false">IF($B43="","",الموظفون!$N43*$J43/cfg_DAYS_M)</f>
        <v/>
      </c>
      <c r="N43" s="116" t="str">
        <f aca="false">IF($B43="","",الموظفون!$O43*$J43/cfg_DAYS_M)</f>
        <v/>
      </c>
      <c r="O43" s="156" t="str">
        <f aca="false">IF($B43="","",SUMIFS('الحركات الشهرية'!$F$6:$F$1005,'الحركات الشهرية'!$B$6:$B$1005,$B43,'الحركات الشهرية'!$A$6:$A$1005,$C$3))</f>
        <v/>
      </c>
      <c r="P43" s="116" t="str">
        <f aca="false">IF($B43="","",O43*(الموظفون!$P43+الموظفون!$L43*cfg_OT_P)/cfg_DAYS_M/cfg_HRS)</f>
        <v/>
      </c>
      <c r="Q43" s="116" t="str">
        <f aca="false">IF($B43="","",SUMIFS('الحركات الشهرية'!$G$6:$G$1005,'الحركات الشهرية'!$B$6:$B$1005,$B43,'الحركات الشهرية'!$A$6:$A$1005,$C$3))</f>
        <v/>
      </c>
      <c r="R43" s="116" t="str">
        <f aca="false">IF($B43="","",SUMIFS('الحركات الشهرية'!$H$6:$H$1005,'الحركات الشهرية'!$B$6:$B$1005,$B43,'الحركات الشهرية'!$A$6:$A$1005,$C$3))</f>
        <v/>
      </c>
      <c r="S43" s="116" t="str">
        <f aca="false">IF($B43="","",SUMIFS('سجل الإجازات والحالات'!$N$6:$N$505,'سجل الإجازات والحالات'!$B$6:$B$505,$B43,'سجل الإجازات والحالات'!$O$6:$O$505,$C$3))</f>
        <v/>
      </c>
      <c r="T43" s="157" t="str">
        <f aca="false">IF($B43="","",SUM(K43:N43)+SUM(P43:S43))</f>
        <v/>
      </c>
      <c r="U43" s="116" t="str">
        <f aca="false">IF($B43="","",الموظفون!$S43*IF(E43="سعودي",cfg_G_SE,cfg_G_NE)*G43/cfg_DAYS_M)</f>
        <v/>
      </c>
      <c r="V43" s="116" t="str">
        <f aca="false">IF($B43="","",SUMIFS('الحركات الشهرية'!$I$6:$I$1005,'الحركات الشهرية'!$B$6:$B$1005,$B43,'الحركات الشهرية'!$A$6:$A$1005,$C$3))</f>
        <v/>
      </c>
      <c r="W43" s="116" t="str">
        <f aca="false">IF($B43="","",SUMIFS('الحركات الشهرية'!$J$6:$J$1005,'الحركات الشهرية'!$B$6:$B$1005,$B43,'الحركات الشهرية'!$A$6:$A$1005,$C$3))</f>
        <v/>
      </c>
      <c r="X43" s="116" t="str">
        <f aca="false">IF($B43="","",SUM(U43:W43))</f>
        <v/>
      </c>
      <c r="Y43" s="158" t="str">
        <f aca="false">IF($B43="","",T43-X43)</f>
        <v/>
      </c>
      <c r="Z43" s="116" t="str">
        <f aca="false">IF($B43="","",الموظفون!$S43*IF(E43="سعودي",cfg_G_SR,cfg_G_NR)*G43/cfg_DAYS_M)</f>
        <v/>
      </c>
      <c r="AA43" s="116" t="str">
        <f aca="false">IF($B43="","",الموظفون!$Q43*(cfg_EOS_R1*(MIN(AH43,cfg_EOS_TH)-MIN(AI43,cfg_EOS_TH))+cfg_EOS_R2*(MAX(AH43-cfg_EOS_TH,0)-MAX(AI43-cfg_EOS_TH,0))))</f>
        <v/>
      </c>
      <c r="AB43" s="116" t="str">
        <f aca="false">IF($B43="","",IF(الموظفون!$T43&lt;&gt;"",الموظفون!$T43,IF(AH43&gt;=cfg_LV_TH,cfg_LV_D2,cfg_LV_D1))/cfg_DAYS_Y*AJ43*الموظفون!$R43/cfg_DAYS_M)</f>
        <v/>
      </c>
      <c r="AC43" s="116" t="str">
        <f aca="false">IF($B43="","",IF(AND(الموظفون!$U43="نعم",N(الموظفون!$W43)&gt;0),الموظفون!$V43/الموظفون!$W43*12/cfg_DAYS_Y*AJ43,0))</f>
        <v/>
      </c>
      <c r="AD43" s="116" t="str">
        <f aca="false">IF($B43="","",(IF(الموظفون!$X43&lt;&gt;"",الموظفون!$X43,IF(الموظفون!$E43="غير سعودي",cfg_IQ,0))+IF(الموظفون!$Y43&lt;&gt;"",الموظفون!$Y43,IF(الموظفون!$E43="غير سعودي",cfg_WP,0)))/12*G43/cfg_DAYS_M)</f>
        <v/>
      </c>
      <c r="AE43" s="116" t="str">
        <f aca="false">IF($B43="","",IF(الموظفون!$Z43&lt;&gt;"",الموظفون!$Z43,cfg_MED)/12*G43/cfg_DAYS_M)</f>
        <v/>
      </c>
      <c r="AF43" s="116" t="str">
        <f aca="false">IF($B43="","",N(الموظفون!$AA43)/12*G43/cfg_DAYS_M)</f>
        <v/>
      </c>
      <c r="AG43" s="159" t="str">
        <f aca="false">IF($B43="","",T43+SUM(Z43:AF43))</f>
        <v/>
      </c>
      <c r="AH43" s="160" t="str">
        <f aca="false">IF($B43="","",MAX(0,IF(OR(الموظفون!$AE43="",الموظفون!$AE43&gt;$F$3),$F$3,الموظفون!$AE43)-الموظفون!$H43+1-SUMIFS('سجل الإجازات والحالات'!$AH$6:$AH$505,'سجل الإجازات والحالات'!$B$6:$B$505,$B43))/cfg_DAYS_Y)</f>
        <v/>
      </c>
      <c r="AI43" s="160" t="str">
        <f aca="false">IF($B43="","",MAX(0,IF(OR(الموظفون!$AE43="",الموظفون!$AE43&gt;($E$3-1)),($E$3-1),الموظفون!$AE43)-الموظفون!$H43+1-SUMIFS('سجل الإجازات والحالات'!$R$6:$R$505,'سجل الإجازات والحالات'!$B$6:$B$505,$B43))/cfg_DAYS_Y)</f>
        <v/>
      </c>
      <c r="AJ43" s="133" t="str">
        <f aca="false">IF($B43="","",MAX(0,AK43-(SUMIFS('سجل الإجازات والحالات'!$AH$6:$AH$505,'سجل الإجازات والحالات'!$B$6:$B$505,$B43)-SUMIFS('سجل الإجازات والحالات'!$R$6:$R$505,'سجل الإجازات والحالات'!$B$6:$B$505,$B43))))</f>
        <v/>
      </c>
      <c r="AK43" s="133" t="str">
        <f aca="false">IF($B43="","",MAX(0,IF(OR(الموظفون!$AE43="",الموظفون!$AE43&gt;$F$3),$F$3,الموظفون!$AE43)-MAX($E$3,الموظفون!$H43)+1))</f>
        <v/>
      </c>
      <c r="AL43" s="156" t="str">
        <f aca="false">IF($B43="","",SUMIFS('سجل الإجازات والحالات'!$AT$6:$AT$505,'سجل الإجازات والحالات'!$B$6:$B$505,$B43)+SUMIFS('الحركات الشهرية'!$K$6:$K$1005,'الحركات الشهرية'!$B$6:$B$1005,$B43,'الحركات الشهرية'!$A$6:$A$1005,$C$3))</f>
        <v/>
      </c>
      <c r="AM43" s="116" t="str">
        <f aca="false">IF($B43="","",AL43*الموظفون!$R43/cfg_DAYS_M+S43)</f>
        <v/>
      </c>
      <c r="AN43" s="156" t="str">
        <f aca="false">IF($B43="","",SUMIFS('سجل الإجازات والحالات'!$V$6:$V$505,'سجل الإجازات والحالات'!$B$6:$B$505,$B43))</f>
        <v/>
      </c>
    </row>
    <row r="44" customFormat="false" ht="15" hidden="false" customHeight="false" outlineLevel="0" collapsed="false">
      <c r="A44" s="106" t="str">
        <f aca="false">IF($B44="","",الموظفون!$A44)</f>
        <v/>
      </c>
      <c r="B44" s="114" t="str">
        <f aca="false">IF(الموظفون!$B44="","",الموظفون!$B44)</f>
        <v/>
      </c>
      <c r="C44" s="114" t="str">
        <f aca="false">IF($B44="","",الموظفون!$C44)</f>
        <v/>
      </c>
      <c r="D44" s="114" t="str">
        <f aca="false">IF($B44="","",الموظفون!$F44)</f>
        <v/>
      </c>
      <c r="E44" s="114" t="str">
        <f aca="false">IF($B44="","",الموظفون!$E44)</f>
        <v/>
      </c>
      <c r="F44" s="114" t="str">
        <f aca="false">IF($B44="","",IF(AK44=0,IF(AND(الموظفون!$AE44&lt;&gt;"",الموظفون!$AE44&lt;$E$3),"✖ منتهي الخدمة","⏳ لم يباشر"),IF(S44&gt;0,"✈ راتب إجازة مقدم",IF(J44=0,"⛔ بدون راتب هذا الشهر",IF(I44&gt;0,"✈ خصم "&amp;ROUND(I44,2)&amp;" يوم بدون أجر",IF(AL44&gt;0,"🌴 إجازة سنوية "&amp;ROUND(AL44,2)&amp;" يوم",IF(H44&gt;0,"⚠ غياب "&amp;ROUND(H44,2)&amp;" يوم","✔ على رأس العمل")))))))</f>
        <v/>
      </c>
      <c r="G44" s="151" t="str">
        <f aca="false">IF($B44="","",IF(AK44&gt;=DAY($F$3),cfg_DAYS_M,MIN(AK44,cfg_DAYS_M)))</f>
        <v/>
      </c>
      <c r="H44" s="151" t="str">
        <f aca="false">IF($B44="","",SUMIFS('الحركات الشهرية'!$D$6:$D$1005,'الحركات الشهرية'!$B$6:$B$1005,$B44,'الحركات الشهرية'!$A$6:$A$1005,$C$3))</f>
        <v/>
      </c>
      <c r="I44" s="151" t="str">
        <f aca="false">IF($B44="","",MIN(G44,IF(AND(AK44&gt;0,AN44&gt;=AK44),G44,AN44)+SUMIFS('الحركات الشهرية'!$E$6:$E$1005,'الحركات الشهرية'!$B$6:$B$1005,$B44,'الحركات الشهرية'!$A$6:$A$1005,$C$3)))</f>
        <v/>
      </c>
      <c r="J44" s="151" t="str">
        <f aca="false">IF($B44="","",MAX(0,G44-H44-I44))</f>
        <v/>
      </c>
      <c r="K44" s="111" t="str">
        <f aca="false">IF($B44="","",الموظفون!$L44*$J44/cfg_DAYS_M)</f>
        <v/>
      </c>
      <c r="L44" s="111" t="str">
        <f aca="false">IF($B44="","",الموظفون!$M44*$J44/cfg_DAYS_M)</f>
        <v/>
      </c>
      <c r="M44" s="111" t="str">
        <f aca="false">IF($B44="","",الموظفون!$N44*$J44/cfg_DAYS_M)</f>
        <v/>
      </c>
      <c r="N44" s="111" t="str">
        <f aca="false">IF($B44="","",الموظفون!$O44*$J44/cfg_DAYS_M)</f>
        <v/>
      </c>
      <c r="O44" s="151" t="str">
        <f aca="false">IF($B44="","",SUMIFS('الحركات الشهرية'!$F$6:$F$1005,'الحركات الشهرية'!$B$6:$B$1005,$B44,'الحركات الشهرية'!$A$6:$A$1005,$C$3))</f>
        <v/>
      </c>
      <c r="P44" s="111" t="str">
        <f aca="false">IF($B44="","",O44*(الموظفون!$P44+الموظفون!$L44*cfg_OT_P)/cfg_DAYS_M/cfg_HRS)</f>
        <v/>
      </c>
      <c r="Q44" s="111" t="str">
        <f aca="false">IF($B44="","",SUMIFS('الحركات الشهرية'!$G$6:$G$1005,'الحركات الشهرية'!$B$6:$B$1005,$B44,'الحركات الشهرية'!$A$6:$A$1005,$C$3))</f>
        <v/>
      </c>
      <c r="R44" s="111" t="str">
        <f aca="false">IF($B44="","",SUMIFS('الحركات الشهرية'!$H$6:$H$1005,'الحركات الشهرية'!$B$6:$B$1005,$B44,'الحركات الشهرية'!$A$6:$A$1005,$C$3))</f>
        <v/>
      </c>
      <c r="S44" s="111" t="str">
        <f aca="false">IF($B44="","",SUMIFS('سجل الإجازات والحالات'!$N$6:$N$505,'سجل الإجازات والحالات'!$B$6:$B$505,$B44,'سجل الإجازات والحالات'!$O$6:$O$505,$C$3))</f>
        <v/>
      </c>
      <c r="T44" s="152" t="str">
        <f aca="false">IF($B44="","",SUM(K44:N44)+SUM(P44:S44))</f>
        <v/>
      </c>
      <c r="U44" s="111" t="str">
        <f aca="false">IF($B44="","",الموظفون!$S44*IF(E44="سعودي",cfg_G_SE,cfg_G_NE)*G44/cfg_DAYS_M)</f>
        <v/>
      </c>
      <c r="V44" s="111" t="str">
        <f aca="false">IF($B44="","",SUMIFS('الحركات الشهرية'!$I$6:$I$1005,'الحركات الشهرية'!$B$6:$B$1005,$B44,'الحركات الشهرية'!$A$6:$A$1005,$C$3))</f>
        <v/>
      </c>
      <c r="W44" s="111" t="str">
        <f aca="false">IF($B44="","",SUMIFS('الحركات الشهرية'!$J$6:$J$1005,'الحركات الشهرية'!$B$6:$B$1005,$B44,'الحركات الشهرية'!$A$6:$A$1005,$C$3))</f>
        <v/>
      </c>
      <c r="X44" s="111" t="str">
        <f aca="false">IF($B44="","",SUM(U44:W44))</f>
        <v/>
      </c>
      <c r="Y44" s="153" t="str">
        <f aca="false">IF($B44="","",T44-X44)</f>
        <v/>
      </c>
      <c r="Z44" s="111" t="str">
        <f aca="false">IF($B44="","",الموظفون!$S44*IF(E44="سعودي",cfg_G_SR,cfg_G_NR)*G44/cfg_DAYS_M)</f>
        <v/>
      </c>
      <c r="AA44" s="111" t="str">
        <f aca="false">IF($B44="","",الموظفون!$Q44*(cfg_EOS_R1*(MIN(AH44,cfg_EOS_TH)-MIN(AI44,cfg_EOS_TH))+cfg_EOS_R2*(MAX(AH44-cfg_EOS_TH,0)-MAX(AI44-cfg_EOS_TH,0))))</f>
        <v/>
      </c>
      <c r="AB44" s="111" t="str">
        <f aca="false">IF($B44="","",IF(الموظفون!$T44&lt;&gt;"",الموظفون!$T44,IF(AH44&gt;=cfg_LV_TH,cfg_LV_D2,cfg_LV_D1))/cfg_DAYS_Y*AJ44*الموظفون!$R44/cfg_DAYS_M)</f>
        <v/>
      </c>
      <c r="AC44" s="111" t="str">
        <f aca="false">IF($B44="","",IF(AND(الموظفون!$U44="نعم",N(الموظفون!$W44)&gt;0),الموظفون!$V44/الموظفون!$W44*12/cfg_DAYS_Y*AJ44,0))</f>
        <v/>
      </c>
      <c r="AD44" s="111" t="str">
        <f aca="false">IF($B44="","",(IF(الموظفون!$X44&lt;&gt;"",الموظفون!$X44,IF(الموظفون!$E44="غير سعودي",cfg_IQ,0))+IF(الموظفون!$Y44&lt;&gt;"",الموظفون!$Y44,IF(الموظفون!$E44="غير سعودي",cfg_WP,0)))/12*G44/cfg_DAYS_M)</f>
        <v/>
      </c>
      <c r="AE44" s="111" t="str">
        <f aca="false">IF($B44="","",IF(الموظفون!$Z44&lt;&gt;"",الموظفون!$Z44,cfg_MED)/12*G44/cfg_DAYS_M)</f>
        <v/>
      </c>
      <c r="AF44" s="111" t="str">
        <f aca="false">IF($B44="","",N(الموظفون!$AA44)/12*G44/cfg_DAYS_M)</f>
        <v/>
      </c>
      <c r="AG44" s="154" t="str">
        <f aca="false">IF($B44="","",T44+SUM(Z44:AF44))</f>
        <v/>
      </c>
      <c r="AH44" s="155" t="str">
        <f aca="false">IF($B44="","",MAX(0,IF(OR(الموظفون!$AE44="",الموظفون!$AE44&gt;$F$3),$F$3,الموظفون!$AE44)-الموظفون!$H44+1-SUMIFS('سجل الإجازات والحالات'!$AH$6:$AH$505,'سجل الإجازات والحالات'!$B$6:$B$505,$B44))/cfg_DAYS_Y)</f>
        <v/>
      </c>
      <c r="AI44" s="155" t="str">
        <f aca="false">IF($B44="","",MAX(0,IF(OR(الموظفون!$AE44="",الموظفون!$AE44&gt;($E$3-1)),($E$3-1),الموظفون!$AE44)-الموظفون!$H44+1-SUMIFS('سجل الإجازات والحالات'!$R$6:$R$505,'سجل الإجازات والحالات'!$B$6:$B$505,$B44))/cfg_DAYS_Y)</f>
        <v/>
      </c>
      <c r="AJ44" s="65" t="str">
        <f aca="false">IF($B44="","",MAX(0,AK44-(SUMIFS('سجل الإجازات والحالات'!$AH$6:$AH$505,'سجل الإجازات والحالات'!$B$6:$B$505,$B44)-SUMIFS('سجل الإجازات والحالات'!$R$6:$R$505,'سجل الإجازات والحالات'!$B$6:$B$505,$B44))))</f>
        <v/>
      </c>
      <c r="AK44" s="65" t="str">
        <f aca="false">IF($B44="","",MAX(0,IF(OR(الموظفون!$AE44="",الموظفون!$AE44&gt;$F$3),$F$3,الموظفون!$AE44)-MAX($E$3,الموظفون!$H44)+1))</f>
        <v/>
      </c>
      <c r="AL44" s="151" t="str">
        <f aca="false">IF($B44="","",SUMIFS('سجل الإجازات والحالات'!$AT$6:$AT$505,'سجل الإجازات والحالات'!$B$6:$B$505,$B44)+SUMIFS('الحركات الشهرية'!$K$6:$K$1005,'الحركات الشهرية'!$B$6:$B$1005,$B44,'الحركات الشهرية'!$A$6:$A$1005,$C$3))</f>
        <v/>
      </c>
      <c r="AM44" s="111" t="str">
        <f aca="false">IF($B44="","",AL44*الموظفون!$R44/cfg_DAYS_M+S44)</f>
        <v/>
      </c>
      <c r="AN44" s="151" t="str">
        <f aca="false">IF($B44="","",SUMIFS('سجل الإجازات والحالات'!$V$6:$V$505,'سجل الإجازات والحالات'!$B$6:$B$505,$B44))</f>
        <v/>
      </c>
    </row>
    <row r="45" customFormat="false" ht="15" hidden="false" customHeight="false" outlineLevel="0" collapsed="false">
      <c r="A45" s="115" t="str">
        <f aca="false">IF($B45="","",الموظفون!$A45)</f>
        <v/>
      </c>
      <c r="B45" s="117" t="str">
        <f aca="false">IF(الموظفون!$B45="","",الموظفون!$B45)</f>
        <v/>
      </c>
      <c r="C45" s="117" t="str">
        <f aca="false">IF($B45="","",الموظفون!$C45)</f>
        <v/>
      </c>
      <c r="D45" s="117" t="str">
        <f aca="false">IF($B45="","",الموظفون!$F45)</f>
        <v/>
      </c>
      <c r="E45" s="117" t="str">
        <f aca="false">IF($B45="","",الموظفون!$E45)</f>
        <v/>
      </c>
      <c r="F45" s="117" t="str">
        <f aca="false">IF($B45="","",IF(AK45=0,IF(AND(الموظفون!$AE45&lt;&gt;"",الموظفون!$AE45&lt;$E$3),"✖ منتهي الخدمة","⏳ لم يباشر"),IF(S45&gt;0,"✈ راتب إجازة مقدم",IF(J45=0,"⛔ بدون راتب هذا الشهر",IF(I45&gt;0,"✈ خصم "&amp;ROUND(I45,2)&amp;" يوم بدون أجر",IF(AL45&gt;0,"🌴 إجازة سنوية "&amp;ROUND(AL45,2)&amp;" يوم",IF(H45&gt;0,"⚠ غياب "&amp;ROUND(H45,2)&amp;" يوم","✔ على رأس العمل")))))))</f>
        <v/>
      </c>
      <c r="G45" s="156" t="str">
        <f aca="false">IF($B45="","",IF(AK45&gt;=DAY($F$3),cfg_DAYS_M,MIN(AK45,cfg_DAYS_M)))</f>
        <v/>
      </c>
      <c r="H45" s="156" t="str">
        <f aca="false">IF($B45="","",SUMIFS('الحركات الشهرية'!$D$6:$D$1005,'الحركات الشهرية'!$B$6:$B$1005,$B45,'الحركات الشهرية'!$A$6:$A$1005,$C$3))</f>
        <v/>
      </c>
      <c r="I45" s="156" t="str">
        <f aca="false">IF($B45="","",MIN(G45,IF(AND(AK45&gt;0,AN45&gt;=AK45),G45,AN45)+SUMIFS('الحركات الشهرية'!$E$6:$E$1005,'الحركات الشهرية'!$B$6:$B$1005,$B45,'الحركات الشهرية'!$A$6:$A$1005,$C$3)))</f>
        <v/>
      </c>
      <c r="J45" s="156" t="str">
        <f aca="false">IF($B45="","",MAX(0,G45-H45-I45))</f>
        <v/>
      </c>
      <c r="K45" s="116" t="str">
        <f aca="false">IF($B45="","",الموظفون!$L45*$J45/cfg_DAYS_M)</f>
        <v/>
      </c>
      <c r="L45" s="116" t="str">
        <f aca="false">IF($B45="","",الموظفون!$M45*$J45/cfg_DAYS_M)</f>
        <v/>
      </c>
      <c r="M45" s="116" t="str">
        <f aca="false">IF($B45="","",الموظفون!$N45*$J45/cfg_DAYS_M)</f>
        <v/>
      </c>
      <c r="N45" s="116" t="str">
        <f aca="false">IF($B45="","",الموظفون!$O45*$J45/cfg_DAYS_M)</f>
        <v/>
      </c>
      <c r="O45" s="156" t="str">
        <f aca="false">IF($B45="","",SUMIFS('الحركات الشهرية'!$F$6:$F$1005,'الحركات الشهرية'!$B$6:$B$1005,$B45,'الحركات الشهرية'!$A$6:$A$1005,$C$3))</f>
        <v/>
      </c>
      <c r="P45" s="116" t="str">
        <f aca="false">IF($B45="","",O45*(الموظفون!$P45+الموظفون!$L45*cfg_OT_P)/cfg_DAYS_M/cfg_HRS)</f>
        <v/>
      </c>
      <c r="Q45" s="116" t="str">
        <f aca="false">IF($B45="","",SUMIFS('الحركات الشهرية'!$G$6:$G$1005,'الحركات الشهرية'!$B$6:$B$1005,$B45,'الحركات الشهرية'!$A$6:$A$1005,$C$3))</f>
        <v/>
      </c>
      <c r="R45" s="116" t="str">
        <f aca="false">IF($B45="","",SUMIFS('الحركات الشهرية'!$H$6:$H$1005,'الحركات الشهرية'!$B$6:$B$1005,$B45,'الحركات الشهرية'!$A$6:$A$1005,$C$3))</f>
        <v/>
      </c>
      <c r="S45" s="116" t="str">
        <f aca="false">IF($B45="","",SUMIFS('سجل الإجازات والحالات'!$N$6:$N$505,'سجل الإجازات والحالات'!$B$6:$B$505,$B45,'سجل الإجازات والحالات'!$O$6:$O$505,$C$3))</f>
        <v/>
      </c>
      <c r="T45" s="157" t="str">
        <f aca="false">IF($B45="","",SUM(K45:N45)+SUM(P45:S45))</f>
        <v/>
      </c>
      <c r="U45" s="116" t="str">
        <f aca="false">IF($B45="","",الموظفون!$S45*IF(E45="سعودي",cfg_G_SE,cfg_G_NE)*G45/cfg_DAYS_M)</f>
        <v/>
      </c>
      <c r="V45" s="116" t="str">
        <f aca="false">IF($B45="","",SUMIFS('الحركات الشهرية'!$I$6:$I$1005,'الحركات الشهرية'!$B$6:$B$1005,$B45,'الحركات الشهرية'!$A$6:$A$1005,$C$3))</f>
        <v/>
      </c>
      <c r="W45" s="116" t="str">
        <f aca="false">IF($B45="","",SUMIFS('الحركات الشهرية'!$J$6:$J$1005,'الحركات الشهرية'!$B$6:$B$1005,$B45,'الحركات الشهرية'!$A$6:$A$1005,$C$3))</f>
        <v/>
      </c>
      <c r="X45" s="116" t="str">
        <f aca="false">IF($B45="","",SUM(U45:W45))</f>
        <v/>
      </c>
      <c r="Y45" s="158" t="str">
        <f aca="false">IF($B45="","",T45-X45)</f>
        <v/>
      </c>
      <c r="Z45" s="116" t="str">
        <f aca="false">IF($B45="","",الموظفون!$S45*IF(E45="سعودي",cfg_G_SR,cfg_G_NR)*G45/cfg_DAYS_M)</f>
        <v/>
      </c>
      <c r="AA45" s="116" t="str">
        <f aca="false">IF($B45="","",الموظفون!$Q45*(cfg_EOS_R1*(MIN(AH45,cfg_EOS_TH)-MIN(AI45,cfg_EOS_TH))+cfg_EOS_R2*(MAX(AH45-cfg_EOS_TH,0)-MAX(AI45-cfg_EOS_TH,0))))</f>
        <v/>
      </c>
      <c r="AB45" s="116" t="str">
        <f aca="false">IF($B45="","",IF(الموظفون!$T45&lt;&gt;"",الموظفون!$T45,IF(AH45&gt;=cfg_LV_TH,cfg_LV_D2,cfg_LV_D1))/cfg_DAYS_Y*AJ45*الموظفون!$R45/cfg_DAYS_M)</f>
        <v/>
      </c>
      <c r="AC45" s="116" t="str">
        <f aca="false">IF($B45="","",IF(AND(الموظفون!$U45="نعم",N(الموظفون!$W45)&gt;0),الموظفون!$V45/الموظفون!$W45*12/cfg_DAYS_Y*AJ45,0))</f>
        <v/>
      </c>
      <c r="AD45" s="116" t="str">
        <f aca="false">IF($B45="","",(IF(الموظفون!$X45&lt;&gt;"",الموظفون!$X45,IF(الموظفون!$E45="غير سعودي",cfg_IQ,0))+IF(الموظفون!$Y45&lt;&gt;"",الموظفون!$Y45,IF(الموظفون!$E45="غير سعودي",cfg_WP,0)))/12*G45/cfg_DAYS_M)</f>
        <v/>
      </c>
      <c r="AE45" s="116" t="str">
        <f aca="false">IF($B45="","",IF(الموظفون!$Z45&lt;&gt;"",الموظفون!$Z45,cfg_MED)/12*G45/cfg_DAYS_M)</f>
        <v/>
      </c>
      <c r="AF45" s="116" t="str">
        <f aca="false">IF($B45="","",N(الموظفون!$AA45)/12*G45/cfg_DAYS_M)</f>
        <v/>
      </c>
      <c r="AG45" s="159" t="str">
        <f aca="false">IF($B45="","",T45+SUM(Z45:AF45))</f>
        <v/>
      </c>
      <c r="AH45" s="160" t="str">
        <f aca="false">IF($B45="","",MAX(0,IF(OR(الموظفون!$AE45="",الموظفون!$AE45&gt;$F$3),$F$3,الموظفون!$AE45)-الموظفون!$H45+1-SUMIFS('سجل الإجازات والحالات'!$AH$6:$AH$505,'سجل الإجازات والحالات'!$B$6:$B$505,$B45))/cfg_DAYS_Y)</f>
        <v/>
      </c>
      <c r="AI45" s="160" t="str">
        <f aca="false">IF($B45="","",MAX(0,IF(OR(الموظفون!$AE45="",الموظفون!$AE45&gt;($E$3-1)),($E$3-1),الموظفون!$AE45)-الموظفون!$H45+1-SUMIFS('سجل الإجازات والحالات'!$R$6:$R$505,'سجل الإجازات والحالات'!$B$6:$B$505,$B45))/cfg_DAYS_Y)</f>
        <v/>
      </c>
      <c r="AJ45" s="133" t="str">
        <f aca="false">IF($B45="","",MAX(0,AK45-(SUMIFS('سجل الإجازات والحالات'!$AH$6:$AH$505,'سجل الإجازات والحالات'!$B$6:$B$505,$B45)-SUMIFS('سجل الإجازات والحالات'!$R$6:$R$505,'سجل الإجازات والحالات'!$B$6:$B$505,$B45))))</f>
        <v/>
      </c>
      <c r="AK45" s="133" t="str">
        <f aca="false">IF($B45="","",MAX(0,IF(OR(الموظفون!$AE45="",الموظفون!$AE45&gt;$F$3),$F$3,الموظفون!$AE45)-MAX($E$3,الموظفون!$H45)+1))</f>
        <v/>
      </c>
      <c r="AL45" s="156" t="str">
        <f aca="false">IF($B45="","",SUMIFS('سجل الإجازات والحالات'!$AT$6:$AT$505,'سجل الإجازات والحالات'!$B$6:$B$505,$B45)+SUMIFS('الحركات الشهرية'!$K$6:$K$1005,'الحركات الشهرية'!$B$6:$B$1005,$B45,'الحركات الشهرية'!$A$6:$A$1005,$C$3))</f>
        <v/>
      </c>
      <c r="AM45" s="116" t="str">
        <f aca="false">IF($B45="","",AL45*الموظفون!$R45/cfg_DAYS_M+S45)</f>
        <v/>
      </c>
      <c r="AN45" s="156" t="str">
        <f aca="false">IF($B45="","",SUMIFS('سجل الإجازات والحالات'!$V$6:$V$505,'سجل الإجازات والحالات'!$B$6:$B$505,$B45))</f>
        <v/>
      </c>
    </row>
    <row r="46" customFormat="false" ht="15" hidden="false" customHeight="false" outlineLevel="0" collapsed="false">
      <c r="A46" s="106" t="str">
        <f aca="false">IF($B46="","",الموظفون!$A46)</f>
        <v/>
      </c>
      <c r="B46" s="114" t="str">
        <f aca="false">IF(الموظفون!$B46="","",الموظفون!$B46)</f>
        <v/>
      </c>
      <c r="C46" s="114" t="str">
        <f aca="false">IF($B46="","",الموظفون!$C46)</f>
        <v/>
      </c>
      <c r="D46" s="114" t="str">
        <f aca="false">IF($B46="","",الموظفون!$F46)</f>
        <v/>
      </c>
      <c r="E46" s="114" t="str">
        <f aca="false">IF($B46="","",الموظفون!$E46)</f>
        <v/>
      </c>
      <c r="F46" s="114" t="str">
        <f aca="false">IF($B46="","",IF(AK46=0,IF(AND(الموظفون!$AE46&lt;&gt;"",الموظفون!$AE46&lt;$E$3),"✖ منتهي الخدمة","⏳ لم يباشر"),IF(S46&gt;0,"✈ راتب إجازة مقدم",IF(J46=0,"⛔ بدون راتب هذا الشهر",IF(I46&gt;0,"✈ خصم "&amp;ROUND(I46,2)&amp;" يوم بدون أجر",IF(AL46&gt;0,"🌴 إجازة سنوية "&amp;ROUND(AL46,2)&amp;" يوم",IF(H46&gt;0,"⚠ غياب "&amp;ROUND(H46,2)&amp;" يوم","✔ على رأس العمل")))))))</f>
        <v/>
      </c>
      <c r="G46" s="151" t="str">
        <f aca="false">IF($B46="","",IF(AK46&gt;=DAY($F$3),cfg_DAYS_M,MIN(AK46,cfg_DAYS_M)))</f>
        <v/>
      </c>
      <c r="H46" s="151" t="str">
        <f aca="false">IF($B46="","",SUMIFS('الحركات الشهرية'!$D$6:$D$1005,'الحركات الشهرية'!$B$6:$B$1005,$B46,'الحركات الشهرية'!$A$6:$A$1005,$C$3))</f>
        <v/>
      </c>
      <c r="I46" s="151" t="str">
        <f aca="false">IF($B46="","",MIN(G46,IF(AND(AK46&gt;0,AN46&gt;=AK46),G46,AN46)+SUMIFS('الحركات الشهرية'!$E$6:$E$1005,'الحركات الشهرية'!$B$6:$B$1005,$B46,'الحركات الشهرية'!$A$6:$A$1005,$C$3)))</f>
        <v/>
      </c>
      <c r="J46" s="151" t="str">
        <f aca="false">IF($B46="","",MAX(0,G46-H46-I46))</f>
        <v/>
      </c>
      <c r="K46" s="111" t="str">
        <f aca="false">IF($B46="","",الموظفون!$L46*$J46/cfg_DAYS_M)</f>
        <v/>
      </c>
      <c r="L46" s="111" t="str">
        <f aca="false">IF($B46="","",الموظفون!$M46*$J46/cfg_DAYS_M)</f>
        <v/>
      </c>
      <c r="M46" s="111" t="str">
        <f aca="false">IF($B46="","",الموظفون!$N46*$J46/cfg_DAYS_M)</f>
        <v/>
      </c>
      <c r="N46" s="111" t="str">
        <f aca="false">IF($B46="","",الموظفون!$O46*$J46/cfg_DAYS_M)</f>
        <v/>
      </c>
      <c r="O46" s="151" t="str">
        <f aca="false">IF($B46="","",SUMIFS('الحركات الشهرية'!$F$6:$F$1005,'الحركات الشهرية'!$B$6:$B$1005,$B46,'الحركات الشهرية'!$A$6:$A$1005,$C$3))</f>
        <v/>
      </c>
      <c r="P46" s="111" t="str">
        <f aca="false">IF($B46="","",O46*(الموظفون!$P46+الموظفون!$L46*cfg_OT_P)/cfg_DAYS_M/cfg_HRS)</f>
        <v/>
      </c>
      <c r="Q46" s="111" t="str">
        <f aca="false">IF($B46="","",SUMIFS('الحركات الشهرية'!$G$6:$G$1005,'الحركات الشهرية'!$B$6:$B$1005,$B46,'الحركات الشهرية'!$A$6:$A$1005,$C$3))</f>
        <v/>
      </c>
      <c r="R46" s="111" t="str">
        <f aca="false">IF($B46="","",SUMIFS('الحركات الشهرية'!$H$6:$H$1005,'الحركات الشهرية'!$B$6:$B$1005,$B46,'الحركات الشهرية'!$A$6:$A$1005,$C$3))</f>
        <v/>
      </c>
      <c r="S46" s="111" t="str">
        <f aca="false">IF($B46="","",SUMIFS('سجل الإجازات والحالات'!$N$6:$N$505,'سجل الإجازات والحالات'!$B$6:$B$505,$B46,'سجل الإجازات والحالات'!$O$6:$O$505,$C$3))</f>
        <v/>
      </c>
      <c r="T46" s="152" t="str">
        <f aca="false">IF($B46="","",SUM(K46:N46)+SUM(P46:S46))</f>
        <v/>
      </c>
      <c r="U46" s="111" t="str">
        <f aca="false">IF($B46="","",الموظفون!$S46*IF(E46="سعودي",cfg_G_SE,cfg_G_NE)*G46/cfg_DAYS_M)</f>
        <v/>
      </c>
      <c r="V46" s="111" t="str">
        <f aca="false">IF($B46="","",SUMIFS('الحركات الشهرية'!$I$6:$I$1005,'الحركات الشهرية'!$B$6:$B$1005,$B46,'الحركات الشهرية'!$A$6:$A$1005,$C$3))</f>
        <v/>
      </c>
      <c r="W46" s="111" t="str">
        <f aca="false">IF($B46="","",SUMIFS('الحركات الشهرية'!$J$6:$J$1005,'الحركات الشهرية'!$B$6:$B$1005,$B46,'الحركات الشهرية'!$A$6:$A$1005,$C$3))</f>
        <v/>
      </c>
      <c r="X46" s="111" t="str">
        <f aca="false">IF($B46="","",SUM(U46:W46))</f>
        <v/>
      </c>
      <c r="Y46" s="153" t="str">
        <f aca="false">IF($B46="","",T46-X46)</f>
        <v/>
      </c>
      <c r="Z46" s="111" t="str">
        <f aca="false">IF($B46="","",الموظفون!$S46*IF(E46="سعودي",cfg_G_SR,cfg_G_NR)*G46/cfg_DAYS_M)</f>
        <v/>
      </c>
      <c r="AA46" s="111" t="str">
        <f aca="false">IF($B46="","",الموظفون!$Q46*(cfg_EOS_R1*(MIN(AH46,cfg_EOS_TH)-MIN(AI46,cfg_EOS_TH))+cfg_EOS_R2*(MAX(AH46-cfg_EOS_TH,0)-MAX(AI46-cfg_EOS_TH,0))))</f>
        <v/>
      </c>
      <c r="AB46" s="111" t="str">
        <f aca="false">IF($B46="","",IF(الموظفون!$T46&lt;&gt;"",الموظفون!$T46,IF(AH46&gt;=cfg_LV_TH,cfg_LV_D2,cfg_LV_D1))/cfg_DAYS_Y*AJ46*الموظفون!$R46/cfg_DAYS_M)</f>
        <v/>
      </c>
      <c r="AC46" s="111" t="str">
        <f aca="false">IF($B46="","",IF(AND(الموظفون!$U46="نعم",N(الموظفون!$W46)&gt;0),الموظفون!$V46/الموظفون!$W46*12/cfg_DAYS_Y*AJ46,0))</f>
        <v/>
      </c>
      <c r="AD46" s="111" t="str">
        <f aca="false">IF($B46="","",(IF(الموظفون!$X46&lt;&gt;"",الموظفون!$X46,IF(الموظفون!$E46="غير سعودي",cfg_IQ,0))+IF(الموظفون!$Y46&lt;&gt;"",الموظفون!$Y46,IF(الموظفون!$E46="غير سعودي",cfg_WP,0)))/12*G46/cfg_DAYS_M)</f>
        <v/>
      </c>
      <c r="AE46" s="111" t="str">
        <f aca="false">IF($B46="","",IF(الموظفون!$Z46&lt;&gt;"",الموظفون!$Z46,cfg_MED)/12*G46/cfg_DAYS_M)</f>
        <v/>
      </c>
      <c r="AF46" s="111" t="str">
        <f aca="false">IF($B46="","",N(الموظفون!$AA46)/12*G46/cfg_DAYS_M)</f>
        <v/>
      </c>
      <c r="AG46" s="154" t="str">
        <f aca="false">IF($B46="","",T46+SUM(Z46:AF46))</f>
        <v/>
      </c>
      <c r="AH46" s="155" t="str">
        <f aca="false">IF($B46="","",MAX(0,IF(OR(الموظفون!$AE46="",الموظفون!$AE46&gt;$F$3),$F$3,الموظفون!$AE46)-الموظفون!$H46+1-SUMIFS('سجل الإجازات والحالات'!$AH$6:$AH$505,'سجل الإجازات والحالات'!$B$6:$B$505,$B46))/cfg_DAYS_Y)</f>
        <v/>
      </c>
      <c r="AI46" s="155" t="str">
        <f aca="false">IF($B46="","",MAX(0,IF(OR(الموظفون!$AE46="",الموظفون!$AE46&gt;($E$3-1)),($E$3-1),الموظفون!$AE46)-الموظفون!$H46+1-SUMIFS('سجل الإجازات والحالات'!$R$6:$R$505,'سجل الإجازات والحالات'!$B$6:$B$505,$B46))/cfg_DAYS_Y)</f>
        <v/>
      </c>
      <c r="AJ46" s="65" t="str">
        <f aca="false">IF($B46="","",MAX(0,AK46-(SUMIFS('سجل الإجازات والحالات'!$AH$6:$AH$505,'سجل الإجازات والحالات'!$B$6:$B$505,$B46)-SUMIFS('سجل الإجازات والحالات'!$R$6:$R$505,'سجل الإجازات والحالات'!$B$6:$B$505,$B46))))</f>
        <v/>
      </c>
      <c r="AK46" s="65" t="str">
        <f aca="false">IF($B46="","",MAX(0,IF(OR(الموظفون!$AE46="",الموظفون!$AE46&gt;$F$3),$F$3,الموظفون!$AE46)-MAX($E$3,الموظفون!$H46)+1))</f>
        <v/>
      </c>
      <c r="AL46" s="151" t="str">
        <f aca="false">IF($B46="","",SUMIFS('سجل الإجازات والحالات'!$AT$6:$AT$505,'سجل الإجازات والحالات'!$B$6:$B$505,$B46)+SUMIFS('الحركات الشهرية'!$K$6:$K$1005,'الحركات الشهرية'!$B$6:$B$1005,$B46,'الحركات الشهرية'!$A$6:$A$1005,$C$3))</f>
        <v/>
      </c>
      <c r="AM46" s="111" t="str">
        <f aca="false">IF($B46="","",AL46*الموظفون!$R46/cfg_DAYS_M+S46)</f>
        <v/>
      </c>
      <c r="AN46" s="151" t="str">
        <f aca="false">IF($B46="","",SUMIFS('سجل الإجازات والحالات'!$V$6:$V$505,'سجل الإجازات والحالات'!$B$6:$B$505,$B46))</f>
        <v/>
      </c>
    </row>
    <row r="47" customFormat="false" ht="15" hidden="false" customHeight="false" outlineLevel="0" collapsed="false">
      <c r="A47" s="115" t="str">
        <f aca="false">IF($B47="","",الموظفون!$A47)</f>
        <v/>
      </c>
      <c r="B47" s="117" t="str">
        <f aca="false">IF(الموظفون!$B47="","",الموظفون!$B47)</f>
        <v/>
      </c>
      <c r="C47" s="117" t="str">
        <f aca="false">IF($B47="","",الموظفون!$C47)</f>
        <v/>
      </c>
      <c r="D47" s="117" t="str">
        <f aca="false">IF($B47="","",الموظفون!$F47)</f>
        <v/>
      </c>
      <c r="E47" s="117" t="str">
        <f aca="false">IF($B47="","",الموظفون!$E47)</f>
        <v/>
      </c>
      <c r="F47" s="117" t="str">
        <f aca="false">IF($B47="","",IF(AK47=0,IF(AND(الموظفون!$AE47&lt;&gt;"",الموظفون!$AE47&lt;$E$3),"✖ منتهي الخدمة","⏳ لم يباشر"),IF(S47&gt;0,"✈ راتب إجازة مقدم",IF(J47=0,"⛔ بدون راتب هذا الشهر",IF(I47&gt;0,"✈ خصم "&amp;ROUND(I47,2)&amp;" يوم بدون أجر",IF(AL47&gt;0,"🌴 إجازة سنوية "&amp;ROUND(AL47,2)&amp;" يوم",IF(H47&gt;0,"⚠ غياب "&amp;ROUND(H47,2)&amp;" يوم","✔ على رأس العمل")))))))</f>
        <v/>
      </c>
      <c r="G47" s="156" t="str">
        <f aca="false">IF($B47="","",IF(AK47&gt;=DAY($F$3),cfg_DAYS_M,MIN(AK47,cfg_DAYS_M)))</f>
        <v/>
      </c>
      <c r="H47" s="156" t="str">
        <f aca="false">IF($B47="","",SUMIFS('الحركات الشهرية'!$D$6:$D$1005,'الحركات الشهرية'!$B$6:$B$1005,$B47,'الحركات الشهرية'!$A$6:$A$1005,$C$3))</f>
        <v/>
      </c>
      <c r="I47" s="156" t="str">
        <f aca="false">IF($B47="","",MIN(G47,IF(AND(AK47&gt;0,AN47&gt;=AK47),G47,AN47)+SUMIFS('الحركات الشهرية'!$E$6:$E$1005,'الحركات الشهرية'!$B$6:$B$1005,$B47,'الحركات الشهرية'!$A$6:$A$1005,$C$3)))</f>
        <v/>
      </c>
      <c r="J47" s="156" t="str">
        <f aca="false">IF($B47="","",MAX(0,G47-H47-I47))</f>
        <v/>
      </c>
      <c r="K47" s="116" t="str">
        <f aca="false">IF($B47="","",الموظفون!$L47*$J47/cfg_DAYS_M)</f>
        <v/>
      </c>
      <c r="L47" s="116" t="str">
        <f aca="false">IF($B47="","",الموظفون!$M47*$J47/cfg_DAYS_M)</f>
        <v/>
      </c>
      <c r="M47" s="116" t="str">
        <f aca="false">IF($B47="","",الموظفون!$N47*$J47/cfg_DAYS_M)</f>
        <v/>
      </c>
      <c r="N47" s="116" t="str">
        <f aca="false">IF($B47="","",الموظفون!$O47*$J47/cfg_DAYS_M)</f>
        <v/>
      </c>
      <c r="O47" s="156" t="str">
        <f aca="false">IF($B47="","",SUMIFS('الحركات الشهرية'!$F$6:$F$1005,'الحركات الشهرية'!$B$6:$B$1005,$B47,'الحركات الشهرية'!$A$6:$A$1005,$C$3))</f>
        <v/>
      </c>
      <c r="P47" s="116" t="str">
        <f aca="false">IF($B47="","",O47*(الموظفون!$P47+الموظفون!$L47*cfg_OT_P)/cfg_DAYS_M/cfg_HRS)</f>
        <v/>
      </c>
      <c r="Q47" s="116" t="str">
        <f aca="false">IF($B47="","",SUMIFS('الحركات الشهرية'!$G$6:$G$1005,'الحركات الشهرية'!$B$6:$B$1005,$B47,'الحركات الشهرية'!$A$6:$A$1005,$C$3))</f>
        <v/>
      </c>
      <c r="R47" s="116" t="str">
        <f aca="false">IF($B47="","",SUMIFS('الحركات الشهرية'!$H$6:$H$1005,'الحركات الشهرية'!$B$6:$B$1005,$B47,'الحركات الشهرية'!$A$6:$A$1005,$C$3))</f>
        <v/>
      </c>
      <c r="S47" s="116" t="str">
        <f aca="false">IF($B47="","",SUMIFS('سجل الإجازات والحالات'!$N$6:$N$505,'سجل الإجازات والحالات'!$B$6:$B$505,$B47,'سجل الإجازات والحالات'!$O$6:$O$505,$C$3))</f>
        <v/>
      </c>
      <c r="T47" s="157" t="str">
        <f aca="false">IF($B47="","",SUM(K47:N47)+SUM(P47:S47))</f>
        <v/>
      </c>
      <c r="U47" s="116" t="str">
        <f aca="false">IF($B47="","",الموظفون!$S47*IF(E47="سعودي",cfg_G_SE,cfg_G_NE)*G47/cfg_DAYS_M)</f>
        <v/>
      </c>
      <c r="V47" s="116" t="str">
        <f aca="false">IF($B47="","",SUMIFS('الحركات الشهرية'!$I$6:$I$1005,'الحركات الشهرية'!$B$6:$B$1005,$B47,'الحركات الشهرية'!$A$6:$A$1005,$C$3))</f>
        <v/>
      </c>
      <c r="W47" s="116" t="str">
        <f aca="false">IF($B47="","",SUMIFS('الحركات الشهرية'!$J$6:$J$1005,'الحركات الشهرية'!$B$6:$B$1005,$B47,'الحركات الشهرية'!$A$6:$A$1005,$C$3))</f>
        <v/>
      </c>
      <c r="X47" s="116" t="str">
        <f aca="false">IF($B47="","",SUM(U47:W47))</f>
        <v/>
      </c>
      <c r="Y47" s="158" t="str">
        <f aca="false">IF($B47="","",T47-X47)</f>
        <v/>
      </c>
      <c r="Z47" s="116" t="str">
        <f aca="false">IF($B47="","",الموظفون!$S47*IF(E47="سعودي",cfg_G_SR,cfg_G_NR)*G47/cfg_DAYS_M)</f>
        <v/>
      </c>
      <c r="AA47" s="116" t="str">
        <f aca="false">IF($B47="","",الموظفون!$Q47*(cfg_EOS_R1*(MIN(AH47,cfg_EOS_TH)-MIN(AI47,cfg_EOS_TH))+cfg_EOS_R2*(MAX(AH47-cfg_EOS_TH,0)-MAX(AI47-cfg_EOS_TH,0))))</f>
        <v/>
      </c>
      <c r="AB47" s="116" t="str">
        <f aca="false">IF($B47="","",IF(الموظفون!$T47&lt;&gt;"",الموظفون!$T47,IF(AH47&gt;=cfg_LV_TH,cfg_LV_D2,cfg_LV_D1))/cfg_DAYS_Y*AJ47*الموظفون!$R47/cfg_DAYS_M)</f>
        <v/>
      </c>
      <c r="AC47" s="116" t="str">
        <f aca="false">IF($B47="","",IF(AND(الموظفون!$U47="نعم",N(الموظفون!$W47)&gt;0),الموظفون!$V47/الموظفون!$W47*12/cfg_DAYS_Y*AJ47,0))</f>
        <v/>
      </c>
      <c r="AD47" s="116" t="str">
        <f aca="false">IF($B47="","",(IF(الموظفون!$X47&lt;&gt;"",الموظفون!$X47,IF(الموظفون!$E47="غير سعودي",cfg_IQ,0))+IF(الموظفون!$Y47&lt;&gt;"",الموظفون!$Y47,IF(الموظفون!$E47="غير سعودي",cfg_WP,0)))/12*G47/cfg_DAYS_M)</f>
        <v/>
      </c>
      <c r="AE47" s="116" t="str">
        <f aca="false">IF($B47="","",IF(الموظفون!$Z47&lt;&gt;"",الموظفون!$Z47,cfg_MED)/12*G47/cfg_DAYS_M)</f>
        <v/>
      </c>
      <c r="AF47" s="116" t="str">
        <f aca="false">IF($B47="","",N(الموظفون!$AA47)/12*G47/cfg_DAYS_M)</f>
        <v/>
      </c>
      <c r="AG47" s="159" t="str">
        <f aca="false">IF($B47="","",T47+SUM(Z47:AF47))</f>
        <v/>
      </c>
      <c r="AH47" s="160" t="str">
        <f aca="false">IF($B47="","",MAX(0,IF(OR(الموظفون!$AE47="",الموظفون!$AE47&gt;$F$3),$F$3,الموظفون!$AE47)-الموظفون!$H47+1-SUMIFS('سجل الإجازات والحالات'!$AH$6:$AH$505,'سجل الإجازات والحالات'!$B$6:$B$505,$B47))/cfg_DAYS_Y)</f>
        <v/>
      </c>
      <c r="AI47" s="160" t="str">
        <f aca="false">IF($B47="","",MAX(0,IF(OR(الموظفون!$AE47="",الموظفون!$AE47&gt;($E$3-1)),($E$3-1),الموظفون!$AE47)-الموظفون!$H47+1-SUMIFS('سجل الإجازات والحالات'!$R$6:$R$505,'سجل الإجازات والحالات'!$B$6:$B$505,$B47))/cfg_DAYS_Y)</f>
        <v/>
      </c>
      <c r="AJ47" s="133" t="str">
        <f aca="false">IF($B47="","",MAX(0,AK47-(SUMIFS('سجل الإجازات والحالات'!$AH$6:$AH$505,'سجل الإجازات والحالات'!$B$6:$B$505,$B47)-SUMIFS('سجل الإجازات والحالات'!$R$6:$R$505,'سجل الإجازات والحالات'!$B$6:$B$505,$B47))))</f>
        <v/>
      </c>
      <c r="AK47" s="133" t="str">
        <f aca="false">IF($B47="","",MAX(0,IF(OR(الموظفون!$AE47="",الموظفون!$AE47&gt;$F$3),$F$3,الموظفون!$AE47)-MAX($E$3,الموظفون!$H47)+1))</f>
        <v/>
      </c>
      <c r="AL47" s="156" t="str">
        <f aca="false">IF($B47="","",SUMIFS('سجل الإجازات والحالات'!$AT$6:$AT$505,'سجل الإجازات والحالات'!$B$6:$B$505,$B47)+SUMIFS('الحركات الشهرية'!$K$6:$K$1005,'الحركات الشهرية'!$B$6:$B$1005,$B47,'الحركات الشهرية'!$A$6:$A$1005,$C$3))</f>
        <v/>
      </c>
      <c r="AM47" s="116" t="str">
        <f aca="false">IF($B47="","",AL47*الموظفون!$R47/cfg_DAYS_M+S47)</f>
        <v/>
      </c>
      <c r="AN47" s="156" t="str">
        <f aca="false">IF($B47="","",SUMIFS('سجل الإجازات والحالات'!$V$6:$V$505,'سجل الإجازات والحالات'!$B$6:$B$505,$B47))</f>
        <v/>
      </c>
    </row>
    <row r="48" customFormat="false" ht="15" hidden="false" customHeight="false" outlineLevel="0" collapsed="false">
      <c r="A48" s="106" t="str">
        <f aca="false">IF($B48="","",الموظفون!$A48)</f>
        <v/>
      </c>
      <c r="B48" s="114" t="str">
        <f aca="false">IF(الموظفون!$B48="","",الموظفون!$B48)</f>
        <v/>
      </c>
      <c r="C48" s="114" t="str">
        <f aca="false">IF($B48="","",الموظفون!$C48)</f>
        <v/>
      </c>
      <c r="D48" s="114" t="str">
        <f aca="false">IF($B48="","",الموظفون!$F48)</f>
        <v/>
      </c>
      <c r="E48" s="114" t="str">
        <f aca="false">IF($B48="","",الموظفون!$E48)</f>
        <v/>
      </c>
      <c r="F48" s="114" t="str">
        <f aca="false">IF($B48="","",IF(AK48=0,IF(AND(الموظفون!$AE48&lt;&gt;"",الموظفون!$AE48&lt;$E$3),"✖ منتهي الخدمة","⏳ لم يباشر"),IF(S48&gt;0,"✈ راتب إجازة مقدم",IF(J48=0,"⛔ بدون راتب هذا الشهر",IF(I48&gt;0,"✈ خصم "&amp;ROUND(I48,2)&amp;" يوم بدون أجر",IF(AL48&gt;0,"🌴 إجازة سنوية "&amp;ROUND(AL48,2)&amp;" يوم",IF(H48&gt;0,"⚠ غياب "&amp;ROUND(H48,2)&amp;" يوم","✔ على رأس العمل")))))))</f>
        <v/>
      </c>
      <c r="G48" s="151" t="str">
        <f aca="false">IF($B48="","",IF(AK48&gt;=DAY($F$3),cfg_DAYS_M,MIN(AK48,cfg_DAYS_M)))</f>
        <v/>
      </c>
      <c r="H48" s="151" t="str">
        <f aca="false">IF($B48="","",SUMIFS('الحركات الشهرية'!$D$6:$D$1005,'الحركات الشهرية'!$B$6:$B$1005,$B48,'الحركات الشهرية'!$A$6:$A$1005,$C$3))</f>
        <v/>
      </c>
      <c r="I48" s="151" t="str">
        <f aca="false">IF($B48="","",MIN(G48,IF(AND(AK48&gt;0,AN48&gt;=AK48),G48,AN48)+SUMIFS('الحركات الشهرية'!$E$6:$E$1005,'الحركات الشهرية'!$B$6:$B$1005,$B48,'الحركات الشهرية'!$A$6:$A$1005,$C$3)))</f>
        <v/>
      </c>
      <c r="J48" s="151" t="str">
        <f aca="false">IF($B48="","",MAX(0,G48-H48-I48))</f>
        <v/>
      </c>
      <c r="K48" s="111" t="str">
        <f aca="false">IF($B48="","",الموظفون!$L48*$J48/cfg_DAYS_M)</f>
        <v/>
      </c>
      <c r="L48" s="111" t="str">
        <f aca="false">IF($B48="","",الموظفون!$M48*$J48/cfg_DAYS_M)</f>
        <v/>
      </c>
      <c r="M48" s="111" t="str">
        <f aca="false">IF($B48="","",الموظفون!$N48*$J48/cfg_DAYS_M)</f>
        <v/>
      </c>
      <c r="N48" s="111" t="str">
        <f aca="false">IF($B48="","",الموظفون!$O48*$J48/cfg_DAYS_M)</f>
        <v/>
      </c>
      <c r="O48" s="151" t="str">
        <f aca="false">IF($B48="","",SUMIFS('الحركات الشهرية'!$F$6:$F$1005,'الحركات الشهرية'!$B$6:$B$1005,$B48,'الحركات الشهرية'!$A$6:$A$1005,$C$3))</f>
        <v/>
      </c>
      <c r="P48" s="111" t="str">
        <f aca="false">IF($B48="","",O48*(الموظفون!$P48+الموظفون!$L48*cfg_OT_P)/cfg_DAYS_M/cfg_HRS)</f>
        <v/>
      </c>
      <c r="Q48" s="111" t="str">
        <f aca="false">IF($B48="","",SUMIFS('الحركات الشهرية'!$G$6:$G$1005,'الحركات الشهرية'!$B$6:$B$1005,$B48,'الحركات الشهرية'!$A$6:$A$1005,$C$3))</f>
        <v/>
      </c>
      <c r="R48" s="111" t="str">
        <f aca="false">IF($B48="","",SUMIFS('الحركات الشهرية'!$H$6:$H$1005,'الحركات الشهرية'!$B$6:$B$1005,$B48,'الحركات الشهرية'!$A$6:$A$1005,$C$3))</f>
        <v/>
      </c>
      <c r="S48" s="111" t="str">
        <f aca="false">IF($B48="","",SUMIFS('سجل الإجازات والحالات'!$N$6:$N$505,'سجل الإجازات والحالات'!$B$6:$B$505,$B48,'سجل الإجازات والحالات'!$O$6:$O$505,$C$3))</f>
        <v/>
      </c>
      <c r="T48" s="152" t="str">
        <f aca="false">IF($B48="","",SUM(K48:N48)+SUM(P48:S48))</f>
        <v/>
      </c>
      <c r="U48" s="111" t="str">
        <f aca="false">IF($B48="","",الموظفون!$S48*IF(E48="سعودي",cfg_G_SE,cfg_G_NE)*G48/cfg_DAYS_M)</f>
        <v/>
      </c>
      <c r="V48" s="111" t="str">
        <f aca="false">IF($B48="","",SUMIFS('الحركات الشهرية'!$I$6:$I$1005,'الحركات الشهرية'!$B$6:$B$1005,$B48,'الحركات الشهرية'!$A$6:$A$1005,$C$3))</f>
        <v/>
      </c>
      <c r="W48" s="111" t="str">
        <f aca="false">IF($B48="","",SUMIFS('الحركات الشهرية'!$J$6:$J$1005,'الحركات الشهرية'!$B$6:$B$1005,$B48,'الحركات الشهرية'!$A$6:$A$1005,$C$3))</f>
        <v/>
      </c>
      <c r="X48" s="111" t="str">
        <f aca="false">IF($B48="","",SUM(U48:W48))</f>
        <v/>
      </c>
      <c r="Y48" s="153" t="str">
        <f aca="false">IF($B48="","",T48-X48)</f>
        <v/>
      </c>
      <c r="Z48" s="111" t="str">
        <f aca="false">IF($B48="","",الموظفون!$S48*IF(E48="سعودي",cfg_G_SR,cfg_G_NR)*G48/cfg_DAYS_M)</f>
        <v/>
      </c>
      <c r="AA48" s="111" t="str">
        <f aca="false">IF($B48="","",الموظفون!$Q48*(cfg_EOS_R1*(MIN(AH48,cfg_EOS_TH)-MIN(AI48,cfg_EOS_TH))+cfg_EOS_R2*(MAX(AH48-cfg_EOS_TH,0)-MAX(AI48-cfg_EOS_TH,0))))</f>
        <v/>
      </c>
      <c r="AB48" s="111" t="str">
        <f aca="false">IF($B48="","",IF(الموظفون!$T48&lt;&gt;"",الموظفون!$T48,IF(AH48&gt;=cfg_LV_TH,cfg_LV_D2,cfg_LV_D1))/cfg_DAYS_Y*AJ48*الموظفون!$R48/cfg_DAYS_M)</f>
        <v/>
      </c>
      <c r="AC48" s="111" t="str">
        <f aca="false">IF($B48="","",IF(AND(الموظفون!$U48="نعم",N(الموظفون!$W48)&gt;0),الموظفون!$V48/الموظفون!$W48*12/cfg_DAYS_Y*AJ48,0))</f>
        <v/>
      </c>
      <c r="AD48" s="111" t="str">
        <f aca="false">IF($B48="","",(IF(الموظفون!$X48&lt;&gt;"",الموظفون!$X48,IF(الموظفون!$E48="غير سعودي",cfg_IQ,0))+IF(الموظفون!$Y48&lt;&gt;"",الموظفون!$Y48,IF(الموظفون!$E48="غير سعودي",cfg_WP,0)))/12*G48/cfg_DAYS_M)</f>
        <v/>
      </c>
      <c r="AE48" s="111" t="str">
        <f aca="false">IF($B48="","",IF(الموظفون!$Z48&lt;&gt;"",الموظفون!$Z48,cfg_MED)/12*G48/cfg_DAYS_M)</f>
        <v/>
      </c>
      <c r="AF48" s="111" t="str">
        <f aca="false">IF($B48="","",N(الموظفون!$AA48)/12*G48/cfg_DAYS_M)</f>
        <v/>
      </c>
      <c r="AG48" s="154" t="str">
        <f aca="false">IF($B48="","",T48+SUM(Z48:AF48))</f>
        <v/>
      </c>
      <c r="AH48" s="155" t="str">
        <f aca="false">IF($B48="","",MAX(0,IF(OR(الموظفون!$AE48="",الموظفون!$AE48&gt;$F$3),$F$3,الموظفون!$AE48)-الموظفون!$H48+1-SUMIFS('سجل الإجازات والحالات'!$AH$6:$AH$505,'سجل الإجازات والحالات'!$B$6:$B$505,$B48))/cfg_DAYS_Y)</f>
        <v/>
      </c>
      <c r="AI48" s="155" t="str">
        <f aca="false">IF($B48="","",MAX(0,IF(OR(الموظفون!$AE48="",الموظفون!$AE48&gt;($E$3-1)),($E$3-1),الموظفون!$AE48)-الموظفون!$H48+1-SUMIFS('سجل الإجازات والحالات'!$R$6:$R$505,'سجل الإجازات والحالات'!$B$6:$B$505,$B48))/cfg_DAYS_Y)</f>
        <v/>
      </c>
      <c r="AJ48" s="65" t="str">
        <f aca="false">IF($B48="","",MAX(0,AK48-(SUMIFS('سجل الإجازات والحالات'!$AH$6:$AH$505,'سجل الإجازات والحالات'!$B$6:$B$505,$B48)-SUMIFS('سجل الإجازات والحالات'!$R$6:$R$505,'سجل الإجازات والحالات'!$B$6:$B$505,$B48))))</f>
        <v/>
      </c>
      <c r="AK48" s="65" t="str">
        <f aca="false">IF($B48="","",MAX(0,IF(OR(الموظفون!$AE48="",الموظفون!$AE48&gt;$F$3),$F$3,الموظفون!$AE48)-MAX($E$3,الموظفون!$H48)+1))</f>
        <v/>
      </c>
      <c r="AL48" s="151" t="str">
        <f aca="false">IF($B48="","",SUMIFS('سجل الإجازات والحالات'!$AT$6:$AT$505,'سجل الإجازات والحالات'!$B$6:$B$505,$B48)+SUMIFS('الحركات الشهرية'!$K$6:$K$1005,'الحركات الشهرية'!$B$6:$B$1005,$B48,'الحركات الشهرية'!$A$6:$A$1005,$C$3))</f>
        <v/>
      </c>
      <c r="AM48" s="111" t="str">
        <f aca="false">IF($B48="","",AL48*الموظفون!$R48/cfg_DAYS_M+S48)</f>
        <v/>
      </c>
      <c r="AN48" s="151" t="str">
        <f aca="false">IF($B48="","",SUMIFS('سجل الإجازات والحالات'!$V$6:$V$505,'سجل الإجازات والحالات'!$B$6:$B$505,$B48))</f>
        <v/>
      </c>
    </row>
    <row r="49" customFormat="false" ht="15" hidden="false" customHeight="false" outlineLevel="0" collapsed="false">
      <c r="A49" s="115" t="str">
        <f aca="false">IF($B49="","",الموظفون!$A49)</f>
        <v/>
      </c>
      <c r="B49" s="117" t="str">
        <f aca="false">IF(الموظفون!$B49="","",الموظفون!$B49)</f>
        <v/>
      </c>
      <c r="C49" s="117" t="str">
        <f aca="false">IF($B49="","",الموظفون!$C49)</f>
        <v/>
      </c>
      <c r="D49" s="117" t="str">
        <f aca="false">IF($B49="","",الموظفون!$F49)</f>
        <v/>
      </c>
      <c r="E49" s="117" t="str">
        <f aca="false">IF($B49="","",الموظفون!$E49)</f>
        <v/>
      </c>
      <c r="F49" s="117" t="str">
        <f aca="false">IF($B49="","",IF(AK49=0,IF(AND(الموظفون!$AE49&lt;&gt;"",الموظفون!$AE49&lt;$E$3),"✖ منتهي الخدمة","⏳ لم يباشر"),IF(S49&gt;0,"✈ راتب إجازة مقدم",IF(J49=0,"⛔ بدون راتب هذا الشهر",IF(I49&gt;0,"✈ خصم "&amp;ROUND(I49,2)&amp;" يوم بدون أجر",IF(AL49&gt;0,"🌴 إجازة سنوية "&amp;ROUND(AL49,2)&amp;" يوم",IF(H49&gt;0,"⚠ غياب "&amp;ROUND(H49,2)&amp;" يوم","✔ على رأس العمل")))))))</f>
        <v/>
      </c>
      <c r="G49" s="156" t="str">
        <f aca="false">IF($B49="","",IF(AK49&gt;=DAY($F$3),cfg_DAYS_M,MIN(AK49,cfg_DAYS_M)))</f>
        <v/>
      </c>
      <c r="H49" s="156" t="str">
        <f aca="false">IF($B49="","",SUMIFS('الحركات الشهرية'!$D$6:$D$1005,'الحركات الشهرية'!$B$6:$B$1005,$B49,'الحركات الشهرية'!$A$6:$A$1005,$C$3))</f>
        <v/>
      </c>
      <c r="I49" s="156" t="str">
        <f aca="false">IF($B49="","",MIN(G49,IF(AND(AK49&gt;0,AN49&gt;=AK49),G49,AN49)+SUMIFS('الحركات الشهرية'!$E$6:$E$1005,'الحركات الشهرية'!$B$6:$B$1005,$B49,'الحركات الشهرية'!$A$6:$A$1005,$C$3)))</f>
        <v/>
      </c>
      <c r="J49" s="156" t="str">
        <f aca="false">IF($B49="","",MAX(0,G49-H49-I49))</f>
        <v/>
      </c>
      <c r="K49" s="116" t="str">
        <f aca="false">IF($B49="","",الموظفون!$L49*$J49/cfg_DAYS_M)</f>
        <v/>
      </c>
      <c r="L49" s="116" t="str">
        <f aca="false">IF($B49="","",الموظفون!$M49*$J49/cfg_DAYS_M)</f>
        <v/>
      </c>
      <c r="M49" s="116" t="str">
        <f aca="false">IF($B49="","",الموظفون!$N49*$J49/cfg_DAYS_M)</f>
        <v/>
      </c>
      <c r="N49" s="116" t="str">
        <f aca="false">IF($B49="","",الموظفون!$O49*$J49/cfg_DAYS_M)</f>
        <v/>
      </c>
      <c r="O49" s="156" t="str">
        <f aca="false">IF($B49="","",SUMIFS('الحركات الشهرية'!$F$6:$F$1005,'الحركات الشهرية'!$B$6:$B$1005,$B49,'الحركات الشهرية'!$A$6:$A$1005,$C$3))</f>
        <v/>
      </c>
      <c r="P49" s="116" t="str">
        <f aca="false">IF($B49="","",O49*(الموظفون!$P49+الموظفون!$L49*cfg_OT_P)/cfg_DAYS_M/cfg_HRS)</f>
        <v/>
      </c>
      <c r="Q49" s="116" t="str">
        <f aca="false">IF($B49="","",SUMIFS('الحركات الشهرية'!$G$6:$G$1005,'الحركات الشهرية'!$B$6:$B$1005,$B49,'الحركات الشهرية'!$A$6:$A$1005,$C$3))</f>
        <v/>
      </c>
      <c r="R49" s="116" t="str">
        <f aca="false">IF($B49="","",SUMIFS('الحركات الشهرية'!$H$6:$H$1005,'الحركات الشهرية'!$B$6:$B$1005,$B49,'الحركات الشهرية'!$A$6:$A$1005,$C$3))</f>
        <v/>
      </c>
      <c r="S49" s="116" t="str">
        <f aca="false">IF($B49="","",SUMIFS('سجل الإجازات والحالات'!$N$6:$N$505,'سجل الإجازات والحالات'!$B$6:$B$505,$B49,'سجل الإجازات والحالات'!$O$6:$O$505,$C$3))</f>
        <v/>
      </c>
      <c r="T49" s="157" t="str">
        <f aca="false">IF($B49="","",SUM(K49:N49)+SUM(P49:S49))</f>
        <v/>
      </c>
      <c r="U49" s="116" t="str">
        <f aca="false">IF($B49="","",الموظفون!$S49*IF(E49="سعودي",cfg_G_SE,cfg_G_NE)*G49/cfg_DAYS_M)</f>
        <v/>
      </c>
      <c r="V49" s="116" t="str">
        <f aca="false">IF($B49="","",SUMIFS('الحركات الشهرية'!$I$6:$I$1005,'الحركات الشهرية'!$B$6:$B$1005,$B49,'الحركات الشهرية'!$A$6:$A$1005,$C$3))</f>
        <v/>
      </c>
      <c r="W49" s="116" t="str">
        <f aca="false">IF($B49="","",SUMIFS('الحركات الشهرية'!$J$6:$J$1005,'الحركات الشهرية'!$B$6:$B$1005,$B49,'الحركات الشهرية'!$A$6:$A$1005,$C$3))</f>
        <v/>
      </c>
      <c r="X49" s="116" t="str">
        <f aca="false">IF($B49="","",SUM(U49:W49))</f>
        <v/>
      </c>
      <c r="Y49" s="158" t="str">
        <f aca="false">IF($B49="","",T49-X49)</f>
        <v/>
      </c>
      <c r="Z49" s="116" t="str">
        <f aca="false">IF($B49="","",الموظفون!$S49*IF(E49="سعودي",cfg_G_SR,cfg_G_NR)*G49/cfg_DAYS_M)</f>
        <v/>
      </c>
      <c r="AA49" s="116" t="str">
        <f aca="false">IF($B49="","",الموظفون!$Q49*(cfg_EOS_R1*(MIN(AH49,cfg_EOS_TH)-MIN(AI49,cfg_EOS_TH))+cfg_EOS_R2*(MAX(AH49-cfg_EOS_TH,0)-MAX(AI49-cfg_EOS_TH,0))))</f>
        <v/>
      </c>
      <c r="AB49" s="116" t="str">
        <f aca="false">IF($B49="","",IF(الموظفون!$T49&lt;&gt;"",الموظفون!$T49,IF(AH49&gt;=cfg_LV_TH,cfg_LV_D2,cfg_LV_D1))/cfg_DAYS_Y*AJ49*الموظفون!$R49/cfg_DAYS_M)</f>
        <v/>
      </c>
      <c r="AC49" s="116" t="str">
        <f aca="false">IF($B49="","",IF(AND(الموظفون!$U49="نعم",N(الموظفون!$W49)&gt;0),الموظفون!$V49/الموظفون!$W49*12/cfg_DAYS_Y*AJ49,0))</f>
        <v/>
      </c>
      <c r="AD49" s="116" t="str">
        <f aca="false">IF($B49="","",(IF(الموظفون!$X49&lt;&gt;"",الموظفون!$X49,IF(الموظفون!$E49="غير سعودي",cfg_IQ,0))+IF(الموظفون!$Y49&lt;&gt;"",الموظفون!$Y49,IF(الموظفون!$E49="غير سعودي",cfg_WP,0)))/12*G49/cfg_DAYS_M)</f>
        <v/>
      </c>
      <c r="AE49" s="116" t="str">
        <f aca="false">IF($B49="","",IF(الموظفون!$Z49&lt;&gt;"",الموظفون!$Z49,cfg_MED)/12*G49/cfg_DAYS_M)</f>
        <v/>
      </c>
      <c r="AF49" s="116" t="str">
        <f aca="false">IF($B49="","",N(الموظفون!$AA49)/12*G49/cfg_DAYS_M)</f>
        <v/>
      </c>
      <c r="AG49" s="159" t="str">
        <f aca="false">IF($B49="","",T49+SUM(Z49:AF49))</f>
        <v/>
      </c>
      <c r="AH49" s="160" t="str">
        <f aca="false">IF($B49="","",MAX(0,IF(OR(الموظفون!$AE49="",الموظفون!$AE49&gt;$F$3),$F$3,الموظفون!$AE49)-الموظفون!$H49+1-SUMIFS('سجل الإجازات والحالات'!$AH$6:$AH$505,'سجل الإجازات والحالات'!$B$6:$B$505,$B49))/cfg_DAYS_Y)</f>
        <v/>
      </c>
      <c r="AI49" s="160" t="str">
        <f aca="false">IF($B49="","",MAX(0,IF(OR(الموظفون!$AE49="",الموظفون!$AE49&gt;($E$3-1)),($E$3-1),الموظفون!$AE49)-الموظفون!$H49+1-SUMIFS('سجل الإجازات والحالات'!$R$6:$R$505,'سجل الإجازات والحالات'!$B$6:$B$505,$B49))/cfg_DAYS_Y)</f>
        <v/>
      </c>
      <c r="AJ49" s="133" t="str">
        <f aca="false">IF($B49="","",MAX(0,AK49-(SUMIFS('سجل الإجازات والحالات'!$AH$6:$AH$505,'سجل الإجازات والحالات'!$B$6:$B$505,$B49)-SUMIFS('سجل الإجازات والحالات'!$R$6:$R$505,'سجل الإجازات والحالات'!$B$6:$B$505,$B49))))</f>
        <v/>
      </c>
      <c r="AK49" s="133" t="str">
        <f aca="false">IF($B49="","",MAX(0,IF(OR(الموظفون!$AE49="",الموظفون!$AE49&gt;$F$3),$F$3,الموظفون!$AE49)-MAX($E$3,الموظفون!$H49)+1))</f>
        <v/>
      </c>
      <c r="AL49" s="156" t="str">
        <f aca="false">IF($B49="","",SUMIFS('سجل الإجازات والحالات'!$AT$6:$AT$505,'سجل الإجازات والحالات'!$B$6:$B$505,$B49)+SUMIFS('الحركات الشهرية'!$K$6:$K$1005,'الحركات الشهرية'!$B$6:$B$1005,$B49,'الحركات الشهرية'!$A$6:$A$1005,$C$3))</f>
        <v/>
      </c>
      <c r="AM49" s="116" t="str">
        <f aca="false">IF($B49="","",AL49*الموظفون!$R49/cfg_DAYS_M+S49)</f>
        <v/>
      </c>
      <c r="AN49" s="156" t="str">
        <f aca="false">IF($B49="","",SUMIFS('سجل الإجازات والحالات'!$V$6:$V$505,'سجل الإجازات والحالات'!$B$6:$B$505,$B49))</f>
        <v/>
      </c>
    </row>
    <row r="50" customFormat="false" ht="15" hidden="false" customHeight="false" outlineLevel="0" collapsed="false">
      <c r="A50" s="106" t="str">
        <f aca="false">IF($B50="","",الموظفون!$A50)</f>
        <v/>
      </c>
      <c r="B50" s="114" t="str">
        <f aca="false">IF(الموظفون!$B50="","",الموظفون!$B50)</f>
        <v/>
      </c>
      <c r="C50" s="114" t="str">
        <f aca="false">IF($B50="","",الموظفون!$C50)</f>
        <v/>
      </c>
      <c r="D50" s="114" t="str">
        <f aca="false">IF($B50="","",الموظفون!$F50)</f>
        <v/>
      </c>
      <c r="E50" s="114" t="str">
        <f aca="false">IF($B50="","",الموظفون!$E50)</f>
        <v/>
      </c>
      <c r="F50" s="114" t="str">
        <f aca="false">IF($B50="","",IF(AK50=0,IF(AND(الموظفون!$AE50&lt;&gt;"",الموظفون!$AE50&lt;$E$3),"✖ منتهي الخدمة","⏳ لم يباشر"),IF(S50&gt;0,"✈ راتب إجازة مقدم",IF(J50=0,"⛔ بدون راتب هذا الشهر",IF(I50&gt;0,"✈ خصم "&amp;ROUND(I50,2)&amp;" يوم بدون أجر",IF(AL50&gt;0,"🌴 إجازة سنوية "&amp;ROUND(AL50,2)&amp;" يوم",IF(H50&gt;0,"⚠ غياب "&amp;ROUND(H50,2)&amp;" يوم","✔ على رأس العمل")))))))</f>
        <v/>
      </c>
      <c r="G50" s="151" t="str">
        <f aca="false">IF($B50="","",IF(AK50&gt;=DAY($F$3),cfg_DAYS_M,MIN(AK50,cfg_DAYS_M)))</f>
        <v/>
      </c>
      <c r="H50" s="151" t="str">
        <f aca="false">IF($B50="","",SUMIFS('الحركات الشهرية'!$D$6:$D$1005,'الحركات الشهرية'!$B$6:$B$1005,$B50,'الحركات الشهرية'!$A$6:$A$1005,$C$3))</f>
        <v/>
      </c>
      <c r="I50" s="151" t="str">
        <f aca="false">IF($B50="","",MIN(G50,IF(AND(AK50&gt;0,AN50&gt;=AK50),G50,AN50)+SUMIFS('الحركات الشهرية'!$E$6:$E$1005,'الحركات الشهرية'!$B$6:$B$1005,$B50,'الحركات الشهرية'!$A$6:$A$1005,$C$3)))</f>
        <v/>
      </c>
      <c r="J50" s="151" t="str">
        <f aca="false">IF($B50="","",MAX(0,G50-H50-I50))</f>
        <v/>
      </c>
      <c r="K50" s="111" t="str">
        <f aca="false">IF($B50="","",الموظفون!$L50*$J50/cfg_DAYS_M)</f>
        <v/>
      </c>
      <c r="L50" s="111" t="str">
        <f aca="false">IF($B50="","",الموظفون!$M50*$J50/cfg_DAYS_M)</f>
        <v/>
      </c>
      <c r="M50" s="111" t="str">
        <f aca="false">IF($B50="","",الموظفون!$N50*$J50/cfg_DAYS_M)</f>
        <v/>
      </c>
      <c r="N50" s="111" t="str">
        <f aca="false">IF($B50="","",الموظفون!$O50*$J50/cfg_DAYS_M)</f>
        <v/>
      </c>
      <c r="O50" s="151" t="str">
        <f aca="false">IF($B50="","",SUMIFS('الحركات الشهرية'!$F$6:$F$1005,'الحركات الشهرية'!$B$6:$B$1005,$B50,'الحركات الشهرية'!$A$6:$A$1005,$C$3))</f>
        <v/>
      </c>
      <c r="P50" s="111" t="str">
        <f aca="false">IF($B50="","",O50*(الموظفون!$P50+الموظفون!$L50*cfg_OT_P)/cfg_DAYS_M/cfg_HRS)</f>
        <v/>
      </c>
      <c r="Q50" s="111" t="str">
        <f aca="false">IF($B50="","",SUMIFS('الحركات الشهرية'!$G$6:$G$1005,'الحركات الشهرية'!$B$6:$B$1005,$B50,'الحركات الشهرية'!$A$6:$A$1005,$C$3))</f>
        <v/>
      </c>
      <c r="R50" s="111" t="str">
        <f aca="false">IF($B50="","",SUMIFS('الحركات الشهرية'!$H$6:$H$1005,'الحركات الشهرية'!$B$6:$B$1005,$B50,'الحركات الشهرية'!$A$6:$A$1005,$C$3))</f>
        <v/>
      </c>
      <c r="S50" s="111" t="str">
        <f aca="false">IF($B50="","",SUMIFS('سجل الإجازات والحالات'!$N$6:$N$505,'سجل الإجازات والحالات'!$B$6:$B$505,$B50,'سجل الإجازات والحالات'!$O$6:$O$505,$C$3))</f>
        <v/>
      </c>
      <c r="T50" s="152" t="str">
        <f aca="false">IF($B50="","",SUM(K50:N50)+SUM(P50:S50))</f>
        <v/>
      </c>
      <c r="U50" s="111" t="str">
        <f aca="false">IF($B50="","",الموظفون!$S50*IF(E50="سعودي",cfg_G_SE,cfg_G_NE)*G50/cfg_DAYS_M)</f>
        <v/>
      </c>
      <c r="V50" s="111" t="str">
        <f aca="false">IF($B50="","",SUMIFS('الحركات الشهرية'!$I$6:$I$1005,'الحركات الشهرية'!$B$6:$B$1005,$B50,'الحركات الشهرية'!$A$6:$A$1005,$C$3))</f>
        <v/>
      </c>
      <c r="W50" s="111" t="str">
        <f aca="false">IF($B50="","",SUMIFS('الحركات الشهرية'!$J$6:$J$1005,'الحركات الشهرية'!$B$6:$B$1005,$B50,'الحركات الشهرية'!$A$6:$A$1005,$C$3))</f>
        <v/>
      </c>
      <c r="X50" s="111" t="str">
        <f aca="false">IF($B50="","",SUM(U50:W50))</f>
        <v/>
      </c>
      <c r="Y50" s="153" t="str">
        <f aca="false">IF($B50="","",T50-X50)</f>
        <v/>
      </c>
      <c r="Z50" s="111" t="str">
        <f aca="false">IF($B50="","",الموظفون!$S50*IF(E50="سعودي",cfg_G_SR,cfg_G_NR)*G50/cfg_DAYS_M)</f>
        <v/>
      </c>
      <c r="AA50" s="111" t="str">
        <f aca="false">IF($B50="","",الموظفون!$Q50*(cfg_EOS_R1*(MIN(AH50,cfg_EOS_TH)-MIN(AI50,cfg_EOS_TH))+cfg_EOS_R2*(MAX(AH50-cfg_EOS_TH,0)-MAX(AI50-cfg_EOS_TH,0))))</f>
        <v/>
      </c>
      <c r="AB50" s="111" t="str">
        <f aca="false">IF($B50="","",IF(الموظفون!$T50&lt;&gt;"",الموظفون!$T50,IF(AH50&gt;=cfg_LV_TH,cfg_LV_D2,cfg_LV_D1))/cfg_DAYS_Y*AJ50*الموظفون!$R50/cfg_DAYS_M)</f>
        <v/>
      </c>
      <c r="AC50" s="111" t="str">
        <f aca="false">IF($B50="","",IF(AND(الموظفون!$U50="نعم",N(الموظفون!$W50)&gt;0),الموظفون!$V50/الموظفون!$W50*12/cfg_DAYS_Y*AJ50,0))</f>
        <v/>
      </c>
      <c r="AD50" s="111" t="str">
        <f aca="false">IF($B50="","",(IF(الموظفون!$X50&lt;&gt;"",الموظفون!$X50,IF(الموظفون!$E50="غير سعودي",cfg_IQ,0))+IF(الموظفون!$Y50&lt;&gt;"",الموظفون!$Y50,IF(الموظفون!$E50="غير سعودي",cfg_WP,0)))/12*G50/cfg_DAYS_M)</f>
        <v/>
      </c>
      <c r="AE50" s="111" t="str">
        <f aca="false">IF($B50="","",IF(الموظفون!$Z50&lt;&gt;"",الموظفون!$Z50,cfg_MED)/12*G50/cfg_DAYS_M)</f>
        <v/>
      </c>
      <c r="AF50" s="111" t="str">
        <f aca="false">IF($B50="","",N(الموظفون!$AA50)/12*G50/cfg_DAYS_M)</f>
        <v/>
      </c>
      <c r="AG50" s="154" t="str">
        <f aca="false">IF($B50="","",T50+SUM(Z50:AF50))</f>
        <v/>
      </c>
      <c r="AH50" s="155" t="str">
        <f aca="false">IF($B50="","",MAX(0,IF(OR(الموظفون!$AE50="",الموظفون!$AE50&gt;$F$3),$F$3,الموظفون!$AE50)-الموظفون!$H50+1-SUMIFS('سجل الإجازات والحالات'!$AH$6:$AH$505,'سجل الإجازات والحالات'!$B$6:$B$505,$B50))/cfg_DAYS_Y)</f>
        <v/>
      </c>
      <c r="AI50" s="155" t="str">
        <f aca="false">IF($B50="","",MAX(0,IF(OR(الموظفون!$AE50="",الموظفون!$AE50&gt;($E$3-1)),($E$3-1),الموظفون!$AE50)-الموظفون!$H50+1-SUMIFS('سجل الإجازات والحالات'!$R$6:$R$505,'سجل الإجازات والحالات'!$B$6:$B$505,$B50))/cfg_DAYS_Y)</f>
        <v/>
      </c>
      <c r="AJ50" s="65" t="str">
        <f aca="false">IF($B50="","",MAX(0,AK50-(SUMIFS('سجل الإجازات والحالات'!$AH$6:$AH$505,'سجل الإجازات والحالات'!$B$6:$B$505,$B50)-SUMIFS('سجل الإجازات والحالات'!$R$6:$R$505,'سجل الإجازات والحالات'!$B$6:$B$505,$B50))))</f>
        <v/>
      </c>
      <c r="AK50" s="65" t="str">
        <f aca="false">IF($B50="","",MAX(0,IF(OR(الموظفون!$AE50="",الموظفون!$AE50&gt;$F$3),$F$3,الموظفون!$AE50)-MAX($E$3,الموظفون!$H50)+1))</f>
        <v/>
      </c>
      <c r="AL50" s="151" t="str">
        <f aca="false">IF($B50="","",SUMIFS('سجل الإجازات والحالات'!$AT$6:$AT$505,'سجل الإجازات والحالات'!$B$6:$B$505,$B50)+SUMIFS('الحركات الشهرية'!$K$6:$K$1005,'الحركات الشهرية'!$B$6:$B$1005,$B50,'الحركات الشهرية'!$A$6:$A$1005,$C$3))</f>
        <v/>
      </c>
      <c r="AM50" s="111" t="str">
        <f aca="false">IF($B50="","",AL50*الموظفون!$R50/cfg_DAYS_M+S50)</f>
        <v/>
      </c>
      <c r="AN50" s="151" t="str">
        <f aca="false">IF($B50="","",SUMIFS('سجل الإجازات والحالات'!$V$6:$V$505,'سجل الإجازات والحالات'!$B$6:$B$505,$B50))</f>
        <v/>
      </c>
    </row>
    <row r="51" customFormat="false" ht="15" hidden="false" customHeight="false" outlineLevel="0" collapsed="false">
      <c r="A51" s="115" t="str">
        <f aca="false">IF($B51="","",الموظفون!$A51)</f>
        <v/>
      </c>
      <c r="B51" s="117" t="str">
        <f aca="false">IF(الموظفون!$B51="","",الموظفون!$B51)</f>
        <v/>
      </c>
      <c r="C51" s="117" t="str">
        <f aca="false">IF($B51="","",الموظفون!$C51)</f>
        <v/>
      </c>
      <c r="D51" s="117" t="str">
        <f aca="false">IF($B51="","",الموظفون!$F51)</f>
        <v/>
      </c>
      <c r="E51" s="117" t="str">
        <f aca="false">IF($B51="","",الموظفون!$E51)</f>
        <v/>
      </c>
      <c r="F51" s="117" t="str">
        <f aca="false">IF($B51="","",IF(AK51=0,IF(AND(الموظفون!$AE51&lt;&gt;"",الموظفون!$AE51&lt;$E$3),"✖ منتهي الخدمة","⏳ لم يباشر"),IF(S51&gt;0,"✈ راتب إجازة مقدم",IF(J51=0,"⛔ بدون راتب هذا الشهر",IF(I51&gt;0,"✈ خصم "&amp;ROUND(I51,2)&amp;" يوم بدون أجر",IF(AL51&gt;0,"🌴 إجازة سنوية "&amp;ROUND(AL51,2)&amp;" يوم",IF(H51&gt;0,"⚠ غياب "&amp;ROUND(H51,2)&amp;" يوم","✔ على رأس العمل")))))))</f>
        <v/>
      </c>
      <c r="G51" s="156" t="str">
        <f aca="false">IF($B51="","",IF(AK51&gt;=DAY($F$3),cfg_DAYS_M,MIN(AK51,cfg_DAYS_M)))</f>
        <v/>
      </c>
      <c r="H51" s="156" t="str">
        <f aca="false">IF($B51="","",SUMIFS('الحركات الشهرية'!$D$6:$D$1005,'الحركات الشهرية'!$B$6:$B$1005,$B51,'الحركات الشهرية'!$A$6:$A$1005,$C$3))</f>
        <v/>
      </c>
      <c r="I51" s="156" t="str">
        <f aca="false">IF($B51="","",MIN(G51,IF(AND(AK51&gt;0,AN51&gt;=AK51),G51,AN51)+SUMIFS('الحركات الشهرية'!$E$6:$E$1005,'الحركات الشهرية'!$B$6:$B$1005,$B51,'الحركات الشهرية'!$A$6:$A$1005,$C$3)))</f>
        <v/>
      </c>
      <c r="J51" s="156" t="str">
        <f aca="false">IF($B51="","",MAX(0,G51-H51-I51))</f>
        <v/>
      </c>
      <c r="K51" s="116" t="str">
        <f aca="false">IF($B51="","",الموظفون!$L51*$J51/cfg_DAYS_M)</f>
        <v/>
      </c>
      <c r="L51" s="116" t="str">
        <f aca="false">IF($B51="","",الموظفون!$M51*$J51/cfg_DAYS_M)</f>
        <v/>
      </c>
      <c r="M51" s="116" t="str">
        <f aca="false">IF($B51="","",الموظفون!$N51*$J51/cfg_DAYS_M)</f>
        <v/>
      </c>
      <c r="N51" s="116" t="str">
        <f aca="false">IF($B51="","",الموظفون!$O51*$J51/cfg_DAYS_M)</f>
        <v/>
      </c>
      <c r="O51" s="156" t="str">
        <f aca="false">IF($B51="","",SUMIFS('الحركات الشهرية'!$F$6:$F$1005,'الحركات الشهرية'!$B$6:$B$1005,$B51,'الحركات الشهرية'!$A$6:$A$1005,$C$3))</f>
        <v/>
      </c>
      <c r="P51" s="116" t="str">
        <f aca="false">IF($B51="","",O51*(الموظفون!$P51+الموظفون!$L51*cfg_OT_P)/cfg_DAYS_M/cfg_HRS)</f>
        <v/>
      </c>
      <c r="Q51" s="116" t="str">
        <f aca="false">IF($B51="","",SUMIFS('الحركات الشهرية'!$G$6:$G$1005,'الحركات الشهرية'!$B$6:$B$1005,$B51,'الحركات الشهرية'!$A$6:$A$1005,$C$3))</f>
        <v/>
      </c>
      <c r="R51" s="116" t="str">
        <f aca="false">IF($B51="","",SUMIFS('الحركات الشهرية'!$H$6:$H$1005,'الحركات الشهرية'!$B$6:$B$1005,$B51,'الحركات الشهرية'!$A$6:$A$1005,$C$3))</f>
        <v/>
      </c>
      <c r="S51" s="116" t="str">
        <f aca="false">IF($B51="","",SUMIFS('سجل الإجازات والحالات'!$N$6:$N$505,'سجل الإجازات والحالات'!$B$6:$B$505,$B51,'سجل الإجازات والحالات'!$O$6:$O$505,$C$3))</f>
        <v/>
      </c>
      <c r="T51" s="157" t="str">
        <f aca="false">IF($B51="","",SUM(K51:N51)+SUM(P51:S51))</f>
        <v/>
      </c>
      <c r="U51" s="116" t="str">
        <f aca="false">IF($B51="","",الموظفون!$S51*IF(E51="سعودي",cfg_G_SE,cfg_G_NE)*G51/cfg_DAYS_M)</f>
        <v/>
      </c>
      <c r="V51" s="116" t="str">
        <f aca="false">IF($B51="","",SUMIFS('الحركات الشهرية'!$I$6:$I$1005,'الحركات الشهرية'!$B$6:$B$1005,$B51,'الحركات الشهرية'!$A$6:$A$1005,$C$3))</f>
        <v/>
      </c>
      <c r="W51" s="116" t="str">
        <f aca="false">IF($B51="","",SUMIFS('الحركات الشهرية'!$J$6:$J$1005,'الحركات الشهرية'!$B$6:$B$1005,$B51,'الحركات الشهرية'!$A$6:$A$1005,$C$3))</f>
        <v/>
      </c>
      <c r="X51" s="116" t="str">
        <f aca="false">IF($B51="","",SUM(U51:W51))</f>
        <v/>
      </c>
      <c r="Y51" s="158" t="str">
        <f aca="false">IF($B51="","",T51-X51)</f>
        <v/>
      </c>
      <c r="Z51" s="116" t="str">
        <f aca="false">IF($B51="","",الموظفون!$S51*IF(E51="سعودي",cfg_G_SR,cfg_G_NR)*G51/cfg_DAYS_M)</f>
        <v/>
      </c>
      <c r="AA51" s="116" t="str">
        <f aca="false">IF($B51="","",الموظفون!$Q51*(cfg_EOS_R1*(MIN(AH51,cfg_EOS_TH)-MIN(AI51,cfg_EOS_TH))+cfg_EOS_R2*(MAX(AH51-cfg_EOS_TH,0)-MAX(AI51-cfg_EOS_TH,0))))</f>
        <v/>
      </c>
      <c r="AB51" s="116" t="str">
        <f aca="false">IF($B51="","",IF(الموظفون!$T51&lt;&gt;"",الموظفون!$T51,IF(AH51&gt;=cfg_LV_TH,cfg_LV_D2,cfg_LV_D1))/cfg_DAYS_Y*AJ51*الموظفون!$R51/cfg_DAYS_M)</f>
        <v/>
      </c>
      <c r="AC51" s="116" t="str">
        <f aca="false">IF($B51="","",IF(AND(الموظفون!$U51="نعم",N(الموظفون!$W51)&gt;0),الموظفون!$V51/الموظفون!$W51*12/cfg_DAYS_Y*AJ51,0))</f>
        <v/>
      </c>
      <c r="AD51" s="116" t="str">
        <f aca="false">IF($B51="","",(IF(الموظفون!$X51&lt;&gt;"",الموظفون!$X51,IF(الموظفون!$E51="غير سعودي",cfg_IQ,0))+IF(الموظفون!$Y51&lt;&gt;"",الموظفون!$Y51,IF(الموظفون!$E51="غير سعودي",cfg_WP,0)))/12*G51/cfg_DAYS_M)</f>
        <v/>
      </c>
      <c r="AE51" s="116" t="str">
        <f aca="false">IF($B51="","",IF(الموظفون!$Z51&lt;&gt;"",الموظفون!$Z51,cfg_MED)/12*G51/cfg_DAYS_M)</f>
        <v/>
      </c>
      <c r="AF51" s="116" t="str">
        <f aca="false">IF($B51="","",N(الموظفون!$AA51)/12*G51/cfg_DAYS_M)</f>
        <v/>
      </c>
      <c r="AG51" s="159" t="str">
        <f aca="false">IF($B51="","",T51+SUM(Z51:AF51))</f>
        <v/>
      </c>
      <c r="AH51" s="160" t="str">
        <f aca="false">IF($B51="","",MAX(0,IF(OR(الموظفون!$AE51="",الموظفون!$AE51&gt;$F$3),$F$3,الموظفون!$AE51)-الموظفون!$H51+1-SUMIFS('سجل الإجازات والحالات'!$AH$6:$AH$505,'سجل الإجازات والحالات'!$B$6:$B$505,$B51))/cfg_DAYS_Y)</f>
        <v/>
      </c>
      <c r="AI51" s="160" t="str">
        <f aca="false">IF($B51="","",MAX(0,IF(OR(الموظفون!$AE51="",الموظفون!$AE51&gt;($E$3-1)),($E$3-1),الموظفون!$AE51)-الموظفون!$H51+1-SUMIFS('سجل الإجازات والحالات'!$R$6:$R$505,'سجل الإجازات والحالات'!$B$6:$B$505,$B51))/cfg_DAYS_Y)</f>
        <v/>
      </c>
      <c r="AJ51" s="133" t="str">
        <f aca="false">IF($B51="","",MAX(0,AK51-(SUMIFS('سجل الإجازات والحالات'!$AH$6:$AH$505,'سجل الإجازات والحالات'!$B$6:$B$505,$B51)-SUMIFS('سجل الإجازات والحالات'!$R$6:$R$505,'سجل الإجازات والحالات'!$B$6:$B$505,$B51))))</f>
        <v/>
      </c>
      <c r="AK51" s="133" t="str">
        <f aca="false">IF($B51="","",MAX(0,IF(OR(الموظفون!$AE51="",الموظفون!$AE51&gt;$F$3),$F$3,الموظفون!$AE51)-MAX($E$3,الموظفون!$H51)+1))</f>
        <v/>
      </c>
      <c r="AL51" s="156" t="str">
        <f aca="false">IF($B51="","",SUMIFS('سجل الإجازات والحالات'!$AT$6:$AT$505,'سجل الإجازات والحالات'!$B$6:$B$505,$B51)+SUMIFS('الحركات الشهرية'!$K$6:$K$1005,'الحركات الشهرية'!$B$6:$B$1005,$B51,'الحركات الشهرية'!$A$6:$A$1005,$C$3))</f>
        <v/>
      </c>
      <c r="AM51" s="116" t="str">
        <f aca="false">IF($B51="","",AL51*الموظفون!$R51/cfg_DAYS_M+S51)</f>
        <v/>
      </c>
      <c r="AN51" s="156" t="str">
        <f aca="false">IF($B51="","",SUMIFS('سجل الإجازات والحالات'!$V$6:$V$505,'سجل الإجازات والحالات'!$B$6:$B$505,$B51))</f>
        <v/>
      </c>
    </row>
    <row r="52" customFormat="false" ht="15" hidden="false" customHeight="false" outlineLevel="0" collapsed="false">
      <c r="A52" s="106" t="str">
        <f aca="false">IF($B52="","",الموظفون!$A52)</f>
        <v/>
      </c>
      <c r="B52" s="114" t="str">
        <f aca="false">IF(الموظفون!$B52="","",الموظفون!$B52)</f>
        <v/>
      </c>
      <c r="C52" s="114" t="str">
        <f aca="false">IF($B52="","",الموظفون!$C52)</f>
        <v/>
      </c>
      <c r="D52" s="114" t="str">
        <f aca="false">IF($B52="","",الموظفون!$F52)</f>
        <v/>
      </c>
      <c r="E52" s="114" t="str">
        <f aca="false">IF($B52="","",الموظفون!$E52)</f>
        <v/>
      </c>
      <c r="F52" s="114" t="str">
        <f aca="false">IF($B52="","",IF(AK52=0,IF(AND(الموظفون!$AE52&lt;&gt;"",الموظفون!$AE52&lt;$E$3),"✖ منتهي الخدمة","⏳ لم يباشر"),IF(S52&gt;0,"✈ راتب إجازة مقدم",IF(J52=0,"⛔ بدون راتب هذا الشهر",IF(I52&gt;0,"✈ خصم "&amp;ROUND(I52,2)&amp;" يوم بدون أجر",IF(AL52&gt;0,"🌴 إجازة سنوية "&amp;ROUND(AL52,2)&amp;" يوم",IF(H52&gt;0,"⚠ غياب "&amp;ROUND(H52,2)&amp;" يوم","✔ على رأس العمل")))))))</f>
        <v/>
      </c>
      <c r="G52" s="151" t="str">
        <f aca="false">IF($B52="","",IF(AK52&gt;=DAY($F$3),cfg_DAYS_M,MIN(AK52,cfg_DAYS_M)))</f>
        <v/>
      </c>
      <c r="H52" s="151" t="str">
        <f aca="false">IF($B52="","",SUMIFS('الحركات الشهرية'!$D$6:$D$1005,'الحركات الشهرية'!$B$6:$B$1005,$B52,'الحركات الشهرية'!$A$6:$A$1005,$C$3))</f>
        <v/>
      </c>
      <c r="I52" s="151" t="str">
        <f aca="false">IF($B52="","",MIN(G52,IF(AND(AK52&gt;0,AN52&gt;=AK52),G52,AN52)+SUMIFS('الحركات الشهرية'!$E$6:$E$1005,'الحركات الشهرية'!$B$6:$B$1005,$B52,'الحركات الشهرية'!$A$6:$A$1005,$C$3)))</f>
        <v/>
      </c>
      <c r="J52" s="151" t="str">
        <f aca="false">IF($B52="","",MAX(0,G52-H52-I52))</f>
        <v/>
      </c>
      <c r="K52" s="111" t="str">
        <f aca="false">IF($B52="","",الموظفون!$L52*$J52/cfg_DAYS_M)</f>
        <v/>
      </c>
      <c r="L52" s="111" t="str">
        <f aca="false">IF($B52="","",الموظفون!$M52*$J52/cfg_DAYS_M)</f>
        <v/>
      </c>
      <c r="M52" s="111" t="str">
        <f aca="false">IF($B52="","",الموظفون!$N52*$J52/cfg_DAYS_M)</f>
        <v/>
      </c>
      <c r="N52" s="111" t="str">
        <f aca="false">IF($B52="","",الموظفون!$O52*$J52/cfg_DAYS_M)</f>
        <v/>
      </c>
      <c r="O52" s="151" t="str">
        <f aca="false">IF($B52="","",SUMIFS('الحركات الشهرية'!$F$6:$F$1005,'الحركات الشهرية'!$B$6:$B$1005,$B52,'الحركات الشهرية'!$A$6:$A$1005,$C$3))</f>
        <v/>
      </c>
      <c r="P52" s="111" t="str">
        <f aca="false">IF($B52="","",O52*(الموظفون!$P52+الموظفون!$L52*cfg_OT_P)/cfg_DAYS_M/cfg_HRS)</f>
        <v/>
      </c>
      <c r="Q52" s="111" t="str">
        <f aca="false">IF($B52="","",SUMIFS('الحركات الشهرية'!$G$6:$G$1005,'الحركات الشهرية'!$B$6:$B$1005,$B52,'الحركات الشهرية'!$A$6:$A$1005,$C$3))</f>
        <v/>
      </c>
      <c r="R52" s="111" t="str">
        <f aca="false">IF($B52="","",SUMIFS('الحركات الشهرية'!$H$6:$H$1005,'الحركات الشهرية'!$B$6:$B$1005,$B52,'الحركات الشهرية'!$A$6:$A$1005,$C$3))</f>
        <v/>
      </c>
      <c r="S52" s="111" t="str">
        <f aca="false">IF($B52="","",SUMIFS('سجل الإجازات والحالات'!$N$6:$N$505,'سجل الإجازات والحالات'!$B$6:$B$505,$B52,'سجل الإجازات والحالات'!$O$6:$O$505,$C$3))</f>
        <v/>
      </c>
      <c r="T52" s="152" t="str">
        <f aca="false">IF($B52="","",SUM(K52:N52)+SUM(P52:S52))</f>
        <v/>
      </c>
      <c r="U52" s="111" t="str">
        <f aca="false">IF($B52="","",الموظفون!$S52*IF(E52="سعودي",cfg_G_SE,cfg_G_NE)*G52/cfg_DAYS_M)</f>
        <v/>
      </c>
      <c r="V52" s="111" t="str">
        <f aca="false">IF($B52="","",SUMIFS('الحركات الشهرية'!$I$6:$I$1005,'الحركات الشهرية'!$B$6:$B$1005,$B52,'الحركات الشهرية'!$A$6:$A$1005,$C$3))</f>
        <v/>
      </c>
      <c r="W52" s="111" t="str">
        <f aca="false">IF($B52="","",SUMIFS('الحركات الشهرية'!$J$6:$J$1005,'الحركات الشهرية'!$B$6:$B$1005,$B52,'الحركات الشهرية'!$A$6:$A$1005,$C$3))</f>
        <v/>
      </c>
      <c r="X52" s="111" t="str">
        <f aca="false">IF($B52="","",SUM(U52:W52))</f>
        <v/>
      </c>
      <c r="Y52" s="153" t="str">
        <f aca="false">IF($B52="","",T52-X52)</f>
        <v/>
      </c>
      <c r="Z52" s="111" t="str">
        <f aca="false">IF($B52="","",الموظفون!$S52*IF(E52="سعودي",cfg_G_SR,cfg_G_NR)*G52/cfg_DAYS_M)</f>
        <v/>
      </c>
      <c r="AA52" s="111" t="str">
        <f aca="false">IF($B52="","",الموظفون!$Q52*(cfg_EOS_R1*(MIN(AH52,cfg_EOS_TH)-MIN(AI52,cfg_EOS_TH))+cfg_EOS_R2*(MAX(AH52-cfg_EOS_TH,0)-MAX(AI52-cfg_EOS_TH,0))))</f>
        <v/>
      </c>
      <c r="AB52" s="111" t="str">
        <f aca="false">IF($B52="","",IF(الموظفون!$T52&lt;&gt;"",الموظفون!$T52,IF(AH52&gt;=cfg_LV_TH,cfg_LV_D2,cfg_LV_D1))/cfg_DAYS_Y*AJ52*الموظفون!$R52/cfg_DAYS_M)</f>
        <v/>
      </c>
      <c r="AC52" s="111" t="str">
        <f aca="false">IF($B52="","",IF(AND(الموظفون!$U52="نعم",N(الموظفون!$W52)&gt;0),الموظفون!$V52/الموظفون!$W52*12/cfg_DAYS_Y*AJ52,0))</f>
        <v/>
      </c>
      <c r="AD52" s="111" t="str">
        <f aca="false">IF($B52="","",(IF(الموظفون!$X52&lt;&gt;"",الموظفون!$X52,IF(الموظفون!$E52="غير سعودي",cfg_IQ,0))+IF(الموظفون!$Y52&lt;&gt;"",الموظفون!$Y52,IF(الموظفون!$E52="غير سعودي",cfg_WP,0)))/12*G52/cfg_DAYS_M)</f>
        <v/>
      </c>
      <c r="AE52" s="111" t="str">
        <f aca="false">IF($B52="","",IF(الموظفون!$Z52&lt;&gt;"",الموظفون!$Z52,cfg_MED)/12*G52/cfg_DAYS_M)</f>
        <v/>
      </c>
      <c r="AF52" s="111" t="str">
        <f aca="false">IF($B52="","",N(الموظفون!$AA52)/12*G52/cfg_DAYS_M)</f>
        <v/>
      </c>
      <c r="AG52" s="154" t="str">
        <f aca="false">IF($B52="","",T52+SUM(Z52:AF52))</f>
        <v/>
      </c>
      <c r="AH52" s="155" t="str">
        <f aca="false">IF($B52="","",MAX(0,IF(OR(الموظفون!$AE52="",الموظفون!$AE52&gt;$F$3),$F$3,الموظفون!$AE52)-الموظفون!$H52+1-SUMIFS('سجل الإجازات والحالات'!$AH$6:$AH$505,'سجل الإجازات والحالات'!$B$6:$B$505,$B52))/cfg_DAYS_Y)</f>
        <v/>
      </c>
      <c r="AI52" s="155" t="str">
        <f aca="false">IF($B52="","",MAX(0,IF(OR(الموظفون!$AE52="",الموظفون!$AE52&gt;($E$3-1)),($E$3-1),الموظفون!$AE52)-الموظفون!$H52+1-SUMIFS('سجل الإجازات والحالات'!$R$6:$R$505,'سجل الإجازات والحالات'!$B$6:$B$505,$B52))/cfg_DAYS_Y)</f>
        <v/>
      </c>
      <c r="AJ52" s="65" t="str">
        <f aca="false">IF($B52="","",MAX(0,AK52-(SUMIFS('سجل الإجازات والحالات'!$AH$6:$AH$505,'سجل الإجازات والحالات'!$B$6:$B$505,$B52)-SUMIFS('سجل الإجازات والحالات'!$R$6:$R$505,'سجل الإجازات والحالات'!$B$6:$B$505,$B52))))</f>
        <v/>
      </c>
      <c r="AK52" s="65" t="str">
        <f aca="false">IF($B52="","",MAX(0,IF(OR(الموظفون!$AE52="",الموظفون!$AE52&gt;$F$3),$F$3,الموظفون!$AE52)-MAX($E$3,الموظفون!$H52)+1))</f>
        <v/>
      </c>
      <c r="AL52" s="151" t="str">
        <f aca="false">IF($B52="","",SUMIFS('سجل الإجازات والحالات'!$AT$6:$AT$505,'سجل الإجازات والحالات'!$B$6:$B$505,$B52)+SUMIFS('الحركات الشهرية'!$K$6:$K$1005,'الحركات الشهرية'!$B$6:$B$1005,$B52,'الحركات الشهرية'!$A$6:$A$1005,$C$3))</f>
        <v/>
      </c>
      <c r="AM52" s="111" t="str">
        <f aca="false">IF($B52="","",AL52*الموظفون!$R52/cfg_DAYS_M+S52)</f>
        <v/>
      </c>
      <c r="AN52" s="151" t="str">
        <f aca="false">IF($B52="","",SUMIFS('سجل الإجازات والحالات'!$V$6:$V$505,'سجل الإجازات والحالات'!$B$6:$B$505,$B52))</f>
        <v/>
      </c>
    </row>
    <row r="53" customFormat="false" ht="15" hidden="false" customHeight="false" outlineLevel="0" collapsed="false">
      <c r="A53" s="115" t="str">
        <f aca="false">IF($B53="","",الموظفون!$A53)</f>
        <v/>
      </c>
      <c r="B53" s="117" t="str">
        <f aca="false">IF(الموظفون!$B53="","",الموظفون!$B53)</f>
        <v/>
      </c>
      <c r="C53" s="117" t="str">
        <f aca="false">IF($B53="","",الموظفون!$C53)</f>
        <v/>
      </c>
      <c r="D53" s="117" t="str">
        <f aca="false">IF($B53="","",الموظفون!$F53)</f>
        <v/>
      </c>
      <c r="E53" s="117" t="str">
        <f aca="false">IF($B53="","",الموظفون!$E53)</f>
        <v/>
      </c>
      <c r="F53" s="117" t="str">
        <f aca="false">IF($B53="","",IF(AK53=0,IF(AND(الموظفون!$AE53&lt;&gt;"",الموظفون!$AE53&lt;$E$3),"✖ منتهي الخدمة","⏳ لم يباشر"),IF(S53&gt;0,"✈ راتب إجازة مقدم",IF(J53=0,"⛔ بدون راتب هذا الشهر",IF(I53&gt;0,"✈ خصم "&amp;ROUND(I53,2)&amp;" يوم بدون أجر",IF(AL53&gt;0,"🌴 إجازة سنوية "&amp;ROUND(AL53,2)&amp;" يوم",IF(H53&gt;0,"⚠ غياب "&amp;ROUND(H53,2)&amp;" يوم","✔ على رأس العمل")))))))</f>
        <v/>
      </c>
      <c r="G53" s="156" t="str">
        <f aca="false">IF($B53="","",IF(AK53&gt;=DAY($F$3),cfg_DAYS_M,MIN(AK53,cfg_DAYS_M)))</f>
        <v/>
      </c>
      <c r="H53" s="156" t="str">
        <f aca="false">IF($B53="","",SUMIFS('الحركات الشهرية'!$D$6:$D$1005,'الحركات الشهرية'!$B$6:$B$1005,$B53,'الحركات الشهرية'!$A$6:$A$1005,$C$3))</f>
        <v/>
      </c>
      <c r="I53" s="156" t="str">
        <f aca="false">IF($B53="","",MIN(G53,IF(AND(AK53&gt;0,AN53&gt;=AK53),G53,AN53)+SUMIFS('الحركات الشهرية'!$E$6:$E$1005,'الحركات الشهرية'!$B$6:$B$1005,$B53,'الحركات الشهرية'!$A$6:$A$1005,$C$3)))</f>
        <v/>
      </c>
      <c r="J53" s="156" t="str">
        <f aca="false">IF($B53="","",MAX(0,G53-H53-I53))</f>
        <v/>
      </c>
      <c r="K53" s="116" t="str">
        <f aca="false">IF($B53="","",الموظفون!$L53*$J53/cfg_DAYS_M)</f>
        <v/>
      </c>
      <c r="L53" s="116" t="str">
        <f aca="false">IF($B53="","",الموظفون!$M53*$J53/cfg_DAYS_M)</f>
        <v/>
      </c>
      <c r="M53" s="116" t="str">
        <f aca="false">IF($B53="","",الموظفون!$N53*$J53/cfg_DAYS_M)</f>
        <v/>
      </c>
      <c r="N53" s="116" t="str">
        <f aca="false">IF($B53="","",الموظفون!$O53*$J53/cfg_DAYS_M)</f>
        <v/>
      </c>
      <c r="O53" s="156" t="str">
        <f aca="false">IF($B53="","",SUMIFS('الحركات الشهرية'!$F$6:$F$1005,'الحركات الشهرية'!$B$6:$B$1005,$B53,'الحركات الشهرية'!$A$6:$A$1005,$C$3))</f>
        <v/>
      </c>
      <c r="P53" s="116" t="str">
        <f aca="false">IF($B53="","",O53*(الموظفون!$P53+الموظفون!$L53*cfg_OT_P)/cfg_DAYS_M/cfg_HRS)</f>
        <v/>
      </c>
      <c r="Q53" s="116" t="str">
        <f aca="false">IF($B53="","",SUMIFS('الحركات الشهرية'!$G$6:$G$1005,'الحركات الشهرية'!$B$6:$B$1005,$B53,'الحركات الشهرية'!$A$6:$A$1005,$C$3))</f>
        <v/>
      </c>
      <c r="R53" s="116" t="str">
        <f aca="false">IF($B53="","",SUMIFS('الحركات الشهرية'!$H$6:$H$1005,'الحركات الشهرية'!$B$6:$B$1005,$B53,'الحركات الشهرية'!$A$6:$A$1005,$C$3))</f>
        <v/>
      </c>
      <c r="S53" s="116" t="str">
        <f aca="false">IF($B53="","",SUMIFS('سجل الإجازات والحالات'!$N$6:$N$505,'سجل الإجازات والحالات'!$B$6:$B$505,$B53,'سجل الإجازات والحالات'!$O$6:$O$505,$C$3))</f>
        <v/>
      </c>
      <c r="T53" s="157" t="str">
        <f aca="false">IF($B53="","",SUM(K53:N53)+SUM(P53:S53))</f>
        <v/>
      </c>
      <c r="U53" s="116" t="str">
        <f aca="false">IF($B53="","",الموظفون!$S53*IF(E53="سعودي",cfg_G_SE,cfg_G_NE)*G53/cfg_DAYS_M)</f>
        <v/>
      </c>
      <c r="V53" s="116" t="str">
        <f aca="false">IF($B53="","",SUMIFS('الحركات الشهرية'!$I$6:$I$1005,'الحركات الشهرية'!$B$6:$B$1005,$B53,'الحركات الشهرية'!$A$6:$A$1005,$C$3))</f>
        <v/>
      </c>
      <c r="W53" s="116" t="str">
        <f aca="false">IF($B53="","",SUMIFS('الحركات الشهرية'!$J$6:$J$1005,'الحركات الشهرية'!$B$6:$B$1005,$B53,'الحركات الشهرية'!$A$6:$A$1005,$C$3))</f>
        <v/>
      </c>
      <c r="X53" s="116" t="str">
        <f aca="false">IF($B53="","",SUM(U53:W53))</f>
        <v/>
      </c>
      <c r="Y53" s="158" t="str">
        <f aca="false">IF($B53="","",T53-X53)</f>
        <v/>
      </c>
      <c r="Z53" s="116" t="str">
        <f aca="false">IF($B53="","",الموظفون!$S53*IF(E53="سعودي",cfg_G_SR,cfg_G_NR)*G53/cfg_DAYS_M)</f>
        <v/>
      </c>
      <c r="AA53" s="116" t="str">
        <f aca="false">IF($B53="","",الموظفون!$Q53*(cfg_EOS_R1*(MIN(AH53,cfg_EOS_TH)-MIN(AI53,cfg_EOS_TH))+cfg_EOS_R2*(MAX(AH53-cfg_EOS_TH,0)-MAX(AI53-cfg_EOS_TH,0))))</f>
        <v/>
      </c>
      <c r="AB53" s="116" t="str">
        <f aca="false">IF($B53="","",IF(الموظفون!$T53&lt;&gt;"",الموظفون!$T53,IF(AH53&gt;=cfg_LV_TH,cfg_LV_D2,cfg_LV_D1))/cfg_DAYS_Y*AJ53*الموظفون!$R53/cfg_DAYS_M)</f>
        <v/>
      </c>
      <c r="AC53" s="116" t="str">
        <f aca="false">IF($B53="","",IF(AND(الموظفون!$U53="نعم",N(الموظفون!$W53)&gt;0),الموظفون!$V53/الموظفون!$W53*12/cfg_DAYS_Y*AJ53,0))</f>
        <v/>
      </c>
      <c r="AD53" s="116" t="str">
        <f aca="false">IF($B53="","",(IF(الموظفون!$X53&lt;&gt;"",الموظفون!$X53,IF(الموظفون!$E53="غير سعودي",cfg_IQ,0))+IF(الموظفون!$Y53&lt;&gt;"",الموظفون!$Y53,IF(الموظفون!$E53="غير سعودي",cfg_WP,0)))/12*G53/cfg_DAYS_M)</f>
        <v/>
      </c>
      <c r="AE53" s="116" t="str">
        <f aca="false">IF($B53="","",IF(الموظفون!$Z53&lt;&gt;"",الموظفون!$Z53,cfg_MED)/12*G53/cfg_DAYS_M)</f>
        <v/>
      </c>
      <c r="AF53" s="116" t="str">
        <f aca="false">IF($B53="","",N(الموظفون!$AA53)/12*G53/cfg_DAYS_M)</f>
        <v/>
      </c>
      <c r="AG53" s="159" t="str">
        <f aca="false">IF($B53="","",T53+SUM(Z53:AF53))</f>
        <v/>
      </c>
      <c r="AH53" s="160" t="str">
        <f aca="false">IF($B53="","",MAX(0,IF(OR(الموظفون!$AE53="",الموظفون!$AE53&gt;$F$3),$F$3,الموظفون!$AE53)-الموظفون!$H53+1-SUMIFS('سجل الإجازات والحالات'!$AH$6:$AH$505,'سجل الإجازات والحالات'!$B$6:$B$505,$B53))/cfg_DAYS_Y)</f>
        <v/>
      </c>
      <c r="AI53" s="160" t="str">
        <f aca="false">IF($B53="","",MAX(0,IF(OR(الموظفون!$AE53="",الموظفون!$AE53&gt;($E$3-1)),($E$3-1),الموظفون!$AE53)-الموظفون!$H53+1-SUMIFS('سجل الإجازات والحالات'!$R$6:$R$505,'سجل الإجازات والحالات'!$B$6:$B$505,$B53))/cfg_DAYS_Y)</f>
        <v/>
      </c>
      <c r="AJ53" s="133" t="str">
        <f aca="false">IF($B53="","",MAX(0,AK53-(SUMIFS('سجل الإجازات والحالات'!$AH$6:$AH$505,'سجل الإجازات والحالات'!$B$6:$B$505,$B53)-SUMIFS('سجل الإجازات والحالات'!$R$6:$R$505,'سجل الإجازات والحالات'!$B$6:$B$505,$B53))))</f>
        <v/>
      </c>
      <c r="AK53" s="133" t="str">
        <f aca="false">IF($B53="","",MAX(0,IF(OR(الموظفون!$AE53="",الموظفون!$AE53&gt;$F$3),$F$3,الموظفون!$AE53)-MAX($E$3,الموظفون!$H53)+1))</f>
        <v/>
      </c>
      <c r="AL53" s="156" t="str">
        <f aca="false">IF($B53="","",SUMIFS('سجل الإجازات والحالات'!$AT$6:$AT$505,'سجل الإجازات والحالات'!$B$6:$B$505,$B53)+SUMIFS('الحركات الشهرية'!$K$6:$K$1005,'الحركات الشهرية'!$B$6:$B$1005,$B53,'الحركات الشهرية'!$A$6:$A$1005,$C$3))</f>
        <v/>
      </c>
      <c r="AM53" s="116" t="str">
        <f aca="false">IF($B53="","",AL53*الموظفون!$R53/cfg_DAYS_M+S53)</f>
        <v/>
      </c>
      <c r="AN53" s="156" t="str">
        <f aca="false">IF($B53="","",SUMIFS('سجل الإجازات والحالات'!$V$6:$V$505,'سجل الإجازات والحالات'!$B$6:$B$505,$B53))</f>
        <v/>
      </c>
    </row>
    <row r="54" customFormat="false" ht="15" hidden="false" customHeight="false" outlineLevel="0" collapsed="false">
      <c r="A54" s="106" t="str">
        <f aca="false">IF($B54="","",الموظفون!$A54)</f>
        <v/>
      </c>
      <c r="B54" s="114" t="str">
        <f aca="false">IF(الموظفون!$B54="","",الموظفون!$B54)</f>
        <v/>
      </c>
      <c r="C54" s="114" t="str">
        <f aca="false">IF($B54="","",الموظفون!$C54)</f>
        <v/>
      </c>
      <c r="D54" s="114" t="str">
        <f aca="false">IF($B54="","",الموظفون!$F54)</f>
        <v/>
      </c>
      <c r="E54" s="114" t="str">
        <f aca="false">IF($B54="","",الموظفون!$E54)</f>
        <v/>
      </c>
      <c r="F54" s="114" t="str">
        <f aca="false">IF($B54="","",IF(AK54=0,IF(AND(الموظفون!$AE54&lt;&gt;"",الموظفون!$AE54&lt;$E$3),"✖ منتهي الخدمة","⏳ لم يباشر"),IF(S54&gt;0,"✈ راتب إجازة مقدم",IF(J54=0,"⛔ بدون راتب هذا الشهر",IF(I54&gt;0,"✈ خصم "&amp;ROUND(I54,2)&amp;" يوم بدون أجر",IF(AL54&gt;0,"🌴 إجازة سنوية "&amp;ROUND(AL54,2)&amp;" يوم",IF(H54&gt;0,"⚠ غياب "&amp;ROUND(H54,2)&amp;" يوم","✔ على رأس العمل")))))))</f>
        <v/>
      </c>
      <c r="G54" s="151" t="str">
        <f aca="false">IF($B54="","",IF(AK54&gt;=DAY($F$3),cfg_DAYS_M,MIN(AK54,cfg_DAYS_M)))</f>
        <v/>
      </c>
      <c r="H54" s="151" t="str">
        <f aca="false">IF($B54="","",SUMIFS('الحركات الشهرية'!$D$6:$D$1005,'الحركات الشهرية'!$B$6:$B$1005,$B54,'الحركات الشهرية'!$A$6:$A$1005,$C$3))</f>
        <v/>
      </c>
      <c r="I54" s="151" t="str">
        <f aca="false">IF($B54="","",MIN(G54,IF(AND(AK54&gt;0,AN54&gt;=AK54),G54,AN54)+SUMIFS('الحركات الشهرية'!$E$6:$E$1005,'الحركات الشهرية'!$B$6:$B$1005,$B54,'الحركات الشهرية'!$A$6:$A$1005,$C$3)))</f>
        <v/>
      </c>
      <c r="J54" s="151" t="str">
        <f aca="false">IF($B54="","",MAX(0,G54-H54-I54))</f>
        <v/>
      </c>
      <c r="K54" s="111" t="str">
        <f aca="false">IF($B54="","",الموظفون!$L54*$J54/cfg_DAYS_M)</f>
        <v/>
      </c>
      <c r="L54" s="111" t="str">
        <f aca="false">IF($B54="","",الموظفون!$M54*$J54/cfg_DAYS_M)</f>
        <v/>
      </c>
      <c r="M54" s="111" t="str">
        <f aca="false">IF($B54="","",الموظفون!$N54*$J54/cfg_DAYS_M)</f>
        <v/>
      </c>
      <c r="N54" s="111" t="str">
        <f aca="false">IF($B54="","",الموظفون!$O54*$J54/cfg_DAYS_M)</f>
        <v/>
      </c>
      <c r="O54" s="151" t="str">
        <f aca="false">IF($B54="","",SUMIFS('الحركات الشهرية'!$F$6:$F$1005,'الحركات الشهرية'!$B$6:$B$1005,$B54,'الحركات الشهرية'!$A$6:$A$1005,$C$3))</f>
        <v/>
      </c>
      <c r="P54" s="111" t="str">
        <f aca="false">IF($B54="","",O54*(الموظفون!$P54+الموظفون!$L54*cfg_OT_P)/cfg_DAYS_M/cfg_HRS)</f>
        <v/>
      </c>
      <c r="Q54" s="111" t="str">
        <f aca="false">IF($B54="","",SUMIFS('الحركات الشهرية'!$G$6:$G$1005,'الحركات الشهرية'!$B$6:$B$1005,$B54,'الحركات الشهرية'!$A$6:$A$1005,$C$3))</f>
        <v/>
      </c>
      <c r="R54" s="111" t="str">
        <f aca="false">IF($B54="","",SUMIFS('الحركات الشهرية'!$H$6:$H$1005,'الحركات الشهرية'!$B$6:$B$1005,$B54,'الحركات الشهرية'!$A$6:$A$1005,$C$3))</f>
        <v/>
      </c>
      <c r="S54" s="111" t="str">
        <f aca="false">IF($B54="","",SUMIFS('سجل الإجازات والحالات'!$N$6:$N$505,'سجل الإجازات والحالات'!$B$6:$B$505,$B54,'سجل الإجازات والحالات'!$O$6:$O$505,$C$3))</f>
        <v/>
      </c>
      <c r="T54" s="152" t="str">
        <f aca="false">IF($B54="","",SUM(K54:N54)+SUM(P54:S54))</f>
        <v/>
      </c>
      <c r="U54" s="111" t="str">
        <f aca="false">IF($B54="","",الموظفون!$S54*IF(E54="سعودي",cfg_G_SE,cfg_G_NE)*G54/cfg_DAYS_M)</f>
        <v/>
      </c>
      <c r="V54" s="111" t="str">
        <f aca="false">IF($B54="","",SUMIFS('الحركات الشهرية'!$I$6:$I$1005,'الحركات الشهرية'!$B$6:$B$1005,$B54,'الحركات الشهرية'!$A$6:$A$1005,$C$3))</f>
        <v/>
      </c>
      <c r="W54" s="111" t="str">
        <f aca="false">IF($B54="","",SUMIFS('الحركات الشهرية'!$J$6:$J$1005,'الحركات الشهرية'!$B$6:$B$1005,$B54,'الحركات الشهرية'!$A$6:$A$1005,$C$3))</f>
        <v/>
      </c>
      <c r="X54" s="111" t="str">
        <f aca="false">IF($B54="","",SUM(U54:W54))</f>
        <v/>
      </c>
      <c r="Y54" s="153" t="str">
        <f aca="false">IF($B54="","",T54-X54)</f>
        <v/>
      </c>
      <c r="Z54" s="111" t="str">
        <f aca="false">IF($B54="","",الموظفون!$S54*IF(E54="سعودي",cfg_G_SR,cfg_G_NR)*G54/cfg_DAYS_M)</f>
        <v/>
      </c>
      <c r="AA54" s="111" t="str">
        <f aca="false">IF($B54="","",الموظفون!$Q54*(cfg_EOS_R1*(MIN(AH54,cfg_EOS_TH)-MIN(AI54,cfg_EOS_TH))+cfg_EOS_R2*(MAX(AH54-cfg_EOS_TH,0)-MAX(AI54-cfg_EOS_TH,0))))</f>
        <v/>
      </c>
      <c r="AB54" s="111" t="str">
        <f aca="false">IF($B54="","",IF(الموظفون!$T54&lt;&gt;"",الموظفون!$T54,IF(AH54&gt;=cfg_LV_TH,cfg_LV_D2,cfg_LV_D1))/cfg_DAYS_Y*AJ54*الموظفون!$R54/cfg_DAYS_M)</f>
        <v/>
      </c>
      <c r="AC54" s="111" t="str">
        <f aca="false">IF($B54="","",IF(AND(الموظفون!$U54="نعم",N(الموظفون!$W54)&gt;0),الموظفون!$V54/الموظفون!$W54*12/cfg_DAYS_Y*AJ54,0))</f>
        <v/>
      </c>
      <c r="AD54" s="111" t="str">
        <f aca="false">IF($B54="","",(IF(الموظفون!$X54&lt;&gt;"",الموظفون!$X54,IF(الموظفون!$E54="غير سعودي",cfg_IQ,0))+IF(الموظفون!$Y54&lt;&gt;"",الموظفون!$Y54,IF(الموظفون!$E54="غير سعودي",cfg_WP,0)))/12*G54/cfg_DAYS_M)</f>
        <v/>
      </c>
      <c r="AE54" s="111" t="str">
        <f aca="false">IF($B54="","",IF(الموظفون!$Z54&lt;&gt;"",الموظفون!$Z54,cfg_MED)/12*G54/cfg_DAYS_M)</f>
        <v/>
      </c>
      <c r="AF54" s="111" t="str">
        <f aca="false">IF($B54="","",N(الموظفون!$AA54)/12*G54/cfg_DAYS_M)</f>
        <v/>
      </c>
      <c r="AG54" s="154" t="str">
        <f aca="false">IF($B54="","",T54+SUM(Z54:AF54))</f>
        <v/>
      </c>
      <c r="AH54" s="155" t="str">
        <f aca="false">IF($B54="","",MAX(0,IF(OR(الموظفون!$AE54="",الموظفون!$AE54&gt;$F$3),$F$3,الموظفون!$AE54)-الموظفون!$H54+1-SUMIFS('سجل الإجازات والحالات'!$AH$6:$AH$505,'سجل الإجازات والحالات'!$B$6:$B$505,$B54))/cfg_DAYS_Y)</f>
        <v/>
      </c>
      <c r="AI54" s="155" t="str">
        <f aca="false">IF($B54="","",MAX(0,IF(OR(الموظفون!$AE54="",الموظفون!$AE54&gt;($E$3-1)),($E$3-1),الموظفون!$AE54)-الموظفون!$H54+1-SUMIFS('سجل الإجازات والحالات'!$R$6:$R$505,'سجل الإجازات والحالات'!$B$6:$B$505,$B54))/cfg_DAYS_Y)</f>
        <v/>
      </c>
      <c r="AJ54" s="65" t="str">
        <f aca="false">IF($B54="","",MAX(0,AK54-(SUMIFS('سجل الإجازات والحالات'!$AH$6:$AH$505,'سجل الإجازات والحالات'!$B$6:$B$505,$B54)-SUMIFS('سجل الإجازات والحالات'!$R$6:$R$505,'سجل الإجازات والحالات'!$B$6:$B$505,$B54))))</f>
        <v/>
      </c>
      <c r="AK54" s="65" t="str">
        <f aca="false">IF($B54="","",MAX(0,IF(OR(الموظفون!$AE54="",الموظفون!$AE54&gt;$F$3),$F$3,الموظفون!$AE54)-MAX($E$3,الموظفون!$H54)+1))</f>
        <v/>
      </c>
      <c r="AL54" s="151" t="str">
        <f aca="false">IF($B54="","",SUMIFS('سجل الإجازات والحالات'!$AT$6:$AT$505,'سجل الإجازات والحالات'!$B$6:$B$505,$B54)+SUMIFS('الحركات الشهرية'!$K$6:$K$1005,'الحركات الشهرية'!$B$6:$B$1005,$B54,'الحركات الشهرية'!$A$6:$A$1005,$C$3))</f>
        <v/>
      </c>
      <c r="AM54" s="111" t="str">
        <f aca="false">IF($B54="","",AL54*الموظفون!$R54/cfg_DAYS_M+S54)</f>
        <v/>
      </c>
      <c r="AN54" s="151" t="str">
        <f aca="false">IF($B54="","",SUMIFS('سجل الإجازات والحالات'!$V$6:$V$505,'سجل الإجازات والحالات'!$B$6:$B$505,$B54))</f>
        <v/>
      </c>
    </row>
    <row r="55" customFormat="false" ht="15" hidden="false" customHeight="false" outlineLevel="0" collapsed="false">
      <c r="A55" s="115" t="str">
        <f aca="false">IF($B55="","",الموظفون!$A55)</f>
        <v/>
      </c>
      <c r="B55" s="117" t="str">
        <f aca="false">IF(الموظفون!$B55="","",الموظفون!$B55)</f>
        <v/>
      </c>
      <c r="C55" s="117" t="str">
        <f aca="false">IF($B55="","",الموظفون!$C55)</f>
        <v/>
      </c>
      <c r="D55" s="117" t="str">
        <f aca="false">IF($B55="","",الموظفون!$F55)</f>
        <v/>
      </c>
      <c r="E55" s="117" t="str">
        <f aca="false">IF($B55="","",الموظفون!$E55)</f>
        <v/>
      </c>
      <c r="F55" s="117" t="str">
        <f aca="false">IF($B55="","",IF(AK55=0,IF(AND(الموظفون!$AE55&lt;&gt;"",الموظفون!$AE55&lt;$E$3),"✖ منتهي الخدمة","⏳ لم يباشر"),IF(S55&gt;0,"✈ راتب إجازة مقدم",IF(J55=0,"⛔ بدون راتب هذا الشهر",IF(I55&gt;0,"✈ خصم "&amp;ROUND(I55,2)&amp;" يوم بدون أجر",IF(AL55&gt;0,"🌴 إجازة سنوية "&amp;ROUND(AL55,2)&amp;" يوم",IF(H55&gt;0,"⚠ غياب "&amp;ROUND(H55,2)&amp;" يوم","✔ على رأس العمل")))))))</f>
        <v/>
      </c>
      <c r="G55" s="156" t="str">
        <f aca="false">IF($B55="","",IF(AK55&gt;=DAY($F$3),cfg_DAYS_M,MIN(AK55,cfg_DAYS_M)))</f>
        <v/>
      </c>
      <c r="H55" s="156" t="str">
        <f aca="false">IF($B55="","",SUMIFS('الحركات الشهرية'!$D$6:$D$1005,'الحركات الشهرية'!$B$6:$B$1005,$B55,'الحركات الشهرية'!$A$6:$A$1005,$C$3))</f>
        <v/>
      </c>
      <c r="I55" s="156" t="str">
        <f aca="false">IF($B55="","",MIN(G55,IF(AND(AK55&gt;0,AN55&gt;=AK55),G55,AN55)+SUMIFS('الحركات الشهرية'!$E$6:$E$1005,'الحركات الشهرية'!$B$6:$B$1005,$B55,'الحركات الشهرية'!$A$6:$A$1005,$C$3)))</f>
        <v/>
      </c>
      <c r="J55" s="156" t="str">
        <f aca="false">IF($B55="","",MAX(0,G55-H55-I55))</f>
        <v/>
      </c>
      <c r="K55" s="116" t="str">
        <f aca="false">IF($B55="","",الموظفون!$L55*$J55/cfg_DAYS_M)</f>
        <v/>
      </c>
      <c r="L55" s="116" t="str">
        <f aca="false">IF($B55="","",الموظفون!$M55*$J55/cfg_DAYS_M)</f>
        <v/>
      </c>
      <c r="M55" s="116" t="str">
        <f aca="false">IF($B55="","",الموظفون!$N55*$J55/cfg_DAYS_M)</f>
        <v/>
      </c>
      <c r="N55" s="116" t="str">
        <f aca="false">IF($B55="","",الموظفون!$O55*$J55/cfg_DAYS_M)</f>
        <v/>
      </c>
      <c r="O55" s="156" t="str">
        <f aca="false">IF($B55="","",SUMIFS('الحركات الشهرية'!$F$6:$F$1005,'الحركات الشهرية'!$B$6:$B$1005,$B55,'الحركات الشهرية'!$A$6:$A$1005,$C$3))</f>
        <v/>
      </c>
      <c r="P55" s="116" t="str">
        <f aca="false">IF($B55="","",O55*(الموظفون!$P55+الموظفون!$L55*cfg_OT_P)/cfg_DAYS_M/cfg_HRS)</f>
        <v/>
      </c>
      <c r="Q55" s="116" t="str">
        <f aca="false">IF($B55="","",SUMIFS('الحركات الشهرية'!$G$6:$G$1005,'الحركات الشهرية'!$B$6:$B$1005,$B55,'الحركات الشهرية'!$A$6:$A$1005,$C$3))</f>
        <v/>
      </c>
      <c r="R55" s="116" t="str">
        <f aca="false">IF($B55="","",SUMIFS('الحركات الشهرية'!$H$6:$H$1005,'الحركات الشهرية'!$B$6:$B$1005,$B55,'الحركات الشهرية'!$A$6:$A$1005,$C$3))</f>
        <v/>
      </c>
      <c r="S55" s="116" t="str">
        <f aca="false">IF($B55="","",SUMIFS('سجل الإجازات والحالات'!$N$6:$N$505,'سجل الإجازات والحالات'!$B$6:$B$505,$B55,'سجل الإجازات والحالات'!$O$6:$O$505,$C$3))</f>
        <v/>
      </c>
      <c r="T55" s="157" t="str">
        <f aca="false">IF($B55="","",SUM(K55:N55)+SUM(P55:S55))</f>
        <v/>
      </c>
      <c r="U55" s="116" t="str">
        <f aca="false">IF($B55="","",الموظفون!$S55*IF(E55="سعودي",cfg_G_SE,cfg_G_NE)*G55/cfg_DAYS_M)</f>
        <v/>
      </c>
      <c r="V55" s="116" t="str">
        <f aca="false">IF($B55="","",SUMIFS('الحركات الشهرية'!$I$6:$I$1005,'الحركات الشهرية'!$B$6:$B$1005,$B55,'الحركات الشهرية'!$A$6:$A$1005,$C$3))</f>
        <v/>
      </c>
      <c r="W55" s="116" t="str">
        <f aca="false">IF($B55="","",SUMIFS('الحركات الشهرية'!$J$6:$J$1005,'الحركات الشهرية'!$B$6:$B$1005,$B55,'الحركات الشهرية'!$A$6:$A$1005,$C$3))</f>
        <v/>
      </c>
      <c r="X55" s="116" t="str">
        <f aca="false">IF($B55="","",SUM(U55:W55))</f>
        <v/>
      </c>
      <c r="Y55" s="158" t="str">
        <f aca="false">IF($B55="","",T55-X55)</f>
        <v/>
      </c>
      <c r="Z55" s="116" t="str">
        <f aca="false">IF($B55="","",الموظفون!$S55*IF(E55="سعودي",cfg_G_SR,cfg_G_NR)*G55/cfg_DAYS_M)</f>
        <v/>
      </c>
      <c r="AA55" s="116" t="str">
        <f aca="false">IF($B55="","",الموظفون!$Q55*(cfg_EOS_R1*(MIN(AH55,cfg_EOS_TH)-MIN(AI55,cfg_EOS_TH))+cfg_EOS_R2*(MAX(AH55-cfg_EOS_TH,0)-MAX(AI55-cfg_EOS_TH,0))))</f>
        <v/>
      </c>
      <c r="AB55" s="116" t="str">
        <f aca="false">IF($B55="","",IF(الموظفون!$T55&lt;&gt;"",الموظفون!$T55,IF(AH55&gt;=cfg_LV_TH,cfg_LV_D2,cfg_LV_D1))/cfg_DAYS_Y*AJ55*الموظفون!$R55/cfg_DAYS_M)</f>
        <v/>
      </c>
      <c r="AC55" s="116" t="str">
        <f aca="false">IF($B55="","",IF(AND(الموظفون!$U55="نعم",N(الموظفون!$W55)&gt;0),الموظفون!$V55/الموظفون!$W55*12/cfg_DAYS_Y*AJ55,0))</f>
        <v/>
      </c>
      <c r="AD55" s="116" t="str">
        <f aca="false">IF($B55="","",(IF(الموظفون!$X55&lt;&gt;"",الموظفون!$X55,IF(الموظفون!$E55="غير سعودي",cfg_IQ,0))+IF(الموظفون!$Y55&lt;&gt;"",الموظفون!$Y55,IF(الموظفون!$E55="غير سعودي",cfg_WP,0)))/12*G55/cfg_DAYS_M)</f>
        <v/>
      </c>
      <c r="AE55" s="116" t="str">
        <f aca="false">IF($B55="","",IF(الموظفون!$Z55&lt;&gt;"",الموظفون!$Z55,cfg_MED)/12*G55/cfg_DAYS_M)</f>
        <v/>
      </c>
      <c r="AF55" s="116" t="str">
        <f aca="false">IF($B55="","",N(الموظفون!$AA55)/12*G55/cfg_DAYS_M)</f>
        <v/>
      </c>
      <c r="AG55" s="159" t="str">
        <f aca="false">IF($B55="","",T55+SUM(Z55:AF55))</f>
        <v/>
      </c>
      <c r="AH55" s="160" t="str">
        <f aca="false">IF($B55="","",MAX(0,IF(OR(الموظفون!$AE55="",الموظفون!$AE55&gt;$F$3),$F$3,الموظفون!$AE55)-الموظفون!$H55+1-SUMIFS('سجل الإجازات والحالات'!$AH$6:$AH$505,'سجل الإجازات والحالات'!$B$6:$B$505,$B55))/cfg_DAYS_Y)</f>
        <v/>
      </c>
      <c r="AI55" s="160" t="str">
        <f aca="false">IF($B55="","",MAX(0,IF(OR(الموظفون!$AE55="",الموظفون!$AE55&gt;($E$3-1)),($E$3-1),الموظفون!$AE55)-الموظفون!$H55+1-SUMIFS('سجل الإجازات والحالات'!$R$6:$R$505,'سجل الإجازات والحالات'!$B$6:$B$505,$B55))/cfg_DAYS_Y)</f>
        <v/>
      </c>
      <c r="AJ55" s="133" t="str">
        <f aca="false">IF($B55="","",MAX(0,AK55-(SUMIFS('سجل الإجازات والحالات'!$AH$6:$AH$505,'سجل الإجازات والحالات'!$B$6:$B$505,$B55)-SUMIFS('سجل الإجازات والحالات'!$R$6:$R$505,'سجل الإجازات والحالات'!$B$6:$B$505,$B55))))</f>
        <v/>
      </c>
      <c r="AK55" s="133" t="str">
        <f aca="false">IF($B55="","",MAX(0,IF(OR(الموظفون!$AE55="",الموظفون!$AE55&gt;$F$3),$F$3,الموظفون!$AE55)-MAX($E$3,الموظفون!$H55)+1))</f>
        <v/>
      </c>
      <c r="AL55" s="156" t="str">
        <f aca="false">IF($B55="","",SUMIFS('سجل الإجازات والحالات'!$AT$6:$AT$505,'سجل الإجازات والحالات'!$B$6:$B$505,$B55)+SUMIFS('الحركات الشهرية'!$K$6:$K$1005,'الحركات الشهرية'!$B$6:$B$1005,$B55,'الحركات الشهرية'!$A$6:$A$1005,$C$3))</f>
        <v/>
      </c>
      <c r="AM55" s="116" t="str">
        <f aca="false">IF($B55="","",AL55*الموظفون!$R55/cfg_DAYS_M+S55)</f>
        <v/>
      </c>
      <c r="AN55" s="156" t="str">
        <f aca="false">IF($B55="","",SUMIFS('سجل الإجازات والحالات'!$V$6:$V$505,'سجل الإجازات والحالات'!$B$6:$B$505,$B55))</f>
        <v/>
      </c>
    </row>
    <row r="56" customFormat="false" ht="15" hidden="false" customHeight="false" outlineLevel="0" collapsed="false">
      <c r="A56" s="106" t="str">
        <f aca="false">IF($B56="","",الموظفون!$A56)</f>
        <v/>
      </c>
      <c r="B56" s="114" t="str">
        <f aca="false">IF(الموظفون!$B56="","",الموظفون!$B56)</f>
        <v/>
      </c>
      <c r="C56" s="114" t="str">
        <f aca="false">IF($B56="","",الموظفون!$C56)</f>
        <v/>
      </c>
      <c r="D56" s="114" t="str">
        <f aca="false">IF($B56="","",الموظفون!$F56)</f>
        <v/>
      </c>
      <c r="E56" s="114" t="str">
        <f aca="false">IF($B56="","",الموظفون!$E56)</f>
        <v/>
      </c>
      <c r="F56" s="114" t="str">
        <f aca="false">IF($B56="","",IF(AK56=0,IF(AND(الموظفون!$AE56&lt;&gt;"",الموظفون!$AE56&lt;$E$3),"✖ منتهي الخدمة","⏳ لم يباشر"),IF(S56&gt;0,"✈ راتب إجازة مقدم",IF(J56=0,"⛔ بدون راتب هذا الشهر",IF(I56&gt;0,"✈ خصم "&amp;ROUND(I56,2)&amp;" يوم بدون أجر",IF(AL56&gt;0,"🌴 إجازة سنوية "&amp;ROUND(AL56,2)&amp;" يوم",IF(H56&gt;0,"⚠ غياب "&amp;ROUND(H56,2)&amp;" يوم","✔ على رأس العمل")))))))</f>
        <v/>
      </c>
      <c r="G56" s="151" t="str">
        <f aca="false">IF($B56="","",IF(AK56&gt;=DAY($F$3),cfg_DAYS_M,MIN(AK56,cfg_DAYS_M)))</f>
        <v/>
      </c>
      <c r="H56" s="151" t="str">
        <f aca="false">IF($B56="","",SUMIFS('الحركات الشهرية'!$D$6:$D$1005,'الحركات الشهرية'!$B$6:$B$1005,$B56,'الحركات الشهرية'!$A$6:$A$1005,$C$3))</f>
        <v/>
      </c>
      <c r="I56" s="151" t="str">
        <f aca="false">IF($B56="","",MIN(G56,IF(AND(AK56&gt;0,AN56&gt;=AK56),G56,AN56)+SUMIFS('الحركات الشهرية'!$E$6:$E$1005,'الحركات الشهرية'!$B$6:$B$1005,$B56,'الحركات الشهرية'!$A$6:$A$1005,$C$3)))</f>
        <v/>
      </c>
      <c r="J56" s="151" t="str">
        <f aca="false">IF($B56="","",MAX(0,G56-H56-I56))</f>
        <v/>
      </c>
      <c r="K56" s="111" t="str">
        <f aca="false">IF($B56="","",الموظفون!$L56*$J56/cfg_DAYS_M)</f>
        <v/>
      </c>
      <c r="L56" s="111" t="str">
        <f aca="false">IF($B56="","",الموظفون!$M56*$J56/cfg_DAYS_M)</f>
        <v/>
      </c>
      <c r="M56" s="111" t="str">
        <f aca="false">IF($B56="","",الموظفون!$N56*$J56/cfg_DAYS_M)</f>
        <v/>
      </c>
      <c r="N56" s="111" t="str">
        <f aca="false">IF($B56="","",الموظفون!$O56*$J56/cfg_DAYS_M)</f>
        <v/>
      </c>
      <c r="O56" s="151" t="str">
        <f aca="false">IF($B56="","",SUMIFS('الحركات الشهرية'!$F$6:$F$1005,'الحركات الشهرية'!$B$6:$B$1005,$B56,'الحركات الشهرية'!$A$6:$A$1005,$C$3))</f>
        <v/>
      </c>
      <c r="P56" s="111" t="str">
        <f aca="false">IF($B56="","",O56*(الموظفون!$P56+الموظفون!$L56*cfg_OT_P)/cfg_DAYS_M/cfg_HRS)</f>
        <v/>
      </c>
      <c r="Q56" s="111" t="str">
        <f aca="false">IF($B56="","",SUMIFS('الحركات الشهرية'!$G$6:$G$1005,'الحركات الشهرية'!$B$6:$B$1005,$B56,'الحركات الشهرية'!$A$6:$A$1005,$C$3))</f>
        <v/>
      </c>
      <c r="R56" s="111" t="str">
        <f aca="false">IF($B56="","",SUMIFS('الحركات الشهرية'!$H$6:$H$1005,'الحركات الشهرية'!$B$6:$B$1005,$B56,'الحركات الشهرية'!$A$6:$A$1005,$C$3))</f>
        <v/>
      </c>
      <c r="S56" s="111" t="str">
        <f aca="false">IF($B56="","",SUMIFS('سجل الإجازات والحالات'!$N$6:$N$505,'سجل الإجازات والحالات'!$B$6:$B$505,$B56,'سجل الإجازات والحالات'!$O$6:$O$505,$C$3))</f>
        <v/>
      </c>
      <c r="T56" s="152" t="str">
        <f aca="false">IF($B56="","",SUM(K56:N56)+SUM(P56:S56))</f>
        <v/>
      </c>
      <c r="U56" s="111" t="str">
        <f aca="false">IF($B56="","",الموظفون!$S56*IF(E56="سعودي",cfg_G_SE,cfg_G_NE)*G56/cfg_DAYS_M)</f>
        <v/>
      </c>
      <c r="V56" s="111" t="str">
        <f aca="false">IF($B56="","",SUMIFS('الحركات الشهرية'!$I$6:$I$1005,'الحركات الشهرية'!$B$6:$B$1005,$B56,'الحركات الشهرية'!$A$6:$A$1005,$C$3))</f>
        <v/>
      </c>
      <c r="W56" s="111" t="str">
        <f aca="false">IF($B56="","",SUMIFS('الحركات الشهرية'!$J$6:$J$1005,'الحركات الشهرية'!$B$6:$B$1005,$B56,'الحركات الشهرية'!$A$6:$A$1005,$C$3))</f>
        <v/>
      </c>
      <c r="X56" s="111" t="str">
        <f aca="false">IF($B56="","",SUM(U56:W56))</f>
        <v/>
      </c>
      <c r="Y56" s="153" t="str">
        <f aca="false">IF($B56="","",T56-X56)</f>
        <v/>
      </c>
      <c r="Z56" s="111" t="str">
        <f aca="false">IF($B56="","",الموظفون!$S56*IF(E56="سعودي",cfg_G_SR,cfg_G_NR)*G56/cfg_DAYS_M)</f>
        <v/>
      </c>
      <c r="AA56" s="111" t="str">
        <f aca="false">IF($B56="","",الموظفون!$Q56*(cfg_EOS_R1*(MIN(AH56,cfg_EOS_TH)-MIN(AI56,cfg_EOS_TH))+cfg_EOS_R2*(MAX(AH56-cfg_EOS_TH,0)-MAX(AI56-cfg_EOS_TH,0))))</f>
        <v/>
      </c>
      <c r="AB56" s="111" t="str">
        <f aca="false">IF($B56="","",IF(الموظفون!$T56&lt;&gt;"",الموظفون!$T56,IF(AH56&gt;=cfg_LV_TH,cfg_LV_D2,cfg_LV_D1))/cfg_DAYS_Y*AJ56*الموظفون!$R56/cfg_DAYS_M)</f>
        <v/>
      </c>
      <c r="AC56" s="111" t="str">
        <f aca="false">IF($B56="","",IF(AND(الموظفون!$U56="نعم",N(الموظفون!$W56)&gt;0),الموظفون!$V56/الموظفون!$W56*12/cfg_DAYS_Y*AJ56,0))</f>
        <v/>
      </c>
      <c r="AD56" s="111" t="str">
        <f aca="false">IF($B56="","",(IF(الموظفون!$X56&lt;&gt;"",الموظفون!$X56,IF(الموظفون!$E56="غير سعودي",cfg_IQ,0))+IF(الموظفون!$Y56&lt;&gt;"",الموظفون!$Y56,IF(الموظفون!$E56="غير سعودي",cfg_WP,0)))/12*G56/cfg_DAYS_M)</f>
        <v/>
      </c>
      <c r="AE56" s="111" t="str">
        <f aca="false">IF($B56="","",IF(الموظفون!$Z56&lt;&gt;"",الموظفون!$Z56,cfg_MED)/12*G56/cfg_DAYS_M)</f>
        <v/>
      </c>
      <c r="AF56" s="111" t="str">
        <f aca="false">IF($B56="","",N(الموظفون!$AA56)/12*G56/cfg_DAYS_M)</f>
        <v/>
      </c>
      <c r="AG56" s="154" t="str">
        <f aca="false">IF($B56="","",T56+SUM(Z56:AF56))</f>
        <v/>
      </c>
      <c r="AH56" s="155" t="str">
        <f aca="false">IF($B56="","",MAX(0,IF(OR(الموظفون!$AE56="",الموظفون!$AE56&gt;$F$3),$F$3,الموظفون!$AE56)-الموظفون!$H56+1-SUMIFS('سجل الإجازات والحالات'!$AH$6:$AH$505,'سجل الإجازات والحالات'!$B$6:$B$505,$B56))/cfg_DAYS_Y)</f>
        <v/>
      </c>
      <c r="AI56" s="155" t="str">
        <f aca="false">IF($B56="","",MAX(0,IF(OR(الموظفون!$AE56="",الموظفون!$AE56&gt;($E$3-1)),($E$3-1),الموظفون!$AE56)-الموظفون!$H56+1-SUMIFS('سجل الإجازات والحالات'!$R$6:$R$505,'سجل الإجازات والحالات'!$B$6:$B$505,$B56))/cfg_DAYS_Y)</f>
        <v/>
      </c>
      <c r="AJ56" s="65" t="str">
        <f aca="false">IF($B56="","",MAX(0,AK56-(SUMIFS('سجل الإجازات والحالات'!$AH$6:$AH$505,'سجل الإجازات والحالات'!$B$6:$B$505,$B56)-SUMIFS('سجل الإجازات والحالات'!$R$6:$R$505,'سجل الإجازات والحالات'!$B$6:$B$505,$B56))))</f>
        <v/>
      </c>
      <c r="AK56" s="65" t="str">
        <f aca="false">IF($B56="","",MAX(0,IF(OR(الموظفون!$AE56="",الموظفون!$AE56&gt;$F$3),$F$3,الموظفون!$AE56)-MAX($E$3,الموظفون!$H56)+1))</f>
        <v/>
      </c>
      <c r="AL56" s="151" t="str">
        <f aca="false">IF($B56="","",SUMIFS('سجل الإجازات والحالات'!$AT$6:$AT$505,'سجل الإجازات والحالات'!$B$6:$B$505,$B56)+SUMIFS('الحركات الشهرية'!$K$6:$K$1005,'الحركات الشهرية'!$B$6:$B$1005,$B56,'الحركات الشهرية'!$A$6:$A$1005,$C$3))</f>
        <v/>
      </c>
      <c r="AM56" s="111" t="str">
        <f aca="false">IF($B56="","",AL56*الموظفون!$R56/cfg_DAYS_M+S56)</f>
        <v/>
      </c>
      <c r="AN56" s="151" t="str">
        <f aca="false">IF($B56="","",SUMIFS('سجل الإجازات والحالات'!$V$6:$V$505,'سجل الإجازات والحالات'!$B$6:$B$505,$B56))</f>
        <v/>
      </c>
    </row>
    <row r="57" customFormat="false" ht="15" hidden="false" customHeight="false" outlineLevel="0" collapsed="false">
      <c r="A57" s="115" t="str">
        <f aca="false">IF($B57="","",الموظفون!$A57)</f>
        <v/>
      </c>
      <c r="B57" s="117" t="str">
        <f aca="false">IF(الموظفون!$B57="","",الموظفون!$B57)</f>
        <v/>
      </c>
      <c r="C57" s="117" t="str">
        <f aca="false">IF($B57="","",الموظفون!$C57)</f>
        <v/>
      </c>
      <c r="D57" s="117" t="str">
        <f aca="false">IF($B57="","",الموظفون!$F57)</f>
        <v/>
      </c>
      <c r="E57" s="117" t="str">
        <f aca="false">IF($B57="","",الموظفون!$E57)</f>
        <v/>
      </c>
      <c r="F57" s="117" t="str">
        <f aca="false">IF($B57="","",IF(AK57=0,IF(AND(الموظفون!$AE57&lt;&gt;"",الموظفون!$AE57&lt;$E$3),"✖ منتهي الخدمة","⏳ لم يباشر"),IF(S57&gt;0,"✈ راتب إجازة مقدم",IF(J57=0,"⛔ بدون راتب هذا الشهر",IF(I57&gt;0,"✈ خصم "&amp;ROUND(I57,2)&amp;" يوم بدون أجر",IF(AL57&gt;0,"🌴 إجازة سنوية "&amp;ROUND(AL57,2)&amp;" يوم",IF(H57&gt;0,"⚠ غياب "&amp;ROUND(H57,2)&amp;" يوم","✔ على رأس العمل")))))))</f>
        <v/>
      </c>
      <c r="G57" s="156" t="str">
        <f aca="false">IF($B57="","",IF(AK57&gt;=DAY($F$3),cfg_DAYS_M,MIN(AK57,cfg_DAYS_M)))</f>
        <v/>
      </c>
      <c r="H57" s="156" t="str">
        <f aca="false">IF($B57="","",SUMIFS('الحركات الشهرية'!$D$6:$D$1005,'الحركات الشهرية'!$B$6:$B$1005,$B57,'الحركات الشهرية'!$A$6:$A$1005,$C$3))</f>
        <v/>
      </c>
      <c r="I57" s="156" t="str">
        <f aca="false">IF($B57="","",MIN(G57,IF(AND(AK57&gt;0,AN57&gt;=AK57),G57,AN57)+SUMIFS('الحركات الشهرية'!$E$6:$E$1005,'الحركات الشهرية'!$B$6:$B$1005,$B57,'الحركات الشهرية'!$A$6:$A$1005,$C$3)))</f>
        <v/>
      </c>
      <c r="J57" s="156" t="str">
        <f aca="false">IF($B57="","",MAX(0,G57-H57-I57))</f>
        <v/>
      </c>
      <c r="K57" s="116" t="str">
        <f aca="false">IF($B57="","",الموظفون!$L57*$J57/cfg_DAYS_M)</f>
        <v/>
      </c>
      <c r="L57" s="116" t="str">
        <f aca="false">IF($B57="","",الموظفون!$M57*$J57/cfg_DAYS_M)</f>
        <v/>
      </c>
      <c r="M57" s="116" t="str">
        <f aca="false">IF($B57="","",الموظفون!$N57*$J57/cfg_DAYS_M)</f>
        <v/>
      </c>
      <c r="N57" s="116" t="str">
        <f aca="false">IF($B57="","",الموظفون!$O57*$J57/cfg_DAYS_M)</f>
        <v/>
      </c>
      <c r="O57" s="156" t="str">
        <f aca="false">IF($B57="","",SUMIFS('الحركات الشهرية'!$F$6:$F$1005,'الحركات الشهرية'!$B$6:$B$1005,$B57,'الحركات الشهرية'!$A$6:$A$1005,$C$3))</f>
        <v/>
      </c>
      <c r="P57" s="116" t="str">
        <f aca="false">IF($B57="","",O57*(الموظفون!$P57+الموظفون!$L57*cfg_OT_P)/cfg_DAYS_M/cfg_HRS)</f>
        <v/>
      </c>
      <c r="Q57" s="116" t="str">
        <f aca="false">IF($B57="","",SUMIFS('الحركات الشهرية'!$G$6:$G$1005,'الحركات الشهرية'!$B$6:$B$1005,$B57,'الحركات الشهرية'!$A$6:$A$1005,$C$3))</f>
        <v/>
      </c>
      <c r="R57" s="116" t="str">
        <f aca="false">IF($B57="","",SUMIFS('الحركات الشهرية'!$H$6:$H$1005,'الحركات الشهرية'!$B$6:$B$1005,$B57,'الحركات الشهرية'!$A$6:$A$1005,$C$3))</f>
        <v/>
      </c>
      <c r="S57" s="116" t="str">
        <f aca="false">IF($B57="","",SUMIFS('سجل الإجازات والحالات'!$N$6:$N$505,'سجل الإجازات والحالات'!$B$6:$B$505,$B57,'سجل الإجازات والحالات'!$O$6:$O$505,$C$3))</f>
        <v/>
      </c>
      <c r="T57" s="157" t="str">
        <f aca="false">IF($B57="","",SUM(K57:N57)+SUM(P57:S57))</f>
        <v/>
      </c>
      <c r="U57" s="116" t="str">
        <f aca="false">IF($B57="","",الموظفون!$S57*IF(E57="سعودي",cfg_G_SE,cfg_G_NE)*G57/cfg_DAYS_M)</f>
        <v/>
      </c>
      <c r="V57" s="116" t="str">
        <f aca="false">IF($B57="","",SUMIFS('الحركات الشهرية'!$I$6:$I$1005,'الحركات الشهرية'!$B$6:$B$1005,$B57,'الحركات الشهرية'!$A$6:$A$1005,$C$3))</f>
        <v/>
      </c>
      <c r="W57" s="116" t="str">
        <f aca="false">IF($B57="","",SUMIFS('الحركات الشهرية'!$J$6:$J$1005,'الحركات الشهرية'!$B$6:$B$1005,$B57,'الحركات الشهرية'!$A$6:$A$1005,$C$3))</f>
        <v/>
      </c>
      <c r="X57" s="116" t="str">
        <f aca="false">IF($B57="","",SUM(U57:W57))</f>
        <v/>
      </c>
      <c r="Y57" s="158" t="str">
        <f aca="false">IF($B57="","",T57-X57)</f>
        <v/>
      </c>
      <c r="Z57" s="116" t="str">
        <f aca="false">IF($B57="","",الموظفون!$S57*IF(E57="سعودي",cfg_G_SR,cfg_G_NR)*G57/cfg_DAYS_M)</f>
        <v/>
      </c>
      <c r="AA57" s="116" t="str">
        <f aca="false">IF($B57="","",الموظفون!$Q57*(cfg_EOS_R1*(MIN(AH57,cfg_EOS_TH)-MIN(AI57,cfg_EOS_TH))+cfg_EOS_R2*(MAX(AH57-cfg_EOS_TH,0)-MAX(AI57-cfg_EOS_TH,0))))</f>
        <v/>
      </c>
      <c r="AB57" s="116" t="str">
        <f aca="false">IF($B57="","",IF(الموظفون!$T57&lt;&gt;"",الموظفون!$T57,IF(AH57&gt;=cfg_LV_TH,cfg_LV_D2,cfg_LV_D1))/cfg_DAYS_Y*AJ57*الموظفون!$R57/cfg_DAYS_M)</f>
        <v/>
      </c>
      <c r="AC57" s="116" t="str">
        <f aca="false">IF($B57="","",IF(AND(الموظفون!$U57="نعم",N(الموظفون!$W57)&gt;0),الموظفون!$V57/الموظفون!$W57*12/cfg_DAYS_Y*AJ57,0))</f>
        <v/>
      </c>
      <c r="AD57" s="116" t="str">
        <f aca="false">IF($B57="","",(IF(الموظفون!$X57&lt;&gt;"",الموظفون!$X57,IF(الموظفون!$E57="غير سعودي",cfg_IQ,0))+IF(الموظفون!$Y57&lt;&gt;"",الموظفون!$Y57,IF(الموظفون!$E57="غير سعودي",cfg_WP,0)))/12*G57/cfg_DAYS_M)</f>
        <v/>
      </c>
      <c r="AE57" s="116" t="str">
        <f aca="false">IF($B57="","",IF(الموظفون!$Z57&lt;&gt;"",الموظفون!$Z57,cfg_MED)/12*G57/cfg_DAYS_M)</f>
        <v/>
      </c>
      <c r="AF57" s="116" t="str">
        <f aca="false">IF($B57="","",N(الموظفون!$AA57)/12*G57/cfg_DAYS_M)</f>
        <v/>
      </c>
      <c r="AG57" s="159" t="str">
        <f aca="false">IF($B57="","",T57+SUM(Z57:AF57))</f>
        <v/>
      </c>
      <c r="AH57" s="160" t="str">
        <f aca="false">IF($B57="","",MAX(0,IF(OR(الموظفون!$AE57="",الموظفون!$AE57&gt;$F$3),$F$3,الموظفون!$AE57)-الموظفون!$H57+1-SUMIFS('سجل الإجازات والحالات'!$AH$6:$AH$505,'سجل الإجازات والحالات'!$B$6:$B$505,$B57))/cfg_DAYS_Y)</f>
        <v/>
      </c>
      <c r="AI57" s="160" t="str">
        <f aca="false">IF($B57="","",MAX(0,IF(OR(الموظفون!$AE57="",الموظفون!$AE57&gt;($E$3-1)),($E$3-1),الموظفون!$AE57)-الموظفون!$H57+1-SUMIFS('سجل الإجازات والحالات'!$R$6:$R$505,'سجل الإجازات والحالات'!$B$6:$B$505,$B57))/cfg_DAYS_Y)</f>
        <v/>
      </c>
      <c r="AJ57" s="133" t="str">
        <f aca="false">IF($B57="","",MAX(0,AK57-(SUMIFS('سجل الإجازات والحالات'!$AH$6:$AH$505,'سجل الإجازات والحالات'!$B$6:$B$505,$B57)-SUMIFS('سجل الإجازات والحالات'!$R$6:$R$505,'سجل الإجازات والحالات'!$B$6:$B$505,$B57))))</f>
        <v/>
      </c>
      <c r="AK57" s="133" t="str">
        <f aca="false">IF($B57="","",MAX(0,IF(OR(الموظفون!$AE57="",الموظفون!$AE57&gt;$F$3),$F$3,الموظفون!$AE57)-MAX($E$3,الموظفون!$H57)+1))</f>
        <v/>
      </c>
      <c r="AL57" s="156" t="str">
        <f aca="false">IF($B57="","",SUMIFS('سجل الإجازات والحالات'!$AT$6:$AT$505,'سجل الإجازات والحالات'!$B$6:$B$505,$B57)+SUMIFS('الحركات الشهرية'!$K$6:$K$1005,'الحركات الشهرية'!$B$6:$B$1005,$B57,'الحركات الشهرية'!$A$6:$A$1005,$C$3))</f>
        <v/>
      </c>
      <c r="AM57" s="116" t="str">
        <f aca="false">IF($B57="","",AL57*الموظفون!$R57/cfg_DAYS_M+S57)</f>
        <v/>
      </c>
      <c r="AN57" s="156" t="str">
        <f aca="false">IF($B57="","",SUMIFS('سجل الإجازات والحالات'!$V$6:$V$505,'سجل الإجازات والحالات'!$B$6:$B$505,$B57))</f>
        <v/>
      </c>
    </row>
    <row r="58" customFormat="false" ht="15" hidden="false" customHeight="false" outlineLevel="0" collapsed="false">
      <c r="A58" s="106" t="str">
        <f aca="false">IF($B58="","",الموظفون!$A58)</f>
        <v/>
      </c>
      <c r="B58" s="114" t="str">
        <f aca="false">IF(الموظفون!$B58="","",الموظفون!$B58)</f>
        <v/>
      </c>
      <c r="C58" s="114" t="str">
        <f aca="false">IF($B58="","",الموظفون!$C58)</f>
        <v/>
      </c>
      <c r="D58" s="114" t="str">
        <f aca="false">IF($B58="","",الموظفون!$F58)</f>
        <v/>
      </c>
      <c r="E58" s="114" t="str">
        <f aca="false">IF($B58="","",الموظفون!$E58)</f>
        <v/>
      </c>
      <c r="F58" s="114" t="str">
        <f aca="false">IF($B58="","",IF(AK58=0,IF(AND(الموظفون!$AE58&lt;&gt;"",الموظفون!$AE58&lt;$E$3),"✖ منتهي الخدمة","⏳ لم يباشر"),IF(S58&gt;0,"✈ راتب إجازة مقدم",IF(J58=0,"⛔ بدون راتب هذا الشهر",IF(I58&gt;0,"✈ خصم "&amp;ROUND(I58,2)&amp;" يوم بدون أجر",IF(AL58&gt;0,"🌴 إجازة سنوية "&amp;ROUND(AL58,2)&amp;" يوم",IF(H58&gt;0,"⚠ غياب "&amp;ROUND(H58,2)&amp;" يوم","✔ على رأس العمل")))))))</f>
        <v/>
      </c>
      <c r="G58" s="151" t="str">
        <f aca="false">IF($B58="","",IF(AK58&gt;=DAY($F$3),cfg_DAYS_M,MIN(AK58,cfg_DAYS_M)))</f>
        <v/>
      </c>
      <c r="H58" s="151" t="str">
        <f aca="false">IF($B58="","",SUMIFS('الحركات الشهرية'!$D$6:$D$1005,'الحركات الشهرية'!$B$6:$B$1005,$B58,'الحركات الشهرية'!$A$6:$A$1005,$C$3))</f>
        <v/>
      </c>
      <c r="I58" s="151" t="str">
        <f aca="false">IF($B58="","",MIN(G58,IF(AND(AK58&gt;0,AN58&gt;=AK58),G58,AN58)+SUMIFS('الحركات الشهرية'!$E$6:$E$1005,'الحركات الشهرية'!$B$6:$B$1005,$B58,'الحركات الشهرية'!$A$6:$A$1005,$C$3)))</f>
        <v/>
      </c>
      <c r="J58" s="151" t="str">
        <f aca="false">IF($B58="","",MAX(0,G58-H58-I58))</f>
        <v/>
      </c>
      <c r="K58" s="111" t="str">
        <f aca="false">IF($B58="","",الموظفون!$L58*$J58/cfg_DAYS_M)</f>
        <v/>
      </c>
      <c r="L58" s="111" t="str">
        <f aca="false">IF($B58="","",الموظفون!$M58*$J58/cfg_DAYS_M)</f>
        <v/>
      </c>
      <c r="M58" s="111" t="str">
        <f aca="false">IF($B58="","",الموظفون!$N58*$J58/cfg_DAYS_M)</f>
        <v/>
      </c>
      <c r="N58" s="111" t="str">
        <f aca="false">IF($B58="","",الموظفون!$O58*$J58/cfg_DAYS_M)</f>
        <v/>
      </c>
      <c r="O58" s="151" t="str">
        <f aca="false">IF($B58="","",SUMIFS('الحركات الشهرية'!$F$6:$F$1005,'الحركات الشهرية'!$B$6:$B$1005,$B58,'الحركات الشهرية'!$A$6:$A$1005,$C$3))</f>
        <v/>
      </c>
      <c r="P58" s="111" t="str">
        <f aca="false">IF($B58="","",O58*(الموظفون!$P58+الموظفون!$L58*cfg_OT_P)/cfg_DAYS_M/cfg_HRS)</f>
        <v/>
      </c>
      <c r="Q58" s="111" t="str">
        <f aca="false">IF($B58="","",SUMIFS('الحركات الشهرية'!$G$6:$G$1005,'الحركات الشهرية'!$B$6:$B$1005,$B58,'الحركات الشهرية'!$A$6:$A$1005,$C$3))</f>
        <v/>
      </c>
      <c r="R58" s="111" t="str">
        <f aca="false">IF($B58="","",SUMIFS('الحركات الشهرية'!$H$6:$H$1005,'الحركات الشهرية'!$B$6:$B$1005,$B58,'الحركات الشهرية'!$A$6:$A$1005,$C$3))</f>
        <v/>
      </c>
      <c r="S58" s="111" t="str">
        <f aca="false">IF($B58="","",SUMIFS('سجل الإجازات والحالات'!$N$6:$N$505,'سجل الإجازات والحالات'!$B$6:$B$505,$B58,'سجل الإجازات والحالات'!$O$6:$O$505,$C$3))</f>
        <v/>
      </c>
      <c r="T58" s="152" t="str">
        <f aca="false">IF($B58="","",SUM(K58:N58)+SUM(P58:S58))</f>
        <v/>
      </c>
      <c r="U58" s="111" t="str">
        <f aca="false">IF($B58="","",الموظفون!$S58*IF(E58="سعودي",cfg_G_SE,cfg_G_NE)*G58/cfg_DAYS_M)</f>
        <v/>
      </c>
      <c r="V58" s="111" t="str">
        <f aca="false">IF($B58="","",SUMIFS('الحركات الشهرية'!$I$6:$I$1005,'الحركات الشهرية'!$B$6:$B$1005,$B58,'الحركات الشهرية'!$A$6:$A$1005,$C$3))</f>
        <v/>
      </c>
      <c r="W58" s="111" t="str">
        <f aca="false">IF($B58="","",SUMIFS('الحركات الشهرية'!$J$6:$J$1005,'الحركات الشهرية'!$B$6:$B$1005,$B58,'الحركات الشهرية'!$A$6:$A$1005,$C$3))</f>
        <v/>
      </c>
      <c r="X58" s="111" t="str">
        <f aca="false">IF($B58="","",SUM(U58:W58))</f>
        <v/>
      </c>
      <c r="Y58" s="153" t="str">
        <f aca="false">IF($B58="","",T58-X58)</f>
        <v/>
      </c>
      <c r="Z58" s="111" t="str">
        <f aca="false">IF($B58="","",الموظفون!$S58*IF(E58="سعودي",cfg_G_SR,cfg_G_NR)*G58/cfg_DAYS_M)</f>
        <v/>
      </c>
      <c r="AA58" s="111" t="str">
        <f aca="false">IF($B58="","",الموظفون!$Q58*(cfg_EOS_R1*(MIN(AH58,cfg_EOS_TH)-MIN(AI58,cfg_EOS_TH))+cfg_EOS_R2*(MAX(AH58-cfg_EOS_TH,0)-MAX(AI58-cfg_EOS_TH,0))))</f>
        <v/>
      </c>
      <c r="AB58" s="111" t="str">
        <f aca="false">IF($B58="","",IF(الموظفون!$T58&lt;&gt;"",الموظفون!$T58,IF(AH58&gt;=cfg_LV_TH,cfg_LV_D2,cfg_LV_D1))/cfg_DAYS_Y*AJ58*الموظفون!$R58/cfg_DAYS_M)</f>
        <v/>
      </c>
      <c r="AC58" s="111" t="str">
        <f aca="false">IF($B58="","",IF(AND(الموظفون!$U58="نعم",N(الموظفون!$W58)&gt;0),الموظفون!$V58/الموظفون!$W58*12/cfg_DAYS_Y*AJ58,0))</f>
        <v/>
      </c>
      <c r="AD58" s="111" t="str">
        <f aca="false">IF($B58="","",(IF(الموظفون!$X58&lt;&gt;"",الموظفون!$X58,IF(الموظفون!$E58="غير سعودي",cfg_IQ,0))+IF(الموظفون!$Y58&lt;&gt;"",الموظفون!$Y58,IF(الموظفون!$E58="غير سعودي",cfg_WP,0)))/12*G58/cfg_DAYS_M)</f>
        <v/>
      </c>
      <c r="AE58" s="111" t="str">
        <f aca="false">IF($B58="","",IF(الموظفون!$Z58&lt;&gt;"",الموظفون!$Z58,cfg_MED)/12*G58/cfg_DAYS_M)</f>
        <v/>
      </c>
      <c r="AF58" s="111" t="str">
        <f aca="false">IF($B58="","",N(الموظفون!$AA58)/12*G58/cfg_DAYS_M)</f>
        <v/>
      </c>
      <c r="AG58" s="154" t="str">
        <f aca="false">IF($B58="","",T58+SUM(Z58:AF58))</f>
        <v/>
      </c>
      <c r="AH58" s="155" t="str">
        <f aca="false">IF($B58="","",MAX(0,IF(OR(الموظفون!$AE58="",الموظفون!$AE58&gt;$F$3),$F$3,الموظفون!$AE58)-الموظفون!$H58+1-SUMIFS('سجل الإجازات والحالات'!$AH$6:$AH$505,'سجل الإجازات والحالات'!$B$6:$B$505,$B58))/cfg_DAYS_Y)</f>
        <v/>
      </c>
      <c r="AI58" s="155" t="str">
        <f aca="false">IF($B58="","",MAX(0,IF(OR(الموظفون!$AE58="",الموظفون!$AE58&gt;($E$3-1)),($E$3-1),الموظفون!$AE58)-الموظفون!$H58+1-SUMIFS('سجل الإجازات والحالات'!$R$6:$R$505,'سجل الإجازات والحالات'!$B$6:$B$505,$B58))/cfg_DAYS_Y)</f>
        <v/>
      </c>
      <c r="AJ58" s="65" t="str">
        <f aca="false">IF($B58="","",MAX(0,AK58-(SUMIFS('سجل الإجازات والحالات'!$AH$6:$AH$505,'سجل الإجازات والحالات'!$B$6:$B$505,$B58)-SUMIFS('سجل الإجازات والحالات'!$R$6:$R$505,'سجل الإجازات والحالات'!$B$6:$B$505,$B58))))</f>
        <v/>
      </c>
      <c r="AK58" s="65" t="str">
        <f aca="false">IF($B58="","",MAX(0,IF(OR(الموظفون!$AE58="",الموظفون!$AE58&gt;$F$3),$F$3,الموظفون!$AE58)-MAX($E$3,الموظفون!$H58)+1))</f>
        <v/>
      </c>
      <c r="AL58" s="151" t="str">
        <f aca="false">IF($B58="","",SUMIFS('سجل الإجازات والحالات'!$AT$6:$AT$505,'سجل الإجازات والحالات'!$B$6:$B$505,$B58)+SUMIFS('الحركات الشهرية'!$K$6:$K$1005,'الحركات الشهرية'!$B$6:$B$1005,$B58,'الحركات الشهرية'!$A$6:$A$1005,$C$3))</f>
        <v/>
      </c>
      <c r="AM58" s="111" t="str">
        <f aca="false">IF($B58="","",AL58*الموظفون!$R58/cfg_DAYS_M+S58)</f>
        <v/>
      </c>
      <c r="AN58" s="151" t="str">
        <f aca="false">IF($B58="","",SUMIFS('سجل الإجازات والحالات'!$V$6:$V$505,'سجل الإجازات والحالات'!$B$6:$B$505,$B58))</f>
        <v/>
      </c>
    </row>
    <row r="59" customFormat="false" ht="15" hidden="false" customHeight="false" outlineLevel="0" collapsed="false">
      <c r="A59" s="115" t="str">
        <f aca="false">IF($B59="","",الموظفون!$A59)</f>
        <v/>
      </c>
      <c r="B59" s="117" t="str">
        <f aca="false">IF(الموظفون!$B59="","",الموظفون!$B59)</f>
        <v/>
      </c>
      <c r="C59" s="117" t="str">
        <f aca="false">IF($B59="","",الموظفون!$C59)</f>
        <v/>
      </c>
      <c r="D59" s="117" t="str">
        <f aca="false">IF($B59="","",الموظفون!$F59)</f>
        <v/>
      </c>
      <c r="E59" s="117" t="str">
        <f aca="false">IF($B59="","",الموظفون!$E59)</f>
        <v/>
      </c>
      <c r="F59" s="117" t="str">
        <f aca="false">IF($B59="","",IF(AK59=0,IF(AND(الموظفون!$AE59&lt;&gt;"",الموظفون!$AE59&lt;$E$3),"✖ منتهي الخدمة","⏳ لم يباشر"),IF(S59&gt;0,"✈ راتب إجازة مقدم",IF(J59=0,"⛔ بدون راتب هذا الشهر",IF(I59&gt;0,"✈ خصم "&amp;ROUND(I59,2)&amp;" يوم بدون أجر",IF(AL59&gt;0,"🌴 إجازة سنوية "&amp;ROUND(AL59,2)&amp;" يوم",IF(H59&gt;0,"⚠ غياب "&amp;ROUND(H59,2)&amp;" يوم","✔ على رأس العمل")))))))</f>
        <v/>
      </c>
      <c r="G59" s="156" t="str">
        <f aca="false">IF($B59="","",IF(AK59&gt;=DAY($F$3),cfg_DAYS_M,MIN(AK59,cfg_DAYS_M)))</f>
        <v/>
      </c>
      <c r="H59" s="156" t="str">
        <f aca="false">IF($B59="","",SUMIFS('الحركات الشهرية'!$D$6:$D$1005,'الحركات الشهرية'!$B$6:$B$1005,$B59,'الحركات الشهرية'!$A$6:$A$1005,$C$3))</f>
        <v/>
      </c>
      <c r="I59" s="156" t="str">
        <f aca="false">IF($B59="","",MIN(G59,IF(AND(AK59&gt;0,AN59&gt;=AK59),G59,AN59)+SUMIFS('الحركات الشهرية'!$E$6:$E$1005,'الحركات الشهرية'!$B$6:$B$1005,$B59,'الحركات الشهرية'!$A$6:$A$1005,$C$3)))</f>
        <v/>
      </c>
      <c r="J59" s="156" t="str">
        <f aca="false">IF($B59="","",MAX(0,G59-H59-I59))</f>
        <v/>
      </c>
      <c r="K59" s="116" t="str">
        <f aca="false">IF($B59="","",الموظفون!$L59*$J59/cfg_DAYS_M)</f>
        <v/>
      </c>
      <c r="L59" s="116" t="str">
        <f aca="false">IF($B59="","",الموظفون!$M59*$J59/cfg_DAYS_M)</f>
        <v/>
      </c>
      <c r="M59" s="116" t="str">
        <f aca="false">IF($B59="","",الموظفون!$N59*$J59/cfg_DAYS_M)</f>
        <v/>
      </c>
      <c r="N59" s="116" t="str">
        <f aca="false">IF($B59="","",الموظفون!$O59*$J59/cfg_DAYS_M)</f>
        <v/>
      </c>
      <c r="O59" s="156" t="str">
        <f aca="false">IF($B59="","",SUMIFS('الحركات الشهرية'!$F$6:$F$1005,'الحركات الشهرية'!$B$6:$B$1005,$B59,'الحركات الشهرية'!$A$6:$A$1005,$C$3))</f>
        <v/>
      </c>
      <c r="P59" s="116" t="str">
        <f aca="false">IF($B59="","",O59*(الموظفون!$P59+الموظفون!$L59*cfg_OT_P)/cfg_DAYS_M/cfg_HRS)</f>
        <v/>
      </c>
      <c r="Q59" s="116" t="str">
        <f aca="false">IF($B59="","",SUMIFS('الحركات الشهرية'!$G$6:$G$1005,'الحركات الشهرية'!$B$6:$B$1005,$B59,'الحركات الشهرية'!$A$6:$A$1005,$C$3))</f>
        <v/>
      </c>
      <c r="R59" s="116" t="str">
        <f aca="false">IF($B59="","",SUMIFS('الحركات الشهرية'!$H$6:$H$1005,'الحركات الشهرية'!$B$6:$B$1005,$B59,'الحركات الشهرية'!$A$6:$A$1005,$C$3))</f>
        <v/>
      </c>
      <c r="S59" s="116" t="str">
        <f aca="false">IF($B59="","",SUMIFS('سجل الإجازات والحالات'!$N$6:$N$505,'سجل الإجازات والحالات'!$B$6:$B$505,$B59,'سجل الإجازات والحالات'!$O$6:$O$505,$C$3))</f>
        <v/>
      </c>
      <c r="T59" s="157" t="str">
        <f aca="false">IF($B59="","",SUM(K59:N59)+SUM(P59:S59))</f>
        <v/>
      </c>
      <c r="U59" s="116" t="str">
        <f aca="false">IF($B59="","",الموظفون!$S59*IF(E59="سعودي",cfg_G_SE,cfg_G_NE)*G59/cfg_DAYS_M)</f>
        <v/>
      </c>
      <c r="V59" s="116" t="str">
        <f aca="false">IF($B59="","",SUMIFS('الحركات الشهرية'!$I$6:$I$1005,'الحركات الشهرية'!$B$6:$B$1005,$B59,'الحركات الشهرية'!$A$6:$A$1005,$C$3))</f>
        <v/>
      </c>
      <c r="W59" s="116" t="str">
        <f aca="false">IF($B59="","",SUMIFS('الحركات الشهرية'!$J$6:$J$1005,'الحركات الشهرية'!$B$6:$B$1005,$B59,'الحركات الشهرية'!$A$6:$A$1005,$C$3))</f>
        <v/>
      </c>
      <c r="X59" s="116" t="str">
        <f aca="false">IF($B59="","",SUM(U59:W59))</f>
        <v/>
      </c>
      <c r="Y59" s="158" t="str">
        <f aca="false">IF($B59="","",T59-X59)</f>
        <v/>
      </c>
      <c r="Z59" s="116" t="str">
        <f aca="false">IF($B59="","",الموظفون!$S59*IF(E59="سعودي",cfg_G_SR,cfg_G_NR)*G59/cfg_DAYS_M)</f>
        <v/>
      </c>
      <c r="AA59" s="116" t="str">
        <f aca="false">IF($B59="","",الموظفون!$Q59*(cfg_EOS_R1*(MIN(AH59,cfg_EOS_TH)-MIN(AI59,cfg_EOS_TH))+cfg_EOS_R2*(MAX(AH59-cfg_EOS_TH,0)-MAX(AI59-cfg_EOS_TH,0))))</f>
        <v/>
      </c>
      <c r="AB59" s="116" t="str">
        <f aca="false">IF($B59="","",IF(الموظفون!$T59&lt;&gt;"",الموظفون!$T59,IF(AH59&gt;=cfg_LV_TH,cfg_LV_D2,cfg_LV_D1))/cfg_DAYS_Y*AJ59*الموظفون!$R59/cfg_DAYS_M)</f>
        <v/>
      </c>
      <c r="AC59" s="116" t="str">
        <f aca="false">IF($B59="","",IF(AND(الموظفون!$U59="نعم",N(الموظفون!$W59)&gt;0),الموظفون!$V59/الموظفون!$W59*12/cfg_DAYS_Y*AJ59,0))</f>
        <v/>
      </c>
      <c r="AD59" s="116" t="str">
        <f aca="false">IF($B59="","",(IF(الموظفون!$X59&lt;&gt;"",الموظفون!$X59,IF(الموظفون!$E59="غير سعودي",cfg_IQ,0))+IF(الموظفون!$Y59&lt;&gt;"",الموظفون!$Y59,IF(الموظفون!$E59="غير سعودي",cfg_WP,0)))/12*G59/cfg_DAYS_M)</f>
        <v/>
      </c>
      <c r="AE59" s="116" t="str">
        <f aca="false">IF($B59="","",IF(الموظفون!$Z59&lt;&gt;"",الموظفون!$Z59,cfg_MED)/12*G59/cfg_DAYS_M)</f>
        <v/>
      </c>
      <c r="AF59" s="116" t="str">
        <f aca="false">IF($B59="","",N(الموظفون!$AA59)/12*G59/cfg_DAYS_M)</f>
        <v/>
      </c>
      <c r="AG59" s="159" t="str">
        <f aca="false">IF($B59="","",T59+SUM(Z59:AF59))</f>
        <v/>
      </c>
      <c r="AH59" s="160" t="str">
        <f aca="false">IF($B59="","",MAX(0,IF(OR(الموظفون!$AE59="",الموظفون!$AE59&gt;$F$3),$F$3,الموظفون!$AE59)-الموظفون!$H59+1-SUMIFS('سجل الإجازات والحالات'!$AH$6:$AH$505,'سجل الإجازات والحالات'!$B$6:$B$505,$B59))/cfg_DAYS_Y)</f>
        <v/>
      </c>
      <c r="AI59" s="160" t="str">
        <f aca="false">IF($B59="","",MAX(0,IF(OR(الموظفون!$AE59="",الموظفون!$AE59&gt;($E$3-1)),($E$3-1),الموظفون!$AE59)-الموظفون!$H59+1-SUMIFS('سجل الإجازات والحالات'!$R$6:$R$505,'سجل الإجازات والحالات'!$B$6:$B$505,$B59))/cfg_DAYS_Y)</f>
        <v/>
      </c>
      <c r="AJ59" s="133" t="str">
        <f aca="false">IF($B59="","",MAX(0,AK59-(SUMIFS('سجل الإجازات والحالات'!$AH$6:$AH$505,'سجل الإجازات والحالات'!$B$6:$B$505,$B59)-SUMIFS('سجل الإجازات والحالات'!$R$6:$R$505,'سجل الإجازات والحالات'!$B$6:$B$505,$B59))))</f>
        <v/>
      </c>
      <c r="AK59" s="133" t="str">
        <f aca="false">IF($B59="","",MAX(0,IF(OR(الموظفون!$AE59="",الموظفون!$AE59&gt;$F$3),$F$3,الموظفون!$AE59)-MAX($E$3,الموظفون!$H59)+1))</f>
        <v/>
      </c>
      <c r="AL59" s="156" t="str">
        <f aca="false">IF($B59="","",SUMIFS('سجل الإجازات والحالات'!$AT$6:$AT$505,'سجل الإجازات والحالات'!$B$6:$B$505,$B59)+SUMIFS('الحركات الشهرية'!$K$6:$K$1005,'الحركات الشهرية'!$B$6:$B$1005,$B59,'الحركات الشهرية'!$A$6:$A$1005,$C$3))</f>
        <v/>
      </c>
      <c r="AM59" s="116" t="str">
        <f aca="false">IF($B59="","",AL59*الموظفون!$R59/cfg_DAYS_M+S59)</f>
        <v/>
      </c>
      <c r="AN59" s="156" t="str">
        <f aca="false">IF($B59="","",SUMIFS('سجل الإجازات والحالات'!$V$6:$V$505,'سجل الإجازات والحالات'!$B$6:$B$505,$B59))</f>
        <v/>
      </c>
    </row>
    <row r="60" customFormat="false" ht="15" hidden="false" customHeight="false" outlineLevel="0" collapsed="false">
      <c r="A60" s="106" t="str">
        <f aca="false">IF($B60="","",الموظفون!$A60)</f>
        <v/>
      </c>
      <c r="B60" s="114" t="str">
        <f aca="false">IF(الموظفون!$B60="","",الموظفون!$B60)</f>
        <v/>
      </c>
      <c r="C60" s="114" t="str">
        <f aca="false">IF($B60="","",الموظفون!$C60)</f>
        <v/>
      </c>
      <c r="D60" s="114" t="str">
        <f aca="false">IF($B60="","",الموظفون!$F60)</f>
        <v/>
      </c>
      <c r="E60" s="114" t="str">
        <f aca="false">IF($B60="","",الموظفون!$E60)</f>
        <v/>
      </c>
      <c r="F60" s="114" t="str">
        <f aca="false">IF($B60="","",IF(AK60=0,IF(AND(الموظفون!$AE60&lt;&gt;"",الموظفون!$AE60&lt;$E$3),"✖ منتهي الخدمة","⏳ لم يباشر"),IF(S60&gt;0,"✈ راتب إجازة مقدم",IF(J60=0,"⛔ بدون راتب هذا الشهر",IF(I60&gt;0,"✈ خصم "&amp;ROUND(I60,2)&amp;" يوم بدون أجر",IF(AL60&gt;0,"🌴 إجازة سنوية "&amp;ROUND(AL60,2)&amp;" يوم",IF(H60&gt;0,"⚠ غياب "&amp;ROUND(H60,2)&amp;" يوم","✔ على رأس العمل")))))))</f>
        <v/>
      </c>
      <c r="G60" s="151" t="str">
        <f aca="false">IF($B60="","",IF(AK60&gt;=DAY($F$3),cfg_DAYS_M,MIN(AK60,cfg_DAYS_M)))</f>
        <v/>
      </c>
      <c r="H60" s="151" t="str">
        <f aca="false">IF($B60="","",SUMIFS('الحركات الشهرية'!$D$6:$D$1005,'الحركات الشهرية'!$B$6:$B$1005,$B60,'الحركات الشهرية'!$A$6:$A$1005,$C$3))</f>
        <v/>
      </c>
      <c r="I60" s="151" t="str">
        <f aca="false">IF($B60="","",MIN(G60,IF(AND(AK60&gt;0,AN60&gt;=AK60),G60,AN60)+SUMIFS('الحركات الشهرية'!$E$6:$E$1005,'الحركات الشهرية'!$B$6:$B$1005,$B60,'الحركات الشهرية'!$A$6:$A$1005,$C$3)))</f>
        <v/>
      </c>
      <c r="J60" s="151" t="str">
        <f aca="false">IF($B60="","",MAX(0,G60-H60-I60))</f>
        <v/>
      </c>
      <c r="K60" s="111" t="str">
        <f aca="false">IF($B60="","",الموظفون!$L60*$J60/cfg_DAYS_M)</f>
        <v/>
      </c>
      <c r="L60" s="111" t="str">
        <f aca="false">IF($B60="","",الموظفون!$M60*$J60/cfg_DAYS_M)</f>
        <v/>
      </c>
      <c r="M60" s="111" t="str">
        <f aca="false">IF($B60="","",الموظفون!$N60*$J60/cfg_DAYS_M)</f>
        <v/>
      </c>
      <c r="N60" s="111" t="str">
        <f aca="false">IF($B60="","",الموظفون!$O60*$J60/cfg_DAYS_M)</f>
        <v/>
      </c>
      <c r="O60" s="151" t="str">
        <f aca="false">IF($B60="","",SUMIFS('الحركات الشهرية'!$F$6:$F$1005,'الحركات الشهرية'!$B$6:$B$1005,$B60,'الحركات الشهرية'!$A$6:$A$1005,$C$3))</f>
        <v/>
      </c>
      <c r="P60" s="111" t="str">
        <f aca="false">IF($B60="","",O60*(الموظفون!$P60+الموظفون!$L60*cfg_OT_P)/cfg_DAYS_M/cfg_HRS)</f>
        <v/>
      </c>
      <c r="Q60" s="111" t="str">
        <f aca="false">IF($B60="","",SUMIFS('الحركات الشهرية'!$G$6:$G$1005,'الحركات الشهرية'!$B$6:$B$1005,$B60,'الحركات الشهرية'!$A$6:$A$1005,$C$3))</f>
        <v/>
      </c>
      <c r="R60" s="111" t="str">
        <f aca="false">IF($B60="","",SUMIFS('الحركات الشهرية'!$H$6:$H$1005,'الحركات الشهرية'!$B$6:$B$1005,$B60,'الحركات الشهرية'!$A$6:$A$1005,$C$3))</f>
        <v/>
      </c>
      <c r="S60" s="111" t="str">
        <f aca="false">IF($B60="","",SUMIFS('سجل الإجازات والحالات'!$N$6:$N$505,'سجل الإجازات والحالات'!$B$6:$B$505,$B60,'سجل الإجازات والحالات'!$O$6:$O$505,$C$3))</f>
        <v/>
      </c>
      <c r="T60" s="152" t="str">
        <f aca="false">IF($B60="","",SUM(K60:N60)+SUM(P60:S60))</f>
        <v/>
      </c>
      <c r="U60" s="111" t="str">
        <f aca="false">IF($B60="","",الموظفون!$S60*IF(E60="سعودي",cfg_G_SE,cfg_G_NE)*G60/cfg_DAYS_M)</f>
        <v/>
      </c>
      <c r="V60" s="111" t="str">
        <f aca="false">IF($B60="","",SUMIFS('الحركات الشهرية'!$I$6:$I$1005,'الحركات الشهرية'!$B$6:$B$1005,$B60,'الحركات الشهرية'!$A$6:$A$1005,$C$3))</f>
        <v/>
      </c>
      <c r="W60" s="111" t="str">
        <f aca="false">IF($B60="","",SUMIFS('الحركات الشهرية'!$J$6:$J$1005,'الحركات الشهرية'!$B$6:$B$1005,$B60,'الحركات الشهرية'!$A$6:$A$1005,$C$3))</f>
        <v/>
      </c>
      <c r="X60" s="111" t="str">
        <f aca="false">IF($B60="","",SUM(U60:W60))</f>
        <v/>
      </c>
      <c r="Y60" s="153" t="str">
        <f aca="false">IF($B60="","",T60-X60)</f>
        <v/>
      </c>
      <c r="Z60" s="111" t="str">
        <f aca="false">IF($B60="","",الموظفون!$S60*IF(E60="سعودي",cfg_G_SR,cfg_G_NR)*G60/cfg_DAYS_M)</f>
        <v/>
      </c>
      <c r="AA60" s="111" t="str">
        <f aca="false">IF($B60="","",الموظفون!$Q60*(cfg_EOS_R1*(MIN(AH60,cfg_EOS_TH)-MIN(AI60,cfg_EOS_TH))+cfg_EOS_R2*(MAX(AH60-cfg_EOS_TH,0)-MAX(AI60-cfg_EOS_TH,0))))</f>
        <v/>
      </c>
      <c r="AB60" s="111" t="str">
        <f aca="false">IF($B60="","",IF(الموظفون!$T60&lt;&gt;"",الموظفون!$T60,IF(AH60&gt;=cfg_LV_TH,cfg_LV_D2,cfg_LV_D1))/cfg_DAYS_Y*AJ60*الموظفون!$R60/cfg_DAYS_M)</f>
        <v/>
      </c>
      <c r="AC60" s="111" t="str">
        <f aca="false">IF($B60="","",IF(AND(الموظفون!$U60="نعم",N(الموظفون!$W60)&gt;0),الموظفون!$V60/الموظفون!$W60*12/cfg_DAYS_Y*AJ60,0))</f>
        <v/>
      </c>
      <c r="AD60" s="111" t="str">
        <f aca="false">IF($B60="","",(IF(الموظفون!$X60&lt;&gt;"",الموظفون!$X60,IF(الموظفون!$E60="غير سعودي",cfg_IQ,0))+IF(الموظفون!$Y60&lt;&gt;"",الموظفون!$Y60,IF(الموظفون!$E60="غير سعودي",cfg_WP,0)))/12*G60/cfg_DAYS_M)</f>
        <v/>
      </c>
      <c r="AE60" s="111" t="str">
        <f aca="false">IF($B60="","",IF(الموظفون!$Z60&lt;&gt;"",الموظفون!$Z60,cfg_MED)/12*G60/cfg_DAYS_M)</f>
        <v/>
      </c>
      <c r="AF60" s="111" t="str">
        <f aca="false">IF($B60="","",N(الموظفون!$AA60)/12*G60/cfg_DAYS_M)</f>
        <v/>
      </c>
      <c r="AG60" s="154" t="str">
        <f aca="false">IF($B60="","",T60+SUM(Z60:AF60))</f>
        <v/>
      </c>
      <c r="AH60" s="155" t="str">
        <f aca="false">IF($B60="","",MAX(0,IF(OR(الموظفون!$AE60="",الموظفون!$AE60&gt;$F$3),$F$3,الموظفون!$AE60)-الموظفون!$H60+1-SUMIFS('سجل الإجازات والحالات'!$AH$6:$AH$505,'سجل الإجازات والحالات'!$B$6:$B$505,$B60))/cfg_DAYS_Y)</f>
        <v/>
      </c>
      <c r="AI60" s="155" t="str">
        <f aca="false">IF($B60="","",MAX(0,IF(OR(الموظفون!$AE60="",الموظفون!$AE60&gt;($E$3-1)),($E$3-1),الموظفون!$AE60)-الموظفون!$H60+1-SUMIFS('سجل الإجازات والحالات'!$R$6:$R$505,'سجل الإجازات والحالات'!$B$6:$B$505,$B60))/cfg_DAYS_Y)</f>
        <v/>
      </c>
      <c r="AJ60" s="65" t="str">
        <f aca="false">IF($B60="","",MAX(0,AK60-(SUMIFS('سجل الإجازات والحالات'!$AH$6:$AH$505,'سجل الإجازات والحالات'!$B$6:$B$505,$B60)-SUMIFS('سجل الإجازات والحالات'!$R$6:$R$505,'سجل الإجازات والحالات'!$B$6:$B$505,$B60))))</f>
        <v/>
      </c>
      <c r="AK60" s="65" t="str">
        <f aca="false">IF($B60="","",MAX(0,IF(OR(الموظفون!$AE60="",الموظفون!$AE60&gt;$F$3),$F$3,الموظفون!$AE60)-MAX($E$3,الموظفون!$H60)+1))</f>
        <v/>
      </c>
      <c r="AL60" s="151" t="str">
        <f aca="false">IF($B60="","",SUMIFS('سجل الإجازات والحالات'!$AT$6:$AT$505,'سجل الإجازات والحالات'!$B$6:$B$505,$B60)+SUMIFS('الحركات الشهرية'!$K$6:$K$1005,'الحركات الشهرية'!$B$6:$B$1005,$B60,'الحركات الشهرية'!$A$6:$A$1005,$C$3))</f>
        <v/>
      </c>
      <c r="AM60" s="111" t="str">
        <f aca="false">IF($B60="","",AL60*الموظفون!$R60/cfg_DAYS_M+S60)</f>
        <v/>
      </c>
      <c r="AN60" s="151" t="str">
        <f aca="false">IF($B60="","",SUMIFS('سجل الإجازات والحالات'!$V$6:$V$505,'سجل الإجازات والحالات'!$B$6:$B$505,$B60))</f>
        <v/>
      </c>
    </row>
    <row r="61" customFormat="false" ht="15" hidden="false" customHeight="false" outlineLevel="0" collapsed="false">
      <c r="A61" s="115" t="str">
        <f aca="false">IF($B61="","",الموظفون!$A61)</f>
        <v/>
      </c>
      <c r="B61" s="117" t="str">
        <f aca="false">IF(الموظفون!$B61="","",الموظفون!$B61)</f>
        <v/>
      </c>
      <c r="C61" s="117" t="str">
        <f aca="false">IF($B61="","",الموظفون!$C61)</f>
        <v/>
      </c>
      <c r="D61" s="117" t="str">
        <f aca="false">IF($B61="","",الموظفون!$F61)</f>
        <v/>
      </c>
      <c r="E61" s="117" t="str">
        <f aca="false">IF($B61="","",الموظفون!$E61)</f>
        <v/>
      </c>
      <c r="F61" s="117" t="str">
        <f aca="false">IF($B61="","",IF(AK61=0,IF(AND(الموظفون!$AE61&lt;&gt;"",الموظفون!$AE61&lt;$E$3),"✖ منتهي الخدمة","⏳ لم يباشر"),IF(S61&gt;0,"✈ راتب إجازة مقدم",IF(J61=0,"⛔ بدون راتب هذا الشهر",IF(I61&gt;0,"✈ خصم "&amp;ROUND(I61,2)&amp;" يوم بدون أجر",IF(AL61&gt;0,"🌴 إجازة سنوية "&amp;ROUND(AL61,2)&amp;" يوم",IF(H61&gt;0,"⚠ غياب "&amp;ROUND(H61,2)&amp;" يوم","✔ على رأس العمل")))))))</f>
        <v/>
      </c>
      <c r="G61" s="156" t="str">
        <f aca="false">IF($B61="","",IF(AK61&gt;=DAY($F$3),cfg_DAYS_M,MIN(AK61,cfg_DAYS_M)))</f>
        <v/>
      </c>
      <c r="H61" s="156" t="str">
        <f aca="false">IF($B61="","",SUMIFS('الحركات الشهرية'!$D$6:$D$1005,'الحركات الشهرية'!$B$6:$B$1005,$B61,'الحركات الشهرية'!$A$6:$A$1005,$C$3))</f>
        <v/>
      </c>
      <c r="I61" s="156" t="str">
        <f aca="false">IF($B61="","",MIN(G61,IF(AND(AK61&gt;0,AN61&gt;=AK61),G61,AN61)+SUMIFS('الحركات الشهرية'!$E$6:$E$1005,'الحركات الشهرية'!$B$6:$B$1005,$B61,'الحركات الشهرية'!$A$6:$A$1005,$C$3)))</f>
        <v/>
      </c>
      <c r="J61" s="156" t="str">
        <f aca="false">IF($B61="","",MAX(0,G61-H61-I61))</f>
        <v/>
      </c>
      <c r="K61" s="116" t="str">
        <f aca="false">IF($B61="","",الموظفون!$L61*$J61/cfg_DAYS_M)</f>
        <v/>
      </c>
      <c r="L61" s="116" t="str">
        <f aca="false">IF($B61="","",الموظفون!$M61*$J61/cfg_DAYS_M)</f>
        <v/>
      </c>
      <c r="M61" s="116" t="str">
        <f aca="false">IF($B61="","",الموظفون!$N61*$J61/cfg_DAYS_M)</f>
        <v/>
      </c>
      <c r="N61" s="116" t="str">
        <f aca="false">IF($B61="","",الموظفون!$O61*$J61/cfg_DAYS_M)</f>
        <v/>
      </c>
      <c r="O61" s="156" t="str">
        <f aca="false">IF($B61="","",SUMIFS('الحركات الشهرية'!$F$6:$F$1005,'الحركات الشهرية'!$B$6:$B$1005,$B61,'الحركات الشهرية'!$A$6:$A$1005,$C$3))</f>
        <v/>
      </c>
      <c r="P61" s="116" t="str">
        <f aca="false">IF($B61="","",O61*(الموظفون!$P61+الموظفون!$L61*cfg_OT_P)/cfg_DAYS_M/cfg_HRS)</f>
        <v/>
      </c>
      <c r="Q61" s="116" t="str">
        <f aca="false">IF($B61="","",SUMIFS('الحركات الشهرية'!$G$6:$G$1005,'الحركات الشهرية'!$B$6:$B$1005,$B61,'الحركات الشهرية'!$A$6:$A$1005,$C$3))</f>
        <v/>
      </c>
      <c r="R61" s="116" t="str">
        <f aca="false">IF($B61="","",SUMIFS('الحركات الشهرية'!$H$6:$H$1005,'الحركات الشهرية'!$B$6:$B$1005,$B61,'الحركات الشهرية'!$A$6:$A$1005,$C$3))</f>
        <v/>
      </c>
      <c r="S61" s="116" t="str">
        <f aca="false">IF($B61="","",SUMIFS('سجل الإجازات والحالات'!$N$6:$N$505,'سجل الإجازات والحالات'!$B$6:$B$505,$B61,'سجل الإجازات والحالات'!$O$6:$O$505,$C$3))</f>
        <v/>
      </c>
      <c r="T61" s="157" t="str">
        <f aca="false">IF($B61="","",SUM(K61:N61)+SUM(P61:S61))</f>
        <v/>
      </c>
      <c r="U61" s="116" t="str">
        <f aca="false">IF($B61="","",الموظفون!$S61*IF(E61="سعودي",cfg_G_SE,cfg_G_NE)*G61/cfg_DAYS_M)</f>
        <v/>
      </c>
      <c r="V61" s="116" t="str">
        <f aca="false">IF($B61="","",SUMIFS('الحركات الشهرية'!$I$6:$I$1005,'الحركات الشهرية'!$B$6:$B$1005,$B61,'الحركات الشهرية'!$A$6:$A$1005,$C$3))</f>
        <v/>
      </c>
      <c r="W61" s="116" t="str">
        <f aca="false">IF($B61="","",SUMIFS('الحركات الشهرية'!$J$6:$J$1005,'الحركات الشهرية'!$B$6:$B$1005,$B61,'الحركات الشهرية'!$A$6:$A$1005,$C$3))</f>
        <v/>
      </c>
      <c r="X61" s="116" t="str">
        <f aca="false">IF($B61="","",SUM(U61:W61))</f>
        <v/>
      </c>
      <c r="Y61" s="158" t="str">
        <f aca="false">IF($B61="","",T61-X61)</f>
        <v/>
      </c>
      <c r="Z61" s="116" t="str">
        <f aca="false">IF($B61="","",الموظفون!$S61*IF(E61="سعودي",cfg_G_SR,cfg_G_NR)*G61/cfg_DAYS_M)</f>
        <v/>
      </c>
      <c r="AA61" s="116" t="str">
        <f aca="false">IF($B61="","",الموظفون!$Q61*(cfg_EOS_R1*(MIN(AH61,cfg_EOS_TH)-MIN(AI61,cfg_EOS_TH))+cfg_EOS_R2*(MAX(AH61-cfg_EOS_TH,0)-MAX(AI61-cfg_EOS_TH,0))))</f>
        <v/>
      </c>
      <c r="AB61" s="116" t="str">
        <f aca="false">IF($B61="","",IF(الموظفون!$T61&lt;&gt;"",الموظفون!$T61,IF(AH61&gt;=cfg_LV_TH,cfg_LV_D2,cfg_LV_D1))/cfg_DAYS_Y*AJ61*الموظفون!$R61/cfg_DAYS_M)</f>
        <v/>
      </c>
      <c r="AC61" s="116" t="str">
        <f aca="false">IF($B61="","",IF(AND(الموظفون!$U61="نعم",N(الموظفون!$W61)&gt;0),الموظفون!$V61/الموظفون!$W61*12/cfg_DAYS_Y*AJ61,0))</f>
        <v/>
      </c>
      <c r="AD61" s="116" t="str">
        <f aca="false">IF($B61="","",(IF(الموظفون!$X61&lt;&gt;"",الموظفون!$X61,IF(الموظفون!$E61="غير سعودي",cfg_IQ,0))+IF(الموظفون!$Y61&lt;&gt;"",الموظفون!$Y61,IF(الموظفون!$E61="غير سعودي",cfg_WP,0)))/12*G61/cfg_DAYS_M)</f>
        <v/>
      </c>
      <c r="AE61" s="116" t="str">
        <f aca="false">IF($B61="","",IF(الموظفون!$Z61&lt;&gt;"",الموظفون!$Z61,cfg_MED)/12*G61/cfg_DAYS_M)</f>
        <v/>
      </c>
      <c r="AF61" s="116" t="str">
        <f aca="false">IF($B61="","",N(الموظفون!$AA61)/12*G61/cfg_DAYS_M)</f>
        <v/>
      </c>
      <c r="AG61" s="159" t="str">
        <f aca="false">IF($B61="","",T61+SUM(Z61:AF61))</f>
        <v/>
      </c>
      <c r="AH61" s="160" t="str">
        <f aca="false">IF($B61="","",MAX(0,IF(OR(الموظفون!$AE61="",الموظفون!$AE61&gt;$F$3),$F$3,الموظفون!$AE61)-الموظفون!$H61+1-SUMIFS('سجل الإجازات والحالات'!$AH$6:$AH$505,'سجل الإجازات والحالات'!$B$6:$B$505,$B61))/cfg_DAYS_Y)</f>
        <v/>
      </c>
      <c r="AI61" s="160" t="str">
        <f aca="false">IF($B61="","",MAX(0,IF(OR(الموظفون!$AE61="",الموظفون!$AE61&gt;($E$3-1)),($E$3-1),الموظفون!$AE61)-الموظفون!$H61+1-SUMIFS('سجل الإجازات والحالات'!$R$6:$R$505,'سجل الإجازات والحالات'!$B$6:$B$505,$B61))/cfg_DAYS_Y)</f>
        <v/>
      </c>
      <c r="AJ61" s="133" t="str">
        <f aca="false">IF($B61="","",MAX(0,AK61-(SUMIFS('سجل الإجازات والحالات'!$AH$6:$AH$505,'سجل الإجازات والحالات'!$B$6:$B$505,$B61)-SUMIFS('سجل الإجازات والحالات'!$R$6:$R$505,'سجل الإجازات والحالات'!$B$6:$B$505,$B61))))</f>
        <v/>
      </c>
      <c r="AK61" s="133" t="str">
        <f aca="false">IF($B61="","",MAX(0,IF(OR(الموظفون!$AE61="",الموظفون!$AE61&gt;$F$3),$F$3,الموظفون!$AE61)-MAX($E$3,الموظفون!$H61)+1))</f>
        <v/>
      </c>
      <c r="AL61" s="156" t="str">
        <f aca="false">IF($B61="","",SUMIFS('سجل الإجازات والحالات'!$AT$6:$AT$505,'سجل الإجازات والحالات'!$B$6:$B$505,$B61)+SUMIFS('الحركات الشهرية'!$K$6:$K$1005,'الحركات الشهرية'!$B$6:$B$1005,$B61,'الحركات الشهرية'!$A$6:$A$1005,$C$3))</f>
        <v/>
      </c>
      <c r="AM61" s="116" t="str">
        <f aca="false">IF($B61="","",AL61*الموظفون!$R61/cfg_DAYS_M+S61)</f>
        <v/>
      </c>
      <c r="AN61" s="156" t="str">
        <f aca="false">IF($B61="","",SUMIFS('سجل الإجازات والحالات'!$V$6:$V$505,'سجل الإجازات والحالات'!$B$6:$B$505,$B61))</f>
        <v/>
      </c>
    </row>
    <row r="62" customFormat="false" ht="15" hidden="false" customHeight="false" outlineLevel="0" collapsed="false">
      <c r="A62" s="106" t="str">
        <f aca="false">IF($B62="","",الموظفون!$A62)</f>
        <v/>
      </c>
      <c r="B62" s="114" t="str">
        <f aca="false">IF(الموظفون!$B62="","",الموظفون!$B62)</f>
        <v/>
      </c>
      <c r="C62" s="114" t="str">
        <f aca="false">IF($B62="","",الموظفون!$C62)</f>
        <v/>
      </c>
      <c r="D62" s="114" t="str">
        <f aca="false">IF($B62="","",الموظفون!$F62)</f>
        <v/>
      </c>
      <c r="E62" s="114" t="str">
        <f aca="false">IF($B62="","",الموظفون!$E62)</f>
        <v/>
      </c>
      <c r="F62" s="114" t="str">
        <f aca="false">IF($B62="","",IF(AK62=0,IF(AND(الموظفون!$AE62&lt;&gt;"",الموظفون!$AE62&lt;$E$3),"✖ منتهي الخدمة","⏳ لم يباشر"),IF(S62&gt;0,"✈ راتب إجازة مقدم",IF(J62=0,"⛔ بدون راتب هذا الشهر",IF(I62&gt;0,"✈ خصم "&amp;ROUND(I62,2)&amp;" يوم بدون أجر",IF(AL62&gt;0,"🌴 إجازة سنوية "&amp;ROUND(AL62,2)&amp;" يوم",IF(H62&gt;0,"⚠ غياب "&amp;ROUND(H62,2)&amp;" يوم","✔ على رأس العمل")))))))</f>
        <v/>
      </c>
      <c r="G62" s="151" t="str">
        <f aca="false">IF($B62="","",IF(AK62&gt;=DAY($F$3),cfg_DAYS_M,MIN(AK62,cfg_DAYS_M)))</f>
        <v/>
      </c>
      <c r="H62" s="151" t="str">
        <f aca="false">IF($B62="","",SUMIFS('الحركات الشهرية'!$D$6:$D$1005,'الحركات الشهرية'!$B$6:$B$1005,$B62,'الحركات الشهرية'!$A$6:$A$1005,$C$3))</f>
        <v/>
      </c>
      <c r="I62" s="151" t="str">
        <f aca="false">IF($B62="","",MIN(G62,IF(AND(AK62&gt;0,AN62&gt;=AK62),G62,AN62)+SUMIFS('الحركات الشهرية'!$E$6:$E$1005,'الحركات الشهرية'!$B$6:$B$1005,$B62,'الحركات الشهرية'!$A$6:$A$1005,$C$3)))</f>
        <v/>
      </c>
      <c r="J62" s="151" t="str">
        <f aca="false">IF($B62="","",MAX(0,G62-H62-I62))</f>
        <v/>
      </c>
      <c r="K62" s="111" t="str">
        <f aca="false">IF($B62="","",الموظفون!$L62*$J62/cfg_DAYS_M)</f>
        <v/>
      </c>
      <c r="L62" s="111" t="str">
        <f aca="false">IF($B62="","",الموظفون!$M62*$J62/cfg_DAYS_M)</f>
        <v/>
      </c>
      <c r="M62" s="111" t="str">
        <f aca="false">IF($B62="","",الموظفون!$N62*$J62/cfg_DAYS_M)</f>
        <v/>
      </c>
      <c r="N62" s="111" t="str">
        <f aca="false">IF($B62="","",الموظفون!$O62*$J62/cfg_DAYS_M)</f>
        <v/>
      </c>
      <c r="O62" s="151" t="str">
        <f aca="false">IF($B62="","",SUMIFS('الحركات الشهرية'!$F$6:$F$1005,'الحركات الشهرية'!$B$6:$B$1005,$B62,'الحركات الشهرية'!$A$6:$A$1005,$C$3))</f>
        <v/>
      </c>
      <c r="P62" s="111" t="str">
        <f aca="false">IF($B62="","",O62*(الموظفون!$P62+الموظفون!$L62*cfg_OT_P)/cfg_DAYS_M/cfg_HRS)</f>
        <v/>
      </c>
      <c r="Q62" s="111" t="str">
        <f aca="false">IF($B62="","",SUMIFS('الحركات الشهرية'!$G$6:$G$1005,'الحركات الشهرية'!$B$6:$B$1005,$B62,'الحركات الشهرية'!$A$6:$A$1005,$C$3))</f>
        <v/>
      </c>
      <c r="R62" s="111" t="str">
        <f aca="false">IF($B62="","",SUMIFS('الحركات الشهرية'!$H$6:$H$1005,'الحركات الشهرية'!$B$6:$B$1005,$B62,'الحركات الشهرية'!$A$6:$A$1005,$C$3))</f>
        <v/>
      </c>
      <c r="S62" s="111" t="str">
        <f aca="false">IF($B62="","",SUMIFS('سجل الإجازات والحالات'!$N$6:$N$505,'سجل الإجازات والحالات'!$B$6:$B$505,$B62,'سجل الإجازات والحالات'!$O$6:$O$505,$C$3))</f>
        <v/>
      </c>
      <c r="T62" s="152" t="str">
        <f aca="false">IF($B62="","",SUM(K62:N62)+SUM(P62:S62))</f>
        <v/>
      </c>
      <c r="U62" s="111" t="str">
        <f aca="false">IF($B62="","",الموظفون!$S62*IF(E62="سعودي",cfg_G_SE,cfg_G_NE)*G62/cfg_DAYS_M)</f>
        <v/>
      </c>
      <c r="V62" s="111" t="str">
        <f aca="false">IF($B62="","",SUMIFS('الحركات الشهرية'!$I$6:$I$1005,'الحركات الشهرية'!$B$6:$B$1005,$B62,'الحركات الشهرية'!$A$6:$A$1005,$C$3))</f>
        <v/>
      </c>
      <c r="W62" s="111" t="str">
        <f aca="false">IF($B62="","",SUMIFS('الحركات الشهرية'!$J$6:$J$1005,'الحركات الشهرية'!$B$6:$B$1005,$B62,'الحركات الشهرية'!$A$6:$A$1005,$C$3))</f>
        <v/>
      </c>
      <c r="X62" s="111" t="str">
        <f aca="false">IF($B62="","",SUM(U62:W62))</f>
        <v/>
      </c>
      <c r="Y62" s="153" t="str">
        <f aca="false">IF($B62="","",T62-X62)</f>
        <v/>
      </c>
      <c r="Z62" s="111" t="str">
        <f aca="false">IF($B62="","",الموظفون!$S62*IF(E62="سعودي",cfg_G_SR,cfg_G_NR)*G62/cfg_DAYS_M)</f>
        <v/>
      </c>
      <c r="AA62" s="111" t="str">
        <f aca="false">IF($B62="","",الموظفون!$Q62*(cfg_EOS_R1*(MIN(AH62,cfg_EOS_TH)-MIN(AI62,cfg_EOS_TH))+cfg_EOS_R2*(MAX(AH62-cfg_EOS_TH,0)-MAX(AI62-cfg_EOS_TH,0))))</f>
        <v/>
      </c>
      <c r="AB62" s="111" t="str">
        <f aca="false">IF($B62="","",IF(الموظفون!$T62&lt;&gt;"",الموظفون!$T62,IF(AH62&gt;=cfg_LV_TH,cfg_LV_D2,cfg_LV_D1))/cfg_DAYS_Y*AJ62*الموظفون!$R62/cfg_DAYS_M)</f>
        <v/>
      </c>
      <c r="AC62" s="111" t="str">
        <f aca="false">IF($B62="","",IF(AND(الموظفون!$U62="نعم",N(الموظفون!$W62)&gt;0),الموظفون!$V62/الموظفون!$W62*12/cfg_DAYS_Y*AJ62,0))</f>
        <v/>
      </c>
      <c r="AD62" s="111" t="str">
        <f aca="false">IF($B62="","",(IF(الموظفون!$X62&lt;&gt;"",الموظفون!$X62,IF(الموظفون!$E62="غير سعودي",cfg_IQ,0))+IF(الموظفون!$Y62&lt;&gt;"",الموظفون!$Y62,IF(الموظفون!$E62="غير سعودي",cfg_WP,0)))/12*G62/cfg_DAYS_M)</f>
        <v/>
      </c>
      <c r="AE62" s="111" t="str">
        <f aca="false">IF($B62="","",IF(الموظفون!$Z62&lt;&gt;"",الموظفون!$Z62,cfg_MED)/12*G62/cfg_DAYS_M)</f>
        <v/>
      </c>
      <c r="AF62" s="111" t="str">
        <f aca="false">IF($B62="","",N(الموظفون!$AA62)/12*G62/cfg_DAYS_M)</f>
        <v/>
      </c>
      <c r="AG62" s="154" t="str">
        <f aca="false">IF($B62="","",T62+SUM(Z62:AF62))</f>
        <v/>
      </c>
      <c r="AH62" s="155" t="str">
        <f aca="false">IF($B62="","",MAX(0,IF(OR(الموظفون!$AE62="",الموظفون!$AE62&gt;$F$3),$F$3,الموظفون!$AE62)-الموظفون!$H62+1-SUMIFS('سجل الإجازات والحالات'!$AH$6:$AH$505,'سجل الإجازات والحالات'!$B$6:$B$505,$B62))/cfg_DAYS_Y)</f>
        <v/>
      </c>
      <c r="AI62" s="155" t="str">
        <f aca="false">IF($B62="","",MAX(0,IF(OR(الموظفون!$AE62="",الموظفون!$AE62&gt;($E$3-1)),($E$3-1),الموظفون!$AE62)-الموظفون!$H62+1-SUMIFS('سجل الإجازات والحالات'!$R$6:$R$505,'سجل الإجازات والحالات'!$B$6:$B$505,$B62))/cfg_DAYS_Y)</f>
        <v/>
      </c>
      <c r="AJ62" s="65" t="str">
        <f aca="false">IF($B62="","",MAX(0,AK62-(SUMIFS('سجل الإجازات والحالات'!$AH$6:$AH$505,'سجل الإجازات والحالات'!$B$6:$B$505,$B62)-SUMIFS('سجل الإجازات والحالات'!$R$6:$R$505,'سجل الإجازات والحالات'!$B$6:$B$505,$B62))))</f>
        <v/>
      </c>
      <c r="AK62" s="65" t="str">
        <f aca="false">IF($B62="","",MAX(0,IF(OR(الموظفون!$AE62="",الموظفون!$AE62&gt;$F$3),$F$3,الموظفون!$AE62)-MAX($E$3,الموظفون!$H62)+1))</f>
        <v/>
      </c>
      <c r="AL62" s="151" t="str">
        <f aca="false">IF($B62="","",SUMIFS('سجل الإجازات والحالات'!$AT$6:$AT$505,'سجل الإجازات والحالات'!$B$6:$B$505,$B62)+SUMIFS('الحركات الشهرية'!$K$6:$K$1005,'الحركات الشهرية'!$B$6:$B$1005,$B62,'الحركات الشهرية'!$A$6:$A$1005,$C$3))</f>
        <v/>
      </c>
      <c r="AM62" s="111" t="str">
        <f aca="false">IF($B62="","",AL62*الموظفون!$R62/cfg_DAYS_M+S62)</f>
        <v/>
      </c>
      <c r="AN62" s="151" t="str">
        <f aca="false">IF($B62="","",SUMIFS('سجل الإجازات والحالات'!$V$6:$V$505,'سجل الإجازات والحالات'!$B$6:$B$505,$B62))</f>
        <v/>
      </c>
    </row>
    <row r="63" customFormat="false" ht="15" hidden="false" customHeight="false" outlineLevel="0" collapsed="false">
      <c r="A63" s="115" t="str">
        <f aca="false">IF($B63="","",الموظفون!$A63)</f>
        <v/>
      </c>
      <c r="B63" s="117" t="str">
        <f aca="false">IF(الموظفون!$B63="","",الموظفون!$B63)</f>
        <v/>
      </c>
      <c r="C63" s="117" t="str">
        <f aca="false">IF($B63="","",الموظفون!$C63)</f>
        <v/>
      </c>
      <c r="D63" s="117" t="str">
        <f aca="false">IF($B63="","",الموظفون!$F63)</f>
        <v/>
      </c>
      <c r="E63" s="117" t="str">
        <f aca="false">IF($B63="","",الموظفون!$E63)</f>
        <v/>
      </c>
      <c r="F63" s="117" t="str">
        <f aca="false">IF($B63="","",IF(AK63=0,IF(AND(الموظفون!$AE63&lt;&gt;"",الموظفون!$AE63&lt;$E$3),"✖ منتهي الخدمة","⏳ لم يباشر"),IF(S63&gt;0,"✈ راتب إجازة مقدم",IF(J63=0,"⛔ بدون راتب هذا الشهر",IF(I63&gt;0,"✈ خصم "&amp;ROUND(I63,2)&amp;" يوم بدون أجر",IF(AL63&gt;0,"🌴 إجازة سنوية "&amp;ROUND(AL63,2)&amp;" يوم",IF(H63&gt;0,"⚠ غياب "&amp;ROUND(H63,2)&amp;" يوم","✔ على رأس العمل")))))))</f>
        <v/>
      </c>
      <c r="G63" s="156" t="str">
        <f aca="false">IF($B63="","",IF(AK63&gt;=DAY($F$3),cfg_DAYS_M,MIN(AK63,cfg_DAYS_M)))</f>
        <v/>
      </c>
      <c r="H63" s="156" t="str">
        <f aca="false">IF($B63="","",SUMIFS('الحركات الشهرية'!$D$6:$D$1005,'الحركات الشهرية'!$B$6:$B$1005,$B63,'الحركات الشهرية'!$A$6:$A$1005,$C$3))</f>
        <v/>
      </c>
      <c r="I63" s="156" t="str">
        <f aca="false">IF($B63="","",MIN(G63,IF(AND(AK63&gt;0,AN63&gt;=AK63),G63,AN63)+SUMIFS('الحركات الشهرية'!$E$6:$E$1005,'الحركات الشهرية'!$B$6:$B$1005,$B63,'الحركات الشهرية'!$A$6:$A$1005,$C$3)))</f>
        <v/>
      </c>
      <c r="J63" s="156" t="str">
        <f aca="false">IF($B63="","",MAX(0,G63-H63-I63))</f>
        <v/>
      </c>
      <c r="K63" s="116" t="str">
        <f aca="false">IF($B63="","",الموظفون!$L63*$J63/cfg_DAYS_M)</f>
        <v/>
      </c>
      <c r="L63" s="116" t="str">
        <f aca="false">IF($B63="","",الموظفون!$M63*$J63/cfg_DAYS_M)</f>
        <v/>
      </c>
      <c r="M63" s="116" t="str">
        <f aca="false">IF($B63="","",الموظفون!$N63*$J63/cfg_DAYS_M)</f>
        <v/>
      </c>
      <c r="N63" s="116" t="str">
        <f aca="false">IF($B63="","",الموظفون!$O63*$J63/cfg_DAYS_M)</f>
        <v/>
      </c>
      <c r="O63" s="156" t="str">
        <f aca="false">IF($B63="","",SUMIFS('الحركات الشهرية'!$F$6:$F$1005,'الحركات الشهرية'!$B$6:$B$1005,$B63,'الحركات الشهرية'!$A$6:$A$1005,$C$3))</f>
        <v/>
      </c>
      <c r="P63" s="116" t="str">
        <f aca="false">IF($B63="","",O63*(الموظفون!$P63+الموظفون!$L63*cfg_OT_P)/cfg_DAYS_M/cfg_HRS)</f>
        <v/>
      </c>
      <c r="Q63" s="116" t="str">
        <f aca="false">IF($B63="","",SUMIFS('الحركات الشهرية'!$G$6:$G$1005,'الحركات الشهرية'!$B$6:$B$1005,$B63,'الحركات الشهرية'!$A$6:$A$1005,$C$3))</f>
        <v/>
      </c>
      <c r="R63" s="116" t="str">
        <f aca="false">IF($B63="","",SUMIFS('الحركات الشهرية'!$H$6:$H$1005,'الحركات الشهرية'!$B$6:$B$1005,$B63,'الحركات الشهرية'!$A$6:$A$1005,$C$3))</f>
        <v/>
      </c>
      <c r="S63" s="116" t="str">
        <f aca="false">IF($B63="","",SUMIFS('سجل الإجازات والحالات'!$N$6:$N$505,'سجل الإجازات والحالات'!$B$6:$B$505,$B63,'سجل الإجازات والحالات'!$O$6:$O$505,$C$3))</f>
        <v/>
      </c>
      <c r="T63" s="157" t="str">
        <f aca="false">IF($B63="","",SUM(K63:N63)+SUM(P63:S63))</f>
        <v/>
      </c>
      <c r="U63" s="116" t="str">
        <f aca="false">IF($B63="","",الموظفون!$S63*IF(E63="سعودي",cfg_G_SE,cfg_G_NE)*G63/cfg_DAYS_M)</f>
        <v/>
      </c>
      <c r="V63" s="116" t="str">
        <f aca="false">IF($B63="","",SUMIFS('الحركات الشهرية'!$I$6:$I$1005,'الحركات الشهرية'!$B$6:$B$1005,$B63,'الحركات الشهرية'!$A$6:$A$1005,$C$3))</f>
        <v/>
      </c>
      <c r="W63" s="116" t="str">
        <f aca="false">IF($B63="","",SUMIFS('الحركات الشهرية'!$J$6:$J$1005,'الحركات الشهرية'!$B$6:$B$1005,$B63,'الحركات الشهرية'!$A$6:$A$1005,$C$3))</f>
        <v/>
      </c>
      <c r="X63" s="116" t="str">
        <f aca="false">IF($B63="","",SUM(U63:W63))</f>
        <v/>
      </c>
      <c r="Y63" s="158" t="str">
        <f aca="false">IF($B63="","",T63-X63)</f>
        <v/>
      </c>
      <c r="Z63" s="116" t="str">
        <f aca="false">IF($B63="","",الموظفون!$S63*IF(E63="سعودي",cfg_G_SR,cfg_G_NR)*G63/cfg_DAYS_M)</f>
        <v/>
      </c>
      <c r="AA63" s="116" t="str">
        <f aca="false">IF($B63="","",الموظفون!$Q63*(cfg_EOS_R1*(MIN(AH63,cfg_EOS_TH)-MIN(AI63,cfg_EOS_TH))+cfg_EOS_R2*(MAX(AH63-cfg_EOS_TH,0)-MAX(AI63-cfg_EOS_TH,0))))</f>
        <v/>
      </c>
      <c r="AB63" s="116" t="str">
        <f aca="false">IF($B63="","",IF(الموظفون!$T63&lt;&gt;"",الموظفون!$T63,IF(AH63&gt;=cfg_LV_TH,cfg_LV_D2,cfg_LV_D1))/cfg_DAYS_Y*AJ63*الموظفون!$R63/cfg_DAYS_M)</f>
        <v/>
      </c>
      <c r="AC63" s="116" t="str">
        <f aca="false">IF($B63="","",IF(AND(الموظفون!$U63="نعم",N(الموظفون!$W63)&gt;0),الموظفون!$V63/الموظفون!$W63*12/cfg_DAYS_Y*AJ63,0))</f>
        <v/>
      </c>
      <c r="AD63" s="116" t="str">
        <f aca="false">IF($B63="","",(IF(الموظفون!$X63&lt;&gt;"",الموظفون!$X63,IF(الموظفون!$E63="غير سعودي",cfg_IQ,0))+IF(الموظفون!$Y63&lt;&gt;"",الموظفون!$Y63,IF(الموظفون!$E63="غير سعودي",cfg_WP,0)))/12*G63/cfg_DAYS_M)</f>
        <v/>
      </c>
      <c r="AE63" s="116" t="str">
        <f aca="false">IF($B63="","",IF(الموظفون!$Z63&lt;&gt;"",الموظفون!$Z63,cfg_MED)/12*G63/cfg_DAYS_M)</f>
        <v/>
      </c>
      <c r="AF63" s="116" t="str">
        <f aca="false">IF($B63="","",N(الموظفون!$AA63)/12*G63/cfg_DAYS_M)</f>
        <v/>
      </c>
      <c r="AG63" s="159" t="str">
        <f aca="false">IF($B63="","",T63+SUM(Z63:AF63))</f>
        <v/>
      </c>
      <c r="AH63" s="160" t="str">
        <f aca="false">IF($B63="","",MAX(0,IF(OR(الموظفون!$AE63="",الموظفون!$AE63&gt;$F$3),$F$3,الموظفون!$AE63)-الموظفون!$H63+1-SUMIFS('سجل الإجازات والحالات'!$AH$6:$AH$505,'سجل الإجازات والحالات'!$B$6:$B$505,$B63))/cfg_DAYS_Y)</f>
        <v/>
      </c>
      <c r="AI63" s="160" t="str">
        <f aca="false">IF($B63="","",MAX(0,IF(OR(الموظفون!$AE63="",الموظفون!$AE63&gt;($E$3-1)),($E$3-1),الموظفون!$AE63)-الموظفون!$H63+1-SUMIFS('سجل الإجازات والحالات'!$R$6:$R$505,'سجل الإجازات والحالات'!$B$6:$B$505,$B63))/cfg_DAYS_Y)</f>
        <v/>
      </c>
      <c r="AJ63" s="133" t="str">
        <f aca="false">IF($B63="","",MAX(0,AK63-(SUMIFS('سجل الإجازات والحالات'!$AH$6:$AH$505,'سجل الإجازات والحالات'!$B$6:$B$505,$B63)-SUMIFS('سجل الإجازات والحالات'!$R$6:$R$505,'سجل الإجازات والحالات'!$B$6:$B$505,$B63))))</f>
        <v/>
      </c>
      <c r="AK63" s="133" t="str">
        <f aca="false">IF($B63="","",MAX(0,IF(OR(الموظفون!$AE63="",الموظفون!$AE63&gt;$F$3),$F$3,الموظفون!$AE63)-MAX($E$3,الموظفون!$H63)+1))</f>
        <v/>
      </c>
      <c r="AL63" s="156" t="str">
        <f aca="false">IF($B63="","",SUMIFS('سجل الإجازات والحالات'!$AT$6:$AT$505,'سجل الإجازات والحالات'!$B$6:$B$505,$B63)+SUMIFS('الحركات الشهرية'!$K$6:$K$1005,'الحركات الشهرية'!$B$6:$B$1005,$B63,'الحركات الشهرية'!$A$6:$A$1005,$C$3))</f>
        <v/>
      </c>
      <c r="AM63" s="116" t="str">
        <f aca="false">IF($B63="","",AL63*الموظفون!$R63/cfg_DAYS_M+S63)</f>
        <v/>
      </c>
      <c r="AN63" s="156" t="str">
        <f aca="false">IF($B63="","",SUMIFS('سجل الإجازات والحالات'!$V$6:$V$505,'سجل الإجازات والحالات'!$B$6:$B$505,$B63))</f>
        <v/>
      </c>
    </row>
    <row r="64" customFormat="false" ht="15" hidden="false" customHeight="false" outlineLevel="0" collapsed="false">
      <c r="A64" s="106" t="str">
        <f aca="false">IF($B64="","",الموظفون!$A64)</f>
        <v/>
      </c>
      <c r="B64" s="114" t="str">
        <f aca="false">IF(الموظفون!$B64="","",الموظفون!$B64)</f>
        <v/>
      </c>
      <c r="C64" s="114" t="str">
        <f aca="false">IF($B64="","",الموظفون!$C64)</f>
        <v/>
      </c>
      <c r="D64" s="114" t="str">
        <f aca="false">IF($B64="","",الموظفون!$F64)</f>
        <v/>
      </c>
      <c r="E64" s="114" t="str">
        <f aca="false">IF($B64="","",الموظفون!$E64)</f>
        <v/>
      </c>
      <c r="F64" s="114" t="str">
        <f aca="false">IF($B64="","",IF(AK64=0,IF(AND(الموظفون!$AE64&lt;&gt;"",الموظفون!$AE64&lt;$E$3),"✖ منتهي الخدمة","⏳ لم يباشر"),IF(S64&gt;0,"✈ راتب إجازة مقدم",IF(J64=0,"⛔ بدون راتب هذا الشهر",IF(I64&gt;0,"✈ خصم "&amp;ROUND(I64,2)&amp;" يوم بدون أجر",IF(AL64&gt;0,"🌴 إجازة سنوية "&amp;ROUND(AL64,2)&amp;" يوم",IF(H64&gt;0,"⚠ غياب "&amp;ROUND(H64,2)&amp;" يوم","✔ على رأس العمل")))))))</f>
        <v/>
      </c>
      <c r="G64" s="151" t="str">
        <f aca="false">IF($B64="","",IF(AK64&gt;=DAY($F$3),cfg_DAYS_M,MIN(AK64,cfg_DAYS_M)))</f>
        <v/>
      </c>
      <c r="H64" s="151" t="str">
        <f aca="false">IF($B64="","",SUMIFS('الحركات الشهرية'!$D$6:$D$1005,'الحركات الشهرية'!$B$6:$B$1005,$B64,'الحركات الشهرية'!$A$6:$A$1005,$C$3))</f>
        <v/>
      </c>
      <c r="I64" s="151" t="str">
        <f aca="false">IF($B64="","",MIN(G64,IF(AND(AK64&gt;0,AN64&gt;=AK64),G64,AN64)+SUMIFS('الحركات الشهرية'!$E$6:$E$1005,'الحركات الشهرية'!$B$6:$B$1005,$B64,'الحركات الشهرية'!$A$6:$A$1005,$C$3)))</f>
        <v/>
      </c>
      <c r="J64" s="151" t="str">
        <f aca="false">IF($B64="","",MAX(0,G64-H64-I64))</f>
        <v/>
      </c>
      <c r="K64" s="111" t="str">
        <f aca="false">IF($B64="","",الموظفون!$L64*$J64/cfg_DAYS_M)</f>
        <v/>
      </c>
      <c r="L64" s="111" t="str">
        <f aca="false">IF($B64="","",الموظفون!$M64*$J64/cfg_DAYS_M)</f>
        <v/>
      </c>
      <c r="M64" s="111" t="str">
        <f aca="false">IF($B64="","",الموظفون!$N64*$J64/cfg_DAYS_M)</f>
        <v/>
      </c>
      <c r="N64" s="111" t="str">
        <f aca="false">IF($B64="","",الموظفون!$O64*$J64/cfg_DAYS_M)</f>
        <v/>
      </c>
      <c r="O64" s="151" t="str">
        <f aca="false">IF($B64="","",SUMIFS('الحركات الشهرية'!$F$6:$F$1005,'الحركات الشهرية'!$B$6:$B$1005,$B64,'الحركات الشهرية'!$A$6:$A$1005,$C$3))</f>
        <v/>
      </c>
      <c r="P64" s="111" t="str">
        <f aca="false">IF($B64="","",O64*(الموظفون!$P64+الموظفون!$L64*cfg_OT_P)/cfg_DAYS_M/cfg_HRS)</f>
        <v/>
      </c>
      <c r="Q64" s="111" t="str">
        <f aca="false">IF($B64="","",SUMIFS('الحركات الشهرية'!$G$6:$G$1005,'الحركات الشهرية'!$B$6:$B$1005,$B64,'الحركات الشهرية'!$A$6:$A$1005,$C$3))</f>
        <v/>
      </c>
      <c r="R64" s="111" t="str">
        <f aca="false">IF($B64="","",SUMIFS('الحركات الشهرية'!$H$6:$H$1005,'الحركات الشهرية'!$B$6:$B$1005,$B64,'الحركات الشهرية'!$A$6:$A$1005,$C$3))</f>
        <v/>
      </c>
      <c r="S64" s="111" t="str">
        <f aca="false">IF($B64="","",SUMIFS('سجل الإجازات والحالات'!$N$6:$N$505,'سجل الإجازات والحالات'!$B$6:$B$505,$B64,'سجل الإجازات والحالات'!$O$6:$O$505,$C$3))</f>
        <v/>
      </c>
      <c r="T64" s="152" t="str">
        <f aca="false">IF($B64="","",SUM(K64:N64)+SUM(P64:S64))</f>
        <v/>
      </c>
      <c r="U64" s="111" t="str">
        <f aca="false">IF($B64="","",الموظفون!$S64*IF(E64="سعودي",cfg_G_SE,cfg_G_NE)*G64/cfg_DAYS_M)</f>
        <v/>
      </c>
      <c r="V64" s="111" t="str">
        <f aca="false">IF($B64="","",SUMIFS('الحركات الشهرية'!$I$6:$I$1005,'الحركات الشهرية'!$B$6:$B$1005,$B64,'الحركات الشهرية'!$A$6:$A$1005,$C$3))</f>
        <v/>
      </c>
      <c r="W64" s="111" t="str">
        <f aca="false">IF($B64="","",SUMIFS('الحركات الشهرية'!$J$6:$J$1005,'الحركات الشهرية'!$B$6:$B$1005,$B64,'الحركات الشهرية'!$A$6:$A$1005,$C$3))</f>
        <v/>
      </c>
      <c r="X64" s="111" t="str">
        <f aca="false">IF($B64="","",SUM(U64:W64))</f>
        <v/>
      </c>
      <c r="Y64" s="153" t="str">
        <f aca="false">IF($B64="","",T64-X64)</f>
        <v/>
      </c>
      <c r="Z64" s="111" t="str">
        <f aca="false">IF($B64="","",الموظفون!$S64*IF(E64="سعودي",cfg_G_SR,cfg_G_NR)*G64/cfg_DAYS_M)</f>
        <v/>
      </c>
      <c r="AA64" s="111" t="str">
        <f aca="false">IF($B64="","",الموظفون!$Q64*(cfg_EOS_R1*(MIN(AH64,cfg_EOS_TH)-MIN(AI64,cfg_EOS_TH))+cfg_EOS_R2*(MAX(AH64-cfg_EOS_TH,0)-MAX(AI64-cfg_EOS_TH,0))))</f>
        <v/>
      </c>
      <c r="AB64" s="111" t="str">
        <f aca="false">IF($B64="","",IF(الموظفون!$T64&lt;&gt;"",الموظفون!$T64,IF(AH64&gt;=cfg_LV_TH,cfg_LV_D2,cfg_LV_D1))/cfg_DAYS_Y*AJ64*الموظفون!$R64/cfg_DAYS_M)</f>
        <v/>
      </c>
      <c r="AC64" s="111" t="str">
        <f aca="false">IF($B64="","",IF(AND(الموظفون!$U64="نعم",N(الموظفون!$W64)&gt;0),الموظفون!$V64/الموظفون!$W64*12/cfg_DAYS_Y*AJ64,0))</f>
        <v/>
      </c>
      <c r="AD64" s="111" t="str">
        <f aca="false">IF($B64="","",(IF(الموظفون!$X64&lt;&gt;"",الموظفون!$X64,IF(الموظفون!$E64="غير سعودي",cfg_IQ,0))+IF(الموظفون!$Y64&lt;&gt;"",الموظفون!$Y64,IF(الموظفون!$E64="غير سعودي",cfg_WP,0)))/12*G64/cfg_DAYS_M)</f>
        <v/>
      </c>
      <c r="AE64" s="111" t="str">
        <f aca="false">IF($B64="","",IF(الموظفون!$Z64&lt;&gt;"",الموظفون!$Z64,cfg_MED)/12*G64/cfg_DAYS_M)</f>
        <v/>
      </c>
      <c r="AF64" s="111" t="str">
        <f aca="false">IF($B64="","",N(الموظفون!$AA64)/12*G64/cfg_DAYS_M)</f>
        <v/>
      </c>
      <c r="AG64" s="154" t="str">
        <f aca="false">IF($B64="","",T64+SUM(Z64:AF64))</f>
        <v/>
      </c>
      <c r="AH64" s="155" t="str">
        <f aca="false">IF($B64="","",MAX(0,IF(OR(الموظفون!$AE64="",الموظفون!$AE64&gt;$F$3),$F$3,الموظفون!$AE64)-الموظفون!$H64+1-SUMIFS('سجل الإجازات والحالات'!$AH$6:$AH$505,'سجل الإجازات والحالات'!$B$6:$B$505,$B64))/cfg_DAYS_Y)</f>
        <v/>
      </c>
      <c r="AI64" s="155" t="str">
        <f aca="false">IF($B64="","",MAX(0,IF(OR(الموظفون!$AE64="",الموظفون!$AE64&gt;($E$3-1)),($E$3-1),الموظفون!$AE64)-الموظفون!$H64+1-SUMIFS('سجل الإجازات والحالات'!$R$6:$R$505,'سجل الإجازات والحالات'!$B$6:$B$505,$B64))/cfg_DAYS_Y)</f>
        <v/>
      </c>
      <c r="AJ64" s="65" t="str">
        <f aca="false">IF($B64="","",MAX(0,AK64-(SUMIFS('سجل الإجازات والحالات'!$AH$6:$AH$505,'سجل الإجازات والحالات'!$B$6:$B$505,$B64)-SUMIFS('سجل الإجازات والحالات'!$R$6:$R$505,'سجل الإجازات والحالات'!$B$6:$B$505,$B64))))</f>
        <v/>
      </c>
      <c r="AK64" s="65" t="str">
        <f aca="false">IF($B64="","",MAX(0,IF(OR(الموظفون!$AE64="",الموظفون!$AE64&gt;$F$3),$F$3,الموظفون!$AE64)-MAX($E$3,الموظفون!$H64)+1))</f>
        <v/>
      </c>
      <c r="AL64" s="151" t="str">
        <f aca="false">IF($B64="","",SUMIFS('سجل الإجازات والحالات'!$AT$6:$AT$505,'سجل الإجازات والحالات'!$B$6:$B$505,$B64)+SUMIFS('الحركات الشهرية'!$K$6:$K$1005,'الحركات الشهرية'!$B$6:$B$1005,$B64,'الحركات الشهرية'!$A$6:$A$1005,$C$3))</f>
        <v/>
      </c>
      <c r="AM64" s="111" t="str">
        <f aca="false">IF($B64="","",AL64*الموظفون!$R64/cfg_DAYS_M+S64)</f>
        <v/>
      </c>
      <c r="AN64" s="151" t="str">
        <f aca="false">IF($B64="","",SUMIFS('سجل الإجازات والحالات'!$V$6:$V$505,'سجل الإجازات والحالات'!$B$6:$B$505,$B64))</f>
        <v/>
      </c>
    </row>
    <row r="65" customFormat="false" ht="15" hidden="false" customHeight="false" outlineLevel="0" collapsed="false">
      <c r="A65" s="115" t="str">
        <f aca="false">IF($B65="","",الموظفون!$A65)</f>
        <v/>
      </c>
      <c r="B65" s="117" t="str">
        <f aca="false">IF(الموظفون!$B65="","",الموظفون!$B65)</f>
        <v/>
      </c>
      <c r="C65" s="117" t="str">
        <f aca="false">IF($B65="","",الموظفون!$C65)</f>
        <v/>
      </c>
      <c r="D65" s="117" t="str">
        <f aca="false">IF($B65="","",الموظفون!$F65)</f>
        <v/>
      </c>
      <c r="E65" s="117" t="str">
        <f aca="false">IF($B65="","",الموظفون!$E65)</f>
        <v/>
      </c>
      <c r="F65" s="117" t="str">
        <f aca="false">IF($B65="","",IF(AK65=0,IF(AND(الموظفون!$AE65&lt;&gt;"",الموظفون!$AE65&lt;$E$3),"✖ منتهي الخدمة","⏳ لم يباشر"),IF(S65&gt;0,"✈ راتب إجازة مقدم",IF(J65=0,"⛔ بدون راتب هذا الشهر",IF(I65&gt;0,"✈ خصم "&amp;ROUND(I65,2)&amp;" يوم بدون أجر",IF(AL65&gt;0,"🌴 إجازة سنوية "&amp;ROUND(AL65,2)&amp;" يوم",IF(H65&gt;0,"⚠ غياب "&amp;ROUND(H65,2)&amp;" يوم","✔ على رأس العمل")))))))</f>
        <v/>
      </c>
      <c r="G65" s="156" t="str">
        <f aca="false">IF($B65="","",IF(AK65&gt;=DAY($F$3),cfg_DAYS_M,MIN(AK65,cfg_DAYS_M)))</f>
        <v/>
      </c>
      <c r="H65" s="156" t="str">
        <f aca="false">IF($B65="","",SUMIFS('الحركات الشهرية'!$D$6:$D$1005,'الحركات الشهرية'!$B$6:$B$1005,$B65,'الحركات الشهرية'!$A$6:$A$1005,$C$3))</f>
        <v/>
      </c>
      <c r="I65" s="156" t="str">
        <f aca="false">IF($B65="","",MIN(G65,IF(AND(AK65&gt;0,AN65&gt;=AK65),G65,AN65)+SUMIFS('الحركات الشهرية'!$E$6:$E$1005,'الحركات الشهرية'!$B$6:$B$1005,$B65,'الحركات الشهرية'!$A$6:$A$1005,$C$3)))</f>
        <v/>
      </c>
      <c r="J65" s="156" t="str">
        <f aca="false">IF($B65="","",MAX(0,G65-H65-I65))</f>
        <v/>
      </c>
      <c r="K65" s="116" t="str">
        <f aca="false">IF($B65="","",الموظفون!$L65*$J65/cfg_DAYS_M)</f>
        <v/>
      </c>
      <c r="L65" s="116" t="str">
        <f aca="false">IF($B65="","",الموظفون!$M65*$J65/cfg_DAYS_M)</f>
        <v/>
      </c>
      <c r="M65" s="116" t="str">
        <f aca="false">IF($B65="","",الموظفون!$N65*$J65/cfg_DAYS_M)</f>
        <v/>
      </c>
      <c r="N65" s="116" t="str">
        <f aca="false">IF($B65="","",الموظفون!$O65*$J65/cfg_DAYS_M)</f>
        <v/>
      </c>
      <c r="O65" s="156" t="str">
        <f aca="false">IF($B65="","",SUMIFS('الحركات الشهرية'!$F$6:$F$1005,'الحركات الشهرية'!$B$6:$B$1005,$B65,'الحركات الشهرية'!$A$6:$A$1005,$C$3))</f>
        <v/>
      </c>
      <c r="P65" s="116" t="str">
        <f aca="false">IF($B65="","",O65*(الموظفون!$P65+الموظفون!$L65*cfg_OT_P)/cfg_DAYS_M/cfg_HRS)</f>
        <v/>
      </c>
      <c r="Q65" s="116" t="str">
        <f aca="false">IF($B65="","",SUMIFS('الحركات الشهرية'!$G$6:$G$1005,'الحركات الشهرية'!$B$6:$B$1005,$B65,'الحركات الشهرية'!$A$6:$A$1005,$C$3))</f>
        <v/>
      </c>
      <c r="R65" s="116" t="str">
        <f aca="false">IF($B65="","",SUMIFS('الحركات الشهرية'!$H$6:$H$1005,'الحركات الشهرية'!$B$6:$B$1005,$B65,'الحركات الشهرية'!$A$6:$A$1005,$C$3))</f>
        <v/>
      </c>
      <c r="S65" s="116" t="str">
        <f aca="false">IF($B65="","",SUMIFS('سجل الإجازات والحالات'!$N$6:$N$505,'سجل الإجازات والحالات'!$B$6:$B$505,$B65,'سجل الإجازات والحالات'!$O$6:$O$505,$C$3))</f>
        <v/>
      </c>
      <c r="T65" s="157" t="str">
        <f aca="false">IF($B65="","",SUM(K65:N65)+SUM(P65:S65))</f>
        <v/>
      </c>
      <c r="U65" s="116" t="str">
        <f aca="false">IF($B65="","",الموظفون!$S65*IF(E65="سعودي",cfg_G_SE,cfg_G_NE)*G65/cfg_DAYS_M)</f>
        <v/>
      </c>
      <c r="V65" s="116" t="str">
        <f aca="false">IF($B65="","",SUMIFS('الحركات الشهرية'!$I$6:$I$1005,'الحركات الشهرية'!$B$6:$B$1005,$B65,'الحركات الشهرية'!$A$6:$A$1005,$C$3))</f>
        <v/>
      </c>
      <c r="W65" s="116" t="str">
        <f aca="false">IF($B65="","",SUMIFS('الحركات الشهرية'!$J$6:$J$1005,'الحركات الشهرية'!$B$6:$B$1005,$B65,'الحركات الشهرية'!$A$6:$A$1005,$C$3))</f>
        <v/>
      </c>
      <c r="X65" s="116" t="str">
        <f aca="false">IF($B65="","",SUM(U65:W65))</f>
        <v/>
      </c>
      <c r="Y65" s="158" t="str">
        <f aca="false">IF($B65="","",T65-X65)</f>
        <v/>
      </c>
      <c r="Z65" s="116" t="str">
        <f aca="false">IF($B65="","",الموظفون!$S65*IF(E65="سعودي",cfg_G_SR,cfg_G_NR)*G65/cfg_DAYS_M)</f>
        <v/>
      </c>
      <c r="AA65" s="116" t="str">
        <f aca="false">IF($B65="","",الموظفون!$Q65*(cfg_EOS_R1*(MIN(AH65,cfg_EOS_TH)-MIN(AI65,cfg_EOS_TH))+cfg_EOS_R2*(MAX(AH65-cfg_EOS_TH,0)-MAX(AI65-cfg_EOS_TH,0))))</f>
        <v/>
      </c>
      <c r="AB65" s="116" t="str">
        <f aca="false">IF($B65="","",IF(الموظفون!$T65&lt;&gt;"",الموظفون!$T65,IF(AH65&gt;=cfg_LV_TH,cfg_LV_D2,cfg_LV_D1))/cfg_DAYS_Y*AJ65*الموظفون!$R65/cfg_DAYS_M)</f>
        <v/>
      </c>
      <c r="AC65" s="116" t="str">
        <f aca="false">IF($B65="","",IF(AND(الموظفون!$U65="نعم",N(الموظفون!$W65)&gt;0),الموظفون!$V65/الموظفون!$W65*12/cfg_DAYS_Y*AJ65,0))</f>
        <v/>
      </c>
      <c r="AD65" s="116" t="str">
        <f aca="false">IF($B65="","",(IF(الموظفون!$X65&lt;&gt;"",الموظفون!$X65,IF(الموظفون!$E65="غير سعودي",cfg_IQ,0))+IF(الموظفون!$Y65&lt;&gt;"",الموظفون!$Y65,IF(الموظفون!$E65="غير سعودي",cfg_WP,0)))/12*G65/cfg_DAYS_M)</f>
        <v/>
      </c>
      <c r="AE65" s="116" t="str">
        <f aca="false">IF($B65="","",IF(الموظفون!$Z65&lt;&gt;"",الموظفون!$Z65,cfg_MED)/12*G65/cfg_DAYS_M)</f>
        <v/>
      </c>
      <c r="AF65" s="116" t="str">
        <f aca="false">IF($B65="","",N(الموظفون!$AA65)/12*G65/cfg_DAYS_M)</f>
        <v/>
      </c>
      <c r="AG65" s="159" t="str">
        <f aca="false">IF($B65="","",T65+SUM(Z65:AF65))</f>
        <v/>
      </c>
      <c r="AH65" s="160" t="str">
        <f aca="false">IF($B65="","",MAX(0,IF(OR(الموظفون!$AE65="",الموظفون!$AE65&gt;$F$3),$F$3,الموظفون!$AE65)-الموظفون!$H65+1-SUMIFS('سجل الإجازات والحالات'!$AH$6:$AH$505,'سجل الإجازات والحالات'!$B$6:$B$505,$B65))/cfg_DAYS_Y)</f>
        <v/>
      </c>
      <c r="AI65" s="160" t="str">
        <f aca="false">IF($B65="","",MAX(0,IF(OR(الموظفون!$AE65="",الموظفون!$AE65&gt;($E$3-1)),($E$3-1),الموظفون!$AE65)-الموظفون!$H65+1-SUMIFS('سجل الإجازات والحالات'!$R$6:$R$505,'سجل الإجازات والحالات'!$B$6:$B$505,$B65))/cfg_DAYS_Y)</f>
        <v/>
      </c>
      <c r="AJ65" s="133" t="str">
        <f aca="false">IF($B65="","",MAX(0,AK65-(SUMIFS('سجل الإجازات والحالات'!$AH$6:$AH$505,'سجل الإجازات والحالات'!$B$6:$B$505,$B65)-SUMIFS('سجل الإجازات والحالات'!$R$6:$R$505,'سجل الإجازات والحالات'!$B$6:$B$505,$B65))))</f>
        <v/>
      </c>
      <c r="AK65" s="133" t="str">
        <f aca="false">IF($B65="","",MAX(0,IF(OR(الموظفون!$AE65="",الموظفون!$AE65&gt;$F$3),$F$3,الموظفون!$AE65)-MAX($E$3,الموظفون!$H65)+1))</f>
        <v/>
      </c>
      <c r="AL65" s="156" t="str">
        <f aca="false">IF($B65="","",SUMIFS('سجل الإجازات والحالات'!$AT$6:$AT$505,'سجل الإجازات والحالات'!$B$6:$B$505,$B65)+SUMIFS('الحركات الشهرية'!$K$6:$K$1005,'الحركات الشهرية'!$B$6:$B$1005,$B65,'الحركات الشهرية'!$A$6:$A$1005,$C$3))</f>
        <v/>
      </c>
      <c r="AM65" s="116" t="str">
        <f aca="false">IF($B65="","",AL65*الموظفون!$R65/cfg_DAYS_M+S65)</f>
        <v/>
      </c>
      <c r="AN65" s="156" t="str">
        <f aca="false">IF($B65="","",SUMIFS('سجل الإجازات والحالات'!$V$6:$V$505,'سجل الإجازات والحالات'!$B$6:$B$505,$B65))</f>
        <v/>
      </c>
    </row>
    <row r="66" customFormat="false" ht="15" hidden="false" customHeight="false" outlineLevel="0" collapsed="false">
      <c r="A66" s="106" t="str">
        <f aca="false">IF($B66="","",الموظفون!$A66)</f>
        <v/>
      </c>
      <c r="B66" s="114" t="str">
        <f aca="false">IF(الموظفون!$B66="","",الموظفون!$B66)</f>
        <v/>
      </c>
      <c r="C66" s="114" t="str">
        <f aca="false">IF($B66="","",الموظفون!$C66)</f>
        <v/>
      </c>
      <c r="D66" s="114" t="str">
        <f aca="false">IF($B66="","",الموظفون!$F66)</f>
        <v/>
      </c>
      <c r="E66" s="114" t="str">
        <f aca="false">IF($B66="","",الموظفون!$E66)</f>
        <v/>
      </c>
      <c r="F66" s="114" t="str">
        <f aca="false">IF($B66="","",IF(AK66=0,IF(AND(الموظفون!$AE66&lt;&gt;"",الموظفون!$AE66&lt;$E$3),"✖ منتهي الخدمة","⏳ لم يباشر"),IF(S66&gt;0,"✈ راتب إجازة مقدم",IF(J66=0,"⛔ بدون راتب هذا الشهر",IF(I66&gt;0,"✈ خصم "&amp;ROUND(I66,2)&amp;" يوم بدون أجر",IF(AL66&gt;0,"🌴 إجازة سنوية "&amp;ROUND(AL66,2)&amp;" يوم",IF(H66&gt;0,"⚠ غياب "&amp;ROUND(H66,2)&amp;" يوم","✔ على رأس العمل")))))))</f>
        <v/>
      </c>
      <c r="G66" s="151" t="str">
        <f aca="false">IF($B66="","",IF(AK66&gt;=DAY($F$3),cfg_DAYS_M,MIN(AK66,cfg_DAYS_M)))</f>
        <v/>
      </c>
      <c r="H66" s="151" t="str">
        <f aca="false">IF($B66="","",SUMIFS('الحركات الشهرية'!$D$6:$D$1005,'الحركات الشهرية'!$B$6:$B$1005,$B66,'الحركات الشهرية'!$A$6:$A$1005,$C$3))</f>
        <v/>
      </c>
      <c r="I66" s="151" t="str">
        <f aca="false">IF($B66="","",MIN(G66,IF(AND(AK66&gt;0,AN66&gt;=AK66),G66,AN66)+SUMIFS('الحركات الشهرية'!$E$6:$E$1005,'الحركات الشهرية'!$B$6:$B$1005,$B66,'الحركات الشهرية'!$A$6:$A$1005,$C$3)))</f>
        <v/>
      </c>
      <c r="J66" s="151" t="str">
        <f aca="false">IF($B66="","",MAX(0,G66-H66-I66))</f>
        <v/>
      </c>
      <c r="K66" s="111" t="str">
        <f aca="false">IF($B66="","",الموظفون!$L66*$J66/cfg_DAYS_M)</f>
        <v/>
      </c>
      <c r="L66" s="111" t="str">
        <f aca="false">IF($B66="","",الموظفون!$M66*$J66/cfg_DAYS_M)</f>
        <v/>
      </c>
      <c r="M66" s="111" t="str">
        <f aca="false">IF($B66="","",الموظفون!$N66*$J66/cfg_DAYS_M)</f>
        <v/>
      </c>
      <c r="N66" s="111" t="str">
        <f aca="false">IF($B66="","",الموظفون!$O66*$J66/cfg_DAYS_M)</f>
        <v/>
      </c>
      <c r="O66" s="151" t="str">
        <f aca="false">IF($B66="","",SUMIFS('الحركات الشهرية'!$F$6:$F$1005,'الحركات الشهرية'!$B$6:$B$1005,$B66,'الحركات الشهرية'!$A$6:$A$1005,$C$3))</f>
        <v/>
      </c>
      <c r="P66" s="111" t="str">
        <f aca="false">IF($B66="","",O66*(الموظفون!$P66+الموظفون!$L66*cfg_OT_P)/cfg_DAYS_M/cfg_HRS)</f>
        <v/>
      </c>
      <c r="Q66" s="111" t="str">
        <f aca="false">IF($B66="","",SUMIFS('الحركات الشهرية'!$G$6:$G$1005,'الحركات الشهرية'!$B$6:$B$1005,$B66,'الحركات الشهرية'!$A$6:$A$1005,$C$3))</f>
        <v/>
      </c>
      <c r="R66" s="111" t="str">
        <f aca="false">IF($B66="","",SUMIFS('الحركات الشهرية'!$H$6:$H$1005,'الحركات الشهرية'!$B$6:$B$1005,$B66,'الحركات الشهرية'!$A$6:$A$1005,$C$3))</f>
        <v/>
      </c>
      <c r="S66" s="111" t="str">
        <f aca="false">IF($B66="","",SUMIFS('سجل الإجازات والحالات'!$N$6:$N$505,'سجل الإجازات والحالات'!$B$6:$B$505,$B66,'سجل الإجازات والحالات'!$O$6:$O$505,$C$3))</f>
        <v/>
      </c>
      <c r="T66" s="152" t="str">
        <f aca="false">IF($B66="","",SUM(K66:N66)+SUM(P66:S66))</f>
        <v/>
      </c>
      <c r="U66" s="111" t="str">
        <f aca="false">IF($B66="","",الموظفون!$S66*IF(E66="سعودي",cfg_G_SE,cfg_G_NE)*G66/cfg_DAYS_M)</f>
        <v/>
      </c>
      <c r="V66" s="111" t="str">
        <f aca="false">IF($B66="","",SUMIFS('الحركات الشهرية'!$I$6:$I$1005,'الحركات الشهرية'!$B$6:$B$1005,$B66,'الحركات الشهرية'!$A$6:$A$1005,$C$3))</f>
        <v/>
      </c>
      <c r="W66" s="111" t="str">
        <f aca="false">IF($B66="","",SUMIFS('الحركات الشهرية'!$J$6:$J$1005,'الحركات الشهرية'!$B$6:$B$1005,$B66,'الحركات الشهرية'!$A$6:$A$1005,$C$3))</f>
        <v/>
      </c>
      <c r="X66" s="111" t="str">
        <f aca="false">IF($B66="","",SUM(U66:W66))</f>
        <v/>
      </c>
      <c r="Y66" s="153" t="str">
        <f aca="false">IF($B66="","",T66-X66)</f>
        <v/>
      </c>
      <c r="Z66" s="111" t="str">
        <f aca="false">IF($B66="","",الموظفون!$S66*IF(E66="سعودي",cfg_G_SR,cfg_G_NR)*G66/cfg_DAYS_M)</f>
        <v/>
      </c>
      <c r="AA66" s="111" t="str">
        <f aca="false">IF($B66="","",الموظفون!$Q66*(cfg_EOS_R1*(MIN(AH66,cfg_EOS_TH)-MIN(AI66,cfg_EOS_TH))+cfg_EOS_R2*(MAX(AH66-cfg_EOS_TH,0)-MAX(AI66-cfg_EOS_TH,0))))</f>
        <v/>
      </c>
      <c r="AB66" s="111" t="str">
        <f aca="false">IF($B66="","",IF(الموظفون!$T66&lt;&gt;"",الموظفون!$T66,IF(AH66&gt;=cfg_LV_TH,cfg_LV_D2,cfg_LV_D1))/cfg_DAYS_Y*AJ66*الموظفون!$R66/cfg_DAYS_M)</f>
        <v/>
      </c>
      <c r="AC66" s="111" t="str">
        <f aca="false">IF($B66="","",IF(AND(الموظفون!$U66="نعم",N(الموظفون!$W66)&gt;0),الموظفون!$V66/الموظفون!$W66*12/cfg_DAYS_Y*AJ66,0))</f>
        <v/>
      </c>
      <c r="AD66" s="111" t="str">
        <f aca="false">IF($B66="","",(IF(الموظفون!$X66&lt;&gt;"",الموظفون!$X66,IF(الموظفون!$E66="غير سعودي",cfg_IQ,0))+IF(الموظفون!$Y66&lt;&gt;"",الموظفون!$Y66,IF(الموظفون!$E66="غير سعودي",cfg_WP,0)))/12*G66/cfg_DAYS_M)</f>
        <v/>
      </c>
      <c r="AE66" s="111" t="str">
        <f aca="false">IF($B66="","",IF(الموظفون!$Z66&lt;&gt;"",الموظفون!$Z66,cfg_MED)/12*G66/cfg_DAYS_M)</f>
        <v/>
      </c>
      <c r="AF66" s="111" t="str">
        <f aca="false">IF($B66="","",N(الموظفون!$AA66)/12*G66/cfg_DAYS_M)</f>
        <v/>
      </c>
      <c r="AG66" s="154" t="str">
        <f aca="false">IF($B66="","",T66+SUM(Z66:AF66))</f>
        <v/>
      </c>
      <c r="AH66" s="155" t="str">
        <f aca="false">IF($B66="","",MAX(0,IF(OR(الموظفون!$AE66="",الموظفون!$AE66&gt;$F$3),$F$3,الموظفون!$AE66)-الموظفون!$H66+1-SUMIFS('سجل الإجازات والحالات'!$AH$6:$AH$505,'سجل الإجازات والحالات'!$B$6:$B$505,$B66))/cfg_DAYS_Y)</f>
        <v/>
      </c>
      <c r="AI66" s="155" t="str">
        <f aca="false">IF($B66="","",MAX(0,IF(OR(الموظفون!$AE66="",الموظفون!$AE66&gt;($E$3-1)),($E$3-1),الموظفون!$AE66)-الموظفون!$H66+1-SUMIFS('سجل الإجازات والحالات'!$R$6:$R$505,'سجل الإجازات والحالات'!$B$6:$B$505,$B66))/cfg_DAYS_Y)</f>
        <v/>
      </c>
      <c r="AJ66" s="65" t="str">
        <f aca="false">IF($B66="","",MAX(0,AK66-(SUMIFS('سجل الإجازات والحالات'!$AH$6:$AH$505,'سجل الإجازات والحالات'!$B$6:$B$505,$B66)-SUMIFS('سجل الإجازات والحالات'!$R$6:$R$505,'سجل الإجازات والحالات'!$B$6:$B$505,$B66))))</f>
        <v/>
      </c>
      <c r="AK66" s="65" t="str">
        <f aca="false">IF($B66="","",MAX(0,IF(OR(الموظفون!$AE66="",الموظفون!$AE66&gt;$F$3),$F$3,الموظفون!$AE66)-MAX($E$3,الموظفون!$H66)+1))</f>
        <v/>
      </c>
      <c r="AL66" s="151" t="str">
        <f aca="false">IF($B66="","",SUMIFS('سجل الإجازات والحالات'!$AT$6:$AT$505,'سجل الإجازات والحالات'!$B$6:$B$505,$B66)+SUMIFS('الحركات الشهرية'!$K$6:$K$1005,'الحركات الشهرية'!$B$6:$B$1005,$B66,'الحركات الشهرية'!$A$6:$A$1005,$C$3))</f>
        <v/>
      </c>
      <c r="AM66" s="111" t="str">
        <f aca="false">IF($B66="","",AL66*الموظفون!$R66/cfg_DAYS_M+S66)</f>
        <v/>
      </c>
      <c r="AN66" s="151" t="str">
        <f aca="false">IF($B66="","",SUMIFS('سجل الإجازات والحالات'!$V$6:$V$505,'سجل الإجازات والحالات'!$B$6:$B$505,$B66))</f>
        <v/>
      </c>
    </row>
    <row r="67" customFormat="false" ht="15" hidden="false" customHeight="false" outlineLevel="0" collapsed="false">
      <c r="A67" s="115" t="str">
        <f aca="false">IF($B67="","",الموظفون!$A67)</f>
        <v/>
      </c>
      <c r="B67" s="117" t="str">
        <f aca="false">IF(الموظفون!$B67="","",الموظفون!$B67)</f>
        <v/>
      </c>
      <c r="C67" s="117" t="str">
        <f aca="false">IF($B67="","",الموظفون!$C67)</f>
        <v/>
      </c>
      <c r="D67" s="117" t="str">
        <f aca="false">IF($B67="","",الموظفون!$F67)</f>
        <v/>
      </c>
      <c r="E67" s="117" t="str">
        <f aca="false">IF($B67="","",الموظفون!$E67)</f>
        <v/>
      </c>
      <c r="F67" s="117" t="str">
        <f aca="false">IF($B67="","",IF(AK67=0,IF(AND(الموظفون!$AE67&lt;&gt;"",الموظفون!$AE67&lt;$E$3),"✖ منتهي الخدمة","⏳ لم يباشر"),IF(S67&gt;0,"✈ راتب إجازة مقدم",IF(J67=0,"⛔ بدون راتب هذا الشهر",IF(I67&gt;0,"✈ خصم "&amp;ROUND(I67,2)&amp;" يوم بدون أجر",IF(AL67&gt;0,"🌴 إجازة سنوية "&amp;ROUND(AL67,2)&amp;" يوم",IF(H67&gt;0,"⚠ غياب "&amp;ROUND(H67,2)&amp;" يوم","✔ على رأس العمل")))))))</f>
        <v/>
      </c>
      <c r="G67" s="156" t="str">
        <f aca="false">IF($B67="","",IF(AK67&gt;=DAY($F$3),cfg_DAYS_M,MIN(AK67,cfg_DAYS_M)))</f>
        <v/>
      </c>
      <c r="H67" s="156" t="str">
        <f aca="false">IF($B67="","",SUMIFS('الحركات الشهرية'!$D$6:$D$1005,'الحركات الشهرية'!$B$6:$B$1005,$B67,'الحركات الشهرية'!$A$6:$A$1005,$C$3))</f>
        <v/>
      </c>
      <c r="I67" s="156" t="str">
        <f aca="false">IF($B67="","",MIN(G67,IF(AND(AK67&gt;0,AN67&gt;=AK67),G67,AN67)+SUMIFS('الحركات الشهرية'!$E$6:$E$1005,'الحركات الشهرية'!$B$6:$B$1005,$B67,'الحركات الشهرية'!$A$6:$A$1005,$C$3)))</f>
        <v/>
      </c>
      <c r="J67" s="156" t="str">
        <f aca="false">IF($B67="","",MAX(0,G67-H67-I67))</f>
        <v/>
      </c>
      <c r="K67" s="116" t="str">
        <f aca="false">IF($B67="","",الموظفون!$L67*$J67/cfg_DAYS_M)</f>
        <v/>
      </c>
      <c r="L67" s="116" t="str">
        <f aca="false">IF($B67="","",الموظفون!$M67*$J67/cfg_DAYS_M)</f>
        <v/>
      </c>
      <c r="M67" s="116" t="str">
        <f aca="false">IF($B67="","",الموظفون!$N67*$J67/cfg_DAYS_M)</f>
        <v/>
      </c>
      <c r="N67" s="116" t="str">
        <f aca="false">IF($B67="","",الموظفون!$O67*$J67/cfg_DAYS_M)</f>
        <v/>
      </c>
      <c r="O67" s="156" t="str">
        <f aca="false">IF($B67="","",SUMIFS('الحركات الشهرية'!$F$6:$F$1005,'الحركات الشهرية'!$B$6:$B$1005,$B67,'الحركات الشهرية'!$A$6:$A$1005,$C$3))</f>
        <v/>
      </c>
      <c r="P67" s="116" t="str">
        <f aca="false">IF($B67="","",O67*(الموظفون!$P67+الموظفون!$L67*cfg_OT_P)/cfg_DAYS_M/cfg_HRS)</f>
        <v/>
      </c>
      <c r="Q67" s="116" t="str">
        <f aca="false">IF($B67="","",SUMIFS('الحركات الشهرية'!$G$6:$G$1005,'الحركات الشهرية'!$B$6:$B$1005,$B67,'الحركات الشهرية'!$A$6:$A$1005,$C$3))</f>
        <v/>
      </c>
      <c r="R67" s="116" t="str">
        <f aca="false">IF($B67="","",SUMIFS('الحركات الشهرية'!$H$6:$H$1005,'الحركات الشهرية'!$B$6:$B$1005,$B67,'الحركات الشهرية'!$A$6:$A$1005,$C$3))</f>
        <v/>
      </c>
      <c r="S67" s="116" t="str">
        <f aca="false">IF($B67="","",SUMIFS('سجل الإجازات والحالات'!$N$6:$N$505,'سجل الإجازات والحالات'!$B$6:$B$505,$B67,'سجل الإجازات والحالات'!$O$6:$O$505,$C$3))</f>
        <v/>
      </c>
      <c r="T67" s="157" t="str">
        <f aca="false">IF($B67="","",SUM(K67:N67)+SUM(P67:S67))</f>
        <v/>
      </c>
      <c r="U67" s="116" t="str">
        <f aca="false">IF($B67="","",الموظفون!$S67*IF(E67="سعودي",cfg_G_SE,cfg_G_NE)*G67/cfg_DAYS_M)</f>
        <v/>
      </c>
      <c r="V67" s="116" t="str">
        <f aca="false">IF($B67="","",SUMIFS('الحركات الشهرية'!$I$6:$I$1005,'الحركات الشهرية'!$B$6:$B$1005,$B67,'الحركات الشهرية'!$A$6:$A$1005,$C$3))</f>
        <v/>
      </c>
      <c r="W67" s="116" t="str">
        <f aca="false">IF($B67="","",SUMIFS('الحركات الشهرية'!$J$6:$J$1005,'الحركات الشهرية'!$B$6:$B$1005,$B67,'الحركات الشهرية'!$A$6:$A$1005,$C$3))</f>
        <v/>
      </c>
      <c r="X67" s="116" t="str">
        <f aca="false">IF($B67="","",SUM(U67:W67))</f>
        <v/>
      </c>
      <c r="Y67" s="158" t="str">
        <f aca="false">IF($B67="","",T67-X67)</f>
        <v/>
      </c>
      <c r="Z67" s="116" t="str">
        <f aca="false">IF($B67="","",الموظفون!$S67*IF(E67="سعودي",cfg_G_SR,cfg_G_NR)*G67/cfg_DAYS_M)</f>
        <v/>
      </c>
      <c r="AA67" s="116" t="str">
        <f aca="false">IF($B67="","",الموظفون!$Q67*(cfg_EOS_R1*(MIN(AH67,cfg_EOS_TH)-MIN(AI67,cfg_EOS_TH))+cfg_EOS_R2*(MAX(AH67-cfg_EOS_TH,0)-MAX(AI67-cfg_EOS_TH,0))))</f>
        <v/>
      </c>
      <c r="AB67" s="116" t="str">
        <f aca="false">IF($B67="","",IF(الموظفون!$T67&lt;&gt;"",الموظفون!$T67,IF(AH67&gt;=cfg_LV_TH,cfg_LV_D2,cfg_LV_D1))/cfg_DAYS_Y*AJ67*الموظفون!$R67/cfg_DAYS_M)</f>
        <v/>
      </c>
      <c r="AC67" s="116" t="str">
        <f aca="false">IF($B67="","",IF(AND(الموظفون!$U67="نعم",N(الموظفون!$W67)&gt;0),الموظفون!$V67/الموظفون!$W67*12/cfg_DAYS_Y*AJ67,0))</f>
        <v/>
      </c>
      <c r="AD67" s="116" t="str">
        <f aca="false">IF($B67="","",(IF(الموظفون!$X67&lt;&gt;"",الموظفون!$X67,IF(الموظفون!$E67="غير سعودي",cfg_IQ,0))+IF(الموظفون!$Y67&lt;&gt;"",الموظفون!$Y67,IF(الموظفون!$E67="غير سعودي",cfg_WP,0)))/12*G67/cfg_DAYS_M)</f>
        <v/>
      </c>
      <c r="AE67" s="116" t="str">
        <f aca="false">IF($B67="","",IF(الموظفون!$Z67&lt;&gt;"",الموظفون!$Z67,cfg_MED)/12*G67/cfg_DAYS_M)</f>
        <v/>
      </c>
      <c r="AF67" s="116" t="str">
        <f aca="false">IF($B67="","",N(الموظفون!$AA67)/12*G67/cfg_DAYS_M)</f>
        <v/>
      </c>
      <c r="AG67" s="159" t="str">
        <f aca="false">IF($B67="","",T67+SUM(Z67:AF67))</f>
        <v/>
      </c>
      <c r="AH67" s="160" t="str">
        <f aca="false">IF($B67="","",MAX(0,IF(OR(الموظفون!$AE67="",الموظفون!$AE67&gt;$F$3),$F$3,الموظفون!$AE67)-الموظفون!$H67+1-SUMIFS('سجل الإجازات والحالات'!$AH$6:$AH$505,'سجل الإجازات والحالات'!$B$6:$B$505,$B67))/cfg_DAYS_Y)</f>
        <v/>
      </c>
      <c r="AI67" s="160" t="str">
        <f aca="false">IF($B67="","",MAX(0,IF(OR(الموظفون!$AE67="",الموظفون!$AE67&gt;($E$3-1)),($E$3-1),الموظفون!$AE67)-الموظفون!$H67+1-SUMIFS('سجل الإجازات والحالات'!$R$6:$R$505,'سجل الإجازات والحالات'!$B$6:$B$505,$B67))/cfg_DAYS_Y)</f>
        <v/>
      </c>
      <c r="AJ67" s="133" t="str">
        <f aca="false">IF($B67="","",MAX(0,AK67-(SUMIFS('سجل الإجازات والحالات'!$AH$6:$AH$505,'سجل الإجازات والحالات'!$B$6:$B$505,$B67)-SUMIFS('سجل الإجازات والحالات'!$R$6:$R$505,'سجل الإجازات والحالات'!$B$6:$B$505,$B67))))</f>
        <v/>
      </c>
      <c r="AK67" s="133" t="str">
        <f aca="false">IF($B67="","",MAX(0,IF(OR(الموظفون!$AE67="",الموظفون!$AE67&gt;$F$3),$F$3,الموظفون!$AE67)-MAX($E$3,الموظفون!$H67)+1))</f>
        <v/>
      </c>
      <c r="AL67" s="156" t="str">
        <f aca="false">IF($B67="","",SUMIFS('سجل الإجازات والحالات'!$AT$6:$AT$505,'سجل الإجازات والحالات'!$B$6:$B$505,$B67)+SUMIFS('الحركات الشهرية'!$K$6:$K$1005,'الحركات الشهرية'!$B$6:$B$1005,$B67,'الحركات الشهرية'!$A$6:$A$1005,$C$3))</f>
        <v/>
      </c>
      <c r="AM67" s="116" t="str">
        <f aca="false">IF($B67="","",AL67*الموظفون!$R67/cfg_DAYS_M+S67)</f>
        <v/>
      </c>
      <c r="AN67" s="156" t="str">
        <f aca="false">IF($B67="","",SUMIFS('سجل الإجازات والحالات'!$V$6:$V$505,'سجل الإجازات والحالات'!$B$6:$B$505,$B67))</f>
        <v/>
      </c>
    </row>
    <row r="68" customFormat="false" ht="15" hidden="false" customHeight="false" outlineLevel="0" collapsed="false">
      <c r="A68" s="106" t="str">
        <f aca="false">IF($B68="","",الموظفون!$A68)</f>
        <v/>
      </c>
      <c r="B68" s="114" t="str">
        <f aca="false">IF(الموظفون!$B68="","",الموظفون!$B68)</f>
        <v/>
      </c>
      <c r="C68" s="114" t="str">
        <f aca="false">IF($B68="","",الموظفون!$C68)</f>
        <v/>
      </c>
      <c r="D68" s="114" t="str">
        <f aca="false">IF($B68="","",الموظفون!$F68)</f>
        <v/>
      </c>
      <c r="E68" s="114" t="str">
        <f aca="false">IF($B68="","",الموظفون!$E68)</f>
        <v/>
      </c>
      <c r="F68" s="114" t="str">
        <f aca="false">IF($B68="","",IF(AK68=0,IF(AND(الموظفون!$AE68&lt;&gt;"",الموظفون!$AE68&lt;$E$3),"✖ منتهي الخدمة","⏳ لم يباشر"),IF(S68&gt;0,"✈ راتب إجازة مقدم",IF(J68=0,"⛔ بدون راتب هذا الشهر",IF(I68&gt;0,"✈ خصم "&amp;ROUND(I68,2)&amp;" يوم بدون أجر",IF(AL68&gt;0,"🌴 إجازة سنوية "&amp;ROUND(AL68,2)&amp;" يوم",IF(H68&gt;0,"⚠ غياب "&amp;ROUND(H68,2)&amp;" يوم","✔ على رأس العمل")))))))</f>
        <v/>
      </c>
      <c r="G68" s="151" t="str">
        <f aca="false">IF($B68="","",IF(AK68&gt;=DAY($F$3),cfg_DAYS_M,MIN(AK68,cfg_DAYS_M)))</f>
        <v/>
      </c>
      <c r="H68" s="151" t="str">
        <f aca="false">IF($B68="","",SUMIFS('الحركات الشهرية'!$D$6:$D$1005,'الحركات الشهرية'!$B$6:$B$1005,$B68,'الحركات الشهرية'!$A$6:$A$1005,$C$3))</f>
        <v/>
      </c>
      <c r="I68" s="151" t="str">
        <f aca="false">IF($B68="","",MIN(G68,IF(AND(AK68&gt;0,AN68&gt;=AK68),G68,AN68)+SUMIFS('الحركات الشهرية'!$E$6:$E$1005,'الحركات الشهرية'!$B$6:$B$1005,$B68,'الحركات الشهرية'!$A$6:$A$1005,$C$3)))</f>
        <v/>
      </c>
      <c r="J68" s="151" t="str">
        <f aca="false">IF($B68="","",MAX(0,G68-H68-I68))</f>
        <v/>
      </c>
      <c r="K68" s="111" t="str">
        <f aca="false">IF($B68="","",الموظفون!$L68*$J68/cfg_DAYS_M)</f>
        <v/>
      </c>
      <c r="L68" s="111" t="str">
        <f aca="false">IF($B68="","",الموظفون!$M68*$J68/cfg_DAYS_M)</f>
        <v/>
      </c>
      <c r="M68" s="111" t="str">
        <f aca="false">IF($B68="","",الموظفون!$N68*$J68/cfg_DAYS_M)</f>
        <v/>
      </c>
      <c r="N68" s="111" t="str">
        <f aca="false">IF($B68="","",الموظفون!$O68*$J68/cfg_DAYS_M)</f>
        <v/>
      </c>
      <c r="O68" s="151" t="str">
        <f aca="false">IF($B68="","",SUMIFS('الحركات الشهرية'!$F$6:$F$1005,'الحركات الشهرية'!$B$6:$B$1005,$B68,'الحركات الشهرية'!$A$6:$A$1005,$C$3))</f>
        <v/>
      </c>
      <c r="P68" s="111" t="str">
        <f aca="false">IF($B68="","",O68*(الموظفون!$P68+الموظفون!$L68*cfg_OT_P)/cfg_DAYS_M/cfg_HRS)</f>
        <v/>
      </c>
      <c r="Q68" s="111" t="str">
        <f aca="false">IF($B68="","",SUMIFS('الحركات الشهرية'!$G$6:$G$1005,'الحركات الشهرية'!$B$6:$B$1005,$B68,'الحركات الشهرية'!$A$6:$A$1005,$C$3))</f>
        <v/>
      </c>
      <c r="R68" s="111" t="str">
        <f aca="false">IF($B68="","",SUMIFS('الحركات الشهرية'!$H$6:$H$1005,'الحركات الشهرية'!$B$6:$B$1005,$B68,'الحركات الشهرية'!$A$6:$A$1005,$C$3))</f>
        <v/>
      </c>
      <c r="S68" s="111" t="str">
        <f aca="false">IF($B68="","",SUMIFS('سجل الإجازات والحالات'!$N$6:$N$505,'سجل الإجازات والحالات'!$B$6:$B$505,$B68,'سجل الإجازات والحالات'!$O$6:$O$505,$C$3))</f>
        <v/>
      </c>
      <c r="T68" s="152" t="str">
        <f aca="false">IF($B68="","",SUM(K68:N68)+SUM(P68:S68))</f>
        <v/>
      </c>
      <c r="U68" s="111" t="str">
        <f aca="false">IF($B68="","",الموظفون!$S68*IF(E68="سعودي",cfg_G_SE,cfg_G_NE)*G68/cfg_DAYS_M)</f>
        <v/>
      </c>
      <c r="V68" s="111" t="str">
        <f aca="false">IF($B68="","",SUMIFS('الحركات الشهرية'!$I$6:$I$1005,'الحركات الشهرية'!$B$6:$B$1005,$B68,'الحركات الشهرية'!$A$6:$A$1005,$C$3))</f>
        <v/>
      </c>
      <c r="W68" s="111" t="str">
        <f aca="false">IF($B68="","",SUMIFS('الحركات الشهرية'!$J$6:$J$1005,'الحركات الشهرية'!$B$6:$B$1005,$B68,'الحركات الشهرية'!$A$6:$A$1005,$C$3))</f>
        <v/>
      </c>
      <c r="X68" s="111" t="str">
        <f aca="false">IF($B68="","",SUM(U68:W68))</f>
        <v/>
      </c>
      <c r="Y68" s="153" t="str">
        <f aca="false">IF($B68="","",T68-X68)</f>
        <v/>
      </c>
      <c r="Z68" s="111" t="str">
        <f aca="false">IF($B68="","",الموظفون!$S68*IF(E68="سعودي",cfg_G_SR,cfg_G_NR)*G68/cfg_DAYS_M)</f>
        <v/>
      </c>
      <c r="AA68" s="111" t="str">
        <f aca="false">IF($B68="","",الموظفون!$Q68*(cfg_EOS_R1*(MIN(AH68,cfg_EOS_TH)-MIN(AI68,cfg_EOS_TH))+cfg_EOS_R2*(MAX(AH68-cfg_EOS_TH,0)-MAX(AI68-cfg_EOS_TH,0))))</f>
        <v/>
      </c>
      <c r="AB68" s="111" t="str">
        <f aca="false">IF($B68="","",IF(الموظفون!$T68&lt;&gt;"",الموظفون!$T68,IF(AH68&gt;=cfg_LV_TH,cfg_LV_D2,cfg_LV_D1))/cfg_DAYS_Y*AJ68*الموظفون!$R68/cfg_DAYS_M)</f>
        <v/>
      </c>
      <c r="AC68" s="111" t="str">
        <f aca="false">IF($B68="","",IF(AND(الموظفون!$U68="نعم",N(الموظفون!$W68)&gt;0),الموظفون!$V68/الموظفون!$W68*12/cfg_DAYS_Y*AJ68,0))</f>
        <v/>
      </c>
      <c r="AD68" s="111" t="str">
        <f aca="false">IF($B68="","",(IF(الموظفون!$X68&lt;&gt;"",الموظفون!$X68,IF(الموظفون!$E68="غير سعودي",cfg_IQ,0))+IF(الموظفون!$Y68&lt;&gt;"",الموظفون!$Y68,IF(الموظفون!$E68="غير سعودي",cfg_WP,0)))/12*G68/cfg_DAYS_M)</f>
        <v/>
      </c>
      <c r="AE68" s="111" t="str">
        <f aca="false">IF($B68="","",IF(الموظفون!$Z68&lt;&gt;"",الموظفون!$Z68,cfg_MED)/12*G68/cfg_DAYS_M)</f>
        <v/>
      </c>
      <c r="AF68" s="111" t="str">
        <f aca="false">IF($B68="","",N(الموظفون!$AA68)/12*G68/cfg_DAYS_M)</f>
        <v/>
      </c>
      <c r="AG68" s="154" t="str">
        <f aca="false">IF($B68="","",T68+SUM(Z68:AF68))</f>
        <v/>
      </c>
      <c r="AH68" s="155" t="str">
        <f aca="false">IF($B68="","",MAX(0,IF(OR(الموظفون!$AE68="",الموظفون!$AE68&gt;$F$3),$F$3,الموظفون!$AE68)-الموظفون!$H68+1-SUMIFS('سجل الإجازات والحالات'!$AH$6:$AH$505,'سجل الإجازات والحالات'!$B$6:$B$505,$B68))/cfg_DAYS_Y)</f>
        <v/>
      </c>
      <c r="AI68" s="155" t="str">
        <f aca="false">IF($B68="","",MAX(0,IF(OR(الموظفون!$AE68="",الموظفون!$AE68&gt;($E$3-1)),($E$3-1),الموظفون!$AE68)-الموظفون!$H68+1-SUMIFS('سجل الإجازات والحالات'!$R$6:$R$505,'سجل الإجازات والحالات'!$B$6:$B$505,$B68))/cfg_DAYS_Y)</f>
        <v/>
      </c>
      <c r="AJ68" s="65" t="str">
        <f aca="false">IF($B68="","",MAX(0,AK68-(SUMIFS('سجل الإجازات والحالات'!$AH$6:$AH$505,'سجل الإجازات والحالات'!$B$6:$B$505,$B68)-SUMIFS('سجل الإجازات والحالات'!$R$6:$R$505,'سجل الإجازات والحالات'!$B$6:$B$505,$B68))))</f>
        <v/>
      </c>
      <c r="AK68" s="65" t="str">
        <f aca="false">IF($B68="","",MAX(0,IF(OR(الموظفون!$AE68="",الموظفون!$AE68&gt;$F$3),$F$3,الموظفون!$AE68)-MAX($E$3,الموظفون!$H68)+1))</f>
        <v/>
      </c>
      <c r="AL68" s="151" t="str">
        <f aca="false">IF($B68="","",SUMIFS('سجل الإجازات والحالات'!$AT$6:$AT$505,'سجل الإجازات والحالات'!$B$6:$B$505,$B68)+SUMIFS('الحركات الشهرية'!$K$6:$K$1005,'الحركات الشهرية'!$B$6:$B$1005,$B68,'الحركات الشهرية'!$A$6:$A$1005,$C$3))</f>
        <v/>
      </c>
      <c r="AM68" s="111" t="str">
        <f aca="false">IF($B68="","",AL68*الموظفون!$R68/cfg_DAYS_M+S68)</f>
        <v/>
      </c>
      <c r="AN68" s="151" t="str">
        <f aca="false">IF($B68="","",SUMIFS('سجل الإجازات والحالات'!$V$6:$V$505,'سجل الإجازات والحالات'!$B$6:$B$505,$B68))</f>
        <v/>
      </c>
    </row>
    <row r="69" customFormat="false" ht="15" hidden="false" customHeight="false" outlineLevel="0" collapsed="false">
      <c r="A69" s="115" t="str">
        <f aca="false">IF($B69="","",الموظفون!$A69)</f>
        <v/>
      </c>
      <c r="B69" s="117" t="str">
        <f aca="false">IF(الموظفون!$B69="","",الموظفون!$B69)</f>
        <v/>
      </c>
      <c r="C69" s="117" t="str">
        <f aca="false">IF($B69="","",الموظفون!$C69)</f>
        <v/>
      </c>
      <c r="D69" s="117" t="str">
        <f aca="false">IF($B69="","",الموظفون!$F69)</f>
        <v/>
      </c>
      <c r="E69" s="117" t="str">
        <f aca="false">IF($B69="","",الموظفون!$E69)</f>
        <v/>
      </c>
      <c r="F69" s="117" t="str">
        <f aca="false">IF($B69="","",IF(AK69=0,IF(AND(الموظفون!$AE69&lt;&gt;"",الموظفون!$AE69&lt;$E$3),"✖ منتهي الخدمة","⏳ لم يباشر"),IF(S69&gt;0,"✈ راتب إجازة مقدم",IF(J69=0,"⛔ بدون راتب هذا الشهر",IF(I69&gt;0,"✈ خصم "&amp;ROUND(I69,2)&amp;" يوم بدون أجر",IF(AL69&gt;0,"🌴 إجازة سنوية "&amp;ROUND(AL69,2)&amp;" يوم",IF(H69&gt;0,"⚠ غياب "&amp;ROUND(H69,2)&amp;" يوم","✔ على رأس العمل")))))))</f>
        <v/>
      </c>
      <c r="G69" s="156" t="str">
        <f aca="false">IF($B69="","",IF(AK69&gt;=DAY($F$3),cfg_DAYS_M,MIN(AK69,cfg_DAYS_M)))</f>
        <v/>
      </c>
      <c r="H69" s="156" t="str">
        <f aca="false">IF($B69="","",SUMIFS('الحركات الشهرية'!$D$6:$D$1005,'الحركات الشهرية'!$B$6:$B$1005,$B69,'الحركات الشهرية'!$A$6:$A$1005,$C$3))</f>
        <v/>
      </c>
      <c r="I69" s="156" t="str">
        <f aca="false">IF($B69="","",MIN(G69,IF(AND(AK69&gt;0,AN69&gt;=AK69),G69,AN69)+SUMIFS('الحركات الشهرية'!$E$6:$E$1005,'الحركات الشهرية'!$B$6:$B$1005,$B69,'الحركات الشهرية'!$A$6:$A$1005,$C$3)))</f>
        <v/>
      </c>
      <c r="J69" s="156" t="str">
        <f aca="false">IF($B69="","",MAX(0,G69-H69-I69))</f>
        <v/>
      </c>
      <c r="K69" s="116" t="str">
        <f aca="false">IF($B69="","",الموظفون!$L69*$J69/cfg_DAYS_M)</f>
        <v/>
      </c>
      <c r="L69" s="116" t="str">
        <f aca="false">IF($B69="","",الموظفون!$M69*$J69/cfg_DAYS_M)</f>
        <v/>
      </c>
      <c r="M69" s="116" t="str">
        <f aca="false">IF($B69="","",الموظفون!$N69*$J69/cfg_DAYS_M)</f>
        <v/>
      </c>
      <c r="N69" s="116" t="str">
        <f aca="false">IF($B69="","",الموظفون!$O69*$J69/cfg_DAYS_M)</f>
        <v/>
      </c>
      <c r="O69" s="156" t="str">
        <f aca="false">IF($B69="","",SUMIFS('الحركات الشهرية'!$F$6:$F$1005,'الحركات الشهرية'!$B$6:$B$1005,$B69,'الحركات الشهرية'!$A$6:$A$1005,$C$3))</f>
        <v/>
      </c>
      <c r="P69" s="116" t="str">
        <f aca="false">IF($B69="","",O69*(الموظفون!$P69+الموظفون!$L69*cfg_OT_P)/cfg_DAYS_M/cfg_HRS)</f>
        <v/>
      </c>
      <c r="Q69" s="116" t="str">
        <f aca="false">IF($B69="","",SUMIFS('الحركات الشهرية'!$G$6:$G$1005,'الحركات الشهرية'!$B$6:$B$1005,$B69,'الحركات الشهرية'!$A$6:$A$1005,$C$3))</f>
        <v/>
      </c>
      <c r="R69" s="116" t="str">
        <f aca="false">IF($B69="","",SUMIFS('الحركات الشهرية'!$H$6:$H$1005,'الحركات الشهرية'!$B$6:$B$1005,$B69,'الحركات الشهرية'!$A$6:$A$1005,$C$3))</f>
        <v/>
      </c>
      <c r="S69" s="116" t="str">
        <f aca="false">IF($B69="","",SUMIFS('سجل الإجازات والحالات'!$N$6:$N$505,'سجل الإجازات والحالات'!$B$6:$B$505,$B69,'سجل الإجازات والحالات'!$O$6:$O$505,$C$3))</f>
        <v/>
      </c>
      <c r="T69" s="157" t="str">
        <f aca="false">IF($B69="","",SUM(K69:N69)+SUM(P69:S69))</f>
        <v/>
      </c>
      <c r="U69" s="116" t="str">
        <f aca="false">IF($B69="","",الموظفون!$S69*IF(E69="سعودي",cfg_G_SE,cfg_G_NE)*G69/cfg_DAYS_M)</f>
        <v/>
      </c>
      <c r="V69" s="116" t="str">
        <f aca="false">IF($B69="","",SUMIFS('الحركات الشهرية'!$I$6:$I$1005,'الحركات الشهرية'!$B$6:$B$1005,$B69,'الحركات الشهرية'!$A$6:$A$1005,$C$3))</f>
        <v/>
      </c>
      <c r="W69" s="116" t="str">
        <f aca="false">IF($B69="","",SUMIFS('الحركات الشهرية'!$J$6:$J$1005,'الحركات الشهرية'!$B$6:$B$1005,$B69,'الحركات الشهرية'!$A$6:$A$1005,$C$3))</f>
        <v/>
      </c>
      <c r="X69" s="116" t="str">
        <f aca="false">IF($B69="","",SUM(U69:W69))</f>
        <v/>
      </c>
      <c r="Y69" s="158" t="str">
        <f aca="false">IF($B69="","",T69-X69)</f>
        <v/>
      </c>
      <c r="Z69" s="116" t="str">
        <f aca="false">IF($B69="","",الموظفون!$S69*IF(E69="سعودي",cfg_G_SR,cfg_G_NR)*G69/cfg_DAYS_M)</f>
        <v/>
      </c>
      <c r="AA69" s="116" t="str">
        <f aca="false">IF($B69="","",الموظفون!$Q69*(cfg_EOS_R1*(MIN(AH69,cfg_EOS_TH)-MIN(AI69,cfg_EOS_TH))+cfg_EOS_R2*(MAX(AH69-cfg_EOS_TH,0)-MAX(AI69-cfg_EOS_TH,0))))</f>
        <v/>
      </c>
      <c r="AB69" s="116" t="str">
        <f aca="false">IF($B69="","",IF(الموظفون!$T69&lt;&gt;"",الموظفون!$T69,IF(AH69&gt;=cfg_LV_TH,cfg_LV_D2,cfg_LV_D1))/cfg_DAYS_Y*AJ69*الموظفون!$R69/cfg_DAYS_M)</f>
        <v/>
      </c>
      <c r="AC69" s="116" t="str">
        <f aca="false">IF($B69="","",IF(AND(الموظفون!$U69="نعم",N(الموظفون!$W69)&gt;0),الموظفون!$V69/الموظفون!$W69*12/cfg_DAYS_Y*AJ69,0))</f>
        <v/>
      </c>
      <c r="AD69" s="116" t="str">
        <f aca="false">IF($B69="","",(IF(الموظفون!$X69&lt;&gt;"",الموظفون!$X69,IF(الموظفون!$E69="غير سعودي",cfg_IQ,0))+IF(الموظفون!$Y69&lt;&gt;"",الموظفون!$Y69,IF(الموظفون!$E69="غير سعودي",cfg_WP,0)))/12*G69/cfg_DAYS_M)</f>
        <v/>
      </c>
      <c r="AE69" s="116" t="str">
        <f aca="false">IF($B69="","",IF(الموظفون!$Z69&lt;&gt;"",الموظفون!$Z69,cfg_MED)/12*G69/cfg_DAYS_M)</f>
        <v/>
      </c>
      <c r="AF69" s="116" t="str">
        <f aca="false">IF($B69="","",N(الموظفون!$AA69)/12*G69/cfg_DAYS_M)</f>
        <v/>
      </c>
      <c r="AG69" s="159" t="str">
        <f aca="false">IF($B69="","",T69+SUM(Z69:AF69))</f>
        <v/>
      </c>
      <c r="AH69" s="160" t="str">
        <f aca="false">IF($B69="","",MAX(0,IF(OR(الموظفون!$AE69="",الموظفون!$AE69&gt;$F$3),$F$3,الموظفون!$AE69)-الموظفون!$H69+1-SUMIFS('سجل الإجازات والحالات'!$AH$6:$AH$505,'سجل الإجازات والحالات'!$B$6:$B$505,$B69))/cfg_DAYS_Y)</f>
        <v/>
      </c>
      <c r="AI69" s="160" t="str">
        <f aca="false">IF($B69="","",MAX(0,IF(OR(الموظفون!$AE69="",الموظفون!$AE69&gt;($E$3-1)),($E$3-1),الموظفون!$AE69)-الموظفون!$H69+1-SUMIFS('سجل الإجازات والحالات'!$R$6:$R$505,'سجل الإجازات والحالات'!$B$6:$B$505,$B69))/cfg_DAYS_Y)</f>
        <v/>
      </c>
      <c r="AJ69" s="133" t="str">
        <f aca="false">IF($B69="","",MAX(0,AK69-(SUMIFS('سجل الإجازات والحالات'!$AH$6:$AH$505,'سجل الإجازات والحالات'!$B$6:$B$505,$B69)-SUMIFS('سجل الإجازات والحالات'!$R$6:$R$505,'سجل الإجازات والحالات'!$B$6:$B$505,$B69))))</f>
        <v/>
      </c>
      <c r="AK69" s="133" t="str">
        <f aca="false">IF($B69="","",MAX(0,IF(OR(الموظفون!$AE69="",الموظفون!$AE69&gt;$F$3),$F$3,الموظفون!$AE69)-MAX($E$3,الموظفون!$H69)+1))</f>
        <v/>
      </c>
      <c r="AL69" s="156" t="str">
        <f aca="false">IF($B69="","",SUMIFS('سجل الإجازات والحالات'!$AT$6:$AT$505,'سجل الإجازات والحالات'!$B$6:$B$505,$B69)+SUMIFS('الحركات الشهرية'!$K$6:$K$1005,'الحركات الشهرية'!$B$6:$B$1005,$B69,'الحركات الشهرية'!$A$6:$A$1005,$C$3))</f>
        <v/>
      </c>
      <c r="AM69" s="116" t="str">
        <f aca="false">IF($B69="","",AL69*الموظفون!$R69/cfg_DAYS_M+S69)</f>
        <v/>
      </c>
      <c r="AN69" s="156" t="str">
        <f aca="false">IF($B69="","",SUMIFS('سجل الإجازات والحالات'!$V$6:$V$505,'سجل الإجازات والحالات'!$B$6:$B$505,$B69))</f>
        <v/>
      </c>
    </row>
    <row r="70" customFormat="false" ht="15" hidden="false" customHeight="false" outlineLevel="0" collapsed="false">
      <c r="A70" s="106" t="str">
        <f aca="false">IF($B70="","",الموظفون!$A70)</f>
        <v/>
      </c>
      <c r="B70" s="114" t="str">
        <f aca="false">IF(الموظفون!$B70="","",الموظفون!$B70)</f>
        <v/>
      </c>
      <c r="C70" s="114" t="str">
        <f aca="false">IF($B70="","",الموظفون!$C70)</f>
        <v/>
      </c>
      <c r="D70" s="114" t="str">
        <f aca="false">IF($B70="","",الموظفون!$F70)</f>
        <v/>
      </c>
      <c r="E70" s="114" t="str">
        <f aca="false">IF($B70="","",الموظفون!$E70)</f>
        <v/>
      </c>
      <c r="F70" s="114" t="str">
        <f aca="false">IF($B70="","",IF(AK70=0,IF(AND(الموظفون!$AE70&lt;&gt;"",الموظفون!$AE70&lt;$E$3),"✖ منتهي الخدمة","⏳ لم يباشر"),IF(S70&gt;0,"✈ راتب إجازة مقدم",IF(J70=0,"⛔ بدون راتب هذا الشهر",IF(I70&gt;0,"✈ خصم "&amp;ROUND(I70,2)&amp;" يوم بدون أجر",IF(AL70&gt;0,"🌴 إجازة سنوية "&amp;ROUND(AL70,2)&amp;" يوم",IF(H70&gt;0,"⚠ غياب "&amp;ROUND(H70,2)&amp;" يوم","✔ على رأس العمل")))))))</f>
        <v/>
      </c>
      <c r="G70" s="151" t="str">
        <f aca="false">IF($B70="","",IF(AK70&gt;=DAY($F$3),cfg_DAYS_M,MIN(AK70,cfg_DAYS_M)))</f>
        <v/>
      </c>
      <c r="H70" s="151" t="str">
        <f aca="false">IF($B70="","",SUMIFS('الحركات الشهرية'!$D$6:$D$1005,'الحركات الشهرية'!$B$6:$B$1005,$B70,'الحركات الشهرية'!$A$6:$A$1005,$C$3))</f>
        <v/>
      </c>
      <c r="I70" s="151" t="str">
        <f aca="false">IF($B70="","",MIN(G70,IF(AND(AK70&gt;0,AN70&gt;=AK70),G70,AN70)+SUMIFS('الحركات الشهرية'!$E$6:$E$1005,'الحركات الشهرية'!$B$6:$B$1005,$B70,'الحركات الشهرية'!$A$6:$A$1005,$C$3)))</f>
        <v/>
      </c>
      <c r="J70" s="151" t="str">
        <f aca="false">IF($B70="","",MAX(0,G70-H70-I70))</f>
        <v/>
      </c>
      <c r="K70" s="111" t="str">
        <f aca="false">IF($B70="","",الموظفون!$L70*$J70/cfg_DAYS_M)</f>
        <v/>
      </c>
      <c r="L70" s="111" t="str">
        <f aca="false">IF($B70="","",الموظفون!$M70*$J70/cfg_DAYS_M)</f>
        <v/>
      </c>
      <c r="M70" s="111" t="str">
        <f aca="false">IF($B70="","",الموظفون!$N70*$J70/cfg_DAYS_M)</f>
        <v/>
      </c>
      <c r="N70" s="111" t="str">
        <f aca="false">IF($B70="","",الموظفون!$O70*$J70/cfg_DAYS_M)</f>
        <v/>
      </c>
      <c r="O70" s="151" t="str">
        <f aca="false">IF($B70="","",SUMIFS('الحركات الشهرية'!$F$6:$F$1005,'الحركات الشهرية'!$B$6:$B$1005,$B70,'الحركات الشهرية'!$A$6:$A$1005,$C$3))</f>
        <v/>
      </c>
      <c r="P70" s="111" t="str">
        <f aca="false">IF($B70="","",O70*(الموظفون!$P70+الموظفون!$L70*cfg_OT_P)/cfg_DAYS_M/cfg_HRS)</f>
        <v/>
      </c>
      <c r="Q70" s="111" t="str">
        <f aca="false">IF($B70="","",SUMIFS('الحركات الشهرية'!$G$6:$G$1005,'الحركات الشهرية'!$B$6:$B$1005,$B70,'الحركات الشهرية'!$A$6:$A$1005,$C$3))</f>
        <v/>
      </c>
      <c r="R70" s="111" t="str">
        <f aca="false">IF($B70="","",SUMIFS('الحركات الشهرية'!$H$6:$H$1005,'الحركات الشهرية'!$B$6:$B$1005,$B70,'الحركات الشهرية'!$A$6:$A$1005,$C$3))</f>
        <v/>
      </c>
      <c r="S70" s="111" t="str">
        <f aca="false">IF($B70="","",SUMIFS('سجل الإجازات والحالات'!$N$6:$N$505,'سجل الإجازات والحالات'!$B$6:$B$505,$B70,'سجل الإجازات والحالات'!$O$6:$O$505,$C$3))</f>
        <v/>
      </c>
      <c r="T70" s="152" t="str">
        <f aca="false">IF($B70="","",SUM(K70:N70)+SUM(P70:S70))</f>
        <v/>
      </c>
      <c r="U70" s="111" t="str">
        <f aca="false">IF($B70="","",الموظفون!$S70*IF(E70="سعودي",cfg_G_SE,cfg_G_NE)*G70/cfg_DAYS_M)</f>
        <v/>
      </c>
      <c r="V70" s="111" t="str">
        <f aca="false">IF($B70="","",SUMIFS('الحركات الشهرية'!$I$6:$I$1005,'الحركات الشهرية'!$B$6:$B$1005,$B70,'الحركات الشهرية'!$A$6:$A$1005,$C$3))</f>
        <v/>
      </c>
      <c r="W70" s="111" t="str">
        <f aca="false">IF($B70="","",SUMIFS('الحركات الشهرية'!$J$6:$J$1005,'الحركات الشهرية'!$B$6:$B$1005,$B70,'الحركات الشهرية'!$A$6:$A$1005,$C$3))</f>
        <v/>
      </c>
      <c r="X70" s="111" t="str">
        <f aca="false">IF($B70="","",SUM(U70:W70))</f>
        <v/>
      </c>
      <c r="Y70" s="153" t="str">
        <f aca="false">IF($B70="","",T70-X70)</f>
        <v/>
      </c>
      <c r="Z70" s="111" t="str">
        <f aca="false">IF($B70="","",الموظفون!$S70*IF(E70="سعودي",cfg_G_SR,cfg_G_NR)*G70/cfg_DAYS_M)</f>
        <v/>
      </c>
      <c r="AA70" s="111" t="str">
        <f aca="false">IF($B70="","",الموظفون!$Q70*(cfg_EOS_R1*(MIN(AH70,cfg_EOS_TH)-MIN(AI70,cfg_EOS_TH))+cfg_EOS_R2*(MAX(AH70-cfg_EOS_TH,0)-MAX(AI70-cfg_EOS_TH,0))))</f>
        <v/>
      </c>
      <c r="AB70" s="111" t="str">
        <f aca="false">IF($B70="","",IF(الموظفون!$T70&lt;&gt;"",الموظفون!$T70,IF(AH70&gt;=cfg_LV_TH,cfg_LV_D2,cfg_LV_D1))/cfg_DAYS_Y*AJ70*الموظفون!$R70/cfg_DAYS_M)</f>
        <v/>
      </c>
      <c r="AC70" s="111" t="str">
        <f aca="false">IF($B70="","",IF(AND(الموظفون!$U70="نعم",N(الموظفون!$W70)&gt;0),الموظفون!$V70/الموظفون!$W70*12/cfg_DAYS_Y*AJ70,0))</f>
        <v/>
      </c>
      <c r="AD70" s="111" t="str">
        <f aca="false">IF($B70="","",(IF(الموظفون!$X70&lt;&gt;"",الموظفون!$X70,IF(الموظفون!$E70="غير سعودي",cfg_IQ,0))+IF(الموظفون!$Y70&lt;&gt;"",الموظفون!$Y70,IF(الموظفون!$E70="غير سعودي",cfg_WP,0)))/12*G70/cfg_DAYS_M)</f>
        <v/>
      </c>
      <c r="AE70" s="111" t="str">
        <f aca="false">IF($B70="","",IF(الموظفون!$Z70&lt;&gt;"",الموظفون!$Z70,cfg_MED)/12*G70/cfg_DAYS_M)</f>
        <v/>
      </c>
      <c r="AF70" s="111" t="str">
        <f aca="false">IF($B70="","",N(الموظفون!$AA70)/12*G70/cfg_DAYS_M)</f>
        <v/>
      </c>
      <c r="AG70" s="154" t="str">
        <f aca="false">IF($B70="","",T70+SUM(Z70:AF70))</f>
        <v/>
      </c>
      <c r="AH70" s="155" t="str">
        <f aca="false">IF($B70="","",MAX(0,IF(OR(الموظفون!$AE70="",الموظفون!$AE70&gt;$F$3),$F$3,الموظفون!$AE70)-الموظفون!$H70+1-SUMIFS('سجل الإجازات والحالات'!$AH$6:$AH$505,'سجل الإجازات والحالات'!$B$6:$B$505,$B70))/cfg_DAYS_Y)</f>
        <v/>
      </c>
      <c r="AI70" s="155" t="str">
        <f aca="false">IF($B70="","",MAX(0,IF(OR(الموظفون!$AE70="",الموظفون!$AE70&gt;($E$3-1)),($E$3-1),الموظفون!$AE70)-الموظفون!$H70+1-SUMIFS('سجل الإجازات والحالات'!$R$6:$R$505,'سجل الإجازات والحالات'!$B$6:$B$505,$B70))/cfg_DAYS_Y)</f>
        <v/>
      </c>
      <c r="AJ70" s="65" t="str">
        <f aca="false">IF($B70="","",MAX(0,AK70-(SUMIFS('سجل الإجازات والحالات'!$AH$6:$AH$505,'سجل الإجازات والحالات'!$B$6:$B$505,$B70)-SUMIFS('سجل الإجازات والحالات'!$R$6:$R$505,'سجل الإجازات والحالات'!$B$6:$B$505,$B70))))</f>
        <v/>
      </c>
      <c r="AK70" s="65" t="str">
        <f aca="false">IF($B70="","",MAX(0,IF(OR(الموظفون!$AE70="",الموظفون!$AE70&gt;$F$3),$F$3,الموظفون!$AE70)-MAX($E$3,الموظفون!$H70)+1))</f>
        <v/>
      </c>
      <c r="AL70" s="151" t="str">
        <f aca="false">IF($B70="","",SUMIFS('سجل الإجازات والحالات'!$AT$6:$AT$505,'سجل الإجازات والحالات'!$B$6:$B$505,$B70)+SUMIFS('الحركات الشهرية'!$K$6:$K$1005,'الحركات الشهرية'!$B$6:$B$1005,$B70,'الحركات الشهرية'!$A$6:$A$1005,$C$3))</f>
        <v/>
      </c>
      <c r="AM70" s="111" t="str">
        <f aca="false">IF($B70="","",AL70*الموظفون!$R70/cfg_DAYS_M+S70)</f>
        <v/>
      </c>
      <c r="AN70" s="151" t="str">
        <f aca="false">IF($B70="","",SUMIFS('سجل الإجازات والحالات'!$V$6:$V$505,'سجل الإجازات والحالات'!$B$6:$B$505,$B70))</f>
        <v/>
      </c>
    </row>
    <row r="71" customFormat="false" ht="15" hidden="false" customHeight="false" outlineLevel="0" collapsed="false">
      <c r="A71" s="115" t="str">
        <f aca="false">IF($B71="","",الموظفون!$A71)</f>
        <v/>
      </c>
      <c r="B71" s="117" t="str">
        <f aca="false">IF(الموظفون!$B71="","",الموظفون!$B71)</f>
        <v/>
      </c>
      <c r="C71" s="117" t="str">
        <f aca="false">IF($B71="","",الموظفون!$C71)</f>
        <v/>
      </c>
      <c r="D71" s="117" t="str">
        <f aca="false">IF($B71="","",الموظفون!$F71)</f>
        <v/>
      </c>
      <c r="E71" s="117" t="str">
        <f aca="false">IF($B71="","",الموظفون!$E71)</f>
        <v/>
      </c>
      <c r="F71" s="117" t="str">
        <f aca="false">IF($B71="","",IF(AK71=0,IF(AND(الموظفون!$AE71&lt;&gt;"",الموظفون!$AE71&lt;$E$3),"✖ منتهي الخدمة","⏳ لم يباشر"),IF(S71&gt;0,"✈ راتب إجازة مقدم",IF(J71=0,"⛔ بدون راتب هذا الشهر",IF(I71&gt;0,"✈ خصم "&amp;ROUND(I71,2)&amp;" يوم بدون أجر",IF(AL71&gt;0,"🌴 إجازة سنوية "&amp;ROUND(AL71,2)&amp;" يوم",IF(H71&gt;0,"⚠ غياب "&amp;ROUND(H71,2)&amp;" يوم","✔ على رأس العمل")))))))</f>
        <v/>
      </c>
      <c r="G71" s="156" t="str">
        <f aca="false">IF($B71="","",IF(AK71&gt;=DAY($F$3),cfg_DAYS_M,MIN(AK71,cfg_DAYS_M)))</f>
        <v/>
      </c>
      <c r="H71" s="156" t="str">
        <f aca="false">IF($B71="","",SUMIFS('الحركات الشهرية'!$D$6:$D$1005,'الحركات الشهرية'!$B$6:$B$1005,$B71,'الحركات الشهرية'!$A$6:$A$1005,$C$3))</f>
        <v/>
      </c>
      <c r="I71" s="156" t="str">
        <f aca="false">IF($B71="","",MIN(G71,IF(AND(AK71&gt;0,AN71&gt;=AK71),G71,AN71)+SUMIFS('الحركات الشهرية'!$E$6:$E$1005,'الحركات الشهرية'!$B$6:$B$1005,$B71,'الحركات الشهرية'!$A$6:$A$1005,$C$3)))</f>
        <v/>
      </c>
      <c r="J71" s="156" t="str">
        <f aca="false">IF($B71="","",MAX(0,G71-H71-I71))</f>
        <v/>
      </c>
      <c r="K71" s="116" t="str">
        <f aca="false">IF($B71="","",الموظفون!$L71*$J71/cfg_DAYS_M)</f>
        <v/>
      </c>
      <c r="L71" s="116" t="str">
        <f aca="false">IF($B71="","",الموظفون!$M71*$J71/cfg_DAYS_M)</f>
        <v/>
      </c>
      <c r="M71" s="116" t="str">
        <f aca="false">IF($B71="","",الموظفون!$N71*$J71/cfg_DAYS_M)</f>
        <v/>
      </c>
      <c r="N71" s="116" t="str">
        <f aca="false">IF($B71="","",الموظفون!$O71*$J71/cfg_DAYS_M)</f>
        <v/>
      </c>
      <c r="O71" s="156" t="str">
        <f aca="false">IF($B71="","",SUMIFS('الحركات الشهرية'!$F$6:$F$1005,'الحركات الشهرية'!$B$6:$B$1005,$B71,'الحركات الشهرية'!$A$6:$A$1005,$C$3))</f>
        <v/>
      </c>
      <c r="P71" s="116" t="str">
        <f aca="false">IF($B71="","",O71*(الموظفون!$P71+الموظفون!$L71*cfg_OT_P)/cfg_DAYS_M/cfg_HRS)</f>
        <v/>
      </c>
      <c r="Q71" s="116" t="str">
        <f aca="false">IF($B71="","",SUMIFS('الحركات الشهرية'!$G$6:$G$1005,'الحركات الشهرية'!$B$6:$B$1005,$B71,'الحركات الشهرية'!$A$6:$A$1005,$C$3))</f>
        <v/>
      </c>
      <c r="R71" s="116" t="str">
        <f aca="false">IF($B71="","",SUMIFS('الحركات الشهرية'!$H$6:$H$1005,'الحركات الشهرية'!$B$6:$B$1005,$B71,'الحركات الشهرية'!$A$6:$A$1005,$C$3))</f>
        <v/>
      </c>
      <c r="S71" s="116" t="str">
        <f aca="false">IF($B71="","",SUMIFS('سجل الإجازات والحالات'!$N$6:$N$505,'سجل الإجازات والحالات'!$B$6:$B$505,$B71,'سجل الإجازات والحالات'!$O$6:$O$505,$C$3))</f>
        <v/>
      </c>
      <c r="T71" s="157" t="str">
        <f aca="false">IF($B71="","",SUM(K71:N71)+SUM(P71:S71))</f>
        <v/>
      </c>
      <c r="U71" s="116" t="str">
        <f aca="false">IF($B71="","",الموظفون!$S71*IF(E71="سعودي",cfg_G_SE,cfg_G_NE)*G71/cfg_DAYS_M)</f>
        <v/>
      </c>
      <c r="V71" s="116" t="str">
        <f aca="false">IF($B71="","",SUMIFS('الحركات الشهرية'!$I$6:$I$1005,'الحركات الشهرية'!$B$6:$B$1005,$B71,'الحركات الشهرية'!$A$6:$A$1005,$C$3))</f>
        <v/>
      </c>
      <c r="W71" s="116" t="str">
        <f aca="false">IF($B71="","",SUMIFS('الحركات الشهرية'!$J$6:$J$1005,'الحركات الشهرية'!$B$6:$B$1005,$B71,'الحركات الشهرية'!$A$6:$A$1005,$C$3))</f>
        <v/>
      </c>
      <c r="X71" s="116" t="str">
        <f aca="false">IF($B71="","",SUM(U71:W71))</f>
        <v/>
      </c>
      <c r="Y71" s="158" t="str">
        <f aca="false">IF($B71="","",T71-X71)</f>
        <v/>
      </c>
      <c r="Z71" s="116" t="str">
        <f aca="false">IF($B71="","",الموظفون!$S71*IF(E71="سعودي",cfg_G_SR,cfg_G_NR)*G71/cfg_DAYS_M)</f>
        <v/>
      </c>
      <c r="AA71" s="116" t="str">
        <f aca="false">IF($B71="","",الموظفون!$Q71*(cfg_EOS_R1*(MIN(AH71,cfg_EOS_TH)-MIN(AI71,cfg_EOS_TH))+cfg_EOS_R2*(MAX(AH71-cfg_EOS_TH,0)-MAX(AI71-cfg_EOS_TH,0))))</f>
        <v/>
      </c>
      <c r="AB71" s="116" t="str">
        <f aca="false">IF($B71="","",IF(الموظفون!$T71&lt;&gt;"",الموظفون!$T71,IF(AH71&gt;=cfg_LV_TH,cfg_LV_D2,cfg_LV_D1))/cfg_DAYS_Y*AJ71*الموظفون!$R71/cfg_DAYS_M)</f>
        <v/>
      </c>
      <c r="AC71" s="116" t="str">
        <f aca="false">IF($B71="","",IF(AND(الموظفون!$U71="نعم",N(الموظفون!$W71)&gt;0),الموظفون!$V71/الموظفون!$W71*12/cfg_DAYS_Y*AJ71,0))</f>
        <v/>
      </c>
      <c r="AD71" s="116" t="str">
        <f aca="false">IF($B71="","",(IF(الموظفون!$X71&lt;&gt;"",الموظفون!$X71,IF(الموظفون!$E71="غير سعودي",cfg_IQ,0))+IF(الموظفون!$Y71&lt;&gt;"",الموظفون!$Y71,IF(الموظفون!$E71="غير سعودي",cfg_WP,0)))/12*G71/cfg_DAYS_M)</f>
        <v/>
      </c>
      <c r="AE71" s="116" t="str">
        <f aca="false">IF($B71="","",IF(الموظفون!$Z71&lt;&gt;"",الموظفون!$Z71,cfg_MED)/12*G71/cfg_DAYS_M)</f>
        <v/>
      </c>
      <c r="AF71" s="116" t="str">
        <f aca="false">IF($B71="","",N(الموظفون!$AA71)/12*G71/cfg_DAYS_M)</f>
        <v/>
      </c>
      <c r="AG71" s="159" t="str">
        <f aca="false">IF($B71="","",T71+SUM(Z71:AF71))</f>
        <v/>
      </c>
      <c r="AH71" s="160" t="str">
        <f aca="false">IF($B71="","",MAX(0,IF(OR(الموظفون!$AE71="",الموظفون!$AE71&gt;$F$3),$F$3,الموظفون!$AE71)-الموظفون!$H71+1-SUMIFS('سجل الإجازات والحالات'!$AH$6:$AH$505,'سجل الإجازات والحالات'!$B$6:$B$505,$B71))/cfg_DAYS_Y)</f>
        <v/>
      </c>
      <c r="AI71" s="160" t="str">
        <f aca="false">IF($B71="","",MAX(0,IF(OR(الموظفون!$AE71="",الموظفون!$AE71&gt;($E$3-1)),($E$3-1),الموظفون!$AE71)-الموظفون!$H71+1-SUMIFS('سجل الإجازات والحالات'!$R$6:$R$505,'سجل الإجازات والحالات'!$B$6:$B$505,$B71))/cfg_DAYS_Y)</f>
        <v/>
      </c>
      <c r="AJ71" s="133" t="str">
        <f aca="false">IF($B71="","",MAX(0,AK71-(SUMIFS('سجل الإجازات والحالات'!$AH$6:$AH$505,'سجل الإجازات والحالات'!$B$6:$B$505,$B71)-SUMIFS('سجل الإجازات والحالات'!$R$6:$R$505,'سجل الإجازات والحالات'!$B$6:$B$505,$B71))))</f>
        <v/>
      </c>
      <c r="AK71" s="133" t="str">
        <f aca="false">IF($B71="","",MAX(0,IF(OR(الموظفون!$AE71="",الموظفون!$AE71&gt;$F$3),$F$3,الموظفون!$AE71)-MAX($E$3,الموظفون!$H71)+1))</f>
        <v/>
      </c>
      <c r="AL71" s="156" t="str">
        <f aca="false">IF($B71="","",SUMIFS('سجل الإجازات والحالات'!$AT$6:$AT$505,'سجل الإجازات والحالات'!$B$6:$B$505,$B71)+SUMIFS('الحركات الشهرية'!$K$6:$K$1005,'الحركات الشهرية'!$B$6:$B$1005,$B71,'الحركات الشهرية'!$A$6:$A$1005,$C$3))</f>
        <v/>
      </c>
      <c r="AM71" s="116" t="str">
        <f aca="false">IF($B71="","",AL71*الموظفون!$R71/cfg_DAYS_M+S71)</f>
        <v/>
      </c>
      <c r="AN71" s="156" t="str">
        <f aca="false">IF($B71="","",SUMIFS('سجل الإجازات والحالات'!$V$6:$V$505,'سجل الإجازات والحالات'!$B$6:$B$505,$B71))</f>
        <v/>
      </c>
    </row>
    <row r="72" customFormat="false" ht="15" hidden="false" customHeight="false" outlineLevel="0" collapsed="false">
      <c r="A72" s="106" t="str">
        <f aca="false">IF($B72="","",الموظفون!$A72)</f>
        <v/>
      </c>
      <c r="B72" s="114" t="str">
        <f aca="false">IF(الموظفون!$B72="","",الموظفون!$B72)</f>
        <v/>
      </c>
      <c r="C72" s="114" t="str">
        <f aca="false">IF($B72="","",الموظفون!$C72)</f>
        <v/>
      </c>
      <c r="D72" s="114" t="str">
        <f aca="false">IF($B72="","",الموظفون!$F72)</f>
        <v/>
      </c>
      <c r="E72" s="114" t="str">
        <f aca="false">IF($B72="","",الموظفون!$E72)</f>
        <v/>
      </c>
      <c r="F72" s="114" t="str">
        <f aca="false">IF($B72="","",IF(AK72=0,IF(AND(الموظفون!$AE72&lt;&gt;"",الموظفون!$AE72&lt;$E$3),"✖ منتهي الخدمة","⏳ لم يباشر"),IF(S72&gt;0,"✈ راتب إجازة مقدم",IF(J72=0,"⛔ بدون راتب هذا الشهر",IF(I72&gt;0,"✈ خصم "&amp;ROUND(I72,2)&amp;" يوم بدون أجر",IF(AL72&gt;0,"🌴 إجازة سنوية "&amp;ROUND(AL72,2)&amp;" يوم",IF(H72&gt;0,"⚠ غياب "&amp;ROUND(H72,2)&amp;" يوم","✔ على رأس العمل")))))))</f>
        <v/>
      </c>
      <c r="G72" s="151" t="str">
        <f aca="false">IF($B72="","",IF(AK72&gt;=DAY($F$3),cfg_DAYS_M,MIN(AK72,cfg_DAYS_M)))</f>
        <v/>
      </c>
      <c r="H72" s="151" t="str">
        <f aca="false">IF($B72="","",SUMIFS('الحركات الشهرية'!$D$6:$D$1005,'الحركات الشهرية'!$B$6:$B$1005,$B72,'الحركات الشهرية'!$A$6:$A$1005,$C$3))</f>
        <v/>
      </c>
      <c r="I72" s="151" t="str">
        <f aca="false">IF($B72="","",MIN(G72,IF(AND(AK72&gt;0,AN72&gt;=AK72),G72,AN72)+SUMIFS('الحركات الشهرية'!$E$6:$E$1005,'الحركات الشهرية'!$B$6:$B$1005,$B72,'الحركات الشهرية'!$A$6:$A$1005,$C$3)))</f>
        <v/>
      </c>
      <c r="J72" s="151" t="str">
        <f aca="false">IF($B72="","",MAX(0,G72-H72-I72))</f>
        <v/>
      </c>
      <c r="K72" s="111" t="str">
        <f aca="false">IF($B72="","",الموظفون!$L72*$J72/cfg_DAYS_M)</f>
        <v/>
      </c>
      <c r="L72" s="111" t="str">
        <f aca="false">IF($B72="","",الموظفون!$M72*$J72/cfg_DAYS_M)</f>
        <v/>
      </c>
      <c r="M72" s="111" t="str">
        <f aca="false">IF($B72="","",الموظفون!$N72*$J72/cfg_DAYS_M)</f>
        <v/>
      </c>
      <c r="N72" s="111" t="str">
        <f aca="false">IF($B72="","",الموظفون!$O72*$J72/cfg_DAYS_M)</f>
        <v/>
      </c>
      <c r="O72" s="151" t="str">
        <f aca="false">IF($B72="","",SUMIFS('الحركات الشهرية'!$F$6:$F$1005,'الحركات الشهرية'!$B$6:$B$1005,$B72,'الحركات الشهرية'!$A$6:$A$1005,$C$3))</f>
        <v/>
      </c>
      <c r="P72" s="111" t="str">
        <f aca="false">IF($B72="","",O72*(الموظفون!$P72+الموظفون!$L72*cfg_OT_P)/cfg_DAYS_M/cfg_HRS)</f>
        <v/>
      </c>
      <c r="Q72" s="111" t="str">
        <f aca="false">IF($B72="","",SUMIFS('الحركات الشهرية'!$G$6:$G$1005,'الحركات الشهرية'!$B$6:$B$1005,$B72,'الحركات الشهرية'!$A$6:$A$1005,$C$3))</f>
        <v/>
      </c>
      <c r="R72" s="111" t="str">
        <f aca="false">IF($B72="","",SUMIFS('الحركات الشهرية'!$H$6:$H$1005,'الحركات الشهرية'!$B$6:$B$1005,$B72,'الحركات الشهرية'!$A$6:$A$1005,$C$3))</f>
        <v/>
      </c>
      <c r="S72" s="111" t="str">
        <f aca="false">IF($B72="","",SUMIFS('سجل الإجازات والحالات'!$N$6:$N$505,'سجل الإجازات والحالات'!$B$6:$B$505,$B72,'سجل الإجازات والحالات'!$O$6:$O$505,$C$3))</f>
        <v/>
      </c>
      <c r="T72" s="152" t="str">
        <f aca="false">IF($B72="","",SUM(K72:N72)+SUM(P72:S72))</f>
        <v/>
      </c>
      <c r="U72" s="111" t="str">
        <f aca="false">IF($B72="","",الموظفون!$S72*IF(E72="سعودي",cfg_G_SE,cfg_G_NE)*G72/cfg_DAYS_M)</f>
        <v/>
      </c>
      <c r="V72" s="111" t="str">
        <f aca="false">IF($B72="","",SUMIFS('الحركات الشهرية'!$I$6:$I$1005,'الحركات الشهرية'!$B$6:$B$1005,$B72,'الحركات الشهرية'!$A$6:$A$1005,$C$3))</f>
        <v/>
      </c>
      <c r="W72" s="111" t="str">
        <f aca="false">IF($B72="","",SUMIFS('الحركات الشهرية'!$J$6:$J$1005,'الحركات الشهرية'!$B$6:$B$1005,$B72,'الحركات الشهرية'!$A$6:$A$1005,$C$3))</f>
        <v/>
      </c>
      <c r="X72" s="111" t="str">
        <f aca="false">IF($B72="","",SUM(U72:W72))</f>
        <v/>
      </c>
      <c r="Y72" s="153" t="str">
        <f aca="false">IF($B72="","",T72-X72)</f>
        <v/>
      </c>
      <c r="Z72" s="111" t="str">
        <f aca="false">IF($B72="","",الموظفون!$S72*IF(E72="سعودي",cfg_G_SR,cfg_G_NR)*G72/cfg_DAYS_M)</f>
        <v/>
      </c>
      <c r="AA72" s="111" t="str">
        <f aca="false">IF($B72="","",الموظفون!$Q72*(cfg_EOS_R1*(MIN(AH72,cfg_EOS_TH)-MIN(AI72,cfg_EOS_TH))+cfg_EOS_R2*(MAX(AH72-cfg_EOS_TH,0)-MAX(AI72-cfg_EOS_TH,0))))</f>
        <v/>
      </c>
      <c r="AB72" s="111" t="str">
        <f aca="false">IF($B72="","",IF(الموظفون!$T72&lt;&gt;"",الموظفون!$T72,IF(AH72&gt;=cfg_LV_TH,cfg_LV_D2,cfg_LV_D1))/cfg_DAYS_Y*AJ72*الموظفون!$R72/cfg_DAYS_M)</f>
        <v/>
      </c>
      <c r="AC72" s="111" t="str">
        <f aca="false">IF($B72="","",IF(AND(الموظفون!$U72="نعم",N(الموظفون!$W72)&gt;0),الموظفون!$V72/الموظفون!$W72*12/cfg_DAYS_Y*AJ72,0))</f>
        <v/>
      </c>
      <c r="AD72" s="111" t="str">
        <f aca="false">IF($B72="","",(IF(الموظفون!$X72&lt;&gt;"",الموظفون!$X72,IF(الموظفون!$E72="غير سعودي",cfg_IQ,0))+IF(الموظفون!$Y72&lt;&gt;"",الموظفون!$Y72,IF(الموظفون!$E72="غير سعودي",cfg_WP,0)))/12*G72/cfg_DAYS_M)</f>
        <v/>
      </c>
      <c r="AE72" s="111" t="str">
        <f aca="false">IF($B72="","",IF(الموظفون!$Z72&lt;&gt;"",الموظفون!$Z72,cfg_MED)/12*G72/cfg_DAYS_M)</f>
        <v/>
      </c>
      <c r="AF72" s="111" t="str">
        <f aca="false">IF($B72="","",N(الموظفون!$AA72)/12*G72/cfg_DAYS_M)</f>
        <v/>
      </c>
      <c r="AG72" s="154" t="str">
        <f aca="false">IF($B72="","",T72+SUM(Z72:AF72))</f>
        <v/>
      </c>
      <c r="AH72" s="155" t="str">
        <f aca="false">IF($B72="","",MAX(0,IF(OR(الموظفون!$AE72="",الموظفون!$AE72&gt;$F$3),$F$3,الموظفون!$AE72)-الموظفون!$H72+1-SUMIFS('سجل الإجازات والحالات'!$AH$6:$AH$505,'سجل الإجازات والحالات'!$B$6:$B$505,$B72))/cfg_DAYS_Y)</f>
        <v/>
      </c>
      <c r="AI72" s="155" t="str">
        <f aca="false">IF($B72="","",MAX(0,IF(OR(الموظفون!$AE72="",الموظفون!$AE72&gt;($E$3-1)),($E$3-1),الموظفون!$AE72)-الموظفون!$H72+1-SUMIFS('سجل الإجازات والحالات'!$R$6:$R$505,'سجل الإجازات والحالات'!$B$6:$B$505,$B72))/cfg_DAYS_Y)</f>
        <v/>
      </c>
      <c r="AJ72" s="65" t="str">
        <f aca="false">IF($B72="","",MAX(0,AK72-(SUMIFS('سجل الإجازات والحالات'!$AH$6:$AH$505,'سجل الإجازات والحالات'!$B$6:$B$505,$B72)-SUMIFS('سجل الإجازات والحالات'!$R$6:$R$505,'سجل الإجازات والحالات'!$B$6:$B$505,$B72))))</f>
        <v/>
      </c>
      <c r="AK72" s="65" t="str">
        <f aca="false">IF($B72="","",MAX(0,IF(OR(الموظفون!$AE72="",الموظفون!$AE72&gt;$F$3),$F$3,الموظفون!$AE72)-MAX($E$3,الموظفون!$H72)+1))</f>
        <v/>
      </c>
      <c r="AL72" s="151" t="str">
        <f aca="false">IF($B72="","",SUMIFS('سجل الإجازات والحالات'!$AT$6:$AT$505,'سجل الإجازات والحالات'!$B$6:$B$505,$B72)+SUMIFS('الحركات الشهرية'!$K$6:$K$1005,'الحركات الشهرية'!$B$6:$B$1005,$B72,'الحركات الشهرية'!$A$6:$A$1005,$C$3))</f>
        <v/>
      </c>
      <c r="AM72" s="111" t="str">
        <f aca="false">IF($B72="","",AL72*الموظفون!$R72/cfg_DAYS_M+S72)</f>
        <v/>
      </c>
      <c r="AN72" s="151" t="str">
        <f aca="false">IF($B72="","",SUMIFS('سجل الإجازات والحالات'!$V$6:$V$505,'سجل الإجازات والحالات'!$B$6:$B$505,$B72))</f>
        <v/>
      </c>
    </row>
    <row r="73" customFormat="false" ht="15" hidden="false" customHeight="false" outlineLevel="0" collapsed="false">
      <c r="A73" s="115" t="str">
        <f aca="false">IF($B73="","",الموظفون!$A73)</f>
        <v/>
      </c>
      <c r="B73" s="117" t="str">
        <f aca="false">IF(الموظفون!$B73="","",الموظفون!$B73)</f>
        <v/>
      </c>
      <c r="C73" s="117" t="str">
        <f aca="false">IF($B73="","",الموظفون!$C73)</f>
        <v/>
      </c>
      <c r="D73" s="117" t="str">
        <f aca="false">IF($B73="","",الموظفون!$F73)</f>
        <v/>
      </c>
      <c r="E73" s="117" t="str">
        <f aca="false">IF($B73="","",الموظفون!$E73)</f>
        <v/>
      </c>
      <c r="F73" s="117" t="str">
        <f aca="false">IF($B73="","",IF(AK73=0,IF(AND(الموظفون!$AE73&lt;&gt;"",الموظفون!$AE73&lt;$E$3),"✖ منتهي الخدمة","⏳ لم يباشر"),IF(S73&gt;0,"✈ راتب إجازة مقدم",IF(J73=0,"⛔ بدون راتب هذا الشهر",IF(I73&gt;0,"✈ خصم "&amp;ROUND(I73,2)&amp;" يوم بدون أجر",IF(AL73&gt;0,"🌴 إجازة سنوية "&amp;ROUND(AL73,2)&amp;" يوم",IF(H73&gt;0,"⚠ غياب "&amp;ROUND(H73,2)&amp;" يوم","✔ على رأس العمل")))))))</f>
        <v/>
      </c>
      <c r="G73" s="156" t="str">
        <f aca="false">IF($B73="","",IF(AK73&gt;=DAY($F$3),cfg_DAYS_M,MIN(AK73,cfg_DAYS_M)))</f>
        <v/>
      </c>
      <c r="H73" s="156" t="str">
        <f aca="false">IF($B73="","",SUMIFS('الحركات الشهرية'!$D$6:$D$1005,'الحركات الشهرية'!$B$6:$B$1005,$B73,'الحركات الشهرية'!$A$6:$A$1005,$C$3))</f>
        <v/>
      </c>
      <c r="I73" s="156" t="str">
        <f aca="false">IF($B73="","",MIN(G73,IF(AND(AK73&gt;0,AN73&gt;=AK73),G73,AN73)+SUMIFS('الحركات الشهرية'!$E$6:$E$1005,'الحركات الشهرية'!$B$6:$B$1005,$B73,'الحركات الشهرية'!$A$6:$A$1005,$C$3)))</f>
        <v/>
      </c>
      <c r="J73" s="156" t="str">
        <f aca="false">IF($B73="","",MAX(0,G73-H73-I73))</f>
        <v/>
      </c>
      <c r="K73" s="116" t="str">
        <f aca="false">IF($B73="","",الموظفون!$L73*$J73/cfg_DAYS_M)</f>
        <v/>
      </c>
      <c r="L73" s="116" t="str">
        <f aca="false">IF($B73="","",الموظفون!$M73*$J73/cfg_DAYS_M)</f>
        <v/>
      </c>
      <c r="M73" s="116" t="str">
        <f aca="false">IF($B73="","",الموظفون!$N73*$J73/cfg_DAYS_M)</f>
        <v/>
      </c>
      <c r="N73" s="116" t="str">
        <f aca="false">IF($B73="","",الموظفون!$O73*$J73/cfg_DAYS_M)</f>
        <v/>
      </c>
      <c r="O73" s="156" t="str">
        <f aca="false">IF($B73="","",SUMIFS('الحركات الشهرية'!$F$6:$F$1005,'الحركات الشهرية'!$B$6:$B$1005,$B73,'الحركات الشهرية'!$A$6:$A$1005,$C$3))</f>
        <v/>
      </c>
      <c r="P73" s="116" t="str">
        <f aca="false">IF($B73="","",O73*(الموظفون!$P73+الموظفون!$L73*cfg_OT_P)/cfg_DAYS_M/cfg_HRS)</f>
        <v/>
      </c>
      <c r="Q73" s="116" t="str">
        <f aca="false">IF($B73="","",SUMIFS('الحركات الشهرية'!$G$6:$G$1005,'الحركات الشهرية'!$B$6:$B$1005,$B73,'الحركات الشهرية'!$A$6:$A$1005,$C$3))</f>
        <v/>
      </c>
      <c r="R73" s="116" t="str">
        <f aca="false">IF($B73="","",SUMIFS('الحركات الشهرية'!$H$6:$H$1005,'الحركات الشهرية'!$B$6:$B$1005,$B73,'الحركات الشهرية'!$A$6:$A$1005,$C$3))</f>
        <v/>
      </c>
      <c r="S73" s="116" t="str">
        <f aca="false">IF($B73="","",SUMIFS('سجل الإجازات والحالات'!$N$6:$N$505,'سجل الإجازات والحالات'!$B$6:$B$505,$B73,'سجل الإجازات والحالات'!$O$6:$O$505,$C$3))</f>
        <v/>
      </c>
      <c r="T73" s="157" t="str">
        <f aca="false">IF($B73="","",SUM(K73:N73)+SUM(P73:S73))</f>
        <v/>
      </c>
      <c r="U73" s="116" t="str">
        <f aca="false">IF($B73="","",الموظفون!$S73*IF(E73="سعودي",cfg_G_SE,cfg_G_NE)*G73/cfg_DAYS_M)</f>
        <v/>
      </c>
      <c r="V73" s="116" t="str">
        <f aca="false">IF($B73="","",SUMIFS('الحركات الشهرية'!$I$6:$I$1005,'الحركات الشهرية'!$B$6:$B$1005,$B73,'الحركات الشهرية'!$A$6:$A$1005,$C$3))</f>
        <v/>
      </c>
      <c r="W73" s="116" t="str">
        <f aca="false">IF($B73="","",SUMIFS('الحركات الشهرية'!$J$6:$J$1005,'الحركات الشهرية'!$B$6:$B$1005,$B73,'الحركات الشهرية'!$A$6:$A$1005,$C$3))</f>
        <v/>
      </c>
      <c r="X73" s="116" t="str">
        <f aca="false">IF($B73="","",SUM(U73:W73))</f>
        <v/>
      </c>
      <c r="Y73" s="158" t="str">
        <f aca="false">IF($B73="","",T73-X73)</f>
        <v/>
      </c>
      <c r="Z73" s="116" t="str">
        <f aca="false">IF($B73="","",الموظفون!$S73*IF(E73="سعودي",cfg_G_SR,cfg_G_NR)*G73/cfg_DAYS_M)</f>
        <v/>
      </c>
      <c r="AA73" s="116" t="str">
        <f aca="false">IF($B73="","",الموظفون!$Q73*(cfg_EOS_R1*(MIN(AH73,cfg_EOS_TH)-MIN(AI73,cfg_EOS_TH))+cfg_EOS_R2*(MAX(AH73-cfg_EOS_TH,0)-MAX(AI73-cfg_EOS_TH,0))))</f>
        <v/>
      </c>
      <c r="AB73" s="116" t="str">
        <f aca="false">IF($B73="","",IF(الموظفون!$T73&lt;&gt;"",الموظفون!$T73,IF(AH73&gt;=cfg_LV_TH,cfg_LV_D2,cfg_LV_D1))/cfg_DAYS_Y*AJ73*الموظفون!$R73/cfg_DAYS_M)</f>
        <v/>
      </c>
      <c r="AC73" s="116" t="str">
        <f aca="false">IF($B73="","",IF(AND(الموظفون!$U73="نعم",N(الموظفون!$W73)&gt;0),الموظفون!$V73/الموظفون!$W73*12/cfg_DAYS_Y*AJ73,0))</f>
        <v/>
      </c>
      <c r="AD73" s="116" t="str">
        <f aca="false">IF($B73="","",(IF(الموظفون!$X73&lt;&gt;"",الموظفون!$X73,IF(الموظفون!$E73="غير سعودي",cfg_IQ,0))+IF(الموظفون!$Y73&lt;&gt;"",الموظفون!$Y73,IF(الموظفون!$E73="غير سعودي",cfg_WP,0)))/12*G73/cfg_DAYS_M)</f>
        <v/>
      </c>
      <c r="AE73" s="116" t="str">
        <f aca="false">IF($B73="","",IF(الموظفون!$Z73&lt;&gt;"",الموظفون!$Z73,cfg_MED)/12*G73/cfg_DAYS_M)</f>
        <v/>
      </c>
      <c r="AF73" s="116" t="str">
        <f aca="false">IF($B73="","",N(الموظفون!$AA73)/12*G73/cfg_DAYS_M)</f>
        <v/>
      </c>
      <c r="AG73" s="159" t="str">
        <f aca="false">IF($B73="","",T73+SUM(Z73:AF73))</f>
        <v/>
      </c>
      <c r="AH73" s="160" t="str">
        <f aca="false">IF($B73="","",MAX(0,IF(OR(الموظفون!$AE73="",الموظفون!$AE73&gt;$F$3),$F$3,الموظفون!$AE73)-الموظفون!$H73+1-SUMIFS('سجل الإجازات والحالات'!$AH$6:$AH$505,'سجل الإجازات والحالات'!$B$6:$B$505,$B73))/cfg_DAYS_Y)</f>
        <v/>
      </c>
      <c r="AI73" s="160" t="str">
        <f aca="false">IF($B73="","",MAX(0,IF(OR(الموظفون!$AE73="",الموظفون!$AE73&gt;($E$3-1)),($E$3-1),الموظفون!$AE73)-الموظفون!$H73+1-SUMIFS('سجل الإجازات والحالات'!$R$6:$R$505,'سجل الإجازات والحالات'!$B$6:$B$505,$B73))/cfg_DAYS_Y)</f>
        <v/>
      </c>
      <c r="AJ73" s="133" t="str">
        <f aca="false">IF($B73="","",MAX(0,AK73-(SUMIFS('سجل الإجازات والحالات'!$AH$6:$AH$505,'سجل الإجازات والحالات'!$B$6:$B$505,$B73)-SUMIFS('سجل الإجازات والحالات'!$R$6:$R$505,'سجل الإجازات والحالات'!$B$6:$B$505,$B73))))</f>
        <v/>
      </c>
      <c r="AK73" s="133" t="str">
        <f aca="false">IF($B73="","",MAX(0,IF(OR(الموظفون!$AE73="",الموظفون!$AE73&gt;$F$3),$F$3,الموظفون!$AE73)-MAX($E$3,الموظفون!$H73)+1))</f>
        <v/>
      </c>
      <c r="AL73" s="156" t="str">
        <f aca="false">IF($B73="","",SUMIFS('سجل الإجازات والحالات'!$AT$6:$AT$505,'سجل الإجازات والحالات'!$B$6:$B$505,$B73)+SUMIFS('الحركات الشهرية'!$K$6:$K$1005,'الحركات الشهرية'!$B$6:$B$1005,$B73,'الحركات الشهرية'!$A$6:$A$1005,$C$3))</f>
        <v/>
      </c>
      <c r="AM73" s="116" t="str">
        <f aca="false">IF($B73="","",AL73*الموظفون!$R73/cfg_DAYS_M+S73)</f>
        <v/>
      </c>
      <c r="AN73" s="156" t="str">
        <f aca="false">IF($B73="","",SUMIFS('سجل الإجازات والحالات'!$V$6:$V$505,'سجل الإجازات والحالات'!$B$6:$B$505,$B73))</f>
        <v/>
      </c>
    </row>
    <row r="74" customFormat="false" ht="15" hidden="false" customHeight="false" outlineLevel="0" collapsed="false">
      <c r="A74" s="106" t="str">
        <f aca="false">IF($B74="","",الموظفون!$A74)</f>
        <v/>
      </c>
      <c r="B74" s="114" t="str">
        <f aca="false">IF(الموظفون!$B74="","",الموظفون!$B74)</f>
        <v/>
      </c>
      <c r="C74" s="114" t="str">
        <f aca="false">IF($B74="","",الموظفون!$C74)</f>
        <v/>
      </c>
      <c r="D74" s="114" t="str">
        <f aca="false">IF($B74="","",الموظفون!$F74)</f>
        <v/>
      </c>
      <c r="E74" s="114" t="str">
        <f aca="false">IF($B74="","",الموظفون!$E74)</f>
        <v/>
      </c>
      <c r="F74" s="114" t="str">
        <f aca="false">IF($B74="","",IF(AK74=0,IF(AND(الموظفون!$AE74&lt;&gt;"",الموظفون!$AE74&lt;$E$3),"✖ منتهي الخدمة","⏳ لم يباشر"),IF(S74&gt;0,"✈ راتب إجازة مقدم",IF(J74=0,"⛔ بدون راتب هذا الشهر",IF(I74&gt;0,"✈ خصم "&amp;ROUND(I74,2)&amp;" يوم بدون أجر",IF(AL74&gt;0,"🌴 إجازة سنوية "&amp;ROUND(AL74,2)&amp;" يوم",IF(H74&gt;0,"⚠ غياب "&amp;ROUND(H74,2)&amp;" يوم","✔ على رأس العمل")))))))</f>
        <v/>
      </c>
      <c r="G74" s="151" t="str">
        <f aca="false">IF($B74="","",IF(AK74&gt;=DAY($F$3),cfg_DAYS_M,MIN(AK74,cfg_DAYS_M)))</f>
        <v/>
      </c>
      <c r="H74" s="151" t="str">
        <f aca="false">IF($B74="","",SUMIFS('الحركات الشهرية'!$D$6:$D$1005,'الحركات الشهرية'!$B$6:$B$1005,$B74,'الحركات الشهرية'!$A$6:$A$1005,$C$3))</f>
        <v/>
      </c>
      <c r="I74" s="151" t="str">
        <f aca="false">IF($B74="","",MIN(G74,IF(AND(AK74&gt;0,AN74&gt;=AK74),G74,AN74)+SUMIFS('الحركات الشهرية'!$E$6:$E$1005,'الحركات الشهرية'!$B$6:$B$1005,$B74,'الحركات الشهرية'!$A$6:$A$1005,$C$3)))</f>
        <v/>
      </c>
      <c r="J74" s="151" t="str">
        <f aca="false">IF($B74="","",MAX(0,G74-H74-I74))</f>
        <v/>
      </c>
      <c r="K74" s="111" t="str">
        <f aca="false">IF($B74="","",الموظفون!$L74*$J74/cfg_DAYS_M)</f>
        <v/>
      </c>
      <c r="L74" s="111" t="str">
        <f aca="false">IF($B74="","",الموظفون!$M74*$J74/cfg_DAYS_M)</f>
        <v/>
      </c>
      <c r="M74" s="111" t="str">
        <f aca="false">IF($B74="","",الموظفون!$N74*$J74/cfg_DAYS_M)</f>
        <v/>
      </c>
      <c r="N74" s="111" t="str">
        <f aca="false">IF($B74="","",الموظفون!$O74*$J74/cfg_DAYS_M)</f>
        <v/>
      </c>
      <c r="O74" s="151" t="str">
        <f aca="false">IF($B74="","",SUMIFS('الحركات الشهرية'!$F$6:$F$1005,'الحركات الشهرية'!$B$6:$B$1005,$B74,'الحركات الشهرية'!$A$6:$A$1005,$C$3))</f>
        <v/>
      </c>
      <c r="P74" s="111" t="str">
        <f aca="false">IF($B74="","",O74*(الموظفون!$P74+الموظفون!$L74*cfg_OT_P)/cfg_DAYS_M/cfg_HRS)</f>
        <v/>
      </c>
      <c r="Q74" s="111" t="str">
        <f aca="false">IF($B74="","",SUMIFS('الحركات الشهرية'!$G$6:$G$1005,'الحركات الشهرية'!$B$6:$B$1005,$B74,'الحركات الشهرية'!$A$6:$A$1005,$C$3))</f>
        <v/>
      </c>
      <c r="R74" s="111" t="str">
        <f aca="false">IF($B74="","",SUMIFS('الحركات الشهرية'!$H$6:$H$1005,'الحركات الشهرية'!$B$6:$B$1005,$B74,'الحركات الشهرية'!$A$6:$A$1005,$C$3))</f>
        <v/>
      </c>
      <c r="S74" s="111" t="str">
        <f aca="false">IF($B74="","",SUMIFS('سجل الإجازات والحالات'!$N$6:$N$505,'سجل الإجازات والحالات'!$B$6:$B$505,$B74,'سجل الإجازات والحالات'!$O$6:$O$505,$C$3))</f>
        <v/>
      </c>
      <c r="T74" s="152" t="str">
        <f aca="false">IF($B74="","",SUM(K74:N74)+SUM(P74:S74))</f>
        <v/>
      </c>
      <c r="U74" s="111" t="str">
        <f aca="false">IF($B74="","",الموظفون!$S74*IF(E74="سعودي",cfg_G_SE,cfg_G_NE)*G74/cfg_DAYS_M)</f>
        <v/>
      </c>
      <c r="V74" s="111" t="str">
        <f aca="false">IF($B74="","",SUMIFS('الحركات الشهرية'!$I$6:$I$1005,'الحركات الشهرية'!$B$6:$B$1005,$B74,'الحركات الشهرية'!$A$6:$A$1005,$C$3))</f>
        <v/>
      </c>
      <c r="W74" s="111" t="str">
        <f aca="false">IF($B74="","",SUMIFS('الحركات الشهرية'!$J$6:$J$1005,'الحركات الشهرية'!$B$6:$B$1005,$B74,'الحركات الشهرية'!$A$6:$A$1005,$C$3))</f>
        <v/>
      </c>
      <c r="X74" s="111" t="str">
        <f aca="false">IF($B74="","",SUM(U74:W74))</f>
        <v/>
      </c>
      <c r="Y74" s="153" t="str">
        <f aca="false">IF($B74="","",T74-X74)</f>
        <v/>
      </c>
      <c r="Z74" s="111" t="str">
        <f aca="false">IF($B74="","",الموظفون!$S74*IF(E74="سعودي",cfg_G_SR,cfg_G_NR)*G74/cfg_DAYS_M)</f>
        <v/>
      </c>
      <c r="AA74" s="111" t="str">
        <f aca="false">IF($B74="","",الموظفون!$Q74*(cfg_EOS_R1*(MIN(AH74,cfg_EOS_TH)-MIN(AI74,cfg_EOS_TH))+cfg_EOS_R2*(MAX(AH74-cfg_EOS_TH,0)-MAX(AI74-cfg_EOS_TH,0))))</f>
        <v/>
      </c>
      <c r="AB74" s="111" t="str">
        <f aca="false">IF($B74="","",IF(الموظفون!$T74&lt;&gt;"",الموظفون!$T74,IF(AH74&gt;=cfg_LV_TH,cfg_LV_D2,cfg_LV_D1))/cfg_DAYS_Y*AJ74*الموظفون!$R74/cfg_DAYS_M)</f>
        <v/>
      </c>
      <c r="AC74" s="111" t="str">
        <f aca="false">IF($B74="","",IF(AND(الموظفون!$U74="نعم",N(الموظفون!$W74)&gt;0),الموظفون!$V74/الموظفون!$W74*12/cfg_DAYS_Y*AJ74,0))</f>
        <v/>
      </c>
      <c r="AD74" s="111" t="str">
        <f aca="false">IF($B74="","",(IF(الموظفون!$X74&lt;&gt;"",الموظفون!$X74,IF(الموظفون!$E74="غير سعودي",cfg_IQ,0))+IF(الموظفون!$Y74&lt;&gt;"",الموظفون!$Y74,IF(الموظفون!$E74="غير سعودي",cfg_WP,0)))/12*G74/cfg_DAYS_M)</f>
        <v/>
      </c>
      <c r="AE74" s="111" t="str">
        <f aca="false">IF($B74="","",IF(الموظفون!$Z74&lt;&gt;"",الموظفون!$Z74,cfg_MED)/12*G74/cfg_DAYS_M)</f>
        <v/>
      </c>
      <c r="AF74" s="111" t="str">
        <f aca="false">IF($B74="","",N(الموظفون!$AA74)/12*G74/cfg_DAYS_M)</f>
        <v/>
      </c>
      <c r="AG74" s="154" t="str">
        <f aca="false">IF($B74="","",T74+SUM(Z74:AF74))</f>
        <v/>
      </c>
      <c r="AH74" s="155" t="str">
        <f aca="false">IF($B74="","",MAX(0,IF(OR(الموظفون!$AE74="",الموظفون!$AE74&gt;$F$3),$F$3,الموظفون!$AE74)-الموظفون!$H74+1-SUMIFS('سجل الإجازات والحالات'!$AH$6:$AH$505,'سجل الإجازات والحالات'!$B$6:$B$505,$B74))/cfg_DAYS_Y)</f>
        <v/>
      </c>
      <c r="AI74" s="155" t="str">
        <f aca="false">IF($B74="","",MAX(0,IF(OR(الموظفون!$AE74="",الموظفون!$AE74&gt;($E$3-1)),($E$3-1),الموظفون!$AE74)-الموظفون!$H74+1-SUMIFS('سجل الإجازات والحالات'!$R$6:$R$505,'سجل الإجازات والحالات'!$B$6:$B$505,$B74))/cfg_DAYS_Y)</f>
        <v/>
      </c>
      <c r="AJ74" s="65" t="str">
        <f aca="false">IF($B74="","",MAX(0,AK74-(SUMIFS('سجل الإجازات والحالات'!$AH$6:$AH$505,'سجل الإجازات والحالات'!$B$6:$B$505,$B74)-SUMIFS('سجل الإجازات والحالات'!$R$6:$R$505,'سجل الإجازات والحالات'!$B$6:$B$505,$B74))))</f>
        <v/>
      </c>
      <c r="AK74" s="65" t="str">
        <f aca="false">IF($B74="","",MAX(0,IF(OR(الموظفون!$AE74="",الموظفون!$AE74&gt;$F$3),$F$3,الموظفون!$AE74)-MAX($E$3,الموظفون!$H74)+1))</f>
        <v/>
      </c>
      <c r="AL74" s="151" t="str">
        <f aca="false">IF($B74="","",SUMIFS('سجل الإجازات والحالات'!$AT$6:$AT$505,'سجل الإجازات والحالات'!$B$6:$B$505,$B74)+SUMIFS('الحركات الشهرية'!$K$6:$K$1005,'الحركات الشهرية'!$B$6:$B$1005,$B74,'الحركات الشهرية'!$A$6:$A$1005,$C$3))</f>
        <v/>
      </c>
      <c r="AM74" s="111" t="str">
        <f aca="false">IF($B74="","",AL74*الموظفون!$R74/cfg_DAYS_M+S74)</f>
        <v/>
      </c>
      <c r="AN74" s="151" t="str">
        <f aca="false">IF($B74="","",SUMIFS('سجل الإجازات والحالات'!$V$6:$V$505,'سجل الإجازات والحالات'!$B$6:$B$505,$B74))</f>
        <v/>
      </c>
    </row>
    <row r="75" customFormat="false" ht="15" hidden="false" customHeight="false" outlineLevel="0" collapsed="false">
      <c r="A75" s="115" t="str">
        <f aca="false">IF($B75="","",الموظفون!$A75)</f>
        <v/>
      </c>
      <c r="B75" s="117" t="str">
        <f aca="false">IF(الموظفون!$B75="","",الموظفون!$B75)</f>
        <v/>
      </c>
      <c r="C75" s="117" t="str">
        <f aca="false">IF($B75="","",الموظفون!$C75)</f>
        <v/>
      </c>
      <c r="D75" s="117" t="str">
        <f aca="false">IF($B75="","",الموظفون!$F75)</f>
        <v/>
      </c>
      <c r="E75" s="117" t="str">
        <f aca="false">IF($B75="","",الموظفون!$E75)</f>
        <v/>
      </c>
      <c r="F75" s="117" t="str">
        <f aca="false">IF($B75="","",IF(AK75=0,IF(AND(الموظفون!$AE75&lt;&gt;"",الموظفون!$AE75&lt;$E$3),"✖ منتهي الخدمة","⏳ لم يباشر"),IF(S75&gt;0,"✈ راتب إجازة مقدم",IF(J75=0,"⛔ بدون راتب هذا الشهر",IF(I75&gt;0,"✈ خصم "&amp;ROUND(I75,2)&amp;" يوم بدون أجر",IF(AL75&gt;0,"🌴 إجازة سنوية "&amp;ROUND(AL75,2)&amp;" يوم",IF(H75&gt;0,"⚠ غياب "&amp;ROUND(H75,2)&amp;" يوم","✔ على رأس العمل")))))))</f>
        <v/>
      </c>
      <c r="G75" s="156" t="str">
        <f aca="false">IF($B75="","",IF(AK75&gt;=DAY($F$3),cfg_DAYS_M,MIN(AK75,cfg_DAYS_M)))</f>
        <v/>
      </c>
      <c r="H75" s="156" t="str">
        <f aca="false">IF($B75="","",SUMIFS('الحركات الشهرية'!$D$6:$D$1005,'الحركات الشهرية'!$B$6:$B$1005,$B75,'الحركات الشهرية'!$A$6:$A$1005,$C$3))</f>
        <v/>
      </c>
      <c r="I75" s="156" t="str">
        <f aca="false">IF($B75="","",MIN(G75,IF(AND(AK75&gt;0,AN75&gt;=AK75),G75,AN75)+SUMIFS('الحركات الشهرية'!$E$6:$E$1005,'الحركات الشهرية'!$B$6:$B$1005,$B75,'الحركات الشهرية'!$A$6:$A$1005,$C$3)))</f>
        <v/>
      </c>
      <c r="J75" s="156" t="str">
        <f aca="false">IF($B75="","",MAX(0,G75-H75-I75))</f>
        <v/>
      </c>
      <c r="K75" s="116" t="str">
        <f aca="false">IF($B75="","",الموظفون!$L75*$J75/cfg_DAYS_M)</f>
        <v/>
      </c>
      <c r="L75" s="116" t="str">
        <f aca="false">IF($B75="","",الموظفون!$M75*$J75/cfg_DAYS_M)</f>
        <v/>
      </c>
      <c r="M75" s="116" t="str">
        <f aca="false">IF($B75="","",الموظفون!$N75*$J75/cfg_DAYS_M)</f>
        <v/>
      </c>
      <c r="N75" s="116" t="str">
        <f aca="false">IF($B75="","",الموظفون!$O75*$J75/cfg_DAYS_M)</f>
        <v/>
      </c>
      <c r="O75" s="156" t="str">
        <f aca="false">IF($B75="","",SUMIFS('الحركات الشهرية'!$F$6:$F$1005,'الحركات الشهرية'!$B$6:$B$1005,$B75,'الحركات الشهرية'!$A$6:$A$1005,$C$3))</f>
        <v/>
      </c>
      <c r="P75" s="116" t="str">
        <f aca="false">IF($B75="","",O75*(الموظفون!$P75+الموظفون!$L75*cfg_OT_P)/cfg_DAYS_M/cfg_HRS)</f>
        <v/>
      </c>
      <c r="Q75" s="116" t="str">
        <f aca="false">IF($B75="","",SUMIFS('الحركات الشهرية'!$G$6:$G$1005,'الحركات الشهرية'!$B$6:$B$1005,$B75,'الحركات الشهرية'!$A$6:$A$1005,$C$3))</f>
        <v/>
      </c>
      <c r="R75" s="116" t="str">
        <f aca="false">IF($B75="","",SUMIFS('الحركات الشهرية'!$H$6:$H$1005,'الحركات الشهرية'!$B$6:$B$1005,$B75,'الحركات الشهرية'!$A$6:$A$1005,$C$3))</f>
        <v/>
      </c>
      <c r="S75" s="116" t="str">
        <f aca="false">IF($B75="","",SUMIFS('سجل الإجازات والحالات'!$N$6:$N$505,'سجل الإجازات والحالات'!$B$6:$B$505,$B75,'سجل الإجازات والحالات'!$O$6:$O$505,$C$3))</f>
        <v/>
      </c>
      <c r="T75" s="157" t="str">
        <f aca="false">IF($B75="","",SUM(K75:N75)+SUM(P75:S75))</f>
        <v/>
      </c>
      <c r="U75" s="116" t="str">
        <f aca="false">IF($B75="","",الموظفون!$S75*IF(E75="سعودي",cfg_G_SE,cfg_G_NE)*G75/cfg_DAYS_M)</f>
        <v/>
      </c>
      <c r="V75" s="116" t="str">
        <f aca="false">IF($B75="","",SUMIFS('الحركات الشهرية'!$I$6:$I$1005,'الحركات الشهرية'!$B$6:$B$1005,$B75,'الحركات الشهرية'!$A$6:$A$1005,$C$3))</f>
        <v/>
      </c>
      <c r="W75" s="116" t="str">
        <f aca="false">IF($B75="","",SUMIFS('الحركات الشهرية'!$J$6:$J$1005,'الحركات الشهرية'!$B$6:$B$1005,$B75,'الحركات الشهرية'!$A$6:$A$1005,$C$3))</f>
        <v/>
      </c>
      <c r="X75" s="116" t="str">
        <f aca="false">IF($B75="","",SUM(U75:W75))</f>
        <v/>
      </c>
      <c r="Y75" s="158" t="str">
        <f aca="false">IF($B75="","",T75-X75)</f>
        <v/>
      </c>
      <c r="Z75" s="116" t="str">
        <f aca="false">IF($B75="","",الموظفون!$S75*IF(E75="سعودي",cfg_G_SR,cfg_G_NR)*G75/cfg_DAYS_M)</f>
        <v/>
      </c>
      <c r="AA75" s="116" t="str">
        <f aca="false">IF($B75="","",الموظفون!$Q75*(cfg_EOS_R1*(MIN(AH75,cfg_EOS_TH)-MIN(AI75,cfg_EOS_TH))+cfg_EOS_R2*(MAX(AH75-cfg_EOS_TH,0)-MAX(AI75-cfg_EOS_TH,0))))</f>
        <v/>
      </c>
      <c r="AB75" s="116" t="str">
        <f aca="false">IF($B75="","",IF(الموظفون!$T75&lt;&gt;"",الموظفون!$T75,IF(AH75&gt;=cfg_LV_TH,cfg_LV_D2,cfg_LV_D1))/cfg_DAYS_Y*AJ75*الموظفون!$R75/cfg_DAYS_M)</f>
        <v/>
      </c>
      <c r="AC75" s="116" t="str">
        <f aca="false">IF($B75="","",IF(AND(الموظفون!$U75="نعم",N(الموظفون!$W75)&gt;0),الموظفون!$V75/الموظفون!$W75*12/cfg_DAYS_Y*AJ75,0))</f>
        <v/>
      </c>
      <c r="AD75" s="116" t="str">
        <f aca="false">IF($B75="","",(IF(الموظفون!$X75&lt;&gt;"",الموظفون!$X75,IF(الموظفون!$E75="غير سعودي",cfg_IQ,0))+IF(الموظفون!$Y75&lt;&gt;"",الموظفون!$Y75,IF(الموظفون!$E75="غير سعودي",cfg_WP,0)))/12*G75/cfg_DAYS_M)</f>
        <v/>
      </c>
      <c r="AE75" s="116" t="str">
        <f aca="false">IF($B75="","",IF(الموظفون!$Z75&lt;&gt;"",الموظفون!$Z75,cfg_MED)/12*G75/cfg_DAYS_M)</f>
        <v/>
      </c>
      <c r="AF75" s="116" t="str">
        <f aca="false">IF($B75="","",N(الموظفون!$AA75)/12*G75/cfg_DAYS_M)</f>
        <v/>
      </c>
      <c r="AG75" s="159" t="str">
        <f aca="false">IF($B75="","",T75+SUM(Z75:AF75))</f>
        <v/>
      </c>
      <c r="AH75" s="160" t="str">
        <f aca="false">IF($B75="","",MAX(0,IF(OR(الموظفون!$AE75="",الموظفون!$AE75&gt;$F$3),$F$3,الموظفون!$AE75)-الموظفون!$H75+1-SUMIFS('سجل الإجازات والحالات'!$AH$6:$AH$505,'سجل الإجازات والحالات'!$B$6:$B$505,$B75))/cfg_DAYS_Y)</f>
        <v/>
      </c>
      <c r="AI75" s="160" t="str">
        <f aca="false">IF($B75="","",MAX(0,IF(OR(الموظفون!$AE75="",الموظفون!$AE75&gt;($E$3-1)),($E$3-1),الموظفون!$AE75)-الموظفون!$H75+1-SUMIFS('سجل الإجازات والحالات'!$R$6:$R$505,'سجل الإجازات والحالات'!$B$6:$B$505,$B75))/cfg_DAYS_Y)</f>
        <v/>
      </c>
      <c r="AJ75" s="133" t="str">
        <f aca="false">IF($B75="","",MAX(0,AK75-(SUMIFS('سجل الإجازات والحالات'!$AH$6:$AH$505,'سجل الإجازات والحالات'!$B$6:$B$505,$B75)-SUMIFS('سجل الإجازات والحالات'!$R$6:$R$505,'سجل الإجازات والحالات'!$B$6:$B$505,$B75))))</f>
        <v/>
      </c>
      <c r="AK75" s="133" t="str">
        <f aca="false">IF($B75="","",MAX(0,IF(OR(الموظفون!$AE75="",الموظفون!$AE75&gt;$F$3),$F$3,الموظفون!$AE75)-MAX($E$3,الموظفون!$H75)+1))</f>
        <v/>
      </c>
      <c r="AL75" s="156" t="str">
        <f aca="false">IF($B75="","",SUMIFS('سجل الإجازات والحالات'!$AT$6:$AT$505,'سجل الإجازات والحالات'!$B$6:$B$505,$B75)+SUMIFS('الحركات الشهرية'!$K$6:$K$1005,'الحركات الشهرية'!$B$6:$B$1005,$B75,'الحركات الشهرية'!$A$6:$A$1005,$C$3))</f>
        <v/>
      </c>
      <c r="AM75" s="116" t="str">
        <f aca="false">IF($B75="","",AL75*الموظفون!$R75/cfg_DAYS_M+S75)</f>
        <v/>
      </c>
      <c r="AN75" s="156" t="str">
        <f aca="false">IF($B75="","",SUMIFS('سجل الإجازات والحالات'!$V$6:$V$505,'سجل الإجازات والحالات'!$B$6:$B$505,$B75))</f>
        <v/>
      </c>
    </row>
    <row r="76" customFormat="false" ht="15" hidden="false" customHeight="false" outlineLevel="0" collapsed="false">
      <c r="A76" s="106" t="str">
        <f aca="false">IF($B76="","",الموظفون!$A76)</f>
        <v/>
      </c>
      <c r="B76" s="114" t="str">
        <f aca="false">IF(الموظفون!$B76="","",الموظفون!$B76)</f>
        <v/>
      </c>
      <c r="C76" s="114" t="str">
        <f aca="false">IF($B76="","",الموظفون!$C76)</f>
        <v/>
      </c>
      <c r="D76" s="114" t="str">
        <f aca="false">IF($B76="","",الموظفون!$F76)</f>
        <v/>
      </c>
      <c r="E76" s="114" t="str">
        <f aca="false">IF($B76="","",الموظفون!$E76)</f>
        <v/>
      </c>
      <c r="F76" s="114" t="str">
        <f aca="false">IF($B76="","",IF(AK76=0,IF(AND(الموظفون!$AE76&lt;&gt;"",الموظفون!$AE76&lt;$E$3),"✖ منتهي الخدمة","⏳ لم يباشر"),IF(S76&gt;0,"✈ راتب إجازة مقدم",IF(J76=0,"⛔ بدون راتب هذا الشهر",IF(I76&gt;0,"✈ خصم "&amp;ROUND(I76,2)&amp;" يوم بدون أجر",IF(AL76&gt;0,"🌴 إجازة سنوية "&amp;ROUND(AL76,2)&amp;" يوم",IF(H76&gt;0,"⚠ غياب "&amp;ROUND(H76,2)&amp;" يوم","✔ على رأس العمل")))))))</f>
        <v/>
      </c>
      <c r="G76" s="151" t="str">
        <f aca="false">IF($B76="","",IF(AK76&gt;=DAY($F$3),cfg_DAYS_M,MIN(AK76,cfg_DAYS_M)))</f>
        <v/>
      </c>
      <c r="H76" s="151" t="str">
        <f aca="false">IF($B76="","",SUMIFS('الحركات الشهرية'!$D$6:$D$1005,'الحركات الشهرية'!$B$6:$B$1005,$B76,'الحركات الشهرية'!$A$6:$A$1005,$C$3))</f>
        <v/>
      </c>
      <c r="I76" s="151" t="str">
        <f aca="false">IF($B76="","",MIN(G76,IF(AND(AK76&gt;0,AN76&gt;=AK76),G76,AN76)+SUMIFS('الحركات الشهرية'!$E$6:$E$1005,'الحركات الشهرية'!$B$6:$B$1005,$B76,'الحركات الشهرية'!$A$6:$A$1005,$C$3)))</f>
        <v/>
      </c>
      <c r="J76" s="151" t="str">
        <f aca="false">IF($B76="","",MAX(0,G76-H76-I76))</f>
        <v/>
      </c>
      <c r="K76" s="111" t="str">
        <f aca="false">IF($B76="","",الموظفون!$L76*$J76/cfg_DAYS_M)</f>
        <v/>
      </c>
      <c r="L76" s="111" t="str">
        <f aca="false">IF($B76="","",الموظفون!$M76*$J76/cfg_DAYS_M)</f>
        <v/>
      </c>
      <c r="M76" s="111" t="str">
        <f aca="false">IF($B76="","",الموظفون!$N76*$J76/cfg_DAYS_M)</f>
        <v/>
      </c>
      <c r="N76" s="111" t="str">
        <f aca="false">IF($B76="","",الموظفون!$O76*$J76/cfg_DAYS_M)</f>
        <v/>
      </c>
      <c r="O76" s="151" t="str">
        <f aca="false">IF($B76="","",SUMIFS('الحركات الشهرية'!$F$6:$F$1005,'الحركات الشهرية'!$B$6:$B$1005,$B76,'الحركات الشهرية'!$A$6:$A$1005,$C$3))</f>
        <v/>
      </c>
      <c r="P76" s="111" t="str">
        <f aca="false">IF($B76="","",O76*(الموظفون!$P76+الموظفون!$L76*cfg_OT_P)/cfg_DAYS_M/cfg_HRS)</f>
        <v/>
      </c>
      <c r="Q76" s="111" t="str">
        <f aca="false">IF($B76="","",SUMIFS('الحركات الشهرية'!$G$6:$G$1005,'الحركات الشهرية'!$B$6:$B$1005,$B76,'الحركات الشهرية'!$A$6:$A$1005,$C$3))</f>
        <v/>
      </c>
      <c r="R76" s="111" t="str">
        <f aca="false">IF($B76="","",SUMIFS('الحركات الشهرية'!$H$6:$H$1005,'الحركات الشهرية'!$B$6:$B$1005,$B76,'الحركات الشهرية'!$A$6:$A$1005,$C$3))</f>
        <v/>
      </c>
      <c r="S76" s="111" t="str">
        <f aca="false">IF($B76="","",SUMIFS('سجل الإجازات والحالات'!$N$6:$N$505,'سجل الإجازات والحالات'!$B$6:$B$505,$B76,'سجل الإجازات والحالات'!$O$6:$O$505,$C$3))</f>
        <v/>
      </c>
      <c r="T76" s="152" t="str">
        <f aca="false">IF($B76="","",SUM(K76:N76)+SUM(P76:S76))</f>
        <v/>
      </c>
      <c r="U76" s="111" t="str">
        <f aca="false">IF($B76="","",الموظفون!$S76*IF(E76="سعودي",cfg_G_SE,cfg_G_NE)*G76/cfg_DAYS_M)</f>
        <v/>
      </c>
      <c r="V76" s="111" t="str">
        <f aca="false">IF($B76="","",SUMIFS('الحركات الشهرية'!$I$6:$I$1005,'الحركات الشهرية'!$B$6:$B$1005,$B76,'الحركات الشهرية'!$A$6:$A$1005,$C$3))</f>
        <v/>
      </c>
      <c r="W76" s="111" t="str">
        <f aca="false">IF($B76="","",SUMIFS('الحركات الشهرية'!$J$6:$J$1005,'الحركات الشهرية'!$B$6:$B$1005,$B76,'الحركات الشهرية'!$A$6:$A$1005,$C$3))</f>
        <v/>
      </c>
      <c r="X76" s="111" t="str">
        <f aca="false">IF($B76="","",SUM(U76:W76))</f>
        <v/>
      </c>
      <c r="Y76" s="153" t="str">
        <f aca="false">IF($B76="","",T76-X76)</f>
        <v/>
      </c>
      <c r="Z76" s="111" t="str">
        <f aca="false">IF($B76="","",الموظفون!$S76*IF(E76="سعودي",cfg_G_SR,cfg_G_NR)*G76/cfg_DAYS_M)</f>
        <v/>
      </c>
      <c r="AA76" s="111" t="str">
        <f aca="false">IF($B76="","",الموظفون!$Q76*(cfg_EOS_R1*(MIN(AH76,cfg_EOS_TH)-MIN(AI76,cfg_EOS_TH))+cfg_EOS_R2*(MAX(AH76-cfg_EOS_TH,0)-MAX(AI76-cfg_EOS_TH,0))))</f>
        <v/>
      </c>
      <c r="AB76" s="111" t="str">
        <f aca="false">IF($B76="","",IF(الموظفون!$T76&lt;&gt;"",الموظفون!$T76,IF(AH76&gt;=cfg_LV_TH,cfg_LV_D2,cfg_LV_D1))/cfg_DAYS_Y*AJ76*الموظفون!$R76/cfg_DAYS_M)</f>
        <v/>
      </c>
      <c r="AC76" s="111" t="str">
        <f aca="false">IF($B76="","",IF(AND(الموظفون!$U76="نعم",N(الموظفون!$W76)&gt;0),الموظفون!$V76/الموظفون!$W76*12/cfg_DAYS_Y*AJ76,0))</f>
        <v/>
      </c>
      <c r="AD76" s="111" t="str">
        <f aca="false">IF($B76="","",(IF(الموظفون!$X76&lt;&gt;"",الموظفون!$X76,IF(الموظفون!$E76="غير سعودي",cfg_IQ,0))+IF(الموظفون!$Y76&lt;&gt;"",الموظفون!$Y76,IF(الموظفون!$E76="غير سعودي",cfg_WP,0)))/12*G76/cfg_DAYS_M)</f>
        <v/>
      </c>
      <c r="AE76" s="111" t="str">
        <f aca="false">IF($B76="","",IF(الموظفون!$Z76&lt;&gt;"",الموظفون!$Z76,cfg_MED)/12*G76/cfg_DAYS_M)</f>
        <v/>
      </c>
      <c r="AF76" s="111" t="str">
        <f aca="false">IF($B76="","",N(الموظفون!$AA76)/12*G76/cfg_DAYS_M)</f>
        <v/>
      </c>
      <c r="AG76" s="154" t="str">
        <f aca="false">IF($B76="","",T76+SUM(Z76:AF76))</f>
        <v/>
      </c>
      <c r="AH76" s="155" t="str">
        <f aca="false">IF($B76="","",MAX(0,IF(OR(الموظفون!$AE76="",الموظفون!$AE76&gt;$F$3),$F$3,الموظفون!$AE76)-الموظفون!$H76+1-SUMIFS('سجل الإجازات والحالات'!$AH$6:$AH$505,'سجل الإجازات والحالات'!$B$6:$B$505,$B76))/cfg_DAYS_Y)</f>
        <v/>
      </c>
      <c r="AI76" s="155" t="str">
        <f aca="false">IF($B76="","",MAX(0,IF(OR(الموظفون!$AE76="",الموظفون!$AE76&gt;($E$3-1)),($E$3-1),الموظفون!$AE76)-الموظفون!$H76+1-SUMIFS('سجل الإجازات والحالات'!$R$6:$R$505,'سجل الإجازات والحالات'!$B$6:$B$505,$B76))/cfg_DAYS_Y)</f>
        <v/>
      </c>
      <c r="AJ76" s="65" t="str">
        <f aca="false">IF($B76="","",MAX(0,AK76-(SUMIFS('سجل الإجازات والحالات'!$AH$6:$AH$505,'سجل الإجازات والحالات'!$B$6:$B$505,$B76)-SUMIFS('سجل الإجازات والحالات'!$R$6:$R$505,'سجل الإجازات والحالات'!$B$6:$B$505,$B76))))</f>
        <v/>
      </c>
      <c r="AK76" s="65" t="str">
        <f aca="false">IF($B76="","",MAX(0,IF(OR(الموظفون!$AE76="",الموظفون!$AE76&gt;$F$3),$F$3,الموظفون!$AE76)-MAX($E$3,الموظفون!$H76)+1))</f>
        <v/>
      </c>
      <c r="AL76" s="151" t="str">
        <f aca="false">IF($B76="","",SUMIFS('سجل الإجازات والحالات'!$AT$6:$AT$505,'سجل الإجازات والحالات'!$B$6:$B$505,$B76)+SUMIFS('الحركات الشهرية'!$K$6:$K$1005,'الحركات الشهرية'!$B$6:$B$1005,$B76,'الحركات الشهرية'!$A$6:$A$1005,$C$3))</f>
        <v/>
      </c>
      <c r="AM76" s="111" t="str">
        <f aca="false">IF($B76="","",AL76*الموظفون!$R76/cfg_DAYS_M+S76)</f>
        <v/>
      </c>
      <c r="AN76" s="151" t="str">
        <f aca="false">IF($B76="","",SUMIFS('سجل الإجازات والحالات'!$V$6:$V$505,'سجل الإجازات والحالات'!$B$6:$B$505,$B76))</f>
        <v/>
      </c>
    </row>
    <row r="77" customFormat="false" ht="15" hidden="false" customHeight="false" outlineLevel="0" collapsed="false">
      <c r="A77" s="115" t="str">
        <f aca="false">IF($B77="","",الموظفون!$A77)</f>
        <v/>
      </c>
      <c r="B77" s="117" t="str">
        <f aca="false">IF(الموظفون!$B77="","",الموظفون!$B77)</f>
        <v/>
      </c>
      <c r="C77" s="117" t="str">
        <f aca="false">IF($B77="","",الموظفون!$C77)</f>
        <v/>
      </c>
      <c r="D77" s="117" t="str">
        <f aca="false">IF($B77="","",الموظفون!$F77)</f>
        <v/>
      </c>
      <c r="E77" s="117" t="str">
        <f aca="false">IF($B77="","",الموظفون!$E77)</f>
        <v/>
      </c>
      <c r="F77" s="117" t="str">
        <f aca="false">IF($B77="","",IF(AK77=0,IF(AND(الموظفون!$AE77&lt;&gt;"",الموظفون!$AE77&lt;$E$3),"✖ منتهي الخدمة","⏳ لم يباشر"),IF(S77&gt;0,"✈ راتب إجازة مقدم",IF(J77=0,"⛔ بدون راتب هذا الشهر",IF(I77&gt;0,"✈ خصم "&amp;ROUND(I77,2)&amp;" يوم بدون أجر",IF(AL77&gt;0,"🌴 إجازة سنوية "&amp;ROUND(AL77,2)&amp;" يوم",IF(H77&gt;0,"⚠ غياب "&amp;ROUND(H77,2)&amp;" يوم","✔ على رأس العمل")))))))</f>
        <v/>
      </c>
      <c r="G77" s="156" t="str">
        <f aca="false">IF($B77="","",IF(AK77&gt;=DAY($F$3),cfg_DAYS_M,MIN(AK77,cfg_DAYS_M)))</f>
        <v/>
      </c>
      <c r="H77" s="156" t="str">
        <f aca="false">IF($B77="","",SUMIFS('الحركات الشهرية'!$D$6:$D$1005,'الحركات الشهرية'!$B$6:$B$1005,$B77,'الحركات الشهرية'!$A$6:$A$1005,$C$3))</f>
        <v/>
      </c>
      <c r="I77" s="156" t="str">
        <f aca="false">IF($B77="","",MIN(G77,IF(AND(AK77&gt;0,AN77&gt;=AK77),G77,AN77)+SUMIFS('الحركات الشهرية'!$E$6:$E$1005,'الحركات الشهرية'!$B$6:$B$1005,$B77,'الحركات الشهرية'!$A$6:$A$1005,$C$3)))</f>
        <v/>
      </c>
      <c r="J77" s="156" t="str">
        <f aca="false">IF($B77="","",MAX(0,G77-H77-I77))</f>
        <v/>
      </c>
      <c r="K77" s="116" t="str">
        <f aca="false">IF($B77="","",الموظفون!$L77*$J77/cfg_DAYS_M)</f>
        <v/>
      </c>
      <c r="L77" s="116" t="str">
        <f aca="false">IF($B77="","",الموظفون!$M77*$J77/cfg_DAYS_M)</f>
        <v/>
      </c>
      <c r="M77" s="116" t="str">
        <f aca="false">IF($B77="","",الموظفون!$N77*$J77/cfg_DAYS_M)</f>
        <v/>
      </c>
      <c r="N77" s="116" t="str">
        <f aca="false">IF($B77="","",الموظفون!$O77*$J77/cfg_DAYS_M)</f>
        <v/>
      </c>
      <c r="O77" s="156" t="str">
        <f aca="false">IF($B77="","",SUMIFS('الحركات الشهرية'!$F$6:$F$1005,'الحركات الشهرية'!$B$6:$B$1005,$B77,'الحركات الشهرية'!$A$6:$A$1005,$C$3))</f>
        <v/>
      </c>
      <c r="P77" s="116" t="str">
        <f aca="false">IF($B77="","",O77*(الموظفون!$P77+الموظفون!$L77*cfg_OT_P)/cfg_DAYS_M/cfg_HRS)</f>
        <v/>
      </c>
      <c r="Q77" s="116" t="str">
        <f aca="false">IF($B77="","",SUMIFS('الحركات الشهرية'!$G$6:$G$1005,'الحركات الشهرية'!$B$6:$B$1005,$B77,'الحركات الشهرية'!$A$6:$A$1005,$C$3))</f>
        <v/>
      </c>
      <c r="R77" s="116" t="str">
        <f aca="false">IF($B77="","",SUMIFS('الحركات الشهرية'!$H$6:$H$1005,'الحركات الشهرية'!$B$6:$B$1005,$B77,'الحركات الشهرية'!$A$6:$A$1005,$C$3))</f>
        <v/>
      </c>
      <c r="S77" s="116" t="str">
        <f aca="false">IF($B77="","",SUMIFS('سجل الإجازات والحالات'!$N$6:$N$505,'سجل الإجازات والحالات'!$B$6:$B$505,$B77,'سجل الإجازات والحالات'!$O$6:$O$505,$C$3))</f>
        <v/>
      </c>
      <c r="T77" s="157" t="str">
        <f aca="false">IF($B77="","",SUM(K77:N77)+SUM(P77:S77))</f>
        <v/>
      </c>
      <c r="U77" s="116" t="str">
        <f aca="false">IF($B77="","",الموظفون!$S77*IF(E77="سعودي",cfg_G_SE,cfg_G_NE)*G77/cfg_DAYS_M)</f>
        <v/>
      </c>
      <c r="V77" s="116" t="str">
        <f aca="false">IF($B77="","",SUMIFS('الحركات الشهرية'!$I$6:$I$1005,'الحركات الشهرية'!$B$6:$B$1005,$B77,'الحركات الشهرية'!$A$6:$A$1005,$C$3))</f>
        <v/>
      </c>
      <c r="W77" s="116" t="str">
        <f aca="false">IF($B77="","",SUMIFS('الحركات الشهرية'!$J$6:$J$1005,'الحركات الشهرية'!$B$6:$B$1005,$B77,'الحركات الشهرية'!$A$6:$A$1005,$C$3))</f>
        <v/>
      </c>
      <c r="X77" s="116" t="str">
        <f aca="false">IF($B77="","",SUM(U77:W77))</f>
        <v/>
      </c>
      <c r="Y77" s="158" t="str">
        <f aca="false">IF($B77="","",T77-X77)</f>
        <v/>
      </c>
      <c r="Z77" s="116" t="str">
        <f aca="false">IF($B77="","",الموظفون!$S77*IF(E77="سعودي",cfg_G_SR,cfg_G_NR)*G77/cfg_DAYS_M)</f>
        <v/>
      </c>
      <c r="AA77" s="116" t="str">
        <f aca="false">IF($B77="","",الموظفون!$Q77*(cfg_EOS_R1*(MIN(AH77,cfg_EOS_TH)-MIN(AI77,cfg_EOS_TH))+cfg_EOS_R2*(MAX(AH77-cfg_EOS_TH,0)-MAX(AI77-cfg_EOS_TH,0))))</f>
        <v/>
      </c>
      <c r="AB77" s="116" t="str">
        <f aca="false">IF($B77="","",IF(الموظفون!$T77&lt;&gt;"",الموظفون!$T77,IF(AH77&gt;=cfg_LV_TH,cfg_LV_D2,cfg_LV_D1))/cfg_DAYS_Y*AJ77*الموظفون!$R77/cfg_DAYS_M)</f>
        <v/>
      </c>
      <c r="AC77" s="116" t="str">
        <f aca="false">IF($B77="","",IF(AND(الموظفون!$U77="نعم",N(الموظفون!$W77)&gt;0),الموظفون!$V77/الموظفون!$W77*12/cfg_DAYS_Y*AJ77,0))</f>
        <v/>
      </c>
      <c r="AD77" s="116" t="str">
        <f aca="false">IF($B77="","",(IF(الموظفون!$X77&lt;&gt;"",الموظفون!$X77,IF(الموظفون!$E77="غير سعودي",cfg_IQ,0))+IF(الموظفون!$Y77&lt;&gt;"",الموظفون!$Y77,IF(الموظفون!$E77="غير سعودي",cfg_WP,0)))/12*G77/cfg_DAYS_M)</f>
        <v/>
      </c>
      <c r="AE77" s="116" t="str">
        <f aca="false">IF($B77="","",IF(الموظفون!$Z77&lt;&gt;"",الموظفون!$Z77,cfg_MED)/12*G77/cfg_DAYS_M)</f>
        <v/>
      </c>
      <c r="AF77" s="116" t="str">
        <f aca="false">IF($B77="","",N(الموظفون!$AA77)/12*G77/cfg_DAYS_M)</f>
        <v/>
      </c>
      <c r="AG77" s="159" t="str">
        <f aca="false">IF($B77="","",T77+SUM(Z77:AF77))</f>
        <v/>
      </c>
      <c r="AH77" s="160" t="str">
        <f aca="false">IF($B77="","",MAX(0,IF(OR(الموظفون!$AE77="",الموظفون!$AE77&gt;$F$3),$F$3,الموظفون!$AE77)-الموظفون!$H77+1-SUMIFS('سجل الإجازات والحالات'!$AH$6:$AH$505,'سجل الإجازات والحالات'!$B$6:$B$505,$B77))/cfg_DAYS_Y)</f>
        <v/>
      </c>
      <c r="AI77" s="160" t="str">
        <f aca="false">IF($B77="","",MAX(0,IF(OR(الموظفون!$AE77="",الموظفون!$AE77&gt;($E$3-1)),($E$3-1),الموظفون!$AE77)-الموظفون!$H77+1-SUMIFS('سجل الإجازات والحالات'!$R$6:$R$505,'سجل الإجازات والحالات'!$B$6:$B$505,$B77))/cfg_DAYS_Y)</f>
        <v/>
      </c>
      <c r="AJ77" s="133" t="str">
        <f aca="false">IF($B77="","",MAX(0,AK77-(SUMIFS('سجل الإجازات والحالات'!$AH$6:$AH$505,'سجل الإجازات والحالات'!$B$6:$B$505,$B77)-SUMIFS('سجل الإجازات والحالات'!$R$6:$R$505,'سجل الإجازات والحالات'!$B$6:$B$505,$B77))))</f>
        <v/>
      </c>
      <c r="AK77" s="133" t="str">
        <f aca="false">IF($B77="","",MAX(0,IF(OR(الموظفون!$AE77="",الموظفون!$AE77&gt;$F$3),$F$3,الموظفون!$AE77)-MAX($E$3,الموظفون!$H77)+1))</f>
        <v/>
      </c>
      <c r="AL77" s="156" t="str">
        <f aca="false">IF($B77="","",SUMIFS('سجل الإجازات والحالات'!$AT$6:$AT$505,'سجل الإجازات والحالات'!$B$6:$B$505,$B77)+SUMIFS('الحركات الشهرية'!$K$6:$K$1005,'الحركات الشهرية'!$B$6:$B$1005,$B77,'الحركات الشهرية'!$A$6:$A$1005,$C$3))</f>
        <v/>
      </c>
      <c r="AM77" s="116" t="str">
        <f aca="false">IF($B77="","",AL77*الموظفون!$R77/cfg_DAYS_M+S77)</f>
        <v/>
      </c>
      <c r="AN77" s="156" t="str">
        <f aca="false">IF($B77="","",SUMIFS('سجل الإجازات والحالات'!$V$6:$V$505,'سجل الإجازات والحالات'!$B$6:$B$505,$B77))</f>
        <v/>
      </c>
    </row>
    <row r="78" customFormat="false" ht="15" hidden="false" customHeight="false" outlineLevel="0" collapsed="false">
      <c r="A78" s="106" t="str">
        <f aca="false">IF($B78="","",الموظفون!$A78)</f>
        <v/>
      </c>
      <c r="B78" s="114" t="str">
        <f aca="false">IF(الموظفون!$B78="","",الموظفون!$B78)</f>
        <v/>
      </c>
      <c r="C78" s="114" t="str">
        <f aca="false">IF($B78="","",الموظفون!$C78)</f>
        <v/>
      </c>
      <c r="D78" s="114" t="str">
        <f aca="false">IF($B78="","",الموظفون!$F78)</f>
        <v/>
      </c>
      <c r="E78" s="114" t="str">
        <f aca="false">IF($B78="","",الموظفون!$E78)</f>
        <v/>
      </c>
      <c r="F78" s="114" t="str">
        <f aca="false">IF($B78="","",IF(AK78=0,IF(AND(الموظفون!$AE78&lt;&gt;"",الموظفون!$AE78&lt;$E$3),"✖ منتهي الخدمة","⏳ لم يباشر"),IF(S78&gt;0,"✈ راتب إجازة مقدم",IF(J78=0,"⛔ بدون راتب هذا الشهر",IF(I78&gt;0,"✈ خصم "&amp;ROUND(I78,2)&amp;" يوم بدون أجر",IF(AL78&gt;0,"🌴 إجازة سنوية "&amp;ROUND(AL78,2)&amp;" يوم",IF(H78&gt;0,"⚠ غياب "&amp;ROUND(H78,2)&amp;" يوم","✔ على رأس العمل")))))))</f>
        <v/>
      </c>
      <c r="G78" s="151" t="str">
        <f aca="false">IF($B78="","",IF(AK78&gt;=DAY($F$3),cfg_DAYS_M,MIN(AK78,cfg_DAYS_M)))</f>
        <v/>
      </c>
      <c r="H78" s="151" t="str">
        <f aca="false">IF($B78="","",SUMIFS('الحركات الشهرية'!$D$6:$D$1005,'الحركات الشهرية'!$B$6:$B$1005,$B78,'الحركات الشهرية'!$A$6:$A$1005,$C$3))</f>
        <v/>
      </c>
      <c r="I78" s="151" t="str">
        <f aca="false">IF($B78="","",MIN(G78,IF(AND(AK78&gt;0,AN78&gt;=AK78),G78,AN78)+SUMIFS('الحركات الشهرية'!$E$6:$E$1005,'الحركات الشهرية'!$B$6:$B$1005,$B78,'الحركات الشهرية'!$A$6:$A$1005,$C$3)))</f>
        <v/>
      </c>
      <c r="J78" s="151" t="str">
        <f aca="false">IF($B78="","",MAX(0,G78-H78-I78))</f>
        <v/>
      </c>
      <c r="K78" s="111" t="str">
        <f aca="false">IF($B78="","",الموظفون!$L78*$J78/cfg_DAYS_M)</f>
        <v/>
      </c>
      <c r="L78" s="111" t="str">
        <f aca="false">IF($B78="","",الموظفون!$M78*$J78/cfg_DAYS_M)</f>
        <v/>
      </c>
      <c r="M78" s="111" t="str">
        <f aca="false">IF($B78="","",الموظفون!$N78*$J78/cfg_DAYS_M)</f>
        <v/>
      </c>
      <c r="N78" s="111" t="str">
        <f aca="false">IF($B78="","",الموظفون!$O78*$J78/cfg_DAYS_M)</f>
        <v/>
      </c>
      <c r="O78" s="151" t="str">
        <f aca="false">IF($B78="","",SUMIFS('الحركات الشهرية'!$F$6:$F$1005,'الحركات الشهرية'!$B$6:$B$1005,$B78,'الحركات الشهرية'!$A$6:$A$1005,$C$3))</f>
        <v/>
      </c>
      <c r="P78" s="111" t="str">
        <f aca="false">IF($B78="","",O78*(الموظفون!$P78+الموظفون!$L78*cfg_OT_P)/cfg_DAYS_M/cfg_HRS)</f>
        <v/>
      </c>
      <c r="Q78" s="111" t="str">
        <f aca="false">IF($B78="","",SUMIFS('الحركات الشهرية'!$G$6:$G$1005,'الحركات الشهرية'!$B$6:$B$1005,$B78,'الحركات الشهرية'!$A$6:$A$1005,$C$3))</f>
        <v/>
      </c>
      <c r="R78" s="111" t="str">
        <f aca="false">IF($B78="","",SUMIFS('الحركات الشهرية'!$H$6:$H$1005,'الحركات الشهرية'!$B$6:$B$1005,$B78,'الحركات الشهرية'!$A$6:$A$1005,$C$3))</f>
        <v/>
      </c>
      <c r="S78" s="111" t="str">
        <f aca="false">IF($B78="","",SUMIFS('سجل الإجازات والحالات'!$N$6:$N$505,'سجل الإجازات والحالات'!$B$6:$B$505,$B78,'سجل الإجازات والحالات'!$O$6:$O$505,$C$3))</f>
        <v/>
      </c>
      <c r="T78" s="152" t="str">
        <f aca="false">IF($B78="","",SUM(K78:N78)+SUM(P78:S78))</f>
        <v/>
      </c>
      <c r="U78" s="111" t="str">
        <f aca="false">IF($B78="","",الموظفون!$S78*IF(E78="سعودي",cfg_G_SE,cfg_G_NE)*G78/cfg_DAYS_M)</f>
        <v/>
      </c>
      <c r="V78" s="111" t="str">
        <f aca="false">IF($B78="","",SUMIFS('الحركات الشهرية'!$I$6:$I$1005,'الحركات الشهرية'!$B$6:$B$1005,$B78,'الحركات الشهرية'!$A$6:$A$1005,$C$3))</f>
        <v/>
      </c>
      <c r="W78" s="111" t="str">
        <f aca="false">IF($B78="","",SUMIFS('الحركات الشهرية'!$J$6:$J$1005,'الحركات الشهرية'!$B$6:$B$1005,$B78,'الحركات الشهرية'!$A$6:$A$1005,$C$3))</f>
        <v/>
      </c>
      <c r="X78" s="111" t="str">
        <f aca="false">IF($B78="","",SUM(U78:W78))</f>
        <v/>
      </c>
      <c r="Y78" s="153" t="str">
        <f aca="false">IF($B78="","",T78-X78)</f>
        <v/>
      </c>
      <c r="Z78" s="111" t="str">
        <f aca="false">IF($B78="","",الموظفون!$S78*IF(E78="سعودي",cfg_G_SR,cfg_G_NR)*G78/cfg_DAYS_M)</f>
        <v/>
      </c>
      <c r="AA78" s="111" t="str">
        <f aca="false">IF($B78="","",الموظفون!$Q78*(cfg_EOS_R1*(MIN(AH78,cfg_EOS_TH)-MIN(AI78,cfg_EOS_TH))+cfg_EOS_R2*(MAX(AH78-cfg_EOS_TH,0)-MAX(AI78-cfg_EOS_TH,0))))</f>
        <v/>
      </c>
      <c r="AB78" s="111" t="str">
        <f aca="false">IF($B78="","",IF(الموظفون!$T78&lt;&gt;"",الموظفون!$T78,IF(AH78&gt;=cfg_LV_TH,cfg_LV_D2,cfg_LV_D1))/cfg_DAYS_Y*AJ78*الموظفون!$R78/cfg_DAYS_M)</f>
        <v/>
      </c>
      <c r="AC78" s="111" t="str">
        <f aca="false">IF($B78="","",IF(AND(الموظفون!$U78="نعم",N(الموظفون!$W78)&gt;0),الموظفون!$V78/الموظفون!$W78*12/cfg_DAYS_Y*AJ78,0))</f>
        <v/>
      </c>
      <c r="AD78" s="111" t="str">
        <f aca="false">IF($B78="","",(IF(الموظفون!$X78&lt;&gt;"",الموظفون!$X78,IF(الموظفون!$E78="غير سعودي",cfg_IQ,0))+IF(الموظفون!$Y78&lt;&gt;"",الموظفون!$Y78,IF(الموظفون!$E78="غير سعودي",cfg_WP,0)))/12*G78/cfg_DAYS_M)</f>
        <v/>
      </c>
      <c r="AE78" s="111" t="str">
        <f aca="false">IF($B78="","",IF(الموظفون!$Z78&lt;&gt;"",الموظفون!$Z78,cfg_MED)/12*G78/cfg_DAYS_M)</f>
        <v/>
      </c>
      <c r="AF78" s="111" t="str">
        <f aca="false">IF($B78="","",N(الموظفون!$AA78)/12*G78/cfg_DAYS_M)</f>
        <v/>
      </c>
      <c r="AG78" s="154" t="str">
        <f aca="false">IF($B78="","",T78+SUM(Z78:AF78))</f>
        <v/>
      </c>
      <c r="AH78" s="155" t="str">
        <f aca="false">IF($B78="","",MAX(0,IF(OR(الموظفون!$AE78="",الموظفون!$AE78&gt;$F$3),$F$3,الموظفون!$AE78)-الموظفون!$H78+1-SUMIFS('سجل الإجازات والحالات'!$AH$6:$AH$505,'سجل الإجازات والحالات'!$B$6:$B$505,$B78))/cfg_DAYS_Y)</f>
        <v/>
      </c>
      <c r="AI78" s="155" t="str">
        <f aca="false">IF($B78="","",MAX(0,IF(OR(الموظفون!$AE78="",الموظفون!$AE78&gt;($E$3-1)),($E$3-1),الموظفون!$AE78)-الموظفون!$H78+1-SUMIFS('سجل الإجازات والحالات'!$R$6:$R$505,'سجل الإجازات والحالات'!$B$6:$B$505,$B78))/cfg_DAYS_Y)</f>
        <v/>
      </c>
      <c r="AJ78" s="65" t="str">
        <f aca="false">IF($B78="","",MAX(0,AK78-(SUMIFS('سجل الإجازات والحالات'!$AH$6:$AH$505,'سجل الإجازات والحالات'!$B$6:$B$505,$B78)-SUMIFS('سجل الإجازات والحالات'!$R$6:$R$505,'سجل الإجازات والحالات'!$B$6:$B$505,$B78))))</f>
        <v/>
      </c>
      <c r="AK78" s="65" t="str">
        <f aca="false">IF($B78="","",MAX(0,IF(OR(الموظفون!$AE78="",الموظفون!$AE78&gt;$F$3),$F$3,الموظفون!$AE78)-MAX($E$3,الموظفون!$H78)+1))</f>
        <v/>
      </c>
      <c r="AL78" s="151" t="str">
        <f aca="false">IF($B78="","",SUMIFS('سجل الإجازات والحالات'!$AT$6:$AT$505,'سجل الإجازات والحالات'!$B$6:$B$505,$B78)+SUMIFS('الحركات الشهرية'!$K$6:$K$1005,'الحركات الشهرية'!$B$6:$B$1005,$B78,'الحركات الشهرية'!$A$6:$A$1005,$C$3))</f>
        <v/>
      </c>
      <c r="AM78" s="111" t="str">
        <f aca="false">IF($B78="","",AL78*الموظفون!$R78/cfg_DAYS_M+S78)</f>
        <v/>
      </c>
      <c r="AN78" s="151" t="str">
        <f aca="false">IF($B78="","",SUMIFS('سجل الإجازات والحالات'!$V$6:$V$505,'سجل الإجازات والحالات'!$B$6:$B$505,$B78))</f>
        <v/>
      </c>
    </row>
    <row r="79" customFormat="false" ht="15" hidden="false" customHeight="false" outlineLevel="0" collapsed="false">
      <c r="A79" s="115" t="str">
        <f aca="false">IF($B79="","",الموظفون!$A79)</f>
        <v/>
      </c>
      <c r="B79" s="117" t="str">
        <f aca="false">IF(الموظفون!$B79="","",الموظفون!$B79)</f>
        <v/>
      </c>
      <c r="C79" s="117" t="str">
        <f aca="false">IF($B79="","",الموظفون!$C79)</f>
        <v/>
      </c>
      <c r="D79" s="117" t="str">
        <f aca="false">IF($B79="","",الموظفون!$F79)</f>
        <v/>
      </c>
      <c r="E79" s="117" t="str">
        <f aca="false">IF($B79="","",الموظفون!$E79)</f>
        <v/>
      </c>
      <c r="F79" s="117" t="str">
        <f aca="false">IF($B79="","",IF(AK79=0,IF(AND(الموظفون!$AE79&lt;&gt;"",الموظفون!$AE79&lt;$E$3),"✖ منتهي الخدمة","⏳ لم يباشر"),IF(S79&gt;0,"✈ راتب إجازة مقدم",IF(J79=0,"⛔ بدون راتب هذا الشهر",IF(I79&gt;0,"✈ خصم "&amp;ROUND(I79,2)&amp;" يوم بدون أجر",IF(AL79&gt;0,"🌴 إجازة سنوية "&amp;ROUND(AL79,2)&amp;" يوم",IF(H79&gt;0,"⚠ غياب "&amp;ROUND(H79,2)&amp;" يوم","✔ على رأس العمل")))))))</f>
        <v/>
      </c>
      <c r="G79" s="156" t="str">
        <f aca="false">IF($B79="","",IF(AK79&gt;=DAY($F$3),cfg_DAYS_M,MIN(AK79,cfg_DAYS_M)))</f>
        <v/>
      </c>
      <c r="H79" s="156" t="str">
        <f aca="false">IF($B79="","",SUMIFS('الحركات الشهرية'!$D$6:$D$1005,'الحركات الشهرية'!$B$6:$B$1005,$B79,'الحركات الشهرية'!$A$6:$A$1005,$C$3))</f>
        <v/>
      </c>
      <c r="I79" s="156" t="str">
        <f aca="false">IF($B79="","",MIN(G79,IF(AND(AK79&gt;0,AN79&gt;=AK79),G79,AN79)+SUMIFS('الحركات الشهرية'!$E$6:$E$1005,'الحركات الشهرية'!$B$6:$B$1005,$B79,'الحركات الشهرية'!$A$6:$A$1005,$C$3)))</f>
        <v/>
      </c>
      <c r="J79" s="156" t="str">
        <f aca="false">IF($B79="","",MAX(0,G79-H79-I79))</f>
        <v/>
      </c>
      <c r="K79" s="116" t="str">
        <f aca="false">IF($B79="","",الموظفون!$L79*$J79/cfg_DAYS_M)</f>
        <v/>
      </c>
      <c r="L79" s="116" t="str">
        <f aca="false">IF($B79="","",الموظفون!$M79*$J79/cfg_DAYS_M)</f>
        <v/>
      </c>
      <c r="M79" s="116" t="str">
        <f aca="false">IF($B79="","",الموظفون!$N79*$J79/cfg_DAYS_M)</f>
        <v/>
      </c>
      <c r="N79" s="116" t="str">
        <f aca="false">IF($B79="","",الموظفون!$O79*$J79/cfg_DAYS_M)</f>
        <v/>
      </c>
      <c r="O79" s="156" t="str">
        <f aca="false">IF($B79="","",SUMIFS('الحركات الشهرية'!$F$6:$F$1005,'الحركات الشهرية'!$B$6:$B$1005,$B79,'الحركات الشهرية'!$A$6:$A$1005,$C$3))</f>
        <v/>
      </c>
      <c r="P79" s="116" t="str">
        <f aca="false">IF($B79="","",O79*(الموظفون!$P79+الموظفون!$L79*cfg_OT_P)/cfg_DAYS_M/cfg_HRS)</f>
        <v/>
      </c>
      <c r="Q79" s="116" t="str">
        <f aca="false">IF($B79="","",SUMIFS('الحركات الشهرية'!$G$6:$G$1005,'الحركات الشهرية'!$B$6:$B$1005,$B79,'الحركات الشهرية'!$A$6:$A$1005,$C$3))</f>
        <v/>
      </c>
      <c r="R79" s="116" t="str">
        <f aca="false">IF($B79="","",SUMIFS('الحركات الشهرية'!$H$6:$H$1005,'الحركات الشهرية'!$B$6:$B$1005,$B79,'الحركات الشهرية'!$A$6:$A$1005,$C$3))</f>
        <v/>
      </c>
      <c r="S79" s="116" t="str">
        <f aca="false">IF($B79="","",SUMIFS('سجل الإجازات والحالات'!$N$6:$N$505,'سجل الإجازات والحالات'!$B$6:$B$505,$B79,'سجل الإجازات والحالات'!$O$6:$O$505,$C$3))</f>
        <v/>
      </c>
      <c r="T79" s="157" t="str">
        <f aca="false">IF($B79="","",SUM(K79:N79)+SUM(P79:S79))</f>
        <v/>
      </c>
      <c r="U79" s="116" t="str">
        <f aca="false">IF($B79="","",الموظفون!$S79*IF(E79="سعودي",cfg_G_SE,cfg_G_NE)*G79/cfg_DAYS_M)</f>
        <v/>
      </c>
      <c r="V79" s="116" t="str">
        <f aca="false">IF($B79="","",SUMIFS('الحركات الشهرية'!$I$6:$I$1005,'الحركات الشهرية'!$B$6:$B$1005,$B79,'الحركات الشهرية'!$A$6:$A$1005,$C$3))</f>
        <v/>
      </c>
      <c r="W79" s="116" t="str">
        <f aca="false">IF($B79="","",SUMIFS('الحركات الشهرية'!$J$6:$J$1005,'الحركات الشهرية'!$B$6:$B$1005,$B79,'الحركات الشهرية'!$A$6:$A$1005,$C$3))</f>
        <v/>
      </c>
      <c r="X79" s="116" t="str">
        <f aca="false">IF($B79="","",SUM(U79:W79))</f>
        <v/>
      </c>
      <c r="Y79" s="158" t="str">
        <f aca="false">IF($B79="","",T79-X79)</f>
        <v/>
      </c>
      <c r="Z79" s="116" t="str">
        <f aca="false">IF($B79="","",الموظفون!$S79*IF(E79="سعودي",cfg_G_SR,cfg_G_NR)*G79/cfg_DAYS_M)</f>
        <v/>
      </c>
      <c r="AA79" s="116" t="str">
        <f aca="false">IF($B79="","",الموظفون!$Q79*(cfg_EOS_R1*(MIN(AH79,cfg_EOS_TH)-MIN(AI79,cfg_EOS_TH))+cfg_EOS_R2*(MAX(AH79-cfg_EOS_TH,0)-MAX(AI79-cfg_EOS_TH,0))))</f>
        <v/>
      </c>
      <c r="AB79" s="116" t="str">
        <f aca="false">IF($B79="","",IF(الموظفون!$T79&lt;&gt;"",الموظفون!$T79,IF(AH79&gt;=cfg_LV_TH,cfg_LV_D2,cfg_LV_D1))/cfg_DAYS_Y*AJ79*الموظفون!$R79/cfg_DAYS_M)</f>
        <v/>
      </c>
      <c r="AC79" s="116" t="str">
        <f aca="false">IF($B79="","",IF(AND(الموظفون!$U79="نعم",N(الموظفون!$W79)&gt;0),الموظفون!$V79/الموظفون!$W79*12/cfg_DAYS_Y*AJ79,0))</f>
        <v/>
      </c>
      <c r="AD79" s="116" t="str">
        <f aca="false">IF($B79="","",(IF(الموظفون!$X79&lt;&gt;"",الموظفون!$X79,IF(الموظفون!$E79="غير سعودي",cfg_IQ,0))+IF(الموظفون!$Y79&lt;&gt;"",الموظفون!$Y79,IF(الموظفون!$E79="غير سعودي",cfg_WP,0)))/12*G79/cfg_DAYS_M)</f>
        <v/>
      </c>
      <c r="AE79" s="116" t="str">
        <f aca="false">IF($B79="","",IF(الموظفون!$Z79&lt;&gt;"",الموظفون!$Z79,cfg_MED)/12*G79/cfg_DAYS_M)</f>
        <v/>
      </c>
      <c r="AF79" s="116" t="str">
        <f aca="false">IF($B79="","",N(الموظفون!$AA79)/12*G79/cfg_DAYS_M)</f>
        <v/>
      </c>
      <c r="AG79" s="159" t="str">
        <f aca="false">IF($B79="","",T79+SUM(Z79:AF79))</f>
        <v/>
      </c>
      <c r="AH79" s="160" t="str">
        <f aca="false">IF($B79="","",MAX(0,IF(OR(الموظفون!$AE79="",الموظفون!$AE79&gt;$F$3),$F$3,الموظفون!$AE79)-الموظفون!$H79+1-SUMIFS('سجل الإجازات والحالات'!$AH$6:$AH$505,'سجل الإجازات والحالات'!$B$6:$B$505,$B79))/cfg_DAYS_Y)</f>
        <v/>
      </c>
      <c r="AI79" s="160" t="str">
        <f aca="false">IF($B79="","",MAX(0,IF(OR(الموظفون!$AE79="",الموظفون!$AE79&gt;($E$3-1)),($E$3-1),الموظفون!$AE79)-الموظفون!$H79+1-SUMIFS('سجل الإجازات والحالات'!$R$6:$R$505,'سجل الإجازات والحالات'!$B$6:$B$505,$B79))/cfg_DAYS_Y)</f>
        <v/>
      </c>
      <c r="AJ79" s="133" t="str">
        <f aca="false">IF($B79="","",MAX(0,AK79-(SUMIFS('سجل الإجازات والحالات'!$AH$6:$AH$505,'سجل الإجازات والحالات'!$B$6:$B$505,$B79)-SUMIFS('سجل الإجازات والحالات'!$R$6:$R$505,'سجل الإجازات والحالات'!$B$6:$B$505,$B79))))</f>
        <v/>
      </c>
      <c r="AK79" s="133" t="str">
        <f aca="false">IF($B79="","",MAX(0,IF(OR(الموظفون!$AE79="",الموظفون!$AE79&gt;$F$3),$F$3,الموظفون!$AE79)-MAX($E$3,الموظفون!$H79)+1))</f>
        <v/>
      </c>
      <c r="AL79" s="156" t="str">
        <f aca="false">IF($B79="","",SUMIFS('سجل الإجازات والحالات'!$AT$6:$AT$505,'سجل الإجازات والحالات'!$B$6:$B$505,$B79)+SUMIFS('الحركات الشهرية'!$K$6:$K$1005,'الحركات الشهرية'!$B$6:$B$1005,$B79,'الحركات الشهرية'!$A$6:$A$1005,$C$3))</f>
        <v/>
      </c>
      <c r="AM79" s="116" t="str">
        <f aca="false">IF($B79="","",AL79*الموظفون!$R79/cfg_DAYS_M+S79)</f>
        <v/>
      </c>
      <c r="AN79" s="156" t="str">
        <f aca="false">IF($B79="","",SUMIFS('سجل الإجازات والحالات'!$V$6:$V$505,'سجل الإجازات والحالات'!$B$6:$B$505,$B79))</f>
        <v/>
      </c>
    </row>
    <row r="80" customFormat="false" ht="15" hidden="false" customHeight="false" outlineLevel="0" collapsed="false">
      <c r="A80" s="106" t="str">
        <f aca="false">IF($B80="","",الموظفون!$A80)</f>
        <v/>
      </c>
      <c r="B80" s="114" t="str">
        <f aca="false">IF(الموظفون!$B80="","",الموظفون!$B80)</f>
        <v/>
      </c>
      <c r="C80" s="114" t="str">
        <f aca="false">IF($B80="","",الموظفون!$C80)</f>
        <v/>
      </c>
      <c r="D80" s="114" t="str">
        <f aca="false">IF($B80="","",الموظفون!$F80)</f>
        <v/>
      </c>
      <c r="E80" s="114" t="str">
        <f aca="false">IF($B80="","",الموظفون!$E80)</f>
        <v/>
      </c>
      <c r="F80" s="114" t="str">
        <f aca="false">IF($B80="","",IF(AK80=0,IF(AND(الموظفون!$AE80&lt;&gt;"",الموظفون!$AE80&lt;$E$3),"✖ منتهي الخدمة","⏳ لم يباشر"),IF(S80&gt;0,"✈ راتب إجازة مقدم",IF(J80=0,"⛔ بدون راتب هذا الشهر",IF(I80&gt;0,"✈ خصم "&amp;ROUND(I80,2)&amp;" يوم بدون أجر",IF(AL80&gt;0,"🌴 إجازة سنوية "&amp;ROUND(AL80,2)&amp;" يوم",IF(H80&gt;0,"⚠ غياب "&amp;ROUND(H80,2)&amp;" يوم","✔ على رأس العمل")))))))</f>
        <v/>
      </c>
      <c r="G80" s="151" t="str">
        <f aca="false">IF($B80="","",IF(AK80&gt;=DAY($F$3),cfg_DAYS_M,MIN(AK80,cfg_DAYS_M)))</f>
        <v/>
      </c>
      <c r="H80" s="151" t="str">
        <f aca="false">IF($B80="","",SUMIFS('الحركات الشهرية'!$D$6:$D$1005,'الحركات الشهرية'!$B$6:$B$1005,$B80,'الحركات الشهرية'!$A$6:$A$1005,$C$3))</f>
        <v/>
      </c>
      <c r="I80" s="151" t="str">
        <f aca="false">IF($B80="","",MIN(G80,IF(AND(AK80&gt;0,AN80&gt;=AK80),G80,AN80)+SUMIFS('الحركات الشهرية'!$E$6:$E$1005,'الحركات الشهرية'!$B$6:$B$1005,$B80,'الحركات الشهرية'!$A$6:$A$1005,$C$3)))</f>
        <v/>
      </c>
      <c r="J80" s="151" t="str">
        <f aca="false">IF($B80="","",MAX(0,G80-H80-I80))</f>
        <v/>
      </c>
      <c r="K80" s="111" t="str">
        <f aca="false">IF($B80="","",الموظفون!$L80*$J80/cfg_DAYS_M)</f>
        <v/>
      </c>
      <c r="L80" s="111" t="str">
        <f aca="false">IF($B80="","",الموظفون!$M80*$J80/cfg_DAYS_M)</f>
        <v/>
      </c>
      <c r="M80" s="111" t="str">
        <f aca="false">IF($B80="","",الموظفون!$N80*$J80/cfg_DAYS_M)</f>
        <v/>
      </c>
      <c r="N80" s="111" t="str">
        <f aca="false">IF($B80="","",الموظفون!$O80*$J80/cfg_DAYS_M)</f>
        <v/>
      </c>
      <c r="O80" s="151" t="str">
        <f aca="false">IF($B80="","",SUMIFS('الحركات الشهرية'!$F$6:$F$1005,'الحركات الشهرية'!$B$6:$B$1005,$B80,'الحركات الشهرية'!$A$6:$A$1005,$C$3))</f>
        <v/>
      </c>
      <c r="P80" s="111" t="str">
        <f aca="false">IF($B80="","",O80*(الموظفون!$P80+الموظفون!$L80*cfg_OT_P)/cfg_DAYS_M/cfg_HRS)</f>
        <v/>
      </c>
      <c r="Q80" s="111" t="str">
        <f aca="false">IF($B80="","",SUMIFS('الحركات الشهرية'!$G$6:$G$1005,'الحركات الشهرية'!$B$6:$B$1005,$B80,'الحركات الشهرية'!$A$6:$A$1005,$C$3))</f>
        <v/>
      </c>
      <c r="R80" s="111" t="str">
        <f aca="false">IF($B80="","",SUMIFS('الحركات الشهرية'!$H$6:$H$1005,'الحركات الشهرية'!$B$6:$B$1005,$B80,'الحركات الشهرية'!$A$6:$A$1005,$C$3))</f>
        <v/>
      </c>
      <c r="S80" s="111" t="str">
        <f aca="false">IF($B80="","",SUMIFS('سجل الإجازات والحالات'!$N$6:$N$505,'سجل الإجازات والحالات'!$B$6:$B$505,$B80,'سجل الإجازات والحالات'!$O$6:$O$505,$C$3))</f>
        <v/>
      </c>
      <c r="T80" s="152" t="str">
        <f aca="false">IF($B80="","",SUM(K80:N80)+SUM(P80:S80))</f>
        <v/>
      </c>
      <c r="U80" s="111" t="str">
        <f aca="false">IF($B80="","",الموظفون!$S80*IF(E80="سعودي",cfg_G_SE,cfg_G_NE)*G80/cfg_DAYS_M)</f>
        <v/>
      </c>
      <c r="V80" s="111" t="str">
        <f aca="false">IF($B80="","",SUMIFS('الحركات الشهرية'!$I$6:$I$1005,'الحركات الشهرية'!$B$6:$B$1005,$B80,'الحركات الشهرية'!$A$6:$A$1005,$C$3))</f>
        <v/>
      </c>
      <c r="W80" s="111" t="str">
        <f aca="false">IF($B80="","",SUMIFS('الحركات الشهرية'!$J$6:$J$1005,'الحركات الشهرية'!$B$6:$B$1005,$B80,'الحركات الشهرية'!$A$6:$A$1005,$C$3))</f>
        <v/>
      </c>
      <c r="X80" s="111" t="str">
        <f aca="false">IF($B80="","",SUM(U80:W80))</f>
        <v/>
      </c>
      <c r="Y80" s="153" t="str">
        <f aca="false">IF($B80="","",T80-X80)</f>
        <v/>
      </c>
      <c r="Z80" s="111" t="str">
        <f aca="false">IF($B80="","",الموظفون!$S80*IF(E80="سعودي",cfg_G_SR,cfg_G_NR)*G80/cfg_DAYS_M)</f>
        <v/>
      </c>
      <c r="AA80" s="111" t="str">
        <f aca="false">IF($B80="","",الموظفون!$Q80*(cfg_EOS_R1*(MIN(AH80,cfg_EOS_TH)-MIN(AI80,cfg_EOS_TH))+cfg_EOS_R2*(MAX(AH80-cfg_EOS_TH,0)-MAX(AI80-cfg_EOS_TH,0))))</f>
        <v/>
      </c>
      <c r="AB80" s="111" t="str">
        <f aca="false">IF($B80="","",IF(الموظفون!$T80&lt;&gt;"",الموظفون!$T80,IF(AH80&gt;=cfg_LV_TH,cfg_LV_D2,cfg_LV_D1))/cfg_DAYS_Y*AJ80*الموظفون!$R80/cfg_DAYS_M)</f>
        <v/>
      </c>
      <c r="AC80" s="111" t="str">
        <f aca="false">IF($B80="","",IF(AND(الموظفون!$U80="نعم",N(الموظفون!$W80)&gt;0),الموظفون!$V80/الموظفون!$W80*12/cfg_DAYS_Y*AJ80,0))</f>
        <v/>
      </c>
      <c r="AD80" s="111" t="str">
        <f aca="false">IF($B80="","",(IF(الموظفون!$X80&lt;&gt;"",الموظفون!$X80,IF(الموظفون!$E80="غير سعودي",cfg_IQ,0))+IF(الموظفون!$Y80&lt;&gt;"",الموظفون!$Y80,IF(الموظفون!$E80="غير سعودي",cfg_WP,0)))/12*G80/cfg_DAYS_M)</f>
        <v/>
      </c>
      <c r="AE80" s="111" t="str">
        <f aca="false">IF($B80="","",IF(الموظفون!$Z80&lt;&gt;"",الموظفون!$Z80,cfg_MED)/12*G80/cfg_DAYS_M)</f>
        <v/>
      </c>
      <c r="AF80" s="111" t="str">
        <f aca="false">IF($B80="","",N(الموظفون!$AA80)/12*G80/cfg_DAYS_M)</f>
        <v/>
      </c>
      <c r="AG80" s="154" t="str">
        <f aca="false">IF($B80="","",T80+SUM(Z80:AF80))</f>
        <v/>
      </c>
      <c r="AH80" s="155" t="str">
        <f aca="false">IF($B80="","",MAX(0,IF(OR(الموظفون!$AE80="",الموظفون!$AE80&gt;$F$3),$F$3,الموظفون!$AE80)-الموظفون!$H80+1-SUMIFS('سجل الإجازات والحالات'!$AH$6:$AH$505,'سجل الإجازات والحالات'!$B$6:$B$505,$B80))/cfg_DAYS_Y)</f>
        <v/>
      </c>
      <c r="AI80" s="155" t="str">
        <f aca="false">IF($B80="","",MAX(0,IF(OR(الموظفون!$AE80="",الموظفون!$AE80&gt;($E$3-1)),($E$3-1),الموظفون!$AE80)-الموظفون!$H80+1-SUMIFS('سجل الإجازات والحالات'!$R$6:$R$505,'سجل الإجازات والحالات'!$B$6:$B$505,$B80))/cfg_DAYS_Y)</f>
        <v/>
      </c>
      <c r="AJ80" s="65" t="str">
        <f aca="false">IF($B80="","",MAX(0,AK80-(SUMIFS('سجل الإجازات والحالات'!$AH$6:$AH$505,'سجل الإجازات والحالات'!$B$6:$B$505,$B80)-SUMIFS('سجل الإجازات والحالات'!$R$6:$R$505,'سجل الإجازات والحالات'!$B$6:$B$505,$B80))))</f>
        <v/>
      </c>
      <c r="AK80" s="65" t="str">
        <f aca="false">IF($B80="","",MAX(0,IF(OR(الموظفون!$AE80="",الموظفون!$AE80&gt;$F$3),$F$3,الموظفون!$AE80)-MAX($E$3,الموظفون!$H80)+1))</f>
        <v/>
      </c>
      <c r="AL80" s="151" t="str">
        <f aca="false">IF($B80="","",SUMIFS('سجل الإجازات والحالات'!$AT$6:$AT$505,'سجل الإجازات والحالات'!$B$6:$B$505,$B80)+SUMIFS('الحركات الشهرية'!$K$6:$K$1005,'الحركات الشهرية'!$B$6:$B$1005,$B80,'الحركات الشهرية'!$A$6:$A$1005,$C$3))</f>
        <v/>
      </c>
      <c r="AM80" s="111" t="str">
        <f aca="false">IF($B80="","",AL80*الموظفون!$R80/cfg_DAYS_M+S80)</f>
        <v/>
      </c>
      <c r="AN80" s="151" t="str">
        <f aca="false">IF($B80="","",SUMIFS('سجل الإجازات والحالات'!$V$6:$V$505,'سجل الإجازات والحالات'!$B$6:$B$505,$B80))</f>
        <v/>
      </c>
    </row>
    <row r="81" customFormat="false" ht="15" hidden="false" customHeight="false" outlineLevel="0" collapsed="false">
      <c r="A81" s="115" t="str">
        <f aca="false">IF($B81="","",الموظفون!$A81)</f>
        <v/>
      </c>
      <c r="B81" s="117" t="str">
        <f aca="false">IF(الموظفون!$B81="","",الموظفون!$B81)</f>
        <v/>
      </c>
      <c r="C81" s="117" t="str">
        <f aca="false">IF($B81="","",الموظفون!$C81)</f>
        <v/>
      </c>
      <c r="D81" s="117" t="str">
        <f aca="false">IF($B81="","",الموظفون!$F81)</f>
        <v/>
      </c>
      <c r="E81" s="117" t="str">
        <f aca="false">IF($B81="","",الموظفون!$E81)</f>
        <v/>
      </c>
      <c r="F81" s="117" t="str">
        <f aca="false">IF($B81="","",IF(AK81=0,IF(AND(الموظفون!$AE81&lt;&gt;"",الموظفون!$AE81&lt;$E$3),"✖ منتهي الخدمة","⏳ لم يباشر"),IF(S81&gt;0,"✈ راتب إجازة مقدم",IF(J81=0,"⛔ بدون راتب هذا الشهر",IF(I81&gt;0,"✈ خصم "&amp;ROUND(I81,2)&amp;" يوم بدون أجر",IF(AL81&gt;0,"🌴 إجازة سنوية "&amp;ROUND(AL81,2)&amp;" يوم",IF(H81&gt;0,"⚠ غياب "&amp;ROUND(H81,2)&amp;" يوم","✔ على رأس العمل")))))))</f>
        <v/>
      </c>
      <c r="G81" s="156" t="str">
        <f aca="false">IF($B81="","",IF(AK81&gt;=DAY($F$3),cfg_DAYS_M,MIN(AK81,cfg_DAYS_M)))</f>
        <v/>
      </c>
      <c r="H81" s="156" t="str">
        <f aca="false">IF($B81="","",SUMIFS('الحركات الشهرية'!$D$6:$D$1005,'الحركات الشهرية'!$B$6:$B$1005,$B81,'الحركات الشهرية'!$A$6:$A$1005,$C$3))</f>
        <v/>
      </c>
      <c r="I81" s="156" t="str">
        <f aca="false">IF($B81="","",MIN(G81,IF(AND(AK81&gt;0,AN81&gt;=AK81),G81,AN81)+SUMIFS('الحركات الشهرية'!$E$6:$E$1005,'الحركات الشهرية'!$B$6:$B$1005,$B81,'الحركات الشهرية'!$A$6:$A$1005,$C$3)))</f>
        <v/>
      </c>
      <c r="J81" s="156" t="str">
        <f aca="false">IF($B81="","",MAX(0,G81-H81-I81))</f>
        <v/>
      </c>
      <c r="K81" s="116" t="str">
        <f aca="false">IF($B81="","",الموظفون!$L81*$J81/cfg_DAYS_M)</f>
        <v/>
      </c>
      <c r="L81" s="116" t="str">
        <f aca="false">IF($B81="","",الموظفون!$M81*$J81/cfg_DAYS_M)</f>
        <v/>
      </c>
      <c r="M81" s="116" t="str">
        <f aca="false">IF($B81="","",الموظفون!$N81*$J81/cfg_DAYS_M)</f>
        <v/>
      </c>
      <c r="N81" s="116" t="str">
        <f aca="false">IF($B81="","",الموظفون!$O81*$J81/cfg_DAYS_M)</f>
        <v/>
      </c>
      <c r="O81" s="156" t="str">
        <f aca="false">IF($B81="","",SUMIFS('الحركات الشهرية'!$F$6:$F$1005,'الحركات الشهرية'!$B$6:$B$1005,$B81,'الحركات الشهرية'!$A$6:$A$1005,$C$3))</f>
        <v/>
      </c>
      <c r="P81" s="116" t="str">
        <f aca="false">IF($B81="","",O81*(الموظفون!$P81+الموظفون!$L81*cfg_OT_P)/cfg_DAYS_M/cfg_HRS)</f>
        <v/>
      </c>
      <c r="Q81" s="116" t="str">
        <f aca="false">IF($B81="","",SUMIFS('الحركات الشهرية'!$G$6:$G$1005,'الحركات الشهرية'!$B$6:$B$1005,$B81,'الحركات الشهرية'!$A$6:$A$1005,$C$3))</f>
        <v/>
      </c>
      <c r="R81" s="116" t="str">
        <f aca="false">IF($B81="","",SUMIFS('الحركات الشهرية'!$H$6:$H$1005,'الحركات الشهرية'!$B$6:$B$1005,$B81,'الحركات الشهرية'!$A$6:$A$1005,$C$3))</f>
        <v/>
      </c>
      <c r="S81" s="116" t="str">
        <f aca="false">IF($B81="","",SUMIFS('سجل الإجازات والحالات'!$N$6:$N$505,'سجل الإجازات والحالات'!$B$6:$B$505,$B81,'سجل الإجازات والحالات'!$O$6:$O$505,$C$3))</f>
        <v/>
      </c>
      <c r="T81" s="157" t="str">
        <f aca="false">IF($B81="","",SUM(K81:N81)+SUM(P81:S81))</f>
        <v/>
      </c>
      <c r="U81" s="116" t="str">
        <f aca="false">IF($B81="","",الموظفون!$S81*IF(E81="سعودي",cfg_G_SE,cfg_G_NE)*G81/cfg_DAYS_M)</f>
        <v/>
      </c>
      <c r="V81" s="116" t="str">
        <f aca="false">IF($B81="","",SUMIFS('الحركات الشهرية'!$I$6:$I$1005,'الحركات الشهرية'!$B$6:$B$1005,$B81,'الحركات الشهرية'!$A$6:$A$1005,$C$3))</f>
        <v/>
      </c>
      <c r="W81" s="116" t="str">
        <f aca="false">IF($B81="","",SUMIFS('الحركات الشهرية'!$J$6:$J$1005,'الحركات الشهرية'!$B$6:$B$1005,$B81,'الحركات الشهرية'!$A$6:$A$1005,$C$3))</f>
        <v/>
      </c>
      <c r="X81" s="116" t="str">
        <f aca="false">IF($B81="","",SUM(U81:W81))</f>
        <v/>
      </c>
      <c r="Y81" s="158" t="str">
        <f aca="false">IF($B81="","",T81-X81)</f>
        <v/>
      </c>
      <c r="Z81" s="116" t="str">
        <f aca="false">IF($B81="","",الموظفون!$S81*IF(E81="سعودي",cfg_G_SR,cfg_G_NR)*G81/cfg_DAYS_M)</f>
        <v/>
      </c>
      <c r="AA81" s="116" t="str">
        <f aca="false">IF($B81="","",الموظفون!$Q81*(cfg_EOS_R1*(MIN(AH81,cfg_EOS_TH)-MIN(AI81,cfg_EOS_TH))+cfg_EOS_R2*(MAX(AH81-cfg_EOS_TH,0)-MAX(AI81-cfg_EOS_TH,0))))</f>
        <v/>
      </c>
      <c r="AB81" s="116" t="str">
        <f aca="false">IF($B81="","",IF(الموظفون!$T81&lt;&gt;"",الموظفون!$T81,IF(AH81&gt;=cfg_LV_TH,cfg_LV_D2,cfg_LV_D1))/cfg_DAYS_Y*AJ81*الموظفون!$R81/cfg_DAYS_M)</f>
        <v/>
      </c>
      <c r="AC81" s="116" t="str">
        <f aca="false">IF($B81="","",IF(AND(الموظفون!$U81="نعم",N(الموظفون!$W81)&gt;0),الموظفون!$V81/الموظفون!$W81*12/cfg_DAYS_Y*AJ81,0))</f>
        <v/>
      </c>
      <c r="AD81" s="116" t="str">
        <f aca="false">IF($B81="","",(IF(الموظفون!$X81&lt;&gt;"",الموظفون!$X81,IF(الموظفون!$E81="غير سعودي",cfg_IQ,0))+IF(الموظفون!$Y81&lt;&gt;"",الموظفون!$Y81,IF(الموظفون!$E81="غير سعودي",cfg_WP,0)))/12*G81/cfg_DAYS_M)</f>
        <v/>
      </c>
      <c r="AE81" s="116" t="str">
        <f aca="false">IF($B81="","",IF(الموظفون!$Z81&lt;&gt;"",الموظفون!$Z81,cfg_MED)/12*G81/cfg_DAYS_M)</f>
        <v/>
      </c>
      <c r="AF81" s="116" t="str">
        <f aca="false">IF($B81="","",N(الموظفون!$AA81)/12*G81/cfg_DAYS_M)</f>
        <v/>
      </c>
      <c r="AG81" s="159" t="str">
        <f aca="false">IF($B81="","",T81+SUM(Z81:AF81))</f>
        <v/>
      </c>
      <c r="AH81" s="160" t="str">
        <f aca="false">IF($B81="","",MAX(0,IF(OR(الموظفون!$AE81="",الموظفون!$AE81&gt;$F$3),$F$3,الموظفون!$AE81)-الموظفون!$H81+1-SUMIFS('سجل الإجازات والحالات'!$AH$6:$AH$505,'سجل الإجازات والحالات'!$B$6:$B$505,$B81))/cfg_DAYS_Y)</f>
        <v/>
      </c>
      <c r="AI81" s="160" t="str">
        <f aca="false">IF($B81="","",MAX(0,IF(OR(الموظفون!$AE81="",الموظفون!$AE81&gt;($E$3-1)),($E$3-1),الموظفون!$AE81)-الموظفون!$H81+1-SUMIFS('سجل الإجازات والحالات'!$R$6:$R$505,'سجل الإجازات والحالات'!$B$6:$B$505,$B81))/cfg_DAYS_Y)</f>
        <v/>
      </c>
      <c r="AJ81" s="133" t="str">
        <f aca="false">IF($B81="","",MAX(0,AK81-(SUMIFS('سجل الإجازات والحالات'!$AH$6:$AH$505,'سجل الإجازات والحالات'!$B$6:$B$505,$B81)-SUMIFS('سجل الإجازات والحالات'!$R$6:$R$505,'سجل الإجازات والحالات'!$B$6:$B$505,$B81))))</f>
        <v/>
      </c>
      <c r="AK81" s="133" t="str">
        <f aca="false">IF($B81="","",MAX(0,IF(OR(الموظفون!$AE81="",الموظفون!$AE81&gt;$F$3),$F$3,الموظفون!$AE81)-MAX($E$3,الموظفون!$H81)+1))</f>
        <v/>
      </c>
      <c r="AL81" s="156" t="str">
        <f aca="false">IF($B81="","",SUMIFS('سجل الإجازات والحالات'!$AT$6:$AT$505,'سجل الإجازات والحالات'!$B$6:$B$505,$B81)+SUMIFS('الحركات الشهرية'!$K$6:$K$1005,'الحركات الشهرية'!$B$6:$B$1005,$B81,'الحركات الشهرية'!$A$6:$A$1005,$C$3))</f>
        <v/>
      </c>
      <c r="AM81" s="116" t="str">
        <f aca="false">IF($B81="","",AL81*الموظفون!$R81/cfg_DAYS_M+S81)</f>
        <v/>
      </c>
      <c r="AN81" s="156" t="str">
        <f aca="false">IF($B81="","",SUMIFS('سجل الإجازات والحالات'!$V$6:$V$505,'سجل الإجازات والحالات'!$B$6:$B$505,$B81))</f>
        <v/>
      </c>
    </row>
    <row r="82" customFormat="false" ht="15" hidden="false" customHeight="false" outlineLevel="0" collapsed="false">
      <c r="A82" s="106" t="str">
        <f aca="false">IF($B82="","",الموظفون!$A82)</f>
        <v/>
      </c>
      <c r="B82" s="114" t="str">
        <f aca="false">IF(الموظفون!$B82="","",الموظفون!$B82)</f>
        <v/>
      </c>
      <c r="C82" s="114" t="str">
        <f aca="false">IF($B82="","",الموظفون!$C82)</f>
        <v/>
      </c>
      <c r="D82" s="114" t="str">
        <f aca="false">IF($B82="","",الموظفون!$F82)</f>
        <v/>
      </c>
      <c r="E82" s="114" t="str">
        <f aca="false">IF($B82="","",الموظفون!$E82)</f>
        <v/>
      </c>
      <c r="F82" s="114" t="str">
        <f aca="false">IF($B82="","",IF(AK82=0,IF(AND(الموظفون!$AE82&lt;&gt;"",الموظفون!$AE82&lt;$E$3),"✖ منتهي الخدمة","⏳ لم يباشر"),IF(S82&gt;0,"✈ راتب إجازة مقدم",IF(J82=0,"⛔ بدون راتب هذا الشهر",IF(I82&gt;0,"✈ خصم "&amp;ROUND(I82,2)&amp;" يوم بدون أجر",IF(AL82&gt;0,"🌴 إجازة سنوية "&amp;ROUND(AL82,2)&amp;" يوم",IF(H82&gt;0,"⚠ غياب "&amp;ROUND(H82,2)&amp;" يوم","✔ على رأس العمل")))))))</f>
        <v/>
      </c>
      <c r="G82" s="151" t="str">
        <f aca="false">IF($B82="","",IF(AK82&gt;=DAY($F$3),cfg_DAYS_M,MIN(AK82,cfg_DAYS_M)))</f>
        <v/>
      </c>
      <c r="H82" s="151" t="str">
        <f aca="false">IF($B82="","",SUMIFS('الحركات الشهرية'!$D$6:$D$1005,'الحركات الشهرية'!$B$6:$B$1005,$B82,'الحركات الشهرية'!$A$6:$A$1005,$C$3))</f>
        <v/>
      </c>
      <c r="I82" s="151" t="str">
        <f aca="false">IF($B82="","",MIN(G82,IF(AND(AK82&gt;0,AN82&gt;=AK82),G82,AN82)+SUMIFS('الحركات الشهرية'!$E$6:$E$1005,'الحركات الشهرية'!$B$6:$B$1005,$B82,'الحركات الشهرية'!$A$6:$A$1005,$C$3)))</f>
        <v/>
      </c>
      <c r="J82" s="151" t="str">
        <f aca="false">IF($B82="","",MAX(0,G82-H82-I82))</f>
        <v/>
      </c>
      <c r="K82" s="111" t="str">
        <f aca="false">IF($B82="","",الموظفون!$L82*$J82/cfg_DAYS_M)</f>
        <v/>
      </c>
      <c r="L82" s="111" t="str">
        <f aca="false">IF($B82="","",الموظفون!$M82*$J82/cfg_DAYS_M)</f>
        <v/>
      </c>
      <c r="M82" s="111" t="str">
        <f aca="false">IF($B82="","",الموظفون!$N82*$J82/cfg_DAYS_M)</f>
        <v/>
      </c>
      <c r="N82" s="111" t="str">
        <f aca="false">IF($B82="","",الموظفون!$O82*$J82/cfg_DAYS_M)</f>
        <v/>
      </c>
      <c r="O82" s="151" t="str">
        <f aca="false">IF($B82="","",SUMIFS('الحركات الشهرية'!$F$6:$F$1005,'الحركات الشهرية'!$B$6:$B$1005,$B82,'الحركات الشهرية'!$A$6:$A$1005,$C$3))</f>
        <v/>
      </c>
      <c r="P82" s="111" t="str">
        <f aca="false">IF($B82="","",O82*(الموظفون!$P82+الموظفون!$L82*cfg_OT_P)/cfg_DAYS_M/cfg_HRS)</f>
        <v/>
      </c>
      <c r="Q82" s="111" t="str">
        <f aca="false">IF($B82="","",SUMIFS('الحركات الشهرية'!$G$6:$G$1005,'الحركات الشهرية'!$B$6:$B$1005,$B82,'الحركات الشهرية'!$A$6:$A$1005,$C$3))</f>
        <v/>
      </c>
      <c r="R82" s="111" t="str">
        <f aca="false">IF($B82="","",SUMIFS('الحركات الشهرية'!$H$6:$H$1005,'الحركات الشهرية'!$B$6:$B$1005,$B82,'الحركات الشهرية'!$A$6:$A$1005,$C$3))</f>
        <v/>
      </c>
      <c r="S82" s="111" t="str">
        <f aca="false">IF($B82="","",SUMIFS('سجل الإجازات والحالات'!$N$6:$N$505,'سجل الإجازات والحالات'!$B$6:$B$505,$B82,'سجل الإجازات والحالات'!$O$6:$O$505,$C$3))</f>
        <v/>
      </c>
      <c r="T82" s="152" t="str">
        <f aca="false">IF($B82="","",SUM(K82:N82)+SUM(P82:S82))</f>
        <v/>
      </c>
      <c r="U82" s="111" t="str">
        <f aca="false">IF($B82="","",الموظفون!$S82*IF(E82="سعودي",cfg_G_SE,cfg_G_NE)*G82/cfg_DAYS_M)</f>
        <v/>
      </c>
      <c r="V82" s="111" t="str">
        <f aca="false">IF($B82="","",SUMIFS('الحركات الشهرية'!$I$6:$I$1005,'الحركات الشهرية'!$B$6:$B$1005,$B82,'الحركات الشهرية'!$A$6:$A$1005,$C$3))</f>
        <v/>
      </c>
      <c r="W82" s="111" t="str">
        <f aca="false">IF($B82="","",SUMIFS('الحركات الشهرية'!$J$6:$J$1005,'الحركات الشهرية'!$B$6:$B$1005,$B82,'الحركات الشهرية'!$A$6:$A$1005,$C$3))</f>
        <v/>
      </c>
      <c r="X82" s="111" t="str">
        <f aca="false">IF($B82="","",SUM(U82:W82))</f>
        <v/>
      </c>
      <c r="Y82" s="153" t="str">
        <f aca="false">IF($B82="","",T82-X82)</f>
        <v/>
      </c>
      <c r="Z82" s="111" t="str">
        <f aca="false">IF($B82="","",الموظفون!$S82*IF(E82="سعودي",cfg_G_SR,cfg_G_NR)*G82/cfg_DAYS_M)</f>
        <v/>
      </c>
      <c r="AA82" s="111" t="str">
        <f aca="false">IF($B82="","",الموظفون!$Q82*(cfg_EOS_R1*(MIN(AH82,cfg_EOS_TH)-MIN(AI82,cfg_EOS_TH))+cfg_EOS_R2*(MAX(AH82-cfg_EOS_TH,0)-MAX(AI82-cfg_EOS_TH,0))))</f>
        <v/>
      </c>
      <c r="AB82" s="111" t="str">
        <f aca="false">IF($B82="","",IF(الموظفون!$T82&lt;&gt;"",الموظفون!$T82,IF(AH82&gt;=cfg_LV_TH,cfg_LV_D2,cfg_LV_D1))/cfg_DAYS_Y*AJ82*الموظفون!$R82/cfg_DAYS_M)</f>
        <v/>
      </c>
      <c r="AC82" s="111" t="str">
        <f aca="false">IF($B82="","",IF(AND(الموظفون!$U82="نعم",N(الموظفون!$W82)&gt;0),الموظفون!$V82/الموظفون!$W82*12/cfg_DAYS_Y*AJ82,0))</f>
        <v/>
      </c>
      <c r="AD82" s="111" t="str">
        <f aca="false">IF($B82="","",(IF(الموظفون!$X82&lt;&gt;"",الموظفون!$X82,IF(الموظفون!$E82="غير سعودي",cfg_IQ,0))+IF(الموظفون!$Y82&lt;&gt;"",الموظفون!$Y82,IF(الموظفون!$E82="غير سعودي",cfg_WP,0)))/12*G82/cfg_DAYS_M)</f>
        <v/>
      </c>
      <c r="AE82" s="111" t="str">
        <f aca="false">IF($B82="","",IF(الموظفون!$Z82&lt;&gt;"",الموظفون!$Z82,cfg_MED)/12*G82/cfg_DAYS_M)</f>
        <v/>
      </c>
      <c r="AF82" s="111" t="str">
        <f aca="false">IF($B82="","",N(الموظفون!$AA82)/12*G82/cfg_DAYS_M)</f>
        <v/>
      </c>
      <c r="AG82" s="154" t="str">
        <f aca="false">IF($B82="","",T82+SUM(Z82:AF82))</f>
        <v/>
      </c>
      <c r="AH82" s="155" t="str">
        <f aca="false">IF($B82="","",MAX(0,IF(OR(الموظفون!$AE82="",الموظفون!$AE82&gt;$F$3),$F$3,الموظفون!$AE82)-الموظفون!$H82+1-SUMIFS('سجل الإجازات والحالات'!$AH$6:$AH$505,'سجل الإجازات والحالات'!$B$6:$B$505,$B82))/cfg_DAYS_Y)</f>
        <v/>
      </c>
      <c r="AI82" s="155" t="str">
        <f aca="false">IF($B82="","",MAX(0,IF(OR(الموظفون!$AE82="",الموظفون!$AE82&gt;($E$3-1)),($E$3-1),الموظفون!$AE82)-الموظفون!$H82+1-SUMIFS('سجل الإجازات والحالات'!$R$6:$R$505,'سجل الإجازات والحالات'!$B$6:$B$505,$B82))/cfg_DAYS_Y)</f>
        <v/>
      </c>
      <c r="AJ82" s="65" t="str">
        <f aca="false">IF($B82="","",MAX(0,AK82-(SUMIFS('سجل الإجازات والحالات'!$AH$6:$AH$505,'سجل الإجازات والحالات'!$B$6:$B$505,$B82)-SUMIFS('سجل الإجازات والحالات'!$R$6:$R$505,'سجل الإجازات والحالات'!$B$6:$B$505,$B82))))</f>
        <v/>
      </c>
      <c r="AK82" s="65" t="str">
        <f aca="false">IF($B82="","",MAX(0,IF(OR(الموظفون!$AE82="",الموظفون!$AE82&gt;$F$3),$F$3,الموظفون!$AE82)-MAX($E$3,الموظفون!$H82)+1))</f>
        <v/>
      </c>
      <c r="AL82" s="151" t="str">
        <f aca="false">IF($B82="","",SUMIFS('سجل الإجازات والحالات'!$AT$6:$AT$505,'سجل الإجازات والحالات'!$B$6:$B$505,$B82)+SUMIFS('الحركات الشهرية'!$K$6:$K$1005,'الحركات الشهرية'!$B$6:$B$1005,$B82,'الحركات الشهرية'!$A$6:$A$1005,$C$3))</f>
        <v/>
      </c>
      <c r="AM82" s="111" t="str">
        <f aca="false">IF($B82="","",AL82*الموظفون!$R82/cfg_DAYS_M+S82)</f>
        <v/>
      </c>
      <c r="AN82" s="151" t="str">
        <f aca="false">IF($B82="","",SUMIFS('سجل الإجازات والحالات'!$V$6:$V$505,'سجل الإجازات والحالات'!$B$6:$B$505,$B82))</f>
        <v/>
      </c>
    </row>
    <row r="83" customFormat="false" ht="15" hidden="false" customHeight="false" outlineLevel="0" collapsed="false">
      <c r="A83" s="115" t="str">
        <f aca="false">IF($B83="","",الموظفون!$A83)</f>
        <v/>
      </c>
      <c r="B83" s="117" t="str">
        <f aca="false">IF(الموظفون!$B83="","",الموظفون!$B83)</f>
        <v/>
      </c>
      <c r="C83" s="117" t="str">
        <f aca="false">IF($B83="","",الموظفون!$C83)</f>
        <v/>
      </c>
      <c r="D83" s="117" t="str">
        <f aca="false">IF($B83="","",الموظفون!$F83)</f>
        <v/>
      </c>
      <c r="E83" s="117" t="str">
        <f aca="false">IF($B83="","",الموظفون!$E83)</f>
        <v/>
      </c>
      <c r="F83" s="117" t="str">
        <f aca="false">IF($B83="","",IF(AK83=0,IF(AND(الموظفون!$AE83&lt;&gt;"",الموظفون!$AE83&lt;$E$3),"✖ منتهي الخدمة","⏳ لم يباشر"),IF(S83&gt;0,"✈ راتب إجازة مقدم",IF(J83=0,"⛔ بدون راتب هذا الشهر",IF(I83&gt;0,"✈ خصم "&amp;ROUND(I83,2)&amp;" يوم بدون أجر",IF(AL83&gt;0,"🌴 إجازة سنوية "&amp;ROUND(AL83,2)&amp;" يوم",IF(H83&gt;0,"⚠ غياب "&amp;ROUND(H83,2)&amp;" يوم","✔ على رأس العمل")))))))</f>
        <v/>
      </c>
      <c r="G83" s="156" t="str">
        <f aca="false">IF($B83="","",IF(AK83&gt;=DAY($F$3),cfg_DAYS_M,MIN(AK83,cfg_DAYS_M)))</f>
        <v/>
      </c>
      <c r="H83" s="156" t="str">
        <f aca="false">IF($B83="","",SUMIFS('الحركات الشهرية'!$D$6:$D$1005,'الحركات الشهرية'!$B$6:$B$1005,$B83,'الحركات الشهرية'!$A$6:$A$1005,$C$3))</f>
        <v/>
      </c>
      <c r="I83" s="156" t="str">
        <f aca="false">IF($B83="","",MIN(G83,IF(AND(AK83&gt;0,AN83&gt;=AK83),G83,AN83)+SUMIFS('الحركات الشهرية'!$E$6:$E$1005,'الحركات الشهرية'!$B$6:$B$1005,$B83,'الحركات الشهرية'!$A$6:$A$1005,$C$3)))</f>
        <v/>
      </c>
      <c r="J83" s="156" t="str">
        <f aca="false">IF($B83="","",MAX(0,G83-H83-I83))</f>
        <v/>
      </c>
      <c r="K83" s="116" t="str">
        <f aca="false">IF($B83="","",الموظفون!$L83*$J83/cfg_DAYS_M)</f>
        <v/>
      </c>
      <c r="L83" s="116" t="str">
        <f aca="false">IF($B83="","",الموظفون!$M83*$J83/cfg_DAYS_M)</f>
        <v/>
      </c>
      <c r="M83" s="116" t="str">
        <f aca="false">IF($B83="","",الموظفون!$N83*$J83/cfg_DAYS_M)</f>
        <v/>
      </c>
      <c r="N83" s="116" t="str">
        <f aca="false">IF($B83="","",الموظفون!$O83*$J83/cfg_DAYS_M)</f>
        <v/>
      </c>
      <c r="O83" s="156" t="str">
        <f aca="false">IF($B83="","",SUMIFS('الحركات الشهرية'!$F$6:$F$1005,'الحركات الشهرية'!$B$6:$B$1005,$B83,'الحركات الشهرية'!$A$6:$A$1005,$C$3))</f>
        <v/>
      </c>
      <c r="P83" s="116" t="str">
        <f aca="false">IF($B83="","",O83*(الموظفون!$P83+الموظفون!$L83*cfg_OT_P)/cfg_DAYS_M/cfg_HRS)</f>
        <v/>
      </c>
      <c r="Q83" s="116" t="str">
        <f aca="false">IF($B83="","",SUMIFS('الحركات الشهرية'!$G$6:$G$1005,'الحركات الشهرية'!$B$6:$B$1005,$B83,'الحركات الشهرية'!$A$6:$A$1005,$C$3))</f>
        <v/>
      </c>
      <c r="R83" s="116" t="str">
        <f aca="false">IF($B83="","",SUMIFS('الحركات الشهرية'!$H$6:$H$1005,'الحركات الشهرية'!$B$6:$B$1005,$B83,'الحركات الشهرية'!$A$6:$A$1005,$C$3))</f>
        <v/>
      </c>
      <c r="S83" s="116" t="str">
        <f aca="false">IF($B83="","",SUMIFS('سجل الإجازات والحالات'!$N$6:$N$505,'سجل الإجازات والحالات'!$B$6:$B$505,$B83,'سجل الإجازات والحالات'!$O$6:$O$505,$C$3))</f>
        <v/>
      </c>
      <c r="T83" s="157" t="str">
        <f aca="false">IF($B83="","",SUM(K83:N83)+SUM(P83:S83))</f>
        <v/>
      </c>
      <c r="U83" s="116" t="str">
        <f aca="false">IF($B83="","",الموظفون!$S83*IF(E83="سعودي",cfg_G_SE,cfg_G_NE)*G83/cfg_DAYS_M)</f>
        <v/>
      </c>
      <c r="V83" s="116" t="str">
        <f aca="false">IF($B83="","",SUMIFS('الحركات الشهرية'!$I$6:$I$1005,'الحركات الشهرية'!$B$6:$B$1005,$B83,'الحركات الشهرية'!$A$6:$A$1005,$C$3))</f>
        <v/>
      </c>
      <c r="W83" s="116" t="str">
        <f aca="false">IF($B83="","",SUMIFS('الحركات الشهرية'!$J$6:$J$1005,'الحركات الشهرية'!$B$6:$B$1005,$B83,'الحركات الشهرية'!$A$6:$A$1005,$C$3))</f>
        <v/>
      </c>
      <c r="X83" s="116" t="str">
        <f aca="false">IF($B83="","",SUM(U83:W83))</f>
        <v/>
      </c>
      <c r="Y83" s="158" t="str">
        <f aca="false">IF($B83="","",T83-X83)</f>
        <v/>
      </c>
      <c r="Z83" s="116" t="str">
        <f aca="false">IF($B83="","",الموظفون!$S83*IF(E83="سعودي",cfg_G_SR,cfg_G_NR)*G83/cfg_DAYS_M)</f>
        <v/>
      </c>
      <c r="AA83" s="116" t="str">
        <f aca="false">IF($B83="","",الموظفون!$Q83*(cfg_EOS_R1*(MIN(AH83,cfg_EOS_TH)-MIN(AI83,cfg_EOS_TH))+cfg_EOS_R2*(MAX(AH83-cfg_EOS_TH,0)-MAX(AI83-cfg_EOS_TH,0))))</f>
        <v/>
      </c>
      <c r="AB83" s="116" t="str">
        <f aca="false">IF($B83="","",IF(الموظفون!$T83&lt;&gt;"",الموظفون!$T83,IF(AH83&gt;=cfg_LV_TH,cfg_LV_D2,cfg_LV_D1))/cfg_DAYS_Y*AJ83*الموظفون!$R83/cfg_DAYS_M)</f>
        <v/>
      </c>
      <c r="AC83" s="116" t="str">
        <f aca="false">IF($B83="","",IF(AND(الموظفون!$U83="نعم",N(الموظفون!$W83)&gt;0),الموظفون!$V83/الموظفون!$W83*12/cfg_DAYS_Y*AJ83,0))</f>
        <v/>
      </c>
      <c r="AD83" s="116" t="str">
        <f aca="false">IF($B83="","",(IF(الموظفون!$X83&lt;&gt;"",الموظفون!$X83,IF(الموظفون!$E83="غير سعودي",cfg_IQ,0))+IF(الموظفون!$Y83&lt;&gt;"",الموظفون!$Y83,IF(الموظفون!$E83="غير سعودي",cfg_WP,0)))/12*G83/cfg_DAYS_M)</f>
        <v/>
      </c>
      <c r="AE83" s="116" t="str">
        <f aca="false">IF($B83="","",IF(الموظفون!$Z83&lt;&gt;"",الموظفون!$Z83,cfg_MED)/12*G83/cfg_DAYS_M)</f>
        <v/>
      </c>
      <c r="AF83" s="116" t="str">
        <f aca="false">IF($B83="","",N(الموظفون!$AA83)/12*G83/cfg_DAYS_M)</f>
        <v/>
      </c>
      <c r="AG83" s="159" t="str">
        <f aca="false">IF($B83="","",T83+SUM(Z83:AF83))</f>
        <v/>
      </c>
      <c r="AH83" s="160" t="str">
        <f aca="false">IF($B83="","",MAX(0,IF(OR(الموظفون!$AE83="",الموظفون!$AE83&gt;$F$3),$F$3,الموظفون!$AE83)-الموظفون!$H83+1-SUMIFS('سجل الإجازات والحالات'!$AH$6:$AH$505,'سجل الإجازات والحالات'!$B$6:$B$505,$B83))/cfg_DAYS_Y)</f>
        <v/>
      </c>
      <c r="AI83" s="160" t="str">
        <f aca="false">IF($B83="","",MAX(0,IF(OR(الموظفون!$AE83="",الموظفون!$AE83&gt;($E$3-1)),($E$3-1),الموظفون!$AE83)-الموظفون!$H83+1-SUMIFS('سجل الإجازات والحالات'!$R$6:$R$505,'سجل الإجازات والحالات'!$B$6:$B$505,$B83))/cfg_DAYS_Y)</f>
        <v/>
      </c>
      <c r="AJ83" s="133" t="str">
        <f aca="false">IF($B83="","",MAX(0,AK83-(SUMIFS('سجل الإجازات والحالات'!$AH$6:$AH$505,'سجل الإجازات والحالات'!$B$6:$B$505,$B83)-SUMIFS('سجل الإجازات والحالات'!$R$6:$R$505,'سجل الإجازات والحالات'!$B$6:$B$505,$B83))))</f>
        <v/>
      </c>
      <c r="AK83" s="133" t="str">
        <f aca="false">IF($B83="","",MAX(0,IF(OR(الموظفون!$AE83="",الموظفون!$AE83&gt;$F$3),$F$3,الموظفون!$AE83)-MAX($E$3,الموظفون!$H83)+1))</f>
        <v/>
      </c>
      <c r="AL83" s="156" t="str">
        <f aca="false">IF($B83="","",SUMIFS('سجل الإجازات والحالات'!$AT$6:$AT$505,'سجل الإجازات والحالات'!$B$6:$B$505,$B83)+SUMIFS('الحركات الشهرية'!$K$6:$K$1005,'الحركات الشهرية'!$B$6:$B$1005,$B83,'الحركات الشهرية'!$A$6:$A$1005,$C$3))</f>
        <v/>
      </c>
      <c r="AM83" s="116" t="str">
        <f aca="false">IF($B83="","",AL83*الموظفون!$R83/cfg_DAYS_M+S83)</f>
        <v/>
      </c>
      <c r="AN83" s="156" t="str">
        <f aca="false">IF($B83="","",SUMIFS('سجل الإجازات والحالات'!$V$6:$V$505,'سجل الإجازات والحالات'!$B$6:$B$505,$B83))</f>
        <v/>
      </c>
    </row>
    <row r="84" customFormat="false" ht="15" hidden="false" customHeight="false" outlineLevel="0" collapsed="false">
      <c r="A84" s="106" t="str">
        <f aca="false">IF($B84="","",الموظفون!$A84)</f>
        <v/>
      </c>
      <c r="B84" s="114" t="str">
        <f aca="false">IF(الموظفون!$B84="","",الموظفون!$B84)</f>
        <v/>
      </c>
      <c r="C84" s="114" t="str">
        <f aca="false">IF($B84="","",الموظفون!$C84)</f>
        <v/>
      </c>
      <c r="D84" s="114" t="str">
        <f aca="false">IF($B84="","",الموظفون!$F84)</f>
        <v/>
      </c>
      <c r="E84" s="114" t="str">
        <f aca="false">IF($B84="","",الموظفون!$E84)</f>
        <v/>
      </c>
      <c r="F84" s="114" t="str">
        <f aca="false">IF($B84="","",IF(AK84=0,IF(AND(الموظفون!$AE84&lt;&gt;"",الموظفون!$AE84&lt;$E$3),"✖ منتهي الخدمة","⏳ لم يباشر"),IF(S84&gt;0,"✈ راتب إجازة مقدم",IF(J84=0,"⛔ بدون راتب هذا الشهر",IF(I84&gt;0,"✈ خصم "&amp;ROUND(I84,2)&amp;" يوم بدون أجر",IF(AL84&gt;0,"🌴 إجازة سنوية "&amp;ROUND(AL84,2)&amp;" يوم",IF(H84&gt;0,"⚠ غياب "&amp;ROUND(H84,2)&amp;" يوم","✔ على رأس العمل")))))))</f>
        <v/>
      </c>
      <c r="G84" s="151" t="str">
        <f aca="false">IF($B84="","",IF(AK84&gt;=DAY($F$3),cfg_DAYS_M,MIN(AK84,cfg_DAYS_M)))</f>
        <v/>
      </c>
      <c r="H84" s="151" t="str">
        <f aca="false">IF($B84="","",SUMIFS('الحركات الشهرية'!$D$6:$D$1005,'الحركات الشهرية'!$B$6:$B$1005,$B84,'الحركات الشهرية'!$A$6:$A$1005,$C$3))</f>
        <v/>
      </c>
      <c r="I84" s="151" t="str">
        <f aca="false">IF($B84="","",MIN(G84,IF(AND(AK84&gt;0,AN84&gt;=AK84),G84,AN84)+SUMIFS('الحركات الشهرية'!$E$6:$E$1005,'الحركات الشهرية'!$B$6:$B$1005,$B84,'الحركات الشهرية'!$A$6:$A$1005,$C$3)))</f>
        <v/>
      </c>
      <c r="J84" s="151" t="str">
        <f aca="false">IF($B84="","",MAX(0,G84-H84-I84))</f>
        <v/>
      </c>
      <c r="K84" s="111" t="str">
        <f aca="false">IF($B84="","",الموظفون!$L84*$J84/cfg_DAYS_M)</f>
        <v/>
      </c>
      <c r="L84" s="111" t="str">
        <f aca="false">IF($B84="","",الموظفون!$M84*$J84/cfg_DAYS_M)</f>
        <v/>
      </c>
      <c r="M84" s="111" t="str">
        <f aca="false">IF($B84="","",الموظفون!$N84*$J84/cfg_DAYS_M)</f>
        <v/>
      </c>
      <c r="N84" s="111" t="str">
        <f aca="false">IF($B84="","",الموظفون!$O84*$J84/cfg_DAYS_M)</f>
        <v/>
      </c>
      <c r="O84" s="151" t="str">
        <f aca="false">IF($B84="","",SUMIFS('الحركات الشهرية'!$F$6:$F$1005,'الحركات الشهرية'!$B$6:$B$1005,$B84,'الحركات الشهرية'!$A$6:$A$1005,$C$3))</f>
        <v/>
      </c>
      <c r="P84" s="111" t="str">
        <f aca="false">IF($B84="","",O84*(الموظفون!$P84+الموظفون!$L84*cfg_OT_P)/cfg_DAYS_M/cfg_HRS)</f>
        <v/>
      </c>
      <c r="Q84" s="111" t="str">
        <f aca="false">IF($B84="","",SUMIFS('الحركات الشهرية'!$G$6:$G$1005,'الحركات الشهرية'!$B$6:$B$1005,$B84,'الحركات الشهرية'!$A$6:$A$1005,$C$3))</f>
        <v/>
      </c>
      <c r="R84" s="111" t="str">
        <f aca="false">IF($B84="","",SUMIFS('الحركات الشهرية'!$H$6:$H$1005,'الحركات الشهرية'!$B$6:$B$1005,$B84,'الحركات الشهرية'!$A$6:$A$1005,$C$3))</f>
        <v/>
      </c>
      <c r="S84" s="111" t="str">
        <f aca="false">IF($B84="","",SUMIFS('سجل الإجازات والحالات'!$N$6:$N$505,'سجل الإجازات والحالات'!$B$6:$B$505,$B84,'سجل الإجازات والحالات'!$O$6:$O$505,$C$3))</f>
        <v/>
      </c>
      <c r="T84" s="152" t="str">
        <f aca="false">IF($B84="","",SUM(K84:N84)+SUM(P84:S84))</f>
        <v/>
      </c>
      <c r="U84" s="111" t="str">
        <f aca="false">IF($B84="","",الموظفون!$S84*IF(E84="سعودي",cfg_G_SE,cfg_G_NE)*G84/cfg_DAYS_M)</f>
        <v/>
      </c>
      <c r="V84" s="111" t="str">
        <f aca="false">IF($B84="","",SUMIFS('الحركات الشهرية'!$I$6:$I$1005,'الحركات الشهرية'!$B$6:$B$1005,$B84,'الحركات الشهرية'!$A$6:$A$1005,$C$3))</f>
        <v/>
      </c>
      <c r="W84" s="111" t="str">
        <f aca="false">IF($B84="","",SUMIFS('الحركات الشهرية'!$J$6:$J$1005,'الحركات الشهرية'!$B$6:$B$1005,$B84,'الحركات الشهرية'!$A$6:$A$1005,$C$3))</f>
        <v/>
      </c>
      <c r="X84" s="111" t="str">
        <f aca="false">IF($B84="","",SUM(U84:W84))</f>
        <v/>
      </c>
      <c r="Y84" s="153" t="str">
        <f aca="false">IF($B84="","",T84-X84)</f>
        <v/>
      </c>
      <c r="Z84" s="111" t="str">
        <f aca="false">IF($B84="","",الموظفون!$S84*IF(E84="سعودي",cfg_G_SR,cfg_G_NR)*G84/cfg_DAYS_M)</f>
        <v/>
      </c>
      <c r="AA84" s="111" t="str">
        <f aca="false">IF($B84="","",الموظفون!$Q84*(cfg_EOS_R1*(MIN(AH84,cfg_EOS_TH)-MIN(AI84,cfg_EOS_TH))+cfg_EOS_R2*(MAX(AH84-cfg_EOS_TH,0)-MAX(AI84-cfg_EOS_TH,0))))</f>
        <v/>
      </c>
      <c r="AB84" s="111" t="str">
        <f aca="false">IF($B84="","",IF(الموظفون!$T84&lt;&gt;"",الموظفون!$T84,IF(AH84&gt;=cfg_LV_TH,cfg_LV_D2,cfg_LV_D1))/cfg_DAYS_Y*AJ84*الموظفون!$R84/cfg_DAYS_M)</f>
        <v/>
      </c>
      <c r="AC84" s="111" t="str">
        <f aca="false">IF($B84="","",IF(AND(الموظفون!$U84="نعم",N(الموظفون!$W84)&gt;0),الموظفون!$V84/الموظفون!$W84*12/cfg_DAYS_Y*AJ84,0))</f>
        <v/>
      </c>
      <c r="AD84" s="111" t="str">
        <f aca="false">IF($B84="","",(IF(الموظفون!$X84&lt;&gt;"",الموظفون!$X84,IF(الموظفون!$E84="غير سعودي",cfg_IQ,0))+IF(الموظفون!$Y84&lt;&gt;"",الموظفون!$Y84,IF(الموظفون!$E84="غير سعودي",cfg_WP,0)))/12*G84/cfg_DAYS_M)</f>
        <v/>
      </c>
      <c r="AE84" s="111" t="str">
        <f aca="false">IF($B84="","",IF(الموظفون!$Z84&lt;&gt;"",الموظفون!$Z84,cfg_MED)/12*G84/cfg_DAYS_M)</f>
        <v/>
      </c>
      <c r="AF84" s="111" t="str">
        <f aca="false">IF($B84="","",N(الموظفون!$AA84)/12*G84/cfg_DAYS_M)</f>
        <v/>
      </c>
      <c r="AG84" s="154" t="str">
        <f aca="false">IF($B84="","",T84+SUM(Z84:AF84))</f>
        <v/>
      </c>
      <c r="AH84" s="155" t="str">
        <f aca="false">IF($B84="","",MAX(0,IF(OR(الموظفون!$AE84="",الموظفون!$AE84&gt;$F$3),$F$3,الموظفون!$AE84)-الموظفون!$H84+1-SUMIFS('سجل الإجازات والحالات'!$AH$6:$AH$505,'سجل الإجازات والحالات'!$B$6:$B$505,$B84))/cfg_DAYS_Y)</f>
        <v/>
      </c>
      <c r="AI84" s="155" t="str">
        <f aca="false">IF($B84="","",MAX(0,IF(OR(الموظفون!$AE84="",الموظفون!$AE84&gt;($E$3-1)),($E$3-1),الموظفون!$AE84)-الموظفون!$H84+1-SUMIFS('سجل الإجازات والحالات'!$R$6:$R$505,'سجل الإجازات والحالات'!$B$6:$B$505,$B84))/cfg_DAYS_Y)</f>
        <v/>
      </c>
      <c r="AJ84" s="65" t="str">
        <f aca="false">IF($B84="","",MAX(0,AK84-(SUMIFS('سجل الإجازات والحالات'!$AH$6:$AH$505,'سجل الإجازات والحالات'!$B$6:$B$505,$B84)-SUMIFS('سجل الإجازات والحالات'!$R$6:$R$505,'سجل الإجازات والحالات'!$B$6:$B$505,$B84))))</f>
        <v/>
      </c>
      <c r="AK84" s="65" t="str">
        <f aca="false">IF($B84="","",MAX(0,IF(OR(الموظفون!$AE84="",الموظفون!$AE84&gt;$F$3),$F$3,الموظفون!$AE84)-MAX($E$3,الموظفون!$H84)+1))</f>
        <v/>
      </c>
      <c r="AL84" s="151" t="str">
        <f aca="false">IF($B84="","",SUMIFS('سجل الإجازات والحالات'!$AT$6:$AT$505,'سجل الإجازات والحالات'!$B$6:$B$505,$B84)+SUMIFS('الحركات الشهرية'!$K$6:$K$1005,'الحركات الشهرية'!$B$6:$B$1005,$B84,'الحركات الشهرية'!$A$6:$A$1005,$C$3))</f>
        <v/>
      </c>
      <c r="AM84" s="111" t="str">
        <f aca="false">IF($B84="","",AL84*الموظفون!$R84/cfg_DAYS_M+S84)</f>
        <v/>
      </c>
      <c r="AN84" s="151" t="str">
        <f aca="false">IF($B84="","",SUMIFS('سجل الإجازات والحالات'!$V$6:$V$505,'سجل الإجازات والحالات'!$B$6:$B$505,$B84))</f>
        <v/>
      </c>
    </row>
    <row r="85" customFormat="false" ht="15" hidden="false" customHeight="false" outlineLevel="0" collapsed="false">
      <c r="A85" s="115" t="str">
        <f aca="false">IF($B85="","",الموظفون!$A85)</f>
        <v/>
      </c>
      <c r="B85" s="117" t="str">
        <f aca="false">IF(الموظفون!$B85="","",الموظفون!$B85)</f>
        <v/>
      </c>
      <c r="C85" s="117" t="str">
        <f aca="false">IF($B85="","",الموظفون!$C85)</f>
        <v/>
      </c>
      <c r="D85" s="117" t="str">
        <f aca="false">IF($B85="","",الموظفون!$F85)</f>
        <v/>
      </c>
      <c r="E85" s="117" t="str">
        <f aca="false">IF($B85="","",الموظفون!$E85)</f>
        <v/>
      </c>
      <c r="F85" s="117" t="str">
        <f aca="false">IF($B85="","",IF(AK85=0,IF(AND(الموظفون!$AE85&lt;&gt;"",الموظفون!$AE85&lt;$E$3),"✖ منتهي الخدمة","⏳ لم يباشر"),IF(S85&gt;0,"✈ راتب إجازة مقدم",IF(J85=0,"⛔ بدون راتب هذا الشهر",IF(I85&gt;0,"✈ خصم "&amp;ROUND(I85,2)&amp;" يوم بدون أجر",IF(AL85&gt;0,"🌴 إجازة سنوية "&amp;ROUND(AL85,2)&amp;" يوم",IF(H85&gt;0,"⚠ غياب "&amp;ROUND(H85,2)&amp;" يوم","✔ على رأس العمل")))))))</f>
        <v/>
      </c>
      <c r="G85" s="156" t="str">
        <f aca="false">IF($B85="","",IF(AK85&gt;=DAY($F$3),cfg_DAYS_M,MIN(AK85,cfg_DAYS_M)))</f>
        <v/>
      </c>
      <c r="H85" s="156" t="str">
        <f aca="false">IF($B85="","",SUMIFS('الحركات الشهرية'!$D$6:$D$1005,'الحركات الشهرية'!$B$6:$B$1005,$B85,'الحركات الشهرية'!$A$6:$A$1005,$C$3))</f>
        <v/>
      </c>
      <c r="I85" s="156" t="str">
        <f aca="false">IF($B85="","",MIN(G85,IF(AND(AK85&gt;0,AN85&gt;=AK85),G85,AN85)+SUMIFS('الحركات الشهرية'!$E$6:$E$1005,'الحركات الشهرية'!$B$6:$B$1005,$B85,'الحركات الشهرية'!$A$6:$A$1005,$C$3)))</f>
        <v/>
      </c>
      <c r="J85" s="156" t="str">
        <f aca="false">IF($B85="","",MAX(0,G85-H85-I85))</f>
        <v/>
      </c>
      <c r="K85" s="116" t="str">
        <f aca="false">IF($B85="","",الموظفون!$L85*$J85/cfg_DAYS_M)</f>
        <v/>
      </c>
      <c r="L85" s="116" t="str">
        <f aca="false">IF($B85="","",الموظفون!$M85*$J85/cfg_DAYS_M)</f>
        <v/>
      </c>
      <c r="M85" s="116" t="str">
        <f aca="false">IF($B85="","",الموظفون!$N85*$J85/cfg_DAYS_M)</f>
        <v/>
      </c>
      <c r="N85" s="116" t="str">
        <f aca="false">IF($B85="","",الموظفون!$O85*$J85/cfg_DAYS_M)</f>
        <v/>
      </c>
      <c r="O85" s="156" t="str">
        <f aca="false">IF($B85="","",SUMIFS('الحركات الشهرية'!$F$6:$F$1005,'الحركات الشهرية'!$B$6:$B$1005,$B85,'الحركات الشهرية'!$A$6:$A$1005,$C$3))</f>
        <v/>
      </c>
      <c r="P85" s="116" t="str">
        <f aca="false">IF($B85="","",O85*(الموظفون!$P85+الموظفون!$L85*cfg_OT_P)/cfg_DAYS_M/cfg_HRS)</f>
        <v/>
      </c>
      <c r="Q85" s="116" t="str">
        <f aca="false">IF($B85="","",SUMIFS('الحركات الشهرية'!$G$6:$G$1005,'الحركات الشهرية'!$B$6:$B$1005,$B85,'الحركات الشهرية'!$A$6:$A$1005,$C$3))</f>
        <v/>
      </c>
      <c r="R85" s="116" t="str">
        <f aca="false">IF($B85="","",SUMIFS('الحركات الشهرية'!$H$6:$H$1005,'الحركات الشهرية'!$B$6:$B$1005,$B85,'الحركات الشهرية'!$A$6:$A$1005,$C$3))</f>
        <v/>
      </c>
      <c r="S85" s="116" t="str">
        <f aca="false">IF($B85="","",SUMIFS('سجل الإجازات والحالات'!$N$6:$N$505,'سجل الإجازات والحالات'!$B$6:$B$505,$B85,'سجل الإجازات والحالات'!$O$6:$O$505,$C$3))</f>
        <v/>
      </c>
      <c r="T85" s="157" t="str">
        <f aca="false">IF($B85="","",SUM(K85:N85)+SUM(P85:S85))</f>
        <v/>
      </c>
      <c r="U85" s="116" t="str">
        <f aca="false">IF($B85="","",الموظفون!$S85*IF(E85="سعودي",cfg_G_SE,cfg_G_NE)*G85/cfg_DAYS_M)</f>
        <v/>
      </c>
      <c r="V85" s="116" t="str">
        <f aca="false">IF($B85="","",SUMIFS('الحركات الشهرية'!$I$6:$I$1005,'الحركات الشهرية'!$B$6:$B$1005,$B85,'الحركات الشهرية'!$A$6:$A$1005,$C$3))</f>
        <v/>
      </c>
      <c r="W85" s="116" t="str">
        <f aca="false">IF($B85="","",SUMIFS('الحركات الشهرية'!$J$6:$J$1005,'الحركات الشهرية'!$B$6:$B$1005,$B85,'الحركات الشهرية'!$A$6:$A$1005,$C$3))</f>
        <v/>
      </c>
      <c r="X85" s="116" t="str">
        <f aca="false">IF($B85="","",SUM(U85:W85))</f>
        <v/>
      </c>
      <c r="Y85" s="158" t="str">
        <f aca="false">IF($B85="","",T85-X85)</f>
        <v/>
      </c>
      <c r="Z85" s="116" t="str">
        <f aca="false">IF($B85="","",الموظفون!$S85*IF(E85="سعودي",cfg_G_SR,cfg_G_NR)*G85/cfg_DAYS_M)</f>
        <v/>
      </c>
      <c r="AA85" s="116" t="str">
        <f aca="false">IF($B85="","",الموظفون!$Q85*(cfg_EOS_R1*(MIN(AH85,cfg_EOS_TH)-MIN(AI85,cfg_EOS_TH))+cfg_EOS_R2*(MAX(AH85-cfg_EOS_TH,0)-MAX(AI85-cfg_EOS_TH,0))))</f>
        <v/>
      </c>
      <c r="AB85" s="116" t="str">
        <f aca="false">IF($B85="","",IF(الموظفون!$T85&lt;&gt;"",الموظفون!$T85,IF(AH85&gt;=cfg_LV_TH,cfg_LV_D2,cfg_LV_D1))/cfg_DAYS_Y*AJ85*الموظفون!$R85/cfg_DAYS_M)</f>
        <v/>
      </c>
      <c r="AC85" s="116" t="str">
        <f aca="false">IF($B85="","",IF(AND(الموظفون!$U85="نعم",N(الموظفون!$W85)&gt;0),الموظفون!$V85/الموظفون!$W85*12/cfg_DAYS_Y*AJ85,0))</f>
        <v/>
      </c>
      <c r="AD85" s="116" t="str">
        <f aca="false">IF($B85="","",(IF(الموظفون!$X85&lt;&gt;"",الموظفون!$X85,IF(الموظفون!$E85="غير سعودي",cfg_IQ,0))+IF(الموظفون!$Y85&lt;&gt;"",الموظفون!$Y85,IF(الموظفون!$E85="غير سعودي",cfg_WP,0)))/12*G85/cfg_DAYS_M)</f>
        <v/>
      </c>
      <c r="AE85" s="116" t="str">
        <f aca="false">IF($B85="","",IF(الموظفون!$Z85&lt;&gt;"",الموظفون!$Z85,cfg_MED)/12*G85/cfg_DAYS_M)</f>
        <v/>
      </c>
      <c r="AF85" s="116" t="str">
        <f aca="false">IF($B85="","",N(الموظفون!$AA85)/12*G85/cfg_DAYS_M)</f>
        <v/>
      </c>
      <c r="AG85" s="159" t="str">
        <f aca="false">IF($B85="","",T85+SUM(Z85:AF85))</f>
        <v/>
      </c>
      <c r="AH85" s="160" t="str">
        <f aca="false">IF($B85="","",MAX(0,IF(OR(الموظفون!$AE85="",الموظفون!$AE85&gt;$F$3),$F$3,الموظفون!$AE85)-الموظفون!$H85+1-SUMIFS('سجل الإجازات والحالات'!$AH$6:$AH$505,'سجل الإجازات والحالات'!$B$6:$B$505,$B85))/cfg_DAYS_Y)</f>
        <v/>
      </c>
      <c r="AI85" s="160" t="str">
        <f aca="false">IF($B85="","",MAX(0,IF(OR(الموظفون!$AE85="",الموظفون!$AE85&gt;($E$3-1)),($E$3-1),الموظفون!$AE85)-الموظفون!$H85+1-SUMIFS('سجل الإجازات والحالات'!$R$6:$R$505,'سجل الإجازات والحالات'!$B$6:$B$505,$B85))/cfg_DAYS_Y)</f>
        <v/>
      </c>
      <c r="AJ85" s="133" t="str">
        <f aca="false">IF($B85="","",MAX(0,AK85-(SUMIFS('سجل الإجازات والحالات'!$AH$6:$AH$505,'سجل الإجازات والحالات'!$B$6:$B$505,$B85)-SUMIFS('سجل الإجازات والحالات'!$R$6:$R$505,'سجل الإجازات والحالات'!$B$6:$B$505,$B85))))</f>
        <v/>
      </c>
      <c r="AK85" s="133" t="str">
        <f aca="false">IF($B85="","",MAX(0,IF(OR(الموظفون!$AE85="",الموظفون!$AE85&gt;$F$3),$F$3,الموظفون!$AE85)-MAX($E$3,الموظفون!$H85)+1))</f>
        <v/>
      </c>
      <c r="AL85" s="156" t="str">
        <f aca="false">IF($B85="","",SUMIFS('سجل الإجازات والحالات'!$AT$6:$AT$505,'سجل الإجازات والحالات'!$B$6:$B$505,$B85)+SUMIFS('الحركات الشهرية'!$K$6:$K$1005,'الحركات الشهرية'!$B$6:$B$1005,$B85,'الحركات الشهرية'!$A$6:$A$1005,$C$3))</f>
        <v/>
      </c>
      <c r="AM85" s="116" t="str">
        <f aca="false">IF($B85="","",AL85*الموظفون!$R85/cfg_DAYS_M+S85)</f>
        <v/>
      </c>
      <c r="AN85" s="156" t="str">
        <f aca="false">IF($B85="","",SUMIFS('سجل الإجازات والحالات'!$V$6:$V$505,'سجل الإجازات والحالات'!$B$6:$B$505,$B85))</f>
        <v/>
      </c>
    </row>
    <row r="86" customFormat="false" ht="15" hidden="false" customHeight="false" outlineLevel="0" collapsed="false">
      <c r="A86" s="106" t="str">
        <f aca="false">IF($B86="","",الموظفون!$A86)</f>
        <v/>
      </c>
      <c r="B86" s="114" t="str">
        <f aca="false">IF(الموظفون!$B86="","",الموظفون!$B86)</f>
        <v/>
      </c>
      <c r="C86" s="114" t="str">
        <f aca="false">IF($B86="","",الموظفون!$C86)</f>
        <v/>
      </c>
      <c r="D86" s="114" t="str">
        <f aca="false">IF($B86="","",الموظفون!$F86)</f>
        <v/>
      </c>
      <c r="E86" s="114" t="str">
        <f aca="false">IF($B86="","",الموظفون!$E86)</f>
        <v/>
      </c>
      <c r="F86" s="114" t="str">
        <f aca="false">IF($B86="","",IF(AK86=0,IF(AND(الموظفون!$AE86&lt;&gt;"",الموظفون!$AE86&lt;$E$3),"✖ منتهي الخدمة","⏳ لم يباشر"),IF(S86&gt;0,"✈ راتب إجازة مقدم",IF(J86=0,"⛔ بدون راتب هذا الشهر",IF(I86&gt;0,"✈ خصم "&amp;ROUND(I86,2)&amp;" يوم بدون أجر",IF(AL86&gt;0,"🌴 إجازة سنوية "&amp;ROUND(AL86,2)&amp;" يوم",IF(H86&gt;0,"⚠ غياب "&amp;ROUND(H86,2)&amp;" يوم","✔ على رأس العمل")))))))</f>
        <v/>
      </c>
      <c r="G86" s="151" t="str">
        <f aca="false">IF($B86="","",IF(AK86&gt;=DAY($F$3),cfg_DAYS_M,MIN(AK86,cfg_DAYS_M)))</f>
        <v/>
      </c>
      <c r="H86" s="151" t="str">
        <f aca="false">IF($B86="","",SUMIFS('الحركات الشهرية'!$D$6:$D$1005,'الحركات الشهرية'!$B$6:$B$1005,$B86,'الحركات الشهرية'!$A$6:$A$1005,$C$3))</f>
        <v/>
      </c>
      <c r="I86" s="151" t="str">
        <f aca="false">IF($B86="","",MIN(G86,IF(AND(AK86&gt;0,AN86&gt;=AK86),G86,AN86)+SUMIFS('الحركات الشهرية'!$E$6:$E$1005,'الحركات الشهرية'!$B$6:$B$1005,$B86,'الحركات الشهرية'!$A$6:$A$1005,$C$3)))</f>
        <v/>
      </c>
      <c r="J86" s="151" t="str">
        <f aca="false">IF($B86="","",MAX(0,G86-H86-I86))</f>
        <v/>
      </c>
      <c r="K86" s="111" t="str">
        <f aca="false">IF($B86="","",الموظفون!$L86*$J86/cfg_DAYS_M)</f>
        <v/>
      </c>
      <c r="L86" s="111" t="str">
        <f aca="false">IF($B86="","",الموظفون!$M86*$J86/cfg_DAYS_M)</f>
        <v/>
      </c>
      <c r="M86" s="111" t="str">
        <f aca="false">IF($B86="","",الموظفون!$N86*$J86/cfg_DAYS_M)</f>
        <v/>
      </c>
      <c r="N86" s="111" t="str">
        <f aca="false">IF($B86="","",الموظفون!$O86*$J86/cfg_DAYS_M)</f>
        <v/>
      </c>
      <c r="O86" s="151" t="str">
        <f aca="false">IF($B86="","",SUMIFS('الحركات الشهرية'!$F$6:$F$1005,'الحركات الشهرية'!$B$6:$B$1005,$B86,'الحركات الشهرية'!$A$6:$A$1005,$C$3))</f>
        <v/>
      </c>
      <c r="P86" s="111" t="str">
        <f aca="false">IF($B86="","",O86*(الموظفون!$P86+الموظفون!$L86*cfg_OT_P)/cfg_DAYS_M/cfg_HRS)</f>
        <v/>
      </c>
      <c r="Q86" s="111" t="str">
        <f aca="false">IF($B86="","",SUMIFS('الحركات الشهرية'!$G$6:$G$1005,'الحركات الشهرية'!$B$6:$B$1005,$B86,'الحركات الشهرية'!$A$6:$A$1005,$C$3))</f>
        <v/>
      </c>
      <c r="R86" s="111" t="str">
        <f aca="false">IF($B86="","",SUMIFS('الحركات الشهرية'!$H$6:$H$1005,'الحركات الشهرية'!$B$6:$B$1005,$B86,'الحركات الشهرية'!$A$6:$A$1005,$C$3))</f>
        <v/>
      </c>
      <c r="S86" s="111" t="str">
        <f aca="false">IF($B86="","",SUMIFS('سجل الإجازات والحالات'!$N$6:$N$505,'سجل الإجازات والحالات'!$B$6:$B$505,$B86,'سجل الإجازات والحالات'!$O$6:$O$505,$C$3))</f>
        <v/>
      </c>
      <c r="T86" s="152" t="str">
        <f aca="false">IF($B86="","",SUM(K86:N86)+SUM(P86:S86))</f>
        <v/>
      </c>
      <c r="U86" s="111" t="str">
        <f aca="false">IF($B86="","",الموظفون!$S86*IF(E86="سعودي",cfg_G_SE,cfg_G_NE)*G86/cfg_DAYS_M)</f>
        <v/>
      </c>
      <c r="V86" s="111" t="str">
        <f aca="false">IF($B86="","",SUMIFS('الحركات الشهرية'!$I$6:$I$1005,'الحركات الشهرية'!$B$6:$B$1005,$B86,'الحركات الشهرية'!$A$6:$A$1005,$C$3))</f>
        <v/>
      </c>
      <c r="W86" s="111" t="str">
        <f aca="false">IF($B86="","",SUMIFS('الحركات الشهرية'!$J$6:$J$1005,'الحركات الشهرية'!$B$6:$B$1005,$B86,'الحركات الشهرية'!$A$6:$A$1005,$C$3))</f>
        <v/>
      </c>
      <c r="X86" s="111" t="str">
        <f aca="false">IF($B86="","",SUM(U86:W86))</f>
        <v/>
      </c>
      <c r="Y86" s="153" t="str">
        <f aca="false">IF($B86="","",T86-X86)</f>
        <v/>
      </c>
      <c r="Z86" s="111" t="str">
        <f aca="false">IF($B86="","",الموظفون!$S86*IF(E86="سعودي",cfg_G_SR,cfg_G_NR)*G86/cfg_DAYS_M)</f>
        <v/>
      </c>
      <c r="AA86" s="111" t="str">
        <f aca="false">IF($B86="","",الموظفون!$Q86*(cfg_EOS_R1*(MIN(AH86,cfg_EOS_TH)-MIN(AI86,cfg_EOS_TH))+cfg_EOS_R2*(MAX(AH86-cfg_EOS_TH,0)-MAX(AI86-cfg_EOS_TH,0))))</f>
        <v/>
      </c>
      <c r="AB86" s="111" t="str">
        <f aca="false">IF($B86="","",IF(الموظفون!$T86&lt;&gt;"",الموظفون!$T86,IF(AH86&gt;=cfg_LV_TH,cfg_LV_D2,cfg_LV_D1))/cfg_DAYS_Y*AJ86*الموظفون!$R86/cfg_DAYS_M)</f>
        <v/>
      </c>
      <c r="AC86" s="111" t="str">
        <f aca="false">IF($B86="","",IF(AND(الموظفون!$U86="نعم",N(الموظفون!$W86)&gt;0),الموظفون!$V86/الموظفون!$W86*12/cfg_DAYS_Y*AJ86,0))</f>
        <v/>
      </c>
      <c r="AD86" s="111" t="str">
        <f aca="false">IF($B86="","",(IF(الموظفون!$X86&lt;&gt;"",الموظفون!$X86,IF(الموظفون!$E86="غير سعودي",cfg_IQ,0))+IF(الموظفون!$Y86&lt;&gt;"",الموظفون!$Y86,IF(الموظفون!$E86="غير سعودي",cfg_WP,0)))/12*G86/cfg_DAYS_M)</f>
        <v/>
      </c>
      <c r="AE86" s="111" t="str">
        <f aca="false">IF($B86="","",IF(الموظفون!$Z86&lt;&gt;"",الموظفون!$Z86,cfg_MED)/12*G86/cfg_DAYS_M)</f>
        <v/>
      </c>
      <c r="AF86" s="111" t="str">
        <f aca="false">IF($B86="","",N(الموظفون!$AA86)/12*G86/cfg_DAYS_M)</f>
        <v/>
      </c>
      <c r="AG86" s="154" t="str">
        <f aca="false">IF($B86="","",T86+SUM(Z86:AF86))</f>
        <v/>
      </c>
      <c r="AH86" s="155" t="str">
        <f aca="false">IF($B86="","",MAX(0,IF(OR(الموظفون!$AE86="",الموظفون!$AE86&gt;$F$3),$F$3,الموظفون!$AE86)-الموظفون!$H86+1-SUMIFS('سجل الإجازات والحالات'!$AH$6:$AH$505,'سجل الإجازات والحالات'!$B$6:$B$505,$B86))/cfg_DAYS_Y)</f>
        <v/>
      </c>
      <c r="AI86" s="155" t="str">
        <f aca="false">IF($B86="","",MAX(0,IF(OR(الموظفون!$AE86="",الموظفون!$AE86&gt;($E$3-1)),($E$3-1),الموظفون!$AE86)-الموظفون!$H86+1-SUMIFS('سجل الإجازات والحالات'!$R$6:$R$505,'سجل الإجازات والحالات'!$B$6:$B$505,$B86))/cfg_DAYS_Y)</f>
        <v/>
      </c>
      <c r="AJ86" s="65" t="str">
        <f aca="false">IF($B86="","",MAX(0,AK86-(SUMIFS('سجل الإجازات والحالات'!$AH$6:$AH$505,'سجل الإجازات والحالات'!$B$6:$B$505,$B86)-SUMIFS('سجل الإجازات والحالات'!$R$6:$R$505,'سجل الإجازات والحالات'!$B$6:$B$505,$B86))))</f>
        <v/>
      </c>
      <c r="AK86" s="65" t="str">
        <f aca="false">IF($B86="","",MAX(0,IF(OR(الموظفون!$AE86="",الموظفون!$AE86&gt;$F$3),$F$3,الموظفون!$AE86)-MAX($E$3,الموظفون!$H86)+1))</f>
        <v/>
      </c>
      <c r="AL86" s="151" t="str">
        <f aca="false">IF($B86="","",SUMIFS('سجل الإجازات والحالات'!$AT$6:$AT$505,'سجل الإجازات والحالات'!$B$6:$B$505,$B86)+SUMIFS('الحركات الشهرية'!$K$6:$K$1005,'الحركات الشهرية'!$B$6:$B$1005,$B86,'الحركات الشهرية'!$A$6:$A$1005,$C$3))</f>
        <v/>
      </c>
      <c r="AM86" s="111" t="str">
        <f aca="false">IF($B86="","",AL86*الموظفون!$R86/cfg_DAYS_M+S86)</f>
        <v/>
      </c>
      <c r="AN86" s="151" t="str">
        <f aca="false">IF($B86="","",SUMIFS('سجل الإجازات والحالات'!$V$6:$V$505,'سجل الإجازات والحالات'!$B$6:$B$505,$B86))</f>
        <v/>
      </c>
    </row>
    <row r="87" customFormat="false" ht="15" hidden="false" customHeight="false" outlineLevel="0" collapsed="false">
      <c r="A87" s="115" t="str">
        <f aca="false">IF($B87="","",الموظفون!$A87)</f>
        <v/>
      </c>
      <c r="B87" s="117" t="str">
        <f aca="false">IF(الموظفون!$B87="","",الموظفون!$B87)</f>
        <v/>
      </c>
      <c r="C87" s="117" t="str">
        <f aca="false">IF($B87="","",الموظفون!$C87)</f>
        <v/>
      </c>
      <c r="D87" s="117" t="str">
        <f aca="false">IF($B87="","",الموظفون!$F87)</f>
        <v/>
      </c>
      <c r="E87" s="117" t="str">
        <f aca="false">IF($B87="","",الموظفون!$E87)</f>
        <v/>
      </c>
      <c r="F87" s="117" t="str">
        <f aca="false">IF($B87="","",IF(AK87=0,IF(AND(الموظفون!$AE87&lt;&gt;"",الموظفون!$AE87&lt;$E$3),"✖ منتهي الخدمة","⏳ لم يباشر"),IF(S87&gt;0,"✈ راتب إجازة مقدم",IF(J87=0,"⛔ بدون راتب هذا الشهر",IF(I87&gt;0,"✈ خصم "&amp;ROUND(I87,2)&amp;" يوم بدون أجر",IF(AL87&gt;0,"🌴 إجازة سنوية "&amp;ROUND(AL87,2)&amp;" يوم",IF(H87&gt;0,"⚠ غياب "&amp;ROUND(H87,2)&amp;" يوم","✔ على رأس العمل")))))))</f>
        <v/>
      </c>
      <c r="G87" s="156" t="str">
        <f aca="false">IF($B87="","",IF(AK87&gt;=DAY($F$3),cfg_DAYS_M,MIN(AK87,cfg_DAYS_M)))</f>
        <v/>
      </c>
      <c r="H87" s="156" t="str">
        <f aca="false">IF($B87="","",SUMIFS('الحركات الشهرية'!$D$6:$D$1005,'الحركات الشهرية'!$B$6:$B$1005,$B87,'الحركات الشهرية'!$A$6:$A$1005,$C$3))</f>
        <v/>
      </c>
      <c r="I87" s="156" t="str">
        <f aca="false">IF($B87="","",MIN(G87,IF(AND(AK87&gt;0,AN87&gt;=AK87),G87,AN87)+SUMIFS('الحركات الشهرية'!$E$6:$E$1005,'الحركات الشهرية'!$B$6:$B$1005,$B87,'الحركات الشهرية'!$A$6:$A$1005,$C$3)))</f>
        <v/>
      </c>
      <c r="J87" s="156" t="str">
        <f aca="false">IF($B87="","",MAX(0,G87-H87-I87))</f>
        <v/>
      </c>
      <c r="K87" s="116" t="str">
        <f aca="false">IF($B87="","",الموظفون!$L87*$J87/cfg_DAYS_M)</f>
        <v/>
      </c>
      <c r="L87" s="116" t="str">
        <f aca="false">IF($B87="","",الموظفون!$M87*$J87/cfg_DAYS_M)</f>
        <v/>
      </c>
      <c r="M87" s="116" t="str">
        <f aca="false">IF($B87="","",الموظفون!$N87*$J87/cfg_DAYS_M)</f>
        <v/>
      </c>
      <c r="N87" s="116" t="str">
        <f aca="false">IF($B87="","",الموظفون!$O87*$J87/cfg_DAYS_M)</f>
        <v/>
      </c>
      <c r="O87" s="156" t="str">
        <f aca="false">IF($B87="","",SUMIFS('الحركات الشهرية'!$F$6:$F$1005,'الحركات الشهرية'!$B$6:$B$1005,$B87,'الحركات الشهرية'!$A$6:$A$1005,$C$3))</f>
        <v/>
      </c>
      <c r="P87" s="116" t="str">
        <f aca="false">IF($B87="","",O87*(الموظفون!$P87+الموظفون!$L87*cfg_OT_P)/cfg_DAYS_M/cfg_HRS)</f>
        <v/>
      </c>
      <c r="Q87" s="116" t="str">
        <f aca="false">IF($B87="","",SUMIFS('الحركات الشهرية'!$G$6:$G$1005,'الحركات الشهرية'!$B$6:$B$1005,$B87,'الحركات الشهرية'!$A$6:$A$1005,$C$3))</f>
        <v/>
      </c>
      <c r="R87" s="116" t="str">
        <f aca="false">IF($B87="","",SUMIFS('الحركات الشهرية'!$H$6:$H$1005,'الحركات الشهرية'!$B$6:$B$1005,$B87,'الحركات الشهرية'!$A$6:$A$1005,$C$3))</f>
        <v/>
      </c>
      <c r="S87" s="116" t="str">
        <f aca="false">IF($B87="","",SUMIFS('سجل الإجازات والحالات'!$N$6:$N$505,'سجل الإجازات والحالات'!$B$6:$B$505,$B87,'سجل الإجازات والحالات'!$O$6:$O$505,$C$3))</f>
        <v/>
      </c>
      <c r="T87" s="157" t="str">
        <f aca="false">IF($B87="","",SUM(K87:N87)+SUM(P87:S87))</f>
        <v/>
      </c>
      <c r="U87" s="116" t="str">
        <f aca="false">IF($B87="","",الموظفون!$S87*IF(E87="سعودي",cfg_G_SE,cfg_G_NE)*G87/cfg_DAYS_M)</f>
        <v/>
      </c>
      <c r="V87" s="116" t="str">
        <f aca="false">IF($B87="","",SUMIFS('الحركات الشهرية'!$I$6:$I$1005,'الحركات الشهرية'!$B$6:$B$1005,$B87,'الحركات الشهرية'!$A$6:$A$1005,$C$3))</f>
        <v/>
      </c>
      <c r="W87" s="116" t="str">
        <f aca="false">IF($B87="","",SUMIFS('الحركات الشهرية'!$J$6:$J$1005,'الحركات الشهرية'!$B$6:$B$1005,$B87,'الحركات الشهرية'!$A$6:$A$1005,$C$3))</f>
        <v/>
      </c>
      <c r="X87" s="116" t="str">
        <f aca="false">IF($B87="","",SUM(U87:W87))</f>
        <v/>
      </c>
      <c r="Y87" s="158" t="str">
        <f aca="false">IF($B87="","",T87-X87)</f>
        <v/>
      </c>
      <c r="Z87" s="116" t="str">
        <f aca="false">IF($B87="","",الموظفون!$S87*IF(E87="سعودي",cfg_G_SR,cfg_G_NR)*G87/cfg_DAYS_M)</f>
        <v/>
      </c>
      <c r="AA87" s="116" t="str">
        <f aca="false">IF($B87="","",الموظفون!$Q87*(cfg_EOS_R1*(MIN(AH87,cfg_EOS_TH)-MIN(AI87,cfg_EOS_TH))+cfg_EOS_R2*(MAX(AH87-cfg_EOS_TH,0)-MAX(AI87-cfg_EOS_TH,0))))</f>
        <v/>
      </c>
      <c r="AB87" s="116" t="str">
        <f aca="false">IF($B87="","",IF(الموظفون!$T87&lt;&gt;"",الموظفون!$T87,IF(AH87&gt;=cfg_LV_TH,cfg_LV_D2,cfg_LV_D1))/cfg_DAYS_Y*AJ87*الموظفون!$R87/cfg_DAYS_M)</f>
        <v/>
      </c>
      <c r="AC87" s="116" t="str">
        <f aca="false">IF($B87="","",IF(AND(الموظفون!$U87="نعم",N(الموظفون!$W87)&gt;0),الموظفون!$V87/الموظفون!$W87*12/cfg_DAYS_Y*AJ87,0))</f>
        <v/>
      </c>
      <c r="AD87" s="116" t="str">
        <f aca="false">IF($B87="","",(IF(الموظفون!$X87&lt;&gt;"",الموظفون!$X87,IF(الموظفون!$E87="غير سعودي",cfg_IQ,0))+IF(الموظفون!$Y87&lt;&gt;"",الموظفون!$Y87,IF(الموظفون!$E87="غير سعودي",cfg_WP,0)))/12*G87/cfg_DAYS_M)</f>
        <v/>
      </c>
      <c r="AE87" s="116" t="str">
        <f aca="false">IF($B87="","",IF(الموظفون!$Z87&lt;&gt;"",الموظفون!$Z87,cfg_MED)/12*G87/cfg_DAYS_M)</f>
        <v/>
      </c>
      <c r="AF87" s="116" t="str">
        <f aca="false">IF($B87="","",N(الموظفون!$AA87)/12*G87/cfg_DAYS_M)</f>
        <v/>
      </c>
      <c r="AG87" s="159" t="str">
        <f aca="false">IF($B87="","",T87+SUM(Z87:AF87))</f>
        <v/>
      </c>
      <c r="AH87" s="160" t="str">
        <f aca="false">IF($B87="","",MAX(0,IF(OR(الموظفون!$AE87="",الموظفون!$AE87&gt;$F$3),$F$3,الموظفون!$AE87)-الموظفون!$H87+1-SUMIFS('سجل الإجازات والحالات'!$AH$6:$AH$505,'سجل الإجازات والحالات'!$B$6:$B$505,$B87))/cfg_DAYS_Y)</f>
        <v/>
      </c>
      <c r="AI87" s="160" t="str">
        <f aca="false">IF($B87="","",MAX(0,IF(OR(الموظفون!$AE87="",الموظفون!$AE87&gt;($E$3-1)),($E$3-1),الموظفون!$AE87)-الموظفون!$H87+1-SUMIFS('سجل الإجازات والحالات'!$R$6:$R$505,'سجل الإجازات والحالات'!$B$6:$B$505,$B87))/cfg_DAYS_Y)</f>
        <v/>
      </c>
      <c r="AJ87" s="133" t="str">
        <f aca="false">IF($B87="","",MAX(0,AK87-(SUMIFS('سجل الإجازات والحالات'!$AH$6:$AH$505,'سجل الإجازات والحالات'!$B$6:$B$505,$B87)-SUMIFS('سجل الإجازات والحالات'!$R$6:$R$505,'سجل الإجازات والحالات'!$B$6:$B$505,$B87))))</f>
        <v/>
      </c>
      <c r="AK87" s="133" t="str">
        <f aca="false">IF($B87="","",MAX(0,IF(OR(الموظفون!$AE87="",الموظفون!$AE87&gt;$F$3),$F$3,الموظفون!$AE87)-MAX($E$3,الموظفون!$H87)+1))</f>
        <v/>
      </c>
      <c r="AL87" s="156" t="str">
        <f aca="false">IF($B87="","",SUMIFS('سجل الإجازات والحالات'!$AT$6:$AT$505,'سجل الإجازات والحالات'!$B$6:$B$505,$B87)+SUMIFS('الحركات الشهرية'!$K$6:$K$1005,'الحركات الشهرية'!$B$6:$B$1005,$B87,'الحركات الشهرية'!$A$6:$A$1005,$C$3))</f>
        <v/>
      </c>
      <c r="AM87" s="116" t="str">
        <f aca="false">IF($B87="","",AL87*الموظفون!$R87/cfg_DAYS_M+S87)</f>
        <v/>
      </c>
      <c r="AN87" s="156" t="str">
        <f aca="false">IF($B87="","",SUMIFS('سجل الإجازات والحالات'!$V$6:$V$505,'سجل الإجازات والحالات'!$B$6:$B$505,$B87))</f>
        <v/>
      </c>
    </row>
    <row r="88" customFormat="false" ht="15" hidden="false" customHeight="false" outlineLevel="0" collapsed="false">
      <c r="A88" s="106" t="str">
        <f aca="false">IF($B88="","",الموظفون!$A88)</f>
        <v/>
      </c>
      <c r="B88" s="114" t="str">
        <f aca="false">IF(الموظفون!$B88="","",الموظفون!$B88)</f>
        <v/>
      </c>
      <c r="C88" s="114" t="str">
        <f aca="false">IF($B88="","",الموظفون!$C88)</f>
        <v/>
      </c>
      <c r="D88" s="114" t="str">
        <f aca="false">IF($B88="","",الموظفون!$F88)</f>
        <v/>
      </c>
      <c r="E88" s="114" t="str">
        <f aca="false">IF($B88="","",الموظفون!$E88)</f>
        <v/>
      </c>
      <c r="F88" s="114" t="str">
        <f aca="false">IF($B88="","",IF(AK88=0,IF(AND(الموظفون!$AE88&lt;&gt;"",الموظفون!$AE88&lt;$E$3),"✖ منتهي الخدمة","⏳ لم يباشر"),IF(S88&gt;0,"✈ راتب إجازة مقدم",IF(J88=0,"⛔ بدون راتب هذا الشهر",IF(I88&gt;0,"✈ خصم "&amp;ROUND(I88,2)&amp;" يوم بدون أجر",IF(AL88&gt;0,"🌴 إجازة سنوية "&amp;ROUND(AL88,2)&amp;" يوم",IF(H88&gt;0,"⚠ غياب "&amp;ROUND(H88,2)&amp;" يوم","✔ على رأس العمل")))))))</f>
        <v/>
      </c>
      <c r="G88" s="151" t="str">
        <f aca="false">IF($B88="","",IF(AK88&gt;=DAY($F$3),cfg_DAYS_M,MIN(AK88,cfg_DAYS_M)))</f>
        <v/>
      </c>
      <c r="H88" s="151" t="str">
        <f aca="false">IF($B88="","",SUMIFS('الحركات الشهرية'!$D$6:$D$1005,'الحركات الشهرية'!$B$6:$B$1005,$B88,'الحركات الشهرية'!$A$6:$A$1005,$C$3))</f>
        <v/>
      </c>
      <c r="I88" s="151" t="str">
        <f aca="false">IF($B88="","",MIN(G88,IF(AND(AK88&gt;0,AN88&gt;=AK88),G88,AN88)+SUMIFS('الحركات الشهرية'!$E$6:$E$1005,'الحركات الشهرية'!$B$6:$B$1005,$B88,'الحركات الشهرية'!$A$6:$A$1005,$C$3)))</f>
        <v/>
      </c>
      <c r="J88" s="151" t="str">
        <f aca="false">IF($B88="","",MAX(0,G88-H88-I88))</f>
        <v/>
      </c>
      <c r="K88" s="111" t="str">
        <f aca="false">IF($B88="","",الموظفون!$L88*$J88/cfg_DAYS_M)</f>
        <v/>
      </c>
      <c r="L88" s="111" t="str">
        <f aca="false">IF($B88="","",الموظفون!$M88*$J88/cfg_DAYS_M)</f>
        <v/>
      </c>
      <c r="M88" s="111" t="str">
        <f aca="false">IF($B88="","",الموظفون!$N88*$J88/cfg_DAYS_M)</f>
        <v/>
      </c>
      <c r="N88" s="111" t="str">
        <f aca="false">IF($B88="","",الموظفون!$O88*$J88/cfg_DAYS_M)</f>
        <v/>
      </c>
      <c r="O88" s="151" t="str">
        <f aca="false">IF($B88="","",SUMIFS('الحركات الشهرية'!$F$6:$F$1005,'الحركات الشهرية'!$B$6:$B$1005,$B88,'الحركات الشهرية'!$A$6:$A$1005,$C$3))</f>
        <v/>
      </c>
      <c r="P88" s="111" t="str">
        <f aca="false">IF($B88="","",O88*(الموظفون!$P88+الموظفون!$L88*cfg_OT_P)/cfg_DAYS_M/cfg_HRS)</f>
        <v/>
      </c>
      <c r="Q88" s="111" t="str">
        <f aca="false">IF($B88="","",SUMIFS('الحركات الشهرية'!$G$6:$G$1005,'الحركات الشهرية'!$B$6:$B$1005,$B88,'الحركات الشهرية'!$A$6:$A$1005,$C$3))</f>
        <v/>
      </c>
      <c r="R88" s="111" t="str">
        <f aca="false">IF($B88="","",SUMIFS('الحركات الشهرية'!$H$6:$H$1005,'الحركات الشهرية'!$B$6:$B$1005,$B88,'الحركات الشهرية'!$A$6:$A$1005,$C$3))</f>
        <v/>
      </c>
      <c r="S88" s="111" t="str">
        <f aca="false">IF($B88="","",SUMIFS('سجل الإجازات والحالات'!$N$6:$N$505,'سجل الإجازات والحالات'!$B$6:$B$505,$B88,'سجل الإجازات والحالات'!$O$6:$O$505,$C$3))</f>
        <v/>
      </c>
      <c r="T88" s="152" t="str">
        <f aca="false">IF($B88="","",SUM(K88:N88)+SUM(P88:S88))</f>
        <v/>
      </c>
      <c r="U88" s="111" t="str">
        <f aca="false">IF($B88="","",الموظفون!$S88*IF(E88="سعودي",cfg_G_SE,cfg_G_NE)*G88/cfg_DAYS_M)</f>
        <v/>
      </c>
      <c r="V88" s="111" t="str">
        <f aca="false">IF($B88="","",SUMIFS('الحركات الشهرية'!$I$6:$I$1005,'الحركات الشهرية'!$B$6:$B$1005,$B88,'الحركات الشهرية'!$A$6:$A$1005,$C$3))</f>
        <v/>
      </c>
      <c r="W88" s="111" t="str">
        <f aca="false">IF($B88="","",SUMIFS('الحركات الشهرية'!$J$6:$J$1005,'الحركات الشهرية'!$B$6:$B$1005,$B88,'الحركات الشهرية'!$A$6:$A$1005,$C$3))</f>
        <v/>
      </c>
      <c r="X88" s="111" t="str">
        <f aca="false">IF($B88="","",SUM(U88:W88))</f>
        <v/>
      </c>
      <c r="Y88" s="153" t="str">
        <f aca="false">IF($B88="","",T88-X88)</f>
        <v/>
      </c>
      <c r="Z88" s="111" t="str">
        <f aca="false">IF($B88="","",الموظفون!$S88*IF(E88="سعودي",cfg_G_SR,cfg_G_NR)*G88/cfg_DAYS_M)</f>
        <v/>
      </c>
      <c r="AA88" s="111" t="str">
        <f aca="false">IF($B88="","",الموظفون!$Q88*(cfg_EOS_R1*(MIN(AH88,cfg_EOS_TH)-MIN(AI88,cfg_EOS_TH))+cfg_EOS_R2*(MAX(AH88-cfg_EOS_TH,0)-MAX(AI88-cfg_EOS_TH,0))))</f>
        <v/>
      </c>
      <c r="AB88" s="111" t="str">
        <f aca="false">IF($B88="","",IF(الموظفون!$T88&lt;&gt;"",الموظفون!$T88,IF(AH88&gt;=cfg_LV_TH,cfg_LV_D2,cfg_LV_D1))/cfg_DAYS_Y*AJ88*الموظفون!$R88/cfg_DAYS_M)</f>
        <v/>
      </c>
      <c r="AC88" s="111" t="str">
        <f aca="false">IF($B88="","",IF(AND(الموظفون!$U88="نعم",N(الموظفون!$W88)&gt;0),الموظفون!$V88/الموظفون!$W88*12/cfg_DAYS_Y*AJ88,0))</f>
        <v/>
      </c>
      <c r="AD88" s="111" t="str">
        <f aca="false">IF($B88="","",(IF(الموظفون!$X88&lt;&gt;"",الموظفون!$X88,IF(الموظفون!$E88="غير سعودي",cfg_IQ,0))+IF(الموظفون!$Y88&lt;&gt;"",الموظفون!$Y88,IF(الموظفون!$E88="غير سعودي",cfg_WP,0)))/12*G88/cfg_DAYS_M)</f>
        <v/>
      </c>
      <c r="AE88" s="111" t="str">
        <f aca="false">IF($B88="","",IF(الموظفون!$Z88&lt;&gt;"",الموظفون!$Z88,cfg_MED)/12*G88/cfg_DAYS_M)</f>
        <v/>
      </c>
      <c r="AF88" s="111" t="str">
        <f aca="false">IF($B88="","",N(الموظفون!$AA88)/12*G88/cfg_DAYS_M)</f>
        <v/>
      </c>
      <c r="AG88" s="154" t="str">
        <f aca="false">IF($B88="","",T88+SUM(Z88:AF88))</f>
        <v/>
      </c>
      <c r="AH88" s="155" t="str">
        <f aca="false">IF($B88="","",MAX(0,IF(OR(الموظفون!$AE88="",الموظفون!$AE88&gt;$F$3),$F$3,الموظفون!$AE88)-الموظفون!$H88+1-SUMIFS('سجل الإجازات والحالات'!$AH$6:$AH$505,'سجل الإجازات والحالات'!$B$6:$B$505,$B88))/cfg_DAYS_Y)</f>
        <v/>
      </c>
      <c r="AI88" s="155" t="str">
        <f aca="false">IF($B88="","",MAX(0,IF(OR(الموظفون!$AE88="",الموظفون!$AE88&gt;($E$3-1)),($E$3-1),الموظفون!$AE88)-الموظفون!$H88+1-SUMIFS('سجل الإجازات والحالات'!$R$6:$R$505,'سجل الإجازات والحالات'!$B$6:$B$505,$B88))/cfg_DAYS_Y)</f>
        <v/>
      </c>
      <c r="AJ88" s="65" t="str">
        <f aca="false">IF($B88="","",MAX(0,AK88-(SUMIFS('سجل الإجازات والحالات'!$AH$6:$AH$505,'سجل الإجازات والحالات'!$B$6:$B$505,$B88)-SUMIFS('سجل الإجازات والحالات'!$R$6:$R$505,'سجل الإجازات والحالات'!$B$6:$B$505,$B88))))</f>
        <v/>
      </c>
      <c r="AK88" s="65" t="str">
        <f aca="false">IF($B88="","",MAX(0,IF(OR(الموظفون!$AE88="",الموظفون!$AE88&gt;$F$3),$F$3,الموظفون!$AE88)-MAX($E$3,الموظفون!$H88)+1))</f>
        <v/>
      </c>
      <c r="AL88" s="151" t="str">
        <f aca="false">IF($B88="","",SUMIFS('سجل الإجازات والحالات'!$AT$6:$AT$505,'سجل الإجازات والحالات'!$B$6:$B$505,$B88)+SUMIFS('الحركات الشهرية'!$K$6:$K$1005,'الحركات الشهرية'!$B$6:$B$1005,$B88,'الحركات الشهرية'!$A$6:$A$1005,$C$3))</f>
        <v/>
      </c>
      <c r="AM88" s="111" t="str">
        <f aca="false">IF($B88="","",AL88*الموظفون!$R88/cfg_DAYS_M+S88)</f>
        <v/>
      </c>
      <c r="AN88" s="151" t="str">
        <f aca="false">IF($B88="","",SUMIFS('سجل الإجازات والحالات'!$V$6:$V$505,'سجل الإجازات والحالات'!$B$6:$B$505,$B88))</f>
        <v/>
      </c>
    </row>
    <row r="89" customFormat="false" ht="15" hidden="false" customHeight="false" outlineLevel="0" collapsed="false">
      <c r="A89" s="115" t="str">
        <f aca="false">IF($B89="","",الموظفون!$A89)</f>
        <v/>
      </c>
      <c r="B89" s="117" t="str">
        <f aca="false">IF(الموظفون!$B89="","",الموظفون!$B89)</f>
        <v/>
      </c>
      <c r="C89" s="117" t="str">
        <f aca="false">IF($B89="","",الموظفون!$C89)</f>
        <v/>
      </c>
      <c r="D89" s="117" t="str">
        <f aca="false">IF($B89="","",الموظفون!$F89)</f>
        <v/>
      </c>
      <c r="E89" s="117" t="str">
        <f aca="false">IF($B89="","",الموظفون!$E89)</f>
        <v/>
      </c>
      <c r="F89" s="117" t="str">
        <f aca="false">IF($B89="","",IF(AK89=0,IF(AND(الموظفون!$AE89&lt;&gt;"",الموظفون!$AE89&lt;$E$3),"✖ منتهي الخدمة","⏳ لم يباشر"),IF(S89&gt;0,"✈ راتب إجازة مقدم",IF(J89=0,"⛔ بدون راتب هذا الشهر",IF(I89&gt;0,"✈ خصم "&amp;ROUND(I89,2)&amp;" يوم بدون أجر",IF(AL89&gt;0,"🌴 إجازة سنوية "&amp;ROUND(AL89,2)&amp;" يوم",IF(H89&gt;0,"⚠ غياب "&amp;ROUND(H89,2)&amp;" يوم","✔ على رأس العمل")))))))</f>
        <v/>
      </c>
      <c r="G89" s="156" t="str">
        <f aca="false">IF($B89="","",IF(AK89&gt;=DAY($F$3),cfg_DAYS_M,MIN(AK89,cfg_DAYS_M)))</f>
        <v/>
      </c>
      <c r="H89" s="156" t="str">
        <f aca="false">IF($B89="","",SUMIFS('الحركات الشهرية'!$D$6:$D$1005,'الحركات الشهرية'!$B$6:$B$1005,$B89,'الحركات الشهرية'!$A$6:$A$1005,$C$3))</f>
        <v/>
      </c>
      <c r="I89" s="156" t="str">
        <f aca="false">IF($B89="","",MIN(G89,IF(AND(AK89&gt;0,AN89&gt;=AK89),G89,AN89)+SUMIFS('الحركات الشهرية'!$E$6:$E$1005,'الحركات الشهرية'!$B$6:$B$1005,$B89,'الحركات الشهرية'!$A$6:$A$1005,$C$3)))</f>
        <v/>
      </c>
      <c r="J89" s="156" t="str">
        <f aca="false">IF($B89="","",MAX(0,G89-H89-I89))</f>
        <v/>
      </c>
      <c r="K89" s="116" t="str">
        <f aca="false">IF($B89="","",الموظفون!$L89*$J89/cfg_DAYS_M)</f>
        <v/>
      </c>
      <c r="L89" s="116" t="str">
        <f aca="false">IF($B89="","",الموظفون!$M89*$J89/cfg_DAYS_M)</f>
        <v/>
      </c>
      <c r="M89" s="116" t="str">
        <f aca="false">IF($B89="","",الموظفون!$N89*$J89/cfg_DAYS_M)</f>
        <v/>
      </c>
      <c r="N89" s="116" t="str">
        <f aca="false">IF($B89="","",الموظفون!$O89*$J89/cfg_DAYS_M)</f>
        <v/>
      </c>
      <c r="O89" s="156" t="str">
        <f aca="false">IF($B89="","",SUMIFS('الحركات الشهرية'!$F$6:$F$1005,'الحركات الشهرية'!$B$6:$B$1005,$B89,'الحركات الشهرية'!$A$6:$A$1005,$C$3))</f>
        <v/>
      </c>
      <c r="P89" s="116" t="str">
        <f aca="false">IF($B89="","",O89*(الموظفون!$P89+الموظفون!$L89*cfg_OT_P)/cfg_DAYS_M/cfg_HRS)</f>
        <v/>
      </c>
      <c r="Q89" s="116" t="str">
        <f aca="false">IF($B89="","",SUMIFS('الحركات الشهرية'!$G$6:$G$1005,'الحركات الشهرية'!$B$6:$B$1005,$B89,'الحركات الشهرية'!$A$6:$A$1005,$C$3))</f>
        <v/>
      </c>
      <c r="R89" s="116" t="str">
        <f aca="false">IF($B89="","",SUMIFS('الحركات الشهرية'!$H$6:$H$1005,'الحركات الشهرية'!$B$6:$B$1005,$B89,'الحركات الشهرية'!$A$6:$A$1005,$C$3))</f>
        <v/>
      </c>
      <c r="S89" s="116" t="str">
        <f aca="false">IF($B89="","",SUMIFS('سجل الإجازات والحالات'!$N$6:$N$505,'سجل الإجازات والحالات'!$B$6:$B$505,$B89,'سجل الإجازات والحالات'!$O$6:$O$505,$C$3))</f>
        <v/>
      </c>
      <c r="T89" s="157" t="str">
        <f aca="false">IF($B89="","",SUM(K89:N89)+SUM(P89:S89))</f>
        <v/>
      </c>
      <c r="U89" s="116" t="str">
        <f aca="false">IF($B89="","",الموظفون!$S89*IF(E89="سعودي",cfg_G_SE,cfg_G_NE)*G89/cfg_DAYS_M)</f>
        <v/>
      </c>
      <c r="V89" s="116" t="str">
        <f aca="false">IF($B89="","",SUMIFS('الحركات الشهرية'!$I$6:$I$1005,'الحركات الشهرية'!$B$6:$B$1005,$B89,'الحركات الشهرية'!$A$6:$A$1005,$C$3))</f>
        <v/>
      </c>
      <c r="W89" s="116" t="str">
        <f aca="false">IF($B89="","",SUMIFS('الحركات الشهرية'!$J$6:$J$1005,'الحركات الشهرية'!$B$6:$B$1005,$B89,'الحركات الشهرية'!$A$6:$A$1005,$C$3))</f>
        <v/>
      </c>
      <c r="X89" s="116" t="str">
        <f aca="false">IF($B89="","",SUM(U89:W89))</f>
        <v/>
      </c>
      <c r="Y89" s="158" t="str">
        <f aca="false">IF($B89="","",T89-X89)</f>
        <v/>
      </c>
      <c r="Z89" s="116" t="str">
        <f aca="false">IF($B89="","",الموظفون!$S89*IF(E89="سعودي",cfg_G_SR,cfg_G_NR)*G89/cfg_DAYS_M)</f>
        <v/>
      </c>
      <c r="AA89" s="116" t="str">
        <f aca="false">IF($B89="","",الموظفون!$Q89*(cfg_EOS_R1*(MIN(AH89,cfg_EOS_TH)-MIN(AI89,cfg_EOS_TH))+cfg_EOS_R2*(MAX(AH89-cfg_EOS_TH,0)-MAX(AI89-cfg_EOS_TH,0))))</f>
        <v/>
      </c>
      <c r="AB89" s="116" t="str">
        <f aca="false">IF($B89="","",IF(الموظفون!$T89&lt;&gt;"",الموظفون!$T89,IF(AH89&gt;=cfg_LV_TH,cfg_LV_D2,cfg_LV_D1))/cfg_DAYS_Y*AJ89*الموظفون!$R89/cfg_DAYS_M)</f>
        <v/>
      </c>
      <c r="AC89" s="116" t="str">
        <f aca="false">IF($B89="","",IF(AND(الموظفون!$U89="نعم",N(الموظفون!$W89)&gt;0),الموظفون!$V89/الموظفون!$W89*12/cfg_DAYS_Y*AJ89,0))</f>
        <v/>
      </c>
      <c r="AD89" s="116" t="str">
        <f aca="false">IF($B89="","",(IF(الموظفون!$X89&lt;&gt;"",الموظفون!$X89,IF(الموظفون!$E89="غير سعودي",cfg_IQ,0))+IF(الموظفون!$Y89&lt;&gt;"",الموظفون!$Y89,IF(الموظفون!$E89="غير سعودي",cfg_WP,0)))/12*G89/cfg_DAYS_M)</f>
        <v/>
      </c>
      <c r="AE89" s="116" t="str">
        <f aca="false">IF($B89="","",IF(الموظفون!$Z89&lt;&gt;"",الموظفون!$Z89,cfg_MED)/12*G89/cfg_DAYS_M)</f>
        <v/>
      </c>
      <c r="AF89" s="116" t="str">
        <f aca="false">IF($B89="","",N(الموظفون!$AA89)/12*G89/cfg_DAYS_M)</f>
        <v/>
      </c>
      <c r="AG89" s="159" t="str">
        <f aca="false">IF($B89="","",T89+SUM(Z89:AF89))</f>
        <v/>
      </c>
      <c r="AH89" s="160" t="str">
        <f aca="false">IF($B89="","",MAX(0,IF(OR(الموظفون!$AE89="",الموظفون!$AE89&gt;$F$3),$F$3,الموظفون!$AE89)-الموظفون!$H89+1-SUMIFS('سجل الإجازات والحالات'!$AH$6:$AH$505,'سجل الإجازات والحالات'!$B$6:$B$505,$B89))/cfg_DAYS_Y)</f>
        <v/>
      </c>
      <c r="AI89" s="160" t="str">
        <f aca="false">IF($B89="","",MAX(0,IF(OR(الموظفون!$AE89="",الموظفون!$AE89&gt;($E$3-1)),($E$3-1),الموظفون!$AE89)-الموظفون!$H89+1-SUMIFS('سجل الإجازات والحالات'!$R$6:$R$505,'سجل الإجازات والحالات'!$B$6:$B$505,$B89))/cfg_DAYS_Y)</f>
        <v/>
      </c>
      <c r="AJ89" s="133" t="str">
        <f aca="false">IF($B89="","",MAX(0,AK89-(SUMIFS('سجل الإجازات والحالات'!$AH$6:$AH$505,'سجل الإجازات والحالات'!$B$6:$B$505,$B89)-SUMIFS('سجل الإجازات والحالات'!$R$6:$R$505,'سجل الإجازات والحالات'!$B$6:$B$505,$B89))))</f>
        <v/>
      </c>
      <c r="AK89" s="133" t="str">
        <f aca="false">IF($B89="","",MAX(0,IF(OR(الموظفون!$AE89="",الموظفون!$AE89&gt;$F$3),$F$3,الموظفون!$AE89)-MAX($E$3,الموظفون!$H89)+1))</f>
        <v/>
      </c>
      <c r="AL89" s="156" t="str">
        <f aca="false">IF($B89="","",SUMIFS('سجل الإجازات والحالات'!$AT$6:$AT$505,'سجل الإجازات والحالات'!$B$6:$B$505,$B89)+SUMIFS('الحركات الشهرية'!$K$6:$K$1005,'الحركات الشهرية'!$B$6:$B$1005,$B89,'الحركات الشهرية'!$A$6:$A$1005,$C$3))</f>
        <v/>
      </c>
      <c r="AM89" s="116" t="str">
        <f aca="false">IF($B89="","",AL89*الموظفون!$R89/cfg_DAYS_M+S89)</f>
        <v/>
      </c>
      <c r="AN89" s="156" t="str">
        <f aca="false">IF($B89="","",SUMIFS('سجل الإجازات والحالات'!$V$6:$V$505,'سجل الإجازات والحالات'!$B$6:$B$505,$B89))</f>
        <v/>
      </c>
    </row>
    <row r="90" customFormat="false" ht="15" hidden="false" customHeight="false" outlineLevel="0" collapsed="false">
      <c r="A90" s="106" t="str">
        <f aca="false">IF($B90="","",الموظفون!$A90)</f>
        <v/>
      </c>
      <c r="B90" s="114" t="str">
        <f aca="false">IF(الموظفون!$B90="","",الموظفون!$B90)</f>
        <v/>
      </c>
      <c r="C90" s="114" t="str">
        <f aca="false">IF($B90="","",الموظفون!$C90)</f>
        <v/>
      </c>
      <c r="D90" s="114" t="str">
        <f aca="false">IF($B90="","",الموظفون!$F90)</f>
        <v/>
      </c>
      <c r="E90" s="114" t="str">
        <f aca="false">IF($B90="","",الموظفون!$E90)</f>
        <v/>
      </c>
      <c r="F90" s="114" t="str">
        <f aca="false">IF($B90="","",IF(AK90=0,IF(AND(الموظفون!$AE90&lt;&gt;"",الموظفون!$AE90&lt;$E$3),"✖ منتهي الخدمة","⏳ لم يباشر"),IF(S90&gt;0,"✈ راتب إجازة مقدم",IF(J90=0,"⛔ بدون راتب هذا الشهر",IF(I90&gt;0,"✈ خصم "&amp;ROUND(I90,2)&amp;" يوم بدون أجر",IF(AL90&gt;0,"🌴 إجازة سنوية "&amp;ROUND(AL90,2)&amp;" يوم",IF(H90&gt;0,"⚠ غياب "&amp;ROUND(H90,2)&amp;" يوم","✔ على رأس العمل")))))))</f>
        <v/>
      </c>
      <c r="G90" s="151" t="str">
        <f aca="false">IF($B90="","",IF(AK90&gt;=DAY($F$3),cfg_DAYS_M,MIN(AK90,cfg_DAYS_M)))</f>
        <v/>
      </c>
      <c r="H90" s="151" t="str">
        <f aca="false">IF($B90="","",SUMIFS('الحركات الشهرية'!$D$6:$D$1005,'الحركات الشهرية'!$B$6:$B$1005,$B90,'الحركات الشهرية'!$A$6:$A$1005,$C$3))</f>
        <v/>
      </c>
      <c r="I90" s="151" t="str">
        <f aca="false">IF($B90="","",MIN(G90,IF(AND(AK90&gt;0,AN90&gt;=AK90),G90,AN90)+SUMIFS('الحركات الشهرية'!$E$6:$E$1005,'الحركات الشهرية'!$B$6:$B$1005,$B90,'الحركات الشهرية'!$A$6:$A$1005,$C$3)))</f>
        <v/>
      </c>
      <c r="J90" s="151" t="str">
        <f aca="false">IF($B90="","",MAX(0,G90-H90-I90))</f>
        <v/>
      </c>
      <c r="K90" s="111" t="str">
        <f aca="false">IF($B90="","",الموظفون!$L90*$J90/cfg_DAYS_M)</f>
        <v/>
      </c>
      <c r="L90" s="111" t="str">
        <f aca="false">IF($B90="","",الموظفون!$M90*$J90/cfg_DAYS_M)</f>
        <v/>
      </c>
      <c r="M90" s="111" t="str">
        <f aca="false">IF($B90="","",الموظفون!$N90*$J90/cfg_DAYS_M)</f>
        <v/>
      </c>
      <c r="N90" s="111" t="str">
        <f aca="false">IF($B90="","",الموظفون!$O90*$J90/cfg_DAYS_M)</f>
        <v/>
      </c>
      <c r="O90" s="151" t="str">
        <f aca="false">IF($B90="","",SUMIFS('الحركات الشهرية'!$F$6:$F$1005,'الحركات الشهرية'!$B$6:$B$1005,$B90,'الحركات الشهرية'!$A$6:$A$1005,$C$3))</f>
        <v/>
      </c>
      <c r="P90" s="111" t="str">
        <f aca="false">IF($B90="","",O90*(الموظفون!$P90+الموظفون!$L90*cfg_OT_P)/cfg_DAYS_M/cfg_HRS)</f>
        <v/>
      </c>
      <c r="Q90" s="111" t="str">
        <f aca="false">IF($B90="","",SUMIFS('الحركات الشهرية'!$G$6:$G$1005,'الحركات الشهرية'!$B$6:$B$1005,$B90,'الحركات الشهرية'!$A$6:$A$1005,$C$3))</f>
        <v/>
      </c>
      <c r="R90" s="111" t="str">
        <f aca="false">IF($B90="","",SUMIFS('الحركات الشهرية'!$H$6:$H$1005,'الحركات الشهرية'!$B$6:$B$1005,$B90,'الحركات الشهرية'!$A$6:$A$1005,$C$3))</f>
        <v/>
      </c>
      <c r="S90" s="111" t="str">
        <f aca="false">IF($B90="","",SUMIFS('سجل الإجازات والحالات'!$N$6:$N$505,'سجل الإجازات والحالات'!$B$6:$B$505,$B90,'سجل الإجازات والحالات'!$O$6:$O$505,$C$3))</f>
        <v/>
      </c>
      <c r="T90" s="152" t="str">
        <f aca="false">IF($B90="","",SUM(K90:N90)+SUM(P90:S90))</f>
        <v/>
      </c>
      <c r="U90" s="111" t="str">
        <f aca="false">IF($B90="","",الموظفون!$S90*IF(E90="سعودي",cfg_G_SE,cfg_G_NE)*G90/cfg_DAYS_M)</f>
        <v/>
      </c>
      <c r="V90" s="111" t="str">
        <f aca="false">IF($B90="","",SUMIFS('الحركات الشهرية'!$I$6:$I$1005,'الحركات الشهرية'!$B$6:$B$1005,$B90,'الحركات الشهرية'!$A$6:$A$1005,$C$3))</f>
        <v/>
      </c>
      <c r="W90" s="111" t="str">
        <f aca="false">IF($B90="","",SUMIFS('الحركات الشهرية'!$J$6:$J$1005,'الحركات الشهرية'!$B$6:$B$1005,$B90,'الحركات الشهرية'!$A$6:$A$1005,$C$3))</f>
        <v/>
      </c>
      <c r="X90" s="111" t="str">
        <f aca="false">IF($B90="","",SUM(U90:W90))</f>
        <v/>
      </c>
      <c r="Y90" s="153" t="str">
        <f aca="false">IF($B90="","",T90-X90)</f>
        <v/>
      </c>
      <c r="Z90" s="111" t="str">
        <f aca="false">IF($B90="","",الموظفون!$S90*IF(E90="سعودي",cfg_G_SR,cfg_G_NR)*G90/cfg_DAYS_M)</f>
        <v/>
      </c>
      <c r="AA90" s="111" t="str">
        <f aca="false">IF($B90="","",الموظفون!$Q90*(cfg_EOS_R1*(MIN(AH90,cfg_EOS_TH)-MIN(AI90,cfg_EOS_TH))+cfg_EOS_R2*(MAX(AH90-cfg_EOS_TH,0)-MAX(AI90-cfg_EOS_TH,0))))</f>
        <v/>
      </c>
      <c r="AB90" s="111" t="str">
        <f aca="false">IF($B90="","",IF(الموظفون!$T90&lt;&gt;"",الموظفون!$T90,IF(AH90&gt;=cfg_LV_TH,cfg_LV_D2,cfg_LV_D1))/cfg_DAYS_Y*AJ90*الموظفون!$R90/cfg_DAYS_M)</f>
        <v/>
      </c>
      <c r="AC90" s="111" t="str">
        <f aca="false">IF($B90="","",IF(AND(الموظفون!$U90="نعم",N(الموظفون!$W90)&gt;0),الموظفون!$V90/الموظفون!$W90*12/cfg_DAYS_Y*AJ90,0))</f>
        <v/>
      </c>
      <c r="AD90" s="111" t="str">
        <f aca="false">IF($B90="","",(IF(الموظفون!$X90&lt;&gt;"",الموظفون!$X90,IF(الموظفون!$E90="غير سعودي",cfg_IQ,0))+IF(الموظفون!$Y90&lt;&gt;"",الموظفون!$Y90,IF(الموظفون!$E90="غير سعودي",cfg_WP,0)))/12*G90/cfg_DAYS_M)</f>
        <v/>
      </c>
      <c r="AE90" s="111" t="str">
        <f aca="false">IF($B90="","",IF(الموظفون!$Z90&lt;&gt;"",الموظفون!$Z90,cfg_MED)/12*G90/cfg_DAYS_M)</f>
        <v/>
      </c>
      <c r="AF90" s="111" t="str">
        <f aca="false">IF($B90="","",N(الموظفون!$AA90)/12*G90/cfg_DAYS_M)</f>
        <v/>
      </c>
      <c r="AG90" s="154" t="str">
        <f aca="false">IF($B90="","",T90+SUM(Z90:AF90))</f>
        <v/>
      </c>
      <c r="AH90" s="155" t="str">
        <f aca="false">IF($B90="","",MAX(0,IF(OR(الموظفون!$AE90="",الموظفون!$AE90&gt;$F$3),$F$3,الموظفون!$AE90)-الموظفون!$H90+1-SUMIFS('سجل الإجازات والحالات'!$AH$6:$AH$505,'سجل الإجازات والحالات'!$B$6:$B$505,$B90))/cfg_DAYS_Y)</f>
        <v/>
      </c>
      <c r="AI90" s="155" t="str">
        <f aca="false">IF($B90="","",MAX(0,IF(OR(الموظفون!$AE90="",الموظفون!$AE90&gt;($E$3-1)),($E$3-1),الموظفون!$AE90)-الموظفون!$H90+1-SUMIFS('سجل الإجازات والحالات'!$R$6:$R$505,'سجل الإجازات والحالات'!$B$6:$B$505,$B90))/cfg_DAYS_Y)</f>
        <v/>
      </c>
      <c r="AJ90" s="65" t="str">
        <f aca="false">IF($B90="","",MAX(0,AK90-(SUMIFS('سجل الإجازات والحالات'!$AH$6:$AH$505,'سجل الإجازات والحالات'!$B$6:$B$505,$B90)-SUMIFS('سجل الإجازات والحالات'!$R$6:$R$505,'سجل الإجازات والحالات'!$B$6:$B$505,$B90))))</f>
        <v/>
      </c>
      <c r="AK90" s="65" t="str">
        <f aca="false">IF($B90="","",MAX(0,IF(OR(الموظفون!$AE90="",الموظفون!$AE90&gt;$F$3),$F$3,الموظفون!$AE90)-MAX($E$3,الموظفون!$H90)+1))</f>
        <v/>
      </c>
      <c r="AL90" s="151" t="str">
        <f aca="false">IF($B90="","",SUMIFS('سجل الإجازات والحالات'!$AT$6:$AT$505,'سجل الإجازات والحالات'!$B$6:$B$505,$B90)+SUMIFS('الحركات الشهرية'!$K$6:$K$1005,'الحركات الشهرية'!$B$6:$B$1005,$B90,'الحركات الشهرية'!$A$6:$A$1005,$C$3))</f>
        <v/>
      </c>
      <c r="AM90" s="111" t="str">
        <f aca="false">IF($B90="","",AL90*الموظفون!$R90/cfg_DAYS_M+S90)</f>
        <v/>
      </c>
      <c r="AN90" s="151" t="str">
        <f aca="false">IF($B90="","",SUMIFS('سجل الإجازات والحالات'!$V$6:$V$505,'سجل الإجازات والحالات'!$B$6:$B$505,$B90))</f>
        <v/>
      </c>
    </row>
    <row r="91" customFormat="false" ht="15" hidden="false" customHeight="false" outlineLevel="0" collapsed="false">
      <c r="A91" s="115" t="str">
        <f aca="false">IF($B91="","",الموظفون!$A91)</f>
        <v/>
      </c>
      <c r="B91" s="117" t="str">
        <f aca="false">IF(الموظفون!$B91="","",الموظفون!$B91)</f>
        <v/>
      </c>
      <c r="C91" s="117" t="str">
        <f aca="false">IF($B91="","",الموظفون!$C91)</f>
        <v/>
      </c>
      <c r="D91" s="117" t="str">
        <f aca="false">IF($B91="","",الموظفون!$F91)</f>
        <v/>
      </c>
      <c r="E91" s="117" t="str">
        <f aca="false">IF($B91="","",الموظفون!$E91)</f>
        <v/>
      </c>
      <c r="F91" s="117" t="str">
        <f aca="false">IF($B91="","",IF(AK91=0,IF(AND(الموظفون!$AE91&lt;&gt;"",الموظفون!$AE91&lt;$E$3),"✖ منتهي الخدمة","⏳ لم يباشر"),IF(S91&gt;0,"✈ راتب إجازة مقدم",IF(J91=0,"⛔ بدون راتب هذا الشهر",IF(I91&gt;0,"✈ خصم "&amp;ROUND(I91,2)&amp;" يوم بدون أجر",IF(AL91&gt;0,"🌴 إجازة سنوية "&amp;ROUND(AL91,2)&amp;" يوم",IF(H91&gt;0,"⚠ غياب "&amp;ROUND(H91,2)&amp;" يوم","✔ على رأس العمل")))))))</f>
        <v/>
      </c>
      <c r="G91" s="156" t="str">
        <f aca="false">IF($B91="","",IF(AK91&gt;=DAY($F$3),cfg_DAYS_M,MIN(AK91,cfg_DAYS_M)))</f>
        <v/>
      </c>
      <c r="H91" s="156" t="str">
        <f aca="false">IF($B91="","",SUMIFS('الحركات الشهرية'!$D$6:$D$1005,'الحركات الشهرية'!$B$6:$B$1005,$B91,'الحركات الشهرية'!$A$6:$A$1005,$C$3))</f>
        <v/>
      </c>
      <c r="I91" s="156" t="str">
        <f aca="false">IF($B91="","",MIN(G91,IF(AND(AK91&gt;0,AN91&gt;=AK91),G91,AN91)+SUMIFS('الحركات الشهرية'!$E$6:$E$1005,'الحركات الشهرية'!$B$6:$B$1005,$B91,'الحركات الشهرية'!$A$6:$A$1005,$C$3)))</f>
        <v/>
      </c>
      <c r="J91" s="156" t="str">
        <f aca="false">IF($B91="","",MAX(0,G91-H91-I91))</f>
        <v/>
      </c>
      <c r="K91" s="116" t="str">
        <f aca="false">IF($B91="","",الموظفون!$L91*$J91/cfg_DAYS_M)</f>
        <v/>
      </c>
      <c r="L91" s="116" t="str">
        <f aca="false">IF($B91="","",الموظفون!$M91*$J91/cfg_DAYS_M)</f>
        <v/>
      </c>
      <c r="M91" s="116" t="str">
        <f aca="false">IF($B91="","",الموظفون!$N91*$J91/cfg_DAYS_M)</f>
        <v/>
      </c>
      <c r="N91" s="116" t="str">
        <f aca="false">IF($B91="","",الموظفون!$O91*$J91/cfg_DAYS_M)</f>
        <v/>
      </c>
      <c r="O91" s="156" t="str">
        <f aca="false">IF($B91="","",SUMIFS('الحركات الشهرية'!$F$6:$F$1005,'الحركات الشهرية'!$B$6:$B$1005,$B91,'الحركات الشهرية'!$A$6:$A$1005,$C$3))</f>
        <v/>
      </c>
      <c r="P91" s="116" t="str">
        <f aca="false">IF($B91="","",O91*(الموظفون!$P91+الموظفون!$L91*cfg_OT_P)/cfg_DAYS_M/cfg_HRS)</f>
        <v/>
      </c>
      <c r="Q91" s="116" t="str">
        <f aca="false">IF($B91="","",SUMIFS('الحركات الشهرية'!$G$6:$G$1005,'الحركات الشهرية'!$B$6:$B$1005,$B91,'الحركات الشهرية'!$A$6:$A$1005,$C$3))</f>
        <v/>
      </c>
      <c r="R91" s="116" t="str">
        <f aca="false">IF($B91="","",SUMIFS('الحركات الشهرية'!$H$6:$H$1005,'الحركات الشهرية'!$B$6:$B$1005,$B91,'الحركات الشهرية'!$A$6:$A$1005,$C$3))</f>
        <v/>
      </c>
      <c r="S91" s="116" t="str">
        <f aca="false">IF($B91="","",SUMIFS('سجل الإجازات والحالات'!$N$6:$N$505,'سجل الإجازات والحالات'!$B$6:$B$505,$B91,'سجل الإجازات والحالات'!$O$6:$O$505,$C$3))</f>
        <v/>
      </c>
      <c r="T91" s="157" t="str">
        <f aca="false">IF($B91="","",SUM(K91:N91)+SUM(P91:S91))</f>
        <v/>
      </c>
      <c r="U91" s="116" t="str">
        <f aca="false">IF($B91="","",الموظفون!$S91*IF(E91="سعودي",cfg_G_SE,cfg_G_NE)*G91/cfg_DAYS_M)</f>
        <v/>
      </c>
      <c r="V91" s="116" t="str">
        <f aca="false">IF($B91="","",SUMIFS('الحركات الشهرية'!$I$6:$I$1005,'الحركات الشهرية'!$B$6:$B$1005,$B91,'الحركات الشهرية'!$A$6:$A$1005,$C$3))</f>
        <v/>
      </c>
      <c r="W91" s="116" t="str">
        <f aca="false">IF($B91="","",SUMIFS('الحركات الشهرية'!$J$6:$J$1005,'الحركات الشهرية'!$B$6:$B$1005,$B91,'الحركات الشهرية'!$A$6:$A$1005,$C$3))</f>
        <v/>
      </c>
      <c r="X91" s="116" t="str">
        <f aca="false">IF($B91="","",SUM(U91:W91))</f>
        <v/>
      </c>
      <c r="Y91" s="158" t="str">
        <f aca="false">IF($B91="","",T91-X91)</f>
        <v/>
      </c>
      <c r="Z91" s="116" t="str">
        <f aca="false">IF($B91="","",الموظفون!$S91*IF(E91="سعودي",cfg_G_SR,cfg_G_NR)*G91/cfg_DAYS_M)</f>
        <v/>
      </c>
      <c r="AA91" s="116" t="str">
        <f aca="false">IF($B91="","",الموظفون!$Q91*(cfg_EOS_R1*(MIN(AH91,cfg_EOS_TH)-MIN(AI91,cfg_EOS_TH))+cfg_EOS_R2*(MAX(AH91-cfg_EOS_TH,0)-MAX(AI91-cfg_EOS_TH,0))))</f>
        <v/>
      </c>
      <c r="AB91" s="116" t="str">
        <f aca="false">IF($B91="","",IF(الموظفون!$T91&lt;&gt;"",الموظفون!$T91,IF(AH91&gt;=cfg_LV_TH,cfg_LV_D2,cfg_LV_D1))/cfg_DAYS_Y*AJ91*الموظفون!$R91/cfg_DAYS_M)</f>
        <v/>
      </c>
      <c r="AC91" s="116" t="str">
        <f aca="false">IF($B91="","",IF(AND(الموظفون!$U91="نعم",N(الموظفون!$W91)&gt;0),الموظفون!$V91/الموظفون!$W91*12/cfg_DAYS_Y*AJ91,0))</f>
        <v/>
      </c>
      <c r="AD91" s="116" t="str">
        <f aca="false">IF($B91="","",(IF(الموظفون!$X91&lt;&gt;"",الموظفون!$X91,IF(الموظفون!$E91="غير سعودي",cfg_IQ,0))+IF(الموظفون!$Y91&lt;&gt;"",الموظفون!$Y91,IF(الموظفون!$E91="غير سعودي",cfg_WP,0)))/12*G91/cfg_DAYS_M)</f>
        <v/>
      </c>
      <c r="AE91" s="116" t="str">
        <f aca="false">IF($B91="","",IF(الموظفون!$Z91&lt;&gt;"",الموظفون!$Z91,cfg_MED)/12*G91/cfg_DAYS_M)</f>
        <v/>
      </c>
      <c r="AF91" s="116" t="str">
        <f aca="false">IF($B91="","",N(الموظفون!$AA91)/12*G91/cfg_DAYS_M)</f>
        <v/>
      </c>
      <c r="AG91" s="159" t="str">
        <f aca="false">IF($B91="","",T91+SUM(Z91:AF91))</f>
        <v/>
      </c>
      <c r="AH91" s="160" t="str">
        <f aca="false">IF($B91="","",MAX(0,IF(OR(الموظفون!$AE91="",الموظفون!$AE91&gt;$F$3),$F$3,الموظفون!$AE91)-الموظفون!$H91+1-SUMIFS('سجل الإجازات والحالات'!$AH$6:$AH$505,'سجل الإجازات والحالات'!$B$6:$B$505,$B91))/cfg_DAYS_Y)</f>
        <v/>
      </c>
      <c r="AI91" s="160" t="str">
        <f aca="false">IF($B91="","",MAX(0,IF(OR(الموظفون!$AE91="",الموظفون!$AE91&gt;($E$3-1)),($E$3-1),الموظفون!$AE91)-الموظفون!$H91+1-SUMIFS('سجل الإجازات والحالات'!$R$6:$R$505,'سجل الإجازات والحالات'!$B$6:$B$505,$B91))/cfg_DAYS_Y)</f>
        <v/>
      </c>
      <c r="AJ91" s="133" t="str">
        <f aca="false">IF($B91="","",MAX(0,AK91-(SUMIFS('سجل الإجازات والحالات'!$AH$6:$AH$505,'سجل الإجازات والحالات'!$B$6:$B$505,$B91)-SUMIFS('سجل الإجازات والحالات'!$R$6:$R$505,'سجل الإجازات والحالات'!$B$6:$B$505,$B91))))</f>
        <v/>
      </c>
      <c r="AK91" s="133" t="str">
        <f aca="false">IF($B91="","",MAX(0,IF(OR(الموظفون!$AE91="",الموظفون!$AE91&gt;$F$3),$F$3,الموظفون!$AE91)-MAX($E$3,الموظفون!$H91)+1))</f>
        <v/>
      </c>
      <c r="AL91" s="156" t="str">
        <f aca="false">IF($B91="","",SUMIFS('سجل الإجازات والحالات'!$AT$6:$AT$505,'سجل الإجازات والحالات'!$B$6:$B$505,$B91)+SUMIFS('الحركات الشهرية'!$K$6:$K$1005,'الحركات الشهرية'!$B$6:$B$1005,$B91,'الحركات الشهرية'!$A$6:$A$1005,$C$3))</f>
        <v/>
      </c>
      <c r="AM91" s="116" t="str">
        <f aca="false">IF($B91="","",AL91*الموظفون!$R91/cfg_DAYS_M+S91)</f>
        <v/>
      </c>
      <c r="AN91" s="156" t="str">
        <f aca="false">IF($B91="","",SUMIFS('سجل الإجازات والحالات'!$V$6:$V$505,'سجل الإجازات والحالات'!$B$6:$B$505,$B91))</f>
        <v/>
      </c>
    </row>
    <row r="92" customFormat="false" ht="15" hidden="false" customHeight="false" outlineLevel="0" collapsed="false">
      <c r="A92" s="106" t="str">
        <f aca="false">IF($B92="","",الموظفون!$A92)</f>
        <v/>
      </c>
      <c r="B92" s="114" t="str">
        <f aca="false">IF(الموظفون!$B92="","",الموظفون!$B92)</f>
        <v/>
      </c>
      <c r="C92" s="114" t="str">
        <f aca="false">IF($B92="","",الموظفون!$C92)</f>
        <v/>
      </c>
      <c r="D92" s="114" t="str">
        <f aca="false">IF($B92="","",الموظفون!$F92)</f>
        <v/>
      </c>
      <c r="E92" s="114" t="str">
        <f aca="false">IF($B92="","",الموظفون!$E92)</f>
        <v/>
      </c>
      <c r="F92" s="114" t="str">
        <f aca="false">IF($B92="","",IF(AK92=0,IF(AND(الموظفون!$AE92&lt;&gt;"",الموظفون!$AE92&lt;$E$3),"✖ منتهي الخدمة","⏳ لم يباشر"),IF(S92&gt;0,"✈ راتب إجازة مقدم",IF(J92=0,"⛔ بدون راتب هذا الشهر",IF(I92&gt;0,"✈ خصم "&amp;ROUND(I92,2)&amp;" يوم بدون أجر",IF(AL92&gt;0,"🌴 إجازة سنوية "&amp;ROUND(AL92,2)&amp;" يوم",IF(H92&gt;0,"⚠ غياب "&amp;ROUND(H92,2)&amp;" يوم","✔ على رأس العمل")))))))</f>
        <v/>
      </c>
      <c r="G92" s="151" t="str">
        <f aca="false">IF($B92="","",IF(AK92&gt;=DAY($F$3),cfg_DAYS_M,MIN(AK92,cfg_DAYS_M)))</f>
        <v/>
      </c>
      <c r="H92" s="151" t="str">
        <f aca="false">IF($B92="","",SUMIFS('الحركات الشهرية'!$D$6:$D$1005,'الحركات الشهرية'!$B$6:$B$1005,$B92,'الحركات الشهرية'!$A$6:$A$1005,$C$3))</f>
        <v/>
      </c>
      <c r="I92" s="151" t="str">
        <f aca="false">IF($B92="","",MIN(G92,IF(AND(AK92&gt;0,AN92&gt;=AK92),G92,AN92)+SUMIFS('الحركات الشهرية'!$E$6:$E$1005,'الحركات الشهرية'!$B$6:$B$1005,$B92,'الحركات الشهرية'!$A$6:$A$1005,$C$3)))</f>
        <v/>
      </c>
      <c r="J92" s="151" t="str">
        <f aca="false">IF($B92="","",MAX(0,G92-H92-I92))</f>
        <v/>
      </c>
      <c r="K92" s="111" t="str">
        <f aca="false">IF($B92="","",الموظفون!$L92*$J92/cfg_DAYS_M)</f>
        <v/>
      </c>
      <c r="L92" s="111" t="str">
        <f aca="false">IF($B92="","",الموظفون!$M92*$J92/cfg_DAYS_M)</f>
        <v/>
      </c>
      <c r="M92" s="111" t="str">
        <f aca="false">IF($B92="","",الموظفون!$N92*$J92/cfg_DAYS_M)</f>
        <v/>
      </c>
      <c r="N92" s="111" t="str">
        <f aca="false">IF($B92="","",الموظفون!$O92*$J92/cfg_DAYS_M)</f>
        <v/>
      </c>
      <c r="O92" s="151" t="str">
        <f aca="false">IF($B92="","",SUMIFS('الحركات الشهرية'!$F$6:$F$1005,'الحركات الشهرية'!$B$6:$B$1005,$B92,'الحركات الشهرية'!$A$6:$A$1005,$C$3))</f>
        <v/>
      </c>
      <c r="P92" s="111" t="str">
        <f aca="false">IF($B92="","",O92*(الموظفون!$P92+الموظفون!$L92*cfg_OT_P)/cfg_DAYS_M/cfg_HRS)</f>
        <v/>
      </c>
      <c r="Q92" s="111" t="str">
        <f aca="false">IF($B92="","",SUMIFS('الحركات الشهرية'!$G$6:$G$1005,'الحركات الشهرية'!$B$6:$B$1005,$B92,'الحركات الشهرية'!$A$6:$A$1005,$C$3))</f>
        <v/>
      </c>
      <c r="R92" s="111" t="str">
        <f aca="false">IF($B92="","",SUMIFS('الحركات الشهرية'!$H$6:$H$1005,'الحركات الشهرية'!$B$6:$B$1005,$B92,'الحركات الشهرية'!$A$6:$A$1005,$C$3))</f>
        <v/>
      </c>
      <c r="S92" s="111" t="str">
        <f aca="false">IF($B92="","",SUMIFS('سجل الإجازات والحالات'!$N$6:$N$505,'سجل الإجازات والحالات'!$B$6:$B$505,$B92,'سجل الإجازات والحالات'!$O$6:$O$505,$C$3))</f>
        <v/>
      </c>
      <c r="T92" s="152" t="str">
        <f aca="false">IF($B92="","",SUM(K92:N92)+SUM(P92:S92))</f>
        <v/>
      </c>
      <c r="U92" s="111" t="str">
        <f aca="false">IF($B92="","",الموظفون!$S92*IF(E92="سعودي",cfg_G_SE,cfg_G_NE)*G92/cfg_DAYS_M)</f>
        <v/>
      </c>
      <c r="V92" s="111" t="str">
        <f aca="false">IF($B92="","",SUMIFS('الحركات الشهرية'!$I$6:$I$1005,'الحركات الشهرية'!$B$6:$B$1005,$B92,'الحركات الشهرية'!$A$6:$A$1005,$C$3))</f>
        <v/>
      </c>
      <c r="W92" s="111" t="str">
        <f aca="false">IF($B92="","",SUMIFS('الحركات الشهرية'!$J$6:$J$1005,'الحركات الشهرية'!$B$6:$B$1005,$B92,'الحركات الشهرية'!$A$6:$A$1005,$C$3))</f>
        <v/>
      </c>
      <c r="X92" s="111" t="str">
        <f aca="false">IF($B92="","",SUM(U92:W92))</f>
        <v/>
      </c>
      <c r="Y92" s="153" t="str">
        <f aca="false">IF($B92="","",T92-X92)</f>
        <v/>
      </c>
      <c r="Z92" s="111" t="str">
        <f aca="false">IF($B92="","",الموظفون!$S92*IF(E92="سعودي",cfg_G_SR,cfg_G_NR)*G92/cfg_DAYS_M)</f>
        <v/>
      </c>
      <c r="AA92" s="111" t="str">
        <f aca="false">IF($B92="","",الموظفون!$Q92*(cfg_EOS_R1*(MIN(AH92,cfg_EOS_TH)-MIN(AI92,cfg_EOS_TH))+cfg_EOS_R2*(MAX(AH92-cfg_EOS_TH,0)-MAX(AI92-cfg_EOS_TH,0))))</f>
        <v/>
      </c>
      <c r="AB92" s="111" t="str">
        <f aca="false">IF($B92="","",IF(الموظفون!$T92&lt;&gt;"",الموظفون!$T92,IF(AH92&gt;=cfg_LV_TH,cfg_LV_D2,cfg_LV_D1))/cfg_DAYS_Y*AJ92*الموظفون!$R92/cfg_DAYS_M)</f>
        <v/>
      </c>
      <c r="AC92" s="111" t="str">
        <f aca="false">IF($B92="","",IF(AND(الموظفون!$U92="نعم",N(الموظفون!$W92)&gt;0),الموظفون!$V92/الموظفون!$W92*12/cfg_DAYS_Y*AJ92,0))</f>
        <v/>
      </c>
      <c r="AD92" s="111" t="str">
        <f aca="false">IF($B92="","",(IF(الموظفون!$X92&lt;&gt;"",الموظفون!$X92,IF(الموظفون!$E92="غير سعودي",cfg_IQ,0))+IF(الموظفون!$Y92&lt;&gt;"",الموظفون!$Y92,IF(الموظفون!$E92="غير سعودي",cfg_WP,0)))/12*G92/cfg_DAYS_M)</f>
        <v/>
      </c>
      <c r="AE92" s="111" t="str">
        <f aca="false">IF($B92="","",IF(الموظفون!$Z92&lt;&gt;"",الموظفون!$Z92,cfg_MED)/12*G92/cfg_DAYS_M)</f>
        <v/>
      </c>
      <c r="AF92" s="111" t="str">
        <f aca="false">IF($B92="","",N(الموظفون!$AA92)/12*G92/cfg_DAYS_M)</f>
        <v/>
      </c>
      <c r="AG92" s="154" t="str">
        <f aca="false">IF($B92="","",T92+SUM(Z92:AF92))</f>
        <v/>
      </c>
      <c r="AH92" s="155" t="str">
        <f aca="false">IF($B92="","",MAX(0,IF(OR(الموظفون!$AE92="",الموظفون!$AE92&gt;$F$3),$F$3,الموظفون!$AE92)-الموظفون!$H92+1-SUMIFS('سجل الإجازات والحالات'!$AH$6:$AH$505,'سجل الإجازات والحالات'!$B$6:$B$505,$B92))/cfg_DAYS_Y)</f>
        <v/>
      </c>
      <c r="AI92" s="155" t="str">
        <f aca="false">IF($B92="","",MAX(0,IF(OR(الموظفون!$AE92="",الموظفون!$AE92&gt;($E$3-1)),($E$3-1),الموظفون!$AE92)-الموظفون!$H92+1-SUMIFS('سجل الإجازات والحالات'!$R$6:$R$505,'سجل الإجازات والحالات'!$B$6:$B$505,$B92))/cfg_DAYS_Y)</f>
        <v/>
      </c>
      <c r="AJ92" s="65" t="str">
        <f aca="false">IF($B92="","",MAX(0,AK92-(SUMIFS('سجل الإجازات والحالات'!$AH$6:$AH$505,'سجل الإجازات والحالات'!$B$6:$B$505,$B92)-SUMIFS('سجل الإجازات والحالات'!$R$6:$R$505,'سجل الإجازات والحالات'!$B$6:$B$505,$B92))))</f>
        <v/>
      </c>
      <c r="AK92" s="65" t="str">
        <f aca="false">IF($B92="","",MAX(0,IF(OR(الموظفون!$AE92="",الموظفون!$AE92&gt;$F$3),$F$3,الموظفون!$AE92)-MAX($E$3,الموظفون!$H92)+1))</f>
        <v/>
      </c>
      <c r="AL92" s="151" t="str">
        <f aca="false">IF($B92="","",SUMIFS('سجل الإجازات والحالات'!$AT$6:$AT$505,'سجل الإجازات والحالات'!$B$6:$B$505,$B92)+SUMIFS('الحركات الشهرية'!$K$6:$K$1005,'الحركات الشهرية'!$B$6:$B$1005,$B92,'الحركات الشهرية'!$A$6:$A$1005,$C$3))</f>
        <v/>
      </c>
      <c r="AM92" s="111" t="str">
        <f aca="false">IF($B92="","",AL92*الموظفون!$R92/cfg_DAYS_M+S92)</f>
        <v/>
      </c>
      <c r="AN92" s="151" t="str">
        <f aca="false">IF($B92="","",SUMIFS('سجل الإجازات والحالات'!$V$6:$V$505,'سجل الإجازات والحالات'!$B$6:$B$505,$B92))</f>
        <v/>
      </c>
    </row>
    <row r="93" customFormat="false" ht="15" hidden="false" customHeight="false" outlineLevel="0" collapsed="false">
      <c r="A93" s="115" t="str">
        <f aca="false">IF($B93="","",الموظفون!$A93)</f>
        <v/>
      </c>
      <c r="B93" s="117" t="str">
        <f aca="false">IF(الموظفون!$B93="","",الموظفون!$B93)</f>
        <v/>
      </c>
      <c r="C93" s="117" t="str">
        <f aca="false">IF($B93="","",الموظفون!$C93)</f>
        <v/>
      </c>
      <c r="D93" s="117" t="str">
        <f aca="false">IF($B93="","",الموظفون!$F93)</f>
        <v/>
      </c>
      <c r="E93" s="117" t="str">
        <f aca="false">IF($B93="","",الموظفون!$E93)</f>
        <v/>
      </c>
      <c r="F93" s="117" t="str">
        <f aca="false">IF($B93="","",IF(AK93=0,IF(AND(الموظفون!$AE93&lt;&gt;"",الموظفون!$AE93&lt;$E$3),"✖ منتهي الخدمة","⏳ لم يباشر"),IF(S93&gt;0,"✈ راتب إجازة مقدم",IF(J93=0,"⛔ بدون راتب هذا الشهر",IF(I93&gt;0,"✈ خصم "&amp;ROUND(I93,2)&amp;" يوم بدون أجر",IF(AL93&gt;0,"🌴 إجازة سنوية "&amp;ROUND(AL93,2)&amp;" يوم",IF(H93&gt;0,"⚠ غياب "&amp;ROUND(H93,2)&amp;" يوم","✔ على رأس العمل")))))))</f>
        <v/>
      </c>
      <c r="G93" s="156" t="str">
        <f aca="false">IF($B93="","",IF(AK93&gt;=DAY($F$3),cfg_DAYS_M,MIN(AK93,cfg_DAYS_M)))</f>
        <v/>
      </c>
      <c r="H93" s="156" t="str">
        <f aca="false">IF($B93="","",SUMIFS('الحركات الشهرية'!$D$6:$D$1005,'الحركات الشهرية'!$B$6:$B$1005,$B93,'الحركات الشهرية'!$A$6:$A$1005,$C$3))</f>
        <v/>
      </c>
      <c r="I93" s="156" t="str">
        <f aca="false">IF($B93="","",MIN(G93,IF(AND(AK93&gt;0,AN93&gt;=AK93),G93,AN93)+SUMIFS('الحركات الشهرية'!$E$6:$E$1005,'الحركات الشهرية'!$B$6:$B$1005,$B93,'الحركات الشهرية'!$A$6:$A$1005,$C$3)))</f>
        <v/>
      </c>
      <c r="J93" s="156" t="str">
        <f aca="false">IF($B93="","",MAX(0,G93-H93-I93))</f>
        <v/>
      </c>
      <c r="K93" s="116" t="str">
        <f aca="false">IF($B93="","",الموظفون!$L93*$J93/cfg_DAYS_M)</f>
        <v/>
      </c>
      <c r="L93" s="116" t="str">
        <f aca="false">IF($B93="","",الموظفون!$M93*$J93/cfg_DAYS_M)</f>
        <v/>
      </c>
      <c r="M93" s="116" t="str">
        <f aca="false">IF($B93="","",الموظفون!$N93*$J93/cfg_DAYS_M)</f>
        <v/>
      </c>
      <c r="N93" s="116" t="str">
        <f aca="false">IF($B93="","",الموظفون!$O93*$J93/cfg_DAYS_M)</f>
        <v/>
      </c>
      <c r="O93" s="156" t="str">
        <f aca="false">IF($B93="","",SUMIFS('الحركات الشهرية'!$F$6:$F$1005,'الحركات الشهرية'!$B$6:$B$1005,$B93,'الحركات الشهرية'!$A$6:$A$1005,$C$3))</f>
        <v/>
      </c>
      <c r="P93" s="116" t="str">
        <f aca="false">IF($B93="","",O93*(الموظفون!$P93+الموظفون!$L93*cfg_OT_P)/cfg_DAYS_M/cfg_HRS)</f>
        <v/>
      </c>
      <c r="Q93" s="116" t="str">
        <f aca="false">IF($B93="","",SUMIFS('الحركات الشهرية'!$G$6:$G$1005,'الحركات الشهرية'!$B$6:$B$1005,$B93,'الحركات الشهرية'!$A$6:$A$1005,$C$3))</f>
        <v/>
      </c>
      <c r="R93" s="116" t="str">
        <f aca="false">IF($B93="","",SUMIFS('الحركات الشهرية'!$H$6:$H$1005,'الحركات الشهرية'!$B$6:$B$1005,$B93,'الحركات الشهرية'!$A$6:$A$1005,$C$3))</f>
        <v/>
      </c>
      <c r="S93" s="116" t="str">
        <f aca="false">IF($B93="","",SUMIFS('سجل الإجازات والحالات'!$N$6:$N$505,'سجل الإجازات والحالات'!$B$6:$B$505,$B93,'سجل الإجازات والحالات'!$O$6:$O$505,$C$3))</f>
        <v/>
      </c>
      <c r="T93" s="157" t="str">
        <f aca="false">IF($B93="","",SUM(K93:N93)+SUM(P93:S93))</f>
        <v/>
      </c>
      <c r="U93" s="116" t="str">
        <f aca="false">IF($B93="","",الموظفون!$S93*IF(E93="سعودي",cfg_G_SE,cfg_G_NE)*G93/cfg_DAYS_M)</f>
        <v/>
      </c>
      <c r="V93" s="116" t="str">
        <f aca="false">IF($B93="","",SUMIFS('الحركات الشهرية'!$I$6:$I$1005,'الحركات الشهرية'!$B$6:$B$1005,$B93,'الحركات الشهرية'!$A$6:$A$1005,$C$3))</f>
        <v/>
      </c>
      <c r="W93" s="116" t="str">
        <f aca="false">IF($B93="","",SUMIFS('الحركات الشهرية'!$J$6:$J$1005,'الحركات الشهرية'!$B$6:$B$1005,$B93,'الحركات الشهرية'!$A$6:$A$1005,$C$3))</f>
        <v/>
      </c>
      <c r="X93" s="116" t="str">
        <f aca="false">IF($B93="","",SUM(U93:W93))</f>
        <v/>
      </c>
      <c r="Y93" s="158" t="str">
        <f aca="false">IF($B93="","",T93-X93)</f>
        <v/>
      </c>
      <c r="Z93" s="116" t="str">
        <f aca="false">IF($B93="","",الموظفون!$S93*IF(E93="سعودي",cfg_G_SR,cfg_G_NR)*G93/cfg_DAYS_M)</f>
        <v/>
      </c>
      <c r="AA93" s="116" t="str">
        <f aca="false">IF($B93="","",الموظفون!$Q93*(cfg_EOS_R1*(MIN(AH93,cfg_EOS_TH)-MIN(AI93,cfg_EOS_TH))+cfg_EOS_R2*(MAX(AH93-cfg_EOS_TH,0)-MAX(AI93-cfg_EOS_TH,0))))</f>
        <v/>
      </c>
      <c r="AB93" s="116" t="str">
        <f aca="false">IF($B93="","",IF(الموظفون!$T93&lt;&gt;"",الموظفون!$T93,IF(AH93&gt;=cfg_LV_TH,cfg_LV_D2,cfg_LV_D1))/cfg_DAYS_Y*AJ93*الموظفون!$R93/cfg_DAYS_M)</f>
        <v/>
      </c>
      <c r="AC93" s="116" t="str">
        <f aca="false">IF($B93="","",IF(AND(الموظفون!$U93="نعم",N(الموظفون!$W93)&gt;0),الموظفون!$V93/الموظفون!$W93*12/cfg_DAYS_Y*AJ93,0))</f>
        <v/>
      </c>
      <c r="AD93" s="116" t="str">
        <f aca="false">IF($B93="","",(IF(الموظفون!$X93&lt;&gt;"",الموظفون!$X93,IF(الموظفون!$E93="غير سعودي",cfg_IQ,0))+IF(الموظفون!$Y93&lt;&gt;"",الموظفون!$Y93,IF(الموظفون!$E93="غير سعودي",cfg_WP,0)))/12*G93/cfg_DAYS_M)</f>
        <v/>
      </c>
      <c r="AE93" s="116" t="str">
        <f aca="false">IF($B93="","",IF(الموظفون!$Z93&lt;&gt;"",الموظفون!$Z93,cfg_MED)/12*G93/cfg_DAYS_M)</f>
        <v/>
      </c>
      <c r="AF93" s="116" t="str">
        <f aca="false">IF($B93="","",N(الموظفون!$AA93)/12*G93/cfg_DAYS_M)</f>
        <v/>
      </c>
      <c r="AG93" s="159" t="str">
        <f aca="false">IF($B93="","",T93+SUM(Z93:AF93))</f>
        <v/>
      </c>
      <c r="AH93" s="160" t="str">
        <f aca="false">IF($B93="","",MAX(0,IF(OR(الموظفون!$AE93="",الموظفون!$AE93&gt;$F$3),$F$3,الموظفون!$AE93)-الموظفون!$H93+1-SUMIFS('سجل الإجازات والحالات'!$AH$6:$AH$505,'سجل الإجازات والحالات'!$B$6:$B$505,$B93))/cfg_DAYS_Y)</f>
        <v/>
      </c>
      <c r="AI93" s="160" t="str">
        <f aca="false">IF($B93="","",MAX(0,IF(OR(الموظفون!$AE93="",الموظفون!$AE93&gt;($E$3-1)),($E$3-1),الموظفون!$AE93)-الموظفون!$H93+1-SUMIFS('سجل الإجازات والحالات'!$R$6:$R$505,'سجل الإجازات والحالات'!$B$6:$B$505,$B93))/cfg_DAYS_Y)</f>
        <v/>
      </c>
      <c r="AJ93" s="133" t="str">
        <f aca="false">IF($B93="","",MAX(0,AK93-(SUMIFS('سجل الإجازات والحالات'!$AH$6:$AH$505,'سجل الإجازات والحالات'!$B$6:$B$505,$B93)-SUMIFS('سجل الإجازات والحالات'!$R$6:$R$505,'سجل الإجازات والحالات'!$B$6:$B$505,$B93))))</f>
        <v/>
      </c>
      <c r="AK93" s="133" t="str">
        <f aca="false">IF($B93="","",MAX(0,IF(OR(الموظفون!$AE93="",الموظفون!$AE93&gt;$F$3),$F$3,الموظفون!$AE93)-MAX($E$3,الموظفون!$H93)+1))</f>
        <v/>
      </c>
      <c r="AL93" s="156" t="str">
        <f aca="false">IF($B93="","",SUMIFS('سجل الإجازات والحالات'!$AT$6:$AT$505,'سجل الإجازات والحالات'!$B$6:$B$505,$B93)+SUMIFS('الحركات الشهرية'!$K$6:$K$1005,'الحركات الشهرية'!$B$6:$B$1005,$B93,'الحركات الشهرية'!$A$6:$A$1005,$C$3))</f>
        <v/>
      </c>
      <c r="AM93" s="116" t="str">
        <f aca="false">IF($B93="","",AL93*الموظفون!$R93/cfg_DAYS_M+S93)</f>
        <v/>
      </c>
      <c r="AN93" s="156" t="str">
        <f aca="false">IF($B93="","",SUMIFS('سجل الإجازات والحالات'!$V$6:$V$505,'سجل الإجازات والحالات'!$B$6:$B$505,$B93))</f>
        <v/>
      </c>
    </row>
    <row r="94" customFormat="false" ht="15" hidden="false" customHeight="false" outlineLevel="0" collapsed="false">
      <c r="A94" s="106" t="str">
        <f aca="false">IF($B94="","",الموظفون!$A94)</f>
        <v/>
      </c>
      <c r="B94" s="114" t="str">
        <f aca="false">IF(الموظفون!$B94="","",الموظفون!$B94)</f>
        <v/>
      </c>
      <c r="C94" s="114" t="str">
        <f aca="false">IF($B94="","",الموظفون!$C94)</f>
        <v/>
      </c>
      <c r="D94" s="114" t="str">
        <f aca="false">IF($B94="","",الموظفون!$F94)</f>
        <v/>
      </c>
      <c r="E94" s="114" t="str">
        <f aca="false">IF($B94="","",الموظفون!$E94)</f>
        <v/>
      </c>
      <c r="F94" s="114" t="str">
        <f aca="false">IF($B94="","",IF(AK94=0,IF(AND(الموظفون!$AE94&lt;&gt;"",الموظفون!$AE94&lt;$E$3),"✖ منتهي الخدمة","⏳ لم يباشر"),IF(S94&gt;0,"✈ راتب إجازة مقدم",IF(J94=0,"⛔ بدون راتب هذا الشهر",IF(I94&gt;0,"✈ خصم "&amp;ROUND(I94,2)&amp;" يوم بدون أجر",IF(AL94&gt;0,"🌴 إجازة سنوية "&amp;ROUND(AL94,2)&amp;" يوم",IF(H94&gt;0,"⚠ غياب "&amp;ROUND(H94,2)&amp;" يوم","✔ على رأس العمل")))))))</f>
        <v/>
      </c>
      <c r="G94" s="151" t="str">
        <f aca="false">IF($B94="","",IF(AK94&gt;=DAY($F$3),cfg_DAYS_M,MIN(AK94,cfg_DAYS_M)))</f>
        <v/>
      </c>
      <c r="H94" s="151" t="str">
        <f aca="false">IF($B94="","",SUMIFS('الحركات الشهرية'!$D$6:$D$1005,'الحركات الشهرية'!$B$6:$B$1005,$B94,'الحركات الشهرية'!$A$6:$A$1005,$C$3))</f>
        <v/>
      </c>
      <c r="I94" s="151" t="str">
        <f aca="false">IF($B94="","",MIN(G94,IF(AND(AK94&gt;0,AN94&gt;=AK94),G94,AN94)+SUMIFS('الحركات الشهرية'!$E$6:$E$1005,'الحركات الشهرية'!$B$6:$B$1005,$B94,'الحركات الشهرية'!$A$6:$A$1005,$C$3)))</f>
        <v/>
      </c>
      <c r="J94" s="151" t="str">
        <f aca="false">IF($B94="","",MAX(0,G94-H94-I94))</f>
        <v/>
      </c>
      <c r="K94" s="111" t="str">
        <f aca="false">IF($B94="","",الموظفون!$L94*$J94/cfg_DAYS_M)</f>
        <v/>
      </c>
      <c r="L94" s="111" t="str">
        <f aca="false">IF($B94="","",الموظفون!$M94*$J94/cfg_DAYS_M)</f>
        <v/>
      </c>
      <c r="M94" s="111" t="str">
        <f aca="false">IF($B94="","",الموظفون!$N94*$J94/cfg_DAYS_M)</f>
        <v/>
      </c>
      <c r="N94" s="111" t="str">
        <f aca="false">IF($B94="","",الموظفون!$O94*$J94/cfg_DAYS_M)</f>
        <v/>
      </c>
      <c r="O94" s="151" t="str">
        <f aca="false">IF($B94="","",SUMIFS('الحركات الشهرية'!$F$6:$F$1005,'الحركات الشهرية'!$B$6:$B$1005,$B94,'الحركات الشهرية'!$A$6:$A$1005,$C$3))</f>
        <v/>
      </c>
      <c r="P94" s="111" t="str">
        <f aca="false">IF($B94="","",O94*(الموظفون!$P94+الموظفون!$L94*cfg_OT_P)/cfg_DAYS_M/cfg_HRS)</f>
        <v/>
      </c>
      <c r="Q94" s="111" t="str">
        <f aca="false">IF($B94="","",SUMIFS('الحركات الشهرية'!$G$6:$G$1005,'الحركات الشهرية'!$B$6:$B$1005,$B94,'الحركات الشهرية'!$A$6:$A$1005,$C$3))</f>
        <v/>
      </c>
      <c r="R94" s="111" t="str">
        <f aca="false">IF($B94="","",SUMIFS('الحركات الشهرية'!$H$6:$H$1005,'الحركات الشهرية'!$B$6:$B$1005,$B94,'الحركات الشهرية'!$A$6:$A$1005,$C$3))</f>
        <v/>
      </c>
      <c r="S94" s="111" t="str">
        <f aca="false">IF($B94="","",SUMIFS('سجل الإجازات والحالات'!$N$6:$N$505,'سجل الإجازات والحالات'!$B$6:$B$505,$B94,'سجل الإجازات والحالات'!$O$6:$O$505,$C$3))</f>
        <v/>
      </c>
      <c r="T94" s="152" t="str">
        <f aca="false">IF($B94="","",SUM(K94:N94)+SUM(P94:S94))</f>
        <v/>
      </c>
      <c r="U94" s="111" t="str">
        <f aca="false">IF($B94="","",الموظفون!$S94*IF(E94="سعودي",cfg_G_SE,cfg_G_NE)*G94/cfg_DAYS_M)</f>
        <v/>
      </c>
      <c r="V94" s="111" t="str">
        <f aca="false">IF($B94="","",SUMIFS('الحركات الشهرية'!$I$6:$I$1005,'الحركات الشهرية'!$B$6:$B$1005,$B94,'الحركات الشهرية'!$A$6:$A$1005,$C$3))</f>
        <v/>
      </c>
      <c r="W94" s="111" t="str">
        <f aca="false">IF($B94="","",SUMIFS('الحركات الشهرية'!$J$6:$J$1005,'الحركات الشهرية'!$B$6:$B$1005,$B94,'الحركات الشهرية'!$A$6:$A$1005,$C$3))</f>
        <v/>
      </c>
      <c r="X94" s="111" t="str">
        <f aca="false">IF($B94="","",SUM(U94:W94))</f>
        <v/>
      </c>
      <c r="Y94" s="153" t="str">
        <f aca="false">IF($B94="","",T94-X94)</f>
        <v/>
      </c>
      <c r="Z94" s="111" t="str">
        <f aca="false">IF($B94="","",الموظفون!$S94*IF(E94="سعودي",cfg_G_SR,cfg_G_NR)*G94/cfg_DAYS_M)</f>
        <v/>
      </c>
      <c r="AA94" s="111" t="str">
        <f aca="false">IF($B94="","",الموظفون!$Q94*(cfg_EOS_R1*(MIN(AH94,cfg_EOS_TH)-MIN(AI94,cfg_EOS_TH))+cfg_EOS_R2*(MAX(AH94-cfg_EOS_TH,0)-MAX(AI94-cfg_EOS_TH,0))))</f>
        <v/>
      </c>
      <c r="AB94" s="111" t="str">
        <f aca="false">IF($B94="","",IF(الموظفون!$T94&lt;&gt;"",الموظفون!$T94,IF(AH94&gt;=cfg_LV_TH,cfg_LV_D2,cfg_LV_D1))/cfg_DAYS_Y*AJ94*الموظفون!$R94/cfg_DAYS_M)</f>
        <v/>
      </c>
      <c r="AC94" s="111" t="str">
        <f aca="false">IF($B94="","",IF(AND(الموظفون!$U94="نعم",N(الموظفون!$W94)&gt;0),الموظفون!$V94/الموظفون!$W94*12/cfg_DAYS_Y*AJ94,0))</f>
        <v/>
      </c>
      <c r="AD94" s="111" t="str">
        <f aca="false">IF($B94="","",(IF(الموظفون!$X94&lt;&gt;"",الموظفون!$X94,IF(الموظفون!$E94="غير سعودي",cfg_IQ,0))+IF(الموظفون!$Y94&lt;&gt;"",الموظفون!$Y94,IF(الموظفون!$E94="غير سعودي",cfg_WP,0)))/12*G94/cfg_DAYS_M)</f>
        <v/>
      </c>
      <c r="AE94" s="111" t="str">
        <f aca="false">IF($B94="","",IF(الموظفون!$Z94&lt;&gt;"",الموظفون!$Z94,cfg_MED)/12*G94/cfg_DAYS_M)</f>
        <v/>
      </c>
      <c r="AF94" s="111" t="str">
        <f aca="false">IF($B94="","",N(الموظفون!$AA94)/12*G94/cfg_DAYS_M)</f>
        <v/>
      </c>
      <c r="AG94" s="154" t="str">
        <f aca="false">IF($B94="","",T94+SUM(Z94:AF94))</f>
        <v/>
      </c>
      <c r="AH94" s="155" t="str">
        <f aca="false">IF($B94="","",MAX(0,IF(OR(الموظفون!$AE94="",الموظفون!$AE94&gt;$F$3),$F$3,الموظفون!$AE94)-الموظفون!$H94+1-SUMIFS('سجل الإجازات والحالات'!$AH$6:$AH$505,'سجل الإجازات والحالات'!$B$6:$B$505,$B94))/cfg_DAYS_Y)</f>
        <v/>
      </c>
      <c r="AI94" s="155" t="str">
        <f aca="false">IF($B94="","",MAX(0,IF(OR(الموظفون!$AE94="",الموظفون!$AE94&gt;($E$3-1)),($E$3-1),الموظفون!$AE94)-الموظفون!$H94+1-SUMIFS('سجل الإجازات والحالات'!$R$6:$R$505,'سجل الإجازات والحالات'!$B$6:$B$505,$B94))/cfg_DAYS_Y)</f>
        <v/>
      </c>
      <c r="AJ94" s="65" t="str">
        <f aca="false">IF($B94="","",MAX(0,AK94-(SUMIFS('سجل الإجازات والحالات'!$AH$6:$AH$505,'سجل الإجازات والحالات'!$B$6:$B$505,$B94)-SUMIFS('سجل الإجازات والحالات'!$R$6:$R$505,'سجل الإجازات والحالات'!$B$6:$B$505,$B94))))</f>
        <v/>
      </c>
      <c r="AK94" s="65" t="str">
        <f aca="false">IF($B94="","",MAX(0,IF(OR(الموظفون!$AE94="",الموظفون!$AE94&gt;$F$3),$F$3,الموظفون!$AE94)-MAX($E$3,الموظفون!$H94)+1))</f>
        <v/>
      </c>
      <c r="AL94" s="151" t="str">
        <f aca="false">IF($B94="","",SUMIFS('سجل الإجازات والحالات'!$AT$6:$AT$505,'سجل الإجازات والحالات'!$B$6:$B$505,$B94)+SUMIFS('الحركات الشهرية'!$K$6:$K$1005,'الحركات الشهرية'!$B$6:$B$1005,$B94,'الحركات الشهرية'!$A$6:$A$1005,$C$3))</f>
        <v/>
      </c>
      <c r="AM94" s="111" t="str">
        <f aca="false">IF($B94="","",AL94*الموظفون!$R94/cfg_DAYS_M+S94)</f>
        <v/>
      </c>
      <c r="AN94" s="151" t="str">
        <f aca="false">IF($B94="","",SUMIFS('سجل الإجازات والحالات'!$V$6:$V$505,'سجل الإجازات والحالات'!$B$6:$B$505,$B94))</f>
        <v/>
      </c>
    </row>
    <row r="95" customFormat="false" ht="15" hidden="false" customHeight="false" outlineLevel="0" collapsed="false">
      <c r="A95" s="115" t="str">
        <f aca="false">IF($B95="","",الموظفون!$A95)</f>
        <v/>
      </c>
      <c r="B95" s="117" t="str">
        <f aca="false">IF(الموظفون!$B95="","",الموظفون!$B95)</f>
        <v/>
      </c>
      <c r="C95" s="117" t="str">
        <f aca="false">IF($B95="","",الموظفون!$C95)</f>
        <v/>
      </c>
      <c r="D95" s="117" t="str">
        <f aca="false">IF($B95="","",الموظفون!$F95)</f>
        <v/>
      </c>
      <c r="E95" s="117" t="str">
        <f aca="false">IF($B95="","",الموظفون!$E95)</f>
        <v/>
      </c>
      <c r="F95" s="117" t="str">
        <f aca="false">IF($B95="","",IF(AK95=0,IF(AND(الموظفون!$AE95&lt;&gt;"",الموظفون!$AE95&lt;$E$3),"✖ منتهي الخدمة","⏳ لم يباشر"),IF(S95&gt;0,"✈ راتب إجازة مقدم",IF(J95=0,"⛔ بدون راتب هذا الشهر",IF(I95&gt;0,"✈ خصم "&amp;ROUND(I95,2)&amp;" يوم بدون أجر",IF(AL95&gt;0,"🌴 إجازة سنوية "&amp;ROUND(AL95,2)&amp;" يوم",IF(H95&gt;0,"⚠ غياب "&amp;ROUND(H95,2)&amp;" يوم","✔ على رأس العمل")))))))</f>
        <v/>
      </c>
      <c r="G95" s="156" t="str">
        <f aca="false">IF($B95="","",IF(AK95&gt;=DAY($F$3),cfg_DAYS_M,MIN(AK95,cfg_DAYS_M)))</f>
        <v/>
      </c>
      <c r="H95" s="156" t="str">
        <f aca="false">IF($B95="","",SUMIFS('الحركات الشهرية'!$D$6:$D$1005,'الحركات الشهرية'!$B$6:$B$1005,$B95,'الحركات الشهرية'!$A$6:$A$1005,$C$3))</f>
        <v/>
      </c>
      <c r="I95" s="156" t="str">
        <f aca="false">IF($B95="","",MIN(G95,IF(AND(AK95&gt;0,AN95&gt;=AK95),G95,AN95)+SUMIFS('الحركات الشهرية'!$E$6:$E$1005,'الحركات الشهرية'!$B$6:$B$1005,$B95,'الحركات الشهرية'!$A$6:$A$1005,$C$3)))</f>
        <v/>
      </c>
      <c r="J95" s="156" t="str">
        <f aca="false">IF($B95="","",MAX(0,G95-H95-I95))</f>
        <v/>
      </c>
      <c r="K95" s="116" t="str">
        <f aca="false">IF($B95="","",الموظفون!$L95*$J95/cfg_DAYS_M)</f>
        <v/>
      </c>
      <c r="L95" s="116" t="str">
        <f aca="false">IF($B95="","",الموظفون!$M95*$J95/cfg_DAYS_M)</f>
        <v/>
      </c>
      <c r="M95" s="116" t="str">
        <f aca="false">IF($B95="","",الموظفون!$N95*$J95/cfg_DAYS_M)</f>
        <v/>
      </c>
      <c r="N95" s="116" t="str">
        <f aca="false">IF($B95="","",الموظفون!$O95*$J95/cfg_DAYS_M)</f>
        <v/>
      </c>
      <c r="O95" s="156" t="str">
        <f aca="false">IF($B95="","",SUMIFS('الحركات الشهرية'!$F$6:$F$1005,'الحركات الشهرية'!$B$6:$B$1005,$B95,'الحركات الشهرية'!$A$6:$A$1005,$C$3))</f>
        <v/>
      </c>
      <c r="P95" s="116" t="str">
        <f aca="false">IF($B95="","",O95*(الموظفون!$P95+الموظفون!$L95*cfg_OT_P)/cfg_DAYS_M/cfg_HRS)</f>
        <v/>
      </c>
      <c r="Q95" s="116" t="str">
        <f aca="false">IF($B95="","",SUMIFS('الحركات الشهرية'!$G$6:$G$1005,'الحركات الشهرية'!$B$6:$B$1005,$B95,'الحركات الشهرية'!$A$6:$A$1005,$C$3))</f>
        <v/>
      </c>
      <c r="R95" s="116" t="str">
        <f aca="false">IF($B95="","",SUMIFS('الحركات الشهرية'!$H$6:$H$1005,'الحركات الشهرية'!$B$6:$B$1005,$B95,'الحركات الشهرية'!$A$6:$A$1005,$C$3))</f>
        <v/>
      </c>
      <c r="S95" s="116" t="str">
        <f aca="false">IF($B95="","",SUMIFS('سجل الإجازات والحالات'!$N$6:$N$505,'سجل الإجازات والحالات'!$B$6:$B$505,$B95,'سجل الإجازات والحالات'!$O$6:$O$505,$C$3))</f>
        <v/>
      </c>
      <c r="T95" s="157" t="str">
        <f aca="false">IF($B95="","",SUM(K95:N95)+SUM(P95:S95))</f>
        <v/>
      </c>
      <c r="U95" s="116" t="str">
        <f aca="false">IF($B95="","",الموظفون!$S95*IF(E95="سعودي",cfg_G_SE,cfg_G_NE)*G95/cfg_DAYS_M)</f>
        <v/>
      </c>
      <c r="V95" s="116" t="str">
        <f aca="false">IF($B95="","",SUMIFS('الحركات الشهرية'!$I$6:$I$1005,'الحركات الشهرية'!$B$6:$B$1005,$B95,'الحركات الشهرية'!$A$6:$A$1005,$C$3))</f>
        <v/>
      </c>
      <c r="W95" s="116" t="str">
        <f aca="false">IF($B95="","",SUMIFS('الحركات الشهرية'!$J$6:$J$1005,'الحركات الشهرية'!$B$6:$B$1005,$B95,'الحركات الشهرية'!$A$6:$A$1005,$C$3))</f>
        <v/>
      </c>
      <c r="X95" s="116" t="str">
        <f aca="false">IF($B95="","",SUM(U95:W95))</f>
        <v/>
      </c>
      <c r="Y95" s="158" t="str">
        <f aca="false">IF($B95="","",T95-X95)</f>
        <v/>
      </c>
      <c r="Z95" s="116" t="str">
        <f aca="false">IF($B95="","",الموظفون!$S95*IF(E95="سعودي",cfg_G_SR,cfg_G_NR)*G95/cfg_DAYS_M)</f>
        <v/>
      </c>
      <c r="AA95" s="116" t="str">
        <f aca="false">IF($B95="","",الموظفون!$Q95*(cfg_EOS_R1*(MIN(AH95,cfg_EOS_TH)-MIN(AI95,cfg_EOS_TH))+cfg_EOS_R2*(MAX(AH95-cfg_EOS_TH,0)-MAX(AI95-cfg_EOS_TH,0))))</f>
        <v/>
      </c>
      <c r="AB95" s="116" t="str">
        <f aca="false">IF($B95="","",IF(الموظفون!$T95&lt;&gt;"",الموظفون!$T95,IF(AH95&gt;=cfg_LV_TH,cfg_LV_D2,cfg_LV_D1))/cfg_DAYS_Y*AJ95*الموظفون!$R95/cfg_DAYS_M)</f>
        <v/>
      </c>
      <c r="AC95" s="116" t="str">
        <f aca="false">IF($B95="","",IF(AND(الموظفون!$U95="نعم",N(الموظفون!$W95)&gt;0),الموظفون!$V95/الموظفون!$W95*12/cfg_DAYS_Y*AJ95,0))</f>
        <v/>
      </c>
      <c r="AD95" s="116" t="str">
        <f aca="false">IF($B95="","",(IF(الموظفون!$X95&lt;&gt;"",الموظفون!$X95,IF(الموظفون!$E95="غير سعودي",cfg_IQ,0))+IF(الموظفون!$Y95&lt;&gt;"",الموظفون!$Y95,IF(الموظفون!$E95="غير سعودي",cfg_WP,0)))/12*G95/cfg_DAYS_M)</f>
        <v/>
      </c>
      <c r="AE95" s="116" t="str">
        <f aca="false">IF($B95="","",IF(الموظفون!$Z95&lt;&gt;"",الموظفون!$Z95,cfg_MED)/12*G95/cfg_DAYS_M)</f>
        <v/>
      </c>
      <c r="AF95" s="116" t="str">
        <f aca="false">IF($B95="","",N(الموظفون!$AA95)/12*G95/cfg_DAYS_M)</f>
        <v/>
      </c>
      <c r="AG95" s="159" t="str">
        <f aca="false">IF($B95="","",T95+SUM(Z95:AF95))</f>
        <v/>
      </c>
      <c r="AH95" s="160" t="str">
        <f aca="false">IF($B95="","",MAX(0,IF(OR(الموظفون!$AE95="",الموظفون!$AE95&gt;$F$3),$F$3,الموظفون!$AE95)-الموظفون!$H95+1-SUMIFS('سجل الإجازات والحالات'!$AH$6:$AH$505,'سجل الإجازات والحالات'!$B$6:$B$505,$B95))/cfg_DAYS_Y)</f>
        <v/>
      </c>
      <c r="AI95" s="160" t="str">
        <f aca="false">IF($B95="","",MAX(0,IF(OR(الموظفون!$AE95="",الموظفون!$AE95&gt;($E$3-1)),($E$3-1),الموظفون!$AE95)-الموظفون!$H95+1-SUMIFS('سجل الإجازات والحالات'!$R$6:$R$505,'سجل الإجازات والحالات'!$B$6:$B$505,$B95))/cfg_DAYS_Y)</f>
        <v/>
      </c>
      <c r="AJ95" s="133" t="str">
        <f aca="false">IF($B95="","",MAX(0,AK95-(SUMIFS('سجل الإجازات والحالات'!$AH$6:$AH$505,'سجل الإجازات والحالات'!$B$6:$B$505,$B95)-SUMIFS('سجل الإجازات والحالات'!$R$6:$R$505,'سجل الإجازات والحالات'!$B$6:$B$505,$B95))))</f>
        <v/>
      </c>
      <c r="AK95" s="133" t="str">
        <f aca="false">IF($B95="","",MAX(0,IF(OR(الموظفون!$AE95="",الموظفون!$AE95&gt;$F$3),$F$3,الموظفون!$AE95)-MAX($E$3,الموظفون!$H95)+1))</f>
        <v/>
      </c>
      <c r="AL95" s="156" t="str">
        <f aca="false">IF($B95="","",SUMIFS('سجل الإجازات والحالات'!$AT$6:$AT$505,'سجل الإجازات والحالات'!$B$6:$B$505,$B95)+SUMIFS('الحركات الشهرية'!$K$6:$K$1005,'الحركات الشهرية'!$B$6:$B$1005,$B95,'الحركات الشهرية'!$A$6:$A$1005,$C$3))</f>
        <v/>
      </c>
      <c r="AM95" s="116" t="str">
        <f aca="false">IF($B95="","",AL95*الموظفون!$R95/cfg_DAYS_M+S95)</f>
        <v/>
      </c>
      <c r="AN95" s="156" t="str">
        <f aca="false">IF($B95="","",SUMIFS('سجل الإجازات والحالات'!$V$6:$V$505,'سجل الإجازات والحالات'!$B$6:$B$505,$B95))</f>
        <v/>
      </c>
    </row>
    <row r="96" customFormat="false" ht="15" hidden="false" customHeight="false" outlineLevel="0" collapsed="false">
      <c r="A96" s="106" t="str">
        <f aca="false">IF($B96="","",الموظفون!$A96)</f>
        <v/>
      </c>
      <c r="B96" s="114" t="str">
        <f aca="false">IF(الموظفون!$B96="","",الموظفون!$B96)</f>
        <v/>
      </c>
      <c r="C96" s="114" t="str">
        <f aca="false">IF($B96="","",الموظفون!$C96)</f>
        <v/>
      </c>
      <c r="D96" s="114" t="str">
        <f aca="false">IF($B96="","",الموظفون!$F96)</f>
        <v/>
      </c>
      <c r="E96" s="114" t="str">
        <f aca="false">IF($B96="","",الموظفون!$E96)</f>
        <v/>
      </c>
      <c r="F96" s="114" t="str">
        <f aca="false">IF($B96="","",IF(AK96=0,IF(AND(الموظفون!$AE96&lt;&gt;"",الموظفون!$AE96&lt;$E$3),"✖ منتهي الخدمة","⏳ لم يباشر"),IF(S96&gt;0,"✈ راتب إجازة مقدم",IF(J96=0,"⛔ بدون راتب هذا الشهر",IF(I96&gt;0,"✈ خصم "&amp;ROUND(I96,2)&amp;" يوم بدون أجر",IF(AL96&gt;0,"🌴 إجازة سنوية "&amp;ROUND(AL96,2)&amp;" يوم",IF(H96&gt;0,"⚠ غياب "&amp;ROUND(H96,2)&amp;" يوم","✔ على رأس العمل")))))))</f>
        <v/>
      </c>
      <c r="G96" s="151" t="str">
        <f aca="false">IF($B96="","",IF(AK96&gt;=DAY($F$3),cfg_DAYS_M,MIN(AK96,cfg_DAYS_M)))</f>
        <v/>
      </c>
      <c r="H96" s="151" t="str">
        <f aca="false">IF($B96="","",SUMIFS('الحركات الشهرية'!$D$6:$D$1005,'الحركات الشهرية'!$B$6:$B$1005,$B96,'الحركات الشهرية'!$A$6:$A$1005,$C$3))</f>
        <v/>
      </c>
      <c r="I96" s="151" t="str">
        <f aca="false">IF($B96="","",MIN(G96,IF(AND(AK96&gt;0,AN96&gt;=AK96),G96,AN96)+SUMIFS('الحركات الشهرية'!$E$6:$E$1005,'الحركات الشهرية'!$B$6:$B$1005,$B96,'الحركات الشهرية'!$A$6:$A$1005,$C$3)))</f>
        <v/>
      </c>
      <c r="J96" s="151" t="str">
        <f aca="false">IF($B96="","",MAX(0,G96-H96-I96))</f>
        <v/>
      </c>
      <c r="K96" s="111" t="str">
        <f aca="false">IF($B96="","",الموظفون!$L96*$J96/cfg_DAYS_M)</f>
        <v/>
      </c>
      <c r="L96" s="111" t="str">
        <f aca="false">IF($B96="","",الموظفون!$M96*$J96/cfg_DAYS_M)</f>
        <v/>
      </c>
      <c r="M96" s="111" t="str">
        <f aca="false">IF($B96="","",الموظفون!$N96*$J96/cfg_DAYS_M)</f>
        <v/>
      </c>
      <c r="N96" s="111" t="str">
        <f aca="false">IF($B96="","",الموظفون!$O96*$J96/cfg_DAYS_M)</f>
        <v/>
      </c>
      <c r="O96" s="151" t="str">
        <f aca="false">IF($B96="","",SUMIFS('الحركات الشهرية'!$F$6:$F$1005,'الحركات الشهرية'!$B$6:$B$1005,$B96,'الحركات الشهرية'!$A$6:$A$1005,$C$3))</f>
        <v/>
      </c>
      <c r="P96" s="111" t="str">
        <f aca="false">IF($B96="","",O96*(الموظفون!$P96+الموظفون!$L96*cfg_OT_P)/cfg_DAYS_M/cfg_HRS)</f>
        <v/>
      </c>
      <c r="Q96" s="111" t="str">
        <f aca="false">IF($B96="","",SUMIFS('الحركات الشهرية'!$G$6:$G$1005,'الحركات الشهرية'!$B$6:$B$1005,$B96,'الحركات الشهرية'!$A$6:$A$1005,$C$3))</f>
        <v/>
      </c>
      <c r="R96" s="111" t="str">
        <f aca="false">IF($B96="","",SUMIFS('الحركات الشهرية'!$H$6:$H$1005,'الحركات الشهرية'!$B$6:$B$1005,$B96,'الحركات الشهرية'!$A$6:$A$1005,$C$3))</f>
        <v/>
      </c>
      <c r="S96" s="111" t="str">
        <f aca="false">IF($B96="","",SUMIFS('سجل الإجازات والحالات'!$N$6:$N$505,'سجل الإجازات والحالات'!$B$6:$B$505,$B96,'سجل الإجازات والحالات'!$O$6:$O$505,$C$3))</f>
        <v/>
      </c>
      <c r="T96" s="152" t="str">
        <f aca="false">IF($B96="","",SUM(K96:N96)+SUM(P96:S96))</f>
        <v/>
      </c>
      <c r="U96" s="111" t="str">
        <f aca="false">IF($B96="","",الموظفون!$S96*IF(E96="سعودي",cfg_G_SE,cfg_G_NE)*G96/cfg_DAYS_M)</f>
        <v/>
      </c>
      <c r="V96" s="111" t="str">
        <f aca="false">IF($B96="","",SUMIFS('الحركات الشهرية'!$I$6:$I$1005,'الحركات الشهرية'!$B$6:$B$1005,$B96,'الحركات الشهرية'!$A$6:$A$1005,$C$3))</f>
        <v/>
      </c>
      <c r="W96" s="111" t="str">
        <f aca="false">IF($B96="","",SUMIFS('الحركات الشهرية'!$J$6:$J$1005,'الحركات الشهرية'!$B$6:$B$1005,$B96,'الحركات الشهرية'!$A$6:$A$1005,$C$3))</f>
        <v/>
      </c>
      <c r="X96" s="111" t="str">
        <f aca="false">IF($B96="","",SUM(U96:W96))</f>
        <v/>
      </c>
      <c r="Y96" s="153" t="str">
        <f aca="false">IF($B96="","",T96-X96)</f>
        <v/>
      </c>
      <c r="Z96" s="111" t="str">
        <f aca="false">IF($B96="","",الموظفون!$S96*IF(E96="سعودي",cfg_G_SR,cfg_G_NR)*G96/cfg_DAYS_M)</f>
        <v/>
      </c>
      <c r="AA96" s="111" t="str">
        <f aca="false">IF($B96="","",الموظفون!$Q96*(cfg_EOS_R1*(MIN(AH96,cfg_EOS_TH)-MIN(AI96,cfg_EOS_TH))+cfg_EOS_R2*(MAX(AH96-cfg_EOS_TH,0)-MAX(AI96-cfg_EOS_TH,0))))</f>
        <v/>
      </c>
      <c r="AB96" s="111" t="str">
        <f aca="false">IF($B96="","",IF(الموظفون!$T96&lt;&gt;"",الموظفون!$T96,IF(AH96&gt;=cfg_LV_TH,cfg_LV_D2,cfg_LV_D1))/cfg_DAYS_Y*AJ96*الموظفون!$R96/cfg_DAYS_M)</f>
        <v/>
      </c>
      <c r="AC96" s="111" t="str">
        <f aca="false">IF($B96="","",IF(AND(الموظفون!$U96="نعم",N(الموظفون!$W96)&gt;0),الموظفون!$V96/الموظفون!$W96*12/cfg_DAYS_Y*AJ96,0))</f>
        <v/>
      </c>
      <c r="AD96" s="111" t="str">
        <f aca="false">IF($B96="","",(IF(الموظفون!$X96&lt;&gt;"",الموظفون!$X96,IF(الموظفون!$E96="غير سعودي",cfg_IQ,0))+IF(الموظفون!$Y96&lt;&gt;"",الموظفون!$Y96,IF(الموظفون!$E96="غير سعودي",cfg_WP,0)))/12*G96/cfg_DAYS_M)</f>
        <v/>
      </c>
      <c r="AE96" s="111" t="str">
        <f aca="false">IF($B96="","",IF(الموظفون!$Z96&lt;&gt;"",الموظفون!$Z96,cfg_MED)/12*G96/cfg_DAYS_M)</f>
        <v/>
      </c>
      <c r="AF96" s="111" t="str">
        <f aca="false">IF($B96="","",N(الموظفون!$AA96)/12*G96/cfg_DAYS_M)</f>
        <v/>
      </c>
      <c r="AG96" s="154" t="str">
        <f aca="false">IF($B96="","",T96+SUM(Z96:AF96))</f>
        <v/>
      </c>
      <c r="AH96" s="155" t="str">
        <f aca="false">IF($B96="","",MAX(0,IF(OR(الموظفون!$AE96="",الموظفون!$AE96&gt;$F$3),$F$3,الموظفون!$AE96)-الموظفون!$H96+1-SUMIFS('سجل الإجازات والحالات'!$AH$6:$AH$505,'سجل الإجازات والحالات'!$B$6:$B$505,$B96))/cfg_DAYS_Y)</f>
        <v/>
      </c>
      <c r="AI96" s="155" t="str">
        <f aca="false">IF($B96="","",MAX(0,IF(OR(الموظفون!$AE96="",الموظفون!$AE96&gt;($E$3-1)),($E$3-1),الموظفون!$AE96)-الموظفون!$H96+1-SUMIFS('سجل الإجازات والحالات'!$R$6:$R$505,'سجل الإجازات والحالات'!$B$6:$B$505,$B96))/cfg_DAYS_Y)</f>
        <v/>
      </c>
      <c r="AJ96" s="65" t="str">
        <f aca="false">IF($B96="","",MAX(0,AK96-(SUMIFS('سجل الإجازات والحالات'!$AH$6:$AH$505,'سجل الإجازات والحالات'!$B$6:$B$505,$B96)-SUMIFS('سجل الإجازات والحالات'!$R$6:$R$505,'سجل الإجازات والحالات'!$B$6:$B$505,$B96))))</f>
        <v/>
      </c>
      <c r="AK96" s="65" t="str">
        <f aca="false">IF($B96="","",MAX(0,IF(OR(الموظفون!$AE96="",الموظفون!$AE96&gt;$F$3),$F$3,الموظفون!$AE96)-MAX($E$3,الموظفون!$H96)+1))</f>
        <v/>
      </c>
      <c r="AL96" s="151" t="str">
        <f aca="false">IF($B96="","",SUMIFS('سجل الإجازات والحالات'!$AT$6:$AT$505,'سجل الإجازات والحالات'!$B$6:$B$505,$B96)+SUMIFS('الحركات الشهرية'!$K$6:$K$1005,'الحركات الشهرية'!$B$6:$B$1005,$B96,'الحركات الشهرية'!$A$6:$A$1005,$C$3))</f>
        <v/>
      </c>
      <c r="AM96" s="111" t="str">
        <f aca="false">IF($B96="","",AL96*الموظفون!$R96/cfg_DAYS_M+S96)</f>
        <v/>
      </c>
      <c r="AN96" s="151" t="str">
        <f aca="false">IF($B96="","",SUMIFS('سجل الإجازات والحالات'!$V$6:$V$505,'سجل الإجازات والحالات'!$B$6:$B$505,$B96))</f>
        <v/>
      </c>
    </row>
    <row r="97" customFormat="false" ht="15" hidden="false" customHeight="false" outlineLevel="0" collapsed="false">
      <c r="A97" s="115" t="str">
        <f aca="false">IF($B97="","",الموظفون!$A97)</f>
        <v/>
      </c>
      <c r="B97" s="117" t="str">
        <f aca="false">IF(الموظفون!$B97="","",الموظفون!$B97)</f>
        <v/>
      </c>
      <c r="C97" s="117" t="str">
        <f aca="false">IF($B97="","",الموظفون!$C97)</f>
        <v/>
      </c>
      <c r="D97" s="117" t="str">
        <f aca="false">IF($B97="","",الموظفون!$F97)</f>
        <v/>
      </c>
      <c r="E97" s="117" t="str">
        <f aca="false">IF($B97="","",الموظفون!$E97)</f>
        <v/>
      </c>
      <c r="F97" s="117" t="str">
        <f aca="false">IF($B97="","",IF(AK97=0,IF(AND(الموظفون!$AE97&lt;&gt;"",الموظفون!$AE97&lt;$E$3),"✖ منتهي الخدمة","⏳ لم يباشر"),IF(S97&gt;0,"✈ راتب إجازة مقدم",IF(J97=0,"⛔ بدون راتب هذا الشهر",IF(I97&gt;0,"✈ خصم "&amp;ROUND(I97,2)&amp;" يوم بدون أجر",IF(AL97&gt;0,"🌴 إجازة سنوية "&amp;ROUND(AL97,2)&amp;" يوم",IF(H97&gt;0,"⚠ غياب "&amp;ROUND(H97,2)&amp;" يوم","✔ على رأس العمل")))))))</f>
        <v/>
      </c>
      <c r="G97" s="156" t="str">
        <f aca="false">IF($B97="","",IF(AK97&gt;=DAY($F$3),cfg_DAYS_M,MIN(AK97,cfg_DAYS_M)))</f>
        <v/>
      </c>
      <c r="H97" s="156" t="str">
        <f aca="false">IF($B97="","",SUMIFS('الحركات الشهرية'!$D$6:$D$1005,'الحركات الشهرية'!$B$6:$B$1005,$B97,'الحركات الشهرية'!$A$6:$A$1005,$C$3))</f>
        <v/>
      </c>
      <c r="I97" s="156" t="str">
        <f aca="false">IF($B97="","",MIN(G97,IF(AND(AK97&gt;0,AN97&gt;=AK97),G97,AN97)+SUMIFS('الحركات الشهرية'!$E$6:$E$1005,'الحركات الشهرية'!$B$6:$B$1005,$B97,'الحركات الشهرية'!$A$6:$A$1005,$C$3)))</f>
        <v/>
      </c>
      <c r="J97" s="156" t="str">
        <f aca="false">IF($B97="","",MAX(0,G97-H97-I97))</f>
        <v/>
      </c>
      <c r="K97" s="116" t="str">
        <f aca="false">IF($B97="","",الموظفون!$L97*$J97/cfg_DAYS_M)</f>
        <v/>
      </c>
      <c r="L97" s="116" t="str">
        <f aca="false">IF($B97="","",الموظفون!$M97*$J97/cfg_DAYS_M)</f>
        <v/>
      </c>
      <c r="M97" s="116" t="str">
        <f aca="false">IF($B97="","",الموظفون!$N97*$J97/cfg_DAYS_M)</f>
        <v/>
      </c>
      <c r="N97" s="116" t="str">
        <f aca="false">IF($B97="","",الموظفون!$O97*$J97/cfg_DAYS_M)</f>
        <v/>
      </c>
      <c r="O97" s="156" t="str">
        <f aca="false">IF($B97="","",SUMIFS('الحركات الشهرية'!$F$6:$F$1005,'الحركات الشهرية'!$B$6:$B$1005,$B97,'الحركات الشهرية'!$A$6:$A$1005,$C$3))</f>
        <v/>
      </c>
      <c r="P97" s="116" t="str">
        <f aca="false">IF($B97="","",O97*(الموظفون!$P97+الموظفون!$L97*cfg_OT_P)/cfg_DAYS_M/cfg_HRS)</f>
        <v/>
      </c>
      <c r="Q97" s="116" t="str">
        <f aca="false">IF($B97="","",SUMIFS('الحركات الشهرية'!$G$6:$G$1005,'الحركات الشهرية'!$B$6:$B$1005,$B97,'الحركات الشهرية'!$A$6:$A$1005,$C$3))</f>
        <v/>
      </c>
      <c r="R97" s="116" t="str">
        <f aca="false">IF($B97="","",SUMIFS('الحركات الشهرية'!$H$6:$H$1005,'الحركات الشهرية'!$B$6:$B$1005,$B97,'الحركات الشهرية'!$A$6:$A$1005,$C$3))</f>
        <v/>
      </c>
      <c r="S97" s="116" t="str">
        <f aca="false">IF($B97="","",SUMIFS('سجل الإجازات والحالات'!$N$6:$N$505,'سجل الإجازات والحالات'!$B$6:$B$505,$B97,'سجل الإجازات والحالات'!$O$6:$O$505,$C$3))</f>
        <v/>
      </c>
      <c r="T97" s="157" t="str">
        <f aca="false">IF($B97="","",SUM(K97:N97)+SUM(P97:S97))</f>
        <v/>
      </c>
      <c r="U97" s="116" t="str">
        <f aca="false">IF($B97="","",الموظفون!$S97*IF(E97="سعودي",cfg_G_SE,cfg_G_NE)*G97/cfg_DAYS_M)</f>
        <v/>
      </c>
      <c r="V97" s="116" t="str">
        <f aca="false">IF($B97="","",SUMIFS('الحركات الشهرية'!$I$6:$I$1005,'الحركات الشهرية'!$B$6:$B$1005,$B97,'الحركات الشهرية'!$A$6:$A$1005,$C$3))</f>
        <v/>
      </c>
      <c r="W97" s="116" t="str">
        <f aca="false">IF($B97="","",SUMIFS('الحركات الشهرية'!$J$6:$J$1005,'الحركات الشهرية'!$B$6:$B$1005,$B97,'الحركات الشهرية'!$A$6:$A$1005,$C$3))</f>
        <v/>
      </c>
      <c r="X97" s="116" t="str">
        <f aca="false">IF($B97="","",SUM(U97:W97))</f>
        <v/>
      </c>
      <c r="Y97" s="158" t="str">
        <f aca="false">IF($B97="","",T97-X97)</f>
        <v/>
      </c>
      <c r="Z97" s="116" t="str">
        <f aca="false">IF($B97="","",الموظفون!$S97*IF(E97="سعودي",cfg_G_SR,cfg_G_NR)*G97/cfg_DAYS_M)</f>
        <v/>
      </c>
      <c r="AA97" s="116" t="str">
        <f aca="false">IF($B97="","",الموظفون!$Q97*(cfg_EOS_R1*(MIN(AH97,cfg_EOS_TH)-MIN(AI97,cfg_EOS_TH))+cfg_EOS_R2*(MAX(AH97-cfg_EOS_TH,0)-MAX(AI97-cfg_EOS_TH,0))))</f>
        <v/>
      </c>
      <c r="AB97" s="116" t="str">
        <f aca="false">IF($B97="","",IF(الموظفون!$T97&lt;&gt;"",الموظفون!$T97,IF(AH97&gt;=cfg_LV_TH,cfg_LV_D2,cfg_LV_D1))/cfg_DAYS_Y*AJ97*الموظفون!$R97/cfg_DAYS_M)</f>
        <v/>
      </c>
      <c r="AC97" s="116" t="str">
        <f aca="false">IF($B97="","",IF(AND(الموظفون!$U97="نعم",N(الموظفون!$W97)&gt;0),الموظفون!$V97/الموظفون!$W97*12/cfg_DAYS_Y*AJ97,0))</f>
        <v/>
      </c>
      <c r="AD97" s="116" t="str">
        <f aca="false">IF($B97="","",(IF(الموظفون!$X97&lt;&gt;"",الموظفون!$X97,IF(الموظفون!$E97="غير سعودي",cfg_IQ,0))+IF(الموظفون!$Y97&lt;&gt;"",الموظفون!$Y97,IF(الموظفون!$E97="غير سعودي",cfg_WP,0)))/12*G97/cfg_DAYS_M)</f>
        <v/>
      </c>
      <c r="AE97" s="116" t="str">
        <f aca="false">IF($B97="","",IF(الموظفون!$Z97&lt;&gt;"",الموظفون!$Z97,cfg_MED)/12*G97/cfg_DAYS_M)</f>
        <v/>
      </c>
      <c r="AF97" s="116" t="str">
        <f aca="false">IF($B97="","",N(الموظفون!$AA97)/12*G97/cfg_DAYS_M)</f>
        <v/>
      </c>
      <c r="AG97" s="159" t="str">
        <f aca="false">IF($B97="","",T97+SUM(Z97:AF97))</f>
        <v/>
      </c>
      <c r="AH97" s="160" t="str">
        <f aca="false">IF($B97="","",MAX(0,IF(OR(الموظفون!$AE97="",الموظفون!$AE97&gt;$F$3),$F$3,الموظفون!$AE97)-الموظفون!$H97+1-SUMIFS('سجل الإجازات والحالات'!$AH$6:$AH$505,'سجل الإجازات والحالات'!$B$6:$B$505,$B97))/cfg_DAYS_Y)</f>
        <v/>
      </c>
      <c r="AI97" s="160" t="str">
        <f aca="false">IF($B97="","",MAX(0,IF(OR(الموظفون!$AE97="",الموظفون!$AE97&gt;($E$3-1)),($E$3-1),الموظفون!$AE97)-الموظفون!$H97+1-SUMIFS('سجل الإجازات والحالات'!$R$6:$R$505,'سجل الإجازات والحالات'!$B$6:$B$505,$B97))/cfg_DAYS_Y)</f>
        <v/>
      </c>
      <c r="AJ97" s="133" t="str">
        <f aca="false">IF($B97="","",MAX(0,AK97-(SUMIFS('سجل الإجازات والحالات'!$AH$6:$AH$505,'سجل الإجازات والحالات'!$B$6:$B$505,$B97)-SUMIFS('سجل الإجازات والحالات'!$R$6:$R$505,'سجل الإجازات والحالات'!$B$6:$B$505,$B97))))</f>
        <v/>
      </c>
      <c r="AK97" s="133" t="str">
        <f aca="false">IF($B97="","",MAX(0,IF(OR(الموظفون!$AE97="",الموظفون!$AE97&gt;$F$3),$F$3,الموظفون!$AE97)-MAX($E$3,الموظفون!$H97)+1))</f>
        <v/>
      </c>
      <c r="AL97" s="156" t="str">
        <f aca="false">IF($B97="","",SUMIFS('سجل الإجازات والحالات'!$AT$6:$AT$505,'سجل الإجازات والحالات'!$B$6:$B$505,$B97)+SUMIFS('الحركات الشهرية'!$K$6:$K$1005,'الحركات الشهرية'!$B$6:$B$1005,$B97,'الحركات الشهرية'!$A$6:$A$1005,$C$3))</f>
        <v/>
      </c>
      <c r="AM97" s="116" t="str">
        <f aca="false">IF($B97="","",AL97*الموظفون!$R97/cfg_DAYS_M+S97)</f>
        <v/>
      </c>
      <c r="AN97" s="156" t="str">
        <f aca="false">IF($B97="","",SUMIFS('سجل الإجازات والحالات'!$V$6:$V$505,'سجل الإجازات والحالات'!$B$6:$B$505,$B97))</f>
        <v/>
      </c>
    </row>
    <row r="98" customFormat="false" ht="15" hidden="false" customHeight="false" outlineLevel="0" collapsed="false">
      <c r="A98" s="106" t="str">
        <f aca="false">IF($B98="","",الموظفون!$A98)</f>
        <v/>
      </c>
      <c r="B98" s="114" t="str">
        <f aca="false">IF(الموظفون!$B98="","",الموظفون!$B98)</f>
        <v/>
      </c>
      <c r="C98" s="114" t="str">
        <f aca="false">IF($B98="","",الموظفون!$C98)</f>
        <v/>
      </c>
      <c r="D98" s="114" t="str">
        <f aca="false">IF($B98="","",الموظفون!$F98)</f>
        <v/>
      </c>
      <c r="E98" s="114" t="str">
        <f aca="false">IF($B98="","",الموظفون!$E98)</f>
        <v/>
      </c>
      <c r="F98" s="114" t="str">
        <f aca="false">IF($B98="","",IF(AK98=0,IF(AND(الموظفون!$AE98&lt;&gt;"",الموظفون!$AE98&lt;$E$3),"✖ منتهي الخدمة","⏳ لم يباشر"),IF(S98&gt;0,"✈ راتب إجازة مقدم",IF(J98=0,"⛔ بدون راتب هذا الشهر",IF(I98&gt;0,"✈ خصم "&amp;ROUND(I98,2)&amp;" يوم بدون أجر",IF(AL98&gt;0,"🌴 إجازة سنوية "&amp;ROUND(AL98,2)&amp;" يوم",IF(H98&gt;0,"⚠ غياب "&amp;ROUND(H98,2)&amp;" يوم","✔ على رأس العمل")))))))</f>
        <v/>
      </c>
      <c r="G98" s="151" t="str">
        <f aca="false">IF($B98="","",IF(AK98&gt;=DAY($F$3),cfg_DAYS_M,MIN(AK98,cfg_DAYS_M)))</f>
        <v/>
      </c>
      <c r="H98" s="151" t="str">
        <f aca="false">IF($B98="","",SUMIFS('الحركات الشهرية'!$D$6:$D$1005,'الحركات الشهرية'!$B$6:$B$1005,$B98,'الحركات الشهرية'!$A$6:$A$1005,$C$3))</f>
        <v/>
      </c>
      <c r="I98" s="151" t="str">
        <f aca="false">IF($B98="","",MIN(G98,IF(AND(AK98&gt;0,AN98&gt;=AK98),G98,AN98)+SUMIFS('الحركات الشهرية'!$E$6:$E$1005,'الحركات الشهرية'!$B$6:$B$1005,$B98,'الحركات الشهرية'!$A$6:$A$1005,$C$3)))</f>
        <v/>
      </c>
      <c r="J98" s="151" t="str">
        <f aca="false">IF($B98="","",MAX(0,G98-H98-I98))</f>
        <v/>
      </c>
      <c r="K98" s="111" t="str">
        <f aca="false">IF($B98="","",الموظفون!$L98*$J98/cfg_DAYS_M)</f>
        <v/>
      </c>
      <c r="L98" s="111" t="str">
        <f aca="false">IF($B98="","",الموظفون!$M98*$J98/cfg_DAYS_M)</f>
        <v/>
      </c>
      <c r="M98" s="111" t="str">
        <f aca="false">IF($B98="","",الموظفون!$N98*$J98/cfg_DAYS_M)</f>
        <v/>
      </c>
      <c r="N98" s="111" t="str">
        <f aca="false">IF($B98="","",الموظفون!$O98*$J98/cfg_DAYS_M)</f>
        <v/>
      </c>
      <c r="O98" s="151" t="str">
        <f aca="false">IF($B98="","",SUMIFS('الحركات الشهرية'!$F$6:$F$1005,'الحركات الشهرية'!$B$6:$B$1005,$B98,'الحركات الشهرية'!$A$6:$A$1005,$C$3))</f>
        <v/>
      </c>
      <c r="P98" s="111" t="str">
        <f aca="false">IF($B98="","",O98*(الموظفون!$P98+الموظفون!$L98*cfg_OT_P)/cfg_DAYS_M/cfg_HRS)</f>
        <v/>
      </c>
      <c r="Q98" s="111" t="str">
        <f aca="false">IF($B98="","",SUMIFS('الحركات الشهرية'!$G$6:$G$1005,'الحركات الشهرية'!$B$6:$B$1005,$B98,'الحركات الشهرية'!$A$6:$A$1005,$C$3))</f>
        <v/>
      </c>
      <c r="R98" s="111" t="str">
        <f aca="false">IF($B98="","",SUMIFS('الحركات الشهرية'!$H$6:$H$1005,'الحركات الشهرية'!$B$6:$B$1005,$B98,'الحركات الشهرية'!$A$6:$A$1005,$C$3))</f>
        <v/>
      </c>
      <c r="S98" s="111" t="str">
        <f aca="false">IF($B98="","",SUMIFS('سجل الإجازات والحالات'!$N$6:$N$505,'سجل الإجازات والحالات'!$B$6:$B$505,$B98,'سجل الإجازات والحالات'!$O$6:$O$505,$C$3))</f>
        <v/>
      </c>
      <c r="T98" s="152" t="str">
        <f aca="false">IF($B98="","",SUM(K98:N98)+SUM(P98:S98))</f>
        <v/>
      </c>
      <c r="U98" s="111" t="str">
        <f aca="false">IF($B98="","",الموظفون!$S98*IF(E98="سعودي",cfg_G_SE,cfg_G_NE)*G98/cfg_DAYS_M)</f>
        <v/>
      </c>
      <c r="V98" s="111" t="str">
        <f aca="false">IF($B98="","",SUMIFS('الحركات الشهرية'!$I$6:$I$1005,'الحركات الشهرية'!$B$6:$B$1005,$B98,'الحركات الشهرية'!$A$6:$A$1005,$C$3))</f>
        <v/>
      </c>
      <c r="W98" s="111" t="str">
        <f aca="false">IF($B98="","",SUMIFS('الحركات الشهرية'!$J$6:$J$1005,'الحركات الشهرية'!$B$6:$B$1005,$B98,'الحركات الشهرية'!$A$6:$A$1005,$C$3))</f>
        <v/>
      </c>
      <c r="X98" s="111" t="str">
        <f aca="false">IF($B98="","",SUM(U98:W98))</f>
        <v/>
      </c>
      <c r="Y98" s="153" t="str">
        <f aca="false">IF($B98="","",T98-X98)</f>
        <v/>
      </c>
      <c r="Z98" s="111" t="str">
        <f aca="false">IF($B98="","",الموظفون!$S98*IF(E98="سعودي",cfg_G_SR,cfg_G_NR)*G98/cfg_DAYS_M)</f>
        <v/>
      </c>
      <c r="AA98" s="111" t="str">
        <f aca="false">IF($B98="","",الموظفون!$Q98*(cfg_EOS_R1*(MIN(AH98,cfg_EOS_TH)-MIN(AI98,cfg_EOS_TH))+cfg_EOS_R2*(MAX(AH98-cfg_EOS_TH,0)-MAX(AI98-cfg_EOS_TH,0))))</f>
        <v/>
      </c>
      <c r="AB98" s="111" t="str">
        <f aca="false">IF($B98="","",IF(الموظفون!$T98&lt;&gt;"",الموظفون!$T98,IF(AH98&gt;=cfg_LV_TH,cfg_LV_D2,cfg_LV_D1))/cfg_DAYS_Y*AJ98*الموظفون!$R98/cfg_DAYS_M)</f>
        <v/>
      </c>
      <c r="AC98" s="111" t="str">
        <f aca="false">IF($B98="","",IF(AND(الموظفون!$U98="نعم",N(الموظفون!$W98)&gt;0),الموظفون!$V98/الموظفون!$W98*12/cfg_DAYS_Y*AJ98,0))</f>
        <v/>
      </c>
      <c r="AD98" s="111" t="str">
        <f aca="false">IF($B98="","",(IF(الموظفون!$X98&lt;&gt;"",الموظفون!$X98,IF(الموظفون!$E98="غير سعودي",cfg_IQ,0))+IF(الموظفون!$Y98&lt;&gt;"",الموظفون!$Y98,IF(الموظفون!$E98="غير سعودي",cfg_WP,0)))/12*G98/cfg_DAYS_M)</f>
        <v/>
      </c>
      <c r="AE98" s="111" t="str">
        <f aca="false">IF($B98="","",IF(الموظفون!$Z98&lt;&gt;"",الموظفون!$Z98,cfg_MED)/12*G98/cfg_DAYS_M)</f>
        <v/>
      </c>
      <c r="AF98" s="111" t="str">
        <f aca="false">IF($B98="","",N(الموظفون!$AA98)/12*G98/cfg_DAYS_M)</f>
        <v/>
      </c>
      <c r="AG98" s="154" t="str">
        <f aca="false">IF($B98="","",T98+SUM(Z98:AF98))</f>
        <v/>
      </c>
      <c r="AH98" s="155" t="str">
        <f aca="false">IF($B98="","",MAX(0,IF(OR(الموظفون!$AE98="",الموظفون!$AE98&gt;$F$3),$F$3,الموظفون!$AE98)-الموظفون!$H98+1-SUMIFS('سجل الإجازات والحالات'!$AH$6:$AH$505,'سجل الإجازات والحالات'!$B$6:$B$505,$B98))/cfg_DAYS_Y)</f>
        <v/>
      </c>
      <c r="AI98" s="155" t="str">
        <f aca="false">IF($B98="","",MAX(0,IF(OR(الموظفون!$AE98="",الموظفون!$AE98&gt;($E$3-1)),($E$3-1),الموظفون!$AE98)-الموظفون!$H98+1-SUMIFS('سجل الإجازات والحالات'!$R$6:$R$505,'سجل الإجازات والحالات'!$B$6:$B$505,$B98))/cfg_DAYS_Y)</f>
        <v/>
      </c>
      <c r="AJ98" s="65" t="str">
        <f aca="false">IF($B98="","",MAX(0,AK98-(SUMIFS('سجل الإجازات والحالات'!$AH$6:$AH$505,'سجل الإجازات والحالات'!$B$6:$B$505,$B98)-SUMIFS('سجل الإجازات والحالات'!$R$6:$R$505,'سجل الإجازات والحالات'!$B$6:$B$505,$B98))))</f>
        <v/>
      </c>
      <c r="AK98" s="65" t="str">
        <f aca="false">IF($B98="","",MAX(0,IF(OR(الموظفون!$AE98="",الموظفون!$AE98&gt;$F$3),$F$3,الموظفون!$AE98)-MAX($E$3,الموظفون!$H98)+1))</f>
        <v/>
      </c>
      <c r="AL98" s="151" t="str">
        <f aca="false">IF($B98="","",SUMIFS('سجل الإجازات والحالات'!$AT$6:$AT$505,'سجل الإجازات والحالات'!$B$6:$B$505,$B98)+SUMIFS('الحركات الشهرية'!$K$6:$K$1005,'الحركات الشهرية'!$B$6:$B$1005,$B98,'الحركات الشهرية'!$A$6:$A$1005,$C$3))</f>
        <v/>
      </c>
      <c r="AM98" s="111" t="str">
        <f aca="false">IF($B98="","",AL98*الموظفون!$R98/cfg_DAYS_M+S98)</f>
        <v/>
      </c>
      <c r="AN98" s="151" t="str">
        <f aca="false">IF($B98="","",SUMIFS('سجل الإجازات والحالات'!$V$6:$V$505,'سجل الإجازات والحالات'!$B$6:$B$505,$B98))</f>
        <v/>
      </c>
    </row>
    <row r="99" customFormat="false" ht="15" hidden="false" customHeight="false" outlineLevel="0" collapsed="false">
      <c r="A99" s="115" t="str">
        <f aca="false">IF($B99="","",الموظفون!$A99)</f>
        <v/>
      </c>
      <c r="B99" s="117" t="str">
        <f aca="false">IF(الموظفون!$B99="","",الموظفون!$B99)</f>
        <v/>
      </c>
      <c r="C99" s="117" t="str">
        <f aca="false">IF($B99="","",الموظفون!$C99)</f>
        <v/>
      </c>
      <c r="D99" s="117" t="str">
        <f aca="false">IF($B99="","",الموظفون!$F99)</f>
        <v/>
      </c>
      <c r="E99" s="117" t="str">
        <f aca="false">IF($B99="","",الموظفون!$E99)</f>
        <v/>
      </c>
      <c r="F99" s="117" t="str">
        <f aca="false">IF($B99="","",IF(AK99=0,IF(AND(الموظفون!$AE99&lt;&gt;"",الموظفون!$AE99&lt;$E$3),"✖ منتهي الخدمة","⏳ لم يباشر"),IF(S99&gt;0,"✈ راتب إجازة مقدم",IF(J99=0,"⛔ بدون راتب هذا الشهر",IF(I99&gt;0,"✈ خصم "&amp;ROUND(I99,2)&amp;" يوم بدون أجر",IF(AL99&gt;0,"🌴 إجازة سنوية "&amp;ROUND(AL99,2)&amp;" يوم",IF(H99&gt;0,"⚠ غياب "&amp;ROUND(H99,2)&amp;" يوم","✔ على رأس العمل")))))))</f>
        <v/>
      </c>
      <c r="G99" s="156" t="str">
        <f aca="false">IF($B99="","",IF(AK99&gt;=DAY($F$3),cfg_DAYS_M,MIN(AK99,cfg_DAYS_M)))</f>
        <v/>
      </c>
      <c r="H99" s="156" t="str">
        <f aca="false">IF($B99="","",SUMIFS('الحركات الشهرية'!$D$6:$D$1005,'الحركات الشهرية'!$B$6:$B$1005,$B99,'الحركات الشهرية'!$A$6:$A$1005,$C$3))</f>
        <v/>
      </c>
      <c r="I99" s="156" t="str">
        <f aca="false">IF($B99="","",MIN(G99,IF(AND(AK99&gt;0,AN99&gt;=AK99),G99,AN99)+SUMIFS('الحركات الشهرية'!$E$6:$E$1005,'الحركات الشهرية'!$B$6:$B$1005,$B99,'الحركات الشهرية'!$A$6:$A$1005,$C$3)))</f>
        <v/>
      </c>
      <c r="J99" s="156" t="str">
        <f aca="false">IF($B99="","",MAX(0,G99-H99-I99))</f>
        <v/>
      </c>
      <c r="K99" s="116" t="str">
        <f aca="false">IF($B99="","",الموظفون!$L99*$J99/cfg_DAYS_M)</f>
        <v/>
      </c>
      <c r="L99" s="116" t="str">
        <f aca="false">IF($B99="","",الموظفون!$M99*$J99/cfg_DAYS_M)</f>
        <v/>
      </c>
      <c r="M99" s="116" t="str">
        <f aca="false">IF($B99="","",الموظفون!$N99*$J99/cfg_DAYS_M)</f>
        <v/>
      </c>
      <c r="N99" s="116" t="str">
        <f aca="false">IF($B99="","",الموظفون!$O99*$J99/cfg_DAYS_M)</f>
        <v/>
      </c>
      <c r="O99" s="156" t="str">
        <f aca="false">IF($B99="","",SUMIFS('الحركات الشهرية'!$F$6:$F$1005,'الحركات الشهرية'!$B$6:$B$1005,$B99,'الحركات الشهرية'!$A$6:$A$1005,$C$3))</f>
        <v/>
      </c>
      <c r="P99" s="116" t="str">
        <f aca="false">IF($B99="","",O99*(الموظفون!$P99+الموظفون!$L99*cfg_OT_P)/cfg_DAYS_M/cfg_HRS)</f>
        <v/>
      </c>
      <c r="Q99" s="116" t="str">
        <f aca="false">IF($B99="","",SUMIFS('الحركات الشهرية'!$G$6:$G$1005,'الحركات الشهرية'!$B$6:$B$1005,$B99,'الحركات الشهرية'!$A$6:$A$1005,$C$3))</f>
        <v/>
      </c>
      <c r="R99" s="116" t="str">
        <f aca="false">IF($B99="","",SUMIFS('الحركات الشهرية'!$H$6:$H$1005,'الحركات الشهرية'!$B$6:$B$1005,$B99,'الحركات الشهرية'!$A$6:$A$1005,$C$3))</f>
        <v/>
      </c>
      <c r="S99" s="116" t="str">
        <f aca="false">IF($B99="","",SUMIFS('سجل الإجازات والحالات'!$N$6:$N$505,'سجل الإجازات والحالات'!$B$6:$B$505,$B99,'سجل الإجازات والحالات'!$O$6:$O$505,$C$3))</f>
        <v/>
      </c>
      <c r="T99" s="157" t="str">
        <f aca="false">IF($B99="","",SUM(K99:N99)+SUM(P99:S99))</f>
        <v/>
      </c>
      <c r="U99" s="116" t="str">
        <f aca="false">IF($B99="","",الموظفون!$S99*IF(E99="سعودي",cfg_G_SE,cfg_G_NE)*G99/cfg_DAYS_M)</f>
        <v/>
      </c>
      <c r="V99" s="116" t="str">
        <f aca="false">IF($B99="","",SUMIFS('الحركات الشهرية'!$I$6:$I$1005,'الحركات الشهرية'!$B$6:$B$1005,$B99,'الحركات الشهرية'!$A$6:$A$1005,$C$3))</f>
        <v/>
      </c>
      <c r="W99" s="116" t="str">
        <f aca="false">IF($B99="","",SUMIFS('الحركات الشهرية'!$J$6:$J$1005,'الحركات الشهرية'!$B$6:$B$1005,$B99,'الحركات الشهرية'!$A$6:$A$1005,$C$3))</f>
        <v/>
      </c>
      <c r="X99" s="116" t="str">
        <f aca="false">IF($B99="","",SUM(U99:W99))</f>
        <v/>
      </c>
      <c r="Y99" s="158" t="str">
        <f aca="false">IF($B99="","",T99-X99)</f>
        <v/>
      </c>
      <c r="Z99" s="116" t="str">
        <f aca="false">IF($B99="","",الموظفون!$S99*IF(E99="سعودي",cfg_G_SR,cfg_G_NR)*G99/cfg_DAYS_M)</f>
        <v/>
      </c>
      <c r="AA99" s="116" t="str">
        <f aca="false">IF($B99="","",الموظفون!$Q99*(cfg_EOS_R1*(MIN(AH99,cfg_EOS_TH)-MIN(AI99,cfg_EOS_TH))+cfg_EOS_R2*(MAX(AH99-cfg_EOS_TH,0)-MAX(AI99-cfg_EOS_TH,0))))</f>
        <v/>
      </c>
      <c r="AB99" s="116" t="str">
        <f aca="false">IF($B99="","",IF(الموظفون!$T99&lt;&gt;"",الموظفون!$T99,IF(AH99&gt;=cfg_LV_TH,cfg_LV_D2,cfg_LV_D1))/cfg_DAYS_Y*AJ99*الموظفون!$R99/cfg_DAYS_M)</f>
        <v/>
      </c>
      <c r="AC99" s="116" t="str">
        <f aca="false">IF($B99="","",IF(AND(الموظفون!$U99="نعم",N(الموظفون!$W99)&gt;0),الموظفون!$V99/الموظفون!$W99*12/cfg_DAYS_Y*AJ99,0))</f>
        <v/>
      </c>
      <c r="AD99" s="116" t="str">
        <f aca="false">IF($B99="","",(IF(الموظفون!$X99&lt;&gt;"",الموظفون!$X99,IF(الموظفون!$E99="غير سعودي",cfg_IQ,0))+IF(الموظفون!$Y99&lt;&gt;"",الموظفون!$Y99,IF(الموظفون!$E99="غير سعودي",cfg_WP,0)))/12*G99/cfg_DAYS_M)</f>
        <v/>
      </c>
      <c r="AE99" s="116" t="str">
        <f aca="false">IF($B99="","",IF(الموظفون!$Z99&lt;&gt;"",الموظفون!$Z99,cfg_MED)/12*G99/cfg_DAYS_M)</f>
        <v/>
      </c>
      <c r="AF99" s="116" t="str">
        <f aca="false">IF($B99="","",N(الموظفون!$AA99)/12*G99/cfg_DAYS_M)</f>
        <v/>
      </c>
      <c r="AG99" s="159" t="str">
        <f aca="false">IF($B99="","",T99+SUM(Z99:AF99))</f>
        <v/>
      </c>
      <c r="AH99" s="160" t="str">
        <f aca="false">IF($B99="","",MAX(0,IF(OR(الموظفون!$AE99="",الموظفون!$AE99&gt;$F$3),$F$3,الموظفون!$AE99)-الموظفون!$H99+1-SUMIFS('سجل الإجازات والحالات'!$AH$6:$AH$505,'سجل الإجازات والحالات'!$B$6:$B$505,$B99))/cfg_DAYS_Y)</f>
        <v/>
      </c>
      <c r="AI99" s="160" t="str">
        <f aca="false">IF($B99="","",MAX(0,IF(OR(الموظفون!$AE99="",الموظفون!$AE99&gt;($E$3-1)),($E$3-1),الموظفون!$AE99)-الموظفون!$H99+1-SUMIFS('سجل الإجازات والحالات'!$R$6:$R$505,'سجل الإجازات والحالات'!$B$6:$B$505,$B99))/cfg_DAYS_Y)</f>
        <v/>
      </c>
      <c r="AJ99" s="133" t="str">
        <f aca="false">IF($B99="","",MAX(0,AK99-(SUMIFS('سجل الإجازات والحالات'!$AH$6:$AH$505,'سجل الإجازات والحالات'!$B$6:$B$505,$B99)-SUMIFS('سجل الإجازات والحالات'!$R$6:$R$505,'سجل الإجازات والحالات'!$B$6:$B$505,$B99))))</f>
        <v/>
      </c>
      <c r="AK99" s="133" t="str">
        <f aca="false">IF($B99="","",MAX(0,IF(OR(الموظفون!$AE99="",الموظفون!$AE99&gt;$F$3),$F$3,الموظفون!$AE99)-MAX($E$3,الموظفون!$H99)+1))</f>
        <v/>
      </c>
      <c r="AL99" s="156" t="str">
        <f aca="false">IF($B99="","",SUMIFS('سجل الإجازات والحالات'!$AT$6:$AT$505,'سجل الإجازات والحالات'!$B$6:$B$505,$B99)+SUMIFS('الحركات الشهرية'!$K$6:$K$1005,'الحركات الشهرية'!$B$6:$B$1005,$B99,'الحركات الشهرية'!$A$6:$A$1005,$C$3))</f>
        <v/>
      </c>
      <c r="AM99" s="116" t="str">
        <f aca="false">IF($B99="","",AL99*الموظفون!$R99/cfg_DAYS_M+S99)</f>
        <v/>
      </c>
      <c r="AN99" s="156" t="str">
        <f aca="false">IF($B99="","",SUMIFS('سجل الإجازات والحالات'!$V$6:$V$505,'سجل الإجازات والحالات'!$B$6:$B$505,$B99))</f>
        <v/>
      </c>
    </row>
    <row r="100" customFormat="false" ht="15" hidden="false" customHeight="false" outlineLevel="0" collapsed="false">
      <c r="A100" s="106" t="str">
        <f aca="false">IF($B100="","",الموظفون!$A100)</f>
        <v/>
      </c>
      <c r="B100" s="114" t="str">
        <f aca="false">IF(الموظفون!$B100="","",الموظفون!$B100)</f>
        <v/>
      </c>
      <c r="C100" s="114" t="str">
        <f aca="false">IF($B100="","",الموظفون!$C100)</f>
        <v/>
      </c>
      <c r="D100" s="114" t="str">
        <f aca="false">IF($B100="","",الموظفون!$F100)</f>
        <v/>
      </c>
      <c r="E100" s="114" t="str">
        <f aca="false">IF($B100="","",الموظفون!$E100)</f>
        <v/>
      </c>
      <c r="F100" s="114" t="str">
        <f aca="false">IF($B100="","",IF(AK100=0,IF(AND(الموظفون!$AE100&lt;&gt;"",الموظفون!$AE100&lt;$E$3),"✖ منتهي الخدمة","⏳ لم يباشر"),IF(S100&gt;0,"✈ راتب إجازة مقدم",IF(J100=0,"⛔ بدون راتب هذا الشهر",IF(I100&gt;0,"✈ خصم "&amp;ROUND(I100,2)&amp;" يوم بدون أجر",IF(AL100&gt;0,"🌴 إجازة سنوية "&amp;ROUND(AL100,2)&amp;" يوم",IF(H100&gt;0,"⚠ غياب "&amp;ROUND(H100,2)&amp;" يوم","✔ على رأس العمل")))))))</f>
        <v/>
      </c>
      <c r="G100" s="151" t="str">
        <f aca="false">IF($B100="","",IF(AK100&gt;=DAY($F$3),cfg_DAYS_M,MIN(AK100,cfg_DAYS_M)))</f>
        <v/>
      </c>
      <c r="H100" s="151" t="str">
        <f aca="false">IF($B100="","",SUMIFS('الحركات الشهرية'!$D$6:$D$1005,'الحركات الشهرية'!$B$6:$B$1005,$B100,'الحركات الشهرية'!$A$6:$A$1005,$C$3))</f>
        <v/>
      </c>
      <c r="I100" s="151" t="str">
        <f aca="false">IF($B100="","",MIN(G100,IF(AND(AK100&gt;0,AN100&gt;=AK100),G100,AN100)+SUMIFS('الحركات الشهرية'!$E$6:$E$1005,'الحركات الشهرية'!$B$6:$B$1005,$B100,'الحركات الشهرية'!$A$6:$A$1005,$C$3)))</f>
        <v/>
      </c>
      <c r="J100" s="151" t="str">
        <f aca="false">IF($B100="","",MAX(0,G100-H100-I100))</f>
        <v/>
      </c>
      <c r="K100" s="111" t="str">
        <f aca="false">IF($B100="","",الموظفون!$L100*$J100/cfg_DAYS_M)</f>
        <v/>
      </c>
      <c r="L100" s="111" t="str">
        <f aca="false">IF($B100="","",الموظفون!$M100*$J100/cfg_DAYS_M)</f>
        <v/>
      </c>
      <c r="M100" s="111" t="str">
        <f aca="false">IF($B100="","",الموظفون!$N100*$J100/cfg_DAYS_M)</f>
        <v/>
      </c>
      <c r="N100" s="111" t="str">
        <f aca="false">IF($B100="","",الموظفون!$O100*$J100/cfg_DAYS_M)</f>
        <v/>
      </c>
      <c r="O100" s="151" t="str">
        <f aca="false">IF($B100="","",SUMIFS('الحركات الشهرية'!$F$6:$F$1005,'الحركات الشهرية'!$B$6:$B$1005,$B100,'الحركات الشهرية'!$A$6:$A$1005,$C$3))</f>
        <v/>
      </c>
      <c r="P100" s="111" t="str">
        <f aca="false">IF($B100="","",O100*(الموظفون!$P100+الموظفون!$L100*cfg_OT_P)/cfg_DAYS_M/cfg_HRS)</f>
        <v/>
      </c>
      <c r="Q100" s="111" t="str">
        <f aca="false">IF($B100="","",SUMIFS('الحركات الشهرية'!$G$6:$G$1005,'الحركات الشهرية'!$B$6:$B$1005,$B100,'الحركات الشهرية'!$A$6:$A$1005,$C$3))</f>
        <v/>
      </c>
      <c r="R100" s="111" t="str">
        <f aca="false">IF($B100="","",SUMIFS('الحركات الشهرية'!$H$6:$H$1005,'الحركات الشهرية'!$B$6:$B$1005,$B100,'الحركات الشهرية'!$A$6:$A$1005,$C$3))</f>
        <v/>
      </c>
      <c r="S100" s="111" t="str">
        <f aca="false">IF($B100="","",SUMIFS('سجل الإجازات والحالات'!$N$6:$N$505,'سجل الإجازات والحالات'!$B$6:$B$505,$B100,'سجل الإجازات والحالات'!$O$6:$O$505,$C$3))</f>
        <v/>
      </c>
      <c r="T100" s="152" t="str">
        <f aca="false">IF($B100="","",SUM(K100:N100)+SUM(P100:S100))</f>
        <v/>
      </c>
      <c r="U100" s="111" t="str">
        <f aca="false">IF($B100="","",الموظفون!$S100*IF(E100="سعودي",cfg_G_SE,cfg_G_NE)*G100/cfg_DAYS_M)</f>
        <v/>
      </c>
      <c r="V100" s="111" t="str">
        <f aca="false">IF($B100="","",SUMIFS('الحركات الشهرية'!$I$6:$I$1005,'الحركات الشهرية'!$B$6:$B$1005,$B100,'الحركات الشهرية'!$A$6:$A$1005,$C$3))</f>
        <v/>
      </c>
      <c r="W100" s="111" t="str">
        <f aca="false">IF($B100="","",SUMIFS('الحركات الشهرية'!$J$6:$J$1005,'الحركات الشهرية'!$B$6:$B$1005,$B100,'الحركات الشهرية'!$A$6:$A$1005,$C$3))</f>
        <v/>
      </c>
      <c r="X100" s="111" t="str">
        <f aca="false">IF($B100="","",SUM(U100:W100))</f>
        <v/>
      </c>
      <c r="Y100" s="153" t="str">
        <f aca="false">IF($B100="","",T100-X100)</f>
        <v/>
      </c>
      <c r="Z100" s="111" t="str">
        <f aca="false">IF($B100="","",الموظفون!$S100*IF(E100="سعودي",cfg_G_SR,cfg_G_NR)*G100/cfg_DAYS_M)</f>
        <v/>
      </c>
      <c r="AA100" s="111" t="str">
        <f aca="false">IF($B100="","",الموظفون!$Q100*(cfg_EOS_R1*(MIN(AH100,cfg_EOS_TH)-MIN(AI100,cfg_EOS_TH))+cfg_EOS_R2*(MAX(AH100-cfg_EOS_TH,0)-MAX(AI100-cfg_EOS_TH,0))))</f>
        <v/>
      </c>
      <c r="AB100" s="111" t="str">
        <f aca="false">IF($B100="","",IF(الموظفون!$T100&lt;&gt;"",الموظفون!$T100,IF(AH100&gt;=cfg_LV_TH,cfg_LV_D2,cfg_LV_D1))/cfg_DAYS_Y*AJ100*الموظفون!$R100/cfg_DAYS_M)</f>
        <v/>
      </c>
      <c r="AC100" s="111" t="str">
        <f aca="false">IF($B100="","",IF(AND(الموظفون!$U100="نعم",N(الموظفون!$W100)&gt;0),الموظفون!$V100/الموظفون!$W100*12/cfg_DAYS_Y*AJ100,0))</f>
        <v/>
      </c>
      <c r="AD100" s="111" t="str">
        <f aca="false">IF($B100="","",(IF(الموظفون!$X100&lt;&gt;"",الموظفون!$X100,IF(الموظفون!$E100="غير سعودي",cfg_IQ,0))+IF(الموظفون!$Y100&lt;&gt;"",الموظفون!$Y100,IF(الموظفون!$E100="غير سعودي",cfg_WP,0)))/12*G100/cfg_DAYS_M)</f>
        <v/>
      </c>
      <c r="AE100" s="111" t="str">
        <f aca="false">IF($B100="","",IF(الموظفون!$Z100&lt;&gt;"",الموظفون!$Z100,cfg_MED)/12*G100/cfg_DAYS_M)</f>
        <v/>
      </c>
      <c r="AF100" s="111" t="str">
        <f aca="false">IF($B100="","",N(الموظفون!$AA100)/12*G100/cfg_DAYS_M)</f>
        <v/>
      </c>
      <c r="AG100" s="154" t="str">
        <f aca="false">IF($B100="","",T100+SUM(Z100:AF100))</f>
        <v/>
      </c>
      <c r="AH100" s="155" t="str">
        <f aca="false">IF($B100="","",MAX(0,IF(OR(الموظفون!$AE100="",الموظفون!$AE100&gt;$F$3),$F$3,الموظفون!$AE100)-الموظفون!$H100+1-SUMIFS('سجل الإجازات والحالات'!$AH$6:$AH$505,'سجل الإجازات والحالات'!$B$6:$B$505,$B100))/cfg_DAYS_Y)</f>
        <v/>
      </c>
      <c r="AI100" s="155" t="str">
        <f aca="false">IF($B100="","",MAX(0,IF(OR(الموظفون!$AE100="",الموظفون!$AE100&gt;($E$3-1)),($E$3-1),الموظفون!$AE100)-الموظفون!$H100+1-SUMIFS('سجل الإجازات والحالات'!$R$6:$R$505,'سجل الإجازات والحالات'!$B$6:$B$505,$B100))/cfg_DAYS_Y)</f>
        <v/>
      </c>
      <c r="AJ100" s="65" t="str">
        <f aca="false">IF($B100="","",MAX(0,AK100-(SUMIFS('سجل الإجازات والحالات'!$AH$6:$AH$505,'سجل الإجازات والحالات'!$B$6:$B$505,$B100)-SUMIFS('سجل الإجازات والحالات'!$R$6:$R$505,'سجل الإجازات والحالات'!$B$6:$B$505,$B100))))</f>
        <v/>
      </c>
      <c r="AK100" s="65" t="str">
        <f aca="false">IF($B100="","",MAX(0,IF(OR(الموظفون!$AE100="",الموظفون!$AE100&gt;$F$3),$F$3,الموظفون!$AE100)-MAX($E$3,الموظفون!$H100)+1))</f>
        <v/>
      </c>
      <c r="AL100" s="151" t="str">
        <f aca="false">IF($B100="","",SUMIFS('سجل الإجازات والحالات'!$AT$6:$AT$505,'سجل الإجازات والحالات'!$B$6:$B$505,$B100)+SUMIFS('الحركات الشهرية'!$K$6:$K$1005,'الحركات الشهرية'!$B$6:$B$1005,$B100,'الحركات الشهرية'!$A$6:$A$1005,$C$3))</f>
        <v/>
      </c>
      <c r="AM100" s="111" t="str">
        <f aca="false">IF($B100="","",AL100*الموظفون!$R100/cfg_DAYS_M+S100)</f>
        <v/>
      </c>
      <c r="AN100" s="151" t="str">
        <f aca="false">IF($B100="","",SUMIFS('سجل الإجازات والحالات'!$V$6:$V$505,'سجل الإجازات والحالات'!$B$6:$B$505,$B100))</f>
        <v/>
      </c>
    </row>
    <row r="101" customFormat="false" ht="15" hidden="false" customHeight="false" outlineLevel="0" collapsed="false">
      <c r="A101" s="115" t="str">
        <f aca="false">IF($B101="","",الموظفون!$A101)</f>
        <v/>
      </c>
      <c r="B101" s="117" t="str">
        <f aca="false">IF(الموظفون!$B101="","",الموظفون!$B101)</f>
        <v/>
      </c>
      <c r="C101" s="117" t="str">
        <f aca="false">IF($B101="","",الموظفون!$C101)</f>
        <v/>
      </c>
      <c r="D101" s="117" t="str">
        <f aca="false">IF($B101="","",الموظفون!$F101)</f>
        <v/>
      </c>
      <c r="E101" s="117" t="str">
        <f aca="false">IF($B101="","",الموظفون!$E101)</f>
        <v/>
      </c>
      <c r="F101" s="117" t="str">
        <f aca="false">IF($B101="","",IF(AK101=0,IF(AND(الموظفون!$AE101&lt;&gt;"",الموظفون!$AE101&lt;$E$3),"✖ منتهي الخدمة","⏳ لم يباشر"),IF(S101&gt;0,"✈ راتب إجازة مقدم",IF(J101=0,"⛔ بدون راتب هذا الشهر",IF(I101&gt;0,"✈ خصم "&amp;ROUND(I101,2)&amp;" يوم بدون أجر",IF(AL101&gt;0,"🌴 إجازة سنوية "&amp;ROUND(AL101,2)&amp;" يوم",IF(H101&gt;0,"⚠ غياب "&amp;ROUND(H101,2)&amp;" يوم","✔ على رأس العمل")))))))</f>
        <v/>
      </c>
      <c r="G101" s="156" t="str">
        <f aca="false">IF($B101="","",IF(AK101&gt;=DAY($F$3),cfg_DAYS_M,MIN(AK101,cfg_DAYS_M)))</f>
        <v/>
      </c>
      <c r="H101" s="156" t="str">
        <f aca="false">IF($B101="","",SUMIFS('الحركات الشهرية'!$D$6:$D$1005,'الحركات الشهرية'!$B$6:$B$1005,$B101,'الحركات الشهرية'!$A$6:$A$1005,$C$3))</f>
        <v/>
      </c>
      <c r="I101" s="156" t="str">
        <f aca="false">IF($B101="","",MIN(G101,IF(AND(AK101&gt;0,AN101&gt;=AK101),G101,AN101)+SUMIFS('الحركات الشهرية'!$E$6:$E$1005,'الحركات الشهرية'!$B$6:$B$1005,$B101,'الحركات الشهرية'!$A$6:$A$1005,$C$3)))</f>
        <v/>
      </c>
      <c r="J101" s="156" t="str">
        <f aca="false">IF($B101="","",MAX(0,G101-H101-I101))</f>
        <v/>
      </c>
      <c r="K101" s="116" t="str">
        <f aca="false">IF($B101="","",الموظفون!$L101*$J101/cfg_DAYS_M)</f>
        <v/>
      </c>
      <c r="L101" s="116" t="str">
        <f aca="false">IF($B101="","",الموظفون!$M101*$J101/cfg_DAYS_M)</f>
        <v/>
      </c>
      <c r="M101" s="116" t="str">
        <f aca="false">IF($B101="","",الموظفون!$N101*$J101/cfg_DAYS_M)</f>
        <v/>
      </c>
      <c r="N101" s="116" t="str">
        <f aca="false">IF($B101="","",الموظفون!$O101*$J101/cfg_DAYS_M)</f>
        <v/>
      </c>
      <c r="O101" s="156" t="str">
        <f aca="false">IF($B101="","",SUMIFS('الحركات الشهرية'!$F$6:$F$1005,'الحركات الشهرية'!$B$6:$B$1005,$B101,'الحركات الشهرية'!$A$6:$A$1005,$C$3))</f>
        <v/>
      </c>
      <c r="P101" s="116" t="str">
        <f aca="false">IF($B101="","",O101*(الموظفون!$P101+الموظفون!$L101*cfg_OT_P)/cfg_DAYS_M/cfg_HRS)</f>
        <v/>
      </c>
      <c r="Q101" s="116" t="str">
        <f aca="false">IF($B101="","",SUMIFS('الحركات الشهرية'!$G$6:$G$1005,'الحركات الشهرية'!$B$6:$B$1005,$B101,'الحركات الشهرية'!$A$6:$A$1005,$C$3))</f>
        <v/>
      </c>
      <c r="R101" s="116" t="str">
        <f aca="false">IF($B101="","",SUMIFS('الحركات الشهرية'!$H$6:$H$1005,'الحركات الشهرية'!$B$6:$B$1005,$B101,'الحركات الشهرية'!$A$6:$A$1005,$C$3))</f>
        <v/>
      </c>
      <c r="S101" s="116" t="str">
        <f aca="false">IF($B101="","",SUMIFS('سجل الإجازات والحالات'!$N$6:$N$505,'سجل الإجازات والحالات'!$B$6:$B$505,$B101,'سجل الإجازات والحالات'!$O$6:$O$505,$C$3))</f>
        <v/>
      </c>
      <c r="T101" s="157" t="str">
        <f aca="false">IF($B101="","",SUM(K101:N101)+SUM(P101:S101))</f>
        <v/>
      </c>
      <c r="U101" s="116" t="str">
        <f aca="false">IF($B101="","",الموظفون!$S101*IF(E101="سعودي",cfg_G_SE,cfg_G_NE)*G101/cfg_DAYS_M)</f>
        <v/>
      </c>
      <c r="V101" s="116" t="str">
        <f aca="false">IF($B101="","",SUMIFS('الحركات الشهرية'!$I$6:$I$1005,'الحركات الشهرية'!$B$6:$B$1005,$B101,'الحركات الشهرية'!$A$6:$A$1005,$C$3))</f>
        <v/>
      </c>
      <c r="W101" s="116" t="str">
        <f aca="false">IF($B101="","",SUMIFS('الحركات الشهرية'!$J$6:$J$1005,'الحركات الشهرية'!$B$6:$B$1005,$B101,'الحركات الشهرية'!$A$6:$A$1005,$C$3))</f>
        <v/>
      </c>
      <c r="X101" s="116" t="str">
        <f aca="false">IF($B101="","",SUM(U101:W101))</f>
        <v/>
      </c>
      <c r="Y101" s="158" t="str">
        <f aca="false">IF($B101="","",T101-X101)</f>
        <v/>
      </c>
      <c r="Z101" s="116" t="str">
        <f aca="false">IF($B101="","",الموظفون!$S101*IF(E101="سعودي",cfg_G_SR,cfg_G_NR)*G101/cfg_DAYS_M)</f>
        <v/>
      </c>
      <c r="AA101" s="116" t="str">
        <f aca="false">IF($B101="","",الموظفون!$Q101*(cfg_EOS_R1*(MIN(AH101,cfg_EOS_TH)-MIN(AI101,cfg_EOS_TH))+cfg_EOS_R2*(MAX(AH101-cfg_EOS_TH,0)-MAX(AI101-cfg_EOS_TH,0))))</f>
        <v/>
      </c>
      <c r="AB101" s="116" t="str">
        <f aca="false">IF($B101="","",IF(الموظفون!$T101&lt;&gt;"",الموظفون!$T101,IF(AH101&gt;=cfg_LV_TH,cfg_LV_D2,cfg_LV_D1))/cfg_DAYS_Y*AJ101*الموظفون!$R101/cfg_DAYS_M)</f>
        <v/>
      </c>
      <c r="AC101" s="116" t="str">
        <f aca="false">IF($B101="","",IF(AND(الموظفون!$U101="نعم",N(الموظفون!$W101)&gt;0),الموظفون!$V101/الموظفون!$W101*12/cfg_DAYS_Y*AJ101,0))</f>
        <v/>
      </c>
      <c r="AD101" s="116" t="str">
        <f aca="false">IF($B101="","",(IF(الموظفون!$X101&lt;&gt;"",الموظفون!$X101,IF(الموظفون!$E101="غير سعودي",cfg_IQ,0))+IF(الموظفون!$Y101&lt;&gt;"",الموظفون!$Y101,IF(الموظفون!$E101="غير سعودي",cfg_WP,0)))/12*G101/cfg_DAYS_M)</f>
        <v/>
      </c>
      <c r="AE101" s="116" t="str">
        <f aca="false">IF($B101="","",IF(الموظفون!$Z101&lt;&gt;"",الموظفون!$Z101,cfg_MED)/12*G101/cfg_DAYS_M)</f>
        <v/>
      </c>
      <c r="AF101" s="116" t="str">
        <f aca="false">IF($B101="","",N(الموظفون!$AA101)/12*G101/cfg_DAYS_M)</f>
        <v/>
      </c>
      <c r="AG101" s="159" t="str">
        <f aca="false">IF($B101="","",T101+SUM(Z101:AF101))</f>
        <v/>
      </c>
      <c r="AH101" s="160" t="str">
        <f aca="false">IF($B101="","",MAX(0,IF(OR(الموظفون!$AE101="",الموظفون!$AE101&gt;$F$3),$F$3,الموظفون!$AE101)-الموظفون!$H101+1-SUMIFS('سجل الإجازات والحالات'!$AH$6:$AH$505,'سجل الإجازات والحالات'!$B$6:$B$505,$B101))/cfg_DAYS_Y)</f>
        <v/>
      </c>
      <c r="AI101" s="160" t="str">
        <f aca="false">IF($B101="","",MAX(0,IF(OR(الموظفون!$AE101="",الموظفون!$AE101&gt;($E$3-1)),($E$3-1),الموظفون!$AE101)-الموظفون!$H101+1-SUMIFS('سجل الإجازات والحالات'!$R$6:$R$505,'سجل الإجازات والحالات'!$B$6:$B$505,$B101))/cfg_DAYS_Y)</f>
        <v/>
      </c>
      <c r="AJ101" s="133" t="str">
        <f aca="false">IF($B101="","",MAX(0,AK101-(SUMIFS('سجل الإجازات والحالات'!$AH$6:$AH$505,'سجل الإجازات والحالات'!$B$6:$B$505,$B101)-SUMIFS('سجل الإجازات والحالات'!$R$6:$R$505,'سجل الإجازات والحالات'!$B$6:$B$505,$B101))))</f>
        <v/>
      </c>
      <c r="AK101" s="133" t="str">
        <f aca="false">IF($B101="","",MAX(0,IF(OR(الموظفون!$AE101="",الموظفون!$AE101&gt;$F$3),$F$3,الموظفون!$AE101)-MAX($E$3,الموظفون!$H101)+1))</f>
        <v/>
      </c>
      <c r="AL101" s="156" t="str">
        <f aca="false">IF($B101="","",SUMIFS('سجل الإجازات والحالات'!$AT$6:$AT$505,'سجل الإجازات والحالات'!$B$6:$B$505,$B101)+SUMIFS('الحركات الشهرية'!$K$6:$K$1005,'الحركات الشهرية'!$B$6:$B$1005,$B101,'الحركات الشهرية'!$A$6:$A$1005,$C$3))</f>
        <v/>
      </c>
      <c r="AM101" s="116" t="str">
        <f aca="false">IF($B101="","",AL101*الموظفون!$R101/cfg_DAYS_M+S101)</f>
        <v/>
      </c>
      <c r="AN101" s="156" t="str">
        <f aca="false">IF($B101="","",SUMIFS('سجل الإجازات والحالات'!$V$6:$V$505,'سجل الإجازات والحالات'!$B$6:$B$505,$B101))</f>
        <v/>
      </c>
    </row>
    <row r="102" customFormat="false" ht="15" hidden="false" customHeight="false" outlineLevel="0" collapsed="false">
      <c r="A102" s="106" t="str">
        <f aca="false">IF($B102="","",الموظفون!$A102)</f>
        <v/>
      </c>
      <c r="B102" s="114" t="str">
        <f aca="false">IF(الموظفون!$B102="","",الموظفون!$B102)</f>
        <v/>
      </c>
      <c r="C102" s="114" t="str">
        <f aca="false">IF($B102="","",الموظفون!$C102)</f>
        <v/>
      </c>
      <c r="D102" s="114" t="str">
        <f aca="false">IF($B102="","",الموظفون!$F102)</f>
        <v/>
      </c>
      <c r="E102" s="114" t="str">
        <f aca="false">IF($B102="","",الموظفون!$E102)</f>
        <v/>
      </c>
      <c r="F102" s="114" t="str">
        <f aca="false">IF($B102="","",IF(AK102=0,IF(AND(الموظفون!$AE102&lt;&gt;"",الموظفون!$AE102&lt;$E$3),"✖ منتهي الخدمة","⏳ لم يباشر"),IF(S102&gt;0,"✈ راتب إجازة مقدم",IF(J102=0,"⛔ بدون راتب هذا الشهر",IF(I102&gt;0,"✈ خصم "&amp;ROUND(I102,2)&amp;" يوم بدون أجر",IF(AL102&gt;0,"🌴 إجازة سنوية "&amp;ROUND(AL102,2)&amp;" يوم",IF(H102&gt;0,"⚠ غياب "&amp;ROUND(H102,2)&amp;" يوم","✔ على رأس العمل")))))))</f>
        <v/>
      </c>
      <c r="G102" s="151" t="str">
        <f aca="false">IF($B102="","",IF(AK102&gt;=DAY($F$3),cfg_DAYS_M,MIN(AK102,cfg_DAYS_M)))</f>
        <v/>
      </c>
      <c r="H102" s="151" t="str">
        <f aca="false">IF($B102="","",SUMIFS('الحركات الشهرية'!$D$6:$D$1005,'الحركات الشهرية'!$B$6:$B$1005,$B102,'الحركات الشهرية'!$A$6:$A$1005,$C$3))</f>
        <v/>
      </c>
      <c r="I102" s="151" t="str">
        <f aca="false">IF($B102="","",MIN(G102,IF(AND(AK102&gt;0,AN102&gt;=AK102),G102,AN102)+SUMIFS('الحركات الشهرية'!$E$6:$E$1005,'الحركات الشهرية'!$B$6:$B$1005,$B102,'الحركات الشهرية'!$A$6:$A$1005,$C$3)))</f>
        <v/>
      </c>
      <c r="J102" s="151" t="str">
        <f aca="false">IF($B102="","",MAX(0,G102-H102-I102))</f>
        <v/>
      </c>
      <c r="K102" s="111" t="str">
        <f aca="false">IF($B102="","",الموظفون!$L102*$J102/cfg_DAYS_M)</f>
        <v/>
      </c>
      <c r="L102" s="111" t="str">
        <f aca="false">IF($B102="","",الموظفون!$M102*$J102/cfg_DAYS_M)</f>
        <v/>
      </c>
      <c r="M102" s="111" t="str">
        <f aca="false">IF($B102="","",الموظفون!$N102*$J102/cfg_DAYS_M)</f>
        <v/>
      </c>
      <c r="N102" s="111" t="str">
        <f aca="false">IF($B102="","",الموظفون!$O102*$J102/cfg_DAYS_M)</f>
        <v/>
      </c>
      <c r="O102" s="151" t="str">
        <f aca="false">IF($B102="","",SUMIFS('الحركات الشهرية'!$F$6:$F$1005,'الحركات الشهرية'!$B$6:$B$1005,$B102,'الحركات الشهرية'!$A$6:$A$1005,$C$3))</f>
        <v/>
      </c>
      <c r="P102" s="111" t="str">
        <f aca="false">IF($B102="","",O102*(الموظفون!$P102+الموظفون!$L102*cfg_OT_P)/cfg_DAYS_M/cfg_HRS)</f>
        <v/>
      </c>
      <c r="Q102" s="111" t="str">
        <f aca="false">IF($B102="","",SUMIFS('الحركات الشهرية'!$G$6:$G$1005,'الحركات الشهرية'!$B$6:$B$1005,$B102,'الحركات الشهرية'!$A$6:$A$1005,$C$3))</f>
        <v/>
      </c>
      <c r="R102" s="111" t="str">
        <f aca="false">IF($B102="","",SUMIFS('الحركات الشهرية'!$H$6:$H$1005,'الحركات الشهرية'!$B$6:$B$1005,$B102,'الحركات الشهرية'!$A$6:$A$1005,$C$3))</f>
        <v/>
      </c>
      <c r="S102" s="111" t="str">
        <f aca="false">IF($B102="","",SUMIFS('سجل الإجازات والحالات'!$N$6:$N$505,'سجل الإجازات والحالات'!$B$6:$B$505,$B102,'سجل الإجازات والحالات'!$O$6:$O$505,$C$3))</f>
        <v/>
      </c>
      <c r="T102" s="152" t="str">
        <f aca="false">IF($B102="","",SUM(K102:N102)+SUM(P102:S102))</f>
        <v/>
      </c>
      <c r="U102" s="111" t="str">
        <f aca="false">IF($B102="","",الموظفون!$S102*IF(E102="سعودي",cfg_G_SE,cfg_G_NE)*G102/cfg_DAYS_M)</f>
        <v/>
      </c>
      <c r="V102" s="111" t="str">
        <f aca="false">IF($B102="","",SUMIFS('الحركات الشهرية'!$I$6:$I$1005,'الحركات الشهرية'!$B$6:$B$1005,$B102,'الحركات الشهرية'!$A$6:$A$1005,$C$3))</f>
        <v/>
      </c>
      <c r="W102" s="111" t="str">
        <f aca="false">IF($B102="","",SUMIFS('الحركات الشهرية'!$J$6:$J$1005,'الحركات الشهرية'!$B$6:$B$1005,$B102,'الحركات الشهرية'!$A$6:$A$1005,$C$3))</f>
        <v/>
      </c>
      <c r="X102" s="111" t="str">
        <f aca="false">IF($B102="","",SUM(U102:W102))</f>
        <v/>
      </c>
      <c r="Y102" s="153" t="str">
        <f aca="false">IF($B102="","",T102-X102)</f>
        <v/>
      </c>
      <c r="Z102" s="111" t="str">
        <f aca="false">IF($B102="","",الموظفون!$S102*IF(E102="سعودي",cfg_G_SR,cfg_G_NR)*G102/cfg_DAYS_M)</f>
        <v/>
      </c>
      <c r="AA102" s="111" t="str">
        <f aca="false">IF($B102="","",الموظفون!$Q102*(cfg_EOS_R1*(MIN(AH102,cfg_EOS_TH)-MIN(AI102,cfg_EOS_TH))+cfg_EOS_R2*(MAX(AH102-cfg_EOS_TH,0)-MAX(AI102-cfg_EOS_TH,0))))</f>
        <v/>
      </c>
      <c r="AB102" s="111" t="str">
        <f aca="false">IF($B102="","",IF(الموظفون!$T102&lt;&gt;"",الموظفون!$T102,IF(AH102&gt;=cfg_LV_TH,cfg_LV_D2,cfg_LV_D1))/cfg_DAYS_Y*AJ102*الموظفون!$R102/cfg_DAYS_M)</f>
        <v/>
      </c>
      <c r="AC102" s="111" t="str">
        <f aca="false">IF($B102="","",IF(AND(الموظفون!$U102="نعم",N(الموظفون!$W102)&gt;0),الموظفون!$V102/الموظفون!$W102*12/cfg_DAYS_Y*AJ102,0))</f>
        <v/>
      </c>
      <c r="AD102" s="111" t="str">
        <f aca="false">IF($B102="","",(IF(الموظفون!$X102&lt;&gt;"",الموظفون!$X102,IF(الموظفون!$E102="غير سعودي",cfg_IQ,0))+IF(الموظفون!$Y102&lt;&gt;"",الموظفون!$Y102,IF(الموظفون!$E102="غير سعودي",cfg_WP,0)))/12*G102/cfg_DAYS_M)</f>
        <v/>
      </c>
      <c r="AE102" s="111" t="str">
        <f aca="false">IF($B102="","",IF(الموظفون!$Z102&lt;&gt;"",الموظفون!$Z102,cfg_MED)/12*G102/cfg_DAYS_M)</f>
        <v/>
      </c>
      <c r="AF102" s="111" t="str">
        <f aca="false">IF($B102="","",N(الموظفون!$AA102)/12*G102/cfg_DAYS_M)</f>
        <v/>
      </c>
      <c r="AG102" s="154" t="str">
        <f aca="false">IF($B102="","",T102+SUM(Z102:AF102))</f>
        <v/>
      </c>
      <c r="AH102" s="155" t="str">
        <f aca="false">IF($B102="","",MAX(0,IF(OR(الموظفون!$AE102="",الموظفون!$AE102&gt;$F$3),$F$3,الموظفون!$AE102)-الموظفون!$H102+1-SUMIFS('سجل الإجازات والحالات'!$AH$6:$AH$505,'سجل الإجازات والحالات'!$B$6:$B$505,$B102))/cfg_DAYS_Y)</f>
        <v/>
      </c>
      <c r="AI102" s="155" t="str">
        <f aca="false">IF($B102="","",MAX(0,IF(OR(الموظفون!$AE102="",الموظفون!$AE102&gt;($E$3-1)),($E$3-1),الموظفون!$AE102)-الموظفون!$H102+1-SUMIFS('سجل الإجازات والحالات'!$R$6:$R$505,'سجل الإجازات والحالات'!$B$6:$B$505,$B102))/cfg_DAYS_Y)</f>
        <v/>
      </c>
      <c r="AJ102" s="65" t="str">
        <f aca="false">IF($B102="","",MAX(0,AK102-(SUMIFS('سجل الإجازات والحالات'!$AH$6:$AH$505,'سجل الإجازات والحالات'!$B$6:$B$505,$B102)-SUMIFS('سجل الإجازات والحالات'!$R$6:$R$505,'سجل الإجازات والحالات'!$B$6:$B$505,$B102))))</f>
        <v/>
      </c>
      <c r="AK102" s="65" t="str">
        <f aca="false">IF($B102="","",MAX(0,IF(OR(الموظفون!$AE102="",الموظفون!$AE102&gt;$F$3),$F$3,الموظفون!$AE102)-MAX($E$3,الموظفون!$H102)+1))</f>
        <v/>
      </c>
      <c r="AL102" s="151" t="str">
        <f aca="false">IF($B102="","",SUMIFS('سجل الإجازات والحالات'!$AT$6:$AT$505,'سجل الإجازات والحالات'!$B$6:$B$505,$B102)+SUMIFS('الحركات الشهرية'!$K$6:$K$1005,'الحركات الشهرية'!$B$6:$B$1005,$B102,'الحركات الشهرية'!$A$6:$A$1005,$C$3))</f>
        <v/>
      </c>
      <c r="AM102" s="111" t="str">
        <f aca="false">IF($B102="","",AL102*الموظفون!$R102/cfg_DAYS_M+S102)</f>
        <v/>
      </c>
      <c r="AN102" s="151" t="str">
        <f aca="false">IF($B102="","",SUMIFS('سجل الإجازات والحالات'!$V$6:$V$505,'سجل الإجازات والحالات'!$B$6:$B$505,$B102))</f>
        <v/>
      </c>
    </row>
    <row r="103" customFormat="false" ht="15" hidden="false" customHeight="false" outlineLevel="0" collapsed="false">
      <c r="A103" s="115" t="str">
        <f aca="false">IF($B103="","",الموظفون!$A103)</f>
        <v/>
      </c>
      <c r="B103" s="117" t="str">
        <f aca="false">IF(الموظفون!$B103="","",الموظفون!$B103)</f>
        <v/>
      </c>
      <c r="C103" s="117" t="str">
        <f aca="false">IF($B103="","",الموظفون!$C103)</f>
        <v/>
      </c>
      <c r="D103" s="117" t="str">
        <f aca="false">IF($B103="","",الموظفون!$F103)</f>
        <v/>
      </c>
      <c r="E103" s="117" t="str">
        <f aca="false">IF($B103="","",الموظفون!$E103)</f>
        <v/>
      </c>
      <c r="F103" s="117" t="str">
        <f aca="false">IF($B103="","",IF(AK103=0,IF(AND(الموظفون!$AE103&lt;&gt;"",الموظفون!$AE103&lt;$E$3),"✖ منتهي الخدمة","⏳ لم يباشر"),IF(S103&gt;0,"✈ راتب إجازة مقدم",IF(J103=0,"⛔ بدون راتب هذا الشهر",IF(I103&gt;0,"✈ خصم "&amp;ROUND(I103,2)&amp;" يوم بدون أجر",IF(AL103&gt;0,"🌴 إجازة سنوية "&amp;ROUND(AL103,2)&amp;" يوم",IF(H103&gt;0,"⚠ غياب "&amp;ROUND(H103,2)&amp;" يوم","✔ على رأس العمل")))))))</f>
        <v/>
      </c>
      <c r="G103" s="156" t="str">
        <f aca="false">IF($B103="","",IF(AK103&gt;=DAY($F$3),cfg_DAYS_M,MIN(AK103,cfg_DAYS_M)))</f>
        <v/>
      </c>
      <c r="H103" s="156" t="str">
        <f aca="false">IF($B103="","",SUMIFS('الحركات الشهرية'!$D$6:$D$1005,'الحركات الشهرية'!$B$6:$B$1005,$B103,'الحركات الشهرية'!$A$6:$A$1005,$C$3))</f>
        <v/>
      </c>
      <c r="I103" s="156" t="str">
        <f aca="false">IF($B103="","",MIN(G103,IF(AND(AK103&gt;0,AN103&gt;=AK103),G103,AN103)+SUMIFS('الحركات الشهرية'!$E$6:$E$1005,'الحركات الشهرية'!$B$6:$B$1005,$B103,'الحركات الشهرية'!$A$6:$A$1005,$C$3)))</f>
        <v/>
      </c>
      <c r="J103" s="156" t="str">
        <f aca="false">IF($B103="","",MAX(0,G103-H103-I103))</f>
        <v/>
      </c>
      <c r="K103" s="116" t="str">
        <f aca="false">IF($B103="","",الموظفون!$L103*$J103/cfg_DAYS_M)</f>
        <v/>
      </c>
      <c r="L103" s="116" t="str">
        <f aca="false">IF($B103="","",الموظفون!$M103*$J103/cfg_DAYS_M)</f>
        <v/>
      </c>
      <c r="M103" s="116" t="str">
        <f aca="false">IF($B103="","",الموظفون!$N103*$J103/cfg_DAYS_M)</f>
        <v/>
      </c>
      <c r="N103" s="116" t="str">
        <f aca="false">IF($B103="","",الموظفون!$O103*$J103/cfg_DAYS_M)</f>
        <v/>
      </c>
      <c r="O103" s="156" t="str">
        <f aca="false">IF($B103="","",SUMIFS('الحركات الشهرية'!$F$6:$F$1005,'الحركات الشهرية'!$B$6:$B$1005,$B103,'الحركات الشهرية'!$A$6:$A$1005,$C$3))</f>
        <v/>
      </c>
      <c r="P103" s="116" t="str">
        <f aca="false">IF($B103="","",O103*(الموظفون!$P103+الموظفون!$L103*cfg_OT_P)/cfg_DAYS_M/cfg_HRS)</f>
        <v/>
      </c>
      <c r="Q103" s="116" t="str">
        <f aca="false">IF($B103="","",SUMIFS('الحركات الشهرية'!$G$6:$G$1005,'الحركات الشهرية'!$B$6:$B$1005,$B103,'الحركات الشهرية'!$A$6:$A$1005,$C$3))</f>
        <v/>
      </c>
      <c r="R103" s="116" t="str">
        <f aca="false">IF($B103="","",SUMIFS('الحركات الشهرية'!$H$6:$H$1005,'الحركات الشهرية'!$B$6:$B$1005,$B103,'الحركات الشهرية'!$A$6:$A$1005,$C$3))</f>
        <v/>
      </c>
      <c r="S103" s="116" t="str">
        <f aca="false">IF($B103="","",SUMIFS('سجل الإجازات والحالات'!$N$6:$N$505,'سجل الإجازات والحالات'!$B$6:$B$505,$B103,'سجل الإجازات والحالات'!$O$6:$O$505,$C$3))</f>
        <v/>
      </c>
      <c r="T103" s="157" t="str">
        <f aca="false">IF($B103="","",SUM(K103:N103)+SUM(P103:S103))</f>
        <v/>
      </c>
      <c r="U103" s="116" t="str">
        <f aca="false">IF($B103="","",الموظفون!$S103*IF(E103="سعودي",cfg_G_SE,cfg_G_NE)*G103/cfg_DAYS_M)</f>
        <v/>
      </c>
      <c r="V103" s="116" t="str">
        <f aca="false">IF($B103="","",SUMIFS('الحركات الشهرية'!$I$6:$I$1005,'الحركات الشهرية'!$B$6:$B$1005,$B103,'الحركات الشهرية'!$A$6:$A$1005,$C$3))</f>
        <v/>
      </c>
      <c r="W103" s="116" t="str">
        <f aca="false">IF($B103="","",SUMIFS('الحركات الشهرية'!$J$6:$J$1005,'الحركات الشهرية'!$B$6:$B$1005,$B103,'الحركات الشهرية'!$A$6:$A$1005,$C$3))</f>
        <v/>
      </c>
      <c r="X103" s="116" t="str">
        <f aca="false">IF($B103="","",SUM(U103:W103))</f>
        <v/>
      </c>
      <c r="Y103" s="158" t="str">
        <f aca="false">IF($B103="","",T103-X103)</f>
        <v/>
      </c>
      <c r="Z103" s="116" t="str">
        <f aca="false">IF($B103="","",الموظفون!$S103*IF(E103="سعودي",cfg_G_SR,cfg_G_NR)*G103/cfg_DAYS_M)</f>
        <v/>
      </c>
      <c r="AA103" s="116" t="str">
        <f aca="false">IF($B103="","",الموظفون!$Q103*(cfg_EOS_R1*(MIN(AH103,cfg_EOS_TH)-MIN(AI103,cfg_EOS_TH))+cfg_EOS_R2*(MAX(AH103-cfg_EOS_TH,0)-MAX(AI103-cfg_EOS_TH,0))))</f>
        <v/>
      </c>
      <c r="AB103" s="116" t="str">
        <f aca="false">IF($B103="","",IF(الموظفون!$T103&lt;&gt;"",الموظفون!$T103,IF(AH103&gt;=cfg_LV_TH,cfg_LV_D2,cfg_LV_D1))/cfg_DAYS_Y*AJ103*الموظفون!$R103/cfg_DAYS_M)</f>
        <v/>
      </c>
      <c r="AC103" s="116" t="str">
        <f aca="false">IF($B103="","",IF(AND(الموظفون!$U103="نعم",N(الموظفون!$W103)&gt;0),الموظفون!$V103/الموظفون!$W103*12/cfg_DAYS_Y*AJ103,0))</f>
        <v/>
      </c>
      <c r="AD103" s="116" t="str">
        <f aca="false">IF($B103="","",(IF(الموظفون!$X103&lt;&gt;"",الموظفون!$X103,IF(الموظفون!$E103="غير سعودي",cfg_IQ,0))+IF(الموظفون!$Y103&lt;&gt;"",الموظفون!$Y103,IF(الموظفون!$E103="غير سعودي",cfg_WP,0)))/12*G103/cfg_DAYS_M)</f>
        <v/>
      </c>
      <c r="AE103" s="116" t="str">
        <f aca="false">IF($B103="","",IF(الموظفون!$Z103&lt;&gt;"",الموظفون!$Z103,cfg_MED)/12*G103/cfg_DAYS_M)</f>
        <v/>
      </c>
      <c r="AF103" s="116" t="str">
        <f aca="false">IF($B103="","",N(الموظفون!$AA103)/12*G103/cfg_DAYS_M)</f>
        <v/>
      </c>
      <c r="AG103" s="159" t="str">
        <f aca="false">IF($B103="","",T103+SUM(Z103:AF103))</f>
        <v/>
      </c>
      <c r="AH103" s="160" t="str">
        <f aca="false">IF($B103="","",MAX(0,IF(OR(الموظفون!$AE103="",الموظفون!$AE103&gt;$F$3),$F$3,الموظفون!$AE103)-الموظفون!$H103+1-SUMIFS('سجل الإجازات والحالات'!$AH$6:$AH$505,'سجل الإجازات والحالات'!$B$6:$B$505,$B103))/cfg_DAYS_Y)</f>
        <v/>
      </c>
      <c r="AI103" s="160" t="str">
        <f aca="false">IF($B103="","",MAX(0,IF(OR(الموظفون!$AE103="",الموظفون!$AE103&gt;($E$3-1)),($E$3-1),الموظفون!$AE103)-الموظفون!$H103+1-SUMIFS('سجل الإجازات والحالات'!$R$6:$R$505,'سجل الإجازات والحالات'!$B$6:$B$505,$B103))/cfg_DAYS_Y)</f>
        <v/>
      </c>
      <c r="AJ103" s="133" t="str">
        <f aca="false">IF($B103="","",MAX(0,AK103-(SUMIFS('سجل الإجازات والحالات'!$AH$6:$AH$505,'سجل الإجازات والحالات'!$B$6:$B$505,$B103)-SUMIFS('سجل الإجازات والحالات'!$R$6:$R$505,'سجل الإجازات والحالات'!$B$6:$B$505,$B103))))</f>
        <v/>
      </c>
      <c r="AK103" s="133" t="str">
        <f aca="false">IF($B103="","",MAX(0,IF(OR(الموظفون!$AE103="",الموظفون!$AE103&gt;$F$3),$F$3,الموظفون!$AE103)-MAX($E$3,الموظفون!$H103)+1))</f>
        <v/>
      </c>
      <c r="AL103" s="156" t="str">
        <f aca="false">IF($B103="","",SUMIFS('سجل الإجازات والحالات'!$AT$6:$AT$505,'سجل الإجازات والحالات'!$B$6:$B$505,$B103)+SUMIFS('الحركات الشهرية'!$K$6:$K$1005,'الحركات الشهرية'!$B$6:$B$1005,$B103,'الحركات الشهرية'!$A$6:$A$1005,$C$3))</f>
        <v/>
      </c>
      <c r="AM103" s="116" t="str">
        <f aca="false">IF($B103="","",AL103*الموظفون!$R103/cfg_DAYS_M+S103)</f>
        <v/>
      </c>
      <c r="AN103" s="156" t="str">
        <f aca="false">IF($B103="","",SUMIFS('سجل الإجازات والحالات'!$V$6:$V$505,'سجل الإجازات والحالات'!$B$6:$B$505,$B103))</f>
        <v/>
      </c>
    </row>
    <row r="104" customFormat="false" ht="15" hidden="false" customHeight="false" outlineLevel="0" collapsed="false">
      <c r="A104" s="106" t="str">
        <f aca="false">IF($B104="","",الموظفون!$A104)</f>
        <v/>
      </c>
      <c r="B104" s="114" t="str">
        <f aca="false">IF(الموظفون!$B104="","",الموظفون!$B104)</f>
        <v/>
      </c>
      <c r="C104" s="114" t="str">
        <f aca="false">IF($B104="","",الموظفون!$C104)</f>
        <v/>
      </c>
      <c r="D104" s="114" t="str">
        <f aca="false">IF($B104="","",الموظفون!$F104)</f>
        <v/>
      </c>
      <c r="E104" s="114" t="str">
        <f aca="false">IF($B104="","",الموظفون!$E104)</f>
        <v/>
      </c>
      <c r="F104" s="114" t="str">
        <f aca="false">IF($B104="","",IF(AK104=0,IF(AND(الموظفون!$AE104&lt;&gt;"",الموظفون!$AE104&lt;$E$3),"✖ منتهي الخدمة","⏳ لم يباشر"),IF(S104&gt;0,"✈ راتب إجازة مقدم",IF(J104=0,"⛔ بدون راتب هذا الشهر",IF(I104&gt;0,"✈ خصم "&amp;ROUND(I104,2)&amp;" يوم بدون أجر",IF(AL104&gt;0,"🌴 إجازة سنوية "&amp;ROUND(AL104,2)&amp;" يوم",IF(H104&gt;0,"⚠ غياب "&amp;ROUND(H104,2)&amp;" يوم","✔ على رأس العمل")))))))</f>
        <v/>
      </c>
      <c r="G104" s="151" t="str">
        <f aca="false">IF($B104="","",IF(AK104&gt;=DAY($F$3),cfg_DAYS_M,MIN(AK104,cfg_DAYS_M)))</f>
        <v/>
      </c>
      <c r="H104" s="151" t="str">
        <f aca="false">IF($B104="","",SUMIFS('الحركات الشهرية'!$D$6:$D$1005,'الحركات الشهرية'!$B$6:$B$1005,$B104,'الحركات الشهرية'!$A$6:$A$1005,$C$3))</f>
        <v/>
      </c>
      <c r="I104" s="151" t="str">
        <f aca="false">IF($B104="","",MIN(G104,IF(AND(AK104&gt;0,AN104&gt;=AK104),G104,AN104)+SUMIFS('الحركات الشهرية'!$E$6:$E$1005,'الحركات الشهرية'!$B$6:$B$1005,$B104,'الحركات الشهرية'!$A$6:$A$1005,$C$3)))</f>
        <v/>
      </c>
      <c r="J104" s="151" t="str">
        <f aca="false">IF($B104="","",MAX(0,G104-H104-I104))</f>
        <v/>
      </c>
      <c r="K104" s="111" t="str">
        <f aca="false">IF($B104="","",الموظفون!$L104*$J104/cfg_DAYS_M)</f>
        <v/>
      </c>
      <c r="L104" s="111" t="str">
        <f aca="false">IF($B104="","",الموظفون!$M104*$J104/cfg_DAYS_M)</f>
        <v/>
      </c>
      <c r="M104" s="111" t="str">
        <f aca="false">IF($B104="","",الموظفون!$N104*$J104/cfg_DAYS_M)</f>
        <v/>
      </c>
      <c r="N104" s="111" t="str">
        <f aca="false">IF($B104="","",الموظفون!$O104*$J104/cfg_DAYS_M)</f>
        <v/>
      </c>
      <c r="O104" s="151" t="str">
        <f aca="false">IF($B104="","",SUMIFS('الحركات الشهرية'!$F$6:$F$1005,'الحركات الشهرية'!$B$6:$B$1005,$B104,'الحركات الشهرية'!$A$6:$A$1005,$C$3))</f>
        <v/>
      </c>
      <c r="P104" s="111" t="str">
        <f aca="false">IF($B104="","",O104*(الموظفون!$P104+الموظفون!$L104*cfg_OT_P)/cfg_DAYS_M/cfg_HRS)</f>
        <v/>
      </c>
      <c r="Q104" s="111" t="str">
        <f aca="false">IF($B104="","",SUMIFS('الحركات الشهرية'!$G$6:$G$1005,'الحركات الشهرية'!$B$6:$B$1005,$B104,'الحركات الشهرية'!$A$6:$A$1005,$C$3))</f>
        <v/>
      </c>
      <c r="R104" s="111" t="str">
        <f aca="false">IF($B104="","",SUMIFS('الحركات الشهرية'!$H$6:$H$1005,'الحركات الشهرية'!$B$6:$B$1005,$B104,'الحركات الشهرية'!$A$6:$A$1005,$C$3))</f>
        <v/>
      </c>
      <c r="S104" s="111" t="str">
        <f aca="false">IF($B104="","",SUMIFS('سجل الإجازات والحالات'!$N$6:$N$505,'سجل الإجازات والحالات'!$B$6:$B$505,$B104,'سجل الإجازات والحالات'!$O$6:$O$505,$C$3))</f>
        <v/>
      </c>
      <c r="T104" s="152" t="str">
        <f aca="false">IF($B104="","",SUM(K104:N104)+SUM(P104:S104))</f>
        <v/>
      </c>
      <c r="U104" s="111" t="str">
        <f aca="false">IF($B104="","",الموظفون!$S104*IF(E104="سعودي",cfg_G_SE,cfg_G_NE)*G104/cfg_DAYS_M)</f>
        <v/>
      </c>
      <c r="V104" s="111" t="str">
        <f aca="false">IF($B104="","",SUMIFS('الحركات الشهرية'!$I$6:$I$1005,'الحركات الشهرية'!$B$6:$B$1005,$B104,'الحركات الشهرية'!$A$6:$A$1005,$C$3))</f>
        <v/>
      </c>
      <c r="W104" s="111" t="str">
        <f aca="false">IF($B104="","",SUMIFS('الحركات الشهرية'!$J$6:$J$1005,'الحركات الشهرية'!$B$6:$B$1005,$B104,'الحركات الشهرية'!$A$6:$A$1005,$C$3))</f>
        <v/>
      </c>
      <c r="X104" s="111" t="str">
        <f aca="false">IF($B104="","",SUM(U104:W104))</f>
        <v/>
      </c>
      <c r="Y104" s="153" t="str">
        <f aca="false">IF($B104="","",T104-X104)</f>
        <v/>
      </c>
      <c r="Z104" s="111" t="str">
        <f aca="false">IF($B104="","",الموظفون!$S104*IF(E104="سعودي",cfg_G_SR,cfg_G_NR)*G104/cfg_DAYS_M)</f>
        <v/>
      </c>
      <c r="AA104" s="111" t="str">
        <f aca="false">IF($B104="","",الموظفون!$Q104*(cfg_EOS_R1*(MIN(AH104,cfg_EOS_TH)-MIN(AI104,cfg_EOS_TH))+cfg_EOS_R2*(MAX(AH104-cfg_EOS_TH,0)-MAX(AI104-cfg_EOS_TH,0))))</f>
        <v/>
      </c>
      <c r="AB104" s="111" t="str">
        <f aca="false">IF($B104="","",IF(الموظفون!$T104&lt;&gt;"",الموظفون!$T104,IF(AH104&gt;=cfg_LV_TH,cfg_LV_D2,cfg_LV_D1))/cfg_DAYS_Y*AJ104*الموظفون!$R104/cfg_DAYS_M)</f>
        <v/>
      </c>
      <c r="AC104" s="111" t="str">
        <f aca="false">IF($B104="","",IF(AND(الموظفون!$U104="نعم",N(الموظفون!$W104)&gt;0),الموظفون!$V104/الموظفون!$W104*12/cfg_DAYS_Y*AJ104,0))</f>
        <v/>
      </c>
      <c r="AD104" s="111" t="str">
        <f aca="false">IF($B104="","",(IF(الموظفون!$X104&lt;&gt;"",الموظفون!$X104,IF(الموظفون!$E104="غير سعودي",cfg_IQ,0))+IF(الموظفون!$Y104&lt;&gt;"",الموظفون!$Y104,IF(الموظفون!$E104="غير سعودي",cfg_WP,0)))/12*G104/cfg_DAYS_M)</f>
        <v/>
      </c>
      <c r="AE104" s="111" t="str">
        <f aca="false">IF($B104="","",IF(الموظفون!$Z104&lt;&gt;"",الموظفون!$Z104,cfg_MED)/12*G104/cfg_DAYS_M)</f>
        <v/>
      </c>
      <c r="AF104" s="111" t="str">
        <f aca="false">IF($B104="","",N(الموظفون!$AA104)/12*G104/cfg_DAYS_M)</f>
        <v/>
      </c>
      <c r="AG104" s="154" t="str">
        <f aca="false">IF($B104="","",T104+SUM(Z104:AF104))</f>
        <v/>
      </c>
      <c r="AH104" s="155" t="str">
        <f aca="false">IF($B104="","",MAX(0,IF(OR(الموظفون!$AE104="",الموظفون!$AE104&gt;$F$3),$F$3,الموظفون!$AE104)-الموظفون!$H104+1-SUMIFS('سجل الإجازات والحالات'!$AH$6:$AH$505,'سجل الإجازات والحالات'!$B$6:$B$505,$B104))/cfg_DAYS_Y)</f>
        <v/>
      </c>
      <c r="AI104" s="155" t="str">
        <f aca="false">IF($B104="","",MAX(0,IF(OR(الموظفون!$AE104="",الموظفون!$AE104&gt;($E$3-1)),($E$3-1),الموظفون!$AE104)-الموظفون!$H104+1-SUMIFS('سجل الإجازات والحالات'!$R$6:$R$505,'سجل الإجازات والحالات'!$B$6:$B$505,$B104))/cfg_DAYS_Y)</f>
        <v/>
      </c>
      <c r="AJ104" s="65" t="str">
        <f aca="false">IF($B104="","",MAX(0,AK104-(SUMIFS('سجل الإجازات والحالات'!$AH$6:$AH$505,'سجل الإجازات والحالات'!$B$6:$B$505,$B104)-SUMIFS('سجل الإجازات والحالات'!$R$6:$R$505,'سجل الإجازات والحالات'!$B$6:$B$505,$B104))))</f>
        <v/>
      </c>
      <c r="AK104" s="65" t="str">
        <f aca="false">IF($B104="","",MAX(0,IF(OR(الموظفون!$AE104="",الموظفون!$AE104&gt;$F$3),$F$3,الموظفون!$AE104)-MAX($E$3,الموظفون!$H104)+1))</f>
        <v/>
      </c>
      <c r="AL104" s="151" t="str">
        <f aca="false">IF($B104="","",SUMIFS('سجل الإجازات والحالات'!$AT$6:$AT$505,'سجل الإجازات والحالات'!$B$6:$B$505,$B104)+SUMIFS('الحركات الشهرية'!$K$6:$K$1005,'الحركات الشهرية'!$B$6:$B$1005,$B104,'الحركات الشهرية'!$A$6:$A$1005,$C$3))</f>
        <v/>
      </c>
      <c r="AM104" s="111" t="str">
        <f aca="false">IF($B104="","",AL104*الموظفون!$R104/cfg_DAYS_M+S104)</f>
        <v/>
      </c>
      <c r="AN104" s="151" t="str">
        <f aca="false">IF($B104="","",SUMIFS('سجل الإجازات والحالات'!$V$6:$V$505,'سجل الإجازات والحالات'!$B$6:$B$505,$B104))</f>
        <v/>
      </c>
    </row>
    <row r="105" customFormat="false" ht="15" hidden="false" customHeight="false" outlineLevel="0" collapsed="false">
      <c r="A105" s="115" t="str">
        <f aca="false">IF($B105="","",الموظفون!$A105)</f>
        <v/>
      </c>
      <c r="B105" s="117" t="str">
        <f aca="false">IF(الموظفون!$B105="","",الموظفون!$B105)</f>
        <v/>
      </c>
      <c r="C105" s="117" t="str">
        <f aca="false">IF($B105="","",الموظفون!$C105)</f>
        <v/>
      </c>
      <c r="D105" s="117" t="str">
        <f aca="false">IF($B105="","",الموظفون!$F105)</f>
        <v/>
      </c>
      <c r="E105" s="117" t="str">
        <f aca="false">IF($B105="","",الموظفون!$E105)</f>
        <v/>
      </c>
      <c r="F105" s="117" t="str">
        <f aca="false">IF($B105="","",IF(AK105=0,IF(AND(الموظفون!$AE105&lt;&gt;"",الموظفون!$AE105&lt;$E$3),"✖ منتهي الخدمة","⏳ لم يباشر"),IF(S105&gt;0,"✈ راتب إجازة مقدم",IF(J105=0,"⛔ بدون راتب هذا الشهر",IF(I105&gt;0,"✈ خصم "&amp;ROUND(I105,2)&amp;" يوم بدون أجر",IF(AL105&gt;0,"🌴 إجازة سنوية "&amp;ROUND(AL105,2)&amp;" يوم",IF(H105&gt;0,"⚠ غياب "&amp;ROUND(H105,2)&amp;" يوم","✔ على رأس العمل")))))))</f>
        <v/>
      </c>
      <c r="G105" s="156" t="str">
        <f aca="false">IF($B105="","",IF(AK105&gt;=DAY($F$3),cfg_DAYS_M,MIN(AK105,cfg_DAYS_M)))</f>
        <v/>
      </c>
      <c r="H105" s="156" t="str">
        <f aca="false">IF($B105="","",SUMIFS('الحركات الشهرية'!$D$6:$D$1005,'الحركات الشهرية'!$B$6:$B$1005,$B105,'الحركات الشهرية'!$A$6:$A$1005,$C$3))</f>
        <v/>
      </c>
      <c r="I105" s="156" t="str">
        <f aca="false">IF($B105="","",MIN(G105,IF(AND(AK105&gt;0,AN105&gt;=AK105),G105,AN105)+SUMIFS('الحركات الشهرية'!$E$6:$E$1005,'الحركات الشهرية'!$B$6:$B$1005,$B105,'الحركات الشهرية'!$A$6:$A$1005,$C$3)))</f>
        <v/>
      </c>
      <c r="J105" s="156" t="str">
        <f aca="false">IF($B105="","",MAX(0,G105-H105-I105))</f>
        <v/>
      </c>
      <c r="K105" s="116" t="str">
        <f aca="false">IF($B105="","",الموظفون!$L105*$J105/cfg_DAYS_M)</f>
        <v/>
      </c>
      <c r="L105" s="116" t="str">
        <f aca="false">IF($B105="","",الموظفون!$M105*$J105/cfg_DAYS_M)</f>
        <v/>
      </c>
      <c r="M105" s="116" t="str">
        <f aca="false">IF($B105="","",الموظفون!$N105*$J105/cfg_DAYS_M)</f>
        <v/>
      </c>
      <c r="N105" s="116" t="str">
        <f aca="false">IF($B105="","",الموظفون!$O105*$J105/cfg_DAYS_M)</f>
        <v/>
      </c>
      <c r="O105" s="156" t="str">
        <f aca="false">IF($B105="","",SUMIFS('الحركات الشهرية'!$F$6:$F$1005,'الحركات الشهرية'!$B$6:$B$1005,$B105,'الحركات الشهرية'!$A$6:$A$1005,$C$3))</f>
        <v/>
      </c>
      <c r="P105" s="116" t="str">
        <f aca="false">IF($B105="","",O105*(الموظفون!$P105+الموظفون!$L105*cfg_OT_P)/cfg_DAYS_M/cfg_HRS)</f>
        <v/>
      </c>
      <c r="Q105" s="116" t="str">
        <f aca="false">IF($B105="","",SUMIFS('الحركات الشهرية'!$G$6:$G$1005,'الحركات الشهرية'!$B$6:$B$1005,$B105,'الحركات الشهرية'!$A$6:$A$1005,$C$3))</f>
        <v/>
      </c>
      <c r="R105" s="116" t="str">
        <f aca="false">IF($B105="","",SUMIFS('الحركات الشهرية'!$H$6:$H$1005,'الحركات الشهرية'!$B$6:$B$1005,$B105,'الحركات الشهرية'!$A$6:$A$1005,$C$3))</f>
        <v/>
      </c>
      <c r="S105" s="116" t="str">
        <f aca="false">IF($B105="","",SUMIFS('سجل الإجازات والحالات'!$N$6:$N$505,'سجل الإجازات والحالات'!$B$6:$B$505,$B105,'سجل الإجازات والحالات'!$O$6:$O$505,$C$3))</f>
        <v/>
      </c>
      <c r="T105" s="157" t="str">
        <f aca="false">IF($B105="","",SUM(K105:N105)+SUM(P105:S105))</f>
        <v/>
      </c>
      <c r="U105" s="116" t="str">
        <f aca="false">IF($B105="","",الموظفون!$S105*IF(E105="سعودي",cfg_G_SE,cfg_G_NE)*G105/cfg_DAYS_M)</f>
        <v/>
      </c>
      <c r="V105" s="116" t="str">
        <f aca="false">IF($B105="","",SUMIFS('الحركات الشهرية'!$I$6:$I$1005,'الحركات الشهرية'!$B$6:$B$1005,$B105,'الحركات الشهرية'!$A$6:$A$1005,$C$3))</f>
        <v/>
      </c>
      <c r="W105" s="116" t="str">
        <f aca="false">IF($B105="","",SUMIFS('الحركات الشهرية'!$J$6:$J$1005,'الحركات الشهرية'!$B$6:$B$1005,$B105,'الحركات الشهرية'!$A$6:$A$1005,$C$3))</f>
        <v/>
      </c>
      <c r="X105" s="116" t="str">
        <f aca="false">IF($B105="","",SUM(U105:W105))</f>
        <v/>
      </c>
      <c r="Y105" s="158" t="str">
        <f aca="false">IF($B105="","",T105-X105)</f>
        <v/>
      </c>
      <c r="Z105" s="116" t="str">
        <f aca="false">IF($B105="","",الموظفون!$S105*IF(E105="سعودي",cfg_G_SR,cfg_G_NR)*G105/cfg_DAYS_M)</f>
        <v/>
      </c>
      <c r="AA105" s="116" t="str">
        <f aca="false">IF($B105="","",الموظفون!$Q105*(cfg_EOS_R1*(MIN(AH105,cfg_EOS_TH)-MIN(AI105,cfg_EOS_TH))+cfg_EOS_R2*(MAX(AH105-cfg_EOS_TH,0)-MAX(AI105-cfg_EOS_TH,0))))</f>
        <v/>
      </c>
      <c r="AB105" s="116" t="str">
        <f aca="false">IF($B105="","",IF(الموظفون!$T105&lt;&gt;"",الموظفون!$T105,IF(AH105&gt;=cfg_LV_TH,cfg_LV_D2,cfg_LV_D1))/cfg_DAYS_Y*AJ105*الموظفون!$R105/cfg_DAYS_M)</f>
        <v/>
      </c>
      <c r="AC105" s="116" t="str">
        <f aca="false">IF($B105="","",IF(AND(الموظفون!$U105="نعم",N(الموظفون!$W105)&gt;0),الموظفون!$V105/الموظفون!$W105*12/cfg_DAYS_Y*AJ105,0))</f>
        <v/>
      </c>
      <c r="AD105" s="116" t="str">
        <f aca="false">IF($B105="","",(IF(الموظفون!$X105&lt;&gt;"",الموظفون!$X105,IF(الموظفون!$E105="غير سعودي",cfg_IQ,0))+IF(الموظفون!$Y105&lt;&gt;"",الموظفون!$Y105,IF(الموظفون!$E105="غير سعودي",cfg_WP,0)))/12*G105/cfg_DAYS_M)</f>
        <v/>
      </c>
      <c r="AE105" s="116" t="str">
        <f aca="false">IF($B105="","",IF(الموظفون!$Z105&lt;&gt;"",الموظفون!$Z105,cfg_MED)/12*G105/cfg_DAYS_M)</f>
        <v/>
      </c>
      <c r="AF105" s="116" t="str">
        <f aca="false">IF($B105="","",N(الموظفون!$AA105)/12*G105/cfg_DAYS_M)</f>
        <v/>
      </c>
      <c r="AG105" s="159" t="str">
        <f aca="false">IF($B105="","",T105+SUM(Z105:AF105))</f>
        <v/>
      </c>
      <c r="AH105" s="160" t="str">
        <f aca="false">IF($B105="","",MAX(0,IF(OR(الموظفون!$AE105="",الموظفون!$AE105&gt;$F$3),$F$3,الموظفون!$AE105)-الموظفون!$H105+1-SUMIFS('سجل الإجازات والحالات'!$AH$6:$AH$505,'سجل الإجازات والحالات'!$B$6:$B$505,$B105))/cfg_DAYS_Y)</f>
        <v/>
      </c>
      <c r="AI105" s="160" t="str">
        <f aca="false">IF($B105="","",MAX(0,IF(OR(الموظفون!$AE105="",الموظفون!$AE105&gt;($E$3-1)),($E$3-1),الموظفون!$AE105)-الموظفون!$H105+1-SUMIFS('سجل الإجازات والحالات'!$R$6:$R$505,'سجل الإجازات والحالات'!$B$6:$B$505,$B105))/cfg_DAYS_Y)</f>
        <v/>
      </c>
      <c r="AJ105" s="133" t="str">
        <f aca="false">IF($B105="","",MAX(0,AK105-(SUMIFS('سجل الإجازات والحالات'!$AH$6:$AH$505,'سجل الإجازات والحالات'!$B$6:$B$505,$B105)-SUMIFS('سجل الإجازات والحالات'!$R$6:$R$505,'سجل الإجازات والحالات'!$B$6:$B$505,$B105))))</f>
        <v/>
      </c>
      <c r="AK105" s="133" t="str">
        <f aca="false">IF($B105="","",MAX(0,IF(OR(الموظفون!$AE105="",الموظفون!$AE105&gt;$F$3),$F$3,الموظفون!$AE105)-MAX($E$3,الموظفون!$H105)+1))</f>
        <v/>
      </c>
      <c r="AL105" s="156" t="str">
        <f aca="false">IF($B105="","",SUMIFS('سجل الإجازات والحالات'!$AT$6:$AT$505,'سجل الإجازات والحالات'!$B$6:$B$505,$B105)+SUMIFS('الحركات الشهرية'!$K$6:$K$1005,'الحركات الشهرية'!$B$6:$B$1005,$B105,'الحركات الشهرية'!$A$6:$A$1005,$C$3))</f>
        <v/>
      </c>
      <c r="AM105" s="116" t="str">
        <f aca="false">IF($B105="","",AL105*الموظفون!$R105/cfg_DAYS_M+S105)</f>
        <v/>
      </c>
      <c r="AN105" s="156" t="str">
        <f aca="false">IF($B105="","",SUMIFS('سجل الإجازات والحالات'!$V$6:$V$505,'سجل الإجازات والحالات'!$B$6:$B$505,$B105))</f>
        <v/>
      </c>
    </row>
    <row r="106" customFormat="false" ht="24" hidden="false" customHeight="true" outlineLevel="0" collapsed="false">
      <c r="A106" s="124"/>
      <c r="B106" s="125" t="str">
        <f aca="false">COUNTIF(G6:G105,"&gt;0")&amp;" موظف"</f>
        <v>11 موظف</v>
      </c>
      <c r="C106" s="124" t="s">
        <v>161</v>
      </c>
      <c r="D106" s="124"/>
      <c r="E106" s="124"/>
      <c r="F106" s="125" t="str">
        <f aca="false">COUNTIFS(G6:G105,"&gt;0",J6:J105,0)&amp;" بدون راتب"</f>
        <v>0 بدون راتب</v>
      </c>
      <c r="G106" s="124"/>
      <c r="H106" s="161" t="n">
        <f aca="false">SUM(H6:H105)</f>
        <v>1</v>
      </c>
      <c r="I106" s="161" t="n">
        <f aca="false">SUM(I6:I105)</f>
        <v>0</v>
      </c>
      <c r="J106" s="161" t="n">
        <f aca="false">SUM(J6:J105)</f>
        <v>329</v>
      </c>
      <c r="K106" s="125" t="n">
        <f aca="false">SUM(K6:K105)</f>
        <v>132283.333333333</v>
      </c>
      <c r="L106" s="125" t="n">
        <f aca="false">SUM(L6:L105)</f>
        <v>33070.8333333333</v>
      </c>
      <c r="M106" s="125" t="n">
        <f aca="false">SUM(M6:M105)</f>
        <v>13228.3333333333</v>
      </c>
      <c r="N106" s="125" t="n">
        <f aca="false">SUM(N6:N105)</f>
        <v>10290</v>
      </c>
      <c r="O106" s="161" t="n">
        <f aca="false">SUM(O6:O105)</f>
        <v>32</v>
      </c>
      <c r="P106" s="125" t="n">
        <f aca="false">SUM(P6:P105)</f>
        <v>1838.33333333333</v>
      </c>
      <c r="Q106" s="125" t="n">
        <f aca="false">SUM(Q6:Q105)</f>
        <v>0</v>
      </c>
      <c r="R106" s="125" t="n">
        <f aca="false">SUM(R6:R105)</f>
        <v>0</v>
      </c>
      <c r="S106" s="125" t="n">
        <f aca="false">SUM(S6:S105)</f>
        <v>0</v>
      </c>
      <c r="T106" s="125" t="n">
        <f aca="false">SUM(T6:T105)</f>
        <v>190710.833333333</v>
      </c>
      <c r="U106" s="125" t="n">
        <f aca="false">SUM(U6:U105)</f>
        <v>11273.4375</v>
      </c>
      <c r="V106" s="125" t="n">
        <f aca="false">SUM(V6:V105)</f>
        <v>1000</v>
      </c>
      <c r="W106" s="125" t="n">
        <f aca="false">SUM(W6:W105)</f>
        <v>100</v>
      </c>
      <c r="X106" s="125" t="n">
        <f aca="false">SUM(X6:X105)</f>
        <v>12373.4375</v>
      </c>
      <c r="Y106" s="125" t="n">
        <f aca="false">SUM(Y6:Y105)</f>
        <v>178337.395833333</v>
      </c>
      <c r="Z106" s="125" t="n">
        <f aca="false">SUM(Z6:Z105)</f>
        <v>14585.9375</v>
      </c>
      <c r="AA106" s="125" t="n">
        <f aca="false">SUM(AA6:AA105)</f>
        <v>13708.0479452055</v>
      </c>
      <c r="AB106" s="125" t="n">
        <f aca="false">SUM(AB6:AB105)</f>
        <v>14521.3767123288</v>
      </c>
      <c r="AC106" s="125" t="n">
        <f aca="false">SUM(AC6:AC105)</f>
        <v>959.72602739726</v>
      </c>
      <c r="AD106" s="125" t="n">
        <f aca="false">SUM(AD6:AD105)</f>
        <v>4270.83333333333</v>
      </c>
      <c r="AE106" s="125" t="n">
        <f aca="false">SUM(AE6:AE105)</f>
        <v>2600</v>
      </c>
      <c r="AF106" s="125" t="n">
        <f aca="false">SUM(AF6:AF105)</f>
        <v>400</v>
      </c>
      <c r="AG106" s="125" t="n">
        <f aca="false">SUM(AG6:AG105)</f>
        <v>241756.754851598</v>
      </c>
      <c r="AH106" s="124"/>
      <c r="AI106" s="124"/>
      <c r="AJ106" s="124"/>
      <c r="AK106" s="124"/>
      <c r="AL106" s="161" t="n">
        <f aca="false">SUM(AL6:AL105)</f>
        <v>0</v>
      </c>
      <c r="AM106" s="125" t="n">
        <f aca="false">SUM(AM6:AM105)</f>
        <v>0</v>
      </c>
      <c r="AN106" s="124"/>
    </row>
    <row r="107" customFormat="false" ht="48" hidden="false" customHeight="true" outlineLevel="0" collapsed="false">
      <c r="A107" s="24" t="s">
        <v>505</v>
      </c>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row>
  </sheetData>
  <sheetProtection sheet="true" password="ffa5" objects="true" scenarios="true"/>
  <autoFilter ref="A5:AN105"/>
  <mergeCells count="5">
    <mergeCell ref="A1:AG1"/>
    <mergeCell ref="A2:AG2"/>
    <mergeCell ref="G3:H3"/>
    <mergeCell ref="L3:M3"/>
    <mergeCell ref="A107:AN107"/>
  </mergeCells>
  <conditionalFormatting sqref="G3">
    <cfRule type="expression" priority="2" aboveAverage="0" equalAverage="0" bottom="0" percent="0" rank="0" text="" dxfId="0">
      <formula>ISNUMBER(SEARCH("✔",G3))</formula>
    </cfRule>
    <cfRule type="expression" priority="3" aboveAverage="0" equalAverage="0" bottom="0" percent="0" rank="0" text="" dxfId="1">
      <formula>ISNUMBER(SEARCH("✖",G3))</formula>
    </cfRule>
    <cfRule type="expression" priority="4" aboveAverage="0" equalAverage="0" bottom="0" percent="0" rank="0" text="" dxfId="2">
      <formula>ISNUMBER(SEARCH("⚠",G3))</formula>
    </cfRule>
    <cfRule type="expression" priority="5" aboveAverage="0" equalAverage="0" bottom="0" percent="0" rank="0" text="" dxfId="3">
      <formula>ISNUMBER(SEARCH("✈",G3))</formula>
    </cfRule>
    <cfRule type="expression" priority="6" aboveAverage="0" equalAverage="0" bottom="0" percent="0" rank="0" text="" dxfId="1">
      <formula>ISNUMBER(SEARCH("⛔",G3))</formula>
    </cfRule>
    <cfRule type="expression" priority="7" aboveAverage="0" equalAverage="0" bottom="0" percent="0" rank="0" text="" dxfId="0">
      <formula>ISNUMBER(SEARCH("🌴",G3))</formula>
    </cfRule>
    <cfRule type="expression" priority="8" aboveAverage="0" equalAverage="0" bottom="0" percent="0" rank="0" text="" dxfId="4">
      <formula>ISNUMBER(SEARCH("⏳",G3))</formula>
    </cfRule>
  </conditionalFormatting>
  <conditionalFormatting sqref="F6:F105">
    <cfRule type="expression" priority="9" aboveAverage="0" equalAverage="0" bottom="0" percent="0" rank="0" text="" dxfId="0">
      <formula>ISNUMBER(SEARCH("✔",F6))</formula>
    </cfRule>
    <cfRule type="expression" priority="10" aboveAverage="0" equalAverage="0" bottom="0" percent="0" rank="0" text="" dxfId="1">
      <formula>ISNUMBER(SEARCH("✖",F6))</formula>
    </cfRule>
    <cfRule type="expression" priority="11" aboveAverage="0" equalAverage="0" bottom="0" percent="0" rank="0" text="" dxfId="2">
      <formula>ISNUMBER(SEARCH("⚠",F6))</formula>
    </cfRule>
    <cfRule type="expression" priority="12" aboveAverage="0" equalAverage="0" bottom="0" percent="0" rank="0" text="" dxfId="3">
      <formula>ISNUMBER(SEARCH("✈",F6))</formula>
    </cfRule>
    <cfRule type="expression" priority="13" aboveAverage="0" equalAverage="0" bottom="0" percent="0" rank="0" text="" dxfId="1">
      <formula>ISNUMBER(SEARCH("⛔",F6))</formula>
    </cfRule>
    <cfRule type="expression" priority="14" aboveAverage="0" equalAverage="0" bottom="0" percent="0" rank="0" text="" dxfId="0">
      <formula>ISNUMBER(SEARCH("🌴",F6))</formula>
    </cfRule>
    <cfRule type="expression" priority="15" aboveAverage="0" equalAverage="0" bottom="0" percent="0" rank="0" text="" dxfId="4">
      <formula>ISNUMBER(SEARCH("⏳",F6))</formula>
    </cfRule>
  </conditionalFormatting>
  <conditionalFormatting sqref="G6:AN105">
    <cfRule type="expression" priority="16" aboveAverage="0" equalAverage="0" bottom="0" percent="0" rank="0" text="" dxfId="31">
      <formula>AND($B6&lt;&gt;"",$J6=0)</formula>
    </cfRule>
  </conditionalFormatting>
  <conditionalFormatting sqref="Y6:Y105">
    <cfRule type="expression" priority="17" aboveAverage="0" equalAverage="0" bottom="0" percent="0" rank="0" text="" dxfId="1">
      <formula>AND(ISNUMBER(Y6),Y6&lt;0)</formula>
    </cfRule>
  </conditionalFormatting>
  <hyperlinks>
    <hyperlink ref="A2" r:id="rId1" display="https://accopro.net/"/>
    <hyperlink ref="L3" location="'مسير فبراير'!A1" display="الشهر التالي ▶"/>
    <hyperlink ref="O3" location="'الرئيسية'!A1" display="🏠 الرئيسية"/>
    <hyperlink ref="P3" location="'لوحة التحكم'!A1" display="📊 لوحة التحكم"/>
    <hyperlink ref="R3" location="'الموظفون'!A1" display="👥 الموظفون"/>
    <hyperlink ref="S3" location="'سجل الإجازات والحالات'!A1" display="🌴 سجل الإجازات"/>
    <hyperlink ref="U3" location="'الحركات الشهرية'!A1" display="✍ الحركات"/>
    <hyperlink ref="W3" location="'الملخص الشهري'!A1" display="📅 الملخص الشهري"/>
    <hyperlink ref="Y3" location="'قيود الرواتب'!A1" display="🧾 القيود"/>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&amp;Cنسخة تجريبية — النسخة الكاملة: accopro.net</oddHeader>
    <oddFooter>&amp;CAccoPro — https://accopro.net</oddFooter>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N107"/>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24"/>
    <col collapsed="false" customWidth="true" hidden="false" outlineLevel="0" max="4" min="4" style="0" width="14"/>
    <col collapsed="false" customWidth="true" hidden="false" outlineLevel="0" max="5" min="5" style="0" width="10"/>
    <col collapsed="false" customWidth="true" hidden="false" outlineLevel="0" max="6" min="6" style="0" width="20"/>
    <col collapsed="false" customWidth="true" hidden="false" outlineLevel="0" max="8" min="7" style="0" width="8"/>
    <col collapsed="false" customWidth="true" hidden="false" outlineLevel="0" max="9" min="9" style="0" width="9"/>
    <col collapsed="false" customWidth="true" hidden="false" outlineLevel="0" max="10" min="10" style="0" width="8"/>
    <col collapsed="false" customWidth="true" hidden="false" outlineLevel="0" max="11" min="11" style="0" width="12"/>
    <col collapsed="false" customWidth="true" hidden="false" outlineLevel="0" max="12" min="12" style="0" width="11"/>
    <col collapsed="false" customWidth="true" hidden="false" outlineLevel="0" max="14" min="13" style="0" width="10"/>
    <col collapsed="false" customWidth="true" hidden="false" outlineLevel="0" max="15" min="15" style="0" width="7"/>
    <col collapsed="false" customWidth="true" hidden="false" outlineLevel="0" max="19" min="16" style="0" width="11"/>
    <col collapsed="false" customWidth="true" hidden="false" outlineLevel="0" max="20" min="20" style="0" width="13"/>
    <col collapsed="false" customWidth="true" hidden="false" outlineLevel="0" max="21" min="21" style="0" width="11"/>
    <col collapsed="false" customWidth="true" hidden="false" outlineLevel="0" max="23" min="22" style="0" width="10"/>
    <col collapsed="false" customWidth="true" hidden="false" outlineLevel="0" max="24" min="24" style="0" width="12"/>
    <col collapsed="false" customWidth="true" hidden="false" outlineLevel="0" max="25" min="25" style="0" width="13"/>
    <col collapsed="false" customWidth="true" hidden="false" outlineLevel="0" max="26" min="26" style="0" width="11"/>
    <col collapsed="false" customWidth="true" hidden="false" outlineLevel="0" max="27" min="27" style="0" width="12"/>
    <col collapsed="false" customWidth="true" hidden="false" outlineLevel="0" max="29" min="28" style="0" width="11"/>
    <col collapsed="false" customWidth="true" hidden="false" outlineLevel="0" max="30" min="30" style="0" width="12"/>
    <col collapsed="false" customWidth="true" hidden="false" outlineLevel="0" max="31" min="31" style="0" width="11"/>
    <col collapsed="false" customWidth="true" hidden="false" outlineLevel="0" max="32" min="32" style="0" width="10"/>
    <col collapsed="false" customWidth="true" hidden="false" outlineLevel="0" max="33" min="33" style="0" width="14"/>
    <col collapsed="false" customWidth="true" hidden="true" outlineLevel="0" max="38" min="34" style="0" width="9"/>
    <col collapsed="false" customWidth="true" hidden="true" outlineLevel="0" max="39" min="39" style="0" width="11"/>
    <col collapsed="false" customWidth="true" hidden="true" outlineLevel="0" max="40" min="40" style="0" width="9"/>
  </cols>
  <sheetData>
    <row r="1" customFormat="false" ht="37.5" hidden="false" customHeight="true" outlineLevel="0" collapsed="false">
      <c r="A1" s="136" t="str">
        <f aca="false">"💵 مسير رواتب شهر فبراير "&amp;cfg_FY&amp;"   🔒 نسخة تجريبية"</f>
        <v>💵 مسير رواتب شهر فبراير 2026   🔒 نسخة تجريبية</v>
      </c>
      <c r="B1" s="136"/>
      <c r="C1" s="136"/>
      <c r="D1" s="136"/>
      <c r="E1" s="136"/>
      <c r="F1" s="136"/>
      <c r="G1" s="136"/>
      <c r="H1" s="136"/>
      <c r="I1" s="136"/>
      <c r="J1" s="136"/>
      <c r="K1" s="136"/>
      <c r="L1" s="136"/>
      <c r="M1" s="136"/>
      <c r="N1" s="136"/>
      <c r="O1" s="136"/>
      <c r="P1" s="136"/>
      <c r="Q1" s="136"/>
      <c r="R1" s="136"/>
      <c r="S1" s="136"/>
      <c r="T1" s="136"/>
      <c r="U1" s="136"/>
      <c r="V1" s="136"/>
      <c r="W1" s="136"/>
      <c r="X1" s="136"/>
      <c r="Y1" s="136"/>
      <c r="Z1" s="136"/>
      <c r="AA1" s="136"/>
      <c r="AB1" s="136"/>
      <c r="AC1" s="136"/>
      <c r="AD1" s="136"/>
      <c r="AE1" s="136"/>
      <c r="AF1" s="136"/>
      <c r="AG1" s="136"/>
    </row>
    <row r="2" customFormat="false" ht="19.5" hidden="false" customHeight="true" outlineLevel="0" collapsed="false">
      <c r="A2" s="2" t="str">
        <f aca="false">"🛒 نسخة تجريبية — للنسخة الكاملة اضغط هنا ← accopro.net   |   "&amp;cfg_CO&amp;"   |   السنة المالية "&amp;cfg_FY&amp;"   |   شهر التقرير: "&amp;INDEX(L_MONTH,cfg_VAL_M)&amp;"   |   المبالغ بـ "&amp;cfg_CUR</f>
        <v>🛒 نسخة تجريبية — للنسخة الكاملة اضغط هنا ← accopro.net   |   شركة النخبة للتجارة والمقاولات   |   السنة المالية 2026   |   شهر التقرير: سبتمبر   |   المبالغ بـ ريال سعودي</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row>
    <row r="3" customFormat="false" ht="25.5" hidden="false" customHeight="true" outlineLevel="0" collapsed="false">
      <c r="B3" s="137" t="s">
        <v>163</v>
      </c>
      <c r="C3" s="138" t="n">
        <v>2</v>
      </c>
      <c r="D3" s="137" t="s">
        <v>472</v>
      </c>
      <c r="E3" s="139" t="n">
        <f aca="false">DATE(cfg_FY,C3,1)</f>
        <v>46054</v>
      </c>
      <c r="F3" s="139" t="n">
        <f aca="false">EOMONTH(E3,0)</f>
        <v>46081</v>
      </c>
      <c r="G3" s="140" t="str">
        <f aca="false">IF(C3&lt;=cfg_VAL_M,"✔ فعلي","⚠ متوقع")</f>
        <v>✔ فعلي</v>
      </c>
      <c r="H3" s="140"/>
      <c r="J3" s="141" t="s">
        <v>506</v>
      </c>
      <c r="K3" s="141"/>
      <c r="L3" s="141" t="s">
        <v>473</v>
      </c>
      <c r="M3" s="141"/>
      <c r="O3" s="31" t="s">
        <v>114</v>
      </c>
      <c r="P3" s="12" t="s">
        <v>172</v>
      </c>
      <c r="R3" s="32" t="s">
        <v>116</v>
      </c>
      <c r="S3" s="33" t="s">
        <v>117</v>
      </c>
      <c r="U3" s="32" t="s">
        <v>118</v>
      </c>
      <c r="W3" s="32" t="s">
        <v>39</v>
      </c>
      <c r="Y3" s="32" t="s">
        <v>173</v>
      </c>
    </row>
    <row r="4" customFormat="false" ht="7.5" hidden="false" customHeight="true" outlineLevel="0" collapsed="false"/>
    <row r="5" customFormat="false" ht="51.75" hidden="false" customHeight="true" outlineLevel="0" collapsed="false">
      <c r="A5" s="142" t="s">
        <v>308</v>
      </c>
      <c r="B5" s="142" t="s">
        <v>309</v>
      </c>
      <c r="C5" s="142" t="s">
        <v>310</v>
      </c>
      <c r="D5" s="142" t="s">
        <v>156</v>
      </c>
      <c r="E5" s="142" t="s">
        <v>142</v>
      </c>
      <c r="F5" s="142" t="s">
        <v>474</v>
      </c>
      <c r="G5" s="143" t="s">
        <v>475</v>
      </c>
      <c r="H5" s="143" t="s">
        <v>476</v>
      </c>
      <c r="I5" s="143" t="s">
        <v>477</v>
      </c>
      <c r="J5" s="143" t="s">
        <v>478</v>
      </c>
      <c r="K5" s="144" t="s">
        <v>479</v>
      </c>
      <c r="L5" s="144" t="s">
        <v>480</v>
      </c>
      <c r="M5" s="144" t="s">
        <v>481</v>
      </c>
      <c r="N5" s="144" t="s">
        <v>482</v>
      </c>
      <c r="O5" s="144" t="s">
        <v>483</v>
      </c>
      <c r="P5" s="144" t="s">
        <v>484</v>
      </c>
      <c r="Q5" s="144" t="s">
        <v>451</v>
      </c>
      <c r="R5" s="144" t="s">
        <v>485</v>
      </c>
      <c r="S5" s="144" t="s">
        <v>486</v>
      </c>
      <c r="T5" s="144" t="s">
        <v>127</v>
      </c>
      <c r="U5" s="145" t="s">
        <v>487</v>
      </c>
      <c r="V5" s="145" t="s">
        <v>453</v>
      </c>
      <c r="W5" s="145" t="s">
        <v>454</v>
      </c>
      <c r="X5" s="145" t="s">
        <v>488</v>
      </c>
      <c r="Y5" s="146" t="s">
        <v>489</v>
      </c>
      <c r="Z5" s="147" t="s">
        <v>490</v>
      </c>
      <c r="AA5" s="147" t="s">
        <v>491</v>
      </c>
      <c r="AB5" s="147" t="s">
        <v>492</v>
      </c>
      <c r="AC5" s="147" t="s">
        <v>493</v>
      </c>
      <c r="AD5" s="148" t="s">
        <v>494</v>
      </c>
      <c r="AE5" s="148" t="s">
        <v>495</v>
      </c>
      <c r="AF5" s="148" t="s">
        <v>496</v>
      </c>
      <c r="AG5" s="149" t="s">
        <v>497</v>
      </c>
      <c r="AH5" s="150" t="s">
        <v>498</v>
      </c>
      <c r="AI5" s="150" t="s">
        <v>499</v>
      </c>
      <c r="AJ5" s="150" t="s">
        <v>500</v>
      </c>
      <c r="AK5" s="150" t="s">
        <v>501</v>
      </c>
      <c r="AL5" s="150" t="s">
        <v>502</v>
      </c>
      <c r="AM5" s="150" t="s">
        <v>503</v>
      </c>
      <c r="AN5" s="150" t="s">
        <v>504</v>
      </c>
    </row>
    <row r="6" customFormat="false" ht="15" hidden="false" customHeight="false" outlineLevel="0" collapsed="false">
      <c r="A6" s="106" t="n">
        <f aca="false">IF($B6="","",الموظفون!$A6)</f>
        <v>1</v>
      </c>
      <c r="B6" s="114" t="str">
        <f aca="false">IF(الموظفون!$B6="","",الموظفون!$B6)</f>
        <v>E001</v>
      </c>
      <c r="C6" s="114" t="str">
        <f aca="false">IF($B6="","",الموظفون!$C6)</f>
        <v>عبدالله محمد العتيبي</v>
      </c>
      <c r="D6" s="114" t="str">
        <f aca="false">IF($B6="","",الموظفون!$F6)</f>
        <v>الإدارة العليا</v>
      </c>
      <c r="E6" s="114" t="str">
        <f aca="false">IF($B6="","",الموظفون!$E6)</f>
        <v>سعودي</v>
      </c>
      <c r="F6" s="114" t="str">
        <f aca="false">IF($B6="","",IF(AK6=0,IF(AND(الموظفون!$AE6&lt;&gt;"",الموظفون!$AE6&lt;$E$3),"✖ منتهي الخدمة","⏳ لم يباشر"),IF(S6&gt;0,"✈ راتب إجازة مقدم",IF(J6=0,"⛔ بدون راتب هذا الشهر",IF(I6&gt;0,"✈ خصم "&amp;ROUND(I6,2)&amp;" يوم بدون أجر",IF(AL6&gt;0,"🌴 إجازة سنوية "&amp;ROUND(AL6,2)&amp;" يوم",IF(H6&gt;0,"⚠ غياب "&amp;ROUND(H6,2)&amp;" يوم","✔ على رأس العمل")))))))</f>
        <v>✔ على رأس العمل</v>
      </c>
      <c r="G6" s="151" t="n">
        <f aca="false">IF($B6="","",IF(AK6&gt;=DAY($F$3),cfg_DAYS_M,MIN(AK6,cfg_DAYS_M)))</f>
        <v>30</v>
      </c>
      <c r="H6" s="151" t="n">
        <f aca="false">IF($B6="","",SUMIFS('الحركات الشهرية'!$D$6:$D$1005,'الحركات الشهرية'!$B$6:$B$1005,$B6,'الحركات الشهرية'!$A$6:$A$1005,$C$3))</f>
        <v>0</v>
      </c>
      <c r="I6" s="151" t="n">
        <f aca="false">IF($B6="","",MIN(G6,IF(AND(AK6&gt;0,AN6&gt;=AK6),G6,AN6)+SUMIFS('الحركات الشهرية'!$E$6:$E$1005,'الحركات الشهرية'!$B$6:$B$1005,$B6,'الحركات الشهرية'!$A$6:$A$1005,$C$3)))</f>
        <v>0</v>
      </c>
      <c r="J6" s="151" t="n">
        <f aca="false">IF($B6="","",MAX(0,G6-H6-I6))</f>
        <v>30</v>
      </c>
      <c r="K6" s="111" t="n">
        <f aca="false">IF($B6="","",الموظفون!$L6*$J6/cfg_DAYS_M)</f>
        <v>28000</v>
      </c>
      <c r="L6" s="111" t="n">
        <f aca="false">IF($B6="","",الموظفون!$M6*$J6/cfg_DAYS_M)</f>
        <v>7000</v>
      </c>
      <c r="M6" s="111" t="n">
        <f aca="false">IF($B6="","",الموظفون!$N6*$J6/cfg_DAYS_M)</f>
        <v>2800</v>
      </c>
      <c r="N6" s="111" t="n">
        <f aca="false">IF($B6="","",الموظفون!$O6*$J6/cfg_DAYS_M)</f>
        <v>3000</v>
      </c>
      <c r="O6" s="151" t="n">
        <f aca="false">IF($B6="","",SUMIFS('الحركات الشهرية'!$F$6:$F$1005,'الحركات الشهرية'!$B$6:$B$1005,$B6,'الحركات الشهرية'!$A$6:$A$1005,$C$3))</f>
        <v>0</v>
      </c>
      <c r="P6" s="111" t="n">
        <f aca="false">IF($B6="","",O6*(الموظفون!$P6+الموظفون!$L6*cfg_OT_P)/cfg_DAYS_M/cfg_HRS)</f>
        <v>0</v>
      </c>
      <c r="Q6" s="111" t="n">
        <f aca="false">IF($B6="","",SUMIFS('الحركات الشهرية'!$G$6:$G$1005,'الحركات الشهرية'!$B$6:$B$1005,$B6,'الحركات الشهرية'!$A$6:$A$1005,$C$3))</f>
        <v>0</v>
      </c>
      <c r="R6" s="111" t="n">
        <f aca="false">IF($B6="","",SUMIFS('الحركات الشهرية'!$H$6:$H$1005,'الحركات الشهرية'!$B$6:$B$1005,$B6,'الحركات الشهرية'!$A$6:$A$1005,$C$3))</f>
        <v>0</v>
      </c>
      <c r="S6" s="111" t="n">
        <f aca="false">IF($B6="","",SUMIFS('سجل الإجازات والحالات'!$N$6:$N$505,'سجل الإجازات والحالات'!$B$6:$B$505,$B6,'سجل الإجازات والحالات'!$O$6:$O$505,$C$3))</f>
        <v>0</v>
      </c>
      <c r="T6" s="152" t="n">
        <f aca="false">IF($B6="","",SUM(K6:N6)+SUM(P6:S6))</f>
        <v>40800</v>
      </c>
      <c r="U6" s="111" t="n">
        <f aca="false">IF($B6="","",الموظفون!$S6*IF(E6="سعودي",cfg_G_SE,cfg_G_NE)*G6/cfg_DAYS_M)</f>
        <v>3412.5</v>
      </c>
      <c r="V6" s="111" t="n">
        <f aca="false">IF($B6="","",SUMIFS('الحركات الشهرية'!$I$6:$I$1005,'الحركات الشهرية'!$B$6:$B$1005,$B6,'الحركات الشهرية'!$A$6:$A$1005,$C$3))</f>
        <v>0</v>
      </c>
      <c r="W6" s="111" t="n">
        <f aca="false">IF($B6="","",SUMIFS('الحركات الشهرية'!$J$6:$J$1005,'الحركات الشهرية'!$B$6:$B$1005,$B6,'الحركات الشهرية'!$A$6:$A$1005,$C$3))</f>
        <v>0</v>
      </c>
      <c r="X6" s="111" t="n">
        <f aca="false">IF($B6="","",SUM(U6:W6))</f>
        <v>3412.5</v>
      </c>
      <c r="Y6" s="153" t="n">
        <f aca="false">IF($B6="","",T6-X6)</f>
        <v>37387.5</v>
      </c>
      <c r="Z6" s="111" t="n">
        <f aca="false">IF($B6="","",الموظفون!$S6*IF(E6="سعودي",cfg_G_SR,cfg_G_NR)*G6/cfg_DAYS_M)</f>
        <v>4112.5</v>
      </c>
      <c r="AA6" s="111" t="n">
        <f aca="false">IF($B6="","",الموظفون!$Q6*(cfg_EOS_R1*(MIN(AH6,cfg_EOS_TH)-MIN(AI6,cfg_EOS_TH))+cfg_EOS_R2*(MAX(AH6-cfg_EOS_TH,0)-MAX(AI6-cfg_EOS_TH,0))))</f>
        <v>2899.7260273973</v>
      </c>
      <c r="AB6" s="111" t="n">
        <f aca="false">IF($B6="","",IF(الموظفون!$T6&lt;&gt;"",الموظفون!$T6,IF(AH6&gt;=cfg_LV_TH,cfg_LV_D2,cfg_LV_D1))/cfg_DAYS_Y*AJ6*الموظفون!$R6/cfg_DAYS_M)</f>
        <v>2899.72602739726</v>
      </c>
      <c r="AC6" s="111" t="n">
        <f aca="false">IF($B6="","",IF(AND(الموظفون!$U6="نعم",N(الموظفون!$W6)&gt;0),الموظفون!$V6/الموظفون!$W6*12/cfg_DAYS_Y*AJ6,0))</f>
        <v>0</v>
      </c>
      <c r="AD6" s="111" t="n">
        <f aca="false">IF($B6="","",(IF(الموظفون!$X6&lt;&gt;"",الموظفون!$X6,IF(الموظفون!$E6="غير سعودي",cfg_IQ,0))+IF(الموظفون!$Y6&lt;&gt;"",الموظفون!$Y6,IF(الموظفون!$E6="غير سعودي",cfg_WP,0)))/12*G6/cfg_DAYS_M)</f>
        <v>0</v>
      </c>
      <c r="AE6" s="111" t="n">
        <f aca="false">IF($B6="","",IF(الموظفون!$Z6&lt;&gt;"",الموظفون!$Z6,cfg_MED)/12*G6/cfg_DAYS_M)</f>
        <v>400</v>
      </c>
      <c r="AF6" s="111" t="n">
        <f aca="false">IF($B6="","",N(الموظفون!$AA6)/12*G6/cfg_DAYS_M)</f>
        <v>0</v>
      </c>
      <c r="AG6" s="154" t="n">
        <f aca="false">IF($B6="","",T6+SUM(Z6:AF6))</f>
        <v>51111.9520547946</v>
      </c>
      <c r="AH6" s="155" t="n">
        <f aca="false">IF($B6="","",MAX(0,IF(OR(الموظفون!$AE6="",الموظفون!$AE6&gt;$F$3),$F$3,الموظفون!$AE6)-الموظفون!$H6+1-SUMIFS('سجل الإجازات والحالات'!$AI$6:$AI$505,'سجل الإجازات والحالات'!$B$6:$B$505,$B6))/cfg_DAYS_Y)</f>
        <v>14.1342465753425</v>
      </c>
      <c r="AI6" s="155" t="n">
        <f aca="false">IF($B6="","",MAX(0,IF(OR(الموظفون!$AE6="",الموظفون!$AE6&gt;($E$3-1)),($E$3-1),الموظفون!$AE6)-الموظفون!$H6+1-SUMIFS('سجل الإجازات والحالات'!$AH$6:$AH$505,'سجل الإجازات والحالات'!$B$6:$B$505,$B6))/cfg_DAYS_Y)</f>
        <v>14.0575342465753</v>
      </c>
      <c r="AJ6" s="65" t="n">
        <f aca="false">IF($B6="","",MAX(0,AK6-(SUMIFS('سجل الإجازات والحالات'!$AI$6:$AI$505,'سجل الإجازات والحالات'!$B$6:$B$505,$B6)-SUMIFS('سجل الإجازات والحالات'!$AH$6:$AH$505,'سجل الإجازات والحالات'!$B$6:$B$505,$B6))))</f>
        <v>28</v>
      </c>
      <c r="AK6" s="65" t="n">
        <f aca="false">IF($B6="","",MAX(0,IF(OR(الموظفون!$AE6="",الموظفون!$AE6&gt;$F$3),$F$3,الموظفون!$AE6)-MAX($E$3,الموظفون!$H6)+1))</f>
        <v>28</v>
      </c>
      <c r="AL6" s="151" t="n">
        <f aca="false">IF($B6="","",SUMIFS('سجل الإجازات والحالات'!$AU$6:$AU$505,'سجل الإجازات والحالات'!$B$6:$B$505,$B6)+SUMIFS('الحركات الشهرية'!$K$6:$K$1005,'الحركات الشهرية'!$B$6:$B$1005,$B6,'الحركات الشهرية'!$A$6:$A$1005,$C$3))</f>
        <v>0</v>
      </c>
      <c r="AM6" s="111" t="n">
        <f aca="false">IF($B6="","",AL6*الموظفون!$R6/cfg_DAYS_M+S6)</f>
        <v>0</v>
      </c>
      <c r="AN6" s="151" t="n">
        <f aca="false">IF($B6="","",SUMIFS('سجل الإجازات والحالات'!$W$6:$W$505,'سجل الإجازات والحالات'!$B$6:$B$505,$B6))</f>
        <v>0</v>
      </c>
    </row>
    <row r="7" customFormat="false" ht="15" hidden="false" customHeight="false" outlineLevel="0" collapsed="false">
      <c r="A7" s="115" t="n">
        <f aca="false">IF($B7="","",الموظفون!$A7)</f>
        <v>2</v>
      </c>
      <c r="B7" s="117" t="str">
        <f aca="false">IF(الموظفون!$B7="","",الموظفون!$B7)</f>
        <v>E002</v>
      </c>
      <c r="C7" s="117" t="str">
        <f aca="false">IF($B7="","",الموظفون!$C7)</f>
        <v>أحمد سعيد القحطاني</v>
      </c>
      <c r="D7" s="117" t="str">
        <f aca="false">IF($B7="","",الموظفون!$F7)</f>
        <v>المالية</v>
      </c>
      <c r="E7" s="117" t="str">
        <f aca="false">IF($B7="","",الموظفون!$E7)</f>
        <v>سعودي</v>
      </c>
      <c r="F7" s="117" t="str">
        <f aca="false">IF($B7="","",IF(AK7=0,IF(AND(الموظفون!$AE7&lt;&gt;"",الموظفون!$AE7&lt;$E$3),"✖ منتهي الخدمة","⏳ لم يباشر"),IF(S7&gt;0,"✈ راتب إجازة مقدم",IF(J7=0,"⛔ بدون راتب هذا الشهر",IF(I7&gt;0,"✈ خصم "&amp;ROUND(I7,2)&amp;" يوم بدون أجر",IF(AL7&gt;0,"🌴 إجازة سنوية "&amp;ROUND(AL7,2)&amp;" يوم",IF(H7&gt;0,"⚠ غياب "&amp;ROUND(H7,2)&amp;" يوم","✔ على رأس العمل")))))))</f>
        <v>✔ على رأس العمل</v>
      </c>
      <c r="G7" s="156" t="n">
        <f aca="false">IF($B7="","",IF(AK7&gt;=DAY($F$3),cfg_DAYS_M,MIN(AK7,cfg_DAYS_M)))</f>
        <v>30</v>
      </c>
      <c r="H7" s="156" t="n">
        <f aca="false">IF($B7="","",SUMIFS('الحركات الشهرية'!$D$6:$D$1005,'الحركات الشهرية'!$B$6:$B$1005,$B7,'الحركات الشهرية'!$A$6:$A$1005,$C$3))</f>
        <v>0</v>
      </c>
      <c r="I7" s="156" t="n">
        <f aca="false">IF($B7="","",MIN(G7,IF(AND(AK7&gt;0,AN7&gt;=AK7),G7,AN7)+SUMIFS('الحركات الشهرية'!$E$6:$E$1005,'الحركات الشهرية'!$B$6:$B$1005,$B7,'الحركات الشهرية'!$A$6:$A$1005,$C$3)))</f>
        <v>0</v>
      </c>
      <c r="J7" s="156" t="n">
        <f aca="false">IF($B7="","",MAX(0,G7-H7-I7))</f>
        <v>30</v>
      </c>
      <c r="K7" s="116" t="n">
        <f aca="false">IF($B7="","",الموظفون!$L7*$J7/cfg_DAYS_M)</f>
        <v>18000</v>
      </c>
      <c r="L7" s="116" t="n">
        <f aca="false">IF($B7="","",الموظفون!$M7*$J7/cfg_DAYS_M)</f>
        <v>4500</v>
      </c>
      <c r="M7" s="116" t="n">
        <f aca="false">IF($B7="","",الموظفون!$N7*$J7/cfg_DAYS_M)</f>
        <v>1800</v>
      </c>
      <c r="N7" s="116" t="n">
        <f aca="false">IF($B7="","",الموظفون!$O7*$J7/cfg_DAYS_M)</f>
        <v>1000</v>
      </c>
      <c r="O7" s="156" t="n">
        <f aca="false">IF($B7="","",SUMIFS('الحركات الشهرية'!$F$6:$F$1005,'الحركات الشهرية'!$B$6:$B$1005,$B7,'الحركات الشهرية'!$A$6:$A$1005,$C$3))</f>
        <v>0</v>
      </c>
      <c r="P7" s="116" t="n">
        <f aca="false">IF($B7="","",O7*(الموظفون!$P7+الموظفون!$L7*cfg_OT_P)/cfg_DAYS_M/cfg_HRS)</f>
        <v>0</v>
      </c>
      <c r="Q7" s="116" t="n">
        <f aca="false">IF($B7="","",SUMIFS('الحركات الشهرية'!$G$6:$G$1005,'الحركات الشهرية'!$B$6:$B$1005,$B7,'الحركات الشهرية'!$A$6:$A$1005,$C$3))</f>
        <v>0</v>
      </c>
      <c r="R7" s="116" t="n">
        <f aca="false">IF($B7="","",SUMIFS('الحركات الشهرية'!$H$6:$H$1005,'الحركات الشهرية'!$B$6:$B$1005,$B7,'الحركات الشهرية'!$A$6:$A$1005,$C$3))</f>
        <v>0</v>
      </c>
      <c r="S7" s="116" t="n">
        <f aca="false">IF($B7="","",SUMIFS('سجل الإجازات والحالات'!$N$6:$N$505,'سجل الإجازات والحالات'!$B$6:$B$505,$B7,'سجل الإجازات والحالات'!$O$6:$O$505,$C$3))</f>
        <v>0</v>
      </c>
      <c r="T7" s="157" t="n">
        <f aca="false">IF($B7="","",SUM(K7:N7)+SUM(P7:S7))</f>
        <v>25300</v>
      </c>
      <c r="U7" s="116" t="n">
        <f aca="false">IF($B7="","",الموظفون!$S7*IF(E7="سعودي",cfg_G_SE,cfg_G_NE)*G7/cfg_DAYS_M)</f>
        <v>2193.75</v>
      </c>
      <c r="V7" s="116" t="n">
        <f aca="false">IF($B7="","",SUMIFS('الحركات الشهرية'!$I$6:$I$1005,'الحركات الشهرية'!$B$6:$B$1005,$B7,'الحركات الشهرية'!$A$6:$A$1005,$C$3))</f>
        <v>0</v>
      </c>
      <c r="W7" s="116" t="n">
        <f aca="false">IF($B7="","",SUMIFS('الحركات الشهرية'!$J$6:$J$1005,'الحركات الشهرية'!$B$6:$B$1005,$B7,'الحركات الشهرية'!$A$6:$A$1005,$C$3))</f>
        <v>0</v>
      </c>
      <c r="X7" s="116" t="n">
        <f aca="false">IF($B7="","",SUM(U7:W7))</f>
        <v>2193.75</v>
      </c>
      <c r="Y7" s="158" t="n">
        <f aca="false">IF($B7="","",T7-X7)</f>
        <v>23106.25</v>
      </c>
      <c r="Z7" s="116" t="n">
        <f aca="false">IF($B7="","",الموظفون!$S7*IF(E7="سعودي",cfg_G_SR,cfg_G_NR)*G7/cfg_DAYS_M)</f>
        <v>2643.75</v>
      </c>
      <c r="AA7" s="116" t="n">
        <f aca="false">IF($B7="","",الموظفون!$Q7*(cfg_EOS_R1*(MIN(AH7,cfg_EOS_TH)-MIN(AI7,cfg_EOS_TH))+cfg_EOS_R2*(MAX(AH7-cfg_EOS_TH,0)-MAX(AI7-cfg_EOS_TH,0))))</f>
        <v>1864.10958904108</v>
      </c>
      <c r="AB7" s="116" t="n">
        <f aca="false">IF($B7="","",IF(الموظفون!$T7&lt;&gt;"",الموظفون!$T7,IF(AH7&gt;=cfg_LV_TH,cfg_LV_D2,cfg_LV_D1))/cfg_DAYS_Y*AJ7*الموظفون!$R7/cfg_DAYS_M)</f>
        <v>1864.1095890411</v>
      </c>
      <c r="AC7" s="116" t="n">
        <f aca="false">IF($B7="","",IF(AND(الموظفون!$U7="نعم",N(الموظفون!$W7)&gt;0),الموظفون!$V7/الموظفون!$W7*12/cfg_DAYS_Y*AJ7,0))</f>
        <v>0</v>
      </c>
      <c r="AD7" s="116" t="n">
        <f aca="false">IF($B7="","",(IF(الموظفون!$X7&lt;&gt;"",الموظفون!$X7,IF(الموظفون!$E7="غير سعودي",cfg_IQ,0))+IF(الموظفون!$Y7&lt;&gt;"",الموظفون!$Y7,IF(الموظفون!$E7="غير سعودي",cfg_WP,0)))/12*G7/cfg_DAYS_M)</f>
        <v>0</v>
      </c>
      <c r="AE7" s="116" t="n">
        <f aca="false">IF($B7="","",IF(الموظفون!$Z7&lt;&gt;"",الموظفون!$Z7,cfg_MED)/12*G7/cfg_DAYS_M)</f>
        <v>300</v>
      </c>
      <c r="AF7" s="116" t="n">
        <f aca="false">IF($B7="","",N(الموظفون!$AA7)/12*G7/cfg_DAYS_M)</f>
        <v>0</v>
      </c>
      <c r="AG7" s="159" t="n">
        <f aca="false">IF($B7="","",T7+SUM(Z7:AF7))</f>
        <v>31971.9691780822</v>
      </c>
      <c r="AH7" s="160" t="n">
        <f aca="false">IF($B7="","",MAX(0,IF(OR(الموظفون!$AE7="",الموظفون!$AE7&gt;$F$3),$F$3,الموظفون!$AE7)-الموظفون!$H7+1-SUMIFS('سجل الإجازات والحالات'!$AI$6:$AI$505,'سجل الإجازات والحالات'!$B$6:$B$505,$B7))/cfg_DAYS_Y)</f>
        <v>9.75342465753425</v>
      </c>
      <c r="AI7" s="160" t="n">
        <f aca="false">IF($B7="","",MAX(0,IF(OR(الموظفون!$AE7="",الموظفون!$AE7&gt;($E$3-1)),($E$3-1),الموظفون!$AE7)-الموظفون!$H7+1-SUMIFS('سجل الإجازات والحالات'!$AH$6:$AH$505,'سجل الإجازات والحالات'!$B$6:$B$505,$B7))/cfg_DAYS_Y)</f>
        <v>9.67671232876712</v>
      </c>
      <c r="AJ7" s="133" t="n">
        <f aca="false">IF($B7="","",MAX(0,AK7-(SUMIFS('سجل الإجازات والحالات'!$AI$6:$AI$505,'سجل الإجازات والحالات'!$B$6:$B$505,$B7)-SUMIFS('سجل الإجازات والحالات'!$AH$6:$AH$505,'سجل الإجازات والحالات'!$B$6:$B$505,$B7))))</f>
        <v>28</v>
      </c>
      <c r="AK7" s="133" t="n">
        <f aca="false">IF($B7="","",MAX(0,IF(OR(الموظفون!$AE7="",الموظفون!$AE7&gt;$F$3),$F$3,الموظفون!$AE7)-MAX($E$3,الموظفون!$H7)+1))</f>
        <v>28</v>
      </c>
      <c r="AL7" s="156" t="n">
        <f aca="false">IF($B7="","",SUMIFS('سجل الإجازات والحالات'!$AU$6:$AU$505,'سجل الإجازات والحالات'!$B$6:$B$505,$B7)+SUMIFS('الحركات الشهرية'!$K$6:$K$1005,'الحركات الشهرية'!$B$6:$B$1005,$B7,'الحركات الشهرية'!$A$6:$A$1005,$C$3))</f>
        <v>0</v>
      </c>
      <c r="AM7" s="116" t="n">
        <f aca="false">IF($B7="","",AL7*الموظفون!$R7/cfg_DAYS_M+S7)</f>
        <v>0</v>
      </c>
      <c r="AN7" s="156" t="n">
        <f aca="false">IF($B7="","",SUMIFS('سجل الإجازات والحالات'!$W$6:$W$505,'سجل الإجازات والحالات'!$B$6:$B$505,$B7))</f>
        <v>0</v>
      </c>
    </row>
    <row r="8" customFormat="false" ht="15" hidden="false" customHeight="false" outlineLevel="0" collapsed="false">
      <c r="A8" s="106" t="n">
        <f aca="false">IF($B8="","",الموظفون!$A8)</f>
        <v>3</v>
      </c>
      <c r="B8" s="114" t="str">
        <f aca="false">IF(الموظفون!$B8="","",الموظفون!$B8)</f>
        <v>E003</v>
      </c>
      <c r="C8" s="114" t="str">
        <f aca="false">IF($B8="","",الموظفون!$C8)</f>
        <v>محمد علي حسن</v>
      </c>
      <c r="D8" s="114" t="str">
        <f aca="false">IF($B8="","",الموظفون!$F8)</f>
        <v>المالية</v>
      </c>
      <c r="E8" s="114" t="str">
        <f aca="false">IF($B8="","",الموظفون!$E8)</f>
        <v>غير سعودي</v>
      </c>
      <c r="F8" s="114" t="str">
        <f aca="false">IF($B8="","",IF(AK8=0,IF(AND(الموظفون!$AE8&lt;&gt;"",الموظفون!$AE8&lt;$E$3),"✖ منتهي الخدمة","⏳ لم يباشر"),IF(S8&gt;0,"✈ راتب إجازة مقدم",IF(J8=0,"⛔ بدون راتب هذا الشهر",IF(I8&gt;0,"✈ خصم "&amp;ROUND(I8,2)&amp;" يوم بدون أجر",IF(AL8&gt;0,"🌴 إجازة سنوية "&amp;ROUND(AL8,2)&amp;" يوم",IF(H8&gt;0,"⚠ غياب "&amp;ROUND(H8,2)&amp;" يوم","✔ على رأس العمل")))))))</f>
        <v>✔ على رأس العمل</v>
      </c>
      <c r="G8" s="151" t="n">
        <f aca="false">IF($B8="","",IF(AK8&gt;=DAY($F$3),cfg_DAYS_M,MIN(AK8,cfg_DAYS_M)))</f>
        <v>30</v>
      </c>
      <c r="H8" s="151" t="n">
        <f aca="false">IF($B8="","",SUMIFS('الحركات الشهرية'!$D$6:$D$1005,'الحركات الشهرية'!$B$6:$B$1005,$B8,'الحركات الشهرية'!$A$6:$A$1005,$C$3))</f>
        <v>0</v>
      </c>
      <c r="I8" s="151" t="n">
        <f aca="false">IF($B8="","",MIN(G8,IF(AND(AK8&gt;0,AN8&gt;=AK8),G8,AN8)+SUMIFS('الحركات الشهرية'!$E$6:$E$1005,'الحركات الشهرية'!$B$6:$B$1005,$B8,'الحركات الشهرية'!$A$6:$A$1005,$C$3)))</f>
        <v>0</v>
      </c>
      <c r="J8" s="151" t="n">
        <f aca="false">IF($B8="","",MAX(0,G8-H8-I8))</f>
        <v>30</v>
      </c>
      <c r="K8" s="111" t="n">
        <f aca="false">IF($B8="","",الموظفون!$L8*$J8/cfg_DAYS_M)</f>
        <v>8500</v>
      </c>
      <c r="L8" s="111" t="n">
        <f aca="false">IF($B8="","",الموظفون!$M8*$J8/cfg_DAYS_M)</f>
        <v>2125</v>
      </c>
      <c r="M8" s="111" t="n">
        <f aca="false">IF($B8="","",الموظفون!$N8*$J8/cfg_DAYS_M)</f>
        <v>850</v>
      </c>
      <c r="N8" s="111" t="n">
        <f aca="false">IF($B8="","",الموظفون!$O8*$J8/cfg_DAYS_M)</f>
        <v>500</v>
      </c>
      <c r="O8" s="151" t="n">
        <f aca="false">IF($B8="","",SUMIFS('الحركات الشهرية'!$F$6:$F$1005,'الحركات الشهرية'!$B$6:$B$1005,$B8,'الحركات الشهرية'!$A$6:$A$1005,$C$3))</f>
        <v>8</v>
      </c>
      <c r="P8" s="111" t="n">
        <f aca="false">IF($B8="","",O8*(الموظفون!$P8+الموظفون!$L8*cfg_OT_P)/cfg_DAYS_M/cfg_HRS)</f>
        <v>540.833333333333</v>
      </c>
      <c r="Q8" s="111" t="n">
        <f aca="false">IF($B8="","",SUMIFS('الحركات الشهرية'!$G$6:$G$1005,'الحركات الشهرية'!$B$6:$B$1005,$B8,'الحركات الشهرية'!$A$6:$A$1005,$C$3))</f>
        <v>0</v>
      </c>
      <c r="R8" s="111" t="n">
        <f aca="false">IF($B8="","",SUMIFS('الحركات الشهرية'!$H$6:$H$1005,'الحركات الشهرية'!$B$6:$B$1005,$B8,'الحركات الشهرية'!$A$6:$A$1005,$C$3))</f>
        <v>0</v>
      </c>
      <c r="S8" s="111" t="n">
        <f aca="false">IF($B8="","",SUMIFS('سجل الإجازات والحالات'!$N$6:$N$505,'سجل الإجازات والحالات'!$B$6:$B$505,$B8,'سجل الإجازات والحالات'!$O$6:$O$505,$C$3))</f>
        <v>0</v>
      </c>
      <c r="T8" s="152" t="n">
        <f aca="false">IF($B8="","",SUM(K8:N8)+SUM(P8:S8))</f>
        <v>12515.8333333333</v>
      </c>
      <c r="U8" s="111" t="n">
        <f aca="false">IF($B8="","",الموظفون!$S8*IF(E8="سعودي",cfg_G_SE,cfg_G_NE)*G8/cfg_DAYS_M)</f>
        <v>0</v>
      </c>
      <c r="V8" s="111" t="n">
        <f aca="false">IF($B8="","",SUMIFS('الحركات الشهرية'!$I$6:$I$1005,'الحركات الشهرية'!$B$6:$B$1005,$B8,'الحركات الشهرية'!$A$6:$A$1005,$C$3))</f>
        <v>1000</v>
      </c>
      <c r="W8" s="111" t="n">
        <f aca="false">IF($B8="","",SUMIFS('الحركات الشهرية'!$J$6:$J$1005,'الحركات الشهرية'!$B$6:$B$1005,$B8,'الحركات الشهرية'!$A$6:$A$1005,$C$3))</f>
        <v>0</v>
      </c>
      <c r="X8" s="111" t="n">
        <f aca="false">IF($B8="","",SUM(U8:W8))</f>
        <v>1000</v>
      </c>
      <c r="Y8" s="153" t="n">
        <f aca="false">IF($B8="","",T8-X8)</f>
        <v>11515.8333333333</v>
      </c>
      <c r="Z8" s="111" t="n">
        <f aca="false">IF($B8="","",الموظفون!$S8*IF(E8="سعودي",cfg_G_SR,cfg_G_NR)*G8/cfg_DAYS_M)</f>
        <v>212.5</v>
      </c>
      <c r="AA8" s="111" t="n">
        <f aca="false">IF($B8="","",الموظفون!$Q8*(cfg_EOS_R1*(MIN(AH8,cfg_EOS_TH)-MIN(AI8,cfg_EOS_TH))+cfg_EOS_R2*(MAX(AH8-cfg_EOS_TH,0)-MAX(AI8-cfg_EOS_TH,0))))</f>
        <v>880.273972602731</v>
      </c>
      <c r="AB8" s="111" t="n">
        <f aca="false">IF($B8="","",IF(الموظفون!$T8&lt;&gt;"",الموظفون!$T8,IF(AH8&gt;=cfg_LV_TH,cfg_LV_D2,cfg_LV_D1))/cfg_DAYS_Y*AJ8*الموظفون!$R8/cfg_DAYS_M)</f>
        <v>880.27397260274</v>
      </c>
      <c r="AC8" s="111" t="n">
        <f aca="false">IF($B8="","",IF(AND(الموظفون!$U8="نعم",N(الموظفون!$W8)&gt;0),الموظفون!$V8/الموظفون!$W8*12/cfg_DAYS_Y*AJ8,0))</f>
        <v>122.739726027397</v>
      </c>
      <c r="AD8" s="111" t="n">
        <f aca="false">IF($B8="","",(IF(الموظفون!$X8&lt;&gt;"",الموظفون!$X8,IF(الموظفون!$E8="غير سعودي",cfg_IQ,0))+IF(الموظفون!$Y8&lt;&gt;"",الموظفون!$Y8,IF(الموظفون!$E8="غير سعودي",cfg_WP,0)))/12*G8/cfg_DAYS_M)</f>
        <v>854.166666666667</v>
      </c>
      <c r="AE8" s="111" t="n">
        <f aca="false">IF($B8="","",IF(الموظفون!$Z8&lt;&gt;"",الموظفون!$Z8,cfg_MED)/12*G8/cfg_DAYS_M)</f>
        <v>200</v>
      </c>
      <c r="AF8" s="111" t="n">
        <f aca="false">IF($B8="","",N(الموظفون!$AA8)/12*G8/cfg_DAYS_M)</f>
        <v>0</v>
      </c>
      <c r="AG8" s="154" t="n">
        <f aca="false">IF($B8="","",T8+SUM(Z8:AF8))</f>
        <v>15665.7876712329</v>
      </c>
      <c r="AH8" s="155" t="n">
        <f aca="false">IF($B8="","",MAX(0,IF(OR(الموظفون!$AE8="",الموظفون!$AE8&gt;$F$3),$F$3,الموظفون!$AE8)-الموظفون!$H8+1-SUMIFS('سجل الإجازات والحالات'!$AI$6:$AI$505,'سجل الإجازات والحالات'!$B$6:$B$505,$B8))/cfg_DAYS_Y)</f>
        <v>7.47671232876712</v>
      </c>
      <c r="AI8" s="155" t="n">
        <f aca="false">IF($B8="","",MAX(0,IF(OR(الموظفون!$AE8="",الموظفون!$AE8&gt;($E$3-1)),($E$3-1),الموظفون!$AE8)-الموظفون!$H8+1-SUMIFS('سجل الإجازات والحالات'!$AH$6:$AH$505,'سجل الإجازات والحالات'!$B$6:$B$505,$B8))/cfg_DAYS_Y)</f>
        <v>7.4</v>
      </c>
      <c r="AJ8" s="65" t="n">
        <f aca="false">IF($B8="","",MAX(0,AK8-(SUMIFS('سجل الإجازات والحالات'!$AI$6:$AI$505,'سجل الإجازات والحالات'!$B$6:$B$505,$B8)-SUMIFS('سجل الإجازات والحالات'!$AH$6:$AH$505,'سجل الإجازات والحالات'!$B$6:$B$505,$B8))))</f>
        <v>28</v>
      </c>
      <c r="AK8" s="65" t="n">
        <f aca="false">IF($B8="","",MAX(0,IF(OR(الموظفون!$AE8="",الموظفون!$AE8&gt;$F$3),$F$3,الموظفون!$AE8)-MAX($E$3,الموظفون!$H8)+1))</f>
        <v>28</v>
      </c>
      <c r="AL8" s="151" t="n">
        <f aca="false">IF($B8="","",SUMIFS('سجل الإجازات والحالات'!$AU$6:$AU$505,'سجل الإجازات والحالات'!$B$6:$B$505,$B8)+SUMIFS('الحركات الشهرية'!$K$6:$K$1005,'الحركات الشهرية'!$B$6:$B$1005,$B8,'الحركات الشهرية'!$A$6:$A$1005,$C$3))</f>
        <v>0</v>
      </c>
      <c r="AM8" s="111" t="n">
        <f aca="false">IF($B8="","",AL8*الموظفون!$R8/cfg_DAYS_M+S8)</f>
        <v>0</v>
      </c>
      <c r="AN8" s="151" t="n">
        <f aca="false">IF($B8="","",SUMIFS('سجل الإجازات والحالات'!$W$6:$W$505,'سجل الإجازات والحالات'!$B$6:$B$505,$B8))</f>
        <v>0</v>
      </c>
    </row>
    <row r="9" customFormat="false" ht="15" hidden="false" customHeight="false" outlineLevel="0" collapsed="false">
      <c r="A9" s="115" t="n">
        <f aca="false">IF($B9="","",الموظفون!$A9)</f>
        <v>4</v>
      </c>
      <c r="B9" s="117" t="str">
        <f aca="false">IF(الموظفون!$B9="","",الموظفون!$B9)</f>
        <v>E004</v>
      </c>
      <c r="C9" s="117" t="str">
        <f aca="false">IF($B9="","",الموظفون!$C9)</f>
        <v>نورة خالد الدوسري</v>
      </c>
      <c r="D9" s="117" t="str">
        <f aca="false">IF($B9="","",الموظفون!$F9)</f>
        <v>الموارد البشرية</v>
      </c>
      <c r="E9" s="117" t="str">
        <f aca="false">IF($B9="","",الموظفون!$E9)</f>
        <v>سعودي</v>
      </c>
      <c r="F9" s="117" t="str">
        <f aca="false">IF($B9="","",IF(AK9=0,IF(AND(الموظفون!$AE9&lt;&gt;"",الموظفون!$AE9&lt;$E$3),"✖ منتهي الخدمة","⏳ لم يباشر"),IF(S9&gt;0,"✈ راتب إجازة مقدم",IF(J9=0,"⛔ بدون راتب هذا الشهر",IF(I9&gt;0,"✈ خصم "&amp;ROUND(I9,2)&amp;" يوم بدون أجر",IF(AL9&gt;0,"🌴 إجازة سنوية "&amp;ROUND(AL9,2)&amp;" يوم",IF(H9&gt;0,"⚠ غياب "&amp;ROUND(H9,2)&amp;" يوم","✔ على رأس العمل")))))))</f>
        <v>✔ على رأس العمل</v>
      </c>
      <c r="G9" s="156" t="n">
        <f aca="false">IF($B9="","",IF(AK9&gt;=DAY($F$3),cfg_DAYS_M,MIN(AK9,cfg_DAYS_M)))</f>
        <v>30</v>
      </c>
      <c r="H9" s="156" t="n">
        <f aca="false">IF($B9="","",SUMIFS('الحركات الشهرية'!$D$6:$D$1005,'الحركات الشهرية'!$B$6:$B$1005,$B9,'الحركات الشهرية'!$A$6:$A$1005,$C$3))</f>
        <v>0</v>
      </c>
      <c r="I9" s="156" t="n">
        <f aca="false">IF($B9="","",MIN(G9,IF(AND(AK9&gt;0,AN9&gt;=AK9),G9,AN9)+SUMIFS('الحركات الشهرية'!$E$6:$E$1005,'الحركات الشهرية'!$B$6:$B$1005,$B9,'الحركات الشهرية'!$A$6:$A$1005,$C$3)))</f>
        <v>0</v>
      </c>
      <c r="J9" s="156" t="n">
        <f aca="false">IF($B9="","",MAX(0,G9-H9-I9))</f>
        <v>30</v>
      </c>
      <c r="K9" s="116" t="n">
        <f aca="false">IF($B9="","",الموظفون!$L9*$J9/cfg_DAYS_M)</f>
        <v>14000</v>
      </c>
      <c r="L9" s="116" t="n">
        <f aca="false">IF($B9="","",الموظفون!$M9*$J9/cfg_DAYS_M)</f>
        <v>3500</v>
      </c>
      <c r="M9" s="116" t="n">
        <f aca="false">IF($B9="","",الموظفون!$N9*$J9/cfg_DAYS_M)</f>
        <v>1400</v>
      </c>
      <c r="N9" s="116" t="n">
        <f aca="false">IF($B9="","",الموظفون!$O9*$J9/cfg_DAYS_M)</f>
        <v>0</v>
      </c>
      <c r="O9" s="156" t="n">
        <f aca="false">IF($B9="","",SUMIFS('الحركات الشهرية'!$F$6:$F$1005,'الحركات الشهرية'!$B$6:$B$1005,$B9,'الحركات الشهرية'!$A$6:$A$1005,$C$3))</f>
        <v>0</v>
      </c>
      <c r="P9" s="116" t="n">
        <f aca="false">IF($B9="","",O9*(الموظفون!$P9+الموظفون!$L9*cfg_OT_P)/cfg_DAYS_M/cfg_HRS)</f>
        <v>0</v>
      </c>
      <c r="Q9" s="116" t="n">
        <f aca="false">IF($B9="","",SUMIFS('الحركات الشهرية'!$G$6:$G$1005,'الحركات الشهرية'!$B$6:$B$1005,$B9,'الحركات الشهرية'!$A$6:$A$1005,$C$3))</f>
        <v>0</v>
      </c>
      <c r="R9" s="116" t="n">
        <f aca="false">IF($B9="","",SUMIFS('الحركات الشهرية'!$H$6:$H$1005,'الحركات الشهرية'!$B$6:$B$1005,$B9,'الحركات الشهرية'!$A$6:$A$1005,$C$3))</f>
        <v>0</v>
      </c>
      <c r="S9" s="116" t="n">
        <f aca="false">IF($B9="","",SUMIFS('سجل الإجازات والحالات'!$N$6:$N$505,'سجل الإجازات والحالات'!$B$6:$B$505,$B9,'سجل الإجازات والحالات'!$O$6:$O$505,$C$3))</f>
        <v>0</v>
      </c>
      <c r="T9" s="157" t="n">
        <f aca="false">IF($B9="","",SUM(K9:N9)+SUM(P9:S9))</f>
        <v>18900</v>
      </c>
      <c r="U9" s="116" t="n">
        <f aca="false">IF($B9="","",الموظفون!$S9*IF(E9="سعودي",cfg_G_SE,cfg_G_NE)*G9/cfg_DAYS_M)</f>
        <v>1706.25</v>
      </c>
      <c r="V9" s="116" t="n">
        <f aca="false">IF($B9="","",SUMIFS('الحركات الشهرية'!$I$6:$I$1005,'الحركات الشهرية'!$B$6:$B$1005,$B9,'الحركات الشهرية'!$A$6:$A$1005,$C$3))</f>
        <v>0</v>
      </c>
      <c r="W9" s="116" t="n">
        <f aca="false">IF($B9="","",SUMIFS('الحركات الشهرية'!$J$6:$J$1005,'الحركات الشهرية'!$B$6:$B$1005,$B9,'الحركات الشهرية'!$A$6:$A$1005,$C$3))</f>
        <v>0</v>
      </c>
      <c r="X9" s="116" t="n">
        <f aca="false">IF($B9="","",SUM(U9:W9))</f>
        <v>1706.25</v>
      </c>
      <c r="Y9" s="158" t="n">
        <f aca="false">IF($B9="","",T9-X9)</f>
        <v>17193.75</v>
      </c>
      <c r="Z9" s="116" t="n">
        <f aca="false">IF($B9="","",الموظفون!$S9*IF(E9="سعودي",cfg_G_SR,cfg_G_NR)*G9/cfg_DAYS_M)</f>
        <v>2056.25</v>
      </c>
      <c r="AA9" s="116" t="n">
        <f aca="false">IF($B9="","",الموظفون!$Q9*(cfg_EOS_R1*(MIN(AH9,cfg_EOS_TH)-MIN(AI9,cfg_EOS_TH))+cfg_EOS_R2*(MAX(AH9-cfg_EOS_TH,0)-MAX(AI9-cfg_EOS_TH,0))))</f>
        <v>1449.86301369863</v>
      </c>
      <c r="AB9" s="116" t="n">
        <f aca="false">IF($B9="","",IF(الموظفون!$T9&lt;&gt;"",الموظفون!$T9,IF(AH9&gt;=cfg_LV_TH,cfg_LV_D2,cfg_LV_D1))/cfg_DAYS_Y*AJ9*الموظفون!$R9/cfg_DAYS_M)</f>
        <v>1449.86301369863</v>
      </c>
      <c r="AC9" s="116" t="n">
        <f aca="false">IF($B9="","",IF(AND(الموظفون!$U9="نعم",N(الموظفون!$W9)&gt;0),الموظفون!$V9/الموظفون!$W9*12/cfg_DAYS_Y*AJ9,0))</f>
        <v>0</v>
      </c>
      <c r="AD9" s="116" t="n">
        <f aca="false">IF($B9="","",(IF(الموظفون!$X9&lt;&gt;"",الموظفون!$X9,IF(الموظفون!$E9="غير سعودي",cfg_IQ,0))+IF(الموظفون!$Y9&lt;&gt;"",الموظفون!$Y9,IF(الموظفون!$E9="غير سعودي",cfg_WP,0)))/12*G9/cfg_DAYS_M)</f>
        <v>0</v>
      </c>
      <c r="AE9" s="116" t="n">
        <f aca="false">IF($B9="","",IF(الموظفون!$Z9&lt;&gt;"",الموظفون!$Z9,cfg_MED)/12*G9/cfg_DAYS_M)</f>
        <v>300</v>
      </c>
      <c r="AF9" s="116" t="n">
        <f aca="false">IF($B9="","",N(الموظفون!$AA9)/12*G9/cfg_DAYS_M)</f>
        <v>0</v>
      </c>
      <c r="AG9" s="159" t="n">
        <f aca="false">IF($B9="","",T9+SUM(Z9:AF9))</f>
        <v>24155.9760273973</v>
      </c>
      <c r="AH9" s="160" t="n">
        <f aca="false">IF($B9="","",MAX(0,IF(OR(الموظفون!$AE9="",الموظفون!$AE9&gt;$F$3),$F$3,الموظفون!$AE9)-الموظفون!$H9+1-SUMIFS('سجل الإجازات والحالات'!$AI$6:$AI$505,'سجل الإجازات والحالات'!$B$6:$B$505,$B9))/cfg_DAYS_Y)</f>
        <v>7.08219178082192</v>
      </c>
      <c r="AI9" s="160" t="n">
        <f aca="false">IF($B9="","",MAX(0,IF(OR(الموظفون!$AE9="",الموظفون!$AE9&gt;($E$3-1)),($E$3-1),الموظفون!$AE9)-الموظفون!$H9+1-SUMIFS('سجل الإجازات والحالات'!$AH$6:$AH$505,'سجل الإجازات والحالات'!$B$6:$B$505,$B9))/cfg_DAYS_Y)</f>
        <v>7.0054794520548</v>
      </c>
      <c r="AJ9" s="133" t="n">
        <f aca="false">IF($B9="","",MAX(0,AK9-(SUMIFS('سجل الإجازات والحالات'!$AI$6:$AI$505,'سجل الإجازات والحالات'!$B$6:$B$505,$B9)-SUMIFS('سجل الإجازات والحالات'!$AH$6:$AH$505,'سجل الإجازات والحالات'!$B$6:$B$505,$B9))))</f>
        <v>28</v>
      </c>
      <c r="AK9" s="133" t="n">
        <f aca="false">IF($B9="","",MAX(0,IF(OR(الموظفون!$AE9="",الموظفون!$AE9&gt;$F$3),$F$3,الموظفون!$AE9)-MAX($E$3,الموظفون!$H9)+1))</f>
        <v>28</v>
      </c>
      <c r="AL9" s="156" t="n">
        <f aca="false">IF($B9="","",SUMIFS('سجل الإجازات والحالات'!$AU$6:$AU$505,'سجل الإجازات والحالات'!$B$6:$B$505,$B9)+SUMIFS('الحركات الشهرية'!$K$6:$K$1005,'الحركات الشهرية'!$B$6:$B$1005,$B9,'الحركات الشهرية'!$A$6:$A$1005,$C$3))</f>
        <v>0</v>
      </c>
      <c r="AM9" s="116" t="n">
        <f aca="false">IF($B9="","",AL9*الموظفون!$R9/cfg_DAYS_M+S9)</f>
        <v>0</v>
      </c>
      <c r="AN9" s="156" t="n">
        <f aca="false">IF($B9="","",SUMIFS('سجل الإجازات والحالات'!$W$6:$W$505,'سجل الإجازات والحالات'!$B$6:$B$505,$B9))</f>
        <v>0</v>
      </c>
    </row>
    <row r="10" customFormat="false" ht="15" hidden="false" customHeight="false" outlineLevel="0" collapsed="false">
      <c r="A10" s="106" t="n">
        <f aca="false">IF($B10="","",الموظفون!$A10)</f>
        <v>5</v>
      </c>
      <c r="B10" s="114" t="str">
        <f aca="false">IF(الموظفون!$B10="","",الموظفون!$B10)</f>
        <v>E005</v>
      </c>
      <c r="C10" s="114" t="str">
        <f aca="false">IF($B10="","",الموظفون!$C10)</f>
        <v>راجيش كومار</v>
      </c>
      <c r="D10" s="114" t="str">
        <f aca="false">IF($B10="","",الموظفون!$F10)</f>
        <v>تقنية المعلومات</v>
      </c>
      <c r="E10" s="114" t="str">
        <f aca="false">IF($B10="","",الموظفون!$E10)</f>
        <v>غير سعودي</v>
      </c>
      <c r="F10" s="114" t="str">
        <f aca="false">IF($B10="","",IF(AK10=0,IF(AND(الموظفون!$AE10&lt;&gt;"",الموظفون!$AE10&lt;$E$3),"✖ منتهي الخدمة","⏳ لم يباشر"),IF(S10&gt;0,"✈ راتب إجازة مقدم",IF(J10=0,"⛔ بدون راتب هذا الشهر",IF(I10&gt;0,"✈ خصم "&amp;ROUND(I10,2)&amp;" يوم بدون أجر",IF(AL10&gt;0,"🌴 إجازة سنوية "&amp;ROUND(AL10,2)&amp;" يوم",IF(H10&gt;0,"⚠ غياب "&amp;ROUND(H10,2)&amp;" يوم","✔ على رأس العمل")))))))</f>
        <v>✔ على رأس العمل</v>
      </c>
      <c r="G10" s="151" t="n">
        <f aca="false">IF($B10="","",IF(AK10&gt;=DAY($F$3),cfg_DAYS_M,MIN(AK10,cfg_DAYS_M)))</f>
        <v>30</v>
      </c>
      <c r="H10" s="151" t="n">
        <f aca="false">IF($B10="","",SUMIFS('الحركات الشهرية'!$D$6:$D$1005,'الحركات الشهرية'!$B$6:$B$1005,$B10,'الحركات الشهرية'!$A$6:$A$1005,$C$3))</f>
        <v>0</v>
      </c>
      <c r="I10" s="151" t="n">
        <f aca="false">IF($B10="","",MIN(G10,IF(AND(AK10&gt;0,AN10&gt;=AK10),G10,AN10)+SUMIFS('الحركات الشهرية'!$E$6:$E$1005,'الحركات الشهرية'!$B$6:$B$1005,$B10,'الحركات الشهرية'!$A$6:$A$1005,$C$3)))</f>
        <v>0</v>
      </c>
      <c r="J10" s="151" t="n">
        <f aca="false">IF($B10="","",MAX(0,G10-H10-I10))</f>
        <v>30</v>
      </c>
      <c r="K10" s="111" t="n">
        <f aca="false">IF($B10="","",الموظفون!$L10*$J10/cfg_DAYS_M)</f>
        <v>9000</v>
      </c>
      <c r="L10" s="111" t="n">
        <f aca="false">IF($B10="","",الموظفون!$M10*$J10/cfg_DAYS_M)</f>
        <v>2250</v>
      </c>
      <c r="M10" s="111" t="n">
        <f aca="false">IF($B10="","",الموظفون!$N10*$J10/cfg_DAYS_M)</f>
        <v>900</v>
      </c>
      <c r="N10" s="111" t="n">
        <f aca="false">IF($B10="","",الموظفون!$O10*$J10/cfg_DAYS_M)</f>
        <v>700</v>
      </c>
      <c r="O10" s="151" t="n">
        <f aca="false">IF($B10="","",SUMIFS('الحركات الشهرية'!$F$6:$F$1005,'الحركات الشهرية'!$B$6:$B$1005,$B10,'الحركات الشهرية'!$A$6:$A$1005,$C$3))</f>
        <v>0</v>
      </c>
      <c r="P10" s="111" t="n">
        <f aca="false">IF($B10="","",O10*(الموظفون!$P10+الموظفون!$L10*cfg_OT_P)/cfg_DAYS_M/cfg_HRS)</f>
        <v>0</v>
      </c>
      <c r="Q10" s="111" t="n">
        <f aca="false">IF($B10="","",SUMIFS('الحركات الشهرية'!$G$6:$G$1005,'الحركات الشهرية'!$B$6:$B$1005,$B10,'الحركات الشهرية'!$A$6:$A$1005,$C$3))</f>
        <v>0</v>
      </c>
      <c r="R10" s="111" t="n">
        <f aca="false">IF($B10="","",SUMIFS('الحركات الشهرية'!$H$6:$H$1005,'الحركات الشهرية'!$B$6:$B$1005,$B10,'الحركات الشهرية'!$A$6:$A$1005,$C$3))</f>
        <v>0</v>
      </c>
      <c r="S10" s="111" t="n">
        <f aca="false">IF($B10="","",SUMIFS('سجل الإجازات والحالات'!$N$6:$N$505,'سجل الإجازات والحالات'!$B$6:$B$505,$B10,'سجل الإجازات والحالات'!$O$6:$O$505,$C$3))</f>
        <v>0</v>
      </c>
      <c r="T10" s="152" t="n">
        <f aca="false">IF($B10="","",SUM(K10:N10)+SUM(P10:S10))</f>
        <v>12850</v>
      </c>
      <c r="U10" s="111" t="n">
        <f aca="false">IF($B10="","",الموظفون!$S10*IF(E10="سعودي",cfg_G_SE,cfg_G_NE)*G10/cfg_DAYS_M)</f>
        <v>0</v>
      </c>
      <c r="V10" s="111" t="n">
        <f aca="false">IF($B10="","",SUMIFS('الحركات الشهرية'!$I$6:$I$1005,'الحركات الشهرية'!$B$6:$B$1005,$B10,'الحركات الشهرية'!$A$6:$A$1005,$C$3))</f>
        <v>0</v>
      </c>
      <c r="W10" s="111" t="n">
        <f aca="false">IF($B10="","",SUMIFS('الحركات الشهرية'!$J$6:$J$1005,'الحركات الشهرية'!$B$6:$B$1005,$B10,'الحركات الشهرية'!$A$6:$A$1005,$C$3))</f>
        <v>0</v>
      </c>
      <c r="X10" s="111" t="n">
        <f aca="false">IF($B10="","",SUM(U10:W10))</f>
        <v>0</v>
      </c>
      <c r="Y10" s="153" t="n">
        <f aca="false">IF($B10="","",T10-X10)</f>
        <v>12850</v>
      </c>
      <c r="Z10" s="111" t="n">
        <f aca="false">IF($B10="","",الموظفون!$S10*IF(E10="سعودي",cfg_G_SR,cfg_G_NR)*G10/cfg_DAYS_M)</f>
        <v>225</v>
      </c>
      <c r="AA10" s="111" t="n">
        <f aca="false">IF($B10="","",الموظفون!$Q10*(cfg_EOS_R1*(MIN(AH10,cfg_EOS_TH)-MIN(AI10,cfg_EOS_TH))+cfg_EOS_R2*(MAX(AH10-cfg_EOS_TH,0)-MAX(AI10-cfg_EOS_TH,0))))</f>
        <v>932.05479452055</v>
      </c>
      <c r="AB10" s="111" t="n">
        <f aca="false">IF($B10="","",IF(الموظفون!$T10&lt;&gt;"",الموظفون!$T10,IF(AH10&gt;=cfg_LV_TH,cfg_LV_D2,cfg_LV_D1))/cfg_DAYS_Y*AJ10*الموظفون!$R10/cfg_DAYS_M)</f>
        <v>932.054794520548</v>
      </c>
      <c r="AC10" s="111" t="n">
        <f aca="false">IF($B10="","",IF(AND(الموظفون!$U10="نعم",N(الموظفون!$W10)&gt;0),الموظفون!$V10/الموظفون!$W10*12/cfg_DAYS_Y*AJ10,0))</f>
        <v>214.794520547945</v>
      </c>
      <c r="AD10" s="111" t="n">
        <f aca="false">IF($B10="","",(IF(الموظفون!$X10&lt;&gt;"",الموظفون!$X10,IF(الموظفون!$E10="غير سعودي",cfg_IQ,0))+IF(الموظفون!$Y10&lt;&gt;"",الموظفون!$Y10,IF(الموظفون!$E10="غير سعودي",cfg_WP,0)))/12*G10/cfg_DAYS_M)</f>
        <v>854.166666666667</v>
      </c>
      <c r="AE10" s="111" t="n">
        <f aca="false">IF($B10="","",IF(الموظفون!$Z10&lt;&gt;"",الموظفون!$Z10,cfg_MED)/12*G10/cfg_DAYS_M)</f>
        <v>200</v>
      </c>
      <c r="AF10" s="111" t="n">
        <f aca="false">IF($B10="","",N(الموظفون!$AA10)/12*G10/cfg_DAYS_M)</f>
        <v>0</v>
      </c>
      <c r="AG10" s="154" t="n">
        <f aca="false">IF($B10="","",T10+SUM(Z10:AF10))</f>
        <v>16208.0707762557</v>
      </c>
      <c r="AH10" s="155" t="n">
        <f aca="false">IF($B10="","",MAX(0,IF(OR(الموظفون!$AE10="",الموظفون!$AE10&gt;$F$3),$F$3,الموظفون!$AE10)-الموظفون!$H10+1-SUMIFS('سجل الإجازات والحالات'!$AI$6:$AI$505,'سجل الإجازات والحالات'!$B$6:$B$505,$B10))/cfg_DAYS_Y)</f>
        <v>5.88767123287671</v>
      </c>
      <c r="AI10" s="155" t="n">
        <f aca="false">IF($B10="","",MAX(0,IF(OR(الموظفون!$AE10="",الموظفون!$AE10&gt;($E$3-1)),($E$3-1),الموظفون!$AE10)-الموظفون!$H10+1-SUMIFS('سجل الإجازات والحالات'!$AH$6:$AH$505,'سجل الإجازات والحالات'!$B$6:$B$505,$B10))/cfg_DAYS_Y)</f>
        <v>5.81095890410959</v>
      </c>
      <c r="AJ10" s="65" t="n">
        <f aca="false">IF($B10="","",MAX(0,AK10-(SUMIFS('سجل الإجازات والحالات'!$AI$6:$AI$505,'سجل الإجازات والحالات'!$B$6:$B$505,$B10)-SUMIFS('سجل الإجازات والحالات'!$AH$6:$AH$505,'سجل الإجازات والحالات'!$B$6:$B$505,$B10))))</f>
        <v>28</v>
      </c>
      <c r="AK10" s="65" t="n">
        <f aca="false">IF($B10="","",MAX(0,IF(OR(الموظفون!$AE10="",الموظفون!$AE10&gt;$F$3),$F$3,الموظفون!$AE10)-MAX($E$3,الموظفون!$H10)+1))</f>
        <v>28</v>
      </c>
      <c r="AL10" s="151" t="n">
        <f aca="false">IF($B10="","",SUMIFS('سجل الإجازات والحالات'!$AU$6:$AU$505,'سجل الإجازات والحالات'!$B$6:$B$505,$B10)+SUMIFS('الحركات الشهرية'!$K$6:$K$1005,'الحركات الشهرية'!$B$6:$B$1005,$B10,'الحركات الشهرية'!$A$6:$A$1005,$C$3))</f>
        <v>0</v>
      </c>
      <c r="AM10" s="111" t="n">
        <f aca="false">IF($B10="","",AL10*الموظفون!$R10/cfg_DAYS_M+S10)</f>
        <v>0</v>
      </c>
      <c r="AN10" s="151" t="n">
        <f aca="false">IF($B10="","",SUMIFS('سجل الإجازات والحالات'!$W$6:$W$505,'سجل الإجازات والحالات'!$B$6:$B$505,$B10))</f>
        <v>0</v>
      </c>
    </row>
    <row r="11" customFormat="false" ht="15" hidden="false" customHeight="false" outlineLevel="0" collapsed="false">
      <c r="A11" s="115" t="n">
        <f aca="false">IF($B11="","",الموظفون!$A11)</f>
        <v>6</v>
      </c>
      <c r="B11" s="117" t="str">
        <f aca="false">IF(الموظفون!$B11="","",الموظفون!$B11)</f>
        <v>E006</v>
      </c>
      <c r="C11" s="117" t="str">
        <f aca="false">IF($B11="","",الموظفون!$C11)</f>
        <v>فهد ناصر الشمري</v>
      </c>
      <c r="D11" s="117" t="str">
        <f aca="false">IF($B11="","",الموظفون!$F11)</f>
        <v>المبيعات</v>
      </c>
      <c r="E11" s="117" t="str">
        <f aca="false">IF($B11="","",الموظفون!$E11)</f>
        <v>سعودي</v>
      </c>
      <c r="F11" s="117" t="str">
        <f aca="false">IF($B11="","",IF(AK11=0,IF(AND(الموظفون!$AE11&lt;&gt;"",الموظفون!$AE11&lt;$E$3),"✖ منتهي الخدمة","⏳ لم يباشر"),IF(S11&gt;0,"✈ راتب إجازة مقدم",IF(J11=0,"⛔ بدون راتب هذا الشهر",IF(I11&gt;0,"✈ خصم "&amp;ROUND(I11,2)&amp;" يوم بدون أجر",IF(AL11&gt;0,"🌴 إجازة سنوية "&amp;ROUND(AL11,2)&amp;" يوم",IF(H11&gt;0,"⚠ غياب "&amp;ROUND(H11,2)&amp;" يوم","✔ على رأس العمل")))))))</f>
        <v>✔ على رأس العمل</v>
      </c>
      <c r="G11" s="156" t="n">
        <f aca="false">IF($B11="","",IF(AK11&gt;=DAY($F$3),cfg_DAYS_M,MIN(AK11,cfg_DAYS_M)))</f>
        <v>30</v>
      </c>
      <c r="H11" s="156" t="n">
        <f aca="false">IF($B11="","",SUMIFS('الحركات الشهرية'!$D$6:$D$1005,'الحركات الشهرية'!$B$6:$B$1005,$B11,'الحركات الشهرية'!$A$6:$A$1005,$C$3))</f>
        <v>0</v>
      </c>
      <c r="I11" s="156" t="n">
        <f aca="false">IF($B11="","",MIN(G11,IF(AND(AK11&gt;0,AN11&gt;=AK11),G11,AN11)+SUMIFS('الحركات الشهرية'!$E$6:$E$1005,'الحركات الشهرية'!$B$6:$B$1005,$B11,'الحركات الشهرية'!$A$6:$A$1005,$C$3)))</f>
        <v>0</v>
      </c>
      <c r="J11" s="156" t="n">
        <f aca="false">IF($B11="","",MAX(0,G11-H11-I11))</f>
        <v>30</v>
      </c>
      <c r="K11" s="116" t="n">
        <f aca="false">IF($B11="","",الموظفون!$L11*$J11/cfg_DAYS_M)</f>
        <v>13000</v>
      </c>
      <c r="L11" s="116" t="n">
        <f aca="false">IF($B11="","",الموظفون!$M11*$J11/cfg_DAYS_M)</f>
        <v>3250</v>
      </c>
      <c r="M11" s="116" t="n">
        <f aca="false">IF($B11="","",الموظفون!$N11*$J11/cfg_DAYS_M)</f>
        <v>1300</v>
      </c>
      <c r="N11" s="116" t="n">
        <f aca="false">IF($B11="","",الموظفون!$O11*$J11/cfg_DAYS_M)</f>
        <v>2500</v>
      </c>
      <c r="O11" s="156" t="n">
        <f aca="false">IF($B11="","",SUMIFS('الحركات الشهرية'!$F$6:$F$1005,'الحركات الشهرية'!$B$6:$B$1005,$B11,'الحركات الشهرية'!$A$6:$A$1005,$C$3))</f>
        <v>0</v>
      </c>
      <c r="P11" s="116" t="n">
        <f aca="false">IF($B11="","",O11*(الموظفون!$P11+الموظفون!$L11*cfg_OT_P)/cfg_DAYS_M/cfg_HRS)</f>
        <v>0</v>
      </c>
      <c r="Q11" s="116" t="n">
        <f aca="false">IF($B11="","",SUMIFS('الحركات الشهرية'!$G$6:$G$1005,'الحركات الشهرية'!$B$6:$B$1005,$B11,'الحركات الشهرية'!$A$6:$A$1005,$C$3))</f>
        <v>5000</v>
      </c>
      <c r="R11" s="116" t="n">
        <f aca="false">IF($B11="","",SUMIFS('الحركات الشهرية'!$H$6:$H$1005,'الحركات الشهرية'!$B$6:$B$1005,$B11,'الحركات الشهرية'!$A$6:$A$1005,$C$3))</f>
        <v>0</v>
      </c>
      <c r="S11" s="116" t="n">
        <f aca="false">IF($B11="","",SUMIFS('سجل الإجازات والحالات'!$N$6:$N$505,'سجل الإجازات والحالات'!$B$6:$B$505,$B11,'سجل الإجازات والحالات'!$O$6:$O$505,$C$3))</f>
        <v>0</v>
      </c>
      <c r="T11" s="157" t="n">
        <f aca="false">IF($B11="","",SUM(K11:N11)+SUM(P11:S11))</f>
        <v>25050</v>
      </c>
      <c r="U11" s="116" t="n">
        <f aca="false">IF($B11="","",الموظفون!$S11*IF(E11="سعودي",cfg_G_SE,cfg_G_NE)*G11/cfg_DAYS_M)</f>
        <v>1584.375</v>
      </c>
      <c r="V11" s="116" t="n">
        <f aca="false">IF($B11="","",SUMIFS('الحركات الشهرية'!$I$6:$I$1005,'الحركات الشهرية'!$B$6:$B$1005,$B11,'الحركات الشهرية'!$A$6:$A$1005,$C$3))</f>
        <v>0</v>
      </c>
      <c r="W11" s="116" t="n">
        <f aca="false">IF($B11="","",SUMIFS('الحركات الشهرية'!$J$6:$J$1005,'الحركات الشهرية'!$B$6:$B$1005,$B11,'الحركات الشهرية'!$A$6:$A$1005,$C$3))</f>
        <v>0</v>
      </c>
      <c r="X11" s="116" t="n">
        <f aca="false">IF($B11="","",SUM(U11:W11))</f>
        <v>1584.375</v>
      </c>
      <c r="Y11" s="158" t="n">
        <f aca="false">IF($B11="","",T11-X11)</f>
        <v>23465.625</v>
      </c>
      <c r="Z11" s="116" t="n">
        <f aca="false">IF($B11="","",الموظفون!$S11*IF(E11="سعودي",cfg_G_SR,cfg_G_NR)*G11/cfg_DAYS_M)</f>
        <v>1909.375</v>
      </c>
      <c r="AA11" s="116" t="n">
        <f aca="false">IF($B11="","",الموظفون!$Q11*(cfg_EOS_R1*(MIN(AH11,cfg_EOS_TH)-MIN(AI11,cfg_EOS_TH))+cfg_EOS_R2*(MAX(AH11-cfg_EOS_TH,0)-MAX(AI11-cfg_EOS_TH,0))))</f>
        <v>1346.301369863</v>
      </c>
      <c r="AB11" s="116" t="n">
        <f aca="false">IF($B11="","",IF(الموظفون!$T11&lt;&gt;"",الموظفون!$T11,IF(AH11&gt;=cfg_LV_TH,cfg_LV_D2,cfg_LV_D1))/cfg_DAYS_Y*AJ11*الموظفون!$R11/cfg_DAYS_M)</f>
        <v>1346.30136986301</v>
      </c>
      <c r="AC11" s="116" t="n">
        <f aca="false">IF($B11="","",IF(AND(الموظفون!$U11="نعم",N(الموظفون!$W11)&gt;0),الموظفون!$V11/الموظفون!$W11*12/cfg_DAYS_Y*AJ11,0))</f>
        <v>0</v>
      </c>
      <c r="AD11" s="116" t="n">
        <f aca="false">IF($B11="","",(IF(الموظفون!$X11&lt;&gt;"",الموظفون!$X11,IF(الموظفون!$E11="غير سعودي",cfg_IQ,0))+IF(الموظفون!$Y11&lt;&gt;"",الموظفون!$Y11,IF(الموظفون!$E11="غير سعودي",cfg_WP,0)))/12*G11/cfg_DAYS_M)</f>
        <v>0</v>
      </c>
      <c r="AE11" s="116" t="n">
        <f aca="false">IF($B11="","",IF(الموظفون!$Z11&lt;&gt;"",الموظفون!$Z11,cfg_MED)/12*G11/cfg_DAYS_M)</f>
        <v>300</v>
      </c>
      <c r="AF11" s="116" t="n">
        <f aca="false">IF($B11="","",N(الموظفون!$AA11)/12*G11/cfg_DAYS_M)</f>
        <v>0</v>
      </c>
      <c r="AG11" s="159" t="n">
        <f aca="false">IF($B11="","",T11+SUM(Z11:AF11))</f>
        <v>29951.977739726</v>
      </c>
      <c r="AH11" s="160" t="n">
        <f aca="false">IF($B11="","",MAX(0,IF(OR(الموظفون!$AE11="",الموظفون!$AE11&gt;$F$3),$F$3,الموظفون!$AE11)-الموظفون!$H11+1-SUMIFS('سجل الإجازات والحالات'!$AI$6:$AI$505,'سجل الإجازات والحالات'!$B$6:$B$505,$B11))/cfg_DAYS_Y)</f>
        <v>8.32328767123288</v>
      </c>
      <c r="AI11" s="160" t="n">
        <f aca="false">IF($B11="","",MAX(0,IF(OR(الموظفون!$AE11="",الموظفون!$AE11&gt;($E$3-1)),($E$3-1),الموظفون!$AE11)-الموظفون!$H11+1-SUMIFS('سجل الإجازات والحالات'!$AH$6:$AH$505,'سجل الإجازات والحالات'!$B$6:$B$505,$B11))/cfg_DAYS_Y)</f>
        <v>8.24657534246575</v>
      </c>
      <c r="AJ11" s="133" t="n">
        <f aca="false">IF($B11="","",MAX(0,AK11-(SUMIFS('سجل الإجازات والحالات'!$AI$6:$AI$505,'سجل الإجازات والحالات'!$B$6:$B$505,$B11)-SUMIFS('سجل الإجازات والحالات'!$AH$6:$AH$505,'سجل الإجازات والحالات'!$B$6:$B$505,$B11))))</f>
        <v>28</v>
      </c>
      <c r="AK11" s="133" t="n">
        <f aca="false">IF($B11="","",MAX(0,IF(OR(الموظفون!$AE11="",الموظفون!$AE11&gt;$F$3),$F$3,الموظفون!$AE11)-MAX($E$3,الموظفون!$H11)+1))</f>
        <v>28</v>
      </c>
      <c r="AL11" s="156" t="n">
        <f aca="false">IF($B11="","",SUMIFS('سجل الإجازات والحالات'!$AU$6:$AU$505,'سجل الإجازات والحالات'!$B$6:$B$505,$B11)+SUMIFS('الحركات الشهرية'!$K$6:$K$1005,'الحركات الشهرية'!$B$6:$B$1005,$B11,'الحركات الشهرية'!$A$6:$A$1005,$C$3))</f>
        <v>0</v>
      </c>
      <c r="AM11" s="116" t="n">
        <f aca="false">IF($B11="","",AL11*الموظفون!$R11/cfg_DAYS_M+S11)</f>
        <v>0</v>
      </c>
      <c r="AN11" s="156" t="n">
        <f aca="false">IF($B11="","",SUMIFS('سجل الإجازات والحالات'!$W$6:$W$505,'سجل الإجازات والحالات'!$B$6:$B$505,$B11))</f>
        <v>0</v>
      </c>
    </row>
    <row r="12" customFormat="false" ht="15" hidden="false" customHeight="false" outlineLevel="0" collapsed="false">
      <c r="A12" s="106" t="n">
        <f aca="false">IF($B12="","",الموظفون!$A12)</f>
        <v>7</v>
      </c>
      <c r="B12" s="114" t="str">
        <f aca="false">IF(الموظفون!$B12="","",الموظفون!$B12)</f>
        <v>E007</v>
      </c>
      <c r="C12" s="114" t="str">
        <f aca="false">IF($B12="","",الموظفون!$C12)</f>
        <v>خالد يوسف الأحمد</v>
      </c>
      <c r="D12" s="114" t="str">
        <f aca="false">IF($B12="","",الموظفون!$F12)</f>
        <v>المشاريع</v>
      </c>
      <c r="E12" s="114" t="str">
        <f aca="false">IF($B12="","",الموظفون!$E12)</f>
        <v>غير سعودي</v>
      </c>
      <c r="F12" s="114" t="str">
        <f aca="false">IF($B12="","",IF(AK12=0,IF(AND(الموظفون!$AE12&lt;&gt;"",الموظفون!$AE12&lt;$E$3),"✖ منتهي الخدمة","⏳ لم يباشر"),IF(S12&gt;0,"✈ راتب إجازة مقدم",IF(J12=0,"⛔ بدون راتب هذا الشهر",IF(I12&gt;0,"✈ خصم "&amp;ROUND(I12,2)&amp;" يوم بدون أجر",IF(AL12&gt;0,"🌴 إجازة سنوية "&amp;ROUND(AL12,2)&amp;" يوم",IF(H12&gt;0,"⚠ غياب "&amp;ROUND(H12,2)&amp;" يوم","✔ على رأس العمل")))))))</f>
        <v>✔ على رأس العمل</v>
      </c>
      <c r="G12" s="151" t="n">
        <f aca="false">IF($B12="","",IF(AK12&gt;=DAY($F$3),cfg_DAYS_M,MIN(AK12,cfg_DAYS_M)))</f>
        <v>30</v>
      </c>
      <c r="H12" s="151" t="n">
        <f aca="false">IF($B12="","",SUMIFS('الحركات الشهرية'!$D$6:$D$1005,'الحركات الشهرية'!$B$6:$B$1005,$B12,'الحركات الشهرية'!$A$6:$A$1005,$C$3))</f>
        <v>0</v>
      </c>
      <c r="I12" s="151" t="n">
        <f aca="false">IF($B12="","",MIN(G12,IF(AND(AK12&gt;0,AN12&gt;=AK12),G12,AN12)+SUMIFS('الحركات الشهرية'!$E$6:$E$1005,'الحركات الشهرية'!$B$6:$B$1005,$B12,'الحركات الشهرية'!$A$6:$A$1005,$C$3)))</f>
        <v>0</v>
      </c>
      <c r="J12" s="151" t="n">
        <f aca="false">IF($B12="","",MAX(0,G12-H12-I12))</f>
        <v>30</v>
      </c>
      <c r="K12" s="111" t="n">
        <f aca="false">IF($B12="","",الموظفون!$L12*$J12/cfg_DAYS_M)</f>
        <v>11000</v>
      </c>
      <c r="L12" s="111" t="n">
        <f aca="false">IF($B12="","",الموظفون!$M12*$J12/cfg_DAYS_M)</f>
        <v>2750</v>
      </c>
      <c r="M12" s="111" t="n">
        <f aca="false">IF($B12="","",الموظفون!$N12*$J12/cfg_DAYS_M)</f>
        <v>1100</v>
      </c>
      <c r="N12" s="111" t="n">
        <f aca="false">IF($B12="","",الموظفون!$O12*$J12/cfg_DAYS_M)</f>
        <v>800</v>
      </c>
      <c r="O12" s="151" t="n">
        <f aca="false">IF($B12="","",SUMIFS('الحركات الشهرية'!$F$6:$F$1005,'الحركات الشهرية'!$B$6:$B$1005,$B12,'الحركات الشهرية'!$A$6:$A$1005,$C$3))</f>
        <v>0</v>
      </c>
      <c r="P12" s="111" t="n">
        <f aca="false">IF($B12="","",O12*(الموظفون!$P12+الموظفون!$L12*cfg_OT_P)/cfg_DAYS_M/cfg_HRS)</f>
        <v>0</v>
      </c>
      <c r="Q12" s="111" t="n">
        <f aca="false">IF($B12="","",SUMIFS('الحركات الشهرية'!$G$6:$G$1005,'الحركات الشهرية'!$B$6:$B$1005,$B12,'الحركات الشهرية'!$A$6:$A$1005,$C$3))</f>
        <v>0</v>
      </c>
      <c r="R12" s="111" t="n">
        <f aca="false">IF($B12="","",SUMIFS('الحركات الشهرية'!$H$6:$H$1005,'الحركات الشهرية'!$B$6:$B$1005,$B12,'الحركات الشهرية'!$A$6:$A$1005,$C$3))</f>
        <v>0</v>
      </c>
      <c r="S12" s="111" t="n">
        <f aca="false">IF($B12="","",SUMIFS('سجل الإجازات والحالات'!$N$6:$N$505,'سجل الإجازات والحالات'!$B$6:$B$505,$B12,'سجل الإجازات والحالات'!$O$6:$O$505,$C$3))</f>
        <v>0</v>
      </c>
      <c r="T12" s="152" t="n">
        <f aca="false">IF($B12="","",SUM(K12:N12)+SUM(P12:S12))</f>
        <v>15650</v>
      </c>
      <c r="U12" s="111" t="n">
        <f aca="false">IF($B12="","",الموظفون!$S12*IF(E12="سعودي",cfg_G_SE,cfg_G_NE)*G12/cfg_DAYS_M)</f>
        <v>0</v>
      </c>
      <c r="V12" s="111" t="n">
        <f aca="false">IF($B12="","",SUMIFS('الحركات الشهرية'!$I$6:$I$1005,'الحركات الشهرية'!$B$6:$B$1005,$B12,'الحركات الشهرية'!$A$6:$A$1005,$C$3))</f>
        <v>0</v>
      </c>
      <c r="W12" s="111" t="n">
        <f aca="false">IF($B12="","",SUMIFS('الحركات الشهرية'!$J$6:$J$1005,'الحركات الشهرية'!$B$6:$B$1005,$B12,'الحركات الشهرية'!$A$6:$A$1005,$C$3))</f>
        <v>0</v>
      </c>
      <c r="X12" s="111" t="n">
        <f aca="false">IF($B12="","",SUM(U12:W12))</f>
        <v>0</v>
      </c>
      <c r="Y12" s="153" t="n">
        <f aca="false">IF($B12="","",T12-X12)</f>
        <v>15650</v>
      </c>
      <c r="Z12" s="111" t="n">
        <f aca="false">IF($B12="","",الموظفون!$S12*IF(E12="سعودي",cfg_G_SR,cfg_G_NR)*G12/cfg_DAYS_M)</f>
        <v>275</v>
      </c>
      <c r="AA12" s="111" t="n">
        <f aca="false">IF($B12="","",الموظفون!$Q12*(cfg_EOS_R1*(MIN(AH12,cfg_EOS_TH)-MIN(AI12,cfg_EOS_TH))+cfg_EOS_R2*(MAX(AH12-cfg_EOS_TH,0)-MAX(AI12-cfg_EOS_TH,0))))</f>
        <v>1139.17808219177</v>
      </c>
      <c r="AB12" s="111" t="n">
        <f aca="false">IF($B12="","",IF(الموظفون!$T12&lt;&gt;"",الموظفون!$T12,IF(AH12&gt;=cfg_LV_TH,cfg_LV_D2,cfg_LV_D1))/cfg_DAYS_Y*AJ12*الموظفون!$R12/cfg_DAYS_M)</f>
        <v>1139.17808219178</v>
      </c>
      <c r="AC12" s="111" t="n">
        <f aca="false">IF($B12="","",IF(AND(الموظفون!$U12="نعم",N(الموظفون!$W12)&gt;0),الموظفون!$V12/الموظفون!$W12*12/cfg_DAYS_Y*AJ12,0))</f>
        <v>345.205479452055</v>
      </c>
      <c r="AD12" s="111" t="n">
        <f aca="false">IF($B12="","",(IF(الموظفون!$X12&lt;&gt;"",الموظفون!$X12,IF(الموظفون!$E12="غير سعودي",cfg_IQ,0))+IF(الموظفون!$Y12&lt;&gt;"",الموظفون!$Y12,IF(الموظفون!$E12="غير سعودي",cfg_WP,0)))/12*G12/cfg_DAYS_M)</f>
        <v>854.166666666667</v>
      </c>
      <c r="AE12" s="111" t="n">
        <f aca="false">IF($B12="","",IF(الموظفون!$Z12&lt;&gt;"",الموظفون!$Z12,cfg_MED)/12*G12/cfg_DAYS_M)</f>
        <v>200</v>
      </c>
      <c r="AF12" s="111" t="n">
        <f aca="false">IF($B12="","",N(الموظفون!$AA12)/12*G12/cfg_DAYS_M)</f>
        <v>400</v>
      </c>
      <c r="AG12" s="154" t="n">
        <f aca="false">IF($B12="","",T12+SUM(Z12:AF12))</f>
        <v>20002.7283105023</v>
      </c>
      <c r="AH12" s="155" t="n">
        <f aca="false">IF($B12="","",MAX(0,IF(OR(الموظفون!$AE12="",الموظفون!$AE12&gt;$F$3),$F$3,الموظفون!$AE12)-الموظفون!$H12+1-SUMIFS('سجل الإجازات والحالات'!$AI$6:$AI$505,'سجل الإجازات والحالات'!$B$6:$B$505,$B12))/cfg_DAYS_Y)</f>
        <v>5.11232876712329</v>
      </c>
      <c r="AI12" s="155" t="n">
        <f aca="false">IF($B12="","",MAX(0,IF(OR(الموظفون!$AE12="",الموظفون!$AE12&gt;($E$3-1)),($E$3-1),الموظفون!$AE12)-الموظفون!$H12+1-SUMIFS('سجل الإجازات والحالات'!$AH$6:$AH$505,'سجل الإجازات والحالات'!$B$6:$B$505,$B12))/cfg_DAYS_Y)</f>
        <v>5.03561643835617</v>
      </c>
      <c r="AJ12" s="65" t="n">
        <f aca="false">IF($B12="","",MAX(0,AK12-(SUMIFS('سجل الإجازات والحالات'!$AI$6:$AI$505,'سجل الإجازات والحالات'!$B$6:$B$505,$B12)-SUMIFS('سجل الإجازات والحالات'!$AH$6:$AH$505,'سجل الإجازات والحالات'!$B$6:$B$505,$B12))))</f>
        <v>28</v>
      </c>
      <c r="AK12" s="65" t="n">
        <f aca="false">IF($B12="","",MAX(0,IF(OR(الموظفون!$AE12="",الموظفون!$AE12&gt;$F$3),$F$3,الموظفون!$AE12)-MAX($E$3,الموظفون!$H12)+1))</f>
        <v>28</v>
      </c>
      <c r="AL12" s="151" t="n">
        <f aca="false">IF($B12="","",SUMIFS('سجل الإجازات والحالات'!$AU$6:$AU$505,'سجل الإجازات والحالات'!$B$6:$B$505,$B12)+SUMIFS('الحركات الشهرية'!$K$6:$K$1005,'الحركات الشهرية'!$B$6:$B$1005,$B12,'الحركات الشهرية'!$A$6:$A$1005,$C$3))</f>
        <v>0</v>
      </c>
      <c r="AM12" s="111" t="n">
        <f aca="false">IF($B12="","",AL12*الموظفون!$R12/cfg_DAYS_M+S12)</f>
        <v>0</v>
      </c>
      <c r="AN12" s="151" t="n">
        <f aca="false">IF($B12="","",SUMIFS('سجل الإجازات والحالات'!$W$6:$W$505,'سجل الإجازات والحالات'!$B$6:$B$505,$B12))</f>
        <v>0</v>
      </c>
    </row>
    <row r="13" customFormat="false" ht="15" hidden="false" customHeight="false" outlineLevel="0" collapsed="false">
      <c r="A13" s="115" t="n">
        <f aca="false">IF($B13="","",الموظفون!$A13)</f>
        <v>8</v>
      </c>
      <c r="B13" s="117" t="str">
        <f aca="false">IF(الموظفون!$B13="","",الموظفون!$B13)</f>
        <v>E008</v>
      </c>
      <c r="C13" s="117" t="str">
        <f aca="false">IF($B13="","",الموظفون!$C13)</f>
        <v>سارة عبدالرحمن الزهراني</v>
      </c>
      <c r="D13" s="117" t="str">
        <f aca="false">IF($B13="","",الموظفون!$F13)</f>
        <v>المالية</v>
      </c>
      <c r="E13" s="117" t="str">
        <f aca="false">IF($B13="","",الموظفون!$E13)</f>
        <v>سعودي</v>
      </c>
      <c r="F13" s="117" t="str">
        <f aca="false">IF($B13="","",IF(AK13=0,IF(AND(الموظفون!$AE13&lt;&gt;"",الموظفون!$AE13&lt;$E$3),"✖ منتهي الخدمة","⏳ لم يباشر"),IF(S13&gt;0,"✈ راتب إجازة مقدم",IF(J13=0,"⛔ بدون راتب هذا الشهر",IF(I13&gt;0,"✈ خصم "&amp;ROUND(I13,2)&amp;" يوم بدون أجر",IF(AL13&gt;0,"🌴 إجازة سنوية "&amp;ROUND(AL13,2)&amp;" يوم",IF(H13&gt;0,"⚠ غياب "&amp;ROUND(H13,2)&amp;" يوم","✔ على رأس العمل")))))))</f>
        <v>✔ على رأس العمل</v>
      </c>
      <c r="G13" s="156" t="n">
        <f aca="false">IF($B13="","",IF(AK13&gt;=DAY($F$3),cfg_DAYS_M,MIN(AK13,cfg_DAYS_M)))</f>
        <v>30</v>
      </c>
      <c r="H13" s="156" t="n">
        <f aca="false">IF($B13="","",SUMIFS('الحركات الشهرية'!$D$6:$D$1005,'الحركات الشهرية'!$B$6:$B$1005,$B13,'الحركات الشهرية'!$A$6:$A$1005,$C$3))</f>
        <v>0</v>
      </c>
      <c r="I13" s="156" t="n">
        <f aca="false">IF($B13="","",MIN(G13,IF(AND(AK13&gt;0,AN13&gt;=AK13),G13,AN13)+SUMIFS('الحركات الشهرية'!$E$6:$E$1005,'الحركات الشهرية'!$B$6:$B$1005,$B13,'الحركات الشهرية'!$A$6:$A$1005,$C$3)))</f>
        <v>0</v>
      </c>
      <c r="J13" s="156" t="n">
        <f aca="false">IF($B13="","",MAX(0,G13-H13-I13))</f>
        <v>30</v>
      </c>
      <c r="K13" s="116" t="n">
        <f aca="false">IF($B13="","",الموظفون!$L13*$J13/cfg_DAYS_M)</f>
        <v>7500</v>
      </c>
      <c r="L13" s="116" t="n">
        <f aca="false">IF($B13="","",الموظفون!$M13*$J13/cfg_DAYS_M)</f>
        <v>1875</v>
      </c>
      <c r="M13" s="116" t="n">
        <f aca="false">IF($B13="","",الموظفون!$N13*$J13/cfg_DAYS_M)</f>
        <v>750</v>
      </c>
      <c r="N13" s="116" t="n">
        <f aca="false">IF($B13="","",الموظفون!$O13*$J13/cfg_DAYS_M)</f>
        <v>0</v>
      </c>
      <c r="O13" s="156" t="n">
        <f aca="false">IF($B13="","",SUMIFS('الحركات الشهرية'!$F$6:$F$1005,'الحركات الشهرية'!$B$6:$B$1005,$B13,'الحركات الشهرية'!$A$6:$A$1005,$C$3))</f>
        <v>0</v>
      </c>
      <c r="P13" s="116" t="n">
        <f aca="false">IF($B13="","",O13*(الموظفون!$P13+الموظفون!$L13*cfg_OT_P)/cfg_DAYS_M/cfg_HRS)</f>
        <v>0</v>
      </c>
      <c r="Q13" s="116" t="n">
        <f aca="false">IF($B13="","",SUMIFS('الحركات الشهرية'!$G$6:$G$1005,'الحركات الشهرية'!$B$6:$B$1005,$B13,'الحركات الشهرية'!$A$6:$A$1005,$C$3))</f>
        <v>0</v>
      </c>
      <c r="R13" s="116" t="n">
        <f aca="false">IF($B13="","",SUMIFS('الحركات الشهرية'!$H$6:$H$1005,'الحركات الشهرية'!$B$6:$B$1005,$B13,'الحركات الشهرية'!$A$6:$A$1005,$C$3))</f>
        <v>0</v>
      </c>
      <c r="S13" s="116" t="n">
        <f aca="false">IF($B13="","",SUMIFS('سجل الإجازات والحالات'!$N$6:$N$505,'سجل الإجازات والحالات'!$B$6:$B$505,$B13,'سجل الإجازات والحالات'!$O$6:$O$505,$C$3))</f>
        <v>0</v>
      </c>
      <c r="T13" s="157" t="n">
        <f aca="false">IF($B13="","",SUM(K13:N13)+SUM(P13:S13))</f>
        <v>10125</v>
      </c>
      <c r="U13" s="116" t="n">
        <f aca="false">IF($B13="","",الموظفون!$S13*IF(E13="سعودي",cfg_G_SE,cfg_G_NE)*G13/cfg_DAYS_M)</f>
        <v>914.0625</v>
      </c>
      <c r="V13" s="116" t="n">
        <f aca="false">IF($B13="","",SUMIFS('الحركات الشهرية'!$I$6:$I$1005,'الحركات الشهرية'!$B$6:$B$1005,$B13,'الحركات الشهرية'!$A$6:$A$1005,$C$3))</f>
        <v>0</v>
      </c>
      <c r="W13" s="116" t="n">
        <f aca="false">IF($B13="","",SUMIFS('الحركات الشهرية'!$J$6:$J$1005,'الحركات الشهرية'!$B$6:$B$1005,$B13,'الحركات الشهرية'!$A$6:$A$1005,$C$3))</f>
        <v>0</v>
      </c>
      <c r="X13" s="116" t="n">
        <f aca="false">IF($B13="","",SUM(U13:W13))</f>
        <v>914.0625</v>
      </c>
      <c r="Y13" s="158" t="n">
        <f aca="false">IF($B13="","",T13-X13)</f>
        <v>9210.9375</v>
      </c>
      <c r="Z13" s="116" t="n">
        <f aca="false">IF($B13="","",الموظفون!$S13*IF(E13="سعودي",cfg_G_SR,cfg_G_NR)*G13/cfg_DAYS_M)</f>
        <v>1101.5625</v>
      </c>
      <c r="AA13" s="116" t="n">
        <f aca="false">IF($B13="","",الموظفون!$Q13*(cfg_EOS_R1*(MIN(AH13,cfg_EOS_TH)-MIN(AI13,cfg_EOS_TH))+cfg_EOS_R2*(MAX(AH13-cfg_EOS_TH,0)-MAX(AI13-cfg_EOS_TH,0))))</f>
        <v>388.356164383562</v>
      </c>
      <c r="AB13" s="116" t="n">
        <f aca="false">IF($B13="","",IF(الموظفون!$T13&lt;&gt;"",الموظفون!$T13,IF(AH13&gt;=cfg_LV_TH,cfg_LV_D2,cfg_LV_D1))/cfg_DAYS_Y*AJ13*الموظفون!$R13/cfg_DAYS_M)</f>
        <v>543.698630136986</v>
      </c>
      <c r="AC13" s="116" t="n">
        <f aca="false">IF($B13="","",IF(AND(الموظفون!$U13="نعم",N(الموظفون!$W13)&gt;0),الموظفون!$V13/الموظفون!$W13*12/cfg_DAYS_Y*AJ13,0))</f>
        <v>0</v>
      </c>
      <c r="AD13" s="116" t="n">
        <f aca="false">IF($B13="","",(IF(الموظفون!$X13&lt;&gt;"",الموظفون!$X13,IF(الموظفون!$E13="غير سعودي",cfg_IQ,0))+IF(الموظفون!$Y13&lt;&gt;"",الموظفون!$Y13,IF(الموظفون!$E13="غير سعودي",cfg_WP,0)))/12*G13/cfg_DAYS_M)</f>
        <v>0</v>
      </c>
      <c r="AE13" s="116" t="n">
        <f aca="false">IF($B13="","",IF(الموظفون!$Z13&lt;&gt;"",الموظفون!$Z13,cfg_MED)/12*G13/cfg_DAYS_M)</f>
        <v>200</v>
      </c>
      <c r="AF13" s="116" t="n">
        <f aca="false">IF($B13="","",N(الموظفون!$AA13)/12*G13/cfg_DAYS_M)</f>
        <v>0</v>
      </c>
      <c r="AG13" s="159" t="n">
        <f aca="false">IF($B13="","",T13+SUM(Z13:AF13))</f>
        <v>12358.6172945205</v>
      </c>
      <c r="AH13" s="160" t="n">
        <f aca="false">IF($B13="","",MAX(0,IF(OR(الموظفون!$AE13="",الموظفون!$AE13&gt;$F$3),$F$3,الموظفون!$AE13)-الموظفون!$H13+1-SUMIFS('سجل الإجازات والحالات'!$AI$6:$AI$505,'سجل الإجازات والحالات'!$B$6:$B$505,$B13))/cfg_DAYS_Y)</f>
        <v>3.0027397260274</v>
      </c>
      <c r="AI13" s="160" t="n">
        <f aca="false">IF($B13="","",MAX(0,IF(OR(الموظفون!$AE13="",الموظفون!$AE13&gt;($E$3-1)),($E$3-1),الموظفون!$AE13)-الموظفون!$H13+1-SUMIFS('سجل الإجازات والحالات'!$AH$6:$AH$505,'سجل الإجازات والحالات'!$B$6:$B$505,$B13))/cfg_DAYS_Y)</f>
        <v>2.92602739726027</v>
      </c>
      <c r="AJ13" s="133" t="n">
        <f aca="false">IF($B13="","",MAX(0,AK13-(SUMIFS('سجل الإجازات والحالات'!$AI$6:$AI$505,'سجل الإجازات والحالات'!$B$6:$B$505,$B13)-SUMIFS('سجل الإجازات والحالات'!$AH$6:$AH$505,'سجل الإجازات والحالات'!$B$6:$B$505,$B13))))</f>
        <v>28</v>
      </c>
      <c r="AK13" s="133" t="n">
        <f aca="false">IF($B13="","",MAX(0,IF(OR(الموظفون!$AE13="",الموظفون!$AE13&gt;$F$3),$F$3,الموظفون!$AE13)-MAX($E$3,الموظفون!$H13)+1))</f>
        <v>28</v>
      </c>
      <c r="AL13" s="156" t="n">
        <f aca="false">IF($B13="","",SUMIFS('سجل الإجازات والحالات'!$AU$6:$AU$505,'سجل الإجازات والحالات'!$B$6:$B$505,$B13)+SUMIFS('الحركات الشهرية'!$K$6:$K$1005,'الحركات الشهرية'!$B$6:$B$1005,$B13,'الحركات الشهرية'!$A$6:$A$1005,$C$3))</f>
        <v>0</v>
      </c>
      <c r="AM13" s="116" t="n">
        <f aca="false">IF($B13="","",AL13*الموظفون!$R13/cfg_DAYS_M+S13)</f>
        <v>0</v>
      </c>
      <c r="AN13" s="156" t="n">
        <f aca="false">IF($B13="","",SUMIFS('سجل الإجازات والحالات'!$W$6:$W$505,'سجل الإجازات والحالات'!$B$6:$B$505,$B13))</f>
        <v>0</v>
      </c>
    </row>
    <row r="14" customFormat="false" ht="15" hidden="false" customHeight="false" outlineLevel="0" collapsed="false">
      <c r="A14" s="106" t="n">
        <f aca="false">IF($B14="","",الموظفون!$A14)</f>
        <v>9</v>
      </c>
      <c r="B14" s="114" t="str">
        <f aca="false">IF(الموظفون!$B14="","",الموظفون!$B14)</f>
        <v>E009</v>
      </c>
      <c r="C14" s="114" t="str">
        <f aca="false">IF($B14="","",الموظفون!$C14)</f>
        <v>محمد رفيق</v>
      </c>
      <c r="D14" s="114" t="str">
        <f aca="false">IF($B14="","",الموظفون!$F14)</f>
        <v>العمليات</v>
      </c>
      <c r="E14" s="114" t="str">
        <f aca="false">IF($B14="","",الموظفون!$E14)</f>
        <v>غير سعودي</v>
      </c>
      <c r="F14" s="114" t="str">
        <f aca="false">IF($B14="","",IF(AK14=0,IF(AND(الموظفون!$AE14&lt;&gt;"",الموظفون!$AE14&lt;$E$3),"✖ منتهي الخدمة","⏳ لم يباشر"),IF(S14&gt;0,"✈ راتب إجازة مقدم",IF(J14=0,"⛔ بدون راتب هذا الشهر",IF(I14&gt;0,"✈ خصم "&amp;ROUND(I14,2)&amp;" يوم بدون أجر",IF(AL14&gt;0,"🌴 إجازة سنوية "&amp;ROUND(AL14,2)&amp;" يوم",IF(H14&gt;0,"⚠ غياب "&amp;ROUND(H14,2)&amp;" يوم","✔ على رأس العمل")))))))</f>
        <v>✔ على رأس العمل</v>
      </c>
      <c r="G14" s="151" t="n">
        <f aca="false">IF($B14="","",IF(AK14&gt;=DAY($F$3),cfg_DAYS_M,MIN(AK14,cfg_DAYS_M)))</f>
        <v>30</v>
      </c>
      <c r="H14" s="151" t="n">
        <f aca="false">IF($B14="","",SUMIFS('الحركات الشهرية'!$D$6:$D$1005,'الحركات الشهرية'!$B$6:$B$1005,$B14,'الحركات الشهرية'!$A$6:$A$1005,$C$3))</f>
        <v>0</v>
      </c>
      <c r="I14" s="151" t="n">
        <f aca="false">IF($B14="","",MIN(G14,IF(AND(AK14&gt;0,AN14&gt;=AK14),G14,AN14)+SUMIFS('الحركات الشهرية'!$E$6:$E$1005,'الحركات الشهرية'!$B$6:$B$1005,$B14,'الحركات الشهرية'!$A$6:$A$1005,$C$3)))</f>
        <v>0</v>
      </c>
      <c r="J14" s="151" t="n">
        <f aca="false">IF($B14="","",MAX(0,G14-H14-I14))</f>
        <v>30</v>
      </c>
      <c r="K14" s="111" t="n">
        <f aca="false">IF($B14="","",الموظفون!$L14*$J14/cfg_DAYS_M)</f>
        <v>6500</v>
      </c>
      <c r="L14" s="111" t="n">
        <f aca="false">IF($B14="","",الموظفون!$M14*$J14/cfg_DAYS_M)</f>
        <v>1625</v>
      </c>
      <c r="M14" s="111" t="n">
        <f aca="false">IF($B14="","",الموظفون!$N14*$J14/cfg_DAYS_M)</f>
        <v>650</v>
      </c>
      <c r="N14" s="111" t="n">
        <f aca="false">IF($B14="","",الموظفون!$O14*$J14/cfg_DAYS_M)</f>
        <v>300</v>
      </c>
      <c r="O14" s="151" t="n">
        <f aca="false">IF($B14="","",SUMIFS('الحركات الشهرية'!$F$6:$F$1005,'الحركات الشهرية'!$B$6:$B$1005,$B14,'الحركات الشهرية'!$A$6:$A$1005,$C$3))</f>
        <v>0</v>
      </c>
      <c r="P14" s="111" t="n">
        <f aca="false">IF($B14="","",O14*(الموظفون!$P14+الموظفون!$L14*cfg_OT_P)/cfg_DAYS_M/cfg_HRS)</f>
        <v>0</v>
      </c>
      <c r="Q14" s="111" t="n">
        <f aca="false">IF($B14="","",SUMIFS('الحركات الشهرية'!$G$6:$G$1005,'الحركات الشهرية'!$B$6:$B$1005,$B14,'الحركات الشهرية'!$A$6:$A$1005,$C$3))</f>
        <v>0</v>
      </c>
      <c r="R14" s="111" t="n">
        <f aca="false">IF($B14="","",SUMIFS('الحركات الشهرية'!$H$6:$H$1005,'الحركات الشهرية'!$B$6:$B$1005,$B14,'الحركات الشهرية'!$A$6:$A$1005,$C$3))</f>
        <v>0</v>
      </c>
      <c r="S14" s="111" t="n">
        <f aca="false">IF($B14="","",SUMIFS('سجل الإجازات والحالات'!$N$6:$N$505,'سجل الإجازات والحالات'!$B$6:$B$505,$B14,'سجل الإجازات والحالات'!$O$6:$O$505,$C$3))</f>
        <v>0</v>
      </c>
      <c r="T14" s="152" t="n">
        <f aca="false">IF($B14="","",SUM(K14:N14)+SUM(P14:S14))</f>
        <v>9075</v>
      </c>
      <c r="U14" s="111" t="n">
        <f aca="false">IF($B14="","",الموظفون!$S14*IF(E14="سعودي",cfg_G_SE,cfg_G_NE)*G14/cfg_DAYS_M)</f>
        <v>0</v>
      </c>
      <c r="V14" s="111" t="n">
        <f aca="false">IF($B14="","",SUMIFS('الحركات الشهرية'!$I$6:$I$1005,'الحركات الشهرية'!$B$6:$B$1005,$B14,'الحركات الشهرية'!$A$6:$A$1005,$C$3))</f>
        <v>0</v>
      </c>
      <c r="W14" s="111" t="n">
        <f aca="false">IF($B14="","",SUMIFS('الحركات الشهرية'!$J$6:$J$1005,'الحركات الشهرية'!$B$6:$B$1005,$B14,'الحركات الشهرية'!$A$6:$A$1005,$C$3))</f>
        <v>0</v>
      </c>
      <c r="X14" s="111" t="n">
        <f aca="false">IF($B14="","",SUM(U14:W14))</f>
        <v>0</v>
      </c>
      <c r="Y14" s="153" t="n">
        <f aca="false">IF($B14="","",T14-X14)</f>
        <v>9075</v>
      </c>
      <c r="Z14" s="111" t="n">
        <f aca="false">IF($B14="","",الموظفون!$S14*IF(E14="سعودي",cfg_G_SR,cfg_G_NR)*G14/cfg_DAYS_M)</f>
        <v>162.5</v>
      </c>
      <c r="AA14" s="111" t="n">
        <f aca="false">IF($B14="","",الموظفون!$Q14*(cfg_EOS_R1*(MIN(AH14,cfg_EOS_TH)-MIN(AI14,cfg_EOS_TH))+cfg_EOS_R2*(MAX(AH14-cfg_EOS_TH,0)-MAX(AI14-cfg_EOS_TH,0))))</f>
        <v>673.150684931516</v>
      </c>
      <c r="AB14" s="111" t="n">
        <f aca="false">IF($B14="","",IF(الموظفون!$T14&lt;&gt;"",الموظفون!$T14,IF(AH14&gt;=cfg_LV_TH,cfg_LV_D2,cfg_LV_D1))/cfg_DAYS_Y*AJ14*الموظفون!$R14/cfg_DAYS_M)</f>
        <v>673.150684931507</v>
      </c>
      <c r="AC14" s="111" t="n">
        <f aca="false">IF($B14="","",IF(AND(الموظفون!$U14="نعم",N(الموظفون!$W14)&gt;0),الموظفون!$V14/الموظفون!$W14*12/cfg_DAYS_Y*AJ14,0))</f>
        <v>84.3835616438356</v>
      </c>
      <c r="AD14" s="111" t="n">
        <f aca="false">IF($B14="","",(IF(الموظفون!$X14&lt;&gt;"",الموظفون!$X14,IF(الموظفون!$E14="غير سعودي",cfg_IQ,0))+IF(الموظفون!$Y14&lt;&gt;"",الموظفون!$Y14,IF(الموظفون!$E14="غير سعودي",cfg_WP,0)))/12*G14/cfg_DAYS_M)</f>
        <v>854.166666666667</v>
      </c>
      <c r="AE14" s="111" t="n">
        <f aca="false">IF($B14="","",IF(الموظفون!$Z14&lt;&gt;"",الموظفون!$Z14,cfg_MED)/12*G14/cfg_DAYS_M)</f>
        <v>150</v>
      </c>
      <c r="AF14" s="111" t="n">
        <f aca="false">IF($B14="","",N(الموظفون!$AA14)/12*G14/cfg_DAYS_M)</f>
        <v>0</v>
      </c>
      <c r="AG14" s="154" t="n">
        <f aca="false">IF($B14="","",T14+SUM(Z14:AF14))</f>
        <v>11672.3515981735</v>
      </c>
      <c r="AH14" s="155" t="n">
        <f aca="false">IF($B14="","",MAX(0,IF(OR(الموظفون!$AE14="",الموظفون!$AE14&gt;$F$3),$F$3,الموظفون!$AE14)-الموظفون!$H14+1-SUMIFS('سجل الإجازات والحالات'!$AI$6:$AI$505,'سجل الإجازات والحالات'!$B$6:$B$505,$B14))/cfg_DAYS_Y)</f>
        <v>11.5424657534247</v>
      </c>
      <c r="AI14" s="155" t="n">
        <f aca="false">IF($B14="","",MAX(0,IF(OR(الموظفون!$AE14="",الموظفون!$AE14&gt;($E$3-1)),($E$3-1),الموظفون!$AE14)-الموظفون!$H14+1-SUMIFS('سجل الإجازات والحالات'!$AH$6:$AH$505,'سجل الإجازات والحالات'!$B$6:$B$505,$B14))/cfg_DAYS_Y)</f>
        <v>11.4657534246575</v>
      </c>
      <c r="AJ14" s="65" t="n">
        <f aca="false">IF($B14="","",MAX(0,AK14-(SUMIFS('سجل الإجازات والحالات'!$AI$6:$AI$505,'سجل الإجازات والحالات'!$B$6:$B$505,$B14)-SUMIFS('سجل الإجازات والحالات'!$AH$6:$AH$505,'سجل الإجازات والحالات'!$B$6:$B$505,$B14))))</f>
        <v>28</v>
      </c>
      <c r="AK14" s="65" t="n">
        <f aca="false">IF($B14="","",MAX(0,IF(OR(الموظفون!$AE14="",الموظفون!$AE14&gt;$F$3),$F$3,الموظفون!$AE14)-MAX($E$3,الموظفون!$H14)+1))</f>
        <v>28</v>
      </c>
      <c r="AL14" s="151" t="n">
        <f aca="false">IF($B14="","",SUMIFS('سجل الإجازات والحالات'!$AU$6:$AU$505,'سجل الإجازات والحالات'!$B$6:$B$505,$B14)+SUMIFS('الحركات الشهرية'!$K$6:$K$1005,'الحركات الشهرية'!$B$6:$B$1005,$B14,'الحركات الشهرية'!$A$6:$A$1005,$C$3))</f>
        <v>0</v>
      </c>
      <c r="AM14" s="111" t="n">
        <f aca="false">IF($B14="","",AL14*الموظفون!$R14/cfg_DAYS_M+S14)</f>
        <v>0</v>
      </c>
      <c r="AN14" s="151" t="n">
        <f aca="false">IF($B14="","",SUMIFS('سجل الإجازات والحالات'!$W$6:$W$505,'سجل الإجازات والحالات'!$B$6:$B$505,$B14))</f>
        <v>0</v>
      </c>
    </row>
    <row r="15" customFormat="false" ht="15" hidden="false" customHeight="false" outlineLevel="0" collapsed="false">
      <c r="A15" s="115" t="n">
        <f aca="false">IF($B15="","",الموظفون!$A15)</f>
        <v>10</v>
      </c>
      <c r="B15" s="117" t="str">
        <f aca="false">IF(الموظفون!$B15="","",الموظفون!$B15)</f>
        <v>E010</v>
      </c>
      <c r="C15" s="117" t="str">
        <f aca="false">IF($B15="","",الموظفون!$C15)</f>
        <v>ريم سلطان المطيري</v>
      </c>
      <c r="D15" s="117" t="str">
        <f aca="false">IF($B15="","",الموظفون!$F15)</f>
        <v>المبيعات</v>
      </c>
      <c r="E15" s="117" t="str">
        <f aca="false">IF($B15="","",الموظفون!$E15)</f>
        <v>سعودي</v>
      </c>
      <c r="F15" s="117" t="str">
        <f aca="false">IF($B15="","",IF(AK15=0,IF(AND(الموظفون!$AE15&lt;&gt;"",الموظفون!$AE15&lt;$E$3),"✖ منتهي الخدمة","⏳ لم يباشر"),IF(S15&gt;0,"✈ راتب إجازة مقدم",IF(J15=0,"⛔ بدون راتب هذا الشهر",IF(I15&gt;0,"✈ خصم "&amp;ROUND(I15,2)&amp;" يوم بدون أجر",IF(AL15&gt;0,"🌴 إجازة سنوية "&amp;ROUND(AL15,2)&amp;" يوم",IF(H15&gt;0,"⚠ غياب "&amp;ROUND(H15,2)&amp;" يوم","✔ على رأس العمل")))))))</f>
        <v>⏳ لم يباشر</v>
      </c>
      <c r="G15" s="156" t="n">
        <f aca="false">IF($B15="","",IF(AK15&gt;=DAY($F$3),cfg_DAYS_M,MIN(AK15,cfg_DAYS_M)))</f>
        <v>0</v>
      </c>
      <c r="H15" s="156" t="n">
        <f aca="false">IF($B15="","",SUMIFS('الحركات الشهرية'!$D$6:$D$1005,'الحركات الشهرية'!$B$6:$B$1005,$B15,'الحركات الشهرية'!$A$6:$A$1005,$C$3))</f>
        <v>0</v>
      </c>
      <c r="I15" s="156" t="n">
        <f aca="false">IF($B15="","",MIN(G15,IF(AND(AK15&gt;0,AN15&gt;=AK15),G15,AN15)+SUMIFS('الحركات الشهرية'!$E$6:$E$1005,'الحركات الشهرية'!$B$6:$B$1005,$B15,'الحركات الشهرية'!$A$6:$A$1005,$C$3)))</f>
        <v>0</v>
      </c>
      <c r="J15" s="156" t="n">
        <f aca="false">IF($B15="","",MAX(0,G15-H15-I15))</f>
        <v>0</v>
      </c>
      <c r="K15" s="116" t="n">
        <f aca="false">IF($B15="","",الموظفون!$L15*$J15/cfg_DAYS_M)</f>
        <v>0</v>
      </c>
      <c r="L15" s="116" t="n">
        <f aca="false">IF($B15="","",الموظفون!$M15*$J15/cfg_DAYS_M)</f>
        <v>0</v>
      </c>
      <c r="M15" s="116" t="n">
        <f aca="false">IF($B15="","",الموظفون!$N15*$J15/cfg_DAYS_M)</f>
        <v>0</v>
      </c>
      <c r="N15" s="116" t="n">
        <f aca="false">IF($B15="","",الموظفون!$O15*$J15/cfg_DAYS_M)</f>
        <v>0</v>
      </c>
      <c r="O15" s="156" t="n">
        <f aca="false">IF($B15="","",SUMIFS('الحركات الشهرية'!$F$6:$F$1005,'الحركات الشهرية'!$B$6:$B$1005,$B15,'الحركات الشهرية'!$A$6:$A$1005,$C$3))</f>
        <v>0</v>
      </c>
      <c r="P15" s="116" t="n">
        <f aca="false">IF($B15="","",O15*(الموظفون!$P15+الموظفون!$L15*cfg_OT_P)/cfg_DAYS_M/cfg_HRS)</f>
        <v>0</v>
      </c>
      <c r="Q15" s="116" t="n">
        <f aca="false">IF($B15="","",SUMIFS('الحركات الشهرية'!$G$6:$G$1005,'الحركات الشهرية'!$B$6:$B$1005,$B15,'الحركات الشهرية'!$A$6:$A$1005,$C$3))</f>
        <v>0</v>
      </c>
      <c r="R15" s="116" t="n">
        <f aca="false">IF($B15="","",SUMIFS('الحركات الشهرية'!$H$6:$H$1005,'الحركات الشهرية'!$B$6:$B$1005,$B15,'الحركات الشهرية'!$A$6:$A$1005,$C$3))</f>
        <v>0</v>
      </c>
      <c r="S15" s="116" t="n">
        <f aca="false">IF($B15="","",SUMIFS('سجل الإجازات والحالات'!$N$6:$N$505,'سجل الإجازات والحالات'!$B$6:$B$505,$B15,'سجل الإجازات والحالات'!$O$6:$O$505,$C$3))</f>
        <v>0</v>
      </c>
      <c r="T15" s="157" t="n">
        <f aca="false">IF($B15="","",SUM(K15:N15)+SUM(P15:S15))</f>
        <v>0</v>
      </c>
      <c r="U15" s="116" t="n">
        <f aca="false">IF($B15="","",الموظفون!$S15*IF(E15="سعودي",cfg_G_SE,cfg_G_NE)*G15/cfg_DAYS_M)</f>
        <v>0</v>
      </c>
      <c r="V15" s="116" t="n">
        <f aca="false">IF($B15="","",SUMIFS('الحركات الشهرية'!$I$6:$I$1005,'الحركات الشهرية'!$B$6:$B$1005,$B15,'الحركات الشهرية'!$A$6:$A$1005,$C$3))</f>
        <v>0</v>
      </c>
      <c r="W15" s="116" t="n">
        <f aca="false">IF($B15="","",SUMIFS('الحركات الشهرية'!$J$6:$J$1005,'الحركات الشهرية'!$B$6:$B$1005,$B15,'الحركات الشهرية'!$A$6:$A$1005,$C$3))</f>
        <v>0</v>
      </c>
      <c r="X15" s="116" t="n">
        <f aca="false">IF($B15="","",SUM(U15:W15))</f>
        <v>0</v>
      </c>
      <c r="Y15" s="158" t="n">
        <f aca="false">IF($B15="","",T15-X15)</f>
        <v>0</v>
      </c>
      <c r="Z15" s="116" t="n">
        <f aca="false">IF($B15="","",الموظفون!$S15*IF(E15="سعودي",cfg_G_SR,cfg_G_NR)*G15/cfg_DAYS_M)</f>
        <v>0</v>
      </c>
      <c r="AA15" s="116" t="n">
        <f aca="false">IF($B15="","",الموظفون!$Q15*(cfg_EOS_R1*(MIN(AH15,cfg_EOS_TH)-MIN(AI15,cfg_EOS_TH))+cfg_EOS_R2*(MAX(AH15-cfg_EOS_TH,0)-MAX(AI15-cfg_EOS_TH,0))))</f>
        <v>0</v>
      </c>
      <c r="AB15" s="116" t="n">
        <f aca="false">IF($B15="","",IF(الموظفون!$T15&lt;&gt;"",الموظفون!$T15,IF(AH15&gt;=cfg_LV_TH,cfg_LV_D2,cfg_LV_D1))/cfg_DAYS_Y*AJ15*الموظفون!$R15/cfg_DAYS_M)</f>
        <v>0</v>
      </c>
      <c r="AC15" s="116" t="n">
        <f aca="false">IF($B15="","",IF(AND(الموظفون!$U15="نعم",N(الموظفون!$W15)&gt;0),الموظفون!$V15/الموظفون!$W15*12/cfg_DAYS_Y*AJ15,0))</f>
        <v>0</v>
      </c>
      <c r="AD15" s="116" t="n">
        <f aca="false">IF($B15="","",(IF(الموظفون!$X15&lt;&gt;"",الموظفون!$X15,IF(الموظفون!$E15="غير سعودي",cfg_IQ,0))+IF(الموظفون!$Y15&lt;&gt;"",الموظفون!$Y15,IF(الموظفون!$E15="غير سعودي",cfg_WP,0)))/12*G15/cfg_DAYS_M)</f>
        <v>0</v>
      </c>
      <c r="AE15" s="116" t="n">
        <f aca="false">IF($B15="","",IF(الموظفون!$Z15&lt;&gt;"",الموظفون!$Z15,cfg_MED)/12*G15/cfg_DAYS_M)</f>
        <v>0</v>
      </c>
      <c r="AF15" s="116" t="n">
        <f aca="false">IF($B15="","",N(الموظفون!$AA15)/12*G15/cfg_DAYS_M)</f>
        <v>0</v>
      </c>
      <c r="AG15" s="159" t="n">
        <f aca="false">IF($B15="","",T15+SUM(Z15:AF15))</f>
        <v>0</v>
      </c>
      <c r="AH15" s="160" t="n">
        <f aca="false">IF($B15="","",MAX(0,IF(OR(الموظفون!$AE15="",الموظفون!$AE15&gt;$F$3),$F$3,الموظفون!$AE15)-الموظفون!$H15+1-SUMIFS('سجل الإجازات والحالات'!$AI$6:$AI$505,'سجل الإجازات والحالات'!$B$6:$B$505,$B15))/cfg_DAYS_Y)</f>
        <v>0</v>
      </c>
      <c r="AI15" s="160" t="n">
        <f aca="false">IF($B15="","",MAX(0,IF(OR(الموظفون!$AE15="",الموظفون!$AE15&gt;($E$3-1)),($E$3-1),الموظفون!$AE15)-الموظفون!$H15+1-SUMIFS('سجل الإجازات والحالات'!$AH$6:$AH$505,'سجل الإجازات والحالات'!$B$6:$B$505,$B15))/cfg_DAYS_Y)</f>
        <v>0</v>
      </c>
      <c r="AJ15" s="133" t="n">
        <f aca="false">IF($B15="","",MAX(0,AK15-(SUMIFS('سجل الإجازات والحالات'!$AI$6:$AI$505,'سجل الإجازات والحالات'!$B$6:$B$505,$B15)-SUMIFS('سجل الإجازات والحالات'!$AH$6:$AH$505,'سجل الإجازات والحالات'!$B$6:$B$505,$B15))))</f>
        <v>0</v>
      </c>
      <c r="AK15" s="133" t="n">
        <f aca="false">IF($B15="","",MAX(0,IF(OR(الموظفون!$AE15="",الموظفون!$AE15&gt;$F$3),$F$3,الموظفون!$AE15)-MAX($E$3,الموظفون!$H15)+1))</f>
        <v>0</v>
      </c>
      <c r="AL15" s="156" t="n">
        <f aca="false">IF($B15="","",SUMIFS('سجل الإجازات والحالات'!$AU$6:$AU$505,'سجل الإجازات والحالات'!$B$6:$B$505,$B15)+SUMIFS('الحركات الشهرية'!$K$6:$K$1005,'الحركات الشهرية'!$B$6:$B$1005,$B15,'الحركات الشهرية'!$A$6:$A$1005,$C$3))</f>
        <v>0</v>
      </c>
      <c r="AM15" s="116" t="n">
        <f aca="false">IF($B15="","",AL15*الموظفون!$R15/cfg_DAYS_M+S15)</f>
        <v>0</v>
      </c>
      <c r="AN15" s="156" t="n">
        <f aca="false">IF($B15="","",SUMIFS('سجل الإجازات والحالات'!$W$6:$W$505,'سجل الإجازات والحالات'!$B$6:$B$505,$B15))</f>
        <v>0</v>
      </c>
    </row>
    <row r="16" customFormat="false" ht="15" hidden="false" customHeight="false" outlineLevel="0" collapsed="false">
      <c r="A16" s="106" t="n">
        <f aca="false">IF($B16="","",الموظفون!$A16)</f>
        <v>11</v>
      </c>
      <c r="B16" s="114" t="str">
        <f aca="false">IF(الموظفون!$B16="","",الموظفون!$B16)</f>
        <v>E011</v>
      </c>
      <c r="C16" s="114" t="str">
        <f aca="false">IF($B16="","",الموظفون!$C16)</f>
        <v>جون ماتيو</v>
      </c>
      <c r="D16" s="114" t="str">
        <f aca="false">IF($B16="","",الموظفون!$F16)</f>
        <v>العمليات</v>
      </c>
      <c r="E16" s="114" t="str">
        <f aca="false">IF($B16="","",الموظفون!$E16)</f>
        <v>غير سعودي</v>
      </c>
      <c r="F16" s="114" t="str">
        <f aca="false">IF($B16="","",IF(AK16=0,IF(AND(الموظفون!$AE16&lt;&gt;"",الموظفون!$AE16&lt;$E$3),"✖ منتهي الخدمة","⏳ لم يباشر"),IF(S16&gt;0,"✈ راتب إجازة مقدم",IF(J16=0,"⛔ بدون راتب هذا الشهر",IF(I16&gt;0,"✈ خصم "&amp;ROUND(I16,2)&amp;" يوم بدون أجر",IF(AL16&gt;0,"🌴 إجازة سنوية "&amp;ROUND(AL16,2)&amp;" يوم",IF(H16&gt;0,"⚠ غياب "&amp;ROUND(H16,2)&amp;" يوم","✔ على رأس العمل")))))))</f>
        <v>✔ على رأس العمل</v>
      </c>
      <c r="G16" s="151" t="n">
        <f aca="false">IF($B16="","",IF(AK16&gt;=DAY($F$3),cfg_DAYS_M,MIN(AK16,cfg_DAYS_M)))</f>
        <v>30</v>
      </c>
      <c r="H16" s="151" t="n">
        <f aca="false">IF($B16="","",SUMIFS('الحركات الشهرية'!$D$6:$D$1005,'الحركات الشهرية'!$B$6:$B$1005,$B16,'الحركات الشهرية'!$A$6:$A$1005,$C$3))</f>
        <v>0</v>
      </c>
      <c r="I16" s="151" t="n">
        <f aca="false">IF($B16="","",MIN(G16,IF(AND(AK16&gt;0,AN16&gt;=AK16),G16,AN16)+SUMIFS('الحركات الشهرية'!$E$6:$E$1005,'الحركات الشهرية'!$B$6:$B$1005,$B16,'الحركات الشهرية'!$A$6:$A$1005,$C$3)))</f>
        <v>0</v>
      </c>
      <c r="J16" s="151" t="n">
        <f aca="false">IF($B16="","",MAX(0,G16-H16-I16))</f>
        <v>30</v>
      </c>
      <c r="K16" s="111" t="n">
        <f aca="false">IF($B16="","",الموظفون!$L16*$J16/cfg_DAYS_M)</f>
        <v>5000</v>
      </c>
      <c r="L16" s="111" t="n">
        <f aca="false">IF($B16="","",الموظفون!$M16*$J16/cfg_DAYS_M)</f>
        <v>1250</v>
      </c>
      <c r="M16" s="111" t="n">
        <f aca="false">IF($B16="","",الموظفون!$N16*$J16/cfg_DAYS_M)</f>
        <v>500</v>
      </c>
      <c r="N16" s="111" t="n">
        <f aca="false">IF($B16="","",الموظفون!$O16*$J16/cfg_DAYS_M)</f>
        <v>0</v>
      </c>
      <c r="O16" s="151" t="n">
        <f aca="false">IF($B16="","",SUMIFS('الحركات الشهرية'!$F$6:$F$1005,'الحركات الشهرية'!$B$6:$B$1005,$B16,'الحركات الشهرية'!$A$6:$A$1005,$C$3))</f>
        <v>0</v>
      </c>
      <c r="P16" s="111" t="n">
        <f aca="false">IF($B16="","",O16*(الموظفون!$P16+الموظفون!$L16*cfg_OT_P)/cfg_DAYS_M/cfg_HRS)</f>
        <v>0</v>
      </c>
      <c r="Q16" s="111" t="n">
        <f aca="false">IF($B16="","",SUMIFS('الحركات الشهرية'!$G$6:$G$1005,'الحركات الشهرية'!$B$6:$B$1005,$B16,'الحركات الشهرية'!$A$6:$A$1005,$C$3))</f>
        <v>0</v>
      </c>
      <c r="R16" s="111" t="n">
        <f aca="false">IF($B16="","",SUMIFS('الحركات الشهرية'!$H$6:$H$1005,'الحركات الشهرية'!$B$6:$B$1005,$B16,'الحركات الشهرية'!$A$6:$A$1005,$C$3))</f>
        <v>0</v>
      </c>
      <c r="S16" s="111" t="n">
        <f aca="false">IF($B16="","",SUMIFS('سجل الإجازات والحالات'!$N$6:$N$505,'سجل الإجازات والحالات'!$B$6:$B$505,$B16,'سجل الإجازات والحالات'!$O$6:$O$505,$C$3))</f>
        <v>0</v>
      </c>
      <c r="T16" s="152" t="n">
        <f aca="false">IF($B16="","",SUM(K16:N16)+SUM(P16:S16))</f>
        <v>6750</v>
      </c>
      <c r="U16" s="111" t="n">
        <f aca="false">IF($B16="","",الموظفون!$S16*IF(E16="سعودي",cfg_G_SE,cfg_G_NE)*G16/cfg_DAYS_M)</f>
        <v>0</v>
      </c>
      <c r="V16" s="111" t="n">
        <f aca="false">IF($B16="","",SUMIFS('الحركات الشهرية'!$I$6:$I$1005,'الحركات الشهرية'!$B$6:$B$1005,$B16,'الحركات الشهرية'!$A$6:$A$1005,$C$3))</f>
        <v>0</v>
      </c>
      <c r="W16" s="111" t="n">
        <f aca="false">IF($B16="","",SUMIFS('الحركات الشهرية'!$J$6:$J$1005,'الحركات الشهرية'!$B$6:$B$1005,$B16,'الحركات الشهرية'!$A$6:$A$1005,$C$3))</f>
        <v>0</v>
      </c>
      <c r="X16" s="111" t="n">
        <f aca="false">IF($B16="","",SUM(U16:W16))</f>
        <v>0</v>
      </c>
      <c r="Y16" s="153" t="n">
        <f aca="false">IF($B16="","",T16-X16)</f>
        <v>6750</v>
      </c>
      <c r="Z16" s="111" t="n">
        <f aca="false">IF($B16="","",الموظفون!$S16*IF(E16="سعودي",cfg_G_SR,cfg_G_NR)*G16/cfg_DAYS_M)</f>
        <v>125</v>
      </c>
      <c r="AA16" s="111" t="n">
        <f aca="false">IF($B16="","",الموظفون!$Q16*(cfg_EOS_R1*(MIN(AH16,cfg_EOS_TH)-MIN(AI16,cfg_EOS_TH))+cfg_EOS_R2*(MAX(AH16-cfg_EOS_TH,0)-MAX(AI16-cfg_EOS_TH,0))))</f>
        <v>517.808219178083</v>
      </c>
      <c r="AB16" s="111" t="n">
        <f aca="false">IF($B16="","",IF(الموظفون!$T16&lt;&gt;"",الموظفون!$T16,IF(AH16&gt;=cfg_LV_TH,cfg_LV_D2,cfg_LV_D1))/cfg_DAYS_Y*AJ16*الموظفون!$R16/cfg_DAYS_M)</f>
        <v>517.808219178082</v>
      </c>
      <c r="AC16" s="111" t="n">
        <f aca="false">IF($B16="","",IF(AND(الموظفون!$U16="نعم",N(الموظفون!$W16)&gt;0),الموظفون!$V16/الموظفون!$W16*12/cfg_DAYS_Y*AJ16,0))</f>
        <v>99.7260273972603</v>
      </c>
      <c r="AD16" s="111" t="n">
        <f aca="false">IF($B16="","",(IF(الموظفون!$X16&lt;&gt;"",الموظفون!$X16,IF(الموظفون!$E16="غير سعودي",cfg_IQ,0))+IF(الموظفون!$Y16&lt;&gt;"",الموظفون!$Y16,IF(الموظفون!$E16="غير سعودي",cfg_WP,0)))/12*G16/cfg_DAYS_M)</f>
        <v>854.166666666667</v>
      </c>
      <c r="AE16" s="111" t="n">
        <f aca="false">IF($B16="","",IF(الموظفون!$Z16&lt;&gt;"",الموظفون!$Z16,cfg_MED)/12*G16/cfg_DAYS_M)</f>
        <v>150</v>
      </c>
      <c r="AF16" s="111" t="n">
        <f aca="false">IF($B16="","",N(الموظفون!$AA16)/12*G16/cfg_DAYS_M)</f>
        <v>0</v>
      </c>
      <c r="AG16" s="154" t="n">
        <f aca="false">IF($B16="","",T16+SUM(Z16:AF16))</f>
        <v>9014.50913242009</v>
      </c>
      <c r="AH16" s="155" t="n">
        <f aca="false">IF($B16="","",MAX(0,IF(OR(الموظفون!$AE16="",الموظفون!$AE16&gt;$F$3),$F$3,الموظفون!$AE16)-الموظفون!$H16+1-SUMIFS('سجل الإجازات والحالات'!$AI$6:$AI$505,'سجل الإجازات والحالات'!$B$6:$B$505,$B16))/cfg_DAYS_Y)</f>
        <v>7.0054794520548</v>
      </c>
      <c r="AI16" s="155" t="n">
        <f aca="false">IF($B16="","",MAX(0,IF(OR(الموظفون!$AE16="",الموظفون!$AE16&gt;($E$3-1)),($E$3-1),الموظفون!$AE16)-الموظفون!$H16+1-SUMIFS('سجل الإجازات والحالات'!$AH$6:$AH$505,'سجل الإجازات والحالات'!$B$6:$B$505,$B16))/cfg_DAYS_Y)</f>
        <v>6.92876712328767</v>
      </c>
      <c r="AJ16" s="65" t="n">
        <f aca="false">IF($B16="","",MAX(0,AK16-(SUMIFS('سجل الإجازات والحالات'!$AI$6:$AI$505,'سجل الإجازات والحالات'!$B$6:$B$505,$B16)-SUMIFS('سجل الإجازات والحالات'!$AH$6:$AH$505,'سجل الإجازات والحالات'!$B$6:$B$505,$B16))))</f>
        <v>28</v>
      </c>
      <c r="AK16" s="65" t="n">
        <f aca="false">IF($B16="","",MAX(0,IF(OR(الموظفون!$AE16="",الموظفون!$AE16&gt;$F$3),$F$3,الموظفون!$AE16)-MAX($E$3,الموظفون!$H16)+1))</f>
        <v>28</v>
      </c>
      <c r="AL16" s="151" t="n">
        <f aca="false">IF($B16="","",SUMIFS('سجل الإجازات والحالات'!$AU$6:$AU$505,'سجل الإجازات والحالات'!$B$6:$B$505,$B16)+SUMIFS('الحركات الشهرية'!$K$6:$K$1005,'الحركات الشهرية'!$B$6:$B$1005,$B16,'الحركات الشهرية'!$A$6:$A$1005,$C$3))</f>
        <v>0</v>
      </c>
      <c r="AM16" s="111" t="n">
        <f aca="false">IF($B16="","",AL16*الموظفون!$R16/cfg_DAYS_M+S16)</f>
        <v>0</v>
      </c>
      <c r="AN16" s="151" t="n">
        <f aca="false">IF($B16="","",SUMIFS('سجل الإجازات والحالات'!$W$6:$W$505,'سجل الإجازات والحالات'!$B$6:$B$505,$B16))</f>
        <v>0</v>
      </c>
    </row>
    <row r="17" customFormat="false" ht="15" hidden="false" customHeight="false" outlineLevel="0" collapsed="false">
      <c r="A17" s="115" t="n">
        <f aca="false">IF($B17="","",الموظفون!$A17)</f>
        <v>12</v>
      </c>
      <c r="B17" s="117" t="str">
        <f aca="false">IF(الموظفون!$B17="","",الموظفون!$B17)</f>
        <v>E012</v>
      </c>
      <c r="C17" s="117" t="str">
        <f aca="false">IF($B17="","",الموظفون!$C17)</f>
        <v>عمر حسين البيشي</v>
      </c>
      <c r="D17" s="117" t="str">
        <f aca="false">IF($B17="","",الموظفون!$F17)</f>
        <v>تقنية المعلومات</v>
      </c>
      <c r="E17" s="117" t="str">
        <f aca="false">IF($B17="","",الموظفون!$E17)</f>
        <v>سعودي</v>
      </c>
      <c r="F17" s="117" t="str">
        <f aca="false">IF($B17="","",IF(AK17=0,IF(AND(الموظفون!$AE17&lt;&gt;"",الموظفون!$AE17&lt;$E$3),"✖ منتهي الخدمة","⏳ لم يباشر"),IF(S17&gt;0,"✈ راتب إجازة مقدم",IF(J17=0,"⛔ بدون راتب هذا الشهر",IF(I17&gt;0,"✈ خصم "&amp;ROUND(I17,2)&amp;" يوم بدون أجر",IF(AL17&gt;0,"🌴 إجازة سنوية "&amp;ROUND(AL17,2)&amp;" يوم",IF(H17&gt;0,"⚠ غياب "&amp;ROUND(H17,2)&amp;" يوم","✔ على رأس العمل")))))))</f>
        <v>✔ على رأس العمل</v>
      </c>
      <c r="G17" s="156" t="n">
        <f aca="false">IF($B17="","",IF(AK17&gt;=DAY($F$3),cfg_DAYS_M,MIN(AK17,cfg_DAYS_M)))</f>
        <v>30</v>
      </c>
      <c r="H17" s="156" t="n">
        <f aca="false">IF($B17="","",SUMIFS('الحركات الشهرية'!$D$6:$D$1005,'الحركات الشهرية'!$B$6:$B$1005,$B17,'الحركات الشهرية'!$A$6:$A$1005,$C$3))</f>
        <v>0</v>
      </c>
      <c r="I17" s="156" t="n">
        <f aca="false">IF($B17="","",MIN(G17,IF(AND(AK17&gt;0,AN17&gt;=AK17),G17,AN17)+SUMIFS('الحركات الشهرية'!$E$6:$E$1005,'الحركات الشهرية'!$B$6:$B$1005,$B17,'الحركات الشهرية'!$A$6:$A$1005,$C$3)))</f>
        <v>0</v>
      </c>
      <c r="J17" s="156" t="n">
        <f aca="false">IF($B17="","",MAX(0,G17-H17-I17))</f>
        <v>30</v>
      </c>
      <c r="K17" s="116" t="n">
        <f aca="false">IF($B17="","",الموظفون!$L17*$J17/cfg_DAYS_M)</f>
        <v>12000</v>
      </c>
      <c r="L17" s="116" t="n">
        <f aca="false">IF($B17="","",الموظفون!$M17*$J17/cfg_DAYS_M)</f>
        <v>3000</v>
      </c>
      <c r="M17" s="116" t="n">
        <f aca="false">IF($B17="","",الموظفون!$N17*$J17/cfg_DAYS_M)</f>
        <v>1200</v>
      </c>
      <c r="N17" s="116" t="n">
        <f aca="false">IF($B17="","",الموظفون!$O17*$J17/cfg_DAYS_M)</f>
        <v>1500</v>
      </c>
      <c r="O17" s="156" t="n">
        <f aca="false">IF($B17="","",SUMIFS('الحركات الشهرية'!$F$6:$F$1005,'الحركات الشهرية'!$B$6:$B$1005,$B17,'الحركات الشهرية'!$A$6:$A$1005,$C$3))</f>
        <v>0</v>
      </c>
      <c r="P17" s="116" t="n">
        <f aca="false">IF($B17="","",O17*(الموظفون!$P17+الموظفون!$L17*cfg_OT_P)/cfg_DAYS_M/cfg_HRS)</f>
        <v>0</v>
      </c>
      <c r="Q17" s="116" t="n">
        <f aca="false">IF($B17="","",SUMIFS('الحركات الشهرية'!$G$6:$G$1005,'الحركات الشهرية'!$B$6:$B$1005,$B17,'الحركات الشهرية'!$A$6:$A$1005,$C$3))</f>
        <v>0</v>
      </c>
      <c r="R17" s="116" t="n">
        <f aca="false">IF($B17="","",SUMIFS('الحركات الشهرية'!$H$6:$H$1005,'الحركات الشهرية'!$B$6:$B$1005,$B17,'الحركات الشهرية'!$A$6:$A$1005,$C$3))</f>
        <v>0</v>
      </c>
      <c r="S17" s="116" t="n">
        <f aca="false">IF($B17="","",SUMIFS('سجل الإجازات والحالات'!$N$6:$N$505,'سجل الإجازات والحالات'!$B$6:$B$505,$B17,'سجل الإجازات والحالات'!$O$6:$O$505,$C$3))</f>
        <v>0</v>
      </c>
      <c r="T17" s="157" t="n">
        <f aca="false">IF($B17="","",SUM(K17:N17)+SUM(P17:S17))</f>
        <v>17700</v>
      </c>
      <c r="U17" s="116" t="n">
        <f aca="false">IF($B17="","",الموظفون!$S17*IF(E17="سعودي",cfg_G_SE,cfg_G_NE)*G17/cfg_DAYS_M)</f>
        <v>1462.5</v>
      </c>
      <c r="V17" s="116" t="n">
        <f aca="false">IF($B17="","",SUMIFS('الحركات الشهرية'!$I$6:$I$1005,'الحركات الشهرية'!$B$6:$B$1005,$B17,'الحركات الشهرية'!$A$6:$A$1005,$C$3))</f>
        <v>0</v>
      </c>
      <c r="W17" s="116" t="n">
        <f aca="false">IF($B17="","",SUMIFS('الحركات الشهرية'!$J$6:$J$1005,'الحركات الشهرية'!$B$6:$B$1005,$B17,'الحركات الشهرية'!$A$6:$A$1005,$C$3))</f>
        <v>0</v>
      </c>
      <c r="X17" s="116" t="n">
        <f aca="false">IF($B17="","",SUM(U17:W17))</f>
        <v>1462.5</v>
      </c>
      <c r="Y17" s="158" t="n">
        <f aca="false">IF($B17="","",T17-X17)</f>
        <v>16237.5</v>
      </c>
      <c r="Z17" s="116" t="n">
        <f aca="false">IF($B17="","",الموظفون!$S17*IF(E17="سعودي",cfg_G_SR,cfg_G_NR)*G17/cfg_DAYS_M)</f>
        <v>1762.5</v>
      </c>
      <c r="AA17" s="116" t="n">
        <f aca="false">IF($B17="","",الموظفون!$Q17*(cfg_EOS_R1*(MIN(AH17,cfg_EOS_TH)-MIN(AI17,cfg_EOS_TH))+cfg_EOS_R2*(MAX(AH17-cfg_EOS_TH,0)-MAX(AI17-cfg_EOS_TH,0))))</f>
        <v>621.3698630137</v>
      </c>
      <c r="AB17" s="116" t="n">
        <f aca="false">IF($B17="","",IF(الموظفون!$T17&lt;&gt;"",الموظفون!$T17,IF(AH17&gt;=cfg_LV_TH,cfg_LV_D2,cfg_LV_D1))/cfg_DAYS_Y*AJ17*الموظفون!$R17/cfg_DAYS_M)</f>
        <v>869.917808219178</v>
      </c>
      <c r="AC17" s="116" t="n">
        <f aca="false">IF($B17="","",IF(AND(الموظفون!$U17="نعم",N(الموظفون!$W17)&gt;0),الموظفون!$V17/الموظفون!$W17*12/cfg_DAYS_Y*AJ17,0))</f>
        <v>0</v>
      </c>
      <c r="AD17" s="116" t="n">
        <f aca="false">IF($B17="","",(IF(الموظفون!$X17&lt;&gt;"",الموظفون!$X17,IF(الموظفون!$E17="غير سعودي",cfg_IQ,0))+IF(الموظفون!$Y17&lt;&gt;"",الموظفون!$Y17,IF(الموظفون!$E17="غير سعودي",cfg_WP,0)))/12*G17/cfg_DAYS_M)</f>
        <v>0</v>
      </c>
      <c r="AE17" s="116" t="n">
        <f aca="false">IF($B17="","",IF(الموظفون!$Z17&lt;&gt;"",الموظفون!$Z17,cfg_MED)/12*G17/cfg_DAYS_M)</f>
        <v>200</v>
      </c>
      <c r="AF17" s="116" t="n">
        <f aca="false">IF($B17="","",N(الموظفون!$AA17)/12*G17/cfg_DAYS_M)</f>
        <v>0</v>
      </c>
      <c r="AG17" s="159" t="n">
        <f aca="false">IF($B17="","",T17+SUM(Z17:AF17))</f>
        <v>21153.7876712329</v>
      </c>
      <c r="AH17" s="160" t="n">
        <f aca="false">IF($B17="","",MAX(0,IF(OR(الموظفون!$AE17="",الموظفون!$AE17&gt;$F$3),$F$3,الموظفون!$AE17)-الموظفون!$H17+1-SUMIFS('سجل الإجازات والحالات'!$AI$6:$AI$505,'سجل الإجازات والحالات'!$B$6:$B$505,$B17))/cfg_DAYS_Y)</f>
        <v>3.64383561643836</v>
      </c>
      <c r="AI17" s="160" t="n">
        <f aca="false">IF($B17="","",MAX(0,IF(OR(الموظفون!$AE17="",الموظفون!$AE17&gt;($E$3-1)),($E$3-1),الموظفون!$AE17)-الموظفون!$H17+1-SUMIFS('سجل الإجازات والحالات'!$AH$6:$AH$505,'سجل الإجازات والحالات'!$B$6:$B$505,$B17))/cfg_DAYS_Y)</f>
        <v>3.56712328767123</v>
      </c>
      <c r="AJ17" s="133" t="n">
        <f aca="false">IF($B17="","",MAX(0,AK17-(SUMIFS('سجل الإجازات والحالات'!$AI$6:$AI$505,'سجل الإجازات والحالات'!$B$6:$B$505,$B17)-SUMIFS('سجل الإجازات والحالات'!$AH$6:$AH$505,'سجل الإجازات والحالات'!$B$6:$B$505,$B17))))</f>
        <v>28</v>
      </c>
      <c r="AK17" s="133" t="n">
        <f aca="false">IF($B17="","",MAX(0,IF(OR(الموظفون!$AE17="",الموظفون!$AE17&gt;$F$3),$F$3,الموظفون!$AE17)-MAX($E$3,الموظفون!$H17)+1))</f>
        <v>28</v>
      </c>
      <c r="AL17" s="156" t="n">
        <f aca="false">IF($B17="","",SUMIFS('سجل الإجازات والحالات'!$AU$6:$AU$505,'سجل الإجازات والحالات'!$B$6:$B$505,$B17)+SUMIFS('الحركات الشهرية'!$K$6:$K$1005,'الحركات الشهرية'!$B$6:$B$1005,$B17,'الحركات الشهرية'!$A$6:$A$1005,$C$3))</f>
        <v>0</v>
      </c>
      <c r="AM17" s="116" t="n">
        <f aca="false">IF($B17="","",AL17*الموظفون!$R17/cfg_DAYS_M+S17)</f>
        <v>0</v>
      </c>
      <c r="AN17" s="156" t="n">
        <f aca="false">IF($B17="","",SUMIFS('سجل الإجازات والحالات'!$W$6:$W$505,'سجل الإجازات والحالات'!$B$6:$B$505,$B17))</f>
        <v>0</v>
      </c>
    </row>
    <row r="18" customFormat="false" ht="15" hidden="false" customHeight="false" outlineLevel="0" collapsed="false">
      <c r="A18" s="106" t="str">
        <f aca="false">IF($B18="","",الموظفون!$A18)</f>
        <v/>
      </c>
      <c r="B18" s="114" t="str">
        <f aca="false">IF(الموظفون!$B18="","",الموظفون!$B18)</f>
        <v/>
      </c>
      <c r="C18" s="114" t="str">
        <f aca="false">IF($B18="","",الموظفون!$C18)</f>
        <v/>
      </c>
      <c r="D18" s="114" t="str">
        <f aca="false">IF($B18="","",الموظفون!$F18)</f>
        <v/>
      </c>
      <c r="E18" s="114" t="str">
        <f aca="false">IF($B18="","",الموظفون!$E18)</f>
        <v/>
      </c>
      <c r="F18" s="114" t="str">
        <f aca="false">IF($B18="","",IF(AK18=0,IF(AND(الموظفون!$AE18&lt;&gt;"",الموظفون!$AE18&lt;$E$3),"✖ منتهي الخدمة","⏳ لم يباشر"),IF(S18&gt;0,"✈ راتب إجازة مقدم",IF(J18=0,"⛔ بدون راتب هذا الشهر",IF(I18&gt;0,"✈ خصم "&amp;ROUND(I18,2)&amp;" يوم بدون أجر",IF(AL18&gt;0,"🌴 إجازة سنوية "&amp;ROUND(AL18,2)&amp;" يوم",IF(H18&gt;0,"⚠ غياب "&amp;ROUND(H18,2)&amp;" يوم","✔ على رأس العمل")))))))</f>
        <v/>
      </c>
      <c r="G18" s="151" t="str">
        <f aca="false">IF($B18="","",IF(AK18&gt;=DAY($F$3),cfg_DAYS_M,MIN(AK18,cfg_DAYS_M)))</f>
        <v/>
      </c>
      <c r="H18" s="151" t="str">
        <f aca="false">IF($B18="","",SUMIFS('الحركات الشهرية'!$D$6:$D$1005,'الحركات الشهرية'!$B$6:$B$1005,$B18,'الحركات الشهرية'!$A$6:$A$1005,$C$3))</f>
        <v/>
      </c>
      <c r="I18" s="151" t="str">
        <f aca="false">IF($B18="","",MIN(G18,IF(AND(AK18&gt;0,AN18&gt;=AK18),G18,AN18)+SUMIFS('الحركات الشهرية'!$E$6:$E$1005,'الحركات الشهرية'!$B$6:$B$1005,$B18,'الحركات الشهرية'!$A$6:$A$1005,$C$3)))</f>
        <v/>
      </c>
      <c r="J18" s="151" t="str">
        <f aca="false">IF($B18="","",MAX(0,G18-H18-I18))</f>
        <v/>
      </c>
      <c r="K18" s="111" t="str">
        <f aca="false">IF($B18="","",الموظفون!$L18*$J18/cfg_DAYS_M)</f>
        <v/>
      </c>
      <c r="L18" s="111" t="str">
        <f aca="false">IF($B18="","",الموظفون!$M18*$J18/cfg_DAYS_M)</f>
        <v/>
      </c>
      <c r="M18" s="111" t="str">
        <f aca="false">IF($B18="","",الموظفون!$N18*$J18/cfg_DAYS_M)</f>
        <v/>
      </c>
      <c r="N18" s="111" t="str">
        <f aca="false">IF($B18="","",الموظفون!$O18*$J18/cfg_DAYS_M)</f>
        <v/>
      </c>
      <c r="O18" s="151" t="str">
        <f aca="false">IF($B18="","",SUMIFS('الحركات الشهرية'!$F$6:$F$1005,'الحركات الشهرية'!$B$6:$B$1005,$B18,'الحركات الشهرية'!$A$6:$A$1005,$C$3))</f>
        <v/>
      </c>
      <c r="P18" s="111" t="str">
        <f aca="false">IF($B18="","",O18*(الموظفون!$P18+الموظفون!$L18*cfg_OT_P)/cfg_DAYS_M/cfg_HRS)</f>
        <v/>
      </c>
      <c r="Q18" s="111" t="str">
        <f aca="false">IF($B18="","",SUMIFS('الحركات الشهرية'!$G$6:$G$1005,'الحركات الشهرية'!$B$6:$B$1005,$B18,'الحركات الشهرية'!$A$6:$A$1005,$C$3))</f>
        <v/>
      </c>
      <c r="R18" s="111" t="str">
        <f aca="false">IF($B18="","",SUMIFS('الحركات الشهرية'!$H$6:$H$1005,'الحركات الشهرية'!$B$6:$B$1005,$B18,'الحركات الشهرية'!$A$6:$A$1005,$C$3))</f>
        <v/>
      </c>
      <c r="S18" s="111" t="str">
        <f aca="false">IF($B18="","",SUMIFS('سجل الإجازات والحالات'!$N$6:$N$505,'سجل الإجازات والحالات'!$B$6:$B$505,$B18,'سجل الإجازات والحالات'!$O$6:$O$505,$C$3))</f>
        <v/>
      </c>
      <c r="T18" s="152" t="str">
        <f aca="false">IF($B18="","",SUM(K18:N18)+SUM(P18:S18))</f>
        <v/>
      </c>
      <c r="U18" s="111" t="str">
        <f aca="false">IF($B18="","",الموظفون!$S18*IF(E18="سعودي",cfg_G_SE,cfg_G_NE)*G18/cfg_DAYS_M)</f>
        <v/>
      </c>
      <c r="V18" s="111" t="str">
        <f aca="false">IF($B18="","",SUMIFS('الحركات الشهرية'!$I$6:$I$1005,'الحركات الشهرية'!$B$6:$B$1005,$B18,'الحركات الشهرية'!$A$6:$A$1005,$C$3))</f>
        <v/>
      </c>
      <c r="W18" s="111" t="str">
        <f aca="false">IF($B18="","",SUMIFS('الحركات الشهرية'!$J$6:$J$1005,'الحركات الشهرية'!$B$6:$B$1005,$B18,'الحركات الشهرية'!$A$6:$A$1005,$C$3))</f>
        <v/>
      </c>
      <c r="X18" s="111" t="str">
        <f aca="false">IF($B18="","",SUM(U18:W18))</f>
        <v/>
      </c>
      <c r="Y18" s="153" t="str">
        <f aca="false">IF($B18="","",T18-X18)</f>
        <v/>
      </c>
      <c r="Z18" s="111" t="str">
        <f aca="false">IF($B18="","",الموظفون!$S18*IF(E18="سعودي",cfg_G_SR,cfg_G_NR)*G18/cfg_DAYS_M)</f>
        <v/>
      </c>
      <c r="AA18" s="111" t="str">
        <f aca="false">IF($B18="","",الموظفون!$Q18*(cfg_EOS_R1*(MIN(AH18,cfg_EOS_TH)-MIN(AI18,cfg_EOS_TH))+cfg_EOS_R2*(MAX(AH18-cfg_EOS_TH,0)-MAX(AI18-cfg_EOS_TH,0))))</f>
        <v/>
      </c>
      <c r="AB18" s="111" t="str">
        <f aca="false">IF($B18="","",IF(الموظفون!$T18&lt;&gt;"",الموظفون!$T18,IF(AH18&gt;=cfg_LV_TH,cfg_LV_D2,cfg_LV_D1))/cfg_DAYS_Y*AJ18*الموظفون!$R18/cfg_DAYS_M)</f>
        <v/>
      </c>
      <c r="AC18" s="111" t="str">
        <f aca="false">IF($B18="","",IF(AND(الموظفون!$U18="نعم",N(الموظفون!$W18)&gt;0),الموظفون!$V18/الموظفون!$W18*12/cfg_DAYS_Y*AJ18,0))</f>
        <v/>
      </c>
      <c r="AD18" s="111" t="str">
        <f aca="false">IF($B18="","",(IF(الموظفون!$X18&lt;&gt;"",الموظفون!$X18,IF(الموظفون!$E18="غير سعودي",cfg_IQ,0))+IF(الموظفون!$Y18&lt;&gt;"",الموظفون!$Y18,IF(الموظفون!$E18="غير سعودي",cfg_WP,0)))/12*G18/cfg_DAYS_M)</f>
        <v/>
      </c>
      <c r="AE18" s="111" t="str">
        <f aca="false">IF($B18="","",IF(الموظفون!$Z18&lt;&gt;"",الموظفون!$Z18,cfg_MED)/12*G18/cfg_DAYS_M)</f>
        <v/>
      </c>
      <c r="AF18" s="111" t="str">
        <f aca="false">IF($B18="","",N(الموظفون!$AA18)/12*G18/cfg_DAYS_M)</f>
        <v/>
      </c>
      <c r="AG18" s="154" t="str">
        <f aca="false">IF($B18="","",T18+SUM(Z18:AF18))</f>
        <v/>
      </c>
      <c r="AH18" s="155" t="str">
        <f aca="false">IF($B18="","",MAX(0,IF(OR(الموظفون!$AE18="",الموظفون!$AE18&gt;$F$3),$F$3,الموظفون!$AE18)-الموظفون!$H18+1-SUMIFS('سجل الإجازات والحالات'!$AI$6:$AI$505,'سجل الإجازات والحالات'!$B$6:$B$505,$B18))/cfg_DAYS_Y)</f>
        <v/>
      </c>
      <c r="AI18" s="155" t="str">
        <f aca="false">IF($B18="","",MAX(0,IF(OR(الموظفون!$AE18="",الموظفون!$AE18&gt;($E$3-1)),($E$3-1),الموظفون!$AE18)-الموظفون!$H18+1-SUMIFS('سجل الإجازات والحالات'!$AH$6:$AH$505,'سجل الإجازات والحالات'!$B$6:$B$505,$B18))/cfg_DAYS_Y)</f>
        <v/>
      </c>
      <c r="AJ18" s="65" t="str">
        <f aca="false">IF($B18="","",MAX(0,AK18-(SUMIFS('سجل الإجازات والحالات'!$AI$6:$AI$505,'سجل الإجازات والحالات'!$B$6:$B$505,$B18)-SUMIFS('سجل الإجازات والحالات'!$AH$6:$AH$505,'سجل الإجازات والحالات'!$B$6:$B$505,$B18))))</f>
        <v/>
      </c>
      <c r="AK18" s="65" t="str">
        <f aca="false">IF($B18="","",MAX(0,IF(OR(الموظفون!$AE18="",الموظفون!$AE18&gt;$F$3),$F$3,الموظفون!$AE18)-MAX($E$3,الموظفون!$H18)+1))</f>
        <v/>
      </c>
      <c r="AL18" s="151" t="str">
        <f aca="false">IF($B18="","",SUMIFS('سجل الإجازات والحالات'!$AU$6:$AU$505,'سجل الإجازات والحالات'!$B$6:$B$505,$B18)+SUMIFS('الحركات الشهرية'!$K$6:$K$1005,'الحركات الشهرية'!$B$6:$B$1005,$B18,'الحركات الشهرية'!$A$6:$A$1005,$C$3))</f>
        <v/>
      </c>
      <c r="AM18" s="111" t="str">
        <f aca="false">IF($B18="","",AL18*الموظفون!$R18/cfg_DAYS_M+S18)</f>
        <v/>
      </c>
      <c r="AN18" s="151" t="str">
        <f aca="false">IF($B18="","",SUMIFS('سجل الإجازات والحالات'!$W$6:$W$505,'سجل الإجازات والحالات'!$B$6:$B$505,$B18))</f>
        <v/>
      </c>
    </row>
    <row r="19" customFormat="false" ht="15" hidden="false" customHeight="false" outlineLevel="0" collapsed="false">
      <c r="A19" s="115" t="str">
        <f aca="false">IF($B19="","",الموظفون!$A19)</f>
        <v/>
      </c>
      <c r="B19" s="117" t="str">
        <f aca="false">IF(الموظفون!$B19="","",الموظفون!$B19)</f>
        <v/>
      </c>
      <c r="C19" s="117" t="str">
        <f aca="false">IF($B19="","",الموظفون!$C19)</f>
        <v/>
      </c>
      <c r="D19" s="117" t="str">
        <f aca="false">IF($B19="","",الموظفون!$F19)</f>
        <v/>
      </c>
      <c r="E19" s="117" t="str">
        <f aca="false">IF($B19="","",الموظفون!$E19)</f>
        <v/>
      </c>
      <c r="F19" s="117" t="str">
        <f aca="false">IF($B19="","",IF(AK19=0,IF(AND(الموظفون!$AE19&lt;&gt;"",الموظفون!$AE19&lt;$E$3),"✖ منتهي الخدمة","⏳ لم يباشر"),IF(S19&gt;0,"✈ راتب إجازة مقدم",IF(J19=0,"⛔ بدون راتب هذا الشهر",IF(I19&gt;0,"✈ خصم "&amp;ROUND(I19,2)&amp;" يوم بدون أجر",IF(AL19&gt;0,"🌴 إجازة سنوية "&amp;ROUND(AL19,2)&amp;" يوم",IF(H19&gt;0,"⚠ غياب "&amp;ROUND(H19,2)&amp;" يوم","✔ على رأس العمل")))))))</f>
        <v/>
      </c>
      <c r="G19" s="156" t="str">
        <f aca="false">IF($B19="","",IF(AK19&gt;=DAY($F$3),cfg_DAYS_M,MIN(AK19,cfg_DAYS_M)))</f>
        <v/>
      </c>
      <c r="H19" s="156" t="str">
        <f aca="false">IF($B19="","",SUMIFS('الحركات الشهرية'!$D$6:$D$1005,'الحركات الشهرية'!$B$6:$B$1005,$B19,'الحركات الشهرية'!$A$6:$A$1005,$C$3))</f>
        <v/>
      </c>
      <c r="I19" s="156" t="str">
        <f aca="false">IF($B19="","",MIN(G19,IF(AND(AK19&gt;0,AN19&gt;=AK19),G19,AN19)+SUMIFS('الحركات الشهرية'!$E$6:$E$1005,'الحركات الشهرية'!$B$6:$B$1005,$B19,'الحركات الشهرية'!$A$6:$A$1005,$C$3)))</f>
        <v/>
      </c>
      <c r="J19" s="156" t="str">
        <f aca="false">IF($B19="","",MAX(0,G19-H19-I19))</f>
        <v/>
      </c>
      <c r="K19" s="116" t="str">
        <f aca="false">IF($B19="","",الموظفون!$L19*$J19/cfg_DAYS_M)</f>
        <v/>
      </c>
      <c r="L19" s="116" t="str">
        <f aca="false">IF($B19="","",الموظفون!$M19*$J19/cfg_DAYS_M)</f>
        <v/>
      </c>
      <c r="M19" s="116" t="str">
        <f aca="false">IF($B19="","",الموظفون!$N19*$J19/cfg_DAYS_M)</f>
        <v/>
      </c>
      <c r="N19" s="116" t="str">
        <f aca="false">IF($B19="","",الموظفون!$O19*$J19/cfg_DAYS_M)</f>
        <v/>
      </c>
      <c r="O19" s="156" t="str">
        <f aca="false">IF($B19="","",SUMIFS('الحركات الشهرية'!$F$6:$F$1005,'الحركات الشهرية'!$B$6:$B$1005,$B19,'الحركات الشهرية'!$A$6:$A$1005,$C$3))</f>
        <v/>
      </c>
      <c r="P19" s="116" t="str">
        <f aca="false">IF($B19="","",O19*(الموظفون!$P19+الموظفون!$L19*cfg_OT_P)/cfg_DAYS_M/cfg_HRS)</f>
        <v/>
      </c>
      <c r="Q19" s="116" t="str">
        <f aca="false">IF($B19="","",SUMIFS('الحركات الشهرية'!$G$6:$G$1005,'الحركات الشهرية'!$B$6:$B$1005,$B19,'الحركات الشهرية'!$A$6:$A$1005,$C$3))</f>
        <v/>
      </c>
      <c r="R19" s="116" t="str">
        <f aca="false">IF($B19="","",SUMIFS('الحركات الشهرية'!$H$6:$H$1005,'الحركات الشهرية'!$B$6:$B$1005,$B19,'الحركات الشهرية'!$A$6:$A$1005,$C$3))</f>
        <v/>
      </c>
      <c r="S19" s="116" t="str">
        <f aca="false">IF($B19="","",SUMIFS('سجل الإجازات والحالات'!$N$6:$N$505,'سجل الإجازات والحالات'!$B$6:$B$505,$B19,'سجل الإجازات والحالات'!$O$6:$O$505,$C$3))</f>
        <v/>
      </c>
      <c r="T19" s="157" t="str">
        <f aca="false">IF($B19="","",SUM(K19:N19)+SUM(P19:S19))</f>
        <v/>
      </c>
      <c r="U19" s="116" t="str">
        <f aca="false">IF($B19="","",الموظفون!$S19*IF(E19="سعودي",cfg_G_SE,cfg_G_NE)*G19/cfg_DAYS_M)</f>
        <v/>
      </c>
      <c r="V19" s="116" t="str">
        <f aca="false">IF($B19="","",SUMIFS('الحركات الشهرية'!$I$6:$I$1005,'الحركات الشهرية'!$B$6:$B$1005,$B19,'الحركات الشهرية'!$A$6:$A$1005,$C$3))</f>
        <v/>
      </c>
      <c r="W19" s="116" t="str">
        <f aca="false">IF($B19="","",SUMIFS('الحركات الشهرية'!$J$6:$J$1005,'الحركات الشهرية'!$B$6:$B$1005,$B19,'الحركات الشهرية'!$A$6:$A$1005,$C$3))</f>
        <v/>
      </c>
      <c r="X19" s="116" t="str">
        <f aca="false">IF($B19="","",SUM(U19:W19))</f>
        <v/>
      </c>
      <c r="Y19" s="158" t="str">
        <f aca="false">IF($B19="","",T19-X19)</f>
        <v/>
      </c>
      <c r="Z19" s="116" t="str">
        <f aca="false">IF($B19="","",الموظفون!$S19*IF(E19="سعودي",cfg_G_SR,cfg_G_NR)*G19/cfg_DAYS_M)</f>
        <v/>
      </c>
      <c r="AA19" s="116" t="str">
        <f aca="false">IF($B19="","",الموظفون!$Q19*(cfg_EOS_R1*(MIN(AH19,cfg_EOS_TH)-MIN(AI19,cfg_EOS_TH))+cfg_EOS_R2*(MAX(AH19-cfg_EOS_TH,0)-MAX(AI19-cfg_EOS_TH,0))))</f>
        <v/>
      </c>
      <c r="AB19" s="116" t="str">
        <f aca="false">IF($B19="","",IF(الموظفون!$T19&lt;&gt;"",الموظفون!$T19,IF(AH19&gt;=cfg_LV_TH,cfg_LV_D2,cfg_LV_D1))/cfg_DAYS_Y*AJ19*الموظفون!$R19/cfg_DAYS_M)</f>
        <v/>
      </c>
      <c r="AC19" s="116" t="str">
        <f aca="false">IF($B19="","",IF(AND(الموظفون!$U19="نعم",N(الموظفون!$W19)&gt;0),الموظفون!$V19/الموظفون!$W19*12/cfg_DAYS_Y*AJ19,0))</f>
        <v/>
      </c>
      <c r="AD19" s="116" t="str">
        <f aca="false">IF($B19="","",(IF(الموظفون!$X19&lt;&gt;"",الموظفون!$X19,IF(الموظفون!$E19="غير سعودي",cfg_IQ,0))+IF(الموظفون!$Y19&lt;&gt;"",الموظفون!$Y19,IF(الموظفون!$E19="غير سعودي",cfg_WP,0)))/12*G19/cfg_DAYS_M)</f>
        <v/>
      </c>
      <c r="AE19" s="116" t="str">
        <f aca="false">IF($B19="","",IF(الموظفون!$Z19&lt;&gt;"",الموظفون!$Z19,cfg_MED)/12*G19/cfg_DAYS_M)</f>
        <v/>
      </c>
      <c r="AF19" s="116" t="str">
        <f aca="false">IF($B19="","",N(الموظفون!$AA19)/12*G19/cfg_DAYS_M)</f>
        <v/>
      </c>
      <c r="AG19" s="159" t="str">
        <f aca="false">IF($B19="","",T19+SUM(Z19:AF19))</f>
        <v/>
      </c>
      <c r="AH19" s="160" t="str">
        <f aca="false">IF($B19="","",MAX(0,IF(OR(الموظفون!$AE19="",الموظفون!$AE19&gt;$F$3),$F$3,الموظفون!$AE19)-الموظفون!$H19+1-SUMIFS('سجل الإجازات والحالات'!$AI$6:$AI$505,'سجل الإجازات والحالات'!$B$6:$B$505,$B19))/cfg_DAYS_Y)</f>
        <v/>
      </c>
      <c r="AI19" s="160" t="str">
        <f aca="false">IF($B19="","",MAX(0,IF(OR(الموظفون!$AE19="",الموظفون!$AE19&gt;($E$3-1)),($E$3-1),الموظفون!$AE19)-الموظفون!$H19+1-SUMIFS('سجل الإجازات والحالات'!$AH$6:$AH$505,'سجل الإجازات والحالات'!$B$6:$B$505,$B19))/cfg_DAYS_Y)</f>
        <v/>
      </c>
      <c r="AJ19" s="133" t="str">
        <f aca="false">IF($B19="","",MAX(0,AK19-(SUMIFS('سجل الإجازات والحالات'!$AI$6:$AI$505,'سجل الإجازات والحالات'!$B$6:$B$505,$B19)-SUMIFS('سجل الإجازات والحالات'!$AH$6:$AH$505,'سجل الإجازات والحالات'!$B$6:$B$505,$B19))))</f>
        <v/>
      </c>
      <c r="AK19" s="133" t="str">
        <f aca="false">IF($B19="","",MAX(0,IF(OR(الموظفون!$AE19="",الموظفون!$AE19&gt;$F$3),$F$3,الموظفون!$AE19)-MAX($E$3,الموظفون!$H19)+1))</f>
        <v/>
      </c>
      <c r="AL19" s="156" t="str">
        <f aca="false">IF($B19="","",SUMIFS('سجل الإجازات والحالات'!$AU$6:$AU$505,'سجل الإجازات والحالات'!$B$6:$B$505,$B19)+SUMIFS('الحركات الشهرية'!$K$6:$K$1005,'الحركات الشهرية'!$B$6:$B$1005,$B19,'الحركات الشهرية'!$A$6:$A$1005,$C$3))</f>
        <v/>
      </c>
      <c r="AM19" s="116" t="str">
        <f aca="false">IF($B19="","",AL19*الموظفون!$R19/cfg_DAYS_M+S19)</f>
        <v/>
      </c>
      <c r="AN19" s="156" t="str">
        <f aca="false">IF($B19="","",SUMIFS('سجل الإجازات والحالات'!$W$6:$W$505,'سجل الإجازات والحالات'!$B$6:$B$505,$B19))</f>
        <v/>
      </c>
    </row>
    <row r="20" customFormat="false" ht="15" hidden="false" customHeight="false" outlineLevel="0" collapsed="false">
      <c r="A20" s="106" t="str">
        <f aca="false">IF($B20="","",الموظفون!$A20)</f>
        <v/>
      </c>
      <c r="B20" s="114" t="str">
        <f aca="false">IF(الموظفون!$B20="","",الموظفون!$B20)</f>
        <v/>
      </c>
      <c r="C20" s="114" t="str">
        <f aca="false">IF($B20="","",الموظفون!$C20)</f>
        <v/>
      </c>
      <c r="D20" s="114" t="str">
        <f aca="false">IF($B20="","",الموظفون!$F20)</f>
        <v/>
      </c>
      <c r="E20" s="114" t="str">
        <f aca="false">IF($B20="","",الموظفون!$E20)</f>
        <v/>
      </c>
      <c r="F20" s="114" t="str">
        <f aca="false">IF($B20="","",IF(AK20=0,IF(AND(الموظفون!$AE20&lt;&gt;"",الموظفون!$AE20&lt;$E$3),"✖ منتهي الخدمة","⏳ لم يباشر"),IF(S20&gt;0,"✈ راتب إجازة مقدم",IF(J20=0,"⛔ بدون راتب هذا الشهر",IF(I20&gt;0,"✈ خصم "&amp;ROUND(I20,2)&amp;" يوم بدون أجر",IF(AL20&gt;0,"🌴 إجازة سنوية "&amp;ROUND(AL20,2)&amp;" يوم",IF(H20&gt;0,"⚠ غياب "&amp;ROUND(H20,2)&amp;" يوم","✔ على رأس العمل")))))))</f>
        <v/>
      </c>
      <c r="G20" s="151" t="str">
        <f aca="false">IF($B20="","",IF(AK20&gt;=DAY($F$3),cfg_DAYS_M,MIN(AK20,cfg_DAYS_M)))</f>
        <v/>
      </c>
      <c r="H20" s="151" t="str">
        <f aca="false">IF($B20="","",SUMIFS('الحركات الشهرية'!$D$6:$D$1005,'الحركات الشهرية'!$B$6:$B$1005,$B20,'الحركات الشهرية'!$A$6:$A$1005,$C$3))</f>
        <v/>
      </c>
      <c r="I20" s="151" t="str">
        <f aca="false">IF($B20="","",MIN(G20,IF(AND(AK20&gt;0,AN20&gt;=AK20),G20,AN20)+SUMIFS('الحركات الشهرية'!$E$6:$E$1005,'الحركات الشهرية'!$B$6:$B$1005,$B20,'الحركات الشهرية'!$A$6:$A$1005,$C$3)))</f>
        <v/>
      </c>
      <c r="J20" s="151" t="str">
        <f aca="false">IF($B20="","",MAX(0,G20-H20-I20))</f>
        <v/>
      </c>
      <c r="K20" s="111" t="str">
        <f aca="false">IF($B20="","",الموظفون!$L20*$J20/cfg_DAYS_M)</f>
        <v/>
      </c>
      <c r="L20" s="111" t="str">
        <f aca="false">IF($B20="","",الموظفون!$M20*$J20/cfg_DAYS_M)</f>
        <v/>
      </c>
      <c r="M20" s="111" t="str">
        <f aca="false">IF($B20="","",الموظفون!$N20*$J20/cfg_DAYS_M)</f>
        <v/>
      </c>
      <c r="N20" s="111" t="str">
        <f aca="false">IF($B20="","",الموظفون!$O20*$J20/cfg_DAYS_M)</f>
        <v/>
      </c>
      <c r="O20" s="151" t="str">
        <f aca="false">IF($B20="","",SUMIFS('الحركات الشهرية'!$F$6:$F$1005,'الحركات الشهرية'!$B$6:$B$1005,$B20,'الحركات الشهرية'!$A$6:$A$1005,$C$3))</f>
        <v/>
      </c>
      <c r="P20" s="111" t="str">
        <f aca="false">IF($B20="","",O20*(الموظفون!$P20+الموظفون!$L20*cfg_OT_P)/cfg_DAYS_M/cfg_HRS)</f>
        <v/>
      </c>
      <c r="Q20" s="111" t="str">
        <f aca="false">IF($B20="","",SUMIFS('الحركات الشهرية'!$G$6:$G$1005,'الحركات الشهرية'!$B$6:$B$1005,$B20,'الحركات الشهرية'!$A$6:$A$1005,$C$3))</f>
        <v/>
      </c>
      <c r="R20" s="111" t="str">
        <f aca="false">IF($B20="","",SUMIFS('الحركات الشهرية'!$H$6:$H$1005,'الحركات الشهرية'!$B$6:$B$1005,$B20,'الحركات الشهرية'!$A$6:$A$1005,$C$3))</f>
        <v/>
      </c>
      <c r="S20" s="111" t="str">
        <f aca="false">IF($B20="","",SUMIFS('سجل الإجازات والحالات'!$N$6:$N$505,'سجل الإجازات والحالات'!$B$6:$B$505,$B20,'سجل الإجازات والحالات'!$O$6:$O$505,$C$3))</f>
        <v/>
      </c>
      <c r="T20" s="152" t="str">
        <f aca="false">IF($B20="","",SUM(K20:N20)+SUM(P20:S20))</f>
        <v/>
      </c>
      <c r="U20" s="111" t="str">
        <f aca="false">IF($B20="","",الموظفون!$S20*IF(E20="سعودي",cfg_G_SE,cfg_G_NE)*G20/cfg_DAYS_M)</f>
        <v/>
      </c>
      <c r="V20" s="111" t="str">
        <f aca="false">IF($B20="","",SUMIFS('الحركات الشهرية'!$I$6:$I$1005,'الحركات الشهرية'!$B$6:$B$1005,$B20,'الحركات الشهرية'!$A$6:$A$1005,$C$3))</f>
        <v/>
      </c>
      <c r="W20" s="111" t="str">
        <f aca="false">IF($B20="","",SUMIFS('الحركات الشهرية'!$J$6:$J$1005,'الحركات الشهرية'!$B$6:$B$1005,$B20,'الحركات الشهرية'!$A$6:$A$1005,$C$3))</f>
        <v/>
      </c>
      <c r="X20" s="111" t="str">
        <f aca="false">IF($B20="","",SUM(U20:W20))</f>
        <v/>
      </c>
      <c r="Y20" s="153" t="str">
        <f aca="false">IF($B20="","",T20-X20)</f>
        <v/>
      </c>
      <c r="Z20" s="111" t="str">
        <f aca="false">IF($B20="","",الموظفون!$S20*IF(E20="سعودي",cfg_G_SR,cfg_G_NR)*G20/cfg_DAYS_M)</f>
        <v/>
      </c>
      <c r="AA20" s="111" t="str">
        <f aca="false">IF($B20="","",الموظفون!$Q20*(cfg_EOS_R1*(MIN(AH20,cfg_EOS_TH)-MIN(AI20,cfg_EOS_TH))+cfg_EOS_R2*(MAX(AH20-cfg_EOS_TH,0)-MAX(AI20-cfg_EOS_TH,0))))</f>
        <v/>
      </c>
      <c r="AB20" s="111" t="str">
        <f aca="false">IF($B20="","",IF(الموظفون!$T20&lt;&gt;"",الموظفون!$T20,IF(AH20&gt;=cfg_LV_TH,cfg_LV_D2,cfg_LV_D1))/cfg_DAYS_Y*AJ20*الموظفون!$R20/cfg_DAYS_M)</f>
        <v/>
      </c>
      <c r="AC20" s="111" t="str">
        <f aca="false">IF($B20="","",IF(AND(الموظفون!$U20="نعم",N(الموظفون!$W20)&gt;0),الموظفون!$V20/الموظفون!$W20*12/cfg_DAYS_Y*AJ20,0))</f>
        <v/>
      </c>
      <c r="AD20" s="111" t="str">
        <f aca="false">IF($B20="","",(IF(الموظفون!$X20&lt;&gt;"",الموظفون!$X20,IF(الموظفون!$E20="غير سعودي",cfg_IQ,0))+IF(الموظفون!$Y20&lt;&gt;"",الموظفون!$Y20,IF(الموظفون!$E20="غير سعودي",cfg_WP,0)))/12*G20/cfg_DAYS_M)</f>
        <v/>
      </c>
      <c r="AE20" s="111" t="str">
        <f aca="false">IF($B20="","",IF(الموظفون!$Z20&lt;&gt;"",الموظفون!$Z20,cfg_MED)/12*G20/cfg_DAYS_M)</f>
        <v/>
      </c>
      <c r="AF20" s="111" t="str">
        <f aca="false">IF($B20="","",N(الموظفون!$AA20)/12*G20/cfg_DAYS_M)</f>
        <v/>
      </c>
      <c r="AG20" s="154" t="str">
        <f aca="false">IF($B20="","",T20+SUM(Z20:AF20))</f>
        <v/>
      </c>
      <c r="AH20" s="155" t="str">
        <f aca="false">IF($B20="","",MAX(0,IF(OR(الموظفون!$AE20="",الموظفون!$AE20&gt;$F$3),$F$3,الموظفون!$AE20)-الموظفون!$H20+1-SUMIFS('سجل الإجازات والحالات'!$AI$6:$AI$505,'سجل الإجازات والحالات'!$B$6:$B$505,$B20))/cfg_DAYS_Y)</f>
        <v/>
      </c>
      <c r="AI20" s="155" t="str">
        <f aca="false">IF($B20="","",MAX(0,IF(OR(الموظفون!$AE20="",الموظفون!$AE20&gt;($E$3-1)),($E$3-1),الموظفون!$AE20)-الموظفون!$H20+1-SUMIFS('سجل الإجازات والحالات'!$AH$6:$AH$505,'سجل الإجازات والحالات'!$B$6:$B$505,$B20))/cfg_DAYS_Y)</f>
        <v/>
      </c>
      <c r="AJ20" s="65" t="str">
        <f aca="false">IF($B20="","",MAX(0,AK20-(SUMIFS('سجل الإجازات والحالات'!$AI$6:$AI$505,'سجل الإجازات والحالات'!$B$6:$B$505,$B20)-SUMIFS('سجل الإجازات والحالات'!$AH$6:$AH$505,'سجل الإجازات والحالات'!$B$6:$B$505,$B20))))</f>
        <v/>
      </c>
      <c r="AK20" s="65" t="str">
        <f aca="false">IF($B20="","",MAX(0,IF(OR(الموظفون!$AE20="",الموظفون!$AE20&gt;$F$3),$F$3,الموظفون!$AE20)-MAX($E$3,الموظفون!$H20)+1))</f>
        <v/>
      </c>
      <c r="AL20" s="151" t="str">
        <f aca="false">IF($B20="","",SUMIFS('سجل الإجازات والحالات'!$AU$6:$AU$505,'سجل الإجازات والحالات'!$B$6:$B$505,$B20)+SUMIFS('الحركات الشهرية'!$K$6:$K$1005,'الحركات الشهرية'!$B$6:$B$1005,$B20,'الحركات الشهرية'!$A$6:$A$1005,$C$3))</f>
        <v/>
      </c>
      <c r="AM20" s="111" t="str">
        <f aca="false">IF($B20="","",AL20*الموظفون!$R20/cfg_DAYS_M+S20)</f>
        <v/>
      </c>
      <c r="AN20" s="151" t="str">
        <f aca="false">IF($B20="","",SUMIFS('سجل الإجازات والحالات'!$W$6:$W$505,'سجل الإجازات والحالات'!$B$6:$B$505,$B20))</f>
        <v/>
      </c>
    </row>
    <row r="21" customFormat="false" ht="15" hidden="false" customHeight="false" outlineLevel="0" collapsed="false">
      <c r="A21" s="115" t="str">
        <f aca="false">IF($B21="","",الموظفون!$A21)</f>
        <v/>
      </c>
      <c r="B21" s="117" t="str">
        <f aca="false">IF(الموظفون!$B21="","",الموظفون!$B21)</f>
        <v/>
      </c>
      <c r="C21" s="117" t="str">
        <f aca="false">IF($B21="","",الموظفون!$C21)</f>
        <v/>
      </c>
      <c r="D21" s="117" t="str">
        <f aca="false">IF($B21="","",الموظفون!$F21)</f>
        <v/>
      </c>
      <c r="E21" s="117" t="str">
        <f aca="false">IF($B21="","",الموظفون!$E21)</f>
        <v/>
      </c>
      <c r="F21" s="117" t="str">
        <f aca="false">IF($B21="","",IF(AK21=0,IF(AND(الموظفون!$AE21&lt;&gt;"",الموظفون!$AE21&lt;$E$3),"✖ منتهي الخدمة","⏳ لم يباشر"),IF(S21&gt;0,"✈ راتب إجازة مقدم",IF(J21=0,"⛔ بدون راتب هذا الشهر",IF(I21&gt;0,"✈ خصم "&amp;ROUND(I21,2)&amp;" يوم بدون أجر",IF(AL21&gt;0,"🌴 إجازة سنوية "&amp;ROUND(AL21,2)&amp;" يوم",IF(H21&gt;0,"⚠ غياب "&amp;ROUND(H21,2)&amp;" يوم","✔ على رأس العمل")))))))</f>
        <v/>
      </c>
      <c r="G21" s="156" t="str">
        <f aca="false">IF($B21="","",IF(AK21&gt;=DAY($F$3),cfg_DAYS_M,MIN(AK21,cfg_DAYS_M)))</f>
        <v/>
      </c>
      <c r="H21" s="156" t="str">
        <f aca="false">IF($B21="","",SUMIFS('الحركات الشهرية'!$D$6:$D$1005,'الحركات الشهرية'!$B$6:$B$1005,$B21,'الحركات الشهرية'!$A$6:$A$1005,$C$3))</f>
        <v/>
      </c>
      <c r="I21" s="156" t="str">
        <f aca="false">IF($B21="","",MIN(G21,IF(AND(AK21&gt;0,AN21&gt;=AK21),G21,AN21)+SUMIFS('الحركات الشهرية'!$E$6:$E$1005,'الحركات الشهرية'!$B$6:$B$1005,$B21,'الحركات الشهرية'!$A$6:$A$1005,$C$3)))</f>
        <v/>
      </c>
      <c r="J21" s="156" t="str">
        <f aca="false">IF($B21="","",MAX(0,G21-H21-I21))</f>
        <v/>
      </c>
      <c r="K21" s="116" t="str">
        <f aca="false">IF($B21="","",الموظفون!$L21*$J21/cfg_DAYS_M)</f>
        <v/>
      </c>
      <c r="L21" s="116" t="str">
        <f aca="false">IF($B21="","",الموظفون!$M21*$J21/cfg_DAYS_M)</f>
        <v/>
      </c>
      <c r="M21" s="116" t="str">
        <f aca="false">IF($B21="","",الموظفون!$N21*$J21/cfg_DAYS_M)</f>
        <v/>
      </c>
      <c r="N21" s="116" t="str">
        <f aca="false">IF($B21="","",الموظفون!$O21*$J21/cfg_DAYS_M)</f>
        <v/>
      </c>
      <c r="O21" s="156" t="str">
        <f aca="false">IF($B21="","",SUMIFS('الحركات الشهرية'!$F$6:$F$1005,'الحركات الشهرية'!$B$6:$B$1005,$B21,'الحركات الشهرية'!$A$6:$A$1005,$C$3))</f>
        <v/>
      </c>
      <c r="P21" s="116" t="str">
        <f aca="false">IF($B21="","",O21*(الموظفون!$P21+الموظفون!$L21*cfg_OT_P)/cfg_DAYS_M/cfg_HRS)</f>
        <v/>
      </c>
      <c r="Q21" s="116" t="str">
        <f aca="false">IF($B21="","",SUMIFS('الحركات الشهرية'!$G$6:$G$1005,'الحركات الشهرية'!$B$6:$B$1005,$B21,'الحركات الشهرية'!$A$6:$A$1005,$C$3))</f>
        <v/>
      </c>
      <c r="R21" s="116" t="str">
        <f aca="false">IF($B21="","",SUMIFS('الحركات الشهرية'!$H$6:$H$1005,'الحركات الشهرية'!$B$6:$B$1005,$B21,'الحركات الشهرية'!$A$6:$A$1005,$C$3))</f>
        <v/>
      </c>
      <c r="S21" s="116" t="str">
        <f aca="false">IF($B21="","",SUMIFS('سجل الإجازات والحالات'!$N$6:$N$505,'سجل الإجازات والحالات'!$B$6:$B$505,$B21,'سجل الإجازات والحالات'!$O$6:$O$505,$C$3))</f>
        <v/>
      </c>
      <c r="T21" s="157" t="str">
        <f aca="false">IF($B21="","",SUM(K21:N21)+SUM(P21:S21))</f>
        <v/>
      </c>
      <c r="U21" s="116" t="str">
        <f aca="false">IF($B21="","",الموظفون!$S21*IF(E21="سعودي",cfg_G_SE,cfg_G_NE)*G21/cfg_DAYS_M)</f>
        <v/>
      </c>
      <c r="V21" s="116" t="str">
        <f aca="false">IF($B21="","",SUMIFS('الحركات الشهرية'!$I$6:$I$1005,'الحركات الشهرية'!$B$6:$B$1005,$B21,'الحركات الشهرية'!$A$6:$A$1005,$C$3))</f>
        <v/>
      </c>
      <c r="W21" s="116" t="str">
        <f aca="false">IF($B21="","",SUMIFS('الحركات الشهرية'!$J$6:$J$1005,'الحركات الشهرية'!$B$6:$B$1005,$B21,'الحركات الشهرية'!$A$6:$A$1005,$C$3))</f>
        <v/>
      </c>
      <c r="X21" s="116" t="str">
        <f aca="false">IF($B21="","",SUM(U21:W21))</f>
        <v/>
      </c>
      <c r="Y21" s="158" t="str">
        <f aca="false">IF($B21="","",T21-X21)</f>
        <v/>
      </c>
      <c r="Z21" s="116" t="str">
        <f aca="false">IF($B21="","",الموظفون!$S21*IF(E21="سعودي",cfg_G_SR,cfg_G_NR)*G21/cfg_DAYS_M)</f>
        <v/>
      </c>
      <c r="AA21" s="116" t="str">
        <f aca="false">IF($B21="","",الموظفون!$Q21*(cfg_EOS_R1*(MIN(AH21,cfg_EOS_TH)-MIN(AI21,cfg_EOS_TH))+cfg_EOS_R2*(MAX(AH21-cfg_EOS_TH,0)-MAX(AI21-cfg_EOS_TH,0))))</f>
        <v/>
      </c>
      <c r="AB21" s="116" t="str">
        <f aca="false">IF($B21="","",IF(الموظفون!$T21&lt;&gt;"",الموظفون!$T21,IF(AH21&gt;=cfg_LV_TH,cfg_LV_D2,cfg_LV_D1))/cfg_DAYS_Y*AJ21*الموظفون!$R21/cfg_DAYS_M)</f>
        <v/>
      </c>
      <c r="AC21" s="116" t="str">
        <f aca="false">IF($B21="","",IF(AND(الموظفون!$U21="نعم",N(الموظفون!$W21)&gt;0),الموظفون!$V21/الموظفون!$W21*12/cfg_DAYS_Y*AJ21,0))</f>
        <v/>
      </c>
      <c r="AD21" s="116" t="str">
        <f aca="false">IF($B21="","",(IF(الموظفون!$X21&lt;&gt;"",الموظفون!$X21,IF(الموظفون!$E21="غير سعودي",cfg_IQ,0))+IF(الموظفون!$Y21&lt;&gt;"",الموظفون!$Y21,IF(الموظفون!$E21="غير سعودي",cfg_WP,0)))/12*G21/cfg_DAYS_M)</f>
        <v/>
      </c>
      <c r="AE21" s="116" t="str">
        <f aca="false">IF($B21="","",IF(الموظفون!$Z21&lt;&gt;"",الموظفون!$Z21,cfg_MED)/12*G21/cfg_DAYS_M)</f>
        <v/>
      </c>
      <c r="AF21" s="116" t="str">
        <f aca="false">IF($B21="","",N(الموظفون!$AA21)/12*G21/cfg_DAYS_M)</f>
        <v/>
      </c>
      <c r="AG21" s="159" t="str">
        <f aca="false">IF($B21="","",T21+SUM(Z21:AF21))</f>
        <v/>
      </c>
      <c r="AH21" s="160" t="str">
        <f aca="false">IF($B21="","",MAX(0,IF(OR(الموظفون!$AE21="",الموظفون!$AE21&gt;$F$3),$F$3,الموظفون!$AE21)-الموظفون!$H21+1-SUMIFS('سجل الإجازات والحالات'!$AI$6:$AI$505,'سجل الإجازات والحالات'!$B$6:$B$505,$B21))/cfg_DAYS_Y)</f>
        <v/>
      </c>
      <c r="AI21" s="160" t="str">
        <f aca="false">IF($B21="","",MAX(0,IF(OR(الموظفون!$AE21="",الموظفون!$AE21&gt;($E$3-1)),($E$3-1),الموظفون!$AE21)-الموظفون!$H21+1-SUMIFS('سجل الإجازات والحالات'!$AH$6:$AH$505,'سجل الإجازات والحالات'!$B$6:$B$505,$B21))/cfg_DAYS_Y)</f>
        <v/>
      </c>
      <c r="AJ21" s="133" t="str">
        <f aca="false">IF($B21="","",MAX(0,AK21-(SUMIFS('سجل الإجازات والحالات'!$AI$6:$AI$505,'سجل الإجازات والحالات'!$B$6:$B$505,$B21)-SUMIFS('سجل الإجازات والحالات'!$AH$6:$AH$505,'سجل الإجازات والحالات'!$B$6:$B$505,$B21))))</f>
        <v/>
      </c>
      <c r="AK21" s="133" t="str">
        <f aca="false">IF($B21="","",MAX(0,IF(OR(الموظفون!$AE21="",الموظفون!$AE21&gt;$F$3),$F$3,الموظفون!$AE21)-MAX($E$3,الموظفون!$H21)+1))</f>
        <v/>
      </c>
      <c r="AL21" s="156" t="str">
        <f aca="false">IF($B21="","",SUMIFS('سجل الإجازات والحالات'!$AU$6:$AU$505,'سجل الإجازات والحالات'!$B$6:$B$505,$B21)+SUMIFS('الحركات الشهرية'!$K$6:$K$1005,'الحركات الشهرية'!$B$6:$B$1005,$B21,'الحركات الشهرية'!$A$6:$A$1005,$C$3))</f>
        <v/>
      </c>
      <c r="AM21" s="116" t="str">
        <f aca="false">IF($B21="","",AL21*الموظفون!$R21/cfg_DAYS_M+S21)</f>
        <v/>
      </c>
      <c r="AN21" s="156" t="str">
        <f aca="false">IF($B21="","",SUMIFS('سجل الإجازات والحالات'!$W$6:$W$505,'سجل الإجازات والحالات'!$B$6:$B$505,$B21))</f>
        <v/>
      </c>
    </row>
    <row r="22" customFormat="false" ht="15" hidden="false" customHeight="false" outlineLevel="0" collapsed="false">
      <c r="A22" s="106" t="str">
        <f aca="false">IF($B22="","",الموظفون!$A22)</f>
        <v/>
      </c>
      <c r="B22" s="114" t="str">
        <f aca="false">IF(الموظفون!$B22="","",الموظفون!$B22)</f>
        <v/>
      </c>
      <c r="C22" s="114" t="str">
        <f aca="false">IF($B22="","",الموظفون!$C22)</f>
        <v/>
      </c>
      <c r="D22" s="114" t="str">
        <f aca="false">IF($B22="","",الموظفون!$F22)</f>
        <v/>
      </c>
      <c r="E22" s="114" t="str">
        <f aca="false">IF($B22="","",الموظفون!$E22)</f>
        <v/>
      </c>
      <c r="F22" s="114" t="str">
        <f aca="false">IF($B22="","",IF(AK22=0,IF(AND(الموظفون!$AE22&lt;&gt;"",الموظفون!$AE22&lt;$E$3),"✖ منتهي الخدمة","⏳ لم يباشر"),IF(S22&gt;0,"✈ راتب إجازة مقدم",IF(J22=0,"⛔ بدون راتب هذا الشهر",IF(I22&gt;0,"✈ خصم "&amp;ROUND(I22,2)&amp;" يوم بدون أجر",IF(AL22&gt;0,"🌴 إجازة سنوية "&amp;ROUND(AL22,2)&amp;" يوم",IF(H22&gt;0,"⚠ غياب "&amp;ROUND(H22,2)&amp;" يوم","✔ على رأس العمل")))))))</f>
        <v/>
      </c>
      <c r="G22" s="151" t="str">
        <f aca="false">IF($B22="","",IF(AK22&gt;=DAY($F$3),cfg_DAYS_M,MIN(AK22,cfg_DAYS_M)))</f>
        <v/>
      </c>
      <c r="H22" s="151" t="str">
        <f aca="false">IF($B22="","",SUMIFS('الحركات الشهرية'!$D$6:$D$1005,'الحركات الشهرية'!$B$6:$B$1005,$B22,'الحركات الشهرية'!$A$6:$A$1005,$C$3))</f>
        <v/>
      </c>
      <c r="I22" s="151" t="str">
        <f aca="false">IF($B22="","",MIN(G22,IF(AND(AK22&gt;0,AN22&gt;=AK22),G22,AN22)+SUMIFS('الحركات الشهرية'!$E$6:$E$1005,'الحركات الشهرية'!$B$6:$B$1005,$B22,'الحركات الشهرية'!$A$6:$A$1005,$C$3)))</f>
        <v/>
      </c>
      <c r="J22" s="151" t="str">
        <f aca="false">IF($B22="","",MAX(0,G22-H22-I22))</f>
        <v/>
      </c>
      <c r="K22" s="111" t="str">
        <f aca="false">IF($B22="","",الموظفون!$L22*$J22/cfg_DAYS_M)</f>
        <v/>
      </c>
      <c r="L22" s="111" t="str">
        <f aca="false">IF($B22="","",الموظفون!$M22*$J22/cfg_DAYS_M)</f>
        <v/>
      </c>
      <c r="M22" s="111" t="str">
        <f aca="false">IF($B22="","",الموظفون!$N22*$J22/cfg_DAYS_M)</f>
        <v/>
      </c>
      <c r="N22" s="111" t="str">
        <f aca="false">IF($B22="","",الموظفون!$O22*$J22/cfg_DAYS_M)</f>
        <v/>
      </c>
      <c r="O22" s="151" t="str">
        <f aca="false">IF($B22="","",SUMIFS('الحركات الشهرية'!$F$6:$F$1005,'الحركات الشهرية'!$B$6:$B$1005,$B22,'الحركات الشهرية'!$A$6:$A$1005,$C$3))</f>
        <v/>
      </c>
      <c r="P22" s="111" t="str">
        <f aca="false">IF($B22="","",O22*(الموظفون!$P22+الموظفون!$L22*cfg_OT_P)/cfg_DAYS_M/cfg_HRS)</f>
        <v/>
      </c>
      <c r="Q22" s="111" t="str">
        <f aca="false">IF($B22="","",SUMIFS('الحركات الشهرية'!$G$6:$G$1005,'الحركات الشهرية'!$B$6:$B$1005,$B22,'الحركات الشهرية'!$A$6:$A$1005,$C$3))</f>
        <v/>
      </c>
      <c r="R22" s="111" t="str">
        <f aca="false">IF($B22="","",SUMIFS('الحركات الشهرية'!$H$6:$H$1005,'الحركات الشهرية'!$B$6:$B$1005,$B22,'الحركات الشهرية'!$A$6:$A$1005,$C$3))</f>
        <v/>
      </c>
      <c r="S22" s="111" t="str">
        <f aca="false">IF($B22="","",SUMIFS('سجل الإجازات والحالات'!$N$6:$N$505,'سجل الإجازات والحالات'!$B$6:$B$505,$B22,'سجل الإجازات والحالات'!$O$6:$O$505,$C$3))</f>
        <v/>
      </c>
      <c r="T22" s="152" t="str">
        <f aca="false">IF($B22="","",SUM(K22:N22)+SUM(P22:S22))</f>
        <v/>
      </c>
      <c r="U22" s="111" t="str">
        <f aca="false">IF($B22="","",الموظفون!$S22*IF(E22="سعودي",cfg_G_SE,cfg_G_NE)*G22/cfg_DAYS_M)</f>
        <v/>
      </c>
      <c r="V22" s="111" t="str">
        <f aca="false">IF($B22="","",SUMIFS('الحركات الشهرية'!$I$6:$I$1005,'الحركات الشهرية'!$B$6:$B$1005,$B22,'الحركات الشهرية'!$A$6:$A$1005,$C$3))</f>
        <v/>
      </c>
      <c r="W22" s="111" t="str">
        <f aca="false">IF($B22="","",SUMIFS('الحركات الشهرية'!$J$6:$J$1005,'الحركات الشهرية'!$B$6:$B$1005,$B22,'الحركات الشهرية'!$A$6:$A$1005,$C$3))</f>
        <v/>
      </c>
      <c r="X22" s="111" t="str">
        <f aca="false">IF($B22="","",SUM(U22:W22))</f>
        <v/>
      </c>
      <c r="Y22" s="153" t="str">
        <f aca="false">IF($B22="","",T22-X22)</f>
        <v/>
      </c>
      <c r="Z22" s="111" t="str">
        <f aca="false">IF($B22="","",الموظفون!$S22*IF(E22="سعودي",cfg_G_SR,cfg_G_NR)*G22/cfg_DAYS_M)</f>
        <v/>
      </c>
      <c r="AA22" s="111" t="str">
        <f aca="false">IF($B22="","",الموظفون!$Q22*(cfg_EOS_R1*(MIN(AH22,cfg_EOS_TH)-MIN(AI22,cfg_EOS_TH))+cfg_EOS_R2*(MAX(AH22-cfg_EOS_TH,0)-MAX(AI22-cfg_EOS_TH,0))))</f>
        <v/>
      </c>
      <c r="AB22" s="111" t="str">
        <f aca="false">IF($B22="","",IF(الموظفون!$T22&lt;&gt;"",الموظفون!$T22,IF(AH22&gt;=cfg_LV_TH,cfg_LV_D2,cfg_LV_D1))/cfg_DAYS_Y*AJ22*الموظفون!$R22/cfg_DAYS_M)</f>
        <v/>
      </c>
      <c r="AC22" s="111" t="str">
        <f aca="false">IF($B22="","",IF(AND(الموظفون!$U22="نعم",N(الموظفون!$W22)&gt;0),الموظفون!$V22/الموظفون!$W22*12/cfg_DAYS_Y*AJ22,0))</f>
        <v/>
      </c>
      <c r="AD22" s="111" t="str">
        <f aca="false">IF($B22="","",(IF(الموظفون!$X22&lt;&gt;"",الموظفون!$X22,IF(الموظفون!$E22="غير سعودي",cfg_IQ,0))+IF(الموظفون!$Y22&lt;&gt;"",الموظفون!$Y22,IF(الموظفون!$E22="غير سعودي",cfg_WP,0)))/12*G22/cfg_DAYS_M)</f>
        <v/>
      </c>
      <c r="AE22" s="111" t="str">
        <f aca="false">IF($B22="","",IF(الموظفون!$Z22&lt;&gt;"",الموظفون!$Z22,cfg_MED)/12*G22/cfg_DAYS_M)</f>
        <v/>
      </c>
      <c r="AF22" s="111" t="str">
        <f aca="false">IF($B22="","",N(الموظفون!$AA22)/12*G22/cfg_DAYS_M)</f>
        <v/>
      </c>
      <c r="AG22" s="154" t="str">
        <f aca="false">IF($B22="","",T22+SUM(Z22:AF22))</f>
        <v/>
      </c>
      <c r="AH22" s="155" t="str">
        <f aca="false">IF($B22="","",MAX(0,IF(OR(الموظفون!$AE22="",الموظفون!$AE22&gt;$F$3),$F$3,الموظفون!$AE22)-الموظفون!$H22+1-SUMIFS('سجل الإجازات والحالات'!$AI$6:$AI$505,'سجل الإجازات والحالات'!$B$6:$B$505,$B22))/cfg_DAYS_Y)</f>
        <v/>
      </c>
      <c r="AI22" s="155" t="str">
        <f aca="false">IF($B22="","",MAX(0,IF(OR(الموظفون!$AE22="",الموظفون!$AE22&gt;($E$3-1)),($E$3-1),الموظفون!$AE22)-الموظفون!$H22+1-SUMIFS('سجل الإجازات والحالات'!$AH$6:$AH$505,'سجل الإجازات والحالات'!$B$6:$B$505,$B22))/cfg_DAYS_Y)</f>
        <v/>
      </c>
      <c r="AJ22" s="65" t="str">
        <f aca="false">IF($B22="","",MAX(0,AK22-(SUMIFS('سجل الإجازات والحالات'!$AI$6:$AI$505,'سجل الإجازات والحالات'!$B$6:$B$505,$B22)-SUMIFS('سجل الإجازات والحالات'!$AH$6:$AH$505,'سجل الإجازات والحالات'!$B$6:$B$505,$B22))))</f>
        <v/>
      </c>
      <c r="AK22" s="65" t="str">
        <f aca="false">IF($B22="","",MAX(0,IF(OR(الموظفون!$AE22="",الموظفون!$AE22&gt;$F$3),$F$3,الموظفون!$AE22)-MAX($E$3,الموظفون!$H22)+1))</f>
        <v/>
      </c>
      <c r="AL22" s="151" t="str">
        <f aca="false">IF($B22="","",SUMIFS('سجل الإجازات والحالات'!$AU$6:$AU$505,'سجل الإجازات والحالات'!$B$6:$B$505,$B22)+SUMIFS('الحركات الشهرية'!$K$6:$K$1005,'الحركات الشهرية'!$B$6:$B$1005,$B22,'الحركات الشهرية'!$A$6:$A$1005,$C$3))</f>
        <v/>
      </c>
      <c r="AM22" s="111" t="str">
        <f aca="false">IF($B22="","",AL22*الموظفون!$R22/cfg_DAYS_M+S22)</f>
        <v/>
      </c>
      <c r="AN22" s="151" t="str">
        <f aca="false">IF($B22="","",SUMIFS('سجل الإجازات والحالات'!$W$6:$W$505,'سجل الإجازات والحالات'!$B$6:$B$505,$B22))</f>
        <v/>
      </c>
    </row>
    <row r="23" customFormat="false" ht="15" hidden="false" customHeight="false" outlineLevel="0" collapsed="false">
      <c r="A23" s="115" t="str">
        <f aca="false">IF($B23="","",الموظفون!$A23)</f>
        <v/>
      </c>
      <c r="B23" s="117" t="str">
        <f aca="false">IF(الموظفون!$B23="","",الموظفون!$B23)</f>
        <v/>
      </c>
      <c r="C23" s="117" t="str">
        <f aca="false">IF($B23="","",الموظفون!$C23)</f>
        <v/>
      </c>
      <c r="D23" s="117" t="str">
        <f aca="false">IF($B23="","",الموظفون!$F23)</f>
        <v/>
      </c>
      <c r="E23" s="117" t="str">
        <f aca="false">IF($B23="","",الموظفون!$E23)</f>
        <v/>
      </c>
      <c r="F23" s="117" t="str">
        <f aca="false">IF($B23="","",IF(AK23=0,IF(AND(الموظفون!$AE23&lt;&gt;"",الموظفون!$AE23&lt;$E$3),"✖ منتهي الخدمة","⏳ لم يباشر"),IF(S23&gt;0,"✈ راتب إجازة مقدم",IF(J23=0,"⛔ بدون راتب هذا الشهر",IF(I23&gt;0,"✈ خصم "&amp;ROUND(I23,2)&amp;" يوم بدون أجر",IF(AL23&gt;0,"🌴 إجازة سنوية "&amp;ROUND(AL23,2)&amp;" يوم",IF(H23&gt;0,"⚠ غياب "&amp;ROUND(H23,2)&amp;" يوم","✔ على رأس العمل")))))))</f>
        <v/>
      </c>
      <c r="G23" s="156" t="str">
        <f aca="false">IF($B23="","",IF(AK23&gt;=DAY($F$3),cfg_DAYS_M,MIN(AK23,cfg_DAYS_M)))</f>
        <v/>
      </c>
      <c r="H23" s="156" t="str">
        <f aca="false">IF($B23="","",SUMIFS('الحركات الشهرية'!$D$6:$D$1005,'الحركات الشهرية'!$B$6:$B$1005,$B23,'الحركات الشهرية'!$A$6:$A$1005,$C$3))</f>
        <v/>
      </c>
      <c r="I23" s="156" t="str">
        <f aca="false">IF($B23="","",MIN(G23,IF(AND(AK23&gt;0,AN23&gt;=AK23),G23,AN23)+SUMIFS('الحركات الشهرية'!$E$6:$E$1005,'الحركات الشهرية'!$B$6:$B$1005,$B23,'الحركات الشهرية'!$A$6:$A$1005,$C$3)))</f>
        <v/>
      </c>
      <c r="J23" s="156" t="str">
        <f aca="false">IF($B23="","",MAX(0,G23-H23-I23))</f>
        <v/>
      </c>
      <c r="K23" s="116" t="str">
        <f aca="false">IF($B23="","",الموظفون!$L23*$J23/cfg_DAYS_M)</f>
        <v/>
      </c>
      <c r="L23" s="116" t="str">
        <f aca="false">IF($B23="","",الموظفون!$M23*$J23/cfg_DAYS_M)</f>
        <v/>
      </c>
      <c r="M23" s="116" t="str">
        <f aca="false">IF($B23="","",الموظفون!$N23*$J23/cfg_DAYS_M)</f>
        <v/>
      </c>
      <c r="N23" s="116" t="str">
        <f aca="false">IF($B23="","",الموظفون!$O23*$J23/cfg_DAYS_M)</f>
        <v/>
      </c>
      <c r="O23" s="156" t="str">
        <f aca="false">IF($B23="","",SUMIFS('الحركات الشهرية'!$F$6:$F$1005,'الحركات الشهرية'!$B$6:$B$1005,$B23,'الحركات الشهرية'!$A$6:$A$1005,$C$3))</f>
        <v/>
      </c>
      <c r="P23" s="116" t="str">
        <f aca="false">IF($B23="","",O23*(الموظفون!$P23+الموظفون!$L23*cfg_OT_P)/cfg_DAYS_M/cfg_HRS)</f>
        <v/>
      </c>
      <c r="Q23" s="116" t="str">
        <f aca="false">IF($B23="","",SUMIFS('الحركات الشهرية'!$G$6:$G$1005,'الحركات الشهرية'!$B$6:$B$1005,$B23,'الحركات الشهرية'!$A$6:$A$1005,$C$3))</f>
        <v/>
      </c>
      <c r="R23" s="116" t="str">
        <f aca="false">IF($B23="","",SUMIFS('الحركات الشهرية'!$H$6:$H$1005,'الحركات الشهرية'!$B$6:$B$1005,$B23,'الحركات الشهرية'!$A$6:$A$1005,$C$3))</f>
        <v/>
      </c>
      <c r="S23" s="116" t="str">
        <f aca="false">IF($B23="","",SUMIFS('سجل الإجازات والحالات'!$N$6:$N$505,'سجل الإجازات والحالات'!$B$6:$B$505,$B23,'سجل الإجازات والحالات'!$O$6:$O$505,$C$3))</f>
        <v/>
      </c>
      <c r="T23" s="157" t="str">
        <f aca="false">IF($B23="","",SUM(K23:N23)+SUM(P23:S23))</f>
        <v/>
      </c>
      <c r="U23" s="116" t="str">
        <f aca="false">IF($B23="","",الموظفون!$S23*IF(E23="سعودي",cfg_G_SE,cfg_G_NE)*G23/cfg_DAYS_M)</f>
        <v/>
      </c>
      <c r="V23" s="116" t="str">
        <f aca="false">IF($B23="","",SUMIFS('الحركات الشهرية'!$I$6:$I$1005,'الحركات الشهرية'!$B$6:$B$1005,$B23,'الحركات الشهرية'!$A$6:$A$1005,$C$3))</f>
        <v/>
      </c>
      <c r="W23" s="116" t="str">
        <f aca="false">IF($B23="","",SUMIFS('الحركات الشهرية'!$J$6:$J$1005,'الحركات الشهرية'!$B$6:$B$1005,$B23,'الحركات الشهرية'!$A$6:$A$1005,$C$3))</f>
        <v/>
      </c>
      <c r="X23" s="116" t="str">
        <f aca="false">IF($B23="","",SUM(U23:W23))</f>
        <v/>
      </c>
      <c r="Y23" s="158" t="str">
        <f aca="false">IF($B23="","",T23-X23)</f>
        <v/>
      </c>
      <c r="Z23" s="116" t="str">
        <f aca="false">IF($B23="","",الموظفون!$S23*IF(E23="سعودي",cfg_G_SR,cfg_G_NR)*G23/cfg_DAYS_M)</f>
        <v/>
      </c>
      <c r="AA23" s="116" t="str">
        <f aca="false">IF($B23="","",الموظفون!$Q23*(cfg_EOS_R1*(MIN(AH23,cfg_EOS_TH)-MIN(AI23,cfg_EOS_TH))+cfg_EOS_R2*(MAX(AH23-cfg_EOS_TH,0)-MAX(AI23-cfg_EOS_TH,0))))</f>
        <v/>
      </c>
      <c r="AB23" s="116" t="str">
        <f aca="false">IF($B23="","",IF(الموظفون!$T23&lt;&gt;"",الموظفون!$T23,IF(AH23&gt;=cfg_LV_TH,cfg_LV_D2,cfg_LV_D1))/cfg_DAYS_Y*AJ23*الموظفون!$R23/cfg_DAYS_M)</f>
        <v/>
      </c>
      <c r="AC23" s="116" t="str">
        <f aca="false">IF($B23="","",IF(AND(الموظفون!$U23="نعم",N(الموظفون!$W23)&gt;0),الموظفون!$V23/الموظفون!$W23*12/cfg_DAYS_Y*AJ23,0))</f>
        <v/>
      </c>
      <c r="AD23" s="116" t="str">
        <f aca="false">IF($B23="","",(IF(الموظفون!$X23&lt;&gt;"",الموظفون!$X23,IF(الموظفون!$E23="غير سعودي",cfg_IQ,0))+IF(الموظفون!$Y23&lt;&gt;"",الموظفون!$Y23,IF(الموظفون!$E23="غير سعودي",cfg_WP,0)))/12*G23/cfg_DAYS_M)</f>
        <v/>
      </c>
      <c r="AE23" s="116" t="str">
        <f aca="false">IF($B23="","",IF(الموظفون!$Z23&lt;&gt;"",الموظفون!$Z23,cfg_MED)/12*G23/cfg_DAYS_M)</f>
        <v/>
      </c>
      <c r="AF23" s="116" t="str">
        <f aca="false">IF($B23="","",N(الموظفون!$AA23)/12*G23/cfg_DAYS_M)</f>
        <v/>
      </c>
      <c r="AG23" s="159" t="str">
        <f aca="false">IF($B23="","",T23+SUM(Z23:AF23))</f>
        <v/>
      </c>
      <c r="AH23" s="160" t="str">
        <f aca="false">IF($B23="","",MAX(0,IF(OR(الموظفون!$AE23="",الموظفون!$AE23&gt;$F$3),$F$3,الموظفون!$AE23)-الموظفون!$H23+1-SUMIFS('سجل الإجازات والحالات'!$AI$6:$AI$505,'سجل الإجازات والحالات'!$B$6:$B$505,$B23))/cfg_DAYS_Y)</f>
        <v/>
      </c>
      <c r="AI23" s="160" t="str">
        <f aca="false">IF($B23="","",MAX(0,IF(OR(الموظفون!$AE23="",الموظفون!$AE23&gt;($E$3-1)),($E$3-1),الموظفون!$AE23)-الموظفون!$H23+1-SUMIFS('سجل الإجازات والحالات'!$AH$6:$AH$505,'سجل الإجازات والحالات'!$B$6:$B$505,$B23))/cfg_DAYS_Y)</f>
        <v/>
      </c>
      <c r="AJ23" s="133" t="str">
        <f aca="false">IF($B23="","",MAX(0,AK23-(SUMIFS('سجل الإجازات والحالات'!$AI$6:$AI$505,'سجل الإجازات والحالات'!$B$6:$B$505,$B23)-SUMIFS('سجل الإجازات والحالات'!$AH$6:$AH$505,'سجل الإجازات والحالات'!$B$6:$B$505,$B23))))</f>
        <v/>
      </c>
      <c r="AK23" s="133" t="str">
        <f aca="false">IF($B23="","",MAX(0,IF(OR(الموظفون!$AE23="",الموظفون!$AE23&gt;$F$3),$F$3,الموظفون!$AE23)-MAX($E$3,الموظفون!$H23)+1))</f>
        <v/>
      </c>
      <c r="AL23" s="156" t="str">
        <f aca="false">IF($B23="","",SUMIFS('سجل الإجازات والحالات'!$AU$6:$AU$505,'سجل الإجازات والحالات'!$B$6:$B$505,$B23)+SUMIFS('الحركات الشهرية'!$K$6:$K$1005,'الحركات الشهرية'!$B$6:$B$1005,$B23,'الحركات الشهرية'!$A$6:$A$1005,$C$3))</f>
        <v/>
      </c>
      <c r="AM23" s="116" t="str">
        <f aca="false">IF($B23="","",AL23*الموظفون!$R23/cfg_DAYS_M+S23)</f>
        <v/>
      </c>
      <c r="AN23" s="156" t="str">
        <f aca="false">IF($B23="","",SUMIFS('سجل الإجازات والحالات'!$W$6:$W$505,'سجل الإجازات والحالات'!$B$6:$B$505,$B23))</f>
        <v/>
      </c>
    </row>
    <row r="24" customFormat="false" ht="15" hidden="false" customHeight="false" outlineLevel="0" collapsed="false">
      <c r="A24" s="106" t="str">
        <f aca="false">IF($B24="","",الموظفون!$A24)</f>
        <v/>
      </c>
      <c r="B24" s="114" t="str">
        <f aca="false">IF(الموظفون!$B24="","",الموظفون!$B24)</f>
        <v/>
      </c>
      <c r="C24" s="114" t="str">
        <f aca="false">IF($B24="","",الموظفون!$C24)</f>
        <v/>
      </c>
      <c r="D24" s="114" t="str">
        <f aca="false">IF($B24="","",الموظفون!$F24)</f>
        <v/>
      </c>
      <c r="E24" s="114" t="str">
        <f aca="false">IF($B24="","",الموظفون!$E24)</f>
        <v/>
      </c>
      <c r="F24" s="114" t="str">
        <f aca="false">IF($B24="","",IF(AK24=0,IF(AND(الموظفون!$AE24&lt;&gt;"",الموظفون!$AE24&lt;$E$3),"✖ منتهي الخدمة","⏳ لم يباشر"),IF(S24&gt;0,"✈ راتب إجازة مقدم",IF(J24=0,"⛔ بدون راتب هذا الشهر",IF(I24&gt;0,"✈ خصم "&amp;ROUND(I24,2)&amp;" يوم بدون أجر",IF(AL24&gt;0,"🌴 إجازة سنوية "&amp;ROUND(AL24,2)&amp;" يوم",IF(H24&gt;0,"⚠ غياب "&amp;ROUND(H24,2)&amp;" يوم","✔ على رأس العمل")))))))</f>
        <v/>
      </c>
      <c r="G24" s="151" t="str">
        <f aca="false">IF($B24="","",IF(AK24&gt;=DAY($F$3),cfg_DAYS_M,MIN(AK24,cfg_DAYS_M)))</f>
        <v/>
      </c>
      <c r="H24" s="151" t="str">
        <f aca="false">IF($B24="","",SUMIFS('الحركات الشهرية'!$D$6:$D$1005,'الحركات الشهرية'!$B$6:$B$1005,$B24,'الحركات الشهرية'!$A$6:$A$1005,$C$3))</f>
        <v/>
      </c>
      <c r="I24" s="151" t="str">
        <f aca="false">IF($B24="","",MIN(G24,IF(AND(AK24&gt;0,AN24&gt;=AK24),G24,AN24)+SUMIFS('الحركات الشهرية'!$E$6:$E$1005,'الحركات الشهرية'!$B$6:$B$1005,$B24,'الحركات الشهرية'!$A$6:$A$1005,$C$3)))</f>
        <v/>
      </c>
      <c r="J24" s="151" t="str">
        <f aca="false">IF($B24="","",MAX(0,G24-H24-I24))</f>
        <v/>
      </c>
      <c r="K24" s="111" t="str">
        <f aca="false">IF($B24="","",الموظفون!$L24*$J24/cfg_DAYS_M)</f>
        <v/>
      </c>
      <c r="L24" s="111" t="str">
        <f aca="false">IF($B24="","",الموظفون!$M24*$J24/cfg_DAYS_M)</f>
        <v/>
      </c>
      <c r="M24" s="111" t="str">
        <f aca="false">IF($B24="","",الموظفون!$N24*$J24/cfg_DAYS_M)</f>
        <v/>
      </c>
      <c r="N24" s="111" t="str">
        <f aca="false">IF($B24="","",الموظفون!$O24*$J24/cfg_DAYS_M)</f>
        <v/>
      </c>
      <c r="O24" s="151" t="str">
        <f aca="false">IF($B24="","",SUMIFS('الحركات الشهرية'!$F$6:$F$1005,'الحركات الشهرية'!$B$6:$B$1005,$B24,'الحركات الشهرية'!$A$6:$A$1005,$C$3))</f>
        <v/>
      </c>
      <c r="P24" s="111" t="str">
        <f aca="false">IF($B24="","",O24*(الموظفون!$P24+الموظفون!$L24*cfg_OT_P)/cfg_DAYS_M/cfg_HRS)</f>
        <v/>
      </c>
      <c r="Q24" s="111" t="str">
        <f aca="false">IF($B24="","",SUMIFS('الحركات الشهرية'!$G$6:$G$1005,'الحركات الشهرية'!$B$6:$B$1005,$B24,'الحركات الشهرية'!$A$6:$A$1005,$C$3))</f>
        <v/>
      </c>
      <c r="R24" s="111" t="str">
        <f aca="false">IF($B24="","",SUMIFS('الحركات الشهرية'!$H$6:$H$1005,'الحركات الشهرية'!$B$6:$B$1005,$B24,'الحركات الشهرية'!$A$6:$A$1005,$C$3))</f>
        <v/>
      </c>
      <c r="S24" s="111" t="str">
        <f aca="false">IF($B24="","",SUMIFS('سجل الإجازات والحالات'!$N$6:$N$505,'سجل الإجازات والحالات'!$B$6:$B$505,$B24,'سجل الإجازات والحالات'!$O$6:$O$505,$C$3))</f>
        <v/>
      </c>
      <c r="T24" s="152" t="str">
        <f aca="false">IF($B24="","",SUM(K24:N24)+SUM(P24:S24))</f>
        <v/>
      </c>
      <c r="U24" s="111" t="str">
        <f aca="false">IF($B24="","",الموظفون!$S24*IF(E24="سعودي",cfg_G_SE,cfg_G_NE)*G24/cfg_DAYS_M)</f>
        <v/>
      </c>
      <c r="V24" s="111" t="str">
        <f aca="false">IF($B24="","",SUMIFS('الحركات الشهرية'!$I$6:$I$1005,'الحركات الشهرية'!$B$6:$B$1005,$B24,'الحركات الشهرية'!$A$6:$A$1005,$C$3))</f>
        <v/>
      </c>
      <c r="W24" s="111" t="str">
        <f aca="false">IF($B24="","",SUMIFS('الحركات الشهرية'!$J$6:$J$1005,'الحركات الشهرية'!$B$6:$B$1005,$B24,'الحركات الشهرية'!$A$6:$A$1005,$C$3))</f>
        <v/>
      </c>
      <c r="X24" s="111" t="str">
        <f aca="false">IF($B24="","",SUM(U24:W24))</f>
        <v/>
      </c>
      <c r="Y24" s="153" t="str">
        <f aca="false">IF($B24="","",T24-X24)</f>
        <v/>
      </c>
      <c r="Z24" s="111" t="str">
        <f aca="false">IF($B24="","",الموظفون!$S24*IF(E24="سعودي",cfg_G_SR,cfg_G_NR)*G24/cfg_DAYS_M)</f>
        <v/>
      </c>
      <c r="AA24" s="111" t="str">
        <f aca="false">IF($B24="","",الموظفون!$Q24*(cfg_EOS_R1*(MIN(AH24,cfg_EOS_TH)-MIN(AI24,cfg_EOS_TH))+cfg_EOS_R2*(MAX(AH24-cfg_EOS_TH,0)-MAX(AI24-cfg_EOS_TH,0))))</f>
        <v/>
      </c>
      <c r="AB24" s="111" t="str">
        <f aca="false">IF($B24="","",IF(الموظفون!$T24&lt;&gt;"",الموظفون!$T24,IF(AH24&gt;=cfg_LV_TH,cfg_LV_D2,cfg_LV_D1))/cfg_DAYS_Y*AJ24*الموظفون!$R24/cfg_DAYS_M)</f>
        <v/>
      </c>
      <c r="AC24" s="111" t="str">
        <f aca="false">IF($B24="","",IF(AND(الموظفون!$U24="نعم",N(الموظفون!$W24)&gt;0),الموظفون!$V24/الموظفون!$W24*12/cfg_DAYS_Y*AJ24,0))</f>
        <v/>
      </c>
      <c r="AD24" s="111" t="str">
        <f aca="false">IF($B24="","",(IF(الموظفون!$X24&lt;&gt;"",الموظفون!$X24,IF(الموظفون!$E24="غير سعودي",cfg_IQ,0))+IF(الموظفون!$Y24&lt;&gt;"",الموظفون!$Y24,IF(الموظفون!$E24="غير سعودي",cfg_WP,0)))/12*G24/cfg_DAYS_M)</f>
        <v/>
      </c>
      <c r="AE24" s="111" t="str">
        <f aca="false">IF($B24="","",IF(الموظفون!$Z24&lt;&gt;"",الموظفون!$Z24,cfg_MED)/12*G24/cfg_DAYS_M)</f>
        <v/>
      </c>
      <c r="AF24" s="111" t="str">
        <f aca="false">IF($B24="","",N(الموظفون!$AA24)/12*G24/cfg_DAYS_M)</f>
        <v/>
      </c>
      <c r="AG24" s="154" t="str">
        <f aca="false">IF($B24="","",T24+SUM(Z24:AF24))</f>
        <v/>
      </c>
      <c r="AH24" s="155" t="str">
        <f aca="false">IF($B24="","",MAX(0,IF(OR(الموظفون!$AE24="",الموظفون!$AE24&gt;$F$3),$F$3,الموظفون!$AE24)-الموظفون!$H24+1-SUMIFS('سجل الإجازات والحالات'!$AI$6:$AI$505,'سجل الإجازات والحالات'!$B$6:$B$505,$B24))/cfg_DAYS_Y)</f>
        <v/>
      </c>
      <c r="AI24" s="155" t="str">
        <f aca="false">IF($B24="","",MAX(0,IF(OR(الموظفون!$AE24="",الموظفون!$AE24&gt;($E$3-1)),($E$3-1),الموظفون!$AE24)-الموظفون!$H24+1-SUMIFS('سجل الإجازات والحالات'!$AH$6:$AH$505,'سجل الإجازات والحالات'!$B$6:$B$505,$B24))/cfg_DAYS_Y)</f>
        <v/>
      </c>
      <c r="AJ24" s="65" t="str">
        <f aca="false">IF($B24="","",MAX(0,AK24-(SUMIFS('سجل الإجازات والحالات'!$AI$6:$AI$505,'سجل الإجازات والحالات'!$B$6:$B$505,$B24)-SUMIFS('سجل الإجازات والحالات'!$AH$6:$AH$505,'سجل الإجازات والحالات'!$B$6:$B$505,$B24))))</f>
        <v/>
      </c>
      <c r="AK24" s="65" t="str">
        <f aca="false">IF($B24="","",MAX(0,IF(OR(الموظفون!$AE24="",الموظفون!$AE24&gt;$F$3),$F$3,الموظفون!$AE24)-MAX($E$3,الموظفون!$H24)+1))</f>
        <v/>
      </c>
      <c r="AL24" s="151" t="str">
        <f aca="false">IF($B24="","",SUMIFS('سجل الإجازات والحالات'!$AU$6:$AU$505,'سجل الإجازات والحالات'!$B$6:$B$505,$B24)+SUMIFS('الحركات الشهرية'!$K$6:$K$1005,'الحركات الشهرية'!$B$6:$B$1005,$B24,'الحركات الشهرية'!$A$6:$A$1005,$C$3))</f>
        <v/>
      </c>
      <c r="AM24" s="111" t="str">
        <f aca="false">IF($B24="","",AL24*الموظفون!$R24/cfg_DAYS_M+S24)</f>
        <v/>
      </c>
      <c r="AN24" s="151" t="str">
        <f aca="false">IF($B24="","",SUMIFS('سجل الإجازات والحالات'!$W$6:$W$505,'سجل الإجازات والحالات'!$B$6:$B$505,$B24))</f>
        <v/>
      </c>
    </row>
    <row r="25" customFormat="false" ht="15" hidden="false" customHeight="false" outlineLevel="0" collapsed="false">
      <c r="A25" s="115" t="str">
        <f aca="false">IF($B25="","",الموظفون!$A25)</f>
        <v/>
      </c>
      <c r="B25" s="117" t="str">
        <f aca="false">IF(الموظفون!$B25="","",الموظفون!$B25)</f>
        <v/>
      </c>
      <c r="C25" s="117" t="str">
        <f aca="false">IF($B25="","",الموظفون!$C25)</f>
        <v/>
      </c>
      <c r="D25" s="117" t="str">
        <f aca="false">IF($B25="","",الموظفون!$F25)</f>
        <v/>
      </c>
      <c r="E25" s="117" t="str">
        <f aca="false">IF($B25="","",الموظفون!$E25)</f>
        <v/>
      </c>
      <c r="F25" s="117" t="str">
        <f aca="false">IF($B25="","",IF(AK25=0,IF(AND(الموظفون!$AE25&lt;&gt;"",الموظفون!$AE25&lt;$E$3),"✖ منتهي الخدمة","⏳ لم يباشر"),IF(S25&gt;0,"✈ راتب إجازة مقدم",IF(J25=0,"⛔ بدون راتب هذا الشهر",IF(I25&gt;0,"✈ خصم "&amp;ROUND(I25,2)&amp;" يوم بدون أجر",IF(AL25&gt;0,"🌴 إجازة سنوية "&amp;ROUND(AL25,2)&amp;" يوم",IF(H25&gt;0,"⚠ غياب "&amp;ROUND(H25,2)&amp;" يوم","✔ على رأس العمل")))))))</f>
        <v/>
      </c>
      <c r="G25" s="156" t="str">
        <f aca="false">IF($B25="","",IF(AK25&gt;=DAY($F$3),cfg_DAYS_M,MIN(AK25,cfg_DAYS_M)))</f>
        <v/>
      </c>
      <c r="H25" s="156" t="str">
        <f aca="false">IF($B25="","",SUMIFS('الحركات الشهرية'!$D$6:$D$1005,'الحركات الشهرية'!$B$6:$B$1005,$B25,'الحركات الشهرية'!$A$6:$A$1005,$C$3))</f>
        <v/>
      </c>
      <c r="I25" s="156" t="str">
        <f aca="false">IF($B25="","",MIN(G25,IF(AND(AK25&gt;0,AN25&gt;=AK25),G25,AN25)+SUMIFS('الحركات الشهرية'!$E$6:$E$1005,'الحركات الشهرية'!$B$6:$B$1005,$B25,'الحركات الشهرية'!$A$6:$A$1005,$C$3)))</f>
        <v/>
      </c>
      <c r="J25" s="156" t="str">
        <f aca="false">IF($B25="","",MAX(0,G25-H25-I25))</f>
        <v/>
      </c>
      <c r="K25" s="116" t="str">
        <f aca="false">IF($B25="","",الموظفون!$L25*$J25/cfg_DAYS_M)</f>
        <v/>
      </c>
      <c r="L25" s="116" t="str">
        <f aca="false">IF($B25="","",الموظفون!$M25*$J25/cfg_DAYS_M)</f>
        <v/>
      </c>
      <c r="M25" s="116" t="str">
        <f aca="false">IF($B25="","",الموظفون!$N25*$J25/cfg_DAYS_M)</f>
        <v/>
      </c>
      <c r="N25" s="116" t="str">
        <f aca="false">IF($B25="","",الموظفون!$O25*$J25/cfg_DAYS_M)</f>
        <v/>
      </c>
      <c r="O25" s="156" t="str">
        <f aca="false">IF($B25="","",SUMIFS('الحركات الشهرية'!$F$6:$F$1005,'الحركات الشهرية'!$B$6:$B$1005,$B25,'الحركات الشهرية'!$A$6:$A$1005,$C$3))</f>
        <v/>
      </c>
      <c r="P25" s="116" t="str">
        <f aca="false">IF($B25="","",O25*(الموظفون!$P25+الموظفون!$L25*cfg_OT_P)/cfg_DAYS_M/cfg_HRS)</f>
        <v/>
      </c>
      <c r="Q25" s="116" t="str">
        <f aca="false">IF($B25="","",SUMIFS('الحركات الشهرية'!$G$6:$G$1005,'الحركات الشهرية'!$B$6:$B$1005,$B25,'الحركات الشهرية'!$A$6:$A$1005,$C$3))</f>
        <v/>
      </c>
      <c r="R25" s="116" t="str">
        <f aca="false">IF($B25="","",SUMIFS('الحركات الشهرية'!$H$6:$H$1005,'الحركات الشهرية'!$B$6:$B$1005,$B25,'الحركات الشهرية'!$A$6:$A$1005,$C$3))</f>
        <v/>
      </c>
      <c r="S25" s="116" t="str">
        <f aca="false">IF($B25="","",SUMIFS('سجل الإجازات والحالات'!$N$6:$N$505,'سجل الإجازات والحالات'!$B$6:$B$505,$B25,'سجل الإجازات والحالات'!$O$6:$O$505,$C$3))</f>
        <v/>
      </c>
      <c r="T25" s="157" t="str">
        <f aca="false">IF($B25="","",SUM(K25:N25)+SUM(P25:S25))</f>
        <v/>
      </c>
      <c r="U25" s="116" t="str">
        <f aca="false">IF($B25="","",الموظفون!$S25*IF(E25="سعودي",cfg_G_SE,cfg_G_NE)*G25/cfg_DAYS_M)</f>
        <v/>
      </c>
      <c r="V25" s="116" t="str">
        <f aca="false">IF($B25="","",SUMIFS('الحركات الشهرية'!$I$6:$I$1005,'الحركات الشهرية'!$B$6:$B$1005,$B25,'الحركات الشهرية'!$A$6:$A$1005,$C$3))</f>
        <v/>
      </c>
      <c r="W25" s="116" t="str">
        <f aca="false">IF($B25="","",SUMIFS('الحركات الشهرية'!$J$6:$J$1005,'الحركات الشهرية'!$B$6:$B$1005,$B25,'الحركات الشهرية'!$A$6:$A$1005,$C$3))</f>
        <v/>
      </c>
      <c r="X25" s="116" t="str">
        <f aca="false">IF($B25="","",SUM(U25:W25))</f>
        <v/>
      </c>
      <c r="Y25" s="158" t="str">
        <f aca="false">IF($B25="","",T25-X25)</f>
        <v/>
      </c>
      <c r="Z25" s="116" t="str">
        <f aca="false">IF($B25="","",الموظفون!$S25*IF(E25="سعودي",cfg_G_SR,cfg_G_NR)*G25/cfg_DAYS_M)</f>
        <v/>
      </c>
      <c r="AA25" s="116" t="str">
        <f aca="false">IF($B25="","",الموظفون!$Q25*(cfg_EOS_R1*(MIN(AH25,cfg_EOS_TH)-MIN(AI25,cfg_EOS_TH))+cfg_EOS_R2*(MAX(AH25-cfg_EOS_TH,0)-MAX(AI25-cfg_EOS_TH,0))))</f>
        <v/>
      </c>
      <c r="AB25" s="116" t="str">
        <f aca="false">IF($B25="","",IF(الموظفون!$T25&lt;&gt;"",الموظفون!$T25,IF(AH25&gt;=cfg_LV_TH,cfg_LV_D2,cfg_LV_D1))/cfg_DAYS_Y*AJ25*الموظفون!$R25/cfg_DAYS_M)</f>
        <v/>
      </c>
      <c r="AC25" s="116" t="str">
        <f aca="false">IF($B25="","",IF(AND(الموظفون!$U25="نعم",N(الموظفون!$W25)&gt;0),الموظفون!$V25/الموظفون!$W25*12/cfg_DAYS_Y*AJ25,0))</f>
        <v/>
      </c>
      <c r="AD25" s="116" t="str">
        <f aca="false">IF($B25="","",(IF(الموظفون!$X25&lt;&gt;"",الموظفون!$X25,IF(الموظفون!$E25="غير سعودي",cfg_IQ,0))+IF(الموظفون!$Y25&lt;&gt;"",الموظفون!$Y25,IF(الموظفون!$E25="غير سعودي",cfg_WP,0)))/12*G25/cfg_DAYS_M)</f>
        <v/>
      </c>
      <c r="AE25" s="116" t="str">
        <f aca="false">IF($B25="","",IF(الموظفون!$Z25&lt;&gt;"",الموظفون!$Z25,cfg_MED)/12*G25/cfg_DAYS_M)</f>
        <v/>
      </c>
      <c r="AF25" s="116" t="str">
        <f aca="false">IF($B25="","",N(الموظفون!$AA25)/12*G25/cfg_DAYS_M)</f>
        <v/>
      </c>
      <c r="AG25" s="159" t="str">
        <f aca="false">IF($B25="","",T25+SUM(Z25:AF25))</f>
        <v/>
      </c>
      <c r="AH25" s="160" t="str">
        <f aca="false">IF($B25="","",MAX(0,IF(OR(الموظفون!$AE25="",الموظفون!$AE25&gt;$F$3),$F$3,الموظفون!$AE25)-الموظفون!$H25+1-SUMIFS('سجل الإجازات والحالات'!$AI$6:$AI$505,'سجل الإجازات والحالات'!$B$6:$B$505,$B25))/cfg_DAYS_Y)</f>
        <v/>
      </c>
      <c r="AI25" s="160" t="str">
        <f aca="false">IF($B25="","",MAX(0,IF(OR(الموظفون!$AE25="",الموظفون!$AE25&gt;($E$3-1)),($E$3-1),الموظفون!$AE25)-الموظفون!$H25+1-SUMIFS('سجل الإجازات والحالات'!$AH$6:$AH$505,'سجل الإجازات والحالات'!$B$6:$B$505,$B25))/cfg_DAYS_Y)</f>
        <v/>
      </c>
      <c r="AJ25" s="133" t="str">
        <f aca="false">IF($B25="","",MAX(0,AK25-(SUMIFS('سجل الإجازات والحالات'!$AI$6:$AI$505,'سجل الإجازات والحالات'!$B$6:$B$505,$B25)-SUMIFS('سجل الإجازات والحالات'!$AH$6:$AH$505,'سجل الإجازات والحالات'!$B$6:$B$505,$B25))))</f>
        <v/>
      </c>
      <c r="AK25" s="133" t="str">
        <f aca="false">IF($B25="","",MAX(0,IF(OR(الموظفون!$AE25="",الموظفون!$AE25&gt;$F$3),$F$3,الموظفون!$AE25)-MAX($E$3,الموظفون!$H25)+1))</f>
        <v/>
      </c>
      <c r="AL25" s="156" t="str">
        <f aca="false">IF($B25="","",SUMIFS('سجل الإجازات والحالات'!$AU$6:$AU$505,'سجل الإجازات والحالات'!$B$6:$B$505,$B25)+SUMIFS('الحركات الشهرية'!$K$6:$K$1005,'الحركات الشهرية'!$B$6:$B$1005,$B25,'الحركات الشهرية'!$A$6:$A$1005,$C$3))</f>
        <v/>
      </c>
      <c r="AM25" s="116" t="str">
        <f aca="false">IF($B25="","",AL25*الموظفون!$R25/cfg_DAYS_M+S25)</f>
        <v/>
      </c>
      <c r="AN25" s="156" t="str">
        <f aca="false">IF($B25="","",SUMIFS('سجل الإجازات والحالات'!$W$6:$W$505,'سجل الإجازات والحالات'!$B$6:$B$505,$B25))</f>
        <v/>
      </c>
    </row>
    <row r="26" customFormat="false" ht="15" hidden="false" customHeight="false" outlineLevel="0" collapsed="false">
      <c r="A26" s="106" t="str">
        <f aca="false">IF($B26="","",الموظفون!$A26)</f>
        <v/>
      </c>
      <c r="B26" s="114" t="str">
        <f aca="false">IF(الموظفون!$B26="","",الموظفون!$B26)</f>
        <v/>
      </c>
      <c r="C26" s="114" t="str">
        <f aca="false">IF($B26="","",الموظفون!$C26)</f>
        <v/>
      </c>
      <c r="D26" s="114" t="str">
        <f aca="false">IF($B26="","",الموظفون!$F26)</f>
        <v/>
      </c>
      <c r="E26" s="114" t="str">
        <f aca="false">IF($B26="","",الموظفون!$E26)</f>
        <v/>
      </c>
      <c r="F26" s="114" t="str">
        <f aca="false">IF($B26="","",IF(AK26=0,IF(AND(الموظفون!$AE26&lt;&gt;"",الموظفون!$AE26&lt;$E$3),"✖ منتهي الخدمة","⏳ لم يباشر"),IF(S26&gt;0,"✈ راتب إجازة مقدم",IF(J26=0,"⛔ بدون راتب هذا الشهر",IF(I26&gt;0,"✈ خصم "&amp;ROUND(I26,2)&amp;" يوم بدون أجر",IF(AL26&gt;0,"🌴 إجازة سنوية "&amp;ROUND(AL26,2)&amp;" يوم",IF(H26&gt;0,"⚠ غياب "&amp;ROUND(H26,2)&amp;" يوم","✔ على رأس العمل")))))))</f>
        <v/>
      </c>
      <c r="G26" s="151" t="str">
        <f aca="false">IF($B26="","",IF(AK26&gt;=DAY($F$3),cfg_DAYS_M,MIN(AK26,cfg_DAYS_M)))</f>
        <v/>
      </c>
      <c r="H26" s="151" t="str">
        <f aca="false">IF($B26="","",SUMIFS('الحركات الشهرية'!$D$6:$D$1005,'الحركات الشهرية'!$B$6:$B$1005,$B26,'الحركات الشهرية'!$A$6:$A$1005,$C$3))</f>
        <v/>
      </c>
      <c r="I26" s="151" t="str">
        <f aca="false">IF($B26="","",MIN(G26,IF(AND(AK26&gt;0,AN26&gt;=AK26),G26,AN26)+SUMIFS('الحركات الشهرية'!$E$6:$E$1005,'الحركات الشهرية'!$B$6:$B$1005,$B26,'الحركات الشهرية'!$A$6:$A$1005,$C$3)))</f>
        <v/>
      </c>
      <c r="J26" s="151" t="str">
        <f aca="false">IF($B26="","",MAX(0,G26-H26-I26))</f>
        <v/>
      </c>
      <c r="K26" s="111" t="str">
        <f aca="false">IF($B26="","",الموظفون!$L26*$J26/cfg_DAYS_M)</f>
        <v/>
      </c>
      <c r="L26" s="111" t="str">
        <f aca="false">IF($B26="","",الموظفون!$M26*$J26/cfg_DAYS_M)</f>
        <v/>
      </c>
      <c r="M26" s="111" t="str">
        <f aca="false">IF($B26="","",الموظفون!$N26*$J26/cfg_DAYS_M)</f>
        <v/>
      </c>
      <c r="N26" s="111" t="str">
        <f aca="false">IF($B26="","",الموظفون!$O26*$J26/cfg_DAYS_M)</f>
        <v/>
      </c>
      <c r="O26" s="151" t="str">
        <f aca="false">IF($B26="","",SUMIFS('الحركات الشهرية'!$F$6:$F$1005,'الحركات الشهرية'!$B$6:$B$1005,$B26,'الحركات الشهرية'!$A$6:$A$1005,$C$3))</f>
        <v/>
      </c>
      <c r="P26" s="111" t="str">
        <f aca="false">IF($B26="","",O26*(الموظفون!$P26+الموظفون!$L26*cfg_OT_P)/cfg_DAYS_M/cfg_HRS)</f>
        <v/>
      </c>
      <c r="Q26" s="111" t="str">
        <f aca="false">IF($B26="","",SUMIFS('الحركات الشهرية'!$G$6:$G$1005,'الحركات الشهرية'!$B$6:$B$1005,$B26,'الحركات الشهرية'!$A$6:$A$1005,$C$3))</f>
        <v/>
      </c>
      <c r="R26" s="111" t="str">
        <f aca="false">IF($B26="","",SUMIFS('الحركات الشهرية'!$H$6:$H$1005,'الحركات الشهرية'!$B$6:$B$1005,$B26,'الحركات الشهرية'!$A$6:$A$1005,$C$3))</f>
        <v/>
      </c>
      <c r="S26" s="111" t="str">
        <f aca="false">IF($B26="","",SUMIFS('سجل الإجازات والحالات'!$N$6:$N$505,'سجل الإجازات والحالات'!$B$6:$B$505,$B26,'سجل الإجازات والحالات'!$O$6:$O$505,$C$3))</f>
        <v/>
      </c>
      <c r="T26" s="152" t="str">
        <f aca="false">IF($B26="","",SUM(K26:N26)+SUM(P26:S26))</f>
        <v/>
      </c>
      <c r="U26" s="111" t="str">
        <f aca="false">IF($B26="","",الموظفون!$S26*IF(E26="سعودي",cfg_G_SE,cfg_G_NE)*G26/cfg_DAYS_M)</f>
        <v/>
      </c>
      <c r="V26" s="111" t="str">
        <f aca="false">IF($B26="","",SUMIFS('الحركات الشهرية'!$I$6:$I$1005,'الحركات الشهرية'!$B$6:$B$1005,$B26,'الحركات الشهرية'!$A$6:$A$1005,$C$3))</f>
        <v/>
      </c>
      <c r="W26" s="111" t="str">
        <f aca="false">IF($B26="","",SUMIFS('الحركات الشهرية'!$J$6:$J$1005,'الحركات الشهرية'!$B$6:$B$1005,$B26,'الحركات الشهرية'!$A$6:$A$1005,$C$3))</f>
        <v/>
      </c>
      <c r="X26" s="111" t="str">
        <f aca="false">IF($B26="","",SUM(U26:W26))</f>
        <v/>
      </c>
      <c r="Y26" s="153" t="str">
        <f aca="false">IF($B26="","",T26-X26)</f>
        <v/>
      </c>
      <c r="Z26" s="111" t="str">
        <f aca="false">IF($B26="","",الموظفون!$S26*IF(E26="سعودي",cfg_G_SR,cfg_G_NR)*G26/cfg_DAYS_M)</f>
        <v/>
      </c>
      <c r="AA26" s="111" t="str">
        <f aca="false">IF($B26="","",الموظفون!$Q26*(cfg_EOS_R1*(MIN(AH26,cfg_EOS_TH)-MIN(AI26,cfg_EOS_TH))+cfg_EOS_R2*(MAX(AH26-cfg_EOS_TH,0)-MAX(AI26-cfg_EOS_TH,0))))</f>
        <v/>
      </c>
      <c r="AB26" s="111" t="str">
        <f aca="false">IF($B26="","",IF(الموظفون!$T26&lt;&gt;"",الموظفون!$T26,IF(AH26&gt;=cfg_LV_TH,cfg_LV_D2,cfg_LV_D1))/cfg_DAYS_Y*AJ26*الموظفون!$R26/cfg_DAYS_M)</f>
        <v/>
      </c>
      <c r="AC26" s="111" t="str">
        <f aca="false">IF($B26="","",IF(AND(الموظفون!$U26="نعم",N(الموظفون!$W26)&gt;0),الموظفون!$V26/الموظفون!$W26*12/cfg_DAYS_Y*AJ26,0))</f>
        <v/>
      </c>
      <c r="AD26" s="111" t="str">
        <f aca="false">IF($B26="","",(IF(الموظفون!$X26&lt;&gt;"",الموظفون!$X26,IF(الموظفون!$E26="غير سعودي",cfg_IQ,0))+IF(الموظفون!$Y26&lt;&gt;"",الموظفون!$Y26,IF(الموظفون!$E26="غير سعودي",cfg_WP,0)))/12*G26/cfg_DAYS_M)</f>
        <v/>
      </c>
      <c r="AE26" s="111" t="str">
        <f aca="false">IF($B26="","",IF(الموظفون!$Z26&lt;&gt;"",الموظفون!$Z26,cfg_MED)/12*G26/cfg_DAYS_M)</f>
        <v/>
      </c>
      <c r="AF26" s="111" t="str">
        <f aca="false">IF($B26="","",N(الموظفون!$AA26)/12*G26/cfg_DAYS_M)</f>
        <v/>
      </c>
      <c r="AG26" s="154" t="str">
        <f aca="false">IF($B26="","",T26+SUM(Z26:AF26))</f>
        <v/>
      </c>
      <c r="AH26" s="155" t="str">
        <f aca="false">IF($B26="","",MAX(0,IF(OR(الموظفون!$AE26="",الموظفون!$AE26&gt;$F$3),$F$3,الموظفون!$AE26)-الموظفون!$H26+1-SUMIFS('سجل الإجازات والحالات'!$AI$6:$AI$505,'سجل الإجازات والحالات'!$B$6:$B$505,$B26))/cfg_DAYS_Y)</f>
        <v/>
      </c>
      <c r="AI26" s="155" t="str">
        <f aca="false">IF($B26="","",MAX(0,IF(OR(الموظفون!$AE26="",الموظفون!$AE26&gt;($E$3-1)),($E$3-1),الموظفون!$AE26)-الموظفون!$H26+1-SUMIFS('سجل الإجازات والحالات'!$AH$6:$AH$505,'سجل الإجازات والحالات'!$B$6:$B$505,$B26))/cfg_DAYS_Y)</f>
        <v/>
      </c>
      <c r="AJ26" s="65" t="str">
        <f aca="false">IF($B26="","",MAX(0,AK26-(SUMIFS('سجل الإجازات والحالات'!$AI$6:$AI$505,'سجل الإجازات والحالات'!$B$6:$B$505,$B26)-SUMIFS('سجل الإجازات والحالات'!$AH$6:$AH$505,'سجل الإجازات والحالات'!$B$6:$B$505,$B26))))</f>
        <v/>
      </c>
      <c r="AK26" s="65" t="str">
        <f aca="false">IF($B26="","",MAX(0,IF(OR(الموظفون!$AE26="",الموظفون!$AE26&gt;$F$3),$F$3,الموظفون!$AE26)-MAX($E$3,الموظفون!$H26)+1))</f>
        <v/>
      </c>
      <c r="AL26" s="151" t="str">
        <f aca="false">IF($B26="","",SUMIFS('سجل الإجازات والحالات'!$AU$6:$AU$505,'سجل الإجازات والحالات'!$B$6:$B$505,$B26)+SUMIFS('الحركات الشهرية'!$K$6:$K$1005,'الحركات الشهرية'!$B$6:$B$1005,$B26,'الحركات الشهرية'!$A$6:$A$1005,$C$3))</f>
        <v/>
      </c>
      <c r="AM26" s="111" t="str">
        <f aca="false">IF($B26="","",AL26*الموظفون!$R26/cfg_DAYS_M+S26)</f>
        <v/>
      </c>
      <c r="AN26" s="151" t="str">
        <f aca="false">IF($B26="","",SUMIFS('سجل الإجازات والحالات'!$W$6:$W$505,'سجل الإجازات والحالات'!$B$6:$B$505,$B26))</f>
        <v/>
      </c>
    </row>
    <row r="27" customFormat="false" ht="15" hidden="false" customHeight="false" outlineLevel="0" collapsed="false">
      <c r="A27" s="115" t="str">
        <f aca="false">IF($B27="","",الموظفون!$A27)</f>
        <v/>
      </c>
      <c r="B27" s="117" t="str">
        <f aca="false">IF(الموظفون!$B27="","",الموظفون!$B27)</f>
        <v/>
      </c>
      <c r="C27" s="117" t="str">
        <f aca="false">IF($B27="","",الموظفون!$C27)</f>
        <v/>
      </c>
      <c r="D27" s="117" t="str">
        <f aca="false">IF($B27="","",الموظفون!$F27)</f>
        <v/>
      </c>
      <c r="E27" s="117" t="str">
        <f aca="false">IF($B27="","",الموظفون!$E27)</f>
        <v/>
      </c>
      <c r="F27" s="117" t="str">
        <f aca="false">IF($B27="","",IF(AK27=0,IF(AND(الموظفون!$AE27&lt;&gt;"",الموظفون!$AE27&lt;$E$3),"✖ منتهي الخدمة","⏳ لم يباشر"),IF(S27&gt;0,"✈ راتب إجازة مقدم",IF(J27=0,"⛔ بدون راتب هذا الشهر",IF(I27&gt;0,"✈ خصم "&amp;ROUND(I27,2)&amp;" يوم بدون أجر",IF(AL27&gt;0,"🌴 إجازة سنوية "&amp;ROUND(AL27,2)&amp;" يوم",IF(H27&gt;0,"⚠ غياب "&amp;ROUND(H27,2)&amp;" يوم","✔ على رأس العمل")))))))</f>
        <v/>
      </c>
      <c r="G27" s="156" t="str">
        <f aca="false">IF($B27="","",IF(AK27&gt;=DAY($F$3),cfg_DAYS_M,MIN(AK27,cfg_DAYS_M)))</f>
        <v/>
      </c>
      <c r="H27" s="156" t="str">
        <f aca="false">IF($B27="","",SUMIFS('الحركات الشهرية'!$D$6:$D$1005,'الحركات الشهرية'!$B$6:$B$1005,$B27,'الحركات الشهرية'!$A$6:$A$1005,$C$3))</f>
        <v/>
      </c>
      <c r="I27" s="156" t="str">
        <f aca="false">IF($B27="","",MIN(G27,IF(AND(AK27&gt;0,AN27&gt;=AK27),G27,AN27)+SUMIFS('الحركات الشهرية'!$E$6:$E$1005,'الحركات الشهرية'!$B$6:$B$1005,$B27,'الحركات الشهرية'!$A$6:$A$1005,$C$3)))</f>
        <v/>
      </c>
      <c r="J27" s="156" t="str">
        <f aca="false">IF($B27="","",MAX(0,G27-H27-I27))</f>
        <v/>
      </c>
      <c r="K27" s="116" t="str">
        <f aca="false">IF($B27="","",الموظفون!$L27*$J27/cfg_DAYS_M)</f>
        <v/>
      </c>
      <c r="L27" s="116" t="str">
        <f aca="false">IF($B27="","",الموظفون!$M27*$J27/cfg_DAYS_M)</f>
        <v/>
      </c>
      <c r="M27" s="116" t="str">
        <f aca="false">IF($B27="","",الموظفون!$N27*$J27/cfg_DAYS_M)</f>
        <v/>
      </c>
      <c r="N27" s="116" t="str">
        <f aca="false">IF($B27="","",الموظفون!$O27*$J27/cfg_DAYS_M)</f>
        <v/>
      </c>
      <c r="O27" s="156" t="str">
        <f aca="false">IF($B27="","",SUMIFS('الحركات الشهرية'!$F$6:$F$1005,'الحركات الشهرية'!$B$6:$B$1005,$B27,'الحركات الشهرية'!$A$6:$A$1005,$C$3))</f>
        <v/>
      </c>
      <c r="P27" s="116" t="str">
        <f aca="false">IF($B27="","",O27*(الموظفون!$P27+الموظفون!$L27*cfg_OT_P)/cfg_DAYS_M/cfg_HRS)</f>
        <v/>
      </c>
      <c r="Q27" s="116" t="str">
        <f aca="false">IF($B27="","",SUMIFS('الحركات الشهرية'!$G$6:$G$1005,'الحركات الشهرية'!$B$6:$B$1005,$B27,'الحركات الشهرية'!$A$6:$A$1005,$C$3))</f>
        <v/>
      </c>
      <c r="R27" s="116" t="str">
        <f aca="false">IF($B27="","",SUMIFS('الحركات الشهرية'!$H$6:$H$1005,'الحركات الشهرية'!$B$6:$B$1005,$B27,'الحركات الشهرية'!$A$6:$A$1005,$C$3))</f>
        <v/>
      </c>
      <c r="S27" s="116" t="str">
        <f aca="false">IF($B27="","",SUMIFS('سجل الإجازات والحالات'!$N$6:$N$505,'سجل الإجازات والحالات'!$B$6:$B$505,$B27,'سجل الإجازات والحالات'!$O$6:$O$505,$C$3))</f>
        <v/>
      </c>
      <c r="T27" s="157" t="str">
        <f aca="false">IF($B27="","",SUM(K27:N27)+SUM(P27:S27))</f>
        <v/>
      </c>
      <c r="U27" s="116" t="str">
        <f aca="false">IF($B27="","",الموظفون!$S27*IF(E27="سعودي",cfg_G_SE,cfg_G_NE)*G27/cfg_DAYS_M)</f>
        <v/>
      </c>
      <c r="V27" s="116" t="str">
        <f aca="false">IF($B27="","",SUMIFS('الحركات الشهرية'!$I$6:$I$1005,'الحركات الشهرية'!$B$6:$B$1005,$B27,'الحركات الشهرية'!$A$6:$A$1005,$C$3))</f>
        <v/>
      </c>
      <c r="W27" s="116" t="str">
        <f aca="false">IF($B27="","",SUMIFS('الحركات الشهرية'!$J$6:$J$1005,'الحركات الشهرية'!$B$6:$B$1005,$B27,'الحركات الشهرية'!$A$6:$A$1005,$C$3))</f>
        <v/>
      </c>
      <c r="X27" s="116" t="str">
        <f aca="false">IF($B27="","",SUM(U27:W27))</f>
        <v/>
      </c>
      <c r="Y27" s="158" t="str">
        <f aca="false">IF($B27="","",T27-X27)</f>
        <v/>
      </c>
      <c r="Z27" s="116" t="str">
        <f aca="false">IF($B27="","",الموظفون!$S27*IF(E27="سعودي",cfg_G_SR,cfg_G_NR)*G27/cfg_DAYS_M)</f>
        <v/>
      </c>
      <c r="AA27" s="116" t="str">
        <f aca="false">IF($B27="","",الموظفون!$Q27*(cfg_EOS_R1*(MIN(AH27,cfg_EOS_TH)-MIN(AI27,cfg_EOS_TH))+cfg_EOS_R2*(MAX(AH27-cfg_EOS_TH,0)-MAX(AI27-cfg_EOS_TH,0))))</f>
        <v/>
      </c>
      <c r="AB27" s="116" t="str">
        <f aca="false">IF($B27="","",IF(الموظفون!$T27&lt;&gt;"",الموظفون!$T27,IF(AH27&gt;=cfg_LV_TH,cfg_LV_D2,cfg_LV_D1))/cfg_DAYS_Y*AJ27*الموظفون!$R27/cfg_DAYS_M)</f>
        <v/>
      </c>
      <c r="AC27" s="116" t="str">
        <f aca="false">IF($B27="","",IF(AND(الموظفون!$U27="نعم",N(الموظفون!$W27)&gt;0),الموظفون!$V27/الموظفون!$W27*12/cfg_DAYS_Y*AJ27,0))</f>
        <v/>
      </c>
      <c r="AD27" s="116" t="str">
        <f aca="false">IF($B27="","",(IF(الموظفون!$X27&lt;&gt;"",الموظفون!$X27,IF(الموظفون!$E27="غير سعودي",cfg_IQ,0))+IF(الموظفون!$Y27&lt;&gt;"",الموظفون!$Y27,IF(الموظفون!$E27="غير سعودي",cfg_WP,0)))/12*G27/cfg_DAYS_M)</f>
        <v/>
      </c>
      <c r="AE27" s="116" t="str">
        <f aca="false">IF($B27="","",IF(الموظفون!$Z27&lt;&gt;"",الموظفون!$Z27,cfg_MED)/12*G27/cfg_DAYS_M)</f>
        <v/>
      </c>
      <c r="AF27" s="116" t="str">
        <f aca="false">IF($B27="","",N(الموظفون!$AA27)/12*G27/cfg_DAYS_M)</f>
        <v/>
      </c>
      <c r="AG27" s="159" t="str">
        <f aca="false">IF($B27="","",T27+SUM(Z27:AF27))</f>
        <v/>
      </c>
      <c r="AH27" s="160" t="str">
        <f aca="false">IF($B27="","",MAX(0,IF(OR(الموظفون!$AE27="",الموظفون!$AE27&gt;$F$3),$F$3,الموظفون!$AE27)-الموظفون!$H27+1-SUMIFS('سجل الإجازات والحالات'!$AI$6:$AI$505,'سجل الإجازات والحالات'!$B$6:$B$505,$B27))/cfg_DAYS_Y)</f>
        <v/>
      </c>
      <c r="AI27" s="160" t="str">
        <f aca="false">IF($B27="","",MAX(0,IF(OR(الموظفون!$AE27="",الموظفون!$AE27&gt;($E$3-1)),($E$3-1),الموظفون!$AE27)-الموظفون!$H27+1-SUMIFS('سجل الإجازات والحالات'!$AH$6:$AH$505,'سجل الإجازات والحالات'!$B$6:$B$505,$B27))/cfg_DAYS_Y)</f>
        <v/>
      </c>
      <c r="AJ27" s="133" t="str">
        <f aca="false">IF($B27="","",MAX(0,AK27-(SUMIFS('سجل الإجازات والحالات'!$AI$6:$AI$505,'سجل الإجازات والحالات'!$B$6:$B$505,$B27)-SUMIFS('سجل الإجازات والحالات'!$AH$6:$AH$505,'سجل الإجازات والحالات'!$B$6:$B$505,$B27))))</f>
        <v/>
      </c>
      <c r="AK27" s="133" t="str">
        <f aca="false">IF($B27="","",MAX(0,IF(OR(الموظفون!$AE27="",الموظفون!$AE27&gt;$F$3),$F$3,الموظفون!$AE27)-MAX($E$3,الموظفون!$H27)+1))</f>
        <v/>
      </c>
      <c r="AL27" s="156" t="str">
        <f aca="false">IF($B27="","",SUMIFS('سجل الإجازات والحالات'!$AU$6:$AU$505,'سجل الإجازات والحالات'!$B$6:$B$505,$B27)+SUMIFS('الحركات الشهرية'!$K$6:$K$1005,'الحركات الشهرية'!$B$6:$B$1005,$B27,'الحركات الشهرية'!$A$6:$A$1005,$C$3))</f>
        <v/>
      </c>
      <c r="AM27" s="116" t="str">
        <f aca="false">IF($B27="","",AL27*الموظفون!$R27/cfg_DAYS_M+S27)</f>
        <v/>
      </c>
      <c r="AN27" s="156" t="str">
        <f aca="false">IF($B27="","",SUMIFS('سجل الإجازات والحالات'!$W$6:$W$505,'سجل الإجازات والحالات'!$B$6:$B$505,$B27))</f>
        <v/>
      </c>
    </row>
    <row r="28" customFormat="false" ht="15" hidden="false" customHeight="false" outlineLevel="0" collapsed="false">
      <c r="A28" s="106" t="str">
        <f aca="false">IF($B28="","",الموظفون!$A28)</f>
        <v/>
      </c>
      <c r="B28" s="114" t="str">
        <f aca="false">IF(الموظفون!$B28="","",الموظفون!$B28)</f>
        <v/>
      </c>
      <c r="C28" s="114" t="str">
        <f aca="false">IF($B28="","",الموظفون!$C28)</f>
        <v/>
      </c>
      <c r="D28" s="114" t="str">
        <f aca="false">IF($B28="","",الموظفون!$F28)</f>
        <v/>
      </c>
      <c r="E28" s="114" t="str">
        <f aca="false">IF($B28="","",الموظفون!$E28)</f>
        <v/>
      </c>
      <c r="F28" s="114" t="str">
        <f aca="false">IF($B28="","",IF(AK28=0,IF(AND(الموظفون!$AE28&lt;&gt;"",الموظفون!$AE28&lt;$E$3),"✖ منتهي الخدمة","⏳ لم يباشر"),IF(S28&gt;0,"✈ راتب إجازة مقدم",IF(J28=0,"⛔ بدون راتب هذا الشهر",IF(I28&gt;0,"✈ خصم "&amp;ROUND(I28,2)&amp;" يوم بدون أجر",IF(AL28&gt;0,"🌴 إجازة سنوية "&amp;ROUND(AL28,2)&amp;" يوم",IF(H28&gt;0,"⚠ غياب "&amp;ROUND(H28,2)&amp;" يوم","✔ على رأس العمل")))))))</f>
        <v/>
      </c>
      <c r="G28" s="151" t="str">
        <f aca="false">IF($B28="","",IF(AK28&gt;=DAY($F$3),cfg_DAYS_M,MIN(AK28,cfg_DAYS_M)))</f>
        <v/>
      </c>
      <c r="H28" s="151" t="str">
        <f aca="false">IF($B28="","",SUMIFS('الحركات الشهرية'!$D$6:$D$1005,'الحركات الشهرية'!$B$6:$B$1005,$B28,'الحركات الشهرية'!$A$6:$A$1005,$C$3))</f>
        <v/>
      </c>
      <c r="I28" s="151" t="str">
        <f aca="false">IF($B28="","",MIN(G28,IF(AND(AK28&gt;0,AN28&gt;=AK28),G28,AN28)+SUMIFS('الحركات الشهرية'!$E$6:$E$1005,'الحركات الشهرية'!$B$6:$B$1005,$B28,'الحركات الشهرية'!$A$6:$A$1005,$C$3)))</f>
        <v/>
      </c>
      <c r="J28" s="151" t="str">
        <f aca="false">IF($B28="","",MAX(0,G28-H28-I28))</f>
        <v/>
      </c>
      <c r="K28" s="111" t="str">
        <f aca="false">IF($B28="","",الموظفون!$L28*$J28/cfg_DAYS_M)</f>
        <v/>
      </c>
      <c r="L28" s="111" t="str">
        <f aca="false">IF($B28="","",الموظفون!$M28*$J28/cfg_DAYS_M)</f>
        <v/>
      </c>
      <c r="M28" s="111" t="str">
        <f aca="false">IF($B28="","",الموظفون!$N28*$J28/cfg_DAYS_M)</f>
        <v/>
      </c>
      <c r="N28" s="111" t="str">
        <f aca="false">IF($B28="","",الموظفون!$O28*$J28/cfg_DAYS_M)</f>
        <v/>
      </c>
      <c r="O28" s="151" t="str">
        <f aca="false">IF($B28="","",SUMIFS('الحركات الشهرية'!$F$6:$F$1005,'الحركات الشهرية'!$B$6:$B$1005,$B28,'الحركات الشهرية'!$A$6:$A$1005,$C$3))</f>
        <v/>
      </c>
      <c r="P28" s="111" t="str">
        <f aca="false">IF($B28="","",O28*(الموظفون!$P28+الموظفون!$L28*cfg_OT_P)/cfg_DAYS_M/cfg_HRS)</f>
        <v/>
      </c>
      <c r="Q28" s="111" t="str">
        <f aca="false">IF($B28="","",SUMIFS('الحركات الشهرية'!$G$6:$G$1005,'الحركات الشهرية'!$B$6:$B$1005,$B28,'الحركات الشهرية'!$A$6:$A$1005,$C$3))</f>
        <v/>
      </c>
      <c r="R28" s="111" t="str">
        <f aca="false">IF($B28="","",SUMIFS('الحركات الشهرية'!$H$6:$H$1005,'الحركات الشهرية'!$B$6:$B$1005,$B28,'الحركات الشهرية'!$A$6:$A$1005,$C$3))</f>
        <v/>
      </c>
      <c r="S28" s="111" t="str">
        <f aca="false">IF($B28="","",SUMIFS('سجل الإجازات والحالات'!$N$6:$N$505,'سجل الإجازات والحالات'!$B$6:$B$505,$B28,'سجل الإجازات والحالات'!$O$6:$O$505,$C$3))</f>
        <v/>
      </c>
      <c r="T28" s="152" t="str">
        <f aca="false">IF($B28="","",SUM(K28:N28)+SUM(P28:S28))</f>
        <v/>
      </c>
      <c r="U28" s="111" t="str">
        <f aca="false">IF($B28="","",الموظفون!$S28*IF(E28="سعودي",cfg_G_SE,cfg_G_NE)*G28/cfg_DAYS_M)</f>
        <v/>
      </c>
      <c r="V28" s="111" t="str">
        <f aca="false">IF($B28="","",SUMIFS('الحركات الشهرية'!$I$6:$I$1005,'الحركات الشهرية'!$B$6:$B$1005,$B28,'الحركات الشهرية'!$A$6:$A$1005,$C$3))</f>
        <v/>
      </c>
      <c r="W28" s="111" t="str">
        <f aca="false">IF($B28="","",SUMIFS('الحركات الشهرية'!$J$6:$J$1005,'الحركات الشهرية'!$B$6:$B$1005,$B28,'الحركات الشهرية'!$A$6:$A$1005,$C$3))</f>
        <v/>
      </c>
      <c r="X28" s="111" t="str">
        <f aca="false">IF($B28="","",SUM(U28:W28))</f>
        <v/>
      </c>
      <c r="Y28" s="153" t="str">
        <f aca="false">IF($B28="","",T28-X28)</f>
        <v/>
      </c>
      <c r="Z28" s="111" t="str">
        <f aca="false">IF($B28="","",الموظفون!$S28*IF(E28="سعودي",cfg_G_SR,cfg_G_NR)*G28/cfg_DAYS_M)</f>
        <v/>
      </c>
      <c r="AA28" s="111" t="str">
        <f aca="false">IF($B28="","",الموظفون!$Q28*(cfg_EOS_R1*(MIN(AH28,cfg_EOS_TH)-MIN(AI28,cfg_EOS_TH))+cfg_EOS_R2*(MAX(AH28-cfg_EOS_TH,0)-MAX(AI28-cfg_EOS_TH,0))))</f>
        <v/>
      </c>
      <c r="AB28" s="111" t="str">
        <f aca="false">IF($B28="","",IF(الموظفون!$T28&lt;&gt;"",الموظفون!$T28,IF(AH28&gt;=cfg_LV_TH,cfg_LV_D2,cfg_LV_D1))/cfg_DAYS_Y*AJ28*الموظفون!$R28/cfg_DAYS_M)</f>
        <v/>
      </c>
      <c r="AC28" s="111" t="str">
        <f aca="false">IF($B28="","",IF(AND(الموظفون!$U28="نعم",N(الموظفون!$W28)&gt;0),الموظفون!$V28/الموظفون!$W28*12/cfg_DAYS_Y*AJ28,0))</f>
        <v/>
      </c>
      <c r="AD28" s="111" t="str">
        <f aca="false">IF($B28="","",(IF(الموظفون!$X28&lt;&gt;"",الموظفون!$X28,IF(الموظفون!$E28="غير سعودي",cfg_IQ,0))+IF(الموظفون!$Y28&lt;&gt;"",الموظفون!$Y28,IF(الموظفون!$E28="غير سعودي",cfg_WP,0)))/12*G28/cfg_DAYS_M)</f>
        <v/>
      </c>
      <c r="AE28" s="111" t="str">
        <f aca="false">IF($B28="","",IF(الموظفون!$Z28&lt;&gt;"",الموظفون!$Z28,cfg_MED)/12*G28/cfg_DAYS_M)</f>
        <v/>
      </c>
      <c r="AF28" s="111" t="str">
        <f aca="false">IF($B28="","",N(الموظفون!$AA28)/12*G28/cfg_DAYS_M)</f>
        <v/>
      </c>
      <c r="AG28" s="154" t="str">
        <f aca="false">IF($B28="","",T28+SUM(Z28:AF28))</f>
        <v/>
      </c>
      <c r="AH28" s="155" t="str">
        <f aca="false">IF($B28="","",MAX(0,IF(OR(الموظفون!$AE28="",الموظفون!$AE28&gt;$F$3),$F$3,الموظفون!$AE28)-الموظفون!$H28+1-SUMIFS('سجل الإجازات والحالات'!$AI$6:$AI$505,'سجل الإجازات والحالات'!$B$6:$B$505,$B28))/cfg_DAYS_Y)</f>
        <v/>
      </c>
      <c r="AI28" s="155" t="str">
        <f aca="false">IF($B28="","",MAX(0,IF(OR(الموظفون!$AE28="",الموظفون!$AE28&gt;($E$3-1)),($E$3-1),الموظفون!$AE28)-الموظفون!$H28+1-SUMIFS('سجل الإجازات والحالات'!$AH$6:$AH$505,'سجل الإجازات والحالات'!$B$6:$B$505,$B28))/cfg_DAYS_Y)</f>
        <v/>
      </c>
      <c r="AJ28" s="65" t="str">
        <f aca="false">IF($B28="","",MAX(0,AK28-(SUMIFS('سجل الإجازات والحالات'!$AI$6:$AI$505,'سجل الإجازات والحالات'!$B$6:$B$505,$B28)-SUMIFS('سجل الإجازات والحالات'!$AH$6:$AH$505,'سجل الإجازات والحالات'!$B$6:$B$505,$B28))))</f>
        <v/>
      </c>
      <c r="AK28" s="65" t="str">
        <f aca="false">IF($B28="","",MAX(0,IF(OR(الموظفون!$AE28="",الموظفون!$AE28&gt;$F$3),$F$3,الموظفون!$AE28)-MAX($E$3,الموظفون!$H28)+1))</f>
        <v/>
      </c>
      <c r="AL28" s="151" t="str">
        <f aca="false">IF($B28="","",SUMIFS('سجل الإجازات والحالات'!$AU$6:$AU$505,'سجل الإجازات والحالات'!$B$6:$B$505,$B28)+SUMIFS('الحركات الشهرية'!$K$6:$K$1005,'الحركات الشهرية'!$B$6:$B$1005,$B28,'الحركات الشهرية'!$A$6:$A$1005,$C$3))</f>
        <v/>
      </c>
      <c r="AM28" s="111" t="str">
        <f aca="false">IF($B28="","",AL28*الموظفون!$R28/cfg_DAYS_M+S28)</f>
        <v/>
      </c>
      <c r="AN28" s="151" t="str">
        <f aca="false">IF($B28="","",SUMIFS('سجل الإجازات والحالات'!$W$6:$W$505,'سجل الإجازات والحالات'!$B$6:$B$505,$B28))</f>
        <v/>
      </c>
    </row>
    <row r="29" customFormat="false" ht="15" hidden="false" customHeight="false" outlineLevel="0" collapsed="false">
      <c r="A29" s="115" t="str">
        <f aca="false">IF($B29="","",الموظفون!$A29)</f>
        <v/>
      </c>
      <c r="B29" s="117" t="str">
        <f aca="false">IF(الموظفون!$B29="","",الموظفون!$B29)</f>
        <v/>
      </c>
      <c r="C29" s="117" t="str">
        <f aca="false">IF($B29="","",الموظفون!$C29)</f>
        <v/>
      </c>
      <c r="D29" s="117" t="str">
        <f aca="false">IF($B29="","",الموظفون!$F29)</f>
        <v/>
      </c>
      <c r="E29" s="117" t="str">
        <f aca="false">IF($B29="","",الموظفون!$E29)</f>
        <v/>
      </c>
      <c r="F29" s="117" t="str">
        <f aca="false">IF($B29="","",IF(AK29=0,IF(AND(الموظفون!$AE29&lt;&gt;"",الموظفون!$AE29&lt;$E$3),"✖ منتهي الخدمة","⏳ لم يباشر"),IF(S29&gt;0,"✈ راتب إجازة مقدم",IF(J29=0,"⛔ بدون راتب هذا الشهر",IF(I29&gt;0,"✈ خصم "&amp;ROUND(I29,2)&amp;" يوم بدون أجر",IF(AL29&gt;0,"🌴 إجازة سنوية "&amp;ROUND(AL29,2)&amp;" يوم",IF(H29&gt;0,"⚠ غياب "&amp;ROUND(H29,2)&amp;" يوم","✔ على رأس العمل")))))))</f>
        <v/>
      </c>
      <c r="G29" s="156" t="str">
        <f aca="false">IF($B29="","",IF(AK29&gt;=DAY($F$3),cfg_DAYS_M,MIN(AK29,cfg_DAYS_M)))</f>
        <v/>
      </c>
      <c r="H29" s="156" t="str">
        <f aca="false">IF($B29="","",SUMIFS('الحركات الشهرية'!$D$6:$D$1005,'الحركات الشهرية'!$B$6:$B$1005,$B29,'الحركات الشهرية'!$A$6:$A$1005,$C$3))</f>
        <v/>
      </c>
      <c r="I29" s="156" t="str">
        <f aca="false">IF($B29="","",MIN(G29,IF(AND(AK29&gt;0,AN29&gt;=AK29),G29,AN29)+SUMIFS('الحركات الشهرية'!$E$6:$E$1005,'الحركات الشهرية'!$B$6:$B$1005,$B29,'الحركات الشهرية'!$A$6:$A$1005,$C$3)))</f>
        <v/>
      </c>
      <c r="J29" s="156" t="str">
        <f aca="false">IF($B29="","",MAX(0,G29-H29-I29))</f>
        <v/>
      </c>
      <c r="K29" s="116" t="str">
        <f aca="false">IF($B29="","",الموظفون!$L29*$J29/cfg_DAYS_M)</f>
        <v/>
      </c>
      <c r="L29" s="116" t="str">
        <f aca="false">IF($B29="","",الموظفون!$M29*$J29/cfg_DAYS_M)</f>
        <v/>
      </c>
      <c r="M29" s="116" t="str">
        <f aca="false">IF($B29="","",الموظفون!$N29*$J29/cfg_DAYS_M)</f>
        <v/>
      </c>
      <c r="N29" s="116" t="str">
        <f aca="false">IF($B29="","",الموظفون!$O29*$J29/cfg_DAYS_M)</f>
        <v/>
      </c>
      <c r="O29" s="156" t="str">
        <f aca="false">IF($B29="","",SUMIFS('الحركات الشهرية'!$F$6:$F$1005,'الحركات الشهرية'!$B$6:$B$1005,$B29,'الحركات الشهرية'!$A$6:$A$1005,$C$3))</f>
        <v/>
      </c>
      <c r="P29" s="116" t="str">
        <f aca="false">IF($B29="","",O29*(الموظفون!$P29+الموظفون!$L29*cfg_OT_P)/cfg_DAYS_M/cfg_HRS)</f>
        <v/>
      </c>
      <c r="Q29" s="116" t="str">
        <f aca="false">IF($B29="","",SUMIFS('الحركات الشهرية'!$G$6:$G$1005,'الحركات الشهرية'!$B$6:$B$1005,$B29,'الحركات الشهرية'!$A$6:$A$1005,$C$3))</f>
        <v/>
      </c>
      <c r="R29" s="116" t="str">
        <f aca="false">IF($B29="","",SUMIFS('الحركات الشهرية'!$H$6:$H$1005,'الحركات الشهرية'!$B$6:$B$1005,$B29,'الحركات الشهرية'!$A$6:$A$1005,$C$3))</f>
        <v/>
      </c>
      <c r="S29" s="116" t="str">
        <f aca="false">IF($B29="","",SUMIFS('سجل الإجازات والحالات'!$N$6:$N$505,'سجل الإجازات والحالات'!$B$6:$B$505,$B29,'سجل الإجازات والحالات'!$O$6:$O$505,$C$3))</f>
        <v/>
      </c>
      <c r="T29" s="157" t="str">
        <f aca="false">IF($B29="","",SUM(K29:N29)+SUM(P29:S29))</f>
        <v/>
      </c>
      <c r="U29" s="116" t="str">
        <f aca="false">IF($B29="","",الموظفون!$S29*IF(E29="سعودي",cfg_G_SE,cfg_G_NE)*G29/cfg_DAYS_M)</f>
        <v/>
      </c>
      <c r="V29" s="116" t="str">
        <f aca="false">IF($B29="","",SUMIFS('الحركات الشهرية'!$I$6:$I$1005,'الحركات الشهرية'!$B$6:$B$1005,$B29,'الحركات الشهرية'!$A$6:$A$1005,$C$3))</f>
        <v/>
      </c>
      <c r="W29" s="116" t="str">
        <f aca="false">IF($B29="","",SUMIFS('الحركات الشهرية'!$J$6:$J$1005,'الحركات الشهرية'!$B$6:$B$1005,$B29,'الحركات الشهرية'!$A$6:$A$1005,$C$3))</f>
        <v/>
      </c>
      <c r="X29" s="116" t="str">
        <f aca="false">IF($B29="","",SUM(U29:W29))</f>
        <v/>
      </c>
      <c r="Y29" s="158" t="str">
        <f aca="false">IF($B29="","",T29-X29)</f>
        <v/>
      </c>
      <c r="Z29" s="116" t="str">
        <f aca="false">IF($B29="","",الموظفون!$S29*IF(E29="سعودي",cfg_G_SR,cfg_G_NR)*G29/cfg_DAYS_M)</f>
        <v/>
      </c>
      <c r="AA29" s="116" t="str">
        <f aca="false">IF($B29="","",الموظفون!$Q29*(cfg_EOS_R1*(MIN(AH29,cfg_EOS_TH)-MIN(AI29,cfg_EOS_TH))+cfg_EOS_R2*(MAX(AH29-cfg_EOS_TH,0)-MAX(AI29-cfg_EOS_TH,0))))</f>
        <v/>
      </c>
      <c r="AB29" s="116" t="str">
        <f aca="false">IF($B29="","",IF(الموظفون!$T29&lt;&gt;"",الموظفون!$T29,IF(AH29&gt;=cfg_LV_TH,cfg_LV_D2,cfg_LV_D1))/cfg_DAYS_Y*AJ29*الموظفون!$R29/cfg_DAYS_M)</f>
        <v/>
      </c>
      <c r="AC29" s="116" t="str">
        <f aca="false">IF($B29="","",IF(AND(الموظفون!$U29="نعم",N(الموظفون!$W29)&gt;0),الموظفون!$V29/الموظفون!$W29*12/cfg_DAYS_Y*AJ29,0))</f>
        <v/>
      </c>
      <c r="AD29" s="116" t="str">
        <f aca="false">IF($B29="","",(IF(الموظفون!$X29&lt;&gt;"",الموظفون!$X29,IF(الموظفون!$E29="غير سعودي",cfg_IQ,0))+IF(الموظفون!$Y29&lt;&gt;"",الموظفون!$Y29,IF(الموظفون!$E29="غير سعودي",cfg_WP,0)))/12*G29/cfg_DAYS_M)</f>
        <v/>
      </c>
      <c r="AE29" s="116" t="str">
        <f aca="false">IF($B29="","",IF(الموظفون!$Z29&lt;&gt;"",الموظفون!$Z29,cfg_MED)/12*G29/cfg_DAYS_M)</f>
        <v/>
      </c>
      <c r="AF29" s="116" t="str">
        <f aca="false">IF($B29="","",N(الموظفون!$AA29)/12*G29/cfg_DAYS_M)</f>
        <v/>
      </c>
      <c r="AG29" s="159" t="str">
        <f aca="false">IF($B29="","",T29+SUM(Z29:AF29))</f>
        <v/>
      </c>
      <c r="AH29" s="160" t="str">
        <f aca="false">IF($B29="","",MAX(0,IF(OR(الموظفون!$AE29="",الموظفون!$AE29&gt;$F$3),$F$3,الموظفون!$AE29)-الموظفون!$H29+1-SUMIFS('سجل الإجازات والحالات'!$AI$6:$AI$505,'سجل الإجازات والحالات'!$B$6:$B$505,$B29))/cfg_DAYS_Y)</f>
        <v/>
      </c>
      <c r="AI29" s="160" t="str">
        <f aca="false">IF($B29="","",MAX(0,IF(OR(الموظفون!$AE29="",الموظفون!$AE29&gt;($E$3-1)),($E$3-1),الموظفون!$AE29)-الموظفون!$H29+1-SUMIFS('سجل الإجازات والحالات'!$AH$6:$AH$505,'سجل الإجازات والحالات'!$B$6:$B$505,$B29))/cfg_DAYS_Y)</f>
        <v/>
      </c>
      <c r="AJ29" s="133" t="str">
        <f aca="false">IF($B29="","",MAX(0,AK29-(SUMIFS('سجل الإجازات والحالات'!$AI$6:$AI$505,'سجل الإجازات والحالات'!$B$6:$B$505,$B29)-SUMIFS('سجل الإجازات والحالات'!$AH$6:$AH$505,'سجل الإجازات والحالات'!$B$6:$B$505,$B29))))</f>
        <v/>
      </c>
      <c r="AK29" s="133" t="str">
        <f aca="false">IF($B29="","",MAX(0,IF(OR(الموظفون!$AE29="",الموظفون!$AE29&gt;$F$3),$F$3,الموظفون!$AE29)-MAX($E$3,الموظفون!$H29)+1))</f>
        <v/>
      </c>
      <c r="AL29" s="156" t="str">
        <f aca="false">IF($B29="","",SUMIFS('سجل الإجازات والحالات'!$AU$6:$AU$505,'سجل الإجازات والحالات'!$B$6:$B$505,$B29)+SUMIFS('الحركات الشهرية'!$K$6:$K$1005,'الحركات الشهرية'!$B$6:$B$1005,$B29,'الحركات الشهرية'!$A$6:$A$1005,$C$3))</f>
        <v/>
      </c>
      <c r="AM29" s="116" t="str">
        <f aca="false">IF($B29="","",AL29*الموظفون!$R29/cfg_DAYS_M+S29)</f>
        <v/>
      </c>
      <c r="AN29" s="156" t="str">
        <f aca="false">IF($B29="","",SUMIFS('سجل الإجازات والحالات'!$W$6:$W$505,'سجل الإجازات والحالات'!$B$6:$B$505,$B29))</f>
        <v/>
      </c>
    </row>
    <row r="30" customFormat="false" ht="15" hidden="false" customHeight="false" outlineLevel="0" collapsed="false">
      <c r="A30" s="106" t="str">
        <f aca="false">IF($B30="","",الموظفون!$A30)</f>
        <v/>
      </c>
      <c r="B30" s="114" t="str">
        <f aca="false">IF(الموظفون!$B30="","",الموظفون!$B30)</f>
        <v/>
      </c>
      <c r="C30" s="114" t="str">
        <f aca="false">IF($B30="","",الموظفون!$C30)</f>
        <v/>
      </c>
      <c r="D30" s="114" t="str">
        <f aca="false">IF($B30="","",الموظفون!$F30)</f>
        <v/>
      </c>
      <c r="E30" s="114" t="str">
        <f aca="false">IF($B30="","",الموظفون!$E30)</f>
        <v/>
      </c>
      <c r="F30" s="114" t="str">
        <f aca="false">IF($B30="","",IF(AK30=0,IF(AND(الموظفون!$AE30&lt;&gt;"",الموظفون!$AE30&lt;$E$3),"✖ منتهي الخدمة","⏳ لم يباشر"),IF(S30&gt;0,"✈ راتب إجازة مقدم",IF(J30=0,"⛔ بدون راتب هذا الشهر",IF(I30&gt;0,"✈ خصم "&amp;ROUND(I30,2)&amp;" يوم بدون أجر",IF(AL30&gt;0,"🌴 إجازة سنوية "&amp;ROUND(AL30,2)&amp;" يوم",IF(H30&gt;0,"⚠ غياب "&amp;ROUND(H30,2)&amp;" يوم","✔ على رأس العمل")))))))</f>
        <v/>
      </c>
      <c r="G30" s="151" t="str">
        <f aca="false">IF($B30="","",IF(AK30&gt;=DAY($F$3),cfg_DAYS_M,MIN(AK30,cfg_DAYS_M)))</f>
        <v/>
      </c>
      <c r="H30" s="151" t="str">
        <f aca="false">IF($B30="","",SUMIFS('الحركات الشهرية'!$D$6:$D$1005,'الحركات الشهرية'!$B$6:$B$1005,$B30,'الحركات الشهرية'!$A$6:$A$1005,$C$3))</f>
        <v/>
      </c>
      <c r="I30" s="151" t="str">
        <f aca="false">IF($B30="","",MIN(G30,IF(AND(AK30&gt;0,AN30&gt;=AK30),G30,AN30)+SUMIFS('الحركات الشهرية'!$E$6:$E$1005,'الحركات الشهرية'!$B$6:$B$1005,$B30,'الحركات الشهرية'!$A$6:$A$1005,$C$3)))</f>
        <v/>
      </c>
      <c r="J30" s="151" t="str">
        <f aca="false">IF($B30="","",MAX(0,G30-H30-I30))</f>
        <v/>
      </c>
      <c r="K30" s="111" t="str">
        <f aca="false">IF($B30="","",الموظفون!$L30*$J30/cfg_DAYS_M)</f>
        <v/>
      </c>
      <c r="L30" s="111" t="str">
        <f aca="false">IF($B30="","",الموظفون!$M30*$J30/cfg_DAYS_M)</f>
        <v/>
      </c>
      <c r="M30" s="111" t="str">
        <f aca="false">IF($B30="","",الموظفون!$N30*$J30/cfg_DAYS_M)</f>
        <v/>
      </c>
      <c r="N30" s="111" t="str">
        <f aca="false">IF($B30="","",الموظفون!$O30*$J30/cfg_DAYS_M)</f>
        <v/>
      </c>
      <c r="O30" s="151" t="str">
        <f aca="false">IF($B30="","",SUMIFS('الحركات الشهرية'!$F$6:$F$1005,'الحركات الشهرية'!$B$6:$B$1005,$B30,'الحركات الشهرية'!$A$6:$A$1005,$C$3))</f>
        <v/>
      </c>
      <c r="P30" s="111" t="str">
        <f aca="false">IF($B30="","",O30*(الموظفون!$P30+الموظفون!$L30*cfg_OT_P)/cfg_DAYS_M/cfg_HRS)</f>
        <v/>
      </c>
      <c r="Q30" s="111" t="str">
        <f aca="false">IF($B30="","",SUMIFS('الحركات الشهرية'!$G$6:$G$1005,'الحركات الشهرية'!$B$6:$B$1005,$B30,'الحركات الشهرية'!$A$6:$A$1005,$C$3))</f>
        <v/>
      </c>
      <c r="R30" s="111" t="str">
        <f aca="false">IF($B30="","",SUMIFS('الحركات الشهرية'!$H$6:$H$1005,'الحركات الشهرية'!$B$6:$B$1005,$B30,'الحركات الشهرية'!$A$6:$A$1005,$C$3))</f>
        <v/>
      </c>
      <c r="S30" s="111" t="str">
        <f aca="false">IF($B30="","",SUMIFS('سجل الإجازات والحالات'!$N$6:$N$505,'سجل الإجازات والحالات'!$B$6:$B$505,$B30,'سجل الإجازات والحالات'!$O$6:$O$505,$C$3))</f>
        <v/>
      </c>
      <c r="T30" s="152" t="str">
        <f aca="false">IF($B30="","",SUM(K30:N30)+SUM(P30:S30))</f>
        <v/>
      </c>
      <c r="U30" s="111" t="str">
        <f aca="false">IF($B30="","",الموظفون!$S30*IF(E30="سعودي",cfg_G_SE,cfg_G_NE)*G30/cfg_DAYS_M)</f>
        <v/>
      </c>
      <c r="V30" s="111" t="str">
        <f aca="false">IF($B30="","",SUMIFS('الحركات الشهرية'!$I$6:$I$1005,'الحركات الشهرية'!$B$6:$B$1005,$B30,'الحركات الشهرية'!$A$6:$A$1005,$C$3))</f>
        <v/>
      </c>
      <c r="W30" s="111" t="str">
        <f aca="false">IF($B30="","",SUMIFS('الحركات الشهرية'!$J$6:$J$1005,'الحركات الشهرية'!$B$6:$B$1005,$B30,'الحركات الشهرية'!$A$6:$A$1005,$C$3))</f>
        <v/>
      </c>
      <c r="X30" s="111" t="str">
        <f aca="false">IF($B30="","",SUM(U30:W30))</f>
        <v/>
      </c>
      <c r="Y30" s="153" t="str">
        <f aca="false">IF($B30="","",T30-X30)</f>
        <v/>
      </c>
      <c r="Z30" s="111" t="str">
        <f aca="false">IF($B30="","",الموظفون!$S30*IF(E30="سعودي",cfg_G_SR,cfg_G_NR)*G30/cfg_DAYS_M)</f>
        <v/>
      </c>
      <c r="AA30" s="111" t="str">
        <f aca="false">IF($B30="","",الموظفون!$Q30*(cfg_EOS_R1*(MIN(AH30,cfg_EOS_TH)-MIN(AI30,cfg_EOS_TH))+cfg_EOS_R2*(MAX(AH30-cfg_EOS_TH,0)-MAX(AI30-cfg_EOS_TH,0))))</f>
        <v/>
      </c>
      <c r="AB30" s="111" t="str">
        <f aca="false">IF($B30="","",IF(الموظفون!$T30&lt;&gt;"",الموظفون!$T30,IF(AH30&gt;=cfg_LV_TH,cfg_LV_D2,cfg_LV_D1))/cfg_DAYS_Y*AJ30*الموظفون!$R30/cfg_DAYS_M)</f>
        <v/>
      </c>
      <c r="AC30" s="111" t="str">
        <f aca="false">IF($B30="","",IF(AND(الموظفون!$U30="نعم",N(الموظفون!$W30)&gt;0),الموظفون!$V30/الموظفون!$W30*12/cfg_DAYS_Y*AJ30,0))</f>
        <v/>
      </c>
      <c r="AD30" s="111" t="str">
        <f aca="false">IF($B30="","",(IF(الموظفون!$X30&lt;&gt;"",الموظفون!$X30,IF(الموظفون!$E30="غير سعودي",cfg_IQ,0))+IF(الموظفون!$Y30&lt;&gt;"",الموظفون!$Y30,IF(الموظفون!$E30="غير سعودي",cfg_WP,0)))/12*G30/cfg_DAYS_M)</f>
        <v/>
      </c>
      <c r="AE30" s="111" t="str">
        <f aca="false">IF($B30="","",IF(الموظفون!$Z30&lt;&gt;"",الموظفون!$Z30,cfg_MED)/12*G30/cfg_DAYS_M)</f>
        <v/>
      </c>
      <c r="AF30" s="111" t="str">
        <f aca="false">IF($B30="","",N(الموظفون!$AA30)/12*G30/cfg_DAYS_M)</f>
        <v/>
      </c>
      <c r="AG30" s="154" t="str">
        <f aca="false">IF($B30="","",T30+SUM(Z30:AF30))</f>
        <v/>
      </c>
      <c r="AH30" s="155" t="str">
        <f aca="false">IF($B30="","",MAX(0,IF(OR(الموظفون!$AE30="",الموظفون!$AE30&gt;$F$3),$F$3,الموظفون!$AE30)-الموظفون!$H30+1-SUMIFS('سجل الإجازات والحالات'!$AI$6:$AI$505,'سجل الإجازات والحالات'!$B$6:$B$505,$B30))/cfg_DAYS_Y)</f>
        <v/>
      </c>
      <c r="AI30" s="155" t="str">
        <f aca="false">IF($B30="","",MAX(0,IF(OR(الموظفون!$AE30="",الموظفون!$AE30&gt;($E$3-1)),($E$3-1),الموظفون!$AE30)-الموظفون!$H30+1-SUMIFS('سجل الإجازات والحالات'!$AH$6:$AH$505,'سجل الإجازات والحالات'!$B$6:$B$505,$B30))/cfg_DAYS_Y)</f>
        <v/>
      </c>
      <c r="AJ30" s="65" t="str">
        <f aca="false">IF($B30="","",MAX(0,AK30-(SUMIFS('سجل الإجازات والحالات'!$AI$6:$AI$505,'سجل الإجازات والحالات'!$B$6:$B$505,$B30)-SUMIFS('سجل الإجازات والحالات'!$AH$6:$AH$505,'سجل الإجازات والحالات'!$B$6:$B$505,$B30))))</f>
        <v/>
      </c>
      <c r="AK30" s="65" t="str">
        <f aca="false">IF($B30="","",MAX(0,IF(OR(الموظفون!$AE30="",الموظفون!$AE30&gt;$F$3),$F$3,الموظفون!$AE30)-MAX($E$3,الموظفون!$H30)+1))</f>
        <v/>
      </c>
      <c r="AL30" s="151" t="str">
        <f aca="false">IF($B30="","",SUMIFS('سجل الإجازات والحالات'!$AU$6:$AU$505,'سجل الإجازات والحالات'!$B$6:$B$505,$B30)+SUMIFS('الحركات الشهرية'!$K$6:$K$1005,'الحركات الشهرية'!$B$6:$B$1005,$B30,'الحركات الشهرية'!$A$6:$A$1005,$C$3))</f>
        <v/>
      </c>
      <c r="AM30" s="111" t="str">
        <f aca="false">IF($B30="","",AL30*الموظفون!$R30/cfg_DAYS_M+S30)</f>
        <v/>
      </c>
      <c r="AN30" s="151" t="str">
        <f aca="false">IF($B30="","",SUMIFS('سجل الإجازات والحالات'!$W$6:$W$505,'سجل الإجازات والحالات'!$B$6:$B$505,$B30))</f>
        <v/>
      </c>
    </row>
    <row r="31" customFormat="false" ht="15" hidden="false" customHeight="false" outlineLevel="0" collapsed="false">
      <c r="A31" s="115" t="str">
        <f aca="false">IF($B31="","",الموظفون!$A31)</f>
        <v/>
      </c>
      <c r="B31" s="117" t="str">
        <f aca="false">IF(الموظفون!$B31="","",الموظفون!$B31)</f>
        <v/>
      </c>
      <c r="C31" s="117" t="str">
        <f aca="false">IF($B31="","",الموظفون!$C31)</f>
        <v/>
      </c>
      <c r="D31" s="117" t="str">
        <f aca="false">IF($B31="","",الموظفون!$F31)</f>
        <v/>
      </c>
      <c r="E31" s="117" t="str">
        <f aca="false">IF($B31="","",الموظفون!$E31)</f>
        <v/>
      </c>
      <c r="F31" s="117" t="str">
        <f aca="false">IF($B31="","",IF(AK31=0,IF(AND(الموظفون!$AE31&lt;&gt;"",الموظفون!$AE31&lt;$E$3),"✖ منتهي الخدمة","⏳ لم يباشر"),IF(S31&gt;0,"✈ راتب إجازة مقدم",IF(J31=0,"⛔ بدون راتب هذا الشهر",IF(I31&gt;0,"✈ خصم "&amp;ROUND(I31,2)&amp;" يوم بدون أجر",IF(AL31&gt;0,"🌴 إجازة سنوية "&amp;ROUND(AL31,2)&amp;" يوم",IF(H31&gt;0,"⚠ غياب "&amp;ROUND(H31,2)&amp;" يوم","✔ على رأس العمل")))))))</f>
        <v/>
      </c>
      <c r="G31" s="156" t="str">
        <f aca="false">IF($B31="","",IF(AK31&gt;=DAY($F$3),cfg_DAYS_M,MIN(AK31,cfg_DAYS_M)))</f>
        <v/>
      </c>
      <c r="H31" s="156" t="str">
        <f aca="false">IF($B31="","",SUMIFS('الحركات الشهرية'!$D$6:$D$1005,'الحركات الشهرية'!$B$6:$B$1005,$B31,'الحركات الشهرية'!$A$6:$A$1005,$C$3))</f>
        <v/>
      </c>
      <c r="I31" s="156" t="str">
        <f aca="false">IF($B31="","",MIN(G31,IF(AND(AK31&gt;0,AN31&gt;=AK31),G31,AN31)+SUMIFS('الحركات الشهرية'!$E$6:$E$1005,'الحركات الشهرية'!$B$6:$B$1005,$B31,'الحركات الشهرية'!$A$6:$A$1005,$C$3)))</f>
        <v/>
      </c>
      <c r="J31" s="156" t="str">
        <f aca="false">IF($B31="","",MAX(0,G31-H31-I31))</f>
        <v/>
      </c>
      <c r="K31" s="116" t="str">
        <f aca="false">IF($B31="","",الموظفون!$L31*$J31/cfg_DAYS_M)</f>
        <v/>
      </c>
      <c r="L31" s="116" t="str">
        <f aca="false">IF($B31="","",الموظفون!$M31*$J31/cfg_DAYS_M)</f>
        <v/>
      </c>
      <c r="M31" s="116" t="str">
        <f aca="false">IF($B31="","",الموظفون!$N31*$J31/cfg_DAYS_M)</f>
        <v/>
      </c>
      <c r="N31" s="116" t="str">
        <f aca="false">IF($B31="","",الموظفون!$O31*$J31/cfg_DAYS_M)</f>
        <v/>
      </c>
      <c r="O31" s="156" t="str">
        <f aca="false">IF($B31="","",SUMIFS('الحركات الشهرية'!$F$6:$F$1005,'الحركات الشهرية'!$B$6:$B$1005,$B31,'الحركات الشهرية'!$A$6:$A$1005,$C$3))</f>
        <v/>
      </c>
      <c r="P31" s="116" t="str">
        <f aca="false">IF($B31="","",O31*(الموظفون!$P31+الموظفون!$L31*cfg_OT_P)/cfg_DAYS_M/cfg_HRS)</f>
        <v/>
      </c>
      <c r="Q31" s="116" t="str">
        <f aca="false">IF($B31="","",SUMIFS('الحركات الشهرية'!$G$6:$G$1005,'الحركات الشهرية'!$B$6:$B$1005,$B31,'الحركات الشهرية'!$A$6:$A$1005,$C$3))</f>
        <v/>
      </c>
      <c r="R31" s="116" t="str">
        <f aca="false">IF($B31="","",SUMIFS('الحركات الشهرية'!$H$6:$H$1005,'الحركات الشهرية'!$B$6:$B$1005,$B31,'الحركات الشهرية'!$A$6:$A$1005,$C$3))</f>
        <v/>
      </c>
      <c r="S31" s="116" t="str">
        <f aca="false">IF($B31="","",SUMIFS('سجل الإجازات والحالات'!$N$6:$N$505,'سجل الإجازات والحالات'!$B$6:$B$505,$B31,'سجل الإجازات والحالات'!$O$6:$O$505,$C$3))</f>
        <v/>
      </c>
      <c r="T31" s="157" t="str">
        <f aca="false">IF($B31="","",SUM(K31:N31)+SUM(P31:S31))</f>
        <v/>
      </c>
      <c r="U31" s="116" t="str">
        <f aca="false">IF($B31="","",الموظفون!$S31*IF(E31="سعودي",cfg_G_SE,cfg_G_NE)*G31/cfg_DAYS_M)</f>
        <v/>
      </c>
      <c r="V31" s="116" t="str">
        <f aca="false">IF($B31="","",SUMIFS('الحركات الشهرية'!$I$6:$I$1005,'الحركات الشهرية'!$B$6:$B$1005,$B31,'الحركات الشهرية'!$A$6:$A$1005,$C$3))</f>
        <v/>
      </c>
      <c r="W31" s="116" t="str">
        <f aca="false">IF($B31="","",SUMIFS('الحركات الشهرية'!$J$6:$J$1005,'الحركات الشهرية'!$B$6:$B$1005,$B31,'الحركات الشهرية'!$A$6:$A$1005,$C$3))</f>
        <v/>
      </c>
      <c r="X31" s="116" t="str">
        <f aca="false">IF($B31="","",SUM(U31:W31))</f>
        <v/>
      </c>
      <c r="Y31" s="158" t="str">
        <f aca="false">IF($B31="","",T31-X31)</f>
        <v/>
      </c>
      <c r="Z31" s="116" t="str">
        <f aca="false">IF($B31="","",الموظفون!$S31*IF(E31="سعودي",cfg_G_SR,cfg_G_NR)*G31/cfg_DAYS_M)</f>
        <v/>
      </c>
      <c r="AA31" s="116" t="str">
        <f aca="false">IF($B31="","",الموظفون!$Q31*(cfg_EOS_R1*(MIN(AH31,cfg_EOS_TH)-MIN(AI31,cfg_EOS_TH))+cfg_EOS_R2*(MAX(AH31-cfg_EOS_TH,0)-MAX(AI31-cfg_EOS_TH,0))))</f>
        <v/>
      </c>
      <c r="AB31" s="116" t="str">
        <f aca="false">IF($B31="","",IF(الموظفون!$T31&lt;&gt;"",الموظفون!$T31,IF(AH31&gt;=cfg_LV_TH,cfg_LV_D2,cfg_LV_D1))/cfg_DAYS_Y*AJ31*الموظفون!$R31/cfg_DAYS_M)</f>
        <v/>
      </c>
      <c r="AC31" s="116" t="str">
        <f aca="false">IF($B31="","",IF(AND(الموظفون!$U31="نعم",N(الموظفون!$W31)&gt;0),الموظفون!$V31/الموظفون!$W31*12/cfg_DAYS_Y*AJ31,0))</f>
        <v/>
      </c>
      <c r="AD31" s="116" t="str">
        <f aca="false">IF($B31="","",(IF(الموظفون!$X31&lt;&gt;"",الموظفون!$X31,IF(الموظفون!$E31="غير سعودي",cfg_IQ,0))+IF(الموظفون!$Y31&lt;&gt;"",الموظفون!$Y31,IF(الموظفون!$E31="غير سعودي",cfg_WP,0)))/12*G31/cfg_DAYS_M)</f>
        <v/>
      </c>
      <c r="AE31" s="116" t="str">
        <f aca="false">IF($B31="","",IF(الموظفون!$Z31&lt;&gt;"",الموظفون!$Z31,cfg_MED)/12*G31/cfg_DAYS_M)</f>
        <v/>
      </c>
      <c r="AF31" s="116" t="str">
        <f aca="false">IF($B31="","",N(الموظفون!$AA31)/12*G31/cfg_DAYS_M)</f>
        <v/>
      </c>
      <c r="AG31" s="159" t="str">
        <f aca="false">IF($B31="","",T31+SUM(Z31:AF31))</f>
        <v/>
      </c>
      <c r="AH31" s="160" t="str">
        <f aca="false">IF($B31="","",MAX(0,IF(OR(الموظفون!$AE31="",الموظفون!$AE31&gt;$F$3),$F$3,الموظفون!$AE31)-الموظفون!$H31+1-SUMIFS('سجل الإجازات والحالات'!$AI$6:$AI$505,'سجل الإجازات والحالات'!$B$6:$B$505,$B31))/cfg_DAYS_Y)</f>
        <v/>
      </c>
      <c r="AI31" s="160" t="str">
        <f aca="false">IF($B31="","",MAX(0,IF(OR(الموظفون!$AE31="",الموظفون!$AE31&gt;($E$3-1)),($E$3-1),الموظفون!$AE31)-الموظفون!$H31+1-SUMIFS('سجل الإجازات والحالات'!$AH$6:$AH$505,'سجل الإجازات والحالات'!$B$6:$B$505,$B31))/cfg_DAYS_Y)</f>
        <v/>
      </c>
      <c r="AJ31" s="133" t="str">
        <f aca="false">IF($B31="","",MAX(0,AK31-(SUMIFS('سجل الإجازات والحالات'!$AI$6:$AI$505,'سجل الإجازات والحالات'!$B$6:$B$505,$B31)-SUMIFS('سجل الإجازات والحالات'!$AH$6:$AH$505,'سجل الإجازات والحالات'!$B$6:$B$505,$B31))))</f>
        <v/>
      </c>
      <c r="AK31" s="133" t="str">
        <f aca="false">IF($B31="","",MAX(0,IF(OR(الموظفون!$AE31="",الموظفون!$AE31&gt;$F$3),$F$3,الموظفون!$AE31)-MAX($E$3,الموظفون!$H31)+1))</f>
        <v/>
      </c>
      <c r="AL31" s="156" t="str">
        <f aca="false">IF($B31="","",SUMIFS('سجل الإجازات والحالات'!$AU$6:$AU$505,'سجل الإجازات والحالات'!$B$6:$B$505,$B31)+SUMIFS('الحركات الشهرية'!$K$6:$K$1005,'الحركات الشهرية'!$B$6:$B$1005,$B31,'الحركات الشهرية'!$A$6:$A$1005,$C$3))</f>
        <v/>
      </c>
      <c r="AM31" s="116" t="str">
        <f aca="false">IF($B31="","",AL31*الموظفون!$R31/cfg_DAYS_M+S31)</f>
        <v/>
      </c>
      <c r="AN31" s="156" t="str">
        <f aca="false">IF($B31="","",SUMIFS('سجل الإجازات والحالات'!$W$6:$W$505,'سجل الإجازات والحالات'!$B$6:$B$505,$B31))</f>
        <v/>
      </c>
    </row>
    <row r="32" customFormat="false" ht="15" hidden="false" customHeight="false" outlineLevel="0" collapsed="false">
      <c r="A32" s="106" t="str">
        <f aca="false">IF($B32="","",الموظفون!$A32)</f>
        <v/>
      </c>
      <c r="B32" s="114" t="str">
        <f aca="false">IF(الموظفون!$B32="","",الموظفون!$B32)</f>
        <v/>
      </c>
      <c r="C32" s="114" t="str">
        <f aca="false">IF($B32="","",الموظفون!$C32)</f>
        <v/>
      </c>
      <c r="D32" s="114" t="str">
        <f aca="false">IF($B32="","",الموظفون!$F32)</f>
        <v/>
      </c>
      <c r="E32" s="114" t="str">
        <f aca="false">IF($B32="","",الموظفون!$E32)</f>
        <v/>
      </c>
      <c r="F32" s="114" t="str">
        <f aca="false">IF($B32="","",IF(AK32=0,IF(AND(الموظفون!$AE32&lt;&gt;"",الموظفون!$AE32&lt;$E$3),"✖ منتهي الخدمة","⏳ لم يباشر"),IF(S32&gt;0,"✈ راتب إجازة مقدم",IF(J32=0,"⛔ بدون راتب هذا الشهر",IF(I32&gt;0,"✈ خصم "&amp;ROUND(I32,2)&amp;" يوم بدون أجر",IF(AL32&gt;0,"🌴 إجازة سنوية "&amp;ROUND(AL32,2)&amp;" يوم",IF(H32&gt;0,"⚠ غياب "&amp;ROUND(H32,2)&amp;" يوم","✔ على رأس العمل")))))))</f>
        <v/>
      </c>
      <c r="G32" s="151" t="str">
        <f aca="false">IF($B32="","",IF(AK32&gt;=DAY($F$3),cfg_DAYS_M,MIN(AK32,cfg_DAYS_M)))</f>
        <v/>
      </c>
      <c r="H32" s="151" t="str">
        <f aca="false">IF($B32="","",SUMIFS('الحركات الشهرية'!$D$6:$D$1005,'الحركات الشهرية'!$B$6:$B$1005,$B32,'الحركات الشهرية'!$A$6:$A$1005,$C$3))</f>
        <v/>
      </c>
      <c r="I32" s="151" t="str">
        <f aca="false">IF($B32="","",MIN(G32,IF(AND(AK32&gt;0,AN32&gt;=AK32),G32,AN32)+SUMIFS('الحركات الشهرية'!$E$6:$E$1005,'الحركات الشهرية'!$B$6:$B$1005,$B32,'الحركات الشهرية'!$A$6:$A$1005,$C$3)))</f>
        <v/>
      </c>
      <c r="J32" s="151" t="str">
        <f aca="false">IF($B32="","",MAX(0,G32-H32-I32))</f>
        <v/>
      </c>
      <c r="K32" s="111" t="str">
        <f aca="false">IF($B32="","",الموظفون!$L32*$J32/cfg_DAYS_M)</f>
        <v/>
      </c>
      <c r="L32" s="111" t="str">
        <f aca="false">IF($B32="","",الموظفون!$M32*$J32/cfg_DAYS_M)</f>
        <v/>
      </c>
      <c r="M32" s="111" t="str">
        <f aca="false">IF($B32="","",الموظفون!$N32*$J32/cfg_DAYS_M)</f>
        <v/>
      </c>
      <c r="N32" s="111" t="str">
        <f aca="false">IF($B32="","",الموظفون!$O32*$J32/cfg_DAYS_M)</f>
        <v/>
      </c>
      <c r="O32" s="151" t="str">
        <f aca="false">IF($B32="","",SUMIFS('الحركات الشهرية'!$F$6:$F$1005,'الحركات الشهرية'!$B$6:$B$1005,$B32,'الحركات الشهرية'!$A$6:$A$1005,$C$3))</f>
        <v/>
      </c>
      <c r="P32" s="111" t="str">
        <f aca="false">IF($B32="","",O32*(الموظفون!$P32+الموظفون!$L32*cfg_OT_P)/cfg_DAYS_M/cfg_HRS)</f>
        <v/>
      </c>
      <c r="Q32" s="111" t="str">
        <f aca="false">IF($B32="","",SUMIFS('الحركات الشهرية'!$G$6:$G$1005,'الحركات الشهرية'!$B$6:$B$1005,$B32,'الحركات الشهرية'!$A$6:$A$1005,$C$3))</f>
        <v/>
      </c>
      <c r="R32" s="111" t="str">
        <f aca="false">IF($B32="","",SUMIFS('الحركات الشهرية'!$H$6:$H$1005,'الحركات الشهرية'!$B$6:$B$1005,$B32,'الحركات الشهرية'!$A$6:$A$1005,$C$3))</f>
        <v/>
      </c>
      <c r="S32" s="111" t="str">
        <f aca="false">IF($B32="","",SUMIFS('سجل الإجازات والحالات'!$N$6:$N$505,'سجل الإجازات والحالات'!$B$6:$B$505,$B32,'سجل الإجازات والحالات'!$O$6:$O$505,$C$3))</f>
        <v/>
      </c>
      <c r="T32" s="152" t="str">
        <f aca="false">IF($B32="","",SUM(K32:N32)+SUM(P32:S32))</f>
        <v/>
      </c>
      <c r="U32" s="111" t="str">
        <f aca="false">IF($B32="","",الموظفون!$S32*IF(E32="سعودي",cfg_G_SE,cfg_G_NE)*G32/cfg_DAYS_M)</f>
        <v/>
      </c>
      <c r="V32" s="111" t="str">
        <f aca="false">IF($B32="","",SUMIFS('الحركات الشهرية'!$I$6:$I$1005,'الحركات الشهرية'!$B$6:$B$1005,$B32,'الحركات الشهرية'!$A$6:$A$1005,$C$3))</f>
        <v/>
      </c>
      <c r="W32" s="111" t="str">
        <f aca="false">IF($B32="","",SUMIFS('الحركات الشهرية'!$J$6:$J$1005,'الحركات الشهرية'!$B$6:$B$1005,$B32,'الحركات الشهرية'!$A$6:$A$1005,$C$3))</f>
        <v/>
      </c>
      <c r="X32" s="111" t="str">
        <f aca="false">IF($B32="","",SUM(U32:W32))</f>
        <v/>
      </c>
      <c r="Y32" s="153" t="str">
        <f aca="false">IF($B32="","",T32-X32)</f>
        <v/>
      </c>
      <c r="Z32" s="111" t="str">
        <f aca="false">IF($B32="","",الموظفون!$S32*IF(E32="سعودي",cfg_G_SR,cfg_G_NR)*G32/cfg_DAYS_M)</f>
        <v/>
      </c>
      <c r="AA32" s="111" t="str">
        <f aca="false">IF($B32="","",الموظفون!$Q32*(cfg_EOS_R1*(MIN(AH32,cfg_EOS_TH)-MIN(AI32,cfg_EOS_TH))+cfg_EOS_R2*(MAX(AH32-cfg_EOS_TH,0)-MAX(AI32-cfg_EOS_TH,0))))</f>
        <v/>
      </c>
      <c r="AB32" s="111" t="str">
        <f aca="false">IF($B32="","",IF(الموظفون!$T32&lt;&gt;"",الموظفون!$T32,IF(AH32&gt;=cfg_LV_TH,cfg_LV_D2,cfg_LV_D1))/cfg_DAYS_Y*AJ32*الموظفون!$R32/cfg_DAYS_M)</f>
        <v/>
      </c>
      <c r="AC32" s="111" t="str">
        <f aca="false">IF($B32="","",IF(AND(الموظفون!$U32="نعم",N(الموظفون!$W32)&gt;0),الموظفون!$V32/الموظفون!$W32*12/cfg_DAYS_Y*AJ32,0))</f>
        <v/>
      </c>
      <c r="AD32" s="111" t="str">
        <f aca="false">IF($B32="","",(IF(الموظفون!$X32&lt;&gt;"",الموظفون!$X32,IF(الموظفون!$E32="غير سعودي",cfg_IQ,0))+IF(الموظفون!$Y32&lt;&gt;"",الموظفون!$Y32,IF(الموظفون!$E32="غير سعودي",cfg_WP,0)))/12*G32/cfg_DAYS_M)</f>
        <v/>
      </c>
      <c r="AE32" s="111" t="str">
        <f aca="false">IF($B32="","",IF(الموظفون!$Z32&lt;&gt;"",الموظفون!$Z32,cfg_MED)/12*G32/cfg_DAYS_M)</f>
        <v/>
      </c>
      <c r="AF32" s="111" t="str">
        <f aca="false">IF($B32="","",N(الموظفون!$AA32)/12*G32/cfg_DAYS_M)</f>
        <v/>
      </c>
      <c r="AG32" s="154" t="str">
        <f aca="false">IF($B32="","",T32+SUM(Z32:AF32))</f>
        <v/>
      </c>
      <c r="AH32" s="155" t="str">
        <f aca="false">IF($B32="","",MAX(0,IF(OR(الموظفون!$AE32="",الموظفون!$AE32&gt;$F$3),$F$3,الموظفون!$AE32)-الموظفون!$H32+1-SUMIFS('سجل الإجازات والحالات'!$AI$6:$AI$505,'سجل الإجازات والحالات'!$B$6:$B$505,$B32))/cfg_DAYS_Y)</f>
        <v/>
      </c>
      <c r="AI32" s="155" t="str">
        <f aca="false">IF($B32="","",MAX(0,IF(OR(الموظفون!$AE32="",الموظفون!$AE32&gt;($E$3-1)),($E$3-1),الموظفون!$AE32)-الموظفون!$H32+1-SUMIFS('سجل الإجازات والحالات'!$AH$6:$AH$505,'سجل الإجازات والحالات'!$B$6:$B$505,$B32))/cfg_DAYS_Y)</f>
        <v/>
      </c>
      <c r="AJ32" s="65" t="str">
        <f aca="false">IF($B32="","",MAX(0,AK32-(SUMIFS('سجل الإجازات والحالات'!$AI$6:$AI$505,'سجل الإجازات والحالات'!$B$6:$B$505,$B32)-SUMIFS('سجل الإجازات والحالات'!$AH$6:$AH$505,'سجل الإجازات والحالات'!$B$6:$B$505,$B32))))</f>
        <v/>
      </c>
      <c r="AK32" s="65" t="str">
        <f aca="false">IF($B32="","",MAX(0,IF(OR(الموظفون!$AE32="",الموظفون!$AE32&gt;$F$3),$F$3,الموظفون!$AE32)-MAX($E$3,الموظفون!$H32)+1))</f>
        <v/>
      </c>
      <c r="AL32" s="151" t="str">
        <f aca="false">IF($B32="","",SUMIFS('سجل الإجازات والحالات'!$AU$6:$AU$505,'سجل الإجازات والحالات'!$B$6:$B$505,$B32)+SUMIFS('الحركات الشهرية'!$K$6:$K$1005,'الحركات الشهرية'!$B$6:$B$1005,$B32,'الحركات الشهرية'!$A$6:$A$1005,$C$3))</f>
        <v/>
      </c>
      <c r="AM32" s="111" t="str">
        <f aca="false">IF($B32="","",AL32*الموظفون!$R32/cfg_DAYS_M+S32)</f>
        <v/>
      </c>
      <c r="AN32" s="151" t="str">
        <f aca="false">IF($B32="","",SUMIFS('سجل الإجازات والحالات'!$W$6:$W$505,'سجل الإجازات والحالات'!$B$6:$B$505,$B32))</f>
        <v/>
      </c>
    </row>
    <row r="33" customFormat="false" ht="15" hidden="false" customHeight="false" outlineLevel="0" collapsed="false">
      <c r="A33" s="115" t="str">
        <f aca="false">IF($B33="","",الموظفون!$A33)</f>
        <v/>
      </c>
      <c r="B33" s="117" t="str">
        <f aca="false">IF(الموظفون!$B33="","",الموظفون!$B33)</f>
        <v/>
      </c>
      <c r="C33" s="117" t="str">
        <f aca="false">IF($B33="","",الموظفون!$C33)</f>
        <v/>
      </c>
      <c r="D33" s="117" t="str">
        <f aca="false">IF($B33="","",الموظفون!$F33)</f>
        <v/>
      </c>
      <c r="E33" s="117" t="str">
        <f aca="false">IF($B33="","",الموظفون!$E33)</f>
        <v/>
      </c>
      <c r="F33" s="117" t="str">
        <f aca="false">IF($B33="","",IF(AK33=0,IF(AND(الموظفون!$AE33&lt;&gt;"",الموظفون!$AE33&lt;$E$3),"✖ منتهي الخدمة","⏳ لم يباشر"),IF(S33&gt;0,"✈ راتب إجازة مقدم",IF(J33=0,"⛔ بدون راتب هذا الشهر",IF(I33&gt;0,"✈ خصم "&amp;ROUND(I33,2)&amp;" يوم بدون أجر",IF(AL33&gt;0,"🌴 إجازة سنوية "&amp;ROUND(AL33,2)&amp;" يوم",IF(H33&gt;0,"⚠ غياب "&amp;ROUND(H33,2)&amp;" يوم","✔ على رأس العمل")))))))</f>
        <v/>
      </c>
      <c r="G33" s="156" t="str">
        <f aca="false">IF($B33="","",IF(AK33&gt;=DAY($F$3),cfg_DAYS_M,MIN(AK33,cfg_DAYS_M)))</f>
        <v/>
      </c>
      <c r="H33" s="156" t="str">
        <f aca="false">IF($B33="","",SUMIFS('الحركات الشهرية'!$D$6:$D$1005,'الحركات الشهرية'!$B$6:$B$1005,$B33,'الحركات الشهرية'!$A$6:$A$1005,$C$3))</f>
        <v/>
      </c>
      <c r="I33" s="156" t="str">
        <f aca="false">IF($B33="","",MIN(G33,IF(AND(AK33&gt;0,AN33&gt;=AK33),G33,AN33)+SUMIFS('الحركات الشهرية'!$E$6:$E$1005,'الحركات الشهرية'!$B$6:$B$1005,$B33,'الحركات الشهرية'!$A$6:$A$1005,$C$3)))</f>
        <v/>
      </c>
      <c r="J33" s="156" t="str">
        <f aca="false">IF($B33="","",MAX(0,G33-H33-I33))</f>
        <v/>
      </c>
      <c r="K33" s="116" t="str">
        <f aca="false">IF($B33="","",الموظفون!$L33*$J33/cfg_DAYS_M)</f>
        <v/>
      </c>
      <c r="L33" s="116" t="str">
        <f aca="false">IF($B33="","",الموظفون!$M33*$J33/cfg_DAYS_M)</f>
        <v/>
      </c>
      <c r="M33" s="116" t="str">
        <f aca="false">IF($B33="","",الموظفون!$N33*$J33/cfg_DAYS_M)</f>
        <v/>
      </c>
      <c r="N33" s="116" t="str">
        <f aca="false">IF($B33="","",الموظفون!$O33*$J33/cfg_DAYS_M)</f>
        <v/>
      </c>
      <c r="O33" s="156" t="str">
        <f aca="false">IF($B33="","",SUMIFS('الحركات الشهرية'!$F$6:$F$1005,'الحركات الشهرية'!$B$6:$B$1005,$B33,'الحركات الشهرية'!$A$6:$A$1005,$C$3))</f>
        <v/>
      </c>
      <c r="P33" s="116" t="str">
        <f aca="false">IF($B33="","",O33*(الموظفون!$P33+الموظفون!$L33*cfg_OT_P)/cfg_DAYS_M/cfg_HRS)</f>
        <v/>
      </c>
      <c r="Q33" s="116" t="str">
        <f aca="false">IF($B33="","",SUMIFS('الحركات الشهرية'!$G$6:$G$1005,'الحركات الشهرية'!$B$6:$B$1005,$B33,'الحركات الشهرية'!$A$6:$A$1005,$C$3))</f>
        <v/>
      </c>
      <c r="R33" s="116" t="str">
        <f aca="false">IF($B33="","",SUMIFS('الحركات الشهرية'!$H$6:$H$1005,'الحركات الشهرية'!$B$6:$B$1005,$B33,'الحركات الشهرية'!$A$6:$A$1005,$C$3))</f>
        <v/>
      </c>
      <c r="S33" s="116" t="str">
        <f aca="false">IF($B33="","",SUMIFS('سجل الإجازات والحالات'!$N$6:$N$505,'سجل الإجازات والحالات'!$B$6:$B$505,$B33,'سجل الإجازات والحالات'!$O$6:$O$505,$C$3))</f>
        <v/>
      </c>
      <c r="T33" s="157" t="str">
        <f aca="false">IF($B33="","",SUM(K33:N33)+SUM(P33:S33))</f>
        <v/>
      </c>
      <c r="U33" s="116" t="str">
        <f aca="false">IF($B33="","",الموظفون!$S33*IF(E33="سعودي",cfg_G_SE,cfg_G_NE)*G33/cfg_DAYS_M)</f>
        <v/>
      </c>
      <c r="V33" s="116" t="str">
        <f aca="false">IF($B33="","",SUMIFS('الحركات الشهرية'!$I$6:$I$1005,'الحركات الشهرية'!$B$6:$B$1005,$B33,'الحركات الشهرية'!$A$6:$A$1005,$C$3))</f>
        <v/>
      </c>
      <c r="W33" s="116" t="str">
        <f aca="false">IF($B33="","",SUMIFS('الحركات الشهرية'!$J$6:$J$1005,'الحركات الشهرية'!$B$6:$B$1005,$B33,'الحركات الشهرية'!$A$6:$A$1005,$C$3))</f>
        <v/>
      </c>
      <c r="X33" s="116" t="str">
        <f aca="false">IF($B33="","",SUM(U33:W33))</f>
        <v/>
      </c>
      <c r="Y33" s="158" t="str">
        <f aca="false">IF($B33="","",T33-X33)</f>
        <v/>
      </c>
      <c r="Z33" s="116" t="str">
        <f aca="false">IF($B33="","",الموظفون!$S33*IF(E33="سعودي",cfg_G_SR,cfg_G_NR)*G33/cfg_DAYS_M)</f>
        <v/>
      </c>
      <c r="AA33" s="116" t="str">
        <f aca="false">IF($B33="","",الموظفون!$Q33*(cfg_EOS_R1*(MIN(AH33,cfg_EOS_TH)-MIN(AI33,cfg_EOS_TH))+cfg_EOS_R2*(MAX(AH33-cfg_EOS_TH,0)-MAX(AI33-cfg_EOS_TH,0))))</f>
        <v/>
      </c>
      <c r="AB33" s="116" t="str">
        <f aca="false">IF($B33="","",IF(الموظفون!$T33&lt;&gt;"",الموظفون!$T33,IF(AH33&gt;=cfg_LV_TH,cfg_LV_D2,cfg_LV_D1))/cfg_DAYS_Y*AJ33*الموظفون!$R33/cfg_DAYS_M)</f>
        <v/>
      </c>
      <c r="AC33" s="116" t="str">
        <f aca="false">IF($B33="","",IF(AND(الموظفون!$U33="نعم",N(الموظفون!$W33)&gt;0),الموظفون!$V33/الموظفون!$W33*12/cfg_DAYS_Y*AJ33,0))</f>
        <v/>
      </c>
      <c r="AD33" s="116" t="str">
        <f aca="false">IF($B33="","",(IF(الموظفون!$X33&lt;&gt;"",الموظفون!$X33,IF(الموظفون!$E33="غير سعودي",cfg_IQ,0))+IF(الموظفون!$Y33&lt;&gt;"",الموظفون!$Y33,IF(الموظفون!$E33="غير سعودي",cfg_WP,0)))/12*G33/cfg_DAYS_M)</f>
        <v/>
      </c>
      <c r="AE33" s="116" t="str">
        <f aca="false">IF($B33="","",IF(الموظفون!$Z33&lt;&gt;"",الموظفون!$Z33,cfg_MED)/12*G33/cfg_DAYS_M)</f>
        <v/>
      </c>
      <c r="AF33" s="116" t="str">
        <f aca="false">IF($B33="","",N(الموظفون!$AA33)/12*G33/cfg_DAYS_M)</f>
        <v/>
      </c>
      <c r="AG33" s="159" t="str">
        <f aca="false">IF($B33="","",T33+SUM(Z33:AF33))</f>
        <v/>
      </c>
      <c r="AH33" s="160" t="str">
        <f aca="false">IF($B33="","",MAX(0,IF(OR(الموظفون!$AE33="",الموظفون!$AE33&gt;$F$3),$F$3,الموظفون!$AE33)-الموظفون!$H33+1-SUMIFS('سجل الإجازات والحالات'!$AI$6:$AI$505,'سجل الإجازات والحالات'!$B$6:$B$505,$B33))/cfg_DAYS_Y)</f>
        <v/>
      </c>
      <c r="AI33" s="160" t="str">
        <f aca="false">IF($B33="","",MAX(0,IF(OR(الموظفون!$AE33="",الموظفون!$AE33&gt;($E$3-1)),($E$3-1),الموظفون!$AE33)-الموظفون!$H33+1-SUMIFS('سجل الإجازات والحالات'!$AH$6:$AH$505,'سجل الإجازات والحالات'!$B$6:$B$505,$B33))/cfg_DAYS_Y)</f>
        <v/>
      </c>
      <c r="AJ33" s="133" t="str">
        <f aca="false">IF($B33="","",MAX(0,AK33-(SUMIFS('سجل الإجازات والحالات'!$AI$6:$AI$505,'سجل الإجازات والحالات'!$B$6:$B$505,$B33)-SUMIFS('سجل الإجازات والحالات'!$AH$6:$AH$505,'سجل الإجازات والحالات'!$B$6:$B$505,$B33))))</f>
        <v/>
      </c>
      <c r="AK33" s="133" t="str">
        <f aca="false">IF($B33="","",MAX(0,IF(OR(الموظفون!$AE33="",الموظفون!$AE33&gt;$F$3),$F$3,الموظفون!$AE33)-MAX($E$3,الموظفون!$H33)+1))</f>
        <v/>
      </c>
      <c r="AL33" s="156" t="str">
        <f aca="false">IF($B33="","",SUMIFS('سجل الإجازات والحالات'!$AU$6:$AU$505,'سجل الإجازات والحالات'!$B$6:$B$505,$B33)+SUMIFS('الحركات الشهرية'!$K$6:$K$1005,'الحركات الشهرية'!$B$6:$B$1005,$B33,'الحركات الشهرية'!$A$6:$A$1005,$C$3))</f>
        <v/>
      </c>
      <c r="AM33" s="116" t="str">
        <f aca="false">IF($B33="","",AL33*الموظفون!$R33/cfg_DAYS_M+S33)</f>
        <v/>
      </c>
      <c r="AN33" s="156" t="str">
        <f aca="false">IF($B33="","",SUMIFS('سجل الإجازات والحالات'!$W$6:$W$505,'سجل الإجازات والحالات'!$B$6:$B$505,$B33))</f>
        <v/>
      </c>
    </row>
    <row r="34" customFormat="false" ht="15" hidden="false" customHeight="false" outlineLevel="0" collapsed="false">
      <c r="A34" s="106" t="str">
        <f aca="false">IF($B34="","",الموظفون!$A34)</f>
        <v/>
      </c>
      <c r="B34" s="114" t="str">
        <f aca="false">IF(الموظفون!$B34="","",الموظفون!$B34)</f>
        <v/>
      </c>
      <c r="C34" s="114" t="str">
        <f aca="false">IF($B34="","",الموظفون!$C34)</f>
        <v/>
      </c>
      <c r="D34" s="114" t="str">
        <f aca="false">IF($B34="","",الموظفون!$F34)</f>
        <v/>
      </c>
      <c r="E34" s="114" t="str">
        <f aca="false">IF($B34="","",الموظفون!$E34)</f>
        <v/>
      </c>
      <c r="F34" s="114" t="str">
        <f aca="false">IF($B34="","",IF(AK34=0,IF(AND(الموظفون!$AE34&lt;&gt;"",الموظفون!$AE34&lt;$E$3),"✖ منتهي الخدمة","⏳ لم يباشر"),IF(S34&gt;0,"✈ راتب إجازة مقدم",IF(J34=0,"⛔ بدون راتب هذا الشهر",IF(I34&gt;0,"✈ خصم "&amp;ROUND(I34,2)&amp;" يوم بدون أجر",IF(AL34&gt;0,"🌴 إجازة سنوية "&amp;ROUND(AL34,2)&amp;" يوم",IF(H34&gt;0,"⚠ غياب "&amp;ROUND(H34,2)&amp;" يوم","✔ على رأس العمل")))))))</f>
        <v/>
      </c>
      <c r="G34" s="151" t="str">
        <f aca="false">IF($B34="","",IF(AK34&gt;=DAY($F$3),cfg_DAYS_M,MIN(AK34,cfg_DAYS_M)))</f>
        <v/>
      </c>
      <c r="H34" s="151" t="str">
        <f aca="false">IF($B34="","",SUMIFS('الحركات الشهرية'!$D$6:$D$1005,'الحركات الشهرية'!$B$6:$B$1005,$B34,'الحركات الشهرية'!$A$6:$A$1005,$C$3))</f>
        <v/>
      </c>
      <c r="I34" s="151" t="str">
        <f aca="false">IF($B34="","",MIN(G34,IF(AND(AK34&gt;0,AN34&gt;=AK34),G34,AN34)+SUMIFS('الحركات الشهرية'!$E$6:$E$1005,'الحركات الشهرية'!$B$6:$B$1005,$B34,'الحركات الشهرية'!$A$6:$A$1005,$C$3)))</f>
        <v/>
      </c>
      <c r="J34" s="151" t="str">
        <f aca="false">IF($B34="","",MAX(0,G34-H34-I34))</f>
        <v/>
      </c>
      <c r="K34" s="111" t="str">
        <f aca="false">IF($B34="","",الموظفون!$L34*$J34/cfg_DAYS_M)</f>
        <v/>
      </c>
      <c r="L34" s="111" t="str">
        <f aca="false">IF($B34="","",الموظفون!$M34*$J34/cfg_DAYS_M)</f>
        <v/>
      </c>
      <c r="M34" s="111" t="str">
        <f aca="false">IF($B34="","",الموظفون!$N34*$J34/cfg_DAYS_M)</f>
        <v/>
      </c>
      <c r="N34" s="111" t="str">
        <f aca="false">IF($B34="","",الموظفون!$O34*$J34/cfg_DAYS_M)</f>
        <v/>
      </c>
      <c r="O34" s="151" t="str">
        <f aca="false">IF($B34="","",SUMIFS('الحركات الشهرية'!$F$6:$F$1005,'الحركات الشهرية'!$B$6:$B$1005,$B34,'الحركات الشهرية'!$A$6:$A$1005,$C$3))</f>
        <v/>
      </c>
      <c r="P34" s="111" t="str">
        <f aca="false">IF($B34="","",O34*(الموظفون!$P34+الموظفون!$L34*cfg_OT_P)/cfg_DAYS_M/cfg_HRS)</f>
        <v/>
      </c>
      <c r="Q34" s="111" t="str">
        <f aca="false">IF($B34="","",SUMIFS('الحركات الشهرية'!$G$6:$G$1005,'الحركات الشهرية'!$B$6:$B$1005,$B34,'الحركات الشهرية'!$A$6:$A$1005,$C$3))</f>
        <v/>
      </c>
      <c r="R34" s="111" t="str">
        <f aca="false">IF($B34="","",SUMIFS('الحركات الشهرية'!$H$6:$H$1005,'الحركات الشهرية'!$B$6:$B$1005,$B34,'الحركات الشهرية'!$A$6:$A$1005,$C$3))</f>
        <v/>
      </c>
      <c r="S34" s="111" t="str">
        <f aca="false">IF($B34="","",SUMIFS('سجل الإجازات والحالات'!$N$6:$N$505,'سجل الإجازات والحالات'!$B$6:$B$505,$B34,'سجل الإجازات والحالات'!$O$6:$O$505,$C$3))</f>
        <v/>
      </c>
      <c r="T34" s="152" t="str">
        <f aca="false">IF($B34="","",SUM(K34:N34)+SUM(P34:S34))</f>
        <v/>
      </c>
      <c r="U34" s="111" t="str">
        <f aca="false">IF($B34="","",الموظفون!$S34*IF(E34="سعودي",cfg_G_SE,cfg_G_NE)*G34/cfg_DAYS_M)</f>
        <v/>
      </c>
      <c r="V34" s="111" t="str">
        <f aca="false">IF($B34="","",SUMIFS('الحركات الشهرية'!$I$6:$I$1005,'الحركات الشهرية'!$B$6:$B$1005,$B34,'الحركات الشهرية'!$A$6:$A$1005,$C$3))</f>
        <v/>
      </c>
      <c r="W34" s="111" t="str">
        <f aca="false">IF($B34="","",SUMIFS('الحركات الشهرية'!$J$6:$J$1005,'الحركات الشهرية'!$B$6:$B$1005,$B34,'الحركات الشهرية'!$A$6:$A$1005,$C$3))</f>
        <v/>
      </c>
      <c r="X34" s="111" t="str">
        <f aca="false">IF($B34="","",SUM(U34:W34))</f>
        <v/>
      </c>
      <c r="Y34" s="153" t="str">
        <f aca="false">IF($B34="","",T34-X34)</f>
        <v/>
      </c>
      <c r="Z34" s="111" t="str">
        <f aca="false">IF($B34="","",الموظفون!$S34*IF(E34="سعودي",cfg_G_SR,cfg_G_NR)*G34/cfg_DAYS_M)</f>
        <v/>
      </c>
      <c r="AA34" s="111" t="str">
        <f aca="false">IF($B34="","",الموظفون!$Q34*(cfg_EOS_R1*(MIN(AH34,cfg_EOS_TH)-MIN(AI34,cfg_EOS_TH))+cfg_EOS_R2*(MAX(AH34-cfg_EOS_TH,0)-MAX(AI34-cfg_EOS_TH,0))))</f>
        <v/>
      </c>
      <c r="AB34" s="111" t="str">
        <f aca="false">IF($B34="","",IF(الموظفون!$T34&lt;&gt;"",الموظفون!$T34,IF(AH34&gt;=cfg_LV_TH,cfg_LV_D2,cfg_LV_D1))/cfg_DAYS_Y*AJ34*الموظفون!$R34/cfg_DAYS_M)</f>
        <v/>
      </c>
      <c r="AC34" s="111" t="str">
        <f aca="false">IF($B34="","",IF(AND(الموظفون!$U34="نعم",N(الموظفون!$W34)&gt;0),الموظفون!$V34/الموظفون!$W34*12/cfg_DAYS_Y*AJ34,0))</f>
        <v/>
      </c>
      <c r="AD34" s="111" t="str">
        <f aca="false">IF($B34="","",(IF(الموظفون!$X34&lt;&gt;"",الموظفون!$X34,IF(الموظفون!$E34="غير سعودي",cfg_IQ,0))+IF(الموظفون!$Y34&lt;&gt;"",الموظفون!$Y34,IF(الموظفون!$E34="غير سعودي",cfg_WP,0)))/12*G34/cfg_DAYS_M)</f>
        <v/>
      </c>
      <c r="AE34" s="111" t="str">
        <f aca="false">IF($B34="","",IF(الموظفون!$Z34&lt;&gt;"",الموظفون!$Z34,cfg_MED)/12*G34/cfg_DAYS_M)</f>
        <v/>
      </c>
      <c r="AF34" s="111" t="str">
        <f aca="false">IF($B34="","",N(الموظفون!$AA34)/12*G34/cfg_DAYS_M)</f>
        <v/>
      </c>
      <c r="AG34" s="154" t="str">
        <f aca="false">IF($B34="","",T34+SUM(Z34:AF34))</f>
        <v/>
      </c>
      <c r="AH34" s="155" t="str">
        <f aca="false">IF($B34="","",MAX(0,IF(OR(الموظفون!$AE34="",الموظفون!$AE34&gt;$F$3),$F$3,الموظفون!$AE34)-الموظفون!$H34+1-SUMIFS('سجل الإجازات والحالات'!$AI$6:$AI$505,'سجل الإجازات والحالات'!$B$6:$B$505,$B34))/cfg_DAYS_Y)</f>
        <v/>
      </c>
      <c r="AI34" s="155" t="str">
        <f aca="false">IF($B34="","",MAX(0,IF(OR(الموظفون!$AE34="",الموظفون!$AE34&gt;($E$3-1)),($E$3-1),الموظفون!$AE34)-الموظفون!$H34+1-SUMIFS('سجل الإجازات والحالات'!$AH$6:$AH$505,'سجل الإجازات والحالات'!$B$6:$B$505,$B34))/cfg_DAYS_Y)</f>
        <v/>
      </c>
      <c r="AJ34" s="65" t="str">
        <f aca="false">IF($B34="","",MAX(0,AK34-(SUMIFS('سجل الإجازات والحالات'!$AI$6:$AI$505,'سجل الإجازات والحالات'!$B$6:$B$505,$B34)-SUMIFS('سجل الإجازات والحالات'!$AH$6:$AH$505,'سجل الإجازات والحالات'!$B$6:$B$505,$B34))))</f>
        <v/>
      </c>
      <c r="AK34" s="65" t="str">
        <f aca="false">IF($B34="","",MAX(0,IF(OR(الموظفون!$AE34="",الموظفون!$AE34&gt;$F$3),$F$3,الموظفون!$AE34)-MAX($E$3,الموظفون!$H34)+1))</f>
        <v/>
      </c>
      <c r="AL34" s="151" t="str">
        <f aca="false">IF($B34="","",SUMIFS('سجل الإجازات والحالات'!$AU$6:$AU$505,'سجل الإجازات والحالات'!$B$6:$B$505,$B34)+SUMIFS('الحركات الشهرية'!$K$6:$K$1005,'الحركات الشهرية'!$B$6:$B$1005,$B34,'الحركات الشهرية'!$A$6:$A$1005,$C$3))</f>
        <v/>
      </c>
      <c r="AM34" s="111" t="str">
        <f aca="false">IF($B34="","",AL34*الموظفون!$R34/cfg_DAYS_M+S34)</f>
        <v/>
      </c>
      <c r="AN34" s="151" t="str">
        <f aca="false">IF($B34="","",SUMIFS('سجل الإجازات والحالات'!$W$6:$W$505,'سجل الإجازات والحالات'!$B$6:$B$505,$B34))</f>
        <v/>
      </c>
    </row>
    <row r="35" customFormat="false" ht="15" hidden="false" customHeight="false" outlineLevel="0" collapsed="false">
      <c r="A35" s="115" t="str">
        <f aca="false">IF($B35="","",الموظفون!$A35)</f>
        <v/>
      </c>
      <c r="B35" s="117" t="str">
        <f aca="false">IF(الموظفون!$B35="","",الموظفون!$B35)</f>
        <v/>
      </c>
      <c r="C35" s="117" t="str">
        <f aca="false">IF($B35="","",الموظفون!$C35)</f>
        <v/>
      </c>
      <c r="D35" s="117" t="str">
        <f aca="false">IF($B35="","",الموظفون!$F35)</f>
        <v/>
      </c>
      <c r="E35" s="117" t="str">
        <f aca="false">IF($B35="","",الموظفون!$E35)</f>
        <v/>
      </c>
      <c r="F35" s="117" t="str">
        <f aca="false">IF($B35="","",IF(AK35=0,IF(AND(الموظفون!$AE35&lt;&gt;"",الموظفون!$AE35&lt;$E$3),"✖ منتهي الخدمة","⏳ لم يباشر"),IF(S35&gt;0,"✈ راتب إجازة مقدم",IF(J35=0,"⛔ بدون راتب هذا الشهر",IF(I35&gt;0,"✈ خصم "&amp;ROUND(I35,2)&amp;" يوم بدون أجر",IF(AL35&gt;0,"🌴 إجازة سنوية "&amp;ROUND(AL35,2)&amp;" يوم",IF(H35&gt;0,"⚠ غياب "&amp;ROUND(H35,2)&amp;" يوم","✔ على رأس العمل")))))))</f>
        <v/>
      </c>
      <c r="G35" s="156" t="str">
        <f aca="false">IF($B35="","",IF(AK35&gt;=DAY($F$3),cfg_DAYS_M,MIN(AK35,cfg_DAYS_M)))</f>
        <v/>
      </c>
      <c r="H35" s="156" t="str">
        <f aca="false">IF($B35="","",SUMIFS('الحركات الشهرية'!$D$6:$D$1005,'الحركات الشهرية'!$B$6:$B$1005,$B35,'الحركات الشهرية'!$A$6:$A$1005,$C$3))</f>
        <v/>
      </c>
      <c r="I35" s="156" t="str">
        <f aca="false">IF($B35="","",MIN(G35,IF(AND(AK35&gt;0,AN35&gt;=AK35),G35,AN35)+SUMIFS('الحركات الشهرية'!$E$6:$E$1005,'الحركات الشهرية'!$B$6:$B$1005,$B35,'الحركات الشهرية'!$A$6:$A$1005,$C$3)))</f>
        <v/>
      </c>
      <c r="J35" s="156" t="str">
        <f aca="false">IF($B35="","",MAX(0,G35-H35-I35))</f>
        <v/>
      </c>
      <c r="K35" s="116" t="str">
        <f aca="false">IF($B35="","",الموظفون!$L35*$J35/cfg_DAYS_M)</f>
        <v/>
      </c>
      <c r="L35" s="116" t="str">
        <f aca="false">IF($B35="","",الموظفون!$M35*$J35/cfg_DAYS_M)</f>
        <v/>
      </c>
      <c r="M35" s="116" t="str">
        <f aca="false">IF($B35="","",الموظفون!$N35*$J35/cfg_DAYS_M)</f>
        <v/>
      </c>
      <c r="N35" s="116" t="str">
        <f aca="false">IF($B35="","",الموظفون!$O35*$J35/cfg_DAYS_M)</f>
        <v/>
      </c>
      <c r="O35" s="156" t="str">
        <f aca="false">IF($B35="","",SUMIFS('الحركات الشهرية'!$F$6:$F$1005,'الحركات الشهرية'!$B$6:$B$1005,$B35,'الحركات الشهرية'!$A$6:$A$1005,$C$3))</f>
        <v/>
      </c>
      <c r="P35" s="116" t="str">
        <f aca="false">IF($B35="","",O35*(الموظفون!$P35+الموظفون!$L35*cfg_OT_P)/cfg_DAYS_M/cfg_HRS)</f>
        <v/>
      </c>
      <c r="Q35" s="116" t="str">
        <f aca="false">IF($B35="","",SUMIFS('الحركات الشهرية'!$G$6:$G$1005,'الحركات الشهرية'!$B$6:$B$1005,$B35,'الحركات الشهرية'!$A$6:$A$1005,$C$3))</f>
        <v/>
      </c>
      <c r="R35" s="116" t="str">
        <f aca="false">IF($B35="","",SUMIFS('الحركات الشهرية'!$H$6:$H$1005,'الحركات الشهرية'!$B$6:$B$1005,$B35,'الحركات الشهرية'!$A$6:$A$1005,$C$3))</f>
        <v/>
      </c>
      <c r="S35" s="116" t="str">
        <f aca="false">IF($B35="","",SUMIFS('سجل الإجازات والحالات'!$N$6:$N$505,'سجل الإجازات والحالات'!$B$6:$B$505,$B35,'سجل الإجازات والحالات'!$O$6:$O$505,$C$3))</f>
        <v/>
      </c>
      <c r="T35" s="157" t="str">
        <f aca="false">IF($B35="","",SUM(K35:N35)+SUM(P35:S35))</f>
        <v/>
      </c>
      <c r="U35" s="116" t="str">
        <f aca="false">IF($B35="","",الموظفون!$S35*IF(E35="سعودي",cfg_G_SE,cfg_G_NE)*G35/cfg_DAYS_M)</f>
        <v/>
      </c>
      <c r="V35" s="116" t="str">
        <f aca="false">IF($B35="","",SUMIFS('الحركات الشهرية'!$I$6:$I$1005,'الحركات الشهرية'!$B$6:$B$1005,$B35,'الحركات الشهرية'!$A$6:$A$1005,$C$3))</f>
        <v/>
      </c>
      <c r="W35" s="116" t="str">
        <f aca="false">IF($B35="","",SUMIFS('الحركات الشهرية'!$J$6:$J$1005,'الحركات الشهرية'!$B$6:$B$1005,$B35,'الحركات الشهرية'!$A$6:$A$1005,$C$3))</f>
        <v/>
      </c>
      <c r="X35" s="116" t="str">
        <f aca="false">IF($B35="","",SUM(U35:W35))</f>
        <v/>
      </c>
      <c r="Y35" s="158" t="str">
        <f aca="false">IF($B35="","",T35-X35)</f>
        <v/>
      </c>
      <c r="Z35" s="116" t="str">
        <f aca="false">IF($B35="","",الموظفون!$S35*IF(E35="سعودي",cfg_G_SR,cfg_G_NR)*G35/cfg_DAYS_M)</f>
        <v/>
      </c>
      <c r="AA35" s="116" t="str">
        <f aca="false">IF($B35="","",الموظفون!$Q35*(cfg_EOS_R1*(MIN(AH35,cfg_EOS_TH)-MIN(AI35,cfg_EOS_TH))+cfg_EOS_R2*(MAX(AH35-cfg_EOS_TH,0)-MAX(AI35-cfg_EOS_TH,0))))</f>
        <v/>
      </c>
      <c r="AB35" s="116" t="str">
        <f aca="false">IF($B35="","",IF(الموظفون!$T35&lt;&gt;"",الموظفون!$T35,IF(AH35&gt;=cfg_LV_TH,cfg_LV_D2,cfg_LV_D1))/cfg_DAYS_Y*AJ35*الموظفون!$R35/cfg_DAYS_M)</f>
        <v/>
      </c>
      <c r="AC35" s="116" t="str">
        <f aca="false">IF($B35="","",IF(AND(الموظفون!$U35="نعم",N(الموظفون!$W35)&gt;0),الموظفون!$V35/الموظفون!$W35*12/cfg_DAYS_Y*AJ35,0))</f>
        <v/>
      </c>
      <c r="AD35" s="116" t="str">
        <f aca="false">IF($B35="","",(IF(الموظفون!$X35&lt;&gt;"",الموظفون!$X35,IF(الموظفون!$E35="غير سعودي",cfg_IQ,0))+IF(الموظفون!$Y35&lt;&gt;"",الموظفون!$Y35,IF(الموظفون!$E35="غير سعودي",cfg_WP,0)))/12*G35/cfg_DAYS_M)</f>
        <v/>
      </c>
      <c r="AE35" s="116" t="str">
        <f aca="false">IF($B35="","",IF(الموظفون!$Z35&lt;&gt;"",الموظفون!$Z35,cfg_MED)/12*G35/cfg_DAYS_M)</f>
        <v/>
      </c>
      <c r="AF35" s="116" t="str">
        <f aca="false">IF($B35="","",N(الموظفون!$AA35)/12*G35/cfg_DAYS_M)</f>
        <v/>
      </c>
      <c r="AG35" s="159" t="str">
        <f aca="false">IF($B35="","",T35+SUM(Z35:AF35))</f>
        <v/>
      </c>
      <c r="AH35" s="160" t="str">
        <f aca="false">IF($B35="","",MAX(0,IF(OR(الموظفون!$AE35="",الموظفون!$AE35&gt;$F$3),$F$3,الموظفون!$AE35)-الموظفون!$H35+1-SUMIFS('سجل الإجازات والحالات'!$AI$6:$AI$505,'سجل الإجازات والحالات'!$B$6:$B$505,$B35))/cfg_DAYS_Y)</f>
        <v/>
      </c>
      <c r="AI35" s="160" t="str">
        <f aca="false">IF($B35="","",MAX(0,IF(OR(الموظفون!$AE35="",الموظفون!$AE35&gt;($E$3-1)),($E$3-1),الموظفون!$AE35)-الموظفون!$H35+1-SUMIFS('سجل الإجازات والحالات'!$AH$6:$AH$505,'سجل الإجازات والحالات'!$B$6:$B$505,$B35))/cfg_DAYS_Y)</f>
        <v/>
      </c>
      <c r="AJ35" s="133" t="str">
        <f aca="false">IF($B35="","",MAX(0,AK35-(SUMIFS('سجل الإجازات والحالات'!$AI$6:$AI$505,'سجل الإجازات والحالات'!$B$6:$B$505,$B35)-SUMIFS('سجل الإجازات والحالات'!$AH$6:$AH$505,'سجل الإجازات والحالات'!$B$6:$B$505,$B35))))</f>
        <v/>
      </c>
      <c r="AK35" s="133" t="str">
        <f aca="false">IF($B35="","",MAX(0,IF(OR(الموظفون!$AE35="",الموظفون!$AE35&gt;$F$3),$F$3,الموظفون!$AE35)-MAX($E$3,الموظفون!$H35)+1))</f>
        <v/>
      </c>
      <c r="AL35" s="156" t="str">
        <f aca="false">IF($B35="","",SUMIFS('سجل الإجازات والحالات'!$AU$6:$AU$505,'سجل الإجازات والحالات'!$B$6:$B$505,$B35)+SUMIFS('الحركات الشهرية'!$K$6:$K$1005,'الحركات الشهرية'!$B$6:$B$1005,$B35,'الحركات الشهرية'!$A$6:$A$1005,$C$3))</f>
        <v/>
      </c>
      <c r="AM35" s="116" t="str">
        <f aca="false">IF($B35="","",AL35*الموظفون!$R35/cfg_DAYS_M+S35)</f>
        <v/>
      </c>
      <c r="AN35" s="156" t="str">
        <f aca="false">IF($B35="","",SUMIFS('سجل الإجازات والحالات'!$W$6:$W$505,'سجل الإجازات والحالات'!$B$6:$B$505,$B35))</f>
        <v/>
      </c>
    </row>
    <row r="36" customFormat="false" ht="15" hidden="false" customHeight="false" outlineLevel="0" collapsed="false">
      <c r="A36" s="106" t="str">
        <f aca="false">IF($B36="","",الموظفون!$A36)</f>
        <v/>
      </c>
      <c r="B36" s="114" t="str">
        <f aca="false">IF(الموظفون!$B36="","",الموظفون!$B36)</f>
        <v/>
      </c>
      <c r="C36" s="114" t="str">
        <f aca="false">IF($B36="","",الموظفون!$C36)</f>
        <v/>
      </c>
      <c r="D36" s="114" t="str">
        <f aca="false">IF($B36="","",الموظفون!$F36)</f>
        <v/>
      </c>
      <c r="E36" s="114" t="str">
        <f aca="false">IF($B36="","",الموظفون!$E36)</f>
        <v/>
      </c>
      <c r="F36" s="114" t="str">
        <f aca="false">IF($B36="","",IF(AK36=0,IF(AND(الموظفون!$AE36&lt;&gt;"",الموظفون!$AE36&lt;$E$3),"✖ منتهي الخدمة","⏳ لم يباشر"),IF(S36&gt;0,"✈ راتب إجازة مقدم",IF(J36=0,"⛔ بدون راتب هذا الشهر",IF(I36&gt;0,"✈ خصم "&amp;ROUND(I36,2)&amp;" يوم بدون أجر",IF(AL36&gt;0,"🌴 إجازة سنوية "&amp;ROUND(AL36,2)&amp;" يوم",IF(H36&gt;0,"⚠ غياب "&amp;ROUND(H36,2)&amp;" يوم","✔ على رأس العمل")))))))</f>
        <v/>
      </c>
      <c r="G36" s="151" t="str">
        <f aca="false">IF($B36="","",IF(AK36&gt;=DAY($F$3),cfg_DAYS_M,MIN(AK36,cfg_DAYS_M)))</f>
        <v/>
      </c>
      <c r="H36" s="151" t="str">
        <f aca="false">IF($B36="","",SUMIFS('الحركات الشهرية'!$D$6:$D$1005,'الحركات الشهرية'!$B$6:$B$1005,$B36,'الحركات الشهرية'!$A$6:$A$1005,$C$3))</f>
        <v/>
      </c>
      <c r="I36" s="151" t="str">
        <f aca="false">IF($B36="","",MIN(G36,IF(AND(AK36&gt;0,AN36&gt;=AK36),G36,AN36)+SUMIFS('الحركات الشهرية'!$E$6:$E$1005,'الحركات الشهرية'!$B$6:$B$1005,$B36,'الحركات الشهرية'!$A$6:$A$1005,$C$3)))</f>
        <v/>
      </c>
      <c r="J36" s="151" t="str">
        <f aca="false">IF($B36="","",MAX(0,G36-H36-I36))</f>
        <v/>
      </c>
      <c r="K36" s="111" t="str">
        <f aca="false">IF($B36="","",الموظفون!$L36*$J36/cfg_DAYS_M)</f>
        <v/>
      </c>
      <c r="L36" s="111" t="str">
        <f aca="false">IF($B36="","",الموظفون!$M36*$J36/cfg_DAYS_M)</f>
        <v/>
      </c>
      <c r="M36" s="111" t="str">
        <f aca="false">IF($B36="","",الموظفون!$N36*$J36/cfg_DAYS_M)</f>
        <v/>
      </c>
      <c r="N36" s="111" t="str">
        <f aca="false">IF($B36="","",الموظفون!$O36*$J36/cfg_DAYS_M)</f>
        <v/>
      </c>
      <c r="O36" s="151" t="str">
        <f aca="false">IF($B36="","",SUMIFS('الحركات الشهرية'!$F$6:$F$1005,'الحركات الشهرية'!$B$6:$B$1005,$B36,'الحركات الشهرية'!$A$6:$A$1005,$C$3))</f>
        <v/>
      </c>
      <c r="P36" s="111" t="str">
        <f aca="false">IF($B36="","",O36*(الموظفون!$P36+الموظفون!$L36*cfg_OT_P)/cfg_DAYS_M/cfg_HRS)</f>
        <v/>
      </c>
      <c r="Q36" s="111" t="str">
        <f aca="false">IF($B36="","",SUMIFS('الحركات الشهرية'!$G$6:$G$1005,'الحركات الشهرية'!$B$6:$B$1005,$B36,'الحركات الشهرية'!$A$6:$A$1005,$C$3))</f>
        <v/>
      </c>
      <c r="R36" s="111" t="str">
        <f aca="false">IF($B36="","",SUMIFS('الحركات الشهرية'!$H$6:$H$1005,'الحركات الشهرية'!$B$6:$B$1005,$B36,'الحركات الشهرية'!$A$6:$A$1005,$C$3))</f>
        <v/>
      </c>
      <c r="S36" s="111" t="str">
        <f aca="false">IF($B36="","",SUMIFS('سجل الإجازات والحالات'!$N$6:$N$505,'سجل الإجازات والحالات'!$B$6:$B$505,$B36,'سجل الإجازات والحالات'!$O$6:$O$505,$C$3))</f>
        <v/>
      </c>
      <c r="T36" s="152" t="str">
        <f aca="false">IF($B36="","",SUM(K36:N36)+SUM(P36:S36))</f>
        <v/>
      </c>
      <c r="U36" s="111" t="str">
        <f aca="false">IF($B36="","",الموظفون!$S36*IF(E36="سعودي",cfg_G_SE,cfg_G_NE)*G36/cfg_DAYS_M)</f>
        <v/>
      </c>
      <c r="V36" s="111" t="str">
        <f aca="false">IF($B36="","",SUMIFS('الحركات الشهرية'!$I$6:$I$1005,'الحركات الشهرية'!$B$6:$B$1005,$B36,'الحركات الشهرية'!$A$6:$A$1005,$C$3))</f>
        <v/>
      </c>
      <c r="W36" s="111" t="str">
        <f aca="false">IF($B36="","",SUMIFS('الحركات الشهرية'!$J$6:$J$1005,'الحركات الشهرية'!$B$6:$B$1005,$B36,'الحركات الشهرية'!$A$6:$A$1005,$C$3))</f>
        <v/>
      </c>
      <c r="X36" s="111" t="str">
        <f aca="false">IF($B36="","",SUM(U36:W36))</f>
        <v/>
      </c>
      <c r="Y36" s="153" t="str">
        <f aca="false">IF($B36="","",T36-X36)</f>
        <v/>
      </c>
      <c r="Z36" s="111" t="str">
        <f aca="false">IF($B36="","",الموظفون!$S36*IF(E36="سعودي",cfg_G_SR,cfg_G_NR)*G36/cfg_DAYS_M)</f>
        <v/>
      </c>
      <c r="AA36" s="111" t="str">
        <f aca="false">IF($B36="","",الموظفون!$Q36*(cfg_EOS_R1*(MIN(AH36,cfg_EOS_TH)-MIN(AI36,cfg_EOS_TH))+cfg_EOS_R2*(MAX(AH36-cfg_EOS_TH,0)-MAX(AI36-cfg_EOS_TH,0))))</f>
        <v/>
      </c>
      <c r="AB36" s="111" t="str">
        <f aca="false">IF($B36="","",IF(الموظفون!$T36&lt;&gt;"",الموظفون!$T36,IF(AH36&gt;=cfg_LV_TH,cfg_LV_D2,cfg_LV_D1))/cfg_DAYS_Y*AJ36*الموظفون!$R36/cfg_DAYS_M)</f>
        <v/>
      </c>
      <c r="AC36" s="111" t="str">
        <f aca="false">IF($B36="","",IF(AND(الموظفون!$U36="نعم",N(الموظفون!$W36)&gt;0),الموظفون!$V36/الموظفون!$W36*12/cfg_DAYS_Y*AJ36,0))</f>
        <v/>
      </c>
      <c r="AD36" s="111" t="str">
        <f aca="false">IF($B36="","",(IF(الموظفون!$X36&lt;&gt;"",الموظفون!$X36,IF(الموظفون!$E36="غير سعودي",cfg_IQ,0))+IF(الموظفون!$Y36&lt;&gt;"",الموظفون!$Y36,IF(الموظفون!$E36="غير سعودي",cfg_WP,0)))/12*G36/cfg_DAYS_M)</f>
        <v/>
      </c>
      <c r="AE36" s="111" t="str">
        <f aca="false">IF($B36="","",IF(الموظفون!$Z36&lt;&gt;"",الموظفون!$Z36,cfg_MED)/12*G36/cfg_DAYS_M)</f>
        <v/>
      </c>
      <c r="AF36" s="111" t="str">
        <f aca="false">IF($B36="","",N(الموظفون!$AA36)/12*G36/cfg_DAYS_M)</f>
        <v/>
      </c>
      <c r="AG36" s="154" t="str">
        <f aca="false">IF($B36="","",T36+SUM(Z36:AF36))</f>
        <v/>
      </c>
      <c r="AH36" s="155" t="str">
        <f aca="false">IF($B36="","",MAX(0,IF(OR(الموظفون!$AE36="",الموظفون!$AE36&gt;$F$3),$F$3,الموظفون!$AE36)-الموظفون!$H36+1-SUMIFS('سجل الإجازات والحالات'!$AI$6:$AI$505,'سجل الإجازات والحالات'!$B$6:$B$505,$B36))/cfg_DAYS_Y)</f>
        <v/>
      </c>
      <c r="AI36" s="155" t="str">
        <f aca="false">IF($B36="","",MAX(0,IF(OR(الموظفون!$AE36="",الموظفون!$AE36&gt;($E$3-1)),($E$3-1),الموظفون!$AE36)-الموظفون!$H36+1-SUMIFS('سجل الإجازات والحالات'!$AH$6:$AH$505,'سجل الإجازات والحالات'!$B$6:$B$505,$B36))/cfg_DAYS_Y)</f>
        <v/>
      </c>
      <c r="AJ36" s="65" t="str">
        <f aca="false">IF($B36="","",MAX(0,AK36-(SUMIFS('سجل الإجازات والحالات'!$AI$6:$AI$505,'سجل الإجازات والحالات'!$B$6:$B$505,$B36)-SUMIFS('سجل الإجازات والحالات'!$AH$6:$AH$505,'سجل الإجازات والحالات'!$B$6:$B$505,$B36))))</f>
        <v/>
      </c>
      <c r="AK36" s="65" t="str">
        <f aca="false">IF($B36="","",MAX(0,IF(OR(الموظفون!$AE36="",الموظفون!$AE36&gt;$F$3),$F$3,الموظفون!$AE36)-MAX($E$3,الموظفون!$H36)+1))</f>
        <v/>
      </c>
      <c r="AL36" s="151" t="str">
        <f aca="false">IF($B36="","",SUMIFS('سجل الإجازات والحالات'!$AU$6:$AU$505,'سجل الإجازات والحالات'!$B$6:$B$505,$B36)+SUMIFS('الحركات الشهرية'!$K$6:$K$1005,'الحركات الشهرية'!$B$6:$B$1005,$B36,'الحركات الشهرية'!$A$6:$A$1005,$C$3))</f>
        <v/>
      </c>
      <c r="AM36" s="111" t="str">
        <f aca="false">IF($B36="","",AL36*الموظفون!$R36/cfg_DAYS_M+S36)</f>
        <v/>
      </c>
      <c r="AN36" s="151" t="str">
        <f aca="false">IF($B36="","",SUMIFS('سجل الإجازات والحالات'!$W$6:$W$505,'سجل الإجازات والحالات'!$B$6:$B$505,$B36))</f>
        <v/>
      </c>
    </row>
    <row r="37" customFormat="false" ht="15" hidden="false" customHeight="false" outlineLevel="0" collapsed="false">
      <c r="A37" s="115" t="str">
        <f aca="false">IF($B37="","",الموظفون!$A37)</f>
        <v/>
      </c>
      <c r="B37" s="117" t="str">
        <f aca="false">IF(الموظفون!$B37="","",الموظفون!$B37)</f>
        <v/>
      </c>
      <c r="C37" s="117" t="str">
        <f aca="false">IF($B37="","",الموظفون!$C37)</f>
        <v/>
      </c>
      <c r="D37" s="117" t="str">
        <f aca="false">IF($B37="","",الموظفون!$F37)</f>
        <v/>
      </c>
      <c r="E37" s="117" t="str">
        <f aca="false">IF($B37="","",الموظفون!$E37)</f>
        <v/>
      </c>
      <c r="F37" s="117" t="str">
        <f aca="false">IF($B37="","",IF(AK37=0,IF(AND(الموظفون!$AE37&lt;&gt;"",الموظفون!$AE37&lt;$E$3),"✖ منتهي الخدمة","⏳ لم يباشر"),IF(S37&gt;0,"✈ راتب إجازة مقدم",IF(J37=0,"⛔ بدون راتب هذا الشهر",IF(I37&gt;0,"✈ خصم "&amp;ROUND(I37,2)&amp;" يوم بدون أجر",IF(AL37&gt;0,"🌴 إجازة سنوية "&amp;ROUND(AL37,2)&amp;" يوم",IF(H37&gt;0,"⚠ غياب "&amp;ROUND(H37,2)&amp;" يوم","✔ على رأس العمل")))))))</f>
        <v/>
      </c>
      <c r="G37" s="156" t="str">
        <f aca="false">IF($B37="","",IF(AK37&gt;=DAY($F$3),cfg_DAYS_M,MIN(AK37,cfg_DAYS_M)))</f>
        <v/>
      </c>
      <c r="H37" s="156" t="str">
        <f aca="false">IF($B37="","",SUMIFS('الحركات الشهرية'!$D$6:$D$1005,'الحركات الشهرية'!$B$6:$B$1005,$B37,'الحركات الشهرية'!$A$6:$A$1005,$C$3))</f>
        <v/>
      </c>
      <c r="I37" s="156" t="str">
        <f aca="false">IF($B37="","",MIN(G37,IF(AND(AK37&gt;0,AN37&gt;=AK37),G37,AN37)+SUMIFS('الحركات الشهرية'!$E$6:$E$1005,'الحركات الشهرية'!$B$6:$B$1005,$B37,'الحركات الشهرية'!$A$6:$A$1005,$C$3)))</f>
        <v/>
      </c>
      <c r="J37" s="156" t="str">
        <f aca="false">IF($B37="","",MAX(0,G37-H37-I37))</f>
        <v/>
      </c>
      <c r="K37" s="116" t="str">
        <f aca="false">IF($B37="","",الموظفون!$L37*$J37/cfg_DAYS_M)</f>
        <v/>
      </c>
      <c r="L37" s="116" t="str">
        <f aca="false">IF($B37="","",الموظفون!$M37*$J37/cfg_DAYS_M)</f>
        <v/>
      </c>
      <c r="M37" s="116" t="str">
        <f aca="false">IF($B37="","",الموظفون!$N37*$J37/cfg_DAYS_M)</f>
        <v/>
      </c>
      <c r="N37" s="116" t="str">
        <f aca="false">IF($B37="","",الموظفون!$O37*$J37/cfg_DAYS_M)</f>
        <v/>
      </c>
      <c r="O37" s="156" t="str">
        <f aca="false">IF($B37="","",SUMIFS('الحركات الشهرية'!$F$6:$F$1005,'الحركات الشهرية'!$B$6:$B$1005,$B37,'الحركات الشهرية'!$A$6:$A$1005,$C$3))</f>
        <v/>
      </c>
      <c r="P37" s="116" t="str">
        <f aca="false">IF($B37="","",O37*(الموظفون!$P37+الموظفون!$L37*cfg_OT_P)/cfg_DAYS_M/cfg_HRS)</f>
        <v/>
      </c>
      <c r="Q37" s="116" t="str">
        <f aca="false">IF($B37="","",SUMIFS('الحركات الشهرية'!$G$6:$G$1005,'الحركات الشهرية'!$B$6:$B$1005,$B37,'الحركات الشهرية'!$A$6:$A$1005,$C$3))</f>
        <v/>
      </c>
      <c r="R37" s="116" t="str">
        <f aca="false">IF($B37="","",SUMIFS('الحركات الشهرية'!$H$6:$H$1005,'الحركات الشهرية'!$B$6:$B$1005,$B37,'الحركات الشهرية'!$A$6:$A$1005,$C$3))</f>
        <v/>
      </c>
      <c r="S37" s="116" t="str">
        <f aca="false">IF($B37="","",SUMIFS('سجل الإجازات والحالات'!$N$6:$N$505,'سجل الإجازات والحالات'!$B$6:$B$505,$B37,'سجل الإجازات والحالات'!$O$6:$O$505,$C$3))</f>
        <v/>
      </c>
      <c r="T37" s="157" t="str">
        <f aca="false">IF($B37="","",SUM(K37:N37)+SUM(P37:S37))</f>
        <v/>
      </c>
      <c r="U37" s="116" t="str">
        <f aca="false">IF($B37="","",الموظفون!$S37*IF(E37="سعودي",cfg_G_SE,cfg_G_NE)*G37/cfg_DAYS_M)</f>
        <v/>
      </c>
      <c r="V37" s="116" t="str">
        <f aca="false">IF($B37="","",SUMIFS('الحركات الشهرية'!$I$6:$I$1005,'الحركات الشهرية'!$B$6:$B$1005,$B37,'الحركات الشهرية'!$A$6:$A$1005,$C$3))</f>
        <v/>
      </c>
      <c r="W37" s="116" t="str">
        <f aca="false">IF($B37="","",SUMIFS('الحركات الشهرية'!$J$6:$J$1005,'الحركات الشهرية'!$B$6:$B$1005,$B37,'الحركات الشهرية'!$A$6:$A$1005,$C$3))</f>
        <v/>
      </c>
      <c r="X37" s="116" t="str">
        <f aca="false">IF($B37="","",SUM(U37:W37))</f>
        <v/>
      </c>
      <c r="Y37" s="158" t="str">
        <f aca="false">IF($B37="","",T37-X37)</f>
        <v/>
      </c>
      <c r="Z37" s="116" t="str">
        <f aca="false">IF($B37="","",الموظفون!$S37*IF(E37="سعودي",cfg_G_SR,cfg_G_NR)*G37/cfg_DAYS_M)</f>
        <v/>
      </c>
      <c r="AA37" s="116" t="str">
        <f aca="false">IF($B37="","",الموظفون!$Q37*(cfg_EOS_R1*(MIN(AH37,cfg_EOS_TH)-MIN(AI37,cfg_EOS_TH))+cfg_EOS_R2*(MAX(AH37-cfg_EOS_TH,0)-MAX(AI37-cfg_EOS_TH,0))))</f>
        <v/>
      </c>
      <c r="AB37" s="116" t="str">
        <f aca="false">IF($B37="","",IF(الموظفون!$T37&lt;&gt;"",الموظفون!$T37,IF(AH37&gt;=cfg_LV_TH,cfg_LV_D2,cfg_LV_D1))/cfg_DAYS_Y*AJ37*الموظفون!$R37/cfg_DAYS_M)</f>
        <v/>
      </c>
      <c r="AC37" s="116" t="str">
        <f aca="false">IF($B37="","",IF(AND(الموظفون!$U37="نعم",N(الموظفون!$W37)&gt;0),الموظفون!$V37/الموظفون!$W37*12/cfg_DAYS_Y*AJ37,0))</f>
        <v/>
      </c>
      <c r="AD37" s="116" t="str">
        <f aca="false">IF($B37="","",(IF(الموظفون!$X37&lt;&gt;"",الموظفون!$X37,IF(الموظفون!$E37="غير سعودي",cfg_IQ,0))+IF(الموظفون!$Y37&lt;&gt;"",الموظفون!$Y37,IF(الموظفون!$E37="غير سعودي",cfg_WP,0)))/12*G37/cfg_DAYS_M)</f>
        <v/>
      </c>
      <c r="AE37" s="116" t="str">
        <f aca="false">IF($B37="","",IF(الموظفون!$Z37&lt;&gt;"",الموظفون!$Z37,cfg_MED)/12*G37/cfg_DAYS_M)</f>
        <v/>
      </c>
      <c r="AF37" s="116" t="str">
        <f aca="false">IF($B37="","",N(الموظفون!$AA37)/12*G37/cfg_DAYS_M)</f>
        <v/>
      </c>
      <c r="AG37" s="159" t="str">
        <f aca="false">IF($B37="","",T37+SUM(Z37:AF37))</f>
        <v/>
      </c>
      <c r="AH37" s="160" t="str">
        <f aca="false">IF($B37="","",MAX(0,IF(OR(الموظفون!$AE37="",الموظفون!$AE37&gt;$F$3),$F$3,الموظفون!$AE37)-الموظفون!$H37+1-SUMIFS('سجل الإجازات والحالات'!$AI$6:$AI$505,'سجل الإجازات والحالات'!$B$6:$B$505,$B37))/cfg_DAYS_Y)</f>
        <v/>
      </c>
      <c r="AI37" s="160" t="str">
        <f aca="false">IF($B37="","",MAX(0,IF(OR(الموظفون!$AE37="",الموظفون!$AE37&gt;($E$3-1)),($E$3-1),الموظفون!$AE37)-الموظفون!$H37+1-SUMIFS('سجل الإجازات والحالات'!$AH$6:$AH$505,'سجل الإجازات والحالات'!$B$6:$B$505,$B37))/cfg_DAYS_Y)</f>
        <v/>
      </c>
      <c r="AJ37" s="133" t="str">
        <f aca="false">IF($B37="","",MAX(0,AK37-(SUMIFS('سجل الإجازات والحالات'!$AI$6:$AI$505,'سجل الإجازات والحالات'!$B$6:$B$505,$B37)-SUMIFS('سجل الإجازات والحالات'!$AH$6:$AH$505,'سجل الإجازات والحالات'!$B$6:$B$505,$B37))))</f>
        <v/>
      </c>
      <c r="AK37" s="133" t="str">
        <f aca="false">IF($B37="","",MAX(0,IF(OR(الموظفون!$AE37="",الموظفون!$AE37&gt;$F$3),$F$3,الموظفون!$AE37)-MAX($E$3,الموظفون!$H37)+1))</f>
        <v/>
      </c>
      <c r="AL37" s="156" t="str">
        <f aca="false">IF($B37="","",SUMIFS('سجل الإجازات والحالات'!$AU$6:$AU$505,'سجل الإجازات والحالات'!$B$6:$B$505,$B37)+SUMIFS('الحركات الشهرية'!$K$6:$K$1005,'الحركات الشهرية'!$B$6:$B$1005,$B37,'الحركات الشهرية'!$A$6:$A$1005,$C$3))</f>
        <v/>
      </c>
      <c r="AM37" s="116" t="str">
        <f aca="false">IF($B37="","",AL37*الموظفون!$R37/cfg_DAYS_M+S37)</f>
        <v/>
      </c>
      <c r="AN37" s="156" t="str">
        <f aca="false">IF($B37="","",SUMIFS('سجل الإجازات والحالات'!$W$6:$W$505,'سجل الإجازات والحالات'!$B$6:$B$505,$B37))</f>
        <v/>
      </c>
    </row>
    <row r="38" customFormat="false" ht="15" hidden="false" customHeight="false" outlineLevel="0" collapsed="false">
      <c r="A38" s="106" t="str">
        <f aca="false">IF($B38="","",الموظفون!$A38)</f>
        <v/>
      </c>
      <c r="B38" s="114" t="str">
        <f aca="false">IF(الموظفون!$B38="","",الموظفون!$B38)</f>
        <v/>
      </c>
      <c r="C38" s="114" t="str">
        <f aca="false">IF($B38="","",الموظفون!$C38)</f>
        <v/>
      </c>
      <c r="D38" s="114" t="str">
        <f aca="false">IF($B38="","",الموظفون!$F38)</f>
        <v/>
      </c>
      <c r="E38" s="114" t="str">
        <f aca="false">IF($B38="","",الموظفون!$E38)</f>
        <v/>
      </c>
      <c r="F38" s="114" t="str">
        <f aca="false">IF($B38="","",IF(AK38=0,IF(AND(الموظفون!$AE38&lt;&gt;"",الموظفون!$AE38&lt;$E$3),"✖ منتهي الخدمة","⏳ لم يباشر"),IF(S38&gt;0,"✈ راتب إجازة مقدم",IF(J38=0,"⛔ بدون راتب هذا الشهر",IF(I38&gt;0,"✈ خصم "&amp;ROUND(I38,2)&amp;" يوم بدون أجر",IF(AL38&gt;0,"🌴 إجازة سنوية "&amp;ROUND(AL38,2)&amp;" يوم",IF(H38&gt;0,"⚠ غياب "&amp;ROUND(H38,2)&amp;" يوم","✔ على رأس العمل")))))))</f>
        <v/>
      </c>
      <c r="G38" s="151" t="str">
        <f aca="false">IF($B38="","",IF(AK38&gt;=DAY($F$3),cfg_DAYS_M,MIN(AK38,cfg_DAYS_M)))</f>
        <v/>
      </c>
      <c r="H38" s="151" t="str">
        <f aca="false">IF($B38="","",SUMIFS('الحركات الشهرية'!$D$6:$D$1005,'الحركات الشهرية'!$B$6:$B$1005,$B38,'الحركات الشهرية'!$A$6:$A$1005,$C$3))</f>
        <v/>
      </c>
      <c r="I38" s="151" t="str">
        <f aca="false">IF($B38="","",MIN(G38,IF(AND(AK38&gt;0,AN38&gt;=AK38),G38,AN38)+SUMIFS('الحركات الشهرية'!$E$6:$E$1005,'الحركات الشهرية'!$B$6:$B$1005,$B38,'الحركات الشهرية'!$A$6:$A$1005,$C$3)))</f>
        <v/>
      </c>
      <c r="J38" s="151" t="str">
        <f aca="false">IF($B38="","",MAX(0,G38-H38-I38))</f>
        <v/>
      </c>
      <c r="K38" s="111" t="str">
        <f aca="false">IF($B38="","",الموظفون!$L38*$J38/cfg_DAYS_M)</f>
        <v/>
      </c>
      <c r="L38" s="111" t="str">
        <f aca="false">IF($B38="","",الموظفون!$M38*$J38/cfg_DAYS_M)</f>
        <v/>
      </c>
      <c r="M38" s="111" t="str">
        <f aca="false">IF($B38="","",الموظفون!$N38*$J38/cfg_DAYS_M)</f>
        <v/>
      </c>
      <c r="N38" s="111" t="str">
        <f aca="false">IF($B38="","",الموظفون!$O38*$J38/cfg_DAYS_M)</f>
        <v/>
      </c>
      <c r="O38" s="151" t="str">
        <f aca="false">IF($B38="","",SUMIFS('الحركات الشهرية'!$F$6:$F$1005,'الحركات الشهرية'!$B$6:$B$1005,$B38,'الحركات الشهرية'!$A$6:$A$1005,$C$3))</f>
        <v/>
      </c>
      <c r="P38" s="111" t="str">
        <f aca="false">IF($B38="","",O38*(الموظفون!$P38+الموظفون!$L38*cfg_OT_P)/cfg_DAYS_M/cfg_HRS)</f>
        <v/>
      </c>
      <c r="Q38" s="111" t="str">
        <f aca="false">IF($B38="","",SUMIFS('الحركات الشهرية'!$G$6:$G$1005,'الحركات الشهرية'!$B$6:$B$1005,$B38,'الحركات الشهرية'!$A$6:$A$1005,$C$3))</f>
        <v/>
      </c>
      <c r="R38" s="111" t="str">
        <f aca="false">IF($B38="","",SUMIFS('الحركات الشهرية'!$H$6:$H$1005,'الحركات الشهرية'!$B$6:$B$1005,$B38,'الحركات الشهرية'!$A$6:$A$1005,$C$3))</f>
        <v/>
      </c>
      <c r="S38" s="111" t="str">
        <f aca="false">IF($B38="","",SUMIFS('سجل الإجازات والحالات'!$N$6:$N$505,'سجل الإجازات والحالات'!$B$6:$B$505,$B38,'سجل الإجازات والحالات'!$O$6:$O$505,$C$3))</f>
        <v/>
      </c>
      <c r="T38" s="152" t="str">
        <f aca="false">IF($B38="","",SUM(K38:N38)+SUM(P38:S38))</f>
        <v/>
      </c>
      <c r="U38" s="111" t="str">
        <f aca="false">IF($B38="","",الموظفون!$S38*IF(E38="سعودي",cfg_G_SE,cfg_G_NE)*G38/cfg_DAYS_M)</f>
        <v/>
      </c>
      <c r="V38" s="111" t="str">
        <f aca="false">IF($B38="","",SUMIFS('الحركات الشهرية'!$I$6:$I$1005,'الحركات الشهرية'!$B$6:$B$1005,$B38,'الحركات الشهرية'!$A$6:$A$1005,$C$3))</f>
        <v/>
      </c>
      <c r="W38" s="111" t="str">
        <f aca="false">IF($B38="","",SUMIFS('الحركات الشهرية'!$J$6:$J$1005,'الحركات الشهرية'!$B$6:$B$1005,$B38,'الحركات الشهرية'!$A$6:$A$1005,$C$3))</f>
        <v/>
      </c>
      <c r="X38" s="111" t="str">
        <f aca="false">IF($B38="","",SUM(U38:W38))</f>
        <v/>
      </c>
      <c r="Y38" s="153" t="str">
        <f aca="false">IF($B38="","",T38-X38)</f>
        <v/>
      </c>
      <c r="Z38" s="111" t="str">
        <f aca="false">IF($B38="","",الموظفون!$S38*IF(E38="سعودي",cfg_G_SR,cfg_G_NR)*G38/cfg_DAYS_M)</f>
        <v/>
      </c>
      <c r="AA38" s="111" t="str">
        <f aca="false">IF($B38="","",الموظفون!$Q38*(cfg_EOS_R1*(MIN(AH38,cfg_EOS_TH)-MIN(AI38,cfg_EOS_TH))+cfg_EOS_R2*(MAX(AH38-cfg_EOS_TH,0)-MAX(AI38-cfg_EOS_TH,0))))</f>
        <v/>
      </c>
      <c r="AB38" s="111" t="str">
        <f aca="false">IF($B38="","",IF(الموظفون!$T38&lt;&gt;"",الموظفون!$T38,IF(AH38&gt;=cfg_LV_TH,cfg_LV_D2,cfg_LV_D1))/cfg_DAYS_Y*AJ38*الموظفون!$R38/cfg_DAYS_M)</f>
        <v/>
      </c>
      <c r="AC38" s="111" t="str">
        <f aca="false">IF($B38="","",IF(AND(الموظفون!$U38="نعم",N(الموظفون!$W38)&gt;0),الموظفون!$V38/الموظفون!$W38*12/cfg_DAYS_Y*AJ38,0))</f>
        <v/>
      </c>
      <c r="AD38" s="111" t="str">
        <f aca="false">IF($B38="","",(IF(الموظفون!$X38&lt;&gt;"",الموظفون!$X38,IF(الموظفون!$E38="غير سعودي",cfg_IQ,0))+IF(الموظفون!$Y38&lt;&gt;"",الموظفون!$Y38,IF(الموظفون!$E38="غير سعودي",cfg_WP,0)))/12*G38/cfg_DAYS_M)</f>
        <v/>
      </c>
      <c r="AE38" s="111" t="str">
        <f aca="false">IF($B38="","",IF(الموظفون!$Z38&lt;&gt;"",الموظفون!$Z38,cfg_MED)/12*G38/cfg_DAYS_M)</f>
        <v/>
      </c>
      <c r="AF38" s="111" t="str">
        <f aca="false">IF($B38="","",N(الموظفون!$AA38)/12*G38/cfg_DAYS_M)</f>
        <v/>
      </c>
      <c r="AG38" s="154" t="str">
        <f aca="false">IF($B38="","",T38+SUM(Z38:AF38))</f>
        <v/>
      </c>
      <c r="AH38" s="155" t="str">
        <f aca="false">IF($B38="","",MAX(0,IF(OR(الموظفون!$AE38="",الموظفون!$AE38&gt;$F$3),$F$3,الموظفون!$AE38)-الموظفون!$H38+1-SUMIFS('سجل الإجازات والحالات'!$AI$6:$AI$505,'سجل الإجازات والحالات'!$B$6:$B$505,$B38))/cfg_DAYS_Y)</f>
        <v/>
      </c>
      <c r="AI38" s="155" t="str">
        <f aca="false">IF($B38="","",MAX(0,IF(OR(الموظفون!$AE38="",الموظفون!$AE38&gt;($E$3-1)),($E$3-1),الموظفون!$AE38)-الموظفون!$H38+1-SUMIFS('سجل الإجازات والحالات'!$AH$6:$AH$505,'سجل الإجازات والحالات'!$B$6:$B$505,$B38))/cfg_DAYS_Y)</f>
        <v/>
      </c>
      <c r="AJ38" s="65" t="str">
        <f aca="false">IF($B38="","",MAX(0,AK38-(SUMIFS('سجل الإجازات والحالات'!$AI$6:$AI$505,'سجل الإجازات والحالات'!$B$6:$B$505,$B38)-SUMIFS('سجل الإجازات والحالات'!$AH$6:$AH$505,'سجل الإجازات والحالات'!$B$6:$B$505,$B38))))</f>
        <v/>
      </c>
      <c r="AK38" s="65" t="str">
        <f aca="false">IF($B38="","",MAX(0,IF(OR(الموظفون!$AE38="",الموظفون!$AE38&gt;$F$3),$F$3,الموظفون!$AE38)-MAX($E$3,الموظفون!$H38)+1))</f>
        <v/>
      </c>
      <c r="AL38" s="151" t="str">
        <f aca="false">IF($B38="","",SUMIFS('سجل الإجازات والحالات'!$AU$6:$AU$505,'سجل الإجازات والحالات'!$B$6:$B$505,$B38)+SUMIFS('الحركات الشهرية'!$K$6:$K$1005,'الحركات الشهرية'!$B$6:$B$1005,$B38,'الحركات الشهرية'!$A$6:$A$1005,$C$3))</f>
        <v/>
      </c>
      <c r="AM38" s="111" t="str">
        <f aca="false">IF($B38="","",AL38*الموظفون!$R38/cfg_DAYS_M+S38)</f>
        <v/>
      </c>
      <c r="AN38" s="151" t="str">
        <f aca="false">IF($B38="","",SUMIFS('سجل الإجازات والحالات'!$W$6:$W$505,'سجل الإجازات والحالات'!$B$6:$B$505,$B38))</f>
        <v/>
      </c>
    </row>
    <row r="39" customFormat="false" ht="15" hidden="false" customHeight="false" outlineLevel="0" collapsed="false">
      <c r="A39" s="115" t="str">
        <f aca="false">IF($B39="","",الموظفون!$A39)</f>
        <v/>
      </c>
      <c r="B39" s="117" t="str">
        <f aca="false">IF(الموظفون!$B39="","",الموظفون!$B39)</f>
        <v/>
      </c>
      <c r="C39" s="117" t="str">
        <f aca="false">IF($B39="","",الموظفون!$C39)</f>
        <v/>
      </c>
      <c r="D39" s="117" t="str">
        <f aca="false">IF($B39="","",الموظفون!$F39)</f>
        <v/>
      </c>
      <c r="E39" s="117" t="str">
        <f aca="false">IF($B39="","",الموظفون!$E39)</f>
        <v/>
      </c>
      <c r="F39" s="117" t="str">
        <f aca="false">IF($B39="","",IF(AK39=0,IF(AND(الموظفون!$AE39&lt;&gt;"",الموظفون!$AE39&lt;$E$3),"✖ منتهي الخدمة","⏳ لم يباشر"),IF(S39&gt;0,"✈ راتب إجازة مقدم",IF(J39=0,"⛔ بدون راتب هذا الشهر",IF(I39&gt;0,"✈ خصم "&amp;ROUND(I39,2)&amp;" يوم بدون أجر",IF(AL39&gt;0,"🌴 إجازة سنوية "&amp;ROUND(AL39,2)&amp;" يوم",IF(H39&gt;0,"⚠ غياب "&amp;ROUND(H39,2)&amp;" يوم","✔ على رأس العمل")))))))</f>
        <v/>
      </c>
      <c r="G39" s="156" t="str">
        <f aca="false">IF($B39="","",IF(AK39&gt;=DAY($F$3),cfg_DAYS_M,MIN(AK39,cfg_DAYS_M)))</f>
        <v/>
      </c>
      <c r="H39" s="156" t="str">
        <f aca="false">IF($B39="","",SUMIFS('الحركات الشهرية'!$D$6:$D$1005,'الحركات الشهرية'!$B$6:$B$1005,$B39,'الحركات الشهرية'!$A$6:$A$1005,$C$3))</f>
        <v/>
      </c>
      <c r="I39" s="156" t="str">
        <f aca="false">IF($B39="","",MIN(G39,IF(AND(AK39&gt;0,AN39&gt;=AK39),G39,AN39)+SUMIFS('الحركات الشهرية'!$E$6:$E$1005,'الحركات الشهرية'!$B$6:$B$1005,$B39,'الحركات الشهرية'!$A$6:$A$1005,$C$3)))</f>
        <v/>
      </c>
      <c r="J39" s="156" t="str">
        <f aca="false">IF($B39="","",MAX(0,G39-H39-I39))</f>
        <v/>
      </c>
      <c r="K39" s="116" t="str">
        <f aca="false">IF($B39="","",الموظفون!$L39*$J39/cfg_DAYS_M)</f>
        <v/>
      </c>
      <c r="L39" s="116" t="str">
        <f aca="false">IF($B39="","",الموظفون!$M39*$J39/cfg_DAYS_M)</f>
        <v/>
      </c>
      <c r="M39" s="116" t="str">
        <f aca="false">IF($B39="","",الموظفون!$N39*$J39/cfg_DAYS_M)</f>
        <v/>
      </c>
      <c r="N39" s="116" t="str">
        <f aca="false">IF($B39="","",الموظفون!$O39*$J39/cfg_DAYS_M)</f>
        <v/>
      </c>
      <c r="O39" s="156" t="str">
        <f aca="false">IF($B39="","",SUMIFS('الحركات الشهرية'!$F$6:$F$1005,'الحركات الشهرية'!$B$6:$B$1005,$B39,'الحركات الشهرية'!$A$6:$A$1005,$C$3))</f>
        <v/>
      </c>
      <c r="P39" s="116" t="str">
        <f aca="false">IF($B39="","",O39*(الموظفون!$P39+الموظفون!$L39*cfg_OT_P)/cfg_DAYS_M/cfg_HRS)</f>
        <v/>
      </c>
      <c r="Q39" s="116" t="str">
        <f aca="false">IF($B39="","",SUMIFS('الحركات الشهرية'!$G$6:$G$1005,'الحركات الشهرية'!$B$6:$B$1005,$B39,'الحركات الشهرية'!$A$6:$A$1005,$C$3))</f>
        <v/>
      </c>
      <c r="R39" s="116" t="str">
        <f aca="false">IF($B39="","",SUMIFS('الحركات الشهرية'!$H$6:$H$1005,'الحركات الشهرية'!$B$6:$B$1005,$B39,'الحركات الشهرية'!$A$6:$A$1005,$C$3))</f>
        <v/>
      </c>
      <c r="S39" s="116" t="str">
        <f aca="false">IF($B39="","",SUMIFS('سجل الإجازات والحالات'!$N$6:$N$505,'سجل الإجازات والحالات'!$B$6:$B$505,$B39,'سجل الإجازات والحالات'!$O$6:$O$505,$C$3))</f>
        <v/>
      </c>
      <c r="T39" s="157" t="str">
        <f aca="false">IF($B39="","",SUM(K39:N39)+SUM(P39:S39))</f>
        <v/>
      </c>
      <c r="U39" s="116" t="str">
        <f aca="false">IF($B39="","",الموظفون!$S39*IF(E39="سعودي",cfg_G_SE,cfg_G_NE)*G39/cfg_DAYS_M)</f>
        <v/>
      </c>
      <c r="V39" s="116" t="str">
        <f aca="false">IF($B39="","",SUMIFS('الحركات الشهرية'!$I$6:$I$1005,'الحركات الشهرية'!$B$6:$B$1005,$B39,'الحركات الشهرية'!$A$6:$A$1005,$C$3))</f>
        <v/>
      </c>
      <c r="W39" s="116" t="str">
        <f aca="false">IF($B39="","",SUMIFS('الحركات الشهرية'!$J$6:$J$1005,'الحركات الشهرية'!$B$6:$B$1005,$B39,'الحركات الشهرية'!$A$6:$A$1005,$C$3))</f>
        <v/>
      </c>
      <c r="X39" s="116" t="str">
        <f aca="false">IF($B39="","",SUM(U39:W39))</f>
        <v/>
      </c>
      <c r="Y39" s="158" t="str">
        <f aca="false">IF($B39="","",T39-X39)</f>
        <v/>
      </c>
      <c r="Z39" s="116" t="str">
        <f aca="false">IF($B39="","",الموظفون!$S39*IF(E39="سعودي",cfg_G_SR,cfg_G_NR)*G39/cfg_DAYS_M)</f>
        <v/>
      </c>
      <c r="AA39" s="116" t="str">
        <f aca="false">IF($B39="","",الموظفون!$Q39*(cfg_EOS_R1*(MIN(AH39,cfg_EOS_TH)-MIN(AI39,cfg_EOS_TH))+cfg_EOS_R2*(MAX(AH39-cfg_EOS_TH,0)-MAX(AI39-cfg_EOS_TH,0))))</f>
        <v/>
      </c>
      <c r="AB39" s="116" t="str">
        <f aca="false">IF($B39="","",IF(الموظفون!$T39&lt;&gt;"",الموظفون!$T39,IF(AH39&gt;=cfg_LV_TH,cfg_LV_D2,cfg_LV_D1))/cfg_DAYS_Y*AJ39*الموظفون!$R39/cfg_DAYS_M)</f>
        <v/>
      </c>
      <c r="AC39" s="116" t="str">
        <f aca="false">IF($B39="","",IF(AND(الموظفون!$U39="نعم",N(الموظفون!$W39)&gt;0),الموظفون!$V39/الموظفون!$W39*12/cfg_DAYS_Y*AJ39,0))</f>
        <v/>
      </c>
      <c r="AD39" s="116" t="str">
        <f aca="false">IF($B39="","",(IF(الموظفون!$X39&lt;&gt;"",الموظفون!$X39,IF(الموظفون!$E39="غير سعودي",cfg_IQ,0))+IF(الموظفون!$Y39&lt;&gt;"",الموظفون!$Y39,IF(الموظفون!$E39="غير سعودي",cfg_WP,0)))/12*G39/cfg_DAYS_M)</f>
        <v/>
      </c>
      <c r="AE39" s="116" t="str">
        <f aca="false">IF($B39="","",IF(الموظفون!$Z39&lt;&gt;"",الموظفون!$Z39,cfg_MED)/12*G39/cfg_DAYS_M)</f>
        <v/>
      </c>
      <c r="AF39" s="116" t="str">
        <f aca="false">IF($B39="","",N(الموظفون!$AA39)/12*G39/cfg_DAYS_M)</f>
        <v/>
      </c>
      <c r="AG39" s="159" t="str">
        <f aca="false">IF($B39="","",T39+SUM(Z39:AF39))</f>
        <v/>
      </c>
      <c r="AH39" s="160" t="str">
        <f aca="false">IF($B39="","",MAX(0,IF(OR(الموظفون!$AE39="",الموظفون!$AE39&gt;$F$3),$F$3,الموظفون!$AE39)-الموظفون!$H39+1-SUMIFS('سجل الإجازات والحالات'!$AI$6:$AI$505,'سجل الإجازات والحالات'!$B$6:$B$505,$B39))/cfg_DAYS_Y)</f>
        <v/>
      </c>
      <c r="AI39" s="160" t="str">
        <f aca="false">IF($B39="","",MAX(0,IF(OR(الموظفون!$AE39="",الموظفون!$AE39&gt;($E$3-1)),($E$3-1),الموظفون!$AE39)-الموظفون!$H39+1-SUMIFS('سجل الإجازات والحالات'!$AH$6:$AH$505,'سجل الإجازات والحالات'!$B$6:$B$505,$B39))/cfg_DAYS_Y)</f>
        <v/>
      </c>
      <c r="AJ39" s="133" t="str">
        <f aca="false">IF($B39="","",MAX(0,AK39-(SUMIFS('سجل الإجازات والحالات'!$AI$6:$AI$505,'سجل الإجازات والحالات'!$B$6:$B$505,$B39)-SUMIFS('سجل الإجازات والحالات'!$AH$6:$AH$505,'سجل الإجازات والحالات'!$B$6:$B$505,$B39))))</f>
        <v/>
      </c>
      <c r="AK39" s="133" t="str">
        <f aca="false">IF($B39="","",MAX(0,IF(OR(الموظفون!$AE39="",الموظفون!$AE39&gt;$F$3),$F$3,الموظفون!$AE39)-MAX($E$3,الموظفون!$H39)+1))</f>
        <v/>
      </c>
      <c r="AL39" s="156" t="str">
        <f aca="false">IF($B39="","",SUMIFS('سجل الإجازات والحالات'!$AU$6:$AU$505,'سجل الإجازات والحالات'!$B$6:$B$505,$B39)+SUMIFS('الحركات الشهرية'!$K$6:$K$1005,'الحركات الشهرية'!$B$6:$B$1005,$B39,'الحركات الشهرية'!$A$6:$A$1005,$C$3))</f>
        <v/>
      </c>
      <c r="AM39" s="116" t="str">
        <f aca="false">IF($B39="","",AL39*الموظفون!$R39/cfg_DAYS_M+S39)</f>
        <v/>
      </c>
      <c r="AN39" s="156" t="str">
        <f aca="false">IF($B39="","",SUMIFS('سجل الإجازات والحالات'!$W$6:$W$505,'سجل الإجازات والحالات'!$B$6:$B$505,$B39))</f>
        <v/>
      </c>
    </row>
    <row r="40" customFormat="false" ht="15" hidden="false" customHeight="false" outlineLevel="0" collapsed="false">
      <c r="A40" s="106" t="str">
        <f aca="false">IF($B40="","",الموظفون!$A40)</f>
        <v/>
      </c>
      <c r="B40" s="114" t="str">
        <f aca="false">IF(الموظفون!$B40="","",الموظفون!$B40)</f>
        <v/>
      </c>
      <c r="C40" s="114" t="str">
        <f aca="false">IF($B40="","",الموظفون!$C40)</f>
        <v/>
      </c>
      <c r="D40" s="114" t="str">
        <f aca="false">IF($B40="","",الموظفون!$F40)</f>
        <v/>
      </c>
      <c r="E40" s="114" t="str">
        <f aca="false">IF($B40="","",الموظفون!$E40)</f>
        <v/>
      </c>
      <c r="F40" s="114" t="str">
        <f aca="false">IF($B40="","",IF(AK40=0,IF(AND(الموظفون!$AE40&lt;&gt;"",الموظفون!$AE40&lt;$E$3),"✖ منتهي الخدمة","⏳ لم يباشر"),IF(S40&gt;0,"✈ راتب إجازة مقدم",IF(J40=0,"⛔ بدون راتب هذا الشهر",IF(I40&gt;0,"✈ خصم "&amp;ROUND(I40,2)&amp;" يوم بدون أجر",IF(AL40&gt;0,"🌴 إجازة سنوية "&amp;ROUND(AL40,2)&amp;" يوم",IF(H40&gt;0,"⚠ غياب "&amp;ROUND(H40,2)&amp;" يوم","✔ على رأس العمل")))))))</f>
        <v/>
      </c>
      <c r="G40" s="151" t="str">
        <f aca="false">IF($B40="","",IF(AK40&gt;=DAY($F$3),cfg_DAYS_M,MIN(AK40,cfg_DAYS_M)))</f>
        <v/>
      </c>
      <c r="H40" s="151" t="str">
        <f aca="false">IF($B40="","",SUMIFS('الحركات الشهرية'!$D$6:$D$1005,'الحركات الشهرية'!$B$6:$B$1005,$B40,'الحركات الشهرية'!$A$6:$A$1005,$C$3))</f>
        <v/>
      </c>
      <c r="I40" s="151" t="str">
        <f aca="false">IF($B40="","",MIN(G40,IF(AND(AK40&gt;0,AN40&gt;=AK40),G40,AN40)+SUMIFS('الحركات الشهرية'!$E$6:$E$1005,'الحركات الشهرية'!$B$6:$B$1005,$B40,'الحركات الشهرية'!$A$6:$A$1005,$C$3)))</f>
        <v/>
      </c>
      <c r="J40" s="151" t="str">
        <f aca="false">IF($B40="","",MAX(0,G40-H40-I40))</f>
        <v/>
      </c>
      <c r="K40" s="111" t="str">
        <f aca="false">IF($B40="","",الموظفون!$L40*$J40/cfg_DAYS_M)</f>
        <v/>
      </c>
      <c r="L40" s="111" t="str">
        <f aca="false">IF($B40="","",الموظفون!$M40*$J40/cfg_DAYS_M)</f>
        <v/>
      </c>
      <c r="M40" s="111" t="str">
        <f aca="false">IF($B40="","",الموظفون!$N40*$J40/cfg_DAYS_M)</f>
        <v/>
      </c>
      <c r="N40" s="111" t="str">
        <f aca="false">IF($B40="","",الموظفون!$O40*$J40/cfg_DAYS_M)</f>
        <v/>
      </c>
      <c r="O40" s="151" t="str">
        <f aca="false">IF($B40="","",SUMIFS('الحركات الشهرية'!$F$6:$F$1005,'الحركات الشهرية'!$B$6:$B$1005,$B40,'الحركات الشهرية'!$A$6:$A$1005,$C$3))</f>
        <v/>
      </c>
      <c r="P40" s="111" t="str">
        <f aca="false">IF($B40="","",O40*(الموظفون!$P40+الموظفون!$L40*cfg_OT_P)/cfg_DAYS_M/cfg_HRS)</f>
        <v/>
      </c>
      <c r="Q40" s="111" t="str">
        <f aca="false">IF($B40="","",SUMIFS('الحركات الشهرية'!$G$6:$G$1005,'الحركات الشهرية'!$B$6:$B$1005,$B40,'الحركات الشهرية'!$A$6:$A$1005,$C$3))</f>
        <v/>
      </c>
      <c r="R40" s="111" t="str">
        <f aca="false">IF($B40="","",SUMIFS('الحركات الشهرية'!$H$6:$H$1005,'الحركات الشهرية'!$B$6:$B$1005,$B40,'الحركات الشهرية'!$A$6:$A$1005,$C$3))</f>
        <v/>
      </c>
      <c r="S40" s="111" t="str">
        <f aca="false">IF($B40="","",SUMIFS('سجل الإجازات والحالات'!$N$6:$N$505,'سجل الإجازات والحالات'!$B$6:$B$505,$B40,'سجل الإجازات والحالات'!$O$6:$O$505,$C$3))</f>
        <v/>
      </c>
      <c r="T40" s="152" t="str">
        <f aca="false">IF($B40="","",SUM(K40:N40)+SUM(P40:S40))</f>
        <v/>
      </c>
      <c r="U40" s="111" t="str">
        <f aca="false">IF($B40="","",الموظفون!$S40*IF(E40="سعودي",cfg_G_SE,cfg_G_NE)*G40/cfg_DAYS_M)</f>
        <v/>
      </c>
      <c r="V40" s="111" t="str">
        <f aca="false">IF($B40="","",SUMIFS('الحركات الشهرية'!$I$6:$I$1005,'الحركات الشهرية'!$B$6:$B$1005,$B40,'الحركات الشهرية'!$A$6:$A$1005,$C$3))</f>
        <v/>
      </c>
      <c r="W40" s="111" t="str">
        <f aca="false">IF($B40="","",SUMIFS('الحركات الشهرية'!$J$6:$J$1005,'الحركات الشهرية'!$B$6:$B$1005,$B40,'الحركات الشهرية'!$A$6:$A$1005,$C$3))</f>
        <v/>
      </c>
      <c r="X40" s="111" t="str">
        <f aca="false">IF($B40="","",SUM(U40:W40))</f>
        <v/>
      </c>
      <c r="Y40" s="153" t="str">
        <f aca="false">IF($B40="","",T40-X40)</f>
        <v/>
      </c>
      <c r="Z40" s="111" t="str">
        <f aca="false">IF($B40="","",الموظفون!$S40*IF(E40="سعودي",cfg_G_SR,cfg_G_NR)*G40/cfg_DAYS_M)</f>
        <v/>
      </c>
      <c r="AA40" s="111" t="str">
        <f aca="false">IF($B40="","",الموظفون!$Q40*(cfg_EOS_R1*(MIN(AH40,cfg_EOS_TH)-MIN(AI40,cfg_EOS_TH))+cfg_EOS_R2*(MAX(AH40-cfg_EOS_TH,0)-MAX(AI40-cfg_EOS_TH,0))))</f>
        <v/>
      </c>
      <c r="AB40" s="111" t="str">
        <f aca="false">IF($B40="","",IF(الموظفون!$T40&lt;&gt;"",الموظفون!$T40,IF(AH40&gt;=cfg_LV_TH,cfg_LV_D2,cfg_LV_D1))/cfg_DAYS_Y*AJ40*الموظفون!$R40/cfg_DAYS_M)</f>
        <v/>
      </c>
      <c r="AC40" s="111" t="str">
        <f aca="false">IF($B40="","",IF(AND(الموظفون!$U40="نعم",N(الموظفون!$W40)&gt;0),الموظفون!$V40/الموظفون!$W40*12/cfg_DAYS_Y*AJ40,0))</f>
        <v/>
      </c>
      <c r="AD40" s="111" t="str">
        <f aca="false">IF($B40="","",(IF(الموظفون!$X40&lt;&gt;"",الموظفون!$X40,IF(الموظفون!$E40="غير سعودي",cfg_IQ,0))+IF(الموظفون!$Y40&lt;&gt;"",الموظفون!$Y40,IF(الموظفون!$E40="غير سعودي",cfg_WP,0)))/12*G40/cfg_DAYS_M)</f>
        <v/>
      </c>
      <c r="AE40" s="111" t="str">
        <f aca="false">IF($B40="","",IF(الموظفون!$Z40&lt;&gt;"",الموظفون!$Z40,cfg_MED)/12*G40/cfg_DAYS_M)</f>
        <v/>
      </c>
      <c r="AF40" s="111" t="str">
        <f aca="false">IF($B40="","",N(الموظفون!$AA40)/12*G40/cfg_DAYS_M)</f>
        <v/>
      </c>
      <c r="AG40" s="154" t="str">
        <f aca="false">IF($B40="","",T40+SUM(Z40:AF40))</f>
        <v/>
      </c>
      <c r="AH40" s="155" t="str">
        <f aca="false">IF($B40="","",MAX(0,IF(OR(الموظفون!$AE40="",الموظفون!$AE40&gt;$F$3),$F$3,الموظفون!$AE40)-الموظفون!$H40+1-SUMIFS('سجل الإجازات والحالات'!$AI$6:$AI$505,'سجل الإجازات والحالات'!$B$6:$B$505,$B40))/cfg_DAYS_Y)</f>
        <v/>
      </c>
      <c r="AI40" s="155" t="str">
        <f aca="false">IF($B40="","",MAX(0,IF(OR(الموظفون!$AE40="",الموظفون!$AE40&gt;($E$3-1)),($E$3-1),الموظفون!$AE40)-الموظفون!$H40+1-SUMIFS('سجل الإجازات والحالات'!$AH$6:$AH$505,'سجل الإجازات والحالات'!$B$6:$B$505,$B40))/cfg_DAYS_Y)</f>
        <v/>
      </c>
      <c r="AJ40" s="65" t="str">
        <f aca="false">IF($B40="","",MAX(0,AK40-(SUMIFS('سجل الإجازات والحالات'!$AI$6:$AI$505,'سجل الإجازات والحالات'!$B$6:$B$505,$B40)-SUMIFS('سجل الإجازات والحالات'!$AH$6:$AH$505,'سجل الإجازات والحالات'!$B$6:$B$505,$B40))))</f>
        <v/>
      </c>
      <c r="AK40" s="65" t="str">
        <f aca="false">IF($B40="","",MAX(0,IF(OR(الموظفون!$AE40="",الموظفون!$AE40&gt;$F$3),$F$3,الموظفون!$AE40)-MAX($E$3,الموظفون!$H40)+1))</f>
        <v/>
      </c>
      <c r="AL40" s="151" t="str">
        <f aca="false">IF($B40="","",SUMIFS('سجل الإجازات والحالات'!$AU$6:$AU$505,'سجل الإجازات والحالات'!$B$6:$B$505,$B40)+SUMIFS('الحركات الشهرية'!$K$6:$K$1005,'الحركات الشهرية'!$B$6:$B$1005,$B40,'الحركات الشهرية'!$A$6:$A$1005,$C$3))</f>
        <v/>
      </c>
      <c r="AM40" s="111" t="str">
        <f aca="false">IF($B40="","",AL40*الموظفون!$R40/cfg_DAYS_M+S40)</f>
        <v/>
      </c>
      <c r="AN40" s="151" t="str">
        <f aca="false">IF($B40="","",SUMIFS('سجل الإجازات والحالات'!$W$6:$W$505,'سجل الإجازات والحالات'!$B$6:$B$505,$B40))</f>
        <v/>
      </c>
    </row>
    <row r="41" customFormat="false" ht="15" hidden="false" customHeight="false" outlineLevel="0" collapsed="false">
      <c r="A41" s="115" t="str">
        <f aca="false">IF($B41="","",الموظفون!$A41)</f>
        <v/>
      </c>
      <c r="B41" s="117" t="str">
        <f aca="false">IF(الموظفون!$B41="","",الموظفون!$B41)</f>
        <v/>
      </c>
      <c r="C41" s="117" t="str">
        <f aca="false">IF($B41="","",الموظفون!$C41)</f>
        <v/>
      </c>
      <c r="D41" s="117" t="str">
        <f aca="false">IF($B41="","",الموظفون!$F41)</f>
        <v/>
      </c>
      <c r="E41" s="117" t="str">
        <f aca="false">IF($B41="","",الموظفون!$E41)</f>
        <v/>
      </c>
      <c r="F41" s="117" t="str">
        <f aca="false">IF($B41="","",IF(AK41=0,IF(AND(الموظفون!$AE41&lt;&gt;"",الموظفون!$AE41&lt;$E$3),"✖ منتهي الخدمة","⏳ لم يباشر"),IF(S41&gt;0,"✈ راتب إجازة مقدم",IF(J41=0,"⛔ بدون راتب هذا الشهر",IF(I41&gt;0,"✈ خصم "&amp;ROUND(I41,2)&amp;" يوم بدون أجر",IF(AL41&gt;0,"🌴 إجازة سنوية "&amp;ROUND(AL41,2)&amp;" يوم",IF(H41&gt;0,"⚠ غياب "&amp;ROUND(H41,2)&amp;" يوم","✔ على رأس العمل")))))))</f>
        <v/>
      </c>
      <c r="G41" s="156" t="str">
        <f aca="false">IF($B41="","",IF(AK41&gt;=DAY($F$3),cfg_DAYS_M,MIN(AK41,cfg_DAYS_M)))</f>
        <v/>
      </c>
      <c r="H41" s="156" t="str">
        <f aca="false">IF($B41="","",SUMIFS('الحركات الشهرية'!$D$6:$D$1005,'الحركات الشهرية'!$B$6:$B$1005,$B41,'الحركات الشهرية'!$A$6:$A$1005,$C$3))</f>
        <v/>
      </c>
      <c r="I41" s="156" t="str">
        <f aca="false">IF($B41="","",MIN(G41,IF(AND(AK41&gt;0,AN41&gt;=AK41),G41,AN41)+SUMIFS('الحركات الشهرية'!$E$6:$E$1005,'الحركات الشهرية'!$B$6:$B$1005,$B41,'الحركات الشهرية'!$A$6:$A$1005,$C$3)))</f>
        <v/>
      </c>
      <c r="J41" s="156" t="str">
        <f aca="false">IF($B41="","",MAX(0,G41-H41-I41))</f>
        <v/>
      </c>
      <c r="K41" s="116" t="str">
        <f aca="false">IF($B41="","",الموظفون!$L41*$J41/cfg_DAYS_M)</f>
        <v/>
      </c>
      <c r="L41" s="116" t="str">
        <f aca="false">IF($B41="","",الموظفون!$M41*$J41/cfg_DAYS_M)</f>
        <v/>
      </c>
      <c r="M41" s="116" t="str">
        <f aca="false">IF($B41="","",الموظفون!$N41*$J41/cfg_DAYS_M)</f>
        <v/>
      </c>
      <c r="N41" s="116" t="str">
        <f aca="false">IF($B41="","",الموظفون!$O41*$J41/cfg_DAYS_M)</f>
        <v/>
      </c>
      <c r="O41" s="156" t="str">
        <f aca="false">IF($B41="","",SUMIFS('الحركات الشهرية'!$F$6:$F$1005,'الحركات الشهرية'!$B$6:$B$1005,$B41,'الحركات الشهرية'!$A$6:$A$1005,$C$3))</f>
        <v/>
      </c>
      <c r="P41" s="116" t="str">
        <f aca="false">IF($B41="","",O41*(الموظفون!$P41+الموظفون!$L41*cfg_OT_P)/cfg_DAYS_M/cfg_HRS)</f>
        <v/>
      </c>
      <c r="Q41" s="116" t="str">
        <f aca="false">IF($B41="","",SUMIFS('الحركات الشهرية'!$G$6:$G$1005,'الحركات الشهرية'!$B$6:$B$1005,$B41,'الحركات الشهرية'!$A$6:$A$1005,$C$3))</f>
        <v/>
      </c>
      <c r="R41" s="116" t="str">
        <f aca="false">IF($B41="","",SUMIFS('الحركات الشهرية'!$H$6:$H$1005,'الحركات الشهرية'!$B$6:$B$1005,$B41,'الحركات الشهرية'!$A$6:$A$1005,$C$3))</f>
        <v/>
      </c>
      <c r="S41" s="116" t="str">
        <f aca="false">IF($B41="","",SUMIFS('سجل الإجازات والحالات'!$N$6:$N$505,'سجل الإجازات والحالات'!$B$6:$B$505,$B41,'سجل الإجازات والحالات'!$O$6:$O$505,$C$3))</f>
        <v/>
      </c>
      <c r="T41" s="157" t="str">
        <f aca="false">IF($B41="","",SUM(K41:N41)+SUM(P41:S41))</f>
        <v/>
      </c>
      <c r="U41" s="116" t="str">
        <f aca="false">IF($B41="","",الموظفون!$S41*IF(E41="سعودي",cfg_G_SE,cfg_G_NE)*G41/cfg_DAYS_M)</f>
        <v/>
      </c>
      <c r="V41" s="116" t="str">
        <f aca="false">IF($B41="","",SUMIFS('الحركات الشهرية'!$I$6:$I$1005,'الحركات الشهرية'!$B$6:$B$1005,$B41,'الحركات الشهرية'!$A$6:$A$1005,$C$3))</f>
        <v/>
      </c>
      <c r="W41" s="116" t="str">
        <f aca="false">IF($B41="","",SUMIFS('الحركات الشهرية'!$J$6:$J$1005,'الحركات الشهرية'!$B$6:$B$1005,$B41,'الحركات الشهرية'!$A$6:$A$1005,$C$3))</f>
        <v/>
      </c>
      <c r="X41" s="116" t="str">
        <f aca="false">IF($B41="","",SUM(U41:W41))</f>
        <v/>
      </c>
      <c r="Y41" s="158" t="str">
        <f aca="false">IF($B41="","",T41-X41)</f>
        <v/>
      </c>
      <c r="Z41" s="116" t="str">
        <f aca="false">IF($B41="","",الموظفون!$S41*IF(E41="سعودي",cfg_G_SR,cfg_G_NR)*G41/cfg_DAYS_M)</f>
        <v/>
      </c>
      <c r="AA41" s="116" t="str">
        <f aca="false">IF($B41="","",الموظفون!$Q41*(cfg_EOS_R1*(MIN(AH41,cfg_EOS_TH)-MIN(AI41,cfg_EOS_TH))+cfg_EOS_R2*(MAX(AH41-cfg_EOS_TH,0)-MAX(AI41-cfg_EOS_TH,0))))</f>
        <v/>
      </c>
      <c r="AB41" s="116" t="str">
        <f aca="false">IF($B41="","",IF(الموظفون!$T41&lt;&gt;"",الموظفون!$T41,IF(AH41&gt;=cfg_LV_TH,cfg_LV_D2,cfg_LV_D1))/cfg_DAYS_Y*AJ41*الموظفون!$R41/cfg_DAYS_M)</f>
        <v/>
      </c>
      <c r="AC41" s="116" t="str">
        <f aca="false">IF($B41="","",IF(AND(الموظفون!$U41="نعم",N(الموظفون!$W41)&gt;0),الموظفون!$V41/الموظفون!$W41*12/cfg_DAYS_Y*AJ41,0))</f>
        <v/>
      </c>
      <c r="AD41" s="116" t="str">
        <f aca="false">IF($B41="","",(IF(الموظفون!$X41&lt;&gt;"",الموظفون!$X41,IF(الموظفون!$E41="غير سعودي",cfg_IQ,0))+IF(الموظفون!$Y41&lt;&gt;"",الموظفون!$Y41,IF(الموظفون!$E41="غير سعودي",cfg_WP,0)))/12*G41/cfg_DAYS_M)</f>
        <v/>
      </c>
      <c r="AE41" s="116" t="str">
        <f aca="false">IF($B41="","",IF(الموظفون!$Z41&lt;&gt;"",الموظفون!$Z41,cfg_MED)/12*G41/cfg_DAYS_M)</f>
        <v/>
      </c>
      <c r="AF41" s="116" t="str">
        <f aca="false">IF($B41="","",N(الموظفون!$AA41)/12*G41/cfg_DAYS_M)</f>
        <v/>
      </c>
      <c r="AG41" s="159" t="str">
        <f aca="false">IF($B41="","",T41+SUM(Z41:AF41))</f>
        <v/>
      </c>
      <c r="AH41" s="160" t="str">
        <f aca="false">IF($B41="","",MAX(0,IF(OR(الموظفون!$AE41="",الموظفون!$AE41&gt;$F$3),$F$3,الموظفون!$AE41)-الموظفون!$H41+1-SUMIFS('سجل الإجازات والحالات'!$AI$6:$AI$505,'سجل الإجازات والحالات'!$B$6:$B$505,$B41))/cfg_DAYS_Y)</f>
        <v/>
      </c>
      <c r="AI41" s="160" t="str">
        <f aca="false">IF($B41="","",MAX(0,IF(OR(الموظفون!$AE41="",الموظفون!$AE41&gt;($E$3-1)),($E$3-1),الموظفون!$AE41)-الموظفون!$H41+1-SUMIFS('سجل الإجازات والحالات'!$AH$6:$AH$505,'سجل الإجازات والحالات'!$B$6:$B$505,$B41))/cfg_DAYS_Y)</f>
        <v/>
      </c>
      <c r="AJ41" s="133" t="str">
        <f aca="false">IF($B41="","",MAX(0,AK41-(SUMIFS('سجل الإجازات والحالات'!$AI$6:$AI$505,'سجل الإجازات والحالات'!$B$6:$B$505,$B41)-SUMIFS('سجل الإجازات والحالات'!$AH$6:$AH$505,'سجل الإجازات والحالات'!$B$6:$B$505,$B41))))</f>
        <v/>
      </c>
      <c r="AK41" s="133" t="str">
        <f aca="false">IF($B41="","",MAX(0,IF(OR(الموظفون!$AE41="",الموظفون!$AE41&gt;$F$3),$F$3,الموظفون!$AE41)-MAX($E$3,الموظفون!$H41)+1))</f>
        <v/>
      </c>
      <c r="AL41" s="156" t="str">
        <f aca="false">IF($B41="","",SUMIFS('سجل الإجازات والحالات'!$AU$6:$AU$505,'سجل الإجازات والحالات'!$B$6:$B$505,$B41)+SUMIFS('الحركات الشهرية'!$K$6:$K$1005,'الحركات الشهرية'!$B$6:$B$1005,$B41,'الحركات الشهرية'!$A$6:$A$1005,$C$3))</f>
        <v/>
      </c>
      <c r="AM41" s="116" t="str">
        <f aca="false">IF($B41="","",AL41*الموظفون!$R41/cfg_DAYS_M+S41)</f>
        <v/>
      </c>
      <c r="AN41" s="156" t="str">
        <f aca="false">IF($B41="","",SUMIFS('سجل الإجازات والحالات'!$W$6:$W$505,'سجل الإجازات والحالات'!$B$6:$B$505,$B41))</f>
        <v/>
      </c>
    </row>
    <row r="42" customFormat="false" ht="15" hidden="false" customHeight="false" outlineLevel="0" collapsed="false">
      <c r="A42" s="106" t="str">
        <f aca="false">IF($B42="","",الموظفون!$A42)</f>
        <v/>
      </c>
      <c r="B42" s="114" t="str">
        <f aca="false">IF(الموظفون!$B42="","",الموظفون!$B42)</f>
        <v/>
      </c>
      <c r="C42" s="114" t="str">
        <f aca="false">IF($B42="","",الموظفون!$C42)</f>
        <v/>
      </c>
      <c r="D42" s="114" t="str">
        <f aca="false">IF($B42="","",الموظفون!$F42)</f>
        <v/>
      </c>
      <c r="E42" s="114" t="str">
        <f aca="false">IF($B42="","",الموظفون!$E42)</f>
        <v/>
      </c>
      <c r="F42" s="114" t="str">
        <f aca="false">IF($B42="","",IF(AK42=0,IF(AND(الموظفون!$AE42&lt;&gt;"",الموظفون!$AE42&lt;$E$3),"✖ منتهي الخدمة","⏳ لم يباشر"),IF(S42&gt;0,"✈ راتب إجازة مقدم",IF(J42=0,"⛔ بدون راتب هذا الشهر",IF(I42&gt;0,"✈ خصم "&amp;ROUND(I42,2)&amp;" يوم بدون أجر",IF(AL42&gt;0,"🌴 إجازة سنوية "&amp;ROUND(AL42,2)&amp;" يوم",IF(H42&gt;0,"⚠ غياب "&amp;ROUND(H42,2)&amp;" يوم","✔ على رأس العمل")))))))</f>
        <v/>
      </c>
      <c r="G42" s="151" t="str">
        <f aca="false">IF($B42="","",IF(AK42&gt;=DAY($F$3),cfg_DAYS_M,MIN(AK42,cfg_DAYS_M)))</f>
        <v/>
      </c>
      <c r="H42" s="151" t="str">
        <f aca="false">IF($B42="","",SUMIFS('الحركات الشهرية'!$D$6:$D$1005,'الحركات الشهرية'!$B$6:$B$1005,$B42,'الحركات الشهرية'!$A$6:$A$1005,$C$3))</f>
        <v/>
      </c>
      <c r="I42" s="151" t="str">
        <f aca="false">IF($B42="","",MIN(G42,IF(AND(AK42&gt;0,AN42&gt;=AK42),G42,AN42)+SUMIFS('الحركات الشهرية'!$E$6:$E$1005,'الحركات الشهرية'!$B$6:$B$1005,$B42,'الحركات الشهرية'!$A$6:$A$1005,$C$3)))</f>
        <v/>
      </c>
      <c r="J42" s="151" t="str">
        <f aca="false">IF($B42="","",MAX(0,G42-H42-I42))</f>
        <v/>
      </c>
      <c r="K42" s="111" t="str">
        <f aca="false">IF($B42="","",الموظفون!$L42*$J42/cfg_DAYS_M)</f>
        <v/>
      </c>
      <c r="L42" s="111" t="str">
        <f aca="false">IF($B42="","",الموظفون!$M42*$J42/cfg_DAYS_M)</f>
        <v/>
      </c>
      <c r="M42" s="111" t="str">
        <f aca="false">IF($B42="","",الموظفون!$N42*$J42/cfg_DAYS_M)</f>
        <v/>
      </c>
      <c r="N42" s="111" t="str">
        <f aca="false">IF($B42="","",الموظفون!$O42*$J42/cfg_DAYS_M)</f>
        <v/>
      </c>
      <c r="O42" s="151" t="str">
        <f aca="false">IF($B42="","",SUMIFS('الحركات الشهرية'!$F$6:$F$1005,'الحركات الشهرية'!$B$6:$B$1005,$B42,'الحركات الشهرية'!$A$6:$A$1005,$C$3))</f>
        <v/>
      </c>
      <c r="P42" s="111" t="str">
        <f aca="false">IF($B42="","",O42*(الموظفون!$P42+الموظفون!$L42*cfg_OT_P)/cfg_DAYS_M/cfg_HRS)</f>
        <v/>
      </c>
      <c r="Q42" s="111" t="str">
        <f aca="false">IF($B42="","",SUMIFS('الحركات الشهرية'!$G$6:$G$1005,'الحركات الشهرية'!$B$6:$B$1005,$B42,'الحركات الشهرية'!$A$6:$A$1005,$C$3))</f>
        <v/>
      </c>
      <c r="R42" s="111" t="str">
        <f aca="false">IF($B42="","",SUMIFS('الحركات الشهرية'!$H$6:$H$1005,'الحركات الشهرية'!$B$6:$B$1005,$B42,'الحركات الشهرية'!$A$6:$A$1005,$C$3))</f>
        <v/>
      </c>
      <c r="S42" s="111" t="str">
        <f aca="false">IF($B42="","",SUMIFS('سجل الإجازات والحالات'!$N$6:$N$505,'سجل الإجازات والحالات'!$B$6:$B$505,$B42,'سجل الإجازات والحالات'!$O$6:$O$505,$C$3))</f>
        <v/>
      </c>
      <c r="T42" s="152" t="str">
        <f aca="false">IF($B42="","",SUM(K42:N42)+SUM(P42:S42))</f>
        <v/>
      </c>
      <c r="U42" s="111" t="str">
        <f aca="false">IF($B42="","",الموظفون!$S42*IF(E42="سعودي",cfg_G_SE,cfg_G_NE)*G42/cfg_DAYS_M)</f>
        <v/>
      </c>
      <c r="V42" s="111" t="str">
        <f aca="false">IF($B42="","",SUMIFS('الحركات الشهرية'!$I$6:$I$1005,'الحركات الشهرية'!$B$6:$B$1005,$B42,'الحركات الشهرية'!$A$6:$A$1005,$C$3))</f>
        <v/>
      </c>
      <c r="W42" s="111" t="str">
        <f aca="false">IF($B42="","",SUMIFS('الحركات الشهرية'!$J$6:$J$1005,'الحركات الشهرية'!$B$6:$B$1005,$B42,'الحركات الشهرية'!$A$6:$A$1005,$C$3))</f>
        <v/>
      </c>
      <c r="X42" s="111" t="str">
        <f aca="false">IF($B42="","",SUM(U42:W42))</f>
        <v/>
      </c>
      <c r="Y42" s="153" t="str">
        <f aca="false">IF($B42="","",T42-X42)</f>
        <v/>
      </c>
      <c r="Z42" s="111" t="str">
        <f aca="false">IF($B42="","",الموظفون!$S42*IF(E42="سعودي",cfg_G_SR,cfg_G_NR)*G42/cfg_DAYS_M)</f>
        <v/>
      </c>
      <c r="AA42" s="111" t="str">
        <f aca="false">IF($B42="","",الموظفون!$Q42*(cfg_EOS_R1*(MIN(AH42,cfg_EOS_TH)-MIN(AI42,cfg_EOS_TH))+cfg_EOS_R2*(MAX(AH42-cfg_EOS_TH,0)-MAX(AI42-cfg_EOS_TH,0))))</f>
        <v/>
      </c>
      <c r="AB42" s="111" t="str">
        <f aca="false">IF($B42="","",IF(الموظفون!$T42&lt;&gt;"",الموظفون!$T42,IF(AH42&gt;=cfg_LV_TH,cfg_LV_D2,cfg_LV_D1))/cfg_DAYS_Y*AJ42*الموظفون!$R42/cfg_DAYS_M)</f>
        <v/>
      </c>
      <c r="AC42" s="111" t="str">
        <f aca="false">IF($B42="","",IF(AND(الموظفون!$U42="نعم",N(الموظفون!$W42)&gt;0),الموظفون!$V42/الموظفون!$W42*12/cfg_DAYS_Y*AJ42,0))</f>
        <v/>
      </c>
      <c r="AD42" s="111" t="str">
        <f aca="false">IF($B42="","",(IF(الموظفون!$X42&lt;&gt;"",الموظفون!$X42,IF(الموظفون!$E42="غير سعودي",cfg_IQ,0))+IF(الموظفون!$Y42&lt;&gt;"",الموظفون!$Y42,IF(الموظفون!$E42="غير سعودي",cfg_WP,0)))/12*G42/cfg_DAYS_M)</f>
        <v/>
      </c>
      <c r="AE42" s="111" t="str">
        <f aca="false">IF($B42="","",IF(الموظفون!$Z42&lt;&gt;"",الموظفون!$Z42,cfg_MED)/12*G42/cfg_DAYS_M)</f>
        <v/>
      </c>
      <c r="AF42" s="111" t="str">
        <f aca="false">IF($B42="","",N(الموظفون!$AA42)/12*G42/cfg_DAYS_M)</f>
        <v/>
      </c>
      <c r="AG42" s="154" t="str">
        <f aca="false">IF($B42="","",T42+SUM(Z42:AF42))</f>
        <v/>
      </c>
      <c r="AH42" s="155" t="str">
        <f aca="false">IF($B42="","",MAX(0,IF(OR(الموظفون!$AE42="",الموظفون!$AE42&gt;$F$3),$F$3,الموظفون!$AE42)-الموظفون!$H42+1-SUMIFS('سجل الإجازات والحالات'!$AI$6:$AI$505,'سجل الإجازات والحالات'!$B$6:$B$505,$B42))/cfg_DAYS_Y)</f>
        <v/>
      </c>
      <c r="AI42" s="155" t="str">
        <f aca="false">IF($B42="","",MAX(0,IF(OR(الموظفون!$AE42="",الموظفون!$AE42&gt;($E$3-1)),($E$3-1),الموظفون!$AE42)-الموظفون!$H42+1-SUMIFS('سجل الإجازات والحالات'!$AH$6:$AH$505,'سجل الإجازات والحالات'!$B$6:$B$505,$B42))/cfg_DAYS_Y)</f>
        <v/>
      </c>
      <c r="AJ42" s="65" t="str">
        <f aca="false">IF($B42="","",MAX(0,AK42-(SUMIFS('سجل الإجازات والحالات'!$AI$6:$AI$505,'سجل الإجازات والحالات'!$B$6:$B$505,$B42)-SUMIFS('سجل الإجازات والحالات'!$AH$6:$AH$505,'سجل الإجازات والحالات'!$B$6:$B$505,$B42))))</f>
        <v/>
      </c>
      <c r="AK42" s="65" t="str">
        <f aca="false">IF($B42="","",MAX(0,IF(OR(الموظفون!$AE42="",الموظفون!$AE42&gt;$F$3),$F$3,الموظفون!$AE42)-MAX($E$3,الموظفون!$H42)+1))</f>
        <v/>
      </c>
      <c r="AL42" s="151" t="str">
        <f aca="false">IF($B42="","",SUMIFS('سجل الإجازات والحالات'!$AU$6:$AU$505,'سجل الإجازات والحالات'!$B$6:$B$505,$B42)+SUMIFS('الحركات الشهرية'!$K$6:$K$1005,'الحركات الشهرية'!$B$6:$B$1005,$B42,'الحركات الشهرية'!$A$6:$A$1005,$C$3))</f>
        <v/>
      </c>
      <c r="AM42" s="111" t="str">
        <f aca="false">IF($B42="","",AL42*الموظفون!$R42/cfg_DAYS_M+S42)</f>
        <v/>
      </c>
      <c r="AN42" s="151" t="str">
        <f aca="false">IF($B42="","",SUMIFS('سجل الإجازات والحالات'!$W$6:$W$505,'سجل الإجازات والحالات'!$B$6:$B$505,$B42))</f>
        <v/>
      </c>
    </row>
    <row r="43" customFormat="false" ht="15" hidden="false" customHeight="false" outlineLevel="0" collapsed="false">
      <c r="A43" s="115" t="str">
        <f aca="false">IF($B43="","",الموظفون!$A43)</f>
        <v/>
      </c>
      <c r="B43" s="117" t="str">
        <f aca="false">IF(الموظفون!$B43="","",الموظفون!$B43)</f>
        <v/>
      </c>
      <c r="C43" s="117" t="str">
        <f aca="false">IF($B43="","",الموظفون!$C43)</f>
        <v/>
      </c>
      <c r="D43" s="117" t="str">
        <f aca="false">IF($B43="","",الموظفون!$F43)</f>
        <v/>
      </c>
      <c r="E43" s="117" t="str">
        <f aca="false">IF($B43="","",الموظفون!$E43)</f>
        <v/>
      </c>
      <c r="F43" s="117" t="str">
        <f aca="false">IF($B43="","",IF(AK43=0,IF(AND(الموظفون!$AE43&lt;&gt;"",الموظفون!$AE43&lt;$E$3),"✖ منتهي الخدمة","⏳ لم يباشر"),IF(S43&gt;0,"✈ راتب إجازة مقدم",IF(J43=0,"⛔ بدون راتب هذا الشهر",IF(I43&gt;0,"✈ خصم "&amp;ROUND(I43,2)&amp;" يوم بدون أجر",IF(AL43&gt;0,"🌴 إجازة سنوية "&amp;ROUND(AL43,2)&amp;" يوم",IF(H43&gt;0,"⚠ غياب "&amp;ROUND(H43,2)&amp;" يوم","✔ على رأس العمل")))))))</f>
        <v/>
      </c>
      <c r="G43" s="156" t="str">
        <f aca="false">IF($B43="","",IF(AK43&gt;=DAY($F$3),cfg_DAYS_M,MIN(AK43,cfg_DAYS_M)))</f>
        <v/>
      </c>
      <c r="H43" s="156" t="str">
        <f aca="false">IF($B43="","",SUMIFS('الحركات الشهرية'!$D$6:$D$1005,'الحركات الشهرية'!$B$6:$B$1005,$B43,'الحركات الشهرية'!$A$6:$A$1005,$C$3))</f>
        <v/>
      </c>
      <c r="I43" s="156" t="str">
        <f aca="false">IF($B43="","",MIN(G43,IF(AND(AK43&gt;0,AN43&gt;=AK43),G43,AN43)+SUMIFS('الحركات الشهرية'!$E$6:$E$1005,'الحركات الشهرية'!$B$6:$B$1005,$B43,'الحركات الشهرية'!$A$6:$A$1005,$C$3)))</f>
        <v/>
      </c>
      <c r="J43" s="156" t="str">
        <f aca="false">IF($B43="","",MAX(0,G43-H43-I43))</f>
        <v/>
      </c>
      <c r="K43" s="116" t="str">
        <f aca="false">IF($B43="","",الموظفون!$L43*$J43/cfg_DAYS_M)</f>
        <v/>
      </c>
      <c r="L43" s="116" t="str">
        <f aca="false">IF($B43="","",الموظفون!$M43*$J43/cfg_DAYS_M)</f>
        <v/>
      </c>
      <c r="M43" s="116" t="str">
        <f aca="false">IF($B43="","",الموظفون!$N43*$J43/cfg_DAYS_M)</f>
        <v/>
      </c>
      <c r="N43" s="116" t="str">
        <f aca="false">IF($B43="","",الموظفون!$O43*$J43/cfg_DAYS_M)</f>
        <v/>
      </c>
      <c r="O43" s="156" t="str">
        <f aca="false">IF($B43="","",SUMIFS('الحركات الشهرية'!$F$6:$F$1005,'الحركات الشهرية'!$B$6:$B$1005,$B43,'الحركات الشهرية'!$A$6:$A$1005,$C$3))</f>
        <v/>
      </c>
      <c r="P43" s="116" t="str">
        <f aca="false">IF($B43="","",O43*(الموظفون!$P43+الموظفون!$L43*cfg_OT_P)/cfg_DAYS_M/cfg_HRS)</f>
        <v/>
      </c>
      <c r="Q43" s="116" t="str">
        <f aca="false">IF($B43="","",SUMIFS('الحركات الشهرية'!$G$6:$G$1005,'الحركات الشهرية'!$B$6:$B$1005,$B43,'الحركات الشهرية'!$A$6:$A$1005,$C$3))</f>
        <v/>
      </c>
      <c r="R43" s="116" t="str">
        <f aca="false">IF($B43="","",SUMIFS('الحركات الشهرية'!$H$6:$H$1005,'الحركات الشهرية'!$B$6:$B$1005,$B43,'الحركات الشهرية'!$A$6:$A$1005,$C$3))</f>
        <v/>
      </c>
      <c r="S43" s="116" t="str">
        <f aca="false">IF($B43="","",SUMIFS('سجل الإجازات والحالات'!$N$6:$N$505,'سجل الإجازات والحالات'!$B$6:$B$505,$B43,'سجل الإجازات والحالات'!$O$6:$O$505,$C$3))</f>
        <v/>
      </c>
      <c r="T43" s="157" t="str">
        <f aca="false">IF($B43="","",SUM(K43:N43)+SUM(P43:S43))</f>
        <v/>
      </c>
      <c r="U43" s="116" t="str">
        <f aca="false">IF($B43="","",الموظفون!$S43*IF(E43="سعودي",cfg_G_SE,cfg_G_NE)*G43/cfg_DAYS_M)</f>
        <v/>
      </c>
      <c r="V43" s="116" t="str">
        <f aca="false">IF($B43="","",SUMIFS('الحركات الشهرية'!$I$6:$I$1005,'الحركات الشهرية'!$B$6:$B$1005,$B43,'الحركات الشهرية'!$A$6:$A$1005,$C$3))</f>
        <v/>
      </c>
      <c r="W43" s="116" t="str">
        <f aca="false">IF($B43="","",SUMIFS('الحركات الشهرية'!$J$6:$J$1005,'الحركات الشهرية'!$B$6:$B$1005,$B43,'الحركات الشهرية'!$A$6:$A$1005,$C$3))</f>
        <v/>
      </c>
      <c r="X43" s="116" t="str">
        <f aca="false">IF($B43="","",SUM(U43:W43))</f>
        <v/>
      </c>
      <c r="Y43" s="158" t="str">
        <f aca="false">IF($B43="","",T43-X43)</f>
        <v/>
      </c>
      <c r="Z43" s="116" t="str">
        <f aca="false">IF($B43="","",الموظفون!$S43*IF(E43="سعودي",cfg_G_SR,cfg_G_NR)*G43/cfg_DAYS_M)</f>
        <v/>
      </c>
      <c r="AA43" s="116" t="str">
        <f aca="false">IF($B43="","",الموظفون!$Q43*(cfg_EOS_R1*(MIN(AH43,cfg_EOS_TH)-MIN(AI43,cfg_EOS_TH))+cfg_EOS_R2*(MAX(AH43-cfg_EOS_TH,0)-MAX(AI43-cfg_EOS_TH,0))))</f>
        <v/>
      </c>
      <c r="AB43" s="116" t="str">
        <f aca="false">IF($B43="","",IF(الموظفون!$T43&lt;&gt;"",الموظفون!$T43,IF(AH43&gt;=cfg_LV_TH,cfg_LV_D2,cfg_LV_D1))/cfg_DAYS_Y*AJ43*الموظفون!$R43/cfg_DAYS_M)</f>
        <v/>
      </c>
      <c r="AC43" s="116" t="str">
        <f aca="false">IF($B43="","",IF(AND(الموظفون!$U43="نعم",N(الموظفون!$W43)&gt;0),الموظفون!$V43/الموظفون!$W43*12/cfg_DAYS_Y*AJ43,0))</f>
        <v/>
      </c>
      <c r="AD43" s="116" t="str">
        <f aca="false">IF($B43="","",(IF(الموظفون!$X43&lt;&gt;"",الموظفون!$X43,IF(الموظفون!$E43="غير سعودي",cfg_IQ,0))+IF(الموظفون!$Y43&lt;&gt;"",الموظفون!$Y43,IF(الموظفون!$E43="غير سعودي",cfg_WP,0)))/12*G43/cfg_DAYS_M)</f>
        <v/>
      </c>
      <c r="AE43" s="116" t="str">
        <f aca="false">IF($B43="","",IF(الموظفون!$Z43&lt;&gt;"",الموظفون!$Z43,cfg_MED)/12*G43/cfg_DAYS_M)</f>
        <v/>
      </c>
      <c r="AF43" s="116" t="str">
        <f aca="false">IF($B43="","",N(الموظفون!$AA43)/12*G43/cfg_DAYS_M)</f>
        <v/>
      </c>
      <c r="AG43" s="159" t="str">
        <f aca="false">IF($B43="","",T43+SUM(Z43:AF43))</f>
        <v/>
      </c>
      <c r="AH43" s="160" t="str">
        <f aca="false">IF($B43="","",MAX(0,IF(OR(الموظفون!$AE43="",الموظفون!$AE43&gt;$F$3),$F$3,الموظفون!$AE43)-الموظفون!$H43+1-SUMIFS('سجل الإجازات والحالات'!$AI$6:$AI$505,'سجل الإجازات والحالات'!$B$6:$B$505,$B43))/cfg_DAYS_Y)</f>
        <v/>
      </c>
      <c r="AI43" s="160" t="str">
        <f aca="false">IF($B43="","",MAX(0,IF(OR(الموظفون!$AE43="",الموظفون!$AE43&gt;($E$3-1)),($E$3-1),الموظفون!$AE43)-الموظفون!$H43+1-SUMIFS('سجل الإجازات والحالات'!$AH$6:$AH$505,'سجل الإجازات والحالات'!$B$6:$B$505,$B43))/cfg_DAYS_Y)</f>
        <v/>
      </c>
      <c r="AJ43" s="133" t="str">
        <f aca="false">IF($B43="","",MAX(0,AK43-(SUMIFS('سجل الإجازات والحالات'!$AI$6:$AI$505,'سجل الإجازات والحالات'!$B$6:$B$505,$B43)-SUMIFS('سجل الإجازات والحالات'!$AH$6:$AH$505,'سجل الإجازات والحالات'!$B$6:$B$505,$B43))))</f>
        <v/>
      </c>
      <c r="AK43" s="133" t="str">
        <f aca="false">IF($B43="","",MAX(0,IF(OR(الموظفون!$AE43="",الموظفون!$AE43&gt;$F$3),$F$3,الموظفون!$AE43)-MAX($E$3,الموظفون!$H43)+1))</f>
        <v/>
      </c>
      <c r="AL43" s="156" t="str">
        <f aca="false">IF($B43="","",SUMIFS('سجل الإجازات والحالات'!$AU$6:$AU$505,'سجل الإجازات والحالات'!$B$6:$B$505,$B43)+SUMIFS('الحركات الشهرية'!$K$6:$K$1005,'الحركات الشهرية'!$B$6:$B$1005,$B43,'الحركات الشهرية'!$A$6:$A$1005,$C$3))</f>
        <v/>
      </c>
      <c r="AM43" s="116" t="str">
        <f aca="false">IF($B43="","",AL43*الموظفون!$R43/cfg_DAYS_M+S43)</f>
        <v/>
      </c>
      <c r="AN43" s="156" t="str">
        <f aca="false">IF($B43="","",SUMIFS('سجل الإجازات والحالات'!$W$6:$W$505,'سجل الإجازات والحالات'!$B$6:$B$505,$B43))</f>
        <v/>
      </c>
    </row>
    <row r="44" customFormat="false" ht="15" hidden="false" customHeight="false" outlineLevel="0" collapsed="false">
      <c r="A44" s="106" t="str">
        <f aca="false">IF($B44="","",الموظفون!$A44)</f>
        <v/>
      </c>
      <c r="B44" s="114" t="str">
        <f aca="false">IF(الموظفون!$B44="","",الموظفون!$B44)</f>
        <v/>
      </c>
      <c r="C44" s="114" t="str">
        <f aca="false">IF($B44="","",الموظفون!$C44)</f>
        <v/>
      </c>
      <c r="D44" s="114" t="str">
        <f aca="false">IF($B44="","",الموظفون!$F44)</f>
        <v/>
      </c>
      <c r="E44" s="114" t="str">
        <f aca="false">IF($B44="","",الموظفون!$E44)</f>
        <v/>
      </c>
      <c r="F44" s="114" t="str">
        <f aca="false">IF($B44="","",IF(AK44=0,IF(AND(الموظفون!$AE44&lt;&gt;"",الموظفون!$AE44&lt;$E$3),"✖ منتهي الخدمة","⏳ لم يباشر"),IF(S44&gt;0,"✈ راتب إجازة مقدم",IF(J44=0,"⛔ بدون راتب هذا الشهر",IF(I44&gt;0,"✈ خصم "&amp;ROUND(I44,2)&amp;" يوم بدون أجر",IF(AL44&gt;0,"🌴 إجازة سنوية "&amp;ROUND(AL44,2)&amp;" يوم",IF(H44&gt;0,"⚠ غياب "&amp;ROUND(H44,2)&amp;" يوم","✔ على رأس العمل")))))))</f>
        <v/>
      </c>
      <c r="G44" s="151" t="str">
        <f aca="false">IF($B44="","",IF(AK44&gt;=DAY($F$3),cfg_DAYS_M,MIN(AK44,cfg_DAYS_M)))</f>
        <v/>
      </c>
      <c r="H44" s="151" t="str">
        <f aca="false">IF($B44="","",SUMIFS('الحركات الشهرية'!$D$6:$D$1005,'الحركات الشهرية'!$B$6:$B$1005,$B44,'الحركات الشهرية'!$A$6:$A$1005,$C$3))</f>
        <v/>
      </c>
      <c r="I44" s="151" t="str">
        <f aca="false">IF($B44="","",MIN(G44,IF(AND(AK44&gt;0,AN44&gt;=AK44),G44,AN44)+SUMIFS('الحركات الشهرية'!$E$6:$E$1005,'الحركات الشهرية'!$B$6:$B$1005,$B44,'الحركات الشهرية'!$A$6:$A$1005,$C$3)))</f>
        <v/>
      </c>
      <c r="J44" s="151" t="str">
        <f aca="false">IF($B44="","",MAX(0,G44-H44-I44))</f>
        <v/>
      </c>
      <c r="K44" s="111" t="str">
        <f aca="false">IF($B44="","",الموظفون!$L44*$J44/cfg_DAYS_M)</f>
        <v/>
      </c>
      <c r="L44" s="111" t="str">
        <f aca="false">IF($B44="","",الموظفون!$M44*$J44/cfg_DAYS_M)</f>
        <v/>
      </c>
      <c r="M44" s="111" t="str">
        <f aca="false">IF($B44="","",الموظفون!$N44*$J44/cfg_DAYS_M)</f>
        <v/>
      </c>
      <c r="N44" s="111" t="str">
        <f aca="false">IF($B44="","",الموظفون!$O44*$J44/cfg_DAYS_M)</f>
        <v/>
      </c>
      <c r="O44" s="151" t="str">
        <f aca="false">IF($B44="","",SUMIFS('الحركات الشهرية'!$F$6:$F$1005,'الحركات الشهرية'!$B$6:$B$1005,$B44,'الحركات الشهرية'!$A$6:$A$1005,$C$3))</f>
        <v/>
      </c>
      <c r="P44" s="111" t="str">
        <f aca="false">IF($B44="","",O44*(الموظفون!$P44+الموظفون!$L44*cfg_OT_P)/cfg_DAYS_M/cfg_HRS)</f>
        <v/>
      </c>
      <c r="Q44" s="111" t="str">
        <f aca="false">IF($B44="","",SUMIFS('الحركات الشهرية'!$G$6:$G$1005,'الحركات الشهرية'!$B$6:$B$1005,$B44,'الحركات الشهرية'!$A$6:$A$1005,$C$3))</f>
        <v/>
      </c>
      <c r="R44" s="111" t="str">
        <f aca="false">IF($B44="","",SUMIFS('الحركات الشهرية'!$H$6:$H$1005,'الحركات الشهرية'!$B$6:$B$1005,$B44,'الحركات الشهرية'!$A$6:$A$1005,$C$3))</f>
        <v/>
      </c>
      <c r="S44" s="111" t="str">
        <f aca="false">IF($B44="","",SUMIFS('سجل الإجازات والحالات'!$N$6:$N$505,'سجل الإجازات والحالات'!$B$6:$B$505,$B44,'سجل الإجازات والحالات'!$O$6:$O$505,$C$3))</f>
        <v/>
      </c>
      <c r="T44" s="152" t="str">
        <f aca="false">IF($B44="","",SUM(K44:N44)+SUM(P44:S44))</f>
        <v/>
      </c>
      <c r="U44" s="111" t="str">
        <f aca="false">IF($B44="","",الموظفون!$S44*IF(E44="سعودي",cfg_G_SE,cfg_G_NE)*G44/cfg_DAYS_M)</f>
        <v/>
      </c>
      <c r="V44" s="111" t="str">
        <f aca="false">IF($B44="","",SUMIFS('الحركات الشهرية'!$I$6:$I$1005,'الحركات الشهرية'!$B$6:$B$1005,$B44,'الحركات الشهرية'!$A$6:$A$1005,$C$3))</f>
        <v/>
      </c>
      <c r="W44" s="111" t="str">
        <f aca="false">IF($B44="","",SUMIFS('الحركات الشهرية'!$J$6:$J$1005,'الحركات الشهرية'!$B$6:$B$1005,$B44,'الحركات الشهرية'!$A$6:$A$1005,$C$3))</f>
        <v/>
      </c>
      <c r="X44" s="111" t="str">
        <f aca="false">IF($B44="","",SUM(U44:W44))</f>
        <v/>
      </c>
      <c r="Y44" s="153" t="str">
        <f aca="false">IF($B44="","",T44-X44)</f>
        <v/>
      </c>
      <c r="Z44" s="111" t="str">
        <f aca="false">IF($B44="","",الموظفون!$S44*IF(E44="سعودي",cfg_G_SR,cfg_G_NR)*G44/cfg_DAYS_M)</f>
        <v/>
      </c>
      <c r="AA44" s="111" t="str">
        <f aca="false">IF($B44="","",الموظفون!$Q44*(cfg_EOS_R1*(MIN(AH44,cfg_EOS_TH)-MIN(AI44,cfg_EOS_TH))+cfg_EOS_R2*(MAX(AH44-cfg_EOS_TH,0)-MAX(AI44-cfg_EOS_TH,0))))</f>
        <v/>
      </c>
      <c r="AB44" s="111" t="str">
        <f aca="false">IF($B44="","",IF(الموظفون!$T44&lt;&gt;"",الموظفون!$T44,IF(AH44&gt;=cfg_LV_TH,cfg_LV_D2,cfg_LV_D1))/cfg_DAYS_Y*AJ44*الموظفون!$R44/cfg_DAYS_M)</f>
        <v/>
      </c>
      <c r="AC44" s="111" t="str">
        <f aca="false">IF($B44="","",IF(AND(الموظفون!$U44="نعم",N(الموظفون!$W44)&gt;0),الموظفون!$V44/الموظفون!$W44*12/cfg_DAYS_Y*AJ44,0))</f>
        <v/>
      </c>
      <c r="AD44" s="111" t="str">
        <f aca="false">IF($B44="","",(IF(الموظفون!$X44&lt;&gt;"",الموظفون!$X44,IF(الموظفون!$E44="غير سعودي",cfg_IQ,0))+IF(الموظفون!$Y44&lt;&gt;"",الموظفون!$Y44,IF(الموظفون!$E44="غير سعودي",cfg_WP,0)))/12*G44/cfg_DAYS_M)</f>
        <v/>
      </c>
      <c r="AE44" s="111" t="str">
        <f aca="false">IF($B44="","",IF(الموظفون!$Z44&lt;&gt;"",الموظفون!$Z44,cfg_MED)/12*G44/cfg_DAYS_M)</f>
        <v/>
      </c>
      <c r="AF44" s="111" t="str">
        <f aca="false">IF($B44="","",N(الموظفون!$AA44)/12*G44/cfg_DAYS_M)</f>
        <v/>
      </c>
      <c r="AG44" s="154" t="str">
        <f aca="false">IF($B44="","",T44+SUM(Z44:AF44))</f>
        <v/>
      </c>
      <c r="AH44" s="155" t="str">
        <f aca="false">IF($B44="","",MAX(0,IF(OR(الموظفون!$AE44="",الموظفون!$AE44&gt;$F$3),$F$3,الموظفون!$AE44)-الموظفون!$H44+1-SUMIFS('سجل الإجازات والحالات'!$AI$6:$AI$505,'سجل الإجازات والحالات'!$B$6:$B$505,$B44))/cfg_DAYS_Y)</f>
        <v/>
      </c>
      <c r="AI44" s="155" t="str">
        <f aca="false">IF($B44="","",MAX(0,IF(OR(الموظفون!$AE44="",الموظفون!$AE44&gt;($E$3-1)),($E$3-1),الموظفون!$AE44)-الموظفون!$H44+1-SUMIFS('سجل الإجازات والحالات'!$AH$6:$AH$505,'سجل الإجازات والحالات'!$B$6:$B$505,$B44))/cfg_DAYS_Y)</f>
        <v/>
      </c>
      <c r="AJ44" s="65" t="str">
        <f aca="false">IF($B44="","",MAX(0,AK44-(SUMIFS('سجل الإجازات والحالات'!$AI$6:$AI$505,'سجل الإجازات والحالات'!$B$6:$B$505,$B44)-SUMIFS('سجل الإجازات والحالات'!$AH$6:$AH$505,'سجل الإجازات والحالات'!$B$6:$B$505,$B44))))</f>
        <v/>
      </c>
      <c r="AK44" s="65" t="str">
        <f aca="false">IF($B44="","",MAX(0,IF(OR(الموظفون!$AE44="",الموظفون!$AE44&gt;$F$3),$F$3,الموظفون!$AE44)-MAX($E$3,الموظفون!$H44)+1))</f>
        <v/>
      </c>
      <c r="AL44" s="151" t="str">
        <f aca="false">IF($B44="","",SUMIFS('سجل الإجازات والحالات'!$AU$6:$AU$505,'سجل الإجازات والحالات'!$B$6:$B$505,$B44)+SUMIFS('الحركات الشهرية'!$K$6:$K$1005,'الحركات الشهرية'!$B$6:$B$1005,$B44,'الحركات الشهرية'!$A$6:$A$1005,$C$3))</f>
        <v/>
      </c>
      <c r="AM44" s="111" t="str">
        <f aca="false">IF($B44="","",AL44*الموظفون!$R44/cfg_DAYS_M+S44)</f>
        <v/>
      </c>
      <c r="AN44" s="151" t="str">
        <f aca="false">IF($B44="","",SUMIFS('سجل الإجازات والحالات'!$W$6:$W$505,'سجل الإجازات والحالات'!$B$6:$B$505,$B44))</f>
        <v/>
      </c>
    </row>
    <row r="45" customFormat="false" ht="15" hidden="false" customHeight="false" outlineLevel="0" collapsed="false">
      <c r="A45" s="115" t="str">
        <f aca="false">IF($B45="","",الموظفون!$A45)</f>
        <v/>
      </c>
      <c r="B45" s="117" t="str">
        <f aca="false">IF(الموظفون!$B45="","",الموظفون!$B45)</f>
        <v/>
      </c>
      <c r="C45" s="117" t="str">
        <f aca="false">IF($B45="","",الموظفون!$C45)</f>
        <v/>
      </c>
      <c r="D45" s="117" t="str">
        <f aca="false">IF($B45="","",الموظفون!$F45)</f>
        <v/>
      </c>
      <c r="E45" s="117" t="str">
        <f aca="false">IF($B45="","",الموظفون!$E45)</f>
        <v/>
      </c>
      <c r="F45" s="117" t="str">
        <f aca="false">IF($B45="","",IF(AK45=0,IF(AND(الموظفون!$AE45&lt;&gt;"",الموظفون!$AE45&lt;$E$3),"✖ منتهي الخدمة","⏳ لم يباشر"),IF(S45&gt;0,"✈ راتب إجازة مقدم",IF(J45=0,"⛔ بدون راتب هذا الشهر",IF(I45&gt;0,"✈ خصم "&amp;ROUND(I45,2)&amp;" يوم بدون أجر",IF(AL45&gt;0,"🌴 إجازة سنوية "&amp;ROUND(AL45,2)&amp;" يوم",IF(H45&gt;0,"⚠ غياب "&amp;ROUND(H45,2)&amp;" يوم","✔ على رأس العمل")))))))</f>
        <v/>
      </c>
      <c r="G45" s="156" t="str">
        <f aca="false">IF($B45="","",IF(AK45&gt;=DAY($F$3),cfg_DAYS_M,MIN(AK45,cfg_DAYS_M)))</f>
        <v/>
      </c>
      <c r="H45" s="156" t="str">
        <f aca="false">IF($B45="","",SUMIFS('الحركات الشهرية'!$D$6:$D$1005,'الحركات الشهرية'!$B$6:$B$1005,$B45,'الحركات الشهرية'!$A$6:$A$1005,$C$3))</f>
        <v/>
      </c>
      <c r="I45" s="156" t="str">
        <f aca="false">IF($B45="","",MIN(G45,IF(AND(AK45&gt;0,AN45&gt;=AK45),G45,AN45)+SUMIFS('الحركات الشهرية'!$E$6:$E$1005,'الحركات الشهرية'!$B$6:$B$1005,$B45,'الحركات الشهرية'!$A$6:$A$1005,$C$3)))</f>
        <v/>
      </c>
      <c r="J45" s="156" t="str">
        <f aca="false">IF($B45="","",MAX(0,G45-H45-I45))</f>
        <v/>
      </c>
      <c r="K45" s="116" t="str">
        <f aca="false">IF($B45="","",الموظفون!$L45*$J45/cfg_DAYS_M)</f>
        <v/>
      </c>
      <c r="L45" s="116" t="str">
        <f aca="false">IF($B45="","",الموظفون!$M45*$J45/cfg_DAYS_M)</f>
        <v/>
      </c>
      <c r="M45" s="116" t="str">
        <f aca="false">IF($B45="","",الموظفون!$N45*$J45/cfg_DAYS_M)</f>
        <v/>
      </c>
      <c r="N45" s="116" t="str">
        <f aca="false">IF($B45="","",الموظفون!$O45*$J45/cfg_DAYS_M)</f>
        <v/>
      </c>
      <c r="O45" s="156" t="str">
        <f aca="false">IF($B45="","",SUMIFS('الحركات الشهرية'!$F$6:$F$1005,'الحركات الشهرية'!$B$6:$B$1005,$B45,'الحركات الشهرية'!$A$6:$A$1005,$C$3))</f>
        <v/>
      </c>
      <c r="P45" s="116" t="str">
        <f aca="false">IF($B45="","",O45*(الموظفون!$P45+الموظفون!$L45*cfg_OT_P)/cfg_DAYS_M/cfg_HRS)</f>
        <v/>
      </c>
      <c r="Q45" s="116" t="str">
        <f aca="false">IF($B45="","",SUMIFS('الحركات الشهرية'!$G$6:$G$1005,'الحركات الشهرية'!$B$6:$B$1005,$B45,'الحركات الشهرية'!$A$6:$A$1005,$C$3))</f>
        <v/>
      </c>
      <c r="R45" s="116" t="str">
        <f aca="false">IF($B45="","",SUMIFS('الحركات الشهرية'!$H$6:$H$1005,'الحركات الشهرية'!$B$6:$B$1005,$B45,'الحركات الشهرية'!$A$6:$A$1005,$C$3))</f>
        <v/>
      </c>
      <c r="S45" s="116" t="str">
        <f aca="false">IF($B45="","",SUMIFS('سجل الإجازات والحالات'!$N$6:$N$505,'سجل الإجازات والحالات'!$B$6:$B$505,$B45,'سجل الإجازات والحالات'!$O$6:$O$505,$C$3))</f>
        <v/>
      </c>
      <c r="T45" s="157" t="str">
        <f aca="false">IF($B45="","",SUM(K45:N45)+SUM(P45:S45))</f>
        <v/>
      </c>
      <c r="U45" s="116" t="str">
        <f aca="false">IF($B45="","",الموظفون!$S45*IF(E45="سعودي",cfg_G_SE,cfg_G_NE)*G45/cfg_DAYS_M)</f>
        <v/>
      </c>
      <c r="V45" s="116" t="str">
        <f aca="false">IF($B45="","",SUMIFS('الحركات الشهرية'!$I$6:$I$1005,'الحركات الشهرية'!$B$6:$B$1005,$B45,'الحركات الشهرية'!$A$6:$A$1005,$C$3))</f>
        <v/>
      </c>
      <c r="W45" s="116" t="str">
        <f aca="false">IF($B45="","",SUMIFS('الحركات الشهرية'!$J$6:$J$1005,'الحركات الشهرية'!$B$6:$B$1005,$B45,'الحركات الشهرية'!$A$6:$A$1005,$C$3))</f>
        <v/>
      </c>
      <c r="X45" s="116" t="str">
        <f aca="false">IF($B45="","",SUM(U45:W45))</f>
        <v/>
      </c>
      <c r="Y45" s="158" t="str">
        <f aca="false">IF($B45="","",T45-X45)</f>
        <v/>
      </c>
      <c r="Z45" s="116" t="str">
        <f aca="false">IF($B45="","",الموظفون!$S45*IF(E45="سعودي",cfg_G_SR,cfg_G_NR)*G45/cfg_DAYS_M)</f>
        <v/>
      </c>
      <c r="AA45" s="116" t="str">
        <f aca="false">IF($B45="","",الموظفون!$Q45*(cfg_EOS_R1*(MIN(AH45,cfg_EOS_TH)-MIN(AI45,cfg_EOS_TH))+cfg_EOS_R2*(MAX(AH45-cfg_EOS_TH,0)-MAX(AI45-cfg_EOS_TH,0))))</f>
        <v/>
      </c>
      <c r="AB45" s="116" t="str">
        <f aca="false">IF($B45="","",IF(الموظفون!$T45&lt;&gt;"",الموظفون!$T45,IF(AH45&gt;=cfg_LV_TH,cfg_LV_D2,cfg_LV_D1))/cfg_DAYS_Y*AJ45*الموظفون!$R45/cfg_DAYS_M)</f>
        <v/>
      </c>
      <c r="AC45" s="116" t="str">
        <f aca="false">IF($B45="","",IF(AND(الموظفون!$U45="نعم",N(الموظفون!$W45)&gt;0),الموظفون!$V45/الموظفون!$W45*12/cfg_DAYS_Y*AJ45,0))</f>
        <v/>
      </c>
      <c r="AD45" s="116" t="str">
        <f aca="false">IF($B45="","",(IF(الموظفون!$X45&lt;&gt;"",الموظفون!$X45,IF(الموظفون!$E45="غير سعودي",cfg_IQ,0))+IF(الموظفون!$Y45&lt;&gt;"",الموظفون!$Y45,IF(الموظفون!$E45="غير سعودي",cfg_WP,0)))/12*G45/cfg_DAYS_M)</f>
        <v/>
      </c>
      <c r="AE45" s="116" t="str">
        <f aca="false">IF($B45="","",IF(الموظفون!$Z45&lt;&gt;"",الموظفون!$Z45,cfg_MED)/12*G45/cfg_DAYS_M)</f>
        <v/>
      </c>
      <c r="AF45" s="116" t="str">
        <f aca="false">IF($B45="","",N(الموظفون!$AA45)/12*G45/cfg_DAYS_M)</f>
        <v/>
      </c>
      <c r="AG45" s="159" t="str">
        <f aca="false">IF($B45="","",T45+SUM(Z45:AF45))</f>
        <v/>
      </c>
      <c r="AH45" s="160" t="str">
        <f aca="false">IF($B45="","",MAX(0,IF(OR(الموظفون!$AE45="",الموظفون!$AE45&gt;$F$3),$F$3,الموظفون!$AE45)-الموظفون!$H45+1-SUMIFS('سجل الإجازات والحالات'!$AI$6:$AI$505,'سجل الإجازات والحالات'!$B$6:$B$505,$B45))/cfg_DAYS_Y)</f>
        <v/>
      </c>
      <c r="AI45" s="160" t="str">
        <f aca="false">IF($B45="","",MAX(0,IF(OR(الموظفون!$AE45="",الموظفون!$AE45&gt;($E$3-1)),($E$3-1),الموظفون!$AE45)-الموظفون!$H45+1-SUMIFS('سجل الإجازات والحالات'!$AH$6:$AH$505,'سجل الإجازات والحالات'!$B$6:$B$505,$B45))/cfg_DAYS_Y)</f>
        <v/>
      </c>
      <c r="AJ45" s="133" t="str">
        <f aca="false">IF($B45="","",MAX(0,AK45-(SUMIFS('سجل الإجازات والحالات'!$AI$6:$AI$505,'سجل الإجازات والحالات'!$B$6:$B$505,$B45)-SUMIFS('سجل الإجازات والحالات'!$AH$6:$AH$505,'سجل الإجازات والحالات'!$B$6:$B$505,$B45))))</f>
        <v/>
      </c>
      <c r="AK45" s="133" t="str">
        <f aca="false">IF($B45="","",MAX(0,IF(OR(الموظفون!$AE45="",الموظفون!$AE45&gt;$F$3),$F$3,الموظفون!$AE45)-MAX($E$3,الموظفون!$H45)+1))</f>
        <v/>
      </c>
      <c r="AL45" s="156" t="str">
        <f aca="false">IF($B45="","",SUMIFS('سجل الإجازات والحالات'!$AU$6:$AU$505,'سجل الإجازات والحالات'!$B$6:$B$505,$B45)+SUMIFS('الحركات الشهرية'!$K$6:$K$1005,'الحركات الشهرية'!$B$6:$B$1005,$B45,'الحركات الشهرية'!$A$6:$A$1005,$C$3))</f>
        <v/>
      </c>
      <c r="AM45" s="116" t="str">
        <f aca="false">IF($B45="","",AL45*الموظفون!$R45/cfg_DAYS_M+S45)</f>
        <v/>
      </c>
      <c r="AN45" s="156" t="str">
        <f aca="false">IF($B45="","",SUMIFS('سجل الإجازات والحالات'!$W$6:$W$505,'سجل الإجازات والحالات'!$B$6:$B$505,$B45))</f>
        <v/>
      </c>
    </row>
    <row r="46" customFormat="false" ht="15" hidden="false" customHeight="false" outlineLevel="0" collapsed="false">
      <c r="A46" s="106" t="str">
        <f aca="false">IF($B46="","",الموظفون!$A46)</f>
        <v/>
      </c>
      <c r="B46" s="114" t="str">
        <f aca="false">IF(الموظفون!$B46="","",الموظفون!$B46)</f>
        <v/>
      </c>
      <c r="C46" s="114" t="str">
        <f aca="false">IF($B46="","",الموظفون!$C46)</f>
        <v/>
      </c>
      <c r="D46" s="114" t="str">
        <f aca="false">IF($B46="","",الموظفون!$F46)</f>
        <v/>
      </c>
      <c r="E46" s="114" t="str">
        <f aca="false">IF($B46="","",الموظفون!$E46)</f>
        <v/>
      </c>
      <c r="F46" s="114" t="str">
        <f aca="false">IF($B46="","",IF(AK46=0,IF(AND(الموظفون!$AE46&lt;&gt;"",الموظفون!$AE46&lt;$E$3),"✖ منتهي الخدمة","⏳ لم يباشر"),IF(S46&gt;0,"✈ راتب إجازة مقدم",IF(J46=0,"⛔ بدون راتب هذا الشهر",IF(I46&gt;0,"✈ خصم "&amp;ROUND(I46,2)&amp;" يوم بدون أجر",IF(AL46&gt;0,"🌴 إجازة سنوية "&amp;ROUND(AL46,2)&amp;" يوم",IF(H46&gt;0,"⚠ غياب "&amp;ROUND(H46,2)&amp;" يوم","✔ على رأس العمل")))))))</f>
        <v/>
      </c>
      <c r="G46" s="151" t="str">
        <f aca="false">IF($B46="","",IF(AK46&gt;=DAY($F$3),cfg_DAYS_M,MIN(AK46,cfg_DAYS_M)))</f>
        <v/>
      </c>
      <c r="H46" s="151" t="str">
        <f aca="false">IF($B46="","",SUMIFS('الحركات الشهرية'!$D$6:$D$1005,'الحركات الشهرية'!$B$6:$B$1005,$B46,'الحركات الشهرية'!$A$6:$A$1005,$C$3))</f>
        <v/>
      </c>
      <c r="I46" s="151" t="str">
        <f aca="false">IF($B46="","",MIN(G46,IF(AND(AK46&gt;0,AN46&gt;=AK46),G46,AN46)+SUMIFS('الحركات الشهرية'!$E$6:$E$1005,'الحركات الشهرية'!$B$6:$B$1005,$B46,'الحركات الشهرية'!$A$6:$A$1005,$C$3)))</f>
        <v/>
      </c>
      <c r="J46" s="151" t="str">
        <f aca="false">IF($B46="","",MAX(0,G46-H46-I46))</f>
        <v/>
      </c>
      <c r="K46" s="111" t="str">
        <f aca="false">IF($B46="","",الموظفون!$L46*$J46/cfg_DAYS_M)</f>
        <v/>
      </c>
      <c r="L46" s="111" t="str">
        <f aca="false">IF($B46="","",الموظفون!$M46*$J46/cfg_DAYS_M)</f>
        <v/>
      </c>
      <c r="M46" s="111" t="str">
        <f aca="false">IF($B46="","",الموظفون!$N46*$J46/cfg_DAYS_M)</f>
        <v/>
      </c>
      <c r="N46" s="111" t="str">
        <f aca="false">IF($B46="","",الموظفون!$O46*$J46/cfg_DAYS_M)</f>
        <v/>
      </c>
      <c r="O46" s="151" t="str">
        <f aca="false">IF($B46="","",SUMIFS('الحركات الشهرية'!$F$6:$F$1005,'الحركات الشهرية'!$B$6:$B$1005,$B46,'الحركات الشهرية'!$A$6:$A$1005,$C$3))</f>
        <v/>
      </c>
      <c r="P46" s="111" t="str">
        <f aca="false">IF($B46="","",O46*(الموظفون!$P46+الموظفون!$L46*cfg_OT_P)/cfg_DAYS_M/cfg_HRS)</f>
        <v/>
      </c>
      <c r="Q46" s="111" t="str">
        <f aca="false">IF($B46="","",SUMIFS('الحركات الشهرية'!$G$6:$G$1005,'الحركات الشهرية'!$B$6:$B$1005,$B46,'الحركات الشهرية'!$A$6:$A$1005,$C$3))</f>
        <v/>
      </c>
      <c r="R46" s="111" t="str">
        <f aca="false">IF($B46="","",SUMIFS('الحركات الشهرية'!$H$6:$H$1005,'الحركات الشهرية'!$B$6:$B$1005,$B46,'الحركات الشهرية'!$A$6:$A$1005,$C$3))</f>
        <v/>
      </c>
      <c r="S46" s="111" t="str">
        <f aca="false">IF($B46="","",SUMIFS('سجل الإجازات والحالات'!$N$6:$N$505,'سجل الإجازات والحالات'!$B$6:$B$505,$B46,'سجل الإجازات والحالات'!$O$6:$O$505,$C$3))</f>
        <v/>
      </c>
      <c r="T46" s="152" t="str">
        <f aca="false">IF($B46="","",SUM(K46:N46)+SUM(P46:S46))</f>
        <v/>
      </c>
      <c r="U46" s="111" t="str">
        <f aca="false">IF($B46="","",الموظفون!$S46*IF(E46="سعودي",cfg_G_SE,cfg_G_NE)*G46/cfg_DAYS_M)</f>
        <v/>
      </c>
      <c r="V46" s="111" t="str">
        <f aca="false">IF($B46="","",SUMIFS('الحركات الشهرية'!$I$6:$I$1005,'الحركات الشهرية'!$B$6:$B$1005,$B46,'الحركات الشهرية'!$A$6:$A$1005,$C$3))</f>
        <v/>
      </c>
      <c r="W46" s="111" t="str">
        <f aca="false">IF($B46="","",SUMIFS('الحركات الشهرية'!$J$6:$J$1005,'الحركات الشهرية'!$B$6:$B$1005,$B46,'الحركات الشهرية'!$A$6:$A$1005,$C$3))</f>
        <v/>
      </c>
      <c r="X46" s="111" t="str">
        <f aca="false">IF($B46="","",SUM(U46:W46))</f>
        <v/>
      </c>
      <c r="Y46" s="153" t="str">
        <f aca="false">IF($B46="","",T46-X46)</f>
        <v/>
      </c>
      <c r="Z46" s="111" t="str">
        <f aca="false">IF($B46="","",الموظفون!$S46*IF(E46="سعودي",cfg_G_SR,cfg_G_NR)*G46/cfg_DAYS_M)</f>
        <v/>
      </c>
      <c r="AA46" s="111" t="str">
        <f aca="false">IF($B46="","",الموظفون!$Q46*(cfg_EOS_R1*(MIN(AH46,cfg_EOS_TH)-MIN(AI46,cfg_EOS_TH))+cfg_EOS_R2*(MAX(AH46-cfg_EOS_TH,0)-MAX(AI46-cfg_EOS_TH,0))))</f>
        <v/>
      </c>
      <c r="AB46" s="111" t="str">
        <f aca="false">IF($B46="","",IF(الموظفون!$T46&lt;&gt;"",الموظفون!$T46,IF(AH46&gt;=cfg_LV_TH,cfg_LV_D2,cfg_LV_D1))/cfg_DAYS_Y*AJ46*الموظفون!$R46/cfg_DAYS_M)</f>
        <v/>
      </c>
      <c r="AC46" s="111" t="str">
        <f aca="false">IF($B46="","",IF(AND(الموظفون!$U46="نعم",N(الموظفون!$W46)&gt;0),الموظفون!$V46/الموظفون!$W46*12/cfg_DAYS_Y*AJ46,0))</f>
        <v/>
      </c>
      <c r="AD46" s="111" t="str">
        <f aca="false">IF($B46="","",(IF(الموظفون!$X46&lt;&gt;"",الموظفون!$X46,IF(الموظفون!$E46="غير سعودي",cfg_IQ,0))+IF(الموظفون!$Y46&lt;&gt;"",الموظفون!$Y46,IF(الموظفون!$E46="غير سعودي",cfg_WP,0)))/12*G46/cfg_DAYS_M)</f>
        <v/>
      </c>
      <c r="AE46" s="111" t="str">
        <f aca="false">IF($B46="","",IF(الموظفون!$Z46&lt;&gt;"",الموظفون!$Z46,cfg_MED)/12*G46/cfg_DAYS_M)</f>
        <v/>
      </c>
      <c r="AF46" s="111" t="str">
        <f aca="false">IF($B46="","",N(الموظفون!$AA46)/12*G46/cfg_DAYS_M)</f>
        <v/>
      </c>
      <c r="AG46" s="154" t="str">
        <f aca="false">IF($B46="","",T46+SUM(Z46:AF46))</f>
        <v/>
      </c>
      <c r="AH46" s="155" t="str">
        <f aca="false">IF($B46="","",MAX(0,IF(OR(الموظفون!$AE46="",الموظفون!$AE46&gt;$F$3),$F$3,الموظفون!$AE46)-الموظفون!$H46+1-SUMIFS('سجل الإجازات والحالات'!$AI$6:$AI$505,'سجل الإجازات والحالات'!$B$6:$B$505,$B46))/cfg_DAYS_Y)</f>
        <v/>
      </c>
      <c r="AI46" s="155" t="str">
        <f aca="false">IF($B46="","",MAX(0,IF(OR(الموظفون!$AE46="",الموظفون!$AE46&gt;($E$3-1)),($E$3-1),الموظفون!$AE46)-الموظفون!$H46+1-SUMIFS('سجل الإجازات والحالات'!$AH$6:$AH$505,'سجل الإجازات والحالات'!$B$6:$B$505,$B46))/cfg_DAYS_Y)</f>
        <v/>
      </c>
      <c r="AJ46" s="65" t="str">
        <f aca="false">IF($B46="","",MAX(0,AK46-(SUMIFS('سجل الإجازات والحالات'!$AI$6:$AI$505,'سجل الإجازات والحالات'!$B$6:$B$505,$B46)-SUMIFS('سجل الإجازات والحالات'!$AH$6:$AH$505,'سجل الإجازات والحالات'!$B$6:$B$505,$B46))))</f>
        <v/>
      </c>
      <c r="AK46" s="65" t="str">
        <f aca="false">IF($B46="","",MAX(0,IF(OR(الموظفون!$AE46="",الموظفون!$AE46&gt;$F$3),$F$3,الموظفون!$AE46)-MAX($E$3,الموظفون!$H46)+1))</f>
        <v/>
      </c>
      <c r="AL46" s="151" t="str">
        <f aca="false">IF($B46="","",SUMIFS('سجل الإجازات والحالات'!$AU$6:$AU$505,'سجل الإجازات والحالات'!$B$6:$B$505,$B46)+SUMIFS('الحركات الشهرية'!$K$6:$K$1005,'الحركات الشهرية'!$B$6:$B$1005,$B46,'الحركات الشهرية'!$A$6:$A$1005,$C$3))</f>
        <v/>
      </c>
      <c r="AM46" s="111" t="str">
        <f aca="false">IF($B46="","",AL46*الموظفون!$R46/cfg_DAYS_M+S46)</f>
        <v/>
      </c>
      <c r="AN46" s="151" t="str">
        <f aca="false">IF($B46="","",SUMIFS('سجل الإجازات والحالات'!$W$6:$W$505,'سجل الإجازات والحالات'!$B$6:$B$505,$B46))</f>
        <v/>
      </c>
    </row>
    <row r="47" customFormat="false" ht="15" hidden="false" customHeight="false" outlineLevel="0" collapsed="false">
      <c r="A47" s="115" t="str">
        <f aca="false">IF($B47="","",الموظفون!$A47)</f>
        <v/>
      </c>
      <c r="B47" s="117" t="str">
        <f aca="false">IF(الموظفون!$B47="","",الموظفون!$B47)</f>
        <v/>
      </c>
      <c r="C47" s="117" t="str">
        <f aca="false">IF($B47="","",الموظفون!$C47)</f>
        <v/>
      </c>
      <c r="D47" s="117" t="str">
        <f aca="false">IF($B47="","",الموظفون!$F47)</f>
        <v/>
      </c>
      <c r="E47" s="117" t="str">
        <f aca="false">IF($B47="","",الموظفون!$E47)</f>
        <v/>
      </c>
      <c r="F47" s="117" t="str">
        <f aca="false">IF($B47="","",IF(AK47=0,IF(AND(الموظفون!$AE47&lt;&gt;"",الموظفون!$AE47&lt;$E$3),"✖ منتهي الخدمة","⏳ لم يباشر"),IF(S47&gt;0,"✈ راتب إجازة مقدم",IF(J47=0,"⛔ بدون راتب هذا الشهر",IF(I47&gt;0,"✈ خصم "&amp;ROUND(I47,2)&amp;" يوم بدون أجر",IF(AL47&gt;0,"🌴 إجازة سنوية "&amp;ROUND(AL47,2)&amp;" يوم",IF(H47&gt;0,"⚠ غياب "&amp;ROUND(H47,2)&amp;" يوم","✔ على رأس العمل")))))))</f>
        <v/>
      </c>
      <c r="G47" s="156" t="str">
        <f aca="false">IF($B47="","",IF(AK47&gt;=DAY($F$3),cfg_DAYS_M,MIN(AK47,cfg_DAYS_M)))</f>
        <v/>
      </c>
      <c r="H47" s="156" t="str">
        <f aca="false">IF($B47="","",SUMIFS('الحركات الشهرية'!$D$6:$D$1005,'الحركات الشهرية'!$B$6:$B$1005,$B47,'الحركات الشهرية'!$A$6:$A$1005,$C$3))</f>
        <v/>
      </c>
      <c r="I47" s="156" t="str">
        <f aca="false">IF($B47="","",MIN(G47,IF(AND(AK47&gt;0,AN47&gt;=AK47),G47,AN47)+SUMIFS('الحركات الشهرية'!$E$6:$E$1005,'الحركات الشهرية'!$B$6:$B$1005,$B47,'الحركات الشهرية'!$A$6:$A$1005,$C$3)))</f>
        <v/>
      </c>
      <c r="J47" s="156" t="str">
        <f aca="false">IF($B47="","",MAX(0,G47-H47-I47))</f>
        <v/>
      </c>
      <c r="K47" s="116" t="str">
        <f aca="false">IF($B47="","",الموظفون!$L47*$J47/cfg_DAYS_M)</f>
        <v/>
      </c>
      <c r="L47" s="116" t="str">
        <f aca="false">IF($B47="","",الموظفون!$M47*$J47/cfg_DAYS_M)</f>
        <v/>
      </c>
      <c r="M47" s="116" t="str">
        <f aca="false">IF($B47="","",الموظفون!$N47*$J47/cfg_DAYS_M)</f>
        <v/>
      </c>
      <c r="N47" s="116" t="str">
        <f aca="false">IF($B47="","",الموظفون!$O47*$J47/cfg_DAYS_M)</f>
        <v/>
      </c>
      <c r="O47" s="156" t="str">
        <f aca="false">IF($B47="","",SUMIFS('الحركات الشهرية'!$F$6:$F$1005,'الحركات الشهرية'!$B$6:$B$1005,$B47,'الحركات الشهرية'!$A$6:$A$1005,$C$3))</f>
        <v/>
      </c>
      <c r="P47" s="116" t="str">
        <f aca="false">IF($B47="","",O47*(الموظفون!$P47+الموظفون!$L47*cfg_OT_P)/cfg_DAYS_M/cfg_HRS)</f>
        <v/>
      </c>
      <c r="Q47" s="116" t="str">
        <f aca="false">IF($B47="","",SUMIFS('الحركات الشهرية'!$G$6:$G$1005,'الحركات الشهرية'!$B$6:$B$1005,$B47,'الحركات الشهرية'!$A$6:$A$1005,$C$3))</f>
        <v/>
      </c>
      <c r="R47" s="116" t="str">
        <f aca="false">IF($B47="","",SUMIFS('الحركات الشهرية'!$H$6:$H$1005,'الحركات الشهرية'!$B$6:$B$1005,$B47,'الحركات الشهرية'!$A$6:$A$1005,$C$3))</f>
        <v/>
      </c>
      <c r="S47" s="116" t="str">
        <f aca="false">IF($B47="","",SUMIFS('سجل الإجازات والحالات'!$N$6:$N$505,'سجل الإجازات والحالات'!$B$6:$B$505,$B47,'سجل الإجازات والحالات'!$O$6:$O$505,$C$3))</f>
        <v/>
      </c>
      <c r="T47" s="157" t="str">
        <f aca="false">IF($B47="","",SUM(K47:N47)+SUM(P47:S47))</f>
        <v/>
      </c>
      <c r="U47" s="116" t="str">
        <f aca="false">IF($B47="","",الموظفون!$S47*IF(E47="سعودي",cfg_G_SE,cfg_G_NE)*G47/cfg_DAYS_M)</f>
        <v/>
      </c>
      <c r="V47" s="116" t="str">
        <f aca="false">IF($B47="","",SUMIFS('الحركات الشهرية'!$I$6:$I$1005,'الحركات الشهرية'!$B$6:$B$1005,$B47,'الحركات الشهرية'!$A$6:$A$1005,$C$3))</f>
        <v/>
      </c>
      <c r="W47" s="116" t="str">
        <f aca="false">IF($B47="","",SUMIFS('الحركات الشهرية'!$J$6:$J$1005,'الحركات الشهرية'!$B$6:$B$1005,$B47,'الحركات الشهرية'!$A$6:$A$1005,$C$3))</f>
        <v/>
      </c>
      <c r="X47" s="116" t="str">
        <f aca="false">IF($B47="","",SUM(U47:W47))</f>
        <v/>
      </c>
      <c r="Y47" s="158" t="str">
        <f aca="false">IF($B47="","",T47-X47)</f>
        <v/>
      </c>
      <c r="Z47" s="116" t="str">
        <f aca="false">IF($B47="","",الموظفون!$S47*IF(E47="سعودي",cfg_G_SR,cfg_G_NR)*G47/cfg_DAYS_M)</f>
        <v/>
      </c>
      <c r="AA47" s="116" t="str">
        <f aca="false">IF($B47="","",الموظفون!$Q47*(cfg_EOS_R1*(MIN(AH47,cfg_EOS_TH)-MIN(AI47,cfg_EOS_TH))+cfg_EOS_R2*(MAX(AH47-cfg_EOS_TH,0)-MAX(AI47-cfg_EOS_TH,0))))</f>
        <v/>
      </c>
      <c r="AB47" s="116" t="str">
        <f aca="false">IF($B47="","",IF(الموظفون!$T47&lt;&gt;"",الموظفون!$T47,IF(AH47&gt;=cfg_LV_TH,cfg_LV_D2,cfg_LV_D1))/cfg_DAYS_Y*AJ47*الموظفون!$R47/cfg_DAYS_M)</f>
        <v/>
      </c>
      <c r="AC47" s="116" t="str">
        <f aca="false">IF($B47="","",IF(AND(الموظفون!$U47="نعم",N(الموظفون!$W47)&gt;0),الموظفون!$V47/الموظفون!$W47*12/cfg_DAYS_Y*AJ47,0))</f>
        <v/>
      </c>
      <c r="AD47" s="116" t="str">
        <f aca="false">IF($B47="","",(IF(الموظفون!$X47&lt;&gt;"",الموظفون!$X47,IF(الموظفون!$E47="غير سعودي",cfg_IQ,0))+IF(الموظفون!$Y47&lt;&gt;"",الموظفون!$Y47,IF(الموظفون!$E47="غير سعودي",cfg_WP,0)))/12*G47/cfg_DAYS_M)</f>
        <v/>
      </c>
      <c r="AE47" s="116" t="str">
        <f aca="false">IF($B47="","",IF(الموظفون!$Z47&lt;&gt;"",الموظفون!$Z47,cfg_MED)/12*G47/cfg_DAYS_M)</f>
        <v/>
      </c>
      <c r="AF47" s="116" t="str">
        <f aca="false">IF($B47="","",N(الموظفون!$AA47)/12*G47/cfg_DAYS_M)</f>
        <v/>
      </c>
      <c r="AG47" s="159" t="str">
        <f aca="false">IF($B47="","",T47+SUM(Z47:AF47))</f>
        <v/>
      </c>
      <c r="AH47" s="160" t="str">
        <f aca="false">IF($B47="","",MAX(0,IF(OR(الموظفون!$AE47="",الموظفون!$AE47&gt;$F$3),$F$3,الموظفون!$AE47)-الموظفون!$H47+1-SUMIFS('سجل الإجازات والحالات'!$AI$6:$AI$505,'سجل الإجازات والحالات'!$B$6:$B$505,$B47))/cfg_DAYS_Y)</f>
        <v/>
      </c>
      <c r="AI47" s="160" t="str">
        <f aca="false">IF($B47="","",MAX(0,IF(OR(الموظفون!$AE47="",الموظفون!$AE47&gt;($E$3-1)),($E$3-1),الموظفون!$AE47)-الموظفون!$H47+1-SUMIFS('سجل الإجازات والحالات'!$AH$6:$AH$505,'سجل الإجازات والحالات'!$B$6:$B$505,$B47))/cfg_DAYS_Y)</f>
        <v/>
      </c>
      <c r="AJ47" s="133" t="str">
        <f aca="false">IF($B47="","",MAX(0,AK47-(SUMIFS('سجل الإجازات والحالات'!$AI$6:$AI$505,'سجل الإجازات والحالات'!$B$6:$B$505,$B47)-SUMIFS('سجل الإجازات والحالات'!$AH$6:$AH$505,'سجل الإجازات والحالات'!$B$6:$B$505,$B47))))</f>
        <v/>
      </c>
      <c r="AK47" s="133" t="str">
        <f aca="false">IF($B47="","",MAX(0,IF(OR(الموظفون!$AE47="",الموظفون!$AE47&gt;$F$3),$F$3,الموظفون!$AE47)-MAX($E$3,الموظفون!$H47)+1))</f>
        <v/>
      </c>
      <c r="AL47" s="156" t="str">
        <f aca="false">IF($B47="","",SUMIFS('سجل الإجازات والحالات'!$AU$6:$AU$505,'سجل الإجازات والحالات'!$B$6:$B$505,$B47)+SUMIFS('الحركات الشهرية'!$K$6:$K$1005,'الحركات الشهرية'!$B$6:$B$1005,$B47,'الحركات الشهرية'!$A$6:$A$1005,$C$3))</f>
        <v/>
      </c>
      <c r="AM47" s="116" t="str">
        <f aca="false">IF($B47="","",AL47*الموظفون!$R47/cfg_DAYS_M+S47)</f>
        <v/>
      </c>
      <c r="AN47" s="156" t="str">
        <f aca="false">IF($B47="","",SUMIFS('سجل الإجازات والحالات'!$W$6:$W$505,'سجل الإجازات والحالات'!$B$6:$B$505,$B47))</f>
        <v/>
      </c>
    </row>
    <row r="48" customFormat="false" ht="15" hidden="false" customHeight="false" outlineLevel="0" collapsed="false">
      <c r="A48" s="106" t="str">
        <f aca="false">IF($B48="","",الموظفون!$A48)</f>
        <v/>
      </c>
      <c r="B48" s="114" t="str">
        <f aca="false">IF(الموظفون!$B48="","",الموظفون!$B48)</f>
        <v/>
      </c>
      <c r="C48" s="114" t="str">
        <f aca="false">IF($B48="","",الموظفون!$C48)</f>
        <v/>
      </c>
      <c r="D48" s="114" t="str">
        <f aca="false">IF($B48="","",الموظفون!$F48)</f>
        <v/>
      </c>
      <c r="E48" s="114" t="str">
        <f aca="false">IF($B48="","",الموظفون!$E48)</f>
        <v/>
      </c>
      <c r="F48" s="114" t="str">
        <f aca="false">IF($B48="","",IF(AK48=0,IF(AND(الموظفون!$AE48&lt;&gt;"",الموظفون!$AE48&lt;$E$3),"✖ منتهي الخدمة","⏳ لم يباشر"),IF(S48&gt;0,"✈ راتب إجازة مقدم",IF(J48=0,"⛔ بدون راتب هذا الشهر",IF(I48&gt;0,"✈ خصم "&amp;ROUND(I48,2)&amp;" يوم بدون أجر",IF(AL48&gt;0,"🌴 إجازة سنوية "&amp;ROUND(AL48,2)&amp;" يوم",IF(H48&gt;0,"⚠ غياب "&amp;ROUND(H48,2)&amp;" يوم","✔ على رأس العمل")))))))</f>
        <v/>
      </c>
      <c r="G48" s="151" t="str">
        <f aca="false">IF($B48="","",IF(AK48&gt;=DAY($F$3),cfg_DAYS_M,MIN(AK48,cfg_DAYS_M)))</f>
        <v/>
      </c>
      <c r="H48" s="151" t="str">
        <f aca="false">IF($B48="","",SUMIFS('الحركات الشهرية'!$D$6:$D$1005,'الحركات الشهرية'!$B$6:$B$1005,$B48,'الحركات الشهرية'!$A$6:$A$1005,$C$3))</f>
        <v/>
      </c>
      <c r="I48" s="151" t="str">
        <f aca="false">IF($B48="","",MIN(G48,IF(AND(AK48&gt;0,AN48&gt;=AK48),G48,AN48)+SUMIFS('الحركات الشهرية'!$E$6:$E$1005,'الحركات الشهرية'!$B$6:$B$1005,$B48,'الحركات الشهرية'!$A$6:$A$1005,$C$3)))</f>
        <v/>
      </c>
      <c r="J48" s="151" t="str">
        <f aca="false">IF($B48="","",MAX(0,G48-H48-I48))</f>
        <v/>
      </c>
      <c r="K48" s="111" t="str">
        <f aca="false">IF($B48="","",الموظفون!$L48*$J48/cfg_DAYS_M)</f>
        <v/>
      </c>
      <c r="L48" s="111" t="str">
        <f aca="false">IF($B48="","",الموظفون!$M48*$J48/cfg_DAYS_M)</f>
        <v/>
      </c>
      <c r="M48" s="111" t="str">
        <f aca="false">IF($B48="","",الموظفون!$N48*$J48/cfg_DAYS_M)</f>
        <v/>
      </c>
      <c r="N48" s="111" t="str">
        <f aca="false">IF($B48="","",الموظفون!$O48*$J48/cfg_DAYS_M)</f>
        <v/>
      </c>
      <c r="O48" s="151" t="str">
        <f aca="false">IF($B48="","",SUMIFS('الحركات الشهرية'!$F$6:$F$1005,'الحركات الشهرية'!$B$6:$B$1005,$B48,'الحركات الشهرية'!$A$6:$A$1005,$C$3))</f>
        <v/>
      </c>
      <c r="P48" s="111" t="str">
        <f aca="false">IF($B48="","",O48*(الموظفون!$P48+الموظفون!$L48*cfg_OT_P)/cfg_DAYS_M/cfg_HRS)</f>
        <v/>
      </c>
      <c r="Q48" s="111" t="str">
        <f aca="false">IF($B48="","",SUMIFS('الحركات الشهرية'!$G$6:$G$1005,'الحركات الشهرية'!$B$6:$B$1005,$B48,'الحركات الشهرية'!$A$6:$A$1005,$C$3))</f>
        <v/>
      </c>
      <c r="R48" s="111" t="str">
        <f aca="false">IF($B48="","",SUMIFS('الحركات الشهرية'!$H$6:$H$1005,'الحركات الشهرية'!$B$6:$B$1005,$B48,'الحركات الشهرية'!$A$6:$A$1005,$C$3))</f>
        <v/>
      </c>
      <c r="S48" s="111" t="str">
        <f aca="false">IF($B48="","",SUMIFS('سجل الإجازات والحالات'!$N$6:$N$505,'سجل الإجازات والحالات'!$B$6:$B$505,$B48,'سجل الإجازات والحالات'!$O$6:$O$505,$C$3))</f>
        <v/>
      </c>
      <c r="T48" s="152" t="str">
        <f aca="false">IF($B48="","",SUM(K48:N48)+SUM(P48:S48))</f>
        <v/>
      </c>
      <c r="U48" s="111" t="str">
        <f aca="false">IF($B48="","",الموظفون!$S48*IF(E48="سعودي",cfg_G_SE,cfg_G_NE)*G48/cfg_DAYS_M)</f>
        <v/>
      </c>
      <c r="V48" s="111" t="str">
        <f aca="false">IF($B48="","",SUMIFS('الحركات الشهرية'!$I$6:$I$1005,'الحركات الشهرية'!$B$6:$B$1005,$B48,'الحركات الشهرية'!$A$6:$A$1005,$C$3))</f>
        <v/>
      </c>
      <c r="W48" s="111" t="str">
        <f aca="false">IF($B48="","",SUMIFS('الحركات الشهرية'!$J$6:$J$1005,'الحركات الشهرية'!$B$6:$B$1005,$B48,'الحركات الشهرية'!$A$6:$A$1005,$C$3))</f>
        <v/>
      </c>
      <c r="X48" s="111" t="str">
        <f aca="false">IF($B48="","",SUM(U48:W48))</f>
        <v/>
      </c>
      <c r="Y48" s="153" t="str">
        <f aca="false">IF($B48="","",T48-X48)</f>
        <v/>
      </c>
      <c r="Z48" s="111" t="str">
        <f aca="false">IF($B48="","",الموظفون!$S48*IF(E48="سعودي",cfg_G_SR,cfg_G_NR)*G48/cfg_DAYS_M)</f>
        <v/>
      </c>
      <c r="AA48" s="111" t="str">
        <f aca="false">IF($B48="","",الموظفون!$Q48*(cfg_EOS_R1*(MIN(AH48,cfg_EOS_TH)-MIN(AI48,cfg_EOS_TH))+cfg_EOS_R2*(MAX(AH48-cfg_EOS_TH,0)-MAX(AI48-cfg_EOS_TH,0))))</f>
        <v/>
      </c>
      <c r="AB48" s="111" t="str">
        <f aca="false">IF($B48="","",IF(الموظفون!$T48&lt;&gt;"",الموظفون!$T48,IF(AH48&gt;=cfg_LV_TH,cfg_LV_D2,cfg_LV_D1))/cfg_DAYS_Y*AJ48*الموظفون!$R48/cfg_DAYS_M)</f>
        <v/>
      </c>
      <c r="AC48" s="111" t="str">
        <f aca="false">IF($B48="","",IF(AND(الموظفون!$U48="نعم",N(الموظفون!$W48)&gt;0),الموظفون!$V48/الموظفون!$W48*12/cfg_DAYS_Y*AJ48,0))</f>
        <v/>
      </c>
      <c r="AD48" s="111" t="str">
        <f aca="false">IF($B48="","",(IF(الموظفون!$X48&lt;&gt;"",الموظفون!$X48,IF(الموظفون!$E48="غير سعودي",cfg_IQ,0))+IF(الموظفون!$Y48&lt;&gt;"",الموظفون!$Y48,IF(الموظفون!$E48="غير سعودي",cfg_WP,0)))/12*G48/cfg_DAYS_M)</f>
        <v/>
      </c>
      <c r="AE48" s="111" t="str">
        <f aca="false">IF($B48="","",IF(الموظفون!$Z48&lt;&gt;"",الموظفون!$Z48,cfg_MED)/12*G48/cfg_DAYS_M)</f>
        <v/>
      </c>
      <c r="AF48" s="111" t="str">
        <f aca="false">IF($B48="","",N(الموظفون!$AA48)/12*G48/cfg_DAYS_M)</f>
        <v/>
      </c>
      <c r="AG48" s="154" t="str">
        <f aca="false">IF($B48="","",T48+SUM(Z48:AF48))</f>
        <v/>
      </c>
      <c r="AH48" s="155" t="str">
        <f aca="false">IF($B48="","",MAX(0,IF(OR(الموظفون!$AE48="",الموظفون!$AE48&gt;$F$3),$F$3,الموظفون!$AE48)-الموظفون!$H48+1-SUMIFS('سجل الإجازات والحالات'!$AI$6:$AI$505,'سجل الإجازات والحالات'!$B$6:$B$505,$B48))/cfg_DAYS_Y)</f>
        <v/>
      </c>
      <c r="AI48" s="155" t="str">
        <f aca="false">IF($B48="","",MAX(0,IF(OR(الموظفون!$AE48="",الموظفون!$AE48&gt;($E$3-1)),($E$3-1),الموظفون!$AE48)-الموظفون!$H48+1-SUMIFS('سجل الإجازات والحالات'!$AH$6:$AH$505,'سجل الإجازات والحالات'!$B$6:$B$505,$B48))/cfg_DAYS_Y)</f>
        <v/>
      </c>
      <c r="AJ48" s="65" t="str">
        <f aca="false">IF($B48="","",MAX(0,AK48-(SUMIFS('سجل الإجازات والحالات'!$AI$6:$AI$505,'سجل الإجازات والحالات'!$B$6:$B$505,$B48)-SUMIFS('سجل الإجازات والحالات'!$AH$6:$AH$505,'سجل الإجازات والحالات'!$B$6:$B$505,$B48))))</f>
        <v/>
      </c>
      <c r="AK48" s="65" t="str">
        <f aca="false">IF($B48="","",MAX(0,IF(OR(الموظفون!$AE48="",الموظفون!$AE48&gt;$F$3),$F$3,الموظفون!$AE48)-MAX($E$3,الموظفون!$H48)+1))</f>
        <v/>
      </c>
      <c r="AL48" s="151" t="str">
        <f aca="false">IF($B48="","",SUMIFS('سجل الإجازات والحالات'!$AU$6:$AU$505,'سجل الإجازات والحالات'!$B$6:$B$505,$B48)+SUMIFS('الحركات الشهرية'!$K$6:$K$1005,'الحركات الشهرية'!$B$6:$B$1005,$B48,'الحركات الشهرية'!$A$6:$A$1005,$C$3))</f>
        <v/>
      </c>
      <c r="AM48" s="111" t="str">
        <f aca="false">IF($B48="","",AL48*الموظفون!$R48/cfg_DAYS_M+S48)</f>
        <v/>
      </c>
      <c r="AN48" s="151" t="str">
        <f aca="false">IF($B48="","",SUMIFS('سجل الإجازات والحالات'!$W$6:$W$505,'سجل الإجازات والحالات'!$B$6:$B$505,$B48))</f>
        <v/>
      </c>
    </row>
    <row r="49" customFormat="false" ht="15" hidden="false" customHeight="false" outlineLevel="0" collapsed="false">
      <c r="A49" s="115" t="str">
        <f aca="false">IF($B49="","",الموظفون!$A49)</f>
        <v/>
      </c>
      <c r="B49" s="117" t="str">
        <f aca="false">IF(الموظفون!$B49="","",الموظفون!$B49)</f>
        <v/>
      </c>
      <c r="C49" s="117" t="str">
        <f aca="false">IF($B49="","",الموظفون!$C49)</f>
        <v/>
      </c>
      <c r="D49" s="117" t="str">
        <f aca="false">IF($B49="","",الموظفون!$F49)</f>
        <v/>
      </c>
      <c r="E49" s="117" t="str">
        <f aca="false">IF($B49="","",الموظفون!$E49)</f>
        <v/>
      </c>
      <c r="F49" s="117" t="str">
        <f aca="false">IF($B49="","",IF(AK49=0,IF(AND(الموظفون!$AE49&lt;&gt;"",الموظفون!$AE49&lt;$E$3),"✖ منتهي الخدمة","⏳ لم يباشر"),IF(S49&gt;0,"✈ راتب إجازة مقدم",IF(J49=0,"⛔ بدون راتب هذا الشهر",IF(I49&gt;0,"✈ خصم "&amp;ROUND(I49,2)&amp;" يوم بدون أجر",IF(AL49&gt;0,"🌴 إجازة سنوية "&amp;ROUND(AL49,2)&amp;" يوم",IF(H49&gt;0,"⚠ غياب "&amp;ROUND(H49,2)&amp;" يوم","✔ على رأس العمل")))))))</f>
        <v/>
      </c>
      <c r="G49" s="156" t="str">
        <f aca="false">IF($B49="","",IF(AK49&gt;=DAY($F$3),cfg_DAYS_M,MIN(AK49,cfg_DAYS_M)))</f>
        <v/>
      </c>
      <c r="H49" s="156" t="str">
        <f aca="false">IF($B49="","",SUMIFS('الحركات الشهرية'!$D$6:$D$1005,'الحركات الشهرية'!$B$6:$B$1005,$B49,'الحركات الشهرية'!$A$6:$A$1005,$C$3))</f>
        <v/>
      </c>
      <c r="I49" s="156" t="str">
        <f aca="false">IF($B49="","",MIN(G49,IF(AND(AK49&gt;0,AN49&gt;=AK49),G49,AN49)+SUMIFS('الحركات الشهرية'!$E$6:$E$1005,'الحركات الشهرية'!$B$6:$B$1005,$B49,'الحركات الشهرية'!$A$6:$A$1005,$C$3)))</f>
        <v/>
      </c>
      <c r="J49" s="156" t="str">
        <f aca="false">IF($B49="","",MAX(0,G49-H49-I49))</f>
        <v/>
      </c>
      <c r="K49" s="116" t="str">
        <f aca="false">IF($B49="","",الموظفون!$L49*$J49/cfg_DAYS_M)</f>
        <v/>
      </c>
      <c r="L49" s="116" t="str">
        <f aca="false">IF($B49="","",الموظفون!$M49*$J49/cfg_DAYS_M)</f>
        <v/>
      </c>
      <c r="M49" s="116" t="str">
        <f aca="false">IF($B49="","",الموظفون!$N49*$J49/cfg_DAYS_M)</f>
        <v/>
      </c>
      <c r="N49" s="116" t="str">
        <f aca="false">IF($B49="","",الموظفون!$O49*$J49/cfg_DAYS_M)</f>
        <v/>
      </c>
      <c r="O49" s="156" t="str">
        <f aca="false">IF($B49="","",SUMIFS('الحركات الشهرية'!$F$6:$F$1005,'الحركات الشهرية'!$B$6:$B$1005,$B49,'الحركات الشهرية'!$A$6:$A$1005,$C$3))</f>
        <v/>
      </c>
      <c r="P49" s="116" t="str">
        <f aca="false">IF($B49="","",O49*(الموظفون!$P49+الموظفون!$L49*cfg_OT_P)/cfg_DAYS_M/cfg_HRS)</f>
        <v/>
      </c>
      <c r="Q49" s="116" t="str">
        <f aca="false">IF($B49="","",SUMIFS('الحركات الشهرية'!$G$6:$G$1005,'الحركات الشهرية'!$B$6:$B$1005,$B49,'الحركات الشهرية'!$A$6:$A$1005,$C$3))</f>
        <v/>
      </c>
      <c r="R49" s="116" t="str">
        <f aca="false">IF($B49="","",SUMIFS('الحركات الشهرية'!$H$6:$H$1005,'الحركات الشهرية'!$B$6:$B$1005,$B49,'الحركات الشهرية'!$A$6:$A$1005,$C$3))</f>
        <v/>
      </c>
      <c r="S49" s="116" t="str">
        <f aca="false">IF($B49="","",SUMIFS('سجل الإجازات والحالات'!$N$6:$N$505,'سجل الإجازات والحالات'!$B$6:$B$505,$B49,'سجل الإجازات والحالات'!$O$6:$O$505,$C$3))</f>
        <v/>
      </c>
      <c r="T49" s="157" t="str">
        <f aca="false">IF($B49="","",SUM(K49:N49)+SUM(P49:S49))</f>
        <v/>
      </c>
      <c r="U49" s="116" t="str">
        <f aca="false">IF($B49="","",الموظفون!$S49*IF(E49="سعودي",cfg_G_SE,cfg_G_NE)*G49/cfg_DAYS_M)</f>
        <v/>
      </c>
      <c r="V49" s="116" t="str">
        <f aca="false">IF($B49="","",SUMIFS('الحركات الشهرية'!$I$6:$I$1005,'الحركات الشهرية'!$B$6:$B$1005,$B49,'الحركات الشهرية'!$A$6:$A$1005,$C$3))</f>
        <v/>
      </c>
      <c r="W49" s="116" t="str">
        <f aca="false">IF($B49="","",SUMIFS('الحركات الشهرية'!$J$6:$J$1005,'الحركات الشهرية'!$B$6:$B$1005,$B49,'الحركات الشهرية'!$A$6:$A$1005,$C$3))</f>
        <v/>
      </c>
      <c r="X49" s="116" t="str">
        <f aca="false">IF($B49="","",SUM(U49:W49))</f>
        <v/>
      </c>
      <c r="Y49" s="158" t="str">
        <f aca="false">IF($B49="","",T49-X49)</f>
        <v/>
      </c>
      <c r="Z49" s="116" t="str">
        <f aca="false">IF($B49="","",الموظفون!$S49*IF(E49="سعودي",cfg_G_SR,cfg_G_NR)*G49/cfg_DAYS_M)</f>
        <v/>
      </c>
      <c r="AA49" s="116" t="str">
        <f aca="false">IF($B49="","",الموظفون!$Q49*(cfg_EOS_R1*(MIN(AH49,cfg_EOS_TH)-MIN(AI49,cfg_EOS_TH))+cfg_EOS_R2*(MAX(AH49-cfg_EOS_TH,0)-MAX(AI49-cfg_EOS_TH,0))))</f>
        <v/>
      </c>
      <c r="AB49" s="116" t="str">
        <f aca="false">IF($B49="","",IF(الموظفون!$T49&lt;&gt;"",الموظفون!$T49,IF(AH49&gt;=cfg_LV_TH,cfg_LV_D2,cfg_LV_D1))/cfg_DAYS_Y*AJ49*الموظفون!$R49/cfg_DAYS_M)</f>
        <v/>
      </c>
      <c r="AC49" s="116" t="str">
        <f aca="false">IF($B49="","",IF(AND(الموظفون!$U49="نعم",N(الموظفون!$W49)&gt;0),الموظفون!$V49/الموظفون!$W49*12/cfg_DAYS_Y*AJ49,0))</f>
        <v/>
      </c>
      <c r="AD49" s="116" t="str">
        <f aca="false">IF($B49="","",(IF(الموظفون!$X49&lt;&gt;"",الموظفون!$X49,IF(الموظفون!$E49="غير سعودي",cfg_IQ,0))+IF(الموظفون!$Y49&lt;&gt;"",الموظفون!$Y49,IF(الموظفون!$E49="غير سعودي",cfg_WP,0)))/12*G49/cfg_DAYS_M)</f>
        <v/>
      </c>
      <c r="AE49" s="116" t="str">
        <f aca="false">IF($B49="","",IF(الموظفون!$Z49&lt;&gt;"",الموظفون!$Z49,cfg_MED)/12*G49/cfg_DAYS_M)</f>
        <v/>
      </c>
      <c r="AF49" s="116" t="str">
        <f aca="false">IF($B49="","",N(الموظفون!$AA49)/12*G49/cfg_DAYS_M)</f>
        <v/>
      </c>
      <c r="AG49" s="159" t="str">
        <f aca="false">IF($B49="","",T49+SUM(Z49:AF49))</f>
        <v/>
      </c>
      <c r="AH49" s="160" t="str">
        <f aca="false">IF($B49="","",MAX(0,IF(OR(الموظفون!$AE49="",الموظفون!$AE49&gt;$F$3),$F$3,الموظفون!$AE49)-الموظفون!$H49+1-SUMIFS('سجل الإجازات والحالات'!$AI$6:$AI$505,'سجل الإجازات والحالات'!$B$6:$B$505,$B49))/cfg_DAYS_Y)</f>
        <v/>
      </c>
      <c r="AI49" s="160" t="str">
        <f aca="false">IF($B49="","",MAX(0,IF(OR(الموظفون!$AE49="",الموظفون!$AE49&gt;($E$3-1)),($E$3-1),الموظفون!$AE49)-الموظفون!$H49+1-SUMIFS('سجل الإجازات والحالات'!$AH$6:$AH$505,'سجل الإجازات والحالات'!$B$6:$B$505,$B49))/cfg_DAYS_Y)</f>
        <v/>
      </c>
      <c r="AJ49" s="133" t="str">
        <f aca="false">IF($B49="","",MAX(0,AK49-(SUMIFS('سجل الإجازات والحالات'!$AI$6:$AI$505,'سجل الإجازات والحالات'!$B$6:$B$505,$B49)-SUMIFS('سجل الإجازات والحالات'!$AH$6:$AH$505,'سجل الإجازات والحالات'!$B$6:$B$505,$B49))))</f>
        <v/>
      </c>
      <c r="AK49" s="133" t="str">
        <f aca="false">IF($B49="","",MAX(0,IF(OR(الموظفون!$AE49="",الموظفون!$AE49&gt;$F$3),$F$3,الموظفون!$AE49)-MAX($E$3,الموظفون!$H49)+1))</f>
        <v/>
      </c>
      <c r="AL49" s="156" t="str">
        <f aca="false">IF($B49="","",SUMIFS('سجل الإجازات والحالات'!$AU$6:$AU$505,'سجل الإجازات والحالات'!$B$6:$B$505,$B49)+SUMIFS('الحركات الشهرية'!$K$6:$K$1005,'الحركات الشهرية'!$B$6:$B$1005,$B49,'الحركات الشهرية'!$A$6:$A$1005,$C$3))</f>
        <v/>
      </c>
      <c r="AM49" s="116" t="str">
        <f aca="false">IF($B49="","",AL49*الموظفون!$R49/cfg_DAYS_M+S49)</f>
        <v/>
      </c>
      <c r="AN49" s="156" t="str">
        <f aca="false">IF($B49="","",SUMIFS('سجل الإجازات والحالات'!$W$6:$W$505,'سجل الإجازات والحالات'!$B$6:$B$505,$B49))</f>
        <v/>
      </c>
    </row>
    <row r="50" customFormat="false" ht="15" hidden="false" customHeight="false" outlineLevel="0" collapsed="false">
      <c r="A50" s="106" t="str">
        <f aca="false">IF($B50="","",الموظفون!$A50)</f>
        <v/>
      </c>
      <c r="B50" s="114" t="str">
        <f aca="false">IF(الموظفون!$B50="","",الموظفون!$B50)</f>
        <v/>
      </c>
      <c r="C50" s="114" t="str">
        <f aca="false">IF($B50="","",الموظفون!$C50)</f>
        <v/>
      </c>
      <c r="D50" s="114" t="str">
        <f aca="false">IF($B50="","",الموظفون!$F50)</f>
        <v/>
      </c>
      <c r="E50" s="114" t="str">
        <f aca="false">IF($B50="","",الموظفون!$E50)</f>
        <v/>
      </c>
      <c r="F50" s="114" t="str">
        <f aca="false">IF($B50="","",IF(AK50=0,IF(AND(الموظفون!$AE50&lt;&gt;"",الموظفون!$AE50&lt;$E$3),"✖ منتهي الخدمة","⏳ لم يباشر"),IF(S50&gt;0,"✈ راتب إجازة مقدم",IF(J50=0,"⛔ بدون راتب هذا الشهر",IF(I50&gt;0,"✈ خصم "&amp;ROUND(I50,2)&amp;" يوم بدون أجر",IF(AL50&gt;0,"🌴 إجازة سنوية "&amp;ROUND(AL50,2)&amp;" يوم",IF(H50&gt;0,"⚠ غياب "&amp;ROUND(H50,2)&amp;" يوم","✔ على رأس العمل")))))))</f>
        <v/>
      </c>
      <c r="G50" s="151" t="str">
        <f aca="false">IF($B50="","",IF(AK50&gt;=DAY($F$3),cfg_DAYS_M,MIN(AK50,cfg_DAYS_M)))</f>
        <v/>
      </c>
      <c r="H50" s="151" t="str">
        <f aca="false">IF($B50="","",SUMIFS('الحركات الشهرية'!$D$6:$D$1005,'الحركات الشهرية'!$B$6:$B$1005,$B50,'الحركات الشهرية'!$A$6:$A$1005,$C$3))</f>
        <v/>
      </c>
      <c r="I50" s="151" t="str">
        <f aca="false">IF($B50="","",MIN(G50,IF(AND(AK50&gt;0,AN50&gt;=AK50),G50,AN50)+SUMIFS('الحركات الشهرية'!$E$6:$E$1005,'الحركات الشهرية'!$B$6:$B$1005,$B50,'الحركات الشهرية'!$A$6:$A$1005,$C$3)))</f>
        <v/>
      </c>
      <c r="J50" s="151" t="str">
        <f aca="false">IF($B50="","",MAX(0,G50-H50-I50))</f>
        <v/>
      </c>
      <c r="K50" s="111" t="str">
        <f aca="false">IF($B50="","",الموظفون!$L50*$J50/cfg_DAYS_M)</f>
        <v/>
      </c>
      <c r="L50" s="111" t="str">
        <f aca="false">IF($B50="","",الموظفون!$M50*$J50/cfg_DAYS_M)</f>
        <v/>
      </c>
      <c r="M50" s="111" t="str">
        <f aca="false">IF($B50="","",الموظفون!$N50*$J50/cfg_DAYS_M)</f>
        <v/>
      </c>
      <c r="N50" s="111" t="str">
        <f aca="false">IF($B50="","",الموظفون!$O50*$J50/cfg_DAYS_M)</f>
        <v/>
      </c>
      <c r="O50" s="151" t="str">
        <f aca="false">IF($B50="","",SUMIFS('الحركات الشهرية'!$F$6:$F$1005,'الحركات الشهرية'!$B$6:$B$1005,$B50,'الحركات الشهرية'!$A$6:$A$1005,$C$3))</f>
        <v/>
      </c>
      <c r="P50" s="111" t="str">
        <f aca="false">IF($B50="","",O50*(الموظفون!$P50+الموظفون!$L50*cfg_OT_P)/cfg_DAYS_M/cfg_HRS)</f>
        <v/>
      </c>
      <c r="Q50" s="111" t="str">
        <f aca="false">IF($B50="","",SUMIFS('الحركات الشهرية'!$G$6:$G$1005,'الحركات الشهرية'!$B$6:$B$1005,$B50,'الحركات الشهرية'!$A$6:$A$1005,$C$3))</f>
        <v/>
      </c>
      <c r="R50" s="111" t="str">
        <f aca="false">IF($B50="","",SUMIFS('الحركات الشهرية'!$H$6:$H$1005,'الحركات الشهرية'!$B$6:$B$1005,$B50,'الحركات الشهرية'!$A$6:$A$1005,$C$3))</f>
        <v/>
      </c>
      <c r="S50" s="111" t="str">
        <f aca="false">IF($B50="","",SUMIFS('سجل الإجازات والحالات'!$N$6:$N$505,'سجل الإجازات والحالات'!$B$6:$B$505,$B50,'سجل الإجازات والحالات'!$O$6:$O$505,$C$3))</f>
        <v/>
      </c>
      <c r="T50" s="152" t="str">
        <f aca="false">IF($B50="","",SUM(K50:N50)+SUM(P50:S50))</f>
        <v/>
      </c>
      <c r="U50" s="111" t="str">
        <f aca="false">IF($B50="","",الموظفون!$S50*IF(E50="سعودي",cfg_G_SE,cfg_G_NE)*G50/cfg_DAYS_M)</f>
        <v/>
      </c>
      <c r="V50" s="111" t="str">
        <f aca="false">IF($B50="","",SUMIFS('الحركات الشهرية'!$I$6:$I$1005,'الحركات الشهرية'!$B$6:$B$1005,$B50,'الحركات الشهرية'!$A$6:$A$1005,$C$3))</f>
        <v/>
      </c>
      <c r="W50" s="111" t="str">
        <f aca="false">IF($B50="","",SUMIFS('الحركات الشهرية'!$J$6:$J$1005,'الحركات الشهرية'!$B$6:$B$1005,$B50,'الحركات الشهرية'!$A$6:$A$1005,$C$3))</f>
        <v/>
      </c>
      <c r="X50" s="111" t="str">
        <f aca="false">IF($B50="","",SUM(U50:W50))</f>
        <v/>
      </c>
      <c r="Y50" s="153" t="str">
        <f aca="false">IF($B50="","",T50-X50)</f>
        <v/>
      </c>
      <c r="Z50" s="111" t="str">
        <f aca="false">IF($B50="","",الموظفون!$S50*IF(E50="سعودي",cfg_G_SR,cfg_G_NR)*G50/cfg_DAYS_M)</f>
        <v/>
      </c>
      <c r="AA50" s="111" t="str">
        <f aca="false">IF($B50="","",الموظفون!$Q50*(cfg_EOS_R1*(MIN(AH50,cfg_EOS_TH)-MIN(AI50,cfg_EOS_TH))+cfg_EOS_R2*(MAX(AH50-cfg_EOS_TH,0)-MAX(AI50-cfg_EOS_TH,0))))</f>
        <v/>
      </c>
      <c r="AB50" s="111" t="str">
        <f aca="false">IF($B50="","",IF(الموظفون!$T50&lt;&gt;"",الموظفون!$T50,IF(AH50&gt;=cfg_LV_TH,cfg_LV_D2,cfg_LV_D1))/cfg_DAYS_Y*AJ50*الموظفون!$R50/cfg_DAYS_M)</f>
        <v/>
      </c>
      <c r="AC50" s="111" t="str">
        <f aca="false">IF($B50="","",IF(AND(الموظفون!$U50="نعم",N(الموظفون!$W50)&gt;0),الموظفون!$V50/الموظفون!$W50*12/cfg_DAYS_Y*AJ50,0))</f>
        <v/>
      </c>
      <c r="AD50" s="111" t="str">
        <f aca="false">IF($B50="","",(IF(الموظفون!$X50&lt;&gt;"",الموظفون!$X50,IF(الموظفون!$E50="غير سعودي",cfg_IQ,0))+IF(الموظفون!$Y50&lt;&gt;"",الموظفون!$Y50,IF(الموظفون!$E50="غير سعودي",cfg_WP,0)))/12*G50/cfg_DAYS_M)</f>
        <v/>
      </c>
      <c r="AE50" s="111" t="str">
        <f aca="false">IF($B50="","",IF(الموظفون!$Z50&lt;&gt;"",الموظفون!$Z50,cfg_MED)/12*G50/cfg_DAYS_M)</f>
        <v/>
      </c>
      <c r="AF50" s="111" t="str">
        <f aca="false">IF($B50="","",N(الموظفون!$AA50)/12*G50/cfg_DAYS_M)</f>
        <v/>
      </c>
      <c r="AG50" s="154" t="str">
        <f aca="false">IF($B50="","",T50+SUM(Z50:AF50))</f>
        <v/>
      </c>
      <c r="AH50" s="155" t="str">
        <f aca="false">IF($B50="","",MAX(0,IF(OR(الموظفون!$AE50="",الموظفون!$AE50&gt;$F$3),$F$3,الموظفون!$AE50)-الموظفون!$H50+1-SUMIFS('سجل الإجازات والحالات'!$AI$6:$AI$505,'سجل الإجازات والحالات'!$B$6:$B$505,$B50))/cfg_DAYS_Y)</f>
        <v/>
      </c>
      <c r="AI50" s="155" t="str">
        <f aca="false">IF($B50="","",MAX(0,IF(OR(الموظفون!$AE50="",الموظفون!$AE50&gt;($E$3-1)),($E$3-1),الموظفون!$AE50)-الموظفون!$H50+1-SUMIFS('سجل الإجازات والحالات'!$AH$6:$AH$505,'سجل الإجازات والحالات'!$B$6:$B$505,$B50))/cfg_DAYS_Y)</f>
        <v/>
      </c>
      <c r="AJ50" s="65" t="str">
        <f aca="false">IF($B50="","",MAX(0,AK50-(SUMIFS('سجل الإجازات والحالات'!$AI$6:$AI$505,'سجل الإجازات والحالات'!$B$6:$B$505,$B50)-SUMIFS('سجل الإجازات والحالات'!$AH$6:$AH$505,'سجل الإجازات والحالات'!$B$6:$B$505,$B50))))</f>
        <v/>
      </c>
      <c r="AK50" s="65" t="str">
        <f aca="false">IF($B50="","",MAX(0,IF(OR(الموظفون!$AE50="",الموظفون!$AE50&gt;$F$3),$F$3,الموظفون!$AE50)-MAX($E$3,الموظفون!$H50)+1))</f>
        <v/>
      </c>
      <c r="AL50" s="151" t="str">
        <f aca="false">IF($B50="","",SUMIFS('سجل الإجازات والحالات'!$AU$6:$AU$505,'سجل الإجازات والحالات'!$B$6:$B$505,$B50)+SUMIFS('الحركات الشهرية'!$K$6:$K$1005,'الحركات الشهرية'!$B$6:$B$1005,$B50,'الحركات الشهرية'!$A$6:$A$1005,$C$3))</f>
        <v/>
      </c>
      <c r="AM50" s="111" t="str">
        <f aca="false">IF($B50="","",AL50*الموظفون!$R50/cfg_DAYS_M+S50)</f>
        <v/>
      </c>
      <c r="AN50" s="151" t="str">
        <f aca="false">IF($B50="","",SUMIFS('سجل الإجازات والحالات'!$W$6:$W$505,'سجل الإجازات والحالات'!$B$6:$B$505,$B50))</f>
        <v/>
      </c>
    </row>
    <row r="51" customFormat="false" ht="15" hidden="false" customHeight="false" outlineLevel="0" collapsed="false">
      <c r="A51" s="115" t="str">
        <f aca="false">IF($B51="","",الموظفون!$A51)</f>
        <v/>
      </c>
      <c r="B51" s="117" t="str">
        <f aca="false">IF(الموظفون!$B51="","",الموظفون!$B51)</f>
        <v/>
      </c>
      <c r="C51" s="117" t="str">
        <f aca="false">IF($B51="","",الموظفون!$C51)</f>
        <v/>
      </c>
      <c r="D51" s="117" t="str">
        <f aca="false">IF($B51="","",الموظفون!$F51)</f>
        <v/>
      </c>
      <c r="E51" s="117" t="str">
        <f aca="false">IF($B51="","",الموظفون!$E51)</f>
        <v/>
      </c>
      <c r="F51" s="117" t="str">
        <f aca="false">IF($B51="","",IF(AK51=0,IF(AND(الموظفون!$AE51&lt;&gt;"",الموظفون!$AE51&lt;$E$3),"✖ منتهي الخدمة","⏳ لم يباشر"),IF(S51&gt;0,"✈ راتب إجازة مقدم",IF(J51=0,"⛔ بدون راتب هذا الشهر",IF(I51&gt;0,"✈ خصم "&amp;ROUND(I51,2)&amp;" يوم بدون أجر",IF(AL51&gt;0,"🌴 إجازة سنوية "&amp;ROUND(AL51,2)&amp;" يوم",IF(H51&gt;0,"⚠ غياب "&amp;ROUND(H51,2)&amp;" يوم","✔ على رأس العمل")))))))</f>
        <v/>
      </c>
      <c r="G51" s="156" t="str">
        <f aca="false">IF($B51="","",IF(AK51&gt;=DAY($F$3),cfg_DAYS_M,MIN(AK51,cfg_DAYS_M)))</f>
        <v/>
      </c>
      <c r="H51" s="156" t="str">
        <f aca="false">IF($B51="","",SUMIFS('الحركات الشهرية'!$D$6:$D$1005,'الحركات الشهرية'!$B$6:$B$1005,$B51,'الحركات الشهرية'!$A$6:$A$1005,$C$3))</f>
        <v/>
      </c>
      <c r="I51" s="156" t="str">
        <f aca="false">IF($B51="","",MIN(G51,IF(AND(AK51&gt;0,AN51&gt;=AK51),G51,AN51)+SUMIFS('الحركات الشهرية'!$E$6:$E$1005,'الحركات الشهرية'!$B$6:$B$1005,$B51,'الحركات الشهرية'!$A$6:$A$1005,$C$3)))</f>
        <v/>
      </c>
      <c r="J51" s="156" t="str">
        <f aca="false">IF($B51="","",MAX(0,G51-H51-I51))</f>
        <v/>
      </c>
      <c r="K51" s="116" t="str">
        <f aca="false">IF($B51="","",الموظفون!$L51*$J51/cfg_DAYS_M)</f>
        <v/>
      </c>
      <c r="L51" s="116" t="str">
        <f aca="false">IF($B51="","",الموظفون!$M51*$J51/cfg_DAYS_M)</f>
        <v/>
      </c>
      <c r="M51" s="116" t="str">
        <f aca="false">IF($B51="","",الموظفون!$N51*$J51/cfg_DAYS_M)</f>
        <v/>
      </c>
      <c r="N51" s="116" t="str">
        <f aca="false">IF($B51="","",الموظفون!$O51*$J51/cfg_DAYS_M)</f>
        <v/>
      </c>
      <c r="O51" s="156" t="str">
        <f aca="false">IF($B51="","",SUMIFS('الحركات الشهرية'!$F$6:$F$1005,'الحركات الشهرية'!$B$6:$B$1005,$B51,'الحركات الشهرية'!$A$6:$A$1005,$C$3))</f>
        <v/>
      </c>
      <c r="P51" s="116" t="str">
        <f aca="false">IF($B51="","",O51*(الموظفون!$P51+الموظفون!$L51*cfg_OT_P)/cfg_DAYS_M/cfg_HRS)</f>
        <v/>
      </c>
      <c r="Q51" s="116" t="str">
        <f aca="false">IF($B51="","",SUMIFS('الحركات الشهرية'!$G$6:$G$1005,'الحركات الشهرية'!$B$6:$B$1005,$B51,'الحركات الشهرية'!$A$6:$A$1005,$C$3))</f>
        <v/>
      </c>
      <c r="R51" s="116" t="str">
        <f aca="false">IF($B51="","",SUMIFS('الحركات الشهرية'!$H$6:$H$1005,'الحركات الشهرية'!$B$6:$B$1005,$B51,'الحركات الشهرية'!$A$6:$A$1005,$C$3))</f>
        <v/>
      </c>
      <c r="S51" s="116" t="str">
        <f aca="false">IF($B51="","",SUMIFS('سجل الإجازات والحالات'!$N$6:$N$505,'سجل الإجازات والحالات'!$B$6:$B$505,$B51,'سجل الإجازات والحالات'!$O$6:$O$505,$C$3))</f>
        <v/>
      </c>
      <c r="T51" s="157" t="str">
        <f aca="false">IF($B51="","",SUM(K51:N51)+SUM(P51:S51))</f>
        <v/>
      </c>
      <c r="U51" s="116" t="str">
        <f aca="false">IF($B51="","",الموظفون!$S51*IF(E51="سعودي",cfg_G_SE,cfg_G_NE)*G51/cfg_DAYS_M)</f>
        <v/>
      </c>
      <c r="V51" s="116" t="str">
        <f aca="false">IF($B51="","",SUMIFS('الحركات الشهرية'!$I$6:$I$1005,'الحركات الشهرية'!$B$6:$B$1005,$B51,'الحركات الشهرية'!$A$6:$A$1005,$C$3))</f>
        <v/>
      </c>
      <c r="W51" s="116" t="str">
        <f aca="false">IF($B51="","",SUMIFS('الحركات الشهرية'!$J$6:$J$1005,'الحركات الشهرية'!$B$6:$B$1005,$B51,'الحركات الشهرية'!$A$6:$A$1005,$C$3))</f>
        <v/>
      </c>
      <c r="X51" s="116" t="str">
        <f aca="false">IF($B51="","",SUM(U51:W51))</f>
        <v/>
      </c>
      <c r="Y51" s="158" t="str">
        <f aca="false">IF($B51="","",T51-X51)</f>
        <v/>
      </c>
      <c r="Z51" s="116" t="str">
        <f aca="false">IF($B51="","",الموظفون!$S51*IF(E51="سعودي",cfg_G_SR,cfg_G_NR)*G51/cfg_DAYS_M)</f>
        <v/>
      </c>
      <c r="AA51" s="116" t="str">
        <f aca="false">IF($B51="","",الموظفون!$Q51*(cfg_EOS_R1*(MIN(AH51,cfg_EOS_TH)-MIN(AI51,cfg_EOS_TH))+cfg_EOS_R2*(MAX(AH51-cfg_EOS_TH,0)-MAX(AI51-cfg_EOS_TH,0))))</f>
        <v/>
      </c>
      <c r="AB51" s="116" t="str">
        <f aca="false">IF($B51="","",IF(الموظفون!$T51&lt;&gt;"",الموظفون!$T51,IF(AH51&gt;=cfg_LV_TH,cfg_LV_D2,cfg_LV_D1))/cfg_DAYS_Y*AJ51*الموظفون!$R51/cfg_DAYS_M)</f>
        <v/>
      </c>
      <c r="AC51" s="116" t="str">
        <f aca="false">IF($B51="","",IF(AND(الموظفون!$U51="نعم",N(الموظفون!$W51)&gt;0),الموظفون!$V51/الموظفون!$W51*12/cfg_DAYS_Y*AJ51,0))</f>
        <v/>
      </c>
      <c r="AD51" s="116" t="str">
        <f aca="false">IF($B51="","",(IF(الموظفون!$X51&lt;&gt;"",الموظفون!$X51,IF(الموظفون!$E51="غير سعودي",cfg_IQ,0))+IF(الموظفون!$Y51&lt;&gt;"",الموظفون!$Y51,IF(الموظفون!$E51="غير سعودي",cfg_WP,0)))/12*G51/cfg_DAYS_M)</f>
        <v/>
      </c>
      <c r="AE51" s="116" t="str">
        <f aca="false">IF($B51="","",IF(الموظفون!$Z51&lt;&gt;"",الموظفون!$Z51,cfg_MED)/12*G51/cfg_DAYS_M)</f>
        <v/>
      </c>
      <c r="AF51" s="116" t="str">
        <f aca="false">IF($B51="","",N(الموظفون!$AA51)/12*G51/cfg_DAYS_M)</f>
        <v/>
      </c>
      <c r="AG51" s="159" t="str">
        <f aca="false">IF($B51="","",T51+SUM(Z51:AF51))</f>
        <v/>
      </c>
      <c r="AH51" s="160" t="str">
        <f aca="false">IF($B51="","",MAX(0,IF(OR(الموظفون!$AE51="",الموظفون!$AE51&gt;$F$3),$F$3,الموظفون!$AE51)-الموظفون!$H51+1-SUMIFS('سجل الإجازات والحالات'!$AI$6:$AI$505,'سجل الإجازات والحالات'!$B$6:$B$505,$B51))/cfg_DAYS_Y)</f>
        <v/>
      </c>
      <c r="AI51" s="160" t="str">
        <f aca="false">IF($B51="","",MAX(0,IF(OR(الموظفون!$AE51="",الموظفون!$AE51&gt;($E$3-1)),($E$3-1),الموظفون!$AE51)-الموظفون!$H51+1-SUMIFS('سجل الإجازات والحالات'!$AH$6:$AH$505,'سجل الإجازات والحالات'!$B$6:$B$505,$B51))/cfg_DAYS_Y)</f>
        <v/>
      </c>
      <c r="AJ51" s="133" t="str">
        <f aca="false">IF($B51="","",MAX(0,AK51-(SUMIFS('سجل الإجازات والحالات'!$AI$6:$AI$505,'سجل الإجازات والحالات'!$B$6:$B$505,$B51)-SUMIFS('سجل الإجازات والحالات'!$AH$6:$AH$505,'سجل الإجازات والحالات'!$B$6:$B$505,$B51))))</f>
        <v/>
      </c>
      <c r="AK51" s="133" t="str">
        <f aca="false">IF($B51="","",MAX(0,IF(OR(الموظفون!$AE51="",الموظفون!$AE51&gt;$F$3),$F$3,الموظفون!$AE51)-MAX($E$3,الموظفون!$H51)+1))</f>
        <v/>
      </c>
      <c r="AL51" s="156" t="str">
        <f aca="false">IF($B51="","",SUMIFS('سجل الإجازات والحالات'!$AU$6:$AU$505,'سجل الإجازات والحالات'!$B$6:$B$505,$B51)+SUMIFS('الحركات الشهرية'!$K$6:$K$1005,'الحركات الشهرية'!$B$6:$B$1005,$B51,'الحركات الشهرية'!$A$6:$A$1005,$C$3))</f>
        <v/>
      </c>
      <c r="AM51" s="116" t="str">
        <f aca="false">IF($B51="","",AL51*الموظفون!$R51/cfg_DAYS_M+S51)</f>
        <v/>
      </c>
      <c r="AN51" s="156" t="str">
        <f aca="false">IF($B51="","",SUMIFS('سجل الإجازات والحالات'!$W$6:$W$505,'سجل الإجازات والحالات'!$B$6:$B$505,$B51))</f>
        <v/>
      </c>
    </row>
    <row r="52" customFormat="false" ht="15" hidden="false" customHeight="false" outlineLevel="0" collapsed="false">
      <c r="A52" s="106" t="str">
        <f aca="false">IF($B52="","",الموظفون!$A52)</f>
        <v/>
      </c>
      <c r="B52" s="114" t="str">
        <f aca="false">IF(الموظفون!$B52="","",الموظفون!$B52)</f>
        <v/>
      </c>
      <c r="C52" s="114" t="str">
        <f aca="false">IF($B52="","",الموظفون!$C52)</f>
        <v/>
      </c>
      <c r="D52" s="114" t="str">
        <f aca="false">IF($B52="","",الموظفون!$F52)</f>
        <v/>
      </c>
      <c r="E52" s="114" t="str">
        <f aca="false">IF($B52="","",الموظفون!$E52)</f>
        <v/>
      </c>
      <c r="F52" s="114" t="str">
        <f aca="false">IF($B52="","",IF(AK52=0,IF(AND(الموظفون!$AE52&lt;&gt;"",الموظفون!$AE52&lt;$E$3),"✖ منتهي الخدمة","⏳ لم يباشر"),IF(S52&gt;0,"✈ راتب إجازة مقدم",IF(J52=0,"⛔ بدون راتب هذا الشهر",IF(I52&gt;0,"✈ خصم "&amp;ROUND(I52,2)&amp;" يوم بدون أجر",IF(AL52&gt;0,"🌴 إجازة سنوية "&amp;ROUND(AL52,2)&amp;" يوم",IF(H52&gt;0,"⚠ غياب "&amp;ROUND(H52,2)&amp;" يوم","✔ على رأس العمل")))))))</f>
        <v/>
      </c>
      <c r="G52" s="151" t="str">
        <f aca="false">IF($B52="","",IF(AK52&gt;=DAY($F$3),cfg_DAYS_M,MIN(AK52,cfg_DAYS_M)))</f>
        <v/>
      </c>
      <c r="H52" s="151" t="str">
        <f aca="false">IF($B52="","",SUMIFS('الحركات الشهرية'!$D$6:$D$1005,'الحركات الشهرية'!$B$6:$B$1005,$B52,'الحركات الشهرية'!$A$6:$A$1005,$C$3))</f>
        <v/>
      </c>
      <c r="I52" s="151" t="str">
        <f aca="false">IF($B52="","",MIN(G52,IF(AND(AK52&gt;0,AN52&gt;=AK52),G52,AN52)+SUMIFS('الحركات الشهرية'!$E$6:$E$1005,'الحركات الشهرية'!$B$6:$B$1005,$B52,'الحركات الشهرية'!$A$6:$A$1005,$C$3)))</f>
        <v/>
      </c>
      <c r="J52" s="151" t="str">
        <f aca="false">IF($B52="","",MAX(0,G52-H52-I52))</f>
        <v/>
      </c>
      <c r="K52" s="111" t="str">
        <f aca="false">IF($B52="","",الموظفون!$L52*$J52/cfg_DAYS_M)</f>
        <v/>
      </c>
      <c r="L52" s="111" t="str">
        <f aca="false">IF($B52="","",الموظفون!$M52*$J52/cfg_DAYS_M)</f>
        <v/>
      </c>
      <c r="M52" s="111" t="str">
        <f aca="false">IF($B52="","",الموظفون!$N52*$J52/cfg_DAYS_M)</f>
        <v/>
      </c>
      <c r="N52" s="111" t="str">
        <f aca="false">IF($B52="","",الموظفون!$O52*$J52/cfg_DAYS_M)</f>
        <v/>
      </c>
      <c r="O52" s="151" t="str">
        <f aca="false">IF($B52="","",SUMIFS('الحركات الشهرية'!$F$6:$F$1005,'الحركات الشهرية'!$B$6:$B$1005,$B52,'الحركات الشهرية'!$A$6:$A$1005,$C$3))</f>
        <v/>
      </c>
      <c r="P52" s="111" t="str">
        <f aca="false">IF($B52="","",O52*(الموظفون!$P52+الموظفون!$L52*cfg_OT_P)/cfg_DAYS_M/cfg_HRS)</f>
        <v/>
      </c>
      <c r="Q52" s="111" t="str">
        <f aca="false">IF($B52="","",SUMIFS('الحركات الشهرية'!$G$6:$G$1005,'الحركات الشهرية'!$B$6:$B$1005,$B52,'الحركات الشهرية'!$A$6:$A$1005,$C$3))</f>
        <v/>
      </c>
      <c r="R52" s="111" t="str">
        <f aca="false">IF($B52="","",SUMIFS('الحركات الشهرية'!$H$6:$H$1005,'الحركات الشهرية'!$B$6:$B$1005,$B52,'الحركات الشهرية'!$A$6:$A$1005,$C$3))</f>
        <v/>
      </c>
      <c r="S52" s="111" t="str">
        <f aca="false">IF($B52="","",SUMIFS('سجل الإجازات والحالات'!$N$6:$N$505,'سجل الإجازات والحالات'!$B$6:$B$505,$B52,'سجل الإجازات والحالات'!$O$6:$O$505,$C$3))</f>
        <v/>
      </c>
      <c r="T52" s="152" t="str">
        <f aca="false">IF($B52="","",SUM(K52:N52)+SUM(P52:S52))</f>
        <v/>
      </c>
      <c r="U52" s="111" t="str">
        <f aca="false">IF($B52="","",الموظفون!$S52*IF(E52="سعودي",cfg_G_SE,cfg_G_NE)*G52/cfg_DAYS_M)</f>
        <v/>
      </c>
      <c r="V52" s="111" t="str">
        <f aca="false">IF($B52="","",SUMIFS('الحركات الشهرية'!$I$6:$I$1005,'الحركات الشهرية'!$B$6:$B$1005,$B52,'الحركات الشهرية'!$A$6:$A$1005,$C$3))</f>
        <v/>
      </c>
      <c r="W52" s="111" t="str">
        <f aca="false">IF($B52="","",SUMIFS('الحركات الشهرية'!$J$6:$J$1005,'الحركات الشهرية'!$B$6:$B$1005,$B52,'الحركات الشهرية'!$A$6:$A$1005,$C$3))</f>
        <v/>
      </c>
      <c r="X52" s="111" t="str">
        <f aca="false">IF($B52="","",SUM(U52:W52))</f>
        <v/>
      </c>
      <c r="Y52" s="153" t="str">
        <f aca="false">IF($B52="","",T52-X52)</f>
        <v/>
      </c>
      <c r="Z52" s="111" t="str">
        <f aca="false">IF($B52="","",الموظفون!$S52*IF(E52="سعودي",cfg_G_SR,cfg_G_NR)*G52/cfg_DAYS_M)</f>
        <v/>
      </c>
      <c r="AA52" s="111" t="str">
        <f aca="false">IF($B52="","",الموظفون!$Q52*(cfg_EOS_R1*(MIN(AH52,cfg_EOS_TH)-MIN(AI52,cfg_EOS_TH))+cfg_EOS_R2*(MAX(AH52-cfg_EOS_TH,0)-MAX(AI52-cfg_EOS_TH,0))))</f>
        <v/>
      </c>
      <c r="AB52" s="111" t="str">
        <f aca="false">IF($B52="","",IF(الموظفون!$T52&lt;&gt;"",الموظفون!$T52,IF(AH52&gt;=cfg_LV_TH,cfg_LV_D2,cfg_LV_D1))/cfg_DAYS_Y*AJ52*الموظفون!$R52/cfg_DAYS_M)</f>
        <v/>
      </c>
      <c r="AC52" s="111" t="str">
        <f aca="false">IF($B52="","",IF(AND(الموظفون!$U52="نعم",N(الموظفون!$W52)&gt;0),الموظفون!$V52/الموظفون!$W52*12/cfg_DAYS_Y*AJ52,0))</f>
        <v/>
      </c>
      <c r="AD52" s="111" t="str">
        <f aca="false">IF($B52="","",(IF(الموظفون!$X52&lt;&gt;"",الموظفون!$X52,IF(الموظفون!$E52="غير سعودي",cfg_IQ,0))+IF(الموظفون!$Y52&lt;&gt;"",الموظفون!$Y52,IF(الموظفون!$E52="غير سعودي",cfg_WP,0)))/12*G52/cfg_DAYS_M)</f>
        <v/>
      </c>
      <c r="AE52" s="111" t="str">
        <f aca="false">IF($B52="","",IF(الموظفون!$Z52&lt;&gt;"",الموظفون!$Z52,cfg_MED)/12*G52/cfg_DAYS_M)</f>
        <v/>
      </c>
      <c r="AF52" s="111" t="str">
        <f aca="false">IF($B52="","",N(الموظفون!$AA52)/12*G52/cfg_DAYS_M)</f>
        <v/>
      </c>
      <c r="AG52" s="154" t="str">
        <f aca="false">IF($B52="","",T52+SUM(Z52:AF52))</f>
        <v/>
      </c>
      <c r="AH52" s="155" t="str">
        <f aca="false">IF($B52="","",MAX(0,IF(OR(الموظفون!$AE52="",الموظفون!$AE52&gt;$F$3),$F$3,الموظفون!$AE52)-الموظفون!$H52+1-SUMIFS('سجل الإجازات والحالات'!$AI$6:$AI$505,'سجل الإجازات والحالات'!$B$6:$B$505,$B52))/cfg_DAYS_Y)</f>
        <v/>
      </c>
      <c r="AI52" s="155" t="str">
        <f aca="false">IF($B52="","",MAX(0,IF(OR(الموظفون!$AE52="",الموظفون!$AE52&gt;($E$3-1)),($E$3-1),الموظفون!$AE52)-الموظفون!$H52+1-SUMIFS('سجل الإجازات والحالات'!$AH$6:$AH$505,'سجل الإجازات والحالات'!$B$6:$B$505,$B52))/cfg_DAYS_Y)</f>
        <v/>
      </c>
      <c r="AJ52" s="65" t="str">
        <f aca="false">IF($B52="","",MAX(0,AK52-(SUMIFS('سجل الإجازات والحالات'!$AI$6:$AI$505,'سجل الإجازات والحالات'!$B$6:$B$505,$B52)-SUMIFS('سجل الإجازات والحالات'!$AH$6:$AH$505,'سجل الإجازات والحالات'!$B$6:$B$505,$B52))))</f>
        <v/>
      </c>
      <c r="AK52" s="65" t="str">
        <f aca="false">IF($B52="","",MAX(0,IF(OR(الموظفون!$AE52="",الموظفون!$AE52&gt;$F$3),$F$3,الموظفون!$AE52)-MAX($E$3,الموظفون!$H52)+1))</f>
        <v/>
      </c>
      <c r="AL52" s="151" t="str">
        <f aca="false">IF($B52="","",SUMIFS('سجل الإجازات والحالات'!$AU$6:$AU$505,'سجل الإجازات والحالات'!$B$6:$B$505,$B52)+SUMIFS('الحركات الشهرية'!$K$6:$K$1005,'الحركات الشهرية'!$B$6:$B$1005,$B52,'الحركات الشهرية'!$A$6:$A$1005,$C$3))</f>
        <v/>
      </c>
      <c r="AM52" s="111" t="str">
        <f aca="false">IF($B52="","",AL52*الموظفون!$R52/cfg_DAYS_M+S52)</f>
        <v/>
      </c>
      <c r="AN52" s="151" t="str">
        <f aca="false">IF($B52="","",SUMIFS('سجل الإجازات والحالات'!$W$6:$W$505,'سجل الإجازات والحالات'!$B$6:$B$505,$B52))</f>
        <v/>
      </c>
    </row>
    <row r="53" customFormat="false" ht="15" hidden="false" customHeight="false" outlineLevel="0" collapsed="false">
      <c r="A53" s="115" t="str">
        <f aca="false">IF($B53="","",الموظفون!$A53)</f>
        <v/>
      </c>
      <c r="B53" s="117" t="str">
        <f aca="false">IF(الموظفون!$B53="","",الموظفون!$B53)</f>
        <v/>
      </c>
      <c r="C53" s="117" t="str">
        <f aca="false">IF($B53="","",الموظفون!$C53)</f>
        <v/>
      </c>
      <c r="D53" s="117" t="str">
        <f aca="false">IF($B53="","",الموظفون!$F53)</f>
        <v/>
      </c>
      <c r="E53" s="117" t="str">
        <f aca="false">IF($B53="","",الموظفون!$E53)</f>
        <v/>
      </c>
      <c r="F53" s="117" t="str">
        <f aca="false">IF($B53="","",IF(AK53=0,IF(AND(الموظفون!$AE53&lt;&gt;"",الموظفون!$AE53&lt;$E$3),"✖ منتهي الخدمة","⏳ لم يباشر"),IF(S53&gt;0,"✈ راتب إجازة مقدم",IF(J53=0,"⛔ بدون راتب هذا الشهر",IF(I53&gt;0,"✈ خصم "&amp;ROUND(I53,2)&amp;" يوم بدون أجر",IF(AL53&gt;0,"🌴 إجازة سنوية "&amp;ROUND(AL53,2)&amp;" يوم",IF(H53&gt;0,"⚠ غياب "&amp;ROUND(H53,2)&amp;" يوم","✔ على رأس العمل")))))))</f>
        <v/>
      </c>
      <c r="G53" s="156" t="str">
        <f aca="false">IF($B53="","",IF(AK53&gt;=DAY($F$3),cfg_DAYS_M,MIN(AK53,cfg_DAYS_M)))</f>
        <v/>
      </c>
      <c r="H53" s="156" t="str">
        <f aca="false">IF($B53="","",SUMIFS('الحركات الشهرية'!$D$6:$D$1005,'الحركات الشهرية'!$B$6:$B$1005,$B53,'الحركات الشهرية'!$A$6:$A$1005,$C$3))</f>
        <v/>
      </c>
      <c r="I53" s="156" t="str">
        <f aca="false">IF($B53="","",MIN(G53,IF(AND(AK53&gt;0,AN53&gt;=AK53),G53,AN53)+SUMIFS('الحركات الشهرية'!$E$6:$E$1005,'الحركات الشهرية'!$B$6:$B$1005,$B53,'الحركات الشهرية'!$A$6:$A$1005,$C$3)))</f>
        <v/>
      </c>
      <c r="J53" s="156" t="str">
        <f aca="false">IF($B53="","",MAX(0,G53-H53-I53))</f>
        <v/>
      </c>
      <c r="K53" s="116" t="str">
        <f aca="false">IF($B53="","",الموظفون!$L53*$J53/cfg_DAYS_M)</f>
        <v/>
      </c>
      <c r="L53" s="116" t="str">
        <f aca="false">IF($B53="","",الموظفون!$M53*$J53/cfg_DAYS_M)</f>
        <v/>
      </c>
      <c r="M53" s="116" t="str">
        <f aca="false">IF($B53="","",الموظفون!$N53*$J53/cfg_DAYS_M)</f>
        <v/>
      </c>
      <c r="N53" s="116" t="str">
        <f aca="false">IF($B53="","",الموظفون!$O53*$J53/cfg_DAYS_M)</f>
        <v/>
      </c>
      <c r="O53" s="156" t="str">
        <f aca="false">IF($B53="","",SUMIFS('الحركات الشهرية'!$F$6:$F$1005,'الحركات الشهرية'!$B$6:$B$1005,$B53,'الحركات الشهرية'!$A$6:$A$1005,$C$3))</f>
        <v/>
      </c>
      <c r="P53" s="116" t="str">
        <f aca="false">IF($B53="","",O53*(الموظفون!$P53+الموظفون!$L53*cfg_OT_P)/cfg_DAYS_M/cfg_HRS)</f>
        <v/>
      </c>
      <c r="Q53" s="116" t="str">
        <f aca="false">IF($B53="","",SUMIFS('الحركات الشهرية'!$G$6:$G$1005,'الحركات الشهرية'!$B$6:$B$1005,$B53,'الحركات الشهرية'!$A$6:$A$1005,$C$3))</f>
        <v/>
      </c>
      <c r="R53" s="116" t="str">
        <f aca="false">IF($B53="","",SUMIFS('الحركات الشهرية'!$H$6:$H$1005,'الحركات الشهرية'!$B$6:$B$1005,$B53,'الحركات الشهرية'!$A$6:$A$1005,$C$3))</f>
        <v/>
      </c>
      <c r="S53" s="116" t="str">
        <f aca="false">IF($B53="","",SUMIFS('سجل الإجازات والحالات'!$N$6:$N$505,'سجل الإجازات والحالات'!$B$6:$B$505,$B53,'سجل الإجازات والحالات'!$O$6:$O$505,$C$3))</f>
        <v/>
      </c>
      <c r="T53" s="157" t="str">
        <f aca="false">IF($B53="","",SUM(K53:N53)+SUM(P53:S53))</f>
        <v/>
      </c>
      <c r="U53" s="116" t="str">
        <f aca="false">IF($B53="","",الموظفون!$S53*IF(E53="سعودي",cfg_G_SE,cfg_G_NE)*G53/cfg_DAYS_M)</f>
        <v/>
      </c>
      <c r="V53" s="116" t="str">
        <f aca="false">IF($B53="","",SUMIFS('الحركات الشهرية'!$I$6:$I$1005,'الحركات الشهرية'!$B$6:$B$1005,$B53,'الحركات الشهرية'!$A$6:$A$1005,$C$3))</f>
        <v/>
      </c>
      <c r="W53" s="116" t="str">
        <f aca="false">IF($B53="","",SUMIFS('الحركات الشهرية'!$J$6:$J$1005,'الحركات الشهرية'!$B$6:$B$1005,$B53,'الحركات الشهرية'!$A$6:$A$1005,$C$3))</f>
        <v/>
      </c>
      <c r="X53" s="116" t="str">
        <f aca="false">IF($B53="","",SUM(U53:W53))</f>
        <v/>
      </c>
      <c r="Y53" s="158" t="str">
        <f aca="false">IF($B53="","",T53-X53)</f>
        <v/>
      </c>
      <c r="Z53" s="116" t="str">
        <f aca="false">IF($B53="","",الموظفون!$S53*IF(E53="سعودي",cfg_G_SR,cfg_G_NR)*G53/cfg_DAYS_M)</f>
        <v/>
      </c>
      <c r="AA53" s="116" t="str">
        <f aca="false">IF($B53="","",الموظفون!$Q53*(cfg_EOS_R1*(MIN(AH53,cfg_EOS_TH)-MIN(AI53,cfg_EOS_TH))+cfg_EOS_R2*(MAX(AH53-cfg_EOS_TH,0)-MAX(AI53-cfg_EOS_TH,0))))</f>
        <v/>
      </c>
      <c r="AB53" s="116" t="str">
        <f aca="false">IF($B53="","",IF(الموظفون!$T53&lt;&gt;"",الموظفون!$T53,IF(AH53&gt;=cfg_LV_TH,cfg_LV_D2,cfg_LV_D1))/cfg_DAYS_Y*AJ53*الموظفون!$R53/cfg_DAYS_M)</f>
        <v/>
      </c>
      <c r="AC53" s="116" t="str">
        <f aca="false">IF($B53="","",IF(AND(الموظفون!$U53="نعم",N(الموظفون!$W53)&gt;0),الموظفون!$V53/الموظفون!$W53*12/cfg_DAYS_Y*AJ53,0))</f>
        <v/>
      </c>
      <c r="AD53" s="116" t="str">
        <f aca="false">IF($B53="","",(IF(الموظفون!$X53&lt;&gt;"",الموظفون!$X53,IF(الموظفون!$E53="غير سعودي",cfg_IQ,0))+IF(الموظفون!$Y53&lt;&gt;"",الموظفون!$Y53,IF(الموظفون!$E53="غير سعودي",cfg_WP,0)))/12*G53/cfg_DAYS_M)</f>
        <v/>
      </c>
      <c r="AE53" s="116" t="str">
        <f aca="false">IF($B53="","",IF(الموظفون!$Z53&lt;&gt;"",الموظفون!$Z53,cfg_MED)/12*G53/cfg_DAYS_M)</f>
        <v/>
      </c>
      <c r="AF53" s="116" t="str">
        <f aca="false">IF($B53="","",N(الموظفون!$AA53)/12*G53/cfg_DAYS_M)</f>
        <v/>
      </c>
      <c r="AG53" s="159" t="str">
        <f aca="false">IF($B53="","",T53+SUM(Z53:AF53))</f>
        <v/>
      </c>
      <c r="AH53" s="160" t="str">
        <f aca="false">IF($B53="","",MAX(0,IF(OR(الموظفون!$AE53="",الموظفون!$AE53&gt;$F$3),$F$3,الموظفون!$AE53)-الموظفون!$H53+1-SUMIFS('سجل الإجازات والحالات'!$AI$6:$AI$505,'سجل الإجازات والحالات'!$B$6:$B$505,$B53))/cfg_DAYS_Y)</f>
        <v/>
      </c>
      <c r="AI53" s="160" t="str">
        <f aca="false">IF($B53="","",MAX(0,IF(OR(الموظفون!$AE53="",الموظفون!$AE53&gt;($E$3-1)),($E$3-1),الموظفون!$AE53)-الموظفون!$H53+1-SUMIFS('سجل الإجازات والحالات'!$AH$6:$AH$505,'سجل الإجازات والحالات'!$B$6:$B$505,$B53))/cfg_DAYS_Y)</f>
        <v/>
      </c>
      <c r="AJ53" s="133" t="str">
        <f aca="false">IF($B53="","",MAX(0,AK53-(SUMIFS('سجل الإجازات والحالات'!$AI$6:$AI$505,'سجل الإجازات والحالات'!$B$6:$B$505,$B53)-SUMIFS('سجل الإجازات والحالات'!$AH$6:$AH$505,'سجل الإجازات والحالات'!$B$6:$B$505,$B53))))</f>
        <v/>
      </c>
      <c r="AK53" s="133" t="str">
        <f aca="false">IF($B53="","",MAX(0,IF(OR(الموظفون!$AE53="",الموظفون!$AE53&gt;$F$3),$F$3,الموظفون!$AE53)-MAX($E$3,الموظفون!$H53)+1))</f>
        <v/>
      </c>
      <c r="AL53" s="156" t="str">
        <f aca="false">IF($B53="","",SUMIFS('سجل الإجازات والحالات'!$AU$6:$AU$505,'سجل الإجازات والحالات'!$B$6:$B$505,$B53)+SUMIFS('الحركات الشهرية'!$K$6:$K$1005,'الحركات الشهرية'!$B$6:$B$1005,$B53,'الحركات الشهرية'!$A$6:$A$1005,$C$3))</f>
        <v/>
      </c>
      <c r="AM53" s="116" t="str">
        <f aca="false">IF($B53="","",AL53*الموظفون!$R53/cfg_DAYS_M+S53)</f>
        <v/>
      </c>
      <c r="AN53" s="156" t="str">
        <f aca="false">IF($B53="","",SUMIFS('سجل الإجازات والحالات'!$W$6:$W$505,'سجل الإجازات والحالات'!$B$6:$B$505,$B53))</f>
        <v/>
      </c>
    </row>
    <row r="54" customFormat="false" ht="15" hidden="false" customHeight="false" outlineLevel="0" collapsed="false">
      <c r="A54" s="106" t="str">
        <f aca="false">IF($B54="","",الموظفون!$A54)</f>
        <v/>
      </c>
      <c r="B54" s="114" t="str">
        <f aca="false">IF(الموظفون!$B54="","",الموظفون!$B54)</f>
        <v/>
      </c>
      <c r="C54" s="114" t="str">
        <f aca="false">IF($B54="","",الموظفون!$C54)</f>
        <v/>
      </c>
      <c r="D54" s="114" t="str">
        <f aca="false">IF($B54="","",الموظفون!$F54)</f>
        <v/>
      </c>
      <c r="E54" s="114" t="str">
        <f aca="false">IF($B54="","",الموظفون!$E54)</f>
        <v/>
      </c>
      <c r="F54" s="114" t="str">
        <f aca="false">IF($B54="","",IF(AK54=0,IF(AND(الموظفون!$AE54&lt;&gt;"",الموظفون!$AE54&lt;$E$3),"✖ منتهي الخدمة","⏳ لم يباشر"),IF(S54&gt;0,"✈ راتب إجازة مقدم",IF(J54=0,"⛔ بدون راتب هذا الشهر",IF(I54&gt;0,"✈ خصم "&amp;ROUND(I54,2)&amp;" يوم بدون أجر",IF(AL54&gt;0,"🌴 إجازة سنوية "&amp;ROUND(AL54,2)&amp;" يوم",IF(H54&gt;0,"⚠ غياب "&amp;ROUND(H54,2)&amp;" يوم","✔ على رأس العمل")))))))</f>
        <v/>
      </c>
      <c r="G54" s="151" t="str">
        <f aca="false">IF($B54="","",IF(AK54&gt;=DAY($F$3),cfg_DAYS_M,MIN(AK54,cfg_DAYS_M)))</f>
        <v/>
      </c>
      <c r="H54" s="151" t="str">
        <f aca="false">IF($B54="","",SUMIFS('الحركات الشهرية'!$D$6:$D$1005,'الحركات الشهرية'!$B$6:$B$1005,$B54,'الحركات الشهرية'!$A$6:$A$1005,$C$3))</f>
        <v/>
      </c>
      <c r="I54" s="151" t="str">
        <f aca="false">IF($B54="","",MIN(G54,IF(AND(AK54&gt;0,AN54&gt;=AK54),G54,AN54)+SUMIFS('الحركات الشهرية'!$E$6:$E$1005,'الحركات الشهرية'!$B$6:$B$1005,$B54,'الحركات الشهرية'!$A$6:$A$1005,$C$3)))</f>
        <v/>
      </c>
      <c r="J54" s="151" t="str">
        <f aca="false">IF($B54="","",MAX(0,G54-H54-I54))</f>
        <v/>
      </c>
      <c r="K54" s="111" t="str">
        <f aca="false">IF($B54="","",الموظفون!$L54*$J54/cfg_DAYS_M)</f>
        <v/>
      </c>
      <c r="L54" s="111" t="str">
        <f aca="false">IF($B54="","",الموظفون!$M54*$J54/cfg_DAYS_M)</f>
        <v/>
      </c>
      <c r="M54" s="111" t="str">
        <f aca="false">IF($B54="","",الموظفون!$N54*$J54/cfg_DAYS_M)</f>
        <v/>
      </c>
      <c r="N54" s="111" t="str">
        <f aca="false">IF($B54="","",الموظفون!$O54*$J54/cfg_DAYS_M)</f>
        <v/>
      </c>
      <c r="O54" s="151" t="str">
        <f aca="false">IF($B54="","",SUMIFS('الحركات الشهرية'!$F$6:$F$1005,'الحركات الشهرية'!$B$6:$B$1005,$B54,'الحركات الشهرية'!$A$6:$A$1005,$C$3))</f>
        <v/>
      </c>
      <c r="P54" s="111" t="str">
        <f aca="false">IF($B54="","",O54*(الموظفون!$P54+الموظفون!$L54*cfg_OT_P)/cfg_DAYS_M/cfg_HRS)</f>
        <v/>
      </c>
      <c r="Q54" s="111" t="str">
        <f aca="false">IF($B54="","",SUMIFS('الحركات الشهرية'!$G$6:$G$1005,'الحركات الشهرية'!$B$6:$B$1005,$B54,'الحركات الشهرية'!$A$6:$A$1005,$C$3))</f>
        <v/>
      </c>
      <c r="R54" s="111" t="str">
        <f aca="false">IF($B54="","",SUMIFS('الحركات الشهرية'!$H$6:$H$1005,'الحركات الشهرية'!$B$6:$B$1005,$B54,'الحركات الشهرية'!$A$6:$A$1005,$C$3))</f>
        <v/>
      </c>
      <c r="S54" s="111" t="str">
        <f aca="false">IF($B54="","",SUMIFS('سجل الإجازات والحالات'!$N$6:$N$505,'سجل الإجازات والحالات'!$B$6:$B$505,$B54,'سجل الإجازات والحالات'!$O$6:$O$505,$C$3))</f>
        <v/>
      </c>
      <c r="T54" s="152" t="str">
        <f aca="false">IF($B54="","",SUM(K54:N54)+SUM(P54:S54))</f>
        <v/>
      </c>
      <c r="U54" s="111" t="str">
        <f aca="false">IF($B54="","",الموظفون!$S54*IF(E54="سعودي",cfg_G_SE,cfg_G_NE)*G54/cfg_DAYS_M)</f>
        <v/>
      </c>
      <c r="V54" s="111" t="str">
        <f aca="false">IF($B54="","",SUMIFS('الحركات الشهرية'!$I$6:$I$1005,'الحركات الشهرية'!$B$6:$B$1005,$B54,'الحركات الشهرية'!$A$6:$A$1005,$C$3))</f>
        <v/>
      </c>
      <c r="W54" s="111" t="str">
        <f aca="false">IF($B54="","",SUMIFS('الحركات الشهرية'!$J$6:$J$1005,'الحركات الشهرية'!$B$6:$B$1005,$B54,'الحركات الشهرية'!$A$6:$A$1005,$C$3))</f>
        <v/>
      </c>
      <c r="X54" s="111" t="str">
        <f aca="false">IF($B54="","",SUM(U54:W54))</f>
        <v/>
      </c>
      <c r="Y54" s="153" t="str">
        <f aca="false">IF($B54="","",T54-X54)</f>
        <v/>
      </c>
      <c r="Z54" s="111" t="str">
        <f aca="false">IF($B54="","",الموظفون!$S54*IF(E54="سعودي",cfg_G_SR,cfg_G_NR)*G54/cfg_DAYS_M)</f>
        <v/>
      </c>
      <c r="AA54" s="111" t="str">
        <f aca="false">IF($B54="","",الموظفون!$Q54*(cfg_EOS_R1*(MIN(AH54,cfg_EOS_TH)-MIN(AI54,cfg_EOS_TH))+cfg_EOS_R2*(MAX(AH54-cfg_EOS_TH,0)-MAX(AI54-cfg_EOS_TH,0))))</f>
        <v/>
      </c>
      <c r="AB54" s="111" t="str">
        <f aca="false">IF($B54="","",IF(الموظفون!$T54&lt;&gt;"",الموظفون!$T54,IF(AH54&gt;=cfg_LV_TH,cfg_LV_D2,cfg_LV_D1))/cfg_DAYS_Y*AJ54*الموظفون!$R54/cfg_DAYS_M)</f>
        <v/>
      </c>
      <c r="AC54" s="111" t="str">
        <f aca="false">IF($B54="","",IF(AND(الموظفون!$U54="نعم",N(الموظفون!$W54)&gt;0),الموظفون!$V54/الموظفون!$W54*12/cfg_DAYS_Y*AJ54,0))</f>
        <v/>
      </c>
      <c r="AD54" s="111" t="str">
        <f aca="false">IF($B54="","",(IF(الموظفون!$X54&lt;&gt;"",الموظفون!$X54,IF(الموظفون!$E54="غير سعودي",cfg_IQ,0))+IF(الموظفون!$Y54&lt;&gt;"",الموظفون!$Y54,IF(الموظفون!$E54="غير سعودي",cfg_WP,0)))/12*G54/cfg_DAYS_M)</f>
        <v/>
      </c>
      <c r="AE54" s="111" t="str">
        <f aca="false">IF($B54="","",IF(الموظفون!$Z54&lt;&gt;"",الموظفون!$Z54,cfg_MED)/12*G54/cfg_DAYS_M)</f>
        <v/>
      </c>
      <c r="AF54" s="111" t="str">
        <f aca="false">IF($B54="","",N(الموظفون!$AA54)/12*G54/cfg_DAYS_M)</f>
        <v/>
      </c>
      <c r="AG54" s="154" t="str">
        <f aca="false">IF($B54="","",T54+SUM(Z54:AF54))</f>
        <v/>
      </c>
      <c r="AH54" s="155" t="str">
        <f aca="false">IF($B54="","",MAX(0,IF(OR(الموظفون!$AE54="",الموظفون!$AE54&gt;$F$3),$F$3,الموظفون!$AE54)-الموظفون!$H54+1-SUMIFS('سجل الإجازات والحالات'!$AI$6:$AI$505,'سجل الإجازات والحالات'!$B$6:$B$505,$B54))/cfg_DAYS_Y)</f>
        <v/>
      </c>
      <c r="AI54" s="155" t="str">
        <f aca="false">IF($B54="","",MAX(0,IF(OR(الموظفون!$AE54="",الموظفون!$AE54&gt;($E$3-1)),($E$3-1),الموظفون!$AE54)-الموظفون!$H54+1-SUMIFS('سجل الإجازات والحالات'!$AH$6:$AH$505,'سجل الإجازات والحالات'!$B$6:$B$505,$B54))/cfg_DAYS_Y)</f>
        <v/>
      </c>
      <c r="AJ54" s="65" t="str">
        <f aca="false">IF($B54="","",MAX(0,AK54-(SUMIFS('سجل الإجازات والحالات'!$AI$6:$AI$505,'سجل الإجازات والحالات'!$B$6:$B$505,$B54)-SUMIFS('سجل الإجازات والحالات'!$AH$6:$AH$505,'سجل الإجازات والحالات'!$B$6:$B$505,$B54))))</f>
        <v/>
      </c>
      <c r="AK54" s="65" t="str">
        <f aca="false">IF($B54="","",MAX(0,IF(OR(الموظفون!$AE54="",الموظفون!$AE54&gt;$F$3),$F$3,الموظفون!$AE54)-MAX($E$3,الموظفون!$H54)+1))</f>
        <v/>
      </c>
      <c r="AL54" s="151" t="str">
        <f aca="false">IF($B54="","",SUMIFS('سجل الإجازات والحالات'!$AU$6:$AU$505,'سجل الإجازات والحالات'!$B$6:$B$505,$B54)+SUMIFS('الحركات الشهرية'!$K$6:$K$1005,'الحركات الشهرية'!$B$6:$B$1005,$B54,'الحركات الشهرية'!$A$6:$A$1005,$C$3))</f>
        <v/>
      </c>
      <c r="AM54" s="111" t="str">
        <f aca="false">IF($B54="","",AL54*الموظفون!$R54/cfg_DAYS_M+S54)</f>
        <v/>
      </c>
      <c r="AN54" s="151" t="str">
        <f aca="false">IF($B54="","",SUMIFS('سجل الإجازات والحالات'!$W$6:$W$505,'سجل الإجازات والحالات'!$B$6:$B$505,$B54))</f>
        <v/>
      </c>
    </row>
    <row r="55" customFormat="false" ht="15" hidden="false" customHeight="false" outlineLevel="0" collapsed="false">
      <c r="A55" s="115" t="str">
        <f aca="false">IF($B55="","",الموظفون!$A55)</f>
        <v/>
      </c>
      <c r="B55" s="117" t="str">
        <f aca="false">IF(الموظفون!$B55="","",الموظفون!$B55)</f>
        <v/>
      </c>
      <c r="C55" s="117" t="str">
        <f aca="false">IF($B55="","",الموظفون!$C55)</f>
        <v/>
      </c>
      <c r="D55" s="117" t="str">
        <f aca="false">IF($B55="","",الموظفون!$F55)</f>
        <v/>
      </c>
      <c r="E55" s="117" t="str">
        <f aca="false">IF($B55="","",الموظفون!$E55)</f>
        <v/>
      </c>
      <c r="F55" s="117" t="str">
        <f aca="false">IF($B55="","",IF(AK55=0,IF(AND(الموظفون!$AE55&lt;&gt;"",الموظفون!$AE55&lt;$E$3),"✖ منتهي الخدمة","⏳ لم يباشر"),IF(S55&gt;0,"✈ راتب إجازة مقدم",IF(J55=0,"⛔ بدون راتب هذا الشهر",IF(I55&gt;0,"✈ خصم "&amp;ROUND(I55,2)&amp;" يوم بدون أجر",IF(AL55&gt;0,"🌴 إجازة سنوية "&amp;ROUND(AL55,2)&amp;" يوم",IF(H55&gt;0,"⚠ غياب "&amp;ROUND(H55,2)&amp;" يوم","✔ على رأس العمل")))))))</f>
        <v/>
      </c>
      <c r="G55" s="156" t="str">
        <f aca="false">IF($B55="","",IF(AK55&gt;=DAY($F$3),cfg_DAYS_M,MIN(AK55,cfg_DAYS_M)))</f>
        <v/>
      </c>
      <c r="H55" s="156" t="str">
        <f aca="false">IF($B55="","",SUMIFS('الحركات الشهرية'!$D$6:$D$1005,'الحركات الشهرية'!$B$6:$B$1005,$B55,'الحركات الشهرية'!$A$6:$A$1005,$C$3))</f>
        <v/>
      </c>
      <c r="I55" s="156" t="str">
        <f aca="false">IF($B55="","",MIN(G55,IF(AND(AK55&gt;0,AN55&gt;=AK55),G55,AN55)+SUMIFS('الحركات الشهرية'!$E$6:$E$1005,'الحركات الشهرية'!$B$6:$B$1005,$B55,'الحركات الشهرية'!$A$6:$A$1005,$C$3)))</f>
        <v/>
      </c>
      <c r="J55" s="156" t="str">
        <f aca="false">IF($B55="","",MAX(0,G55-H55-I55))</f>
        <v/>
      </c>
      <c r="K55" s="116" t="str">
        <f aca="false">IF($B55="","",الموظفون!$L55*$J55/cfg_DAYS_M)</f>
        <v/>
      </c>
      <c r="L55" s="116" t="str">
        <f aca="false">IF($B55="","",الموظفون!$M55*$J55/cfg_DAYS_M)</f>
        <v/>
      </c>
      <c r="M55" s="116" t="str">
        <f aca="false">IF($B55="","",الموظفون!$N55*$J55/cfg_DAYS_M)</f>
        <v/>
      </c>
      <c r="N55" s="116" t="str">
        <f aca="false">IF($B55="","",الموظفون!$O55*$J55/cfg_DAYS_M)</f>
        <v/>
      </c>
      <c r="O55" s="156" t="str">
        <f aca="false">IF($B55="","",SUMIFS('الحركات الشهرية'!$F$6:$F$1005,'الحركات الشهرية'!$B$6:$B$1005,$B55,'الحركات الشهرية'!$A$6:$A$1005,$C$3))</f>
        <v/>
      </c>
      <c r="P55" s="116" t="str">
        <f aca="false">IF($B55="","",O55*(الموظفون!$P55+الموظفون!$L55*cfg_OT_P)/cfg_DAYS_M/cfg_HRS)</f>
        <v/>
      </c>
      <c r="Q55" s="116" t="str">
        <f aca="false">IF($B55="","",SUMIFS('الحركات الشهرية'!$G$6:$G$1005,'الحركات الشهرية'!$B$6:$B$1005,$B55,'الحركات الشهرية'!$A$6:$A$1005,$C$3))</f>
        <v/>
      </c>
      <c r="R55" s="116" t="str">
        <f aca="false">IF($B55="","",SUMIFS('الحركات الشهرية'!$H$6:$H$1005,'الحركات الشهرية'!$B$6:$B$1005,$B55,'الحركات الشهرية'!$A$6:$A$1005,$C$3))</f>
        <v/>
      </c>
      <c r="S55" s="116" t="str">
        <f aca="false">IF($B55="","",SUMIFS('سجل الإجازات والحالات'!$N$6:$N$505,'سجل الإجازات والحالات'!$B$6:$B$505,$B55,'سجل الإجازات والحالات'!$O$6:$O$505,$C$3))</f>
        <v/>
      </c>
      <c r="T55" s="157" t="str">
        <f aca="false">IF($B55="","",SUM(K55:N55)+SUM(P55:S55))</f>
        <v/>
      </c>
      <c r="U55" s="116" t="str">
        <f aca="false">IF($B55="","",الموظفون!$S55*IF(E55="سعودي",cfg_G_SE,cfg_G_NE)*G55/cfg_DAYS_M)</f>
        <v/>
      </c>
      <c r="V55" s="116" t="str">
        <f aca="false">IF($B55="","",SUMIFS('الحركات الشهرية'!$I$6:$I$1005,'الحركات الشهرية'!$B$6:$B$1005,$B55,'الحركات الشهرية'!$A$6:$A$1005,$C$3))</f>
        <v/>
      </c>
      <c r="W55" s="116" t="str">
        <f aca="false">IF($B55="","",SUMIFS('الحركات الشهرية'!$J$6:$J$1005,'الحركات الشهرية'!$B$6:$B$1005,$B55,'الحركات الشهرية'!$A$6:$A$1005,$C$3))</f>
        <v/>
      </c>
      <c r="X55" s="116" t="str">
        <f aca="false">IF($B55="","",SUM(U55:W55))</f>
        <v/>
      </c>
      <c r="Y55" s="158" t="str">
        <f aca="false">IF($B55="","",T55-X55)</f>
        <v/>
      </c>
      <c r="Z55" s="116" t="str">
        <f aca="false">IF($B55="","",الموظفون!$S55*IF(E55="سعودي",cfg_G_SR,cfg_G_NR)*G55/cfg_DAYS_M)</f>
        <v/>
      </c>
      <c r="AA55" s="116" t="str">
        <f aca="false">IF($B55="","",الموظفون!$Q55*(cfg_EOS_R1*(MIN(AH55,cfg_EOS_TH)-MIN(AI55,cfg_EOS_TH))+cfg_EOS_R2*(MAX(AH55-cfg_EOS_TH,0)-MAX(AI55-cfg_EOS_TH,0))))</f>
        <v/>
      </c>
      <c r="AB55" s="116" t="str">
        <f aca="false">IF($B55="","",IF(الموظفون!$T55&lt;&gt;"",الموظفون!$T55,IF(AH55&gt;=cfg_LV_TH,cfg_LV_D2,cfg_LV_D1))/cfg_DAYS_Y*AJ55*الموظفون!$R55/cfg_DAYS_M)</f>
        <v/>
      </c>
      <c r="AC55" s="116" t="str">
        <f aca="false">IF($B55="","",IF(AND(الموظفون!$U55="نعم",N(الموظفون!$W55)&gt;0),الموظفون!$V55/الموظفون!$W55*12/cfg_DAYS_Y*AJ55,0))</f>
        <v/>
      </c>
      <c r="AD55" s="116" t="str">
        <f aca="false">IF($B55="","",(IF(الموظفون!$X55&lt;&gt;"",الموظفون!$X55,IF(الموظفون!$E55="غير سعودي",cfg_IQ,0))+IF(الموظفون!$Y55&lt;&gt;"",الموظفون!$Y55,IF(الموظفون!$E55="غير سعودي",cfg_WP,0)))/12*G55/cfg_DAYS_M)</f>
        <v/>
      </c>
      <c r="AE55" s="116" t="str">
        <f aca="false">IF($B55="","",IF(الموظفون!$Z55&lt;&gt;"",الموظفون!$Z55,cfg_MED)/12*G55/cfg_DAYS_M)</f>
        <v/>
      </c>
      <c r="AF55" s="116" t="str">
        <f aca="false">IF($B55="","",N(الموظفون!$AA55)/12*G55/cfg_DAYS_M)</f>
        <v/>
      </c>
      <c r="AG55" s="159" t="str">
        <f aca="false">IF($B55="","",T55+SUM(Z55:AF55))</f>
        <v/>
      </c>
      <c r="AH55" s="160" t="str">
        <f aca="false">IF($B55="","",MAX(0,IF(OR(الموظفون!$AE55="",الموظفون!$AE55&gt;$F$3),$F$3,الموظفون!$AE55)-الموظفون!$H55+1-SUMIFS('سجل الإجازات والحالات'!$AI$6:$AI$505,'سجل الإجازات والحالات'!$B$6:$B$505,$B55))/cfg_DAYS_Y)</f>
        <v/>
      </c>
      <c r="AI55" s="160" t="str">
        <f aca="false">IF($B55="","",MAX(0,IF(OR(الموظفون!$AE55="",الموظفون!$AE55&gt;($E$3-1)),($E$3-1),الموظفون!$AE55)-الموظفون!$H55+1-SUMIFS('سجل الإجازات والحالات'!$AH$6:$AH$505,'سجل الإجازات والحالات'!$B$6:$B$505,$B55))/cfg_DAYS_Y)</f>
        <v/>
      </c>
      <c r="AJ55" s="133" t="str">
        <f aca="false">IF($B55="","",MAX(0,AK55-(SUMIFS('سجل الإجازات والحالات'!$AI$6:$AI$505,'سجل الإجازات والحالات'!$B$6:$B$505,$B55)-SUMIFS('سجل الإجازات والحالات'!$AH$6:$AH$505,'سجل الإجازات والحالات'!$B$6:$B$505,$B55))))</f>
        <v/>
      </c>
      <c r="AK55" s="133" t="str">
        <f aca="false">IF($B55="","",MAX(0,IF(OR(الموظفون!$AE55="",الموظفون!$AE55&gt;$F$3),$F$3,الموظفون!$AE55)-MAX($E$3,الموظفون!$H55)+1))</f>
        <v/>
      </c>
      <c r="AL55" s="156" t="str">
        <f aca="false">IF($B55="","",SUMIFS('سجل الإجازات والحالات'!$AU$6:$AU$505,'سجل الإجازات والحالات'!$B$6:$B$505,$B55)+SUMIFS('الحركات الشهرية'!$K$6:$K$1005,'الحركات الشهرية'!$B$6:$B$1005,$B55,'الحركات الشهرية'!$A$6:$A$1005,$C$3))</f>
        <v/>
      </c>
      <c r="AM55" s="116" t="str">
        <f aca="false">IF($B55="","",AL55*الموظفون!$R55/cfg_DAYS_M+S55)</f>
        <v/>
      </c>
      <c r="AN55" s="156" t="str">
        <f aca="false">IF($B55="","",SUMIFS('سجل الإجازات والحالات'!$W$6:$W$505,'سجل الإجازات والحالات'!$B$6:$B$505,$B55))</f>
        <v/>
      </c>
    </row>
    <row r="56" customFormat="false" ht="15" hidden="false" customHeight="false" outlineLevel="0" collapsed="false">
      <c r="A56" s="106" t="str">
        <f aca="false">IF($B56="","",الموظفون!$A56)</f>
        <v/>
      </c>
      <c r="B56" s="114" t="str">
        <f aca="false">IF(الموظفون!$B56="","",الموظفون!$B56)</f>
        <v/>
      </c>
      <c r="C56" s="114" t="str">
        <f aca="false">IF($B56="","",الموظفون!$C56)</f>
        <v/>
      </c>
      <c r="D56" s="114" t="str">
        <f aca="false">IF($B56="","",الموظفون!$F56)</f>
        <v/>
      </c>
      <c r="E56" s="114" t="str">
        <f aca="false">IF($B56="","",الموظفون!$E56)</f>
        <v/>
      </c>
      <c r="F56" s="114" t="str">
        <f aca="false">IF($B56="","",IF(AK56=0,IF(AND(الموظفون!$AE56&lt;&gt;"",الموظفون!$AE56&lt;$E$3),"✖ منتهي الخدمة","⏳ لم يباشر"),IF(S56&gt;0,"✈ راتب إجازة مقدم",IF(J56=0,"⛔ بدون راتب هذا الشهر",IF(I56&gt;0,"✈ خصم "&amp;ROUND(I56,2)&amp;" يوم بدون أجر",IF(AL56&gt;0,"🌴 إجازة سنوية "&amp;ROUND(AL56,2)&amp;" يوم",IF(H56&gt;0,"⚠ غياب "&amp;ROUND(H56,2)&amp;" يوم","✔ على رأس العمل")))))))</f>
        <v/>
      </c>
      <c r="G56" s="151" t="str">
        <f aca="false">IF($B56="","",IF(AK56&gt;=DAY($F$3),cfg_DAYS_M,MIN(AK56,cfg_DAYS_M)))</f>
        <v/>
      </c>
      <c r="H56" s="151" t="str">
        <f aca="false">IF($B56="","",SUMIFS('الحركات الشهرية'!$D$6:$D$1005,'الحركات الشهرية'!$B$6:$B$1005,$B56,'الحركات الشهرية'!$A$6:$A$1005,$C$3))</f>
        <v/>
      </c>
      <c r="I56" s="151" t="str">
        <f aca="false">IF($B56="","",MIN(G56,IF(AND(AK56&gt;0,AN56&gt;=AK56),G56,AN56)+SUMIFS('الحركات الشهرية'!$E$6:$E$1005,'الحركات الشهرية'!$B$6:$B$1005,$B56,'الحركات الشهرية'!$A$6:$A$1005,$C$3)))</f>
        <v/>
      </c>
      <c r="J56" s="151" t="str">
        <f aca="false">IF($B56="","",MAX(0,G56-H56-I56))</f>
        <v/>
      </c>
      <c r="K56" s="111" t="str">
        <f aca="false">IF($B56="","",الموظفون!$L56*$J56/cfg_DAYS_M)</f>
        <v/>
      </c>
      <c r="L56" s="111" t="str">
        <f aca="false">IF($B56="","",الموظفون!$M56*$J56/cfg_DAYS_M)</f>
        <v/>
      </c>
      <c r="M56" s="111" t="str">
        <f aca="false">IF($B56="","",الموظفون!$N56*$J56/cfg_DAYS_M)</f>
        <v/>
      </c>
      <c r="N56" s="111" t="str">
        <f aca="false">IF($B56="","",الموظفون!$O56*$J56/cfg_DAYS_M)</f>
        <v/>
      </c>
      <c r="O56" s="151" t="str">
        <f aca="false">IF($B56="","",SUMIFS('الحركات الشهرية'!$F$6:$F$1005,'الحركات الشهرية'!$B$6:$B$1005,$B56,'الحركات الشهرية'!$A$6:$A$1005,$C$3))</f>
        <v/>
      </c>
      <c r="P56" s="111" t="str">
        <f aca="false">IF($B56="","",O56*(الموظفون!$P56+الموظفون!$L56*cfg_OT_P)/cfg_DAYS_M/cfg_HRS)</f>
        <v/>
      </c>
      <c r="Q56" s="111" t="str">
        <f aca="false">IF($B56="","",SUMIFS('الحركات الشهرية'!$G$6:$G$1005,'الحركات الشهرية'!$B$6:$B$1005,$B56,'الحركات الشهرية'!$A$6:$A$1005,$C$3))</f>
        <v/>
      </c>
      <c r="R56" s="111" t="str">
        <f aca="false">IF($B56="","",SUMIFS('الحركات الشهرية'!$H$6:$H$1005,'الحركات الشهرية'!$B$6:$B$1005,$B56,'الحركات الشهرية'!$A$6:$A$1005,$C$3))</f>
        <v/>
      </c>
      <c r="S56" s="111" t="str">
        <f aca="false">IF($B56="","",SUMIFS('سجل الإجازات والحالات'!$N$6:$N$505,'سجل الإجازات والحالات'!$B$6:$B$505,$B56,'سجل الإجازات والحالات'!$O$6:$O$505,$C$3))</f>
        <v/>
      </c>
      <c r="T56" s="152" t="str">
        <f aca="false">IF($B56="","",SUM(K56:N56)+SUM(P56:S56))</f>
        <v/>
      </c>
      <c r="U56" s="111" t="str">
        <f aca="false">IF($B56="","",الموظفون!$S56*IF(E56="سعودي",cfg_G_SE,cfg_G_NE)*G56/cfg_DAYS_M)</f>
        <v/>
      </c>
      <c r="V56" s="111" t="str">
        <f aca="false">IF($B56="","",SUMIFS('الحركات الشهرية'!$I$6:$I$1005,'الحركات الشهرية'!$B$6:$B$1005,$B56,'الحركات الشهرية'!$A$6:$A$1005,$C$3))</f>
        <v/>
      </c>
      <c r="W56" s="111" t="str">
        <f aca="false">IF($B56="","",SUMIFS('الحركات الشهرية'!$J$6:$J$1005,'الحركات الشهرية'!$B$6:$B$1005,$B56,'الحركات الشهرية'!$A$6:$A$1005,$C$3))</f>
        <v/>
      </c>
      <c r="X56" s="111" t="str">
        <f aca="false">IF($B56="","",SUM(U56:W56))</f>
        <v/>
      </c>
      <c r="Y56" s="153" t="str">
        <f aca="false">IF($B56="","",T56-X56)</f>
        <v/>
      </c>
      <c r="Z56" s="111" t="str">
        <f aca="false">IF($B56="","",الموظفون!$S56*IF(E56="سعودي",cfg_G_SR,cfg_G_NR)*G56/cfg_DAYS_M)</f>
        <v/>
      </c>
      <c r="AA56" s="111" t="str">
        <f aca="false">IF($B56="","",الموظفون!$Q56*(cfg_EOS_R1*(MIN(AH56,cfg_EOS_TH)-MIN(AI56,cfg_EOS_TH))+cfg_EOS_R2*(MAX(AH56-cfg_EOS_TH,0)-MAX(AI56-cfg_EOS_TH,0))))</f>
        <v/>
      </c>
      <c r="AB56" s="111" t="str">
        <f aca="false">IF($B56="","",IF(الموظفون!$T56&lt;&gt;"",الموظفون!$T56,IF(AH56&gt;=cfg_LV_TH,cfg_LV_D2,cfg_LV_D1))/cfg_DAYS_Y*AJ56*الموظفون!$R56/cfg_DAYS_M)</f>
        <v/>
      </c>
      <c r="AC56" s="111" t="str">
        <f aca="false">IF($B56="","",IF(AND(الموظفون!$U56="نعم",N(الموظفون!$W56)&gt;0),الموظفون!$V56/الموظفون!$W56*12/cfg_DAYS_Y*AJ56,0))</f>
        <v/>
      </c>
      <c r="AD56" s="111" t="str">
        <f aca="false">IF($B56="","",(IF(الموظفون!$X56&lt;&gt;"",الموظفون!$X56,IF(الموظفون!$E56="غير سعودي",cfg_IQ,0))+IF(الموظفون!$Y56&lt;&gt;"",الموظفون!$Y56,IF(الموظفون!$E56="غير سعودي",cfg_WP,0)))/12*G56/cfg_DAYS_M)</f>
        <v/>
      </c>
      <c r="AE56" s="111" t="str">
        <f aca="false">IF($B56="","",IF(الموظفون!$Z56&lt;&gt;"",الموظفون!$Z56,cfg_MED)/12*G56/cfg_DAYS_M)</f>
        <v/>
      </c>
      <c r="AF56" s="111" t="str">
        <f aca="false">IF($B56="","",N(الموظفون!$AA56)/12*G56/cfg_DAYS_M)</f>
        <v/>
      </c>
      <c r="AG56" s="154" t="str">
        <f aca="false">IF($B56="","",T56+SUM(Z56:AF56))</f>
        <v/>
      </c>
      <c r="AH56" s="155" t="str">
        <f aca="false">IF($B56="","",MAX(0,IF(OR(الموظفون!$AE56="",الموظفون!$AE56&gt;$F$3),$F$3,الموظفون!$AE56)-الموظفون!$H56+1-SUMIFS('سجل الإجازات والحالات'!$AI$6:$AI$505,'سجل الإجازات والحالات'!$B$6:$B$505,$B56))/cfg_DAYS_Y)</f>
        <v/>
      </c>
      <c r="AI56" s="155" t="str">
        <f aca="false">IF($B56="","",MAX(0,IF(OR(الموظفون!$AE56="",الموظفون!$AE56&gt;($E$3-1)),($E$3-1),الموظفون!$AE56)-الموظفون!$H56+1-SUMIFS('سجل الإجازات والحالات'!$AH$6:$AH$505,'سجل الإجازات والحالات'!$B$6:$B$505,$B56))/cfg_DAYS_Y)</f>
        <v/>
      </c>
      <c r="AJ56" s="65" t="str">
        <f aca="false">IF($B56="","",MAX(0,AK56-(SUMIFS('سجل الإجازات والحالات'!$AI$6:$AI$505,'سجل الإجازات والحالات'!$B$6:$B$505,$B56)-SUMIFS('سجل الإجازات والحالات'!$AH$6:$AH$505,'سجل الإجازات والحالات'!$B$6:$B$505,$B56))))</f>
        <v/>
      </c>
      <c r="AK56" s="65" t="str">
        <f aca="false">IF($B56="","",MAX(0,IF(OR(الموظفون!$AE56="",الموظفون!$AE56&gt;$F$3),$F$3,الموظفون!$AE56)-MAX($E$3,الموظفون!$H56)+1))</f>
        <v/>
      </c>
      <c r="AL56" s="151" t="str">
        <f aca="false">IF($B56="","",SUMIFS('سجل الإجازات والحالات'!$AU$6:$AU$505,'سجل الإجازات والحالات'!$B$6:$B$505,$B56)+SUMIFS('الحركات الشهرية'!$K$6:$K$1005,'الحركات الشهرية'!$B$6:$B$1005,$B56,'الحركات الشهرية'!$A$6:$A$1005,$C$3))</f>
        <v/>
      </c>
      <c r="AM56" s="111" t="str">
        <f aca="false">IF($B56="","",AL56*الموظفون!$R56/cfg_DAYS_M+S56)</f>
        <v/>
      </c>
      <c r="AN56" s="151" t="str">
        <f aca="false">IF($B56="","",SUMIFS('سجل الإجازات والحالات'!$W$6:$W$505,'سجل الإجازات والحالات'!$B$6:$B$505,$B56))</f>
        <v/>
      </c>
    </row>
    <row r="57" customFormat="false" ht="15" hidden="false" customHeight="false" outlineLevel="0" collapsed="false">
      <c r="A57" s="115" t="str">
        <f aca="false">IF($B57="","",الموظفون!$A57)</f>
        <v/>
      </c>
      <c r="B57" s="117" t="str">
        <f aca="false">IF(الموظفون!$B57="","",الموظفون!$B57)</f>
        <v/>
      </c>
      <c r="C57" s="117" t="str">
        <f aca="false">IF($B57="","",الموظفون!$C57)</f>
        <v/>
      </c>
      <c r="D57" s="117" t="str">
        <f aca="false">IF($B57="","",الموظفون!$F57)</f>
        <v/>
      </c>
      <c r="E57" s="117" t="str">
        <f aca="false">IF($B57="","",الموظفون!$E57)</f>
        <v/>
      </c>
      <c r="F57" s="117" t="str">
        <f aca="false">IF($B57="","",IF(AK57=0,IF(AND(الموظفون!$AE57&lt;&gt;"",الموظفون!$AE57&lt;$E$3),"✖ منتهي الخدمة","⏳ لم يباشر"),IF(S57&gt;0,"✈ راتب إجازة مقدم",IF(J57=0,"⛔ بدون راتب هذا الشهر",IF(I57&gt;0,"✈ خصم "&amp;ROUND(I57,2)&amp;" يوم بدون أجر",IF(AL57&gt;0,"🌴 إجازة سنوية "&amp;ROUND(AL57,2)&amp;" يوم",IF(H57&gt;0,"⚠ غياب "&amp;ROUND(H57,2)&amp;" يوم","✔ على رأس العمل")))))))</f>
        <v/>
      </c>
      <c r="G57" s="156" t="str">
        <f aca="false">IF($B57="","",IF(AK57&gt;=DAY($F$3),cfg_DAYS_M,MIN(AK57,cfg_DAYS_M)))</f>
        <v/>
      </c>
      <c r="H57" s="156" t="str">
        <f aca="false">IF($B57="","",SUMIFS('الحركات الشهرية'!$D$6:$D$1005,'الحركات الشهرية'!$B$6:$B$1005,$B57,'الحركات الشهرية'!$A$6:$A$1005,$C$3))</f>
        <v/>
      </c>
      <c r="I57" s="156" t="str">
        <f aca="false">IF($B57="","",MIN(G57,IF(AND(AK57&gt;0,AN57&gt;=AK57),G57,AN57)+SUMIFS('الحركات الشهرية'!$E$6:$E$1005,'الحركات الشهرية'!$B$6:$B$1005,$B57,'الحركات الشهرية'!$A$6:$A$1005,$C$3)))</f>
        <v/>
      </c>
      <c r="J57" s="156" t="str">
        <f aca="false">IF($B57="","",MAX(0,G57-H57-I57))</f>
        <v/>
      </c>
      <c r="K57" s="116" t="str">
        <f aca="false">IF($B57="","",الموظفون!$L57*$J57/cfg_DAYS_M)</f>
        <v/>
      </c>
      <c r="L57" s="116" t="str">
        <f aca="false">IF($B57="","",الموظفون!$M57*$J57/cfg_DAYS_M)</f>
        <v/>
      </c>
      <c r="M57" s="116" t="str">
        <f aca="false">IF($B57="","",الموظفون!$N57*$J57/cfg_DAYS_M)</f>
        <v/>
      </c>
      <c r="N57" s="116" t="str">
        <f aca="false">IF($B57="","",الموظفون!$O57*$J57/cfg_DAYS_M)</f>
        <v/>
      </c>
      <c r="O57" s="156" t="str">
        <f aca="false">IF($B57="","",SUMIFS('الحركات الشهرية'!$F$6:$F$1005,'الحركات الشهرية'!$B$6:$B$1005,$B57,'الحركات الشهرية'!$A$6:$A$1005,$C$3))</f>
        <v/>
      </c>
      <c r="P57" s="116" t="str">
        <f aca="false">IF($B57="","",O57*(الموظفون!$P57+الموظفون!$L57*cfg_OT_P)/cfg_DAYS_M/cfg_HRS)</f>
        <v/>
      </c>
      <c r="Q57" s="116" t="str">
        <f aca="false">IF($B57="","",SUMIFS('الحركات الشهرية'!$G$6:$G$1005,'الحركات الشهرية'!$B$6:$B$1005,$B57,'الحركات الشهرية'!$A$6:$A$1005,$C$3))</f>
        <v/>
      </c>
      <c r="R57" s="116" t="str">
        <f aca="false">IF($B57="","",SUMIFS('الحركات الشهرية'!$H$6:$H$1005,'الحركات الشهرية'!$B$6:$B$1005,$B57,'الحركات الشهرية'!$A$6:$A$1005,$C$3))</f>
        <v/>
      </c>
      <c r="S57" s="116" t="str">
        <f aca="false">IF($B57="","",SUMIFS('سجل الإجازات والحالات'!$N$6:$N$505,'سجل الإجازات والحالات'!$B$6:$B$505,$B57,'سجل الإجازات والحالات'!$O$6:$O$505,$C$3))</f>
        <v/>
      </c>
      <c r="T57" s="157" t="str">
        <f aca="false">IF($B57="","",SUM(K57:N57)+SUM(P57:S57))</f>
        <v/>
      </c>
      <c r="U57" s="116" t="str">
        <f aca="false">IF($B57="","",الموظفون!$S57*IF(E57="سعودي",cfg_G_SE,cfg_G_NE)*G57/cfg_DAYS_M)</f>
        <v/>
      </c>
      <c r="V57" s="116" t="str">
        <f aca="false">IF($B57="","",SUMIFS('الحركات الشهرية'!$I$6:$I$1005,'الحركات الشهرية'!$B$6:$B$1005,$B57,'الحركات الشهرية'!$A$6:$A$1005,$C$3))</f>
        <v/>
      </c>
      <c r="W57" s="116" t="str">
        <f aca="false">IF($B57="","",SUMIFS('الحركات الشهرية'!$J$6:$J$1005,'الحركات الشهرية'!$B$6:$B$1005,$B57,'الحركات الشهرية'!$A$6:$A$1005,$C$3))</f>
        <v/>
      </c>
      <c r="X57" s="116" t="str">
        <f aca="false">IF($B57="","",SUM(U57:W57))</f>
        <v/>
      </c>
      <c r="Y57" s="158" t="str">
        <f aca="false">IF($B57="","",T57-X57)</f>
        <v/>
      </c>
      <c r="Z57" s="116" t="str">
        <f aca="false">IF($B57="","",الموظفون!$S57*IF(E57="سعودي",cfg_G_SR,cfg_G_NR)*G57/cfg_DAYS_M)</f>
        <v/>
      </c>
      <c r="AA57" s="116" t="str">
        <f aca="false">IF($B57="","",الموظفون!$Q57*(cfg_EOS_R1*(MIN(AH57,cfg_EOS_TH)-MIN(AI57,cfg_EOS_TH))+cfg_EOS_R2*(MAX(AH57-cfg_EOS_TH,0)-MAX(AI57-cfg_EOS_TH,0))))</f>
        <v/>
      </c>
      <c r="AB57" s="116" t="str">
        <f aca="false">IF($B57="","",IF(الموظفون!$T57&lt;&gt;"",الموظفون!$T57,IF(AH57&gt;=cfg_LV_TH,cfg_LV_D2,cfg_LV_D1))/cfg_DAYS_Y*AJ57*الموظفون!$R57/cfg_DAYS_M)</f>
        <v/>
      </c>
      <c r="AC57" s="116" t="str">
        <f aca="false">IF($B57="","",IF(AND(الموظفون!$U57="نعم",N(الموظفون!$W57)&gt;0),الموظفون!$V57/الموظفون!$W57*12/cfg_DAYS_Y*AJ57,0))</f>
        <v/>
      </c>
      <c r="AD57" s="116" t="str">
        <f aca="false">IF($B57="","",(IF(الموظفون!$X57&lt;&gt;"",الموظفون!$X57,IF(الموظفون!$E57="غير سعودي",cfg_IQ,0))+IF(الموظفون!$Y57&lt;&gt;"",الموظفون!$Y57,IF(الموظفون!$E57="غير سعودي",cfg_WP,0)))/12*G57/cfg_DAYS_M)</f>
        <v/>
      </c>
      <c r="AE57" s="116" t="str">
        <f aca="false">IF($B57="","",IF(الموظفون!$Z57&lt;&gt;"",الموظفون!$Z57,cfg_MED)/12*G57/cfg_DAYS_M)</f>
        <v/>
      </c>
      <c r="AF57" s="116" t="str">
        <f aca="false">IF($B57="","",N(الموظفون!$AA57)/12*G57/cfg_DAYS_M)</f>
        <v/>
      </c>
      <c r="AG57" s="159" t="str">
        <f aca="false">IF($B57="","",T57+SUM(Z57:AF57))</f>
        <v/>
      </c>
      <c r="AH57" s="160" t="str">
        <f aca="false">IF($B57="","",MAX(0,IF(OR(الموظفون!$AE57="",الموظفون!$AE57&gt;$F$3),$F$3,الموظفون!$AE57)-الموظفون!$H57+1-SUMIFS('سجل الإجازات والحالات'!$AI$6:$AI$505,'سجل الإجازات والحالات'!$B$6:$B$505,$B57))/cfg_DAYS_Y)</f>
        <v/>
      </c>
      <c r="AI57" s="160" t="str">
        <f aca="false">IF($B57="","",MAX(0,IF(OR(الموظفون!$AE57="",الموظفون!$AE57&gt;($E$3-1)),($E$3-1),الموظفون!$AE57)-الموظفون!$H57+1-SUMIFS('سجل الإجازات والحالات'!$AH$6:$AH$505,'سجل الإجازات والحالات'!$B$6:$B$505,$B57))/cfg_DAYS_Y)</f>
        <v/>
      </c>
      <c r="AJ57" s="133" t="str">
        <f aca="false">IF($B57="","",MAX(0,AK57-(SUMIFS('سجل الإجازات والحالات'!$AI$6:$AI$505,'سجل الإجازات والحالات'!$B$6:$B$505,$B57)-SUMIFS('سجل الإجازات والحالات'!$AH$6:$AH$505,'سجل الإجازات والحالات'!$B$6:$B$505,$B57))))</f>
        <v/>
      </c>
      <c r="AK57" s="133" t="str">
        <f aca="false">IF($B57="","",MAX(0,IF(OR(الموظفون!$AE57="",الموظفون!$AE57&gt;$F$3),$F$3,الموظفون!$AE57)-MAX($E$3,الموظفون!$H57)+1))</f>
        <v/>
      </c>
      <c r="AL57" s="156" t="str">
        <f aca="false">IF($B57="","",SUMIFS('سجل الإجازات والحالات'!$AU$6:$AU$505,'سجل الإجازات والحالات'!$B$6:$B$505,$B57)+SUMIFS('الحركات الشهرية'!$K$6:$K$1005,'الحركات الشهرية'!$B$6:$B$1005,$B57,'الحركات الشهرية'!$A$6:$A$1005,$C$3))</f>
        <v/>
      </c>
      <c r="AM57" s="116" t="str">
        <f aca="false">IF($B57="","",AL57*الموظفون!$R57/cfg_DAYS_M+S57)</f>
        <v/>
      </c>
      <c r="AN57" s="156" t="str">
        <f aca="false">IF($B57="","",SUMIFS('سجل الإجازات والحالات'!$W$6:$W$505,'سجل الإجازات والحالات'!$B$6:$B$505,$B57))</f>
        <v/>
      </c>
    </row>
    <row r="58" customFormat="false" ht="15" hidden="false" customHeight="false" outlineLevel="0" collapsed="false">
      <c r="A58" s="106" t="str">
        <f aca="false">IF($B58="","",الموظفون!$A58)</f>
        <v/>
      </c>
      <c r="B58" s="114" t="str">
        <f aca="false">IF(الموظفون!$B58="","",الموظفون!$B58)</f>
        <v/>
      </c>
      <c r="C58" s="114" t="str">
        <f aca="false">IF($B58="","",الموظفون!$C58)</f>
        <v/>
      </c>
      <c r="D58" s="114" t="str">
        <f aca="false">IF($B58="","",الموظفون!$F58)</f>
        <v/>
      </c>
      <c r="E58" s="114" t="str">
        <f aca="false">IF($B58="","",الموظفون!$E58)</f>
        <v/>
      </c>
      <c r="F58" s="114" t="str">
        <f aca="false">IF($B58="","",IF(AK58=0,IF(AND(الموظفون!$AE58&lt;&gt;"",الموظفون!$AE58&lt;$E$3),"✖ منتهي الخدمة","⏳ لم يباشر"),IF(S58&gt;0,"✈ راتب إجازة مقدم",IF(J58=0,"⛔ بدون راتب هذا الشهر",IF(I58&gt;0,"✈ خصم "&amp;ROUND(I58,2)&amp;" يوم بدون أجر",IF(AL58&gt;0,"🌴 إجازة سنوية "&amp;ROUND(AL58,2)&amp;" يوم",IF(H58&gt;0,"⚠ غياب "&amp;ROUND(H58,2)&amp;" يوم","✔ على رأس العمل")))))))</f>
        <v/>
      </c>
      <c r="G58" s="151" t="str">
        <f aca="false">IF($B58="","",IF(AK58&gt;=DAY($F$3),cfg_DAYS_M,MIN(AK58,cfg_DAYS_M)))</f>
        <v/>
      </c>
      <c r="H58" s="151" t="str">
        <f aca="false">IF($B58="","",SUMIFS('الحركات الشهرية'!$D$6:$D$1005,'الحركات الشهرية'!$B$6:$B$1005,$B58,'الحركات الشهرية'!$A$6:$A$1005,$C$3))</f>
        <v/>
      </c>
      <c r="I58" s="151" t="str">
        <f aca="false">IF($B58="","",MIN(G58,IF(AND(AK58&gt;0,AN58&gt;=AK58),G58,AN58)+SUMIFS('الحركات الشهرية'!$E$6:$E$1005,'الحركات الشهرية'!$B$6:$B$1005,$B58,'الحركات الشهرية'!$A$6:$A$1005,$C$3)))</f>
        <v/>
      </c>
      <c r="J58" s="151" t="str">
        <f aca="false">IF($B58="","",MAX(0,G58-H58-I58))</f>
        <v/>
      </c>
      <c r="K58" s="111" t="str">
        <f aca="false">IF($B58="","",الموظفون!$L58*$J58/cfg_DAYS_M)</f>
        <v/>
      </c>
      <c r="L58" s="111" t="str">
        <f aca="false">IF($B58="","",الموظفون!$M58*$J58/cfg_DAYS_M)</f>
        <v/>
      </c>
      <c r="M58" s="111" t="str">
        <f aca="false">IF($B58="","",الموظفون!$N58*$J58/cfg_DAYS_M)</f>
        <v/>
      </c>
      <c r="N58" s="111" t="str">
        <f aca="false">IF($B58="","",الموظفون!$O58*$J58/cfg_DAYS_M)</f>
        <v/>
      </c>
      <c r="O58" s="151" t="str">
        <f aca="false">IF($B58="","",SUMIFS('الحركات الشهرية'!$F$6:$F$1005,'الحركات الشهرية'!$B$6:$B$1005,$B58,'الحركات الشهرية'!$A$6:$A$1005,$C$3))</f>
        <v/>
      </c>
      <c r="P58" s="111" t="str">
        <f aca="false">IF($B58="","",O58*(الموظفون!$P58+الموظفون!$L58*cfg_OT_P)/cfg_DAYS_M/cfg_HRS)</f>
        <v/>
      </c>
      <c r="Q58" s="111" t="str">
        <f aca="false">IF($B58="","",SUMIFS('الحركات الشهرية'!$G$6:$G$1005,'الحركات الشهرية'!$B$6:$B$1005,$B58,'الحركات الشهرية'!$A$6:$A$1005,$C$3))</f>
        <v/>
      </c>
      <c r="R58" s="111" t="str">
        <f aca="false">IF($B58="","",SUMIFS('الحركات الشهرية'!$H$6:$H$1005,'الحركات الشهرية'!$B$6:$B$1005,$B58,'الحركات الشهرية'!$A$6:$A$1005,$C$3))</f>
        <v/>
      </c>
      <c r="S58" s="111" t="str">
        <f aca="false">IF($B58="","",SUMIFS('سجل الإجازات والحالات'!$N$6:$N$505,'سجل الإجازات والحالات'!$B$6:$B$505,$B58,'سجل الإجازات والحالات'!$O$6:$O$505,$C$3))</f>
        <v/>
      </c>
      <c r="T58" s="152" t="str">
        <f aca="false">IF($B58="","",SUM(K58:N58)+SUM(P58:S58))</f>
        <v/>
      </c>
      <c r="U58" s="111" t="str">
        <f aca="false">IF($B58="","",الموظفون!$S58*IF(E58="سعودي",cfg_G_SE,cfg_G_NE)*G58/cfg_DAYS_M)</f>
        <v/>
      </c>
      <c r="V58" s="111" t="str">
        <f aca="false">IF($B58="","",SUMIFS('الحركات الشهرية'!$I$6:$I$1005,'الحركات الشهرية'!$B$6:$B$1005,$B58,'الحركات الشهرية'!$A$6:$A$1005,$C$3))</f>
        <v/>
      </c>
      <c r="W58" s="111" t="str">
        <f aca="false">IF($B58="","",SUMIFS('الحركات الشهرية'!$J$6:$J$1005,'الحركات الشهرية'!$B$6:$B$1005,$B58,'الحركات الشهرية'!$A$6:$A$1005,$C$3))</f>
        <v/>
      </c>
      <c r="X58" s="111" t="str">
        <f aca="false">IF($B58="","",SUM(U58:W58))</f>
        <v/>
      </c>
      <c r="Y58" s="153" t="str">
        <f aca="false">IF($B58="","",T58-X58)</f>
        <v/>
      </c>
      <c r="Z58" s="111" t="str">
        <f aca="false">IF($B58="","",الموظفون!$S58*IF(E58="سعودي",cfg_G_SR,cfg_G_NR)*G58/cfg_DAYS_M)</f>
        <v/>
      </c>
      <c r="AA58" s="111" t="str">
        <f aca="false">IF($B58="","",الموظفون!$Q58*(cfg_EOS_R1*(MIN(AH58,cfg_EOS_TH)-MIN(AI58,cfg_EOS_TH))+cfg_EOS_R2*(MAX(AH58-cfg_EOS_TH,0)-MAX(AI58-cfg_EOS_TH,0))))</f>
        <v/>
      </c>
      <c r="AB58" s="111" t="str">
        <f aca="false">IF($B58="","",IF(الموظفون!$T58&lt;&gt;"",الموظفون!$T58,IF(AH58&gt;=cfg_LV_TH,cfg_LV_D2,cfg_LV_D1))/cfg_DAYS_Y*AJ58*الموظفون!$R58/cfg_DAYS_M)</f>
        <v/>
      </c>
      <c r="AC58" s="111" t="str">
        <f aca="false">IF($B58="","",IF(AND(الموظفون!$U58="نعم",N(الموظفون!$W58)&gt;0),الموظفون!$V58/الموظفون!$W58*12/cfg_DAYS_Y*AJ58,0))</f>
        <v/>
      </c>
      <c r="AD58" s="111" t="str">
        <f aca="false">IF($B58="","",(IF(الموظفون!$X58&lt;&gt;"",الموظفون!$X58,IF(الموظفون!$E58="غير سعودي",cfg_IQ,0))+IF(الموظفون!$Y58&lt;&gt;"",الموظفون!$Y58,IF(الموظفون!$E58="غير سعودي",cfg_WP,0)))/12*G58/cfg_DAYS_M)</f>
        <v/>
      </c>
      <c r="AE58" s="111" t="str">
        <f aca="false">IF($B58="","",IF(الموظفون!$Z58&lt;&gt;"",الموظفون!$Z58,cfg_MED)/12*G58/cfg_DAYS_M)</f>
        <v/>
      </c>
      <c r="AF58" s="111" t="str">
        <f aca="false">IF($B58="","",N(الموظفون!$AA58)/12*G58/cfg_DAYS_M)</f>
        <v/>
      </c>
      <c r="AG58" s="154" t="str">
        <f aca="false">IF($B58="","",T58+SUM(Z58:AF58))</f>
        <v/>
      </c>
      <c r="AH58" s="155" t="str">
        <f aca="false">IF($B58="","",MAX(0,IF(OR(الموظفون!$AE58="",الموظفون!$AE58&gt;$F$3),$F$3,الموظفون!$AE58)-الموظفون!$H58+1-SUMIFS('سجل الإجازات والحالات'!$AI$6:$AI$505,'سجل الإجازات والحالات'!$B$6:$B$505,$B58))/cfg_DAYS_Y)</f>
        <v/>
      </c>
      <c r="AI58" s="155" t="str">
        <f aca="false">IF($B58="","",MAX(0,IF(OR(الموظفون!$AE58="",الموظفون!$AE58&gt;($E$3-1)),($E$3-1),الموظفون!$AE58)-الموظفون!$H58+1-SUMIFS('سجل الإجازات والحالات'!$AH$6:$AH$505,'سجل الإجازات والحالات'!$B$6:$B$505,$B58))/cfg_DAYS_Y)</f>
        <v/>
      </c>
      <c r="AJ58" s="65" t="str">
        <f aca="false">IF($B58="","",MAX(0,AK58-(SUMIFS('سجل الإجازات والحالات'!$AI$6:$AI$505,'سجل الإجازات والحالات'!$B$6:$B$505,$B58)-SUMIFS('سجل الإجازات والحالات'!$AH$6:$AH$505,'سجل الإجازات والحالات'!$B$6:$B$505,$B58))))</f>
        <v/>
      </c>
      <c r="AK58" s="65" t="str">
        <f aca="false">IF($B58="","",MAX(0,IF(OR(الموظفون!$AE58="",الموظفون!$AE58&gt;$F$3),$F$3,الموظفون!$AE58)-MAX($E$3,الموظفون!$H58)+1))</f>
        <v/>
      </c>
      <c r="AL58" s="151" t="str">
        <f aca="false">IF($B58="","",SUMIFS('سجل الإجازات والحالات'!$AU$6:$AU$505,'سجل الإجازات والحالات'!$B$6:$B$505,$B58)+SUMIFS('الحركات الشهرية'!$K$6:$K$1005,'الحركات الشهرية'!$B$6:$B$1005,$B58,'الحركات الشهرية'!$A$6:$A$1005,$C$3))</f>
        <v/>
      </c>
      <c r="AM58" s="111" t="str">
        <f aca="false">IF($B58="","",AL58*الموظفون!$R58/cfg_DAYS_M+S58)</f>
        <v/>
      </c>
      <c r="AN58" s="151" t="str">
        <f aca="false">IF($B58="","",SUMIFS('سجل الإجازات والحالات'!$W$6:$W$505,'سجل الإجازات والحالات'!$B$6:$B$505,$B58))</f>
        <v/>
      </c>
    </row>
    <row r="59" customFormat="false" ht="15" hidden="false" customHeight="false" outlineLevel="0" collapsed="false">
      <c r="A59" s="115" t="str">
        <f aca="false">IF($B59="","",الموظفون!$A59)</f>
        <v/>
      </c>
      <c r="B59" s="117" t="str">
        <f aca="false">IF(الموظفون!$B59="","",الموظفون!$B59)</f>
        <v/>
      </c>
      <c r="C59" s="117" t="str">
        <f aca="false">IF($B59="","",الموظفون!$C59)</f>
        <v/>
      </c>
      <c r="D59" s="117" t="str">
        <f aca="false">IF($B59="","",الموظفون!$F59)</f>
        <v/>
      </c>
      <c r="E59" s="117" t="str">
        <f aca="false">IF($B59="","",الموظفون!$E59)</f>
        <v/>
      </c>
      <c r="F59" s="117" t="str">
        <f aca="false">IF($B59="","",IF(AK59=0,IF(AND(الموظفون!$AE59&lt;&gt;"",الموظفون!$AE59&lt;$E$3),"✖ منتهي الخدمة","⏳ لم يباشر"),IF(S59&gt;0,"✈ راتب إجازة مقدم",IF(J59=0,"⛔ بدون راتب هذا الشهر",IF(I59&gt;0,"✈ خصم "&amp;ROUND(I59,2)&amp;" يوم بدون أجر",IF(AL59&gt;0,"🌴 إجازة سنوية "&amp;ROUND(AL59,2)&amp;" يوم",IF(H59&gt;0,"⚠ غياب "&amp;ROUND(H59,2)&amp;" يوم","✔ على رأس العمل")))))))</f>
        <v/>
      </c>
      <c r="G59" s="156" t="str">
        <f aca="false">IF($B59="","",IF(AK59&gt;=DAY($F$3),cfg_DAYS_M,MIN(AK59,cfg_DAYS_M)))</f>
        <v/>
      </c>
      <c r="H59" s="156" t="str">
        <f aca="false">IF($B59="","",SUMIFS('الحركات الشهرية'!$D$6:$D$1005,'الحركات الشهرية'!$B$6:$B$1005,$B59,'الحركات الشهرية'!$A$6:$A$1005,$C$3))</f>
        <v/>
      </c>
      <c r="I59" s="156" t="str">
        <f aca="false">IF($B59="","",MIN(G59,IF(AND(AK59&gt;0,AN59&gt;=AK59),G59,AN59)+SUMIFS('الحركات الشهرية'!$E$6:$E$1005,'الحركات الشهرية'!$B$6:$B$1005,$B59,'الحركات الشهرية'!$A$6:$A$1005,$C$3)))</f>
        <v/>
      </c>
      <c r="J59" s="156" t="str">
        <f aca="false">IF($B59="","",MAX(0,G59-H59-I59))</f>
        <v/>
      </c>
      <c r="K59" s="116" t="str">
        <f aca="false">IF($B59="","",الموظفون!$L59*$J59/cfg_DAYS_M)</f>
        <v/>
      </c>
      <c r="L59" s="116" t="str">
        <f aca="false">IF($B59="","",الموظفون!$M59*$J59/cfg_DAYS_M)</f>
        <v/>
      </c>
      <c r="M59" s="116" t="str">
        <f aca="false">IF($B59="","",الموظفون!$N59*$J59/cfg_DAYS_M)</f>
        <v/>
      </c>
      <c r="N59" s="116" t="str">
        <f aca="false">IF($B59="","",الموظفون!$O59*$J59/cfg_DAYS_M)</f>
        <v/>
      </c>
      <c r="O59" s="156" t="str">
        <f aca="false">IF($B59="","",SUMIFS('الحركات الشهرية'!$F$6:$F$1005,'الحركات الشهرية'!$B$6:$B$1005,$B59,'الحركات الشهرية'!$A$6:$A$1005,$C$3))</f>
        <v/>
      </c>
      <c r="P59" s="116" t="str">
        <f aca="false">IF($B59="","",O59*(الموظفون!$P59+الموظفون!$L59*cfg_OT_P)/cfg_DAYS_M/cfg_HRS)</f>
        <v/>
      </c>
      <c r="Q59" s="116" t="str">
        <f aca="false">IF($B59="","",SUMIFS('الحركات الشهرية'!$G$6:$G$1005,'الحركات الشهرية'!$B$6:$B$1005,$B59,'الحركات الشهرية'!$A$6:$A$1005,$C$3))</f>
        <v/>
      </c>
      <c r="R59" s="116" t="str">
        <f aca="false">IF($B59="","",SUMIFS('الحركات الشهرية'!$H$6:$H$1005,'الحركات الشهرية'!$B$6:$B$1005,$B59,'الحركات الشهرية'!$A$6:$A$1005,$C$3))</f>
        <v/>
      </c>
      <c r="S59" s="116" t="str">
        <f aca="false">IF($B59="","",SUMIFS('سجل الإجازات والحالات'!$N$6:$N$505,'سجل الإجازات والحالات'!$B$6:$B$505,$B59,'سجل الإجازات والحالات'!$O$6:$O$505,$C$3))</f>
        <v/>
      </c>
      <c r="T59" s="157" t="str">
        <f aca="false">IF($B59="","",SUM(K59:N59)+SUM(P59:S59))</f>
        <v/>
      </c>
      <c r="U59" s="116" t="str">
        <f aca="false">IF($B59="","",الموظفون!$S59*IF(E59="سعودي",cfg_G_SE,cfg_G_NE)*G59/cfg_DAYS_M)</f>
        <v/>
      </c>
      <c r="V59" s="116" t="str">
        <f aca="false">IF($B59="","",SUMIFS('الحركات الشهرية'!$I$6:$I$1005,'الحركات الشهرية'!$B$6:$B$1005,$B59,'الحركات الشهرية'!$A$6:$A$1005,$C$3))</f>
        <v/>
      </c>
      <c r="W59" s="116" t="str">
        <f aca="false">IF($B59="","",SUMIFS('الحركات الشهرية'!$J$6:$J$1005,'الحركات الشهرية'!$B$6:$B$1005,$B59,'الحركات الشهرية'!$A$6:$A$1005,$C$3))</f>
        <v/>
      </c>
      <c r="X59" s="116" t="str">
        <f aca="false">IF($B59="","",SUM(U59:W59))</f>
        <v/>
      </c>
      <c r="Y59" s="158" t="str">
        <f aca="false">IF($B59="","",T59-X59)</f>
        <v/>
      </c>
      <c r="Z59" s="116" t="str">
        <f aca="false">IF($B59="","",الموظفون!$S59*IF(E59="سعودي",cfg_G_SR,cfg_G_NR)*G59/cfg_DAYS_M)</f>
        <v/>
      </c>
      <c r="AA59" s="116" t="str">
        <f aca="false">IF($B59="","",الموظفون!$Q59*(cfg_EOS_R1*(MIN(AH59,cfg_EOS_TH)-MIN(AI59,cfg_EOS_TH))+cfg_EOS_R2*(MAX(AH59-cfg_EOS_TH,0)-MAX(AI59-cfg_EOS_TH,0))))</f>
        <v/>
      </c>
      <c r="AB59" s="116" t="str">
        <f aca="false">IF($B59="","",IF(الموظفون!$T59&lt;&gt;"",الموظفون!$T59,IF(AH59&gt;=cfg_LV_TH,cfg_LV_D2,cfg_LV_D1))/cfg_DAYS_Y*AJ59*الموظفون!$R59/cfg_DAYS_M)</f>
        <v/>
      </c>
      <c r="AC59" s="116" t="str">
        <f aca="false">IF($B59="","",IF(AND(الموظفون!$U59="نعم",N(الموظفون!$W59)&gt;0),الموظفون!$V59/الموظفون!$W59*12/cfg_DAYS_Y*AJ59,0))</f>
        <v/>
      </c>
      <c r="AD59" s="116" t="str">
        <f aca="false">IF($B59="","",(IF(الموظفون!$X59&lt;&gt;"",الموظفون!$X59,IF(الموظفون!$E59="غير سعودي",cfg_IQ,0))+IF(الموظفون!$Y59&lt;&gt;"",الموظفون!$Y59,IF(الموظفون!$E59="غير سعودي",cfg_WP,0)))/12*G59/cfg_DAYS_M)</f>
        <v/>
      </c>
      <c r="AE59" s="116" t="str">
        <f aca="false">IF($B59="","",IF(الموظفون!$Z59&lt;&gt;"",الموظفون!$Z59,cfg_MED)/12*G59/cfg_DAYS_M)</f>
        <v/>
      </c>
      <c r="AF59" s="116" t="str">
        <f aca="false">IF($B59="","",N(الموظفون!$AA59)/12*G59/cfg_DAYS_M)</f>
        <v/>
      </c>
      <c r="AG59" s="159" t="str">
        <f aca="false">IF($B59="","",T59+SUM(Z59:AF59))</f>
        <v/>
      </c>
      <c r="AH59" s="160" t="str">
        <f aca="false">IF($B59="","",MAX(0,IF(OR(الموظفون!$AE59="",الموظفون!$AE59&gt;$F$3),$F$3,الموظفون!$AE59)-الموظفون!$H59+1-SUMIFS('سجل الإجازات والحالات'!$AI$6:$AI$505,'سجل الإجازات والحالات'!$B$6:$B$505,$B59))/cfg_DAYS_Y)</f>
        <v/>
      </c>
      <c r="AI59" s="160" t="str">
        <f aca="false">IF($B59="","",MAX(0,IF(OR(الموظفون!$AE59="",الموظفون!$AE59&gt;($E$3-1)),($E$3-1),الموظفون!$AE59)-الموظفون!$H59+1-SUMIFS('سجل الإجازات والحالات'!$AH$6:$AH$505,'سجل الإجازات والحالات'!$B$6:$B$505,$B59))/cfg_DAYS_Y)</f>
        <v/>
      </c>
      <c r="AJ59" s="133" t="str">
        <f aca="false">IF($B59="","",MAX(0,AK59-(SUMIFS('سجل الإجازات والحالات'!$AI$6:$AI$505,'سجل الإجازات والحالات'!$B$6:$B$505,$B59)-SUMIFS('سجل الإجازات والحالات'!$AH$6:$AH$505,'سجل الإجازات والحالات'!$B$6:$B$505,$B59))))</f>
        <v/>
      </c>
      <c r="AK59" s="133" t="str">
        <f aca="false">IF($B59="","",MAX(0,IF(OR(الموظفون!$AE59="",الموظفون!$AE59&gt;$F$3),$F$3,الموظفون!$AE59)-MAX($E$3,الموظفون!$H59)+1))</f>
        <v/>
      </c>
      <c r="AL59" s="156" t="str">
        <f aca="false">IF($B59="","",SUMIFS('سجل الإجازات والحالات'!$AU$6:$AU$505,'سجل الإجازات والحالات'!$B$6:$B$505,$B59)+SUMIFS('الحركات الشهرية'!$K$6:$K$1005,'الحركات الشهرية'!$B$6:$B$1005,$B59,'الحركات الشهرية'!$A$6:$A$1005,$C$3))</f>
        <v/>
      </c>
      <c r="AM59" s="116" t="str">
        <f aca="false">IF($B59="","",AL59*الموظفون!$R59/cfg_DAYS_M+S59)</f>
        <v/>
      </c>
      <c r="AN59" s="156" t="str">
        <f aca="false">IF($B59="","",SUMIFS('سجل الإجازات والحالات'!$W$6:$W$505,'سجل الإجازات والحالات'!$B$6:$B$505,$B59))</f>
        <v/>
      </c>
    </row>
    <row r="60" customFormat="false" ht="15" hidden="false" customHeight="false" outlineLevel="0" collapsed="false">
      <c r="A60" s="106" t="str">
        <f aca="false">IF($B60="","",الموظفون!$A60)</f>
        <v/>
      </c>
      <c r="B60" s="114" t="str">
        <f aca="false">IF(الموظفون!$B60="","",الموظفون!$B60)</f>
        <v/>
      </c>
      <c r="C60" s="114" t="str">
        <f aca="false">IF($B60="","",الموظفون!$C60)</f>
        <v/>
      </c>
      <c r="D60" s="114" t="str">
        <f aca="false">IF($B60="","",الموظفون!$F60)</f>
        <v/>
      </c>
      <c r="E60" s="114" t="str">
        <f aca="false">IF($B60="","",الموظفون!$E60)</f>
        <v/>
      </c>
      <c r="F60" s="114" t="str">
        <f aca="false">IF($B60="","",IF(AK60=0,IF(AND(الموظفون!$AE60&lt;&gt;"",الموظفون!$AE60&lt;$E$3),"✖ منتهي الخدمة","⏳ لم يباشر"),IF(S60&gt;0,"✈ راتب إجازة مقدم",IF(J60=0,"⛔ بدون راتب هذا الشهر",IF(I60&gt;0,"✈ خصم "&amp;ROUND(I60,2)&amp;" يوم بدون أجر",IF(AL60&gt;0,"🌴 إجازة سنوية "&amp;ROUND(AL60,2)&amp;" يوم",IF(H60&gt;0,"⚠ غياب "&amp;ROUND(H60,2)&amp;" يوم","✔ على رأس العمل")))))))</f>
        <v/>
      </c>
      <c r="G60" s="151" t="str">
        <f aca="false">IF($B60="","",IF(AK60&gt;=DAY($F$3),cfg_DAYS_M,MIN(AK60,cfg_DAYS_M)))</f>
        <v/>
      </c>
      <c r="H60" s="151" t="str">
        <f aca="false">IF($B60="","",SUMIFS('الحركات الشهرية'!$D$6:$D$1005,'الحركات الشهرية'!$B$6:$B$1005,$B60,'الحركات الشهرية'!$A$6:$A$1005,$C$3))</f>
        <v/>
      </c>
      <c r="I60" s="151" t="str">
        <f aca="false">IF($B60="","",MIN(G60,IF(AND(AK60&gt;0,AN60&gt;=AK60),G60,AN60)+SUMIFS('الحركات الشهرية'!$E$6:$E$1005,'الحركات الشهرية'!$B$6:$B$1005,$B60,'الحركات الشهرية'!$A$6:$A$1005,$C$3)))</f>
        <v/>
      </c>
      <c r="J60" s="151" t="str">
        <f aca="false">IF($B60="","",MAX(0,G60-H60-I60))</f>
        <v/>
      </c>
      <c r="K60" s="111" t="str">
        <f aca="false">IF($B60="","",الموظفون!$L60*$J60/cfg_DAYS_M)</f>
        <v/>
      </c>
      <c r="L60" s="111" t="str">
        <f aca="false">IF($B60="","",الموظفون!$M60*$J60/cfg_DAYS_M)</f>
        <v/>
      </c>
      <c r="M60" s="111" t="str">
        <f aca="false">IF($B60="","",الموظفون!$N60*$J60/cfg_DAYS_M)</f>
        <v/>
      </c>
      <c r="N60" s="111" t="str">
        <f aca="false">IF($B60="","",الموظفون!$O60*$J60/cfg_DAYS_M)</f>
        <v/>
      </c>
      <c r="O60" s="151" t="str">
        <f aca="false">IF($B60="","",SUMIFS('الحركات الشهرية'!$F$6:$F$1005,'الحركات الشهرية'!$B$6:$B$1005,$B60,'الحركات الشهرية'!$A$6:$A$1005,$C$3))</f>
        <v/>
      </c>
      <c r="P60" s="111" t="str">
        <f aca="false">IF($B60="","",O60*(الموظفون!$P60+الموظفون!$L60*cfg_OT_P)/cfg_DAYS_M/cfg_HRS)</f>
        <v/>
      </c>
      <c r="Q60" s="111" t="str">
        <f aca="false">IF($B60="","",SUMIFS('الحركات الشهرية'!$G$6:$G$1005,'الحركات الشهرية'!$B$6:$B$1005,$B60,'الحركات الشهرية'!$A$6:$A$1005,$C$3))</f>
        <v/>
      </c>
      <c r="R60" s="111" t="str">
        <f aca="false">IF($B60="","",SUMIFS('الحركات الشهرية'!$H$6:$H$1005,'الحركات الشهرية'!$B$6:$B$1005,$B60,'الحركات الشهرية'!$A$6:$A$1005,$C$3))</f>
        <v/>
      </c>
      <c r="S60" s="111" t="str">
        <f aca="false">IF($B60="","",SUMIFS('سجل الإجازات والحالات'!$N$6:$N$505,'سجل الإجازات والحالات'!$B$6:$B$505,$B60,'سجل الإجازات والحالات'!$O$6:$O$505,$C$3))</f>
        <v/>
      </c>
      <c r="T60" s="152" t="str">
        <f aca="false">IF($B60="","",SUM(K60:N60)+SUM(P60:S60))</f>
        <v/>
      </c>
      <c r="U60" s="111" t="str">
        <f aca="false">IF($B60="","",الموظفون!$S60*IF(E60="سعودي",cfg_G_SE,cfg_G_NE)*G60/cfg_DAYS_M)</f>
        <v/>
      </c>
      <c r="V60" s="111" t="str">
        <f aca="false">IF($B60="","",SUMIFS('الحركات الشهرية'!$I$6:$I$1005,'الحركات الشهرية'!$B$6:$B$1005,$B60,'الحركات الشهرية'!$A$6:$A$1005,$C$3))</f>
        <v/>
      </c>
      <c r="W60" s="111" t="str">
        <f aca="false">IF($B60="","",SUMIFS('الحركات الشهرية'!$J$6:$J$1005,'الحركات الشهرية'!$B$6:$B$1005,$B60,'الحركات الشهرية'!$A$6:$A$1005,$C$3))</f>
        <v/>
      </c>
      <c r="X60" s="111" t="str">
        <f aca="false">IF($B60="","",SUM(U60:W60))</f>
        <v/>
      </c>
      <c r="Y60" s="153" t="str">
        <f aca="false">IF($B60="","",T60-X60)</f>
        <v/>
      </c>
      <c r="Z60" s="111" t="str">
        <f aca="false">IF($B60="","",الموظفون!$S60*IF(E60="سعودي",cfg_G_SR,cfg_G_NR)*G60/cfg_DAYS_M)</f>
        <v/>
      </c>
      <c r="AA60" s="111" t="str">
        <f aca="false">IF($B60="","",الموظفون!$Q60*(cfg_EOS_R1*(MIN(AH60,cfg_EOS_TH)-MIN(AI60,cfg_EOS_TH))+cfg_EOS_R2*(MAX(AH60-cfg_EOS_TH,0)-MAX(AI60-cfg_EOS_TH,0))))</f>
        <v/>
      </c>
      <c r="AB60" s="111" t="str">
        <f aca="false">IF($B60="","",IF(الموظفون!$T60&lt;&gt;"",الموظفون!$T60,IF(AH60&gt;=cfg_LV_TH,cfg_LV_D2,cfg_LV_D1))/cfg_DAYS_Y*AJ60*الموظفون!$R60/cfg_DAYS_M)</f>
        <v/>
      </c>
      <c r="AC60" s="111" t="str">
        <f aca="false">IF($B60="","",IF(AND(الموظفون!$U60="نعم",N(الموظفون!$W60)&gt;0),الموظفون!$V60/الموظفون!$W60*12/cfg_DAYS_Y*AJ60,0))</f>
        <v/>
      </c>
      <c r="AD60" s="111" t="str">
        <f aca="false">IF($B60="","",(IF(الموظفون!$X60&lt;&gt;"",الموظفون!$X60,IF(الموظفون!$E60="غير سعودي",cfg_IQ,0))+IF(الموظفون!$Y60&lt;&gt;"",الموظفون!$Y60,IF(الموظفون!$E60="غير سعودي",cfg_WP,0)))/12*G60/cfg_DAYS_M)</f>
        <v/>
      </c>
      <c r="AE60" s="111" t="str">
        <f aca="false">IF($B60="","",IF(الموظفون!$Z60&lt;&gt;"",الموظفون!$Z60,cfg_MED)/12*G60/cfg_DAYS_M)</f>
        <v/>
      </c>
      <c r="AF60" s="111" t="str">
        <f aca="false">IF($B60="","",N(الموظفون!$AA60)/12*G60/cfg_DAYS_M)</f>
        <v/>
      </c>
      <c r="AG60" s="154" t="str">
        <f aca="false">IF($B60="","",T60+SUM(Z60:AF60))</f>
        <v/>
      </c>
      <c r="AH60" s="155" t="str">
        <f aca="false">IF($B60="","",MAX(0,IF(OR(الموظفون!$AE60="",الموظفون!$AE60&gt;$F$3),$F$3,الموظفون!$AE60)-الموظفون!$H60+1-SUMIFS('سجل الإجازات والحالات'!$AI$6:$AI$505,'سجل الإجازات والحالات'!$B$6:$B$505,$B60))/cfg_DAYS_Y)</f>
        <v/>
      </c>
      <c r="AI60" s="155" t="str">
        <f aca="false">IF($B60="","",MAX(0,IF(OR(الموظفون!$AE60="",الموظفون!$AE60&gt;($E$3-1)),($E$3-1),الموظفون!$AE60)-الموظفون!$H60+1-SUMIFS('سجل الإجازات والحالات'!$AH$6:$AH$505,'سجل الإجازات والحالات'!$B$6:$B$505,$B60))/cfg_DAYS_Y)</f>
        <v/>
      </c>
      <c r="AJ60" s="65" t="str">
        <f aca="false">IF($B60="","",MAX(0,AK60-(SUMIFS('سجل الإجازات والحالات'!$AI$6:$AI$505,'سجل الإجازات والحالات'!$B$6:$B$505,$B60)-SUMIFS('سجل الإجازات والحالات'!$AH$6:$AH$505,'سجل الإجازات والحالات'!$B$6:$B$505,$B60))))</f>
        <v/>
      </c>
      <c r="AK60" s="65" t="str">
        <f aca="false">IF($B60="","",MAX(0,IF(OR(الموظفون!$AE60="",الموظفون!$AE60&gt;$F$3),$F$3,الموظفون!$AE60)-MAX($E$3,الموظفون!$H60)+1))</f>
        <v/>
      </c>
      <c r="AL60" s="151" t="str">
        <f aca="false">IF($B60="","",SUMIFS('سجل الإجازات والحالات'!$AU$6:$AU$505,'سجل الإجازات والحالات'!$B$6:$B$505,$B60)+SUMIFS('الحركات الشهرية'!$K$6:$K$1005,'الحركات الشهرية'!$B$6:$B$1005,$B60,'الحركات الشهرية'!$A$6:$A$1005,$C$3))</f>
        <v/>
      </c>
      <c r="AM60" s="111" t="str">
        <f aca="false">IF($B60="","",AL60*الموظفون!$R60/cfg_DAYS_M+S60)</f>
        <v/>
      </c>
      <c r="AN60" s="151" t="str">
        <f aca="false">IF($B60="","",SUMIFS('سجل الإجازات والحالات'!$W$6:$W$505,'سجل الإجازات والحالات'!$B$6:$B$505,$B60))</f>
        <v/>
      </c>
    </row>
    <row r="61" customFormat="false" ht="15" hidden="false" customHeight="false" outlineLevel="0" collapsed="false">
      <c r="A61" s="115" t="str">
        <f aca="false">IF($B61="","",الموظفون!$A61)</f>
        <v/>
      </c>
      <c r="B61" s="117" t="str">
        <f aca="false">IF(الموظفون!$B61="","",الموظفون!$B61)</f>
        <v/>
      </c>
      <c r="C61" s="117" t="str">
        <f aca="false">IF($B61="","",الموظفون!$C61)</f>
        <v/>
      </c>
      <c r="D61" s="117" t="str">
        <f aca="false">IF($B61="","",الموظفون!$F61)</f>
        <v/>
      </c>
      <c r="E61" s="117" t="str">
        <f aca="false">IF($B61="","",الموظفون!$E61)</f>
        <v/>
      </c>
      <c r="F61" s="117" t="str">
        <f aca="false">IF($B61="","",IF(AK61=0,IF(AND(الموظفون!$AE61&lt;&gt;"",الموظفون!$AE61&lt;$E$3),"✖ منتهي الخدمة","⏳ لم يباشر"),IF(S61&gt;0,"✈ راتب إجازة مقدم",IF(J61=0,"⛔ بدون راتب هذا الشهر",IF(I61&gt;0,"✈ خصم "&amp;ROUND(I61,2)&amp;" يوم بدون أجر",IF(AL61&gt;0,"🌴 إجازة سنوية "&amp;ROUND(AL61,2)&amp;" يوم",IF(H61&gt;0,"⚠ غياب "&amp;ROUND(H61,2)&amp;" يوم","✔ على رأس العمل")))))))</f>
        <v/>
      </c>
      <c r="G61" s="156" t="str">
        <f aca="false">IF($B61="","",IF(AK61&gt;=DAY($F$3),cfg_DAYS_M,MIN(AK61,cfg_DAYS_M)))</f>
        <v/>
      </c>
      <c r="H61" s="156" t="str">
        <f aca="false">IF($B61="","",SUMIFS('الحركات الشهرية'!$D$6:$D$1005,'الحركات الشهرية'!$B$6:$B$1005,$B61,'الحركات الشهرية'!$A$6:$A$1005,$C$3))</f>
        <v/>
      </c>
      <c r="I61" s="156" t="str">
        <f aca="false">IF($B61="","",MIN(G61,IF(AND(AK61&gt;0,AN61&gt;=AK61),G61,AN61)+SUMIFS('الحركات الشهرية'!$E$6:$E$1005,'الحركات الشهرية'!$B$6:$B$1005,$B61,'الحركات الشهرية'!$A$6:$A$1005,$C$3)))</f>
        <v/>
      </c>
      <c r="J61" s="156" t="str">
        <f aca="false">IF($B61="","",MAX(0,G61-H61-I61))</f>
        <v/>
      </c>
      <c r="K61" s="116" t="str">
        <f aca="false">IF($B61="","",الموظفون!$L61*$J61/cfg_DAYS_M)</f>
        <v/>
      </c>
      <c r="L61" s="116" t="str">
        <f aca="false">IF($B61="","",الموظفون!$M61*$J61/cfg_DAYS_M)</f>
        <v/>
      </c>
      <c r="M61" s="116" t="str">
        <f aca="false">IF($B61="","",الموظفون!$N61*$J61/cfg_DAYS_M)</f>
        <v/>
      </c>
      <c r="N61" s="116" t="str">
        <f aca="false">IF($B61="","",الموظفون!$O61*$J61/cfg_DAYS_M)</f>
        <v/>
      </c>
      <c r="O61" s="156" t="str">
        <f aca="false">IF($B61="","",SUMIFS('الحركات الشهرية'!$F$6:$F$1005,'الحركات الشهرية'!$B$6:$B$1005,$B61,'الحركات الشهرية'!$A$6:$A$1005,$C$3))</f>
        <v/>
      </c>
      <c r="P61" s="116" t="str">
        <f aca="false">IF($B61="","",O61*(الموظفون!$P61+الموظفون!$L61*cfg_OT_P)/cfg_DAYS_M/cfg_HRS)</f>
        <v/>
      </c>
      <c r="Q61" s="116" t="str">
        <f aca="false">IF($B61="","",SUMIFS('الحركات الشهرية'!$G$6:$G$1005,'الحركات الشهرية'!$B$6:$B$1005,$B61,'الحركات الشهرية'!$A$6:$A$1005,$C$3))</f>
        <v/>
      </c>
      <c r="R61" s="116" t="str">
        <f aca="false">IF($B61="","",SUMIFS('الحركات الشهرية'!$H$6:$H$1005,'الحركات الشهرية'!$B$6:$B$1005,$B61,'الحركات الشهرية'!$A$6:$A$1005,$C$3))</f>
        <v/>
      </c>
      <c r="S61" s="116" t="str">
        <f aca="false">IF($B61="","",SUMIFS('سجل الإجازات والحالات'!$N$6:$N$505,'سجل الإجازات والحالات'!$B$6:$B$505,$B61,'سجل الإجازات والحالات'!$O$6:$O$505,$C$3))</f>
        <v/>
      </c>
      <c r="T61" s="157" t="str">
        <f aca="false">IF($B61="","",SUM(K61:N61)+SUM(P61:S61))</f>
        <v/>
      </c>
      <c r="U61" s="116" t="str">
        <f aca="false">IF($B61="","",الموظفون!$S61*IF(E61="سعودي",cfg_G_SE,cfg_G_NE)*G61/cfg_DAYS_M)</f>
        <v/>
      </c>
      <c r="V61" s="116" t="str">
        <f aca="false">IF($B61="","",SUMIFS('الحركات الشهرية'!$I$6:$I$1005,'الحركات الشهرية'!$B$6:$B$1005,$B61,'الحركات الشهرية'!$A$6:$A$1005,$C$3))</f>
        <v/>
      </c>
      <c r="W61" s="116" t="str">
        <f aca="false">IF($B61="","",SUMIFS('الحركات الشهرية'!$J$6:$J$1005,'الحركات الشهرية'!$B$6:$B$1005,$B61,'الحركات الشهرية'!$A$6:$A$1005,$C$3))</f>
        <v/>
      </c>
      <c r="X61" s="116" t="str">
        <f aca="false">IF($B61="","",SUM(U61:W61))</f>
        <v/>
      </c>
      <c r="Y61" s="158" t="str">
        <f aca="false">IF($B61="","",T61-X61)</f>
        <v/>
      </c>
      <c r="Z61" s="116" t="str">
        <f aca="false">IF($B61="","",الموظفون!$S61*IF(E61="سعودي",cfg_G_SR,cfg_G_NR)*G61/cfg_DAYS_M)</f>
        <v/>
      </c>
      <c r="AA61" s="116" t="str">
        <f aca="false">IF($B61="","",الموظفون!$Q61*(cfg_EOS_R1*(MIN(AH61,cfg_EOS_TH)-MIN(AI61,cfg_EOS_TH))+cfg_EOS_R2*(MAX(AH61-cfg_EOS_TH,0)-MAX(AI61-cfg_EOS_TH,0))))</f>
        <v/>
      </c>
      <c r="AB61" s="116" t="str">
        <f aca="false">IF($B61="","",IF(الموظفون!$T61&lt;&gt;"",الموظفون!$T61,IF(AH61&gt;=cfg_LV_TH,cfg_LV_D2,cfg_LV_D1))/cfg_DAYS_Y*AJ61*الموظفون!$R61/cfg_DAYS_M)</f>
        <v/>
      </c>
      <c r="AC61" s="116" t="str">
        <f aca="false">IF($B61="","",IF(AND(الموظفون!$U61="نعم",N(الموظفون!$W61)&gt;0),الموظفون!$V61/الموظفون!$W61*12/cfg_DAYS_Y*AJ61,0))</f>
        <v/>
      </c>
      <c r="AD61" s="116" t="str">
        <f aca="false">IF($B61="","",(IF(الموظفون!$X61&lt;&gt;"",الموظفون!$X61,IF(الموظفون!$E61="غير سعودي",cfg_IQ,0))+IF(الموظفون!$Y61&lt;&gt;"",الموظفون!$Y61,IF(الموظفون!$E61="غير سعودي",cfg_WP,0)))/12*G61/cfg_DAYS_M)</f>
        <v/>
      </c>
      <c r="AE61" s="116" t="str">
        <f aca="false">IF($B61="","",IF(الموظفون!$Z61&lt;&gt;"",الموظفون!$Z61,cfg_MED)/12*G61/cfg_DAYS_M)</f>
        <v/>
      </c>
      <c r="AF61" s="116" t="str">
        <f aca="false">IF($B61="","",N(الموظفون!$AA61)/12*G61/cfg_DAYS_M)</f>
        <v/>
      </c>
      <c r="AG61" s="159" t="str">
        <f aca="false">IF($B61="","",T61+SUM(Z61:AF61))</f>
        <v/>
      </c>
      <c r="AH61" s="160" t="str">
        <f aca="false">IF($B61="","",MAX(0,IF(OR(الموظفون!$AE61="",الموظفون!$AE61&gt;$F$3),$F$3,الموظفون!$AE61)-الموظفون!$H61+1-SUMIFS('سجل الإجازات والحالات'!$AI$6:$AI$505,'سجل الإجازات والحالات'!$B$6:$B$505,$B61))/cfg_DAYS_Y)</f>
        <v/>
      </c>
      <c r="AI61" s="160" t="str">
        <f aca="false">IF($B61="","",MAX(0,IF(OR(الموظفون!$AE61="",الموظفون!$AE61&gt;($E$3-1)),($E$3-1),الموظفون!$AE61)-الموظفون!$H61+1-SUMIFS('سجل الإجازات والحالات'!$AH$6:$AH$505,'سجل الإجازات والحالات'!$B$6:$B$505,$B61))/cfg_DAYS_Y)</f>
        <v/>
      </c>
      <c r="AJ61" s="133" t="str">
        <f aca="false">IF($B61="","",MAX(0,AK61-(SUMIFS('سجل الإجازات والحالات'!$AI$6:$AI$505,'سجل الإجازات والحالات'!$B$6:$B$505,$B61)-SUMIFS('سجل الإجازات والحالات'!$AH$6:$AH$505,'سجل الإجازات والحالات'!$B$6:$B$505,$B61))))</f>
        <v/>
      </c>
      <c r="AK61" s="133" t="str">
        <f aca="false">IF($B61="","",MAX(0,IF(OR(الموظفون!$AE61="",الموظفون!$AE61&gt;$F$3),$F$3,الموظفون!$AE61)-MAX($E$3,الموظفون!$H61)+1))</f>
        <v/>
      </c>
      <c r="AL61" s="156" t="str">
        <f aca="false">IF($B61="","",SUMIFS('سجل الإجازات والحالات'!$AU$6:$AU$505,'سجل الإجازات والحالات'!$B$6:$B$505,$B61)+SUMIFS('الحركات الشهرية'!$K$6:$K$1005,'الحركات الشهرية'!$B$6:$B$1005,$B61,'الحركات الشهرية'!$A$6:$A$1005,$C$3))</f>
        <v/>
      </c>
      <c r="AM61" s="116" t="str">
        <f aca="false">IF($B61="","",AL61*الموظفون!$R61/cfg_DAYS_M+S61)</f>
        <v/>
      </c>
      <c r="AN61" s="156" t="str">
        <f aca="false">IF($B61="","",SUMIFS('سجل الإجازات والحالات'!$W$6:$W$505,'سجل الإجازات والحالات'!$B$6:$B$505,$B61))</f>
        <v/>
      </c>
    </row>
    <row r="62" customFormat="false" ht="15" hidden="false" customHeight="false" outlineLevel="0" collapsed="false">
      <c r="A62" s="106" t="str">
        <f aca="false">IF($B62="","",الموظفون!$A62)</f>
        <v/>
      </c>
      <c r="B62" s="114" t="str">
        <f aca="false">IF(الموظفون!$B62="","",الموظفون!$B62)</f>
        <v/>
      </c>
      <c r="C62" s="114" t="str">
        <f aca="false">IF($B62="","",الموظفون!$C62)</f>
        <v/>
      </c>
      <c r="D62" s="114" t="str">
        <f aca="false">IF($B62="","",الموظفون!$F62)</f>
        <v/>
      </c>
      <c r="E62" s="114" t="str">
        <f aca="false">IF($B62="","",الموظفون!$E62)</f>
        <v/>
      </c>
      <c r="F62" s="114" t="str">
        <f aca="false">IF($B62="","",IF(AK62=0,IF(AND(الموظفون!$AE62&lt;&gt;"",الموظفون!$AE62&lt;$E$3),"✖ منتهي الخدمة","⏳ لم يباشر"),IF(S62&gt;0,"✈ راتب إجازة مقدم",IF(J62=0,"⛔ بدون راتب هذا الشهر",IF(I62&gt;0,"✈ خصم "&amp;ROUND(I62,2)&amp;" يوم بدون أجر",IF(AL62&gt;0,"🌴 إجازة سنوية "&amp;ROUND(AL62,2)&amp;" يوم",IF(H62&gt;0,"⚠ غياب "&amp;ROUND(H62,2)&amp;" يوم","✔ على رأس العمل")))))))</f>
        <v/>
      </c>
      <c r="G62" s="151" t="str">
        <f aca="false">IF($B62="","",IF(AK62&gt;=DAY($F$3),cfg_DAYS_M,MIN(AK62,cfg_DAYS_M)))</f>
        <v/>
      </c>
      <c r="H62" s="151" t="str">
        <f aca="false">IF($B62="","",SUMIFS('الحركات الشهرية'!$D$6:$D$1005,'الحركات الشهرية'!$B$6:$B$1005,$B62,'الحركات الشهرية'!$A$6:$A$1005,$C$3))</f>
        <v/>
      </c>
      <c r="I62" s="151" t="str">
        <f aca="false">IF($B62="","",MIN(G62,IF(AND(AK62&gt;0,AN62&gt;=AK62),G62,AN62)+SUMIFS('الحركات الشهرية'!$E$6:$E$1005,'الحركات الشهرية'!$B$6:$B$1005,$B62,'الحركات الشهرية'!$A$6:$A$1005,$C$3)))</f>
        <v/>
      </c>
      <c r="J62" s="151" t="str">
        <f aca="false">IF($B62="","",MAX(0,G62-H62-I62))</f>
        <v/>
      </c>
      <c r="K62" s="111" t="str">
        <f aca="false">IF($B62="","",الموظفون!$L62*$J62/cfg_DAYS_M)</f>
        <v/>
      </c>
      <c r="L62" s="111" t="str">
        <f aca="false">IF($B62="","",الموظفون!$M62*$J62/cfg_DAYS_M)</f>
        <v/>
      </c>
      <c r="M62" s="111" t="str">
        <f aca="false">IF($B62="","",الموظفون!$N62*$J62/cfg_DAYS_M)</f>
        <v/>
      </c>
      <c r="N62" s="111" t="str">
        <f aca="false">IF($B62="","",الموظفون!$O62*$J62/cfg_DAYS_M)</f>
        <v/>
      </c>
      <c r="O62" s="151" t="str">
        <f aca="false">IF($B62="","",SUMIFS('الحركات الشهرية'!$F$6:$F$1005,'الحركات الشهرية'!$B$6:$B$1005,$B62,'الحركات الشهرية'!$A$6:$A$1005,$C$3))</f>
        <v/>
      </c>
      <c r="P62" s="111" t="str">
        <f aca="false">IF($B62="","",O62*(الموظفون!$P62+الموظفون!$L62*cfg_OT_P)/cfg_DAYS_M/cfg_HRS)</f>
        <v/>
      </c>
      <c r="Q62" s="111" t="str">
        <f aca="false">IF($B62="","",SUMIFS('الحركات الشهرية'!$G$6:$G$1005,'الحركات الشهرية'!$B$6:$B$1005,$B62,'الحركات الشهرية'!$A$6:$A$1005,$C$3))</f>
        <v/>
      </c>
      <c r="R62" s="111" t="str">
        <f aca="false">IF($B62="","",SUMIFS('الحركات الشهرية'!$H$6:$H$1005,'الحركات الشهرية'!$B$6:$B$1005,$B62,'الحركات الشهرية'!$A$6:$A$1005,$C$3))</f>
        <v/>
      </c>
      <c r="S62" s="111" t="str">
        <f aca="false">IF($B62="","",SUMIFS('سجل الإجازات والحالات'!$N$6:$N$505,'سجل الإجازات والحالات'!$B$6:$B$505,$B62,'سجل الإجازات والحالات'!$O$6:$O$505,$C$3))</f>
        <v/>
      </c>
      <c r="T62" s="152" t="str">
        <f aca="false">IF($B62="","",SUM(K62:N62)+SUM(P62:S62))</f>
        <v/>
      </c>
      <c r="U62" s="111" t="str">
        <f aca="false">IF($B62="","",الموظفون!$S62*IF(E62="سعودي",cfg_G_SE,cfg_G_NE)*G62/cfg_DAYS_M)</f>
        <v/>
      </c>
      <c r="V62" s="111" t="str">
        <f aca="false">IF($B62="","",SUMIFS('الحركات الشهرية'!$I$6:$I$1005,'الحركات الشهرية'!$B$6:$B$1005,$B62,'الحركات الشهرية'!$A$6:$A$1005,$C$3))</f>
        <v/>
      </c>
      <c r="W62" s="111" t="str">
        <f aca="false">IF($B62="","",SUMIFS('الحركات الشهرية'!$J$6:$J$1005,'الحركات الشهرية'!$B$6:$B$1005,$B62,'الحركات الشهرية'!$A$6:$A$1005,$C$3))</f>
        <v/>
      </c>
      <c r="X62" s="111" t="str">
        <f aca="false">IF($B62="","",SUM(U62:W62))</f>
        <v/>
      </c>
      <c r="Y62" s="153" t="str">
        <f aca="false">IF($B62="","",T62-X62)</f>
        <v/>
      </c>
      <c r="Z62" s="111" t="str">
        <f aca="false">IF($B62="","",الموظفون!$S62*IF(E62="سعودي",cfg_G_SR,cfg_G_NR)*G62/cfg_DAYS_M)</f>
        <v/>
      </c>
      <c r="AA62" s="111" t="str">
        <f aca="false">IF($B62="","",الموظفون!$Q62*(cfg_EOS_R1*(MIN(AH62,cfg_EOS_TH)-MIN(AI62,cfg_EOS_TH))+cfg_EOS_R2*(MAX(AH62-cfg_EOS_TH,0)-MAX(AI62-cfg_EOS_TH,0))))</f>
        <v/>
      </c>
      <c r="AB62" s="111" t="str">
        <f aca="false">IF($B62="","",IF(الموظفون!$T62&lt;&gt;"",الموظفون!$T62,IF(AH62&gt;=cfg_LV_TH,cfg_LV_D2,cfg_LV_D1))/cfg_DAYS_Y*AJ62*الموظفون!$R62/cfg_DAYS_M)</f>
        <v/>
      </c>
      <c r="AC62" s="111" t="str">
        <f aca="false">IF($B62="","",IF(AND(الموظفون!$U62="نعم",N(الموظفون!$W62)&gt;0),الموظفون!$V62/الموظفون!$W62*12/cfg_DAYS_Y*AJ62,0))</f>
        <v/>
      </c>
      <c r="AD62" s="111" t="str">
        <f aca="false">IF($B62="","",(IF(الموظفون!$X62&lt;&gt;"",الموظفون!$X62,IF(الموظفون!$E62="غير سعودي",cfg_IQ,0))+IF(الموظفون!$Y62&lt;&gt;"",الموظفون!$Y62,IF(الموظفون!$E62="غير سعودي",cfg_WP,0)))/12*G62/cfg_DAYS_M)</f>
        <v/>
      </c>
      <c r="AE62" s="111" t="str">
        <f aca="false">IF($B62="","",IF(الموظفون!$Z62&lt;&gt;"",الموظفون!$Z62,cfg_MED)/12*G62/cfg_DAYS_M)</f>
        <v/>
      </c>
      <c r="AF62" s="111" t="str">
        <f aca="false">IF($B62="","",N(الموظفون!$AA62)/12*G62/cfg_DAYS_M)</f>
        <v/>
      </c>
      <c r="AG62" s="154" t="str">
        <f aca="false">IF($B62="","",T62+SUM(Z62:AF62))</f>
        <v/>
      </c>
      <c r="AH62" s="155" t="str">
        <f aca="false">IF($B62="","",MAX(0,IF(OR(الموظفون!$AE62="",الموظفون!$AE62&gt;$F$3),$F$3,الموظفون!$AE62)-الموظفون!$H62+1-SUMIFS('سجل الإجازات والحالات'!$AI$6:$AI$505,'سجل الإجازات والحالات'!$B$6:$B$505,$B62))/cfg_DAYS_Y)</f>
        <v/>
      </c>
      <c r="AI62" s="155" t="str">
        <f aca="false">IF($B62="","",MAX(0,IF(OR(الموظفون!$AE62="",الموظفون!$AE62&gt;($E$3-1)),($E$3-1),الموظفون!$AE62)-الموظفون!$H62+1-SUMIFS('سجل الإجازات والحالات'!$AH$6:$AH$505,'سجل الإجازات والحالات'!$B$6:$B$505,$B62))/cfg_DAYS_Y)</f>
        <v/>
      </c>
      <c r="AJ62" s="65" t="str">
        <f aca="false">IF($B62="","",MAX(0,AK62-(SUMIFS('سجل الإجازات والحالات'!$AI$6:$AI$505,'سجل الإجازات والحالات'!$B$6:$B$505,$B62)-SUMIFS('سجل الإجازات والحالات'!$AH$6:$AH$505,'سجل الإجازات والحالات'!$B$6:$B$505,$B62))))</f>
        <v/>
      </c>
      <c r="AK62" s="65" t="str">
        <f aca="false">IF($B62="","",MAX(0,IF(OR(الموظفون!$AE62="",الموظفون!$AE62&gt;$F$3),$F$3,الموظفون!$AE62)-MAX($E$3,الموظفون!$H62)+1))</f>
        <v/>
      </c>
      <c r="AL62" s="151" t="str">
        <f aca="false">IF($B62="","",SUMIFS('سجل الإجازات والحالات'!$AU$6:$AU$505,'سجل الإجازات والحالات'!$B$6:$B$505,$B62)+SUMIFS('الحركات الشهرية'!$K$6:$K$1005,'الحركات الشهرية'!$B$6:$B$1005,$B62,'الحركات الشهرية'!$A$6:$A$1005,$C$3))</f>
        <v/>
      </c>
      <c r="AM62" s="111" t="str">
        <f aca="false">IF($B62="","",AL62*الموظفون!$R62/cfg_DAYS_M+S62)</f>
        <v/>
      </c>
      <c r="AN62" s="151" t="str">
        <f aca="false">IF($B62="","",SUMIFS('سجل الإجازات والحالات'!$W$6:$W$505,'سجل الإجازات والحالات'!$B$6:$B$505,$B62))</f>
        <v/>
      </c>
    </row>
    <row r="63" customFormat="false" ht="15" hidden="false" customHeight="false" outlineLevel="0" collapsed="false">
      <c r="A63" s="115" t="str">
        <f aca="false">IF($B63="","",الموظفون!$A63)</f>
        <v/>
      </c>
      <c r="B63" s="117" t="str">
        <f aca="false">IF(الموظفون!$B63="","",الموظفون!$B63)</f>
        <v/>
      </c>
      <c r="C63" s="117" t="str">
        <f aca="false">IF($B63="","",الموظفون!$C63)</f>
        <v/>
      </c>
      <c r="D63" s="117" t="str">
        <f aca="false">IF($B63="","",الموظفون!$F63)</f>
        <v/>
      </c>
      <c r="E63" s="117" t="str">
        <f aca="false">IF($B63="","",الموظفون!$E63)</f>
        <v/>
      </c>
      <c r="F63" s="117" t="str">
        <f aca="false">IF($B63="","",IF(AK63=0,IF(AND(الموظفون!$AE63&lt;&gt;"",الموظفون!$AE63&lt;$E$3),"✖ منتهي الخدمة","⏳ لم يباشر"),IF(S63&gt;0,"✈ راتب إجازة مقدم",IF(J63=0,"⛔ بدون راتب هذا الشهر",IF(I63&gt;0,"✈ خصم "&amp;ROUND(I63,2)&amp;" يوم بدون أجر",IF(AL63&gt;0,"🌴 إجازة سنوية "&amp;ROUND(AL63,2)&amp;" يوم",IF(H63&gt;0,"⚠ غياب "&amp;ROUND(H63,2)&amp;" يوم","✔ على رأس العمل")))))))</f>
        <v/>
      </c>
      <c r="G63" s="156" t="str">
        <f aca="false">IF($B63="","",IF(AK63&gt;=DAY($F$3),cfg_DAYS_M,MIN(AK63,cfg_DAYS_M)))</f>
        <v/>
      </c>
      <c r="H63" s="156" t="str">
        <f aca="false">IF($B63="","",SUMIFS('الحركات الشهرية'!$D$6:$D$1005,'الحركات الشهرية'!$B$6:$B$1005,$B63,'الحركات الشهرية'!$A$6:$A$1005,$C$3))</f>
        <v/>
      </c>
      <c r="I63" s="156" t="str">
        <f aca="false">IF($B63="","",MIN(G63,IF(AND(AK63&gt;0,AN63&gt;=AK63),G63,AN63)+SUMIFS('الحركات الشهرية'!$E$6:$E$1005,'الحركات الشهرية'!$B$6:$B$1005,$B63,'الحركات الشهرية'!$A$6:$A$1005,$C$3)))</f>
        <v/>
      </c>
      <c r="J63" s="156" t="str">
        <f aca="false">IF($B63="","",MAX(0,G63-H63-I63))</f>
        <v/>
      </c>
      <c r="K63" s="116" t="str">
        <f aca="false">IF($B63="","",الموظفون!$L63*$J63/cfg_DAYS_M)</f>
        <v/>
      </c>
      <c r="L63" s="116" t="str">
        <f aca="false">IF($B63="","",الموظفون!$M63*$J63/cfg_DAYS_M)</f>
        <v/>
      </c>
      <c r="M63" s="116" t="str">
        <f aca="false">IF($B63="","",الموظفون!$N63*$J63/cfg_DAYS_M)</f>
        <v/>
      </c>
      <c r="N63" s="116" t="str">
        <f aca="false">IF($B63="","",الموظفون!$O63*$J63/cfg_DAYS_M)</f>
        <v/>
      </c>
      <c r="O63" s="156" t="str">
        <f aca="false">IF($B63="","",SUMIFS('الحركات الشهرية'!$F$6:$F$1005,'الحركات الشهرية'!$B$6:$B$1005,$B63,'الحركات الشهرية'!$A$6:$A$1005,$C$3))</f>
        <v/>
      </c>
      <c r="P63" s="116" t="str">
        <f aca="false">IF($B63="","",O63*(الموظفون!$P63+الموظفون!$L63*cfg_OT_P)/cfg_DAYS_M/cfg_HRS)</f>
        <v/>
      </c>
      <c r="Q63" s="116" t="str">
        <f aca="false">IF($B63="","",SUMIFS('الحركات الشهرية'!$G$6:$G$1005,'الحركات الشهرية'!$B$6:$B$1005,$B63,'الحركات الشهرية'!$A$6:$A$1005,$C$3))</f>
        <v/>
      </c>
      <c r="R63" s="116" t="str">
        <f aca="false">IF($B63="","",SUMIFS('الحركات الشهرية'!$H$6:$H$1005,'الحركات الشهرية'!$B$6:$B$1005,$B63,'الحركات الشهرية'!$A$6:$A$1005,$C$3))</f>
        <v/>
      </c>
      <c r="S63" s="116" t="str">
        <f aca="false">IF($B63="","",SUMIFS('سجل الإجازات والحالات'!$N$6:$N$505,'سجل الإجازات والحالات'!$B$6:$B$505,$B63,'سجل الإجازات والحالات'!$O$6:$O$505,$C$3))</f>
        <v/>
      </c>
      <c r="T63" s="157" t="str">
        <f aca="false">IF($B63="","",SUM(K63:N63)+SUM(P63:S63))</f>
        <v/>
      </c>
      <c r="U63" s="116" t="str">
        <f aca="false">IF($B63="","",الموظفون!$S63*IF(E63="سعودي",cfg_G_SE,cfg_G_NE)*G63/cfg_DAYS_M)</f>
        <v/>
      </c>
      <c r="V63" s="116" t="str">
        <f aca="false">IF($B63="","",SUMIFS('الحركات الشهرية'!$I$6:$I$1005,'الحركات الشهرية'!$B$6:$B$1005,$B63,'الحركات الشهرية'!$A$6:$A$1005,$C$3))</f>
        <v/>
      </c>
      <c r="W63" s="116" t="str">
        <f aca="false">IF($B63="","",SUMIFS('الحركات الشهرية'!$J$6:$J$1005,'الحركات الشهرية'!$B$6:$B$1005,$B63,'الحركات الشهرية'!$A$6:$A$1005,$C$3))</f>
        <v/>
      </c>
      <c r="X63" s="116" t="str">
        <f aca="false">IF($B63="","",SUM(U63:W63))</f>
        <v/>
      </c>
      <c r="Y63" s="158" t="str">
        <f aca="false">IF($B63="","",T63-X63)</f>
        <v/>
      </c>
      <c r="Z63" s="116" t="str">
        <f aca="false">IF($B63="","",الموظفون!$S63*IF(E63="سعودي",cfg_G_SR,cfg_G_NR)*G63/cfg_DAYS_M)</f>
        <v/>
      </c>
      <c r="AA63" s="116" t="str">
        <f aca="false">IF($B63="","",الموظفون!$Q63*(cfg_EOS_R1*(MIN(AH63,cfg_EOS_TH)-MIN(AI63,cfg_EOS_TH))+cfg_EOS_R2*(MAX(AH63-cfg_EOS_TH,0)-MAX(AI63-cfg_EOS_TH,0))))</f>
        <v/>
      </c>
      <c r="AB63" s="116" t="str">
        <f aca="false">IF($B63="","",IF(الموظفون!$T63&lt;&gt;"",الموظفون!$T63,IF(AH63&gt;=cfg_LV_TH,cfg_LV_D2,cfg_LV_D1))/cfg_DAYS_Y*AJ63*الموظفون!$R63/cfg_DAYS_M)</f>
        <v/>
      </c>
      <c r="AC63" s="116" t="str">
        <f aca="false">IF($B63="","",IF(AND(الموظفون!$U63="نعم",N(الموظفون!$W63)&gt;0),الموظفون!$V63/الموظفون!$W63*12/cfg_DAYS_Y*AJ63,0))</f>
        <v/>
      </c>
      <c r="AD63" s="116" t="str">
        <f aca="false">IF($B63="","",(IF(الموظفون!$X63&lt;&gt;"",الموظفون!$X63,IF(الموظفون!$E63="غير سعودي",cfg_IQ,0))+IF(الموظفون!$Y63&lt;&gt;"",الموظفون!$Y63,IF(الموظفون!$E63="غير سعودي",cfg_WP,0)))/12*G63/cfg_DAYS_M)</f>
        <v/>
      </c>
      <c r="AE63" s="116" t="str">
        <f aca="false">IF($B63="","",IF(الموظفون!$Z63&lt;&gt;"",الموظفون!$Z63,cfg_MED)/12*G63/cfg_DAYS_M)</f>
        <v/>
      </c>
      <c r="AF63" s="116" t="str">
        <f aca="false">IF($B63="","",N(الموظفون!$AA63)/12*G63/cfg_DAYS_M)</f>
        <v/>
      </c>
      <c r="AG63" s="159" t="str">
        <f aca="false">IF($B63="","",T63+SUM(Z63:AF63))</f>
        <v/>
      </c>
      <c r="AH63" s="160" t="str">
        <f aca="false">IF($B63="","",MAX(0,IF(OR(الموظفون!$AE63="",الموظفون!$AE63&gt;$F$3),$F$3,الموظفون!$AE63)-الموظفون!$H63+1-SUMIFS('سجل الإجازات والحالات'!$AI$6:$AI$505,'سجل الإجازات والحالات'!$B$6:$B$505,$B63))/cfg_DAYS_Y)</f>
        <v/>
      </c>
      <c r="AI63" s="160" t="str">
        <f aca="false">IF($B63="","",MAX(0,IF(OR(الموظفون!$AE63="",الموظفون!$AE63&gt;($E$3-1)),($E$3-1),الموظفون!$AE63)-الموظفون!$H63+1-SUMIFS('سجل الإجازات والحالات'!$AH$6:$AH$505,'سجل الإجازات والحالات'!$B$6:$B$505,$B63))/cfg_DAYS_Y)</f>
        <v/>
      </c>
      <c r="AJ63" s="133" t="str">
        <f aca="false">IF($B63="","",MAX(0,AK63-(SUMIFS('سجل الإجازات والحالات'!$AI$6:$AI$505,'سجل الإجازات والحالات'!$B$6:$B$505,$B63)-SUMIFS('سجل الإجازات والحالات'!$AH$6:$AH$505,'سجل الإجازات والحالات'!$B$6:$B$505,$B63))))</f>
        <v/>
      </c>
      <c r="AK63" s="133" t="str">
        <f aca="false">IF($B63="","",MAX(0,IF(OR(الموظفون!$AE63="",الموظفون!$AE63&gt;$F$3),$F$3,الموظفون!$AE63)-MAX($E$3,الموظفون!$H63)+1))</f>
        <v/>
      </c>
      <c r="AL63" s="156" t="str">
        <f aca="false">IF($B63="","",SUMIFS('سجل الإجازات والحالات'!$AU$6:$AU$505,'سجل الإجازات والحالات'!$B$6:$B$505,$B63)+SUMIFS('الحركات الشهرية'!$K$6:$K$1005,'الحركات الشهرية'!$B$6:$B$1005,$B63,'الحركات الشهرية'!$A$6:$A$1005,$C$3))</f>
        <v/>
      </c>
      <c r="AM63" s="116" t="str">
        <f aca="false">IF($B63="","",AL63*الموظفون!$R63/cfg_DAYS_M+S63)</f>
        <v/>
      </c>
      <c r="AN63" s="156" t="str">
        <f aca="false">IF($B63="","",SUMIFS('سجل الإجازات والحالات'!$W$6:$W$505,'سجل الإجازات والحالات'!$B$6:$B$505,$B63))</f>
        <v/>
      </c>
    </row>
    <row r="64" customFormat="false" ht="15" hidden="false" customHeight="false" outlineLevel="0" collapsed="false">
      <c r="A64" s="106" t="str">
        <f aca="false">IF($B64="","",الموظفون!$A64)</f>
        <v/>
      </c>
      <c r="B64" s="114" t="str">
        <f aca="false">IF(الموظفون!$B64="","",الموظفون!$B64)</f>
        <v/>
      </c>
      <c r="C64" s="114" t="str">
        <f aca="false">IF($B64="","",الموظفون!$C64)</f>
        <v/>
      </c>
      <c r="D64" s="114" t="str">
        <f aca="false">IF($B64="","",الموظفون!$F64)</f>
        <v/>
      </c>
      <c r="E64" s="114" t="str">
        <f aca="false">IF($B64="","",الموظفون!$E64)</f>
        <v/>
      </c>
      <c r="F64" s="114" t="str">
        <f aca="false">IF($B64="","",IF(AK64=0,IF(AND(الموظفون!$AE64&lt;&gt;"",الموظفون!$AE64&lt;$E$3),"✖ منتهي الخدمة","⏳ لم يباشر"),IF(S64&gt;0,"✈ راتب إجازة مقدم",IF(J64=0,"⛔ بدون راتب هذا الشهر",IF(I64&gt;0,"✈ خصم "&amp;ROUND(I64,2)&amp;" يوم بدون أجر",IF(AL64&gt;0,"🌴 إجازة سنوية "&amp;ROUND(AL64,2)&amp;" يوم",IF(H64&gt;0,"⚠ غياب "&amp;ROUND(H64,2)&amp;" يوم","✔ على رأس العمل")))))))</f>
        <v/>
      </c>
      <c r="G64" s="151" t="str">
        <f aca="false">IF($B64="","",IF(AK64&gt;=DAY($F$3),cfg_DAYS_M,MIN(AK64,cfg_DAYS_M)))</f>
        <v/>
      </c>
      <c r="H64" s="151" t="str">
        <f aca="false">IF($B64="","",SUMIFS('الحركات الشهرية'!$D$6:$D$1005,'الحركات الشهرية'!$B$6:$B$1005,$B64,'الحركات الشهرية'!$A$6:$A$1005,$C$3))</f>
        <v/>
      </c>
      <c r="I64" s="151" t="str">
        <f aca="false">IF($B64="","",MIN(G64,IF(AND(AK64&gt;0,AN64&gt;=AK64),G64,AN64)+SUMIFS('الحركات الشهرية'!$E$6:$E$1005,'الحركات الشهرية'!$B$6:$B$1005,$B64,'الحركات الشهرية'!$A$6:$A$1005,$C$3)))</f>
        <v/>
      </c>
      <c r="J64" s="151" t="str">
        <f aca="false">IF($B64="","",MAX(0,G64-H64-I64))</f>
        <v/>
      </c>
      <c r="K64" s="111" t="str">
        <f aca="false">IF($B64="","",الموظفون!$L64*$J64/cfg_DAYS_M)</f>
        <v/>
      </c>
      <c r="L64" s="111" t="str">
        <f aca="false">IF($B64="","",الموظفون!$M64*$J64/cfg_DAYS_M)</f>
        <v/>
      </c>
      <c r="M64" s="111" t="str">
        <f aca="false">IF($B64="","",الموظفون!$N64*$J64/cfg_DAYS_M)</f>
        <v/>
      </c>
      <c r="N64" s="111" t="str">
        <f aca="false">IF($B64="","",الموظفون!$O64*$J64/cfg_DAYS_M)</f>
        <v/>
      </c>
      <c r="O64" s="151" t="str">
        <f aca="false">IF($B64="","",SUMIFS('الحركات الشهرية'!$F$6:$F$1005,'الحركات الشهرية'!$B$6:$B$1005,$B64,'الحركات الشهرية'!$A$6:$A$1005,$C$3))</f>
        <v/>
      </c>
      <c r="P64" s="111" t="str">
        <f aca="false">IF($B64="","",O64*(الموظفون!$P64+الموظفون!$L64*cfg_OT_P)/cfg_DAYS_M/cfg_HRS)</f>
        <v/>
      </c>
      <c r="Q64" s="111" t="str">
        <f aca="false">IF($B64="","",SUMIFS('الحركات الشهرية'!$G$6:$G$1005,'الحركات الشهرية'!$B$6:$B$1005,$B64,'الحركات الشهرية'!$A$6:$A$1005,$C$3))</f>
        <v/>
      </c>
      <c r="R64" s="111" t="str">
        <f aca="false">IF($B64="","",SUMIFS('الحركات الشهرية'!$H$6:$H$1005,'الحركات الشهرية'!$B$6:$B$1005,$B64,'الحركات الشهرية'!$A$6:$A$1005,$C$3))</f>
        <v/>
      </c>
      <c r="S64" s="111" t="str">
        <f aca="false">IF($B64="","",SUMIFS('سجل الإجازات والحالات'!$N$6:$N$505,'سجل الإجازات والحالات'!$B$6:$B$505,$B64,'سجل الإجازات والحالات'!$O$6:$O$505,$C$3))</f>
        <v/>
      </c>
      <c r="T64" s="152" t="str">
        <f aca="false">IF($B64="","",SUM(K64:N64)+SUM(P64:S64))</f>
        <v/>
      </c>
      <c r="U64" s="111" t="str">
        <f aca="false">IF($B64="","",الموظفون!$S64*IF(E64="سعودي",cfg_G_SE,cfg_G_NE)*G64/cfg_DAYS_M)</f>
        <v/>
      </c>
      <c r="V64" s="111" t="str">
        <f aca="false">IF($B64="","",SUMIFS('الحركات الشهرية'!$I$6:$I$1005,'الحركات الشهرية'!$B$6:$B$1005,$B64,'الحركات الشهرية'!$A$6:$A$1005,$C$3))</f>
        <v/>
      </c>
      <c r="W64" s="111" t="str">
        <f aca="false">IF($B64="","",SUMIFS('الحركات الشهرية'!$J$6:$J$1005,'الحركات الشهرية'!$B$6:$B$1005,$B64,'الحركات الشهرية'!$A$6:$A$1005,$C$3))</f>
        <v/>
      </c>
      <c r="X64" s="111" t="str">
        <f aca="false">IF($B64="","",SUM(U64:W64))</f>
        <v/>
      </c>
      <c r="Y64" s="153" t="str">
        <f aca="false">IF($B64="","",T64-X64)</f>
        <v/>
      </c>
      <c r="Z64" s="111" t="str">
        <f aca="false">IF($B64="","",الموظفون!$S64*IF(E64="سعودي",cfg_G_SR,cfg_G_NR)*G64/cfg_DAYS_M)</f>
        <v/>
      </c>
      <c r="AA64" s="111" t="str">
        <f aca="false">IF($B64="","",الموظفون!$Q64*(cfg_EOS_R1*(MIN(AH64,cfg_EOS_TH)-MIN(AI64,cfg_EOS_TH))+cfg_EOS_R2*(MAX(AH64-cfg_EOS_TH,0)-MAX(AI64-cfg_EOS_TH,0))))</f>
        <v/>
      </c>
      <c r="AB64" s="111" t="str">
        <f aca="false">IF($B64="","",IF(الموظفون!$T64&lt;&gt;"",الموظفون!$T64,IF(AH64&gt;=cfg_LV_TH,cfg_LV_D2,cfg_LV_D1))/cfg_DAYS_Y*AJ64*الموظفون!$R64/cfg_DAYS_M)</f>
        <v/>
      </c>
      <c r="AC64" s="111" t="str">
        <f aca="false">IF($B64="","",IF(AND(الموظفون!$U64="نعم",N(الموظفون!$W64)&gt;0),الموظفون!$V64/الموظفون!$W64*12/cfg_DAYS_Y*AJ64,0))</f>
        <v/>
      </c>
      <c r="AD64" s="111" t="str">
        <f aca="false">IF($B64="","",(IF(الموظفون!$X64&lt;&gt;"",الموظفون!$X64,IF(الموظفون!$E64="غير سعودي",cfg_IQ,0))+IF(الموظفون!$Y64&lt;&gt;"",الموظفون!$Y64,IF(الموظفون!$E64="غير سعودي",cfg_WP,0)))/12*G64/cfg_DAYS_M)</f>
        <v/>
      </c>
      <c r="AE64" s="111" t="str">
        <f aca="false">IF($B64="","",IF(الموظفون!$Z64&lt;&gt;"",الموظفون!$Z64,cfg_MED)/12*G64/cfg_DAYS_M)</f>
        <v/>
      </c>
      <c r="AF64" s="111" t="str">
        <f aca="false">IF($B64="","",N(الموظفون!$AA64)/12*G64/cfg_DAYS_M)</f>
        <v/>
      </c>
      <c r="AG64" s="154" t="str">
        <f aca="false">IF($B64="","",T64+SUM(Z64:AF64))</f>
        <v/>
      </c>
      <c r="AH64" s="155" t="str">
        <f aca="false">IF($B64="","",MAX(0,IF(OR(الموظفون!$AE64="",الموظفون!$AE64&gt;$F$3),$F$3,الموظفون!$AE64)-الموظفون!$H64+1-SUMIFS('سجل الإجازات والحالات'!$AI$6:$AI$505,'سجل الإجازات والحالات'!$B$6:$B$505,$B64))/cfg_DAYS_Y)</f>
        <v/>
      </c>
      <c r="AI64" s="155" t="str">
        <f aca="false">IF($B64="","",MAX(0,IF(OR(الموظفون!$AE64="",الموظفون!$AE64&gt;($E$3-1)),($E$3-1),الموظفون!$AE64)-الموظفون!$H64+1-SUMIFS('سجل الإجازات والحالات'!$AH$6:$AH$505,'سجل الإجازات والحالات'!$B$6:$B$505,$B64))/cfg_DAYS_Y)</f>
        <v/>
      </c>
      <c r="AJ64" s="65" t="str">
        <f aca="false">IF($B64="","",MAX(0,AK64-(SUMIFS('سجل الإجازات والحالات'!$AI$6:$AI$505,'سجل الإجازات والحالات'!$B$6:$B$505,$B64)-SUMIFS('سجل الإجازات والحالات'!$AH$6:$AH$505,'سجل الإجازات والحالات'!$B$6:$B$505,$B64))))</f>
        <v/>
      </c>
      <c r="AK64" s="65" t="str">
        <f aca="false">IF($B64="","",MAX(0,IF(OR(الموظفون!$AE64="",الموظفون!$AE64&gt;$F$3),$F$3,الموظفون!$AE64)-MAX($E$3,الموظفون!$H64)+1))</f>
        <v/>
      </c>
      <c r="AL64" s="151" t="str">
        <f aca="false">IF($B64="","",SUMIFS('سجل الإجازات والحالات'!$AU$6:$AU$505,'سجل الإجازات والحالات'!$B$6:$B$505,$B64)+SUMIFS('الحركات الشهرية'!$K$6:$K$1005,'الحركات الشهرية'!$B$6:$B$1005,$B64,'الحركات الشهرية'!$A$6:$A$1005,$C$3))</f>
        <v/>
      </c>
      <c r="AM64" s="111" t="str">
        <f aca="false">IF($B64="","",AL64*الموظفون!$R64/cfg_DAYS_M+S64)</f>
        <v/>
      </c>
      <c r="AN64" s="151" t="str">
        <f aca="false">IF($B64="","",SUMIFS('سجل الإجازات والحالات'!$W$6:$W$505,'سجل الإجازات والحالات'!$B$6:$B$505,$B64))</f>
        <v/>
      </c>
    </row>
    <row r="65" customFormat="false" ht="15" hidden="false" customHeight="false" outlineLevel="0" collapsed="false">
      <c r="A65" s="115" t="str">
        <f aca="false">IF($B65="","",الموظفون!$A65)</f>
        <v/>
      </c>
      <c r="B65" s="117" t="str">
        <f aca="false">IF(الموظفون!$B65="","",الموظفون!$B65)</f>
        <v/>
      </c>
      <c r="C65" s="117" t="str">
        <f aca="false">IF($B65="","",الموظفون!$C65)</f>
        <v/>
      </c>
      <c r="D65" s="117" t="str">
        <f aca="false">IF($B65="","",الموظفون!$F65)</f>
        <v/>
      </c>
      <c r="E65" s="117" t="str">
        <f aca="false">IF($B65="","",الموظفون!$E65)</f>
        <v/>
      </c>
      <c r="F65" s="117" t="str">
        <f aca="false">IF($B65="","",IF(AK65=0,IF(AND(الموظفون!$AE65&lt;&gt;"",الموظفون!$AE65&lt;$E$3),"✖ منتهي الخدمة","⏳ لم يباشر"),IF(S65&gt;0,"✈ راتب إجازة مقدم",IF(J65=0,"⛔ بدون راتب هذا الشهر",IF(I65&gt;0,"✈ خصم "&amp;ROUND(I65,2)&amp;" يوم بدون أجر",IF(AL65&gt;0,"🌴 إجازة سنوية "&amp;ROUND(AL65,2)&amp;" يوم",IF(H65&gt;0,"⚠ غياب "&amp;ROUND(H65,2)&amp;" يوم","✔ على رأس العمل")))))))</f>
        <v/>
      </c>
      <c r="G65" s="156" t="str">
        <f aca="false">IF($B65="","",IF(AK65&gt;=DAY($F$3),cfg_DAYS_M,MIN(AK65,cfg_DAYS_M)))</f>
        <v/>
      </c>
      <c r="H65" s="156" t="str">
        <f aca="false">IF($B65="","",SUMIFS('الحركات الشهرية'!$D$6:$D$1005,'الحركات الشهرية'!$B$6:$B$1005,$B65,'الحركات الشهرية'!$A$6:$A$1005,$C$3))</f>
        <v/>
      </c>
      <c r="I65" s="156" t="str">
        <f aca="false">IF($B65="","",MIN(G65,IF(AND(AK65&gt;0,AN65&gt;=AK65),G65,AN65)+SUMIFS('الحركات الشهرية'!$E$6:$E$1005,'الحركات الشهرية'!$B$6:$B$1005,$B65,'الحركات الشهرية'!$A$6:$A$1005,$C$3)))</f>
        <v/>
      </c>
      <c r="J65" s="156" t="str">
        <f aca="false">IF($B65="","",MAX(0,G65-H65-I65))</f>
        <v/>
      </c>
      <c r="K65" s="116" t="str">
        <f aca="false">IF($B65="","",الموظفون!$L65*$J65/cfg_DAYS_M)</f>
        <v/>
      </c>
      <c r="L65" s="116" t="str">
        <f aca="false">IF($B65="","",الموظفون!$M65*$J65/cfg_DAYS_M)</f>
        <v/>
      </c>
      <c r="M65" s="116" t="str">
        <f aca="false">IF($B65="","",الموظفون!$N65*$J65/cfg_DAYS_M)</f>
        <v/>
      </c>
      <c r="N65" s="116" t="str">
        <f aca="false">IF($B65="","",الموظفون!$O65*$J65/cfg_DAYS_M)</f>
        <v/>
      </c>
      <c r="O65" s="156" t="str">
        <f aca="false">IF($B65="","",SUMIFS('الحركات الشهرية'!$F$6:$F$1005,'الحركات الشهرية'!$B$6:$B$1005,$B65,'الحركات الشهرية'!$A$6:$A$1005,$C$3))</f>
        <v/>
      </c>
      <c r="P65" s="116" t="str">
        <f aca="false">IF($B65="","",O65*(الموظفون!$P65+الموظفون!$L65*cfg_OT_P)/cfg_DAYS_M/cfg_HRS)</f>
        <v/>
      </c>
      <c r="Q65" s="116" t="str">
        <f aca="false">IF($B65="","",SUMIFS('الحركات الشهرية'!$G$6:$G$1005,'الحركات الشهرية'!$B$6:$B$1005,$B65,'الحركات الشهرية'!$A$6:$A$1005,$C$3))</f>
        <v/>
      </c>
      <c r="R65" s="116" t="str">
        <f aca="false">IF($B65="","",SUMIFS('الحركات الشهرية'!$H$6:$H$1005,'الحركات الشهرية'!$B$6:$B$1005,$B65,'الحركات الشهرية'!$A$6:$A$1005,$C$3))</f>
        <v/>
      </c>
      <c r="S65" s="116" t="str">
        <f aca="false">IF($B65="","",SUMIFS('سجل الإجازات والحالات'!$N$6:$N$505,'سجل الإجازات والحالات'!$B$6:$B$505,$B65,'سجل الإجازات والحالات'!$O$6:$O$505,$C$3))</f>
        <v/>
      </c>
      <c r="T65" s="157" t="str">
        <f aca="false">IF($B65="","",SUM(K65:N65)+SUM(P65:S65))</f>
        <v/>
      </c>
      <c r="U65" s="116" t="str">
        <f aca="false">IF($B65="","",الموظفون!$S65*IF(E65="سعودي",cfg_G_SE,cfg_G_NE)*G65/cfg_DAYS_M)</f>
        <v/>
      </c>
      <c r="V65" s="116" t="str">
        <f aca="false">IF($B65="","",SUMIFS('الحركات الشهرية'!$I$6:$I$1005,'الحركات الشهرية'!$B$6:$B$1005,$B65,'الحركات الشهرية'!$A$6:$A$1005,$C$3))</f>
        <v/>
      </c>
      <c r="W65" s="116" t="str">
        <f aca="false">IF($B65="","",SUMIFS('الحركات الشهرية'!$J$6:$J$1005,'الحركات الشهرية'!$B$6:$B$1005,$B65,'الحركات الشهرية'!$A$6:$A$1005,$C$3))</f>
        <v/>
      </c>
      <c r="X65" s="116" t="str">
        <f aca="false">IF($B65="","",SUM(U65:W65))</f>
        <v/>
      </c>
      <c r="Y65" s="158" t="str">
        <f aca="false">IF($B65="","",T65-X65)</f>
        <v/>
      </c>
      <c r="Z65" s="116" t="str">
        <f aca="false">IF($B65="","",الموظفون!$S65*IF(E65="سعودي",cfg_G_SR,cfg_G_NR)*G65/cfg_DAYS_M)</f>
        <v/>
      </c>
      <c r="AA65" s="116" t="str">
        <f aca="false">IF($B65="","",الموظفون!$Q65*(cfg_EOS_R1*(MIN(AH65,cfg_EOS_TH)-MIN(AI65,cfg_EOS_TH))+cfg_EOS_R2*(MAX(AH65-cfg_EOS_TH,0)-MAX(AI65-cfg_EOS_TH,0))))</f>
        <v/>
      </c>
      <c r="AB65" s="116" t="str">
        <f aca="false">IF($B65="","",IF(الموظفون!$T65&lt;&gt;"",الموظفون!$T65,IF(AH65&gt;=cfg_LV_TH,cfg_LV_D2,cfg_LV_D1))/cfg_DAYS_Y*AJ65*الموظفون!$R65/cfg_DAYS_M)</f>
        <v/>
      </c>
      <c r="AC65" s="116" t="str">
        <f aca="false">IF($B65="","",IF(AND(الموظفون!$U65="نعم",N(الموظفون!$W65)&gt;0),الموظفون!$V65/الموظفون!$W65*12/cfg_DAYS_Y*AJ65,0))</f>
        <v/>
      </c>
      <c r="AD65" s="116" t="str">
        <f aca="false">IF($B65="","",(IF(الموظفون!$X65&lt;&gt;"",الموظفون!$X65,IF(الموظفون!$E65="غير سعودي",cfg_IQ,0))+IF(الموظفون!$Y65&lt;&gt;"",الموظفون!$Y65,IF(الموظفون!$E65="غير سعودي",cfg_WP,0)))/12*G65/cfg_DAYS_M)</f>
        <v/>
      </c>
      <c r="AE65" s="116" t="str">
        <f aca="false">IF($B65="","",IF(الموظفون!$Z65&lt;&gt;"",الموظفون!$Z65,cfg_MED)/12*G65/cfg_DAYS_M)</f>
        <v/>
      </c>
      <c r="AF65" s="116" t="str">
        <f aca="false">IF($B65="","",N(الموظفون!$AA65)/12*G65/cfg_DAYS_M)</f>
        <v/>
      </c>
      <c r="AG65" s="159" t="str">
        <f aca="false">IF($B65="","",T65+SUM(Z65:AF65))</f>
        <v/>
      </c>
      <c r="AH65" s="160" t="str">
        <f aca="false">IF($B65="","",MAX(0,IF(OR(الموظفون!$AE65="",الموظفون!$AE65&gt;$F$3),$F$3,الموظفون!$AE65)-الموظفون!$H65+1-SUMIFS('سجل الإجازات والحالات'!$AI$6:$AI$505,'سجل الإجازات والحالات'!$B$6:$B$505,$B65))/cfg_DAYS_Y)</f>
        <v/>
      </c>
      <c r="AI65" s="160" t="str">
        <f aca="false">IF($B65="","",MAX(0,IF(OR(الموظفون!$AE65="",الموظفون!$AE65&gt;($E$3-1)),($E$3-1),الموظفون!$AE65)-الموظفون!$H65+1-SUMIFS('سجل الإجازات والحالات'!$AH$6:$AH$505,'سجل الإجازات والحالات'!$B$6:$B$505,$B65))/cfg_DAYS_Y)</f>
        <v/>
      </c>
      <c r="AJ65" s="133" t="str">
        <f aca="false">IF($B65="","",MAX(0,AK65-(SUMIFS('سجل الإجازات والحالات'!$AI$6:$AI$505,'سجل الإجازات والحالات'!$B$6:$B$505,$B65)-SUMIFS('سجل الإجازات والحالات'!$AH$6:$AH$505,'سجل الإجازات والحالات'!$B$6:$B$505,$B65))))</f>
        <v/>
      </c>
      <c r="AK65" s="133" t="str">
        <f aca="false">IF($B65="","",MAX(0,IF(OR(الموظفون!$AE65="",الموظفون!$AE65&gt;$F$3),$F$3,الموظفون!$AE65)-MAX($E$3,الموظفون!$H65)+1))</f>
        <v/>
      </c>
      <c r="AL65" s="156" t="str">
        <f aca="false">IF($B65="","",SUMIFS('سجل الإجازات والحالات'!$AU$6:$AU$505,'سجل الإجازات والحالات'!$B$6:$B$505,$B65)+SUMIFS('الحركات الشهرية'!$K$6:$K$1005,'الحركات الشهرية'!$B$6:$B$1005,$B65,'الحركات الشهرية'!$A$6:$A$1005,$C$3))</f>
        <v/>
      </c>
      <c r="AM65" s="116" t="str">
        <f aca="false">IF($B65="","",AL65*الموظفون!$R65/cfg_DAYS_M+S65)</f>
        <v/>
      </c>
      <c r="AN65" s="156" t="str">
        <f aca="false">IF($B65="","",SUMIFS('سجل الإجازات والحالات'!$W$6:$W$505,'سجل الإجازات والحالات'!$B$6:$B$505,$B65))</f>
        <v/>
      </c>
    </row>
    <row r="66" customFormat="false" ht="15" hidden="false" customHeight="false" outlineLevel="0" collapsed="false">
      <c r="A66" s="106" t="str">
        <f aca="false">IF($B66="","",الموظفون!$A66)</f>
        <v/>
      </c>
      <c r="B66" s="114" t="str">
        <f aca="false">IF(الموظفون!$B66="","",الموظفون!$B66)</f>
        <v/>
      </c>
      <c r="C66" s="114" t="str">
        <f aca="false">IF($B66="","",الموظفون!$C66)</f>
        <v/>
      </c>
      <c r="D66" s="114" t="str">
        <f aca="false">IF($B66="","",الموظفون!$F66)</f>
        <v/>
      </c>
      <c r="E66" s="114" t="str">
        <f aca="false">IF($B66="","",الموظفون!$E66)</f>
        <v/>
      </c>
      <c r="F66" s="114" t="str">
        <f aca="false">IF($B66="","",IF(AK66=0,IF(AND(الموظفون!$AE66&lt;&gt;"",الموظفون!$AE66&lt;$E$3),"✖ منتهي الخدمة","⏳ لم يباشر"),IF(S66&gt;0,"✈ راتب إجازة مقدم",IF(J66=0,"⛔ بدون راتب هذا الشهر",IF(I66&gt;0,"✈ خصم "&amp;ROUND(I66,2)&amp;" يوم بدون أجر",IF(AL66&gt;0,"🌴 إجازة سنوية "&amp;ROUND(AL66,2)&amp;" يوم",IF(H66&gt;0,"⚠ غياب "&amp;ROUND(H66,2)&amp;" يوم","✔ على رأس العمل")))))))</f>
        <v/>
      </c>
      <c r="G66" s="151" t="str">
        <f aca="false">IF($B66="","",IF(AK66&gt;=DAY($F$3),cfg_DAYS_M,MIN(AK66,cfg_DAYS_M)))</f>
        <v/>
      </c>
      <c r="H66" s="151" t="str">
        <f aca="false">IF($B66="","",SUMIFS('الحركات الشهرية'!$D$6:$D$1005,'الحركات الشهرية'!$B$6:$B$1005,$B66,'الحركات الشهرية'!$A$6:$A$1005,$C$3))</f>
        <v/>
      </c>
      <c r="I66" s="151" t="str">
        <f aca="false">IF($B66="","",MIN(G66,IF(AND(AK66&gt;0,AN66&gt;=AK66),G66,AN66)+SUMIFS('الحركات الشهرية'!$E$6:$E$1005,'الحركات الشهرية'!$B$6:$B$1005,$B66,'الحركات الشهرية'!$A$6:$A$1005,$C$3)))</f>
        <v/>
      </c>
      <c r="J66" s="151" t="str">
        <f aca="false">IF($B66="","",MAX(0,G66-H66-I66))</f>
        <v/>
      </c>
      <c r="K66" s="111" t="str">
        <f aca="false">IF($B66="","",الموظفون!$L66*$J66/cfg_DAYS_M)</f>
        <v/>
      </c>
      <c r="L66" s="111" t="str">
        <f aca="false">IF($B66="","",الموظفون!$M66*$J66/cfg_DAYS_M)</f>
        <v/>
      </c>
      <c r="M66" s="111" t="str">
        <f aca="false">IF($B66="","",الموظفون!$N66*$J66/cfg_DAYS_M)</f>
        <v/>
      </c>
      <c r="N66" s="111" t="str">
        <f aca="false">IF($B66="","",الموظفون!$O66*$J66/cfg_DAYS_M)</f>
        <v/>
      </c>
      <c r="O66" s="151" t="str">
        <f aca="false">IF($B66="","",SUMIFS('الحركات الشهرية'!$F$6:$F$1005,'الحركات الشهرية'!$B$6:$B$1005,$B66,'الحركات الشهرية'!$A$6:$A$1005,$C$3))</f>
        <v/>
      </c>
      <c r="P66" s="111" t="str">
        <f aca="false">IF($B66="","",O66*(الموظفون!$P66+الموظفون!$L66*cfg_OT_P)/cfg_DAYS_M/cfg_HRS)</f>
        <v/>
      </c>
      <c r="Q66" s="111" t="str">
        <f aca="false">IF($B66="","",SUMIFS('الحركات الشهرية'!$G$6:$G$1005,'الحركات الشهرية'!$B$6:$B$1005,$B66,'الحركات الشهرية'!$A$6:$A$1005,$C$3))</f>
        <v/>
      </c>
      <c r="R66" s="111" t="str">
        <f aca="false">IF($B66="","",SUMIFS('الحركات الشهرية'!$H$6:$H$1005,'الحركات الشهرية'!$B$6:$B$1005,$B66,'الحركات الشهرية'!$A$6:$A$1005,$C$3))</f>
        <v/>
      </c>
      <c r="S66" s="111" t="str">
        <f aca="false">IF($B66="","",SUMIFS('سجل الإجازات والحالات'!$N$6:$N$505,'سجل الإجازات والحالات'!$B$6:$B$505,$B66,'سجل الإجازات والحالات'!$O$6:$O$505,$C$3))</f>
        <v/>
      </c>
      <c r="T66" s="152" t="str">
        <f aca="false">IF($B66="","",SUM(K66:N66)+SUM(P66:S66))</f>
        <v/>
      </c>
      <c r="U66" s="111" t="str">
        <f aca="false">IF($B66="","",الموظفون!$S66*IF(E66="سعودي",cfg_G_SE,cfg_G_NE)*G66/cfg_DAYS_M)</f>
        <v/>
      </c>
      <c r="V66" s="111" t="str">
        <f aca="false">IF($B66="","",SUMIFS('الحركات الشهرية'!$I$6:$I$1005,'الحركات الشهرية'!$B$6:$B$1005,$B66,'الحركات الشهرية'!$A$6:$A$1005,$C$3))</f>
        <v/>
      </c>
      <c r="W66" s="111" t="str">
        <f aca="false">IF($B66="","",SUMIFS('الحركات الشهرية'!$J$6:$J$1005,'الحركات الشهرية'!$B$6:$B$1005,$B66,'الحركات الشهرية'!$A$6:$A$1005,$C$3))</f>
        <v/>
      </c>
      <c r="X66" s="111" t="str">
        <f aca="false">IF($B66="","",SUM(U66:W66))</f>
        <v/>
      </c>
      <c r="Y66" s="153" t="str">
        <f aca="false">IF($B66="","",T66-X66)</f>
        <v/>
      </c>
      <c r="Z66" s="111" t="str">
        <f aca="false">IF($B66="","",الموظفون!$S66*IF(E66="سعودي",cfg_G_SR,cfg_G_NR)*G66/cfg_DAYS_M)</f>
        <v/>
      </c>
      <c r="AA66" s="111" t="str">
        <f aca="false">IF($B66="","",الموظفون!$Q66*(cfg_EOS_R1*(MIN(AH66,cfg_EOS_TH)-MIN(AI66,cfg_EOS_TH))+cfg_EOS_R2*(MAX(AH66-cfg_EOS_TH,0)-MAX(AI66-cfg_EOS_TH,0))))</f>
        <v/>
      </c>
      <c r="AB66" s="111" t="str">
        <f aca="false">IF($B66="","",IF(الموظفون!$T66&lt;&gt;"",الموظفون!$T66,IF(AH66&gt;=cfg_LV_TH,cfg_LV_D2,cfg_LV_D1))/cfg_DAYS_Y*AJ66*الموظفون!$R66/cfg_DAYS_M)</f>
        <v/>
      </c>
      <c r="AC66" s="111" t="str">
        <f aca="false">IF($B66="","",IF(AND(الموظفون!$U66="نعم",N(الموظفون!$W66)&gt;0),الموظفون!$V66/الموظفون!$W66*12/cfg_DAYS_Y*AJ66,0))</f>
        <v/>
      </c>
      <c r="AD66" s="111" t="str">
        <f aca="false">IF($B66="","",(IF(الموظفون!$X66&lt;&gt;"",الموظفون!$X66,IF(الموظفون!$E66="غير سعودي",cfg_IQ,0))+IF(الموظفون!$Y66&lt;&gt;"",الموظفون!$Y66,IF(الموظفون!$E66="غير سعودي",cfg_WP,0)))/12*G66/cfg_DAYS_M)</f>
        <v/>
      </c>
      <c r="AE66" s="111" t="str">
        <f aca="false">IF($B66="","",IF(الموظفون!$Z66&lt;&gt;"",الموظفون!$Z66,cfg_MED)/12*G66/cfg_DAYS_M)</f>
        <v/>
      </c>
      <c r="AF66" s="111" t="str">
        <f aca="false">IF($B66="","",N(الموظفون!$AA66)/12*G66/cfg_DAYS_M)</f>
        <v/>
      </c>
      <c r="AG66" s="154" t="str">
        <f aca="false">IF($B66="","",T66+SUM(Z66:AF66))</f>
        <v/>
      </c>
      <c r="AH66" s="155" t="str">
        <f aca="false">IF($B66="","",MAX(0,IF(OR(الموظفون!$AE66="",الموظفون!$AE66&gt;$F$3),$F$3,الموظفون!$AE66)-الموظفون!$H66+1-SUMIFS('سجل الإجازات والحالات'!$AI$6:$AI$505,'سجل الإجازات والحالات'!$B$6:$B$505,$B66))/cfg_DAYS_Y)</f>
        <v/>
      </c>
      <c r="AI66" s="155" t="str">
        <f aca="false">IF($B66="","",MAX(0,IF(OR(الموظفون!$AE66="",الموظفون!$AE66&gt;($E$3-1)),($E$3-1),الموظفون!$AE66)-الموظفون!$H66+1-SUMIFS('سجل الإجازات والحالات'!$AH$6:$AH$505,'سجل الإجازات والحالات'!$B$6:$B$505,$B66))/cfg_DAYS_Y)</f>
        <v/>
      </c>
      <c r="AJ66" s="65" t="str">
        <f aca="false">IF($B66="","",MAX(0,AK66-(SUMIFS('سجل الإجازات والحالات'!$AI$6:$AI$505,'سجل الإجازات والحالات'!$B$6:$B$505,$B66)-SUMIFS('سجل الإجازات والحالات'!$AH$6:$AH$505,'سجل الإجازات والحالات'!$B$6:$B$505,$B66))))</f>
        <v/>
      </c>
      <c r="AK66" s="65" t="str">
        <f aca="false">IF($B66="","",MAX(0,IF(OR(الموظفون!$AE66="",الموظفون!$AE66&gt;$F$3),$F$3,الموظفون!$AE66)-MAX($E$3,الموظفون!$H66)+1))</f>
        <v/>
      </c>
      <c r="AL66" s="151" t="str">
        <f aca="false">IF($B66="","",SUMIFS('سجل الإجازات والحالات'!$AU$6:$AU$505,'سجل الإجازات والحالات'!$B$6:$B$505,$B66)+SUMIFS('الحركات الشهرية'!$K$6:$K$1005,'الحركات الشهرية'!$B$6:$B$1005,$B66,'الحركات الشهرية'!$A$6:$A$1005,$C$3))</f>
        <v/>
      </c>
      <c r="AM66" s="111" t="str">
        <f aca="false">IF($B66="","",AL66*الموظفون!$R66/cfg_DAYS_M+S66)</f>
        <v/>
      </c>
      <c r="AN66" s="151" t="str">
        <f aca="false">IF($B66="","",SUMIFS('سجل الإجازات والحالات'!$W$6:$W$505,'سجل الإجازات والحالات'!$B$6:$B$505,$B66))</f>
        <v/>
      </c>
    </row>
    <row r="67" customFormat="false" ht="15" hidden="false" customHeight="false" outlineLevel="0" collapsed="false">
      <c r="A67" s="115" t="str">
        <f aca="false">IF($B67="","",الموظفون!$A67)</f>
        <v/>
      </c>
      <c r="B67" s="117" t="str">
        <f aca="false">IF(الموظفون!$B67="","",الموظفون!$B67)</f>
        <v/>
      </c>
      <c r="C67" s="117" t="str">
        <f aca="false">IF($B67="","",الموظفون!$C67)</f>
        <v/>
      </c>
      <c r="D67" s="117" t="str">
        <f aca="false">IF($B67="","",الموظفون!$F67)</f>
        <v/>
      </c>
      <c r="E67" s="117" t="str">
        <f aca="false">IF($B67="","",الموظفون!$E67)</f>
        <v/>
      </c>
      <c r="F67" s="117" t="str">
        <f aca="false">IF($B67="","",IF(AK67=0,IF(AND(الموظفون!$AE67&lt;&gt;"",الموظفون!$AE67&lt;$E$3),"✖ منتهي الخدمة","⏳ لم يباشر"),IF(S67&gt;0,"✈ راتب إجازة مقدم",IF(J67=0,"⛔ بدون راتب هذا الشهر",IF(I67&gt;0,"✈ خصم "&amp;ROUND(I67,2)&amp;" يوم بدون أجر",IF(AL67&gt;0,"🌴 إجازة سنوية "&amp;ROUND(AL67,2)&amp;" يوم",IF(H67&gt;0,"⚠ غياب "&amp;ROUND(H67,2)&amp;" يوم","✔ على رأس العمل")))))))</f>
        <v/>
      </c>
      <c r="G67" s="156" t="str">
        <f aca="false">IF($B67="","",IF(AK67&gt;=DAY($F$3),cfg_DAYS_M,MIN(AK67,cfg_DAYS_M)))</f>
        <v/>
      </c>
      <c r="H67" s="156" t="str">
        <f aca="false">IF($B67="","",SUMIFS('الحركات الشهرية'!$D$6:$D$1005,'الحركات الشهرية'!$B$6:$B$1005,$B67,'الحركات الشهرية'!$A$6:$A$1005,$C$3))</f>
        <v/>
      </c>
      <c r="I67" s="156" t="str">
        <f aca="false">IF($B67="","",MIN(G67,IF(AND(AK67&gt;0,AN67&gt;=AK67),G67,AN67)+SUMIFS('الحركات الشهرية'!$E$6:$E$1005,'الحركات الشهرية'!$B$6:$B$1005,$B67,'الحركات الشهرية'!$A$6:$A$1005,$C$3)))</f>
        <v/>
      </c>
      <c r="J67" s="156" t="str">
        <f aca="false">IF($B67="","",MAX(0,G67-H67-I67))</f>
        <v/>
      </c>
      <c r="K67" s="116" t="str">
        <f aca="false">IF($B67="","",الموظفون!$L67*$J67/cfg_DAYS_M)</f>
        <v/>
      </c>
      <c r="L67" s="116" t="str">
        <f aca="false">IF($B67="","",الموظفون!$M67*$J67/cfg_DAYS_M)</f>
        <v/>
      </c>
      <c r="M67" s="116" t="str">
        <f aca="false">IF($B67="","",الموظفون!$N67*$J67/cfg_DAYS_M)</f>
        <v/>
      </c>
      <c r="N67" s="116" t="str">
        <f aca="false">IF($B67="","",الموظفون!$O67*$J67/cfg_DAYS_M)</f>
        <v/>
      </c>
      <c r="O67" s="156" t="str">
        <f aca="false">IF($B67="","",SUMIFS('الحركات الشهرية'!$F$6:$F$1005,'الحركات الشهرية'!$B$6:$B$1005,$B67,'الحركات الشهرية'!$A$6:$A$1005,$C$3))</f>
        <v/>
      </c>
      <c r="P67" s="116" t="str">
        <f aca="false">IF($B67="","",O67*(الموظفون!$P67+الموظفون!$L67*cfg_OT_P)/cfg_DAYS_M/cfg_HRS)</f>
        <v/>
      </c>
      <c r="Q67" s="116" t="str">
        <f aca="false">IF($B67="","",SUMIFS('الحركات الشهرية'!$G$6:$G$1005,'الحركات الشهرية'!$B$6:$B$1005,$B67,'الحركات الشهرية'!$A$6:$A$1005,$C$3))</f>
        <v/>
      </c>
      <c r="R67" s="116" t="str">
        <f aca="false">IF($B67="","",SUMIFS('الحركات الشهرية'!$H$6:$H$1005,'الحركات الشهرية'!$B$6:$B$1005,$B67,'الحركات الشهرية'!$A$6:$A$1005,$C$3))</f>
        <v/>
      </c>
      <c r="S67" s="116" t="str">
        <f aca="false">IF($B67="","",SUMIFS('سجل الإجازات والحالات'!$N$6:$N$505,'سجل الإجازات والحالات'!$B$6:$B$505,$B67,'سجل الإجازات والحالات'!$O$6:$O$505,$C$3))</f>
        <v/>
      </c>
      <c r="T67" s="157" t="str">
        <f aca="false">IF($B67="","",SUM(K67:N67)+SUM(P67:S67))</f>
        <v/>
      </c>
      <c r="U67" s="116" t="str">
        <f aca="false">IF($B67="","",الموظفون!$S67*IF(E67="سعودي",cfg_G_SE,cfg_G_NE)*G67/cfg_DAYS_M)</f>
        <v/>
      </c>
      <c r="V67" s="116" t="str">
        <f aca="false">IF($B67="","",SUMIFS('الحركات الشهرية'!$I$6:$I$1005,'الحركات الشهرية'!$B$6:$B$1005,$B67,'الحركات الشهرية'!$A$6:$A$1005,$C$3))</f>
        <v/>
      </c>
      <c r="W67" s="116" t="str">
        <f aca="false">IF($B67="","",SUMIFS('الحركات الشهرية'!$J$6:$J$1005,'الحركات الشهرية'!$B$6:$B$1005,$B67,'الحركات الشهرية'!$A$6:$A$1005,$C$3))</f>
        <v/>
      </c>
      <c r="X67" s="116" t="str">
        <f aca="false">IF($B67="","",SUM(U67:W67))</f>
        <v/>
      </c>
      <c r="Y67" s="158" t="str">
        <f aca="false">IF($B67="","",T67-X67)</f>
        <v/>
      </c>
      <c r="Z67" s="116" t="str">
        <f aca="false">IF($B67="","",الموظفون!$S67*IF(E67="سعودي",cfg_G_SR,cfg_G_NR)*G67/cfg_DAYS_M)</f>
        <v/>
      </c>
      <c r="AA67" s="116" t="str">
        <f aca="false">IF($B67="","",الموظفون!$Q67*(cfg_EOS_R1*(MIN(AH67,cfg_EOS_TH)-MIN(AI67,cfg_EOS_TH))+cfg_EOS_R2*(MAX(AH67-cfg_EOS_TH,0)-MAX(AI67-cfg_EOS_TH,0))))</f>
        <v/>
      </c>
      <c r="AB67" s="116" t="str">
        <f aca="false">IF($B67="","",IF(الموظفون!$T67&lt;&gt;"",الموظفون!$T67,IF(AH67&gt;=cfg_LV_TH,cfg_LV_D2,cfg_LV_D1))/cfg_DAYS_Y*AJ67*الموظفون!$R67/cfg_DAYS_M)</f>
        <v/>
      </c>
      <c r="AC67" s="116" t="str">
        <f aca="false">IF($B67="","",IF(AND(الموظفون!$U67="نعم",N(الموظفون!$W67)&gt;0),الموظفون!$V67/الموظفون!$W67*12/cfg_DAYS_Y*AJ67,0))</f>
        <v/>
      </c>
      <c r="AD67" s="116" t="str">
        <f aca="false">IF($B67="","",(IF(الموظفون!$X67&lt;&gt;"",الموظفون!$X67,IF(الموظفون!$E67="غير سعودي",cfg_IQ,0))+IF(الموظفون!$Y67&lt;&gt;"",الموظفون!$Y67,IF(الموظفون!$E67="غير سعودي",cfg_WP,0)))/12*G67/cfg_DAYS_M)</f>
        <v/>
      </c>
      <c r="AE67" s="116" t="str">
        <f aca="false">IF($B67="","",IF(الموظفون!$Z67&lt;&gt;"",الموظفون!$Z67,cfg_MED)/12*G67/cfg_DAYS_M)</f>
        <v/>
      </c>
      <c r="AF67" s="116" t="str">
        <f aca="false">IF($B67="","",N(الموظفون!$AA67)/12*G67/cfg_DAYS_M)</f>
        <v/>
      </c>
      <c r="AG67" s="159" t="str">
        <f aca="false">IF($B67="","",T67+SUM(Z67:AF67))</f>
        <v/>
      </c>
      <c r="AH67" s="160" t="str">
        <f aca="false">IF($B67="","",MAX(0,IF(OR(الموظفون!$AE67="",الموظفون!$AE67&gt;$F$3),$F$3,الموظفون!$AE67)-الموظفون!$H67+1-SUMIFS('سجل الإجازات والحالات'!$AI$6:$AI$505,'سجل الإجازات والحالات'!$B$6:$B$505,$B67))/cfg_DAYS_Y)</f>
        <v/>
      </c>
      <c r="AI67" s="160" t="str">
        <f aca="false">IF($B67="","",MAX(0,IF(OR(الموظفون!$AE67="",الموظفون!$AE67&gt;($E$3-1)),($E$3-1),الموظفون!$AE67)-الموظفون!$H67+1-SUMIFS('سجل الإجازات والحالات'!$AH$6:$AH$505,'سجل الإجازات والحالات'!$B$6:$B$505,$B67))/cfg_DAYS_Y)</f>
        <v/>
      </c>
      <c r="AJ67" s="133" t="str">
        <f aca="false">IF($B67="","",MAX(0,AK67-(SUMIFS('سجل الإجازات والحالات'!$AI$6:$AI$505,'سجل الإجازات والحالات'!$B$6:$B$505,$B67)-SUMIFS('سجل الإجازات والحالات'!$AH$6:$AH$505,'سجل الإجازات والحالات'!$B$6:$B$505,$B67))))</f>
        <v/>
      </c>
      <c r="AK67" s="133" t="str">
        <f aca="false">IF($B67="","",MAX(0,IF(OR(الموظفون!$AE67="",الموظفون!$AE67&gt;$F$3),$F$3,الموظفون!$AE67)-MAX($E$3,الموظفون!$H67)+1))</f>
        <v/>
      </c>
      <c r="AL67" s="156" t="str">
        <f aca="false">IF($B67="","",SUMIFS('سجل الإجازات والحالات'!$AU$6:$AU$505,'سجل الإجازات والحالات'!$B$6:$B$505,$B67)+SUMIFS('الحركات الشهرية'!$K$6:$K$1005,'الحركات الشهرية'!$B$6:$B$1005,$B67,'الحركات الشهرية'!$A$6:$A$1005,$C$3))</f>
        <v/>
      </c>
      <c r="AM67" s="116" t="str">
        <f aca="false">IF($B67="","",AL67*الموظفون!$R67/cfg_DAYS_M+S67)</f>
        <v/>
      </c>
      <c r="AN67" s="156" t="str">
        <f aca="false">IF($B67="","",SUMIFS('سجل الإجازات والحالات'!$W$6:$W$505,'سجل الإجازات والحالات'!$B$6:$B$505,$B67))</f>
        <v/>
      </c>
    </row>
    <row r="68" customFormat="false" ht="15" hidden="false" customHeight="false" outlineLevel="0" collapsed="false">
      <c r="A68" s="106" t="str">
        <f aca="false">IF($B68="","",الموظفون!$A68)</f>
        <v/>
      </c>
      <c r="B68" s="114" t="str">
        <f aca="false">IF(الموظفون!$B68="","",الموظفون!$B68)</f>
        <v/>
      </c>
      <c r="C68" s="114" t="str">
        <f aca="false">IF($B68="","",الموظفون!$C68)</f>
        <v/>
      </c>
      <c r="D68" s="114" t="str">
        <f aca="false">IF($B68="","",الموظفون!$F68)</f>
        <v/>
      </c>
      <c r="E68" s="114" t="str">
        <f aca="false">IF($B68="","",الموظفون!$E68)</f>
        <v/>
      </c>
      <c r="F68" s="114" t="str">
        <f aca="false">IF($B68="","",IF(AK68=0,IF(AND(الموظفون!$AE68&lt;&gt;"",الموظفون!$AE68&lt;$E$3),"✖ منتهي الخدمة","⏳ لم يباشر"),IF(S68&gt;0,"✈ راتب إجازة مقدم",IF(J68=0,"⛔ بدون راتب هذا الشهر",IF(I68&gt;0,"✈ خصم "&amp;ROUND(I68,2)&amp;" يوم بدون أجر",IF(AL68&gt;0,"🌴 إجازة سنوية "&amp;ROUND(AL68,2)&amp;" يوم",IF(H68&gt;0,"⚠ غياب "&amp;ROUND(H68,2)&amp;" يوم","✔ على رأس العمل")))))))</f>
        <v/>
      </c>
      <c r="G68" s="151" t="str">
        <f aca="false">IF($B68="","",IF(AK68&gt;=DAY($F$3),cfg_DAYS_M,MIN(AK68,cfg_DAYS_M)))</f>
        <v/>
      </c>
      <c r="H68" s="151" t="str">
        <f aca="false">IF($B68="","",SUMIFS('الحركات الشهرية'!$D$6:$D$1005,'الحركات الشهرية'!$B$6:$B$1005,$B68,'الحركات الشهرية'!$A$6:$A$1005,$C$3))</f>
        <v/>
      </c>
      <c r="I68" s="151" t="str">
        <f aca="false">IF($B68="","",MIN(G68,IF(AND(AK68&gt;0,AN68&gt;=AK68),G68,AN68)+SUMIFS('الحركات الشهرية'!$E$6:$E$1005,'الحركات الشهرية'!$B$6:$B$1005,$B68,'الحركات الشهرية'!$A$6:$A$1005,$C$3)))</f>
        <v/>
      </c>
      <c r="J68" s="151" t="str">
        <f aca="false">IF($B68="","",MAX(0,G68-H68-I68))</f>
        <v/>
      </c>
      <c r="K68" s="111" t="str">
        <f aca="false">IF($B68="","",الموظفون!$L68*$J68/cfg_DAYS_M)</f>
        <v/>
      </c>
      <c r="L68" s="111" t="str">
        <f aca="false">IF($B68="","",الموظفون!$M68*$J68/cfg_DAYS_M)</f>
        <v/>
      </c>
      <c r="M68" s="111" t="str">
        <f aca="false">IF($B68="","",الموظفون!$N68*$J68/cfg_DAYS_M)</f>
        <v/>
      </c>
      <c r="N68" s="111" t="str">
        <f aca="false">IF($B68="","",الموظفون!$O68*$J68/cfg_DAYS_M)</f>
        <v/>
      </c>
      <c r="O68" s="151" t="str">
        <f aca="false">IF($B68="","",SUMIFS('الحركات الشهرية'!$F$6:$F$1005,'الحركات الشهرية'!$B$6:$B$1005,$B68,'الحركات الشهرية'!$A$6:$A$1005,$C$3))</f>
        <v/>
      </c>
      <c r="P68" s="111" t="str">
        <f aca="false">IF($B68="","",O68*(الموظفون!$P68+الموظفون!$L68*cfg_OT_P)/cfg_DAYS_M/cfg_HRS)</f>
        <v/>
      </c>
      <c r="Q68" s="111" t="str">
        <f aca="false">IF($B68="","",SUMIFS('الحركات الشهرية'!$G$6:$G$1005,'الحركات الشهرية'!$B$6:$B$1005,$B68,'الحركات الشهرية'!$A$6:$A$1005,$C$3))</f>
        <v/>
      </c>
      <c r="R68" s="111" t="str">
        <f aca="false">IF($B68="","",SUMIFS('الحركات الشهرية'!$H$6:$H$1005,'الحركات الشهرية'!$B$6:$B$1005,$B68,'الحركات الشهرية'!$A$6:$A$1005,$C$3))</f>
        <v/>
      </c>
      <c r="S68" s="111" t="str">
        <f aca="false">IF($B68="","",SUMIFS('سجل الإجازات والحالات'!$N$6:$N$505,'سجل الإجازات والحالات'!$B$6:$B$505,$B68,'سجل الإجازات والحالات'!$O$6:$O$505,$C$3))</f>
        <v/>
      </c>
      <c r="T68" s="152" t="str">
        <f aca="false">IF($B68="","",SUM(K68:N68)+SUM(P68:S68))</f>
        <v/>
      </c>
      <c r="U68" s="111" t="str">
        <f aca="false">IF($B68="","",الموظفون!$S68*IF(E68="سعودي",cfg_G_SE,cfg_G_NE)*G68/cfg_DAYS_M)</f>
        <v/>
      </c>
      <c r="V68" s="111" t="str">
        <f aca="false">IF($B68="","",SUMIFS('الحركات الشهرية'!$I$6:$I$1005,'الحركات الشهرية'!$B$6:$B$1005,$B68,'الحركات الشهرية'!$A$6:$A$1005,$C$3))</f>
        <v/>
      </c>
      <c r="W68" s="111" t="str">
        <f aca="false">IF($B68="","",SUMIFS('الحركات الشهرية'!$J$6:$J$1005,'الحركات الشهرية'!$B$6:$B$1005,$B68,'الحركات الشهرية'!$A$6:$A$1005,$C$3))</f>
        <v/>
      </c>
      <c r="X68" s="111" t="str">
        <f aca="false">IF($B68="","",SUM(U68:W68))</f>
        <v/>
      </c>
      <c r="Y68" s="153" t="str">
        <f aca="false">IF($B68="","",T68-X68)</f>
        <v/>
      </c>
      <c r="Z68" s="111" t="str">
        <f aca="false">IF($B68="","",الموظفون!$S68*IF(E68="سعودي",cfg_G_SR,cfg_G_NR)*G68/cfg_DAYS_M)</f>
        <v/>
      </c>
      <c r="AA68" s="111" t="str">
        <f aca="false">IF($B68="","",الموظفون!$Q68*(cfg_EOS_R1*(MIN(AH68,cfg_EOS_TH)-MIN(AI68,cfg_EOS_TH))+cfg_EOS_R2*(MAX(AH68-cfg_EOS_TH,0)-MAX(AI68-cfg_EOS_TH,0))))</f>
        <v/>
      </c>
      <c r="AB68" s="111" t="str">
        <f aca="false">IF($B68="","",IF(الموظفون!$T68&lt;&gt;"",الموظفون!$T68,IF(AH68&gt;=cfg_LV_TH,cfg_LV_D2,cfg_LV_D1))/cfg_DAYS_Y*AJ68*الموظفون!$R68/cfg_DAYS_M)</f>
        <v/>
      </c>
      <c r="AC68" s="111" t="str">
        <f aca="false">IF($B68="","",IF(AND(الموظفون!$U68="نعم",N(الموظفون!$W68)&gt;0),الموظفون!$V68/الموظفون!$W68*12/cfg_DAYS_Y*AJ68,0))</f>
        <v/>
      </c>
      <c r="AD68" s="111" t="str">
        <f aca="false">IF($B68="","",(IF(الموظفون!$X68&lt;&gt;"",الموظفون!$X68,IF(الموظفون!$E68="غير سعودي",cfg_IQ,0))+IF(الموظفون!$Y68&lt;&gt;"",الموظفون!$Y68,IF(الموظفون!$E68="غير سعودي",cfg_WP,0)))/12*G68/cfg_DAYS_M)</f>
        <v/>
      </c>
      <c r="AE68" s="111" t="str">
        <f aca="false">IF($B68="","",IF(الموظفون!$Z68&lt;&gt;"",الموظفون!$Z68,cfg_MED)/12*G68/cfg_DAYS_M)</f>
        <v/>
      </c>
      <c r="AF68" s="111" t="str">
        <f aca="false">IF($B68="","",N(الموظفون!$AA68)/12*G68/cfg_DAYS_M)</f>
        <v/>
      </c>
      <c r="AG68" s="154" t="str">
        <f aca="false">IF($B68="","",T68+SUM(Z68:AF68))</f>
        <v/>
      </c>
      <c r="AH68" s="155" t="str">
        <f aca="false">IF($B68="","",MAX(0,IF(OR(الموظفون!$AE68="",الموظفون!$AE68&gt;$F$3),$F$3,الموظفون!$AE68)-الموظفون!$H68+1-SUMIFS('سجل الإجازات والحالات'!$AI$6:$AI$505,'سجل الإجازات والحالات'!$B$6:$B$505,$B68))/cfg_DAYS_Y)</f>
        <v/>
      </c>
      <c r="AI68" s="155" t="str">
        <f aca="false">IF($B68="","",MAX(0,IF(OR(الموظفون!$AE68="",الموظفون!$AE68&gt;($E$3-1)),($E$3-1),الموظفون!$AE68)-الموظفون!$H68+1-SUMIFS('سجل الإجازات والحالات'!$AH$6:$AH$505,'سجل الإجازات والحالات'!$B$6:$B$505,$B68))/cfg_DAYS_Y)</f>
        <v/>
      </c>
      <c r="AJ68" s="65" t="str">
        <f aca="false">IF($B68="","",MAX(0,AK68-(SUMIFS('سجل الإجازات والحالات'!$AI$6:$AI$505,'سجل الإجازات والحالات'!$B$6:$B$505,$B68)-SUMIFS('سجل الإجازات والحالات'!$AH$6:$AH$505,'سجل الإجازات والحالات'!$B$6:$B$505,$B68))))</f>
        <v/>
      </c>
      <c r="AK68" s="65" t="str">
        <f aca="false">IF($B68="","",MAX(0,IF(OR(الموظفون!$AE68="",الموظفون!$AE68&gt;$F$3),$F$3,الموظفون!$AE68)-MAX($E$3,الموظفون!$H68)+1))</f>
        <v/>
      </c>
      <c r="AL68" s="151" t="str">
        <f aca="false">IF($B68="","",SUMIFS('سجل الإجازات والحالات'!$AU$6:$AU$505,'سجل الإجازات والحالات'!$B$6:$B$505,$B68)+SUMIFS('الحركات الشهرية'!$K$6:$K$1005,'الحركات الشهرية'!$B$6:$B$1005,$B68,'الحركات الشهرية'!$A$6:$A$1005,$C$3))</f>
        <v/>
      </c>
      <c r="AM68" s="111" t="str">
        <f aca="false">IF($B68="","",AL68*الموظفون!$R68/cfg_DAYS_M+S68)</f>
        <v/>
      </c>
      <c r="AN68" s="151" t="str">
        <f aca="false">IF($B68="","",SUMIFS('سجل الإجازات والحالات'!$W$6:$W$505,'سجل الإجازات والحالات'!$B$6:$B$505,$B68))</f>
        <v/>
      </c>
    </row>
    <row r="69" customFormat="false" ht="15" hidden="false" customHeight="false" outlineLevel="0" collapsed="false">
      <c r="A69" s="115" t="str">
        <f aca="false">IF($B69="","",الموظفون!$A69)</f>
        <v/>
      </c>
      <c r="B69" s="117" t="str">
        <f aca="false">IF(الموظفون!$B69="","",الموظفون!$B69)</f>
        <v/>
      </c>
      <c r="C69" s="117" t="str">
        <f aca="false">IF($B69="","",الموظفون!$C69)</f>
        <v/>
      </c>
      <c r="D69" s="117" t="str">
        <f aca="false">IF($B69="","",الموظفون!$F69)</f>
        <v/>
      </c>
      <c r="E69" s="117" t="str">
        <f aca="false">IF($B69="","",الموظفون!$E69)</f>
        <v/>
      </c>
      <c r="F69" s="117" t="str">
        <f aca="false">IF($B69="","",IF(AK69=0,IF(AND(الموظفون!$AE69&lt;&gt;"",الموظفون!$AE69&lt;$E$3),"✖ منتهي الخدمة","⏳ لم يباشر"),IF(S69&gt;0,"✈ راتب إجازة مقدم",IF(J69=0,"⛔ بدون راتب هذا الشهر",IF(I69&gt;0,"✈ خصم "&amp;ROUND(I69,2)&amp;" يوم بدون أجر",IF(AL69&gt;0,"🌴 إجازة سنوية "&amp;ROUND(AL69,2)&amp;" يوم",IF(H69&gt;0,"⚠ غياب "&amp;ROUND(H69,2)&amp;" يوم","✔ على رأس العمل")))))))</f>
        <v/>
      </c>
      <c r="G69" s="156" t="str">
        <f aca="false">IF($B69="","",IF(AK69&gt;=DAY($F$3),cfg_DAYS_M,MIN(AK69,cfg_DAYS_M)))</f>
        <v/>
      </c>
      <c r="H69" s="156" t="str">
        <f aca="false">IF($B69="","",SUMIFS('الحركات الشهرية'!$D$6:$D$1005,'الحركات الشهرية'!$B$6:$B$1005,$B69,'الحركات الشهرية'!$A$6:$A$1005,$C$3))</f>
        <v/>
      </c>
      <c r="I69" s="156" t="str">
        <f aca="false">IF($B69="","",MIN(G69,IF(AND(AK69&gt;0,AN69&gt;=AK69),G69,AN69)+SUMIFS('الحركات الشهرية'!$E$6:$E$1005,'الحركات الشهرية'!$B$6:$B$1005,$B69,'الحركات الشهرية'!$A$6:$A$1005,$C$3)))</f>
        <v/>
      </c>
      <c r="J69" s="156" t="str">
        <f aca="false">IF($B69="","",MAX(0,G69-H69-I69))</f>
        <v/>
      </c>
      <c r="K69" s="116" t="str">
        <f aca="false">IF($B69="","",الموظفون!$L69*$J69/cfg_DAYS_M)</f>
        <v/>
      </c>
      <c r="L69" s="116" t="str">
        <f aca="false">IF($B69="","",الموظفون!$M69*$J69/cfg_DAYS_M)</f>
        <v/>
      </c>
      <c r="M69" s="116" t="str">
        <f aca="false">IF($B69="","",الموظفون!$N69*$J69/cfg_DAYS_M)</f>
        <v/>
      </c>
      <c r="N69" s="116" t="str">
        <f aca="false">IF($B69="","",الموظفون!$O69*$J69/cfg_DAYS_M)</f>
        <v/>
      </c>
      <c r="O69" s="156" t="str">
        <f aca="false">IF($B69="","",SUMIFS('الحركات الشهرية'!$F$6:$F$1005,'الحركات الشهرية'!$B$6:$B$1005,$B69,'الحركات الشهرية'!$A$6:$A$1005,$C$3))</f>
        <v/>
      </c>
      <c r="P69" s="116" t="str">
        <f aca="false">IF($B69="","",O69*(الموظفون!$P69+الموظفون!$L69*cfg_OT_P)/cfg_DAYS_M/cfg_HRS)</f>
        <v/>
      </c>
      <c r="Q69" s="116" t="str">
        <f aca="false">IF($B69="","",SUMIFS('الحركات الشهرية'!$G$6:$G$1005,'الحركات الشهرية'!$B$6:$B$1005,$B69,'الحركات الشهرية'!$A$6:$A$1005,$C$3))</f>
        <v/>
      </c>
      <c r="R69" s="116" t="str">
        <f aca="false">IF($B69="","",SUMIFS('الحركات الشهرية'!$H$6:$H$1005,'الحركات الشهرية'!$B$6:$B$1005,$B69,'الحركات الشهرية'!$A$6:$A$1005,$C$3))</f>
        <v/>
      </c>
      <c r="S69" s="116" t="str">
        <f aca="false">IF($B69="","",SUMIFS('سجل الإجازات والحالات'!$N$6:$N$505,'سجل الإجازات والحالات'!$B$6:$B$505,$B69,'سجل الإجازات والحالات'!$O$6:$O$505,$C$3))</f>
        <v/>
      </c>
      <c r="T69" s="157" t="str">
        <f aca="false">IF($B69="","",SUM(K69:N69)+SUM(P69:S69))</f>
        <v/>
      </c>
      <c r="U69" s="116" t="str">
        <f aca="false">IF($B69="","",الموظفون!$S69*IF(E69="سعودي",cfg_G_SE,cfg_G_NE)*G69/cfg_DAYS_M)</f>
        <v/>
      </c>
      <c r="V69" s="116" t="str">
        <f aca="false">IF($B69="","",SUMIFS('الحركات الشهرية'!$I$6:$I$1005,'الحركات الشهرية'!$B$6:$B$1005,$B69,'الحركات الشهرية'!$A$6:$A$1005,$C$3))</f>
        <v/>
      </c>
      <c r="W69" s="116" t="str">
        <f aca="false">IF($B69="","",SUMIFS('الحركات الشهرية'!$J$6:$J$1005,'الحركات الشهرية'!$B$6:$B$1005,$B69,'الحركات الشهرية'!$A$6:$A$1005,$C$3))</f>
        <v/>
      </c>
      <c r="X69" s="116" t="str">
        <f aca="false">IF($B69="","",SUM(U69:W69))</f>
        <v/>
      </c>
      <c r="Y69" s="158" t="str">
        <f aca="false">IF($B69="","",T69-X69)</f>
        <v/>
      </c>
      <c r="Z69" s="116" t="str">
        <f aca="false">IF($B69="","",الموظفون!$S69*IF(E69="سعودي",cfg_G_SR,cfg_G_NR)*G69/cfg_DAYS_M)</f>
        <v/>
      </c>
      <c r="AA69" s="116" t="str">
        <f aca="false">IF($B69="","",الموظفون!$Q69*(cfg_EOS_R1*(MIN(AH69,cfg_EOS_TH)-MIN(AI69,cfg_EOS_TH))+cfg_EOS_R2*(MAX(AH69-cfg_EOS_TH,0)-MAX(AI69-cfg_EOS_TH,0))))</f>
        <v/>
      </c>
      <c r="AB69" s="116" t="str">
        <f aca="false">IF($B69="","",IF(الموظفون!$T69&lt;&gt;"",الموظفون!$T69,IF(AH69&gt;=cfg_LV_TH,cfg_LV_D2,cfg_LV_D1))/cfg_DAYS_Y*AJ69*الموظفون!$R69/cfg_DAYS_M)</f>
        <v/>
      </c>
      <c r="AC69" s="116" t="str">
        <f aca="false">IF($B69="","",IF(AND(الموظفون!$U69="نعم",N(الموظفون!$W69)&gt;0),الموظفون!$V69/الموظفون!$W69*12/cfg_DAYS_Y*AJ69,0))</f>
        <v/>
      </c>
      <c r="AD69" s="116" t="str">
        <f aca="false">IF($B69="","",(IF(الموظفون!$X69&lt;&gt;"",الموظفون!$X69,IF(الموظفون!$E69="غير سعودي",cfg_IQ,0))+IF(الموظفون!$Y69&lt;&gt;"",الموظفون!$Y69,IF(الموظفون!$E69="غير سعودي",cfg_WP,0)))/12*G69/cfg_DAYS_M)</f>
        <v/>
      </c>
      <c r="AE69" s="116" t="str">
        <f aca="false">IF($B69="","",IF(الموظفون!$Z69&lt;&gt;"",الموظفون!$Z69,cfg_MED)/12*G69/cfg_DAYS_M)</f>
        <v/>
      </c>
      <c r="AF69" s="116" t="str">
        <f aca="false">IF($B69="","",N(الموظفون!$AA69)/12*G69/cfg_DAYS_M)</f>
        <v/>
      </c>
      <c r="AG69" s="159" t="str">
        <f aca="false">IF($B69="","",T69+SUM(Z69:AF69))</f>
        <v/>
      </c>
      <c r="AH69" s="160" t="str">
        <f aca="false">IF($B69="","",MAX(0,IF(OR(الموظفون!$AE69="",الموظفون!$AE69&gt;$F$3),$F$3,الموظفون!$AE69)-الموظفون!$H69+1-SUMIFS('سجل الإجازات والحالات'!$AI$6:$AI$505,'سجل الإجازات والحالات'!$B$6:$B$505,$B69))/cfg_DAYS_Y)</f>
        <v/>
      </c>
      <c r="AI69" s="160" t="str">
        <f aca="false">IF($B69="","",MAX(0,IF(OR(الموظفون!$AE69="",الموظفون!$AE69&gt;($E$3-1)),($E$3-1),الموظفون!$AE69)-الموظفون!$H69+1-SUMIFS('سجل الإجازات والحالات'!$AH$6:$AH$505,'سجل الإجازات والحالات'!$B$6:$B$505,$B69))/cfg_DAYS_Y)</f>
        <v/>
      </c>
      <c r="AJ69" s="133" t="str">
        <f aca="false">IF($B69="","",MAX(0,AK69-(SUMIFS('سجل الإجازات والحالات'!$AI$6:$AI$505,'سجل الإجازات والحالات'!$B$6:$B$505,$B69)-SUMIFS('سجل الإجازات والحالات'!$AH$6:$AH$505,'سجل الإجازات والحالات'!$B$6:$B$505,$B69))))</f>
        <v/>
      </c>
      <c r="AK69" s="133" t="str">
        <f aca="false">IF($B69="","",MAX(0,IF(OR(الموظفون!$AE69="",الموظفون!$AE69&gt;$F$3),$F$3,الموظفون!$AE69)-MAX($E$3,الموظفون!$H69)+1))</f>
        <v/>
      </c>
      <c r="AL69" s="156" t="str">
        <f aca="false">IF($B69="","",SUMIFS('سجل الإجازات والحالات'!$AU$6:$AU$505,'سجل الإجازات والحالات'!$B$6:$B$505,$B69)+SUMIFS('الحركات الشهرية'!$K$6:$K$1005,'الحركات الشهرية'!$B$6:$B$1005,$B69,'الحركات الشهرية'!$A$6:$A$1005,$C$3))</f>
        <v/>
      </c>
      <c r="AM69" s="116" t="str">
        <f aca="false">IF($B69="","",AL69*الموظفون!$R69/cfg_DAYS_M+S69)</f>
        <v/>
      </c>
      <c r="AN69" s="156" t="str">
        <f aca="false">IF($B69="","",SUMIFS('سجل الإجازات والحالات'!$W$6:$W$505,'سجل الإجازات والحالات'!$B$6:$B$505,$B69))</f>
        <v/>
      </c>
    </row>
    <row r="70" customFormat="false" ht="15" hidden="false" customHeight="false" outlineLevel="0" collapsed="false">
      <c r="A70" s="106" t="str">
        <f aca="false">IF($B70="","",الموظفون!$A70)</f>
        <v/>
      </c>
      <c r="B70" s="114" t="str">
        <f aca="false">IF(الموظفون!$B70="","",الموظفون!$B70)</f>
        <v/>
      </c>
      <c r="C70" s="114" t="str">
        <f aca="false">IF($B70="","",الموظفون!$C70)</f>
        <v/>
      </c>
      <c r="D70" s="114" t="str">
        <f aca="false">IF($B70="","",الموظفون!$F70)</f>
        <v/>
      </c>
      <c r="E70" s="114" t="str">
        <f aca="false">IF($B70="","",الموظفون!$E70)</f>
        <v/>
      </c>
      <c r="F70" s="114" t="str">
        <f aca="false">IF($B70="","",IF(AK70=0,IF(AND(الموظفون!$AE70&lt;&gt;"",الموظفون!$AE70&lt;$E$3),"✖ منتهي الخدمة","⏳ لم يباشر"),IF(S70&gt;0,"✈ راتب إجازة مقدم",IF(J70=0,"⛔ بدون راتب هذا الشهر",IF(I70&gt;0,"✈ خصم "&amp;ROUND(I70,2)&amp;" يوم بدون أجر",IF(AL70&gt;0,"🌴 إجازة سنوية "&amp;ROUND(AL70,2)&amp;" يوم",IF(H70&gt;0,"⚠ غياب "&amp;ROUND(H70,2)&amp;" يوم","✔ على رأس العمل")))))))</f>
        <v/>
      </c>
      <c r="G70" s="151" t="str">
        <f aca="false">IF($B70="","",IF(AK70&gt;=DAY($F$3),cfg_DAYS_M,MIN(AK70,cfg_DAYS_M)))</f>
        <v/>
      </c>
      <c r="H70" s="151" t="str">
        <f aca="false">IF($B70="","",SUMIFS('الحركات الشهرية'!$D$6:$D$1005,'الحركات الشهرية'!$B$6:$B$1005,$B70,'الحركات الشهرية'!$A$6:$A$1005,$C$3))</f>
        <v/>
      </c>
      <c r="I70" s="151" t="str">
        <f aca="false">IF($B70="","",MIN(G70,IF(AND(AK70&gt;0,AN70&gt;=AK70),G70,AN70)+SUMIFS('الحركات الشهرية'!$E$6:$E$1005,'الحركات الشهرية'!$B$6:$B$1005,$B70,'الحركات الشهرية'!$A$6:$A$1005,$C$3)))</f>
        <v/>
      </c>
      <c r="J70" s="151" t="str">
        <f aca="false">IF($B70="","",MAX(0,G70-H70-I70))</f>
        <v/>
      </c>
      <c r="K70" s="111" t="str">
        <f aca="false">IF($B70="","",الموظفون!$L70*$J70/cfg_DAYS_M)</f>
        <v/>
      </c>
      <c r="L70" s="111" t="str">
        <f aca="false">IF($B70="","",الموظفون!$M70*$J70/cfg_DAYS_M)</f>
        <v/>
      </c>
      <c r="M70" s="111" t="str">
        <f aca="false">IF($B70="","",الموظفون!$N70*$J70/cfg_DAYS_M)</f>
        <v/>
      </c>
      <c r="N70" s="111" t="str">
        <f aca="false">IF($B70="","",الموظفون!$O70*$J70/cfg_DAYS_M)</f>
        <v/>
      </c>
      <c r="O70" s="151" t="str">
        <f aca="false">IF($B70="","",SUMIFS('الحركات الشهرية'!$F$6:$F$1005,'الحركات الشهرية'!$B$6:$B$1005,$B70,'الحركات الشهرية'!$A$6:$A$1005,$C$3))</f>
        <v/>
      </c>
      <c r="P70" s="111" t="str">
        <f aca="false">IF($B70="","",O70*(الموظفون!$P70+الموظفون!$L70*cfg_OT_P)/cfg_DAYS_M/cfg_HRS)</f>
        <v/>
      </c>
      <c r="Q70" s="111" t="str">
        <f aca="false">IF($B70="","",SUMIFS('الحركات الشهرية'!$G$6:$G$1005,'الحركات الشهرية'!$B$6:$B$1005,$B70,'الحركات الشهرية'!$A$6:$A$1005,$C$3))</f>
        <v/>
      </c>
      <c r="R70" s="111" t="str">
        <f aca="false">IF($B70="","",SUMIFS('الحركات الشهرية'!$H$6:$H$1005,'الحركات الشهرية'!$B$6:$B$1005,$B70,'الحركات الشهرية'!$A$6:$A$1005,$C$3))</f>
        <v/>
      </c>
      <c r="S70" s="111" t="str">
        <f aca="false">IF($B70="","",SUMIFS('سجل الإجازات والحالات'!$N$6:$N$505,'سجل الإجازات والحالات'!$B$6:$B$505,$B70,'سجل الإجازات والحالات'!$O$6:$O$505,$C$3))</f>
        <v/>
      </c>
      <c r="T70" s="152" t="str">
        <f aca="false">IF($B70="","",SUM(K70:N70)+SUM(P70:S70))</f>
        <v/>
      </c>
      <c r="U70" s="111" t="str">
        <f aca="false">IF($B70="","",الموظفون!$S70*IF(E70="سعودي",cfg_G_SE,cfg_G_NE)*G70/cfg_DAYS_M)</f>
        <v/>
      </c>
      <c r="V70" s="111" t="str">
        <f aca="false">IF($B70="","",SUMIFS('الحركات الشهرية'!$I$6:$I$1005,'الحركات الشهرية'!$B$6:$B$1005,$B70,'الحركات الشهرية'!$A$6:$A$1005,$C$3))</f>
        <v/>
      </c>
      <c r="W70" s="111" t="str">
        <f aca="false">IF($B70="","",SUMIFS('الحركات الشهرية'!$J$6:$J$1005,'الحركات الشهرية'!$B$6:$B$1005,$B70,'الحركات الشهرية'!$A$6:$A$1005,$C$3))</f>
        <v/>
      </c>
      <c r="X70" s="111" t="str">
        <f aca="false">IF($B70="","",SUM(U70:W70))</f>
        <v/>
      </c>
      <c r="Y70" s="153" t="str">
        <f aca="false">IF($B70="","",T70-X70)</f>
        <v/>
      </c>
      <c r="Z70" s="111" t="str">
        <f aca="false">IF($B70="","",الموظفون!$S70*IF(E70="سعودي",cfg_G_SR,cfg_G_NR)*G70/cfg_DAYS_M)</f>
        <v/>
      </c>
      <c r="AA70" s="111" t="str">
        <f aca="false">IF($B70="","",الموظفون!$Q70*(cfg_EOS_R1*(MIN(AH70,cfg_EOS_TH)-MIN(AI70,cfg_EOS_TH))+cfg_EOS_R2*(MAX(AH70-cfg_EOS_TH,0)-MAX(AI70-cfg_EOS_TH,0))))</f>
        <v/>
      </c>
      <c r="AB70" s="111" t="str">
        <f aca="false">IF($B70="","",IF(الموظفون!$T70&lt;&gt;"",الموظفون!$T70,IF(AH70&gt;=cfg_LV_TH,cfg_LV_D2,cfg_LV_D1))/cfg_DAYS_Y*AJ70*الموظفون!$R70/cfg_DAYS_M)</f>
        <v/>
      </c>
      <c r="AC70" s="111" t="str">
        <f aca="false">IF($B70="","",IF(AND(الموظفون!$U70="نعم",N(الموظفون!$W70)&gt;0),الموظفون!$V70/الموظفون!$W70*12/cfg_DAYS_Y*AJ70,0))</f>
        <v/>
      </c>
      <c r="AD70" s="111" t="str">
        <f aca="false">IF($B70="","",(IF(الموظفون!$X70&lt;&gt;"",الموظفون!$X70,IF(الموظفون!$E70="غير سعودي",cfg_IQ,0))+IF(الموظفون!$Y70&lt;&gt;"",الموظفون!$Y70,IF(الموظفون!$E70="غير سعودي",cfg_WP,0)))/12*G70/cfg_DAYS_M)</f>
        <v/>
      </c>
      <c r="AE70" s="111" t="str">
        <f aca="false">IF($B70="","",IF(الموظفون!$Z70&lt;&gt;"",الموظفون!$Z70,cfg_MED)/12*G70/cfg_DAYS_M)</f>
        <v/>
      </c>
      <c r="AF70" s="111" t="str">
        <f aca="false">IF($B70="","",N(الموظفون!$AA70)/12*G70/cfg_DAYS_M)</f>
        <v/>
      </c>
      <c r="AG70" s="154" t="str">
        <f aca="false">IF($B70="","",T70+SUM(Z70:AF70))</f>
        <v/>
      </c>
      <c r="AH70" s="155" t="str">
        <f aca="false">IF($B70="","",MAX(0,IF(OR(الموظفون!$AE70="",الموظفون!$AE70&gt;$F$3),$F$3,الموظفون!$AE70)-الموظفون!$H70+1-SUMIFS('سجل الإجازات والحالات'!$AI$6:$AI$505,'سجل الإجازات والحالات'!$B$6:$B$505,$B70))/cfg_DAYS_Y)</f>
        <v/>
      </c>
      <c r="AI70" s="155" t="str">
        <f aca="false">IF($B70="","",MAX(0,IF(OR(الموظفون!$AE70="",الموظفون!$AE70&gt;($E$3-1)),($E$3-1),الموظفون!$AE70)-الموظفون!$H70+1-SUMIFS('سجل الإجازات والحالات'!$AH$6:$AH$505,'سجل الإجازات والحالات'!$B$6:$B$505,$B70))/cfg_DAYS_Y)</f>
        <v/>
      </c>
      <c r="AJ70" s="65" t="str">
        <f aca="false">IF($B70="","",MAX(0,AK70-(SUMIFS('سجل الإجازات والحالات'!$AI$6:$AI$505,'سجل الإجازات والحالات'!$B$6:$B$505,$B70)-SUMIFS('سجل الإجازات والحالات'!$AH$6:$AH$505,'سجل الإجازات والحالات'!$B$6:$B$505,$B70))))</f>
        <v/>
      </c>
      <c r="AK70" s="65" t="str">
        <f aca="false">IF($B70="","",MAX(0,IF(OR(الموظفون!$AE70="",الموظفون!$AE70&gt;$F$3),$F$3,الموظفون!$AE70)-MAX($E$3,الموظفون!$H70)+1))</f>
        <v/>
      </c>
      <c r="AL70" s="151" t="str">
        <f aca="false">IF($B70="","",SUMIFS('سجل الإجازات والحالات'!$AU$6:$AU$505,'سجل الإجازات والحالات'!$B$6:$B$505,$B70)+SUMIFS('الحركات الشهرية'!$K$6:$K$1005,'الحركات الشهرية'!$B$6:$B$1005,$B70,'الحركات الشهرية'!$A$6:$A$1005,$C$3))</f>
        <v/>
      </c>
      <c r="AM70" s="111" t="str">
        <f aca="false">IF($B70="","",AL70*الموظفون!$R70/cfg_DAYS_M+S70)</f>
        <v/>
      </c>
      <c r="AN70" s="151" t="str">
        <f aca="false">IF($B70="","",SUMIFS('سجل الإجازات والحالات'!$W$6:$W$505,'سجل الإجازات والحالات'!$B$6:$B$505,$B70))</f>
        <v/>
      </c>
    </row>
    <row r="71" customFormat="false" ht="15" hidden="false" customHeight="false" outlineLevel="0" collapsed="false">
      <c r="A71" s="115" t="str">
        <f aca="false">IF($B71="","",الموظفون!$A71)</f>
        <v/>
      </c>
      <c r="B71" s="117" t="str">
        <f aca="false">IF(الموظفون!$B71="","",الموظفون!$B71)</f>
        <v/>
      </c>
      <c r="C71" s="117" t="str">
        <f aca="false">IF($B71="","",الموظفون!$C71)</f>
        <v/>
      </c>
      <c r="D71" s="117" t="str">
        <f aca="false">IF($B71="","",الموظفون!$F71)</f>
        <v/>
      </c>
      <c r="E71" s="117" t="str">
        <f aca="false">IF($B71="","",الموظفون!$E71)</f>
        <v/>
      </c>
      <c r="F71" s="117" t="str">
        <f aca="false">IF($B71="","",IF(AK71=0,IF(AND(الموظفون!$AE71&lt;&gt;"",الموظفون!$AE71&lt;$E$3),"✖ منتهي الخدمة","⏳ لم يباشر"),IF(S71&gt;0,"✈ راتب إجازة مقدم",IF(J71=0,"⛔ بدون راتب هذا الشهر",IF(I71&gt;0,"✈ خصم "&amp;ROUND(I71,2)&amp;" يوم بدون أجر",IF(AL71&gt;0,"🌴 إجازة سنوية "&amp;ROUND(AL71,2)&amp;" يوم",IF(H71&gt;0,"⚠ غياب "&amp;ROUND(H71,2)&amp;" يوم","✔ على رأس العمل")))))))</f>
        <v/>
      </c>
      <c r="G71" s="156" t="str">
        <f aca="false">IF($B71="","",IF(AK71&gt;=DAY($F$3),cfg_DAYS_M,MIN(AK71,cfg_DAYS_M)))</f>
        <v/>
      </c>
      <c r="H71" s="156" t="str">
        <f aca="false">IF($B71="","",SUMIFS('الحركات الشهرية'!$D$6:$D$1005,'الحركات الشهرية'!$B$6:$B$1005,$B71,'الحركات الشهرية'!$A$6:$A$1005,$C$3))</f>
        <v/>
      </c>
      <c r="I71" s="156" t="str">
        <f aca="false">IF($B71="","",MIN(G71,IF(AND(AK71&gt;0,AN71&gt;=AK71),G71,AN71)+SUMIFS('الحركات الشهرية'!$E$6:$E$1005,'الحركات الشهرية'!$B$6:$B$1005,$B71,'الحركات الشهرية'!$A$6:$A$1005,$C$3)))</f>
        <v/>
      </c>
      <c r="J71" s="156" t="str">
        <f aca="false">IF($B71="","",MAX(0,G71-H71-I71))</f>
        <v/>
      </c>
      <c r="K71" s="116" t="str">
        <f aca="false">IF($B71="","",الموظفون!$L71*$J71/cfg_DAYS_M)</f>
        <v/>
      </c>
      <c r="L71" s="116" t="str">
        <f aca="false">IF($B71="","",الموظفون!$M71*$J71/cfg_DAYS_M)</f>
        <v/>
      </c>
      <c r="M71" s="116" t="str">
        <f aca="false">IF($B71="","",الموظفون!$N71*$J71/cfg_DAYS_M)</f>
        <v/>
      </c>
      <c r="N71" s="116" t="str">
        <f aca="false">IF($B71="","",الموظفون!$O71*$J71/cfg_DAYS_M)</f>
        <v/>
      </c>
      <c r="O71" s="156" t="str">
        <f aca="false">IF($B71="","",SUMIFS('الحركات الشهرية'!$F$6:$F$1005,'الحركات الشهرية'!$B$6:$B$1005,$B71,'الحركات الشهرية'!$A$6:$A$1005,$C$3))</f>
        <v/>
      </c>
      <c r="P71" s="116" t="str">
        <f aca="false">IF($B71="","",O71*(الموظفون!$P71+الموظفون!$L71*cfg_OT_P)/cfg_DAYS_M/cfg_HRS)</f>
        <v/>
      </c>
      <c r="Q71" s="116" t="str">
        <f aca="false">IF($B71="","",SUMIFS('الحركات الشهرية'!$G$6:$G$1005,'الحركات الشهرية'!$B$6:$B$1005,$B71,'الحركات الشهرية'!$A$6:$A$1005,$C$3))</f>
        <v/>
      </c>
      <c r="R71" s="116" t="str">
        <f aca="false">IF($B71="","",SUMIFS('الحركات الشهرية'!$H$6:$H$1005,'الحركات الشهرية'!$B$6:$B$1005,$B71,'الحركات الشهرية'!$A$6:$A$1005,$C$3))</f>
        <v/>
      </c>
      <c r="S71" s="116" t="str">
        <f aca="false">IF($B71="","",SUMIFS('سجل الإجازات والحالات'!$N$6:$N$505,'سجل الإجازات والحالات'!$B$6:$B$505,$B71,'سجل الإجازات والحالات'!$O$6:$O$505,$C$3))</f>
        <v/>
      </c>
      <c r="T71" s="157" t="str">
        <f aca="false">IF($B71="","",SUM(K71:N71)+SUM(P71:S71))</f>
        <v/>
      </c>
      <c r="U71" s="116" t="str">
        <f aca="false">IF($B71="","",الموظفون!$S71*IF(E71="سعودي",cfg_G_SE,cfg_G_NE)*G71/cfg_DAYS_M)</f>
        <v/>
      </c>
      <c r="V71" s="116" t="str">
        <f aca="false">IF($B71="","",SUMIFS('الحركات الشهرية'!$I$6:$I$1005,'الحركات الشهرية'!$B$6:$B$1005,$B71,'الحركات الشهرية'!$A$6:$A$1005,$C$3))</f>
        <v/>
      </c>
      <c r="W71" s="116" t="str">
        <f aca="false">IF($B71="","",SUMIFS('الحركات الشهرية'!$J$6:$J$1005,'الحركات الشهرية'!$B$6:$B$1005,$B71,'الحركات الشهرية'!$A$6:$A$1005,$C$3))</f>
        <v/>
      </c>
      <c r="X71" s="116" t="str">
        <f aca="false">IF($B71="","",SUM(U71:W71))</f>
        <v/>
      </c>
      <c r="Y71" s="158" t="str">
        <f aca="false">IF($B71="","",T71-X71)</f>
        <v/>
      </c>
      <c r="Z71" s="116" t="str">
        <f aca="false">IF($B71="","",الموظفون!$S71*IF(E71="سعودي",cfg_G_SR,cfg_G_NR)*G71/cfg_DAYS_M)</f>
        <v/>
      </c>
      <c r="AA71" s="116" t="str">
        <f aca="false">IF($B71="","",الموظفون!$Q71*(cfg_EOS_R1*(MIN(AH71,cfg_EOS_TH)-MIN(AI71,cfg_EOS_TH))+cfg_EOS_R2*(MAX(AH71-cfg_EOS_TH,0)-MAX(AI71-cfg_EOS_TH,0))))</f>
        <v/>
      </c>
      <c r="AB71" s="116" t="str">
        <f aca="false">IF($B71="","",IF(الموظفون!$T71&lt;&gt;"",الموظفون!$T71,IF(AH71&gt;=cfg_LV_TH,cfg_LV_D2,cfg_LV_D1))/cfg_DAYS_Y*AJ71*الموظفون!$R71/cfg_DAYS_M)</f>
        <v/>
      </c>
      <c r="AC71" s="116" t="str">
        <f aca="false">IF($B71="","",IF(AND(الموظفون!$U71="نعم",N(الموظفون!$W71)&gt;0),الموظفون!$V71/الموظفون!$W71*12/cfg_DAYS_Y*AJ71,0))</f>
        <v/>
      </c>
      <c r="AD71" s="116" t="str">
        <f aca="false">IF($B71="","",(IF(الموظفون!$X71&lt;&gt;"",الموظفون!$X71,IF(الموظفون!$E71="غير سعودي",cfg_IQ,0))+IF(الموظفون!$Y71&lt;&gt;"",الموظفون!$Y71,IF(الموظفون!$E71="غير سعودي",cfg_WP,0)))/12*G71/cfg_DAYS_M)</f>
        <v/>
      </c>
      <c r="AE71" s="116" t="str">
        <f aca="false">IF($B71="","",IF(الموظفون!$Z71&lt;&gt;"",الموظفون!$Z71,cfg_MED)/12*G71/cfg_DAYS_M)</f>
        <v/>
      </c>
      <c r="AF71" s="116" t="str">
        <f aca="false">IF($B71="","",N(الموظفون!$AA71)/12*G71/cfg_DAYS_M)</f>
        <v/>
      </c>
      <c r="AG71" s="159" t="str">
        <f aca="false">IF($B71="","",T71+SUM(Z71:AF71))</f>
        <v/>
      </c>
      <c r="AH71" s="160" t="str">
        <f aca="false">IF($B71="","",MAX(0,IF(OR(الموظفون!$AE71="",الموظفون!$AE71&gt;$F$3),$F$3,الموظفون!$AE71)-الموظفون!$H71+1-SUMIFS('سجل الإجازات والحالات'!$AI$6:$AI$505,'سجل الإجازات والحالات'!$B$6:$B$505,$B71))/cfg_DAYS_Y)</f>
        <v/>
      </c>
      <c r="AI71" s="160" t="str">
        <f aca="false">IF($B71="","",MAX(0,IF(OR(الموظفون!$AE71="",الموظفون!$AE71&gt;($E$3-1)),($E$3-1),الموظفون!$AE71)-الموظفون!$H71+1-SUMIFS('سجل الإجازات والحالات'!$AH$6:$AH$505,'سجل الإجازات والحالات'!$B$6:$B$505,$B71))/cfg_DAYS_Y)</f>
        <v/>
      </c>
      <c r="AJ71" s="133" t="str">
        <f aca="false">IF($B71="","",MAX(0,AK71-(SUMIFS('سجل الإجازات والحالات'!$AI$6:$AI$505,'سجل الإجازات والحالات'!$B$6:$B$505,$B71)-SUMIFS('سجل الإجازات والحالات'!$AH$6:$AH$505,'سجل الإجازات والحالات'!$B$6:$B$505,$B71))))</f>
        <v/>
      </c>
      <c r="AK71" s="133" t="str">
        <f aca="false">IF($B71="","",MAX(0,IF(OR(الموظفون!$AE71="",الموظفون!$AE71&gt;$F$3),$F$3,الموظفون!$AE71)-MAX($E$3,الموظفون!$H71)+1))</f>
        <v/>
      </c>
      <c r="AL71" s="156" t="str">
        <f aca="false">IF($B71="","",SUMIFS('سجل الإجازات والحالات'!$AU$6:$AU$505,'سجل الإجازات والحالات'!$B$6:$B$505,$B71)+SUMIFS('الحركات الشهرية'!$K$6:$K$1005,'الحركات الشهرية'!$B$6:$B$1005,$B71,'الحركات الشهرية'!$A$6:$A$1005,$C$3))</f>
        <v/>
      </c>
      <c r="AM71" s="116" t="str">
        <f aca="false">IF($B71="","",AL71*الموظفون!$R71/cfg_DAYS_M+S71)</f>
        <v/>
      </c>
      <c r="AN71" s="156" t="str">
        <f aca="false">IF($B71="","",SUMIFS('سجل الإجازات والحالات'!$W$6:$W$505,'سجل الإجازات والحالات'!$B$6:$B$505,$B71))</f>
        <v/>
      </c>
    </row>
    <row r="72" customFormat="false" ht="15" hidden="false" customHeight="false" outlineLevel="0" collapsed="false">
      <c r="A72" s="106" t="str">
        <f aca="false">IF($B72="","",الموظفون!$A72)</f>
        <v/>
      </c>
      <c r="B72" s="114" t="str">
        <f aca="false">IF(الموظفون!$B72="","",الموظفون!$B72)</f>
        <v/>
      </c>
      <c r="C72" s="114" t="str">
        <f aca="false">IF($B72="","",الموظفون!$C72)</f>
        <v/>
      </c>
      <c r="D72" s="114" t="str">
        <f aca="false">IF($B72="","",الموظفون!$F72)</f>
        <v/>
      </c>
      <c r="E72" s="114" t="str">
        <f aca="false">IF($B72="","",الموظفون!$E72)</f>
        <v/>
      </c>
      <c r="F72" s="114" t="str">
        <f aca="false">IF($B72="","",IF(AK72=0,IF(AND(الموظفون!$AE72&lt;&gt;"",الموظفون!$AE72&lt;$E$3),"✖ منتهي الخدمة","⏳ لم يباشر"),IF(S72&gt;0,"✈ راتب إجازة مقدم",IF(J72=0,"⛔ بدون راتب هذا الشهر",IF(I72&gt;0,"✈ خصم "&amp;ROUND(I72,2)&amp;" يوم بدون أجر",IF(AL72&gt;0,"🌴 إجازة سنوية "&amp;ROUND(AL72,2)&amp;" يوم",IF(H72&gt;0,"⚠ غياب "&amp;ROUND(H72,2)&amp;" يوم","✔ على رأس العمل")))))))</f>
        <v/>
      </c>
      <c r="G72" s="151" t="str">
        <f aca="false">IF($B72="","",IF(AK72&gt;=DAY($F$3),cfg_DAYS_M,MIN(AK72,cfg_DAYS_M)))</f>
        <v/>
      </c>
      <c r="H72" s="151" t="str">
        <f aca="false">IF($B72="","",SUMIFS('الحركات الشهرية'!$D$6:$D$1005,'الحركات الشهرية'!$B$6:$B$1005,$B72,'الحركات الشهرية'!$A$6:$A$1005,$C$3))</f>
        <v/>
      </c>
      <c r="I72" s="151" t="str">
        <f aca="false">IF($B72="","",MIN(G72,IF(AND(AK72&gt;0,AN72&gt;=AK72),G72,AN72)+SUMIFS('الحركات الشهرية'!$E$6:$E$1005,'الحركات الشهرية'!$B$6:$B$1005,$B72,'الحركات الشهرية'!$A$6:$A$1005,$C$3)))</f>
        <v/>
      </c>
      <c r="J72" s="151" t="str">
        <f aca="false">IF($B72="","",MAX(0,G72-H72-I72))</f>
        <v/>
      </c>
      <c r="K72" s="111" t="str">
        <f aca="false">IF($B72="","",الموظفون!$L72*$J72/cfg_DAYS_M)</f>
        <v/>
      </c>
      <c r="L72" s="111" t="str">
        <f aca="false">IF($B72="","",الموظفون!$M72*$J72/cfg_DAYS_M)</f>
        <v/>
      </c>
      <c r="M72" s="111" t="str">
        <f aca="false">IF($B72="","",الموظفون!$N72*$J72/cfg_DAYS_M)</f>
        <v/>
      </c>
      <c r="N72" s="111" t="str">
        <f aca="false">IF($B72="","",الموظفون!$O72*$J72/cfg_DAYS_M)</f>
        <v/>
      </c>
      <c r="O72" s="151" t="str">
        <f aca="false">IF($B72="","",SUMIFS('الحركات الشهرية'!$F$6:$F$1005,'الحركات الشهرية'!$B$6:$B$1005,$B72,'الحركات الشهرية'!$A$6:$A$1005,$C$3))</f>
        <v/>
      </c>
      <c r="P72" s="111" t="str">
        <f aca="false">IF($B72="","",O72*(الموظفون!$P72+الموظفون!$L72*cfg_OT_P)/cfg_DAYS_M/cfg_HRS)</f>
        <v/>
      </c>
      <c r="Q72" s="111" t="str">
        <f aca="false">IF($B72="","",SUMIFS('الحركات الشهرية'!$G$6:$G$1005,'الحركات الشهرية'!$B$6:$B$1005,$B72,'الحركات الشهرية'!$A$6:$A$1005,$C$3))</f>
        <v/>
      </c>
      <c r="R72" s="111" t="str">
        <f aca="false">IF($B72="","",SUMIFS('الحركات الشهرية'!$H$6:$H$1005,'الحركات الشهرية'!$B$6:$B$1005,$B72,'الحركات الشهرية'!$A$6:$A$1005,$C$3))</f>
        <v/>
      </c>
      <c r="S72" s="111" t="str">
        <f aca="false">IF($B72="","",SUMIFS('سجل الإجازات والحالات'!$N$6:$N$505,'سجل الإجازات والحالات'!$B$6:$B$505,$B72,'سجل الإجازات والحالات'!$O$6:$O$505,$C$3))</f>
        <v/>
      </c>
      <c r="T72" s="152" t="str">
        <f aca="false">IF($B72="","",SUM(K72:N72)+SUM(P72:S72))</f>
        <v/>
      </c>
      <c r="U72" s="111" t="str">
        <f aca="false">IF($B72="","",الموظفون!$S72*IF(E72="سعودي",cfg_G_SE,cfg_G_NE)*G72/cfg_DAYS_M)</f>
        <v/>
      </c>
      <c r="V72" s="111" t="str">
        <f aca="false">IF($B72="","",SUMIFS('الحركات الشهرية'!$I$6:$I$1005,'الحركات الشهرية'!$B$6:$B$1005,$B72,'الحركات الشهرية'!$A$6:$A$1005,$C$3))</f>
        <v/>
      </c>
      <c r="W72" s="111" t="str">
        <f aca="false">IF($B72="","",SUMIFS('الحركات الشهرية'!$J$6:$J$1005,'الحركات الشهرية'!$B$6:$B$1005,$B72,'الحركات الشهرية'!$A$6:$A$1005,$C$3))</f>
        <v/>
      </c>
      <c r="X72" s="111" t="str">
        <f aca="false">IF($B72="","",SUM(U72:W72))</f>
        <v/>
      </c>
      <c r="Y72" s="153" t="str">
        <f aca="false">IF($B72="","",T72-X72)</f>
        <v/>
      </c>
      <c r="Z72" s="111" t="str">
        <f aca="false">IF($B72="","",الموظفون!$S72*IF(E72="سعودي",cfg_G_SR,cfg_G_NR)*G72/cfg_DAYS_M)</f>
        <v/>
      </c>
      <c r="AA72" s="111" t="str">
        <f aca="false">IF($B72="","",الموظفون!$Q72*(cfg_EOS_R1*(MIN(AH72,cfg_EOS_TH)-MIN(AI72,cfg_EOS_TH))+cfg_EOS_R2*(MAX(AH72-cfg_EOS_TH,0)-MAX(AI72-cfg_EOS_TH,0))))</f>
        <v/>
      </c>
      <c r="AB72" s="111" t="str">
        <f aca="false">IF($B72="","",IF(الموظفون!$T72&lt;&gt;"",الموظفون!$T72,IF(AH72&gt;=cfg_LV_TH,cfg_LV_D2,cfg_LV_D1))/cfg_DAYS_Y*AJ72*الموظفون!$R72/cfg_DAYS_M)</f>
        <v/>
      </c>
      <c r="AC72" s="111" t="str">
        <f aca="false">IF($B72="","",IF(AND(الموظفون!$U72="نعم",N(الموظفون!$W72)&gt;0),الموظفون!$V72/الموظفون!$W72*12/cfg_DAYS_Y*AJ72,0))</f>
        <v/>
      </c>
      <c r="AD72" s="111" t="str">
        <f aca="false">IF($B72="","",(IF(الموظفون!$X72&lt;&gt;"",الموظفون!$X72,IF(الموظفون!$E72="غير سعودي",cfg_IQ,0))+IF(الموظفون!$Y72&lt;&gt;"",الموظفون!$Y72,IF(الموظفون!$E72="غير سعودي",cfg_WP,0)))/12*G72/cfg_DAYS_M)</f>
        <v/>
      </c>
      <c r="AE72" s="111" t="str">
        <f aca="false">IF($B72="","",IF(الموظفون!$Z72&lt;&gt;"",الموظفون!$Z72,cfg_MED)/12*G72/cfg_DAYS_M)</f>
        <v/>
      </c>
      <c r="AF72" s="111" t="str">
        <f aca="false">IF($B72="","",N(الموظفون!$AA72)/12*G72/cfg_DAYS_M)</f>
        <v/>
      </c>
      <c r="AG72" s="154" t="str">
        <f aca="false">IF($B72="","",T72+SUM(Z72:AF72))</f>
        <v/>
      </c>
      <c r="AH72" s="155" t="str">
        <f aca="false">IF($B72="","",MAX(0,IF(OR(الموظفون!$AE72="",الموظفون!$AE72&gt;$F$3),$F$3,الموظفون!$AE72)-الموظفون!$H72+1-SUMIFS('سجل الإجازات والحالات'!$AI$6:$AI$505,'سجل الإجازات والحالات'!$B$6:$B$505,$B72))/cfg_DAYS_Y)</f>
        <v/>
      </c>
      <c r="AI72" s="155" t="str">
        <f aca="false">IF($B72="","",MAX(0,IF(OR(الموظفون!$AE72="",الموظفون!$AE72&gt;($E$3-1)),($E$3-1),الموظفون!$AE72)-الموظفون!$H72+1-SUMIFS('سجل الإجازات والحالات'!$AH$6:$AH$505,'سجل الإجازات والحالات'!$B$6:$B$505,$B72))/cfg_DAYS_Y)</f>
        <v/>
      </c>
      <c r="AJ72" s="65" t="str">
        <f aca="false">IF($B72="","",MAX(0,AK72-(SUMIFS('سجل الإجازات والحالات'!$AI$6:$AI$505,'سجل الإجازات والحالات'!$B$6:$B$505,$B72)-SUMIFS('سجل الإجازات والحالات'!$AH$6:$AH$505,'سجل الإجازات والحالات'!$B$6:$B$505,$B72))))</f>
        <v/>
      </c>
      <c r="AK72" s="65" t="str">
        <f aca="false">IF($B72="","",MAX(0,IF(OR(الموظفون!$AE72="",الموظفون!$AE72&gt;$F$3),$F$3,الموظفون!$AE72)-MAX($E$3,الموظفون!$H72)+1))</f>
        <v/>
      </c>
      <c r="AL72" s="151" t="str">
        <f aca="false">IF($B72="","",SUMIFS('سجل الإجازات والحالات'!$AU$6:$AU$505,'سجل الإجازات والحالات'!$B$6:$B$505,$B72)+SUMIFS('الحركات الشهرية'!$K$6:$K$1005,'الحركات الشهرية'!$B$6:$B$1005,$B72,'الحركات الشهرية'!$A$6:$A$1005,$C$3))</f>
        <v/>
      </c>
      <c r="AM72" s="111" t="str">
        <f aca="false">IF($B72="","",AL72*الموظفون!$R72/cfg_DAYS_M+S72)</f>
        <v/>
      </c>
      <c r="AN72" s="151" t="str">
        <f aca="false">IF($B72="","",SUMIFS('سجل الإجازات والحالات'!$W$6:$W$505,'سجل الإجازات والحالات'!$B$6:$B$505,$B72))</f>
        <v/>
      </c>
    </row>
    <row r="73" customFormat="false" ht="15" hidden="false" customHeight="false" outlineLevel="0" collapsed="false">
      <c r="A73" s="115" t="str">
        <f aca="false">IF($B73="","",الموظفون!$A73)</f>
        <v/>
      </c>
      <c r="B73" s="117" t="str">
        <f aca="false">IF(الموظفون!$B73="","",الموظفون!$B73)</f>
        <v/>
      </c>
      <c r="C73" s="117" t="str">
        <f aca="false">IF($B73="","",الموظفون!$C73)</f>
        <v/>
      </c>
      <c r="D73" s="117" t="str">
        <f aca="false">IF($B73="","",الموظفون!$F73)</f>
        <v/>
      </c>
      <c r="E73" s="117" t="str">
        <f aca="false">IF($B73="","",الموظفون!$E73)</f>
        <v/>
      </c>
      <c r="F73" s="117" t="str">
        <f aca="false">IF($B73="","",IF(AK73=0,IF(AND(الموظفون!$AE73&lt;&gt;"",الموظفون!$AE73&lt;$E$3),"✖ منتهي الخدمة","⏳ لم يباشر"),IF(S73&gt;0,"✈ راتب إجازة مقدم",IF(J73=0,"⛔ بدون راتب هذا الشهر",IF(I73&gt;0,"✈ خصم "&amp;ROUND(I73,2)&amp;" يوم بدون أجر",IF(AL73&gt;0,"🌴 إجازة سنوية "&amp;ROUND(AL73,2)&amp;" يوم",IF(H73&gt;0,"⚠ غياب "&amp;ROUND(H73,2)&amp;" يوم","✔ على رأس العمل")))))))</f>
        <v/>
      </c>
      <c r="G73" s="156" t="str">
        <f aca="false">IF($B73="","",IF(AK73&gt;=DAY($F$3),cfg_DAYS_M,MIN(AK73,cfg_DAYS_M)))</f>
        <v/>
      </c>
      <c r="H73" s="156" t="str">
        <f aca="false">IF($B73="","",SUMIFS('الحركات الشهرية'!$D$6:$D$1005,'الحركات الشهرية'!$B$6:$B$1005,$B73,'الحركات الشهرية'!$A$6:$A$1005,$C$3))</f>
        <v/>
      </c>
      <c r="I73" s="156" t="str">
        <f aca="false">IF($B73="","",MIN(G73,IF(AND(AK73&gt;0,AN73&gt;=AK73),G73,AN73)+SUMIFS('الحركات الشهرية'!$E$6:$E$1005,'الحركات الشهرية'!$B$6:$B$1005,$B73,'الحركات الشهرية'!$A$6:$A$1005,$C$3)))</f>
        <v/>
      </c>
      <c r="J73" s="156" t="str">
        <f aca="false">IF($B73="","",MAX(0,G73-H73-I73))</f>
        <v/>
      </c>
      <c r="K73" s="116" t="str">
        <f aca="false">IF($B73="","",الموظفون!$L73*$J73/cfg_DAYS_M)</f>
        <v/>
      </c>
      <c r="L73" s="116" t="str">
        <f aca="false">IF($B73="","",الموظفون!$M73*$J73/cfg_DAYS_M)</f>
        <v/>
      </c>
      <c r="M73" s="116" t="str">
        <f aca="false">IF($B73="","",الموظفون!$N73*$J73/cfg_DAYS_M)</f>
        <v/>
      </c>
      <c r="N73" s="116" t="str">
        <f aca="false">IF($B73="","",الموظفون!$O73*$J73/cfg_DAYS_M)</f>
        <v/>
      </c>
      <c r="O73" s="156" t="str">
        <f aca="false">IF($B73="","",SUMIFS('الحركات الشهرية'!$F$6:$F$1005,'الحركات الشهرية'!$B$6:$B$1005,$B73,'الحركات الشهرية'!$A$6:$A$1005,$C$3))</f>
        <v/>
      </c>
      <c r="P73" s="116" t="str">
        <f aca="false">IF($B73="","",O73*(الموظفون!$P73+الموظفون!$L73*cfg_OT_P)/cfg_DAYS_M/cfg_HRS)</f>
        <v/>
      </c>
      <c r="Q73" s="116" t="str">
        <f aca="false">IF($B73="","",SUMIFS('الحركات الشهرية'!$G$6:$G$1005,'الحركات الشهرية'!$B$6:$B$1005,$B73,'الحركات الشهرية'!$A$6:$A$1005,$C$3))</f>
        <v/>
      </c>
      <c r="R73" s="116" t="str">
        <f aca="false">IF($B73="","",SUMIFS('الحركات الشهرية'!$H$6:$H$1005,'الحركات الشهرية'!$B$6:$B$1005,$B73,'الحركات الشهرية'!$A$6:$A$1005,$C$3))</f>
        <v/>
      </c>
      <c r="S73" s="116" t="str">
        <f aca="false">IF($B73="","",SUMIFS('سجل الإجازات والحالات'!$N$6:$N$505,'سجل الإجازات والحالات'!$B$6:$B$505,$B73,'سجل الإجازات والحالات'!$O$6:$O$505,$C$3))</f>
        <v/>
      </c>
      <c r="T73" s="157" t="str">
        <f aca="false">IF($B73="","",SUM(K73:N73)+SUM(P73:S73))</f>
        <v/>
      </c>
      <c r="U73" s="116" t="str">
        <f aca="false">IF($B73="","",الموظفون!$S73*IF(E73="سعودي",cfg_G_SE,cfg_G_NE)*G73/cfg_DAYS_M)</f>
        <v/>
      </c>
      <c r="V73" s="116" t="str">
        <f aca="false">IF($B73="","",SUMIFS('الحركات الشهرية'!$I$6:$I$1005,'الحركات الشهرية'!$B$6:$B$1005,$B73,'الحركات الشهرية'!$A$6:$A$1005,$C$3))</f>
        <v/>
      </c>
      <c r="W73" s="116" t="str">
        <f aca="false">IF($B73="","",SUMIFS('الحركات الشهرية'!$J$6:$J$1005,'الحركات الشهرية'!$B$6:$B$1005,$B73,'الحركات الشهرية'!$A$6:$A$1005,$C$3))</f>
        <v/>
      </c>
      <c r="X73" s="116" t="str">
        <f aca="false">IF($B73="","",SUM(U73:W73))</f>
        <v/>
      </c>
      <c r="Y73" s="158" t="str">
        <f aca="false">IF($B73="","",T73-X73)</f>
        <v/>
      </c>
      <c r="Z73" s="116" t="str">
        <f aca="false">IF($B73="","",الموظفون!$S73*IF(E73="سعودي",cfg_G_SR,cfg_G_NR)*G73/cfg_DAYS_M)</f>
        <v/>
      </c>
      <c r="AA73" s="116" t="str">
        <f aca="false">IF($B73="","",الموظفون!$Q73*(cfg_EOS_R1*(MIN(AH73,cfg_EOS_TH)-MIN(AI73,cfg_EOS_TH))+cfg_EOS_R2*(MAX(AH73-cfg_EOS_TH,0)-MAX(AI73-cfg_EOS_TH,0))))</f>
        <v/>
      </c>
      <c r="AB73" s="116" t="str">
        <f aca="false">IF($B73="","",IF(الموظفون!$T73&lt;&gt;"",الموظفون!$T73,IF(AH73&gt;=cfg_LV_TH,cfg_LV_D2,cfg_LV_D1))/cfg_DAYS_Y*AJ73*الموظفون!$R73/cfg_DAYS_M)</f>
        <v/>
      </c>
      <c r="AC73" s="116" t="str">
        <f aca="false">IF($B73="","",IF(AND(الموظفون!$U73="نعم",N(الموظفون!$W73)&gt;0),الموظفون!$V73/الموظفون!$W73*12/cfg_DAYS_Y*AJ73,0))</f>
        <v/>
      </c>
      <c r="AD73" s="116" t="str">
        <f aca="false">IF($B73="","",(IF(الموظفون!$X73&lt;&gt;"",الموظفون!$X73,IF(الموظفون!$E73="غير سعودي",cfg_IQ,0))+IF(الموظفون!$Y73&lt;&gt;"",الموظفون!$Y73,IF(الموظفون!$E73="غير سعودي",cfg_WP,0)))/12*G73/cfg_DAYS_M)</f>
        <v/>
      </c>
      <c r="AE73" s="116" t="str">
        <f aca="false">IF($B73="","",IF(الموظفون!$Z73&lt;&gt;"",الموظفون!$Z73,cfg_MED)/12*G73/cfg_DAYS_M)</f>
        <v/>
      </c>
      <c r="AF73" s="116" t="str">
        <f aca="false">IF($B73="","",N(الموظفون!$AA73)/12*G73/cfg_DAYS_M)</f>
        <v/>
      </c>
      <c r="AG73" s="159" t="str">
        <f aca="false">IF($B73="","",T73+SUM(Z73:AF73))</f>
        <v/>
      </c>
      <c r="AH73" s="160" t="str">
        <f aca="false">IF($B73="","",MAX(0,IF(OR(الموظفون!$AE73="",الموظفون!$AE73&gt;$F$3),$F$3,الموظفون!$AE73)-الموظفون!$H73+1-SUMIFS('سجل الإجازات والحالات'!$AI$6:$AI$505,'سجل الإجازات والحالات'!$B$6:$B$505,$B73))/cfg_DAYS_Y)</f>
        <v/>
      </c>
      <c r="AI73" s="160" t="str">
        <f aca="false">IF($B73="","",MAX(0,IF(OR(الموظفون!$AE73="",الموظفون!$AE73&gt;($E$3-1)),($E$3-1),الموظفون!$AE73)-الموظفون!$H73+1-SUMIFS('سجل الإجازات والحالات'!$AH$6:$AH$505,'سجل الإجازات والحالات'!$B$6:$B$505,$B73))/cfg_DAYS_Y)</f>
        <v/>
      </c>
      <c r="AJ73" s="133" t="str">
        <f aca="false">IF($B73="","",MAX(0,AK73-(SUMIFS('سجل الإجازات والحالات'!$AI$6:$AI$505,'سجل الإجازات والحالات'!$B$6:$B$505,$B73)-SUMIFS('سجل الإجازات والحالات'!$AH$6:$AH$505,'سجل الإجازات والحالات'!$B$6:$B$505,$B73))))</f>
        <v/>
      </c>
      <c r="AK73" s="133" t="str">
        <f aca="false">IF($B73="","",MAX(0,IF(OR(الموظفون!$AE73="",الموظفون!$AE73&gt;$F$3),$F$3,الموظفون!$AE73)-MAX($E$3,الموظفون!$H73)+1))</f>
        <v/>
      </c>
      <c r="AL73" s="156" t="str">
        <f aca="false">IF($B73="","",SUMIFS('سجل الإجازات والحالات'!$AU$6:$AU$505,'سجل الإجازات والحالات'!$B$6:$B$505,$B73)+SUMIFS('الحركات الشهرية'!$K$6:$K$1005,'الحركات الشهرية'!$B$6:$B$1005,$B73,'الحركات الشهرية'!$A$6:$A$1005,$C$3))</f>
        <v/>
      </c>
      <c r="AM73" s="116" t="str">
        <f aca="false">IF($B73="","",AL73*الموظفون!$R73/cfg_DAYS_M+S73)</f>
        <v/>
      </c>
      <c r="AN73" s="156" t="str">
        <f aca="false">IF($B73="","",SUMIFS('سجل الإجازات والحالات'!$W$6:$W$505,'سجل الإجازات والحالات'!$B$6:$B$505,$B73))</f>
        <v/>
      </c>
    </row>
    <row r="74" customFormat="false" ht="15" hidden="false" customHeight="false" outlineLevel="0" collapsed="false">
      <c r="A74" s="106" t="str">
        <f aca="false">IF($B74="","",الموظفون!$A74)</f>
        <v/>
      </c>
      <c r="B74" s="114" t="str">
        <f aca="false">IF(الموظفون!$B74="","",الموظفون!$B74)</f>
        <v/>
      </c>
      <c r="C74" s="114" t="str">
        <f aca="false">IF($B74="","",الموظفون!$C74)</f>
        <v/>
      </c>
      <c r="D74" s="114" t="str">
        <f aca="false">IF($B74="","",الموظفون!$F74)</f>
        <v/>
      </c>
      <c r="E74" s="114" t="str">
        <f aca="false">IF($B74="","",الموظفون!$E74)</f>
        <v/>
      </c>
      <c r="F74" s="114" t="str">
        <f aca="false">IF($B74="","",IF(AK74=0,IF(AND(الموظفون!$AE74&lt;&gt;"",الموظفون!$AE74&lt;$E$3),"✖ منتهي الخدمة","⏳ لم يباشر"),IF(S74&gt;0,"✈ راتب إجازة مقدم",IF(J74=0,"⛔ بدون راتب هذا الشهر",IF(I74&gt;0,"✈ خصم "&amp;ROUND(I74,2)&amp;" يوم بدون أجر",IF(AL74&gt;0,"🌴 إجازة سنوية "&amp;ROUND(AL74,2)&amp;" يوم",IF(H74&gt;0,"⚠ غياب "&amp;ROUND(H74,2)&amp;" يوم","✔ على رأس العمل")))))))</f>
        <v/>
      </c>
      <c r="G74" s="151" t="str">
        <f aca="false">IF($B74="","",IF(AK74&gt;=DAY($F$3),cfg_DAYS_M,MIN(AK74,cfg_DAYS_M)))</f>
        <v/>
      </c>
      <c r="H74" s="151" t="str">
        <f aca="false">IF($B74="","",SUMIFS('الحركات الشهرية'!$D$6:$D$1005,'الحركات الشهرية'!$B$6:$B$1005,$B74,'الحركات الشهرية'!$A$6:$A$1005,$C$3))</f>
        <v/>
      </c>
      <c r="I74" s="151" t="str">
        <f aca="false">IF($B74="","",MIN(G74,IF(AND(AK74&gt;0,AN74&gt;=AK74),G74,AN74)+SUMIFS('الحركات الشهرية'!$E$6:$E$1005,'الحركات الشهرية'!$B$6:$B$1005,$B74,'الحركات الشهرية'!$A$6:$A$1005,$C$3)))</f>
        <v/>
      </c>
      <c r="J74" s="151" t="str">
        <f aca="false">IF($B74="","",MAX(0,G74-H74-I74))</f>
        <v/>
      </c>
      <c r="K74" s="111" t="str">
        <f aca="false">IF($B74="","",الموظفون!$L74*$J74/cfg_DAYS_M)</f>
        <v/>
      </c>
      <c r="L74" s="111" t="str">
        <f aca="false">IF($B74="","",الموظفون!$M74*$J74/cfg_DAYS_M)</f>
        <v/>
      </c>
      <c r="M74" s="111" t="str">
        <f aca="false">IF($B74="","",الموظفون!$N74*$J74/cfg_DAYS_M)</f>
        <v/>
      </c>
      <c r="N74" s="111" t="str">
        <f aca="false">IF($B74="","",الموظفون!$O74*$J74/cfg_DAYS_M)</f>
        <v/>
      </c>
      <c r="O74" s="151" t="str">
        <f aca="false">IF($B74="","",SUMIFS('الحركات الشهرية'!$F$6:$F$1005,'الحركات الشهرية'!$B$6:$B$1005,$B74,'الحركات الشهرية'!$A$6:$A$1005,$C$3))</f>
        <v/>
      </c>
      <c r="P74" s="111" t="str">
        <f aca="false">IF($B74="","",O74*(الموظفون!$P74+الموظفون!$L74*cfg_OT_P)/cfg_DAYS_M/cfg_HRS)</f>
        <v/>
      </c>
      <c r="Q74" s="111" t="str">
        <f aca="false">IF($B74="","",SUMIFS('الحركات الشهرية'!$G$6:$G$1005,'الحركات الشهرية'!$B$6:$B$1005,$B74,'الحركات الشهرية'!$A$6:$A$1005,$C$3))</f>
        <v/>
      </c>
      <c r="R74" s="111" t="str">
        <f aca="false">IF($B74="","",SUMIFS('الحركات الشهرية'!$H$6:$H$1005,'الحركات الشهرية'!$B$6:$B$1005,$B74,'الحركات الشهرية'!$A$6:$A$1005,$C$3))</f>
        <v/>
      </c>
      <c r="S74" s="111" t="str">
        <f aca="false">IF($B74="","",SUMIFS('سجل الإجازات والحالات'!$N$6:$N$505,'سجل الإجازات والحالات'!$B$6:$B$505,$B74,'سجل الإجازات والحالات'!$O$6:$O$505,$C$3))</f>
        <v/>
      </c>
      <c r="T74" s="152" t="str">
        <f aca="false">IF($B74="","",SUM(K74:N74)+SUM(P74:S74))</f>
        <v/>
      </c>
      <c r="U74" s="111" t="str">
        <f aca="false">IF($B74="","",الموظفون!$S74*IF(E74="سعودي",cfg_G_SE,cfg_G_NE)*G74/cfg_DAYS_M)</f>
        <v/>
      </c>
      <c r="V74" s="111" t="str">
        <f aca="false">IF($B74="","",SUMIFS('الحركات الشهرية'!$I$6:$I$1005,'الحركات الشهرية'!$B$6:$B$1005,$B74,'الحركات الشهرية'!$A$6:$A$1005,$C$3))</f>
        <v/>
      </c>
      <c r="W74" s="111" t="str">
        <f aca="false">IF($B74="","",SUMIFS('الحركات الشهرية'!$J$6:$J$1005,'الحركات الشهرية'!$B$6:$B$1005,$B74,'الحركات الشهرية'!$A$6:$A$1005,$C$3))</f>
        <v/>
      </c>
      <c r="X74" s="111" t="str">
        <f aca="false">IF($B74="","",SUM(U74:W74))</f>
        <v/>
      </c>
      <c r="Y74" s="153" t="str">
        <f aca="false">IF($B74="","",T74-X74)</f>
        <v/>
      </c>
      <c r="Z74" s="111" t="str">
        <f aca="false">IF($B74="","",الموظفون!$S74*IF(E74="سعودي",cfg_G_SR,cfg_G_NR)*G74/cfg_DAYS_M)</f>
        <v/>
      </c>
      <c r="AA74" s="111" t="str">
        <f aca="false">IF($B74="","",الموظفون!$Q74*(cfg_EOS_R1*(MIN(AH74,cfg_EOS_TH)-MIN(AI74,cfg_EOS_TH))+cfg_EOS_R2*(MAX(AH74-cfg_EOS_TH,0)-MAX(AI74-cfg_EOS_TH,0))))</f>
        <v/>
      </c>
      <c r="AB74" s="111" t="str">
        <f aca="false">IF($B74="","",IF(الموظفون!$T74&lt;&gt;"",الموظفون!$T74,IF(AH74&gt;=cfg_LV_TH,cfg_LV_D2,cfg_LV_D1))/cfg_DAYS_Y*AJ74*الموظفون!$R74/cfg_DAYS_M)</f>
        <v/>
      </c>
      <c r="AC74" s="111" t="str">
        <f aca="false">IF($B74="","",IF(AND(الموظفون!$U74="نعم",N(الموظفون!$W74)&gt;0),الموظفون!$V74/الموظفون!$W74*12/cfg_DAYS_Y*AJ74,0))</f>
        <v/>
      </c>
      <c r="AD74" s="111" t="str">
        <f aca="false">IF($B74="","",(IF(الموظفون!$X74&lt;&gt;"",الموظفون!$X74,IF(الموظفون!$E74="غير سعودي",cfg_IQ,0))+IF(الموظفون!$Y74&lt;&gt;"",الموظفون!$Y74,IF(الموظفون!$E74="غير سعودي",cfg_WP,0)))/12*G74/cfg_DAYS_M)</f>
        <v/>
      </c>
      <c r="AE74" s="111" t="str">
        <f aca="false">IF($B74="","",IF(الموظفون!$Z74&lt;&gt;"",الموظفون!$Z74,cfg_MED)/12*G74/cfg_DAYS_M)</f>
        <v/>
      </c>
      <c r="AF74" s="111" t="str">
        <f aca="false">IF($B74="","",N(الموظفون!$AA74)/12*G74/cfg_DAYS_M)</f>
        <v/>
      </c>
      <c r="AG74" s="154" t="str">
        <f aca="false">IF($B74="","",T74+SUM(Z74:AF74))</f>
        <v/>
      </c>
      <c r="AH74" s="155" t="str">
        <f aca="false">IF($B74="","",MAX(0,IF(OR(الموظفون!$AE74="",الموظفون!$AE74&gt;$F$3),$F$3,الموظفون!$AE74)-الموظفون!$H74+1-SUMIFS('سجل الإجازات والحالات'!$AI$6:$AI$505,'سجل الإجازات والحالات'!$B$6:$B$505,$B74))/cfg_DAYS_Y)</f>
        <v/>
      </c>
      <c r="AI74" s="155" t="str">
        <f aca="false">IF($B74="","",MAX(0,IF(OR(الموظفون!$AE74="",الموظفون!$AE74&gt;($E$3-1)),($E$3-1),الموظفون!$AE74)-الموظفون!$H74+1-SUMIFS('سجل الإجازات والحالات'!$AH$6:$AH$505,'سجل الإجازات والحالات'!$B$6:$B$505,$B74))/cfg_DAYS_Y)</f>
        <v/>
      </c>
      <c r="AJ74" s="65" t="str">
        <f aca="false">IF($B74="","",MAX(0,AK74-(SUMIFS('سجل الإجازات والحالات'!$AI$6:$AI$505,'سجل الإجازات والحالات'!$B$6:$B$505,$B74)-SUMIFS('سجل الإجازات والحالات'!$AH$6:$AH$505,'سجل الإجازات والحالات'!$B$6:$B$505,$B74))))</f>
        <v/>
      </c>
      <c r="AK74" s="65" t="str">
        <f aca="false">IF($B74="","",MAX(0,IF(OR(الموظفون!$AE74="",الموظفون!$AE74&gt;$F$3),$F$3,الموظفون!$AE74)-MAX($E$3,الموظفون!$H74)+1))</f>
        <v/>
      </c>
      <c r="AL74" s="151" t="str">
        <f aca="false">IF($B74="","",SUMIFS('سجل الإجازات والحالات'!$AU$6:$AU$505,'سجل الإجازات والحالات'!$B$6:$B$505,$B74)+SUMIFS('الحركات الشهرية'!$K$6:$K$1005,'الحركات الشهرية'!$B$6:$B$1005,$B74,'الحركات الشهرية'!$A$6:$A$1005,$C$3))</f>
        <v/>
      </c>
      <c r="AM74" s="111" t="str">
        <f aca="false">IF($B74="","",AL74*الموظفون!$R74/cfg_DAYS_M+S74)</f>
        <v/>
      </c>
      <c r="AN74" s="151" t="str">
        <f aca="false">IF($B74="","",SUMIFS('سجل الإجازات والحالات'!$W$6:$W$505,'سجل الإجازات والحالات'!$B$6:$B$505,$B74))</f>
        <v/>
      </c>
    </row>
    <row r="75" customFormat="false" ht="15" hidden="false" customHeight="false" outlineLevel="0" collapsed="false">
      <c r="A75" s="115" t="str">
        <f aca="false">IF($B75="","",الموظفون!$A75)</f>
        <v/>
      </c>
      <c r="B75" s="117" t="str">
        <f aca="false">IF(الموظفون!$B75="","",الموظفون!$B75)</f>
        <v/>
      </c>
      <c r="C75" s="117" t="str">
        <f aca="false">IF($B75="","",الموظفون!$C75)</f>
        <v/>
      </c>
      <c r="D75" s="117" t="str">
        <f aca="false">IF($B75="","",الموظفون!$F75)</f>
        <v/>
      </c>
      <c r="E75" s="117" t="str">
        <f aca="false">IF($B75="","",الموظفون!$E75)</f>
        <v/>
      </c>
      <c r="F75" s="117" t="str">
        <f aca="false">IF($B75="","",IF(AK75=0,IF(AND(الموظفون!$AE75&lt;&gt;"",الموظفون!$AE75&lt;$E$3),"✖ منتهي الخدمة","⏳ لم يباشر"),IF(S75&gt;0,"✈ راتب إجازة مقدم",IF(J75=0,"⛔ بدون راتب هذا الشهر",IF(I75&gt;0,"✈ خصم "&amp;ROUND(I75,2)&amp;" يوم بدون أجر",IF(AL75&gt;0,"🌴 إجازة سنوية "&amp;ROUND(AL75,2)&amp;" يوم",IF(H75&gt;0,"⚠ غياب "&amp;ROUND(H75,2)&amp;" يوم","✔ على رأس العمل")))))))</f>
        <v/>
      </c>
      <c r="G75" s="156" t="str">
        <f aca="false">IF($B75="","",IF(AK75&gt;=DAY($F$3),cfg_DAYS_M,MIN(AK75,cfg_DAYS_M)))</f>
        <v/>
      </c>
      <c r="H75" s="156" t="str">
        <f aca="false">IF($B75="","",SUMIFS('الحركات الشهرية'!$D$6:$D$1005,'الحركات الشهرية'!$B$6:$B$1005,$B75,'الحركات الشهرية'!$A$6:$A$1005,$C$3))</f>
        <v/>
      </c>
      <c r="I75" s="156" t="str">
        <f aca="false">IF($B75="","",MIN(G75,IF(AND(AK75&gt;0,AN75&gt;=AK75),G75,AN75)+SUMIFS('الحركات الشهرية'!$E$6:$E$1005,'الحركات الشهرية'!$B$6:$B$1005,$B75,'الحركات الشهرية'!$A$6:$A$1005,$C$3)))</f>
        <v/>
      </c>
      <c r="J75" s="156" t="str">
        <f aca="false">IF($B75="","",MAX(0,G75-H75-I75))</f>
        <v/>
      </c>
      <c r="K75" s="116" t="str">
        <f aca="false">IF($B75="","",الموظفون!$L75*$J75/cfg_DAYS_M)</f>
        <v/>
      </c>
      <c r="L75" s="116" t="str">
        <f aca="false">IF($B75="","",الموظفون!$M75*$J75/cfg_DAYS_M)</f>
        <v/>
      </c>
      <c r="M75" s="116" t="str">
        <f aca="false">IF($B75="","",الموظفون!$N75*$J75/cfg_DAYS_M)</f>
        <v/>
      </c>
      <c r="N75" s="116" t="str">
        <f aca="false">IF($B75="","",الموظفون!$O75*$J75/cfg_DAYS_M)</f>
        <v/>
      </c>
      <c r="O75" s="156" t="str">
        <f aca="false">IF($B75="","",SUMIFS('الحركات الشهرية'!$F$6:$F$1005,'الحركات الشهرية'!$B$6:$B$1005,$B75,'الحركات الشهرية'!$A$6:$A$1005,$C$3))</f>
        <v/>
      </c>
      <c r="P75" s="116" t="str">
        <f aca="false">IF($B75="","",O75*(الموظفون!$P75+الموظفون!$L75*cfg_OT_P)/cfg_DAYS_M/cfg_HRS)</f>
        <v/>
      </c>
      <c r="Q75" s="116" t="str">
        <f aca="false">IF($B75="","",SUMIFS('الحركات الشهرية'!$G$6:$G$1005,'الحركات الشهرية'!$B$6:$B$1005,$B75,'الحركات الشهرية'!$A$6:$A$1005,$C$3))</f>
        <v/>
      </c>
      <c r="R75" s="116" t="str">
        <f aca="false">IF($B75="","",SUMIFS('الحركات الشهرية'!$H$6:$H$1005,'الحركات الشهرية'!$B$6:$B$1005,$B75,'الحركات الشهرية'!$A$6:$A$1005,$C$3))</f>
        <v/>
      </c>
      <c r="S75" s="116" t="str">
        <f aca="false">IF($B75="","",SUMIFS('سجل الإجازات والحالات'!$N$6:$N$505,'سجل الإجازات والحالات'!$B$6:$B$505,$B75,'سجل الإجازات والحالات'!$O$6:$O$505,$C$3))</f>
        <v/>
      </c>
      <c r="T75" s="157" t="str">
        <f aca="false">IF($B75="","",SUM(K75:N75)+SUM(P75:S75))</f>
        <v/>
      </c>
      <c r="U75" s="116" t="str">
        <f aca="false">IF($B75="","",الموظفون!$S75*IF(E75="سعودي",cfg_G_SE,cfg_G_NE)*G75/cfg_DAYS_M)</f>
        <v/>
      </c>
      <c r="V75" s="116" t="str">
        <f aca="false">IF($B75="","",SUMIFS('الحركات الشهرية'!$I$6:$I$1005,'الحركات الشهرية'!$B$6:$B$1005,$B75,'الحركات الشهرية'!$A$6:$A$1005,$C$3))</f>
        <v/>
      </c>
      <c r="W75" s="116" t="str">
        <f aca="false">IF($B75="","",SUMIFS('الحركات الشهرية'!$J$6:$J$1005,'الحركات الشهرية'!$B$6:$B$1005,$B75,'الحركات الشهرية'!$A$6:$A$1005,$C$3))</f>
        <v/>
      </c>
      <c r="X75" s="116" t="str">
        <f aca="false">IF($B75="","",SUM(U75:W75))</f>
        <v/>
      </c>
      <c r="Y75" s="158" t="str">
        <f aca="false">IF($B75="","",T75-X75)</f>
        <v/>
      </c>
      <c r="Z75" s="116" t="str">
        <f aca="false">IF($B75="","",الموظفون!$S75*IF(E75="سعودي",cfg_G_SR,cfg_G_NR)*G75/cfg_DAYS_M)</f>
        <v/>
      </c>
      <c r="AA75" s="116" t="str">
        <f aca="false">IF($B75="","",الموظفون!$Q75*(cfg_EOS_R1*(MIN(AH75,cfg_EOS_TH)-MIN(AI75,cfg_EOS_TH))+cfg_EOS_R2*(MAX(AH75-cfg_EOS_TH,0)-MAX(AI75-cfg_EOS_TH,0))))</f>
        <v/>
      </c>
      <c r="AB75" s="116" t="str">
        <f aca="false">IF($B75="","",IF(الموظفون!$T75&lt;&gt;"",الموظفون!$T75,IF(AH75&gt;=cfg_LV_TH,cfg_LV_D2,cfg_LV_D1))/cfg_DAYS_Y*AJ75*الموظفون!$R75/cfg_DAYS_M)</f>
        <v/>
      </c>
      <c r="AC75" s="116" t="str">
        <f aca="false">IF($B75="","",IF(AND(الموظفون!$U75="نعم",N(الموظفون!$W75)&gt;0),الموظفون!$V75/الموظفون!$W75*12/cfg_DAYS_Y*AJ75,0))</f>
        <v/>
      </c>
      <c r="AD75" s="116" t="str">
        <f aca="false">IF($B75="","",(IF(الموظفون!$X75&lt;&gt;"",الموظفون!$X75,IF(الموظفون!$E75="غير سعودي",cfg_IQ,0))+IF(الموظفون!$Y75&lt;&gt;"",الموظفون!$Y75,IF(الموظفون!$E75="غير سعودي",cfg_WP,0)))/12*G75/cfg_DAYS_M)</f>
        <v/>
      </c>
      <c r="AE75" s="116" t="str">
        <f aca="false">IF($B75="","",IF(الموظفون!$Z75&lt;&gt;"",الموظفون!$Z75,cfg_MED)/12*G75/cfg_DAYS_M)</f>
        <v/>
      </c>
      <c r="AF75" s="116" t="str">
        <f aca="false">IF($B75="","",N(الموظفون!$AA75)/12*G75/cfg_DAYS_M)</f>
        <v/>
      </c>
      <c r="AG75" s="159" t="str">
        <f aca="false">IF($B75="","",T75+SUM(Z75:AF75))</f>
        <v/>
      </c>
      <c r="AH75" s="160" t="str">
        <f aca="false">IF($B75="","",MAX(0,IF(OR(الموظفون!$AE75="",الموظفون!$AE75&gt;$F$3),$F$3,الموظفون!$AE75)-الموظفون!$H75+1-SUMIFS('سجل الإجازات والحالات'!$AI$6:$AI$505,'سجل الإجازات والحالات'!$B$6:$B$505,$B75))/cfg_DAYS_Y)</f>
        <v/>
      </c>
      <c r="AI75" s="160" t="str">
        <f aca="false">IF($B75="","",MAX(0,IF(OR(الموظفون!$AE75="",الموظفون!$AE75&gt;($E$3-1)),($E$3-1),الموظفون!$AE75)-الموظفون!$H75+1-SUMIFS('سجل الإجازات والحالات'!$AH$6:$AH$505,'سجل الإجازات والحالات'!$B$6:$B$505,$B75))/cfg_DAYS_Y)</f>
        <v/>
      </c>
      <c r="AJ75" s="133" t="str">
        <f aca="false">IF($B75="","",MAX(0,AK75-(SUMIFS('سجل الإجازات والحالات'!$AI$6:$AI$505,'سجل الإجازات والحالات'!$B$6:$B$505,$B75)-SUMIFS('سجل الإجازات والحالات'!$AH$6:$AH$505,'سجل الإجازات والحالات'!$B$6:$B$505,$B75))))</f>
        <v/>
      </c>
      <c r="AK75" s="133" t="str">
        <f aca="false">IF($B75="","",MAX(0,IF(OR(الموظفون!$AE75="",الموظفون!$AE75&gt;$F$3),$F$3,الموظفون!$AE75)-MAX($E$3,الموظفون!$H75)+1))</f>
        <v/>
      </c>
      <c r="AL75" s="156" t="str">
        <f aca="false">IF($B75="","",SUMIFS('سجل الإجازات والحالات'!$AU$6:$AU$505,'سجل الإجازات والحالات'!$B$6:$B$505,$B75)+SUMIFS('الحركات الشهرية'!$K$6:$K$1005,'الحركات الشهرية'!$B$6:$B$1005,$B75,'الحركات الشهرية'!$A$6:$A$1005,$C$3))</f>
        <v/>
      </c>
      <c r="AM75" s="116" t="str">
        <f aca="false">IF($B75="","",AL75*الموظفون!$R75/cfg_DAYS_M+S75)</f>
        <v/>
      </c>
      <c r="AN75" s="156" t="str">
        <f aca="false">IF($B75="","",SUMIFS('سجل الإجازات والحالات'!$W$6:$W$505,'سجل الإجازات والحالات'!$B$6:$B$505,$B75))</f>
        <v/>
      </c>
    </row>
    <row r="76" customFormat="false" ht="15" hidden="false" customHeight="false" outlineLevel="0" collapsed="false">
      <c r="A76" s="106" t="str">
        <f aca="false">IF($B76="","",الموظفون!$A76)</f>
        <v/>
      </c>
      <c r="B76" s="114" t="str">
        <f aca="false">IF(الموظفون!$B76="","",الموظفون!$B76)</f>
        <v/>
      </c>
      <c r="C76" s="114" t="str">
        <f aca="false">IF($B76="","",الموظفون!$C76)</f>
        <v/>
      </c>
      <c r="D76" s="114" t="str">
        <f aca="false">IF($B76="","",الموظفون!$F76)</f>
        <v/>
      </c>
      <c r="E76" s="114" t="str">
        <f aca="false">IF($B76="","",الموظفون!$E76)</f>
        <v/>
      </c>
      <c r="F76" s="114" t="str">
        <f aca="false">IF($B76="","",IF(AK76=0,IF(AND(الموظفون!$AE76&lt;&gt;"",الموظفون!$AE76&lt;$E$3),"✖ منتهي الخدمة","⏳ لم يباشر"),IF(S76&gt;0,"✈ راتب إجازة مقدم",IF(J76=0,"⛔ بدون راتب هذا الشهر",IF(I76&gt;0,"✈ خصم "&amp;ROUND(I76,2)&amp;" يوم بدون أجر",IF(AL76&gt;0,"🌴 إجازة سنوية "&amp;ROUND(AL76,2)&amp;" يوم",IF(H76&gt;0,"⚠ غياب "&amp;ROUND(H76,2)&amp;" يوم","✔ على رأس العمل")))))))</f>
        <v/>
      </c>
      <c r="G76" s="151" t="str">
        <f aca="false">IF($B76="","",IF(AK76&gt;=DAY($F$3),cfg_DAYS_M,MIN(AK76,cfg_DAYS_M)))</f>
        <v/>
      </c>
      <c r="H76" s="151" t="str">
        <f aca="false">IF($B76="","",SUMIFS('الحركات الشهرية'!$D$6:$D$1005,'الحركات الشهرية'!$B$6:$B$1005,$B76,'الحركات الشهرية'!$A$6:$A$1005,$C$3))</f>
        <v/>
      </c>
      <c r="I76" s="151" t="str">
        <f aca="false">IF($B76="","",MIN(G76,IF(AND(AK76&gt;0,AN76&gt;=AK76),G76,AN76)+SUMIFS('الحركات الشهرية'!$E$6:$E$1005,'الحركات الشهرية'!$B$6:$B$1005,$B76,'الحركات الشهرية'!$A$6:$A$1005,$C$3)))</f>
        <v/>
      </c>
      <c r="J76" s="151" t="str">
        <f aca="false">IF($B76="","",MAX(0,G76-H76-I76))</f>
        <v/>
      </c>
      <c r="K76" s="111" t="str">
        <f aca="false">IF($B76="","",الموظفون!$L76*$J76/cfg_DAYS_M)</f>
        <v/>
      </c>
      <c r="L76" s="111" t="str">
        <f aca="false">IF($B76="","",الموظفون!$M76*$J76/cfg_DAYS_M)</f>
        <v/>
      </c>
      <c r="M76" s="111" t="str">
        <f aca="false">IF($B76="","",الموظفون!$N76*$J76/cfg_DAYS_M)</f>
        <v/>
      </c>
      <c r="N76" s="111" t="str">
        <f aca="false">IF($B76="","",الموظفون!$O76*$J76/cfg_DAYS_M)</f>
        <v/>
      </c>
      <c r="O76" s="151" t="str">
        <f aca="false">IF($B76="","",SUMIFS('الحركات الشهرية'!$F$6:$F$1005,'الحركات الشهرية'!$B$6:$B$1005,$B76,'الحركات الشهرية'!$A$6:$A$1005,$C$3))</f>
        <v/>
      </c>
      <c r="P76" s="111" t="str">
        <f aca="false">IF($B76="","",O76*(الموظفون!$P76+الموظفون!$L76*cfg_OT_P)/cfg_DAYS_M/cfg_HRS)</f>
        <v/>
      </c>
      <c r="Q76" s="111" t="str">
        <f aca="false">IF($B76="","",SUMIFS('الحركات الشهرية'!$G$6:$G$1005,'الحركات الشهرية'!$B$6:$B$1005,$B76,'الحركات الشهرية'!$A$6:$A$1005,$C$3))</f>
        <v/>
      </c>
      <c r="R76" s="111" t="str">
        <f aca="false">IF($B76="","",SUMIFS('الحركات الشهرية'!$H$6:$H$1005,'الحركات الشهرية'!$B$6:$B$1005,$B76,'الحركات الشهرية'!$A$6:$A$1005,$C$3))</f>
        <v/>
      </c>
      <c r="S76" s="111" t="str">
        <f aca="false">IF($B76="","",SUMIFS('سجل الإجازات والحالات'!$N$6:$N$505,'سجل الإجازات والحالات'!$B$6:$B$505,$B76,'سجل الإجازات والحالات'!$O$6:$O$505,$C$3))</f>
        <v/>
      </c>
      <c r="T76" s="152" t="str">
        <f aca="false">IF($B76="","",SUM(K76:N76)+SUM(P76:S76))</f>
        <v/>
      </c>
      <c r="U76" s="111" t="str">
        <f aca="false">IF($B76="","",الموظفون!$S76*IF(E76="سعودي",cfg_G_SE,cfg_G_NE)*G76/cfg_DAYS_M)</f>
        <v/>
      </c>
      <c r="V76" s="111" t="str">
        <f aca="false">IF($B76="","",SUMIFS('الحركات الشهرية'!$I$6:$I$1005,'الحركات الشهرية'!$B$6:$B$1005,$B76,'الحركات الشهرية'!$A$6:$A$1005,$C$3))</f>
        <v/>
      </c>
      <c r="W76" s="111" t="str">
        <f aca="false">IF($B76="","",SUMIFS('الحركات الشهرية'!$J$6:$J$1005,'الحركات الشهرية'!$B$6:$B$1005,$B76,'الحركات الشهرية'!$A$6:$A$1005,$C$3))</f>
        <v/>
      </c>
      <c r="X76" s="111" t="str">
        <f aca="false">IF($B76="","",SUM(U76:W76))</f>
        <v/>
      </c>
      <c r="Y76" s="153" t="str">
        <f aca="false">IF($B76="","",T76-X76)</f>
        <v/>
      </c>
      <c r="Z76" s="111" t="str">
        <f aca="false">IF($B76="","",الموظفون!$S76*IF(E76="سعودي",cfg_G_SR,cfg_G_NR)*G76/cfg_DAYS_M)</f>
        <v/>
      </c>
      <c r="AA76" s="111" t="str">
        <f aca="false">IF($B76="","",الموظفون!$Q76*(cfg_EOS_R1*(MIN(AH76,cfg_EOS_TH)-MIN(AI76,cfg_EOS_TH))+cfg_EOS_R2*(MAX(AH76-cfg_EOS_TH,0)-MAX(AI76-cfg_EOS_TH,0))))</f>
        <v/>
      </c>
      <c r="AB76" s="111" t="str">
        <f aca="false">IF($B76="","",IF(الموظفون!$T76&lt;&gt;"",الموظفون!$T76,IF(AH76&gt;=cfg_LV_TH,cfg_LV_D2,cfg_LV_D1))/cfg_DAYS_Y*AJ76*الموظفون!$R76/cfg_DAYS_M)</f>
        <v/>
      </c>
      <c r="AC76" s="111" t="str">
        <f aca="false">IF($B76="","",IF(AND(الموظفون!$U76="نعم",N(الموظفون!$W76)&gt;0),الموظفون!$V76/الموظفون!$W76*12/cfg_DAYS_Y*AJ76,0))</f>
        <v/>
      </c>
      <c r="AD76" s="111" t="str">
        <f aca="false">IF($B76="","",(IF(الموظفون!$X76&lt;&gt;"",الموظفون!$X76,IF(الموظفون!$E76="غير سعودي",cfg_IQ,0))+IF(الموظفون!$Y76&lt;&gt;"",الموظفون!$Y76,IF(الموظفون!$E76="غير سعودي",cfg_WP,0)))/12*G76/cfg_DAYS_M)</f>
        <v/>
      </c>
      <c r="AE76" s="111" t="str">
        <f aca="false">IF($B76="","",IF(الموظفون!$Z76&lt;&gt;"",الموظفون!$Z76,cfg_MED)/12*G76/cfg_DAYS_M)</f>
        <v/>
      </c>
      <c r="AF76" s="111" t="str">
        <f aca="false">IF($B76="","",N(الموظفون!$AA76)/12*G76/cfg_DAYS_M)</f>
        <v/>
      </c>
      <c r="AG76" s="154" t="str">
        <f aca="false">IF($B76="","",T76+SUM(Z76:AF76))</f>
        <v/>
      </c>
      <c r="AH76" s="155" t="str">
        <f aca="false">IF($B76="","",MAX(0,IF(OR(الموظفون!$AE76="",الموظفون!$AE76&gt;$F$3),$F$3,الموظفون!$AE76)-الموظفون!$H76+1-SUMIFS('سجل الإجازات والحالات'!$AI$6:$AI$505,'سجل الإجازات والحالات'!$B$6:$B$505,$B76))/cfg_DAYS_Y)</f>
        <v/>
      </c>
      <c r="AI76" s="155" t="str">
        <f aca="false">IF($B76="","",MAX(0,IF(OR(الموظفون!$AE76="",الموظفون!$AE76&gt;($E$3-1)),($E$3-1),الموظفون!$AE76)-الموظفون!$H76+1-SUMIFS('سجل الإجازات والحالات'!$AH$6:$AH$505,'سجل الإجازات والحالات'!$B$6:$B$505,$B76))/cfg_DAYS_Y)</f>
        <v/>
      </c>
      <c r="AJ76" s="65" t="str">
        <f aca="false">IF($B76="","",MAX(0,AK76-(SUMIFS('سجل الإجازات والحالات'!$AI$6:$AI$505,'سجل الإجازات والحالات'!$B$6:$B$505,$B76)-SUMIFS('سجل الإجازات والحالات'!$AH$6:$AH$505,'سجل الإجازات والحالات'!$B$6:$B$505,$B76))))</f>
        <v/>
      </c>
      <c r="AK76" s="65" t="str">
        <f aca="false">IF($B76="","",MAX(0,IF(OR(الموظفون!$AE76="",الموظفون!$AE76&gt;$F$3),$F$3,الموظفون!$AE76)-MAX($E$3,الموظفون!$H76)+1))</f>
        <v/>
      </c>
      <c r="AL76" s="151" t="str">
        <f aca="false">IF($B76="","",SUMIFS('سجل الإجازات والحالات'!$AU$6:$AU$505,'سجل الإجازات والحالات'!$B$6:$B$505,$B76)+SUMIFS('الحركات الشهرية'!$K$6:$K$1005,'الحركات الشهرية'!$B$6:$B$1005,$B76,'الحركات الشهرية'!$A$6:$A$1005,$C$3))</f>
        <v/>
      </c>
      <c r="AM76" s="111" t="str">
        <f aca="false">IF($B76="","",AL76*الموظفون!$R76/cfg_DAYS_M+S76)</f>
        <v/>
      </c>
      <c r="AN76" s="151" t="str">
        <f aca="false">IF($B76="","",SUMIFS('سجل الإجازات والحالات'!$W$6:$W$505,'سجل الإجازات والحالات'!$B$6:$B$505,$B76))</f>
        <v/>
      </c>
    </row>
    <row r="77" customFormat="false" ht="15" hidden="false" customHeight="false" outlineLevel="0" collapsed="false">
      <c r="A77" s="115" t="str">
        <f aca="false">IF($B77="","",الموظفون!$A77)</f>
        <v/>
      </c>
      <c r="B77" s="117" t="str">
        <f aca="false">IF(الموظفون!$B77="","",الموظفون!$B77)</f>
        <v/>
      </c>
      <c r="C77" s="117" t="str">
        <f aca="false">IF($B77="","",الموظفون!$C77)</f>
        <v/>
      </c>
      <c r="D77" s="117" t="str">
        <f aca="false">IF($B77="","",الموظفون!$F77)</f>
        <v/>
      </c>
      <c r="E77" s="117" t="str">
        <f aca="false">IF($B77="","",الموظفون!$E77)</f>
        <v/>
      </c>
      <c r="F77" s="117" t="str">
        <f aca="false">IF($B77="","",IF(AK77=0,IF(AND(الموظفون!$AE77&lt;&gt;"",الموظفون!$AE77&lt;$E$3),"✖ منتهي الخدمة","⏳ لم يباشر"),IF(S77&gt;0,"✈ راتب إجازة مقدم",IF(J77=0,"⛔ بدون راتب هذا الشهر",IF(I77&gt;0,"✈ خصم "&amp;ROUND(I77,2)&amp;" يوم بدون أجر",IF(AL77&gt;0,"🌴 إجازة سنوية "&amp;ROUND(AL77,2)&amp;" يوم",IF(H77&gt;0,"⚠ غياب "&amp;ROUND(H77,2)&amp;" يوم","✔ على رأس العمل")))))))</f>
        <v/>
      </c>
      <c r="G77" s="156" t="str">
        <f aca="false">IF($B77="","",IF(AK77&gt;=DAY($F$3),cfg_DAYS_M,MIN(AK77,cfg_DAYS_M)))</f>
        <v/>
      </c>
      <c r="H77" s="156" t="str">
        <f aca="false">IF($B77="","",SUMIFS('الحركات الشهرية'!$D$6:$D$1005,'الحركات الشهرية'!$B$6:$B$1005,$B77,'الحركات الشهرية'!$A$6:$A$1005,$C$3))</f>
        <v/>
      </c>
      <c r="I77" s="156" t="str">
        <f aca="false">IF($B77="","",MIN(G77,IF(AND(AK77&gt;0,AN77&gt;=AK77),G77,AN77)+SUMIFS('الحركات الشهرية'!$E$6:$E$1005,'الحركات الشهرية'!$B$6:$B$1005,$B77,'الحركات الشهرية'!$A$6:$A$1005,$C$3)))</f>
        <v/>
      </c>
      <c r="J77" s="156" t="str">
        <f aca="false">IF($B77="","",MAX(0,G77-H77-I77))</f>
        <v/>
      </c>
      <c r="K77" s="116" t="str">
        <f aca="false">IF($B77="","",الموظفون!$L77*$J77/cfg_DAYS_M)</f>
        <v/>
      </c>
      <c r="L77" s="116" t="str">
        <f aca="false">IF($B77="","",الموظفون!$M77*$J77/cfg_DAYS_M)</f>
        <v/>
      </c>
      <c r="M77" s="116" t="str">
        <f aca="false">IF($B77="","",الموظفون!$N77*$J77/cfg_DAYS_M)</f>
        <v/>
      </c>
      <c r="N77" s="116" t="str">
        <f aca="false">IF($B77="","",الموظفون!$O77*$J77/cfg_DAYS_M)</f>
        <v/>
      </c>
      <c r="O77" s="156" t="str">
        <f aca="false">IF($B77="","",SUMIFS('الحركات الشهرية'!$F$6:$F$1005,'الحركات الشهرية'!$B$6:$B$1005,$B77,'الحركات الشهرية'!$A$6:$A$1005,$C$3))</f>
        <v/>
      </c>
      <c r="P77" s="116" t="str">
        <f aca="false">IF($B77="","",O77*(الموظفون!$P77+الموظفون!$L77*cfg_OT_P)/cfg_DAYS_M/cfg_HRS)</f>
        <v/>
      </c>
      <c r="Q77" s="116" t="str">
        <f aca="false">IF($B77="","",SUMIFS('الحركات الشهرية'!$G$6:$G$1005,'الحركات الشهرية'!$B$6:$B$1005,$B77,'الحركات الشهرية'!$A$6:$A$1005,$C$3))</f>
        <v/>
      </c>
      <c r="R77" s="116" t="str">
        <f aca="false">IF($B77="","",SUMIFS('الحركات الشهرية'!$H$6:$H$1005,'الحركات الشهرية'!$B$6:$B$1005,$B77,'الحركات الشهرية'!$A$6:$A$1005,$C$3))</f>
        <v/>
      </c>
      <c r="S77" s="116" t="str">
        <f aca="false">IF($B77="","",SUMIFS('سجل الإجازات والحالات'!$N$6:$N$505,'سجل الإجازات والحالات'!$B$6:$B$505,$B77,'سجل الإجازات والحالات'!$O$6:$O$505,$C$3))</f>
        <v/>
      </c>
      <c r="T77" s="157" t="str">
        <f aca="false">IF($B77="","",SUM(K77:N77)+SUM(P77:S77))</f>
        <v/>
      </c>
      <c r="U77" s="116" t="str">
        <f aca="false">IF($B77="","",الموظفون!$S77*IF(E77="سعودي",cfg_G_SE,cfg_G_NE)*G77/cfg_DAYS_M)</f>
        <v/>
      </c>
      <c r="V77" s="116" t="str">
        <f aca="false">IF($B77="","",SUMIFS('الحركات الشهرية'!$I$6:$I$1005,'الحركات الشهرية'!$B$6:$B$1005,$B77,'الحركات الشهرية'!$A$6:$A$1005,$C$3))</f>
        <v/>
      </c>
      <c r="W77" s="116" t="str">
        <f aca="false">IF($B77="","",SUMIFS('الحركات الشهرية'!$J$6:$J$1005,'الحركات الشهرية'!$B$6:$B$1005,$B77,'الحركات الشهرية'!$A$6:$A$1005,$C$3))</f>
        <v/>
      </c>
      <c r="X77" s="116" t="str">
        <f aca="false">IF($B77="","",SUM(U77:W77))</f>
        <v/>
      </c>
      <c r="Y77" s="158" t="str">
        <f aca="false">IF($B77="","",T77-X77)</f>
        <v/>
      </c>
      <c r="Z77" s="116" t="str">
        <f aca="false">IF($B77="","",الموظفون!$S77*IF(E77="سعودي",cfg_G_SR,cfg_G_NR)*G77/cfg_DAYS_M)</f>
        <v/>
      </c>
      <c r="AA77" s="116" t="str">
        <f aca="false">IF($B77="","",الموظفون!$Q77*(cfg_EOS_R1*(MIN(AH77,cfg_EOS_TH)-MIN(AI77,cfg_EOS_TH))+cfg_EOS_R2*(MAX(AH77-cfg_EOS_TH,0)-MAX(AI77-cfg_EOS_TH,0))))</f>
        <v/>
      </c>
      <c r="AB77" s="116" t="str">
        <f aca="false">IF($B77="","",IF(الموظفون!$T77&lt;&gt;"",الموظفون!$T77,IF(AH77&gt;=cfg_LV_TH,cfg_LV_D2,cfg_LV_D1))/cfg_DAYS_Y*AJ77*الموظفون!$R77/cfg_DAYS_M)</f>
        <v/>
      </c>
      <c r="AC77" s="116" t="str">
        <f aca="false">IF($B77="","",IF(AND(الموظفون!$U77="نعم",N(الموظفون!$W77)&gt;0),الموظفون!$V77/الموظفون!$W77*12/cfg_DAYS_Y*AJ77,0))</f>
        <v/>
      </c>
      <c r="AD77" s="116" t="str">
        <f aca="false">IF($B77="","",(IF(الموظفون!$X77&lt;&gt;"",الموظفون!$X77,IF(الموظفون!$E77="غير سعودي",cfg_IQ,0))+IF(الموظفون!$Y77&lt;&gt;"",الموظفون!$Y77,IF(الموظفون!$E77="غير سعودي",cfg_WP,0)))/12*G77/cfg_DAYS_M)</f>
        <v/>
      </c>
      <c r="AE77" s="116" t="str">
        <f aca="false">IF($B77="","",IF(الموظفون!$Z77&lt;&gt;"",الموظفون!$Z77,cfg_MED)/12*G77/cfg_DAYS_M)</f>
        <v/>
      </c>
      <c r="AF77" s="116" t="str">
        <f aca="false">IF($B77="","",N(الموظفون!$AA77)/12*G77/cfg_DAYS_M)</f>
        <v/>
      </c>
      <c r="AG77" s="159" t="str">
        <f aca="false">IF($B77="","",T77+SUM(Z77:AF77))</f>
        <v/>
      </c>
      <c r="AH77" s="160" t="str">
        <f aca="false">IF($B77="","",MAX(0,IF(OR(الموظفون!$AE77="",الموظفون!$AE77&gt;$F$3),$F$3,الموظفون!$AE77)-الموظفون!$H77+1-SUMIFS('سجل الإجازات والحالات'!$AI$6:$AI$505,'سجل الإجازات والحالات'!$B$6:$B$505,$B77))/cfg_DAYS_Y)</f>
        <v/>
      </c>
      <c r="AI77" s="160" t="str">
        <f aca="false">IF($B77="","",MAX(0,IF(OR(الموظفون!$AE77="",الموظفون!$AE77&gt;($E$3-1)),($E$3-1),الموظفون!$AE77)-الموظفون!$H77+1-SUMIFS('سجل الإجازات والحالات'!$AH$6:$AH$505,'سجل الإجازات والحالات'!$B$6:$B$505,$B77))/cfg_DAYS_Y)</f>
        <v/>
      </c>
      <c r="AJ77" s="133" t="str">
        <f aca="false">IF($B77="","",MAX(0,AK77-(SUMIFS('سجل الإجازات والحالات'!$AI$6:$AI$505,'سجل الإجازات والحالات'!$B$6:$B$505,$B77)-SUMIFS('سجل الإجازات والحالات'!$AH$6:$AH$505,'سجل الإجازات والحالات'!$B$6:$B$505,$B77))))</f>
        <v/>
      </c>
      <c r="AK77" s="133" t="str">
        <f aca="false">IF($B77="","",MAX(0,IF(OR(الموظفون!$AE77="",الموظفون!$AE77&gt;$F$3),$F$3,الموظفون!$AE77)-MAX($E$3,الموظفون!$H77)+1))</f>
        <v/>
      </c>
      <c r="AL77" s="156" t="str">
        <f aca="false">IF($B77="","",SUMIFS('سجل الإجازات والحالات'!$AU$6:$AU$505,'سجل الإجازات والحالات'!$B$6:$B$505,$B77)+SUMIFS('الحركات الشهرية'!$K$6:$K$1005,'الحركات الشهرية'!$B$6:$B$1005,$B77,'الحركات الشهرية'!$A$6:$A$1005,$C$3))</f>
        <v/>
      </c>
      <c r="AM77" s="116" t="str">
        <f aca="false">IF($B77="","",AL77*الموظفون!$R77/cfg_DAYS_M+S77)</f>
        <v/>
      </c>
      <c r="AN77" s="156" t="str">
        <f aca="false">IF($B77="","",SUMIFS('سجل الإجازات والحالات'!$W$6:$W$505,'سجل الإجازات والحالات'!$B$6:$B$505,$B77))</f>
        <v/>
      </c>
    </row>
    <row r="78" customFormat="false" ht="15" hidden="false" customHeight="false" outlineLevel="0" collapsed="false">
      <c r="A78" s="106" t="str">
        <f aca="false">IF($B78="","",الموظفون!$A78)</f>
        <v/>
      </c>
      <c r="B78" s="114" t="str">
        <f aca="false">IF(الموظفون!$B78="","",الموظفون!$B78)</f>
        <v/>
      </c>
      <c r="C78" s="114" t="str">
        <f aca="false">IF($B78="","",الموظفون!$C78)</f>
        <v/>
      </c>
      <c r="D78" s="114" t="str">
        <f aca="false">IF($B78="","",الموظفون!$F78)</f>
        <v/>
      </c>
      <c r="E78" s="114" t="str">
        <f aca="false">IF($B78="","",الموظفون!$E78)</f>
        <v/>
      </c>
      <c r="F78" s="114" t="str">
        <f aca="false">IF($B78="","",IF(AK78=0,IF(AND(الموظفون!$AE78&lt;&gt;"",الموظفون!$AE78&lt;$E$3),"✖ منتهي الخدمة","⏳ لم يباشر"),IF(S78&gt;0,"✈ راتب إجازة مقدم",IF(J78=0,"⛔ بدون راتب هذا الشهر",IF(I78&gt;0,"✈ خصم "&amp;ROUND(I78,2)&amp;" يوم بدون أجر",IF(AL78&gt;0,"🌴 إجازة سنوية "&amp;ROUND(AL78,2)&amp;" يوم",IF(H78&gt;0,"⚠ غياب "&amp;ROUND(H78,2)&amp;" يوم","✔ على رأس العمل")))))))</f>
        <v/>
      </c>
      <c r="G78" s="151" t="str">
        <f aca="false">IF($B78="","",IF(AK78&gt;=DAY($F$3),cfg_DAYS_M,MIN(AK78,cfg_DAYS_M)))</f>
        <v/>
      </c>
      <c r="H78" s="151" t="str">
        <f aca="false">IF($B78="","",SUMIFS('الحركات الشهرية'!$D$6:$D$1005,'الحركات الشهرية'!$B$6:$B$1005,$B78,'الحركات الشهرية'!$A$6:$A$1005,$C$3))</f>
        <v/>
      </c>
      <c r="I78" s="151" t="str">
        <f aca="false">IF($B78="","",MIN(G78,IF(AND(AK78&gt;0,AN78&gt;=AK78),G78,AN78)+SUMIFS('الحركات الشهرية'!$E$6:$E$1005,'الحركات الشهرية'!$B$6:$B$1005,$B78,'الحركات الشهرية'!$A$6:$A$1005,$C$3)))</f>
        <v/>
      </c>
      <c r="J78" s="151" t="str">
        <f aca="false">IF($B78="","",MAX(0,G78-H78-I78))</f>
        <v/>
      </c>
      <c r="K78" s="111" t="str">
        <f aca="false">IF($B78="","",الموظفون!$L78*$J78/cfg_DAYS_M)</f>
        <v/>
      </c>
      <c r="L78" s="111" t="str">
        <f aca="false">IF($B78="","",الموظفون!$M78*$J78/cfg_DAYS_M)</f>
        <v/>
      </c>
      <c r="M78" s="111" t="str">
        <f aca="false">IF($B78="","",الموظفون!$N78*$J78/cfg_DAYS_M)</f>
        <v/>
      </c>
      <c r="N78" s="111" t="str">
        <f aca="false">IF($B78="","",الموظفون!$O78*$J78/cfg_DAYS_M)</f>
        <v/>
      </c>
      <c r="O78" s="151" t="str">
        <f aca="false">IF($B78="","",SUMIFS('الحركات الشهرية'!$F$6:$F$1005,'الحركات الشهرية'!$B$6:$B$1005,$B78,'الحركات الشهرية'!$A$6:$A$1005,$C$3))</f>
        <v/>
      </c>
      <c r="P78" s="111" t="str">
        <f aca="false">IF($B78="","",O78*(الموظفون!$P78+الموظفون!$L78*cfg_OT_P)/cfg_DAYS_M/cfg_HRS)</f>
        <v/>
      </c>
      <c r="Q78" s="111" t="str">
        <f aca="false">IF($B78="","",SUMIFS('الحركات الشهرية'!$G$6:$G$1005,'الحركات الشهرية'!$B$6:$B$1005,$B78,'الحركات الشهرية'!$A$6:$A$1005,$C$3))</f>
        <v/>
      </c>
      <c r="R78" s="111" t="str">
        <f aca="false">IF($B78="","",SUMIFS('الحركات الشهرية'!$H$6:$H$1005,'الحركات الشهرية'!$B$6:$B$1005,$B78,'الحركات الشهرية'!$A$6:$A$1005,$C$3))</f>
        <v/>
      </c>
      <c r="S78" s="111" t="str">
        <f aca="false">IF($B78="","",SUMIFS('سجل الإجازات والحالات'!$N$6:$N$505,'سجل الإجازات والحالات'!$B$6:$B$505,$B78,'سجل الإجازات والحالات'!$O$6:$O$505,$C$3))</f>
        <v/>
      </c>
      <c r="T78" s="152" t="str">
        <f aca="false">IF($B78="","",SUM(K78:N78)+SUM(P78:S78))</f>
        <v/>
      </c>
      <c r="U78" s="111" t="str">
        <f aca="false">IF($B78="","",الموظفون!$S78*IF(E78="سعودي",cfg_G_SE,cfg_G_NE)*G78/cfg_DAYS_M)</f>
        <v/>
      </c>
      <c r="V78" s="111" t="str">
        <f aca="false">IF($B78="","",SUMIFS('الحركات الشهرية'!$I$6:$I$1005,'الحركات الشهرية'!$B$6:$B$1005,$B78,'الحركات الشهرية'!$A$6:$A$1005,$C$3))</f>
        <v/>
      </c>
      <c r="W78" s="111" t="str">
        <f aca="false">IF($B78="","",SUMIFS('الحركات الشهرية'!$J$6:$J$1005,'الحركات الشهرية'!$B$6:$B$1005,$B78,'الحركات الشهرية'!$A$6:$A$1005,$C$3))</f>
        <v/>
      </c>
      <c r="X78" s="111" t="str">
        <f aca="false">IF($B78="","",SUM(U78:W78))</f>
        <v/>
      </c>
      <c r="Y78" s="153" t="str">
        <f aca="false">IF($B78="","",T78-X78)</f>
        <v/>
      </c>
      <c r="Z78" s="111" t="str">
        <f aca="false">IF($B78="","",الموظفون!$S78*IF(E78="سعودي",cfg_G_SR,cfg_G_NR)*G78/cfg_DAYS_M)</f>
        <v/>
      </c>
      <c r="AA78" s="111" t="str">
        <f aca="false">IF($B78="","",الموظفون!$Q78*(cfg_EOS_R1*(MIN(AH78,cfg_EOS_TH)-MIN(AI78,cfg_EOS_TH))+cfg_EOS_R2*(MAX(AH78-cfg_EOS_TH,0)-MAX(AI78-cfg_EOS_TH,0))))</f>
        <v/>
      </c>
      <c r="AB78" s="111" t="str">
        <f aca="false">IF($B78="","",IF(الموظفون!$T78&lt;&gt;"",الموظفون!$T78,IF(AH78&gt;=cfg_LV_TH,cfg_LV_D2,cfg_LV_D1))/cfg_DAYS_Y*AJ78*الموظفون!$R78/cfg_DAYS_M)</f>
        <v/>
      </c>
      <c r="AC78" s="111" t="str">
        <f aca="false">IF($B78="","",IF(AND(الموظفون!$U78="نعم",N(الموظفون!$W78)&gt;0),الموظفون!$V78/الموظفون!$W78*12/cfg_DAYS_Y*AJ78,0))</f>
        <v/>
      </c>
      <c r="AD78" s="111" t="str">
        <f aca="false">IF($B78="","",(IF(الموظفون!$X78&lt;&gt;"",الموظفون!$X78,IF(الموظفون!$E78="غير سعودي",cfg_IQ,0))+IF(الموظفون!$Y78&lt;&gt;"",الموظفون!$Y78,IF(الموظفون!$E78="غير سعودي",cfg_WP,0)))/12*G78/cfg_DAYS_M)</f>
        <v/>
      </c>
      <c r="AE78" s="111" t="str">
        <f aca="false">IF($B78="","",IF(الموظفون!$Z78&lt;&gt;"",الموظفون!$Z78,cfg_MED)/12*G78/cfg_DAYS_M)</f>
        <v/>
      </c>
      <c r="AF78" s="111" t="str">
        <f aca="false">IF($B78="","",N(الموظفون!$AA78)/12*G78/cfg_DAYS_M)</f>
        <v/>
      </c>
      <c r="AG78" s="154" t="str">
        <f aca="false">IF($B78="","",T78+SUM(Z78:AF78))</f>
        <v/>
      </c>
      <c r="AH78" s="155" t="str">
        <f aca="false">IF($B78="","",MAX(0,IF(OR(الموظفون!$AE78="",الموظفون!$AE78&gt;$F$3),$F$3,الموظفون!$AE78)-الموظفون!$H78+1-SUMIFS('سجل الإجازات والحالات'!$AI$6:$AI$505,'سجل الإجازات والحالات'!$B$6:$B$505,$B78))/cfg_DAYS_Y)</f>
        <v/>
      </c>
      <c r="AI78" s="155" t="str">
        <f aca="false">IF($B78="","",MAX(0,IF(OR(الموظفون!$AE78="",الموظفون!$AE78&gt;($E$3-1)),($E$3-1),الموظفون!$AE78)-الموظفون!$H78+1-SUMIFS('سجل الإجازات والحالات'!$AH$6:$AH$505,'سجل الإجازات والحالات'!$B$6:$B$505,$B78))/cfg_DAYS_Y)</f>
        <v/>
      </c>
      <c r="AJ78" s="65" t="str">
        <f aca="false">IF($B78="","",MAX(0,AK78-(SUMIFS('سجل الإجازات والحالات'!$AI$6:$AI$505,'سجل الإجازات والحالات'!$B$6:$B$505,$B78)-SUMIFS('سجل الإجازات والحالات'!$AH$6:$AH$505,'سجل الإجازات والحالات'!$B$6:$B$505,$B78))))</f>
        <v/>
      </c>
      <c r="AK78" s="65" t="str">
        <f aca="false">IF($B78="","",MAX(0,IF(OR(الموظفون!$AE78="",الموظفون!$AE78&gt;$F$3),$F$3,الموظفون!$AE78)-MAX($E$3,الموظفون!$H78)+1))</f>
        <v/>
      </c>
      <c r="AL78" s="151" t="str">
        <f aca="false">IF($B78="","",SUMIFS('سجل الإجازات والحالات'!$AU$6:$AU$505,'سجل الإجازات والحالات'!$B$6:$B$505,$B78)+SUMIFS('الحركات الشهرية'!$K$6:$K$1005,'الحركات الشهرية'!$B$6:$B$1005,$B78,'الحركات الشهرية'!$A$6:$A$1005,$C$3))</f>
        <v/>
      </c>
      <c r="AM78" s="111" t="str">
        <f aca="false">IF($B78="","",AL78*الموظفون!$R78/cfg_DAYS_M+S78)</f>
        <v/>
      </c>
      <c r="AN78" s="151" t="str">
        <f aca="false">IF($B78="","",SUMIFS('سجل الإجازات والحالات'!$W$6:$W$505,'سجل الإجازات والحالات'!$B$6:$B$505,$B78))</f>
        <v/>
      </c>
    </row>
    <row r="79" customFormat="false" ht="15" hidden="false" customHeight="false" outlineLevel="0" collapsed="false">
      <c r="A79" s="115" t="str">
        <f aca="false">IF($B79="","",الموظفون!$A79)</f>
        <v/>
      </c>
      <c r="B79" s="117" t="str">
        <f aca="false">IF(الموظفون!$B79="","",الموظفون!$B79)</f>
        <v/>
      </c>
      <c r="C79" s="117" t="str">
        <f aca="false">IF($B79="","",الموظفون!$C79)</f>
        <v/>
      </c>
      <c r="D79" s="117" t="str">
        <f aca="false">IF($B79="","",الموظفون!$F79)</f>
        <v/>
      </c>
      <c r="E79" s="117" t="str">
        <f aca="false">IF($B79="","",الموظفون!$E79)</f>
        <v/>
      </c>
      <c r="F79" s="117" t="str">
        <f aca="false">IF($B79="","",IF(AK79=0,IF(AND(الموظفون!$AE79&lt;&gt;"",الموظفون!$AE79&lt;$E$3),"✖ منتهي الخدمة","⏳ لم يباشر"),IF(S79&gt;0,"✈ راتب إجازة مقدم",IF(J79=0,"⛔ بدون راتب هذا الشهر",IF(I79&gt;0,"✈ خصم "&amp;ROUND(I79,2)&amp;" يوم بدون أجر",IF(AL79&gt;0,"🌴 إجازة سنوية "&amp;ROUND(AL79,2)&amp;" يوم",IF(H79&gt;0,"⚠ غياب "&amp;ROUND(H79,2)&amp;" يوم","✔ على رأس العمل")))))))</f>
        <v/>
      </c>
      <c r="G79" s="156" t="str">
        <f aca="false">IF($B79="","",IF(AK79&gt;=DAY($F$3),cfg_DAYS_M,MIN(AK79,cfg_DAYS_M)))</f>
        <v/>
      </c>
      <c r="H79" s="156" t="str">
        <f aca="false">IF($B79="","",SUMIFS('الحركات الشهرية'!$D$6:$D$1005,'الحركات الشهرية'!$B$6:$B$1005,$B79,'الحركات الشهرية'!$A$6:$A$1005,$C$3))</f>
        <v/>
      </c>
      <c r="I79" s="156" t="str">
        <f aca="false">IF($B79="","",MIN(G79,IF(AND(AK79&gt;0,AN79&gt;=AK79),G79,AN79)+SUMIFS('الحركات الشهرية'!$E$6:$E$1005,'الحركات الشهرية'!$B$6:$B$1005,$B79,'الحركات الشهرية'!$A$6:$A$1005,$C$3)))</f>
        <v/>
      </c>
      <c r="J79" s="156" t="str">
        <f aca="false">IF($B79="","",MAX(0,G79-H79-I79))</f>
        <v/>
      </c>
      <c r="K79" s="116" t="str">
        <f aca="false">IF($B79="","",الموظفون!$L79*$J79/cfg_DAYS_M)</f>
        <v/>
      </c>
      <c r="L79" s="116" t="str">
        <f aca="false">IF($B79="","",الموظفون!$M79*$J79/cfg_DAYS_M)</f>
        <v/>
      </c>
      <c r="M79" s="116" t="str">
        <f aca="false">IF($B79="","",الموظفون!$N79*$J79/cfg_DAYS_M)</f>
        <v/>
      </c>
      <c r="N79" s="116" t="str">
        <f aca="false">IF($B79="","",الموظفون!$O79*$J79/cfg_DAYS_M)</f>
        <v/>
      </c>
      <c r="O79" s="156" t="str">
        <f aca="false">IF($B79="","",SUMIFS('الحركات الشهرية'!$F$6:$F$1005,'الحركات الشهرية'!$B$6:$B$1005,$B79,'الحركات الشهرية'!$A$6:$A$1005,$C$3))</f>
        <v/>
      </c>
      <c r="P79" s="116" t="str">
        <f aca="false">IF($B79="","",O79*(الموظفون!$P79+الموظفون!$L79*cfg_OT_P)/cfg_DAYS_M/cfg_HRS)</f>
        <v/>
      </c>
      <c r="Q79" s="116" t="str">
        <f aca="false">IF($B79="","",SUMIFS('الحركات الشهرية'!$G$6:$G$1005,'الحركات الشهرية'!$B$6:$B$1005,$B79,'الحركات الشهرية'!$A$6:$A$1005,$C$3))</f>
        <v/>
      </c>
      <c r="R79" s="116" t="str">
        <f aca="false">IF($B79="","",SUMIFS('الحركات الشهرية'!$H$6:$H$1005,'الحركات الشهرية'!$B$6:$B$1005,$B79,'الحركات الشهرية'!$A$6:$A$1005,$C$3))</f>
        <v/>
      </c>
      <c r="S79" s="116" t="str">
        <f aca="false">IF($B79="","",SUMIFS('سجل الإجازات والحالات'!$N$6:$N$505,'سجل الإجازات والحالات'!$B$6:$B$505,$B79,'سجل الإجازات والحالات'!$O$6:$O$505,$C$3))</f>
        <v/>
      </c>
      <c r="T79" s="157" t="str">
        <f aca="false">IF($B79="","",SUM(K79:N79)+SUM(P79:S79))</f>
        <v/>
      </c>
      <c r="U79" s="116" t="str">
        <f aca="false">IF($B79="","",الموظفون!$S79*IF(E79="سعودي",cfg_G_SE,cfg_G_NE)*G79/cfg_DAYS_M)</f>
        <v/>
      </c>
      <c r="V79" s="116" t="str">
        <f aca="false">IF($B79="","",SUMIFS('الحركات الشهرية'!$I$6:$I$1005,'الحركات الشهرية'!$B$6:$B$1005,$B79,'الحركات الشهرية'!$A$6:$A$1005,$C$3))</f>
        <v/>
      </c>
      <c r="W79" s="116" t="str">
        <f aca="false">IF($B79="","",SUMIFS('الحركات الشهرية'!$J$6:$J$1005,'الحركات الشهرية'!$B$6:$B$1005,$B79,'الحركات الشهرية'!$A$6:$A$1005,$C$3))</f>
        <v/>
      </c>
      <c r="X79" s="116" t="str">
        <f aca="false">IF($B79="","",SUM(U79:W79))</f>
        <v/>
      </c>
      <c r="Y79" s="158" t="str">
        <f aca="false">IF($B79="","",T79-X79)</f>
        <v/>
      </c>
      <c r="Z79" s="116" t="str">
        <f aca="false">IF($B79="","",الموظفون!$S79*IF(E79="سعودي",cfg_G_SR,cfg_G_NR)*G79/cfg_DAYS_M)</f>
        <v/>
      </c>
      <c r="AA79" s="116" t="str">
        <f aca="false">IF($B79="","",الموظفون!$Q79*(cfg_EOS_R1*(MIN(AH79,cfg_EOS_TH)-MIN(AI79,cfg_EOS_TH))+cfg_EOS_R2*(MAX(AH79-cfg_EOS_TH,0)-MAX(AI79-cfg_EOS_TH,0))))</f>
        <v/>
      </c>
      <c r="AB79" s="116" t="str">
        <f aca="false">IF($B79="","",IF(الموظفون!$T79&lt;&gt;"",الموظفون!$T79,IF(AH79&gt;=cfg_LV_TH,cfg_LV_D2,cfg_LV_D1))/cfg_DAYS_Y*AJ79*الموظفون!$R79/cfg_DAYS_M)</f>
        <v/>
      </c>
      <c r="AC79" s="116" t="str">
        <f aca="false">IF($B79="","",IF(AND(الموظفون!$U79="نعم",N(الموظفون!$W79)&gt;0),الموظفون!$V79/الموظفون!$W79*12/cfg_DAYS_Y*AJ79,0))</f>
        <v/>
      </c>
      <c r="AD79" s="116" t="str">
        <f aca="false">IF($B79="","",(IF(الموظفون!$X79&lt;&gt;"",الموظفون!$X79,IF(الموظفون!$E79="غير سعودي",cfg_IQ,0))+IF(الموظفون!$Y79&lt;&gt;"",الموظفون!$Y79,IF(الموظفون!$E79="غير سعودي",cfg_WP,0)))/12*G79/cfg_DAYS_M)</f>
        <v/>
      </c>
      <c r="AE79" s="116" t="str">
        <f aca="false">IF($B79="","",IF(الموظفون!$Z79&lt;&gt;"",الموظفون!$Z79,cfg_MED)/12*G79/cfg_DAYS_M)</f>
        <v/>
      </c>
      <c r="AF79" s="116" t="str">
        <f aca="false">IF($B79="","",N(الموظفون!$AA79)/12*G79/cfg_DAYS_M)</f>
        <v/>
      </c>
      <c r="AG79" s="159" t="str">
        <f aca="false">IF($B79="","",T79+SUM(Z79:AF79))</f>
        <v/>
      </c>
      <c r="AH79" s="160" t="str">
        <f aca="false">IF($B79="","",MAX(0,IF(OR(الموظفون!$AE79="",الموظفون!$AE79&gt;$F$3),$F$3,الموظفون!$AE79)-الموظفون!$H79+1-SUMIFS('سجل الإجازات والحالات'!$AI$6:$AI$505,'سجل الإجازات والحالات'!$B$6:$B$505,$B79))/cfg_DAYS_Y)</f>
        <v/>
      </c>
      <c r="AI79" s="160" t="str">
        <f aca="false">IF($B79="","",MAX(0,IF(OR(الموظفون!$AE79="",الموظفون!$AE79&gt;($E$3-1)),($E$3-1),الموظفون!$AE79)-الموظفون!$H79+1-SUMIFS('سجل الإجازات والحالات'!$AH$6:$AH$505,'سجل الإجازات والحالات'!$B$6:$B$505,$B79))/cfg_DAYS_Y)</f>
        <v/>
      </c>
      <c r="AJ79" s="133" t="str">
        <f aca="false">IF($B79="","",MAX(0,AK79-(SUMIFS('سجل الإجازات والحالات'!$AI$6:$AI$505,'سجل الإجازات والحالات'!$B$6:$B$505,$B79)-SUMIFS('سجل الإجازات والحالات'!$AH$6:$AH$505,'سجل الإجازات والحالات'!$B$6:$B$505,$B79))))</f>
        <v/>
      </c>
      <c r="AK79" s="133" t="str">
        <f aca="false">IF($B79="","",MAX(0,IF(OR(الموظفون!$AE79="",الموظفون!$AE79&gt;$F$3),$F$3,الموظفون!$AE79)-MAX($E$3,الموظفون!$H79)+1))</f>
        <v/>
      </c>
      <c r="AL79" s="156" t="str">
        <f aca="false">IF($B79="","",SUMIFS('سجل الإجازات والحالات'!$AU$6:$AU$505,'سجل الإجازات والحالات'!$B$6:$B$505,$B79)+SUMIFS('الحركات الشهرية'!$K$6:$K$1005,'الحركات الشهرية'!$B$6:$B$1005,$B79,'الحركات الشهرية'!$A$6:$A$1005,$C$3))</f>
        <v/>
      </c>
      <c r="AM79" s="116" t="str">
        <f aca="false">IF($B79="","",AL79*الموظفون!$R79/cfg_DAYS_M+S79)</f>
        <v/>
      </c>
      <c r="AN79" s="156" t="str">
        <f aca="false">IF($B79="","",SUMIFS('سجل الإجازات والحالات'!$W$6:$W$505,'سجل الإجازات والحالات'!$B$6:$B$505,$B79))</f>
        <v/>
      </c>
    </row>
    <row r="80" customFormat="false" ht="15" hidden="false" customHeight="false" outlineLevel="0" collapsed="false">
      <c r="A80" s="106" t="str">
        <f aca="false">IF($B80="","",الموظفون!$A80)</f>
        <v/>
      </c>
      <c r="B80" s="114" t="str">
        <f aca="false">IF(الموظفون!$B80="","",الموظفون!$B80)</f>
        <v/>
      </c>
      <c r="C80" s="114" t="str">
        <f aca="false">IF($B80="","",الموظفون!$C80)</f>
        <v/>
      </c>
      <c r="D80" s="114" t="str">
        <f aca="false">IF($B80="","",الموظفون!$F80)</f>
        <v/>
      </c>
      <c r="E80" s="114" t="str">
        <f aca="false">IF($B80="","",الموظفون!$E80)</f>
        <v/>
      </c>
      <c r="F80" s="114" t="str">
        <f aca="false">IF($B80="","",IF(AK80=0,IF(AND(الموظفون!$AE80&lt;&gt;"",الموظفون!$AE80&lt;$E$3),"✖ منتهي الخدمة","⏳ لم يباشر"),IF(S80&gt;0,"✈ راتب إجازة مقدم",IF(J80=0,"⛔ بدون راتب هذا الشهر",IF(I80&gt;0,"✈ خصم "&amp;ROUND(I80,2)&amp;" يوم بدون أجر",IF(AL80&gt;0,"🌴 إجازة سنوية "&amp;ROUND(AL80,2)&amp;" يوم",IF(H80&gt;0,"⚠ غياب "&amp;ROUND(H80,2)&amp;" يوم","✔ على رأس العمل")))))))</f>
        <v/>
      </c>
      <c r="G80" s="151" t="str">
        <f aca="false">IF($B80="","",IF(AK80&gt;=DAY($F$3),cfg_DAYS_M,MIN(AK80,cfg_DAYS_M)))</f>
        <v/>
      </c>
      <c r="H80" s="151" t="str">
        <f aca="false">IF($B80="","",SUMIFS('الحركات الشهرية'!$D$6:$D$1005,'الحركات الشهرية'!$B$6:$B$1005,$B80,'الحركات الشهرية'!$A$6:$A$1005,$C$3))</f>
        <v/>
      </c>
      <c r="I80" s="151" t="str">
        <f aca="false">IF($B80="","",MIN(G80,IF(AND(AK80&gt;0,AN80&gt;=AK80),G80,AN80)+SUMIFS('الحركات الشهرية'!$E$6:$E$1005,'الحركات الشهرية'!$B$6:$B$1005,$B80,'الحركات الشهرية'!$A$6:$A$1005,$C$3)))</f>
        <v/>
      </c>
      <c r="J80" s="151" t="str">
        <f aca="false">IF($B80="","",MAX(0,G80-H80-I80))</f>
        <v/>
      </c>
      <c r="K80" s="111" t="str">
        <f aca="false">IF($B80="","",الموظفون!$L80*$J80/cfg_DAYS_M)</f>
        <v/>
      </c>
      <c r="L80" s="111" t="str">
        <f aca="false">IF($B80="","",الموظفون!$M80*$J80/cfg_DAYS_M)</f>
        <v/>
      </c>
      <c r="M80" s="111" t="str">
        <f aca="false">IF($B80="","",الموظفون!$N80*$J80/cfg_DAYS_M)</f>
        <v/>
      </c>
      <c r="N80" s="111" t="str">
        <f aca="false">IF($B80="","",الموظفون!$O80*$J80/cfg_DAYS_M)</f>
        <v/>
      </c>
      <c r="O80" s="151" t="str">
        <f aca="false">IF($B80="","",SUMIFS('الحركات الشهرية'!$F$6:$F$1005,'الحركات الشهرية'!$B$6:$B$1005,$B80,'الحركات الشهرية'!$A$6:$A$1005,$C$3))</f>
        <v/>
      </c>
      <c r="P80" s="111" t="str">
        <f aca="false">IF($B80="","",O80*(الموظفون!$P80+الموظفون!$L80*cfg_OT_P)/cfg_DAYS_M/cfg_HRS)</f>
        <v/>
      </c>
      <c r="Q80" s="111" t="str">
        <f aca="false">IF($B80="","",SUMIFS('الحركات الشهرية'!$G$6:$G$1005,'الحركات الشهرية'!$B$6:$B$1005,$B80,'الحركات الشهرية'!$A$6:$A$1005,$C$3))</f>
        <v/>
      </c>
      <c r="R80" s="111" t="str">
        <f aca="false">IF($B80="","",SUMIFS('الحركات الشهرية'!$H$6:$H$1005,'الحركات الشهرية'!$B$6:$B$1005,$B80,'الحركات الشهرية'!$A$6:$A$1005,$C$3))</f>
        <v/>
      </c>
      <c r="S80" s="111" t="str">
        <f aca="false">IF($B80="","",SUMIFS('سجل الإجازات والحالات'!$N$6:$N$505,'سجل الإجازات والحالات'!$B$6:$B$505,$B80,'سجل الإجازات والحالات'!$O$6:$O$505,$C$3))</f>
        <v/>
      </c>
      <c r="T80" s="152" t="str">
        <f aca="false">IF($B80="","",SUM(K80:N80)+SUM(P80:S80))</f>
        <v/>
      </c>
      <c r="U80" s="111" t="str">
        <f aca="false">IF($B80="","",الموظفون!$S80*IF(E80="سعودي",cfg_G_SE,cfg_G_NE)*G80/cfg_DAYS_M)</f>
        <v/>
      </c>
      <c r="V80" s="111" t="str">
        <f aca="false">IF($B80="","",SUMIFS('الحركات الشهرية'!$I$6:$I$1005,'الحركات الشهرية'!$B$6:$B$1005,$B80,'الحركات الشهرية'!$A$6:$A$1005,$C$3))</f>
        <v/>
      </c>
      <c r="W80" s="111" t="str">
        <f aca="false">IF($B80="","",SUMIFS('الحركات الشهرية'!$J$6:$J$1005,'الحركات الشهرية'!$B$6:$B$1005,$B80,'الحركات الشهرية'!$A$6:$A$1005,$C$3))</f>
        <v/>
      </c>
      <c r="X80" s="111" t="str">
        <f aca="false">IF($B80="","",SUM(U80:W80))</f>
        <v/>
      </c>
      <c r="Y80" s="153" t="str">
        <f aca="false">IF($B80="","",T80-X80)</f>
        <v/>
      </c>
      <c r="Z80" s="111" t="str">
        <f aca="false">IF($B80="","",الموظفون!$S80*IF(E80="سعودي",cfg_G_SR,cfg_G_NR)*G80/cfg_DAYS_M)</f>
        <v/>
      </c>
      <c r="AA80" s="111" t="str">
        <f aca="false">IF($B80="","",الموظفون!$Q80*(cfg_EOS_R1*(MIN(AH80,cfg_EOS_TH)-MIN(AI80,cfg_EOS_TH))+cfg_EOS_R2*(MAX(AH80-cfg_EOS_TH,0)-MAX(AI80-cfg_EOS_TH,0))))</f>
        <v/>
      </c>
      <c r="AB80" s="111" t="str">
        <f aca="false">IF($B80="","",IF(الموظفون!$T80&lt;&gt;"",الموظفون!$T80,IF(AH80&gt;=cfg_LV_TH,cfg_LV_D2,cfg_LV_D1))/cfg_DAYS_Y*AJ80*الموظفون!$R80/cfg_DAYS_M)</f>
        <v/>
      </c>
      <c r="AC80" s="111" t="str">
        <f aca="false">IF($B80="","",IF(AND(الموظفون!$U80="نعم",N(الموظفون!$W80)&gt;0),الموظفون!$V80/الموظفون!$W80*12/cfg_DAYS_Y*AJ80,0))</f>
        <v/>
      </c>
      <c r="AD80" s="111" t="str">
        <f aca="false">IF($B80="","",(IF(الموظفون!$X80&lt;&gt;"",الموظفون!$X80,IF(الموظفون!$E80="غير سعودي",cfg_IQ,0))+IF(الموظفون!$Y80&lt;&gt;"",الموظفون!$Y80,IF(الموظفون!$E80="غير سعودي",cfg_WP,0)))/12*G80/cfg_DAYS_M)</f>
        <v/>
      </c>
      <c r="AE80" s="111" t="str">
        <f aca="false">IF($B80="","",IF(الموظفون!$Z80&lt;&gt;"",الموظفون!$Z80,cfg_MED)/12*G80/cfg_DAYS_M)</f>
        <v/>
      </c>
      <c r="AF80" s="111" t="str">
        <f aca="false">IF($B80="","",N(الموظفون!$AA80)/12*G80/cfg_DAYS_M)</f>
        <v/>
      </c>
      <c r="AG80" s="154" t="str">
        <f aca="false">IF($B80="","",T80+SUM(Z80:AF80))</f>
        <v/>
      </c>
      <c r="AH80" s="155" t="str">
        <f aca="false">IF($B80="","",MAX(0,IF(OR(الموظفون!$AE80="",الموظفون!$AE80&gt;$F$3),$F$3,الموظفون!$AE80)-الموظفون!$H80+1-SUMIFS('سجل الإجازات والحالات'!$AI$6:$AI$505,'سجل الإجازات والحالات'!$B$6:$B$505,$B80))/cfg_DAYS_Y)</f>
        <v/>
      </c>
      <c r="AI80" s="155" t="str">
        <f aca="false">IF($B80="","",MAX(0,IF(OR(الموظفون!$AE80="",الموظفون!$AE80&gt;($E$3-1)),($E$3-1),الموظفون!$AE80)-الموظفون!$H80+1-SUMIFS('سجل الإجازات والحالات'!$AH$6:$AH$505,'سجل الإجازات والحالات'!$B$6:$B$505,$B80))/cfg_DAYS_Y)</f>
        <v/>
      </c>
      <c r="AJ80" s="65" t="str">
        <f aca="false">IF($B80="","",MAX(0,AK80-(SUMIFS('سجل الإجازات والحالات'!$AI$6:$AI$505,'سجل الإجازات والحالات'!$B$6:$B$505,$B80)-SUMIFS('سجل الإجازات والحالات'!$AH$6:$AH$505,'سجل الإجازات والحالات'!$B$6:$B$505,$B80))))</f>
        <v/>
      </c>
      <c r="AK80" s="65" t="str">
        <f aca="false">IF($B80="","",MAX(0,IF(OR(الموظفون!$AE80="",الموظفون!$AE80&gt;$F$3),$F$3,الموظفون!$AE80)-MAX($E$3,الموظفون!$H80)+1))</f>
        <v/>
      </c>
      <c r="AL80" s="151" t="str">
        <f aca="false">IF($B80="","",SUMIFS('سجل الإجازات والحالات'!$AU$6:$AU$505,'سجل الإجازات والحالات'!$B$6:$B$505,$B80)+SUMIFS('الحركات الشهرية'!$K$6:$K$1005,'الحركات الشهرية'!$B$6:$B$1005,$B80,'الحركات الشهرية'!$A$6:$A$1005,$C$3))</f>
        <v/>
      </c>
      <c r="AM80" s="111" t="str">
        <f aca="false">IF($B80="","",AL80*الموظفون!$R80/cfg_DAYS_M+S80)</f>
        <v/>
      </c>
      <c r="AN80" s="151" t="str">
        <f aca="false">IF($B80="","",SUMIFS('سجل الإجازات والحالات'!$W$6:$W$505,'سجل الإجازات والحالات'!$B$6:$B$505,$B80))</f>
        <v/>
      </c>
    </row>
    <row r="81" customFormat="false" ht="15" hidden="false" customHeight="false" outlineLevel="0" collapsed="false">
      <c r="A81" s="115" t="str">
        <f aca="false">IF($B81="","",الموظفون!$A81)</f>
        <v/>
      </c>
      <c r="B81" s="117" t="str">
        <f aca="false">IF(الموظفون!$B81="","",الموظفون!$B81)</f>
        <v/>
      </c>
      <c r="C81" s="117" t="str">
        <f aca="false">IF($B81="","",الموظفون!$C81)</f>
        <v/>
      </c>
      <c r="D81" s="117" t="str">
        <f aca="false">IF($B81="","",الموظفون!$F81)</f>
        <v/>
      </c>
      <c r="E81" s="117" t="str">
        <f aca="false">IF($B81="","",الموظفون!$E81)</f>
        <v/>
      </c>
      <c r="F81" s="117" t="str">
        <f aca="false">IF($B81="","",IF(AK81=0,IF(AND(الموظفون!$AE81&lt;&gt;"",الموظفون!$AE81&lt;$E$3),"✖ منتهي الخدمة","⏳ لم يباشر"),IF(S81&gt;0,"✈ راتب إجازة مقدم",IF(J81=0,"⛔ بدون راتب هذا الشهر",IF(I81&gt;0,"✈ خصم "&amp;ROUND(I81,2)&amp;" يوم بدون أجر",IF(AL81&gt;0,"🌴 إجازة سنوية "&amp;ROUND(AL81,2)&amp;" يوم",IF(H81&gt;0,"⚠ غياب "&amp;ROUND(H81,2)&amp;" يوم","✔ على رأس العمل")))))))</f>
        <v/>
      </c>
      <c r="G81" s="156" t="str">
        <f aca="false">IF($B81="","",IF(AK81&gt;=DAY($F$3),cfg_DAYS_M,MIN(AK81,cfg_DAYS_M)))</f>
        <v/>
      </c>
      <c r="H81" s="156" t="str">
        <f aca="false">IF($B81="","",SUMIFS('الحركات الشهرية'!$D$6:$D$1005,'الحركات الشهرية'!$B$6:$B$1005,$B81,'الحركات الشهرية'!$A$6:$A$1005,$C$3))</f>
        <v/>
      </c>
      <c r="I81" s="156" t="str">
        <f aca="false">IF($B81="","",MIN(G81,IF(AND(AK81&gt;0,AN81&gt;=AK81),G81,AN81)+SUMIFS('الحركات الشهرية'!$E$6:$E$1005,'الحركات الشهرية'!$B$6:$B$1005,$B81,'الحركات الشهرية'!$A$6:$A$1005,$C$3)))</f>
        <v/>
      </c>
      <c r="J81" s="156" t="str">
        <f aca="false">IF($B81="","",MAX(0,G81-H81-I81))</f>
        <v/>
      </c>
      <c r="K81" s="116" t="str">
        <f aca="false">IF($B81="","",الموظفون!$L81*$J81/cfg_DAYS_M)</f>
        <v/>
      </c>
      <c r="L81" s="116" t="str">
        <f aca="false">IF($B81="","",الموظفون!$M81*$J81/cfg_DAYS_M)</f>
        <v/>
      </c>
      <c r="M81" s="116" t="str">
        <f aca="false">IF($B81="","",الموظفون!$N81*$J81/cfg_DAYS_M)</f>
        <v/>
      </c>
      <c r="N81" s="116" t="str">
        <f aca="false">IF($B81="","",الموظفون!$O81*$J81/cfg_DAYS_M)</f>
        <v/>
      </c>
      <c r="O81" s="156" t="str">
        <f aca="false">IF($B81="","",SUMIFS('الحركات الشهرية'!$F$6:$F$1005,'الحركات الشهرية'!$B$6:$B$1005,$B81,'الحركات الشهرية'!$A$6:$A$1005,$C$3))</f>
        <v/>
      </c>
      <c r="P81" s="116" t="str">
        <f aca="false">IF($B81="","",O81*(الموظفون!$P81+الموظفون!$L81*cfg_OT_P)/cfg_DAYS_M/cfg_HRS)</f>
        <v/>
      </c>
      <c r="Q81" s="116" t="str">
        <f aca="false">IF($B81="","",SUMIFS('الحركات الشهرية'!$G$6:$G$1005,'الحركات الشهرية'!$B$6:$B$1005,$B81,'الحركات الشهرية'!$A$6:$A$1005,$C$3))</f>
        <v/>
      </c>
      <c r="R81" s="116" t="str">
        <f aca="false">IF($B81="","",SUMIFS('الحركات الشهرية'!$H$6:$H$1005,'الحركات الشهرية'!$B$6:$B$1005,$B81,'الحركات الشهرية'!$A$6:$A$1005,$C$3))</f>
        <v/>
      </c>
      <c r="S81" s="116" t="str">
        <f aca="false">IF($B81="","",SUMIFS('سجل الإجازات والحالات'!$N$6:$N$505,'سجل الإجازات والحالات'!$B$6:$B$505,$B81,'سجل الإجازات والحالات'!$O$6:$O$505,$C$3))</f>
        <v/>
      </c>
      <c r="T81" s="157" t="str">
        <f aca="false">IF($B81="","",SUM(K81:N81)+SUM(P81:S81))</f>
        <v/>
      </c>
      <c r="U81" s="116" t="str">
        <f aca="false">IF($B81="","",الموظفون!$S81*IF(E81="سعودي",cfg_G_SE,cfg_G_NE)*G81/cfg_DAYS_M)</f>
        <v/>
      </c>
      <c r="V81" s="116" t="str">
        <f aca="false">IF($B81="","",SUMIFS('الحركات الشهرية'!$I$6:$I$1005,'الحركات الشهرية'!$B$6:$B$1005,$B81,'الحركات الشهرية'!$A$6:$A$1005,$C$3))</f>
        <v/>
      </c>
      <c r="W81" s="116" t="str">
        <f aca="false">IF($B81="","",SUMIFS('الحركات الشهرية'!$J$6:$J$1005,'الحركات الشهرية'!$B$6:$B$1005,$B81,'الحركات الشهرية'!$A$6:$A$1005,$C$3))</f>
        <v/>
      </c>
      <c r="X81" s="116" t="str">
        <f aca="false">IF($B81="","",SUM(U81:W81))</f>
        <v/>
      </c>
      <c r="Y81" s="158" t="str">
        <f aca="false">IF($B81="","",T81-X81)</f>
        <v/>
      </c>
      <c r="Z81" s="116" t="str">
        <f aca="false">IF($B81="","",الموظفون!$S81*IF(E81="سعودي",cfg_G_SR,cfg_G_NR)*G81/cfg_DAYS_M)</f>
        <v/>
      </c>
      <c r="AA81" s="116" t="str">
        <f aca="false">IF($B81="","",الموظفون!$Q81*(cfg_EOS_R1*(MIN(AH81,cfg_EOS_TH)-MIN(AI81,cfg_EOS_TH))+cfg_EOS_R2*(MAX(AH81-cfg_EOS_TH,0)-MAX(AI81-cfg_EOS_TH,0))))</f>
        <v/>
      </c>
      <c r="AB81" s="116" t="str">
        <f aca="false">IF($B81="","",IF(الموظفون!$T81&lt;&gt;"",الموظفون!$T81,IF(AH81&gt;=cfg_LV_TH,cfg_LV_D2,cfg_LV_D1))/cfg_DAYS_Y*AJ81*الموظفون!$R81/cfg_DAYS_M)</f>
        <v/>
      </c>
      <c r="AC81" s="116" t="str">
        <f aca="false">IF($B81="","",IF(AND(الموظفون!$U81="نعم",N(الموظفون!$W81)&gt;0),الموظفون!$V81/الموظفون!$W81*12/cfg_DAYS_Y*AJ81,0))</f>
        <v/>
      </c>
      <c r="AD81" s="116" t="str">
        <f aca="false">IF($B81="","",(IF(الموظفون!$X81&lt;&gt;"",الموظفون!$X81,IF(الموظفون!$E81="غير سعودي",cfg_IQ,0))+IF(الموظفون!$Y81&lt;&gt;"",الموظفون!$Y81,IF(الموظفون!$E81="غير سعودي",cfg_WP,0)))/12*G81/cfg_DAYS_M)</f>
        <v/>
      </c>
      <c r="AE81" s="116" t="str">
        <f aca="false">IF($B81="","",IF(الموظفون!$Z81&lt;&gt;"",الموظفون!$Z81,cfg_MED)/12*G81/cfg_DAYS_M)</f>
        <v/>
      </c>
      <c r="AF81" s="116" t="str">
        <f aca="false">IF($B81="","",N(الموظفون!$AA81)/12*G81/cfg_DAYS_M)</f>
        <v/>
      </c>
      <c r="AG81" s="159" t="str">
        <f aca="false">IF($B81="","",T81+SUM(Z81:AF81))</f>
        <v/>
      </c>
      <c r="AH81" s="160" t="str">
        <f aca="false">IF($B81="","",MAX(0,IF(OR(الموظفون!$AE81="",الموظفون!$AE81&gt;$F$3),$F$3,الموظفون!$AE81)-الموظفون!$H81+1-SUMIFS('سجل الإجازات والحالات'!$AI$6:$AI$505,'سجل الإجازات والحالات'!$B$6:$B$505,$B81))/cfg_DAYS_Y)</f>
        <v/>
      </c>
      <c r="AI81" s="160" t="str">
        <f aca="false">IF($B81="","",MAX(0,IF(OR(الموظفون!$AE81="",الموظفون!$AE81&gt;($E$3-1)),($E$3-1),الموظفون!$AE81)-الموظفون!$H81+1-SUMIFS('سجل الإجازات والحالات'!$AH$6:$AH$505,'سجل الإجازات والحالات'!$B$6:$B$505,$B81))/cfg_DAYS_Y)</f>
        <v/>
      </c>
      <c r="AJ81" s="133" t="str">
        <f aca="false">IF($B81="","",MAX(0,AK81-(SUMIFS('سجل الإجازات والحالات'!$AI$6:$AI$505,'سجل الإجازات والحالات'!$B$6:$B$505,$B81)-SUMIFS('سجل الإجازات والحالات'!$AH$6:$AH$505,'سجل الإجازات والحالات'!$B$6:$B$505,$B81))))</f>
        <v/>
      </c>
      <c r="AK81" s="133" t="str">
        <f aca="false">IF($B81="","",MAX(0,IF(OR(الموظفون!$AE81="",الموظفون!$AE81&gt;$F$3),$F$3,الموظفون!$AE81)-MAX($E$3,الموظفون!$H81)+1))</f>
        <v/>
      </c>
      <c r="AL81" s="156" t="str">
        <f aca="false">IF($B81="","",SUMIFS('سجل الإجازات والحالات'!$AU$6:$AU$505,'سجل الإجازات والحالات'!$B$6:$B$505,$B81)+SUMIFS('الحركات الشهرية'!$K$6:$K$1005,'الحركات الشهرية'!$B$6:$B$1005,$B81,'الحركات الشهرية'!$A$6:$A$1005,$C$3))</f>
        <v/>
      </c>
      <c r="AM81" s="116" t="str">
        <f aca="false">IF($B81="","",AL81*الموظفون!$R81/cfg_DAYS_M+S81)</f>
        <v/>
      </c>
      <c r="AN81" s="156" t="str">
        <f aca="false">IF($B81="","",SUMIFS('سجل الإجازات والحالات'!$W$6:$W$505,'سجل الإجازات والحالات'!$B$6:$B$505,$B81))</f>
        <v/>
      </c>
    </row>
    <row r="82" customFormat="false" ht="15" hidden="false" customHeight="false" outlineLevel="0" collapsed="false">
      <c r="A82" s="106" t="str">
        <f aca="false">IF($B82="","",الموظفون!$A82)</f>
        <v/>
      </c>
      <c r="B82" s="114" t="str">
        <f aca="false">IF(الموظفون!$B82="","",الموظفون!$B82)</f>
        <v/>
      </c>
      <c r="C82" s="114" t="str">
        <f aca="false">IF($B82="","",الموظفون!$C82)</f>
        <v/>
      </c>
      <c r="D82" s="114" t="str">
        <f aca="false">IF($B82="","",الموظفون!$F82)</f>
        <v/>
      </c>
      <c r="E82" s="114" t="str">
        <f aca="false">IF($B82="","",الموظفون!$E82)</f>
        <v/>
      </c>
      <c r="F82" s="114" t="str">
        <f aca="false">IF($B82="","",IF(AK82=0,IF(AND(الموظفون!$AE82&lt;&gt;"",الموظفون!$AE82&lt;$E$3),"✖ منتهي الخدمة","⏳ لم يباشر"),IF(S82&gt;0,"✈ راتب إجازة مقدم",IF(J82=0,"⛔ بدون راتب هذا الشهر",IF(I82&gt;0,"✈ خصم "&amp;ROUND(I82,2)&amp;" يوم بدون أجر",IF(AL82&gt;0,"🌴 إجازة سنوية "&amp;ROUND(AL82,2)&amp;" يوم",IF(H82&gt;0,"⚠ غياب "&amp;ROUND(H82,2)&amp;" يوم","✔ على رأس العمل")))))))</f>
        <v/>
      </c>
      <c r="G82" s="151" t="str">
        <f aca="false">IF($B82="","",IF(AK82&gt;=DAY($F$3),cfg_DAYS_M,MIN(AK82,cfg_DAYS_M)))</f>
        <v/>
      </c>
      <c r="H82" s="151" t="str">
        <f aca="false">IF($B82="","",SUMIFS('الحركات الشهرية'!$D$6:$D$1005,'الحركات الشهرية'!$B$6:$B$1005,$B82,'الحركات الشهرية'!$A$6:$A$1005,$C$3))</f>
        <v/>
      </c>
      <c r="I82" s="151" t="str">
        <f aca="false">IF($B82="","",MIN(G82,IF(AND(AK82&gt;0,AN82&gt;=AK82),G82,AN82)+SUMIFS('الحركات الشهرية'!$E$6:$E$1005,'الحركات الشهرية'!$B$6:$B$1005,$B82,'الحركات الشهرية'!$A$6:$A$1005,$C$3)))</f>
        <v/>
      </c>
      <c r="J82" s="151" t="str">
        <f aca="false">IF($B82="","",MAX(0,G82-H82-I82))</f>
        <v/>
      </c>
      <c r="K82" s="111" t="str">
        <f aca="false">IF($B82="","",الموظفون!$L82*$J82/cfg_DAYS_M)</f>
        <v/>
      </c>
      <c r="L82" s="111" t="str">
        <f aca="false">IF($B82="","",الموظفون!$M82*$J82/cfg_DAYS_M)</f>
        <v/>
      </c>
      <c r="M82" s="111" t="str">
        <f aca="false">IF($B82="","",الموظفون!$N82*$J82/cfg_DAYS_M)</f>
        <v/>
      </c>
      <c r="N82" s="111" t="str">
        <f aca="false">IF($B82="","",الموظفون!$O82*$J82/cfg_DAYS_M)</f>
        <v/>
      </c>
      <c r="O82" s="151" t="str">
        <f aca="false">IF($B82="","",SUMIFS('الحركات الشهرية'!$F$6:$F$1005,'الحركات الشهرية'!$B$6:$B$1005,$B82,'الحركات الشهرية'!$A$6:$A$1005,$C$3))</f>
        <v/>
      </c>
      <c r="P82" s="111" t="str">
        <f aca="false">IF($B82="","",O82*(الموظفون!$P82+الموظفون!$L82*cfg_OT_P)/cfg_DAYS_M/cfg_HRS)</f>
        <v/>
      </c>
      <c r="Q82" s="111" t="str">
        <f aca="false">IF($B82="","",SUMIFS('الحركات الشهرية'!$G$6:$G$1005,'الحركات الشهرية'!$B$6:$B$1005,$B82,'الحركات الشهرية'!$A$6:$A$1005,$C$3))</f>
        <v/>
      </c>
      <c r="R82" s="111" t="str">
        <f aca="false">IF($B82="","",SUMIFS('الحركات الشهرية'!$H$6:$H$1005,'الحركات الشهرية'!$B$6:$B$1005,$B82,'الحركات الشهرية'!$A$6:$A$1005,$C$3))</f>
        <v/>
      </c>
      <c r="S82" s="111" t="str">
        <f aca="false">IF($B82="","",SUMIFS('سجل الإجازات والحالات'!$N$6:$N$505,'سجل الإجازات والحالات'!$B$6:$B$505,$B82,'سجل الإجازات والحالات'!$O$6:$O$505,$C$3))</f>
        <v/>
      </c>
      <c r="T82" s="152" t="str">
        <f aca="false">IF($B82="","",SUM(K82:N82)+SUM(P82:S82))</f>
        <v/>
      </c>
      <c r="U82" s="111" t="str">
        <f aca="false">IF($B82="","",الموظفون!$S82*IF(E82="سعودي",cfg_G_SE,cfg_G_NE)*G82/cfg_DAYS_M)</f>
        <v/>
      </c>
      <c r="V82" s="111" t="str">
        <f aca="false">IF($B82="","",SUMIFS('الحركات الشهرية'!$I$6:$I$1005,'الحركات الشهرية'!$B$6:$B$1005,$B82,'الحركات الشهرية'!$A$6:$A$1005,$C$3))</f>
        <v/>
      </c>
      <c r="W82" s="111" t="str">
        <f aca="false">IF($B82="","",SUMIFS('الحركات الشهرية'!$J$6:$J$1005,'الحركات الشهرية'!$B$6:$B$1005,$B82,'الحركات الشهرية'!$A$6:$A$1005,$C$3))</f>
        <v/>
      </c>
      <c r="X82" s="111" t="str">
        <f aca="false">IF($B82="","",SUM(U82:W82))</f>
        <v/>
      </c>
      <c r="Y82" s="153" t="str">
        <f aca="false">IF($B82="","",T82-X82)</f>
        <v/>
      </c>
      <c r="Z82" s="111" t="str">
        <f aca="false">IF($B82="","",الموظفون!$S82*IF(E82="سعودي",cfg_G_SR,cfg_G_NR)*G82/cfg_DAYS_M)</f>
        <v/>
      </c>
      <c r="AA82" s="111" t="str">
        <f aca="false">IF($B82="","",الموظفون!$Q82*(cfg_EOS_R1*(MIN(AH82,cfg_EOS_TH)-MIN(AI82,cfg_EOS_TH))+cfg_EOS_R2*(MAX(AH82-cfg_EOS_TH,0)-MAX(AI82-cfg_EOS_TH,0))))</f>
        <v/>
      </c>
      <c r="AB82" s="111" t="str">
        <f aca="false">IF($B82="","",IF(الموظفون!$T82&lt;&gt;"",الموظفون!$T82,IF(AH82&gt;=cfg_LV_TH,cfg_LV_D2,cfg_LV_D1))/cfg_DAYS_Y*AJ82*الموظفون!$R82/cfg_DAYS_M)</f>
        <v/>
      </c>
      <c r="AC82" s="111" t="str">
        <f aca="false">IF($B82="","",IF(AND(الموظفون!$U82="نعم",N(الموظفون!$W82)&gt;0),الموظفون!$V82/الموظفون!$W82*12/cfg_DAYS_Y*AJ82,0))</f>
        <v/>
      </c>
      <c r="AD82" s="111" t="str">
        <f aca="false">IF($B82="","",(IF(الموظفون!$X82&lt;&gt;"",الموظفون!$X82,IF(الموظفون!$E82="غير سعودي",cfg_IQ,0))+IF(الموظفون!$Y82&lt;&gt;"",الموظفون!$Y82,IF(الموظفون!$E82="غير سعودي",cfg_WP,0)))/12*G82/cfg_DAYS_M)</f>
        <v/>
      </c>
      <c r="AE82" s="111" t="str">
        <f aca="false">IF($B82="","",IF(الموظفون!$Z82&lt;&gt;"",الموظفون!$Z82,cfg_MED)/12*G82/cfg_DAYS_M)</f>
        <v/>
      </c>
      <c r="AF82" s="111" t="str">
        <f aca="false">IF($B82="","",N(الموظفون!$AA82)/12*G82/cfg_DAYS_M)</f>
        <v/>
      </c>
      <c r="AG82" s="154" t="str">
        <f aca="false">IF($B82="","",T82+SUM(Z82:AF82))</f>
        <v/>
      </c>
      <c r="AH82" s="155" t="str">
        <f aca="false">IF($B82="","",MAX(0,IF(OR(الموظفون!$AE82="",الموظفون!$AE82&gt;$F$3),$F$3,الموظفون!$AE82)-الموظفون!$H82+1-SUMIFS('سجل الإجازات والحالات'!$AI$6:$AI$505,'سجل الإجازات والحالات'!$B$6:$B$505,$B82))/cfg_DAYS_Y)</f>
        <v/>
      </c>
      <c r="AI82" s="155" t="str">
        <f aca="false">IF($B82="","",MAX(0,IF(OR(الموظفون!$AE82="",الموظفون!$AE82&gt;($E$3-1)),($E$3-1),الموظفون!$AE82)-الموظفون!$H82+1-SUMIFS('سجل الإجازات والحالات'!$AH$6:$AH$505,'سجل الإجازات والحالات'!$B$6:$B$505,$B82))/cfg_DAYS_Y)</f>
        <v/>
      </c>
      <c r="AJ82" s="65" t="str">
        <f aca="false">IF($B82="","",MAX(0,AK82-(SUMIFS('سجل الإجازات والحالات'!$AI$6:$AI$505,'سجل الإجازات والحالات'!$B$6:$B$505,$B82)-SUMIFS('سجل الإجازات والحالات'!$AH$6:$AH$505,'سجل الإجازات والحالات'!$B$6:$B$505,$B82))))</f>
        <v/>
      </c>
      <c r="AK82" s="65" t="str">
        <f aca="false">IF($B82="","",MAX(0,IF(OR(الموظفون!$AE82="",الموظفون!$AE82&gt;$F$3),$F$3,الموظفون!$AE82)-MAX($E$3,الموظفون!$H82)+1))</f>
        <v/>
      </c>
      <c r="AL82" s="151" t="str">
        <f aca="false">IF($B82="","",SUMIFS('سجل الإجازات والحالات'!$AU$6:$AU$505,'سجل الإجازات والحالات'!$B$6:$B$505,$B82)+SUMIFS('الحركات الشهرية'!$K$6:$K$1005,'الحركات الشهرية'!$B$6:$B$1005,$B82,'الحركات الشهرية'!$A$6:$A$1005,$C$3))</f>
        <v/>
      </c>
      <c r="AM82" s="111" t="str">
        <f aca="false">IF($B82="","",AL82*الموظفون!$R82/cfg_DAYS_M+S82)</f>
        <v/>
      </c>
      <c r="AN82" s="151" t="str">
        <f aca="false">IF($B82="","",SUMIFS('سجل الإجازات والحالات'!$W$6:$W$505,'سجل الإجازات والحالات'!$B$6:$B$505,$B82))</f>
        <v/>
      </c>
    </row>
    <row r="83" customFormat="false" ht="15" hidden="false" customHeight="false" outlineLevel="0" collapsed="false">
      <c r="A83" s="115" t="str">
        <f aca="false">IF($B83="","",الموظفون!$A83)</f>
        <v/>
      </c>
      <c r="B83" s="117" t="str">
        <f aca="false">IF(الموظفون!$B83="","",الموظفون!$B83)</f>
        <v/>
      </c>
      <c r="C83" s="117" t="str">
        <f aca="false">IF($B83="","",الموظفون!$C83)</f>
        <v/>
      </c>
      <c r="D83" s="117" t="str">
        <f aca="false">IF($B83="","",الموظفون!$F83)</f>
        <v/>
      </c>
      <c r="E83" s="117" t="str">
        <f aca="false">IF($B83="","",الموظفون!$E83)</f>
        <v/>
      </c>
      <c r="F83" s="117" t="str">
        <f aca="false">IF($B83="","",IF(AK83=0,IF(AND(الموظفون!$AE83&lt;&gt;"",الموظفون!$AE83&lt;$E$3),"✖ منتهي الخدمة","⏳ لم يباشر"),IF(S83&gt;0,"✈ راتب إجازة مقدم",IF(J83=0,"⛔ بدون راتب هذا الشهر",IF(I83&gt;0,"✈ خصم "&amp;ROUND(I83,2)&amp;" يوم بدون أجر",IF(AL83&gt;0,"🌴 إجازة سنوية "&amp;ROUND(AL83,2)&amp;" يوم",IF(H83&gt;0,"⚠ غياب "&amp;ROUND(H83,2)&amp;" يوم","✔ على رأس العمل")))))))</f>
        <v/>
      </c>
      <c r="G83" s="156" t="str">
        <f aca="false">IF($B83="","",IF(AK83&gt;=DAY($F$3),cfg_DAYS_M,MIN(AK83,cfg_DAYS_M)))</f>
        <v/>
      </c>
      <c r="H83" s="156" t="str">
        <f aca="false">IF($B83="","",SUMIFS('الحركات الشهرية'!$D$6:$D$1005,'الحركات الشهرية'!$B$6:$B$1005,$B83,'الحركات الشهرية'!$A$6:$A$1005,$C$3))</f>
        <v/>
      </c>
      <c r="I83" s="156" t="str">
        <f aca="false">IF($B83="","",MIN(G83,IF(AND(AK83&gt;0,AN83&gt;=AK83),G83,AN83)+SUMIFS('الحركات الشهرية'!$E$6:$E$1005,'الحركات الشهرية'!$B$6:$B$1005,$B83,'الحركات الشهرية'!$A$6:$A$1005,$C$3)))</f>
        <v/>
      </c>
      <c r="J83" s="156" t="str">
        <f aca="false">IF($B83="","",MAX(0,G83-H83-I83))</f>
        <v/>
      </c>
      <c r="K83" s="116" t="str">
        <f aca="false">IF($B83="","",الموظفون!$L83*$J83/cfg_DAYS_M)</f>
        <v/>
      </c>
      <c r="L83" s="116" t="str">
        <f aca="false">IF($B83="","",الموظفون!$M83*$J83/cfg_DAYS_M)</f>
        <v/>
      </c>
      <c r="M83" s="116" t="str">
        <f aca="false">IF($B83="","",الموظفون!$N83*$J83/cfg_DAYS_M)</f>
        <v/>
      </c>
      <c r="N83" s="116" t="str">
        <f aca="false">IF($B83="","",الموظفون!$O83*$J83/cfg_DAYS_M)</f>
        <v/>
      </c>
      <c r="O83" s="156" t="str">
        <f aca="false">IF($B83="","",SUMIFS('الحركات الشهرية'!$F$6:$F$1005,'الحركات الشهرية'!$B$6:$B$1005,$B83,'الحركات الشهرية'!$A$6:$A$1005,$C$3))</f>
        <v/>
      </c>
      <c r="P83" s="116" t="str">
        <f aca="false">IF($B83="","",O83*(الموظفون!$P83+الموظفون!$L83*cfg_OT_P)/cfg_DAYS_M/cfg_HRS)</f>
        <v/>
      </c>
      <c r="Q83" s="116" t="str">
        <f aca="false">IF($B83="","",SUMIFS('الحركات الشهرية'!$G$6:$G$1005,'الحركات الشهرية'!$B$6:$B$1005,$B83,'الحركات الشهرية'!$A$6:$A$1005,$C$3))</f>
        <v/>
      </c>
      <c r="R83" s="116" t="str">
        <f aca="false">IF($B83="","",SUMIFS('الحركات الشهرية'!$H$6:$H$1005,'الحركات الشهرية'!$B$6:$B$1005,$B83,'الحركات الشهرية'!$A$6:$A$1005,$C$3))</f>
        <v/>
      </c>
      <c r="S83" s="116" t="str">
        <f aca="false">IF($B83="","",SUMIFS('سجل الإجازات والحالات'!$N$6:$N$505,'سجل الإجازات والحالات'!$B$6:$B$505,$B83,'سجل الإجازات والحالات'!$O$6:$O$505,$C$3))</f>
        <v/>
      </c>
      <c r="T83" s="157" t="str">
        <f aca="false">IF($B83="","",SUM(K83:N83)+SUM(P83:S83))</f>
        <v/>
      </c>
      <c r="U83" s="116" t="str">
        <f aca="false">IF($B83="","",الموظفون!$S83*IF(E83="سعودي",cfg_G_SE,cfg_G_NE)*G83/cfg_DAYS_M)</f>
        <v/>
      </c>
      <c r="V83" s="116" t="str">
        <f aca="false">IF($B83="","",SUMIFS('الحركات الشهرية'!$I$6:$I$1005,'الحركات الشهرية'!$B$6:$B$1005,$B83,'الحركات الشهرية'!$A$6:$A$1005,$C$3))</f>
        <v/>
      </c>
      <c r="W83" s="116" t="str">
        <f aca="false">IF($B83="","",SUMIFS('الحركات الشهرية'!$J$6:$J$1005,'الحركات الشهرية'!$B$6:$B$1005,$B83,'الحركات الشهرية'!$A$6:$A$1005,$C$3))</f>
        <v/>
      </c>
      <c r="X83" s="116" t="str">
        <f aca="false">IF($B83="","",SUM(U83:W83))</f>
        <v/>
      </c>
      <c r="Y83" s="158" t="str">
        <f aca="false">IF($B83="","",T83-X83)</f>
        <v/>
      </c>
      <c r="Z83" s="116" t="str">
        <f aca="false">IF($B83="","",الموظفون!$S83*IF(E83="سعودي",cfg_G_SR,cfg_G_NR)*G83/cfg_DAYS_M)</f>
        <v/>
      </c>
      <c r="AA83" s="116" t="str">
        <f aca="false">IF($B83="","",الموظفون!$Q83*(cfg_EOS_R1*(MIN(AH83,cfg_EOS_TH)-MIN(AI83,cfg_EOS_TH))+cfg_EOS_R2*(MAX(AH83-cfg_EOS_TH,0)-MAX(AI83-cfg_EOS_TH,0))))</f>
        <v/>
      </c>
      <c r="AB83" s="116" t="str">
        <f aca="false">IF($B83="","",IF(الموظفون!$T83&lt;&gt;"",الموظفون!$T83,IF(AH83&gt;=cfg_LV_TH,cfg_LV_D2,cfg_LV_D1))/cfg_DAYS_Y*AJ83*الموظفون!$R83/cfg_DAYS_M)</f>
        <v/>
      </c>
      <c r="AC83" s="116" t="str">
        <f aca="false">IF($B83="","",IF(AND(الموظفون!$U83="نعم",N(الموظفون!$W83)&gt;0),الموظفون!$V83/الموظفون!$W83*12/cfg_DAYS_Y*AJ83,0))</f>
        <v/>
      </c>
      <c r="AD83" s="116" t="str">
        <f aca="false">IF($B83="","",(IF(الموظفون!$X83&lt;&gt;"",الموظفون!$X83,IF(الموظفون!$E83="غير سعودي",cfg_IQ,0))+IF(الموظفون!$Y83&lt;&gt;"",الموظفون!$Y83,IF(الموظفون!$E83="غير سعودي",cfg_WP,0)))/12*G83/cfg_DAYS_M)</f>
        <v/>
      </c>
      <c r="AE83" s="116" t="str">
        <f aca="false">IF($B83="","",IF(الموظفون!$Z83&lt;&gt;"",الموظفون!$Z83,cfg_MED)/12*G83/cfg_DAYS_M)</f>
        <v/>
      </c>
      <c r="AF83" s="116" t="str">
        <f aca="false">IF($B83="","",N(الموظفون!$AA83)/12*G83/cfg_DAYS_M)</f>
        <v/>
      </c>
      <c r="AG83" s="159" t="str">
        <f aca="false">IF($B83="","",T83+SUM(Z83:AF83))</f>
        <v/>
      </c>
      <c r="AH83" s="160" t="str">
        <f aca="false">IF($B83="","",MAX(0,IF(OR(الموظفون!$AE83="",الموظفون!$AE83&gt;$F$3),$F$3,الموظفون!$AE83)-الموظفون!$H83+1-SUMIFS('سجل الإجازات والحالات'!$AI$6:$AI$505,'سجل الإجازات والحالات'!$B$6:$B$505,$B83))/cfg_DAYS_Y)</f>
        <v/>
      </c>
      <c r="AI83" s="160" t="str">
        <f aca="false">IF($B83="","",MAX(0,IF(OR(الموظفون!$AE83="",الموظفون!$AE83&gt;($E$3-1)),($E$3-1),الموظفون!$AE83)-الموظفون!$H83+1-SUMIFS('سجل الإجازات والحالات'!$AH$6:$AH$505,'سجل الإجازات والحالات'!$B$6:$B$505,$B83))/cfg_DAYS_Y)</f>
        <v/>
      </c>
      <c r="AJ83" s="133" t="str">
        <f aca="false">IF($B83="","",MAX(0,AK83-(SUMIFS('سجل الإجازات والحالات'!$AI$6:$AI$505,'سجل الإجازات والحالات'!$B$6:$B$505,$B83)-SUMIFS('سجل الإجازات والحالات'!$AH$6:$AH$505,'سجل الإجازات والحالات'!$B$6:$B$505,$B83))))</f>
        <v/>
      </c>
      <c r="AK83" s="133" t="str">
        <f aca="false">IF($B83="","",MAX(0,IF(OR(الموظفون!$AE83="",الموظفون!$AE83&gt;$F$3),$F$3,الموظفون!$AE83)-MAX($E$3,الموظفون!$H83)+1))</f>
        <v/>
      </c>
      <c r="AL83" s="156" t="str">
        <f aca="false">IF($B83="","",SUMIFS('سجل الإجازات والحالات'!$AU$6:$AU$505,'سجل الإجازات والحالات'!$B$6:$B$505,$B83)+SUMIFS('الحركات الشهرية'!$K$6:$K$1005,'الحركات الشهرية'!$B$6:$B$1005,$B83,'الحركات الشهرية'!$A$6:$A$1005,$C$3))</f>
        <v/>
      </c>
      <c r="AM83" s="116" t="str">
        <f aca="false">IF($B83="","",AL83*الموظفون!$R83/cfg_DAYS_M+S83)</f>
        <v/>
      </c>
      <c r="AN83" s="156" t="str">
        <f aca="false">IF($B83="","",SUMIFS('سجل الإجازات والحالات'!$W$6:$W$505,'سجل الإجازات والحالات'!$B$6:$B$505,$B83))</f>
        <v/>
      </c>
    </row>
    <row r="84" customFormat="false" ht="15" hidden="false" customHeight="false" outlineLevel="0" collapsed="false">
      <c r="A84" s="106" t="str">
        <f aca="false">IF($B84="","",الموظفون!$A84)</f>
        <v/>
      </c>
      <c r="B84" s="114" t="str">
        <f aca="false">IF(الموظفون!$B84="","",الموظفون!$B84)</f>
        <v/>
      </c>
      <c r="C84" s="114" t="str">
        <f aca="false">IF($B84="","",الموظفون!$C84)</f>
        <v/>
      </c>
      <c r="D84" s="114" t="str">
        <f aca="false">IF($B84="","",الموظفون!$F84)</f>
        <v/>
      </c>
      <c r="E84" s="114" t="str">
        <f aca="false">IF($B84="","",الموظفون!$E84)</f>
        <v/>
      </c>
      <c r="F84" s="114" t="str">
        <f aca="false">IF($B84="","",IF(AK84=0,IF(AND(الموظفون!$AE84&lt;&gt;"",الموظفون!$AE84&lt;$E$3),"✖ منتهي الخدمة","⏳ لم يباشر"),IF(S84&gt;0,"✈ راتب إجازة مقدم",IF(J84=0,"⛔ بدون راتب هذا الشهر",IF(I84&gt;0,"✈ خصم "&amp;ROUND(I84,2)&amp;" يوم بدون أجر",IF(AL84&gt;0,"🌴 إجازة سنوية "&amp;ROUND(AL84,2)&amp;" يوم",IF(H84&gt;0,"⚠ غياب "&amp;ROUND(H84,2)&amp;" يوم","✔ على رأس العمل")))))))</f>
        <v/>
      </c>
      <c r="G84" s="151" t="str">
        <f aca="false">IF($B84="","",IF(AK84&gt;=DAY($F$3),cfg_DAYS_M,MIN(AK84,cfg_DAYS_M)))</f>
        <v/>
      </c>
      <c r="H84" s="151" t="str">
        <f aca="false">IF($B84="","",SUMIFS('الحركات الشهرية'!$D$6:$D$1005,'الحركات الشهرية'!$B$6:$B$1005,$B84,'الحركات الشهرية'!$A$6:$A$1005,$C$3))</f>
        <v/>
      </c>
      <c r="I84" s="151" t="str">
        <f aca="false">IF($B84="","",MIN(G84,IF(AND(AK84&gt;0,AN84&gt;=AK84),G84,AN84)+SUMIFS('الحركات الشهرية'!$E$6:$E$1005,'الحركات الشهرية'!$B$6:$B$1005,$B84,'الحركات الشهرية'!$A$6:$A$1005,$C$3)))</f>
        <v/>
      </c>
      <c r="J84" s="151" t="str">
        <f aca="false">IF($B84="","",MAX(0,G84-H84-I84))</f>
        <v/>
      </c>
      <c r="K84" s="111" t="str">
        <f aca="false">IF($B84="","",الموظفون!$L84*$J84/cfg_DAYS_M)</f>
        <v/>
      </c>
      <c r="L84" s="111" t="str">
        <f aca="false">IF($B84="","",الموظفون!$M84*$J84/cfg_DAYS_M)</f>
        <v/>
      </c>
      <c r="M84" s="111" t="str">
        <f aca="false">IF($B84="","",الموظفون!$N84*$J84/cfg_DAYS_M)</f>
        <v/>
      </c>
      <c r="N84" s="111" t="str">
        <f aca="false">IF($B84="","",الموظفون!$O84*$J84/cfg_DAYS_M)</f>
        <v/>
      </c>
      <c r="O84" s="151" t="str">
        <f aca="false">IF($B84="","",SUMIFS('الحركات الشهرية'!$F$6:$F$1005,'الحركات الشهرية'!$B$6:$B$1005,$B84,'الحركات الشهرية'!$A$6:$A$1005,$C$3))</f>
        <v/>
      </c>
      <c r="P84" s="111" t="str">
        <f aca="false">IF($B84="","",O84*(الموظفون!$P84+الموظفون!$L84*cfg_OT_P)/cfg_DAYS_M/cfg_HRS)</f>
        <v/>
      </c>
      <c r="Q84" s="111" t="str">
        <f aca="false">IF($B84="","",SUMIFS('الحركات الشهرية'!$G$6:$G$1005,'الحركات الشهرية'!$B$6:$B$1005,$B84,'الحركات الشهرية'!$A$6:$A$1005,$C$3))</f>
        <v/>
      </c>
      <c r="R84" s="111" t="str">
        <f aca="false">IF($B84="","",SUMIFS('الحركات الشهرية'!$H$6:$H$1005,'الحركات الشهرية'!$B$6:$B$1005,$B84,'الحركات الشهرية'!$A$6:$A$1005,$C$3))</f>
        <v/>
      </c>
      <c r="S84" s="111" t="str">
        <f aca="false">IF($B84="","",SUMIFS('سجل الإجازات والحالات'!$N$6:$N$505,'سجل الإجازات والحالات'!$B$6:$B$505,$B84,'سجل الإجازات والحالات'!$O$6:$O$505,$C$3))</f>
        <v/>
      </c>
      <c r="T84" s="152" t="str">
        <f aca="false">IF($B84="","",SUM(K84:N84)+SUM(P84:S84))</f>
        <v/>
      </c>
      <c r="U84" s="111" t="str">
        <f aca="false">IF($B84="","",الموظفون!$S84*IF(E84="سعودي",cfg_G_SE,cfg_G_NE)*G84/cfg_DAYS_M)</f>
        <v/>
      </c>
      <c r="V84" s="111" t="str">
        <f aca="false">IF($B84="","",SUMIFS('الحركات الشهرية'!$I$6:$I$1005,'الحركات الشهرية'!$B$6:$B$1005,$B84,'الحركات الشهرية'!$A$6:$A$1005,$C$3))</f>
        <v/>
      </c>
      <c r="W84" s="111" t="str">
        <f aca="false">IF($B84="","",SUMIFS('الحركات الشهرية'!$J$6:$J$1005,'الحركات الشهرية'!$B$6:$B$1005,$B84,'الحركات الشهرية'!$A$6:$A$1005,$C$3))</f>
        <v/>
      </c>
      <c r="X84" s="111" t="str">
        <f aca="false">IF($B84="","",SUM(U84:W84))</f>
        <v/>
      </c>
      <c r="Y84" s="153" t="str">
        <f aca="false">IF($B84="","",T84-X84)</f>
        <v/>
      </c>
      <c r="Z84" s="111" t="str">
        <f aca="false">IF($B84="","",الموظفون!$S84*IF(E84="سعودي",cfg_G_SR,cfg_G_NR)*G84/cfg_DAYS_M)</f>
        <v/>
      </c>
      <c r="AA84" s="111" t="str">
        <f aca="false">IF($B84="","",الموظفون!$Q84*(cfg_EOS_R1*(MIN(AH84,cfg_EOS_TH)-MIN(AI84,cfg_EOS_TH))+cfg_EOS_R2*(MAX(AH84-cfg_EOS_TH,0)-MAX(AI84-cfg_EOS_TH,0))))</f>
        <v/>
      </c>
      <c r="AB84" s="111" t="str">
        <f aca="false">IF($B84="","",IF(الموظفون!$T84&lt;&gt;"",الموظفون!$T84,IF(AH84&gt;=cfg_LV_TH,cfg_LV_D2,cfg_LV_D1))/cfg_DAYS_Y*AJ84*الموظفون!$R84/cfg_DAYS_M)</f>
        <v/>
      </c>
      <c r="AC84" s="111" t="str">
        <f aca="false">IF($B84="","",IF(AND(الموظفون!$U84="نعم",N(الموظفون!$W84)&gt;0),الموظفون!$V84/الموظفون!$W84*12/cfg_DAYS_Y*AJ84,0))</f>
        <v/>
      </c>
      <c r="AD84" s="111" t="str">
        <f aca="false">IF($B84="","",(IF(الموظفون!$X84&lt;&gt;"",الموظفون!$X84,IF(الموظفون!$E84="غير سعودي",cfg_IQ,0))+IF(الموظفون!$Y84&lt;&gt;"",الموظفون!$Y84,IF(الموظفون!$E84="غير سعودي",cfg_WP,0)))/12*G84/cfg_DAYS_M)</f>
        <v/>
      </c>
      <c r="AE84" s="111" t="str">
        <f aca="false">IF($B84="","",IF(الموظفون!$Z84&lt;&gt;"",الموظفون!$Z84,cfg_MED)/12*G84/cfg_DAYS_M)</f>
        <v/>
      </c>
      <c r="AF84" s="111" t="str">
        <f aca="false">IF($B84="","",N(الموظفون!$AA84)/12*G84/cfg_DAYS_M)</f>
        <v/>
      </c>
      <c r="AG84" s="154" t="str">
        <f aca="false">IF($B84="","",T84+SUM(Z84:AF84))</f>
        <v/>
      </c>
      <c r="AH84" s="155" t="str">
        <f aca="false">IF($B84="","",MAX(0,IF(OR(الموظفون!$AE84="",الموظفون!$AE84&gt;$F$3),$F$3,الموظفون!$AE84)-الموظفون!$H84+1-SUMIFS('سجل الإجازات والحالات'!$AI$6:$AI$505,'سجل الإجازات والحالات'!$B$6:$B$505,$B84))/cfg_DAYS_Y)</f>
        <v/>
      </c>
      <c r="AI84" s="155" t="str">
        <f aca="false">IF($B84="","",MAX(0,IF(OR(الموظفون!$AE84="",الموظفون!$AE84&gt;($E$3-1)),($E$3-1),الموظفون!$AE84)-الموظفون!$H84+1-SUMIFS('سجل الإجازات والحالات'!$AH$6:$AH$505,'سجل الإجازات والحالات'!$B$6:$B$505,$B84))/cfg_DAYS_Y)</f>
        <v/>
      </c>
      <c r="AJ84" s="65" t="str">
        <f aca="false">IF($B84="","",MAX(0,AK84-(SUMIFS('سجل الإجازات والحالات'!$AI$6:$AI$505,'سجل الإجازات والحالات'!$B$6:$B$505,$B84)-SUMIFS('سجل الإجازات والحالات'!$AH$6:$AH$505,'سجل الإجازات والحالات'!$B$6:$B$505,$B84))))</f>
        <v/>
      </c>
      <c r="AK84" s="65" t="str">
        <f aca="false">IF($B84="","",MAX(0,IF(OR(الموظفون!$AE84="",الموظفون!$AE84&gt;$F$3),$F$3,الموظفون!$AE84)-MAX($E$3,الموظفون!$H84)+1))</f>
        <v/>
      </c>
      <c r="AL84" s="151" t="str">
        <f aca="false">IF($B84="","",SUMIFS('سجل الإجازات والحالات'!$AU$6:$AU$505,'سجل الإجازات والحالات'!$B$6:$B$505,$B84)+SUMIFS('الحركات الشهرية'!$K$6:$K$1005,'الحركات الشهرية'!$B$6:$B$1005,$B84,'الحركات الشهرية'!$A$6:$A$1005,$C$3))</f>
        <v/>
      </c>
      <c r="AM84" s="111" t="str">
        <f aca="false">IF($B84="","",AL84*الموظفون!$R84/cfg_DAYS_M+S84)</f>
        <v/>
      </c>
      <c r="AN84" s="151" t="str">
        <f aca="false">IF($B84="","",SUMIFS('سجل الإجازات والحالات'!$W$6:$W$505,'سجل الإجازات والحالات'!$B$6:$B$505,$B84))</f>
        <v/>
      </c>
    </row>
    <row r="85" customFormat="false" ht="15" hidden="false" customHeight="false" outlineLevel="0" collapsed="false">
      <c r="A85" s="115" t="str">
        <f aca="false">IF($B85="","",الموظفون!$A85)</f>
        <v/>
      </c>
      <c r="B85" s="117" t="str">
        <f aca="false">IF(الموظفون!$B85="","",الموظفون!$B85)</f>
        <v/>
      </c>
      <c r="C85" s="117" t="str">
        <f aca="false">IF($B85="","",الموظفون!$C85)</f>
        <v/>
      </c>
      <c r="D85" s="117" t="str">
        <f aca="false">IF($B85="","",الموظفون!$F85)</f>
        <v/>
      </c>
      <c r="E85" s="117" t="str">
        <f aca="false">IF($B85="","",الموظفون!$E85)</f>
        <v/>
      </c>
      <c r="F85" s="117" t="str">
        <f aca="false">IF($B85="","",IF(AK85=0,IF(AND(الموظفون!$AE85&lt;&gt;"",الموظفون!$AE85&lt;$E$3),"✖ منتهي الخدمة","⏳ لم يباشر"),IF(S85&gt;0,"✈ راتب إجازة مقدم",IF(J85=0,"⛔ بدون راتب هذا الشهر",IF(I85&gt;0,"✈ خصم "&amp;ROUND(I85,2)&amp;" يوم بدون أجر",IF(AL85&gt;0,"🌴 إجازة سنوية "&amp;ROUND(AL85,2)&amp;" يوم",IF(H85&gt;0,"⚠ غياب "&amp;ROUND(H85,2)&amp;" يوم","✔ على رأس العمل")))))))</f>
        <v/>
      </c>
      <c r="G85" s="156" t="str">
        <f aca="false">IF($B85="","",IF(AK85&gt;=DAY($F$3),cfg_DAYS_M,MIN(AK85,cfg_DAYS_M)))</f>
        <v/>
      </c>
      <c r="H85" s="156" t="str">
        <f aca="false">IF($B85="","",SUMIFS('الحركات الشهرية'!$D$6:$D$1005,'الحركات الشهرية'!$B$6:$B$1005,$B85,'الحركات الشهرية'!$A$6:$A$1005,$C$3))</f>
        <v/>
      </c>
      <c r="I85" s="156" t="str">
        <f aca="false">IF($B85="","",MIN(G85,IF(AND(AK85&gt;0,AN85&gt;=AK85),G85,AN85)+SUMIFS('الحركات الشهرية'!$E$6:$E$1005,'الحركات الشهرية'!$B$6:$B$1005,$B85,'الحركات الشهرية'!$A$6:$A$1005,$C$3)))</f>
        <v/>
      </c>
      <c r="J85" s="156" t="str">
        <f aca="false">IF($B85="","",MAX(0,G85-H85-I85))</f>
        <v/>
      </c>
      <c r="K85" s="116" t="str">
        <f aca="false">IF($B85="","",الموظفون!$L85*$J85/cfg_DAYS_M)</f>
        <v/>
      </c>
      <c r="L85" s="116" t="str">
        <f aca="false">IF($B85="","",الموظفون!$M85*$J85/cfg_DAYS_M)</f>
        <v/>
      </c>
      <c r="M85" s="116" t="str">
        <f aca="false">IF($B85="","",الموظفون!$N85*$J85/cfg_DAYS_M)</f>
        <v/>
      </c>
      <c r="N85" s="116" t="str">
        <f aca="false">IF($B85="","",الموظفون!$O85*$J85/cfg_DAYS_M)</f>
        <v/>
      </c>
      <c r="O85" s="156" t="str">
        <f aca="false">IF($B85="","",SUMIFS('الحركات الشهرية'!$F$6:$F$1005,'الحركات الشهرية'!$B$6:$B$1005,$B85,'الحركات الشهرية'!$A$6:$A$1005,$C$3))</f>
        <v/>
      </c>
      <c r="P85" s="116" t="str">
        <f aca="false">IF($B85="","",O85*(الموظفون!$P85+الموظفون!$L85*cfg_OT_P)/cfg_DAYS_M/cfg_HRS)</f>
        <v/>
      </c>
      <c r="Q85" s="116" t="str">
        <f aca="false">IF($B85="","",SUMIFS('الحركات الشهرية'!$G$6:$G$1005,'الحركات الشهرية'!$B$6:$B$1005,$B85,'الحركات الشهرية'!$A$6:$A$1005,$C$3))</f>
        <v/>
      </c>
      <c r="R85" s="116" t="str">
        <f aca="false">IF($B85="","",SUMIFS('الحركات الشهرية'!$H$6:$H$1005,'الحركات الشهرية'!$B$6:$B$1005,$B85,'الحركات الشهرية'!$A$6:$A$1005,$C$3))</f>
        <v/>
      </c>
      <c r="S85" s="116" t="str">
        <f aca="false">IF($B85="","",SUMIFS('سجل الإجازات والحالات'!$N$6:$N$505,'سجل الإجازات والحالات'!$B$6:$B$505,$B85,'سجل الإجازات والحالات'!$O$6:$O$505,$C$3))</f>
        <v/>
      </c>
      <c r="T85" s="157" t="str">
        <f aca="false">IF($B85="","",SUM(K85:N85)+SUM(P85:S85))</f>
        <v/>
      </c>
      <c r="U85" s="116" t="str">
        <f aca="false">IF($B85="","",الموظفون!$S85*IF(E85="سعودي",cfg_G_SE,cfg_G_NE)*G85/cfg_DAYS_M)</f>
        <v/>
      </c>
      <c r="V85" s="116" t="str">
        <f aca="false">IF($B85="","",SUMIFS('الحركات الشهرية'!$I$6:$I$1005,'الحركات الشهرية'!$B$6:$B$1005,$B85,'الحركات الشهرية'!$A$6:$A$1005,$C$3))</f>
        <v/>
      </c>
      <c r="W85" s="116" t="str">
        <f aca="false">IF($B85="","",SUMIFS('الحركات الشهرية'!$J$6:$J$1005,'الحركات الشهرية'!$B$6:$B$1005,$B85,'الحركات الشهرية'!$A$6:$A$1005,$C$3))</f>
        <v/>
      </c>
      <c r="X85" s="116" t="str">
        <f aca="false">IF($B85="","",SUM(U85:W85))</f>
        <v/>
      </c>
      <c r="Y85" s="158" t="str">
        <f aca="false">IF($B85="","",T85-X85)</f>
        <v/>
      </c>
      <c r="Z85" s="116" t="str">
        <f aca="false">IF($B85="","",الموظفون!$S85*IF(E85="سعودي",cfg_G_SR,cfg_G_NR)*G85/cfg_DAYS_M)</f>
        <v/>
      </c>
      <c r="AA85" s="116" t="str">
        <f aca="false">IF($B85="","",الموظفون!$Q85*(cfg_EOS_R1*(MIN(AH85,cfg_EOS_TH)-MIN(AI85,cfg_EOS_TH))+cfg_EOS_R2*(MAX(AH85-cfg_EOS_TH,0)-MAX(AI85-cfg_EOS_TH,0))))</f>
        <v/>
      </c>
      <c r="AB85" s="116" t="str">
        <f aca="false">IF($B85="","",IF(الموظفون!$T85&lt;&gt;"",الموظفون!$T85,IF(AH85&gt;=cfg_LV_TH,cfg_LV_D2,cfg_LV_D1))/cfg_DAYS_Y*AJ85*الموظفون!$R85/cfg_DAYS_M)</f>
        <v/>
      </c>
      <c r="AC85" s="116" t="str">
        <f aca="false">IF($B85="","",IF(AND(الموظفون!$U85="نعم",N(الموظفون!$W85)&gt;0),الموظفون!$V85/الموظفون!$W85*12/cfg_DAYS_Y*AJ85,0))</f>
        <v/>
      </c>
      <c r="AD85" s="116" t="str">
        <f aca="false">IF($B85="","",(IF(الموظفون!$X85&lt;&gt;"",الموظفون!$X85,IF(الموظفون!$E85="غير سعودي",cfg_IQ,0))+IF(الموظفون!$Y85&lt;&gt;"",الموظفون!$Y85,IF(الموظفون!$E85="غير سعودي",cfg_WP,0)))/12*G85/cfg_DAYS_M)</f>
        <v/>
      </c>
      <c r="AE85" s="116" t="str">
        <f aca="false">IF($B85="","",IF(الموظفون!$Z85&lt;&gt;"",الموظفون!$Z85,cfg_MED)/12*G85/cfg_DAYS_M)</f>
        <v/>
      </c>
      <c r="AF85" s="116" t="str">
        <f aca="false">IF($B85="","",N(الموظفون!$AA85)/12*G85/cfg_DAYS_M)</f>
        <v/>
      </c>
      <c r="AG85" s="159" t="str">
        <f aca="false">IF($B85="","",T85+SUM(Z85:AF85))</f>
        <v/>
      </c>
      <c r="AH85" s="160" t="str">
        <f aca="false">IF($B85="","",MAX(0,IF(OR(الموظفون!$AE85="",الموظفون!$AE85&gt;$F$3),$F$3,الموظفون!$AE85)-الموظفون!$H85+1-SUMIFS('سجل الإجازات والحالات'!$AI$6:$AI$505,'سجل الإجازات والحالات'!$B$6:$B$505,$B85))/cfg_DAYS_Y)</f>
        <v/>
      </c>
      <c r="AI85" s="160" t="str">
        <f aca="false">IF($B85="","",MAX(0,IF(OR(الموظفون!$AE85="",الموظفون!$AE85&gt;($E$3-1)),($E$3-1),الموظفون!$AE85)-الموظفون!$H85+1-SUMIFS('سجل الإجازات والحالات'!$AH$6:$AH$505,'سجل الإجازات والحالات'!$B$6:$B$505,$B85))/cfg_DAYS_Y)</f>
        <v/>
      </c>
      <c r="AJ85" s="133" t="str">
        <f aca="false">IF($B85="","",MAX(0,AK85-(SUMIFS('سجل الإجازات والحالات'!$AI$6:$AI$505,'سجل الإجازات والحالات'!$B$6:$B$505,$B85)-SUMIFS('سجل الإجازات والحالات'!$AH$6:$AH$505,'سجل الإجازات والحالات'!$B$6:$B$505,$B85))))</f>
        <v/>
      </c>
      <c r="AK85" s="133" t="str">
        <f aca="false">IF($B85="","",MAX(0,IF(OR(الموظفون!$AE85="",الموظفون!$AE85&gt;$F$3),$F$3,الموظفون!$AE85)-MAX($E$3,الموظفون!$H85)+1))</f>
        <v/>
      </c>
      <c r="AL85" s="156" t="str">
        <f aca="false">IF($B85="","",SUMIFS('سجل الإجازات والحالات'!$AU$6:$AU$505,'سجل الإجازات والحالات'!$B$6:$B$505,$B85)+SUMIFS('الحركات الشهرية'!$K$6:$K$1005,'الحركات الشهرية'!$B$6:$B$1005,$B85,'الحركات الشهرية'!$A$6:$A$1005,$C$3))</f>
        <v/>
      </c>
      <c r="AM85" s="116" t="str">
        <f aca="false">IF($B85="","",AL85*الموظفون!$R85/cfg_DAYS_M+S85)</f>
        <v/>
      </c>
      <c r="AN85" s="156" t="str">
        <f aca="false">IF($B85="","",SUMIFS('سجل الإجازات والحالات'!$W$6:$W$505,'سجل الإجازات والحالات'!$B$6:$B$505,$B85))</f>
        <v/>
      </c>
    </row>
    <row r="86" customFormat="false" ht="15" hidden="false" customHeight="false" outlineLevel="0" collapsed="false">
      <c r="A86" s="106" t="str">
        <f aca="false">IF($B86="","",الموظفون!$A86)</f>
        <v/>
      </c>
      <c r="B86" s="114" t="str">
        <f aca="false">IF(الموظفون!$B86="","",الموظفون!$B86)</f>
        <v/>
      </c>
      <c r="C86" s="114" t="str">
        <f aca="false">IF($B86="","",الموظفون!$C86)</f>
        <v/>
      </c>
      <c r="D86" s="114" t="str">
        <f aca="false">IF($B86="","",الموظفون!$F86)</f>
        <v/>
      </c>
      <c r="E86" s="114" t="str">
        <f aca="false">IF($B86="","",الموظفون!$E86)</f>
        <v/>
      </c>
      <c r="F86" s="114" t="str">
        <f aca="false">IF($B86="","",IF(AK86=0,IF(AND(الموظفون!$AE86&lt;&gt;"",الموظفون!$AE86&lt;$E$3),"✖ منتهي الخدمة","⏳ لم يباشر"),IF(S86&gt;0,"✈ راتب إجازة مقدم",IF(J86=0,"⛔ بدون راتب هذا الشهر",IF(I86&gt;0,"✈ خصم "&amp;ROUND(I86,2)&amp;" يوم بدون أجر",IF(AL86&gt;0,"🌴 إجازة سنوية "&amp;ROUND(AL86,2)&amp;" يوم",IF(H86&gt;0,"⚠ غياب "&amp;ROUND(H86,2)&amp;" يوم","✔ على رأس العمل")))))))</f>
        <v/>
      </c>
      <c r="G86" s="151" t="str">
        <f aca="false">IF($B86="","",IF(AK86&gt;=DAY($F$3),cfg_DAYS_M,MIN(AK86,cfg_DAYS_M)))</f>
        <v/>
      </c>
      <c r="H86" s="151" t="str">
        <f aca="false">IF($B86="","",SUMIFS('الحركات الشهرية'!$D$6:$D$1005,'الحركات الشهرية'!$B$6:$B$1005,$B86,'الحركات الشهرية'!$A$6:$A$1005,$C$3))</f>
        <v/>
      </c>
      <c r="I86" s="151" t="str">
        <f aca="false">IF($B86="","",MIN(G86,IF(AND(AK86&gt;0,AN86&gt;=AK86),G86,AN86)+SUMIFS('الحركات الشهرية'!$E$6:$E$1005,'الحركات الشهرية'!$B$6:$B$1005,$B86,'الحركات الشهرية'!$A$6:$A$1005,$C$3)))</f>
        <v/>
      </c>
      <c r="J86" s="151" t="str">
        <f aca="false">IF($B86="","",MAX(0,G86-H86-I86))</f>
        <v/>
      </c>
      <c r="K86" s="111" t="str">
        <f aca="false">IF($B86="","",الموظفون!$L86*$J86/cfg_DAYS_M)</f>
        <v/>
      </c>
      <c r="L86" s="111" t="str">
        <f aca="false">IF($B86="","",الموظفون!$M86*$J86/cfg_DAYS_M)</f>
        <v/>
      </c>
      <c r="M86" s="111" t="str">
        <f aca="false">IF($B86="","",الموظفون!$N86*$J86/cfg_DAYS_M)</f>
        <v/>
      </c>
      <c r="N86" s="111" t="str">
        <f aca="false">IF($B86="","",الموظفون!$O86*$J86/cfg_DAYS_M)</f>
        <v/>
      </c>
      <c r="O86" s="151" t="str">
        <f aca="false">IF($B86="","",SUMIFS('الحركات الشهرية'!$F$6:$F$1005,'الحركات الشهرية'!$B$6:$B$1005,$B86,'الحركات الشهرية'!$A$6:$A$1005,$C$3))</f>
        <v/>
      </c>
      <c r="P86" s="111" t="str">
        <f aca="false">IF($B86="","",O86*(الموظفون!$P86+الموظفون!$L86*cfg_OT_P)/cfg_DAYS_M/cfg_HRS)</f>
        <v/>
      </c>
      <c r="Q86" s="111" t="str">
        <f aca="false">IF($B86="","",SUMIFS('الحركات الشهرية'!$G$6:$G$1005,'الحركات الشهرية'!$B$6:$B$1005,$B86,'الحركات الشهرية'!$A$6:$A$1005,$C$3))</f>
        <v/>
      </c>
      <c r="R86" s="111" t="str">
        <f aca="false">IF($B86="","",SUMIFS('الحركات الشهرية'!$H$6:$H$1005,'الحركات الشهرية'!$B$6:$B$1005,$B86,'الحركات الشهرية'!$A$6:$A$1005,$C$3))</f>
        <v/>
      </c>
      <c r="S86" s="111" t="str">
        <f aca="false">IF($B86="","",SUMIFS('سجل الإجازات والحالات'!$N$6:$N$505,'سجل الإجازات والحالات'!$B$6:$B$505,$B86,'سجل الإجازات والحالات'!$O$6:$O$505,$C$3))</f>
        <v/>
      </c>
      <c r="T86" s="152" t="str">
        <f aca="false">IF($B86="","",SUM(K86:N86)+SUM(P86:S86))</f>
        <v/>
      </c>
      <c r="U86" s="111" t="str">
        <f aca="false">IF($B86="","",الموظفون!$S86*IF(E86="سعودي",cfg_G_SE,cfg_G_NE)*G86/cfg_DAYS_M)</f>
        <v/>
      </c>
      <c r="V86" s="111" t="str">
        <f aca="false">IF($B86="","",SUMIFS('الحركات الشهرية'!$I$6:$I$1005,'الحركات الشهرية'!$B$6:$B$1005,$B86,'الحركات الشهرية'!$A$6:$A$1005,$C$3))</f>
        <v/>
      </c>
      <c r="W86" s="111" t="str">
        <f aca="false">IF($B86="","",SUMIFS('الحركات الشهرية'!$J$6:$J$1005,'الحركات الشهرية'!$B$6:$B$1005,$B86,'الحركات الشهرية'!$A$6:$A$1005,$C$3))</f>
        <v/>
      </c>
      <c r="X86" s="111" t="str">
        <f aca="false">IF($B86="","",SUM(U86:W86))</f>
        <v/>
      </c>
      <c r="Y86" s="153" t="str">
        <f aca="false">IF($B86="","",T86-X86)</f>
        <v/>
      </c>
      <c r="Z86" s="111" t="str">
        <f aca="false">IF($B86="","",الموظفون!$S86*IF(E86="سعودي",cfg_G_SR,cfg_G_NR)*G86/cfg_DAYS_M)</f>
        <v/>
      </c>
      <c r="AA86" s="111" t="str">
        <f aca="false">IF($B86="","",الموظفون!$Q86*(cfg_EOS_R1*(MIN(AH86,cfg_EOS_TH)-MIN(AI86,cfg_EOS_TH))+cfg_EOS_R2*(MAX(AH86-cfg_EOS_TH,0)-MAX(AI86-cfg_EOS_TH,0))))</f>
        <v/>
      </c>
      <c r="AB86" s="111" t="str">
        <f aca="false">IF($B86="","",IF(الموظفون!$T86&lt;&gt;"",الموظفون!$T86,IF(AH86&gt;=cfg_LV_TH,cfg_LV_D2,cfg_LV_D1))/cfg_DAYS_Y*AJ86*الموظفون!$R86/cfg_DAYS_M)</f>
        <v/>
      </c>
      <c r="AC86" s="111" t="str">
        <f aca="false">IF($B86="","",IF(AND(الموظفون!$U86="نعم",N(الموظفون!$W86)&gt;0),الموظفون!$V86/الموظفون!$W86*12/cfg_DAYS_Y*AJ86,0))</f>
        <v/>
      </c>
      <c r="AD86" s="111" t="str">
        <f aca="false">IF($B86="","",(IF(الموظفون!$X86&lt;&gt;"",الموظفون!$X86,IF(الموظفون!$E86="غير سعودي",cfg_IQ,0))+IF(الموظفون!$Y86&lt;&gt;"",الموظفون!$Y86,IF(الموظفون!$E86="غير سعودي",cfg_WP,0)))/12*G86/cfg_DAYS_M)</f>
        <v/>
      </c>
      <c r="AE86" s="111" t="str">
        <f aca="false">IF($B86="","",IF(الموظفون!$Z86&lt;&gt;"",الموظفون!$Z86,cfg_MED)/12*G86/cfg_DAYS_M)</f>
        <v/>
      </c>
      <c r="AF86" s="111" t="str">
        <f aca="false">IF($B86="","",N(الموظفون!$AA86)/12*G86/cfg_DAYS_M)</f>
        <v/>
      </c>
      <c r="AG86" s="154" t="str">
        <f aca="false">IF($B86="","",T86+SUM(Z86:AF86))</f>
        <v/>
      </c>
      <c r="AH86" s="155" t="str">
        <f aca="false">IF($B86="","",MAX(0,IF(OR(الموظفون!$AE86="",الموظفون!$AE86&gt;$F$3),$F$3,الموظفون!$AE86)-الموظفون!$H86+1-SUMIFS('سجل الإجازات والحالات'!$AI$6:$AI$505,'سجل الإجازات والحالات'!$B$6:$B$505,$B86))/cfg_DAYS_Y)</f>
        <v/>
      </c>
      <c r="AI86" s="155" t="str">
        <f aca="false">IF($B86="","",MAX(0,IF(OR(الموظفون!$AE86="",الموظفون!$AE86&gt;($E$3-1)),($E$3-1),الموظفون!$AE86)-الموظفون!$H86+1-SUMIFS('سجل الإجازات والحالات'!$AH$6:$AH$505,'سجل الإجازات والحالات'!$B$6:$B$505,$B86))/cfg_DAYS_Y)</f>
        <v/>
      </c>
      <c r="AJ86" s="65" t="str">
        <f aca="false">IF($B86="","",MAX(0,AK86-(SUMIFS('سجل الإجازات والحالات'!$AI$6:$AI$505,'سجل الإجازات والحالات'!$B$6:$B$505,$B86)-SUMIFS('سجل الإجازات والحالات'!$AH$6:$AH$505,'سجل الإجازات والحالات'!$B$6:$B$505,$B86))))</f>
        <v/>
      </c>
      <c r="AK86" s="65" t="str">
        <f aca="false">IF($B86="","",MAX(0,IF(OR(الموظفون!$AE86="",الموظفون!$AE86&gt;$F$3),$F$3,الموظفون!$AE86)-MAX($E$3,الموظفون!$H86)+1))</f>
        <v/>
      </c>
      <c r="AL86" s="151" t="str">
        <f aca="false">IF($B86="","",SUMIFS('سجل الإجازات والحالات'!$AU$6:$AU$505,'سجل الإجازات والحالات'!$B$6:$B$505,$B86)+SUMIFS('الحركات الشهرية'!$K$6:$K$1005,'الحركات الشهرية'!$B$6:$B$1005,$B86,'الحركات الشهرية'!$A$6:$A$1005,$C$3))</f>
        <v/>
      </c>
      <c r="AM86" s="111" t="str">
        <f aca="false">IF($B86="","",AL86*الموظفون!$R86/cfg_DAYS_M+S86)</f>
        <v/>
      </c>
      <c r="AN86" s="151" t="str">
        <f aca="false">IF($B86="","",SUMIFS('سجل الإجازات والحالات'!$W$6:$W$505,'سجل الإجازات والحالات'!$B$6:$B$505,$B86))</f>
        <v/>
      </c>
    </row>
    <row r="87" customFormat="false" ht="15" hidden="false" customHeight="false" outlineLevel="0" collapsed="false">
      <c r="A87" s="115" t="str">
        <f aca="false">IF($B87="","",الموظفون!$A87)</f>
        <v/>
      </c>
      <c r="B87" s="117" t="str">
        <f aca="false">IF(الموظفون!$B87="","",الموظفون!$B87)</f>
        <v/>
      </c>
      <c r="C87" s="117" t="str">
        <f aca="false">IF($B87="","",الموظفون!$C87)</f>
        <v/>
      </c>
      <c r="D87" s="117" t="str">
        <f aca="false">IF($B87="","",الموظفون!$F87)</f>
        <v/>
      </c>
      <c r="E87" s="117" t="str">
        <f aca="false">IF($B87="","",الموظفون!$E87)</f>
        <v/>
      </c>
      <c r="F87" s="117" t="str">
        <f aca="false">IF($B87="","",IF(AK87=0,IF(AND(الموظفون!$AE87&lt;&gt;"",الموظفون!$AE87&lt;$E$3),"✖ منتهي الخدمة","⏳ لم يباشر"),IF(S87&gt;0,"✈ راتب إجازة مقدم",IF(J87=0,"⛔ بدون راتب هذا الشهر",IF(I87&gt;0,"✈ خصم "&amp;ROUND(I87,2)&amp;" يوم بدون أجر",IF(AL87&gt;0,"🌴 إجازة سنوية "&amp;ROUND(AL87,2)&amp;" يوم",IF(H87&gt;0,"⚠ غياب "&amp;ROUND(H87,2)&amp;" يوم","✔ على رأس العمل")))))))</f>
        <v/>
      </c>
      <c r="G87" s="156" t="str">
        <f aca="false">IF($B87="","",IF(AK87&gt;=DAY($F$3),cfg_DAYS_M,MIN(AK87,cfg_DAYS_M)))</f>
        <v/>
      </c>
      <c r="H87" s="156" t="str">
        <f aca="false">IF($B87="","",SUMIFS('الحركات الشهرية'!$D$6:$D$1005,'الحركات الشهرية'!$B$6:$B$1005,$B87,'الحركات الشهرية'!$A$6:$A$1005,$C$3))</f>
        <v/>
      </c>
      <c r="I87" s="156" t="str">
        <f aca="false">IF($B87="","",MIN(G87,IF(AND(AK87&gt;0,AN87&gt;=AK87),G87,AN87)+SUMIFS('الحركات الشهرية'!$E$6:$E$1005,'الحركات الشهرية'!$B$6:$B$1005,$B87,'الحركات الشهرية'!$A$6:$A$1005,$C$3)))</f>
        <v/>
      </c>
      <c r="J87" s="156" t="str">
        <f aca="false">IF($B87="","",MAX(0,G87-H87-I87))</f>
        <v/>
      </c>
      <c r="K87" s="116" t="str">
        <f aca="false">IF($B87="","",الموظفون!$L87*$J87/cfg_DAYS_M)</f>
        <v/>
      </c>
      <c r="L87" s="116" t="str">
        <f aca="false">IF($B87="","",الموظفون!$M87*$J87/cfg_DAYS_M)</f>
        <v/>
      </c>
      <c r="M87" s="116" t="str">
        <f aca="false">IF($B87="","",الموظفون!$N87*$J87/cfg_DAYS_M)</f>
        <v/>
      </c>
      <c r="N87" s="116" t="str">
        <f aca="false">IF($B87="","",الموظفون!$O87*$J87/cfg_DAYS_M)</f>
        <v/>
      </c>
      <c r="O87" s="156" t="str">
        <f aca="false">IF($B87="","",SUMIFS('الحركات الشهرية'!$F$6:$F$1005,'الحركات الشهرية'!$B$6:$B$1005,$B87,'الحركات الشهرية'!$A$6:$A$1005,$C$3))</f>
        <v/>
      </c>
      <c r="P87" s="116" t="str">
        <f aca="false">IF($B87="","",O87*(الموظفون!$P87+الموظفون!$L87*cfg_OT_P)/cfg_DAYS_M/cfg_HRS)</f>
        <v/>
      </c>
      <c r="Q87" s="116" t="str">
        <f aca="false">IF($B87="","",SUMIFS('الحركات الشهرية'!$G$6:$G$1005,'الحركات الشهرية'!$B$6:$B$1005,$B87,'الحركات الشهرية'!$A$6:$A$1005,$C$3))</f>
        <v/>
      </c>
      <c r="R87" s="116" t="str">
        <f aca="false">IF($B87="","",SUMIFS('الحركات الشهرية'!$H$6:$H$1005,'الحركات الشهرية'!$B$6:$B$1005,$B87,'الحركات الشهرية'!$A$6:$A$1005,$C$3))</f>
        <v/>
      </c>
      <c r="S87" s="116" t="str">
        <f aca="false">IF($B87="","",SUMIFS('سجل الإجازات والحالات'!$N$6:$N$505,'سجل الإجازات والحالات'!$B$6:$B$505,$B87,'سجل الإجازات والحالات'!$O$6:$O$505,$C$3))</f>
        <v/>
      </c>
      <c r="T87" s="157" t="str">
        <f aca="false">IF($B87="","",SUM(K87:N87)+SUM(P87:S87))</f>
        <v/>
      </c>
      <c r="U87" s="116" t="str">
        <f aca="false">IF($B87="","",الموظفون!$S87*IF(E87="سعودي",cfg_G_SE,cfg_G_NE)*G87/cfg_DAYS_M)</f>
        <v/>
      </c>
      <c r="V87" s="116" t="str">
        <f aca="false">IF($B87="","",SUMIFS('الحركات الشهرية'!$I$6:$I$1005,'الحركات الشهرية'!$B$6:$B$1005,$B87,'الحركات الشهرية'!$A$6:$A$1005,$C$3))</f>
        <v/>
      </c>
      <c r="W87" s="116" t="str">
        <f aca="false">IF($B87="","",SUMIFS('الحركات الشهرية'!$J$6:$J$1005,'الحركات الشهرية'!$B$6:$B$1005,$B87,'الحركات الشهرية'!$A$6:$A$1005,$C$3))</f>
        <v/>
      </c>
      <c r="X87" s="116" t="str">
        <f aca="false">IF($B87="","",SUM(U87:W87))</f>
        <v/>
      </c>
      <c r="Y87" s="158" t="str">
        <f aca="false">IF($B87="","",T87-X87)</f>
        <v/>
      </c>
      <c r="Z87" s="116" t="str">
        <f aca="false">IF($B87="","",الموظفون!$S87*IF(E87="سعودي",cfg_G_SR,cfg_G_NR)*G87/cfg_DAYS_M)</f>
        <v/>
      </c>
      <c r="AA87" s="116" t="str">
        <f aca="false">IF($B87="","",الموظفون!$Q87*(cfg_EOS_R1*(MIN(AH87,cfg_EOS_TH)-MIN(AI87,cfg_EOS_TH))+cfg_EOS_R2*(MAX(AH87-cfg_EOS_TH,0)-MAX(AI87-cfg_EOS_TH,0))))</f>
        <v/>
      </c>
      <c r="AB87" s="116" t="str">
        <f aca="false">IF($B87="","",IF(الموظفون!$T87&lt;&gt;"",الموظفون!$T87,IF(AH87&gt;=cfg_LV_TH,cfg_LV_D2,cfg_LV_D1))/cfg_DAYS_Y*AJ87*الموظفون!$R87/cfg_DAYS_M)</f>
        <v/>
      </c>
      <c r="AC87" s="116" t="str">
        <f aca="false">IF($B87="","",IF(AND(الموظفون!$U87="نعم",N(الموظفون!$W87)&gt;0),الموظفون!$V87/الموظفون!$W87*12/cfg_DAYS_Y*AJ87,0))</f>
        <v/>
      </c>
      <c r="AD87" s="116" t="str">
        <f aca="false">IF($B87="","",(IF(الموظفون!$X87&lt;&gt;"",الموظفون!$X87,IF(الموظفون!$E87="غير سعودي",cfg_IQ,0))+IF(الموظفون!$Y87&lt;&gt;"",الموظفون!$Y87,IF(الموظفون!$E87="غير سعودي",cfg_WP,0)))/12*G87/cfg_DAYS_M)</f>
        <v/>
      </c>
      <c r="AE87" s="116" t="str">
        <f aca="false">IF($B87="","",IF(الموظفون!$Z87&lt;&gt;"",الموظفون!$Z87,cfg_MED)/12*G87/cfg_DAYS_M)</f>
        <v/>
      </c>
      <c r="AF87" s="116" t="str">
        <f aca="false">IF($B87="","",N(الموظفون!$AA87)/12*G87/cfg_DAYS_M)</f>
        <v/>
      </c>
      <c r="AG87" s="159" t="str">
        <f aca="false">IF($B87="","",T87+SUM(Z87:AF87))</f>
        <v/>
      </c>
      <c r="AH87" s="160" t="str">
        <f aca="false">IF($B87="","",MAX(0,IF(OR(الموظفون!$AE87="",الموظفون!$AE87&gt;$F$3),$F$3,الموظفون!$AE87)-الموظفون!$H87+1-SUMIFS('سجل الإجازات والحالات'!$AI$6:$AI$505,'سجل الإجازات والحالات'!$B$6:$B$505,$B87))/cfg_DAYS_Y)</f>
        <v/>
      </c>
      <c r="AI87" s="160" t="str">
        <f aca="false">IF($B87="","",MAX(0,IF(OR(الموظفون!$AE87="",الموظفون!$AE87&gt;($E$3-1)),($E$3-1),الموظفون!$AE87)-الموظفون!$H87+1-SUMIFS('سجل الإجازات والحالات'!$AH$6:$AH$505,'سجل الإجازات والحالات'!$B$6:$B$505,$B87))/cfg_DAYS_Y)</f>
        <v/>
      </c>
      <c r="AJ87" s="133" t="str">
        <f aca="false">IF($B87="","",MAX(0,AK87-(SUMIFS('سجل الإجازات والحالات'!$AI$6:$AI$505,'سجل الإجازات والحالات'!$B$6:$B$505,$B87)-SUMIFS('سجل الإجازات والحالات'!$AH$6:$AH$505,'سجل الإجازات والحالات'!$B$6:$B$505,$B87))))</f>
        <v/>
      </c>
      <c r="AK87" s="133" t="str">
        <f aca="false">IF($B87="","",MAX(0,IF(OR(الموظفون!$AE87="",الموظفون!$AE87&gt;$F$3),$F$3,الموظفون!$AE87)-MAX($E$3,الموظفون!$H87)+1))</f>
        <v/>
      </c>
      <c r="AL87" s="156" t="str">
        <f aca="false">IF($B87="","",SUMIFS('سجل الإجازات والحالات'!$AU$6:$AU$505,'سجل الإجازات والحالات'!$B$6:$B$505,$B87)+SUMIFS('الحركات الشهرية'!$K$6:$K$1005,'الحركات الشهرية'!$B$6:$B$1005,$B87,'الحركات الشهرية'!$A$6:$A$1005,$C$3))</f>
        <v/>
      </c>
      <c r="AM87" s="116" t="str">
        <f aca="false">IF($B87="","",AL87*الموظفون!$R87/cfg_DAYS_M+S87)</f>
        <v/>
      </c>
      <c r="AN87" s="156" t="str">
        <f aca="false">IF($B87="","",SUMIFS('سجل الإجازات والحالات'!$W$6:$W$505,'سجل الإجازات والحالات'!$B$6:$B$505,$B87))</f>
        <v/>
      </c>
    </row>
    <row r="88" customFormat="false" ht="15" hidden="false" customHeight="false" outlineLevel="0" collapsed="false">
      <c r="A88" s="106" t="str">
        <f aca="false">IF($B88="","",الموظفون!$A88)</f>
        <v/>
      </c>
      <c r="B88" s="114" t="str">
        <f aca="false">IF(الموظفون!$B88="","",الموظفون!$B88)</f>
        <v/>
      </c>
      <c r="C88" s="114" t="str">
        <f aca="false">IF($B88="","",الموظفون!$C88)</f>
        <v/>
      </c>
      <c r="D88" s="114" t="str">
        <f aca="false">IF($B88="","",الموظفون!$F88)</f>
        <v/>
      </c>
      <c r="E88" s="114" t="str">
        <f aca="false">IF($B88="","",الموظفون!$E88)</f>
        <v/>
      </c>
      <c r="F88" s="114" t="str">
        <f aca="false">IF($B88="","",IF(AK88=0,IF(AND(الموظفون!$AE88&lt;&gt;"",الموظفون!$AE88&lt;$E$3),"✖ منتهي الخدمة","⏳ لم يباشر"),IF(S88&gt;0,"✈ راتب إجازة مقدم",IF(J88=0,"⛔ بدون راتب هذا الشهر",IF(I88&gt;0,"✈ خصم "&amp;ROUND(I88,2)&amp;" يوم بدون أجر",IF(AL88&gt;0,"🌴 إجازة سنوية "&amp;ROUND(AL88,2)&amp;" يوم",IF(H88&gt;0,"⚠ غياب "&amp;ROUND(H88,2)&amp;" يوم","✔ على رأس العمل")))))))</f>
        <v/>
      </c>
      <c r="G88" s="151" t="str">
        <f aca="false">IF($B88="","",IF(AK88&gt;=DAY($F$3),cfg_DAYS_M,MIN(AK88,cfg_DAYS_M)))</f>
        <v/>
      </c>
      <c r="H88" s="151" t="str">
        <f aca="false">IF($B88="","",SUMIFS('الحركات الشهرية'!$D$6:$D$1005,'الحركات الشهرية'!$B$6:$B$1005,$B88,'الحركات الشهرية'!$A$6:$A$1005,$C$3))</f>
        <v/>
      </c>
      <c r="I88" s="151" t="str">
        <f aca="false">IF($B88="","",MIN(G88,IF(AND(AK88&gt;0,AN88&gt;=AK88),G88,AN88)+SUMIFS('الحركات الشهرية'!$E$6:$E$1005,'الحركات الشهرية'!$B$6:$B$1005,$B88,'الحركات الشهرية'!$A$6:$A$1005,$C$3)))</f>
        <v/>
      </c>
      <c r="J88" s="151" t="str">
        <f aca="false">IF($B88="","",MAX(0,G88-H88-I88))</f>
        <v/>
      </c>
      <c r="K88" s="111" t="str">
        <f aca="false">IF($B88="","",الموظفون!$L88*$J88/cfg_DAYS_M)</f>
        <v/>
      </c>
      <c r="L88" s="111" t="str">
        <f aca="false">IF($B88="","",الموظفون!$M88*$J88/cfg_DAYS_M)</f>
        <v/>
      </c>
      <c r="M88" s="111" t="str">
        <f aca="false">IF($B88="","",الموظفون!$N88*$J88/cfg_DAYS_M)</f>
        <v/>
      </c>
      <c r="N88" s="111" t="str">
        <f aca="false">IF($B88="","",الموظفون!$O88*$J88/cfg_DAYS_M)</f>
        <v/>
      </c>
      <c r="O88" s="151" t="str">
        <f aca="false">IF($B88="","",SUMIFS('الحركات الشهرية'!$F$6:$F$1005,'الحركات الشهرية'!$B$6:$B$1005,$B88,'الحركات الشهرية'!$A$6:$A$1005,$C$3))</f>
        <v/>
      </c>
      <c r="P88" s="111" t="str">
        <f aca="false">IF($B88="","",O88*(الموظفون!$P88+الموظفون!$L88*cfg_OT_P)/cfg_DAYS_M/cfg_HRS)</f>
        <v/>
      </c>
      <c r="Q88" s="111" t="str">
        <f aca="false">IF($B88="","",SUMIFS('الحركات الشهرية'!$G$6:$G$1005,'الحركات الشهرية'!$B$6:$B$1005,$B88,'الحركات الشهرية'!$A$6:$A$1005,$C$3))</f>
        <v/>
      </c>
      <c r="R88" s="111" t="str">
        <f aca="false">IF($B88="","",SUMIFS('الحركات الشهرية'!$H$6:$H$1005,'الحركات الشهرية'!$B$6:$B$1005,$B88,'الحركات الشهرية'!$A$6:$A$1005,$C$3))</f>
        <v/>
      </c>
      <c r="S88" s="111" t="str">
        <f aca="false">IF($B88="","",SUMIFS('سجل الإجازات والحالات'!$N$6:$N$505,'سجل الإجازات والحالات'!$B$6:$B$505,$B88,'سجل الإجازات والحالات'!$O$6:$O$505,$C$3))</f>
        <v/>
      </c>
      <c r="T88" s="152" t="str">
        <f aca="false">IF($B88="","",SUM(K88:N88)+SUM(P88:S88))</f>
        <v/>
      </c>
      <c r="U88" s="111" t="str">
        <f aca="false">IF($B88="","",الموظفون!$S88*IF(E88="سعودي",cfg_G_SE,cfg_G_NE)*G88/cfg_DAYS_M)</f>
        <v/>
      </c>
      <c r="V88" s="111" t="str">
        <f aca="false">IF($B88="","",SUMIFS('الحركات الشهرية'!$I$6:$I$1005,'الحركات الشهرية'!$B$6:$B$1005,$B88,'الحركات الشهرية'!$A$6:$A$1005,$C$3))</f>
        <v/>
      </c>
      <c r="W88" s="111" t="str">
        <f aca="false">IF($B88="","",SUMIFS('الحركات الشهرية'!$J$6:$J$1005,'الحركات الشهرية'!$B$6:$B$1005,$B88,'الحركات الشهرية'!$A$6:$A$1005,$C$3))</f>
        <v/>
      </c>
      <c r="X88" s="111" t="str">
        <f aca="false">IF($B88="","",SUM(U88:W88))</f>
        <v/>
      </c>
      <c r="Y88" s="153" t="str">
        <f aca="false">IF($B88="","",T88-X88)</f>
        <v/>
      </c>
      <c r="Z88" s="111" t="str">
        <f aca="false">IF($B88="","",الموظفون!$S88*IF(E88="سعودي",cfg_G_SR,cfg_G_NR)*G88/cfg_DAYS_M)</f>
        <v/>
      </c>
      <c r="AA88" s="111" t="str">
        <f aca="false">IF($B88="","",الموظفون!$Q88*(cfg_EOS_R1*(MIN(AH88,cfg_EOS_TH)-MIN(AI88,cfg_EOS_TH))+cfg_EOS_R2*(MAX(AH88-cfg_EOS_TH,0)-MAX(AI88-cfg_EOS_TH,0))))</f>
        <v/>
      </c>
      <c r="AB88" s="111" t="str">
        <f aca="false">IF($B88="","",IF(الموظفون!$T88&lt;&gt;"",الموظفون!$T88,IF(AH88&gt;=cfg_LV_TH,cfg_LV_D2,cfg_LV_D1))/cfg_DAYS_Y*AJ88*الموظفون!$R88/cfg_DAYS_M)</f>
        <v/>
      </c>
      <c r="AC88" s="111" t="str">
        <f aca="false">IF($B88="","",IF(AND(الموظفون!$U88="نعم",N(الموظفون!$W88)&gt;0),الموظفون!$V88/الموظفون!$W88*12/cfg_DAYS_Y*AJ88,0))</f>
        <v/>
      </c>
      <c r="AD88" s="111" t="str">
        <f aca="false">IF($B88="","",(IF(الموظفون!$X88&lt;&gt;"",الموظفون!$X88,IF(الموظفون!$E88="غير سعودي",cfg_IQ,0))+IF(الموظفون!$Y88&lt;&gt;"",الموظفون!$Y88,IF(الموظفون!$E88="غير سعودي",cfg_WP,0)))/12*G88/cfg_DAYS_M)</f>
        <v/>
      </c>
      <c r="AE88" s="111" t="str">
        <f aca="false">IF($B88="","",IF(الموظفون!$Z88&lt;&gt;"",الموظفون!$Z88,cfg_MED)/12*G88/cfg_DAYS_M)</f>
        <v/>
      </c>
      <c r="AF88" s="111" t="str">
        <f aca="false">IF($B88="","",N(الموظفون!$AA88)/12*G88/cfg_DAYS_M)</f>
        <v/>
      </c>
      <c r="AG88" s="154" t="str">
        <f aca="false">IF($B88="","",T88+SUM(Z88:AF88))</f>
        <v/>
      </c>
      <c r="AH88" s="155" t="str">
        <f aca="false">IF($B88="","",MAX(0,IF(OR(الموظفون!$AE88="",الموظفون!$AE88&gt;$F$3),$F$3,الموظفون!$AE88)-الموظفون!$H88+1-SUMIFS('سجل الإجازات والحالات'!$AI$6:$AI$505,'سجل الإجازات والحالات'!$B$6:$B$505,$B88))/cfg_DAYS_Y)</f>
        <v/>
      </c>
      <c r="AI88" s="155" t="str">
        <f aca="false">IF($B88="","",MAX(0,IF(OR(الموظفون!$AE88="",الموظفون!$AE88&gt;($E$3-1)),($E$3-1),الموظفون!$AE88)-الموظفون!$H88+1-SUMIFS('سجل الإجازات والحالات'!$AH$6:$AH$505,'سجل الإجازات والحالات'!$B$6:$B$505,$B88))/cfg_DAYS_Y)</f>
        <v/>
      </c>
      <c r="AJ88" s="65" t="str">
        <f aca="false">IF($B88="","",MAX(0,AK88-(SUMIFS('سجل الإجازات والحالات'!$AI$6:$AI$505,'سجل الإجازات والحالات'!$B$6:$B$505,$B88)-SUMIFS('سجل الإجازات والحالات'!$AH$6:$AH$505,'سجل الإجازات والحالات'!$B$6:$B$505,$B88))))</f>
        <v/>
      </c>
      <c r="AK88" s="65" t="str">
        <f aca="false">IF($B88="","",MAX(0,IF(OR(الموظفون!$AE88="",الموظفون!$AE88&gt;$F$3),$F$3,الموظفون!$AE88)-MAX($E$3,الموظفون!$H88)+1))</f>
        <v/>
      </c>
      <c r="AL88" s="151" t="str">
        <f aca="false">IF($B88="","",SUMIFS('سجل الإجازات والحالات'!$AU$6:$AU$505,'سجل الإجازات والحالات'!$B$6:$B$505,$B88)+SUMIFS('الحركات الشهرية'!$K$6:$K$1005,'الحركات الشهرية'!$B$6:$B$1005,$B88,'الحركات الشهرية'!$A$6:$A$1005,$C$3))</f>
        <v/>
      </c>
      <c r="AM88" s="111" t="str">
        <f aca="false">IF($B88="","",AL88*الموظفون!$R88/cfg_DAYS_M+S88)</f>
        <v/>
      </c>
      <c r="AN88" s="151" t="str">
        <f aca="false">IF($B88="","",SUMIFS('سجل الإجازات والحالات'!$W$6:$W$505,'سجل الإجازات والحالات'!$B$6:$B$505,$B88))</f>
        <v/>
      </c>
    </row>
    <row r="89" customFormat="false" ht="15" hidden="false" customHeight="false" outlineLevel="0" collapsed="false">
      <c r="A89" s="115" t="str">
        <f aca="false">IF($B89="","",الموظفون!$A89)</f>
        <v/>
      </c>
      <c r="B89" s="117" t="str">
        <f aca="false">IF(الموظفون!$B89="","",الموظفون!$B89)</f>
        <v/>
      </c>
      <c r="C89" s="117" t="str">
        <f aca="false">IF($B89="","",الموظفون!$C89)</f>
        <v/>
      </c>
      <c r="D89" s="117" t="str">
        <f aca="false">IF($B89="","",الموظفون!$F89)</f>
        <v/>
      </c>
      <c r="E89" s="117" t="str">
        <f aca="false">IF($B89="","",الموظفون!$E89)</f>
        <v/>
      </c>
      <c r="F89" s="117" t="str">
        <f aca="false">IF($B89="","",IF(AK89=0,IF(AND(الموظفون!$AE89&lt;&gt;"",الموظفون!$AE89&lt;$E$3),"✖ منتهي الخدمة","⏳ لم يباشر"),IF(S89&gt;0,"✈ راتب إجازة مقدم",IF(J89=0,"⛔ بدون راتب هذا الشهر",IF(I89&gt;0,"✈ خصم "&amp;ROUND(I89,2)&amp;" يوم بدون أجر",IF(AL89&gt;0,"🌴 إجازة سنوية "&amp;ROUND(AL89,2)&amp;" يوم",IF(H89&gt;0,"⚠ غياب "&amp;ROUND(H89,2)&amp;" يوم","✔ على رأس العمل")))))))</f>
        <v/>
      </c>
      <c r="G89" s="156" t="str">
        <f aca="false">IF($B89="","",IF(AK89&gt;=DAY($F$3),cfg_DAYS_M,MIN(AK89,cfg_DAYS_M)))</f>
        <v/>
      </c>
      <c r="H89" s="156" t="str">
        <f aca="false">IF($B89="","",SUMIFS('الحركات الشهرية'!$D$6:$D$1005,'الحركات الشهرية'!$B$6:$B$1005,$B89,'الحركات الشهرية'!$A$6:$A$1005,$C$3))</f>
        <v/>
      </c>
      <c r="I89" s="156" t="str">
        <f aca="false">IF($B89="","",MIN(G89,IF(AND(AK89&gt;0,AN89&gt;=AK89),G89,AN89)+SUMIFS('الحركات الشهرية'!$E$6:$E$1005,'الحركات الشهرية'!$B$6:$B$1005,$B89,'الحركات الشهرية'!$A$6:$A$1005,$C$3)))</f>
        <v/>
      </c>
      <c r="J89" s="156" t="str">
        <f aca="false">IF($B89="","",MAX(0,G89-H89-I89))</f>
        <v/>
      </c>
      <c r="K89" s="116" t="str">
        <f aca="false">IF($B89="","",الموظفون!$L89*$J89/cfg_DAYS_M)</f>
        <v/>
      </c>
      <c r="L89" s="116" t="str">
        <f aca="false">IF($B89="","",الموظفون!$M89*$J89/cfg_DAYS_M)</f>
        <v/>
      </c>
      <c r="M89" s="116" t="str">
        <f aca="false">IF($B89="","",الموظفون!$N89*$J89/cfg_DAYS_M)</f>
        <v/>
      </c>
      <c r="N89" s="116" t="str">
        <f aca="false">IF($B89="","",الموظفون!$O89*$J89/cfg_DAYS_M)</f>
        <v/>
      </c>
      <c r="O89" s="156" t="str">
        <f aca="false">IF($B89="","",SUMIFS('الحركات الشهرية'!$F$6:$F$1005,'الحركات الشهرية'!$B$6:$B$1005,$B89,'الحركات الشهرية'!$A$6:$A$1005,$C$3))</f>
        <v/>
      </c>
      <c r="P89" s="116" t="str">
        <f aca="false">IF($B89="","",O89*(الموظفون!$P89+الموظفون!$L89*cfg_OT_P)/cfg_DAYS_M/cfg_HRS)</f>
        <v/>
      </c>
      <c r="Q89" s="116" t="str">
        <f aca="false">IF($B89="","",SUMIFS('الحركات الشهرية'!$G$6:$G$1005,'الحركات الشهرية'!$B$6:$B$1005,$B89,'الحركات الشهرية'!$A$6:$A$1005,$C$3))</f>
        <v/>
      </c>
      <c r="R89" s="116" t="str">
        <f aca="false">IF($B89="","",SUMIFS('الحركات الشهرية'!$H$6:$H$1005,'الحركات الشهرية'!$B$6:$B$1005,$B89,'الحركات الشهرية'!$A$6:$A$1005,$C$3))</f>
        <v/>
      </c>
      <c r="S89" s="116" t="str">
        <f aca="false">IF($B89="","",SUMIFS('سجل الإجازات والحالات'!$N$6:$N$505,'سجل الإجازات والحالات'!$B$6:$B$505,$B89,'سجل الإجازات والحالات'!$O$6:$O$505,$C$3))</f>
        <v/>
      </c>
      <c r="T89" s="157" t="str">
        <f aca="false">IF($B89="","",SUM(K89:N89)+SUM(P89:S89))</f>
        <v/>
      </c>
      <c r="U89" s="116" t="str">
        <f aca="false">IF($B89="","",الموظفون!$S89*IF(E89="سعودي",cfg_G_SE,cfg_G_NE)*G89/cfg_DAYS_M)</f>
        <v/>
      </c>
      <c r="V89" s="116" t="str">
        <f aca="false">IF($B89="","",SUMIFS('الحركات الشهرية'!$I$6:$I$1005,'الحركات الشهرية'!$B$6:$B$1005,$B89,'الحركات الشهرية'!$A$6:$A$1005,$C$3))</f>
        <v/>
      </c>
      <c r="W89" s="116" t="str">
        <f aca="false">IF($B89="","",SUMIFS('الحركات الشهرية'!$J$6:$J$1005,'الحركات الشهرية'!$B$6:$B$1005,$B89,'الحركات الشهرية'!$A$6:$A$1005,$C$3))</f>
        <v/>
      </c>
      <c r="X89" s="116" t="str">
        <f aca="false">IF($B89="","",SUM(U89:W89))</f>
        <v/>
      </c>
      <c r="Y89" s="158" t="str">
        <f aca="false">IF($B89="","",T89-X89)</f>
        <v/>
      </c>
      <c r="Z89" s="116" t="str">
        <f aca="false">IF($B89="","",الموظفون!$S89*IF(E89="سعودي",cfg_G_SR,cfg_G_NR)*G89/cfg_DAYS_M)</f>
        <v/>
      </c>
      <c r="AA89" s="116" t="str">
        <f aca="false">IF($B89="","",الموظفون!$Q89*(cfg_EOS_R1*(MIN(AH89,cfg_EOS_TH)-MIN(AI89,cfg_EOS_TH))+cfg_EOS_R2*(MAX(AH89-cfg_EOS_TH,0)-MAX(AI89-cfg_EOS_TH,0))))</f>
        <v/>
      </c>
      <c r="AB89" s="116" t="str">
        <f aca="false">IF($B89="","",IF(الموظفون!$T89&lt;&gt;"",الموظفون!$T89,IF(AH89&gt;=cfg_LV_TH,cfg_LV_D2,cfg_LV_D1))/cfg_DAYS_Y*AJ89*الموظفون!$R89/cfg_DAYS_M)</f>
        <v/>
      </c>
      <c r="AC89" s="116" t="str">
        <f aca="false">IF($B89="","",IF(AND(الموظفون!$U89="نعم",N(الموظفون!$W89)&gt;0),الموظفون!$V89/الموظفون!$W89*12/cfg_DAYS_Y*AJ89,0))</f>
        <v/>
      </c>
      <c r="AD89" s="116" t="str">
        <f aca="false">IF($B89="","",(IF(الموظفون!$X89&lt;&gt;"",الموظفون!$X89,IF(الموظفون!$E89="غير سعودي",cfg_IQ,0))+IF(الموظفون!$Y89&lt;&gt;"",الموظفون!$Y89,IF(الموظفون!$E89="غير سعودي",cfg_WP,0)))/12*G89/cfg_DAYS_M)</f>
        <v/>
      </c>
      <c r="AE89" s="116" t="str">
        <f aca="false">IF($B89="","",IF(الموظفون!$Z89&lt;&gt;"",الموظفون!$Z89,cfg_MED)/12*G89/cfg_DAYS_M)</f>
        <v/>
      </c>
      <c r="AF89" s="116" t="str">
        <f aca="false">IF($B89="","",N(الموظفون!$AA89)/12*G89/cfg_DAYS_M)</f>
        <v/>
      </c>
      <c r="AG89" s="159" t="str">
        <f aca="false">IF($B89="","",T89+SUM(Z89:AF89))</f>
        <v/>
      </c>
      <c r="AH89" s="160" t="str">
        <f aca="false">IF($B89="","",MAX(0,IF(OR(الموظفون!$AE89="",الموظفون!$AE89&gt;$F$3),$F$3,الموظفون!$AE89)-الموظفون!$H89+1-SUMIFS('سجل الإجازات والحالات'!$AI$6:$AI$505,'سجل الإجازات والحالات'!$B$6:$B$505,$B89))/cfg_DAYS_Y)</f>
        <v/>
      </c>
      <c r="AI89" s="160" t="str">
        <f aca="false">IF($B89="","",MAX(0,IF(OR(الموظفون!$AE89="",الموظفون!$AE89&gt;($E$3-1)),($E$3-1),الموظفون!$AE89)-الموظفون!$H89+1-SUMIFS('سجل الإجازات والحالات'!$AH$6:$AH$505,'سجل الإجازات والحالات'!$B$6:$B$505,$B89))/cfg_DAYS_Y)</f>
        <v/>
      </c>
      <c r="AJ89" s="133" t="str">
        <f aca="false">IF($B89="","",MAX(0,AK89-(SUMIFS('سجل الإجازات والحالات'!$AI$6:$AI$505,'سجل الإجازات والحالات'!$B$6:$B$505,$B89)-SUMIFS('سجل الإجازات والحالات'!$AH$6:$AH$505,'سجل الإجازات والحالات'!$B$6:$B$505,$B89))))</f>
        <v/>
      </c>
      <c r="AK89" s="133" t="str">
        <f aca="false">IF($B89="","",MAX(0,IF(OR(الموظفون!$AE89="",الموظفون!$AE89&gt;$F$3),$F$3,الموظفون!$AE89)-MAX($E$3,الموظفون!$H89)+1))</f>
        <v/>
      </c>
      <c r="AL89" s="156" t="str">
        <f aca="false">IF($B89="","",SUMIFS('سجل الإجازات والحالات'!$AU$6:$AU$505,'سجل الإجازات والحالات'!$B$6:$B$505,$B89)+SUMIFS('الحركات الشهرية'!$K$6:$K$1005,'الحركات الشهرية'!$B$6:$B$1005,$B89,'الحركات الشهرية'!$A$6:$A$1005,$C$3))</f>
        <v/>
      </c>
      <c r="AM89" s="116" t="str">
        <f aca="false">IF($B89="","",AL89*الموظفون!$R89/cfg_DAYS_M+S89)</f>
        <v/>
      </c>
      <c r="AN89" s="156" t="str">
        <f aca="false">IF($B89="","",SUMIFS('سجل الإجازات والحالات'!$W$6:$W$505,'سجل الإجازات والحالات'!$B$6:$B$505,$B89))</f>
        <v/>
      </c>
    </row>
    <row r="90" customFormat="false" ht="15" hidden="false" customHeight="false" outlineLevel="0" collapsed="false">
      <c r="A90" s="106" t="str">
        <f aca="false">IF($B90="","",الموظفون!$A90)</f>
        <v/>
      </c>
      <c r="B90" s="114" t="str">
        <f aca="false">IF(الموظفون!$B90="","",الموظفون!$B90)</f>
        <v/>
      </c>
      <c r="C90" s="114" t="str">
        <f aca="false">IF($B90="","",الموظفون!$C90)</f>
        <v/>
      </c>
      <c r="D90" s="114" t="str">
        <f aca="false">IF($B90="","",الموظفون!$F90)</f>
        <v/>
      </c>
      <c r="E90" s="114" t="str">
        <f aca="false">IF($B90="","",الموظفون!$E90)</f>
        <v/>
      </c>
      <c r="F90" s="114" t="str">
        <f aca="false">IF($B90="","",IF(AK90=0,IF(AND(الموظفون!$AE90&lt;&gt;"",الموظفون!$AE90&lt;$E$3),"✖ منتهي الخدمة","⏳ لم يباشر"),IF(S90&gt;0,"✈ راتب إجازة مقدم",IF(J90=0,"⛔ بدون راتب هذا الشهر",IF(I90&gt;0,"✈ خصم "&amp;ROUND(I90,2)&amp;" يوم بدون أجر",IF(AL90&gt;0,"🌴 إجازة سنوية "&amp;ROUND(AL90,2)&amp;" يوم",IF(H90&gt;0,"⚠ غياب "&amp;ROUND(H90,2)&amp;" يوم","✔ على رأس العمل")))))))</f>
        <v/>
      </c>
      <c r="G90" s="151" t="str">
        <f aca="false">IF($B90="","",IF(AK90&gt;=DAY($F$3),cfg_DAYS_M,MIN(AK90,cfg_DAYS_M)))</f>
        <v/>
      </c>
      <c r="H90" s="151" t="str">
        <f aca="false">IF($B90="","",SUMIFS('الحركات الشهرية'!$D$6:$D$1005,'الحركات الشهرية'!$B$6:$B$1005,$B90,'الحركات الشهرية'!$A$6:$A$1005,$C$3))</f>
        <v/>
      </c>
      <c r="I90" s="151" t="str">
        <f aca="false">IF($B90="","",MIN(G90,IF(AND(AK90&gt;0,AN90&gt;=AK90),G90,AN90)+SUMIFS('الحركات الشهرية'!$E$6:$E$1005,'الحركات الشهرية'!$B$6:$B$1005,$B90,'الحركات الشهرية'!$A$6:$A$1005,$C$3)))</f>
        <v/>
      </c>
      <c r="J90" s="151" t="str">
        <f aca="false">IF($B90="","",MAX(0,G90-H90-I90))</f>
        <v/>
      </c>
      <c r="K90" s="111" t="str">
        <f aca="false">IF($B90="","",الموظفون!$L90*$J90/cfg_DAYS_M)</f>
        <v/>
      </c>
      <c r="L90" s="111" t="str">
        <f aca="false">IF($B90="","",الموظفون!$M90*$J90/cfg_DAYS_M)</f>
        <v/>
      </c>
      <c r="M90" s="111" t="str">
        <f aca="false">IF($B90="","",الموظفون!$N90*$J90/cfg_DAYS_M)</f>
        <v/>
      </c>
      <c r="N90" s="111" t="str">
        <f aca="false">IF($B90="","",الموظفون!$O90*$J90/cfg_DAYS_M)</f>
        <v/>
      </c>
      <c r="O90" s="151" t="str">
        <f aca="false">IF($B90="","",SUMIFS('الحركات الشهرية'!$F$6:$F$1005,'الحركات الشهرية'!$B$6:$B$1005,$B90,'الحركات الشهرية'!$A$6:$A$1005,$C$3))</f>
        <v/>
      </c>
      <c r="P90" s="111" t="str">
        <f aca="false">IF($B90="","",O90*(الموظفون!$P90+الموظفون!$L90*cfg_OT_P)/cfg_DAYS_M/cfg_HRS)</f>
        <v/>
      </c>
      <c r="Q90" s="111" t="str">
        <f aca="false">IF($B90="","",SUMIFS('الحركات الشهرية'!$G$6:$G$1005,'الحركات الشهرية'!$B$6:$B$1005,$B90,'الحركات الشهرية'!$A$6:$A$1005,$C$3))</f>
        <v/>
      </c>
      <c r="R90" s="111" t="str">
        <f aca="false">IF($B90="","",SUMIFS('الحركات الشهرية'!$H$6:$H$1005,'الحركات الشهرية'!$B$6:$B$1005,$B90,'الحركات الشهرية'!$A$6:$A$1005,$C$3))</f>
        <v/>
      </c>
      <c r="S90" s="111" t="str">
        <f aca="false">IF($B90="","",SUMIFS('سجل الإجازات والحالات'!$N$6:$N$505,'سجل الإجازات والحالات'!$B$6:$B$505,$B90,'سجل الإجازات والحالات'!$O$6:$O$505,$C$3))</f>
        <v/>
      </c>
      <c r="T90" s="152" t="str">
        <f aca="false">IF($B90="","",SUM(K90:N90)+SUM(P90:S90))</f>
        <v/>
      </c>
      <c r="U90" s="111" t="str">
        <f aca="false">IF($B90="","",الموظفون!$S90*IF(E90="سعودي",cfg_G_SE,cfg_G_NE)*G90/cfg_DAYS_M)</f>
        <v/>
      </c>
      <c r="V90" s="111" t="str">
        <f aca="false">IF($B90="","",SUMIFS('الحركات الشهرية'!$I$6:$I$1005,'الحركات الشهرية'!$B$6:$B$1005,$B90,'الحركات الشهرية'!$A$6:$A$1005,$C$3))</f>
        <v/>
      </c>
      <c r="W90" s="111" t="str">
        <f aca="false">IF($B90="","",SUMIFS('الحركات الشهرية'!$J$6:$J$1005,'الحركات الشهرية'!$B$6:$B$1005,$B90,'الحركات الشهرية'!$A$6:$A$1005,$C$3))</f>
        <v/>
      </c>
      <c r="X90" s="111" t="str">
        <f aca="false">IF($B90="","",SUM(U90:W90))</f>
        <v/>
      </c>
      <c r="Y90" s="153" t="str">
        <f aca="false">IF($B90="","",T90-X90)</f>
        <v/>
      </c>
      <c r="Z90" s="111" t="str">
        <f aca="false">IF($B90="","",الموظفون!$S90*IF(E90="سعودي",cfg_G_SR,cfg_G_NR)*G90/cfg_DAYS_M)</f>
        <v/>
      </c>
      <c r="AA90" s="111" t="str">
        <f aca="false">IF($B90="","",الموظفون!$Q90*(cfg_EOS_R1*(MIN(AH90,cfg_EOS_TH)-MIN(AI90,cfg_EOS_TH))+cfg_EOS_R2*(MAX(AH90-cfg_EOS_TH,0)-MAX(AI90-cfg_EOS_TH,0))))</f>
        <v/>
      </c>
      <c r="AB90" s="111" t="str">
        <f aca="false">IF($B90="","",IF(الموظفون!$T90&lt;&gt;"",الموظفون!$T90,IF(AH90&gt;=cfg_LV_TH,cfg_LV_D2,cfg_LV_D1))/cfg_DAYS_Y*AJ90*الموظفون!$R90/cfg_DAYS_M)</f>
        <v/>
      </c>
      <c r="AC90" s="111" t="str">
        <f aca="false">IF($B90="","",IF(AND(الموظفون!$U90="نعم",N(الموظفون!$W90)&gt;0),الموظفون!$V90/الموظفون!$W90*12/cfg_DAYS_Y*AJ90,0))</f>
        <v/>
      </c>
      <c r="AD90" s="111" t="str">
        <f aca="false">IF($B90="","",(IF(الموظفون!$X90&lt;&gt;"",الموظفون!$X90,IF(الموظفون!$E90="غير سعودي",cfg_IQ,0))+IF(الموظفون!$Y90&lt;&gt;"",الموظفون!$Y90,IF(الموظفون!$E90="غير سعودي",cfg_WP,0)))/12*G90/cfg_DAYS_M)</f>
        <v/>
      </c>
      <c r="AE90" s="111" t="str">
        <f aca="false">IF($B90="","",IF(الموظفون!$Z90&lt;&gt;"",الموظفون!$Z90,cfg_MED)/12*G90/cfg_DAYS_M)</f>
        <v/>
      </c>
      <c r="AF90" s="111" t="str">
        <f aca="false">IF($B90="","",N(الموظفون!$AA90)/12*G90/cfg_DAYS_M)</f>
        <v/>
      </c>
      <c r="AG90" s="154" t="str">
        <f aca="false">IF($B90="","",T90+SUM(Z90:AF90))</f>
        <v/>
      </c>
      <c r="AH90" s="155" t="str">
        <f aca="false">IF($B90="","",MAX(0,IF(OR(الموظفون!$AE90="",الموظفون!$AE90&gt;$F$3),$F$3,الموظفون!$AE90)-الموظفون!$H90+1-SUMIFS('سجل الإجازات والحالات'!$AI$6:$AI$505,'سجل الإجازات والحالات'!$B$6:$B$505,$B90))/cfg_DAYS_Y)</f>
        <v/>
      </c>
      <c r="AI90" s="155" t="str">
        <f aca="false">IF($B90="","",MAX(0,IF(OR(الموظفون!$AE90="",الموظفون!$AE90&gt;($E$3-1)),($E$3-1),الموظفون!$AE90)-الموظفون!$H90+1-SUMIFS('سجل الإجازات والحالات'!$AH$6:$AH$505,'سجل الإجازات والحالات'!$B$6:$B$505,$B90))/cfg_DAYS_Y)</f>
        <v/>
      </c>
      <c r="AJ90" s="65" t="str">
        <f aca="false">IF($B90="","",MAX(0,AK90-(SUMIFS('سجل الإجازات والحالات'!$AI$6:$AI$505,'سجل الإجازات والحالات'!$B$6:$B$505,$B90)-SUMIFS('سجل الإجازات والحالات'!$AH$6:$AH$505,'سجل الإجازات والحالات'!$B$6:$B$505,$B90))))</f>
        <v/>
      </c>
      <c r="AK90" s="65" t="str">
        <f aca="false">IF($B90="","",MAX(0,IF(OR(الموظفون!$AE90="",الموظفون!$AE90&gt;$F$3),$F$3,الموظفون!$AE90)-MAX($E$3,الموظفون!$H90)+1))</f>
        <v/>
      </c>
      <c r="AL90" s="151" t="str">
        <f aca="false">IF($B90="","",SUMIFS('سجل الإجازات والحالات'!$AU$6:$AU$505,'سجل الإجازات والحالات'!$B$6:$B$505,$B90)+SUMIFS('الحركات الشهرية'!$K$6:$K$1005,'الحركات الشهرية'!$B$6:$B$1005,$B90,'الحركات الشهرية'!$A$6:$A$1005,$C$3))</f>
        <v/>
      </c>
      <c r="AM90" s="111" t="str">
        <f aca="false">IF($B90="","",AL90*الموظفون!$R90/cfg_DAYS_M+S90)</f>
        <v/>
      </c>
      <c r="AN90" s="151" t="str">
        <f aca="false">IF($B90="","",SUMIFS('سجل الإجازات والحالات'!$W$6:$W$505,'سجل الإجازات والحالات'!$B$6:$B$505,$B90))</f>
        <v/>
      </c>
    </row>
    <row r="91" customFormat="false" ht="15" hidden="false" customHeight="false" outlineLevel="0" collapsed="false">
      <c r="A91" s="115" t="str">
        <f aca="false">IF($B91="","",الموظفون!$A91)</f>
        <v/>
      </c>
      <c r="B91" s="117" t="str">
        <f aca="false">IF(الموظفون!$B91="","",الموظفون!$B91)</f>
        <v/>
      </c>
      <c r="C91" s="117" t="str">
        <f aca="false">IF($B91="","",الموظفون!$C91)</f>
        <v/>
      </c>
      <c r="D91" s="117" t="str">
        <f aca="false">IF($B91="","",الموظفون!$F91)</f>
        <v/>
      </c>
      <c r="E91" s="117" t="str">
        <f aca="false">IF($B91="","",الموظفون!$E91)</f>
        <v/>
      </c>
      <c r="F91" s="117" t="str">
        <f aca="false">IF($B91="","",IF(AK91=0,IF(AND(الموظفون!$AE91&lt;&gt;"",الموظفون!$AE91&lt;$E$3),"✖ منتهي الخدمة","⏳ لم يباشر"),IF(S91&gt;0,"✈ راتب إجازة مقدم",IF(J91=0,"⛔ بدون راتب هذا الشهر",IF(I91&gt;0,"✈ خصم "&amp;ROUND(I91,2)&amp;" يوم بدون أجر",IF(AL91&gt;0,"🌴 إجازة سنوية "&amp;ROUND(AL91,2)&amp;" يوم",IF(H91&gt;0,"⚠ غياب "&amp;ROUND(H91,2)&amp;" يوم","✔ على رأس العمل")))))))</f>
        <v/>
      </c>
      <c r="G91" s="156" t="str">
        <f aca="false">IF($B91="","",IF(AK91&gt;=DAY($F$3),cfg_DAYS_M,MIN(AK91,cfg_DAYS_M)))</f>
        <v/>
      </c>
      <c r="H91" s="156" t="str">
        <f aca="false">IF($B91="","",SUMIFS('الحركات الشهرية'!$D$6:$D$1005,'الحركات الشهرية'!$B$6:$B$1005,$B91,'الحركات الشهرية'!$A$6:$A$1005,$C$3))</f>
        <v/>
      </c>
      <c r="I91" s="156" t="str">
        <f aca="false">IF($B91="","",MIN(G91,IF(AND(AK91&gt;0,AN91&gt;=AK91),G91,AN91)+SUMIFS('الحركات الشهرية'!$E$6:$E$1005,'الحركات الشهرية'!$B$6:$B$1005,$B91,'الحركات الشهرية'!$A$6:$A$1005,$C$3)))</f>
        <v/>
      </c>
      <c r="J91" s="156" t="str">
        <f aca="false">IF($B91="","",MAX(0,G91-H91-I91))</f>
        <v/>
      </c>
      <c r="K91" s="116" t="str">
        <f aca="false">IF($B91="","",الموظفون!$L91*$J91/cfg_DAYS_M)</f>
        <v/>
      </c>
      <c r="L91" s="116" t="str">
        <f aca="false">IF($B91="","",الموظفون!$M91*$J91/cfg_DAYS_M)</f>
        <v/>
      </c>
      <c r="M91" s="116" t="str">
        <f aca="false">IF($B91="","",الموظفون!$N91*$J91/cfg_DAYS_M)</f>
        <v/>
      </c>
      <c r="N91" s="116" t="str">
        <f aca="false">IF($B91="","",الموظفون!$O91*$J91/cfg_DAYS_M)</f>
        <v/>
      </c>
      <c r="O91" s="156" t="str">
        <f aca="false">IF($B91="","",SUMIFS('الحركات الشهرية'!$F$6:$F$1005,'الحركات الشهرية'!$B$6:$B$1005,$B91,'الحركات الشهرية'!$A$6:$A$1005,$C$3))</f>
        <v/>
      </c>
      <c r="P91" s="116" t="str">
        <f aca="false">IF($B91="","",O91*(الموظفون!$P91+الموظفون!$L91*cfg_OT_P)/cfg_DAYS_M/cfg_HRS)</f>
        <v/>
      </c>
      <c r="Q91" s="116" t="str">
        <f aca="false">IF($B91="","",SUMIFS('الحركات الشهرية'!$G$6:$G$1005,'الحركات الشهرية'!$B$6:$B$1005,$B91,'الحركات الشهرية'!$A$6:$A$1005,$C$3))</f>
        <v/>
      </c>
      <c r="R91" s="116" t="str">
        <f aca="false">IF($B91="","",SUMIFS('الحركات الشهرية'!$H$6:$H$1005,'الحركات الشهرية'!$B$6:$B$1005,$B91,'الحركات الشهرية'!$A$6:$A$1005,$C$3))</f>
        <v/>
      </c>
      <c r="S91" s="116" t="str">
        <f aca="false">IF($B91="","",SUMIFS('سجل الإجازات والحالات'!$N$6:$N$505,'سجل الإجازات والحالات'!$B$6:$B$505,$B91,'سجل الإجازات والحالات'!$O$6:$O$505,$C$3))</f>
        <v/>
      </c>
      <c r="T91" s="157" t="str">
        <f aca="false">IF($B91="","",SUM(K91:N91)+SUM(P91:S91))</f>
        <v/>
      </c>
      <c r="U91" s="116" t="str">
        <f aca="false">IF($B91="","",الموظفون!$S91*IF(E91="سعودي",cfg_G_SE,cfg_G_NE)*G91/cfg_DAYS_M)</f>
        <v/>
      </c>
      <c r="V91" s="116" t="str">
        <f aca="false">IF($B91="","",SUMIFS('الحركات الشهرية'!$I$6:$I$1005,'الحركات الشهرية'!$B$6:$B$1005,$B91,'الحركات الشهرية'!$A$6:$A$1005,$C$3))</f>
        <v/>
      </c>
      <c r="W91" s="116" t="str">
        <f aca="false">IF($B91="","",SUMIFS('الحركات الشهرية'!$J$6:$J$1005,'الحركات الشهرية'!$B$6:$B$1005,$B91,'الحركات الشهرية'!$A$6:$A$1005,$C$3))</f>
        <v/>
      </c>
      <c r="X91" s="116" t="str">
        <f aca="false">IF($B91="","",SUM(U91:W91))</f>
        <v/>
      </c>
      <c r="Y91" s="158" t="str">
        <f aca="false">IF($B91="","",T91-X91)</f>
        <v/>
      </c>
      <c r="Z91" s="116" t="str">
        <f aca="false">IF($B91="","",الموظفون!$S91*IF(E91="سعودي",cfg_G_SR,cfg_G_NR)*G91/cfg_DAYS_M)</f>
        <v/>
      </c>
      <c r="AA91" s="116" t="str">
        <f aca="false">IF($B91="","",الموظفون!$Q91*(cfg_EOS_R1*(MIN(AH91,cfg_EOS_TH)-MIN(AI91,cfg_EOS_TH))+cfg_EOS_R2*(MAX(AH91-cfg_EOS_TH,0)-MAX(AI91-cfg_EOS_TH,0))))</f>
        <v/>
      </c>
      <c r="AB91" s="116" t="str">
        <f aca="false">IF($B91="","",IF(الموظفون!$T91&lt;&gt;"",الموظفون!$T91,IF(AH91&gt;=cfg_LV_TH,cfg_LV_D2,cfg_LV_D1))/cfg_DAYS_Y*AJ91*الموظفون!$R91/cfg_DAYS_M)</f>
        <v/>
      </c>
      <c r="AC91" s="116" t="str">
        <f aca="false">IF($B91="","",IF(AND(الموظفون!$U91="نعم",N(الموظفون!$W91)&gt;0),الموظفون!$V91/الموظفون!$W91*12/cfg_DAYS_Y*AJ91,0))</f>
        <v/>
      </c>
      <c r="AD91" s="116" t="str">
        <f aca="false">IF($B91="","",(IF(الموظفون!$X91&lt;&gt;"",الموظفون!$X91,IF(الموظفون!$E91="غير سعودي",cfg_IQ,0))+IF(الموظفون!$Y91&lt;&gt;"",الموظفون!$Y91,IF(الموظفون!$E91="غير سعودي",cfg_WP,0)))/12*G91/cfg_DAYS_M)</f>
        <v/>
      </c>
      <c r="AE91" s="116" t="str">
        <f aca="false">IF($B91="","",IF(الموظفون!$Z91&lt;&gt;"",الموظفون!$Z91,cfg_MED)/12*G91/cfg_DAYS_M)</f>
        <v/>
      </c>
      <c r="AF91" s="116" t="str">
        <f aca="false">IF($B91="","",N(الموظفون!$AA91)/12*G91/cfg_DAYS_M)</f>
        <v/>
      </c>
      <c r="AG91" s="159" t="str">
        <f aca="false">IF($B91="","",T91+SUM(Z91:AF91))</f>
        <v/>
      </c>
      <c r="AH91" s="160" t="str">
        <f aca="false">IF($B91="","",MAX(0,IF(OR(الموظفون!$AE91="",الموظفون!$AE91&gt;$F$3),$F$3,الموظفون!$AE91)-الموظفون!$H91+1-SUMIFS('سجل الإجازات والحالات'!$AI$6:$AI$505,'سجل الإجازات والحالات'!$B$6:$B$505,$B91))/cfg_DAYS_Y)</f>
        <v/>
      </c>
      <c r="AI91" s="160" t="str">
        <f aca="false">IF($B91="","",MAX(0,IF(OR(الموظفون!$AE91="",الموظفون!$AE91&gt;($E$3-1)),($E$3-1),الموظفون!$AE91)-الموظفون!$H91+1-SUMIFS('سجل الإجازات والحالات'!$AH$6:$AH$505,'سجل الإجازات والحالات'!$B$6:$B$505,$B91))/cfg_DAYS_Y)</f>
        <v/>
      </c>
      <c r="AJ91" s="133" t="str">
        <f aca="false">IF($B91="","",MAX(0,AK91-(SUMIFS('سجل الإجازات والحالات'!$AI$6:$AI$505,'سجل الإجازات والحالات'!$B$6:$B$505,$B91)-SUMIFS('سجل الإجازات والحالات'!$AH$6:$AH$505,'سجل الإجازات والحالات'!$B$6:$B$505,$B91))))</f>
        <v/>
      </c>
      <c r="AK91" s="133" t="str">
        <f aca="false">IF($B91="","",MAX(0,IF(OR(الموظفون!$AE91="",الموظفون!$AE91&gt;$F$3),$F$3,الموظفون!$AE91)-MAX($E$3,الموظفون!$H91)+1))</f>
        <v/>
      </c>
      <c r="AL91" s="156" t="str">
        <f aca="false">IF($B91="","",SUMIFS('سجل الإجازات والحالات'!$AU$6:$AU$505,'سجل الإجازات والحالات'!$B$6:$B$505,$B91)+SUMIFS('الحركات الشهرية'!$K$6:$K$1005,'الحركات الشهرية'!$B$6:$B$1005,$B91,'الحركات الشهرية'!$A$6:$A$1005,$C$3))</f>
        <v/>
      </c>
      <c r="AM91" s="116" t="str">
        <f aca="false">IF($B91="","",AL91*الموظفون!$R91/cfg_DAYS_M+S91)</f>
        <v/>
      </c>
      <c r="AN91" s="156" t="str">
        <f aca="false">IF($B91="","",SUMIFS('سجل الإجازات والحالات'!$W$6:$W$505,'سجل الإجازات والحالات'!$B$6:$B$505,$B91))</f>
        <v/>
      </c>
    </row>
    <row r="92" customFormat="false" ht="15" hidden="false" customHeight="false" outlineLevel="0" collapsed="false">
      <c r="A92" s="106" t="str">
        <f aca="false">IF($B92="","",الموظفون!$A92)</f>
        <v/>
      </c>
      <c r="B92" s="114" t="str">
        <f aca="false">IF(الموظفون!$B92="","",الموظفون!$B92)</f>
        <v/>
      </c>
      <c r="C92" s="114" t="str">
        <f aca="false">IF($B92="","",الموظفون!$C92)</f>
        <v/>
      </c>
      <c r="D92" s="114" t="str">
        <f aca="false">IF($B92="","",الموظفون!$F92)</f>
        <v/>
      </c>
      <c r="E92" s="114" t="str">
        <f aca="false">IF($B92="","",الموظفون!$E92)</f>
        <v/>
      </c>
      <c r="F92" s="114" t="str">
        <f aca="false">IF($B92="","",IF(AK92=0,IF(AND(الموظفون!$AE92&lt;&gt;"",الموظفون!$AE92&lt;$E$3),"✖ منتهي الخدمة","⏳ لم يباشر"),IF(S92&gt;0,"✈ راتب إجازة مقدم",IF(J92=0,"⛔ بدون راتب هذا الشهر",IF(I92&gt;0,"✈ خصم "&amp;ROUND(I92,2)&amp;" يوم بدون أجر",IF(AL92&gt;0,"🌴 إجازة سنوية "&amp;ROUND(AL92,2)&amp;" يوم",IF(H92&gt;0,"⚠ غياب "&amp;ROUND(H92,2)&amp;" يوم","✔ على رأس العمل")))))))</f>
        <v/>
      </c>
      <c r="G92" s="151" t="str">
        <f aca="false">IF($B92="","",IF(AK92&gt;=DAY($F$3),cfg_DAYS_M,MIN(AK92,cfg_DAYS_M)))</f>
        <v/>
      </c>
      <c r="H92" s="151" t="str">
        <f aca="false">IF($B92="","",SUMIFS('الحركات الشهرية'!$D$6:$D$1005,'الحركات الشهرية'!$B$6:$B$1005,$B92,'الحركات الشهرية'!$A$6:$A$1005,$C$3))</f>
        <v/>
      </c>
      <c r="I92" s="151" t="str">
        <f aca="false">IF($B92="","",MIN(G92,IF(AND(AK92&gt;0,AN92&gt;=AK92),G92,AN92)+SUMIFS('الحركات الشهرية'!$E$6:$E$1005,'الحركات الشهرية'!$B$6:$B$1005,$B92,'الحركات الشهرية'!$A$6:$A$1005,$C$3)))</f>
        <v/>
      </c>
      <c r="J92" s="151" t="str">
        <f aca="false">IF($B92="","",MAX(0,G92-H92-I92))</f>
        <v/>
      </c>
      <c r="K92" s="111" t="str">
        <f aca="false">IF($B92="","",الموظفون!$L92*$J92/cfg_DAYS_M)</f>
        <v/>
      </c>
      <c r="L92" s="111" t="str">
        <f aca="false">IF($B92="","",الموظفون!$M92*$J92/cfg_DAYS_M)</f>
        <v/>
      </c>
      <c r="M92" s="111" t="str">
        <f aca="false">IF($B92="","",الموظفون!$N92*$J92/cfg_DAYS_M)</f>
        <v/>
      </c>
      <c r="N92" s="111" t="str">
        <f aca="false">IF($B92="","",الموظفون!$O92*$J92/cfg_DAYS_M)</f>
        <v/>
      </c>
      <c r="O92" s="151" t="str">
        <f aca="false">IF($B92="","",SUMIFS('الحركات الشهرية'!$F$6:$F$1005,'الحركات الشهرية'!$B$6:$B$1005,$B92,'الحركات الشهرية'!$A$6:$A$1005,$C$3))</f>
        <v/>
      </c>
      <c r="P92" s="111" t="str">
        <f aca="false">IF($B92="","",O92*(الموظفون!$P92+الموظفون!$L92*cfg_OT_P)/cfg_DAYS_M/cfg_HRS)</f>
        <v/>
      </c>
      <c r="Q92" s="111" t="str">
        <f aca="false">IF($B92="","",SUMIFS('الحركات الشهرية'!$G$6:$G$1005,'الحركات الشهرية'!$B$6:$B$1005,$B92,'الحركات الشهرية'!$A$6:$A$1005,$C$3))</f>
        <v/>
      </c>
      <c r="R92" s="111" t="str">
        <f aca="false">IF($B92="","",SUMIFS('الحركات الشهرية'!$H$6:$H$1005,'الحركات الشهرية'!$B$6:$B$1005,$B92,'الحركات الشهرية'!$A$6:$A$1005,$C$3))</f>
        <v/>
      </c>
      <c r="S92" s="111" t="str">
        <f aca="false">IF($B92="","",SUMIFS('سجل الإجازات والحالات'!$N$6:$N$505,'سجل الإجازات والحالات'!$B$6:$B$505,$B92,'سجل الإجازات والحالات'!$O$6:$O$505,$C$3))</f>
        <v/>
      </c>
      <c r="T92" s="152" t="str">
        <f aca="false">IF($B92="","",SUM(K92:N92)+SUM(P92:S92))</f>
        <v/>
      </c>
      <c r="U92" s="111" t="str">
        <f aca="false">IF($B92="","",الموظفون!$S92*IF(E92="سعودي",cfg_G_SE,cfg_G_NE)*G92/cfg_DAYS_M)</f>
        <v/>
      </c>
      <c r="V92" s="111" t="str">
        <f aca="false">IF($B92="","",SUMIFS('الحركات الشهرية'!$I$6:$I$1005,'الحركات الشهرية'!$B$6:$B$1005,$B92,'الحركات الشهرية'!$A$6:$A$1005,$C$3))</f>
        <v/>
      </c>
      <c r="W92" s="111" t="str">
        <f aca="false">IF($B92="","",SUMIFS('الحركات الشهرية'!$J$6:$J$1005,'الحركات الشهرية'!$B$6:$B$1005,$B92,'الحركات الشهرية'!$A$6:$A$1005,$C$3))</f>
        <v/>
      </c>
      <c r="X92" s="111" t="str">
        <f aca="false">IF($B92="","",SUM(U92:W92))</f>
        <v/>
      </c>
      <c r="Y92" s="153" t="str">
        <f aca="false">IF($B92="","",T92-X92)</f>
        <v/>
      </c>
      <c r="Z92" s="111" t="str">
        <f aca="false">IF($B92="","",الموظفون!$S92*IF(E92="سعودي",cfg_G_SR,cfg_G_NR)*G92/cfg_DAYS_M)</f>
        <v/>
      </c>
      <c r="AA92" s="111" t="str">
        <f aca="false">IF($B92="","",الموظفون!$Q92*(cfg_EOS_R1*(MIN(AH92,cfg_EOS_TH)-MIN(AI92,cfg_EOS_TH))+cfg_EOS_R2*(MAX(AH92-cfg_EOS_TH,0)-MAX(AI92-cfg_EOS_TH,0))))</f>
        <v/>
      </c>
      <c r="AB92" s="111" t="str">
        <f aca="false">IF($B92="","",IF(الموظفون!$T92&lt;&gt;"",الموظفون!$T92,IF(AH92&gt;=cfg_LV_TH,cfg_LV_D2,cfg_LV_D1))/cfg_DAYS_Y*AJ92*الموظفون!$R92/cfg_DAYS_M)</f>
        <v/>
      </c>
      <c r="AC92" s="111" t="str">
        <f aca="false">IF($B92="","",IF(AND(الموظفون!$U92="نعم",N(الموظفون!$W92)&gt;0),الموظفون!$V92/الموظفون!$W92*12/cfg_DAYS_Y*AJ92,0))</f>
        <v/>
      </c>
      <c r="AD92" s="111" t="str">
        <f aca="false">IF($B92="","",(IF(الموظفون!$X92&lt;&gt;"",الموظفون!$X92,IF(الموظفون!$E92="غير سعودي",cfg_IQ,0))+IF(الموظفون!$Y92&lt;&gt;"",الموظفون!$Y92,IF(الموظفون!$E92="غير سعودي",cfg_WP,0)))/12*G92/cfg_DAYS_M)</f>
        <v/>
      </c>
      <c r="AE92" s="111" t="str">
        <f aca="false">IF($B92="","",IF(الموظفون!$Z92&lt;&gt;"",الموظفون!$Z92,cfg_MED)/12*G92/cfg_DAYS_M)</f>
        <v/>
      </c>
      <c r="AF92" s="111" t="str">
        <f aca="false">IF($B92="","",N(الموظفون!$AA92)/12*G92/cfg_DAYS_M)</f>
        <v/>
      </c>
      <c r="AG92" s="154" t="str">
        <f aca="false">IF($B92="","",T92+SUM(Z92:AF92))</f>
        <v/>
      </c>
      <c r="AH92" s="155" t="str">
        <f aca="false">IF($B92="","",MAX(0,IF(OR(الموظفون!$AE92="",الموظفون!$AE92&gt;$F$3),$F$3,الموظفون!$AE92)-الموظفون!$H92+1-SUMIFS('سجل الإجازات والحالات'!$AI$6:$AI$505,'سجل الإجازات والحالات'!$B$6:$B$505,$B92))/cfg_DAYS_Y)</f>
        <v/>
      </c>
      <c r="AI92" s="155" t="str">
        <f aca="false">IF($B92="","",MAX(0,IF(OR(الموظفون!$AE92="",الموظفون!$AE92&gt;($E$3-1)),($E$3-1),الموظفون!$AE92)-الموظفون!$H92+1-SUMIFS('سجل الإجازات والحالات'!$AH$6:$AH$505,'سجل الإجازات والحالات'!$B$6:$B$505,$B92))/cfg_DAYS_Y)</f>
        <v/>
      </c>
      <c r="AJ92" s="65" t="str">
        <f aca="false">IF($B92="","",MAX(0,AK92-(SUMIFS('سجل الإجازات والحالات'!$AI$6:$AI$505,'سجل الإجازات والحالات'!$B$6:$B$505,$B92)-SUMIFS('سجل الإجازات والحالات'!$AH$6:$AH$505,'سجل الإجازات والحالات'!$B$6:$B$505,$B92))))</f>
        <v/>
      </c>
      <c r="AK92" s="65" t="str">
        <f aca="false">IF($B92="","",MAX(0,IF(OR(الموظفون!$AE92="",الموظفون!$AE92&gt;$F$3),$F$3,الموظفون!$AE92)-MAX($E$3,الموظفون!$H92)+1))</f>
        <v/>
      </c>
      <c r="AL92" s="151" t="str">
        <f aca="false">IF($B92="","",SUMIFS('سجل الإجازات والحالات'!$AU$6:$AU$505,'سجل الإجازات والحالات'!$B$6:$B$505,$B92)+SUMIFS('الحركات الشهرية'!$K$6:$K$1005,'الحركات الشهرية'!$B$6:$B$1005,$B92,'الحركات الشهرية'!$A$6:$A$1005,$C$3))</f>
        <v/>
      </c>
      <c r="AM92" s="111" t="str">
        <f aca="false">IF($B92="","",AL92*الموظفون!$R92/cfg_DAYS_M+S92)</f>
        <v/>
      </c>
      <c r="AN92" s="151" t="str">
        <f aca="false">IF($B92="","",SUMIFS('سجل الإجازات والحالات'!$W$6:$W$505,'سجل الإجازات والحالات'!$B$6:$B$505,$B92))</f>
        <v/>
      </c>
    </row>
    <row r="93" customFormat="false" ht="15" hidden="false" customHeight="false" outlineLevel="0" collapsed="false">
      <c r="A93" s="115" t="str">
        <f aca="false">IF($B93="","",الموظفون!$A93)</f>
        <v/>
      </c>
      <c r="B93" s="117" t="str">
        <f aca="false">IF(الموظفون!$B93="","",الموظفون!$B93)</f>
        <v/>
      </c>
      <c r="C93" s="117" t="str">
        <f aca="false">IF($B93="","",الموظفون!$C93)</f>
        <v/>
      </c>
      <c r="D93" s="117" t="str">
        <f aca="false">IF($B93="","",الموظفون!$F93)</f>
        <v/>
      </c>
      <c r="E93" s="117" t="str">
        <f aca="false">IF($B93="","",الموظفون!$E93)</f>
        <v/>
      </c>
      <c r="F93" s="117" t="str">
        <f aca="false">IF($B93="","",IF(AK93=0,IF(AND(الموظفون!$AE93&lt;&gt;"",الموظفون!$AE93&lt;$E$3),"✖ منتهي الخدمة","⏳ لم يباشر"),IF(S93&gt;0,"✈ راتب إجازة مقدم",IF(J93=0,"⛔ بدون راتب هذا الشهر",IF(I93&gt;0,"✈ خصم "&amp;ROUND(I93,2)&amp;" يوم بدون أجر",IF(AL93&gt;0,"🌴 إجازة سنوية "&amp;ROUND(AL93,2)&amp;" يوم",IF(H93&gt;0,"⚠ غياب "&amp;ROUND(H93,2)&amp;" يوم","✔ على رأس العمل")))))))</f>
        <v/>
      </c>
      <c r="G93" s="156" t="str">
        <f aca="false">IF($B93="","",IF(AK93&gt;=DAY($F$3),cfg_DAYS_M,MIN(AK93,cfg_DAYS_M)))</f>
        <v/>
      </c>
      <c r="H93" s="156" t="str">
        <f aca="false">IF($B93="","",SUMIFS('الحركات الشهرية'!$D$6:$D$1005,'الحركات الشهرية'!$B$6:$B$1005,$B93,'الحركات الشهرية'!$A$6:$A$1005,$C$3))</f>
        <v/>
      </c>
      <c r="I93" s="156" t="str">
        <f aca="false">IF($B93="","",MIN(G93,IF(AND(AK93&gt;0,AN93&gt;=AK93),G93,AN93)+SUMIFS('الحركات الشهرية'!$E$6:$E$1005,'الحركات الشهرية'!$B$6:$B$1005,$B93,'الحركات الشهرية'!$A$6:$A$1005,$C$3)))</f>
        <v/>
      </c>
      <c r="J93" s="156" t="str">
        <f aca="false">IF($B93="","",MAX(0,G93-H93-I93))</f>
        <v/>
      </c>
      <c r="K93" s="116" t="str">
        <f aca="false">IF($B93="","",الموظفون!$L93*$J93/cfg_DAYS_M)</f>
        <v/>
      </c>
      <c r="L93" s="116" t="str">
        <f aca="false">IF($B93="","",الموظفون!$M93*$J93/cfg_DAYS_M)</f>
        <v/>
      </c>
      <c r="M93" s="116" t="str">
        <f aca="false">IF($B93="","",الموظفون!$N93*$J93/cfg_DAYS_M)</f>
        <v/>
      </c>
      <c r="N93" s="116" t="str">
        <f aca="false">IF($B93="","",الموظفون!$O93*$J93/cfg_DAYS_M)</f>
        <v/>
      </c>
      <c r="O93" s="156" t="str">
        <f aca="false">IF($B93="","",SUMIFS('الحركات الشهرية'!$F$6:$F$1005,'الحركات الشهرية'!$B$6:$B$1005,$B93,'الحركات الشهرية'!$A$6:$A$1005,$C$3))</f>
        <v/>
      </c>
      <c r="P93" s="116" t="str">
        <f aca="false">IF($B93="","",O93*(الموظفون!$P93+الموظفون!$L93*cfg_OT_P)/cfg_DAYS_M/cfg_HRS)</f>
        <v/>
      </c>
      <c r="Q93" s="116" t="str">
        <f aca="false">IF($B93="","",SUMIFS('الحركات الشهرية'!$G$6:$G$1005,'الحركات الشهرية'!$B$6:$B$1005,$B93,'الحركات الشهرية'!$A$6:$A$1005,$C$3))</f>
        <v/>
      </c>
      <c r="R93" s="116" t="str">
        <f aca="false">IF($B93="","",SUMIFS('الحركات الشهرية'!$H$6:$H$1005,'الحركات الشهرية'!$B$6:$B$1005,$B93,'الحركات الشهرية'!$A$6:$A$1005,$C$3))</f>
        <v/>
      </c>
      <c r="S93" s="116" t="str">
        <f aca="false">IF($B93="","",SUMIFS('سجل الإجازات والحالات'!$N$6:$N$505,'سجل الإجازات والحالات'!$B$6:$B$505,$B93,'سجل الإجازات والحالات'!$O$6:$O$505,$C$3))</f>
        <v/>
      </c>
      <c r="T93" s="157" t="str">
        <f aca="false">IF($B93="","",SUM(K93:N93)+SUM(P93:S93))</f>
        <v/>
      </c>
      <c r="U93" s="116" t="str">
        <f aca="false">IF($B93="","",الموظفون!$S93*IF(E93="سعودي",cfg_G_SE,cfg_G_NE)*G93/cfg_DAYS_M)</f>
        <v/>
      </c>
      <c r="V93" s="116" t="str">
        <f aca="false">IF($B93="","",SUMIFS('الحركات الشهرية'!$I$6:$I$1005,'الحركات الشهرية'!$B$6:$B$1005,$B93,'الحركات الشهرية'!$A$6:$A$1005,$C$3))</f>
        <v/>
      </c>
      <c r="W93" s="116" t="str">
        <f aca="false">IF($B93="","",SUMIFS('الحركات الشهرية'!$J$6:$J$1005,'الحركات الشهرية'!$B$6:$B$1005,$B93,'الحركات الشهرية'!$A$6:$A$1005,$C$3))</f>
        <v/>
      </c>
      <c r="X93" s="116" t="str">
        <f aca="false">IF($B93="","",SUM(U93:W93))</f>
        <v/>
      </c>
      <c r="Y93" s="158" t="str">
        <f aca="false">IF($B93="","",T93-X93)</f>
        <v/>
      </c>
      <c r="Z93" s="116" t="str">
        <f aca="false">IF($B93="","",الموظفون!$S93*IF(E93="سعودي",cfg_G_SR,cfg_G_NR)*G93/cfg_DAYS_M)</f>
        <v/>
      </c>
      <c r="AA93" s="116" t="str">
        <f aca="false">IF($B93="","",الموظفون!$Q93*(cfg_EOS_R1*(MIN(AH93,cfg_EOS_TH)-MIN(AI93,cfg_EOS_TH))+cfg_EOS_R2*(MAX(AH93-cfg_EOS_TH,0)-MAX(AI93-cfg_EOS_TH,0))))</f>
        <v/>
      </c>
      <c r="AB93" s="116" t="str">
        <f aca="false">IF($B93="","",IF(الموظفون!$T93&lt;&gt;"",الموظفون!$T93,IF(AH93&gt;=cfg_LV_TH,cfg_LV_D2,cfg_LV_D1))/cfg_DAYS_Y*AJ93*الموظفون!$R93/cfg_DAYS_M)</f>
        <v/>
      </c>
      <c r="AC93" s="116" t="str">
        <f aca="false">IF($B93="","",IF(AND(الموظفون!$U93="نعم",N(الموظفون!$W93)&gt;0),الموظفون!$V93/الموظفون!$W93*12/cfg_DAYS_Y*AJ93,0))</f>
        <v/>
      </c>
      <c r="AD93" s="116" t="str">
        <f aca="false">IF($B93="","",(IF(الموظفون!$X93&lt;&gt;"",الموظفون!$X93,IF(الموظفون!$E93="غير سعودي",cfg_IQ,0))+IF(الموظفون!$Y93&lt;&gt;"",الموظفون!$Y93,IF(الموظفون!$E93="غير سعودي",cfg_WP,0)))/12*G93/cfg_DAYS_M)</f>
        <v/>
      </c>
      <c r="AE93" s="116" t="str">
        <f aca="false">IF($B93="","",IF(الموظفون!$Z93&lt;&gt;"",الموظفون!$Z93,cfg_MED)/12*G93/cfg_DAYS_M)</f>
        <v/>
      </c>
      <c r="AF93" s="116" t="str">
        <f aca="false">IF($B93="","",N(الموظفون!$AA93)/12*G93/cfg_DAYS_M)</f>
        <v/>
      </c>
      <c r="AG93" s="159" t="str">
        <f aca="false">IF($B93="","",T93+SUM(Z93:AF93))</f>
        <v/>
      </c>
      <c r="AH93" s="160" t="str">
        <f aca="false">IF($B93="","",MAX(0,IF(OR(الموظفون!$AE93="",الموظفون!$AE93&gt;$F$3),$F$3,الموظفون!$AE93)-الموظفون!$H93+1-SUMIFS('سجل الإجازات والحالات'!$AI$6:$AI$505,'سجل الإجازات والحالات'!$B$6:$B$505,$B93))/cfg_DAYS_Y)</f>
        <v/>
      </c>
      <c r="AI93" s="160" t="str">
        <f aca="false">IF($B93="","",MAX(0,IF(OR(الموظفون!$AE93="",الموظفون!$AE93&gt;($E$3-1)),($E$3-1),الموظفون!$AE93)-الموظفون!$H93+1-SUMIFS('سجل الإجازات والحالات'!$AH$6:$AH$505,'سجل الإجازات والحالات'!$B$6:$B$505,$B93))/cfg_DAYS_Y)</f>
        <v/>
      </c>
      <c r="AJ93" s="133" t="str">
        <f aca="false">IF($B93="","",MAX(0,AK93-(SUMIFS('سجل الإجازات والحالات'!$AI$6:$AI$505,'سجل الإجازات والحالات'!$B$6:$B$505,$B93)-SUMIFS('سجل الإجازات والحالات'!$AH$6:$AH$505,'سجل الإجازات والحالات'!$B$6:$B$505,$B93))))</f>
        <v/>
      </c>
      <c r="AK93" s="133" t="str">
        <f aca="false">IF($B93="","",MAX(0,IF(OR(الموظفون!$AE93="",الموظفون!$AE93&gt;$F$3),$F$3,الموظفون!$AE93)-MAX($E$3,الموظفون!$H93)+1))</f>
        <v/>
      </c>
      <c r="AL93" s="156" t="str">
        <f aca="false">IF($B93="","",SUMIFS('سجل الإجازات والحالات'!$AU$6:$AU$505,'سجل الإجازات والحالات'!$B$6:$B$505,$B93)+SUMIFS('الحركات الشهرية'!$K$6:$K$1005,'الحركات الشهرية'!$B$6:$B$1005,$B93,'الحركات الشهرية'!$A$6:$A$1005,$C$3))</f>
        <v/>
      </c>
      <c r="AM93" s="116" t="str">
        <f aca="false">IF($B93="","",AL93*الموظفون!$R93/cfg_DAYS_M+S93)</f>
        <v/>
      </c>
      <c r="AN93" s="156" t="str">
        <f aca="false">IF($B93="","",SUMIFS('سجل الإجازات والحالات'!$W$6:$W$505,'سجل الإجازات والحالات'!$B$6:$B$505,$B93))</f>
        <v/>
      </c>
    </row>
    <row r="94" customFormat="false" ht="15" hidden="false" customHeight="false" outlineLevel="0" collapsed="false">
      <c r="A94" s="106" t="str">
        <f aca="false">IF($B94="","",الموظفون!$A94)</f>
        <v/>
      </c>
      <c r="B94" s="114" t="str">
        <f aca="false">IF(الموظفون!$B94="","",الموظفون!$B94)</f>
        <v/>
      </c>
      <c r="C94" s="114" t="str">
        <f aca="false">IF($B94="","",الموظفون!$C94)</f>
        <v/>
      </c>
      <c r="D94" s="114" t="str">
        <f aca="false">IF($B94="","",الموظفون!$F94)</f>
        <v/>
      </c>
      <c r="E94" s="114" t="str">
        <f aca="false">IF($B94="","",الموظفون!$E94)</f>
        <v/>
      </c>
      <c r="F94" s="114" t="str">
        <f aca="false">IF($B94="","",IF(AK94=0,IF(AND(الموظفون!$AE94&lt;&gt;"",الموظفون!$AE94&lt;$E$3),"✖ منتهي الخدمة","⏳ لم يباشر"),IF(S94&gt;0,"✈ راتب إجازة مقدم",IF(J94=0,"⛔ بدون راتب هذا الشهر",IF(I94&gt;0,"✈ خصم "&amp;ROUND(I94,2)&amp;" يوم بدون أجر",IF(AL94&gt;0,"🌴 إجازة سنوية "&amp;ROUND(AL94,2)&amp;" يوم",IF(H94&gt;0,"⚠ غياب "&amp;ROUND(H94,2)&amp;" يوم","✔ على رأس العمل")))))))</f>
        <v/>
      </c>
      <c r="G94" s="151" t="str">
        <f aca="false">IF($B94="","",IF(AK94&gt;=DAY($F$3),cfg_DAYS_M,MIN(AK94,cfg_DAYS_M)))</f>
        <v/>
      </c>
      <c r="H94" s="151" t="str">
        <f aca="false">IF($B94="","",SUMIFS('الحركات الشهرية'!$D$6:$D$1005,'الحركات الشهرية'!$B$6:$B$1005,$B94,'الحركات الشهرية'!$A$6:$A$1005,$C$3))</f>
        <v/>
      </c>
      <c r="I94" s="151" t="str">
        <f aca="false">IF($B94="","",MIN(G94,IF(AND(AK94&gt;0,AN94&gt;=AK94),G94,AN94)+SUMIFS('الحركات الشهرية'!$E$6:$E$1005,'الحركات الشهرية'!$B$6:$B$1005,$B94,'الحركات الشهرية'!$A$6:$A$1005,$C$3)))</f>
        <v/>
      </c>
      <c r="J94" s="151" t="str">
        <f aca="false">IF($B94="","",MAX(0,G94-H94-I94))</f>
        <v/>
      </c>
      <c r="K94" s="111" t="str">
        <f aca="false">IF($B94="","",الموظفون!$L94*$J94/cfg_DAYS_M)</f>
        <v/>
      </c>
      <c r="L94" s="111" t="str">
        <f aca="false">IF($B94="","",الموظفون!$M94*$J94/cfg_DAYS_M)</f>
        <v/>
      </c>
      <c r="M94" s="111" t="str">
        <f aca="false">IF($B94="","",الموظفون!$N94*$J94/cfg_DAYS_M)</f>
        <v/>
      </c>
      <c r="N94" s="111" t="str">
        <f aca="false">IF($B94="","",الموظفون!$O94*$J94/cfg_DAYS_M)</f>
        <v/>
      </c>
      <c r="O94" s="151" t="str">
        <f aca="false">IF($B94="","",SUMIFS('الحركات الشهرية'!$F$6:$F$1005,'الحركات الشهرية'!$B$6:$B$1005,$B94,'الحركات الشهرية'!$A$6:$A$1005,$C$3))</f>
        <v/>
      </c>
      <c r="P94" s="111" t="str">
        <f aca="false">IF($B94="","",O94*(الموظفون!$P94+الموظفون!$L94*cfg_OT_P)/cfg_DAYS_M/cfg_HRS)</f>
        <v/>
      </c>
      <c r="Q94" s="111" t="str">
        <f aca="false">IF($B94="","",SUMIFS('الحركات الشهرية'!$G$6:$G$1005,'الحركات الشهرية'!$B$6:$B$1005,$B94,'الحركات الشهرية'!$A$6:$A$1005,$C$3))</f>
        <v/>
      </c>
      <c r="R94" s="111" t="str">
        <f aca="false">IF($B94="","",SUMIFS('الحركات الشهرية'!$H$6:$H$1005,'الحركات الشهرية'!$B$6:$B$1005,$B94,'الحركات الشهرية'!$A$6:$A$1005,$C$3))</f>
        <v/>
      </c>
      <c r="S94" s="111" t="str">
        <f aca="false">IF($B94="","",SUMIFS('سجل الإجازات والحالات'!$N$6:$N$505,'سجل الإجازات والحالات'!$B$6:$B$505,$B94,'سجل الإجازات والحالات'!$O$6:$O$505,$C$3))</f>
        <v/>
      </c>
      <c r="T94" s="152" t="str">
        <f aca="false">IF($B94="","",SUM(K94:N94)+SUM(P94:S94))</f>
        <v/>
      </c>
      <c r="U94" s="111" t="str">
        <f aca="false">IF($B94="","",الموظفون!$S94*IF(E94="سعودي",cfg_G_SE,cfg_G_NE)*G94/cfg_DAYS_M)</f>
        <v/>
      </c>
      <c r="V94" s="111" t="str">
        <f aca="false">IF($B94="","",SUMIFS('الحركات الشهرية'!$I$6:$I$1005,'الحركات الشهرية'!$B$6:$B$1005,$B94,'الحركات الشهرية'!$A$6:$A$1005,$C$3))</f>
        <v/>
      </c>
      <c r="W94" s="111" t="str">
        <f aca="false">IF($B94="","",SUMIFS('الحركات الشهرية'!$J$6:$J$1005,'الحركات الشهرية'!$B$6:$B$1005,$B94,'الحركات الشهرية'!$A$6:$A$1005,$C$3))</f>
        <v/>
      </c>
      <c r="X94" s="111" t="str">
        <f aca="false">IF($B94="","",SUM(U94:W94))</f>
        <v/>
      </c>
      <c r="Y94" s="153" t="str">
        <f aca="false">IF($B94="","",T94-X94)</f>
        <v/>
      </c>
      <c r="Z94" s="111" t="str">
        <f aca="false">IF($B94="","",الموظفون!$S94*IF(E94="سعودي",cfg_G_SR,cfg_G_NR)*G94/cfg_DAYS_M)</f>
        <v/>
      </c>
      <c r="AA94" s="111" t="str">
        <f aca="false">IF($B94="","",الموظفون!$Q94*(cfg_EOS_R1*(MIN(AH94,cfg_EOS_TH)-MIN(AI94,cfg_EOS_TH))+cfg_EOS_R2*(MAX(AH94-cfg_EOS_TH,0)-MAX(AI94-cfg_EOS_TH,0))))</f>
        <v/>
      </c>
      <c r="AB94" s="111" t="str">
        <f aca="false">IF($B94="","",IF(الموظفون!$T94&lt;&gt;"",الموظفون!$T94,IF(AH94&gt;=cfg_LV_TH,cfg_LV_D2,cfg_LV_D1))/cfg_DAYS_Y*AJ94*الموظفون!$R94/cfg_DAYS_M)</f>
        <v/>
      </c>
      <c r="AC94" s="111" t="str">
        <f aca="false">IF($B94="","",IF(AND(الموظفون!$U94="نعم",N(الموظفون!$W94)&gt;0),الموظفون!$V94/الموظفون!$W94*12/cfg_DAYS_Y*AJ94,0))</f>
        <v/>
      </c>
      <c r="AD94" s="111" t="str">
        <f aca="false">IF($B94="","",(IF(الموظفون!$X94&lt;&gt;"",الموظفون!$X94,IF(الموظفون!$E94="غير سعودي",cfg_IQ,0))+IF(الموظفون!$Y94&lt;&gt;"",الموظفون!$Y94,IF(الموظفون!$E94="غير سعودي",cfg_WP,0)))/12*G94/cfg_DAYS_M)</f>
        <v/>
      </c>
      <c r="AE94" s="111" t="str">
        <f aca="false">IF($B94="","",IF(الموظفون!$Z94&lt;&gt;"",الموظفون!$Z94,cfg_MED)/12*G94/cfg_DAYS_M)</f>
        <v/>
      </c>
      <c r="AF94" s="111" t="str">
        <f aca="false">IF($B94="","",N(الموظفون!$AA94)/12*G94/cfg_DAYS_M)</f>
        <v/>
      </c>
      <c r="AG94" s="154" t="str">
        <f aca="false">IF($B94="","",T94+SUM(Z94:AF94))</f>
        <v/>
      </c>
      <c r="AH94" s="155" t="str">
        <f aca="false">IF($B94="","",MAX(0,IF(OR(الموظفون!$AE94="",الموظفون!$AE94&gt;$F$3),$F$3,الموظفون!$AE94)-الموظفون!$H94+1-SUMIFS('سجل الإجازات والحالات'!$AI$6:$AI$505,'سجل الإجازات والحالات'!$B$6:$B$505,$B94))/cfg_DAYS_Y)</f>
        <v/>
      </c>
      <c r="AI94" s="155" t="str">
        <f aca="false">IF($B94="","",MAX(0,IF(OR(الموظفون!$AE94="",الموظفون!$AE94&gt;($E$3-1)),($E$3-1),الموظفون!$AE94)-الموظفون!$H94+1-SUMIFS('سجل الإجازات والحالات'!$AH$6:$AH$505,'سجل الإجازات والحالات'!$B$6:$B$505,$B94))/cfg_DAYS_Y)</f>
        <v/>
      </c>
      <c r="AJ94" s="65" t="str">
        <f aca="false">IF($B94="","",MAX(0,AK94-(SUMIFS('سجل الإجازات والحالات'!$AI$6:$AI$505,'سجل الإجازات والحالات'!$B$6:$B$505,$B94)-SUMIFS('سجل الإجازات والحالات'!$AH$6:$AH$505,'سجل الإجازات والحالات'!$B$6:$B$505,$B94))))</f>
        <v/>
      </c>
      <c r="AK94" s="65" t="str">
        <f aca="false">IF($B94="","",MAX(0,IF(OR(الموظفون!$AE94="",الموظفون!$AE94&gt;$F$3),$F$3,الموظفون!$AE94)-MAX($E$3,الموظفون!$H94)+1))</f>
        <v/>
      </c>
      <c r="AL94" s="151" t="str">
        <f aca="false">IF($B94="","",SUMIFS('سجل الإجازات والحالات'!$AU$6:$AU$505,'سجل الإجازات والحالات'!$B$6:$B$505,$B94)+SUMIFS('الحركات الشهرية'!$K$6:$K$1005,'الحركات الشهرية'!$B$6:$B$1005,$B94,'الحركات الشهرية'!$A$6:$A$1005,$C$3))</f>
        <v/>
      </c>
      <c r="AM94" s="111" t="str">
        <f aca="false">IF($B94="","",AL94*الموظفون!$R94/cfg_DAYS_M+S94)</f>
        <v/>
      </c>
      <c r="AN94" s="151" t="str">
        <f aca="false">IF($B94="","",SUMIFS('سجل الإجازات والحالات'!$W$6:$W$505,'سجل الإجازات والحالات'!$B$6:$B$505,$B94))</f>
        <v/>
      </c>
    </row>
    <row r="95" customFormat="false" ht="15" hidden="false" customHeight="false" outlineLevel="0" collapsed="false">
      <c r="A95" s="115" t="str">
        <f aca="false">IF($B95="","",الموظفون!$A95)</f>
        <v/>
      </c>
      <c r="B95" s="117" t="str">
        <f aca="false">IF(الموظفون!$B95="","",الموظفون!$B95)</f>
        <v/>
      </c>
      <c r="C95" s="117" t="str">
        <f aca="false">IF($B95="","",الموظفون!$C95)</f>
        <v/>
      </c>
      <c r="D95" s="117" t="str">
        <f aca="false">IF($B95="","",الموظفون!$F95)</f>
        <v/>
      </c>
      <c r="E95" s="117" t="str">
        <f aca="false">IF($B95="","",الموظفون!$E95)</f>
        <v/>
      </c>
      <c r="F95" s="117" t="str">
        <f aca="false">IF($B95="","",IF(AK95=0,IF(AND(الموظفون!$AE95&lt;&gt;"",الموظفون!$AE95&lt;$E$3),"✖ منتهي الخدمة","⏳ لم يباشر"),IF(S95&gt;0,"✈ راتب إجازة مقدم",IF(J95=0,"⛔ بدون راتب هذا الشهر",IF(I95&gt;0,"✈ خصم "&amp;ROUND(I95,2)&amp;" يوم بدون أجر",IF(AL95&gt;0,"🌴 إجازة سنوية "&amp;ROUND(AL95,2)&amp;" يوم",IF(H95&gt;0,"⚠ غياب "&amp;ROUND(H95,2)&amp;" يوم","✔ على رأس العمل")))))))</f>
        <v/>
      </c>
      <c r="G95" s="156" t="str">
        <f aca="false">IF($B95="","",IF(AK95&gt;=DAY($F$3),cfg_DAYS_M,MIN(AK95,cfg_DAYS_M)))</f>
        <v/>
      </c>
      <c r="H95" s="156" t="str">
        <f aca="false">IF($B95="","",SUMIFS('الحركات الشهرية'!$D$6:$D$1005,'الحركات الشهرية'!$B$6:$B$1005,$B95,'الحركات الشهرية'!$A$6:$A$1005,$C$3))</f>
        <v/>
      </c>
      <c r="I95" s="156" t="str">
        <f aca="false">IF($B95="","",MIN(G95,IF(AND(AK95&gt;0,AN95&gt;=AK95),G95,AN95)+SUMIFS('الحركات الشهرية'!$E$6:$E$1005,'الحركات الشهرية'!$B$6:$B$1005,$B95,'الحركات الشهرية'!$A$6:$A$1005,$C$3)))</f>
        <v/>
      </c>
      <c r="J95" s="156" t="str">
        <f aca="false">IF($B95="","",MAX(0,G95-H95-I95))</f>
        <v/>
      </c>
      <c r="K95" s="116" t="str">
        <f aca="false">IF($B95="","",الموظفون!$L95*$J95/cfg_DAYS_M)</f>
        <v/>
      </c>
      <c r="L95" s="116" t="str">
        <f aca="false">IF($B95="","",الموظفون!$M95*$J95/cfg_DAYS_M)</f>
        <v/>
      </c>
      <c r="M95" s="116" t="str">
        <f aca="false">IF($B95="","",الموظفون!$N95*$J95/cfg_DAYS_M)</f>
        <v/>
      </c>
      <c r="N95" s="116" t="str">
        <f aca="false">IF($B95="","",الموظفون!$O95*$J95/cfg_DAYS_M)</f>
        <v/>
      </c>
      <c r="O95" s="156" t="str">
        <f aca="false">IF($B95="","",SUMIFS('الحركات الشهرية'!$F$6:$F$1005,'الحركات الشهرية'!$B$6:$B$1005,$B95,'الحركات الشهرية'!$A$6:$A$1005,$C$3))</f>
        <v/>
      </c>
      <c r="P95" s="116" t="str">
        <f aca="false">IF($B95="","",O95*(الموظفون!$P95+الموظفون!$L95*cfg_OT_P)/cfg_DAYS_M/cfg_HRS)</f>
        <v/>
      </c>
      <c r="Q95" s="116" t="str">
        <f aca="false">IF($B95="","",SUMIFS('الحركات الشهرية'!$G$6:$G$1005,'الحركات الشهرية'!$B$6:$B$1005,$B95,'الحركات الشهرية'!$A$6:$A$1005,$C$3))</f>
        <v/>
      </c>
      <c r="R95" s="116" t="str">
        <f aca="false">IF($B95="","",SUMIFS('الحركات الشهرية'!$H$6:$H$1005,'الحركات الشهرية'!$B$6:$B$1005,$B95,'الحركات الشهرية'!$A$6:$A$1005,$C$3))</f>
        <v/>
      </c>
      <c r="S95" s="116" t="str">
        <f aca="false">IF($B95="","",SUMIFS('سجل الإجازات والحالات'!$N$6:$N$505,'سجل الإجازات والحالات'!$B$6:$B$505,$B95,'سجل الإجازات والحالات'!$O$6:$O$505,$C$3))</f>
        <v/>
      </c>
      <c r="T95" s="157" t="str">
        <f aca="false">IF($B95="","",SUM(K95:N95)+SUM(P95:S95))</f>
        <v/>
      </c>
      <c r="U95" s="116" t="str">
        <f aca="false">IF($B95="","",الموظفون!$S95*IF(E95="سعودي",cfg_G_SE,cfg_G_NE)*G95/cfg_DAYS_M)</f>
        <v/>
      </c>
      <c r="V95" s="116" t="str">
        <f aca="false">IF($B95="","",SUMIFS('الحركات الشهرية'!$I$6:$I$1005,'الحركات الشهرية'!$B$6:$B$1005,$B95,'الحركات الشهرية'!$A$6:$A$1005,$C$3))</f>
        <v/>
      </c>
      <c r="W95" s="116" t="str">
        <f aca="false">IF($B95="","",SUMIFS('الحركات الشهرية'!$J$6:$J$1005,'الحركات الشهرية'!$B$6:$B$1005,$B95,'الحركات الشهرية'!$A$6:$A$1005,$C$3))</f>
        <v/>
      </c>
      <c r="X95" s="116" t="str">
        <f aca="false">IF($B95="","",SUM(U95:W95))</f>
        <v/>
      </c>
      <c r="Y95" s="158" t="str">
        <f aca="false">IF($B95="","",T95-X95)</f>
        <v/>
      </c>
      <c r="Z95" s="116" t="str">
        <f aca="false">IF($B95="","",الموظفون!$S95*IF(E95="سعودي",cfg_G_SR,cfg_G_NR)*G95/cfg_DAYS_M)</f>
        <v/>
      </c>
      <c r="AA95" s="116" t="str">
        <f aca="false">IF($B95="","",الموظفون!$Q95*(cfg_EOS_R1*(MIN(AH95,cfg_EOS_TH)-MIN(AI95,cfg_EOS_TH))+cfg_EOS_R2*(MAX(AH95-cfg_EOS_TH,0)-MAX(AI95-cfg_EOS_TH,0))))</f>
        <v/>
      </c>
      <c r="AB95" s="116" t="str">
        <f aca="false">IF($B95="","",IF(الموظفون!$T95&lt;&gt;"",الموظفون!$T95,IF(AH95&gt;=cfg_LV_TH,cfg_LV_D2,cfg_LV_D1))/cfg_DAYS_Y*AJ95*الموظفون!$R95/cfg_DAYS_M)</f>
        <v/>
      </c>
      <c r="AC95" s="116" t="str">
        <f aca="false">IF($B95="","",IF(AND(الموظفون!$U95="نعم",N(الموظفون!$W95)&gt;0),الموظفون!$V95/الموظفون!$W95*12/cfg_DAYS_Y*AJ95,0))</f>
        <v/>
      </c>
      <c r="AD95" s="116" t="str">
        <f aca="false">IF($B95="","",(IF(الموظفون!$X95&lt;&gt;"",الموظفون!$X95,IF(الموظفون!$E95="غير سعودي",cfg_IQ,0))+IF(الموظفون!$Y95&lt;&gt;"",الموظفون!$Y95,IF(الموظفون!$E95="غير سعودي",cfg_WP,0)))/12*G95/cfg_DAYS_M)</f>
        <v/>
      </c>
      <c r="AE95" s="116" t="str">
        <f aca="false">IF($B95="","",IF(الموظفون!$Z95&lt;&gt;"",الموظفون!$Z95,cfg_MED)/12*G95/cfg_DAYS_M)</f>
        <v/>
      </c>
      <c r="AF95" s="116" t="str">
        <f aca="false">IF($B95="","",N(الموظفون!$AA95)/12*G95/cfg_DAYS_M)</f>
        <v/>
      </c>
      <c r="AG95" s="159" t="str">
        <f aca="false">IF($B95="","",T95+SUM(Z95:AF95))</f>
        <v/>
      </c>
      <c r="AH95" s="160" t="str">
        <f aca="false">IF($B95="","",MAX(0,IF(OR(الموظفون!$AE95="",الموظفون!$AE95&gt;$F$3),$F$3,الموظفون!$AE95)-الموظفون!$H95+1-SUMIFS('سجل الإجازات والحالات'!$AI$6:$AI$505,'سجل الإجازات والحالات'!$B$6:$B$505,$B95))/cfg_DAYS_Y)</f>
        <v/>
      </c>
      <c r="AI95" s="160" t="str">
        <f aca="false">IF($B95="","",MAX(0,IF(OR(الموظفون!$AE95="",الموظفون!$AE95&gt;($E$3-1)),($E$3-1),الموظفون!$AE95)-الموظفون!$H95+1-SUMIFS('سجل الإجازات والحالات'!$AH$6:$AH$505,'سجل الإجازات والحالات'!$B$6:$B$505,$B95))/cfg_DAYS_Y)</f>
        <v/>
      </c>
      <c r="AJ95" s="133" t="str">
        <f aca="false">IF($B95="","",MAX(0,AK95-(SUMIFS('سجل الإجازات والحالات'!$AI$6:$AI$505,'سجل الإجازات والحالات'!$B$6:$B$505,$B95)-SUMIFS('سجل الإجازات والحالات'!$AH$6:$AH$505,'سجل الإجازات والحالات'!$B$6:$B$505,$B95))))</f>
        <v/>
      </c>
      <c r="AK95" s="133" t="str">
        <f aca="false">IF($B95="","",MAX(0,IF(OR(الموظفون!$AE95="",الموظفون!$AE95&gt;$F$3),$F$3,الموظفون!$AE95)-MAX($E$3,الموظفون!$H95)+1))</f>
        <v/>
      </c>
      <c r="AL95" s="156" t="str">
        <f aca="false">IF($B95="","",SUMIFS('سجل الإجازات والحالات'!$AU$6:$AU$505,'سجل الإجازات والحالات'!$B$6:$B$505,$B95)+SUMIFS('الحركات الشهرية'!$K$6:$K$1005,'الحركات الشهرية'!$B$6:$B$1005,$B95,'الحركات الشهرية'!$A$6:$A$1005,$C$3))</f>
        <v/>
      </c>
      <c r="AM95" s="116" t="str">
        <f aca="false">IF($B95="","",AL95*الموظفون!$R95/cfg_DAYS_M+S95)</f>
        <v/>
      </c>
      <c r="AN95" s="156" t="str">
        <f aca="false">IF($B95="","",SUMIFS('سجل الإجازات والحالات'!$W$6:$W$505,'سجل الإجازات والحالات'!$B$6:$B$505,$B95))</f>
        <v/>
      </c>
    </row>
    <row r="96" customFormat="false" ht="15" hidden="false" customHeight="false" outlineLevel="0" collapsed="false">
      <c r="A96" s="106" t="str">
        <f aca="false">IF($B96="","",الموظفون!$A96)</f>
        <v/>
      </c>
      <c r="B96" s="114" t="str">
        <f aca="false">IF(الموظفون!$B96="","",الموظفون!$B96)</f>
        <v/>
      </c>
      <c r="C96" s="114" t="str">
        <f aca="false">IF($B96="","",الموظفون!$C96)</f>
        <v/>
      </c>
      <c r="D96" s="114" t="str">
        <f aca="false">IF($B96="","",الموظفون!$F96)</f>
        <v/>
      </c>
      <c r="E96" s="114" t="str">
        <f aca="false">IF($B96="","",الموظفون!$E96)</f>
        <v/>
      </c>
      <c r="F96" s="114" t="str">
        <f aca="false">IF($B96="","",IF(AK96=0,IF(AND(الموظفون!$AE96&lt;&gt;"",الموظفون!$AE96&lt;$E$3),"✖ منتهي الخدمة","⏳ لم يباشر"),IF(S96&gt;0,"✈ راتب إجازة مقدم",IF(J96=0,"⛔ بدون راتب هذا الشهر",IF(I96&gt;0,"✈ خصم "&amp;ROUND(I96,2)&amp;" يوم بدون أجر",IF(AL96&gt;0,"🌴 إجازة سنوية "&amp;ROUND(AL96,2)&amp;" يوم",IF(H96&gt;0,"⚠ غياب "&amp;ROUND(H96,2)&amp;" يوم","✔ على رأس العمل")))))))</f>
        <v/>
      </c>
      <c r="G96" s="151" t="str">
        <f aca="false">IF($B96="","",IF(AK96&gt;=DAY($F$3),cfg_DAYS_M,MIN(AK96,cfg_DAYS_M)))</f>
        <v/>
      </c>
      <c r="H96" s="151" t="str">
        <f aca="false">IF($B96="","",SUMIFS('الحركات الشهرية'!$D$6:$D$1005,'الحركات الشهرية'!$B$6:$B$1005,$B96,'الحركات الشهرية'!$A$6:$A$1005,$C$3))</f>
        <v/>
      </c>
      <c r="I96" s="151" t="str">
        <f aca="false">IF($B96="","",MIN(G96,IF(AND(AK96&gt;0,AN96&gt;=AK96),G96,AN96)+SUMIFS('الحركات الشهرية'!$E$6:$E$1005,'الحركات الشهرية'!$B$6:$B$1005,$B96,'الحركات الشهرية'!$A$6:$A$1005,$C$3)))</f>
        <v/>
      </c>
      <c r="J96" s="151" t="str">
        <f aca="false">IF($B96="","",MAX(0,G96-H96-I96))</f>
        <v/>
      </c>
      <c r="K96" s="111" t="str">
        <f aca="false">IF($B96="","",الموظفون!$L96*$J96/cfg_DAYS_M)</f>
        <v/>
      </c>
      <c r="L96" s="111" t="str">
        <f aca="false">IF($B96="","",الموظفون!$M96*$J96/cfg_DAYS_M)</f>
        <v/>
      </c>
      <c r="M96" s="111" t="str">
        <f aca="false">IF($B96="","",الموظفون!$N96*$J96/cfg_DAYS_M)</f>
        <v/>
      </c>
      <c r="N96" s="111" t="str">
        <f aca="false">IF($B96="","",الموظفون!$O96*$J96/cfg_DAYS_M)</f>
        <v/>
      </c>
      <c r="O96" s="151" t="str">
        <f aca="false">IF($B96="","",SUMIFS('الحركات الشهرية'!$F$6:$F$1005,'الحركات الشهرية'!$B$6:$B$1005,$B96,'الحركات الشهرية'!$A$6:$A$1005,$C$3))</f>
        <v/>
      </c>
      <c r="P96" s="111" t="str">
        <f aca="false">IF($B96="","",O96*(الموظفون!$P96+الموظفون!$L96*cfg_OT_P)/cfg_DAYS_M/cfg_HRS)</f>
        <v/>
      </c>
      <c r="Q96" s="111" t="str">
        <f aca="false">IF($B96="","",SUMIFS('الحركات الشهرية'!$G$6:$G$1005,'الحركات الشهرية'!$B$6:$B$1005,$B96,'الحركات الشهرية'!$A$6:$A$1005,$C$3))</f>
        <v/>
      </c>
      <c r="R96" s="111" t="str">
        <f aca="false">IF($B96="","",SUMIFS('الحركات الشهرية'!$H$6:$H$1005,'الحركات الشهرية'!$B$6:$B$1005,$B96,'الحركات الشهرية'!$A$6:$A$1005,$C$3))</f>
        <v/>
      </c>
      <c r="S96" s="111" t="str">
        <f aca="false">IF($B96="","",SUMIFS('سجل الإجازات والحالات'!$N$6:$N$505,'سجل الإجازات والحالات'!$B$6:$B$505,$B96,'سجل الإجازات والحالات'!$O$6:$O$505,$C$3))</f>
        <v/>
      </c>
      <c r="T96" s="152" t="str">
        <f aca="false">IF($B96="","",SUM(K96:N96)+SUM(P96:S96))</f>
        <v/>
      </c>
      <c r="U96" s="111" t="str">
        <f aca="false">IF($B96="","",الموظفون!$S96*IF(E96="سعودي",cfg_G_SE,cfg_G_NE)*G96/cfg_DAYS_M)</f>
        <v/>
      </c>
      <c r="V96" s="111" t="str">
        <f aca="false">IF($B96="","",SUMIFS('الحركات الشهرية'!$I$6:$I$1005,'الحركات الشهرية'!$B$6:$B$1005,$B96,'الحركات الشهرية'!$A$6:$A$1005,$C$3))</f>
        <v/>
      </c>
      <c r="W96" s="111" t="str">
        <f aca="false">IF($B96="","",SUMIFS('الحركات الشهرية'!$J$6:$J$1005,'الحركات الشهرية'!$B$6:$B$1005,$B96,'الحركات الشهرية'!$A$6:$A$1005,$C$3))</f>
        <v/>
      </c>
      <c r="X96" s="111" t="str">
        <f aca="false">IF($B96="","",SUM(U96:W96))</f>
        <v/>
      </c>
      <c r="Y96" s="153" t="str">
        <f aca="false">IF($B96="","",T96-X96)</f>
        <v/>
      </c>
      <c r="Z96" s="111" t="str">
        <f aca="false">IF($B96="","",الموظفون!$S96*IF(E96="سعودي",cfg_G_SR,cfg_G_NR)*G96/cfg_DAYS_M)</f>
        <v/>
      </c>
      <c r="AA96" s="111" t="str">
        <f aca="false">IF($B96="","",الموظفون!$Q96*(cfg_EOS_R1*(MIN(AH96,cfg_EOS_TH)-MIN(AI96,cfg_EOS_TH))+cfg_EOS_R2*(MAX(AH96-cfg_EOS_TH,0)-MAX(AI96-cfg_EOS_TH,0))))</f>
        <v/>
      </c>
      <c r="AB96" s="111" t="str">
        <f aca="false">IF($B96="","",IF(الموظفون!$T96&lt;&gt;"",الموظفون!$T96,IF(AH96&gt;=cfg_LV_TH,cfg_LV_D2,cfg_LV_D1))/cfg_DAYS_Y*AJ96*الموظفون!$R96/cfg_DAYS_M)</f>
        <v/>
      </c>
      <c r="AC96" s="111" t="str">
        <f aca="false">IF($B96="","",IF(AND(الموظفون!$U96="نعم",N(الموظفون!$W96)&gt;0),الموظفون!$V96/الموظفون!$W96*12/cfg_DAYS_Y*AJ96,0))</f>
        <v/>
      </c>
      <c r="AD96" s="111" t="str">
        <f aca="false">IF($B96="","",(IF(الموظفون!$X96&lt;&gt;"",الموظفون!$X96,IF(الموظفون!$E96="غير سعودي",cfg_IQ,0))+IF(الموظفون!$Y96&lt;&gt;"",الموظفون!$Y96,IF(الموظفون!$E96="غير سعودي",cfg_WP,0)))/12*G96/cfg_DAYS_M)</f>
        <v/>
      </c>
      <c r="AE96" s="111" t="str">
        <f aca="false">IF($B96="","",IF(الموظفون!$Z96&lt;&gt;"",الموظفون!$Z96,cfg_MED)/12*G96/cfg_DAYS_M)</f>
        <v/>
      </c>
      <c r="AF96" s="111" t="str">
        <f aca="false">IF($B96="","",N(الموظفون!$AA96)/12*G96/cfg_DAYS_M)</f>
        <v/>
      </c>
      <c r="AG96" s="154" t="str">
        <f aca="false">IF($B96="","",T96+SUM(Z96:AF96))</f>
        <v/>
      </c>
      <c r="AH96" s="155" t="str">
        <f aca="false">IF($B96="","",MAX(0,IF(OR(الموظفون!$AE96="",الموظفون!$AE96&gt;$F$3),$F$3,الموظفون!$AE96)-الموظفون!$H96+1-SUMIFS('سجل الإجازات والحالات'!$AI$6:$AI$505,'سجل الإجازات والحالات'!$B$6:$B$505,$B96))/cfg_DAYS_Y)</f>
        <v/>
      </c>
      <c r="AI96" s="155" t="str">
        <f aca="false">IF($B96="","",MAX(0,IF(OR(الموظفون!$AE96="",الموظفون!$AE96&gt;($E$3-1)),($E$3-1),الموظفون!$AE96)-الموظفون!$H96+1-SUMIFS('سجل الإجازات والحالات'!$AH$6:$AH$505,'سجل الإجازات والحالات'!$B$6:$B$505,$B96))/cfg_DAYS_Y)</f>
        <v/>
      </c>
      <c r="AJ96" s="65" t="str">
        <f aca="false">IF($B96="","",MAX(0,AK96-(SUMIFS('سجل الإجازات والحالات'!$AI$6:$AI$505,'سجل الإجازات والحالات'!$B$6:$B$505,$B96)-SUMIFS('سجل الإجازات والحالات'!$AH$6:$AH$505,'سجل الإجازات والحالات'!$B$6:$B$505,$B96))))</f>
        <v/>
      </c>
      <c r="AK96" s="65" t="str">
        <f aca="false">IF($B96="","",MAX(0,IF(OR(الموظفون!$AE96="",الموظفون!$AE96&gt;$F$3),$F$3,الموظفون!$AE96)-MAX($E$3,الموظفون!$H96)+1))</f>
        <v/>
      </c>
      <c r="AL96" s="151" t="str">
        <f aca="false">IF($B96="","",SUMIFS('سجل الإجازات والحالات'!$AU$6:$AU$505,'سجل الإجازات والحالات'!$B$6:$B$505,$B96)+SUMIFS('الحركات الشهرية'!$K$6:$K$1005,'الحركات الشهرية'!$B$6:$B$1005,$B96,'الحركات الشهرية'!$A$6:$A$1005,$C$3))</f>
        <v/>
      </c>
      <c r="AM96" s="111" t="str">
        <f aca="false">IF($B96="","",AL96*الموظفون!$R96/cfg_DAYS_M+S96)</f>
        <v/>
      </c>
      <c r="AN96" s="151" t="str">
        <f aca="false">IF($B96="","",SUMIFS('سجل الإجازات والحالات'!$W$6:$W$505,'سجل الإجازات والحالات'!$B$6:$B$505,$B96))</f>
        <v/>
      </c>
    </row>
    <row r="97" customFormat="false" ht="15" hidden="false" customHeight="false" outlineLevel="0" collapsed="false">
      <c r="A97" s="115" t="str">
        <f aca="false">IF($B97="","",الموظفون!$A97)</f>
        <v/>
      </c>
      <c r="B97" s="117" t="str">
        <f aca="false">IF(الموظفون!$B97="","",الموظفون!$B97)</f>
        <v/>
      </c>
      <c r="C97" s="117" t="str">
        <f aca="false">IF($B97="","",الموظفون!$C97)</f>
        <v/>
      </c>
      <c r="D97" s="117" t="str">
        <f aca="false">IF($B97="","",الموظفون!$F97)</f>
        <v/>
      </c>
      <c r="E97" s="117" t="str">
        <f aca="false">IF($B97="","",الموظفون!$E97)</f>
        <v/>
      </c>
      <c r="F97" s="117" t="str">
        <f aca="false">IF($B97="","",IF(AK97=0,IF(AND(الموظفون!$AE97&lt;&gt;"",الموظفون!$AE97&lt;$E$3),"✖ منتهي الخدمة","⏳ لم يباشر"),IF(S97&gt;0,"✈ راتب إجازة مقدم",IF(J97=0,"⛔ بدون راتب هذا الشهر",IF(I97&gt;0,"✈ خصم "&amp;ROUND(I97,2)&amp;" يوم بدون أجر",IF(AL97&gt;0,"🌴 إجازة سنوية "&amp;ROUND(AL97,2)&amp;" يوم",IF(H97&gt;0,"⚠ غياب "&amp;ROUND(H97,2)&amp;" يوم","✔ على رأس العمل")))))))</f>
        <v/>
      </c>
      <c r="G97" s="156" t="str">
        <f aca="false">IF($B97="","",IF(AK97&gt;=DAY($F$3),cfg_DAYS_M,MIN(AK97,cfg_DAYS_M)))</f>
        <v/>
      </c>
      <c r="H97" s="156" t="str">
        <f aca="false">IF($B97="","",SUMIFS('الحركات الشهرية'!$D$6:$D$1005,'الحركات الشهرية'!$B$6:$B$1005,$B97,'الحركات الشهرية'!$A$6:$A$1005,$C$3))</f>
        <v/>
      </c>
      <c r="I97" s="156" t="str">
        <f aca="false">IF($B97="","",MIN(G97,IF(AND(AK97&gt;0,AN97&gt;=AK97),G97,AN97)+SUMIFS('الحركات الشهرية'!$E$6:$E$1005,'الحركات الشهرية'!$B$6:$B$1005,$B97,'الحركات الشهرية'!$A$6:$A$1005,$C$3)))</f>
        <v/>
      </c>
      <c r="J97" s="156" t="str">
        <f aca="false">IF($B97="","",MAX(0,G97-H97-I97))</f>
        <v/>
      </c>
      <c r="K97" s="116" t="str">
        <f aca="false">IF($B97="","",الموظفون!$L97*$J97/cfg_DAYS_M)</f>
        <v/>
      </c>
      <c r="L97" s="116" t="str">
        <f aca="false">IF($B97="","",الموظفون!$M97*$J97/cfg_DAYS_M)</f>
        <v/>
      </c>
      <c r="M97" s="116" t="str">
        <f aca="false">IF($B97="","",الموظفون!$N97*$J97/cfg_DAYS_M)</f>
        <v/>
      </c>
      <c r="N97" s="116" t="str">
        <f aca="false">IF($B97="","",الموظفون!$O97*$J97/cfg_DAYS_M)</f>
        <v/>
      </c>
      <c r="O97" s="156" t="str">
        <f aca="false">IF($B97="","",SUMIFS('الحركات الشهرية'!$F$6:$F$1005,'الحركات الشهرية'!$B$6:$B$1005,$B97,'الحركات الشهرية'!$A$6:$A$1005,$C$3))</f>
        <v/>
      </c>
      <c r="P97" s="116" t="str">
        <f aca="false">IF($B97="","",O97*(الموظفون!$P97+الموظفون!$L97*cfg_OT_P)/cfg_DAYS_M/cfg_HRS)</f>
        <v/>
      </c>
      <c r="Q97" s="116" t="str">
        <f aca="false">IF($B97="","",SUMIFS('الحركات الشهرية'!$G$6:$G$1005,'الحركات الشهرية'!$B$6:$B$1005,$B97,'الحركات الشهرية'!$A$6:$A$1005,$C$3))</f>
        <v/>
      </c>
      <c r="R97" s="116" t="str">
        <f aca="false">IF($B97="","",SUMIFS('الحركات الشهرية'!$H$6:$H$1005,'الحركات الشهرية'!$B$6:$B$1005,$B97,'الحركات الشهرية'!$A$6:$A$1005,$C$3))</f>
        <v/>
      </c>
      <c r="S97" s="116" t="str">
        <f aca="false">IF($B97="","",SUMIFS('سجل الإجازات والحالات'!$N$6:$N$505,'سجل الإجازات والحالات'!$B$6:$B$505,$B97,'سجل الإجازات والحالات'!$O$6:$O$505,$C$3))</f>
        <v/>
      </c>
      <c r="T97" s="157" t="str">
        <f aca="false">IF($B97="","",SUM(K97:N97)+SUM(P97:S97))</f>
        <v/>
      </c>
      <c r="U97" s="116" t="str">
        <f aca="false">IF($B97="","",الموظفون!$S97*IF(E97="سعودي",cfg_G_SE,cfg_G_NE)*G97/cfg_DAYS_M)</f>
        <v/>
      </c>
      <c r="V97" s="116" t="str">
        <f aca="false">IF($B97="","",SUMIFS('الحركات الشهرية'!$I$6:$I$1005,'الحركات الشهرية'!$B$6:$B$1005,$B97,'الحركات الشهرية'!$A$6:$A$1005,$C$3))</f>
        <v/>
      </c>
      <c r="W97" s="116" t="str">
        <f aca="false">IF($B97="","",SUMIFS('الحركات الشهرية'!$J$6:$J$1005,'الحركات الشهرية'!$B$6:$B$1005,$B97,'الحركات الشهرية'!$A$6:$A$1005,$C$3))</f>
        <v/>
      </c>
      <c r="X97" s="116" t="str">
        <f aca="false">IF($B97="","",SUM(U97:W97))</f>
        <v/>
      </c>
      <c r="Y97" s="158" t="str">
        <f aca="false">IF($B97="","",T97-X97)</f>
        <v/>
      </c>
      <c r="Z97" s="116" t="str">
        <f aca="false">IF($B97="","",الموظفون!$S97*IF(E97="سعودي",cfg_G_SR,cfg_G_NR)*G97/cfg_DAYS_M)</f>
        <v/>
      </c>
      <c r="AA97" s="116" t="str">
        <f aca="false">IF($B97="","",الموظفون!$Q97*(cfg_EOS_R1*(MIN(AH97,cfg_EOS_TH)-MIN(AI97,cfg_EOS_TH))+cfg_EOS_R2*(MAX(AH97-cfg_EOS_TH,0)-MAX(AI97-cfg_EOS_TH,0))))</f>
        <v/>
      </c>
      <c r="AB97" s="116" t="str">
        <f aca="false">IF($B97="","",IF(الموظفون!$T97&lt;&gt;"",الموظفون!$T97,IF(AH97&gt;=cfg_LV_TH,cfg_LV_D2,cfg_LV_D1))/cfg_DAYS_Y*AJ97*الموظفون!$R97/cfg_DAYS_M)</f>
        <v/>
      </c>
      <c r="AC97" s="116" t="str">
        <f aca="false">IF($B97="","",IF(AND(الموظفون!$U97="نعم",N(الموظفون!$W97)&gt;0),الموظفون!$V97/الموظفون!$W97*12/cfg_DAYS_Y*AJ97,0))</f>
        <v/>
      </c>
      <c r="AD97" s="116" t="str">
        <f aca="false">IF($B97="","",(IF(الموظفون!$X97&lt;&gt;"",الموظفون!$X97,IF(الموظفون!$E97="غير سعودي",cfg_IQ,0))+IF(الموظفون!$Y97&lt;&gt;"",الموظفون!$Y97,IF(الموظفون!$E97="غير سعودي",cfg_WP,0)))/12*G97/cfg_DAYS_M)</f>
        <v/>
      </c>
      <c r="AE97" s="116" t="str">
        <f aca="false">IF($B97="","",IF(الموظفون!$Z97&lt;&gt;"",الموظفون!$Z97,cfg_MED)/12*G97/cfg_DAYS_M)</f>
        <v/>
      </c>
      <c r="AF97" s="116" t="str">
        <f aca="false">IF($B97="","",N(الموظفون!$AA97)/12*G97/cfg_DAYS_M)</f>
        <v/>
      </c>
      <c r="AG97" s="159" t="str">
        <f aca="false">IF($B97="","",T97+SUM(Z97:AF97))</f>
        <v/>
      </c>
      <c r="AH97" s="160" t="str">
        <f aca="false">IF($B97="","",MAX(0,IF(OR(الموظفون!$AE97="",الموظفون!$AE97&gt;$F$3),$F$3,الموظفون!$AE97)-الموظفون!$H97+1-SUMIFS('سجل الإجازات والحالات'!$AI$6:$AI$505,'سجل الإجازات والحالات'!$B$6:$B$505,$B97))/cfg_DAYS_Y)</f>
        <v/>
      </c>
      <c r="AI97" s="160" t="str">
        <f aca="false">IF($B97="","",MAX(0,IF(OR(الموظفون!$AE97="",الموظفون!$AE97&gt;($E$3-1)),($E$3-1),الموظفون!$AE97)-الموظفون!$H97+1-SUMIFS('سجل الإجازات والحالات'!$AH$6:$AH$505,'سجل الإجازات والحالات'!$B$6:$B$505,$B97))/cfg_DAYS_Y)</f>
        <v/>
      </c>
      <c r="AJ97" s="133" t="str">
        <f aca="false">IF($B97="","",MAX(0,AK97-(SUMIFS('سجل الإجازات والحالات'!$AI$6:$AI$505,'سجل الإجازات والحالات'!$B$6:$B$505,$B97)-SUMIFS('سجل الإجازات والحالات'!$AH$6:$AH$505,'سجل الإجازات والحالات'!$B$6:$B$505,$B97))))</f>
        <v/>
      </c>
      <c r="AK97" s="133" t="str">
        <f aca="false">IF($B97="","",MAX(0,IF(OR(الموظفون!$AE97="",الموظفون!$AE97&gt;$F$3),$F$3,الموظفون!$AE97)-MAX($E$3,الموظفون!$H97)+1))</f>
        <v/>
      </c>
      <c r="AL97" s="156" t="str">
        <f aca="false">IF($B97="","",SUMIFS('سجل الإجازات والحالات'!$AU$6:$AU$505,'سجل الإجازات والحالات'!$B$6:$B$505,$B97)+SUMIFS('الحركات الشهرية'!$K$6:$K$1005,'الحركات الشهرية'!$B$6:$B$1005,$B97,'الحركات الشهرية'!$A$6:$A$1005,$C$3))</f>
        <v/>
      </c>
      <c r="AM97" s="116" t="str">
        <f aca="false">IF($B97="","",AL97*الموظفون!$R97/cfg_DAYS_M+S97)</f>
        <v/>
      </c>
      <c r="AN97" s="156" t="str">
        <f aca="false">IF($B97="","",SUMIFS('سجل الإجازات والحالات'!$W$6:$W$505,'سجل الإجازات والحالات'!$B$6:$B$505,$B97))</f>
        <v/>
      </c>
    </row>
    <row r="98" customFormat="false" ht="15" hidden="false" customHeight="false" outlineLevel="0" collapsed="false">
      <c r="A98" s="106" t="str">
        <f aca="false">IF($B98="","",الموظفون!$A98)</f>
        <v/>
      </c>
      <c r="B98" s="114" t="str">
        <f aca="false">IF(الموظفون!$B98="","",الموظفون!$B98)</f>
        <v/>
      </c>
      <c r="C98" s="114" t="str">
        <f aca="false">IF($B98="","",الموظفون!$C98)</f>
        <v/>
      </c>
      <c r="D98" s="114" t="str">
        <f aca="false">IF($B98="","",الموظفون!$F98)</f>
        <v/>
      </c>
      <c r="E98" s="114" t="str">
        <f aca="false">IF($B98="","",الموظفون!$E98)</f>
        <v/>
      </c>
      <c r="F98" s="114" t="str">
        <f aca="false">IF($B98="","",IF(AK98=0,IF(AND(الموظفون!$AE98&lt;&gt;"",الموظفون!$AE98&lt;$E$3),"✖ منتهي الخدمة","⏳ لم يباشر"),IF(S98&gt;0,"✈ راتب إجازة مقدم",IF(J98=0,"⛔ بدون راتب هذا الشهر",IF(I98&gt;0,"✈ خصم "&amp;ROUND(I98,2)&amp;" يوم بدون أجر",IF(AL98&gt;0,"🌴 إجازة سنوية "&amp;ROUND(AL98,2)&amp;" يوم",IF(H98&gt;0,"⚠ غياب "&amp;ROUND(H98,2)&amp;" يوم","✔ على رأس العمل")))))))</f>
        <v/>
      </c>
      <c r="G98" s="151" t="str">
        <f aca="false">IF($B98="","",IF(AK98&gt;=DAY($F$3),cfg_DAYS_M,MIN(AK98,cfg_DAYS_M)))</f>
        <v/>
      </c>
      <c r="H98" s="151" t="str">
        <f aca="false">IF($B98="","",SUMIFS('الحركات الشهرية'!$D$6:$D$1005,'الحركات الشهرية'!$B$6:$B$1005,$B98,'الحركات الشهرية'!$A$6:$A$1005,$C$3))</f>
        <v/>
      </c>
      <c r="I98" s="151" t="str">
        <f aca="false">IF($B98="","",MIN(G98,IF(AND(AK98&gt;0,AN98&gt;=AK98),G98,AN98)+SUMIFS('الحركات الشهرية'!$E$6:$E$1005,'الحركات الشهرية'!$B$6:$B$1005,$B98,'الحركات الشهرية'!$A$6:$A$1005,$C$3)))</f>
        <v/>
      </c>
      <c r="J98" s="151" t="str">
        <f aca="false">IF($B98="","",MAX(0,G98-H98-I98))</f>
        <v/>
      </c>
      <c r="K98" s="111" t="str">
        <f aca="false">IF($B98="","",الموظفون!$L98*$J98/cfg_DAYS_M)</f>
        <v/>
      </c>
      <c r="L98" s="111" t="str">
        <f aca="false">IF($B98="","",الموظفون!$M98*$J98/cfg_DAYS_M)</f>
        <v/>
      </c>
      <c r="M98" s="111" t="str">
        <f aca="false">IF($B98="","",الموظفون!$N98*$J98/cfg_DAYS_M)</f>
        <v/>
      </c>
      <c r="N98" s="111" t="str">
        <f aca="false">IF($B98="","",الموظفون!$O98*$J98/cfg_DAYS_M)</f>
        <v/>
      </c>
      <c r="O98" s="151" t="str">
        <f aca="false">IF($B98="","",SUMIFS('الحركات الشهرية'!$F$6:$F$1005,'الحركات الشهرية'!$B$6:$B$1005,$B98,'الحركات الشهرية'!$A$6:$A$1005,$C$3))</f>
        <v/>
      </c>
      <c r="P98" s="111" t="str">
        <f aca="false">IF($B98="","",O98*(الموظفون!$P98+الموظفون!$L98*cfg_OT_P)/cfg_DAYS_M/cfg_HRS)</f>
        <v/>
      </c>
      <c r="Q98" s="111" t="str">
        <f aca="false">IF($B98="","",SUMIFS('الحركات الشهرية'!$G$6:$G$1005,'الحركات الشهرية'!$B$6:$B$1005,$B98,'الحركات الشهرية'!$A$6:$A$1005,$C$3))</f>
        <v/>
      </c>
      <c r="R98" s="111" t="str">
        <f aca="false">IF($B98="","",SUMIFS('الحركات الشهرية'!$H$6:$H$1005,'الحركات الشهرية'!$B$6:$B$1005,$B98,'الحركات الشهرية'!$A$6:$A$1005,$C$3))</f>
        <v/>
      </c>
      <c r="S98" s="111" t="str">
        <f aca="false">IF($B98="","",SUMIFS('سجل الإجازات والحالات'!$N$6:$N$505,'سجل الإجازات والحالات'!$B$6:$B$505,$B98,'سجل الإجازات والحالات'!$O$6:$O$505,$C$3))</f>
        <v/>
      </c>
      <c r="T98" s="152" t="str">
        <f aca="false">IF($B98="","",SUM(K98:N98)+SUM(P98:S98))</f>
        <v/>
      </c>
      <c r="U98" s="111" t="str">
        <f aca="false">IF($B98="","",الموظفون!$S98*IF(E98="سعودي",cfg_G_SE,cfg_G_NE)*G98/cfg_DAYS_M)</f>
        <v/>
      </c>
      <c r="V98" s="111" t="str">
        <f aca="false">IF($B98="","",SUMIFS('الحركات الشهرية'!$I$6:$I$1005,'الحركات الشهرية'!$B$6:$B$1005,$B98,'الحركات الشهرية'!$A$6:$A$1005,$C$3))</f>
        <v/>
      </c>
      <c r="W98" s="111" t="str">
        <f aca="false">IF($B98="","",SUMIFS('الحركات الشهرية'!$J$6:$J$1005,'الحركات الشهرية'!$B$6:$B$1005,$B98,'الحركات الشهرية'!$A$6:$A$1005,$C$3))</f>
        <v/>
      </c>
      <c r="X98" s="111" t="str">
        <f aca="false">IF($B98="","",SUM(U98:W98))</f>
        <v/>
      </c>
      <c r="Y98" s="153" t="str">
        <f aca="false">IF($B98="","",T98-X98)</f>
        <v/>
      </c>
      <c r="Z98" s="111" t="str">
        <f aca="false">IF($B98="","",الموظفون!$S98*IF(E98="سعودي",cfg_G_SR,cfg_G_NR)*G98/cfg_DAYS_M)</f>
        <v/>
      </c>
      <c r="AA98" s="111" t="str">
        <f aca="false">IF($B98="","",الموظفون!$Q98*(cfg_EOS_R1*(MIN(AH98,cfg_EOS_TH)-MIN(AI98,cfg_EOS_TH))+cfg_EOS_R2*(MAX(AH98-cfg_EOS_TH,0)-MAX(AI98-cfg_EOS_TH,0))))</f>
        <v/>
      </c>
      <c r="AB98" s="111" t="str">
        <f aca="false">IF($B98="","",IF(الموظفون!$T98&lt;&gt;"",الموظفون!$T98,IF(AH98&gt;=cfg_LV_TH,cfg_LV_D2,cfg_LV_D1))/cfg_DAYS_Y*AJ98*الموظفون!$R98/cfg_DAYS_M)</f>
        <v/>
      </c>
      <c r="AC98" s="111" t="str">
        <f aca="false">IF($B98="","",IF(AND(الموظفون!$U98="نعم",N(الموظفون!$W98)&gt;0),الموظفون!$V98/الموظفون!$W98*12/cfg_DAYS_Y*AJ98,0))</f>
        <v/>
      </c>
      <c r="AD98" s="111" t="str">
        <f aca="false">IF($B98="","",(IF(الموظفون!$X98&lt;&gt;"",الموظفون!$X98,IF(الموظفون!$E98="غير سعودي",cfg_IQ,0))+IF(الموظفون!$Y98&lt;&gt;"",الموظفون!$Y98,IF(الموظفون!$E98="غير سعودي",cfg_WP,0)))/12*G98/cfg_DAYS_M)</f>
        <v/>
      </c>
      <c r="AE98" s="111" t="str">
        <f aca="false">IF($B98="","",IF(الموظفون!$Z98&lt;&gt;"",الموظفون!$Z98,cfg_MED)/12*G98/cfg_DAYS_M)</f>
        <v/>
      </c>
      <c r="AF98" s="111" t="str">
        <f aca="false">IF($B98="","",N(الموظفون!$AA98)/12*G98/cfg_DAYS_M)</f>
        <v/>
      </c>
      <c r="AG98" s="154" t="str">
        <f aca="false">IF($B98="","",T98+SUM(Z98:AF98))</f>
        <v/>
      </c>
      <c r="AH98" s="155" t="str">
        <f aca="false">IF($B98="","",MAX(0,IF(OR(الموظفون!$AE98="",الموظفون!$AE98&gt;$F$3),$F$3,الموظفون!$AE98)-الموظفون!$H98+1-SUMIFS('سجل الإجازات والحالات'!$AI$6:$AI$505,'سجل الإجازات والحالات'!$B$6:$B$505,$B98))/cfg_DAYS_Y)</f>
        <v/>
      </c>
      <c r="AI98" s="155" t="str">
        <f aca="false">IF($B98="","",MAX(0,IF(OR(الموظفون!$AE98="",الموظفون!$AE98&gt;($E$3-1)),($E$3-1),الموظفون!$AE98)-الموظفون!$H98+1-SUMIFS('سجل الإجازات والحالات'!$AH$6:$AH$505,'سجل الإجازات والحالات'!$B$6:$B$505,$B98))/cfg_DAYS_Y)</f>
        <v/>
      </c>
      <c r="AJ98" s="65" t="str">
        <f aca="false">IF($B98="","",MAX(0,AK98-(SUMIFS('سجل الإجازات والحالات'!$AI$6:$AI$505,'سجل الإجازات والحالات'!$B$6:$B$505,$B98)-SUMIFS('سجل الإجازات والحالات'!$AH$6:$AH$505,'سجل الإجازات والحالات'!$B$6:$B$505,$B98))))</f>
        <v/>
      </c>
      <c r="AK98" s="65" t="str">
        <f aca="false">IF($B98="","",MAX(0,IF(OR(الموظفون!$AE98="",الموظفون!$AE98&gt;$F$3),$F$3,الموظفون!$AE98)-MAX($E$3,الموظفون!$H98)+1))</f>
        <v/>
      </c>
      <c r="AL98" s="151" t="str">
        <f aca="false">IF($B98="","",SUMIFS('سجل الإجازات والحالات'!$AU$6:$AU$505,'سجل الإجازات والحالات'!$B$6:$B$505,$B98)+SUMIFS('الحركات الشهرية'!$K$6:$K$1005,'الحركات الشهرية'!$B$6:$B$1005,$B98,'الحركات الشهرية'!$A$6:$A$1005,$C$3))</f>
        <v/>
      </c>
      <c r="AM98" s="111" t="str">
        <f aca="false">IF($B98="","",AL98*الموظفون!$R98/cfg_DAYS_M+S98)</f>
        <v/>
      </c>
      <c r="AN98" s="151" t="str">
        <f aca="false">IF($B98="","",SUMIFS('سجل الإجازات والحالات'!$W$6:$W$505,'سجل الإجازات والحالات'!$B$6:$B$505,$B98))</f>
        <v/>
      </c>
    </row>
    <row r="99" customFormat="false" ht="15" hidden="false" customHeight="false" outlineLevel="0" collapsed="false">
      <c r="A99" s="115" t="str">
        <f aca="false">IF($B99="","",الموظفون!$A99)</f>
        <v/>
      </c>
      <c r="B99" s="117" t="str">
        <f aca="false">IF(الموظفون!$B99="","",الموظفون!$B99)</f>
        <v/>
      </c>
      <c r="C99" s="117" t="str">
        <f aca="false">IF($B99="","",الموظفون!$C99)</f>
        <v/>
      </c>
      <c r="D99" s="117" t="str">
        <f aca="false">IF($B99="","",الموظفون!$F99)</f>
        <v/>
      </c>
      <c r="E99" s="117" t="str">
        <f aca="false">IF($B99="","",الموظفون!$E99)</f>
        <v/>
      </c>
      <c r="F99" s="117" t="str">
        <f aca="false">IF($B99="","",IF(AK99=0,IF(AND(الموظفون!$AE99&lt;&gt;"",الموظفون!$AE99&lt;$E$3),"✖ منتهي الخدمة","⏳ لم يباشر"),IF(S99&gt;0,"✈ راتب إجازة مقدم",IF(J99=0,"⛔ بدون راتب هذا الشهر",IF(I99&gt;0,"✈ خصم "&amp;ROUND(I99,2)&amp;" يوم بدون أجر",IF(AL99&gt;0,"🌴 إجازة سنوية "&amp;ROUND(AL99,2)&amp;" يوم",IF(H99&gt;0,"⚠ غياب "&amp;ROUND(H99,2)&amp;" يوم","✔ على رأس العمل")))))))</f>
        <v/>
      </c>
      <c r="G99" s="156" t="str">
        <f aca="false">IF($B99="","",IF(AK99&gt;=DAY($F$3),cfg_DAYS_M,MIN(AK99,cfg_DAYS_M)))</f>
        <v/>
      </c>
      <c r="H99" s="156" t="str">
        <f aca="false">IF($B99="","",SUMIFS('الحركات الشهرية'!$D$6:$D$1005,'الحركات الشهرية'!$B$6:$B$1005,$B99,'الحركات الشهرية'!$A$6:$A$1005,$C$3))</f>
        <v/>
      </c>
      <c r="I99" s="156" t="str">
        <f aca="false">IF($B99="","",MIN(G99,IF(AND(AK99&gt;0,AN99&gt;=AK99),G99,AN99)+SUMIFS('الحركات الشهرية'!$E$6:$E$1005,'الحركات الشهرية'!$B$6:$B$1005,$B99,'الحركات الشهرية'!$A$6:$A$1005,$C$3)))</f>
        <v/>
      </c>
      <c r="J99" s="156" t="str">
        <f aca="false">IF($B99="","",MAX(0,G99-H99-I99))</f>
        <v/>
      </c>
      <c r="K99" s="116" t="str">
        <f aca="false">IF($B99="","",الموظفون!$L99*$J99/cfg_DAYS_M)</f>
        <v/>
      </c>
      <c r="L99" s="116" t="str">
        <f aca="false">IF($B99="","",الموظفون!$M99*$J99/cfg_DAYS_M)</f>
        <v/>
      </c>
      <c r="M99" s="116" t="str">
        <f aca="false">IF($B99="","",الموظفون!$N99*$J99/cfg_DAYS_M)</f>
        <v/>
      </c>
      <c r="N99" s="116" t="str">
        <f aca="false">IF($B99="","",الموظفون!$O99*$J99/cfg_DAYS_M)</f>
        <v/>
      </c>
      <c r="O99" s="156" t="str">
        <f aca="false">IF($B99="","",SUMIFS('الحركات الشهرية'!$F$6:$F$1005,'الحركات الشهرية'!$B$6:$B$1005,$B99,'الحركات الشهرية'!$A$6:$A$1005,$C$3))</f>
        <v/>
      </c>
      <c r="P99" s="116" t="str">
        <f aca="false">IF($B99="","",O99*(الموظفون!$P99+الموظفون!$L99*cfg_OT_P)/cfg_DAYS_M/cfg_HRS)</f>
        <v/>
      </c>
      <c r="Q99" s="116" t="str">
        <f aca="false">IF($B99="","",SUMIFS('الحركات الشهرية'!$G$6:$G$1005,'الحركات الشهرية'!$B$6:$B$1005,$B99,'الحركات الشهرية'!$A$6:$A$1005,$C$3))</f>
        <v/>
      </c>
      <c r="R99" s="116" t="str">
        <f aca="false">IF($B99="","",SUMIFS('الحركات الشهرية'!$H$6:$H$1005,'الحركات الشهرية'!$B$6:$B$1005,$B99,'الحركات الشهرية'!$A$6:$A$1005,$C$3))</f>
        <v/>
      </c>
      <c r="S99" s="116" t="str">
        <f aca="false">IF($B99="","",SUMIFS('سجل الإجازات والحالات'!$N$6:$N$505,'سجل الإجازات والحالات'!$B$6:$B$505,$B99,'سجل الإجازات والحالات'!$O$6:$O$505,$C$3))</f>
        <v/>
      </c>
      <c r="T99" s="157" t="str">
        <f aca="false">IF($B99="","",SUM(K99:N99)+SUM(P99:S99))</f>
        <v/>
      </c>
      <c r="U99" s="116" t="str">
        <f aca="false">IF($B99="","",الموظفون!$S99*IF(E99="سعودي",cfg_G_SE,cfg_G_NE)*G99/cfg_DAYS_M)</f>
        <v/>
      </c>
      <c r="V99" s="116" t="str">
        <f aca="false">IF($B99="","",SUMIFS('الحركات الشهرية'!$I$6:$I$1005,'الحركات الشهرية'!$B$6:$B$1005,$B99,'الحركات الشهرية'!$A$6:$A$1005,$C$3))</f>
        <v/>
      </c>
      <c r="W99" s="116" t="str">
        <f aca="false">IF($B99="","",SUMIFS('الحركات الشهرية'!$J$6:$J$1005,'الحركات الشهرية'!$B$6:$B$1005,$B99,'الحركات الشهرية'!$A$6:$A$1005,$C$3))</f>
        <v/>
      </c>
      <c r="X99" s="116" t="str">
        <f aca="false">IF($B99="","",SUM(U99:W99))</f>
        <v/>
      </c>
      <c r="Y99" s="158" t="str">
        <f aca="false">IF($B99="","",T99-X99)</f>
        <v/>
      </c>
      <c r="Z99" s="116" t="str">
        <f aca="false">IF($B99="","",الموظفون!$S99*IF(E99="سعودي",cfg_G_SR,cfg_G_NR)*G99/cfg_DAYS_M)</f>
        <v/>
      </c>
      <c r="AA99" s="116" t="str">
        <f aca="false">IF($B99="","",الموظفون!$Q99*(cfg_EOS_R1*(MIN(AH99,cfg_EOS_TH)-MIN(AI99,cfg_EOS_TH))+cfg_EOS_R2*(MAX(AH99-cfg_EOS_TH,0)-MAX(AI99-cfg_EOS_TH,0))))</f>
        <v/>
      </c>
      <c r="AB99" s="116" t="str">
        <f aca="false">IF($B99="","",IF(الموظفون!$T99&lt;&gt;"",الموظفون!$T99,IF(AH99&gt;=cfg_LV_TH,cfg_LV_D2,cfg_LV_D1))/cfg_DAYS_Y*AJ99*الموظفون!$R99/cfg_DAYS_M)</f>
        <v/>
      </c>
      <c r="AC99" s="116" t="str">
        <f aca="false">IF($B99="","",IF(AND(الموظفون!$U99="نعم",N(الموظفون!$W99)&gt;0),الموظفون!$V99/الموظفون!$W99*12/cfg_DAYS_Y*AJ99,0))</f>
        <v/>
      </c>
      <c r="AD99" s="116" t="str">
        <f aca="false">IF($B99="","",(IF(الموظفون!$X99&lt;&gt;"",الموظفون!$X99,IF(الموظفون!$E99="غير سعودي",cfg_IQ,0))+IF(الموظفون!$Y99&lt;&gt;"",الموظفون!$Y99,IF(الموظفون!$E99="غير سعودي",cfg_WP,0)))/12*G99/cfg_DAYS_M)</f>
        <v/>
      </c>
      <c r="AE99" s="116" t="str">
        <f aca="false">IF($B99="","",IF(الموظفون!$Z99&lt;&gt;"",الموظفون!$Z99,cfg_MED)/12*G99/cfg_DAYS_M)</f>
        <v/>
      </c>
      <c r="AF99" s="116" t="str">
        <f aca="false">IF($B99="","",N(الموظفون!$AA99)/12*G99/cfg_DAYS_M)</f>
        <v/>
      </c>
      <c r="AG99" s="159" t="str">
        <f aca="false">IF($B99="","",T99+SUM(Z99:AF99))</f>
        <v/>
      </c>
      <c r="AH99" s="160" t="str">
        <f aca="false">IF($B99="","",MAX(0,IF(OR(الموظفون!$AE99="",الموظفون!$AE99&gt;$F$3),$F$3,الموظفون!$AE99)-الموظفون!$H99+1-SUMIFS('سجل الإجازات والحالات'!$AI$6:$AI$505,'سجل الإجازات والحالات'!$B$6:$B$505,$B99))/cfg_DAYS_Y)</f>
        <v/>
      </c>
      <c r="AI99" s="160" t="str">
        <f aca="false">IF($B99="","",MAX(0,IF(OR(الموظفون!$AE99="",الموظفون!$AE99&gt;($E$3-1)),($E$3-1),الموظفون!$AE99)-الموظفون!$H99+1-SUMIFS('سجل الإجازات والحالات'!$AH$6:$AH$505,'سجل الإجازات والحالات'!$B$6:$B$505,$B99))/cfg_DAYS_Y)</f>
        <v/>
      </c>
      <c r="AJ99" s="133" t="str">
        <f aca="false">IF($B99="","",MAX(0,AK99-(SUMIFS('سجل الإجازات والحالات'!$AI$6:$AI$505,'سجل الإجازات والحالات'!$B$6:$B$505,$B99)-SUMIFS('سجل الإجازات والحالات'!$AH$6:$AH$505,'سجل الإجازات والحالات'!$B$6:$B$505,$B99))))</f>
        <v/>
      </c>
      <c r="AK99" s="133" t="str">
        <f aca="false">IF($B99="","",MAX(0,IF(OR(الموظفون!$AE99="",الموظفون!$AE99&gt;$F$3),$F$3,الموظفون!$AE99)-MAX($E$3,الموظفون!$H99)+1))</f>
        <v/>
      </c>
      <c r="AL99" s="156" t="str">
        <f aca="false">IF($B99="","",SUMIFS('سجل الإجازات والحالات'!$AU$6:$AU$505,'سجل الإجازات والحالات'!$B$6:$B$505,$B99)+SUMIFS('الحركات الشهرية'!$K$6:$K$1005,'الحركات الشهرية'!$B$6:$B$1005,$B99,'الحركات الشهرية'!$A$6:$A$1005,$C$3))</f>
        <v/>
      </c>
      <c r="AM99" s="116" t="str">
        <f aca="false">IF($B99="","",AL99*الموظفون!$R99/cfg_DAYS_M+S99)</f>
        <v/>
      </c>
      <c r="AN99" s="156" t="str">
        <f aca="false">IF($B99="","",SUMIFS('سجل الإجازات والحالات'!$W$6:$W$505,'سجل الإجازات والحالات'!$B$6:$B$505,$B99))</f>
        <v/>
      </c>
    </row>
    <row r="100" customFormat="false" ht="15" hidden="false" customHeight="false" outlineLevel="0" collapsed="false">
      <c r="A100" s="106" t="str">
        <f aca="false">IF($B100="","",الموظفون!$A100)</f>
        <v/>
      </c>
      <c r="B100" s="114" t="str">
        <f aca="false">IF(الموظفون!$B100="","",الموظفون!$B100)</f>
        <v/>
      </c>
      <c r="C100" s="114" t="str">
        <f aca="false">IF($B100="","",الموظفون!$C100)</f>
        <v/>
      </c>
      <c r="D100" s="114" t="str">
        <f aca="false">IF($B100="","",الموظفون!$F100)</f>
        <v/>
      </c>
      <c r="E100" s="114" t="str">
        <f aca="false">IF($B100="","",الموظفون!$E100)</f>
        <v/>
      </c>
      <c r="F100" s="114" t="str">
        <f aca="false">IF($B100="","",IF(AK100=0,IF(AND(الموظفون!$AE100&lt;&gt;"",الموظفون!$AE100&lt;$E$3),"✖ منتهي الخدمة","⏳ لم يباشر"),IF(S100&gt;0,"✈ راتب إجازة مقدم",IF(J100=0,"⛔ بدون راتب هذا الشهر",IF(I100&gt;0,"✈ خصم "&amp;ROUND(I100,2)&amp;" يوم بدون أجر",IF(AL100&gt;0,"🌴 إجازة سنوية "&amp;ROUND(AL100,2)&amp;" يوم",IF(H100&gt;0,"⚠ غياب "&amp;ROUND(H100,2)&amp;" يوم","✔ على رأس العمل")))))))</f>
        <v/>
      </c>
      <c r="G100" s="151" t="str">
        <f aca="false">IF($B100="","",IF(AK100&gt;=DAY($F$3),cfg_DAYS_M,MIN(AK100,cfg_DAYS_M)))</f>
        <v/>
      </c>
      <c r="H100" s="151" t="str">
        <f aca="false">IF($B100="","",SUMIFS('الحركات الشهرية'!$D$6:$D$1005,'الحركات الشهرية'!$B$6:$B$1005,$B100,'الحركات الشهرية'!$A$6:$A$1005,$C$3))</f>
        <v/>
      </c>
      <c r="I100" s="151" t="str">
        <f aca="false">IF($B100="","",MIN(G100,IF(AND(AK100&gt;0,AN100&gt;=AK100),G100,AN100)+SUMIFS('الحركات الشهرية'!$E$6:$E$1005,'الحركات الشهرية'!$B$6:$B$1005,$B100,'الحركات الشهرية'!$A$6:$A$1005,$C$3)))</f>
        <v/>
      </c>
      <c r="J100" s="151" t="str">
        <f aca="false">IF($B100="","",MAX(0,G100-H100-I100))</f>
        <v/>
      </c>
      <c r="K100" s="111" t="str">
        <f aca="false">IF($B100="","",الموظفون!$L100*$J100/cfg_DAYS_M)</f>
        <v/>
      </c>
      <c r="L100" s="111" t="str">
        <f aca="false">IF($B100="","",الموظفون!$M100*$J100/cfg_DAYS_M)</f>
        <v/>
      </c>
      <c r="M100" s="111" t="str">
        <f aca="false">IF($B100="","",الموظفون!$N100*$J100/cfg_DAYS_M)</f>
        <v/>
      </c>
      <c r="N100" s="111" t="str">
        <f aca="false">IF($B100="","",الموظفون!$O100*$J100/cfg_DAYS_M)</f>
        <v/>
      </c>
      <c r="O100" s="151" t="str">
        <f aca="false">IF($B100="","",SUMIFS('الحركات الشهرية'!$F$6:$F$1005,'الحركات الشهرية'!$B$6:$B$1005,$B100,'الحركات الشهرية'!$A$6:$A$1005,$C$3))</f>
        <v/>
      </c>
      <c r="P100" s="111" t="str">
        <f aca="false">IF($B100="","",O100*(الموظفون!$P100+الموظفون!$L100*cfg_OT_P)/cfg_DAYS_M/cfg_HRS)</f>
        <v/>
      </c>
      <c r="Q100" s="111" t="str">
        <f aca="false">IF($B100="","",SUMIFS('الحركات الشهرية'!$G$6:$G$1005,'الحركات الشهرية'!$B$6:$B$1005,$B100,'الحركات الشهرية'!$A$6:$A$1005,$C$3))</f>
        <v/>
      </c>
      <c r="R100" s="111" t="str">
        <f aca="false">IF($B100="","",SUMIFS('الحركات الشهرية'!$H$6:$H$1005,'الحركات الشهرية'!$B$6:$B$1005,$B100,'الحركات الشهرية'!$A$6:$A$1005,$C$3))</f>
        <v/>
      </c>
      <c r="S100" s="111" t="str">
        <f aca="false">IF($B100="","",SUMIFS('سجل الإجازات والحالات'!$N$6:$N$505,'سجل الإجازات والحالات'!$B$6:$B$505,$B100,'سجل الإجازات والحالات'!$O$6:$O$505,$C$3))</f>
        <v/>
      </c>
      <c r="T100" s="152" t="str">
        <f aca="false">IF($B100="","",SUM(K100:N100)+SUM(P100:S100))</f>
        <v/>
      </c>
      <c r="U100" s="111" t="str">
        <f aca="false">IF($B100="","",الموظفون!$S100*IF(E100="سعودي",cfg_G_SE,cfg_G_NE)*G100/cfg_DAYS_M)</f>
        <v/>
      </c>
      <c r="V100" s="111" t="str">
        <f aca="false">IF($B100="","",SUMIFS('الحركات الشهرية'!$I$6:$I$1005,'الحركات الشهرية'!$B$6:$B$1005,$B100,'الحركات الشهرية'!$A$6:$A$1005,$C$3))</f>
        <v/>
      </c>
      <c r="W100" s="111" t="str">
        <f aca="false">IF($B100="","",SUMIFS('الحركات الشهرية'!$J$6:$J$1005,'الحركات الشهرية'!$B$6:$B$1005,$B100,'الحركات الشهرية'!$A$6:$A$1005,$C$3))</f>
        <v/>
      </c>
      <c r="X100" s="111" t="str">
        <f aca="false">IF($B100="","",SUM(U100:W100))</f>
        <v/>
      </c>
      <c r="Y100" s="153" t="str">
        <f aca="false">IF($B100="","",T100-X100)</f>
        <v/>
      </c>
      <c r="Z100" s="111" t="str">
        <f aca="false">IF($B100="","",الموظفون!$S100*IF(E100="سعودي",cfg_G_SR,cfg_G_NR)*G100/cfg_DAYS_M)</f>
        <v/>
      </c>
      <c r="AA100" s="111" t="str">
        <f aca="false">IF($B100="","",الموظفون!$Q100*(cfg_EOS_R1*(MIN(AH100,cfg_EOS_TH)-MIN(AI100,cfg_EOS_TH))+cfg_EOS_R2*(MAX(AH100-cfg_EOS_TH,0)-MAX(AI100-cfg_EOS_TH,0))))</f>
        <v/>
      </c>
      <c r="AB100" s="111" t="str">
        <f aca="false">IF($B100="","",IF(الموظفون!$T100&lt;&gt;"",الموظفون!$T100,IF(AH100&gt;=cfg_LV_TH,cfg_LV_D2,cfg_LV_D1))/cfg_DAYS_Y*AJ100*الموظفون!$R100/cfg_DAYS_M)</f>
        <v/>
      </c>
      <c r="AC100" s="111" t="str">
        <f aca="false">IF($B100="","",IF(AND(الموظفون!$U100="نعم",N(الموظفون!$W100)&gt;0),الموظفون!$V100/الموظفون!$W100*12/cfg_DAYS_Y*AJ100,0))</f>
        <v/>
      </c>
      <c r="AD100" s="111" t="str">
        <f aca="false">IF($B100="","",(IF(الموظفون!$X100&lt;&gt;"",الموظفون!$X100,IF(الموظفون!$E100="غير سعودي",cfg_IQ,0))+IF(الموظفون!$Y100&lt;&gt;"",الموظفون!$Y100,IF(الموظفون!$E100="غير سعودي",cfg_WP,0)))/12*G100/cfg_DAYS_M)</f>
        <v/>
      </c>
      <c r="AE100" s="111" t="str">
        <f aca="false">IF($B100="","",IF(الموظفون!$Z100&lt;&gt;"",الموظفون!$Z100,cfg_MED)/12*G100/cfg_DAYS_M)</f>
        <v/>
      </c>
      <c r="AF100" s="111" t="str">
        <f aca="false">IF($B100="","",N(الموظفون!$AA100)/12*G100/cfg_DAYS_M)</f>
        <v/>
      </c>
      <c r="AG100" s="154" t="str">
        <f aca="false">IF($B100="","",T100+SUM(Z100:AF100))</f>
        <v/>
      </c>
      <c r="AH100" s="155" t="str">
        <f aca="false">IF($B100="","",MAX(0,IF(OR(الموظفون!$AE100="",الموظفون!$AE100&gt;$F$3),$F$3,الموظفون!$AE100)-الموظفون!$H100+1-SUMIFS('سجل الإجازات والحالات'!$AI$6:$AI$505,'سجل الإجازات والحالات'!$B$6:$B$505,$B100))/cfg_DAYS_Y)</f>
        <v/>
      </c>
      <c r="AI100" s="155" t="str">
        <f aca="false">IF($B100="","",MAX(0,IF(OR(الموظفون!$AE100="",الموظفون!$AE100&gt;($E$3-1)),($E$3-1),الموظفون!$AE100)-الموظفون!$H100+1-SUMIFS('سجل الإجازات والحالات'!$AH$6:$AH$505,'سجل الإجازات والحالات'!$B$6:$B$505,$B100))/cfg_DAYS_Y)</f>
        <v/>
      </c>
      <c r="AJ100" s="65" t="str">
        <f aca="false">IF($B100="","",MAX(0,AK100-(SUMIFS('سجل الإجازات والحالات'!$AI$6:$AI$505,'سجل الإجازات والحالات'!$B$6:$B$505,$B100)-SUMIFS('سجل الإجازات والحالات'!$AH$6:$AH$505,'سجل الإجازات والحالات'!$B$6:$B$505,$B100))))</f>
        <v/>
      </c>
      <c r="AK100" s="65" t="str">
        <f aca="false">IF($B100="","",MAX(0,IF(OR(الموظفون!$AE100="",الموظفون!$AE100&gt;$F$3),$F$3,الموظفون!$AE100)-MAX($E$3,الموظفون!$H100)+1))</f>
        <v/>
      </c>
      <c r="AL100" s="151" t="str">
        <f aca="false">IF($B100="","",SUMIFS('سجل الإجازات والحالات'!$AU$6:$AU$505,'سجل الإجازات والحالات'!$B$6:$B$505,$B100)+SUMIFS('الحركات الشهرية'!$K$6:$K$1005,'الحركات الشهرية'!$B$6:$B$1005,$B100,'الحركات الشهرية'!$A$6:$A$1005,$C$3))</f>
        <v/>
      </c>
      <c r="AM100" s="111" t="str">
        <f aca="false">IF($B100="","",AL100*الموظفون!$R100/cfg_DAYS_M+S100)</f>
        <v/>
      </c>
      <c r="AN100" s="151" t="str">
        <f aca="false">IF($B100="","",SUMIFS('سجل الإجازات والحالات'!$W$6:$W$505,'سجل الإجازات والحالات'!$B$6:$B$505,$B100))</f>
        <v/>
      </c>
    </row>
    <row r="101" customFormat="false" ht="15" hidden="false" customHeight="false" outlineLevel="0" collapsed="false">
      <c r="A101" s="115" t="str">
        <f aca="false">IF($B101="","",الموظفون!$A101)</f>
        <v/>
      </c>
      <c r="B101" s="117" t="str">
        <f aca="false">IF(الموظفون!$B101="","",الموظفون!$B101)</f>
        <v/>
      </c>
      <c r="C101" s="117" t="str">
        <f aca="false">IF($B101="","",الموظفون!$C101)</f>
        <v/>
      </c>
      <c r="D101" s="117" t="str">
        <f aca="false">IF($B101="","",الموظفون!$F101)</f>
        <v/>
      </c>
      <c r="E101" s="117" t="str">
        <f aca="false">IF($B101="","",الموظفون!$E101)</f>
        <v/>
      </c>
      <c r="F101" s="117" t="str">
        <f aca="false">IF($B101="","",IF(AK101=0,IF(AND(الموظفون!$AE101&lt;&gt;"",الموظفون!$AE101&lt;$E$3),"✖ منتهي الخدمة","⏳ لم يباشر"),IF(S101&gt;0,"✈ راتب إجازة مقدم",IF(J101=0,"⛔ بدون راتب هذا الشهر",IF(I101&gt;0,"✈ خصم "&amp;ROUND(I101,2)&amp;" يوم بدون أجر",IF(AL101&gt;0,"🌴 إجازة سنوية "&amp;ROUND(AL101,2)&amp;" يوم",IF(H101&gt;0,"⚠ غياب "&amp;ROUND(H101,2)&amp;" يوم","✔ على رأس العمل")))))))</f>
        <v/>
      </c>
      <c r="G101" s="156" t="str">
        <f aca="false">IF($B101="","",IF(AK101&gt;=DAY($F$3),cfg_DAYS_M,MIN(AK101,cfg_DAYS_M)))</f>
        <v/>
      </c>
      <c r="H101" s="156" t="str">
        <f aca="false">IF($B101="","",SUMIFS('الحركات الشهرية'!$D$6:$D$1005,'الحركات الشهرية'!$B$6:$B$1005,$B101,'الحركات الشهرية'!$A$6:$A$1005,$C$3))</f>
        <v/>
      </c>
      <c r="I101" s="156" t="str">
        <f aca="false">IF($B101="","",MIN(G101,IF(AND(AK101&gt;0,AN101&gt;=AK101),G101,AN101)+SUMIFS('الحركات الشهرية'!$E$6:$E$1005,'الحركات الشهرية'!$B$6:$B$1005,$B101,'الحركات الشهرية'!$A$6:$A$1005,$C$3)))</f>
        <v/>
      </c>
      <c r="J101" s="156" t="str">
        <f aca="false">IF($B101="","",MAX(0,G101-H101-I101))</f>
        <v/>
      </c>
      <c r="K101" s="116" t="str">
        <f aca="false">IF($B101="","",الموظفون!$L101*$J101/cfg_DAYS_M)</f>
        <v/>
      </c>
      <c r="L101" s="116" t="str">
        <f aca="false">IF($B101="","",الموظفون!$M101*$J101/cfg_DAYS_M)</f>
        <v/>
      </c>
      <c r="M101" s="116" t="str">
        <f aca="false">IF($B101="","",الموظفون!$N101*$J101/cfg_DAYS_M)</f>
        <v/>
      </c>
      <c r="N101" s="116" t="str">
        <f aca="false">IF($B101="","",الموظفون!$O101*$J101/cfg_DAYS_M)</f>
        <v/>
      </c>
      <c r="O101" s="156" t="str">
        <f aca="false">IF($B101="","",SUMIFS('الحركات الشهرية'!$F$6:$F$1005,'الحركات الشهرية'!$B$6:$B$1005,$B101,'الحركات الشهرية'!$A$6:$A$1005,$C$3))</f>
        <v/>
      </c>
      <c r="P101" s="116" t="str">
        <f aca="false">IF($B101="","",O101*(الموظفون!$P101+الموظفون!$L101*cfg_OT_P)/cfg_DAYS_M/cfg_HRS)</f>
        <v/>
      </c>
      <c r="Q101" s="116" t="str">
        <f aca="false">IF($B101="","",SUMIFS('الحركات الشهرية'!$G$6:$G$1005,'الحركات الشهرية'!$B$6:$B$1005,$B101,'الحركات الشهرية'!$A$6:$A$1005,$C$3))</f>
        <v/>
      </c>
      <c r="R101" s="116" t="str">
        <f aca="false">IF($B101="","",SUMIFS('الحركات الشهرية'!$H$6:$H$1005,'الحركات الشهرية'!$B$6:$B$1005,$B101,'الحركات الشهرية'!$A$6:$A$1005,$C$3))</f>
        <v/>
      </c>
      <c r="S101" s="116" t="str">
        <f aca="false">IF($B101="","",SUMIFS('سجل الإجازات والحالات'!$N$6:$N$505,'سجل الإجازات والحالات'!$B$6:$B$505,$B101,'سجل الإجازات والحالات'!$O$6:$O$505,$C$3))</f>
        <v/>
      </c>
      <c r="T101" s="157" t="str">
        <f aca="false">IF($B101="","",SUM(K101:N101)+SUM(P101:S101))</f>
        <v/>
      </c>
      <c r="U101" s="116" t="str">
        <f aca="false">IF($B101="","",الموظفون!$S101*IF(E101="سعودي",cfg_G_SE,cfg_G_NE)*G101/cfg_DAYS_M)</f>
        <v/>
      </c>
      <c r="V101" s="116" t="str">
        <f aca="false">IF($B101="","",SUMIFS('الحركات الشهرية'!$I$6:$I$1005,'الحركات الشهرية'!$B$6:$B$1005,$B101,'الحركات الشهرية'!$A$6:$A$1005,$C$3))</f>
        <v/>
      </c>
      <c r="W101" s="116" t="str">
        <f aca="false">IF($B101="","",SUMIFS('الحركات الشهرية'!$J$6:$J$1005,'الحركات الشهرية'!$B$6:$B$1005,$B101,'الحركات الشهرية'!$A$6:$A$1005,$C$3))</f>
        <v/>
      </c>
      <c r="X101" s="116" t="str">
        <f aca="false">IF($B101="","",SUM(U101:W101))</f>
        <v/>
      </c>
      <c r="Y101" s="158" t="str">
        <f aca="false">IF($B101="","",T101-X101)</f>
        <v/>
      </c>
      <c r="Z101" s="116" t="str">
        <f aca="false">IF($B101="","",الموظفون!$S101*IF(E101="سعودي",cfg_G_SR,cfg_G_NR)*G101/cfg_DAYS_M)</f>
        <v/>
      </c>
      <c r="AA101" s="116" t="str">
        <f aca="false">IF($B101="","",الموظفون!$Q101*(cfg_EOS_R1*(MIN(AH101,cfg_EOS_TH)-MIN(AI101,cfg_EOS_TH))+cfg_EOS_R2*(MAX(AH101-cfg_EOS_TH,0)-MAX(AI101-cfg_EOS_TH,0))))</f>
        <v/>
      </c>
      <c r="AB101" s="116" t="str">
        <f aca="false">IF($B101="","",IF(الموظفون!$T101&lt;&gt;"",الموظفون!$T101,IF(AH101&gt;=cfg_LV_TH,cfg_LV_D2,cfg_LV_D1))/cfg_DAYS_Y*AJ101*الموظفون!$R101/cfg_DAYS_M)</f>
        <v/>
      </c>
      <c r="AC101" s="116" t="str">
        <f aca="false">IF($B101="","",IF(AND(الموظفون!$U101="نعم",N(الموظفون!$W101)&gt;0),الموظفون!$V101/الموظفون!$W101*12/cfg_DAYS_Y*AJ101,0))</f>
        <v/>
      </c>
      <c r="AD101" s="116" t="str">
        <f aca="false">IF($B101="","",(IF(الموظفون!$X101&lt;&gt;"",الموظفون!$X101,IF(الموظفون!$E101="غير سعودي",cfg_IQ,0))+IF(الموظفون!$Y101&lt;&gt;"",الموظفون!$Y101,IF(الموظفون!$E101="غير سعودي",cfg_WP,0)))/12*G101/cfg_DAYS_M)</f>
        <v/>
      </c>
      <c r="AE101" s="116" t="str">
        <f aca="false">IF($B101="","",IF(الموظفون!$Z101&lt;&gt;"",الموظفون!$Z101,cfg_MED)/12*G101/cfg_DAYS_M)</f>
        <v/>
      </c>
      <c r="AF101" s="116" t="str">
        <f aca="false">IF($B101="","",N(الموظفون!$AA101)/12*G101/cfg_DAYS_M)</f>
        <v/>
      </c>
      <c r="AG101" s="159" t="str">
        <f aca="false">IF($B101="","",T101+SUM(Z101:AF101))</f>
        <v/>
      </c>
      <c r="AH101" s="160" t="str">
        <f aca="false">IF($B101="","",MAX(0,IF(OR(الموظفون!$AE101="",الموظفون!$AE101&gt;$F$3),$F$3,الموظفون!$AE101)-الموظفون!$H101+1-SUMIFS('سجل الإجازات والحالات'!$AI$6:$AI$505,'سجل الإجازات والحالات'!$B$6:$B$505,$B101))/cfg_DAYS_Y)</f>
        <v/>
      </c>
      <c r="AI101" s="160" t="str">
        <f aca="false">IF($B101="","",MAX(0,IF(OR(الموظفون!$AE101="",الموظفون!$AE101&gt;($E$3-1)),($E$3-1),الموظفون!$AE101)-الموظفون!$H101+1-SUMIFS('سجل الإجازات والحالات'!$AH$6:$AH$505,'سجل الإجازات والحالات'!$B$6:$B$505,$B101))/cfg_DAYS_Y)</f>
        <v/>
      </c>
      <c r="AJ101" s="133" t="str">
        <f aca="false">IF($B101="","",MAX(0,AK101-(SUMIFS('سجل الإجازات والحالات'!$AI$6:$AI$505,'سجل الإجازات والحالات'!$B$6:$B$505,$B101)-SUMIFS('سجل الإجازات والحالات'!$AH$6:$AH$505,'سجل الإجازات والحالات'!$B$6:$B$505,$B101))))</f>
        <v/>
      </c>
      <c r="AK101" s="133" t="str">
        <f aca="false">IF($B101="","",MAX(0,IF(OR(الموظفون!$AE101="",الموظفون!$AE101&gt;$F$3),$F$3,الموظفون!$AE101)-MAX($E$3,الموظفون!$H101)+1))</f>
        <v/>
      </c>
      <c r="AL101" s="156" t="str">
        <f aca="false">IF($B101="","",SUMIFS('سجل الإجازات والحالات'!$AU$6:$AU$505,'سجل الإجازات والحالات'!$B$6:$B$505,$B101)+SUMIFS('الحركات الشهرية'!$K$6:$K$1005,'الحركات الشهرية'!$B$6:$B$1005,$B101,'الحركات الشهرية'!$A$6:$A$1005,$C$3))</f>
        <v/>
      </c>
      <c r="AM101" s="116" t="str">
        <f aca="false">IF($B101="","",AL101*الموظفون!$R101/cfg_DAYS_M+S101)</f>
        <v/>
      </c>
      <c r="AN101" s="156" t="str">
        <f aca="false">IF($B101="","",SUMIFS('سجل الإجازات والحالات'!$W$6:$W$505,'سجل الإجازات والحالات'!$B$6:$B$505,$B101))</f>
        <v/>
      </c>
    </row>
    <row r="102" customFormat="false" ht="15" hidden="false" customHeight="false" outlineLevel="0" collapsed="false">
      <c r="A102" s="106" t="str">
        <f aca="false">IF($B102="","",الموظفون!$A102)</f>
        <v/>
      </c>
      <c r="B102" s="114" t="str">
        <f aca="false">IF(الموظفون!$B102="","",الموظفون!$B102)</f>
        <v/>
      </c>
      <c r="C102" s="114" t="str">
        <f aca="false">IF($B102="","",الموظفون!$C102)</f>
        <v/>
      </c>
      <c r="D102" s="114" t="str">
        <f aca="false">IF($B102="","",الموظفون!$F102)</f>
        <v/>
      </c>
      <c r="E102" s="114" t="str">
        <f aca="false">IF($B102="","",الموظفون!$E102)</f>
        <v/>
      </c>
      <c r="F102" s="114" t="str">
        <f aca="false">IF($B102="","",IF(AK102=0,IF(AND(الموظفون!$AE102&lt;&gt;"",الموظفون!$AE102&lt;$E$3),"✖ منتهي الخدمة","⏳ لم يباشر"),IF(S102&gt;0,"✈ راتب إجازة مقدم",IF(J102=0,"⛔ بدون راتب هذا الشهر",IF(I102&gt;0,"✈ خصم "&amp;ROUND(I102,2)&amp;" يوم بدون أجر",IF(AL102&gt;0,"🌴 إجازة سنوية "&amp;ROUND(AL102,2)&amp;" يوم",IF(H102&gt;0,"⚠ غياب "&amp;ROUND(H102,2)&amp;" يوم","✔ على رأس العمل")))))))</f>
        <v/>
      </c>
      <c r="G102" s="151" t="str">
        <f aca="false">IF($B102="","",IF(AK102&gt;=DAY($F$3),cfg_DAYS_M,MIN(AK102,cfg_DAYS_M)))</f>
        <v/>
      </c>
      <c r="H102" s="151" t="str">
        <f aca="false">IF($B102="","",SUMIFS('الحركات الشهرية'!$D$6:$D$1005,'الحركات الشهرية'!$B$6:$B$1005,$B102,'الحركات الشهرية'!$A$6:$A$1005,$C$3))</f>
        <v/>
      </c>
      <c r="I102" s="151" t="str">
        <f aca="false">IF($B102="","",MIN(G102,IF(AND(AK102&gt;0,AN102&gt;=AK102),G102,AN102)+SUMIFS('الحركات الشهرية'!$E$6:$E$1005,'الحركات الشهرية'!$B$6:$B$1005,$B102,'الحركات الشهرية'!$A$6:$A$1005,$C$3)))</f>
        <v/>
      </c>
      <c r="J102" s="151" t="str">
        <f aca="false">IF($B102="","",MAX(0,G102-H102-I102))</f>
        <v/>
      </c>
      <c r="K102" s="111" t="str">
        <f aca="false">IF($B102="","",الموظفون!$L102*$J102/cfg_DAYS_M)</f>
        <v/>
      </c>
      <c r="L102" s="111" t="str">
        <f aca="false">IF($B102="","",الموظفون!$M102*$J102/cfg_DAYS_M)</f>
        <v/>
      </c>
      <c r="M102" s="111" t="str">
        <f aca="false">IF($B102="","",الموظفون!$N102*$J102/cfg_DAYS_M)</f>
        <v/>
      </c>
      <c r="N102" s="111" t="str">
        <f aca="false">IF($B102="","",الموظفون!$O102*$J102/cfg_DAYS_M)</f>
        <v/>
      </c>
      <c r="O102" s="151" t="str">
        <f aca="false">IF($B102="","",SUMIFS('الحركات الشهرية'!$F$6:$F$1005,'الحركات الشهرية'!$B$6:$B$1005,$B102,'الحركات الشهرية'!$A$6:$A$1005,$C$3))</f>
        <v/>
      </c>
      <c r="P102" s="111" t="str">
        <f aca="false">IF($B102="","",O102*(الموظفون!$P102+الموظفون!$L102*cfg_OT_P)/cfg_DAYS_M/cfg_HRS)</f>
        <v/>
      </c>
      <c r="Q102" s="111" t="str">
        <f aca="false">IF($B102="","",SUMIFS('الحركات الشهرية'!$G$6:$G$1005,'الحركات الشهرية'!$B$6:$B$1005,$B102,'الحركات الشهرية'!$A$6:$A$1005,$C$3))</f>
        <v/>
      </c>
      <c r="R102" s="111" t="str">
        <f aca="false">IF($B102="","",SUMIFS('الحركات الشهرية'!$H$6:$H$1005,'الحركات الشهرية'!$B$6:$B$1005,$B102,'الحركات الشهرية'!$A$6:$A$1005,$C$3))</f>
        <v/>
      </c>
      <c r="S102" s="111" t="str">
        <f aca="false">IF($B102="","",SUMIFS('سجل الإجازات والحالات'!$N$6:$N$505,'سجل الإجازات والحالات'!$B$6:$B$505,$B102,'سجل الإجازات والحالات'!$O$6:$O$505,$C$3))</f>
        <v/>
      </c>
      <c r="T102" s="152" t="str">
        <f aca="false">IF($B102="","",SUM(K102:N102)+SUM(P102:S102))</f>
        <v/>
      </c>
      <c r="U102" s="111" t="str">
        <f aca="false">IF($B102="","",الموظفون!$S102*IF(E102="سعودي",cfg_G_SE,cfg_G_NE)*G102/cfg_DAYS_M)</f>
        <v/>
      </c>
      <c r="V102" s="111" t="str">
        <f aca="false">IF($B102="","",SUMIFS('الحركات الشهرية'!$I$6:$I$1005,'الحركات الشهرية'!$B$6:$B$1005,$B102,'الحركات الشهرية'!$A$6:$A$1005,$C$3))</f>
        <v/>
      </c>
      <c r="W102" s="111" t="str">
        <f aca="false">IF($B102="","",SUMIFS('الحركات الشهرية'!$J$6:$J$1005,'الحركات الشهرية'!$B$6:$B$1005,$B102,'الحركات الشهرية'!$A$6:$A$1005,$C$3))</f>
        <v/>
      </c>
      <c r="X102" s="111" t="str">
        <f aca="false">IF($B102="","",SUM(U102:W102))</f>
        <v/>
      </c>
      <c r="Y102" s="153" t="str">
        <f aca="false">IF($B102="","",T102-X102)</f>
        <v/>
      </c>
      <c r="Z102" s="111" t="str">
        <f aca="false">IF($B102="","",الموظفون!$S102*IF(E102="سعودي",cfg_G_SR,cfg_G_NR)*G102/cfg_DAYS_M)</f>
        <v/>
      </c>
      <c r="AA102" s="111" t="str">
        <f aca="false">IF($B102="","",الموظفون!$Q102*(cfg_EOS_R1*(MIN(AH102,cfg_EOS_TH)-MIN(AI102,cfg_EOS_TH))+cfg_EOS_R2*(MAX(AH102-cfg_EOS_TH,0)-MAX(AI102-cfg_EOS_TH,0))))</f>
        <v/>
      </c>
      <c r="AB102" s="111" t="str">
        <f aca="false">IF($B102="","",IF(الموظفون!$T102&lt;&gt;"",الموظفون!$T102,IF(AH102&gt;=cfg_LV_TH,cfg_LV_D2,cfg_LV_D1))/cfg_DAYS_Y*AJ102*الموظفون!$R102/cfg_DAYS_M)</f>
        <v/>
      </c>
      <c r="AC102" s="111" t="str">
        <f aca="false">IF($B102="","",IF(AND(الموظفون!$U102="نعم",N(الموظفون!$W102)&gt;0),الموظفون!$V102/الموظفون!$W102*12/cfg_DAYS_Y*AJ102,0))</f>
        <v/>
      </c>
      <c r="AD102" s="111" t="str">
        <f aca="false">IF($B102="","",(IF(الموظفون!$X102&lt;&gt;"",الموظفون!$X102,IF(الموظفون!$E102="غير سعودي",cfg_IQ,0))+IF(الموظفون!$Y102&lt;&gt;"",الموظفون!$Y102,IF(الموظفون!$E102="غير سعودي",cfg_WP,0)))/12*G102/cfg_DAYS_M)</f>
        <v/>
      </c>
      <c r="AE102" s="111" t="str">
        <f aca="false">IF($B102="","",IF(الموظفون!$Z102&lt;&gt;"",الموظفون!$Z102,cfg_MED)/12*G102/cfg_DAYS_M)</f>
        <v/>
      </c>
      <c r="AF102" s="111" t="str">
        <f aca="false">IF($B102="","",N(الموظفون!$AA102)/12*G102/cfg_DAYS_M)</f>
        <v/>
      </c>
      <c r="AG102" s="154" t="str">
        <f aca="false">IF($B102="","",T102+SUM(Z102:AF102))</f>
        <v/>
      </c>
      <c r="AH102" s="155" t="str">
        <f aca="false">IF($B102="","",MAX(0,IF(OR(الموظفون!$AE102="",الموظفون!$AE102&gt;$F$3),$F$3,الموظفون!$AE102)-الموظفون!$H102+1-SUMIFS('سجل الإجازات والحالات'!$AI$6:$AI$505,'سجل الإجازات والحالات'!$B$6:$B$505,$B102))/cfg_DAYS_Y)</f>
        <v/>
      </c>
      <c r="AI102" s="155" t="str">
        <f aca="false">IF($B102="","",MAX(0,IF(OR(الموظفون!$AE102="",الموظفون!$AE102&gt;($E$3-1)),($E$3-1),الموظفون!$AE102)-الموظفون!$H102+1-SUMIFS('سجل الإجازات والحالات'!$AH$6:$AH$505,'سجل الإجازات والحالات'!$B$6:$B$505,$B102))/cfg_DAYS_Y)</f>
        <v/>
      </c>
      <c r="AJ102" s="65" t="str">
        <f aca="false">IF($B102="","",MAX(0,AK102-(SUMIFS('سجل الإجازات والحالات'!$AI$6:$AI$505,'سجل الإجازات والحالات'!$B$6:$B$505,$B102)-SUMIFS('سجل الإجازات والحالات'!$AH$6:$AH$505,'سجل الإجازات والحالات'!$B$6:$B$505,$B102))))</f>
        <v/>
      </c>
      <c r="AK102" s="65" t="str">
        <f aca="false">IF($B102="","",MAX(0,IF(OR(الموظفون!$AE102="",الموظفون!$AE102&gt;$F$3),$F$3,الموظفون!$AE102)-MAX($E$3,الموظفون!$H102)+1))</f>
        <v/>
      </c>
      <c r="AL102" s="151" t="str">
        <f aca="false">IF($B102="","",SUMIFS('سجل الإجازات والحالات'!$AU$6:$AU$505,'سجل الإجازات والحالات'!$B$6:$B$505,$B102)+SUMIFS('الحركات الشهرية'!$K$6:$K$1005,'الحركات الشهرية'!$B$6:$B$1005,$B102,'الحركات الشهرية'!$A$6:$A$1005,$C$3))</f>
        <v/>
      </c>
      <c r="AM102" s="111" t="str">
        <f aca="false">IF($B102="","",AL102*الموظفون!$R102/cfg_DAYS_M+S102)</f>
        <v/>
      </c>
      <c r="AN102" s="151" t="str">
        <f aca="false">IF($B102="","",SUMIFS('سجل الإجازات والحالات'!$W$6:$W$505,'سجل الإجازات والحالات'!$B$6:$B$505,$B102))</f>
        <v/>
      </c>
    </row>
    <row r="103" customFormat="false" ht="15" hidden="false" customHeight="false" outlineLevel="0" collapsed="false">
      <c r="A103" s="115" t="str">
        <f aca="false">IF($B103="","",الموظفون!$A103)</f>
        <v/>
      </c>
      <c r="B103" s="117" t="str">
        <f aca="false">IF(الموظفون!$B103="","",الموظفون!$B103)</f>
        <v/>
      </c>
      <c r="C103" s="117" t="str">
        <f aca="false">IF($B103="","",الموظفون!$C103)</f>
        <v/>
      </c>
      <c r="D103" s="117" t="str">
        <f aca="false">IF($B103="","",الموظفون!$F103)</f>
        <v/>
      </c>
      <c r="E103" s="117" t="str">
        <f aca="false">IF($B103="","",الموظفون!$E103)</f>
        <v/>
      </c>
      <c r="F103" s="117" t="str">
        <f aca="false">IF($B103="","",IF(AK103=0,IF(AND(الموظفون!$AE103&lt;&gt;"",الموظفون!$AE103&lt;$E$3),"✖ منتهي الخدمة","⏳ لم يباشر"),IF(S103&gt;0,"✈ راتب إجازة مقدم",IF(J103=0,"⛔ بدون راتب هذا الشهر",IF(I103&gt;0,"✈ خصم "&amp;ROUND(I103,2)&amp;" يوم بدون أجر",IF(AL103&gt;0,"🌴 إجازة سنوية "&amp;ROUND(AL103,2)&amp;" يوم",IF(H103&gt;0,"⚠ غياب "&amp;ROUND(H103,2)&amp;" يوم","✔ على رأس العمل")))))))</f>
        <v/>
      </c>
      <c r="G103" s="156" t="str">
        <f aca="false">IF($B103="","",IF(AK103&gt;=DAY($F$3),cfg_DAYS_M,MIN(AK103,cfg_DAYS_M)))</f>
        <v/>
      </c>
      <c r="H103" s="156" t="str">
        <f aca="false">IF($B103="","",SUMIFS('الحركات الشهرية'!$D$6:$D$1005,'الحركات الشهرية'!$B$6:$B$1005,$B103,'الحركات الشهرية'!$A$6:$A$1005,$C$3))</f>
        <v/>
      </c>
      <c r="I103" s="156" t="str">
        <f aca="false">IF($B103="","",MIN(G103,IF(AND(AK103&gt;0,AN103&gt;=AK103),G103,AN103)+SUMIFS('الحركات الشهرية'!$E$6:$E$1005,'الحركات الشهرية'!$B$6:$B$1005,$B103,'الحركات الشهرية'!$A$6:$A$1005,$C$3)))</f>
        <v/>
      </c>
      <c r="J103" s="156" t="str">
        <f aca="false">IF($B103="","",MAX(0,G103-H103-I103))</f>
        <v/>
      </c>
      <c r="K103" s="116" t="str">
        <f aca="false">IF($B103="","",الموظفون!$L103*$J103/cfg_DAYS_M)</f>
        <v/>
      </c>
      <c r="L103" s="116" t="str">
        <f aca="false">IF($B103="","",الموظفون!$M103*$J103/cfg_DAYS_M)</f>
        <v/>
      </c>
      <c r="M103" s="116" t="str">
        <f aca="false">IF($B103="","",الموظفون!$N103*$J103/cfg_DAYS_M)</f>
        <v/>
      </c>
      <c r="N103" s="116" t="str">
        <f aca="false">IF($B103="","",الموظفون!$O103*$J103/cfg_DAYS_M)</f>
        <v/>
      </c>
      <c r="O103" s="156" t="str">
        <f aca="false">IF($B103="","",SUMIFS('الحركات الشهرية'!$F$6:$F$1005,'الحركات الشهرية'!$B$6:$B$1005,$B103,'الحركات الشهرية'!$A$6:$A$1005,$C$3))</f>
        <v/>
      </c>
      <c r="P103" s="116" t="str">
        <f aca="false">IF($B103="","",O103*(الموظفون!$P103+الموظفون!$L103*cfg_OT_P)/cfg_DAYS_M/cfg_HRS)</f>
        <v/>
      </c>
      <c r="Q103" s="116" t="str">
        <f aca="false">IF($B103="","",SUMIFS('الحركات الشهرية'!$G$6:$G$1005,'الحركات الشهرية'!$B$6:$B$1005,$B103,'الحركات الشهرية'!$A$6:$A$1005,$C$3))</f>
        <v/>
      </c>
      <c r="R103" s="116" t="str">
        <f aca="false">IF($B103="","",SUMIFS('الحركات الشهرية'!$H$6:$H$1005,'الحركات الشهرية'!$B$6:$B$1005,$B103,'الحركات الشهرية'!$A$6:$A$1005,$C$3))</f>
        <v/>
      </c>
      <c r="S103" s="116" t="str">
        <f aca="false">IF($B103="","",SUMIFS('سجل الإجازات والحالات'!$N$6:$N$505,'سجل الإجازات والحالات'!$B$6:$B$505,$B103,'سجل الإجازات والحالات'!$O$6:$O$505,$C$3))</f>
        <v/>
      </c>
      <c r="T103" s="157" t="str">
        <f aca="false">IF($B103="","",SUM(K103:N103)+SUM(P103:S103))</f>
        <v/>
      </c>
      <c r="U103" s="116" t="str">
        <f aca="false">IF($B103="","",الموظفون!$S103*IF(E103="سعودي",cfg_G_SE,cfg_G_NE)*G103/cfg_DAYS_M)</f>
        <v/>
      </c>
      <c r="V103" s="116" t="str">
        <f aca="false">IF($B103="","",SUMIFS('الحركات الشهرية'!$I$6:$I$1005,'الحركات الشهرية'!$B$6:$B$1005,$B103,'الحركات الشهرية'!$A$6:$A$1005,$C$3))</f>
        <v/>
      </c>
      <c r="W103" s="116" t="str">
        <f aca="false">IF($B103="","",SUMIFS('الحركات الشهرية'!$J$6:$J$1005,'الحركات الشهرية'!$B$6:$B$1005,$B103,'الحركات الشهرية'!$A$6:$A$1005,$C$3))</f>
        <v/>
      </c>
      <c r="X103" s="116" t="str">
        <f aca="false">IF($B103="","",SUM(U103:W103))</f>
        <v/>
      </c>
      <c r="Y103" s="158" t="str">
        <f aca="false">IF($B103="","",T103-X103)</f>
        <v/>
      </c>
      <c r="Z103" s="116" t="str">
        <f aca="false">IF($B103="","",الموظفون!$S103*IF(E103="سعودي",cfg_G_SR,cfg_G_NR)*G103/cfg_DAYS_M)</f>
        <v/>
      </c>
      <c r="AA103" s="116" t="str">
        <f aca="false">IF($B103="","",الموظفون!$Q103*(cfg_EOS_R1*(MIN(AH103,cfg_EOS_TH)-MIN(AI103,cfg_EOS_TH))+cfg_EOS_R2*(MAX(AH103-cfg_EOS_TH,0)-MAX(AI103-cfg_EOS_TH,0))))</f>
        <v/>
      </c>
      <c r="AB103" s="116" t="str">
        <f aca="false">IF($B103="","",IF(الموظفون!$T103&lt;&gt;"",الموظفون!$T103,IF(AH103&gt;=cfg_LV_TH,cfg_LV_D2,cfg_LV_D1))/cfg_DAYS_Y*AJ103*الموظفون!$R103/cfg_DAYS_M)</f>
        <v/>
      </c>
      <c r="AC103" s="116" t="str">
        <f aca="false">IF($B103="","",IF(AND(الموظفون!$U103="نعم",N(الموظفون!$W103)&gt;0),الموظفون!$V103/الموظفون!$W103*12/cfg_DAYS_Y*AJ103,0))</f>
        <v/>
      </c>
      <c r="AD103" s="116" t="str">
        <f aca="false">IF($B103="","",(IF(الموظفون!$X103&lt;&gt;"",الموظفون!$X103,IF(الموظفون!$E103="غير سعودي",cfg_IQ,0))+IF(الموظفون!$Y103&lt;&gt;"",الموظفون!$Y103,IF(الموظفون!$E103="غير سعودي",cfg_WP,0)))/12*G103/cfg_DAYS_M)</f>
        <v/>
      </c>
      <c r="AE103" s="116" t="str">
        <f aca="false">IF($B103="","",IF(الموظفون!$Z103&lt;&gt;"",الموظفون!$Z103,cfg_MED)/12*G103/cfg_DAYS_M)</f>
        <v/>
      </c>
      <c r="AF103" s="116" t="str">
        <f aca="false">IF($B103="","",N(الموظفون!$AA103)/12*G103/cfg_DAYS_M)</f>
        <v/>
      </c>
      <c r="AG103" s="159" t="str">
        <f aca="false">IF($B103="","",T103+SUM(Z103:AF103))</f>
        <v/>
      </c>
      <c r="AH103" s="160" t="str">
        <f aca="false">IF($B103="","",MAX(0,IF(OR(الموظفون!$AE103="",الموظفون!$AE103&gt;$F$3),$F$3,الموظفون!$AE103)-الموظفون!$H103+1-SUMIFS('سجل الإجازات والحالات'!$AI$6:$AI$505,'سجل الإجازات والحالات'!$B$6:$B$505,$B103))/cfg_DAYS_Y)</f>
        <v/>
      </c>
      <c r="AI103" s="160" t="str">
        <f aca="false">IF($B103="","",MAX(0,IF(OR(الموظفون!$AE103="",الموظفون!$AE103&gt;($E$3-1)),($E$3-1),الموظفون!$AE103)-الموظفون!$H103+1-SUMIFS('سجل الإجازات والحالات'!$AH$6:$AH$505,'سجل الإجازات والحالات'!$B$6:$B$505,$B103))/cfg_DAYS_Y)</f>
        <v/>
      </c>
      <c r="AJ103" s="133" t="str">
        <f aca="false">IF($B103="","",MAX(0,AK103-(SUMIFS('سجل الإجازات والحالات'!$AI$6:$AI$505,'سجل الإجازات والحالات'!$B$6:$B$505,$B103)-SUMIFS('سجل الإجازات والحالات'!$AH$6:$AH$505,'سجل الإجازات والحالات'!$B$6:$B$505,$B103))))</f>
        <v/>
      </c>
      <c r="AK103" s="133" t="str">
        <f aca="false">IF($B103="","",MAX(0,IF(OR(الموظفون!$AE103="",الموظفون!$AE103&gt;$F$3),$F$3,الموظفون!$AE103)-MAX($E$3,الموظفون!$H103)+1))</f>
        <v/>
      </c>
      <c r="AL103" s="156" t="str">
        <f aca="false">IF($B103="","",SUMIFS('سجل الإجازات والحالات'!$AU$6:$AU$505,'سجل الإجازات والحالات'!$B$6:$B$505,$B103)+SUMIFS('الحركات الشهرية'!$K$6:$K$1005,'الحركات الشهرية'!$B$6:$B$1005,$B103,'الحركات الشهرية'!$A$6:$A$1005,$C$3))</f>
        <v/>
      </c>
      <c r="AM103" s="116" t="str">
        <f aca="false">IF($B103="","",AL103*الموظفون!$R103/cfg_DAYS_M+S103)</f>
        <v/>
      </c>
      <c r="AN103" s="156" t="str">
        <f aca="false">IF($B103="","",SUMIFS('سجل الإجازات والحالات'!$W$6:$W$505,'سجل الإجازات والحالات'!$B$6:$B$505,$B103))</f>
        <v/>
      </c>
    </row>
    <row r="104" customFormat="false" ht="15" hidden="false" customHeight="false" outlineLevel="0" collapsed="false">
      <c r="A104" s="106" t="str">
        <f aca="false">IF($B104="","",الموظفون!$A104)</f>
        <v/>
      </c>
      <c r="B104" s="114" t="str">
        <f aca="false">IF(الموظفون!$B104="","",الموظفون!$B104)</f>
        <v/>
      </c>
      <c r="C104" s="114" t="str">
        <f aca="false">IF($B104="","",الموظفون!$C104)</f>
        <v/>
      </c>
      <c r="D104" s="114" t="str">
        <f aca="false">IF($B104="","",الموظفون!$F104)</f>
        <v/>
      </c>
      <c r="E104" s="114" t="str">
        <f aca="false">IF($B104="","",الموظفون!$E104)</f>
        <v/>
      </c>
      <c r="F104" s="114" t="str">
        <f aca="false">IF($B104="","",IF(AK104=0,IF(AND(الموظفون!$AE104&lt;&gt;"",الموظفون!$AE104&lt;$E$3),"✖ منتهي الخدمة","⏳ لم يباشر"),IF(S104&gt;0,"✈ راتب إجازة مقدم",IF(J104=0,"⛔ بدون راتب هذا الشهر",IF(I104&gt;0,"✈ خصم "&amp;ROUND(I104,2)&amp;" يوم بدون أجر",IF(AL104&gt;0,"🌴 إجازة سنوية "&amp;ROUND(AL104,2)&amp;" يوم",IF(H104&gt;0,"⚠ غياب "&amp;ROUND(H104,2)&amp;" يوم","✔ على رأس العمل")))))))</f>
        <v/>
      </c>
      <c r="G104" s="151" t="str">
        <f aca="false">IF($B104="","",IF(AK104&gt;=DAY($F$3),cfg_DAYS_M,MIN(AK104,cfg_DAYS_M)))</f>
        <v/>
      </c>
      <c r="H104" s="151" t="str">
        <f aca="false">IF($B104="","",SUMIFS('الحركات الشهرية'!$D$6:$D$1005,'الحركات الشهرية'!$B$6:$B$1005,$B104,'الحركات الشهرية'!$A$6:$A$1005,$C$3))</f>
        <v/>
      </c>
      <c r="I104" s="151" t="str">
        <f aca="false">IF($B104="","",MIN(G104,IF(AND(AK104&gt;0,AN104&gt;=AK104),G104,AN104)+SUMIFS('الحركات الشهرية'!$E$6:$E$1005,'الحركات الشهرية'!$B$6:$B$1005,$B104,'الحركات الشهرية'!$A$6:$A$1005,$C$3)))</f>
        <v/>
      </c>
      <c r="J104" s="151" t="str">
        <f aca="false">IF($B104="","",MAX(0,G104-H104-I104))</f>
        <v/>
      </c>
      <c r="K104" s="111" t="str">
        <f aca="false">IF($B104="","",الموظفون!$L104*$J104/cfg_DAYS_M)</f>
        <v/>
      </c>
      <c r="L104" s="111" t="str">
        <f aca="false">IF($B104="","",الموظفون!$M104*$J104/cfg_DAYS_M)</f>
        <v/>
      </c>
      <c r="M104" s="111" t="str">
        <f aca="false">IF($B104="","",الموظفون!$N104*$J104/cfg_DAYS_M)</f>
        <v/>
      </c>
      <c r="N104" s="111" t="str">
        <f aca="false">IF($B104="","",الموظفون!$O104*$J104/cfg_DAYS_M)</f>
        <v/>
      </c>
      <c r="O104" s="151" t="str">
        <f aca="false">IF($B104="","",SUMIFS('الحركات الشهرية'!$F$6:$F$1005,'الحركات الشهرية'!$B$6:$B$1005,$B104,'الحركات الشهرية'!$A$6:$A$1005,$C$3))</f>
        <v/>
      </c>
      <c r="P104" s="111" t="str">
        <f aca="false">IF($B104="","",O104*(الموظفون!$P104+الموظفون!$L104*cfg_OT_P)/cfg_DAYS_M/cfg_HRS)</f>
        <v/>
      </c>
      <c r="Q104" s="111" t="str">
        <f aca="false">IF($B104="","",SUMIFS('الحركات الشهرية'!$G$6:$G$1005,'الحركات الشهرية'!$B$6:$B$1005,$B104,'الحركات الشهرية'!$A$6:$A$1005,$C$3))</f>
        <v/>
      </c>
      <c r="R104" s="111" t="str">
        <f aca="false">IF($B104="","",SUMIFS('الحركات الشهرية'!$H$6:$H$1005,'الحركات الشهرية'!$B$6:$B$1005,$B104,'الحركات الشهرية'!$A$6:$A$1005,$C$3))</f>
        <v/>
      </c>
      <c r="S104" s="111" t="str">
        <f aca="false">IF($B104="","",SUMIFS('سجل الإجازات والحالات'!$N$6:$N$505,'سجل الإجازات والحالات'!$B$6:$B$505,$B104,'سجل الإجازات والحالات'!$O$6:$O$505,$C$3))</f>
        <v/>
      </c>
      <c r="T104" s="152" t="str">
        <f aca="false">IF($B104="","",SUM(K104:N104)+SUM(P104:S104))</f>
        <v/>
      </c>
      <c r="U104" s="111" t="str">
        <f aca="false">IF($B104="","",الموظفون!$S104*IF(E104="سعودي",cfg_G_SE,cfg_G_NE)*G104/cfg_DAYS_M)</f>
        <v/>
      </c>
      <c r="V104" s="111" t="str">
        <f aca="false">IF($B104="","",SUMIFS('الحركات الشهرية'!$I$6:$I$1005,'الحركات الشهرية'!$B$6:$B$1005,$B104,'الحركات الشهرية'!$A$6:$A$1005,$C$3))</f>
        <v/>
      </c>
      <c r="W104" s="111" t="str">
        <f aca="false">IF($B104="","",SUMIFS('الحركات الشهرية'!$J$6:$J$1005,'الحركات الشهرية'!$B$6:$B$1005,$B104,'الحركات الشهرية'!$A$6:$A$1005,$C$3))</f>
        <v/>
      </c>
      <c r="X104" s="111" t="str">
        <f aca="false">IF($B104="","",SUM(U104:W104))</f>
        <v/>
      </c>
      <c r="Y104" s="153" t="str">
        <f aca="false">IF($B104="","",T104-X104)</f>
        <v/>
      </c>
      <c r="Z104" s="111" t="str">
        <f aca="false">IF($B104="","",الموظفون!$S104*IF(E104="سعودي",cfg_G_SR,cfg_G_NR)*G104/cfg_DAYS_M)</f>
        <v/>
      </c>
      <c r="AA104" s="111" t="str">
        <f aca="false">IF($B104="","",الموظفون!$Q104*(cfg_EOS_R1*(MIN(AH104,cfg_EOS_TH)-MIN(AI104,cfg_EOS_TH))+cfg_EOS_R2*(MAX(AH104-cfg_EOS_TH,0)-MAX(AI104-cfg_EOS_TH,0))))</f>
        <v/>
      </c>
      <c r="AB104" s="111" t="str">
        <f aca="false">IF($B104="","",IF(الموظفون!$T104&lt;&gt;"",الموظفون!$T104,IF(AH104&gt;=cfg_LV_TH,cfg_LV_D2,cfg_LV_D1))/cfg_DAYS_Y*AJ104*الموظفون!$R104/cfg_DAYS_M)</f>
        <v/>
      </c>
      <c r="AC104" s="111" t="str">
        <f aca="false">IF($B104="","",IF(AND(الموظفون!$U104="نعم",N(الموظفون!$W104)&gt;0),الموظفون!$V104/الموظفون!$W104*12/cfg_DAYS_Y*AJ104,0))</f>
        <v/>
      </c>
      <c r="AD104" s="111" t="str">
        <f aca="false">IF($B104="","",(IF(الموظفون!$X104&lt;&gt;"",الموظفون!$X104,IF(الموظفون!$E104="غير سعودي",cfg_IQ,0))+IF(الموظفون!$Y104&lt;&gt;"",الموظفون!$Y104,IF(الموظفون!$E104="غير سعودي",cfg_WP,0)))/12*G104/cfg_DAYS_M)</f>
        <v/>
      </c>
      <c r="AE104" s="111" t="str">
        <f aca="false">IF($B104="","",IF(الموظفون!$Z104&lt;&gt;"",الموظفون!$Z104,cfg_MED)/12*G104/cfg_DAYS_M)</f>
        <v/>
      </c>
      <c r="AF104" s="111" t="str">
        <f aca="false">IF($B104="","",N(الموظفون!$AA104)/12*G104/cfg_DAYS_M)</f>
        <v/>
      </c>
      <c r="AG104" s="154" t="str">
        <f aca="false">IF($B104="","",T104+SUM(Z104:AF104))</f>
        <v/>
      </c>
      <c r="AH104" s="155" t="str">
        <f aca="false">IF($B104="","",MAX(0,IF(OR(الموظفون!$AE104="",الموظفون!$AE104&gt;$F$3),$F$3,الموظفون!$AE104)-الموظفون!$H104+1-SUMIFS('سجل الإجازات والحالات'!$AI$6:$AI$505,'سجل الإجازات والحالات'!$B$6:$B$505,$B104))/cfg_DAYS_Y)</f>
        <v/>
      </c>
      <c r="AI104" s="155" t="str">
        <f aca="false">IF($B104="","",MAX(0,IF(OR(الموظفون!$AE104="",الموظفون!$AE104&gt;($E$3-1)),($E$3-1),الموظفون!$AE104)-الموظفون!$H104+1-SUMIFS('سجل الإجازات والحالات'!$AH$6:$AH$505,'سجل الإجازات والحالات'!$B$6:$B$505,$B104))/cfg_DAYS_Y)</f>
        <v/>
      </c>
      <c r="AJ104" s="65" t="str">
        <f aca="false">IF($B104="","",MAX(0,AK104-(SUMIFS('سجل الإجازات والحالات'!$AI$6:$AI$505,'سجل الإجازات والحالات'!$B$6:$B$505,$B104)-SUMIFS('سجل الإجازات والحالات'!$AH$6:$AH$505,'سجل الإجازات والحالات'!$B$6:$B$505,$B104))))</f>
        <v/>
      </c>
      <c r="AK104" s="65" t="str">
        <f aca="false">IF($B104="","",MAX(0,IF(OR(الموظفون!$AE104="",الموظفون!$AE104&gt;$F$3),$F$3,الموظفون!$AE104)-MAX($E$3,الموظفون!$H104)+1))</f>
        <v/>
      </c>
      <c r="AL104" s="151" t="str">
        <f aca="false">IF($B104="","",SUMIFS('سجل الإجازات والحالات'!$AU$6:$AU$505,'سجل الإجازات والحالات'!$B$6:$B$505,$B104)+SUMIFS('الحركات الشهرية'!$K$6:$K$1005,'الحركات الشهرية'!$B$6:$B$1005,$B104,'الحركات الشهرية'!$A$6:$A$1005,$C$3))</f>
        <v/>
      </c>
      <c r="AM104" s="111" t="str">
        <f aca="false">IF($B104="","",AL104*الموظفون!$R104/cfg_DAYS_M+S104)</f>
        <v/>
      </c>
      <c r="AN104" s="151" t="str">
        <f aca="false">IF($B104="","",SUMIFS('سجل الإجازات والحالات'!$W$6:$W$505,'سجل الإجازات والحالات'!$B$6:$B$505,$B104))</f>
        <v/>
      </c>
    </row>
    <row r="105" customFormat="false" ht="15" hidden="false" customHeight="false" outlineLevel="0" collapsed="false">
      <c r="A105" s="115" t="str">
        <f aca="false">IF($B105="","",الموظفون!$A105)</f>
        <v/>
      </c>
      <c r="B105" s="117" t="str">
        <f aca="false">IF(الموظفون!$B105="","",الموظفون!$B105)</f>
        <v/>
      </c>
      <c r="C105" s="117" t="str">
        <f aca="false">IF($B105="","",الموظفون!$C105)</f>
        <v/>
      </c>
      <c r="D105" s="117" t="str">
        <f aca="false">IF($B105="","",الموظفون!$F105)</f>
        <v/>
      </c>
      <c r="E105" s="117" t="str">
        <f aca="false">IF($B105="","",الموظفون!$E105)</f>
        <v/>
      </c>
      <c r="F105" s="117" t="str">
        <f aca="false">IF($B105="","",IF(AK105=0,IF(AND(الموظفون!$AE105&lt;&gt;"",الموظفون!$AE105&lt;$E$3),"✖ منتهي الخدمة","⏳ لم يباشر"),IF(S105&gt;0,"✈ راتب إجازة مقدم",IF(J105=0,"⛔ بدون راتب هذا الشهر",IF(I105&gt;0,"✈ خصم "&amp;ROUND(I105,2)&amp;" يوم بدون أجر",IF(AL105&gt;0,"🌴 إجازة سنوية "&amp;ROUND(AL105,2)&amp;" يوم",IF(H105&gt;0,"⚠ غياب "&amp;ROUND(H105,2)&amp;" يوم","✔ على رأس العمل")))))))</f>
        <v/>
      </c>
      <c r="G105" s="156" t="str">
        <f aca="false">IF($B105="","",IF(AK105&gt;=DAY($F$3),cfg_DAYS_M,MIN(AK105,cfg_DAYS_M)))</f>
        <v/>
      </c>
      <c r="H105" s="156" t="str">
        <f aca="false">IF($B105="","",SUMIFS('الحركات الشهرية'!$D$6:$D$1005,'الحركات الشهرية'!$B$6:$B$1005,$B105,'الحركات الشهرية'!$A$6:$A$1005,$C$3))</f>
        <v/>
      </c>
      <c r="I105" s="156" t="str">
        <f aca="false">IF($B105="","",MIN(G105,IF(AND(AK105&gt;0,AN105&gt;=AK105),G105,AN105)+SUMIFS('الحركات الشهرية'!$E$6:$E$1005,'الحركات الشهرية'!$B$6:$B$1005,$B105,'الحركات الشهرية'!$A$6:$A$1005,$C$3)))</f>
        <v/>
      </c>
      <c r="J105" s="156" t="str">
        <f aca="false">IF($B105="","",MAX(0,G105-H105-I105))</f>
        <v/>
      </c>
      <c r="K105" s="116" t="str">
        <f aca="false">IF($B105="","",الموظفون!$L105*$J105/cfg_DAYS_M)</f>
        <v/>
      </c>
      <c r="L105" s="116" t="str">
        <f aca="false">IF($B105="","",الموظفون!$M105*$J105/cfg_DAYS_M)</f>
        <v/>
      </c>
      <c r="M105" s="116" t="str">
        <f aca="false">IF($B105="","",الموظفون!$N105*$J105/cfg_DAYS_M)</f>
        <v/>
      </c>
      <c r="N105" s="116" t="str">
        <f aca="false">IF($B105="","",الموظفون!$O105*$J105/cfg_DAYS_M)</f>
        <v/>
      </c>
      <c r="O105" s="156" t="str">
        <f aca="false">IF($B105="","",SUMIFS('الحركات الشهرية'!$F$6:$F$1005,'الحركات الشهرية'!$B$6:$B$1005,$B105,'الحركات الشهرية'!$A$6:$A$1005,$C$3))</f>
        <v/>
      </c>
      <c r="P105" s="116" t="str">
        <f aca="false">IF($B105="","",O105*(الموظفون!$P105+الموظفون!$L105*cfg_OT_P)/cfg_DAYS_M/cfg_HRS)</f>
        <v/>
      </c>
      <c r="Q105" s="116" t="str">
        <f aca="false">IF($B105="","",SUMIFS('الحركات الشهرية'!$G$6:$G$1005,'الحركات الشهرية'!$B$6:$B$1005,$B105,'الحركات الشهرية'!$A$6:$A$1005,$C$3))</f>
        <v/>
      </c>
      <c r="R105" s="116" t="str">
        <f aca="false">IF($B105="","",SUMIFS('الحركات الشهرية'!$H$6:$H$1005,'الحركات الشهرية'!$B$6:$B$1005,$B105,'الحركات الشهرية'!$A$6:$A$1005,$C$3))</f>
        <v/>
      </c>
      <c r="S105" s="116" t="str">
        <f aca="false">IF($B105="","",SUMIFS('سجل الإجازات والحالات'!$N$6:$N$505,'سجل الإجازات والحالات'!$B$6:$B$505,$B105,'سجل الإجازات والحالات'!$O$6:$O$505,$C$3))</f>
        <v/>
      </c>
      <c r="T105" s="157" t="str">
        <f aca="false">IF($B105="","",SUM(K105:N105)+SUM(P105:S105))</f>
        <v/>
      </c>
      <c r="U105" s="116" t="str">
        <f aca="false">IF($B105="","",الموظفون!$S105*IF(E105="سعودي",cfg_G_SE,cfg_G_NE)*G105/cfg_DAYS_M)</f>
        <v/>
      </c>
      <c r="V105" s="116" t="str">
        <f aca="false">IF($B105="","",SUMIFS('الحركات الشهرية'!$I$6:$I$1005,'الحركات الشهرية'!$B$6:$B$1005,$B105,'الحركات الشهرية'!$A$6:$A$1005,$C$3))</f>
        <v/>
      </c>
      <c r="W105" s="116" t="str">
        <f aca="false">IF($B105="","",SUMIFS('الحركات الشهرية'!$J$6:$J$1005,'الحركات الشهرية'!$B$6:$B$1005,$B105,'الحركات الشهرية'!$A$6:$A$1005,$C$3))</f>
        <v/>
      </c>
      <c r="X105" s="116" t="str">
        <f aca="false">IF($B105="","",SUM(U105:W105))</f>
        <v/>
      </c>
      <c r="Y105" s="158" t="str">
        <f aca="false">IF($B105="","",T105-X105)</f>
        <v/>
      </c>
      <c r="Z105" s="116" t="str">
        <f aca="false">IF($B105="","",الموظفون!$S105*IF(E105="سعودي",cfg_G_SR,cfg_G_NR)*G105/cfg_DAYS_M)</f>
        <v/>
      </c>
      <c r="AA105" s="116" t="str">
        <f aca="false">IF($B105="","",الموظفون!$Q105*(cfg_EOS_R1*(MIN(AH105,cfg_EOS_TH)-MIN(AI105,cfg_EOS_TH))+cfg_EOS_R2*(MAX(AH105-cfg_EOS_TH,0)-MAX(AI105-cfg_EOS_TH,0))))</f>
        <v/>
      </c>
      <c r="AB105" s="116" t="str">
        <f aca="false">IF($B105="","",IF(الموظفون!$T105&lt;&gt;"",الموظفون!$T105,IF(AH105&gt;=cfg_LV_TH,cfg_LV_D2,cfg_LV_D1))/cfg_DAYS_Y*AJ105*الموظفون!$R105/cfg_DAYS_M)</f>
        <v/>
      </c>
      <c r="AC105" s="116" t="str">
        <f aca="false">IF($B105="","",IF(AND(الموظفون!$U105="نعم",N(الموظفون!$W105)&gt;0),الموظفون!$V105/الموظفون!$W105*12/cfg_DAYS_Y*AJ105,0))</f>
        <v/>
      </c>
      <c r="AD105" s="116" t="str">
        <f aca="false">IF($B105="","",(IF(الموظفون!$X105&lt;&gt;"",الموظفون!$X105,IF(الموظفون!$E105="غير سعودي",cfg_IQ,0))+IF(الموظفون!$Y105&lt;&gt;"",الموظفون!$Y105,IF(الموظفون!$E105="غير سعودي",cfg_WP,0)))/12*G105/cfg_DAYS_M)</f>
        <v/>
      </c>
      <c r="AE105" s="116" t="str">
        <f aca="false">IF($B105="","",IF(الموظفون!$Z105&lt;&gt;"",الموظفون!$Z105,cfg_MED)/12*G105/cfg_DAYS_M)</f>
        <v/>
      </c>
      <c r="AF105" s="116" t="str">
        <f aca="false">IF($B105="","",N(الموظفون!$AA105)/12*G105/cfg_DAYS_M)</f>
        <v/>
      </c>
      <c r="AG105" s="159" t="str">
        <f aca="false">IF($B105="","",T105+SUM(Z105:AF105))</f>
        <v/>
      </c>
      <c r="AH105" s="160" t="str">
        <f aca="false">IF($B105="","",MAX(0,IF(OR(الموظفون!$AE105="",الموظفون!$AE105&gt;$F$3),$F$3,الموظفون!$AE105)-الموظفون!$H105+1-SUMIFS('سجل الإجازات والحالات'!$AI$6:$AI$505,'سجل الإجازات والحالات'!$B$6:$B$505,$B105))/cfg_DAYS_Y)</f>
        <v/>
      </c>
      <c r="AI105" s="160" t="str">
        <f aca="false">IF($B105="","",MAX(0,IF(OR(الموظفون!$AE105="",الموظفون!$AE105&gt;($E$3-1)),($E$3-1),الموظفون!$AE105)-الموظفون!$H105+1-SUMIFS('سجل الإجازات والحالات'!$AH$6:$AH$505,'سجل الإجازات والحالات'!$B$6:$B$505,$B105))/cfg_DAYS_Y)</f>
        <v/>
      </c>
      <c r="AJ105" s="133" t="str">
        <f aca="false">IF($B105="","",MAX(0,AK105-(SUMIFS('سجل الإجازات والحالات'!$AI$6:$AI$505,'سجل الإجازات والحالات'!$B$6:$B$505,$B105)-SUMIFS('سجل الإجازات والحالات'!$AH$6:$AH$505,'سجل الإجازات والحالات'!$B$6:$B$505,$B105))))</f>
        <v/>
      </c>
      <c r="AK105" s="133" t="str">
        <f aca="false">IF($B105="","",MAX(0,IF(OR(الموظفون!$AE105="",الموظفون!$AE105&gt;$F$3),$F$3,الموظفون!$AE105)-MAX($E$3,الموظفون!$H105)+1))</f>
        <v/>
      </c>
      <c r="AL105" s="156" t="str">
        <f aca="false">IF($B105="","",SUMIFS('سجل الإجازات والحالات'!$AU$6:$AU$505,'سجل الإجازات والحالات'!$B$6:$B$505,$B105)+SUMIFS('الحركات الشهرية'!$K$6:$K$1005,'الحركات الشهرية'!$B$6:$B$1005,$B105,'الحركات الشهرية'!$A$6:$A$1005,$C$3))</f>
        <v/>
      </c>
      <c r="AM105" s="116" t="str">
        <f aca="false">IF($B105="","",AL105*الموظفون!$R105/cfg_DAYS_M+S105)</f>
        <v/>
      </c>
      <c r="AN105" s="156" t="str">
        <f aca="false">IF($B105="","",SUMIFS('سجل الإجازات والحالات'!$W$6:$W$505,'سجل الإجازات والحالات'!$B$6:$B$505,$B105))</f>
        <v/>
      </c>
    </row>
    <row r="106" customFormat="false" ht="24" hidden="false" customHeight="true" outlineLevel="0" collapsed="false">
      <c r="A106" s="124"/>
      <c r="B106" s="125" t="str">
        <f aca="false">COUNTIF(G6:G105,"&gt;0")&amp;" موظف"</f>
        <v>11 موظف</v>
      </c>
      <c r="C106" s="124" t="s">
        <v>161</v>
      </c>
      <c r="D106" s="124"/>
      <c r="E106" s="124"/>
      <c r="F106" s="125" t="str">
        <f aca="false">COUNTIFS(G6:G105,"&gt;0",J6:J105,0)&amp;" بدون راتب"</f>
        <v>0 بدون راتب</v>
      </c>
      <c r="G106" s="124"/>
      <c r="H106" s="161" t="n">
        <f aca="false">SUM(H6:H105)</f>
        <v>0</v>
      </c>
      <c r="I106" s="161" t="n">
        <f aca="false">SUM(I6:I105)</f>
        <v>0</v>
      </c>
      <c r="J106" s="161" t="n">
        <f aca="false">SUM(J6:J105)</f>
        <v>330</v>
      </c>
      <c r="K106" s="125" t="n">
        <f aca="false">SUM(K6:K105)</f>
        <v>132500</v>
      </c>
      <c r="L106" s="125" t="n">
        <f aca="false">SUM(L6:L105)</f>
        <v>33125</v>
      </c>
      <c r="M106" s="125" t="n">
        <f aca="false">SUM(M6:M105)</f>
        <v>13250</v>
      </c>
      <c r="N106" s="125" t="n">
        <f aca="false">SUM(N6:N105)</f>
        <v>10300</v>
      </c>
      <c r="O106" s="161" t="n">
        <f aca="false">SUM(O6:O105)</f>
        <v>8</v>
      </c>
      <c r="P106" s="125" t="n">
        <f aca="false">SUM(P6:P105)</f>
        <v>540.833333333333</v>
      </c>
      <c r="Q106" s="125" t="n">
        <f aca="false">SUM(Q6:Q105)</f>
        <v>5000</v>
      </c>
      <c r="R106" s="125" t="n">
        <f aca="false">SUM(R6:R105)</f>
        <v>0</v>
      </c>
      <c r="S106" s="125" t="n">
        <f aca="false">SUM(S6:S105)</f>
        <v>0</v>
      </c>
      <c r="T106" s="125" t="n">
        <f aca="false">SUM(T6:T105)</f>
        <v>194715.833333333</v>
      </c>
      <c r="U106" s="125" t="n">
        <f aca="false">SUM(U6:U105)</f>
        <v>11273.4375</v>
      </c>
      <c r="V106" s="125" t="n">
        <f aca="false">SUM(V6:V105)</f>
        <v>1000</v>
      </c>
      <c r="W106" s="125" t="n">
        <f aca="false">SUM(W6:W105)</f>
        <v>0</v>
      </c>
      <c r="X106" s="125" t="n">
        <f aca="false">SUM(X6:X105)</f>
        <v>12273.4375</v>
      </c>
      <c r="Y106" s="125" t="n">
        <f aca="false">SUM(Y6:Y105)</f>
        <v>182442.395833333</v>
      </c>
      <c r="Z106" s="125" t="n">
        <f aca="false">SUM(Z6:Z105)</f>
        <v>14585.9375</v>
      </c>
      <c r="AA106" s="125" t="n">
        <f aca="false">SUM(AA6:AA105)</f>
        <v>12712.1917808219</v>
      </c>
      <c r="AB106" s="125" t="n">
        <f aca="false">SUM(AB6:AB105)</f>
        <v>13116.0821917808</v>
      </c>
      <c r="AC106" s="125" t="n">
        <f aca="false">SUM(AC6:AC105)</f>
        <v>866.849315068493</v>
      </c>
      <c r="AD106" s="125" t="n">
        <f aca="false">SUM(AD6:AD105)</f>
        <v>4270.83333333333</v>
      </c>
      <c r="AE106" s="125" t="n">
        <f aca="false">SUM(AE6:AE105)</f>
        <v>2600</v>
      </c>
      <c r="AF106" s="125" t="n">
        <f aca="false">SUM(AF6:AF105)</f>
        <v>400</v>
      </c>
      <c r="AG106" s="125" t="n">
        <f aca="false">SUM(AG6:AG105)</f>
        <v>243267.727454338</v>
      </c>
      <c r="AH106" s="124"/>
      <c r="AI106" s="124"/>
      <c r="AJ106" s="124"/>
      <c r="AK106" s="124"/>
      <c r="AL106" s="161" t="n">
        <f aca="false">SUM(AL6:AL105)</f>
        <v>0</v>
      </c>
      <c r="AM106" s="125" t="n">
        <f aca="false">SUM(AM6:AM105)</f>
        <v>0</v>
      </c>
      <c r="AN106" s="124"/>
    </row>
    <row r="107" customFormat="false" ht="48" hidden="false" customHeight="true" outlineLevel="0" collapsed="false">
      <c r="A107" s="24" t="s">
        <v>505</v>
      </c>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row>
  </sheetData>
  <sheetProtection sheet="true" password="ffa5" objects="true" scenarios="true"/>
  <autoFilter ref="A5:AN105"/>
  <mergeCells count="6">
    <mergeCell ref="A1:AG1"/>
    <mergeCell ref="A2:AG2"/>
    <mergeCell ref="G3:H3"/>
    <mergeCell ref="J3:K3"/>
    <mergeCell ref="L3:M3"/>
    <mergeCell ref="A107:AN107"/>
  </mergeCells>
  <conditionalFormatting sqref="G3">
    <cfRule type="expression" priority="2" aboveAverage="0" equalAverage="0" bottom="0" percent="0" rank="0" text="" dxfId="0">
      <formula>ISNUMBER(SEARCH("✔",G3))</formula>
    </cfRule>
    <cfRule type="expression" priority="3" aboveAverage="0" equalAverage="0" bottom="0" percent="0" rank="0" text="" dxfId="1">
      <formula>ISNUMBER(SEARCH("✖",G3))</formula>
    </cfRule>
    <cfRule type="expression" priority="4" aboveAverage="0" equalAverage="0" bottom="0" percent="0" rank="0" text="" dxfId="2">
      <formula>ISNUMBER(SEARCH("⚠",G3))</formula>
    </cfRule>
    <cfRule type="expression" priority="5" aboveAverage="0" equalAverage="0" bottom="0" percent="0" rank="0" text="" dxfId="3">
      <formula>ISNUMBER(SEARCH("✈",G3))</formula>
    </cfRule>
    <cfRule type="expression" priority="6" aboveAverage="0" equalAverage="0" bottom="0" percent="0" rank="0" text="" dxfId="1">
      <formula>ISNUMBER(SEARCH("⛔",G3))</formula>
    </cfRule>
    <cfRule type="expression" priority="7" aboveAverage="0" equalAverage="0" bottom="0" percent="0" rank="0" text="" dxfId="0">
      <formula>ISNUMBER(SEARCH("🌴",G3))</formula>
    </cfRule>
    <cfRule type="expression" priority="8" aboveAverage="0" equalAverage="0" bottom="0" percent="0" rank="0" text="" dxfId="4">
      <formula>ISNUMBER(SEARCH("⏳",G3))</formula>
    </cfRule>
  </conditionalFormatting>
  <conditionalFormatting sqref="F6:F105">
    <cfRule type="expression" priority="9" aboveAverage="0" equalAverage="0" bottom="0" percent="0" rank="0" text="" dxfId="0">
      <formula>ISNUMBER(SEARCH("✔",F6))</formula>
    </cfRule>
    <cfRule type="expression" priority="10" aboveAverage="0" equalAverage="0" bottom="0" percent="0" rank="0" text="" dxfId="1">
      <formula>ISNUMBER(SEARCH("✖",F6))</formula>
    </cfRule>
    <cfRule type="expression" priority="11" aboveAverage="0" equalAverage="0" bottom="0" percent="0" rank="0" text="" dxfId="2">
      <formula>ISNUMBER(SEARCH("⚠",F6))</formula>
    </cfRule>
    <cfRule type="expression" priority="12" aboveAverage="0" equalAverage="0" bottom="0" percent="0" rank="0" text="" dxfId="3">
      <formula>ISNUMBER(SEARCH("✈",F6))</formula>
    </cfRule>
    <cfRule type="expression" priority="13" aboveAverage="0" equalAverage="0" bottom="0" percent="0" rank="0" text="" dxfId="1">
      <formula>ISNUMBER(SEARCH("⛔",F6))</formula>
    </cfRule>
    <cfRule type="expression" priority="14" aboveAverage="0" equalAverage="0" bottom="0" percent="0" rank="0" text="" dxfId="0">
      <formula>ISNUMBER(SEARCH("🌴",F6))</formula>
    </cfRule>
    <cfRule type="expression" priority="15" aboveAverage="0" equalAverage="0" bottom="0" percent="0" rank="0" text="" dxfId="4">
      <formula>ISNUMBER(SEARCH("⏳",F6))</formula>
    </cfRule>
  </conditionalFormatting>
  <conditionalFormatting sqref="G6:AN105">
    <cfRule type="expression" priority="16" aboveAverage="0" equalAverage="0" bottom="0" percent="0" rank="0" text="" dxfId="31">
      <formula>AND($B6&lt;&gt;"",$J6=0)</formula>
    </cfRule>
  </conditionalFormatting>
  <conditionalFormatting sqref="Y6:Y105">
    <cfRule type="expression" priority="17" aboveAverage="0" equalAverage="0" bottom="0" percent="0" rank="0" text="" dxfId="1">
      <formula>AND(ISNUMBER(Y6),Y6&lt;0)</formula>
    </cfRule>
  </conditionalFormatting>
  <hyperlinks>
    <hyperlink ref="A2" r:id="rId1" display="https://accopro.net/"/>
    <hyperlink ref="J3" location="'مسير يناير'!A1" display="◀ الشهر السابق"/>
    <hyperlink ref="L3" location="'مسير مارس'!A1" display="الشهر التالي ▶"/>
    <hyperlink ref="O3" location="'الرئيسية'!A1" display="🏠 الرئيسية"/>
    <hyperlink ref="P3" location="'لوحة التحكم'!A1" display="📊 لوحة التحكم"/>
    <hyperlink ref="R3" location="'الموظفون'!A1" display="👥 الموظفون"/>
    <hyperlink ref="S3" location="'سجل الإجازات والحالات'!A1" display="🌴 سجل الإجازات"/>
    <hyperlink ref="U3" location="'الحركات الشهرية'!A1" display="✍ الحركات"/>
    <hyperlink ref="W3" location="'الملخص الشهري'!A1" display="📅 الملخص الشهري"/>
    <hyperlink ref="Y3" location="'قيود الرواتب'!A1" display="🧾 القيود"/>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&amp;Cنسخة تجريبية — النسخة الكاملة: accopro.net</oddHeader>
    <oddFooter>&amp;CAccoPro — https://accopro.net</oddFooter>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N107"/>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24"/>
    <col collapsed="false" customWidth="true" hidden="false" outlineLevel="0" max="4" min="4" style="0" width="14"/>
    <col collapsed="false" customWidth="true" hidden="false" outlineLevel="0" max="5" min="5" style="0" width="10"/>
    <col collapsed="false" customWidth="true" hidden="false" outlineLevel="0" max="6" min="6" style="0" width="20"/>
    <col collapsed="false" customWidth="true" hidden="false" outlineLevel="0" max="8" min="7" style="0" width="8"/>
    <col collapsed="false" customWidth="true" hidden="false" outlineLevel="0" max="9" min="9" style="0" width="9"/>
    <col collapsed="false" customWidth="true" hidden="false" outlineLevel="0" max="10" min="10" style="0" width="8"/>
    <col collapsed="false" customWidth="true" hidden="false" outlineLevel="0" max="11" min="11" style="0" width="12"/>
    <col collapsed="false" customWidth="true" hidden="false" outlineLevel="0" max="12" min="12" style="0" width="11"/>
    <col collapsed="false" customWidth="true" hidden="false" outlineLevel="0" max="14" min="13" style="0" width="10"/>
    <col collapsed="false" customWidth="true" hidden="false" outlineLevel="0" max="15" min="15" style="0" width="7"/>
    <col collapsed="false" customWidth="true" hidden="false" outlineLevel="0" max="19" min="16" style="0" width="11"/>
    <col collapsed="false" customWidth="true" hidden="false" outlineLevel="0" max="20" min="20" style="0" width="13"/>
    <col collapsed="false" customWidth="true" hidden="false" outlineLevel="0" max="21" min="21" style="0" width="11"/>
    <col collapsed="false" customWidth="true" hidden="false" outlineLevel="0" max="23" min="22" style="0" width="10"/>
    <col collapsed="false" customWidth="true" hidden="false" outlineLevel="0" max="24" min="24" style="0" width="12"/>
    <col collapsed="false" customWidth="true" hidden="false" outlineLevel="0" max="25" min="25" style="0" width="13"/>
    <col collapsed="false" customWidth="true" hidden="false" outlineLevel="0" max="26" min="26" style="0" width="11"/>
    <col collapsed="false" customWidth="true" hidden="false" outlineLevel="0" max="27" min="27" style="0" width="12"/>
    <col collapsed="false" customWidth="true" hidden="false" outlineLevel="0" max="29" min="28" style="0" width="11"/>
    <col collapsed="false" customWidth="true" hidden="false" outlineLevel="0" max="30" min="30" style="0" width="12"/>
    <col collapsed="false" customWidth="true" hidden="false" outlineLevel="0" max="31" min="31" style="0" width="11"/>
    <col collapsed="false" customWidth="true" hidden="false" outlineLevel="0" max="32" min="32" style="0" width="10"/>
    <col collapsed="false" customWidth="true" hidden="false" outlineLevel="0" max="33" min="33" style="0" width="14"/>
    <col collapsed="false" customWidth="true" hidden="true" outlineLevel="0" max="38" min="34" style="0" width="9"/>
    <col collapsed="false" customWidth="true" hidden="true" outlineLevel="0" max="39" min="39" style="0" width="11"/>
    <col collapsed="false" customWidth="true" hidden="true" outlineLevel="0" max="40" min="40" style="0" width="9"/>
  </cols>
  <sheetData>
    <row r="1" customFormat="false" ht="37.5" hidden="false" customHeight="true" outlineLevel="0" collapsed="false">
      <c r="A1" s="136" t="str">
        <f aca="false">"💵 مسير رواتب شهر مارس "&amp;cfg_FY&amp;"   🔒 نسخة تجريبية"</f>
        <v>💵 مسير رواتب شهر مارس 2026   🔒 نسخة تجريبية</v>
      </c>
      <c r="B1" s="136"/>
      <c r="C1" s="136"/>
      <c r="D1" s="136"/>
      <c r="E1" s="136"/>
      <c r="F1" s="136"/>
      <c r="G1" s="136"/>
      <c r="H1" s="136"/>
      <c r="I1" s="136"/>
      <c r="J1" s="136"/>
      <c r="K1" s="136"/>
      <c r="L1" s="136"/>
      <c r="M1" s="136"/>
      <c r="N1" s="136"/>
      <c r="O1" s="136"/>
      <c r="P1" s="136"/>
      <c r="Q1" s="136"/>
      <c r="R1" s="136"/>
      <c r="S1" s="136"/>
      <c r="T1" s="136"/>
      <c r="U1" s="136"/>
      <c r="V1" s="136"/>
      <c r="W1" s="136"/>
      <c r="X1" s="136"/>
      <c r="Y1" s="136"/>
      <c r="Z1" s="136"/>
      <c r="AA1" s="136"/>
      <c r="AB1" s="136"/>
      <c r="AC1" s="136"/>
      <c r="AD1" s="136"/>
      <c r="AE1" s="136"/>
      <c r="AF1" s="136"/>
      <c r="AG1" s="136"/>
    </row>
    <row r="2" customFormat="false" ht="19.5" hidden="false" customHeight="true" outlineLevel="0" collapsed="false">
      <c r="A2" s="2" t="str">
        <f aca="false">"🛒 نسخة تجريبية — للنسخة الكاملة اضغط هنا ← accopro.net   |   "&amp;cfg_CO&amp;"   |   السنة المالية "&amp;cfg_FY&amp;"   |   شهر التقرير: "&amp;INDEX(L_MONTH,cfg_VAL_M)&amp;"   |   المبالغ بـ "&amp;cfg_CUR</f>
        <v>🛒 نسخة تجريبية — للنسخة الكاملة اضغط هنا ← accopro.net   |   شركة النخبة للتجارة والمقاولات   |   السنة المالية 2026   |   شهر التقرير: سبتمبر   |   المبالغ بـ ريال سعودي</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row>
    <row r="3" customFormat="false" ht="25.5" hidden="false" customHeight="true" outlineLevel="0" collapsed="false">
      <c r="B3" s="137" t="s">
        <v>163</v>
      </c>
      <c r="C3" s="138" t="n">
        <v>3</v>
      </c>
      <c r="D3" s="137" t="s">
        <v>472</v>
      </c>
      <c r="E3" s="139" t="n">
        <f aca="false">DATE(cfg_FY,C3,1)</f>
        <v>46082</v>
      </c>
      <c r="F3" s="139" t="n">
        <f aca="false">EOMONTH(E3,0)</f>
        <v>46112</v>
      </c>
      <c r="G3" s="140" t="str">
        <f aca="false">IF(C3&lt;=cfg_VAL_M,"✔ فعلي","⚠ متوقع")</f>
        <v>✔ فعلي</v>
      </c>
      <c r="H3" s="140"/>
      <c r="J3" s="141" t="s">
        <v>506</v>
      </c>
      <c r="K3" s="141"/>
      <c r="L3" s="141" t="s">
        <v>473</v>
      </c>
      <c r="M3" s="141"/>
      <c r="O3" s="31" t="s">
        <v>114</v>
      </c>
      <c r="P3" s="12" t="s">
        <v>172</v>
      </c>
      <c r="R3" s="32" t="s">
        <v>116</v>
      </c>
      <c r="S3" s="33" t="s">
        <v>117</v>
      </c>
      <c r="U3" s="32" t="s">
        <v>118</v>
      </c>
      <c r="W3" s="32" t="s">
        <v>39</v>
      </c>
      <c r="Y3" s="32" t="s">
        <v>173</v>
      </c>
    </row>
    <row r="4" customFormat="false" ht="7.5" hidden="false" customHeight="true" outlineLevel="0" collapsed="false"/>
    <row r="5" customFormat="false" ht="51.75" hidden="false" customHeight="true" outlineLevel="0" collapsed="false">
      <c r="A5" s="142" t="s">
        <v>308</v>
      </c>
      <c r="B5" s="142" t="s">
        <v>309</v>
      </c>
      <c r="C5" s="142" t="s">
        <v>310</v>
      </c>
      <c r="D5" s="142" t="s">
        <v>156</v>
      </c>
      <c r="E5" s="142" t="s">
        <v>142</v>
      </c>
      <c r="F5" s="142" t="s">
        <v>474</v>
      </c>
      <c r="G5" s="143" t="s">
        <v>475</v>
      </c>
      <c r="H5" s="143" t="s">
        <v>476</v>
      </c>
      <c r="I5" s="143" t="s">
        <v>477</v>
      </c>
      <c r="J5" s="143" t="s">
        <v>478</v>
      </c>
      <c r="K5" s="144" t="s">
        <v>479</v>
      </c>
      <c r="L5" s="144" t="s">
        <v>480</v>
      </c>
      <c r="M5" s="144" t="s">
        <v>481</v>
      </c>
      <c r="N5" s="144" t="s">
        <v>482</v>
      </c>
      <c r="O5" s="144" t="s">
        <v>483</v>
      </c>
      <c r="P5" s="144" t="s">
        <v>484</v>
      </c>
      <c r="Q5" s="144" t="s">
        <v>451</v>
      </c>
      <c r="R5" s="144" t="s">
        <v>485</v>
      </c>
      <c r="S5" s="144" t="s">
        <v>486</v>
      </c>
      <c r="T5" s="144" t="s">
        <v>127</v>
      </c>
      <c r="U5" s="145" t="s">
        <v>487</v>
      </c>
      <c r="V5" s="145" t="s">
        <v>453</v>
      </c>
      <c r="W5" s="145" t="s">
        <v>454</v>
      </c>
      <c r="X5" s="145" t="s">
        <v>488</v>
      </c>
      <c r="Y5" s="146" t="s">
        <v>489</v>
      </c>
      <c r="Z5" s="147" t="s">
        <v>490</v>
      </c>
      <c r="AA5" s="147" t="s">
        <v>491</v>
      </c>
      <c r="AB5" s="147" t="s">
        <v>492</v>
      </c>
      <c r="AC5" s="147" t="s">
        <v>493</v>
      </c>
      <c r="AD5" s="148" t="s">
        <v>494</v>
      </c>
      <c r="AE5" s="148" t="s">
        <v>495</v>
      </c>
      <c r="AF5" s="148" t="s">
        <v>496</v>
      </c>
      <c r="AG5" s="149" t="s">
        <v>497</v>
      </c>
      <c r="AH5" s="150" t="s">
        <v>498</v>
      </c>
      <c r="AI5" s="150" t="s">
        <v>499</v>
      </c>
      <c r="AJ5" s="150" t="s">
        <v>500</v>
      </c>
      <c r="AK5" s="150" t="s">
        <v>501</v>
      </c>
      <c r="AL5" s="150" t="s">
        <v>502</v>
      </c>
      <c r="AM5" s="150" t="s">
        <v>503</v>
      </c>
      <c r="AN5" s="150" t="s">
        <v>504</v>
      </c>
    </row>
    <row r="6" customFormat="false" ht="15" hidden="false" customHeight="false" outlineLevel="0" collapsed="false">
      <c r="A6" s="106" t="n">
        <f aca="false">IF($B6="","",الموظفون!$A6)</f>
        <v>1</v>
      </c>
      <c r="B6" s="114" t="str">
        <f aca="false">IF(الموظفون!$B6="","",الموظفون!$B6)</f>
        <v>E001</v>
      </c>
      <c r="C6" s="114" t="str">
        <f aca="false">IF($B6="","",الموظفون!$C6)</f>
        <v>عبدالله محمد العتيبي</v>
      </c>
      <c r="D6" s="114" t="str">
        <f aca="false">IF($B6="","",الموظفون!$F6)</f>
        <v>الإدارة العليا</v>
      </c>
      <c r="E6" s="114" t="str">
        <f aca="false">IF($B6="","",الموظفون!$E6)</f>
        <v>سعودي</v>
      </c>
      <c r="F6" s="114" t="str">
        <f aca="false">IF($B6="","",IF(AK6=0,IF(AND(الموظفون!$AE6&lt;&gt;"",الموظفون!$AE6&lt;$E$3),"✖ منتهي الخدمة","⏳ لم يباشر"),IF(S6&gt;0,"✈ راتب إجازة مقدم",IF(J6=0,"⛔ بدون راتب هذا الشهر",IF(I6&gt;0,"✈ خصم "&amp;ROUND(I6,2)&amp;" يوم بدون أجر",IF(AL6&gt;0,"🌴 إجازة سنوية "&amp;ROUND(AL6,2)&amp;" يوم",IF(H6&gt;0,"⚠ غياب "&amp;ROUND(H6,2)&amp;" يوم","✔ على رأس العمل")))))))</f>
        <v>🌴 إجازة سنوية 10 يوم</v>
      </c>
      <c r="G6" s="151" t="n">
        <f aca="false">IF($B6="","",IF(AK6&gt;=DAY($F$3),cfg_DAYS_M,MIN(AK6,cfg_DAYS_M)))</f>
        <v>30</v>
      </c>
      <c r="H6" s="151" t="n">
        <f aca="false">IF($B6="","",SUMIFS('الحركات الشهرية'!$D$6:$D$1005,'الحركات الشهرية'!$B$6:$B$1005,$B6,'الحركات الشهرية'!$A$6:$A$1005,$C$3))</f>
        <v>0</v>
      </c>
      <c r="I6" s="151" t="n">
        <f aca="false">IF($B6="","",MIN(G6,IF(AND(AK6&gt;0,AN6&gt;=AK6),G6,AN6)+SUMIFS('الحركات الشهرية'!$E$6:$E$1005,'الحركات الشهرية'!$B$6:$B$1005,$B6,'الحركات الشهرية'!$A$6:$A$1005,$C$3)))</f>
        <v>0</v>
      </c>
      <c r="J6" s="151" t="n">
        <f aca="false">IF($B6="","",MAX(0,G6-H6-I6))</f>
        <v>30</v>
      </c>
      <c r="K6" s="111" t="n">
        <f aca="false">IF($B6="","",الموظفون!$L6*$J6/cfg_DAYS_M)</f>
        <v>28000</v>
      </c>
      <c r="L6" s="111" t="n">
        <f aca="false">IF($B6="","",الموظفون!$M6*$J6/cfg_DAYS_M)</f>
        <v>7000</v>
      </c>
      <c r="M6" s="111" t="n">
        <f aca="false">IF($B6="","",الموظفون!$N6*$J6/cfg_DAYS_M)</f>
        <v>2800</v>
      </c>
      <c r="N6" s="111" t="n">
        <f aca="false">IF($B6="","",الموظفون!$O6*$J6/cfg_DAYS_M)</f>
        <v>3000</v>
      </c>
      <c r="O6" s="151" t="n">
        <f aca="false">IF($B6="","",SUMIFS('الحركات الشهرية'!$F$6:$F$1005,'الحركات الشهرية'!$B$6:$B$1005,$B6,'الحركات الشهرية'!$A$6:$A$1005,$C$3))</f>
        <v>0</v>
      </c>
      <c r="P6" s="111" t="n">
        <f aca="false">IF($B6="","",O6*(الموظفون!$P6+الموظفون!$L6*cfg_OT_P)/cfg_DAYS_M/cfg_HRS)</f>
        <v>0</v>
      </c>
      <c r="Q6" s="111" t="n">
        <f aca="false">IF($B6="","",SUMIFS('الحركات الشهرية'!$G$6:$G$1005,'الحركات الشهرية'!$B$6:$B$1005,$B6,'الحركات الشهرية'!$A$6:$A$1005,$C$3))</f>
        <v>0</v>
      </c>
      <c r="R6" s="111" t="n">
        <f aca="false">IF($B6="","",SUMIFS('الحركات الشهرية'!$H$6:$H$1005,'الحركات الشهرية'!$B$6:$B$1005,$B6,'الحركات الشهرية'!$A$6:$A$1005,$C$3))</f>
        <v>0</v>
      </c>
      <c r="S6" s="111" t="n">
        <f aca="false">IF($B6="","",SUMIFS('سجل الإجازات والحالات'!$N$6:$N$505,'سجل الإجازات والحالات'!$B$6:$B$505,$B6,'سجل الإجازات والحالات'!$O$6:$O$505,$C$3))</f>
        <v>0</v>
      </c>
      <c r="T6" s="152" t="n">
        <f aca="false">IF($B6="","",SUM(K6:N6)+SUM(P6:S6))</f>
        <v>40800</v>
      </c>
      <c r="U6" s="111" t="n">
        <f aca="false">IF($B6="","",الموظفون!$S6*IF(E6="سعودي",cfg_G_SE,cfg_G_NE)*G6/cfg_DAYS_M)</f>
        <v>3412.5</v>
      </c>
      <c r="V6" s="111" t="n">
        <f aca="false">IF($B6="","",SUMIFS('الحركات الشهرية'!$I$6:$I$1005,'الحركات الشهرية'!$B$6:$B$1005,$B6,'الحركات الشهرية'!$A$6:$A$1005,$C$3))</f>
        <v>0</v>
      </c>
      <c r="W6" s="111" t="n">
        <f aca="false">IF($B6="","",SUMIFS('الحركات الشهرية'!$J$6:$J$1005,'الحركات الشهرية'!$B$6:$B$1005,$B6,'الحركات الشهرية'!$A$6:$A$1005,$C$3))</f>
        <v>0</v>
      </c>
      <c r="X6" s="111" t="n">
        <f aca="false">IF($B6="","",SUM(U6:W6))</f>
        <v>3412.5</v>
      </c>
      <c r="Y6" s="153" t="n">
        <f aca="false">IF($B6="","",T6-X6)</f>
        <v>37387.5</v>
      </c>
      <c r="Z6" s="111" t="n">
        <f aca="false">IF($B6="","",الموظفون!$S6*IF(E6="سعودي",cfg_G_SR,cfg_G_NR)*G6/cfg_DAYS_M)</f>
        <v>4112.5</v>
      </c>
      <c r="AA6" s="111" t="n">
        <f aca="false">IF($B6="","",الموظفون!$Q6*(cfg_EOS_R1*(MIN(AH6,cfg_EOS_TH)-MIN(AI6,cfg_EOS_TH))+cfg_EOS_R2*(MAX(AH6-cfg_EOS_TH,0)-MAX(AI6-cfg_EOS_TH,0))))</f>
        <v>3210.41095890413</v>
      </c>
      <c r="AB6" s="111" t="n">
        <f aca="false">IF($B6="","",IF(الموظفون!$T6&lt;&gt;"",الموظفون!$T6,IF(AH6&gt;=cfg_LV_TH,cfg_LV_D2,cfg_LV_D1))/cfg_DAYS_Y*AJ6*الموظفون!$R6/cfg_DAYS_M)</f>
        <v>3210.41095890411</v>
      </c>
      <c r="AC6" s="111" t="n">
        <f aca="false">IF($B6="","",IF(AND(الموظفون!$U6="نعم",N(الموظفون!$W6)&gt;0),الموظفون!$V6/الموظفون!$W6*12/cfg_DAYS_Y*AJ6,0))</f>
        <v>0</v>
      </c>
      <c r="AD6" s="111" t="n">
        <f aca="false">IF($B6="","",(IF(الموظفون!$X6&lt;&gt;"",الموظفون!$X6,IF(الموظفون!$E6="غير سعودي",cfg_IQ,0))+IF(الموظفون!$Y6&lt;&gt;"",الموظفون!$Y6,IF(الموظفون!$E6="غير سعودي",cfg_WP,0)))/12*G6/cfg_DAYS_M)</f>
        <v>0</v>
      </c>
      <c r="AE6" s="111" t="n">
        <f aca="false">IF($B6="","",IF(الموظفون!$Z6&lt;&gt;"",الموظفون!$Z6,cfg_MED)/12*G6/cfg_DAYS_M)</f>
        <v>400</v>
      </c>
      <c r="AF6" s="111" t="n">
        <f aca="false">IF($B6="","",N(الموظفون!$AA6)/12*G6/cfg_DAYS_M)</f>
        <v>0</v>
      </c>
      <c r="AG6" s="154" t="n">
        <f aca="false">IF($B6="","",T6+SUM(Z6:AF6))</f>
        <v>51733.3219178082</v>
      </c>
      <c r="AH6" s="155" t="n">
        <f aca="false">IF($B6="","",MAX(0,IF(OR(الموظفون!$AE6="",الموظفون!$AE6&gt;$F$3),$F$3,الموظفون!$AE6)-الموظفون!$H6+1-SUMIFS('سجل الإجازات والحالات'!$AJ$6:$AJ$505,'سجل الإجازات والحالات'!$B$6:$B$505,$B6))/cfg_DAYS_Y)</f>
        <v>14.2191780821918</v>
      </c>
      <c r="AI6" s="155" t="n">
        <f aca="false">IF($B6="","",MAX(0,IF(OR(الموظفون!$AE6="",الموظفون!$AE6&gt;($E$3-1)),($E$3-1),الموظفون!$AE6)-الموظفون!$H6+1-SUMIFS('سجل الإجازات والحالات'!$AI$6:$AI$505,'سجل الإجازات والحالات'!$B$6:$B$505,$B6))/cfg_DAYS_Y)</f>
        <v>14.1342465753425</v>
      </c>
      <c r="AJ6" s="65" t="n">
        <f aca="false">IF($B6="","",MAX(0,AK6-(SUMIFS('سجل الإجازات والحالات'!$AJ$6:$AJ$505,'سجل الإجازات والحالات'!$B$6:$B$505,$B6)-SUMIFS('سجل الإجازات والحالات'!$AI$6:$AI$505,'سجل الإجازات والحالات'!$B$6:$B$505,$B6))))</f>
        <v>31</v>
      </c>
      <c r="AK6" s="65" t="n">
        <f aca="false">IF($B6="","",MAX(0,IF(OR(الموظفون!$AE6="",الموظفون!$AE6&gt;$F$3),$F$3,الموظفون!$AE6)-MAX($E$3,الموظفون!$H6)+1))</f>
        <v>31</v>
      </c>
      <c r="AL6" s="151" t="n">
        <f aca="false">IF($B6="","",SUMIFS('سجل الإجازات والحالات'!$AV$6:$AV$505,'سجل الإجازات والحالات'!$B$6:$B$505,$B6)+SUMIFS('الحركات الشهرية'!$K$6:$K$1005,'الحركات الشهرية'!$B$6:$B$1005,$B6,'الحركات الشهرية'!$A$6:$A$1005,$C$3))</f>
        <v>10</v>
      </c>
      <c r="AM6" s="111" t="n">
        <f aca="false">IF($B6="","",AL6*الموظفون!$R6/cfg_DAYS_M+S6)</f>
        <v>12600</v>
      </c>
      <c r="AN6" s="151" t="n">
        <f aca="false">IF($B6="","",SUMIFS('سجل الإجازات والحالات'!$X$6:$X$505,'سجل الإجازات والحالات'!$B$6:$B$505,$B6))</f>
        <v>0</v>
      </c>
    </row>
    <row r="7" customFormat="false" ht="15" hidden="false" customHeight="false" outlineLevel="0" collapsed="false">
      <c r="A7" s="115" t="n">
        <f aca="false">IF($B7="","",الموظفون!$A7)</f>
        <v>2</v>
      </c>
      <c r="B7" s="117" t="str">
        <f aca="false">IF(الموظفون!$B7="","",الموظفون!$B7)</f>
        <v>E002</v>
      </c>
      <c r="C7" s="117" t="str">
        <f aca="false">IF($B7="","",الموظفون!$C7)</f>
        <v>أحمد سعيد القحطاني</v>
      </c>
      <c r="D7" s="117" t="str">
        <f aca="false">IF($B7="","",الموظفون!$F7)</f>
        <v>المالية</v>
      </c>
      <c r="E7" s="117" t="str">
        <f aca="false">IF($B7="","",الموظفون!$E7)</f>
        <v>سعودي</v>
      </c>
      <c r="F7" s="117" t="str">
        <f aca="false">IF($B7="","",IF(AK7=0,IF(AND(الموظفون!$AE7&lt;&gt;"",الموظفون!$AE7&lt;$E$3),"✖ منتهي الخدمة","⏳ لم يباشر"),IF(S7&gt;0,"✈ راتب إجازة مقدم",IF(J7=0,"⛔ بدون راتب هذا الشهر",IF(I7&gt;0,"✈ خصم "&amp;ROUND(I7,2)&amp;" يوم بدون أجر",IF(AL7&gt;0,"🌴 إجازة سنوية "&amp;ROUND(AL7,2)&amp;" يوم",IF(H7&gt;0,"⚠ غياب "&amp;ROUND(H7,2)&amp;" يوم","✔ على رأس العمل")))))))</f>
        <v>✔ على رأس العمل</v>
      </c>
      <c r="G7" s="156" t="n">
        <f aca="false">IF($B7="","",IF(AK7&gt;=DAY($F$3),cfg_DAYS_M,MIN(AK7,cfg_DAYS_M)))</f>
        <v>30</v>
      </c>
      <c r="H7" s="156" t="n">
        <f aca="false">IF($B7="","",SUMIFS('الحركات الشهرية'!$D$6:$D$1005,'الحركات الشهرية'!$B$6:$B$1005,$B7,'الحركات الشهرية'!$A$6:$A$1005,$C$3))</f>
        <v>0</v>
      </c>
      <c r="I7" s="156" t="n">
        <f aca="false">IF($B7="","",MIN(G7,IF(AND(AK7&gt;0,AN7&gt;=AK7),G7,AN7)+SUMIFS('الحركات الشهرية'!$E$6:$E$1005,'الحركات الشهرية'!$B$6:$B$1005,$B7,'الحركات الشهرية'!$A$6:$A$1005,$C$3)))</f>
        <v>0</v>
      </c>
      <c r="J7" s="156" t="n">
        <f aca="false">IF($B7="","",MAX(0,G7-H7-I7))</f>
        <v>30</v>
      </c>
      <c r="K7" s="116" t="n">
        <f aca="false">IF($B7="","",الموظفون!$L7*$J7/cfg_DAYS_M)</f>
        <v>18000</v>
      </c>
      <c r="L7" s="116" t="n">
        <f aca="false">IF($B7="","",الموظفون!$M7*$J7/cfg_DAYS_M)</f>
        <v>4500</v>
      </c>
      <c r="M7" s="116" t="n">
        <f aca="false">IF($B7="","",الموظفون!$N7*$J7/cfg_DAYS_M)</f>
        <v>1800</v>
      </c>
      <c r="N7" s="116" t="n">
        <f aca="false">IF($B7="","",الموظفون!$O7*$J7/cfg_DAYS_M)</f>
        <v>1000</v>
      </c>
      <c r="O7" s="156" t="n">
        <f aca="false">IF($B7="","",SUMIFS('الحركات الشهرية'!$F$6:$F$1005,'الحركات الشهرية'!$B$6:$B$1005,$B7,'الحركات الشهرية'!$A$6:$A$1005,$C$3))</f>
        <v>0</v>
      </c>
      <c r="P7" s="116" t="n">
        <f aca="false">IF($B7="","",O7*(الموظفون!$P7+الموظفون!$L7*cfg_OT_P)/cfg_DAYS_M/cfg_HRS)</f>
        <v>0</v>
      </c>
      <c r="Q7" s="116" t="n">
        <f aca="false">IF($B7="","",SUMIFS('الحركات الشهرية'!$G$6:$G$1005,'الحركات الشهرية'!$B$6:$B$1005,$B7,'الحركات الشهرية'!$A$6:$A$1005,$C$3))</f>
        <v>0</v>
      </c>
      <c r="R7" s="116" t="n">
        <f aca="false">IF($B7="","",SUMIFS('الحركات الشهرية'!$H$6:$H$1005,'الحركات الشهرية'!$B$6:$B$1005,$B7,'الحركات الشهرية'!$A$6:$A$1005,$C$3))</f>
        <v>0</v>
      </c>
      <c r="S7" s="116" t="n">
        <f aca="false">IF($B7="","",SUMIFS('سجل الإجازات والحالات'!$N$6:$N$505,'سجل الإجازات والحالات'!$B$6:$B$505,$B7,'سجل الإجازات والحالات'!$O$6:$O$505,$C$3))</f>
        <v>0</v>
      </c>
      <c r="T7" s="157" t="n">
        <f aca="false">IF($B7="","",SUM(K7:N7)+SUM(P7:S7))</f>
        <v>25300</v>
      </c>
      <c r="U7" s="116" t="n">
        <f aca="false">IF($B7="","",الموظفون!$S7*IF(E7="سعودي",cfg_G_SE,cfg_G_NE)*G7/cfg_DAYS_M)</f>
        <v>2193.75</v>
      </c>
      <c r="V7" s="116" t="n">
        <f aca="false">IF($B7="","",SUMIFS('الحركات الشهرية'!$I$6:$I$1005,'الحركات الشهرية'!$B$6:$B$1005,$B7,'الحركات الشهرية'!$A$6:$A$1005,$C$3))</f>
        <v>0</v>
      </c>
      <c r="W7" s="116" t="n">
        <f aca="false">IF($B7="","",SUMIFS('الحركات الشهرية'!$J$6:$J$1005,'الحركات الشهرية'!$B$6:$B$1005,$B7,'الحركات الشهرية'!$A$6:$A$1005,$C$3))</f>
        <v>0</v>
      </c>
      <c r="X7" s="116" t="n">
        <f aca="false">IF($B7="","",SUM(U7:W7))</f>
        <v>2193.75</v>
      </c>
      <c r="Y7" s="158" t="n">
        <f aca="false">IF($B7="","",T7-X7)</f>
        <v>23106.25</v>
      </c>
      <c r="Z7" s="116" t="n">
        <f aca="false">IF($B7="","",الموظفون!$S7*IF(E7="سعودي",cfg_G_SR,cfg_G_NR)*G7/cfg_DAYS_M)</f>
        <v>2643.75</v>
      </c>
      <c r="AA7" s="116" t="n">
        <f aca="false">IF($B7="","",الموظفون!$Q7*(cfg_EOS_R1*(MIN(AH7,cfg_EOS_TH)-MIN(AI7,cfg_EOS_TH))+cfg_EOS_R2*(MAX(AH7-cfg_EOS_TH,0)-MAX(AI7-cfg_EOS_TH,0))))</f>
        <v>2063.83561643837</v>
      </c>
      <c r="AB7" s="116" t="n">
        <f aca="false">IF($B7="","",IF(الموظفون!$T7&lt;&gt;"",الموظفون!$T7,IF(AH7&gt;=cfg_LV_TH,cfg_LV_D2,cfg_LV_D1))/cfg_DAYS_Y*AJ7*الموظفون!$R7/cfg_DAYS_M)</f>
        <v>2063.83561643836</v>
      </c>
      <c r="AC7" s="116" t="n">
        <f aca="false">IF($B7="","",IF(AND(الموظفون!$U7="نعم",N(الموظفون!$W7)&gt;0),الموظفون!$V7/الموظفون!$W7*12/cfg_DAYS_Y*AJ7,0))</f>
        <v>0</v>
      </c>
      <c r="AD7" s="116" t="n">
        <f aca="false">IF($B7="","",(IF(الموظفون!$X7&lt;&gt;"",الموظفون!$X7,IF(الموظفون!$E7="غير سعودي",cfg_IQ,0))+IF(الموظفون!$Y7&lt;&gt;"",الموظفون!$Y7,IF(الموظفون!$E7="غير سعودي",cfg_WP,0)))/12*G7/cfg_DAYS_M)</f>
        <v>0</v>
      </c>
      <c r="AE7" s="116" t="n">
        <f aca="false">IF($B7="","",IF(الموظفون!$Z7&lt;&gt;"",الموظفون!$Z7,cfg_MED)/12*G7/cfg_DAYS_M)</f>
        <v>300</v>
      </c>
      <c r="AF7" s="116" t="n">
        <f aca="false">IF($B7="","",N(الموظفون!$AA7)/12*G7/cfg_DAYS_M)</f>
        <v>0</v>
      </c>
      <c r="AG7" s="159" t="n">
        <f aca="false">IF($B7="","",T7+SUM(Z7:AF7))</f>
        <v>32371.4212328767</v>
      </c>
      <c r="AH7" s="160" t="n">
        <f aca="false">IF($B7="","",MAX(0,IF(OR(الموظفون!$AE7="",الموظفون!$AE7&gt;$F$3),$F$3,الموظفون!$AE7)-الموظفون!$H7+1-SUMIFS('سجل الإجازات والحالات'!$AJ$6:$AJ$505,'سجل الإجازات والحالات'!$B$6:$B$505,$B7))/cfg_DAYS_Y)</f>
        <v>9.83835616438356</v>
      </c>
      <c r="AI7" s="160" t="n">
        <f aca="false">IF($B7="","",MAX(0,IF(OR(الموظفون!$AE7="",الموظفون!$AE7&gt;($E$3-1)),($E$3-1),الموظفون!$AE7)-الموظفون!$H7+1-SUMIFS('سجل الإجازات والحالات'!$AI$6:$AI$505,'سجل الإجازات والحالات'!$B$6:$B$505,$B7))/cfg_DAYS_Y)</f>
        <v>9.75342465753425</v>
      </c>
      <c r="AJ7" s="133" t="n">
        <f aca="false">IF($B7="","",MAX(0,AK7-(SUMIFS('سجل الإجازات والحالات'!$AJ$6:$AJ$505,'سجل الإجازات والحالات'!$B$6:$B$505,$B7)-SUMIFS('سجل الإجازات والحالات'!$AI$6:$AI$505,'سجل الإجازات والحالات'!$B$6:$B$505,$B7))))</f>
        <v>31</v>
      </c>
      <c r="AK7" s="133" t="n">
        <f aca="false">IF($B7="","",MAX(0,IF(OR(الموظفون!$AE7="",الموظفون!$AE7&gt;$F$3),$F$3,الموظفون!$AE7)-MAX($E$3,الموظفون!$H7)+1))</f>
        <v>31</v>
      </c>
      <c r="AL7" s="156" t="n">
        <f aca="false">IF($B7="","",SUMIFS('سجل الإجازات والحالات'!$AV$6:$AV$505,'سجل الإجازات والحالات'!$B$6:$B$505,$B7)+SUMIFS('الحركات الشهرية'!$K$6:$K$1005,'الحركات الشهرية'!$B$6:$B$1005,$B7,'الحركات الشهرية'!$A$6:$A$1005,$C$3))</f>
        <v>0</v>
      </c>
      <c r="AM7" s="116" t="n">
        <f aca="false">IF($B7="","",AL7*الموظفون!$R7/cfg_DAYS_M+S7)</f>
        <v>0</v>
      </c>
      <c r="AN7" s="156" t="n">
        <f aca="false">IF($B7="","",SUMIFS('سجل الإجازات والحالات'!$X$6:$X$505,'سجل الإجازات والحالات'!$B$6:$B$505,$B7))</f>
        <v>0</v>
      </c>
    </row>
    <row r="8" customFormat="false" ht="15" hidden="false" customHeight="false" outlineLevel="0" collapsed="false">
      <c r="A8" s="106" t="n">
        <f aca="false">IF($B8="","",الموظفون!$A8)</f>
        <v>3</v>
      </c>
      <c r="B8" s="114" t="str">
        <f aca="false">IF(الموظفون!$B8="","",الموظفون!$B8)</f>
        <v>E003</v>
      </c>
      <c r="C8" s="114" t="str">
        <f aca="false">IF($B8="","",الموظفون!$C8)</f>
        <v>محمد علي حسن</v>
      </c>
      <c r="D8" s="114" t="str">
        <f aca="false">IF($B8="","",الموظفون!$F8)</f>
        <v>المالية</v>
      </c>
      <c r="E8" s="114" t="str">
        <f aca="false">IF($B8="","",الموظفون!$E8)</f>
        <v>غير سعودي</v>
      </c>
      <c r="F8" s="114" t="str">
        <f aca="false">IF($B8="","",IF(AK8=0,IF(AND(الموظفون!$AE8&lt;&gt;"",الموظفون!$AE8&lt;$E$3),"✖ منتهي الخدمة","⏳ لم يباشر"),IF(S8&gt;0,"✈ راتب إجازة مقدم",IF(J8=0,"⛔ بدون راتب هذا الشهر",IF(I8&gt;0,"✈ خصم "&amp;ROUND(I8,2)&amp;" يوم بدون أجر",IF(AL8&gt;0,"🌴 إجازة سنوية "&amp;ROUND(AL8,2)&amp;" يوم",IF(H8&gt;0,"⚠ غياب "&amp;ROUND(H8,2)&amp;" يوم","✔ على رأس العمل")))))))</f>
        <v>✔ على رأس العمل</v>
      </c>
      <c r="G8" s="151" t="n">
        <f aca="false">IF($B8="","",IF(AK8&gt;=DAY($F$3),cfg_DAYS_M,MIN(AK8,cfg_DAYS_M)))</f>
        <v>30</v>
      </c>
      <c r="H8" s="151" t="n">
        <f aca="false">IF($B8="","",SUMIFS('الحركات الشهرية'!$D$6:$D$1005,'الحركات الشهرية'!$B$6:$B$1005,$B8,'الحركات الشهرية'!$A$6:$A$1005,$C$3))</f>
        <v>0</v>
      </c>
      <c r="I8" s="151" t="n">
        <f aca="false">IF($B8="","",MIN(G8,IF(AND(AK8&gt;0,AN8&gt;=AK8),G8,AN8)+SUMIFS('الحركات الشهرية'!$E$6:$E$1005,'الحركات الشهرية'!$B$6:$B$1005,$B8,'الحركات الشهرية'!$A$6:$A$1005,$C$3)))</f>
        <v>0</v>
      </c>
      <c r="J8" s="151" t="n">
        <f aca="false">IF($B8="","",MAX(0,G8-H8-I8))</f>
        <v>30</v>
      </c>
      <c r="K8" s="111" t="n">
        <f aca="false">IF($B8="","",الموظفون!$L8*$J8/cfg_DAYS_M)</f>
        <v>8500</v>
      </c>
      <c r="L8" s="111" t="n">
        <f aca="false">IF($B8="","",الموظفون!$M8*$J8/cfg_DAYS_M)</f>
        <v>2125</v>
      </c>
      <c r="M8" s="111" t="n">
        <f aca="false">IF($B8="","",الموظفون!$N8*$J8/cfg_DAYS_M)</f>
        <v>850</v>
      </c>
      <c r="N8" s="111" t="n">
        <f aca="false">IF($B8="","",الموظفون!$O8*$J8/cfg_DAYS_M)</f>
        <v>500</v>
      </c>
      <c r="O8" s="151" t="n">
        <f aca="false">IF($B8="","",SUMIFS('الحركات الشهرية'!$F$6:$F$1005,'الحركات الشهرية'!$B$6:$B$1005,$B8,'الحركات الشهرية'!$A$6:$A$1005,$C$3))</f>
        <v>0</v>
      </c>
      <c r="P8" s="111" t="n">
        <f aca="false">IF($B8="","",O8*(الموظفون!$P8+الموظفون!$L8*cfg_OT_P)/cfg_DAYS_M/cfg_HRS)</f>
        <v>0</v>
      </c>
      <c r="Q8" s="111" t="n">
        <f aca="false">IF($B8="","",SUMIFS('الحركات الشهرية'!$G$6:$G$1005,'الحركات الشهرية'!$B$6:$B$1005,$B8,'الحركات الشهرية'!$A$6:$A$1005,$C$3))</f>
        <v>0</v>
      </c>
      <c r="R8" s="111" t="n">
        <f aca="false">IF($B8="","",SUMIFS('الحركات الشهرية'!$H$6:$H$1005,'الحركات الشهرية'!$B$6:$B$1005,$B8,'الحركات الشهرية'!$A$6:$A$1005,$C$3))</f>
        <v>0</v>
      </c>
      <c r="S8" s="111" t="n">
        <f aca="false">IF($B8="","",SUMIFS('سجل الإجازات والحالات'!$N$6:$N$505,'سجل الإجازات والحالات'!$B$6:$B$505,$B8,'سجل الإجازات والحالات'!$O$6:$O$505,$C$3))</f>
        <v>0</v>
      </c>
      <c r="T8" s="152" t="n">
        <f aca="false">IF($B8="","",SUM(K8:N8)+SUM(P8:S8))</f>
        <v>11975</v>
      </c>
      <c r="U8" s="111" t="n">
        <f aca="false">IF($B8="","",الموظفون!$S8*IF(E8="سعودي",cfg_G_SE,cfg_G_NE)*G8/cfg_DAYS_M)</f>
        <v>0</v>
      </c>
      <c r="V8" s="111" t="n">
        <f aca="false">IF($B8="","",SUMIFS('الحركات الشهرية'!$I$6:$I$1005,'الحركات الشهرية'!$B$6:$B$1005,$B8,'الحركات الشهرية'!$A$6:$A$1005,$C$3))</f>
        <v>1000</v>
      </c>
      <c r="W8" s="111" t="n">
        <f aca="false">IF($B8="","",SUMIFS('الحركات الشهرية'!$J$6:$J$1005,'الحركات الشهرية'!$B$6:$B$1005,$B8,'الحركات الشهرية'!$A$6:$A$1005,$C$3))</f>
        <v>0</v>
      </c>
      <c r="X8" s="111" t="n">
        <f aca="false">IF($B8="","",SUM(U8:W8))</f>
        <v>1000</v>
      </c>
      <c r="Y8" s="153" t="n">
        <f aca="false">IF($B8="","",T8-X8)</f>
        <v>10975</v>
      </c>
      <c r="Z8" s="111" t="n">
        <f aca="false">IF($B8="","",الموظفون!$S8*IF(E8="سعودي",cfg_G_SR,cfg_G_NR)*G8/cfg_DAYS_M)</f>
        <v>212.5</v>
      </c>
      <c r="AA8" s="111" t="n">
        <f aca="false">IF($B8="","",الموظفون!$Q8*(cfg_EOS_R1*(MIN(AH8,cfg_EOS_TH)-MIN(AI8,cfg_EOS_TH))+cfg_EOS_R2*(MAX(AH8-cfg_EOS_TH,0)-MAX(AI8-cfg_EOS_TH,0))))</f>
        <v>974.589041095895</v>
      </c>
      <c r="AB8" s="111" t="n">
        <f aca="false">IF($B8="","",IF(الموظفون!$T8&lt;&gt;"",الموظفون!$T8,IF(AH8&gt;=cfg_LV_TH,cfg_LV_D2,cfg_LV_D1))/cfg_DAYS_Y*AJ8*الموظفون!$R8/cfg_DAYS_M)</f>
        <v>974.589041095891</v>
      </c>
      <c r="AC8" s="111" t="n">
        <f aca="false">IF($B8="","",IF(AND(الموظفون!$U8="نعم",N(الموظفون!$W8)&gt;0),الموظفون!$V8/الموظفون!$W8*12/cfg_DAYS_Y*AJ8,0))</f>
        <v>135.890410958904</v>
      </c>
      <c r="AD8" s="111" t="n">
        <f aca="false">IF($B8="","",(IF(الموظفون!$X8&lt;&gt;"",الموظفون!$X8,IF(الموظفون!$E8="غير سعودي",cfg_IQ,0))+IF(الموظفون!$Y8&lt;&gt;"",الموظفون!$Y8,IF(الموظفون!$E8="غير سعودي",cfg_WP,0)))/12*G8/cfg_DAYS_M)</f>
        <v>854.166666666667</v>
      </c>
      <c r="AE8" s="111" t="n">
        <f aca="false">IF($B8="","",IF(الموظفون!$Z8&lt;&gt;"",الموظفون!$Z8,cfg_MED)/12*G8/cfg_DAYS_M)</f>
        <v>200</v>
      </c>
      <c r="AF8" s="111" t="n">
        <f aca="false">IF($B8="","",N(الموظفون!$AA8)/12*G8/cfg_DAYS_M)</f>
        <v>0</v>
      </c>
      <c r="AG8" s="154" t="n">
        <f aca="false">IF($B8="","",T8+SUM(Z8:AF8))</f>
        <v>15326.7351598174</v>
      </c>
      <c r="AH8" s="155" t="n">
        <f aca="false">IF($B8="","",MAX(0,IF(OR(الموظفون!$AE8="",الموظفون!$AE8&gt;$F$3),$F$3,الموظفون!$AE8)-الموظفون!$H8+1-SUMIFS('سجل الإجازات والحالات'!$AJ$6:$AJ$505,'سجل الإجازات والحالات'!$B$6:$B$505,$B8))/cfg_DAYS_Y)</f>
        <v>7.56164383561644</v>
      </c>
      <c r="AI8" s="155" t="n">
        <f aca="false">IF($B8="","",MAX(0,IF(OR(الموظفون!$AE8="",الموظفون!$AE8&gt;($E$3-1)),($E$3-1),الموظفون!$AE8)-الموظفون!$H8+1-SUMIFS('سجل الإجازات والحالات'!$AI$6:$AI$505,'سجل الإجازات والحالات'!$B$6:$B$505,$B8))/cfg_DAYS_Y)</f>
        <v>7.47671232876712</v>
      </c>
      <c r="AJ8" s="65" t="n">
        <f aca="false">IF($B8="","",MAX(0,AK8-(SUMIFS('سجل الإجازات والحالات'!$AJ$6:$AJ$505,'سجل الإجازات والحالات'!$B$6:$B$505,$B8)-SUMIFS('سجل الإجازات والحالات'!$AI$6:$AI$505,'سجل الإجازات والحالات'!$B$6:$B$505,$B8))))</f>
        <v>31</v>
      </c>
      <c r="AK8" s="65" t="n">
        <f aca="false">IF($B8="","",MAX(0,IF(OR(الموظفون!$AE8="",الموظفون!$AE8&gt;$F$3),$F$3,الموظفون!$AE8)-MAX($E$3,الموظفون!$H8)+1))</f>
        <v>31</v>
      </c>
      <c r="AL8" s="151" t="n">
        <f aca="false">IF($B8="","",SUMIFS('سجل الإجازات والحالات'!$AV$6:$AV$505,'سجل الإجازات والحالات'!$B$6:$B$505,$B8)+SUMIFS('الحركات الشهرية'!$K$6:$K$1005,'الحركات الشهرية'!$B$6:$B$1005,$B8,'الحركات الشهرية'!$A$6:$A$1005,$C$3))</f>
        <v>0</v>
      </c>
      <c r="AM8" s="111" t="n">
        <f aca="false">IF($B8="","",AL8*الموظفون!$R8/cfg_DAYS_M+S8)</f>
        <v>0</v>
      </c>
      <c r="AN8" s="151" t="n">
        <f aca="false">IF($B8="","",SUMIFS('سجل الإجازات والحالات'!$X$6:$X$505,'سجل الإجازات والحالات'!$B$6:$B$505,$B8))</f>
        <v>0</v>
      </c>
    </row>
    <row r="9" customFormat="false" ht="15" hidden="false" customHeight="false" outlineLevel="0" collapsed="false">
      <c r="A9" s="115" t="n">
        <f aca="false">IF($B9="","",الموظفون!$A9)</f>
        <v>4</v>
      </c>
      <c r="B9" s="117" t="str">
        <f aca="false">IF(الموظفون!$B9="","",الموظفون!$B9)</f>
        <v>E004</v>
      </c>
      <c r="C9" s="117" t="str">
        <f aca="false">IF($B9="","",الموظفون!$C9)</f>
        <v>نورة خالد الدوسري</v>
      </c>
      <c r="D9" s="117" t="str">
        <f aca="false">IF($B9="","",الموظفون!$F9)</f>
        <v>الموارد البشرية</v>
      </c>
      <c r="E9" s="117" t="str">
        <f aca="false">IF($B9="","",الموظفون!$E9)</f>
        <v>سعودي</v>
      </c>
      <c r="F9" s="117" t="str">
        <f aca="false">IF($B9="","",IF(AK9=0,IF(AND(الموظفون!$AE9&lt;&gt;"",الموظفون!$AE9&lt;$E$3),"✖ منتهي الخدمة","⏳ لم يباشر"),IF(S9&gt;0,"✈ راتب إجازة مقدم",IF(J9=0,"⛔ بدون راتب هذا الشهر",IF(I9&gt;0,"✈ خصم "&amp;ROUND(I9,2)&amp;" يوم بدون أجر",IF(AL9&gt;0,"🌴 إجازة سنوية "&amp;ROUND(AL9,2)&amp;" يوم",IF(H9&gt;0,"⚠ غياب "&amp;ROUND(H9,2)&amp;" يوم","✔ على رأس العمل")))))))</f>
        <v>✔ على رأس العمل</v>
      </c>
      <c r="G9" s="156" t="n">
        <f aca="false">IF($B9="","",IF(AK9&gt;=DAY($F$3),cfg_DAYS_M,MIN(AK9,cfg_DAYS_M)))</f>
        <v>30</v>
      </c>
      <c r="H9" s="156" t="n">
        <f aca="false">IF($B9="","",SUMIFS('الحركات الشهرية'!$D$6:$D$1005,'الحركات الشهرية'!$B$6:$B$1005,$B9,'الحركات الشهرية'!$A$6:$A$1005,$C$3))</f>
        <v>0</v>
      </c>
      <c r="I9" s="156" t="n">
        <f aca="false">IF($B9="","",MIN(G9,IF(AND(AK9&gt;0,AN9&gt;=AK9),G9,AN9)+SUMIFS('الحركات الشهرية'!$E$6:$E$1005,'الحركات الشهرية'!$B$6:$B$1005,$B9,'الحركات الشهرية'!$A$6:$A$1005,$C$3)))</f>
        <v>0</v>
      </c>
      <c r="J9" s="156" t="n">
        <f aca="false">IF($B9="","",MAX(0,G9-H9-I9))</f>
        <v>30</v>
      </c>
      <c r="K9" s="116" t="n">
        <f aca="false">IF($B9="","",الموظفون!$L9*$J9/cfg_DAYS_M)</f>
        <v>14000</v>
      </c>
      <c r="L9" s="116" t="n">
        <f aca="false">IF($B9="","",الموظفون!$M9*$J9/cfg_DAYS_M)</f>
        <v>3500</v>
      </c>
      <c r="M9" s="116" t="n">
        <f aca="false">IF($B9="","",الموظفون!$N9*$J9/cfg_DAYS_M)</f>
        <v>1400</v>
      </c>
      <c r="N9" s="116" t="n">
        <f aca="false">IF($B9="","",الموظفون!$O9*$J9/cfg_DAYS_M)</f>
        <v>0</v>
      </c>
      <c r="O9" s="156" t="n">
        <f aca="false">IF($B9="","",SUMIFS('الحركات الشهرية'!$F$6:$F$1005,'الحركات الشهرية'!$B$6:$B$1005,$B9,'الحركات الشهرية'!$A$6:$A$1005,$C$3))</f>
        <v>0</v>
      </c>
      <c r="P9" s="116" t="n">
        <f aca="false">IF($B9="","",O9*(الموظفون!$P9+الموظفون!$L9*cfg_OT_P)/cfg_DAYS_M/cfg_HRS)</f>
        <v>0</v>
      </c>
      <c r="Q9" s="116" t="n">
        <f aca="false">IF($B9="","",SUMIFS('الحركات الشهرية'!$G$6:$G$1005,'الحركات الشهرية'!$B$6:$B$1005,$B9,'الحركات الشهرية'!$A$6:$A$1005,$C$3))</f>
        <v>0</v>
      </c>
      <c r="R9" s="116" t="n">
        <f aca="false">IF($B9="","",SUMIFS('الحركات الشهرية'!$H$6:$H$1005,'الحركات الشهرية'!$B$6:$B$1005,$B9,'الحركات الشهرية'!$A$6:$A$1005,$C$3))</f>
        <v>0</v>
      </c>
      <c r="S9" s="116" t="n">
        <f aca="false">IF($B9="","",SUMIFS('سجل الإجازات والحالات'!$N$6:$N$505,'سجل الإجازات والحالات'!$B$6:$B$505,$B9,'سجل الإجازات والحالات'!$O$6:$O$505,$C$3))</f>
        <v>0</v>
      </c>
      <c r="T9" s="157" t="n">
        <f aca="false">IF($B9="","",SUM(K9:N9)+SUM(P9:S9))</f>
        <v>18900</v>
      </c>
      <c r="U9" s="116" t="n">
        <f aca="false">IF($B9="","",الموظفون!$S9*IF(E9="سعودي",cfg_G_SE,cfg_G_NE)*G9/cfg_DAYS_M)</f>
        <v>1706.25</v>
      </c>
      <c r="V9" s="116" t="n">
        <f aca="false">IF($B9="","",SUMIFS('الحركات الشهرية'!$I$6:$I$1005,'الحركات الشهرية'!$B$6:$B$1005,$B9,'الحركات الشهرية'!$A$6:$A$1005,$C$3))</f>
        <v>0</v>
      </c>
      <c r="W9" s="116" t="n">
        <f aca="false">IF($B9="","",SUMIFS('الحركات الشهرية'!$J$6:$J$1005,'الحركات الشهرية'!$B$6:$B$1005,$B9,'الحركات الشهرية'!$A$6:$A$1005,$C$3))</f>
        <v>0</v>
      </c>
      <c r="X9" s="116" t="n">
        <f aca="false">IF($B9="","",SUM(U9:W9))</f>
        <v>1706.25</v>
      </c>
      <c r="Y9" s="158" t="n">
        <f aca="false">IF($B9="","",T9-X9)</f>
        <v>17193.75</v>
      </c>
      <c r="Z9" s="116" t="n">
        <f aca="false">IF($B9="","",الموظفون!$S9*IF(E9="سعودي",cfg_G_SR,cfg_G_NR)*G9/cfg_DAYS_M)</f>
        <v>2056.25</v>
      </c>
      <c r="AA9" s="116" t="n">
        <f aca="false">IF($B9="","",الموظفون!$Q9*(cfg_EOS_R1*(MIN(AH9,cfg_EOS_TH)-MIN(AI9,cfg_EOS_TH))+cfg_EOS_R2*(MAX(AH9-cfg_EOS_TH,0)-MAX(AI9-cfg_EOS_TH,0))))</f>
        <v>1605.20547945205</v>
      </c>
      <c r="AB9" s="116" t="n">
        <f aca="false">IF($B9="","",IF(الموظفون!$T9&lt;&gt;"",الموظفون!$T9,IF(AH9&gt;=cfg_LV_TH,cfg_LV_D2,cfg_LV_D1))/cfg_DAYS_Y*AJ9*الموظفون!$R9/cfg_DAYS_M)</f>
        <v>1605.20547945205</v>
      </c>
      <c r="AC9" s="116" t="n">
        <f aca="false">IF($B9="","",IF(AND(الموظفون!$U9="نعم",N(الموظفون!$W9)&gt;0),الموظفون!$V9/الموظفون!$W9*12/cfg_DAYS_Y*AJ9,0))</f>
        <v>0</v>
      </c>
      <c r="AD9" s="116" t="n">
        <f aca="false">IF($B9="","",(IF(الموظفون!$X9&lt;&gt;"",الموظفون!$X9,IF(الموظفون!$E9="غير سعودي",cfg_IQ,0))+IF(الموظفون!$Y9&lt;&gt;"",الموظفون!$Y9,IF(الموظفون!$E9="غير سعودي",cfg_WP,0)))/12*G9/cfg_DAYS_M)</f>
        <v>0</v>
      </c>
      <c r="AE9" s="116" t="n">
        <f aca="false">IF($B9="","",IF(الموظفون!$Z9&lt;&gt;"",الموظفون!$Z9,cfg_MED)/12*G9/cfg_DAYS_M)</f>
        <v>300</v>
      </c>
      <c r="AF9" s="116" t="n">
        <f aca="false">IF($B9="","",N(الموظفون!$AA9)/12*G9/cfg_DAYS_M)</f>
        <v>0</v>
      </c>
      <c r="AG9" s="159" t="n">
        <f aca="false">IF($B9="","",T9+SUM(Z9:AF9))</f>
        <v>24466.6609589041</v>
      </c>
      <c r="AH9" s="160" t="n">
        <f aca="false">IF($B9="","",MAX(0,IF(OR(الموظفون!$AE9="",الموظفون!$AE9&gt;$F$3),$F$3,الموظفون!$AE9)-الموظفون!$H9+1-SUMIFS('سجل الإجازات والحالات'!$AJ$6:$AJ$505,'سجل الإجازات والحالات'!$B$6:$B$505,$B9))/cfg_DAYS_Y)</f>
        <v>7.16712328767123</v>
      </c>
      <c r="AI9" s="160" t="n">
        <f aca="false">IF($B9="","",MAX(0,IF(OR(الموظفون!$AE9="",الموظفون!$AE9&gt;($E$3-1)),($E$3-1),الموظفون!$AE9)-الموظفون!$H9+1-SUMIFS('سجل الإجازات والحالات'!$AI$6:$AI$505,'سجل الإجازات والحالات'!$B$6:$B$505,$B9))/cfg_DAYS_Y)</f>
        <v>7.08219178082192</v>
      </c>
      <c r="AJ9" s="133" t="n">
        <f aca="false">IF($B9="","",MAX(0,AK9-(SUMIFS('سجل الإجازات والحالات'!$AJ$6:$AJ$505,'سجل الإجازات والحالات'!$B$6:$B$505,$B9)-SUMIFS('سجل الإجازات والحالات'!$AI$6:$AI$505,'سجل الإجازات والحالات'!$B$6:$B$505,$B9))))</f>
        <v>31</v>
      </c>
      <c r="AK9" s="133" t="n">
        <f aca="false">IF($B9="","",MAX(0,IF(OR(الموظفون!$AE9="",الموظفون!$AE9&gt;$F$3),$F$3,الموظفون!$AE9)-MAX($E$3,الموظفون!$H9)+1))</f>
        <v>31</v>
      </c>
      <c r="AL9" s="156" t="n">
        <f aca="false">IF($B9="","",SUMIFS('سجل الإجازات والحالات'!$AV$6:$AV$505,'سجل الإجازات والحالات'!$B$6:$B$505,$B9)+SUMIFS('الحركات الشهرية'!$K$6:$K$1005,'الحركات الشهرية'!$B$6:$B$1005,$B9,'الحركات الشهرية'!$A$6:$A$1005,$C$3))</f>
        <v>0</v>
      </c>
      <c r="AM9" s="116" t="n">
        <f aca="false">IF($B9="","",AL9*الموظفون!$R9/cfg_DAYS_M+S9)</f>
        <v>0</v>
      </c>
      <c r="AN9" s="156" t="n">
        <f aca="false">IF($B9="","",SUMIFS('سجل الإجازات والحالات'!$X$6:$X$505,'سجل الإجازات والحالات'!$B$6:$B$505,$B9))</f>
        <v>0</v>
      </c>
    </row>
    <row r="10" customFormat="false" ht="15" hidden="false" customHeight="false" outlineLevel="0" collapsed="false">
      <c r="A10" s="106" t="n">
        <f aca="false">IF($B10="","",الموظفون!$A10)</f>
        <v>5</v>
      </c>
      <c r="B10" s="114" t="str">
        <f aca="false">IF(الموظفون!$B10="","",الموظفون!$B10)</f>
        <v>E005</v>
      </c>
      <c r="C10" s="114" t="str">
        <f aca="false">IF($B10="","",الموظفون!$C10)</f>
        <v>راجيش كومار</v>
      </c>
      <c r="D10" s="114" t="str">
        <f aca="false">IF($B10="","",الموظفون!$F10)</f>
        <v>تقنية المعلومات</v>
      </c>
      <c r="E10" s="114" t="str">
        <f aca="false">IF($B10="","",الموظفون!$E10)</f>
        <v>غير سعودي</v>
      </c>
      <c r="F10" s="114" t="str">
        <f aca="false">IF($B10="","",IF(AK10=0,IF(AND(الموظفون!$AE10&lt;&gt;"",الموظفون!$AE10&lt;$E$3),"✖ منتهي الخدمة","⏳ لم يباشر"),IF(S10&gt;0,"✈ راتب إجازة مقدم",IF(J10=0,"⛔ بدون راتب هذا الشهر",IF(I10&gt;0,"✈ خصم "&amp;ROUND(I10,2)&amp;" يوم بدون أجر",IF(AL10&gt;0,"🌴 إجازة سنوية "&amp;ROUND(AL10,2)&amp;" يوم",IF(H10&gt;0,"⚠ غياب "&amp;ROUND(H10,2)&amp;" يوم","✔ على رأس العمل")))))))</f>
        <v>✔ على رأس العمل</v>
      </c>
      <c r="G10" s="151" t="n">
        <f aca="false">IF($B10="","",IF(AK10&gt;=DAY($F$3),cfg_DAYS_M,MIN(AK10,cfg_DAYS_M)))</f>
        <v>30</v>
      </c>
      <c r="H10" s="151" t="n">
        <f aca="false">IF($B10="","",SUMIFS('الحركات الشهرية'!$D$6:$D$1005,'الحركات الشهرية'!$B$6:$B$1005,$B10,'الحركات الشهرية'!$A$6:$A$1005,$C$3))</f>
        <v>0</v>
      </c>
      <c r="I10" s="151" t="n">
        <f aca="false">IF($B10="","",MIN(G10,IF(AND(AK10&gt;0,AN10&gt;=AK10),G10,AN10)+SUMIFS('الحركات الشهرية'!$E$6:$E$1005,'الحركات الشهرية'!$B$6:$B$1005,$B10,'الحركات الشهرية'!$A$6:$A$1005,$C$3)))</f>
        <v>0</v>
      </c>
      <c r="J10" s="151" t="n">
        <f aca="false">IF($B10="","",MAX(0,G10-H10-I10))</f>
        <v>30</v>
      </c>
      <c r="K10" s="111" t="n">
        <f aca="false">IF($B10="","",الموظفون!$L10*$J10/cfg_DAYS_M)</f>
        <v>9000</v>
      </c>
      <c r="L10" s="111" t="n">
        <f aca="false">IF($B10="","",الموظفون!$M10*$J10/cfg_DAYS_M)</f>
        <v>2250</v>
      </c>
      <c r="M10" s="111" t="n">
        <f aca="false">IF($B10="","",الموظفون!$N10*$J10/cfg_DAYS_M)</f>
        <v>900</v>
      </c>
      <c r="N10" s="111" t="n">
        <f aca="false">IF($B10="","",الموظفون!$O10*$J10/cfg_DAYS_M)</f>
        <v>700</v>
      </c>
      <c r="O10" s="151" t="n">
        <f aca="false">IF($B10="","",SUMIFS('الحركات الشهرية'!$F$6:$F$1005,'الحركات الشهرية'!$B$6:$B$1005,$B10,'الحركات الشهرية'!$A$6:$A$1005,$C$3))</f>
        <v>0</v>
      </c>
      <c r="P10" s="111" t="n">
        <f aca="false">IF($B10="","",O10*(الموظفون!$P10+الموظفون!$L10*cfg_OT_P)/cfg_DAYS_M/cfg_HRS)</f>
        <v>0</v>
      </c>
      <c r="Q10" s="111" t="n">
        <f aca="false">IF($B10="","",SUMIFS('الحركات الشهرية'!$G$6:$G$1005,'الحركات الشهرية'!$B$6:$B$1005,$B10,'الحركات الشهرية'!$A$6:$A$1005,$C$3))</f>
        <v>0</v>
      </c>
      <c r="R10" s="111" t="n">
        <f aca="false">IF($B10="","",SUMIFS('الحركات الشهرية'!$H$6:$H$1005,'الحركات الشهرية'!$B$6:$B$1005,$B10,'الحركات الشهرية'!$A$6:$A$1005,$C$3))</f>
        <v>0</v>
      </c>
      <c r="S10" s="111" t="n">
        <f aca="false">IF($B10="","",SUMIFS('سجل الإجازات والحالات'!$N$6:$N$505,'سجل الإجازات والحالات'!$B$6:$B$505,$B10,'سجل الإجازات والحالات'!$O$6:$O$505,$C$3))</f>
        <v>0</v>
      </c>
      <c r="T10" s="152" t="n">
        <f aca="false">IF($B10="","",SUM(K10:N10)+SUM(P10:S10))</f>
        <v>12850</v>
      </c>
      <c r="U10" s="111" t="n">
        <f aca="false">IF($B10="","",الموظفون!$S10*IF(E10="سعودي",cfg_G_SE,cfg_G_NE)*G10/cfg_DAYS_M)</f>
        <v>0</v>
      </c>
      <c r="V10" s="111" t="n">
        <f aca="false">IF($B10="","",SUMIFS('الحركات الشهرية'!$I$6:$I$1005,'الحركات الشهرية'!$B$6:$B$1005,$B10,'الحركات الشهرية'!$A$6:$A$1005,$C$3))</f>
        <v>0</v>
      </c>
      <c r="W10" s="111" t="n">
        <f aca="false">IF($B10="","",SUMIFS('الحركات الشهرية'!$J$6:$J$1005,'الحركات الشهرية'!$B$6:$B$1005,$B10,'الحركات الشهرية'!$A$6:$A$1005,$C$3))</f>
        <v>0</v>
      </c>
      <c r="X10" s="111" t="n">
        <f aca="false">IF($B10="","",SUM(U10:W10))</f>
        <v>0</v>
      </c>
      <c r="Y10" s="153" t="n">
        <f aca="false">IF($B10="","",T10-X10)</f>
        <v>12850</v>
      </c>
      <c r="Z10" s="111" t="n">
        <f aca="false">IF($B10="","",الموظفون!$S10*IF(E10="سعودي",cfg_G_SR,cfg_G_NR)*G10/cfg_DAYS_M)</f>
        <v>225</v>
      </c>
      <c r="AA10" s="111" t="n">
        <f aca="false">IF($B10="","",الموظفون!$Q10*(cfg_EOS_R1*(MIN(AH10,cfg_EOS_TH)-MIN(AI10,cfg_EOS_TH))+cfg_EOS_R2*(MAX(AH10-cfg_EOS_TH,0)-MAX(AI10-cfg_EOS_TH,0))))</f>
        <v>1031.91780821917</v>
      </c>
      <c r="AB10" s="111" t="n">
        <f aca="false">IF($B10="","",IF(الموظفون!$T10&lt;&gt;"",الموظفون!$T10,IF(AH10&gt;=cfg_LV_TH,cfg_LV_D2,cfg_LV_D1))/cfg_DAYS_Y*AJ10*الموظفون!$R10/cfg_DAYS_M)</f>
        <v>1031.91780821918</v>
      </c>
      <c r="AC10" s="111" t="n">
        <f aca="false">IF($B10="","",IF(AND(الموظفون!$U10="نعم",N(الموظفون!$W10)&gt;0),الموظفون!$V10/الموظفون!$W10*12/cfg_DAYS_Y*AJ10,0))</f>
        <v>237.808219178082</v>
      </c>
      <c r="AD10" s="111" t="n">
        <f aca="false">IF($B10="","",(IF(الموظفون!$X10&lt;&gt;"",الموظفون!$X10,IF(الموظفون!$E10="غير سعودي",cfg_IQ,0))+IF(الموظفون!$Y10&lt;&gt;"",الموظفون!$Y10,IF(الموظفون!$E10="غير سعودي",cfg_WP,0)))/12*G10/cfg_DAYS_M)</f>
        <v>854.166666666667</v>
      </c>
      <c r="AE10" s="111" t="n">
        <f aca="false">IF($B10="","",IF(الموظفون!$Z10&lt;&gt;"",الموظفون!$Z10,cfg_MED)/12*G10/cfg_DAYS_M)</f>
        <v>200</v>
      </c>
      <c r="AF10" s="111" t="n">
        <f aca="false">IF($B10="","",N(الموظفون!$AA10)/12*G10/cfg_DAYS_M)</f>
        <v>0</v>
      </c>
      <c r="AG10" s="154" t="n">
        <f aca="false">IF($B10="","",T10+SUM(Z10:AF10))</f>
        <v>16430.8105022831</v>
      </c>
      <c r="AH10" s="155" t="n">
        <f aca="false">IF($B10="","",MAX(0,IF(OR(الموظفون!$AE10="",الموظفون!$AE10&gt;$F$3),$F$3,الموظفون!$AE10)-الموظفون!$H10+1-SUMIFS('سجل الإجازات والحالات'!$AJ$6:$AJ$505,'سجل الإجازات والحالات'!$B$6:$B$505,$B10))/cfg_DAYS_Y)</f>
        <v>5.97260273972603</v>
      </c>
      <c r="AI10" s="155" t="n">
        <f aca="false">IF($B10="","",MAX(0,IF(OR(الموظفون!$AE10="",الموظفون!$AE10&gt;($E$3-1)),($E$3-1),الموظفون!$AE10)-الموظفون!$H10+1-SUMIFS('سجل الإجازات والحالات'!$AI$6:$AI$505,'سجل الإجازات والحالات'!$B$6:$B$505,$B10))/cfg_DAYS_Y)</f>
        <v>5.88767123287671</v>
      </c>
      <c r="AJ10" s="65" t="n">
        <f aca="false">IF($B10="","",MAX(0,AK10-(SUMIFS('سجل الإجازات والحالات'!$AJ$6:$AJ$505,'سجل الإجازات والحالات'!$B$6:$B$505,$B10)-SUMIFS('سجل الإجازات والحالات'!$AI$6:$AI$505,'سجل الإجازات والحالات'!$B$6:$B$505,$B10))))</f>
        <v>31</v>
      </c>
      <c r="AK10" s="65" t="n">
        <f aca="false">IF($B10="","",MAX(0,IF(OR(الموظفون!$AE10="",الموظفون!$AE10&gt;$F$3),$F$3,الموظفون!$AE10)-MAX($E$3,الموظفون!$H10)+1))</f>
        <v>31</v>
      </c>
      <c r="AL10" s="151" t="n">
        <f aca="false">IF($B10="","",SUMIFS('سجل الإجازات والحالات'!$AV$6:$AV$505,'سجل الإجازات والحالات'!$B$6:$B$505,$B10)+SUMIFS('الحركات الشهرية'!$K$6:$K$1005,'الحركات الشهرية'!$B$6:$B$1005,$B10,'الحركات الشهرية'!$A$6:$A$1005,$C$3))</f>
        <v>0</v>
      </c>
      <c r="AM10" s="111" t="n">
        <f aca="false">IF($B10="","",AL10*الموظفون!$R10/cfg_DAYS_M+S10)</f>
        <v>0</v>
      </c>
      <c r="AN10" s="151" t="n">
        <f aca="false">IF($B10="","",SUMIFS('سجل الإجازات والحالات'!$X$6:$X$505,'سجل الإجازات والحالات'!$B$6:$B$505,$B10))</f>
        <v>0</v>
      </c>
    </row>
    <row r="11" customFormat="false" ht="15" hidden="false" customHeight="false" outlineLevel="0" collapsed="false">
      <c r="A11" s="115" t="n">
        <f aca="false">IF($B11="","",الموظفون!$A11)</f>
        <v>6</v>
      </c>
      <c r="B11" s="117" t="str">
        <f aca="false">IF(الموظفون!$B11="","",الموظفون!$B11)</f>
        <v>E006</v>
      </c>
      <c r="C11" s="117" t="str">
        <f aca="false">IF($B11="","",الموظفون!$C11)</f>
        <v>فهد ناصر الشمري</v>
      </c>
      <c r="D11" s="117" t="str">
        <f aca="false">IF($B11="","",الموظفون!$F11)</f>
        <v>المبيعات</v>
      </c>
      <c r="E11" s="117" t="str">
        <f aca="false">IF($B11="","",الموظفون!$E11)</f>
        <v>سعودي</v>
      </c>
      <c r="F11" s="117" t="str">
        <f aca="false">IF($B11="","",IF(AK11=0,IF(AND(الموظفون!$AE11&lt;&gt;"",الموظفون!$AE11&lt;$E$3),"✖ منتهي الخدمة","⏳ لم يباشر"),IF(S11&gt;0,"✈ راتب إجازة مقدم",IF(J11=0,"⛔ بدون راتب هذا الشهر",IF(I11&gt;0,"✈ خصم "&amp;ROUND(I11,2)&amp;" يوم بدون أجر",IF(AL11&gt;0,"🌴 إجازة سنوية "&amp;ROUND(AL11,2)&amp;" يوم",IF(H11&gt;0,"⚠ غياب "&amp;ROUND(H11,2)&amp;" يوم","✔ على رأس العمل")))))))</f>
        <v>✔ على رأس العمل</v>
      </c>
      <c r="G11" s="156" t="n">
        <f aca="false">IF($B11="","",IF(AK11&gt;=DAY($F$3),cfg_DAYS_M,MIN(AK11,cfg_DAYS_M)))</f>
        <v>30</v>
      </c>
      <c r="H11" s="156" t="n">
        <f aca="false">IF($B11="","",SUMIFS('الحركات الشهرية'!$D$6:$D$1005,'الحركات الشهرية'!$B$6:$B$1005,$B11,'الحركات الشهرية'!$A$6:$A$1005,$C$3))</f>
        <v>0</v>
      </c>
      <c r="I11" s="156" t="n">
        <f aca="false">IF($B11="","",MIN(G11,IF(AND(AK11&gt;0,AN11&gt;=AK11),G11,AN11)+SUMIFS('الحركات الشهرية'!$E$6:$E$1005,'الحركات الشهرية'!$B$6:$B$1005,$B11,'الحركات الشهرية'!$A$6:$A$1005,$C$3)))</f>
        <v>0</v>
      </c>
      <c r="J11" s="156" t="n">
        <f aca="false">IF($B11="","",MAX(0,G11-H11-I11))</f>
        <v>30</v>
      </c>
      <c r="K11" s="116" t="n">
        <f aca="false">IF($B11="","",الموظفون!$L11*$J11/cfg_DAYS_M)</f>
        <v>13000</v>
      </c>
      <c r="L11" s="116" t="n">
        <f aca="false">IF($B11="","",الموظفون!$M11*$J11/cfg_DAYS_M)</f>
        <v>3250</v>
      </c>
      <c r="M11" s="116" t="n">
        <f aca="false">IF($B11="","",الموظفون!$N11*$J11/cfg_DAYS_M)</f>
        <v>1300</v>
      </c>
      <c r="N11" s="116" t="n">
        <f aca="false">IF($B11="","",الموظفون!$O11*$J11/cfg_DAYS_M)</f>
        <v>2500</v>
      </c>
      <c r="O11" s="156" t="n">
        <f aca="false">IF($B11="","",SUMIFS('الحركات الشهرية'!$F$6:$F$1005,'الحركات الشهرية'!$B$6:$B$1005,$B11,'الحركات الشهرية'!$A$6:$A$1005,$C$3))</f>
        <v>0</v>
      </c>
      <c r="P11" s="116" t="n">
        <f aca="false">IF($B11="","",O11*(الموظفون!$P11+الموظفون!$L11*cfg_OT_P)/cfg_DAYS_M/cfg_HRS)</f>
        <v>0</v>
      </c>
      <c r="Q11" s="116" t="n">
        <f aca="false">IF($B11="","",SUMIFS('الحركات الشهرية'!$G$6:$G$1005,'الحركات الشهرية'!$B$6:$B$1005,$B11,'الحركات الشهرية'!$A$6:$A$1005,$C$3))</f>
        <v>0</v>
      </c>
      <c r="R11" s="116" t="n">
        <f aca="false">IF($B11="","",SUMIFS('الحركات الشهرية'!$H$6:$H$1005,'الحركات الشهرية'!$B$6:$B$1005,$B11,'الحركات الشهرية'!$A$6:$A$1005,$C$3))</f>
        <v>0</v>
      </c>
      <c r="S11" s="116" t="n">
        <f aca="false">IF($B11="","",SUMIFS('سجل الإجازات والحالات'!$N$6:$N$505,'سجل الإجازات والحالات'!$B$6:$B$505,$B11,'سجل الإجازات والحالات'!$O$6:$O$505,$C$3))</f>
        <v>0</v>
      </c>
      <c r="T11" s="157" t="n">
        <f aca="false">IF($B11="","",SUM(K11:N11)+SUM(P11:S11))</f>
        <v>20050</v>
      </c>
      <c r="U11" s="116" t="n">
        <f aca="false">IF($B11="","",الموظفون!$S11*IF(E11="سعودي",cfg_G_SE,cfg_G_NE)*G11/cfg_DAYS_M)</f>
        <v>1584.375</v>
      </c>
      <c r="V11" s="116" t="n">
        <f aca="false">IF($B11="","",SUMIFS('الحركات الشهرية'!$I$6:$I$1005,'الحركات الشهرية'!$B$6:$B$1005,$B11,'الحركات الشهرية'!$A$6:$A$1005,$C$3))</f>
        <v>0</v>
      </c>
      <c r="W11" s="116" t="n">
        <f aca="false">IF($B11="","",SUMIFS('الحركات الشهرية'!$J$6:$J$1005,'الحركات الشهرية'!$B$6:$B$1005,$B11,'الحركات الشهرية'!$A$6:$A$1005,$C$3))</f>
        <v>0</v>
      </c>
      <c r="X11" s="116" t="n">
        <f aca="false">IF($B11="","",SUM(U11:W11))</f>
        <v>1584.375</v>
      </c>
      <c r="Y11" s="158" t="n">
        <f aca="false">IF($B11="","",T11-X11)</f>
        <v>18465.625</v>
      </c>
      <c r="Z11" s="116" t="n">
        <f aca="false">IF($B11="","",الموظفون!$S11*IF(E11="سعودي",cfg_G_SR,cfg_G_NR)*G11/cfg_DAYS_M)</f>
        <v>1909.375</v>
      </c>
      <c r="AA11" s="116" t="n">
        <f aca="false">IF($B11="","",الموظفون!$Q11*(cfg_EOS_R1*(MIN(AH11,cfg_EOS_TH)-MIN(AI11,cfg_EOS_TH))+cfg_EOS_R2*(MAX(AH11-cfg_EOS_TH,0)-MAX(AI11-cfg_EOS_TH,0))))</f>
        <v>1490.54794520549</v>
      </c>
      <c r="AB11" s="116" t="n">
        <f aca="false">IF($B11="","",IF(الموظفون!$T11&lt;&gt;"",الموظفون!$T11,IF(AH11&gt;=cfg_LV_TH,cfg_LV_D2,cfg_LV_D1))/cfg_DAYS_Y*AJ11*الموظفون!$R11/cfg_DAYS_M)</f>
        <v>1490.54794520548</v>
      </c>
      <c r="AC11" s="116" t="n">
        <f aca="false">IF($B11="","",IF(AND(الموظفون!$U11="نعم",N(الموظفون!$W11)&gt;0),الموظفون!$V11/الموظفون!$W11*12/cfg_DAYS_Y*AJ11,0))</f>
        <v>0</v>
      </c>
      <c r="AD11" s="116" t="n">
        <f aca="false">IF($B11="","",(IF(الموظفون!$X11&lt;&gt;"",الموظفون!$X11,IF(الموظفون!$E11="غير سعودي",cfg_IQ,0))+IF(الموظفون!$Y11&lt;&gt;"",الموظفون!$Y11,IF(الموظفون!$E11="غير سعودي",cfg_WP,0)))/12*G11/cfg_DAYS_M)</f>
        <v>0</v>
      </c>
      <c r="AE11" s="116" t="n">
        <f aca="false">IF($B11="","",IF(الموظفون!$Z11&lt;&gt;"",الموظفون!$Z11,cfg_MED)/12*G11/cfg_DAYS_M)</f>
        <v>300</v>
      </c>
      <c r="AF11" s="116" t="n">
        <f aca="false">IF($B11="","",N(الموظفون!$AA11)/12*G11/cfg_DAYS_M)</f>
        <v>0</v>
      </c>
      <c r="AG11" s="159" t="n">
        <f aca="false">IF($B11="","",T11+SUM(Z11:AF11))</f>
        <v>25240.470890411</v>
      </c>
      <c r="AH11" s="160" t="n">
        <f aca="false">IF($B11="","",MAX(0,IF(OR(الموظفون!$AE11="",الموظفون!$AE11&gt;$F$3),$F$3,الموظفون!$AE11)-الموظفون!$H11+1-SUMIFS('سجل الإجازات والحالات'!$AJ$6:$AJ$505,'سجل الإجازات والحالات'!$B$6:$B$505,$B11))/cfg_DAYS_Y)</f>
        <v>8.40821917808219</v>
      </c>
      <c r="AI11" s="160" t="n">
        <f aca="false">IF($B11="","",MAX(0,IF(OR(الموظفون!$AE11="",الموظفون!$AE11&gt;($E$3-1)),($E$3-1),الموظفون!$AE11)-الموظفون!$H11+1-SUMIFS('سجل الإجازات والحالات'!$AI$6:$AI$505,'سجل الإجازات والحالات'!$B$6:$B$505,$B11))/cfg_DAYS_Y)</f>
        <v>8.32328767123288</v>
      </c>
      <c r="AJ11" s="133" t="n">
        <f aca="false">IF($B11="","",MAX(0,AK11-(SUMIFS('سجل الإجازات والحالات'!$AJ$6:$AJ$505,'سجل الإجازات والحالات'!$B$6:$B$505,$B11)-SUMIFS('سجل الإجازات والحالات'!$AI$6:$AI$505,'سجل الإجازات والحالات'!$B$6:$B$505,$B11))))</f>
        <v>31</v>
      </c>
      <c r="AK11" s="133" t="n">
        <f aca="false">IF($B11="","",MAX(0,IF(OR(الموظفون!$AE11="",الموظفون!$AE11&gt;$F$3),$F$3,الموظفون!$AE11)-MAX($E$3,الموظفون!$H11)+1))</f>
        <v>31</v>
      </c>
      <c r="AL11" s="156" t="n">
        <f aca="false">IF($B11="","",SUMIFS('سجل الإجازات والحالات'!$AV$6:$AV$505,'سجل الإجازات والحالات'!$B$6:$B$505,$B11)+SUMIFS('الحركات الشهرية'!$K$6:$K$1005,'الحركات الشهرية'!$B$6:$B$1005,$B11,'الحركات الشهرية'!$A$6:$A$1005,$C$3))</f>
        <v>0</v>
      </c>
      <c r="AM11" s="116" t="n">
        <f aca="false">IF($B11="","",AL11*الموظفون!$R11/cfg_DAYS_M+S11)</f>
        <v>0</v>
      </c>
      <c r="AN11" s="156" t="n">
        <f aca="false">IF($B11="","",SUMIFS('سجل الإجازات والحالات'!$X$6:$X$505,'سجل الإجازات والحالات'!$B$6:$B$505,$B11))</f>
        <v>0</v>
      </c>
    </row>
    <row r="12" customFormat="false" ht="15" hidden="false" customHeight="false" outlineLevel="0" collapsed="false">
      <c r="A12" s="106" t="n">
        <f aca="false">IF($B12="","",الموظفون!$A12)</f>
        <v>7</v>
      </c>
      <c r="B12" s="114" t="str">
        <f aca="false">IF(الموظفون!$B12="","",الموظفون!$B12)</f>
        <v>E007</v>
      </c>
      <c r="C12" s="114" t="str">
        <f aca="false">IF($B12="","",الموظفون!$C12)</f>
        <v>خالد يوسف الأحمد</v>
      </c>
      <c r="D12" s="114" t="str">
        <f aca="false">IF($B12="","",الموظفون!$F12)</f>
        <v>المشاريع</v>
      </c>
      <c r="E12" s="114" t="str">
        <f aca="false">IF($B12="","",الموظفون!$E12)</f>
        <v>غير سعودي</v>
      </c>
      <c r="F12" s="114" t="str">
        <f aca="false">IF($B12="","",IF(AK12=0,IF(AND(الموظفون!$AE12&lt;&gt;"",الموظفون!$AE12&lt;$E$3),"✖ منتهي الخدمة","⏳ لم يباشر"),IF(S12&gt;0,"✈ راتب إجازة مقدم",IF(J12=0,"⛔ بدون راتب هذا الشهر",IF(I12&gt;0,"✈ خصم "&amp;ROUND(I12,2)&amp;" يوم بدون أجر",IF(AL12&gt;0,"🌴 إجازة سنوية "&amp;ROUND(AL12,2)&amp;" يوم",IF(H12&gt;0,"⚠ غياب "&amp;ROUND(H12,2)&amp;" يوم","✔ على رأس العمل")))))))</f>
        <v>🌴 إجازة سنوية 21 يوم</v>
      </c>
      <c r="G12" s="151" t="n">
        <f aca="false">IF($B12="","",IF(AK12&gt;=DAY($F$3),cfg_DAYS_M,MIN(AK12,cfg_DAYS_M)))</f>
        <v>30</v>
      </c>
      <c r="H12" s="151" t="n">
        <f aca="false">IF($B12="","",SUMIFS('الحركات الشهرية'!$D$6:$D$1005,'الحركات الشهرية'!$B$6:$B$1005,$B12,'الحركات الشهرية'!$A$6:$A$1005,$C$3))</f>
        <v>0</v>
      </c>
      <c r="I12" s="151" t="n">
        <f aca="false">IF($B12="","",MIN(G12,IF(AND(AK12&gt;0,AN12&gt;=AK12),G12,AN12)+SUMIFS('الحركات الشهرية'!$E$6:$E$1005,'الحركات الشهرية'!$B$6:$B$1005,$B12,'الحركات الشهرية'!$A$6:$A$1005,$C$3)))</f>
        <v>0</v>
      </c>
      <c r="J12" s="151" t="n">
        <f aca="false">IF($B12="","",MAX(0,G12-H12-I12))</f>
        <v>30</v>
      </c>
      <c r="K12" s="111" t="n">
        <f aca="false">IF($B12="","",الموظفون!$L12*$J12/cfg_DAYS_M)</f>
        <v>11000</v>
      </c>
      <c r="L12" s="111" t="n">
        <f aca="false">IF($B12="","",الموظفون!$M12*$J12/cfg_DAYS_M)</f>
        <v>2750</v>
      </c>
      <c r="M12" s="111" t="n">
        <f aca="false">IF($B12="","",الموظفون!$N12*$J12/cfg_DAYS_M)</f>
        <v>1100</v>
      </c>
      <c r="N12" s="111" t="n">
        <f aca="false">IF($B12="","",الموظفون!$O12*$J12/cfg_DAYS_M)</f>
        <v>800</v>
      </c>
      <c r="O12" s="151" t="n">
        <f aca="false">IF($B12="","",SUMIFS('الحركات الشهرية'!$F$6:$F$1005,'الحركات الشهرية'!$B$6:$B$1005,$B12,'الحركات الشهرية'!$A$6:$A$1005,$C$3))</f>
        <v>10</v>
      </c>
      <c r="P12" s="111" t="n">
        <f aca="false">IF($B12="","",O12*(الموظفون!$P12+الموظفون!$L12*cfg_OT_P)/cfg_DAYS_M/cfg_HRS)</f>
        <v>881.25</v>
      </c>
      <c r="Q12" s="111" t="n">
        <f aca="false">IF($B12="","",SUMIFS('الحركات الشهرية'!$G$6:$G$1005,'الحركات الشهرية'!$B$6:$B$1005,$B12,'الحركات الشهرية'!$A$6:$A$1005,$C$3))</f>
        <v>0</v>
      </c>
      <c r="R12" s="111" t="n">
        <f aca="false">IF($B12="","",SUMIFS('الحركات الشهرية'!$H$6:$H$1005,'الحركات الشهرية'!$B$6:$B$1005,$B12,'الحركات الشهرية'!$A$6:$A$1005,$C$3))</f>
        <v>0</v>
      </c>
      <c r="S12" s="111" t="n">
        <f aca="false">IF($B12="","",SUMIFS('سجل الإجازات والحالات'!$N$6:$N$505,'سجل الإجازات والحالات'!$B$6:$B$505,$B12,'سجل الإجازات والحالات'!$O$6:$O$505,$C$3))</f>
        <v>0</v>
      </c>
      <c r="T12" s="152" t="n">
        <f aca="false">IF($B12="","",SUM(K12:N12)+SUM(P12:S12))</f>
        <v>16531.25</v>
      </c>
      <c r="U12" s="111" t="n">
        <f aca="false">IF($B12="","",الموظفون!$S12*IF(E12="سعودي",cfg_G_SE,cfg_G_NE)*G12/cfg_DAYS_M)</f>
        <v>0</v>
      </c>
      <c r="V12" s="111" t="n">
        <f aca="false">IF($B12="","",SUMIFS('الحركات الشهرية'!$I$6:$I$1005,'الحركات الشهرية'!$B$6:$B$1005,$B12,'الحركات الشهرية'!$A$6:$A$1005,$C$3))</f>
        <v>0</v>
      </c>
      <c r="W12" s="111" t="n">
        <f aca="false">IF($B12="","",SUMIFS('الحركات الشهرية'!$J$6:$J$1005,'الحركات الشهرية'!$B$6:$B$1005,$B12,'الحركات الشهرية'!$A$6:$A$1005,$C$3))</f>
        <v>0</v>
      </c>
      <c r="X12" s="111" t="n">
        <f aca="false">IF($B12="","",SUM(U12:W12))</f>
        <v>0</v>
      </c>
      <c r="Y12" s="153" t="n">
        <f aca="false">IF($B12="","",T12-X12)</f>
        <v>16531.25</v>
      </c>
      <c r="Z12" s="111" t="n">
        <f aca="false">IF($B12="","",الموظفون!$S12*IF(E12="سعودي",cfg_G_SR,cfg_G_NR)*G12/cfg_DAYS_M)</f>
        <v>275</v>
      </c>
      <c r="AA12" s="111" t="n">
        <f aca="false">IF($B12="","",الموظفون!$Q12*(cfg_EOS_R1*(MIN(AH12,cfg_EOS_TH)-MIN(AI12,cfg_EOS_TH))+cfg_EOS_R2*(MAX(AH12-cfg_EOS_TH,0)-MAX(AI12-cfg_EOS_TH,0))))</f>
        <v>1261.23287671234</v>
      </c>
      <c r="AB12" s="111" t="n">
        <f aca="false">IF($B12="","",IF(الموظفون!$T12&lt;&gt;"",الموظفون!$T12,IF(AH12&gt;=cfg_LV_TH,cfg_LV_D2,cfg_LV_D1))/cfg_DAYS_Y*AJ12*الموظفون!$R12/cfg_DAYS_M)</f>
        <v>1261.23287671233</v>
      </c>
      <c r="AC12" s="111" t="n">
        <f aca="false">IF($B12="","",IF(AND(الموظفون!$U12="نعم",N(الموظفون!$W12)&gt;0),الموظفون!$V12/الموظفون!$W12*12/cfg_DAYS_Y*AJ12,0))</f>
        <v>382.191780821918</v>
      </c>
      <c r="AD12" s="111" t="n">
        <f aca="false">IF($B12="","",(IF(الموظفون!$X12&lt;&gt;"",الموظفون!$X12,IF(الموظفون!$E12="غير سعودي",cfg_IQ,0))+IF(الموظفون!$Y12&lt;&gt;"",الموظفون!$Y12,IF(الموظفون!$E12="غير سعودي",cfg_WP,0)))/12*G12/cfg_DAYS_M)</f>
        <v>854.166666666667</v>
      </c>
      <c r="AE12" s="111" t="n">
        <f aca="false">IF($B12="","",IF(الموظفون!$Z12&lt;&gt;"",الموظفون!$Z12,cfg_MED)/12*G12/cfg_DAYS_M)</f>
        <v>200</v>
      </c>
      <c r="AF12" s="111" t="n">
        <f aca="false">IF($B12="","",N(الموظفون!$AA12)/12*G12/cfg_DAYS_M)</f>
        <v>400</v>
      </c>
      <c r="AG12" s="154" t="n">
        <f aca="false">IF($B12="","",T12+SUM(Z12:AF12))</f>
        <v>21165.0742009133</v>
      </c>
      <c r="AH12" s="155" t="n">
        <f aca="false">IF($B12="","",MAX(0,IF(OR(الموظفون!$AE12="",الموظفون!$AE12&gt;$F$3),$F$3,الموظفون!$AE12)-الموظفون!$H12+1-SUMIFS('سجل الإجازات والحالات'!$AJ$6:$AJ$505,'سجل الإجازات والحالات'!$B$6:$B$505,$B12))/cfg_DAYS_Y)</f>
        <v>5.1972602739726</v>
      </c>
      <c r="AI12" s="155" t="n">
        <f aca="false">IF($B12="","",MAX(0,IF(OR(الموظفون!$AE12="",الموظفون!$AE12&gt;($E$3-1)),($E$3-1),الموظفون!$AE12)-الموظفون!$H12+1-SUMIFS('سجل الإجازات والحالات'!$AI$6:$AI$505,'سجل الإجازات والحالات'!$B$6:$B$505,$B12))/cfg_DAYS_Y)</f>
        <v>5.11232876712329</v>
      </c>
      <c r="AJ12" s="65" t="n">
        <f aca="false">IF($B12="","",MAX(0,AK12-(SUMIFS('سجل الإجازات والحالات'!$AJ$6:$AJ$505,'سجل الإجازات والحالات'!$B$6:$B$505,$B12)-SUMIFS('سجل الإجازات والحالات'!$AI$6:$AI$505,'سجل الإجازات والحالات'!$B$6:$B$505,$B12))))</f>
        <v>31</v>
      </c>
      <c r="AK12" s="65" t="n">
        <f aca="false">IF($B12="","",MAX(0,IF(OR(الموظفون!$AE12="",الموظفون!$AE12&gt;$F$3),$F$3,الموظفون!$AE12)-MAX($E$3,الموظفون!$H12)+1))</f>
        <v>31</v>
      </c>
      <c r="AL12" s="151" t="n">
        <f aca="false">IF($B12="","",SUMIFS('سجل الإجازات والحالات'!$AV$6:$AV$505,'سجل الإجازات والحالات'!$B$6:$B$505,$B12)+SUMIFS('الحركات الشهرية'!$K$6:$K$1005,'الحركات الشهرية'!$B$6:$B$1005,$B12,'الحركات الشهرية'!$A$6:$A$1005,$C$3))</f>
        <v>21</v>
      </c>
      <c r="AM12" s="111" t="n">
        <f aca="false">IF($B12="","",AL12*الموظفون!$R12/cfg_DAYS_M+S12)</f>
        <v>10395</v>
      </c>
      <c r="AN12" s="151" t="n">
        <f aca="false">IF($B12="","",SUMIFS('سجل الإجازات والحالات'!$X$6:$X$505,'سجل الإجازات والحالات'!$B$6:$B$505,$B12))</f>
        <v>0</v>
      </c>
    </row>
    <row r="13" customFormat="false" ht="15" hidden="false" customHeight="false" outlineLevel="0" collapsed="false">
      <c r="A13" s="115" t="n">
        <f aca="false">IF($B13="","",الموظفون!$A13)</f>
        <v>8</v>
      </c>
      <c r="B13" s="117" t="str">
        <f aca="false">IF(الموظفون!$B13="","",الموظفون!$B13)</f>
        <v>E008</v>
      </c>
      <c r="C13" s="117" t="str">
        <f aca="false">IF($B13="","",الموظفون!$C13)</f>
        <v>سارة عبدالرحمن الزهراني</v>
      </c>
      <c r="D13" s="117" t="str">
        <f aca="false">IF($B13="","",الموظفون!$F13)</f>
        <v>المالية</v>
      </c>
      <c r="E13" s="117" t="str">
        <f aca="false">IF($B13="","",الموظفون!$E13)</f>
        <v>سعودي</v>
      </c>
      <c r="F13" s="117" t="str">
        <f aca="false">IF($B13="","",IF(AK13=0,IF(AND(الموظفون!$AE13&lt;&gt;"",الموظفون!$AE13&lt;$E$3),"✖ منتهي الخدمة","⏳ لم يباشر"),IF(S13&gt;0,"✈ راتب إجازة مقدم",IF(J13=0,"⛔ بدون راتب هذا الشهر",IF(I13&gt;0,"✈ خصم "&amp;ROUND(I13,2)&amp;" يوم بدون أجر",IF(AL13&gt;0,"🌴 إجازة سنوية "&amp;ROUND(AL13,2)&amp;" يوم",IF(H13&gt;0,"⚠ غياب "&amp;ROUND(H13,2)&amp;" يوم","✔ على رأس العمل")))))))</f>
        <v>✔ على رأس العمل</v>
      </c>
      <c r="G13" s="156" t="n">
        <f aca="false">IF($B13="","",IF(AK13&gt;=DAY($F$3),cfg_DAYS_M,MIN(AK13,cfg_DAYS_M)))</f>
        <v>30</v>
      </c>
      <c r="H13" s="156" t="n">
        <f aca="false">IF($B13="","",SUMIFS('الحركات الشهرية'!$D$6:$D$1005,'الحركات الشهرية'!$B$6:$B$1005,$B13,'الحركات الشهرية'!$A$6:$A$1005,$C$3))</f>
        <v>0</v>
      </c>
      <c r="I13" s="156" t="n">
        <f aca="false">IF($B13="","",MIN(G13,IF(AND(AK13&gt;0,AN13&gt;=AK13),G13,AN13)+SUMIFS('الحركات الشهرية'!$E$6:$E$1005,'الحركات الشهرية'!$B$6:$B$1005,$B13,'الحركات الشهرية'!$A$6:$A$1005,$C$3)))</f>
        <v>0</v>
      </c>
      <c r="J13" s="156" t="n">
        <f aca="false">IF($B13="","",MAX(0,G13-H13-I13))</f>
        <v>30</v>
      </c>
      <c r="K13" s="116" t="n">
        <f aca="false">IF($B13="","",الموظفون!$L13*$J13/cfg_DAYS_M)</f>
        <v>7500</v>
      </c>
      <c r="L13" s="116" t="n">
        <f aca="false">IF($B13="","",الموظفون!$M13*$J13/cfg_DAYS_M)</f>
        <v>1875</v>
      </c>
      <c r="M13" s="116" t="n">
        <f aca="false">IF($B13="","",الموظفون!$N13*$J13/cfg_DAYS_M)</f>
        <v>750</v>
      </c>
      <c r="N13" s="116" t="n">
        <f aca="false">IF($B13="","",الموظفون!$O13*$J13/cfg_DAYS_M)</f>
        <v>0</v>
      </c>
      <c r="O13" s="156" t="n">
        <f aca="false">IF($B13="","",SUMIFS('الحركات الشهرية'!$F$6:$F$1005,'الحركات الشهرية'!$B$6:$B$1005,$B13,'الحركات الشهرية'!$A$6:$A$1005,$C$3))</f>
        <v>0</v>
      </c>
      <c r="P13" s="116" t="n">
        <f aca="false">IF($B13="","",O13*(الموظفون!$P13+الموظفون!$L13*cfg_OT_P)/cfg_DAYS_M/cfg_HRS)</f>
        <v>0</v>
      </c>
      <c r="Q13" s="116" t="n">
        <f aca="false">IF($B13="","",SUMIFS('الحركات الشهرية'!$G$6:$G$1005,'الحركات الشهرية'!$B$6:$B$1005,$B13,'الحركات الشهرية'!$A$6:$A$1005,$C$3))</f>
        <v>0</v>
      </c>
      <c r="R13" s="116" t="n">
        <f aca="false">IF($B13="","",SUMIFS('الحركات الشهرية'!$H$6:$H$1005,'الحركات الشهرية'!$B$6:$B$1005,$B13,'الحركات الشهرية'!$A$6:$A$1005,$C$3))</f>
        <v>0</v>
      </c>
      <c r="S13" s="116" t="n">
        <f aca="false">IF($B13="","",SUMIFS('سجل الإجازات والحالات'!$N$6:$N$505,'سجل الإجازات والحالات'!$B$6:$B$505,$B13,'سجل الإجازات والحالات'!$O$6:$O$505,$C$3))</f>
        <v>0</v>
      </c>
      <c r="T13" s="157" t="n">
        <f aca="false">IF($B13="","",SUM(K13:N13)+SUM(P13:S13))</f>
        <v>10125</v>
      </c>
      <c r="U13" s="116" t="n">
        <f aca="false">IF($B13="","",الموظفون!$S13*IF(E13="سعودي",cfg_G_SE,cfg_G_NE)*G13/cfg_DAYS_M)</f>
        <v>914.0625</v>
      </c>
      <c r="V13" s="116" t="n">
        <f aca="false">IF($B13="","",SUMIFS('الحركات الشهرية'!$I$6:$I$1005,'الحركات الشهرية'!$B$6:$B$1005,$B13,'الحركات الشهرية'!$A$6:$A$1005,$C$3))</f>
        <v>0</v>
      </c>
      <c r="W13" s="116" t="n">
        <f aca="false">IF($B13="","",SUMIFS('الحركات الشهرية'!$J$6:$J$1005,'الحركات الشهرية'!$B$6:$B$1005,$B13,'الحركات الشهرية'!$A$6:$A$1005,$C$3))</f>
        <v>0</v>
      </c>
      <c r="X13" s="116" t="n">
        <f aca="false">IF($B13="","",SUM(U13:W13))</f>
        <v>914.0625</v>
      </c>
      <c r="Y13" s="158" t="n">
        <f aca="false">IF($B13="","",T13-X13)</f>
        <v>9210.9375</v>
      </c>
      <c r="Z13" s="116" t="n">
        <f aca="false">IF($B13="","",الموظفون!$S13*IF(E13="سعودي",cfg_G_SR,cfg_G_NR)*G13/cfg_DAYS_M)</f>
        <v>1101.5625</v>
      </c>
      <c r="AA13" s="116" t="n">
        <f aca="false">IF($B13="","",الموظفون!$Q13*(cfg_EOS_R1*(MIN(AH13,cfg_EOS_TH)-MIN(AI13,cfg_EOS_TH))+cfg_EOS_R2*(MAX(AH13-cfg_EOS_TH,0)-MAX(AI13-cfg_EOS_TH,0))))</f>
        <v>429.965753424657</v>
      </c>
      <c r="AB13" s="116" t="n">
        <f aca="false">IF($B13="","",IF(الموظفون!$T13&lt;&gt;"",الموظفون!$T13,IF(AH13&gt;=cfg_LV_TH,cfg_LV_D2,cfg_LV_D1))/cfg_DAYS_Y*AJ13*الموظفون!$R13/cfg_DAYS_M)</f>
        <v>601.952054794521</v>
      </c>
      <c r="AC13" s="116" t="n">
        <f aca="false">IF($B13="","",IF(AND(الموظفون!$U13="نعم",N(الموظفون!$W13)&gt;0),الموظفون!$V13/الموظفون!$W13*12/cfg_DAYS_Y*AJ13,0))</f>
        <v>0</v>
      </c>
      <c r="AD13" s="116" t="n">
        <f aca="false">IF($B13="","",(IF(الموظفون!$X13&lt;&gt;"",الموظفون!$X13,IF(الموظفون!$E13="غير سعودي",cfg_IQ,0))+IF(الموظفون!$Y13&lt;&gt;"",الموظفون!$Y13,IF(الموظفون!$E13="غير سعودي",cfg_WP,0)))/12*G13/cfg_DAYS_M)</f>
        <v>0</v>
      </c>
      <c r="AE13" s="116" t="n">
        <f aca="false">IF($B13="","",IF(الموظفون!$Z13&lt;&gt;"",الموظفون!$Z13,cfg_MED)/12*G13/cfg_DAYS_M)</f>
        <v>200</v>
      </c>
      <c r="AF13" s="116" t="n">
        <f aca="false">IF($B13="","",N(الموظفون!$AA13)/12*G13/cfg_DAYS_M)</f>
        <v>0</v>
      </c>
      <c r="AG13" s="159" t="n">
        <f aca="false">IF($B13="","",T13+SUM(Z13:AF13))</f>
        <v>12458.4803082192</v>
      </c>
      <c r="AH13" s="160" t="n">
        <f aca="false">IF($B13="","",MAX(0,IF(OR(الموظفون!$AE13="",الموظفون!$AE13&gt;$F$3),$F$3,الموظفون!$AE13)-الموظفون!$H13+1-SUMIFS('سجل الإجازات والحالات'!$AJ$6:$AJ$505,'سجل الإجازات والحالات'!$B$6:$B$505,$B13))/cfg_DAYS_Y)</f>
        <v>3.08767123287671</v>
      </c>
      <c r="AI13" s="160" t="n">
        <f aca="false">IF($B13="","",MAX(0,IF(OR(الموظفون!$AE13="",الموظفون!$AE13&gt;($E$3-1)),($E$3-1),الموظفون!$AE13)-الموظفون!$H13+1-SUMIFS('سجل الإجازات والحالات'!$AI$6:$AI$505,'سجل الإجازات والحالات'!$B$6:$B$505,$B13))/cfg_DAYS_Y)</f>
        <v>3.0027397260274</v>
      </c>
      <c r="AJ13" s="133" t="n">
        <f aca="false">IF($B13="","",MAX(0,AK13-(SUMIFS('سجل الإجازات والحالات'!$AJ$6:$AJ$505,'سجل الإجازات والحالات'!$B$6:$B$505,$B13)-SUMIFS('سجل الإجازات والحالات'!$AI$6:$AI$505,'سجل الإجازات والحالات'!$B$6:$B$505,$B13))))</f>
        <v>31</v>
      </c>
      <c r="AK13" s="133" t="n">
        <f aca="false">IF($B13="","",MAX(0,IF(OR(الموظفون!$AE13="",الموظفون!$AE13&gt;$F$3),$F$3,الموظفون!$AE13)-MAX($E$3,الموظفون!$H13)+1))</f>
        <v>31</v>
      </c>
      <c r="AL13" s="156" t="n">
        <f aca="false">IF($B13="","",SUMIFS('سجل الإجازات والحالات'!$AV$6:$AV$505,'سجل الإجازات والحالات'!$B$6:$B$505,$B13)+SUMIFS('الحركات الشهرية'!$K$6:$K$1005,'الحركات الشهرية'!$B$6:$B$1005,$B13,'الحركات الشهرية'!$A$6:$A$1005,$C$3))</f>
        <v>0</v>
      </c>
      <c r="AM13" s="116" t="n">
        <f aca="false">IF($B13="","",AL13*الموظفون!$R13/cfg_DAYS_M+S13)</f>
        <v>0</v>
      </c>
      <c r="AN13" s="156" t="n">
        <f aca="false">IF($B13="","",SUMIFS('سجل الإجازات والحالات'!$X$6:$X$505,'سجل الإجازات والحالات'!$B$6:$B$505,$B13))</f>
        <v>0</v>
      </c>
    </row>
    <row r="14" customFormat="false" ht="15" hidden="false" customHeight="false" outlineLevel="0" collapsed="false">
      <c r="A14" s="106" t="n">
        <f aca="false">IF($B14="","",الموظفون!$A14)</f>
        <v>9</v>
      </c>
      <c r="B14" s="114" t="str">
        <f aca="false">IF(الموظفون!$B14="","",الموظفون!$B14)</f>
        <v>E009</v>
      </c>
      <c r="C14" s="114" t="str">
        <f aca="false">IF($B14="","",الموظفون!$C14)</f>
        <v>محمد رفيق</v>
      </c>
      <c r="D14" s="114" t="str">
        <f aca="false">IF($B14="","",الموظفون!$F14)</f>
        <v>العمليات</v>
      </c>
      <c r="E14" s="114" t="str">
        <f aca="false">IF($B14="","",الموظفون!$E14)</f>
        <v>غير سعودي</v>
      </c>
      <c r="F14" s="114" t="str">
        <f aca="false">IF($B14="","",IF(AK14=0,IF(AND(الموظفون!$AE14&lt;&gt;"",الموظفون!$AE14&lt;$E$3),"✖ منتهي الخدمة","⏳ لم يباشر"),IF(S14&gt;0,"✈ راتب إجازة مقدم",IF(J14=0,"⛔ بدون راتب هذا الشهر",IF(I14&gt;0,"✈ خصم "&amp;ROUND(I14,2)&amp;" يوم بدون أجر",IF(AL14&gt;0,"🌴 إجازة سنوية "&amp;ROUND(AL14,2)&amp;" يوم",IF(H14&gt;0,"⚠ غياب "&amp;ROUND(H14,2)&amp;" يوم","✔ على رأس العمل")))))))</f>
        <v>✔ على رأس العمل</v>
      </c>
      <c r="G14" s="151" t="n">
        <f aca="false">IF($B14="","",IF(AK14&gt;=DAY($F$3),cfg_DAYS_M,MIN(AK14,cfg_DAYS_M)))</f>
        <v>30</v>
      </c>
      <c r="H14" s="151" t="n">
        <f aca="false">IF($B14="","",SUMIFS('الحركات الشهرية'!$D$6:$D$1005,'الحركات الشهرية'!$B$6:$B$1005,$B14,'الحركات الشهرية'!$A$6:$A$1005,$C$3))</f>
        <v>0</v>
      </c>
      <c r="I14" s="151" t="n">
        <f aca="false">IF($B14="","",MIN(G14,IF(AND(AK14&gt;0,AN14&gt;=AK14),G14,AN14)+SUMIFS('الحركات الشهرية'!$E$6:$E$1005,'الحركات الشهرية'!$B$6:$B$1005,$B14,'الحركات الشهرية'!$A$6:$A$1005,$C$3)))</f>
        <v>0</v>
      </c>
      <c r="J14" s="151" t="n">
        <f aca="false">IF($B14="","",MAX(0,G14-H14-I14))</f>
        <v>30</v>
      </c>
      <c r="K14" s="111" t="n">
        <f aca="false">IF($B14="","",الموظفون!$L14*$J14/cfg_DAYS_M)</f>
        <v>6500</v>
      </c>
      <c r="L14" s="111" t="n">
        <f aca="false">IF($B14="","",الموظفون!$M14*$J14/cfg_DAYS_M)</f>
        <v>1625</v>
      </c>
      <c r="M14" s="111" t="n">
        <f aca="false">IF($B14="","",الموظفون!$N14*$J14/cfg_DAYS_M)</f>
        <v>650</v>
      </c>
      <c r="N14" s="111" t="n">
        <f aca="false">IF($B14="","",الموظفون!$O14*$J14/cfg_DAYS_M)</f>
        <v>300</v>
      </c>
      <c r="O14" s="151" t="n">
        <f aca="false">IF($B14="","",SUMIFS('الحركات الشهرية'!$F$6:$F$1005,'الحركات الشهرية'!$B$6:$B$1005,$B14,'الحركات الشهرية'!$A$6:$A$1005,$C$3))</f>
        <v>0</v>
      </c>
      <c r="P14" s="111" t="n">
        <f aca="false">IF($B14="","",O14*(الموظفون!$P14+الموظفون!$L14*cfg_OT_P)/cfg_DAYS_M/cfg_HRS)</f>
        <v>0</v>
      </c>
      <c r="Q14" s="111" t="n">
        <f aca="false">IF($B14="","",SUMIFS('الحركات الشهرية'!$G$6:$G$1005,'الحركات الشهرية'!$B$6:$B$1005,$B14,'الحركات الشهرية'!$A$6:$A$1005,$C$3))</f>
        <v>0</v>
      </c>
      <c r="R14" s="111" t="n">
        <f aca="false">IF($B14="","",SUMIFS('الحركات الشهرية'!$H$6:$H$1005,'الحركات الشهرية'!$B$6:$B$1005,$B14,'الحركات الشهرية'!$A$6:$A$1005,$C$3))</f>
        <v>0</v>
      </c>
      <c r="S14" s="111" t="n">
        <f aca="false">IF($B14="","",SUMIFS('سجل الإجازات والحالات'!$N$6:$N$505,'سجل الإجازات والحالات'!$B$6:$B$505,$B14,'سجل الإجازات والحالات'!$O$6:$O$505,$C$3))</f>
        <v>0</v>
      </c>
      <c r="T14" s="152" t="n">
        <f aca="false">IF($B14="","",SUM(K14:N14)+SUM(P14:S14))</f>
        <v>9075</v>
      </c>
      <c r="U14" s="111" t="n">
        <f aca="false">IF($B14="","",الموظفون!$S14*IF(E14="سعودي",cfg_G_SE,cfg_G_NE)*G14/cfg_DAYS_M)</f>
        <v>0</v>
      </c>
      <c r="V14" s="111" t="n">
        <f aca="false">IF($B14="","",SUMIFS('الحركات الشهرية'!$I$6:$I$1005,'الحركات الشهرية'!$B$6:$B$1005,$B14,'الحركات الشهرية'!$A$6:$A$1005,$C$3))</f>
        <v>0</v>
      </c>
      <c r="W14" s="111" t="n">
        <f aca="false">IF($B14="","",SUMIFS('الحركات الشهرية'!$J$6:$J$1005,'الحركات الشهرية'!$B$6:$B$1005,$B14,'الحركات الشهرية'!$A$6:$A$1005,$C$3))</f>
        <v>0</v>
      </c>
      <c r="X14" s="111" t="n">
        <f aca="false">IF($B14="","",SUM(U14:W14))</f>
        <v>0</v>
      </c>
      <c r="Y14" s="153" t="n">
        <f aca="false">IF($B14="","",T14-X14)</f>
        <v>9075</v>
      </c>
      <c r="Z14" s="111" t="n">
        <f aca="false">IF($B14="","",الموظفون!$S14*IF(E14="سعودي",cfg_G_SR,cfg_G_NR)*G14/cfg_DAYS_M)</f>
        <v>162.5</v>
      </c>
      <c r="AA14" s="111" t="n">
        <f aca="false">IF($B14="","",الموظفون!$Q14*(cfg_EOS_R1*(MIN(AH14,cfg_EOS_TH)-MIN(AI14,cfg_EOS_TH))+cfg_EOS_R2*(MAX(AH14-cfg_EOS_TH,0)-MAX(AI14-cfg_EOS_TH,0))))</f>
        <v>745.273972602744</v>
      </c>
      <c r="AB14" s="111" t="n">
        <f aca="false">IF($B14="","",IF(الموظفون!$T14&lt;&gt;"",الموظفون!$T14,IF(AH14&gt;=cfg_LV_TH,cfg_LV_D2,cfg_LV_D1))/cfg_DAYS_Y*AJ14*الموظفون!$R14/cfg_DAYS_M)</f>
        <v>745.27397260274</v>
      </c>
      <c r="AC14" s="111" t="n">
        <f aca="false">IF($B14="","",IF(AND(الموظفون!$U14="نعم",N(الموظفون!$W14)&gt;0),الموظفون!$V14/الموظفون!$W14*12/cfg_DAYS_Y*AJ14,0))</f>
        <v>93.4246575342466</v>
      </c>
      <c r="AD14" s="111" t="n">
        <f aca="false">IF($B14="","",(IF(الموظفون!$X14&lt;&gt;"",الموظفون!$X14,IF(الموظفون!$E14="غير سعودي",cfg_IQ,0))+IF(الموظفون!$Y14&lt;&gt;"",الموظفون!$Y14,IF(الموظفون!$E14="غير سعودي",cfg_WP,0)))/12*G14/cfg_DAYS_M)</f>
        <v>854.166666666667</v>
      </c>
      <c r="AE14" s="111" t="n">
        <f aca="false">IF($B14="","",IF(الموظفون!$Z14&lt;&gt;"",الموظفون!$Z14,cfg_MED)/12*G14/cfg_DAYS_M)</f>
        <v>150</v>
      </c>
      <c r="AF14" s="111" t="n">
        <f aca="false">IF($B14="","",N(الموظفون!$AA14)/12*G14/cfg_DAYS_M)</f>
        <v>0</v>
      </c>
      <c r="AG14" s="154" t="n">
        <f aca="false">IF($B14="","",T14+SUM(Z14:AF14))</f>
        <v>11825.6392694064</v>
      </c>
      <c r="AH14" s="155" t="n">
        <f aca="false">IF($B14="","",MAX(0,IF(OR(الموظفون!$AE14="",الموظفون!$AE14&gt;$F$3),$F$3,الموظفون!$AE14)-الموظفون!$H14+1-SUMIFS('سجل الإجازات والحالات'!$AJ$6:$AJ$505,'سجل الإجازات والحالات'!$B$6:$B$505,$B14))/cfg_DAYS_Y)</f>
        <v>11.627397260274</v>
      </c>
      <c r="AI14" s="155" t="n">
        <f aca="false">IF($B14="","",MAX(0,IF(OR(الموظفون!$AE14="",الموظفون!$AE14&gt;($E$3-1)),($E$3-1),الموظفون!$AE14)-الموظفون!$H14+1-SUMIFS('سجل الإجازات والحالات'!$AI$6:$AI$505,'سجل الإجازات والحالات'!$B$6:$B$505,$B14))/cfg_DAYS_Y)</f>
        <v>11.5424657534247</v>
      </c>
      <c r="AJ14" s="65" t="n">
        <f aca="false">IF($B14="","",MAX(0,AK14-(SUMIFS('سجل الإجازات والحالات'!$AJ$6:$AJ$505,'سجل الإجازات والحالات'!$B$6:$B$505,$B14)-SUMIFS('سجل الإجازات والحالات'!$AI$6:$AI$505,'سجل الإجازات والحالات'!$B$6:$B$505,$B14))))</f>
        <v>31</v>
      </c>
      <c r="AK14" s="65" t="n">
        <f aca="false">IF($B14="","",MAX(0,IF(OR(الموظفون!$AE14="",الموظفون!$AE14&gt;$F$3),$F$3,الموظفون!$AE14)-MAX($E$3,الموظفون!$H14)+1))</f>
        <v>31</v>
      </c>
      <c r="AL14" s="151" t="n">
        <f aca="false">IF($B14="","",SUMIFS('سجل الإجازات والحالات'!$AV$6:$AV$505,'سجل الإجازات والحالات'!$B$6:$B$505,$B14)+SUMIFS('الحركات الشهرية'!$K$6:$K$1005,'الحركات الشهرية'!$B$6:$B$1005,$B14,'الحركات الشهرية'!$A$6:$A$1005,$C$3))</f>
        <v>0</v>
      </c>
      <c r="AM14" s="111" t="n">
        <f aca="false">IF($B14="","",AL14*الموظفون!$R14/cfg_DAYS_M+S14)</f>
        <v>0</v>
      </c>
      <c r="AN14" s="151" t="n">
        <f aca="false">IF($B14="","",SUMIFS('سجل الإجازات والحالات'!$X$6:$X$505,'سجل الإجازات والحالات'!$B$6:$B$505,$B14))</f>
        <v>0</v>
      </c>
    </row>
    <row r="15" customFormat="false" ht="15" hidden="false" customHeight="false" outlineLevel="0" collapsed="false">
      <c r="A15" s="115" t="n">
        <f aca="false">IF($B15="","",الموظفون!$A15)</f>
        <v>10</v>
      </c>
      <c r="B15" s="117" t="str">
        <f aca="false">IF(الموظفون!$B15="","",الموظفون!$B15)</f>
        <v>E010</v>
      </c>
      <c r="C15" s="117" t="str">
        <f aca="false">IF($B15="","",الموظفون!$C15)</f>
        <v>ريم سلطان المطيري</v>
      </c>
      <c r="D15" s="117" t="str">
        <f aca="false">IF($B15="","",الموظفون!$F15)</f>
        <v>المبيعات</v>
      </c>
      <c r="E15" s="117" t="str">
        <f aca="false">IF($B15="","",الموظفون!$E15)</f>
        <v>سعودي</v>
      </c>
      <c r="F15" s="117" t="str">
        <f aca="false">IF($B15="","",IF(AK15=0,IF(AND(الموظفون!$AE15&lt;&gt;"",الموظفون!$AE15&lt;$E$3),"✖ منتهي الخدمة","⏳ لم يباشر"),IF(S15&gt;0,"✈ راتب إجازة مقدم",IF(J15=0,"⛔ بدون راتب هذا الشهر",IF(I15&gt;0,"✈ خصم "&amp;ROUND(I15,2)&amp;" يوم بدون أجر",IF(AL15&gt;0,"🌴 إجازة سنوية "&amp;ROUND(AL15,2)&amp;" يوم",IF(H15&gt;0,"⚠ غياب "&amp;ROUND(H15,2)&amp;" يوم","✔ على رأس العمل")))))))</f>
        <v>⏳ لم يباشر</v>
      </c>
      <c r="G15" s="156" t="n">
        <f aca="false">IF($B15="","",IF(AK15&gt;=DAY($F$3),cfg_DAYS_M,MIN(AK15,cfg_DAYS_M)))</f>
        <v>0</v>
      </c>
      <c r="H15" s="156" t="n">
        <f aca="false">IF($B15="","",SUMIFS('الحركات الشهرية'!$D$6:$D$1005,'الحركات الشهرية'!$B$6:$B$1005,$B15,'الحركات الشهرية'!$A$6:$A$1005,$C$3))</f>
        <v>0</v>
      </c>
      <c r="I15" s="156" t="n">
        <f aca="false">IF($B15="","",MIN(G15,IF(AND(AK15&gt;0,AN15&gt;=AK15),G15,AN15)+SUMIFS('الحركات الشهرية'!$E$6:$E$1005,'الحركات الشهرية'!$B$6:$B$1005,$B15,'الحركات الشهرية'!$A$6:$A$1005,$C$3)))</f>
        <v>0</v>
      </c>
      <c r="J15" s="156" t="n">
        <f aca="false">IF($B15="","",MAX(0,G15-H15-I15))</f>
        <v>0</v>
      </c>
      <c r="K15" s="116" t="n">
        <f aca="false">IF($B15="","",الموظفون!$L15*$J15/cfg_DAYS_M)</f>
        <v>0</v>
      </c>
      <c r="L15" s="116" t="n">
        <f aca="false">IF($B15="","",الموظفون!$M15*$J15/cfg_DAYS_M)</f>
        <v>0</v>
      </c>
      <c r="M15" s="116" t="n">
        <f aca="false">IF($B15="","",الموظفون!$N15*$J15/cfg_DAYS_M)</f>
        <v>0</v>
      </c>
      <c r="N15" s="116" t="n">
        <f aca="false">IF($B15="","",الموظفون!$O15*$J15/cfg_DAYS_M)</f>
        <v>0</v>
      </c>
      <c r="O15" s="156" t="n">
        <f aca="false">IF($B15="","",SUMIFS('الحركات الشهرية'!$F$6:$F$1005,'الحركات الشهرية'!$B$6:$B$1005,$B15,'الحركات الشهرية'!$A$6:$A$1005,$C$3))</f>
        <v>0</v>
      </c>
      <c r="P15" s="116" t="n">
        <f aca="false">IF($B15="","",O15*(الموظفون!$P15+الموظفون!$L15*cfg_OT_P)/cfg_DAYS_M/cfg_HRS)</f>
        <v>0</v>
      </c>
      <c r="Q15" s="116" t="n">
        <f aca="false">IF($B15="","",SUMIFS('الحركات الشهرية'!$G$6:$G$1005,'الحركات الشهرية'!$B$6:$B$1005,$B15,'الحركات الشهرية'!$A$6:$A$1005,$C$3))</f>
        <v>0</v>
      </c>
      <c r="R15" s="116" t="n">
        <f aca="false">IF($B15="","",SUMIFS('الحركات الشهرية'!$H$6:$H$1005,'الحركات الشهرية'!$B$6:$B$1005,$B15,'الحركات الشهرية'!$A$6:$A$1005,$C$3))</f>
        <v>0</v>
      </c>
      <c r="S15" s="116" t="n">
        <f aca="false">IF($B15="","",SUMIFS('سجل الإجازات والحالات'!$N$6:$N$505,'سجل الإجازات والحالات'!$B$6:$B$505,$B15,'سجل الإجازات والحالات'!$O$6:$O$505,$C$3))</f>
        <v>0</v>
      </c>
      <c r="T15" s="157" t="n">
        <f aca="false">IF($B15="","",SUM(K15:N15)+SUM(P15:S15))</f>
        <v>0</v>
      </c>
      <c r="U15" s="116" t="n">
        <f aca="false">IF($B15="","",الموظفون!$S15*IF(E15="سعودي",cfg_G_SE,cfg_G_NE)*G15/cfg_DAYS_M)</f>
        <v>0</v>
      </c>
      <c r="V15" s="116" t="n">
        <f aca="false">IF($B15="","",SUMIFS('الحركات الشهرية'!$I$6:$I$1005,'الحركات الشهرية'!$B$6:$B$1005,$B15,'الحركات الشهرية'!$A$6:$A$1005,$C$3))</f>
        <v>0</v>
      </c>
      <c r="W15" s="116" t="n">
        <f aca="false">IF($B15="","",SUMIFS('الحركات الشهرية'!$J$6:$J$1005,'الحركات الشهرية'!$B$6:$B$1005,$B15,'الحركات الشهرية'!$A$6:$A$1005,$C$3))</f>
        <v>0</v>
      </c>
      <c r="X15" s="116" t="n">
        <f aca="false">IF($B15="","",SUM(U15:W15))</f>
        <v>0</v>
      </c>
      <c r="Y15" s="158" t="n">
        <f aca="false">IF($B15="","",T15-X15)</f>
        <v>0</v>
      </c>
      <c r="Z15" s="116" t="n">
        <f aca="false">IF($B15="","",الموظفون!$S15*IF(E15="سعودي",cfg_G_SR,cfg_G_NR)*G15/cfg_DAYS_M)</f>
        <v>0</v>
      </c>
      <c r="AA15" s="116" t="n">
        <f aca="false">IF($B15="","",الموظفون!$Q15*(cfg_EOS_R1*(MIN(AH15,cfg_EOS_TH)-MIN(AI15,cfg_EOS_TH))+cfg_EOS_R2*(MAX(AH15-cfg_EOS_TH,0)-MAX(AI15-cfg_EOS_TH,0))))</f>
        <v>0</v>
      </c>
      <c r="AB15" s="116" t="n">
        <f aca="false">IF($B15="","",IF(الموظفون!$T15&lt;&gt;"",الموظفون!$T15,IF(AH15&gt;=cfg_LV_TH,cfg_LV_D2,cfg_LV_D1))/cfg_DAYS_Y*AJ15*الموظفون!$R15/cfg_DAYS_M)</f>
        <v>0</v>
      </c>
      <c r="AC15" s="116" t="n">
        <f aca="false">IF($B15="","",IF(AND(الموظفون!$U15="نعم",N(الموظفون!$W15)&gt;0),الموظفون!$V15/الموظفون!$W15*12/cfg_DAYS_Y*AJ15,0))</f>
        <v>0</v>
      </c>
      <c r="AD15" s="116" t="n">
        <f aca="false">IF($B15="","",(IF(الموظفون!$X15&lt;&gt;"",الموظفون!$X15,IF(الموظفون!$E15="غير سعودي",cfg_IQ,0))+IF(الموظفون!$Y15&lt;&gt;"",الموظفون!$Y15,IF(الموظفون!$E15="غير سعودي",cfg_WP,0)))/12*G15/cfg_DAYS_M)</f>
        <v>0</v>
      </c>
      <c r="AE15" s="116" t="n">
        <f aca="false">IF($B15="","",IF(الموظفون!$Z15&lt;&gt;"",الموظفون!$Z15,cfg_MED)/12*G15/cfg_DAYS_M)</f>
        <v>0</v>
      </c>
      <c r="AF15" s="116" t="n">
        <f aca="false">IF($B15="","",N(الموظفون!$AA15)/12*G15/cfg_DAYS_M)</f>
        <v>0</v>
      </c>
      <c r="AG15" s="159" t="n">
        <f aca="false">IF($B15="","",T15+SUM(Z15:AF15))</f>
        <v>0</v>
      </c>
      <c r="AH15" s="160" t="n">
        <f aca="false">IF($B15="","",MAX(0,IF(OR(الموظفون!$AE15="",الموظفون!$AE15&gt;$F$3),$F$3,الموظفون!$AE15)-الموظفون!$H15+1-SUMIFS('سجل الإجازات والحالات'!$AJ$6:$AJ$505,'سجل الإجازات والحالات'!$B$6:$B$505,$B15))/cfg_DAYS_Y)</f>
        <v>0</v>
      </c>
      <c r="AI15" s="160" t="n">
        <f aca="false">IF($B15="","",MAX(0,IF(OR(الموظفون!$AE15="",الموظفون!$AE15&gt;($E$3-1)),($E$3-1),الموظفون!$AE15)-الموظفون!$H15+1-SUMIFS('سجل الإجازات والحالات'!$AI$6:$AI$505,'سجل الإجازات والحالات'!$B$6:$B$505,$B15))/cfg_DAYS_Y)</f>
        <v>0</v>
      </c>
      <c r="AJ15" s="133" t="n">
        <f aca="false">IF($B15="","",MAX(0,AK15-(SUMIFS('سجل الإجازات والحالات'!$AJ$6:$AJ$505,'سجل الإجازات والحالات'!$B$6:$B$505,$B15)-SUMIFS('سجل الإجازات والحالات'!$AI$6:$AI$505,'سجل الإجازات والحالات'!$B$6:$B$505,$B15))))</f>
        <v>0</v>
      </c>
      <c r="AK15" s="133" t="n">
        <f aca="false">IF($B15="","",MAX(0,IF(OR(الموظفون!$AE15="",الموظفون!$AE15&gt;$F$3),$F$3,الموظفون!$AE15)-MAX($E$3,الموظفون!$H15)+1))</f>
        <v>0</v>
      </c>
      <c r="AL15" s="156" t="n">
        <f aca="false">IF($B15="","",SUMIFS('سجل الإجازات والحالات'!$AV$6:$AV$505,'سجل الإجازات والحالات'!$B$6:$B$505,$B15)+SUMIFS('الحركات الشهرية'!$K$6:$K$1005,'الحركات الشهرية'!$B$6:$B$1005,$B15,'الحركات الشهرية'!$A$6:$A$1005,$C$3))</f>
        <v>0</v>
      </c>
      <c r="AM15" s="116" t="n">
        <f aca="false">IF($B15="","",AL15*الموظفون!$R15/cfg_DAYS_M+S15)</f>
        <v>0</v>
      </c>
      <c r="AN15" s="156" t="n">
        <f aca="false">IF($B15="","",SUMIFS('سجل الإجازات والحالات'!$X$6:$X$505,'سجل الإجازات والحالات'!$B$6:$B$505,$B15))</f>
        <v>0</v>
      </c>
    </row>
    <row r="16" customFormat="false" ht="15" hidden="false" customHeight="false" outlineLevel="0" collapsed="false">
      <c r="A16" s="106" t="n">
        <f aca="false">IF($B16="","",الموظفون!$A16)</f>
        <v>11</v>
      </c>
      <c r="B16" s="114" t="str">
        <f aca="false">IF(الموظفون!$B16="","",الموظفون!$B16)</f>
        <v>E011</v>
      </c>
      <c r="C16" s="114" t="str">
        <f aca="false">IF($B16="","",الموظفون!$C16)</f>
        <v>جون ماتيو</v>
      </c>
      <c r="D16" s="114" t="str">
        <f aca="false">IF($B16="","",الموظفون!$F16)</f>
        <v>العمليات</v>
      </c>
      <c r="E16" s="114" t="str">
        <f aca="false">IF($B16="","",الموظفون!$E16)</f>
        <v>غير سعودي</v>
      </c>
      <c r="F16" s="114" t="str">
        <f aca="false">IF($B16="","",IF(AK16=0,IF(AND(الموظفون!$AE16&lt;&gt;"",الموظفون!$AE16&lt;$E$3),"✖ منتهي الخدمة","⏳ لم يباشر"),IF(S16&gt;0,"✈ راتب إجازة مقدم",IF(J16=0,"⛔ بدون راتب هذا الشهر",IF(I16&gt;0,"✈ خصم "&amp;ROUND(I16,2)&amp;" يوم بدون أجر",IF(AL16&gt;0,"🌴 إجازة سنوية "&amp;ROUND(AL16,2)&amp;" يوم",IF(H16&gt;0,"⚠ غياب "&amp;ROUND(H16,2)&amp;" يوم","✔ على رأس العمل")))))))</f>
        <v>✔ على رأس العمل</v>
      </c>
      <c r="G16" s="151" t="n">
        <f aca="false">IF($B16="","",IF(AK16&gt;=DAY($F$3),cfg_DAYS_M,MIN(AK16,cfg_DAYS_M)))</f>
        <v>30</v>
      </c>
      <c r="H16" s="151" t="n">
        <f aca="false">IF($B16="","",SUMIFS('الحركات الشهرية'!$D$6:$D$1005,'الحركات الشهرية'!$B$6:$B$1005,$B16,'الحركات الشهرية'!$A$6:$A$1005,$C$3))</f>
        <v>0</v>
      </c>
      <c r="I16" s="151" t="n">
        <f aca="false">IF($B16="","",MIN(G16,IF(AND(AK16&gt;0,AN16&gt;=AK16),G16,AN16)+SUMIFS('الحركات الشهرية'!$E$6:$E$1005,'الحركات الشهرية'!$B$6:$B$1005,$B16,'الحركات الشهرية'!$A$6:$A$1005,$C$3)))</f>
        <v>0</v>
      </c>
      <c r="J16" s="151" t="n">
        <f aca="false">IF($B16="","",MAX(0,G16-H16-I16))</f>
        <v>30</v>
      </c>
      <c r="K16" s="111" t="n">
        <f aca="false">IF($B16="","",الموظفون!$L16*$J16/cfg_DAYS_M)</f>
        <v>5000</v>
      </c>
      <c r="L16" s="111" t="n">
        <f aca="false">IF($B16="","",الموظفون!$M16*$J16/cfg_DAYS_M)</f>
        <v>1250</v>
      </c>
      <c r="M16" s="111" t="n">
        <f aca="false">IF($B16="","",الموظفون!$N16*$J16/cfg_DAYS_M)</f>
        <v>500</v>
      </c>
      <c r="N16" s="111" t="n">
        <f aca="false">IF($B16="","",الموظفون!$O16*$J16/cfg_DAYS_M)</f>
        <v>0</v>
      </c>
      <c r="O16" s="151" t="n">
        <f aca="false">IF($B16="","",SUMIFS('الحركات الشهرية'!$F$6:$F$1005,'الحركات الشهرية'!$B$6:$B$1005,$B16,'الحركات الشهرية'!$A$6:$A$1005,$C$3))</f>
        <v>0</v>
      </c>
      <c r="P16" s="111" t="n">
        <f aca="false">IF($B16="","",O16*(الموظفون!$P16+الموظفون!$L16*cfg_OT_P)/cfg_DAYS_M/cfg_HRS)</f>
        <v>0</v>
      </c>
      <c r="Q16" s="111" t="n">
        <f aca="false">IF($B16="","",SUMIFS('الحركات الشهرية'!$G$6:$G$1005,'الحركات الشهرية'!$B$6:$B$1005,$B16,'الحركات الشهرية'!$A$6:$A$1005,$C$3))</f>
        <v>0</v>
      </c>
      <c r="R16" s="111" t="n">
        <f aca="false">IF($B16="","",SUMIFS('الحركات الشهرية'!$H$6:$H$1005,'الحركات الشهرية'!$B$6:$B$1005,$B16,'الحركات الشهرية'!$A$6:$A$1005,$C$3))</f>
        <v>0</v>
      </c>
      <c r="S16" s="111" t="n">
        <f aca="false">IF($B16="","",SUMIFS('سجل الإجازات والحالات'!$N$6:$N$505,'سجل الإجازات والحالات'!$B$6:$B$505,$B16,'سجل الإجازات والحالات'!$O$6:$O$505,$C$3))</f>
        <v>0</v>
      </c>
      <c r="T16" s="152" t="n">
        <f aca="false">IF($B16="","",SUM(K16:N16)+SUM(P16:S16))</f>
        <v>6750</v>
      </c>
      <c r="U16" s="111" t="n">
        <f aca="false">IF($B16="","",الموظفون!$S16*IF(E16="سعودي",cfg_G_SE,cfg_G_NE)*G16/cfg_DAYS_M)</f>
        <v>0</v>
      </c>
      <c r="V16" s="111" t="n">
        <f aca="false">IF($B16="","",SUMIFS('الحركات الشهرية'!$I$6:$I$1005,'الحركات الشهرية'!$B$6:$B$1005,$B16,'الحركات الشهرية'!$A$6:$A$1005,$C$3))</f>
        <v>0</v>
      </c>
      <c r="W16" s="111" t="n">
        <f aca="false">IF($B16="","",SUMIFS('الحركات الشهرية'!$J$6:$J$1005,'الحركات الشهرية'!$B$6:$B$1005,$B16,'الحركات الشهرية'!$A$6:$A$1005,$C$3))</f>
        <v>0</v>
      </c>
      <c r="X16" s="111" t="n">
        <f aca="false">IF($B16="","",SUM(U16:W16))</f>
        <v>0</v>
      </c>
      <c r="Y16" s="153" t="n">
        <f aca="false">IF($B16="","",T16-X16)</f>
        <v>6750</v>
      </c>
      <c r="Z16" s="111" t="n">
        <f aca="false">IF($B16="","",الموظفون!$S16*IF(E16="سعودي",cfg_G_SR,cfg_G_NR)*G16/cfg_DAYS_M)</f>
        <v>125</v>
      </c>
      <c r="AA16" s="111" t="n">
        <f aca="false">IF($B16="","",الموظفون!$Q16*(cfg_EOS_R1*(MIN(AH16,cfg_EOS_TH)-MIN(AI16,cfg_EOS_TH))+cfg_EOS_R2*(MAX(AH16-cfg_EOS_TH,0)-MAX(AI16-cfg_EOS_TH,0))))</f>
        <v>573.287671232874</v>
      </c>
      <c r="AB16" s="111" t="n">
        <f aca="false">IF($B16="","",IF(الموظفون!$T16&lt;&gt;"",الموظفون!$T16,IF(AH16&gt;=cfg_LV_TH,cfg_LV_D2,cfg_LV_D1))/cfg_DAYS_Y*AJ16*الموظفون!$R16/cfg_DAYS_M)</f>
        <v>573.287671232877</v>
      </c>
      <c r="AC16" s="111" t="n">
        <f aca="false">IF($B16="","",IF(AND(الموظفون!$U16="نعم",N(الموظفون!$W16)&gt;0),الموظفون!$V16/الموظفون!$W16*12/cfg_DAYS_Y*AJ16,0))</f>
        <v>110.41095890411</v>
      </c>
      <c r="AD16" s="111" t="n">
        <f aca="false">IF($B16="","",(IF(الموظفون!$X16&lt;&gt;"",الموظفون!$X16,IF(الموظفون!$E16="غير سعودي",cfg_IQ,0))+IF(الموظفون!$Y16&lt;&gt;"",الموظفون!$Y16,IF(الموظفون!$E16="غير سعودي",cfg_WP,0)))/12*G16/cfg_DAYS_M)</f>
        <v>854.166666666667</v>
      </c>
      <c r="AE16" s="111" t="n">
        <f aca="false">IF($B16="","",IF(الموظفون!$Z16&lt;&gt;"",الموظفون!$Z16,cfg_MED)/12*G16/cfg_DAYS_M)</f>
        <v>150</v>
      </c>
      <c r="AF16" s="111" t="n">
        <f aca="false">IF($B16="","",N(الموظفون!$AA16)/12*G16/cfg_DAYS_M)</f>
        <v>0</v>
      </c>
      <c r="AG16" s="154" t="n">
        <f aca="false">IF($B16="","",T16+SUM(Z16:AF16))</f>
        <v>9136.15296803653</v>
      </c>
      <c r="AH16" s="155" t="n">
        <f aca="false">IF($B16="","",MAX(0,IF(OR(الموظفون!$AE16="",الموظفون!$AE16&gt;$F$3),$F$3,الموظفون!$AE16)-الموظفون!$H16+1-SUMIFS('سجل الإجازات والحالات'!$AJ$6:$AJ$505,'سجل الإجازات والحالات'!$B$6:$B$505,$B16))/cfg_DAYS_Y)</f>
        <v>7.09041095890411</v>
      </c>
      <c r="AI16" s="155" t="n">
        <f aca="false">IF($B16="","",MAX(0,IF(OR(الموظفون!$AE16="",الموظفون!$AE16&gt;($E$3-1)),($E$3-1),الموظفون!$AE16)-الموظفون!$H16+1-SUMIFS('سجل الإجازات والحالات'!$AI$6:$AI$505,'سجل الإجازات والحالات'!$B$6:$B$505,$B16))/cfg_DAYS_Y)</f>
        <v>7.0054794520548</v>
      </c>
      <c r="AJ16" s="65" t="n">
        <f aca="false">IF($B16="","",MAX(0,AK16-(SUMIFS('سجل الإجازات والحالات'!$AJ$6:$AJ$505,'سجل الإجازات والحالات'!$B$6:$B$505,$B16)-SUMIFS('سجل الإجازات والحالات'!$AI$6:$AI$505,'سجل الإجازات والحالات'!$B$6:$B$505,$B16))))</f>
        <v>31</v>
      </c>
      <c r="AK16" s="65" t="n">
        <f aca="false">IF($B16="","",MAX(0,IF(OR(الموظفون!$AE16="",الموظفون!$AE16&gt;$F$3),$F$3,الموظفون!$AE16)-MAX($E$3,الموظفون!$H16)+1))</f>
        <v>31</v>
      </c>
      <c r="AL16" s="151" t="n">
        <f aca="false">IF($B16="","",SUMIFS('سجل الإجازات والحالات'!$AV$6:$AV$505,'سجل الإجازات والحالات'!$B$6:$B$505,$B16)+SUMIFS('الحركات الشهرية'!$K$6:$K$1005,'الحركات الشهرية'!$B$6:$B$1005,$B16,'الحركات الشهرية'!$A$6:$A$1005,$C$3))</f>
        <v>0</v>
      </c>
      <c r="AM16" s="111" t="n">
        <f aca="false">IF($B16="","",AL16*الموظفون!$R16/cfg_DAYS_M+S16)</f>
        <v>0</v>
      </c>
      <c r="AN16" s="151" t="n">
        <f aca="false">IF($B16="","",SUMIFS('سجل الإجازات والحالات'!$X$6:$X$505,'سجل الإجازات والحالات'!$B$6:$B$505,$B16))</f>
        <v>0</v>
      </c>
    </row>
    <row r="17" customFormat="false" ht="15" hidden="false" customHeight="false" outlineLevel="0" collapsed="false">
      <c r="A17" s="115" t="n">
        <f aca="false">IF($B17="","",الموظفون!$A17)</f>
        <v>12</v>
      </c>
      <c r="B17" s="117" t="str">
        <f aca="false">IF(الموظفون!$B17="","",الموظفون!$B17)</f>
        <v>E012</v>
      </c>
      <c r="C17" s="117" t="str">
        <f aca="false">IF($B17="","",الموظفون!$C17)</f>
        <v>عمر حسين البيشي</v>
      </c>
      <c r="D17" s="117" t="str">
        <f aca="false">IF($B17="","",الموظفون!$F17)</f>
        <v>تقنية المعلومات</v>
      </c>
      <c r="E17" s="117" t="str">
        <f aca="false">IF($B17="","",الموظفون!$E17)</f>
        <v>سعودي</v>
      </c>
      <c r="F17" s="117" t="str">
        <f aca="false">IF($B17="","",IF(AK17=0,IF(AND(الموظفون!$AE17&lt;&gt;"",الموظفون!$AE17&lt;$E$3),"✖ منتهي الخدمة","⏳ لم يباشر"),IF(S17&gt;0,"✈ راتب إجازة مقدم",IF(J17=0,"⛔ بدون راتب هذا الشهر",IF(I17&gt;0,"✈ خصم "&amp;ROUND(I17,2)&amp;" يوم بدون أجر",IF(AL17&gt;0,"🌴 إجازة سنوية "&amp;ROUND(AL17,2)&amp;" يوم",IF(H17&gt;0,"⚠ غياب "&amp;ROUND(H17,2)&amp;" يوم","✔ على رأس العمل")))))))</f>
        <v>✔ على رأس العمل</v>
      </c>
      <c r="G17" s="156" t="n">
        <f aca="false">IF($B17="","",IF(AK17&gt;=DAY($F$3),cfg_DAYS_M,MIN(AK17,cfg_DAYS_M)))</f>
        <v>30</v>
      </c>
      <c r="H17" s="156" t="n">
        <f aca="false">IF($B17="","",SUMIFS('الحركات الشهرية'!$D$6:$D$1005,'الحركات الشهرية'!$B$6:$B$1005,$B17,'الحركات الشهرية'!$A$6:$A$1005,$C$3))</f>
        <v>0</v>
      </c>
      <c r="I17" s="156" t="n">
        <f aca="false">IF($B17="","",MIN(G17,IF(AND(AK17&gt;0,AN17&gt;=AK17),G17,AN17)+SUMIFS('الحركات الشهرية'!$E$6:$E$1005,'الحركات الشهرية'!$B$6:$B$1005,$B17,'الحركات الشهرية'!$A$6:$A$1005,$C$3)))</f>
        <v>0</v>
      </c>
      <c r="J17" s="156" t="n">
        <f aca="false">IF($B17="","",MAX(0,G17-H17-I17))</f>
        <v>30</v>
      </c>
      <c r="K17" s="116" t="n">
        <f aca="false">IF($B17="","",الموظفون!$L17*$J17/cfg_DAYS_M)</f>
        <v>12000</v>
      </c>
      <c r="L17" s="116" t="n">
        <f aca="false">IF($B17="","",الموظفون!$M17*$J17/cfg_DAYS_M)</f>
        <v>3000</v>
      </c>
      <c r="M17" s="116" t="n">
        <f aca="false">IF($B17="","",الموظفون!$N17*$J17/cfg_DAYS_M)</f>
        <v>1200</v>
      </c>
      <c r="N17" s="116" t="n">
        <f aca="false">IF($B17="","",الموظفون!$O17*$J17/cfg_DAYS_M)</f>
        <v>1500</v>
      </c>
      <c r="O17" s="156" t="n">
        <f aca="false">IF($B17="","",SUMIFS('الحركات الشهرية'!$F$6:$F$1005,'الحركات الشهرية'!$B$6:$B$1005,$B17,'الحركات الشهرية'!$A$6:$A$1005,$C$3))</f>
        <v>0</v>
      </c>
      <c r="P17" s="116" t="n">
        <f aca="false">IF($B17="","",O17*(الموظفون!$P17+الموظفون!$L17*cfg_OT_P)/cfg_DAYS_M/cfg_HRS)</f>
        <v>0</v>
      </c>
      <c r="Q17" s="116" t="n">
        <f aca="false">IF($B17="","",SUMIFS('الحركات الشهرية'!$G$6:$G$1005,'الحركات الشهرية'!$B$6:$B$1005,$B17,'الحركات الشهرية'!$A$6:$A$1005,$C$3))</f>
        <v>0</v>
      </c>
      <c r="R17" s="116" t="n">
        <f aca="false">IF($B17="","",SUMIFS('الحركات الشهرية'!$H$6:$H$1005,'الحركات الشهرية'!$B$6:$B$1005,$B17,'الحركات الشهرية'!$A$6:$A$1005,$C$3))</f>
        <v>0</v>
      </c>
      <c r="S17" s="116" t="n">
        <f aca="false">IF($B17="","",SUMIFS('سجل الإجازات والحالات'!$N$6:$N$505,'سجل الإجازات والحالات'!$B$6:$B$505,$B17,'سجل الإجازات والحالات'!$O$6:$O$505,$C$3))</f>
        <v>0</v>
      </c>
      <c r="T17" s="157" t="n">
        <f aca="false">IF($B17="","",SUM(K17:N17)+SUM(P17:S17))</f>
        <v>17700</v>
      </c>
      <c r="U17" s="116" t="n">
        <f aca="false">IF($B17="","",الموظفون!$S17*IF(E17="سعودي",cfg_G_SE,cfg_G_NE)*G17/cfg_DAYS_M)</f>
        <v>1462.5</v>
      </c>
      <c r="V17" s="116" t="n">
        <f aca="false">IF($B17="","",SUMIFS('الحركات الشهرية'!$I$6:$I$1005,'الحركات الشهرية'!$B$6:$B$1005,$B17,'الحركات الشهرية'!$A$6:$A$1005,$C$3))</f>
        <v>0</v>
      </c>
      <c r="W17" s="116" t="n">
        <f aca="false">IF($B17="","",SUMIFS('الحركات الشهرية'!$J$6:$J$1005,'الحركات الشهرية'!$B$6:$B$1005,$B17,'الحركات الشهرية'!$A$6:$A$1005,$C$3))</f>
        <v>0</v>
      </c>
      <c r="X17" s="116" t="n">
        <f aca="false">IF($B17="","",SUM(U17:W17))</f>
        <v>1462.5</v>
      </c>
      <c r="Y17" s="158" t="n">
        <f aca="false">IF($B17="","",T17-X17)</f>
        <v>16237.5</v>
      </c>
      <c r="Z17" s="116" t="n">
        <f aca="false">IF($B17="","",الموظفون!$S17*IF(E17="سعودي",cfg_G_SR,cfg_G_NR)*G17/cfg_DAYS_M)</f>
        <v>1762.5</v>
      </c>
      <c r="AA17" s="116" t="n">
        <f aca="false">IF($B17="","",الموظفون!$Q17*(cfg_EOS_R1*(MIN(AH17,cfg_EOS_TH)-MIN(AI17,cfg_EOS_TH))+cfg_EOS_R2*(MAX(AH17-cfg_EOS_TH,0)-MAX(AI17-cfg_EOS_TH,0))))</f>
        <v>687.945205479452</v>
      </c>
      <c r="AB17" s="116" t="n">
        <f aca="false">IF($B17="","",IF(الموظفون!$T17&lt;&gt;"",الموظفون!$T17,IF(AH17&gt;=cfg_LV_TH,cfg_LV_D2,cfg_LV_D1))/cfg_DAYS_Y*AJ17*الموظفون!$R17/cfg_DAYS_M)</f>
        <v>963.123287671233</v>
      </c>
      <c r="AC17" s="116" t="n">
        <f aca="false">IF($B17="","",IF(AND(الموظفون!$U17="نعم",N(الموظفون!$W17)&gt;0),الموظفون!$V17/الموظفون!$W17*12/cfg_DAYS_Y*AJ17,0))</f>
        <v>0</v>
      </c>
      <c r="AD17" s="116" t="n">
        <f aca="false">IF($B17="","",(IF(الموظفون!$X17&lt;&gt;"",الموظفون!$X17,IF(الموظفون!$E17="غير سعودي",cfg_IQ,0))+IF(الموظفون!$Y17&lt;&gt;"",الموظفون!$Y17,IF(الموظفون!$E17="غير سعودي",cfg_WP,0)))/12*G17/cfg_DAYS_M)</f>
        <v>0</v>
      </c>
      <c r="AE17" s="116" t="n">
        <f aca="false">IF($B17="","",IF(الموظفون!$Z17&lt;&gt;"",الموظفون!$Z17,cfg_MED)/12*G17/cfg_DAYS_M)</f>
        <v>200</v>
      </c>
      <c r="AF17" s="116" t="n">
        <f aca="false">IF($B17="","",N(الموظفون!$AA17)/12*G17/cfg_DAYS_M)</f>
        <v>0</v>
      </c>
      <c r="AG17" s="159" t="n">
        <f aca="false">IF($B17="","",T17+SUM(Z17:AF17))</f>
        <v>21313.5684931507</v>
      </c>
      <c r="AH17" s="160" t="n">
        <f aca="false">IF($B17="","",MAX(0,IF(OR(الموظفون!$AE17="",الموظفون!$AE17&gt;$F$3),$F$3,الموظفون!$AE17)-الموظفون!$H17+1-SUMIFS('سجل الإجازات والحالات'!$AJ$6:$AJ$505,'سجل الإجازات والحالات'!$B$6:$B$505,$B17))/cfg_DAYS_Y)</f>
        <v>3.72876712328767</v>
      </c>
      <c r="AI17" s="160" t="n">
        <f aca="false">IF($B17="","",MAX(0,IF(OR(الموظفون!$AE17="",الموظفون!$AE17&gt;($E$3-1)),($E$3-1),الموظفون!$AE17)-الموظفون!$H17+1-SUMIFS('سجل الإجازات والحالات'!$AI$6:$AI$505,'سجل الإجازات والحالات'!$B$6:$B$505,$B17))/cfg_DAYS_Y)</f>
        <v>3.64383561643836</v>
      </c>
      <c r="AJ17" s="133" t="n">
        <f aca="false">IF($B17="","",MAX(0,AK17-(SUMIFS('سجل الإجازات والحالات'!$AJ$6:$AJ$505,'سجل الإجازات والحالات'!$B$6:$B$505,$B17)-SUMIFS('سجل الإجازات والحالات'!$AI$6:$AI$505,'سجل الإجازات والحالات'!$B$6:$B$505,$B17))))</f>
        <v>31</v>
      </c>
      <c r="AK17" s="133" t="n">
        <f aca="false">IF($B17="","",MAX(0,IF(OR(الموظفون!$AE17="",الموظفون!$AE17&gt;$F$3),$F$3,الموظفون!$AE17)-MAX($E$3,الموظفون!$H17)+1))</f>
        <v>31</v>
      </c>
      <c r="AL17" s="156" t="n">
        <f aca="false">IF($B17="","",SUMIFS('سجل الإجازات والحالات'!$AV$6:$AV$505,'سجل الإجازات والحالات'!$B$6:$B$505,$B17)+SUMIFS('الحركات الشهرية'!$K$6:$K$1005,'الحركات الشهرية'!$B$6:$B$1005,$B17,'الحركات الشهرية'!$A$6:$A$1005,$C$3))</f>
        <v>0</v>
      </c>
      <c r="AM17" s="116" t="n">
        <f aca="false">IF($B17="","",AL17*الموظفون!$R17/cfg_DAYS_M+S17)</f>
        <v>0</v>
      </c>
      <c r="AN17" s="156" t="n">
        <f aca="false">IF($B17="","",SUMIFS('سجل الإجازات والحالات'!$X$6:$X$505,'سجل الإجازات والحالات'!$B$6:$B$505,$B17))</f>
        <v>0</v>
      </c>
    </row>
    <row r="18" customFormat="false" ht="15" hidden="false" customHeight="false" outlineLevel="0" collapsed="false">
      <c r="A18" s="106" t="str">
        <f aca="false">IF($B18="","",الموظفون!$A18)</f>
        <v/>
      </c>
      <c r="B18" s="114" t="str">
        <f aca="false">IF(الموظفون!$B18="","",الموظفون!$B18)</f>
        <v/>
      </c>
      <c r="C18" s="114" t="str">
        <f aca="false">IF($B18="","",الموظفون!$C18)</f>
        <v/>
      </c>
      <c r="D18" s="114" t="str">
        <f aca="false">IF($B18="","",الموظفون!$F18)</f>
        <v/>
      </c>
      <c r="E18" s="114" t="str">
        <f aca="false">IF($B18="","",الموظفون!$E18)</f>
        <v/>
      </c>
      <c r="F18" s="114" t="str">
        <f aca="false">IF($B18="","",IF(AK18=0,IF(AND(الموظفون!$AE18&lt;&gt;"",الموظفون!$AE18&lt;$E$3),"✖ منتهي الخدمة","⏳ لم يباشر"),IF(S18&gt;0,"✈ راتب إجازة مقدم",IF(J18=0,"⛔ بدون راتب هذا الشهر",IF(I18&gt;0,"✈ خصم "&amp;ROUND(I18,2)&amp;" يوم بدون أجر",IF(AL18&gt;0,"🌴 إجازة سنوية "&amp;ROUND(AL18,2)&amp;" يوم",IF(H18&gt;0,"⚠ غياب "&amp;ROUND(H18,2)&amp;" يوم","✔ على رأس العمل")))))))</f>
        <v/>
      </c>
      <c r="G18" s="151" t="str">
        <f aca="false">IF($B18="","",IF(AK18&gt;=DAY($F$3),cfg_DAYS_M,MIN(AK18,cfg_DAYS_M)))</f>
        <v/>
      </c>
      <c r="H18" s="151" t="str">
        <f aca="false">IF($B18="","",SUMIFS('الحركات الشهرية'!$D$6:$D$1005,'الحركات الشهرية'!$B$6:$B$1005,$B18,'الحركات الشهرية'!$A$6:$A$1005,$C$3))</f>
        <v/>
      </c>
      <c r="I18" s="151" t="str">
        <f aca="false">IF($B18="","",MIN(G18,IF(AND(AK18&gt;0,AN18&gt;=AK18),G18,AN18)+SUMIFS('الحركات الشهرية'!$E$6:$E$1005,'الحركات الشهرية'!$B$6:$B$1005,$B18,'الحركات الشهرية'!$A$6:$A$1005,$C$3)))</f>
        <v/>
      </c>
      <c r="J18" s="151" t="str">
        <f aca="false">IF($B18="","",MAX(0,G18-H18-I18))</f>
        <v/>
      </c>
      <c r="K18" s="111" t="str">
        <f aca="false">IF($B18="","",الموظفون!$L18*$J18/cfg_DAYS_M)</f>
        <v/>
      </c>
      <c r="L18" s="111" t="str">
        <f aca="false">IF($B18="","",الموظفون!$M18*$J18/cfg_DAYS_M)</f>
        <v/>
      </c>
      <c r="M18" s="111" t="str">
        <f aca="false">IF($B18="","",الموظفون!$N18*$J18/cfg_DAYS_M)</f>
        <v/>
      </c>
      <c r="N18" s="111" t="str">
        <f aca="false">IF($B18="","",الموظفون!$O18*$J18/cfg_DAYS_M)</f>
        <v/>
      </c>
      <c r="O18" s="151" t="str">
        <f aca="false">IF($B18="","",SUMIFS('الحركات الشهرية'!$F$6:$F$1005,'الحركات الشهرية'!$B$6:$B$1005,$B18,'الحركات الشهرية'!$A$6:$A$1005,$C$3))</f>
        <v/>
      </c>
      <c r="P18" s="111" t="str">
        <f aca="false">IF($B18="","",O18*(الموظفون!$P18+الموظفون!$L18*cfg_OT_P)/cfg_DAYS_M/cfg_HRS)</f>
        <v/>
      </c>
      <c r="Q18" s="111" t="str">
        <f aca="false">IF($B18="","",SUMIFS('الحركات الشهرية'!$G$6:$G$1005,'الحركات الشهرية'!$B$6:$B$1005,$B18,'الحركات الشهرية'!$A$6:$A$1005,$C$3))</f>
        <v/>
      </c>
      <c r="R18" s="111" t="str">
        <f aca="false">IF($B18="","",SUMIFS('الحركات الشهرية'!$H$6:$H$1005,'الحركات الشهرية'!$B$6:$B$1005,$B18,'الحركات الشهرية'!$A$6:$A$1005,$C$3))</f>
        <v/>
      </c>
      <c r="S18" s="111" t="str">
        <f aca="false">IF($B18="","",SUMIFS('سجل الإجازات والحالات'!$N$6:$N$505,'سجل الإجازات والحالات'!$B$6:$B$505,$B18,'سجل الإجازات والحالات'!$O$6:$O$505,$C$3))</f>
        <v/>
      </c>
      <c r="T18" s="152" t="str">
        <f aca="false">IF($B18="","",SUM(K18:N18)+SUM(P18:S18))</f>
        <v/>
      </c>
      <c r="U18" s="111" t="str">
        <f aca="false">IF($B18="","",الموظفون!$S18*IF(E18="سعودي",cfg_G_SE,cfg_G_NE)*G18/cfg_DAYS_M)</f>
        <v/>
      </c>
      <c r="V18" s="111" t="str">
        <f aca="false">IF($B18="","",SUMIFS('الحركات الشهرية'!$I$6:$I$1005,'الحركات الشهرية'!$B$6:$B$1005,$B18,'الحركات الشهرية'!$A$6:$A$1005,$C$3))</f>
        <v/>
      </c>
      <c r="W18" s="111" t="str">
        <f aca="false">IF($B18="","",SUMIFS('الحركات الشهرية'!$J$6:$J$1005,'الحركات الشهرية'!$B$6:$B$1005,$B18,'الحركات الشهرية'!$A$6:$A$1005,$C$3))</f>
        <v/>
      </c>
      <c r="X18" s="111" t="str">
        <f aca="false">IF($B18="","",SUM(U18:W18))</f>
        <v/>
      </c>
      <c r="Y18" s="153" t="str">
        <f aca="false">IF($B18="","",T18-X18)</f>
        <v/>
      </c>
      <c r="Z18" s="111" t="str">
        <f aca="false">IF($B18="","",الموظفون!$S18*IF(E18="سعودي",cfg_G_SR,cfg_G_NR)*G18/cfg_DAYS_M)</f>
        <v/>
      </c>
      <c r="AA18" s="111" t="str">
        <f aca="false">IF($B18="","",الموظفون!$Q18*(cfg_EOS_R1*(MIN(AH18,cfg_EOS_TH)-MIN(AI18,cfg_EOS_TH))+cfg_EOS_R2*(MAX(AH18-cfg_EOS_TH,0)-MAX(AI18-cfg_EOS_TH,0))))</f>
        <v/>
      </c>
      <c r="AB18" s="111" t="str">
        <f aca="false">IF($B18="","",IF(الموظفون!$T18&lt;&gt;"",الموظفون!$T18,IF(AH18&gt;=cfg_LV_TH,cfg_LV_D2,cfg_LV_D1))/cfg_DAYS_Y*AJ18*الموظفون!$R18/cfg_DAYS_M)</f>
        <v/>
      </c>
      <c r="AC18" s="111" t="str">
        <f aca="false">IF($B18="","",IF(AND(الموظفون!$U18="نعم",N(الموظفون!$W18)&gt;0),الموظفون!$V18/الموظفون!$W18*12/cfg_DAYS_Y*AJ18,0))</f>
        <v/>
      </c>
      <c r="AD18" s="111" t="str">
        <f aca="false">IF($B18="","",(IF(الموظفون!$X18&lt;&gt;"",الموظفون!$X18,IF(الموظفون!$E18="غير سعودي",cfg_IQ,0))+IF(الموظفون!$Y18&lt;&gt;"",الموظفون!$Y18,IF(الموظفون!$E18="غير سعودي",cfg_WP,0)))/12*G18/cfg_DAYS_M)</f>
        <v/>
      </c>
      <c r="AE18" s="111" t="str">
        <f aca="false">IF($B18="","",IF(الموظفون!$Z18&lt;&gt;"",الموظفون!$Z18,cfg_MED)/12*G18/cfg_DAYS_M)</f>
        <v/>
      </c>
      <c r="AF18" s="111" t="str">
        <f aca="false">IF($B18="","",N(الموظفون!$AA18)/12*G18/cfg_DAYS_M)</f>
        <v/>
      </c>
      <c r="AG18" s="154" t="str">
        <f aca="false">IF($B18="","",T18+SUM(Z18:AF18))</f>
        <v/>
      </c>
      <c r="AH18" s="155" t="str">
        <f aca="false">IF($B18="","",MAX(0,IF(OR(الموظفون!$AE18="",الموظفون!$AE18&gt;$F$3),$F$3,الموظفون!$AE18)-الموظفون!$H18+1-SUMIFS('سجل الإجازات والحالات'!$AJ$6:$AJ$505,'سجل الإجازات والحالات'!$B$6:$B$505,$B18))/cfg_DAYS_Y)</f>
        <v/>
      </c>
      <c r="AI18" s="155" t="str">
        <f aca="false">IF($B18="","",MAX(0,IF(OR(الموظفون!$AE18="",الموظفون!$AE18&gt;($E$3-1)),($E$3-1),الموظفون!$AE18)-الموظفون!$H18+1-SUMIFS('سجل الإجازات والحالات'!$AI$6:$AI$505,'سجل الإجازات والحالات'!$B$6:$B$505,$B18))/cfg_DAYS_Y)</f>
        <v/>
      </c>
      <c r="AJ18" s="65" t="str">
        <f aca="false">IF($B18="","",MAX(0,AK18-(SUMIFS('سجل الإجازات والحالات'!$AJ$6:$AJ$505,'سجل الإجازات والحالات'!$B$6:$B$505,$B18)-SUMIFS('سجل الإجازات والحالات'!$AI$6:$AI$505,'سجل الإجازات والحالات'!$B$6:$B$505,$B18))))</f>
        <v/>
      </c>
      <c r="AK18" s="65" t="str">
        <f aca="false">IF($B18="","",MAX(0,IF(OR(الموظفون!$AE18="",الموظفون!$AE18&gt;$F$3),$F$3,الموظفون!$AE18)-MAX($E$3,الموظفون!$H18)+1))</f>
        <v/>
      </c>
      <c r="AL18" s="151" t="str">
        <f aca="false">IF($B18="","",SUMIFS('سجل الإجازات والحالات'!$AV$6:$AV$505,'سجل الإجازات والحالات'!$B$6:$B$505,$B18)+SUMIFS('الحركات الشهرية'!$K$6:$K$1005,'الحركات الشهرية'!$B$6:$B$1005,$B18,'الحركات الشهرية'!$A$6:$A$1005,$C$3))</f>
        <v/>
      </c>
      <c r="AM18" s="111" t="str">
        <f aca="false">IF($B18="","",AL18*الموظفون!$R18/cfg_DAYS_M+S18)</f>
        <v/>
      </c>
      <c r="AN18" s="151" t="str">
        <f aca="false">IF($B18="","",SUMIFS('سجل الإجازات والحالات'!$X$6:$X$505,'سجل الإجازات والحالات'!$B$6:$B$505,$B18))</f>
        <v/>
      </c>
    </row>
    <row r="19" customFormat="false" ht="15" hidden="false" customHeight="false" outlineLevel="0" collapsed="false">
      <c r="A19" s="115" t="str">
        <f aca="false">IF($B19="","",الموظفون!$A19)</f>
        <v/>
      </c>
      <c r="B19" s="117" t="str">
        <f aca="false">IF(الموظفون!$B19="","",الموظفون!$B19)</f>
        <v/>
      </c>
      <c r="C19" s="117" t="str">
        <f aca="false">IF($B19="","",الموظفون!$C19)</f>
        <v/>
      </c>
      <c r="D19" s="117" t="str">
        <f aca="false">IF($B19="","",الموظفون!$F19)</f>
        <v/>
      </c>
      <c r="E19" s="117" t="str">
        <f aca="false">IF($B19="","",الموظفون!$E19)</f>
        <v/>
      </c>
      <c r="F19" s="117" t="str">
        <f aca="false">IF($B19="","",IF(AK19=0,IF(AND(الموظفون!$AE19&lt;&gt;"",الموظفون!$AE19&lt;$E$3),"✖ منتهي الخدمة","⏳ لم يباشر"),IF(S19&gt;0,"✈ راتب إجازة مقدم",IF(J19=0,"⛔ بدون راتب هذا الشهر",IF(I19&gt;0,"✈ خصم "&amp;ROUND(I19,2)&amp;" يوم بدون أجر",IF(AL19&gt;0,"🌴 إجازة سنوية "&amp;ROUND(AL19,2)&amp;" يوم",IF(H19&gt;0,"⚠ غياب "&amp;ROUND(H19,2)&amp;" يوم","✔ على رأس العمل")))))))</f>
        <v/>
      </c>
      <c r="G19" s="156" t="str">
        <f aca="false">IF($B19="","",IF(AK19&gt;=DAY($F$3),cfg_DAYS_M,MIN(AK19,cfg_DAYS_M)))</f>
        <v/>
      </c>
      <c r="H19" s="156" t="str">
        <f aca="false">IF($B19="","",SUMIFS('الحركات الشهرية'!$D$6:$D$1005,'الحركات الشهرية'!$B$6:$B$1005,$B19,'الحركات الشهرية'!$A$6:$A$1005,$C$3))</f>
        <v/>
      </c>
      <c r="I19" s="156" t="str">
        <f aca="false">IF($B19="","",MIN(G19,IF(AND(AK19&gt;0,AN19&gt;=AK19),G19,AN19)+SUMIFS('الحركات الشهرية'!$E$6:$E$1005,'الحركات الشهرية'!$B$6:$B$1005,$B19,'الحركات الشهرية'!$A$6:$A$1005,$C$3)))</f>
        <v/>
      </c>
      <c r="J19" s="156" t="str">
        <f aca="false">IF($B19="","",MAX(0,G19-H19-I19))</f>
        <v/>
      </c>
      <c r="K19" s="116" t="str">
        <f aca="false">IF($B19="","",الموظفون!$L19*$J19/cfg_DAYS_M)</f>
        <v/>
      </c>
      <c r="L19" s="116" t="str">
        <f aca="false">IF($B19="","",الموظفون!$M19*$J19/cfg_DAYS_M)</f>
        <v/>
      </c>
      <c r="M19" s="116" t="str">
        <f aca="false">IF($B19="","",الموظفون!$N19*$J19/cfg_DAYS_M)</f>
        <v/>
      </c>
      <c r="N19" s="116" t="str">
        <f aca="false">IF($B19="","",الموظفون!$O19*$J19/cfg_DAYS_M)</f>
        <v/>
      </c>
      <c r="O19" s="156" t="str">
        <f aca="false">IF($B19="","",SUMIFS('الحركات الشهرية'!$F$6:$F$1005,'الحركات الشهرية'!$B$6:$B$1005,$B19,'الحركات الشهرية'!$A$6:$A$1005,$C$3))</f>
        <v/>
      </c>
      <c r="P19" s="116" t="str">
        <f aca="false">IF($B19="","",O19*(الموظفون!$P19+الموظفون!$L19*cfg_OT_P)/cfg_DAYS_M/cfg_HRS)</f>
        <v/>
      </c>
      <c r="Q19" s="116" t="str">
        <f aca="false">IF($B19="","",SUMIFS('الحركات الشهرية'!$G$6:$G$1005,'الحركات الشهرية'!$B$6:$B$1005,$B19,'الحركات الشهرية'!$A$6:$A$1005,$C$3))</f>
        <v/>
      </c>
      <c r="R19" s="116" t="str">
        <f aca="false">IF($B19="","",SUMIFS('الحركات الشهرية'!$H$6:$H$1005,'الحركات الشهرية'!$B$6:$B$1005,$B19,'الحركات الشهرية'!$A$6:$A$1005,$C$3))</f>
        <v/>
      </c>
      <c r="S19" s="116" t="str">
        <f aca="false">IF($B19="","",SUMIFS('سجل الإجازات والحالات'!$N$6:$N$505,'سجل الإجازات والحالات'!$B$6:$B$505,$B19,'سجل الإجازات والحالات'!$O$6:$O$505,$C$3))</f>
        <v/>
      </c>
      <c r="T19" s="157" t="str">
        <f aca="false">IF($B19="","",SUM(K19:N19)+SUM(P19:S19))</f>
        <v/>
      </c>
      <c r="U19" s="116" t="str">
        <f aca="false">IF($B19="","",الموظفون!$S19*IF(E19="سعودي",cfg_G_SE,cfg_G_NE)*G19/cfg_DAYS_M)</f>
        <v/>
      </c>
      <c r="V19" s="116" t="str">
        <f aca="false">IF($B19="","",SUMIFS('الحركات الشهرية'!$I$6:$I$1005,'الحركات الشهرية'!$B$6:$B$1005,$B19,'الحركات الشهرية'!$A$6:$A$1005,$C$3))</f>
        <v/>
      </c>
      <c r="W19" s="116" t="str">
        <f aca="false">IF($B19="","",SUMIFS('الحركات الشهرية'!$J$6:$J$1005,'الحركات الشهرية'!$B$6:$B$1005,$B19,'الحركات الشهرية'!$A$6:$A$1005,$C$3))</f>
        <v/>
      </c>
      <c r="X19" s="116" t="str">
        <f aca="false">IF($B19="","",SUM(U19:W19))</f>
        <v/>
      </c>
      <c r="Y19" s="158" t="str">
        <f aca="false">IF($B19="","",T19-X19)</f>
        <v/>
      </c>
      <c r="Z19" s="116" t="str">
        <f aca="false">IF($B19="","",الموظفون!$S19*IF(E19="سعودي",cfg_G_SR,cfg_G_NR)*G19/cfg_DAYS_M)</f>
        <v/>
      </c>
      <c r="AA19" s="116" t="str">
        <f aca="false">IF($B19="","",الموظفون!$Q19*(cfg_EOS_R1*(MIN(AH19,cfg_EOS_TH)-MIN(AI19,cfg_EOS_TH))+cfg_EOS_R2*(MAX(AH19-cfg_EOS_TH,0)-MAX(AI19-cfg_EOS_TH,0))))</f>
        <v/>
      </c>
      <c r="AB19" s="116" t="str">
        <f aca="false">IF($B19="","",IF(الموظفون!$T19&lt;&gt;"",الموظفون!$T19,IF(AH19&gt;=cfg_LV_TH,cfg_LV_D2,cfg_LV_D1))/cfg_DAYS_Y*AJ19*الموظفون!$R19/cfg_DAYS_M)</f>
        <v/>
      </c>
      <c r="AC19" s="116" t="str">
        <f aca="false">IF($B19="","",IF(AND(الموظفون!$U19="نعم",N(الموظفون!$W19)&gt;0),الموظفون!$V19/الموظفون!$W19*12/cfg_DAYS_Y*AJ19,0))</f>
        <v/>
      </c>
      <c r="AD19" s="116" t="str">
        <f aca="false">IF($B19="","",(IF(الموظفون!$X19&lt;&gt;"",الموظفون!$X19,IF(الموظفون!$E19="غير سعودي",cfg_IQ,0))+IF(الموظفون!$Y19&lt;&gt;"",الموظفون!$Y19,IF(الموظفون!$E19="غير سعودي",cfg_WP,0)))/12*G19/cfg_DAYS_M)</f>
        <v/>
      </c>
      <c r="AE19" s="116" t="str">
        <f aca="false">IF($B19="","",IF(الموظفون!$Z19&lt;&gt;"",الموظفون!$Z19,cfg_MED)/12*G19/cfg_DAYS_M)</f>
        <v/>
      </c>
      <c r="AF19" s="116" t="str">
        <f aca="false">IF($B19="","",N(الموظفون!$AA19)/12*G19/cfg_DAYS_M)</f>
        <v/>
      </c>
      <c r="AG19" s="159" t="str">
        <f aca="false">IF($B19="","",T19+SUM(Z19:AF19))</f>
        <v/>
      </c>
      <c r="AH19" s="160" t="str">
        <f aca="false">IF($B19="","",MAX(0,IF(OR(الموظفون!$AE19="",الموظفون!$AE19&gt;$F$3),$F$3,الموظفون!$AE19)-الموظفون!$H19+1-SUMIFS('سجل الإجازات والحالات'!$AJ$6:$AJ$505,'سجل الإجازات والحالات'!$B$6:$B$505,$B19))/cfg_DAYS_Y)</f>
        <v/>
      </c>
      <c r="AI19" s="160" t="str">
        <f aca="false">IF($B19="","",MAX(0,IF(OR(الموظفون!$AE19="",الموظفون!$AE19&gt;($E$3-1)),($E$3-1),الموظفون!$AE19)-الموظفون!$H19+1-SUMIFS('سجل الإجازات والحالات'!$AI$6:$AI$505,'سجل الإجازات والحالات'!$B$6:$B$505,$B19))/cfg_DAYS_Y)</f>
        <v/>
      </c>
      <c r="AJ19" s="133" t="str">
        <f aca="false">IF($B19="","",MAX(0,AK19-(SUMIFS('سجل الإجازات والحالات'!$AJ$6:$AJ$505,'سجل الإجازات والحالات'!$B$6:$B$505,$B19)-SUMIFS('سجل الإجازات والحالات'!$AI$6:$AI$505,'سجل الإجازات والحالات'!$B$6:$B$505,$B19))))</f>
        <v/>
      </c>
      <c r="AK19" s="133" t="str">
        <f aca="false">IF($B19="","",MAX(0,IF(OR(الموظفون!$AE19="",الموظفون!$AE19&gt;$F$3),$F$3,الموظفون!$AE19)-MAX($E$3,الموظفون!$H19)+1))</f>
        <v/>
      </c>
      <c r="AL19" s="156" t="str">
        <f aca="false">IF($B19="","",SUMIFS('سجل الإجازات والحالات'!$AV$6:$AV$505,'سجل الإجازات والحالات'!$B$6:$B$505,$B19)+SUMIFS('الحركات الشهرية'!$K$6:$K$1005,'الحركات الشهرية'!$B$6:$B$1005,$B19,'الحركات الشهرية'!$A$6:$A$1005,$C$3))</f>
        <v/>
      </c>
      <c r="AM19" s="116" t="str">
        <f aca="false">IF($B19="","",AL19*الموظفون!$R19/cfg_DAYS_M+S19)</f>
        <v/>
      </c>
      <c r="AN19" s="156" t="str">
        <f aca="false">IF($B19="","",SUMIFS('سجل الإجازات والحالات'!$X$6:$X$505,'سجل الإجازات والحالات'!$B$6:$B$505,$B19))</f>
        <v/>
      </c>
    </row>
    <row r="20" customFormat="false" ht="15" hidden="false" customHeight="false" outlineLevel="0" collapsed="false">
      <c r="A20" s="106" t="str">
        <f aca="false">IF($B20="","",الموظفون!$A20)</f>
        <v/>
      </c>
      <c r="B20" s="114" t="str">
        <f aca="false">IF(الموظفون!$B20="","",الموظفون!$B20)</f>
        <v/>
      </c>
      <c r="C20" s="114" t="str">
        <f aca="false">IF($B20="","",الموظفون!$C20)</f>
        <v/>
      </c>
      <c r="D20" s="114" t="str">
        <f aca="false">IF($B20="","",الموظفون!$F20)</f>
        <v/>
      </c>
      <c r="E20" s="114" t="str">
        <f aca="false">IF($B20="","",الموظفون!$E20)</f>
        <v/>
      </c>
      <c r="F20" s="114" t="str">
        <f aca="false">IF($B20="","",IF(AK20=0,IF(AND(الموظفون!$AE20&lt;&gt;"",الموظفون!$AE20&lt;$E$3),"✖ منتهي الخدمة","⏳ لم يباشر"),IF(S20&gt;0,"✈ راتب إجازة مقدم",IF(J20=0,"⛔ بدون راتب هذا الشهر",IF(I20&gt;0,"✈ خصم "&amp;ROUND(I20,2)&amp;" يوم بدون أجر",IF(AL20&gt;0,"🌴 إجازة سنوية "&amp;ROUND(AL20,2)&amp;" يوم",IF(H20&gt;0,"⚠ غياب "&amp;ROUND(H20,2)&amp;" يوم","✔ على رأس العمل")))))))</f>
        <v/>
      </c>
      <c r="G20" s="151" t="str">
        <f aca="false">IF($B20="","",IF(AK20&gt;=DAY($F$3),cfg_DAYS_M,MIN(AK20,cfg_DAYS_M)))</f>
        <v/>
      </c>
      <c r="H20" s="151" t="str">
        <f aca="false">IF($B20="","",SUMIFS('الحركات الشهرية'!$D$6:$D$1005,'الحركات الشهرية'!$B$6:$B$1005,$B20,'الحركات الشهرية'!$A$6:$A$1005,$C$3))</f>
        <v/>
      </c>
      <c r="I20" s="151" t="str">
        <f aca="false">IF($B20="","",MIN(G20,IF(AND(AK20&gt;0,AN20&gt;=AK20),G20,AN20)+SUMIFS('الحركات الشهرية'!$E$6:$E$1005,'الحركات الشهرية'!$B$6:$B$1005,$B20,'الحركات الشهرية'!$A$6:$A$1005,$C$3)))</f>
        <v/>
      </c>
      <c r="J20" s="151" t="str">
        <f aca="false">IF($B20="","",MAX(0,G20-H20-I20))</f>
        <v/>
      </c>
      <c r="K20" s="111" t="str">
        <f aca="false">IF($B20="","",الموظفون!$L20*$J20/cfg_DAYS_M)</f>
        <v/>
      </c>
      <c r="L20" s="111" t="str">
        <f aca="false">IF($B20="","",الموظفون!$M20*$J20/cfg_DAYS_M)</f>
        <v/>
      </c>
      <c r="M20" s="111" t="str">
        <f aca="false">IF($B20="","",الموظفون!$N20*$J20/cfg_DAYS_M)</f>
        <v/>
      </c>
      <c r="N20" s="111" t="str">
        <f aca="false">IF($B20="","",الموظفون!$O20*$J20/cfg_DAYS_M)</f>
        <v/>
      </c>
      <c r="O20" s="151" t="str">
        <f aca="false">IF($B20="","",SUMIFS('الحركات الشهرية'!$F$6:$F$1005,'الحركات الشهرية'!$B$6:$B$1005,$B20,'الحركات الشهرية'!$A$6:$A$1005,$C$3))</f>
        <v/>
      </c>
      <c r="P20" s="111" t="str">
        <f aca="false">IF($B20="","",O20*(الموظفون!$P20+الموظفون!$L20*cfg_OT_P)/cfg_DAYS_M/cfg_HRS)</f>
        <v/>
      </c>
      <c r="Q20" s="111" t="str">
        <f aca="false">IF($B20="","",SUMIFS('الحركات الشهرية'!$G$6:$G$1005,'الحركات الشهرية'!$B$6:$B$1005,$B20,'الحركات الشهرية'!$A$6:$A$1005,$C$3))</f>
        <v/>
      </c>
      <c r="R20" s="111" t="str">
        <f aca="false">IF($B20="","",SUMIFS('الحركات الشهرية'!$H$6:$H$1005,'الحركات الشهرية'!$B$6:$B$1005,$B20,'الحركات الشهرية'!$A$6:$A$1005,$C$3))</f>
        <v/>
      </c>
      <c r="S20" s="111" t="str">
        <f aca="false">IF($B20="","",SUMIFS('سجل الإجازات والحالات'!$N$6:$N$505,'سجل الإجازات والحالات'!$B$6:$B$505,$B20,'سجل الإجازات والحالات'!$O$6:$O$505,$C$3))</f>
        <v/>
      </c>
      <c r="T20" s="152" t="str">
        <f aca="false">IF($B20="","",SUM(K20:N20)+SUM(P20:S20))</f>
        <v/>
      </c>
      <c r="U20" s="111" t="str">
        <f aca="false">IF($B20="","",الموظفون!$S20*IF(E20="سعودي",cfg_G_SE,cfg_G_NE)*G20/cfg_DAYS_M)</f>
        <v/>
      </c>
      <c r="V20" s="111" t="str">
        <f aca="false">IF($B20="","",SUMIFS('الحركات الشهرية'!$I$6:$I$1005,'الحركات الشهرية'!$B$6:$B$1005,$B20,'الحركات الشهرية'!$A$6:$A$1005,$C$3))</f>
        <v/>
      </c>
      <c r="W20" s="111" t="str">
        <f aca="false">IF($B20="","",SUMIFS('الحركات الشهرية'!$J$6:$J$1005,'الحركات الشهرية'!$B$6:$B$1005,$B20,'الحركات الشهرية'!$A$6:$A$1005,$C$3))</f>
        <v/>
      </c>
      <c r="X20" s="111" t="str">
        <f aca="false">IF($B20="","",SUM(U20:W20))</f>
        <v/>
      </c>
      <c r="Y20" s="153" t="str">
        <f aca="false">IF($B20="","",T20-X20)</f>
        <v/>
      </c>
      <c r="Z20" s="111" t="str">
        <f aca="false">IF($B20="","",الموظفون!$S20*IF(E20="سعودي",cfg_G_SR,cfg_G_NR)*G20/cfg_DAYS_M)</f>
        <v/>
      </c>
      <c r="AA20" s="111" t="str">
        <f aca="false">IF($B20="","",الموظفون!$Q20*(cfg_EOS_R1*(MIN(AH20,cfg_EOS_TH)-MIN(AI20,cfg_EOS_TH))+cfg_EOS_R2*(MAX(AH20-cfg_EOS_TH,0)-MAX(AI20-cfg_EOS_TH,0))))</f>
        <v/>
      </c>
      <c r="AB20" s="111" t="str">
        <f aca="false">IF($B20="","",IF(الموظفون!$T20&lt;&gt;"",الموظفون!$T20,IF(AH20&gt;=cfg_LV_TH,cfg_LV_D2,cfg_LV_D1))/cfg_DAYS_Y*AJ20*الموظفون!$R20/cfg_DAYS_M)</f>
        <v/>
      </c>
      <c r="AC20" s="111" t="str">
        <f aca="false">IF($B20="","",IF(AND(الموظفون!$U20="نعم",N(الموظفون!$W20)&gt;0),الموظفون!$V20/الموظفون!$W20*12/cfg_DAYS_Y*AJ20,0))</f>
        <v/>
      </c>
      <c r="AD20" s="111" t="str">
        <f aca="false">IF($B20="","",(IF(الموظفون!$X20&lt;&gt;"",الموظفون!$X20,IF(الموظفون!$E20="غير سعودي",cfg_IQ,0))+IF(الموظفون!$Y20&lt;&gt;"",الموظفون!$Y20,IF(الموظفون!$E20="غير سعودي",cfg_WP,0)))/12*G20/cfg_DAYS_M)</f>
        <v/>
      </c>
      <c r="AE20" s="111" t="str">
        <f aca="false">IF($B20="","",IF(الموظفون!$Z20&lt;&gt;"",الموظفون!$Z20,cfg_MED)/12*G20/cfg_DAYS_M)</f>
        <v/>
      </c>
      <c r="AF20" s="111" t="str">
        <f aca="false">IF($B20="","",N(الموظفون!$AA20)/12*G20/cfg_DAYS_M)</f>
        <v/>
      </c>
      <c r="AG20" s="154" t="str">
        <f aca="false">IF($B20="","",T20+SUM(Z20:AF20))</f>
        <v/>
      </c>
      <c r="AH20" s="155" t="str">
        <f aca="false">IF($B20="","",MAX(0,IF(OR(الموظفون!$AE20="",الموظفون!$AE20&gt;$F$3),$F$3,الموظفون!$AE20)-الموظفون!$H20+1-SUMIFS('سجل الإجازات والحالات'!$AJ$6:$AJ$505,'سجل الإجازات والحالات'!$B$6:$B$505,$B20))/cfg_DAYS_Y)</f>
        <v/>
      </c>
      <c r="AI20" s="155" t="str">
        <f aca="false">IF($B20="","",MAX(0,IF(OR(الموظفون!$AE20="",الموظفون!$AE20&gt;($E$3-1)),($E$3-1),الموظفون!$AE20)-الموظفون!$H20+1-SUMIFS('سجل الإجازات والحالات'!$AI$6:$AI$505,'سجل الإجازات والحالات'!$B$6:$B$505,$B20))/cfg_DAYS_Y)</f>
        <v/>
      </c>
      <c r="AJ20" s="65" t="str">
        <f aca="false">IF($B20="","",MAX(0,AK20-(SUMIFS('سجل الإجازات والحالات'!$AJ$6:$AJ$505,'سجل الإجازات والحالات'!$B$6:$B$505,$B20)-SUMIFS('سجل الإجازات والحالات'!$AI$6:$AI$505,'سجل الإجازات والحالات'!$B$6:$B$505,$B20))))</f>
        <v/>
      </c>
      <c r="AK20" s="65" t="str">
        <f aca="false">IF($B20="","",MAX(0,IF(OR(الموظفون!$AE20="",الموظفون!$AE20&gt;$F$3),$F$3,الموظفون!$AE20)-MAX($E$3,الموظفون!$H20)+1))</f>
        <v/>
      </c>
      <c r="AL20" s="151" t="str">
        <f aca="false">IF($B20="","",SUMIFS('سجل الإجازات والحالات'!$AV$6:$AV$505,'سجل الإجازات والحالات'!$B$6:$B$505,$B20)+SUMIFS('الحركات الشهرية'!$K$6:$K$1005,'الحركات الشهرية'!$B$6:$B$1005,$B20,'الحركات الشهرية'!$A$6:$A$1005,$C$3))</f>
        <v/>
      </c>
      <c r="AM20" s="111" t="str">
        <f aca="false">IF($B20="","",AL20*الموظفون!$R20/cfg_DAYS_M+S20)</f>
        <v/>
      </c>
      <c r="AN20" s="151" t="str">
        <f aca="false">IF($B20="","",SUMIFS('سجل الإجازات والحالات'!$X$6:$X$505,'سجل الإجازات والحالات'!$B$6:$B$505,$B20))</f>
        <v/>
      </c>
    </row>
    <row r="21" customFormat="false" ht="15" hidden="false" customHeight="false" outlineLevel="0" collapsed="false">
      <c r="A21" s="115" t="str">
        <f aca="false">IF($B21="","",الموظفون!$A21)</f>
        <v/>
      </c>
      <c r="B21" s="117" t="str">
        <f aca="false">IF(الموظفون!$B21="","",الموظفون!$B21)</f>
        <v/>
      </c>
      <c r="C21" s="117" t="str">
        <f aca="false">IF($B21="","",الموظفون!$C21)</f>
        <v/>
      </c>
      <c r="D21" s="117" t="str">
        <f aca="false">IF($B21="","",الموظفون!$F21)</f>
        <v/>
      </c>
      <c r="E21" s="117" t="str">
        <f aca="false">IF($B21="","",الموظفون!$E21)</f>
        <v/>
      </c>
      <c r="F21" s="117" t="str">
        <f aca="false">IF($B21="","",IF(AK21=0,IF(AND(الموظفون!$AE21&lt;&gt;"",الموظفون!$AE21&lt;$E$3),"✖ منتهي الخدمة","⏳ لم يباشر"),IF(S21&gt;0,"✈ راتب إجازة مقدم",IF(J21=0,"⛔ بدون راتب هذا الشهر",IF(I21&gt;0,"✈ خصم "&amp;ROUND(I21,2)&amp;" يوم بدون أجر",IF(AL21&gt;0,"🌴 إجازة سنوية "&amp;ROUND(AL21,2)&amp;" يوم",IF(H21&gt;0,"⚠ غياب "&amp;ROUND(H21,2)&amp;" يوم","✔ على رأس العمل")))))))</f>
        <v/>
      </c>
      <c r="G21" s="156" t="str">
        <f aca="false">IF($B21="","",IF(AK21&gt;=DAY($F$3),cfg_DAYS_M,MIN(AK21,cfg_DAYS_M)))</f>
        <v/>
      </c>
      <c r="H21" s="156" t="str">
        <f aca="false">IF($B21="","",SUMIFS('الحركات الشهرية'!$D$6:$D$1005,'الحركات الشهرية'!$B$6:$B$1005,$B21,'الحركات الشهرية'!$A$6:$A$1005,$C$3))</f>
        <v/>
      </c>
      <c r="I21" s="156" t="str">
        <f aca="false">IF($B21="","",MIN(G21,IF(AND(AK21&gt;0,AN21&gt;=AK21),G21,AN21)+SUMIFS('الحركات الشهرية'!$E$6:$E$1005,'الحركات الشهرية'!$B$6:$B$1005,$B21,'الحركات الشهرية'!$A$6:$A$1005,$C$3)))</f>
        <v/>
      </c>
      <c r="J21" s="156" t="str">
        <f aca="false">IF($B21="","",MAX(0,G21-H21-I21))</f>
        <v/>
      </c>
      <c r="K21" s="116" t="str">
        <f aca="false">IF($B21="","",الموظفون!$L21*$J21/cfg_DAYS_M)</f>
        <v/>
      </c>
      <c r="L21" s="116" t="str">
        <f aca="false">IF($B21="","",الموظفون!$M21*$J21/cfg_DAYS_M)</f>
        <v/>
      </c>
      <c r="M21" s="116" t="str">
        <f aca="false">IF($B21="","",الموظفون!$N21*$J21/cfg_DAYS_M)</f>
        <v/>
      </c>
      <c r="N21" s="116" t="str">
        <f aca="false">IF($B21="","",الموظفون!$O21*$J21/cfg_DAYS_M)</f>
        <v/>
      </c>
      <c r="O21" s="156" t="str">
        <f aca="false">IF($B21="","",SUMIFS('الحركات الشهرية'!$F$6:$F$1005,'الحركات الشهرية'!$B$6:$B$1005,$B21,'الحركات الشهرية'!$A$6:$A$1005,$C$3))</f>
        <v/>
      </c>
      <c r="P21" s="116" t="str">
        <f aca="false">IF($B21="","",O21*(الموظفون!$P21+الموظفون!$L21*cfg_OT_P)/cfg_DAYS_M/cfg_HRS)</f>
        <v/>
      </c>
      <c r="Q21" s="116" t="str">
        <f aca="false">IF($B21="","",SUMIFS('الحركات الشهرية'!$G$6:$G$1005,'الحركات الشهرية'!$B$6:$B$1005,$B21,'الحركات الشهرية'!$A$6:$A$1005,$C$3))</f>
        <v/>
      </c>
      <c r="R21" s="116" t="str">
        <f aca="false">IF($B21="","",SUMIFS('الحركات الشهرية'!$H$6:$H$1005,'الحركات الشهرية'!$B$6:$B$1005,$B21,'الحركات الشهرية'!$A$6:$A$1005,$C$3))</f>
        <v/>
      </c>
      <c r="S21" s="116" t="str">
        <f aca="false">IF($B21="","",SUMIFS('سجل الإجازات والحالات'!$N$6:$N$505,'سجل الإجازات والحالات'!$B$6:$B$505,$B21,'سجل الإجازات والحالات'!$O$6:$O$505,$C$3))</f>
        <v/>
      </c>
      <c r="T21" s="157" t="str">
        <f aca="false">IF($B21="","",SUM(K21:N21)+SUM(P21:S21))</f>
        <v/>
      </c>
      <c r="U21" s="116" t="str">
        <f aca="false">IF($B21="","",الموظفون!$S21*IF(E21="سعودي",cfg_G_SE,cfg_G_NE)*G21/cfg_DAYS_M)</f>
        <v/>
      </c>
      <c r="V21" s="116" t="str">
        <f aca="false">IF($B21="","",SUMIFS('الحركات الشهرية'!$I$6:$I$1005,'الحركات الشهرية'!$B$6:$B$1005,$B21,'الحركات الشهرية'!$A$6:$A$1005,$C$3))</f>
        <v/>
      </c>
      <c r="W21" s="116" t="str">
        <f aca="false">IF($B21="","",SUMIFS('الحركات الشهرية'!$J$6:$J$1005,'الحركات الشهرية'!$B$6:$B$1005,$B21,'الحركات الشهرية'!$A$6:$A$1005,$C$3))</f>
        <v/>
      </c>
      <c r="X21" s="116" t="str">
        <f aca="false">IF($B21="","",SUM(U21:W21))</f>
        <v/>
      </c>
      <c r="Y21" s="158" t="str">
        <f aca="false">IF($B21="","",T21-X21)</f>
        <v/>
      </c>
      <c r="Z21" s="116" t="str">
        <f aca="false">IF($B21="","",الموظفون!$S21*IF(E21="سعودي",cfg_G_SR,cfg_G_NR)*G21/cfg_DAYS_M)</f>
        <v/>
      </c>
      <c r="AA21" s="116" t="str">
        <f aca="false">IF($B21="","",الموظفون!$Q21*(cfg_EOS_R1*(MIN(AH21,cfg_EOS_TH)-MIN(AI21,cfg_EOS_TH))+cfg_EOS_R2*(MAX(AH21-cfg_EOS_TH,0)-MAX(AI21-cfg_EOS_TH,0))))</f>
        <v/>
      </c>
      <c r="AB21" s="116" t="str">
        <f aca="false">IF($B21="","",IF(الموظفون!$T21&lt;&gt;"",الموظفون!$T21,IF(AH21&gt;=cfg_LV_TH,cfg_LV_D2,cfg_LV_D1))/cfg_DAYS_Y*AJ21*الموظفون!$R21/cfg_DAYS_M)</f>
        <v/>
      </c>
      <c r="AC21" s="116" t="str">
        <f aca="false">IF($B21="","",IF(AND(الموظفون!$U21="نعم",N(الموظفون!$W21)&gt;0),الموظفون!$V21/الموظفون!$W21*12/cfg_DAYS_Y*AJ21,0))</f>
        <v/>
      </c>
      <c r="AD21" s="116" t="str">
        <f aca="false">IF($B21="","",(IF(الموظفون!$X21&lt;&gt;"",الموظفون!$X21,IF(الموظفون!$E21="غير سعودي",cfg_IQ,0))+IF(الموظفون!$Y21&lt;&gt;"",الموظفون!$Y21,IF(الموظفون!$E21="غير سعودي",cfg_WP,0)))/12*G21/cfg_DAYS_M)</f>
        <v/>
      </c>
      <c r="AE21" s="116" t="str">
        <f aca="false">IF($B21="","",IF(الموظفون!$Z21&lt;&gt;"",الموظفون!$Z21,cfg_MED)/12*G21/cfg_DAYS_M)</f>
        <v/>
      </c>
      <c r="AF21" s="116" t="str">
        <f aca="false">IF($B21="","",N(الموظفون!$AA21)/12*G21/cfg_DAYS_M)</f>
        <v/>
      </c>
      <c r="AG21" s="159" t="str">
        <f aca="false">IF($B21="","",T21+SUM(Z21:AF21))</f>
        <v/>
      </c>
      <c r="AH21" s="160" t="str">
        <f aca="false">IF($B21="","",MAX(0,IF(OR(الموظفون!$AE21="",الموظفون!$AE21&gt;$F$3),$F$3,الموظفون!$AE21)-الموظفون!$H21+1-SUMIFS('سجل الإجازات والحالات'!$AJ$6:$AJ$505,'سجل الإجازات والحالات'!$B$6:$B$505,$B21))/cfg_DAYS_Y)</f>
        <v/>
      </c>
      <c r="AI21" s="160" t="str">
        <f aca="false">IF($B21="","",MAX(0,IF(OR(الموظفون!$AE21="",الموظفون!$AE21&gt;($E$3-1)),($E$3-1),الموظفون!$AE21)-الموظفون!$H21+1-SUMIFS('سجل الإجازات والحالات'!$AI$6:$AI$505,'سجل الإجازات والحالات'!$B$6:$B$505,$B21))/cfg_DAYS_Y)</f>
        <v/>
      </c>
      <c r="AJ21" s="133" t="str">
        <f aca="false">IF($B21="","",MAX(0,AK21-(SUMIFS('سجل الإجازات والحالات'!$AJ$6:$AJ$505,'سجل الإجازات والحالات'!$B$6:$B$505,$B21)-SUMIFS('سجل الإجازات والحالات'!$AI$6:$AI$505,'سجل الإجازات والحالات'!$B$6:$B$505,$B21))))</f>
        <v/>
      </c>
      <c r="AK21" s="133" t="str">
        <f aca="false">IF($B21="","",MAX(0,IF(OR(الموظفون!$AE21="",الموظفون!$AE21&gt;$F$3),$F$3,الموظفون!$AE21)-MAX($E$3,الموظفون!$H21)+1))</f>
        <v/>
      </c>
      <c r="AL21" s="156" t="str">
        <f aca="false">IF($B21="","",SUMIFS('سجل الإجازات والحالات'!$AV$6:$AV$505,'سجل الإجازات والحالات'!$B$6:$B$505,$B21)+SUMIFS('الحركات الشهرية'!$K$6:$K$1005,'الحركات الشهرية'!$B$6:$B$1005,$B21,'الحركات الشهرية'!$A$6:$A$1005,$C$3))</f>
        <v/>
      </c>
      <c r="AM21" s="116" t="str">
        <f aca="false">IF($B21="","",AL21*الموظفون!$R21/cfg_DAYS_M+S21)</f>
        <v/>
      </c>
      <c r="AN21" s="156" t="str">
        <f aca="false">IF($B21="","",SUMIFS('سجل الإجازات والحالات'!$X$6:$X$505,'سجل الإجازات والحالات'!$B$6:$B$505,$B21))</f>
        <v/>
      </c>
    </row>
    <row r="22" customFormat="false" ht="15" hidden="false" customHeight="false" outlineLevel="0" collapsed="false">
      <c r="A22" s="106" t="str">
        <f aca="false">IF($B22="","",الموظفون!$A22)</f>
        <v/>
      </c>
      <c r="B22" s="114" t="str">
        <f aca="false">IF(الموظفون!$B22="","",الموظفون!$B22)</f>
        <v/>
      </c>
      <c r="C22" s="114" t="str">
        <f aca="false">IF($B22="","",الموظفون!$C22)</f>
        <v/>
      </c>
      <c r="D22" s="114" t="str">
        <f aca="false">IF($B22="","",الموظفون!$F22)</f>
        <v/>
      </c>
      <c r="E22" s="114" t="str">
        <f aca="false">IF($B22="","",الموظفون!$E22)</f>
        <v/>
      </c>
      <c r="F22" s="114" t="str">
        <f aca="false">IF($B22="","",IF(AK22=0,IF(AND(الموظفون!$AE22&lt;&gt;"",الموظفون!$AE22&lt;$E$3),"✖ منتهي الخدمة","⏳ لم يباشر"),IF(S22&gt;0,"✈ راتب إجازة مقدم",IF(J22=0,"⛔ بدون راتب هذا الشهر",IF(I22&gt;0,"✈ خصم "&amp;ROUND(I22,2)&amp;" يوم بدون أجر",IF(AL22&gt;0,"🌴 إجازة سنوية "&amp;ROUND(AL22,2)&amp;" يوم",IF(H22&gt;0,"⚠ غياب "&amp;ROUND(H22,2)&amp;" يوم","✔ على رأس العمل")))))))</f>
        <v/>
      </c>
      <c r="G22" s="151" t="str">
        <f aca="false">IF($B22="","",IF(AK22&gt;=DAY($F$3),cfg_DAYS_M,MIN(AK22,cfg_DAYS_M)))</f>
        <v/>
      </c>
      <c r="H22" s="151" t="str">
        <f aca="false">IF($B22="","",SUMIFS('الحركات الشهرية'!$D$6:$D$1005,'الحركات الشهرية'!$B$6:$B$1005,$B22,'الحركات الشهرية'!$A$6:$A$1005,$C$3))</f>
        <v/>
      </c>
      <c r="I22" s="151" t="str">
        <f aca="false">IF($B22="","",MIN(G22,IF(AND(AK22&gt;0,AN22&gt;=AK22),G22,AN22)+SUMIFS('الحركات الشهرية'!$E$6:$E$1005,'الحركات الشهرية'!$B$6:$B$1005,$B22,'الحركات الشهرية'!$A$6:$A$1005,$C$3)))</f>
        <v/>
      </c>
      <c r="J22" s="151" t="str">
        <f aca="false">IF($B22="","",MAX(0,G22-H22-I22))</f>
        <v/>
      </c>
      <c r="K22" s="111" t="str">
        <f aca="false">IF($B22="","",الموظفون!$L22*$J22/cfg_DAYS_M)</f>
        <v/>
      </c>
      <c r="L22" s="111" t="str">
        <f aca="false">IF($B22="","",الموظفون!$M22*$J22/cfg_DAYS_M)</f>
        <v/>
      </c>
      <c r="M22" s="111" t="str">
        <f aca="false">IF($B22="","",الموظفون!$N22*$J22/cfg_DAYS_M)</f>
        <v/>
      </c>
      <c r="N22" s="111" t="str">
        <f aca="false">IF($B22="","",الموظفون!$O22*$J22/cfg_DAYS_M)</f>
        <v/>
      </c>
      <c r="O22" s="151" t="str">
        <f aca="false">IF($B22="","",SUMIFS('الحركات الشهرية'!$F$6:$F$1005,'الحركات الشهرية'!$B$6:$B$1005,$B22,'الحركات الشهرية'!$A$6:$A$1005,$C$3))</f>
        <v/>
      </c>
      <c r="P22" s="111" t="str">
        <f aca="false">IF($B22="","",O22*(الموظفون!$P22+الموظفون!$L22*cfg_OT_P)/cfg_DAYS_M/cfg_HRS)</f>
        <v/>
      </c>
      <c r="Q22" s="111" t="str">
        <f aca="false">IF($B22="","",SUMIFS('الحركات الشهرية'!$G$6:$G$1005,'الحركات الشهرية'!$B$6:$B$1005,$B22,'الحركات الشهرية'!$A$6:$A$1005,$C$3))</f>
        <v/>
      </c>
      <c r="R22" s="111" t="str">
        <f aca="false">IF($B22="","",SUMIFS('الحركات الشهرية'!$H$6:$H$1005,'الحركات الشهرية'!$B$6:$B$1005,$B22,'الحركات الشهرية'!$A$6:$A$1005,$C$3))</f>
        <v/>
      </c>
      <c r="S22" s="111" t="str">
        <f aca="false">IF($B22="","",SUMIFS('سجل الإجازات والحالات'!$N$6:$N$505,'سجل الإجازات والحالات'!$B$6:$B$505,$B22,'سجل الإجازات والحالات'!$O$6:$O$505,$C$3))</f>
        <v/>
      </c>
      <c r="T22" s="152" t="str">
        <f aca="false">IF($B22="","",SUM(K22:N22)+SUM(P22:S22))</f>
        <v/>
      </c>
      <c r="U22" s="111" t="str">
        <f aca="false">IF($B22="","",الموظفون!$S22*IF(E22="سعودي",cfg_G_SE,cfg_G_NE)*G22/cfg_DAYS_M)</f>
        <v/>
      </c>
      <c r="V22" s="111" t="str">
        <f aca="false">IF($B22="","",SUMIFS('الحركات الشهرية'!$I$6:$I$1005,'الحركات الشهرية'!$B$6:$B$1005,$B22,'الحركات الشهرية'!$A$6:$A$1005,$C$3))</f>
        <v/>
      </c>
      <c r="W22" s="111" t="str">
        <f aca="false">IF($B22="","",SUMIFS('الحركات الشهرية'!$J$6:$J$1005,'الحركات الشهرية'!$B$6:$B$1005,$B22,'الحركات الشهرية'!$A$6:$A$1005,$C$3))</f>
        <v/>
      </c>
      <c r="X22" s="111" t="str">
        <f aca="false">IF($B22="","",SUM(U22:W22))</f>
        <v/>
      </c>
      <c r="Y22" s="153" t="str">
        <f aca="false">IF($B22="","",T22-X22)</f>
        <v/>
      </c>
      <c r="Z22" s="111" t="str">
        <f aca="false">IF($B22="","",الموظفون!$S22*IF(E22="سعودي",cfg_G_SR,cfg_G_NR)*G22/cfg_DAYS_M)</f>
        <v/>
      </c>
      <c r="AA22" s="111" t="str">
        <f aca="false">IF($B22="","",الموظفون!$Q22*(cfg_EOS_R1*(MIN(AH22,cfg_EOS_TH)-MIN(AI22,cfg_EOS_TH))+cfg_EOS_R2*(MAX(AH22-cfg_EOS_TH,0)-MAX(AI22-cfg_EOS_TH,0))))</f>
        <v/>
      </c>
      <c r="AB22" s="111" t="str">
        <f aca="false">IF($B22="","",IF(الموظفون!$T22&lt;&gt;"",الموظفون!$T22,IF(AH22&gt;=cfg_LV_TH,cfg_LV_D2,cfg_LV_D1))/cfg_DAYS_Y*AJ22*الموظفون!$R22/cfg_DAYS_M)</f>
        <v/>
      </c>
      <c r="AC22" s="111" t="str">
        <f aca="false">IF($B22="","",IF(AND(الموظفون!$U22="نعم",N(الموظفون!$W22)&gt;0),الموظفون!$V22/الموظفون!$W22*12/cfg_DAYS_Y*AJ22,0))</f>
        <v/>
      </c>
      <c r="AD22" s="111" t="str">
        <f aca="false">IF($B22="","",(IF(الموظفون!$X22&lt;&gt;"",الموظفون!$X22,IF(الموظفون!$E22="غير سعودي",cfg_IQ,0))+IF(الموظفون!$Y22&lt;&gt;"",الموظفون!$Y22,IF(الموظفون!$E22="غير سعودي",cfg_WP,0)))/12*G22/cfg_DAYS_M)</f>
        <v/>
      </c>
      <c r="AE22" s="111" t="str">
        <f aca="false">IF($B22="","",IF(الموظفون!$Z22&lt;&gt;"",الموظفون!$Z22,cfg_MED)/12*G22/cfg_DAYS_M)</f>
        <v/>
      </c>
      <c r="AF22" s="111" t="str">
        <f aca="false">IF($B22="","",N(الموظفون!$AA22)/12*G22/cfg_DAYS_M)</f>
        <v/>
      </c>
      <c r="AG22" s="154" t="str">
        <f aca="false">IF($B22="","",T22+SUM(Z22:AF22))</f>
        <v/>
      </c>
      <c r="AH22" s="155" t="str">
        <f aca="false">IF($B22="","",MAX(0,IF(OR(الموظفون!$AE22="",الموظفون!$AE22&gt;$F$3),$F$3,الموظفون!$AE22)-الموظفون!$H22+1-SUMIFS('سجل الإجازات والحالات'!$AJ$6:$AJ$505,'سجل الإجازات والحالات'!$B$6:$B$505,$B22))/cfg_DAYS_Y)</f>
        <v/>
      </c>
      <c r="AI22" s="155" t="str">
        <f aca="false">IF($B22="","",MAX(0,IF(OR(الموظفون!$AE22="",الموظفون!$AE22&gt;($E$3-1)),($E$3-1),الموظفون!$AE22)-الموظفون!$H22+1-SUMIFS('سجل الإجازات والحالات'!$AI$6:$AI$505,'سجل الإجازات والحالات'!$B$6:$B$505,$B22))/cfg_DAYS_Y)</f>
        <v/>
      </c>
      <c r="AJ22" s="65" t="str">
        <f aca="false">IF($B22="","",MAX(0,AK22-(SUMIFS('سجل الإجازات والحالات'!$AJ$6:$AJ$505,'سجل الإجازات والحالات'!$B$6:$B$505,$B22)-SUMIFS('سجل الإجازات والحالات'!$AI$6:$AI$505,'سجل الإجازات والحالات'!$B$6:$B$505,$B22))))</f>
        <v/>
      </c>
      <c r="AK22" s="65" t="str">
        <f aca="false">IF($B22="","",MAX(0,IF(OR(الموظفون!$AE22="",الموظفون!$AE22&gt;$F$3),$F$3,الموظفون!$AE22)-MAX($E$3,الموظفون!$H22)+1))</f>
        <v/>
      </c>
      <c r="AL22" s="151" t="str">
        <f aca="false">IF($B22="","",SUMIFS('سجل الإجازات والحالات'!$AV$6:$AV$505,'سجل الإجازات والحالات'!$B$6:$B$505,$B22)+SUMIFS('الحركات الشهرية'!$K$6:$K$1005,'الحركات الشهرية'!$B$6:$B$1005,$B22,'الحركات الشهرية'!$A$6:$A$1005,$C$3))</f>
        <v/>
      </c>
      <c r="AM22" s="111" t="str">
        <f aca="false">IF($B22="","",AL22*الموظفون!$R22/cfg_DAYS_M+S22)</f>
        <v/>
      </c>
      <c r="AN22" s="151" t="str">
        <f aca="false">IF($B22="","",SUMIFS('سجل الإجازات والحالات'!$X$6:$X$505,'سجل الإجازات والحالات'!$B$6:$B$505,$B22))</f>
        <v/>
      </c>
    </row>
    <row r="23" customFormat="false" ht="15" hidden="false" customHeight="false" outlineLevel="0" collapsed="false">
      <c r="A23" s="115" t="str">
        <f aca="false">IF($B23="","",الموظفون!$A23)</f>
        <v/>
      </c>
      <c r="B23" s="117" t="str">
        <f aca="false">IF(الموظفون!$B23="","",الموظفون!$B23)</f>
        <v/>
      </c>
      <c r="C23" s="117" t="str">
        <f aca="false">IF($B23="","",الموظفون!$C23)</f>
        <v/>
      </c>
      <c r="D23" s="117" t="str">
        <f aca="false">IF($B23="","",الموظفون!$F23)</f>
        <v/>
      </c>
      <c r="E23" s="117" t="str">
        <f aca="false">IF($B23="","",الموظفون!$E23)</f>
        <v/>
      </c>
      <c r="F23" s="117" t="str">
        <f aca="false">IF($B23="","",IF(AK23=0,IF(AND(الموظفون!$AE23&lt;&gt;"",الموظفون!$AE23&lt;$E$3),"✖ منتهي الخدمة","⏳ لم يباشر"),IF(S23&gt;0,"✈ راتب إجازة مقدم",IF(J23=0,"⛔ بدون راتب هذا الشهر",IF(I23&gt;0,"✈ خصم "&amp;ROUND(I23,2)&amp;" يوم بدون أجر",IF(AL23&gt;0,"🌴 إجازة سنوية "&amp;ROUND(AL23,2)&amp;" يوم",IF(H23&gt;0,"⚠ غياب "&amp;ROUND(H23,2)&amp;" يوم","✔ على رأس العمل")))))))</f>
        <v/>
      </c>
      <c r="G23" s="156" t="str">
        <f aca="false">IF($B23="","",IF(AK23&gt;=DAY($F$3),cfg_DAYS_M,MIN(AK23,cfg_DAYS_M)))</f>
        <v/>
      </c>
      <c r="H23" s="156" t="str">
        <f aca="false">IF($B23="","",SUMIFS('الحركات الشهرية'!$D$6:$D$1005,'الحركات الشهرية'!$B$6:$B$1005,$B23,'الحركات الشهرية'!$A$6:$A$1005,$C$3))</f>
        <v/>
      </c>
      <c r="I23" s="156" t="str">
        <f aca="false">IF($B23="","",MIN(G23,IF(AND(AK23&gt;0,AN23&gt;=AK23),G23,AN23)+SUMIFS('الحركات الشهرية'!$E$6:$E$1005,'الحركات الشهرية'!$B$6:$B$1005,$B23,'الحركات الشهرية'!$A$6:$A$1005,$C$3)))</f>
        <v/>
      </c>
      <c r="J23" s="156" t="str">
        <f aca="false">IF($B23="","",MAX(0,G23-H23-I23))</f>
        <v/>
      </c>
      <c r="K23" s="116" t="str">
        <f aca="false">IF($B23="","",الموظفون!$L23*$J23/cfg_DAYS_M)</f>
        <v/>
      </c>
      <c r="L23" s="116" t="str">
        <f aca="false">IF($B23="","",الموظفون!$M23*$J23/cfg_DAYS_M)</f>
        <v/>
      </c>
      <c r="M23" s="116" t="str">
        <f aca="false">IF($B23="","",الموظفون!$N23*$J23/cfg_DAYS_M)</f>
        <v/>
      </c>
      <c r="N23" s="116" t="str">
        <f aca="false">IF($B23="","",الموظفون!$O23*$J23/cfg_DAYS_M)</f>
        <v/>
      </c>
      <c r="O23" s="156" t="str">
        <f aca="false">IF($B23="","",SUMIFS('الحركات الشهرية'!$F$6:$F$1005,'الحركات الشهرية'!$B$6:$B$1005,$B23,'الحركات الشهرية'!$A$6:$A$1005,$C$3))</f>
        <v/>
      </c>
      <c r="P23" s="116" t="str">
        <f aca="false">IF($B23="","",O23*(الموظفون!$P23+الموظفون!$L23*cfg_OT_P)/cfg_DAYS_M/cfg_HRS)</f>
        <v/>
      </c>
      <c r="Q23" s="116" t="str">
        <f aca="false">IF($B23="","",SUMIFS('الحركات الشهرية'!$G$6:$G$1005,'الحركات الشهرية'!$B$6:$B$1005,$B23,'الحركات الشهرية'!$A$6:$A$1005,$C$3))</f>
        <v/>
      </c>
      <c r="R23" s="116" t="str">
        <f aca="false">IF($B23="","",SUMIFS('الحركات الشهرية'!$H$6:$H$1005,'الحركات الشهرية'!$B$6:$B$1005,$B23,'الحركات الشهرية'!$A$6:$A$1005,$C$3))</f>
        <v/>
      </c>
      <c r="S23" s="116" t="str">
        <f aca="false">IF($B23="","",SUMIFS('سجل الإجازات والحالات'!$N$6:$N$505,'سجل الإجازات والحالات'!$B$6:$B$505,$B23,'سجل الإجازات والحالات'!$O$6:$O$505,$C$3))</f>
        <v/>
      </c>
      <c r="T23" s="157" t="str">
        <f aca="false">IF($B23="","",SUM(K23:N23)+SUM(P23:S23))</f>
        <v/>
      </c>
      <c r="U23" s="116" t="str">
        <f aca="false">IF($B23="","",الموظفون!$S23*IF(E23="سعودي",cfg_G_SE,cfg_G_NE)*G23/cfg_DAYS_M)</f>
        <v/>
      </c>
      <c r="V23" s="116" t="str">
        <f aca="false">IF($B23="","",SUMIFS('الحركات الشهرية'!$I$6:$I$1005,'الحركات الشهرية'!$B$6:$B$1005,$B23,'الحركات الشهرية'!$A$6:$A$1005,$C$3))</f>
        <v/>
      </c>
      <c r="W23" s="116" t="str">
        <f aca="false">IF($B23="","",SUMIFS('الحركات الشهرية'!$J$6:$J$1005,'الحركات الشهرية'!$B$6:$B$1005,$B23,'الحركات الشهرية'!$A$6:$A$1005,$C$3))</f>
        <v/>
      </c>
      <c r="X23" s="116" t="str">
        <f aca="false">IF($B23="","",SUM(U23:W23))</f>
        <v/>
      </c>
      <c r="Y23" s="158" t="str">
        <f aca="false">IF($B23="","",T23-X23)</f>
        <v/>
      </c>
      <c r="Z23" s="116" t="str">
        <f aca="false">IF($B23="","",الموظفون!$S23*IF(E23="سعودي",cfg_G_SR,cfg_G_NR)*G23/cfg_DAYS_M)</f>
        <v/>
      </c>
      <c r="AA23" s="116" t="str">
        <f aca="false">IF($B23="","",الموظفون!$Q23*(cfg_EOS_R1*(MIN(AH23,cfg_EOS_TH)-MIN(AI23,cfg_EOS_TH))+cfg_EOS_R2*(MAX(AH23-cfg_EOS_TH,0)-MAX(AI23-cfg_EOS_TH,0))))</f>
        <v/>
      </c>
      <c r="AB23" s="116" t="str">
        <f aca="false">IF($B23="","",IF(الموظفون!$T23&lt;&gt;"",الموظفون!$T23,IF(AH23&gt;=cfg_LV_TH,cfg_LV_D2,cfg_LV_D1))/cfg_DAYS_Y*AJ23*الموظفون!$R23/cfg_DAYS_M)</f>
        <v/>
      </c>
      <c r="AC23" s="116" t="str">
        <f aca="false">IF($B23="","",IF(AND(الموظفون!$U23="نعم",N(الموظفون!$W23)&gt;0),الموظفون!$V23/الموظفون!$W23*12/cfg_DAYS_Y*AJ23,0))</f>
        <v/>
      </c>
      <c r="AD23" s="116" t="str">
        <f aca="false">IF($B23="","",(IF(الموظفون!$X23&lt;&gt;"",الموظفون!$X23,IF(الموظفون!$E23="غير سعودي",cfg_IQ,0))+IF(الموظفون!$Y23&lt;&gt;"",الموظفون!$Y23,IF(الموظفون!$E23="غير سعودي",cfg_WP,0)))/12*G23/cfg_DAYS_M)</f>
        <v/>
      </c>
      <c r="AE23" s="116" t="str">
        <f aca="false">IF($B23="","",IF(الموظفون!$Z23&lt;&gt;"",الموظفون!$Z23,cfg_MED)/12*G23/cfg_DAYS_M)</f>
        <v/>
      </c>
      <c r="AF23" s="116" t="str">
        <f aca="false">IF($B23="","",N(الموظفون!$AA23)/12*G23/cfg_DAYS_M)</f>
        <v/>
      </c>
      <c r="AG23" s="159" t="str">
        <f aca="false">IF($B23="","",T23+SUM(Z23:AF23))</f>
        <v/>
      </c>
      <c r="AH23" s="160" t="str">
        <f aca="false">IF($B23="","",MAX(0,IF(OR(الموظفون!$AE23="",الموظفون!$AE23&gt;$F$3),$F$3,الموظفون!$AE23)-الموظفون!$H23+1-SUMIFS('سجل الإجازات والحالات'!$AJ$6:$AJ$505,'سجل الإجازات والحالات'!$B$6:$B$505,$B23))/cfg_DAYS_Y)</f>
        <v/>
      </c>
      <c r="AI23" s="160" t="str">
        <f aca="false">IF($B23="","",MAX(0,IF(OR(الموظفون!$AE23="",الموظفون!$AE23&gt;($E$3-1)),($E$3-1),الموظفون!$AE23)-الموظفون!$H23+1-SUMIFS('سجل الإجازات والحالات'!$AI$6:$AI$505,'سجل الإجازات والحالات'!$B$6:$B$505,$B23))/cfg_DAYS_Y)</f>
        <v/>
      </c>
      <c r="AJ23" s="133" t="str">
        <f aca="false">IF($B23="","",MAX(0,AK23-(SUMIFS('سجل الإجازات والحالات'!$AJ$6:$AJ$505,'سجل الإجازات والحالات'!$B$6:$B$505,$B23)-SUMIFS('سجل الإجازات والحالات'!$AI$6:$AI$505,'سجل الإجازات والحالات'!$B$6:$B$505,$B23))))</f>
        <v/>
      </c>
      <c r="AK23" s="133" t="str">
        <f aca="false">IF($B23="","",MAX(0,IF(OR(الموظفون!$AE23="",الموظفون!$AE23&gt;$F$3),$F$3,الموظفون!$AE23)-MAX($E$3,الموظفون!$H23)+1))</f>
        <v/>
      </c>
      <c r="AL23" s="156" t="str">
        <f aca="false">IF($B23="","",SUMIFS('سجل الإجازات والحالات'!$AV$6:$AV$505,'سجل الإجازات والحالات'!$B$6:$B$505,$B23)+SUMIFS('الحركات الشهرية'!$K$6:$K$1005,'الحركات الشهرية'!$B$6:$B$1005,$B23,'الحركات الشهرية'!$A$6:$A$1005,$C$3))</f>
        <v/>
      </c>
      <c r="AM23" s="116" t="str">
        <f aca="false">IF($B23="","",AL23*الموظفون!$R23/cfg_DAYS_M+S23)</f>
        <v/>
      </c>
      <c r="AN23" s="156" t="str">
        <f aca="false">IF($B23="","",SUMIFS('سجل الإجازات والحالات'!$X$6:$X$505,'سجل الإجازات والحالات'!$B$6:$B$505,$B23))</f>
        <v/>
      </c>
    </row>
    <row r="24" customFormat="false" ht="15" hidden="false" customHeight="false" outlineLevel="0" collapsed="false">
      <c r="A24" s="106" t="str">
        <f aca="false">IF($B24="","",الموظفون!$A24)</f>
        <v/>
      </c>
      <c r="B24" s="114" t="str">
        <f aca="false">IF(الموظفون!$B24="","",الموظفون!$B24)</f>
        <v/>
      </c>
      <c r="C24" s="114" t="str">
        <f aca="false">IF($B24="","",الموظفون!$C24)</f>
        <v/>
      </c>
      <c r="D24" s="114" t="str">
        <f aca="false">IF($B24="","",الموظفون!$F24)</f>
        <v/>
      </c>
      <c r="E24" s="114" t="str">
        <f aca="false">IF($B24="","",الموظفون!$E24)</f>
        <v/>
      </c>
      <c r="F24" s="114" t="str">
        <f aca="false">IF($B24="","",IF(AK24=0,IF(AND(الموظفون!$AE24&lt;&gt;"",الموظفون!$AE24&lt;$E$3),"✖ منتهي الخدمة","⏳ لم يباشر"),IF(S24&gt;0,"✈ راتب إجازة مقدم",IF(J24=0,"⛔ بدون راتب هذا الشهر",IF(I24&gt;0,"✈ خصم "&amp;ROUND(I24,2)&amp;" يوم بدون أجر",IF(AL24&gt;0,"🌴 إجازة سنوية "&amp;ROUND(AL24,2)&amp;" يوم",IF(H24&gt;0,"⚠ غياب "&amp;ROUND(H24,2)&amp;" يوم","✔ على رأس العمل")))))))</f>
        <v/>
      </c>
      <c r="G24" s="151" t="str">
        <f aca="false">IF($B24="","",IF(AK24&gt;=DAY($F$3),cfg_DAYS_M,MIN(AK24,cfg_DAYS_M)))</f>
        <v/>
      </c>
      <c r="H24" s="151" t="str">
        <f aca="false">IF($B24="","",SUMIFS('الحركات الشهرية'!$D$6:$D$1005,'الحركات الشهرية'!$B$6:$B$1005,$B24,'الحركات الشهرية'!$A$6:$A$1005,$C$3))</f>
        <v/>
      </c>
      <c r="I24" s="151" t="str">
        <f aca="false">IF($B24="","",MIN(G24,IF(AND(AK24&gt;0,AN24&gt;=AK24),G24,AN24)+SUMIFS('الحركات الشهرية'!$E$6:$E$1005,'الحركات الشهرية'!$B$6:$B$1005,$B24,'الحركات الشهرية'!$A$6:$A$1005,$C$3)))</f>
        <v/>
      </c>
      <c r="J24" s="151" t="str">
        <f aca="false">IF($B24="","",MAX(0,G24-H24-I24))</f>
        <v/>
      </c>
      <c r="K24" s="111" t="str">
        <f aca="false">IF($B24="","",الموظفون!$L24*$J24/cfg_DAYS_M)</f>
        <v/>
      </c>
      <c r="L24" s="111" t="str">
        <f aca="false">IF($B24="","",الموظفون!$M24*$J24/cfg_DAYS_M)</f>
        <v/>
      </c>
      <c r="M24" s="111" t="str">
        <f aca="false">IF($B24="","",الموظفون!$N24*$J24/cfg_DAYS_M)</f>
        <v/>
      </c>
      <c r="N24" s="111" t="str">
        <f aca="false">IF($B24="","",الموظفون!$O24*$J24/cfg_DAYS_M)</f>
        <v/>
      </c>
      <c r="O24" s="151" t="str">
        <f aca="false">IF($B24="","",SUMIFS('الحركات الشهرية'!$F$6:$F$1005,'الحركات الشهرية'!$B$6:$B$1005,$B24,'الحركات الشهرية'!$A$6:$A$1005,$C$3))</f>
        <v/>
      </c>
      <c r="P24" s="111" t="str">
        <f aca="false">IF($B24="","",O24*(الموظفون!$P24+الموظفون!$L24*cfg_OT_P)/cfg_DAYS_M/cfg_HRS)</f>
        <v/>
      </c>
      <c r="Q24" s="111" t="str">
        <f aca="false">IF($B24="","",SUMIFS('الحركات الشهرية'!$G$6:$G$1005,'الحركات الشهرية'!$B$6:$B$1005,$B24,'الحركات الشهرية'!$A$6:$A$1005,$C$3))</f>
        <v/>
      </c>
      <c r="R24" s="111" t="str">
        <f aca="false">IF($B24="","",SUMIFS('الحركات الشهرية'!$H$6:$H$1005,'الحركات الشهرية'!$B$6:$B$1005,$B24,'الحركات الشهرية'!$A$6:$A$1005,$C$3))</f>
        <v/>
      </c>
      <c r="S24" s="111" t="str">
        <f aca="false">IF($B24="","",SUMIFS('سجل الإجازات والحالات'!$N$6:$N$505,'سجل الإجازات والحالات'!$B$6:$B$505,$B24,'سجل الإجازات والحالات'!$O$6:$O$505,$C$3))</f>
        <v/>
      </c>
      <c r="T24" s="152" t="str">
        <f aca="false">IF($B24="","",SUM(K24:N24)+SUM(P24:S24))</f>
        <v/>
      </c>
      <c r="U24" s="111" t="str">
        <f aca="false">IF($B24="","",الموظفون!$S24*IF(E24="سعودي",cfg_G_SE,cfg_G_NE)*G24/cfg_DAYS_M)</f>
        <v/>
      </c>
      <c r="V24" s="111" t="str">
        <f aca="false">IF($B24="","",SUMIFS('الحركات الشهرية'!$I$6:$I$1005,'الحركات الشهرية'!$B$6:$B$1005,$B24,'الحركات الشهرية'!$A$6:$A$1005,$C$3))</f>
        <v/>
      </c>
      <c r="W24" s="111" t="str">
        <f aca="false">IF($B24="","",SUMIFS('الحركات الشهرية'!$J$6:$J$1005,'الحركات الشهرية'!$B$6:$B$1005,$B24,'الحركات الشهرية'!$A$6:$A$1005,$C$3))</f>
        <v/>
      </c>
      <c r="X24" s="111" t="str">
        <f aca="false">IF($B24="","",SUM(U24:W24))</f>
        <v/>
      </c>
      <c r="Y24" s="153" t="str">
        <f aca="false">IF($B24="","",T24-X24)</f>
        <v/>
      </c>
      <c r="Z24" s="111" t="str">
        <f aca="false">IF($B24="","",الموظفون!$S24*IF(E24="سعودي",cfg_G_SR,cfg_G_NR)*G24/cfg_DAYS_M)</f>
        <v/>
      </c>
      <c r="AA24" s="111" t="str">
        <f aca="false">IF($B24="","",الموظفون!$Q24*(cfg_EOS_R1*(MIN(AH24,cfg_EOS_TH)-MIN(AI24,cfg_EOS_TH))+cfg_EOS_R2*(MAX(AH24-cfg_EOS_TH,0)-MAX(AI24-cfg_EOS_TH,0))))</f>
        <v/>
      </c>
      <c r="AB24" s="111" t="str">
        <f aca="false">IF($B24="","",IF(الموظفون!$T24&lt;&gt;"",الموظفون!$T24,IF(AH24&gt;=cfg_LV_TH,cfg_LV_D2,cfg_LV_D1))/cfg_DAYS_Y*AJ24*الموظفون!$R24/cfg_DAYS_M)</f>
        <v/>
      </c>
      <c r="AC24" s="111" t="str">
        <f aca="false">IF($B24="","",IF(AND(الموظفون!$U24="نعم",N(الموظفون!$W24)&gt;0),الموظفون!$V24/الموظفون!$W24*12/cfg_DAYS_Y*AJ24,0))</f>
        <v/>
      </c>
      <c r="AD24" s="111" t="str">
        <f aca="false">IF($B24="","",(IF(الموظفون!$X24&lt;&gt;"",الموظفون!$X24,IF(الموظفون!$E24="غير سعودي",cfg_IQ,0))+IF(الموظفون!$Y24&lt;&gt;"",الموظفون!$Y24,IF(الموظفون!$E24="غير سعودي",cfg_WP,0)))/12*G24/cfg_DAYS_M)</f>
        <v/>
      </c>
      <c r="AE24" s="111" t="str">
        <f aca="false">IF($B24="","",IF(الموظفون!$Z24&lt;&gt;"",الموظفون!$Z24,cfg_MED)/12*G24/cfg_DAYS_M)</f>
        <v/>
      </c>
      <c r="AF24" s="111" t="str">
        <f aca="false">IF($B24="","",N(الموظفون!$AA24)/12*G24/cfg_DAYS_M)</f>
        <v/>
      </c>
      <c r="AG24" s="154" t="str">
        <f aca="false">IF($B24="","",T24+SUM(Z24:AF24))</f>
        <v/>
      </c>
      <c r="AH24" s="155" t="str">
        <f aca="false">IF($B24="","",MAX(0,IF(OR(الموظفون!$AE24="",الموظفون!$AE24&gt;$F$3),$F$3,الموظفون!$AE24)-الموظفون!$H24+1-SUMIFS('سجل الإجازات والحالات'!$AJ$6:$AJ$505,'سجل الإجازات والحالات'!$B$6:$B$505,$B24))/cfg_DAYS_Y)</f>
        <v/>
      </c>
      <c r="AI24" s="155" t="str">
        <f aca="false">IF($B24="","",MAX(0,IF(OR(الموظفون!$AE24="",الموظفون!$AE24&gt;($E$3-1)),($E$3-1),الموظفون!$AE24)-الموظفون!$H24+1-SUMIFS('سجل الإجازات والحالات'!$AI$6:$AI$505,'سجل الإجازات والحالات'!$B$6:$B$505,$B24))/cfg_DAYS_Y)</f>
        <v/>
      </c>
      <c r="AJ24" s="65" t="str">
        <f aca="false">IF($B24="","",MAX(0,AK24-(SUMIFS('سجل الإجازات والحالات'!$AJ$6:$AJ$505,'سجل الإجازات والحالات'!$B$6:$B$505,$B24)-SUMIFS('سجل الإجازات والحالات'!$AI$6:$AI$505,'سجل الإجازات والحالات'!$B$6:$B$505,$B24))))</f>
        <v/>
      </c>
      <c r="AK24" s="65" t="str">
        <f aca="false">IF($B24="","",MAX(0,IF(OR(الموظفون!$AE24="",الموظفون!$AE24&gt;$F$3),$F$3,الموظفون!$AE24)-MAX($E$3,الموظفون!$H24)+1))</f>
        <v/>
      </c>
      <c r="AL24" s="151" t="str">
        <f aca="false">IF($B24="","",SUMIFS('سجل الإجازات والحالات'!$AV$6:$AV$505,'سجل الإجازات والحالات'!$B$6:$B$505,$B24)+SUMIFS('الحركات الشهرية'!$K$6:$K$1005,'الحركات الشهرية'!$B$6:$B$1005,$B24,'الحركات الشهرية'!$A$6:$A$1005,$C$3))</f>
        <v/>
      </c>
      <c r="AM24" s="111" t="str">
        <f aca="false">IF($B24="","",AL24*الموظفون!$R24/cfg_DAYS_M+S24)</f>
        <v/>
      </c>
      <c r="AN24" s="151" t="str">
        <f aca="false">IF($B24="","",SUMIFS('سجل الإجازات والحالات'!$X$6:$X$505,'سجل الإجازات والحالات'!$B$6:$B$505,$B24))</f>
        <v/>
      </c>
    </row>
    <row r="25" customFormat="false" ht="15" hidden="false" customHeight="false" outlineLevel="0" collapsed="false">
      <c r="A25" s="115" t="str">
        <f aca="false">IF($B25="","",الموظفون!$A25)</f>
        <v/>
      </c>
      <c r="B25" s="117" t="str">
        <f aca="false">IF(الموظفون!$B25="","",الموظفون!$B25)</f>
        <v/>
      </c>
      <c r="C25" s="117" t="str">
        <f aca="false">IF($B25="","",الموظفون!$C25)</f>
        <v/>
      </c>
      <c r="D25" s="117" t="str">
        <f aca="false">IF($B25="","",الموظفون!$F25)</f>
        <v/>
      </c>
      <c r="E25" s="117" t="str">
        <f aca="false">IF($B25="","",الموظفون!$E25)</f>
        <v/>
      </c>
      <c r="F25" s="117" t="str">
        <f aca="false">IF($B25="","",IF(AK25=0,IF(AND(الموظفون!$AE25&lt;&gt;"",الموظفون!$AE25&lt;$E$3),"✖ منتهي الخدمة","⏳ لم يباشر"),IF(S25&gt;0,"✈ راتب إجازة مقدم",IF(J25=0,"⛔ بدون راتب هذا الشهر",IF(I25&gt;0,"✈ خصم "&amp;ROUND(I25,2)&amp;" يوم بدون أجر",IF(AL25&gt;0,"🌴 إجازة سنوية "&amp;ROUND(AL25,2)&amp;" يوم",IF(H25&gt;0,"⚠ غياب "&amp;ROUND(H25,2)&amp;" يوم","✔ على رأس العمل")))))))</f>
        <v/>
      </c>
      <c r="G25" s="156" t="str">
        <f aca="false">IF($B25="","",IF(AK25&gt;=DAY($F$3),cfg_DAYS_M,MIN(AK25,cfg_DAYS_M)))</f>
        <v/>
      </c>
      <c r="H25" s="156" t="str">
        <f aca="false">IF($B25="","",SUMIFS('الحركات الشهرية'!$D$6:$D$1005,'الحركات الشهرية'!$B$6:$B$1005,$B25,'الحركات الشهرية'!$A$6:$A$1005,$C$3))</f>
        <v/>
      </c>
      <c r="I25" s="156" t="str">
        <f aca="false">IF($B25="","",MIN(G25,IF(AND(AK25&gt;0,AN25&gt;=AK25),G25,AN25)+SUMIFS('الحركات الشهرية'!$E$6:$E$1005,'الحركات الشهرية'!$B$6:$B$1005,$B25,'الحركات الشهرية'!$A$6:$A$1005,$C$3)))</f>
        <v/>
      </c>
      <c r="J25" s="156" t="str">
        <f aca="false">IF($B25="","",MAX(0,G25-H25-I25))</f>
        <v/>
      </c>
      <c r="K25" s="116" t="str">
        <f aca="false">IF($B25="","",الموظفون!$L25*$J25/cfg_DAYS_M)</f>
        <v/>
      </c>
      <c r="L25" s="116" t="str">
        <f aca="false">IF($B25="","",الموظفون!$M25*$J25/cfg_DAYS_M)</f>
        <v/>
      </c>
      <c r="M25" s="116" t="str">
        <f aca="false">IF($B25="","",الموظفون!$N25*$J25/cfg_DAYS_M)</f>
        <v/>
      </c>
      <c r="N25" s="116" t="str">
        <f aca="false">IF($B25="","",الموظفون!$O25*$J25/cfg_DAYS_M)</f>
        <v/>
      </c>
      <c r="O25" s="156" t="str">
        <f aca="false">IF($B25="","",SUMIFS('الحركات الشهرية'!$F$6:$F$1005,'الحركات الشهرية'!$B$6:$B$1005,$B25,'الحركات الشهرية'!$A$6:$A$1005,$C$3))</f>
        <v/>
      </c>
      <c r="P25" s="116" t="str">
        <f aca="false">IF($B25="","",O25*(الموظفون!$P25+الموظفون!$L25*cfg_OT_P)/cfg_DAYS_M/cfg_HRS)</f>
        <v/>
      </c>
      <c r="Q25" s="116" t="str">
        <f aca="false">IF($B25="","",SUMIFS('الحركات الشهرية'!$G$6:$G$1005,'الحركات الشهرية'!$B$6:$B$1005,$B25,'الحركات الشهرية'!$A$6:$A$1005,$C$3))</f>
        <v/>
      </c>
      <c r="R25" s="116" t="str">
        <f aca="false">IF($B25="","",SUMIFS('الحركات الشهرية'!$H$6:$H$1005,'الحركات الشهرية'!$B$6:$B$1005,$B25,'الحركات الشهرية'!$A$6:$A$1005,$C$3))</f>
        <v/>
      </c>
      <c r="S25" s="116" t="str">
        <f aca="false">IF($B25="","",SUMIFS('سجل الإجازات والحالات'!$N$6:$N$505,'سجل الإجازات والحالات'!$B$6:$B$505,$B25,'سجل الإجازات والحالات'!$O$6:$O$505,$C$3))</f>
        <v/>
      </c>
      <c r="T25" s="157" t="str">
        <f aca="false">IF($B25="","",SUM(K25:N25)+SUM(P25:S25))</f>
        <v/>
      </c>
      <c r="U25" s="116" t="str">
        <f aca="false">IF($B25="","",الموظفون!$S25*IF(E25="سعودي",cfg_G_SE,cfg_G_NE)*G25/cfg_DAYS_M)</f>
        <v/>
      </c>
      <c r="V25" s="116" t="str">
        <f aca="false">IF($B25="","",SUMIFS('الحركات الشهرية'!$I$6:$I$1005,'الحركات الشهرية'!$B$6:$B$1005,$B25,'الحركات الشهرية'!$A$6:$A$1005,$C$3))</f>
        <v/>
      </c>
      <c r="W25" s="116" t="str">
        <f aca="false">IF($B25="","",SUMIFS('الحركات الشهرية'!$J$6:$J$1005,'الحركات الشهرية'!$B$6:$B$1005,$B25,'الحركات الشهرية'!$A$6:$A$1005,$C$3))</f>
        <v/>
      </c>
      <c r="X25" s="116" t="str">
        <f aca="false">IF($B25="","",SUM(U25:W25))</f>
        <v/>
      </c>
      <c r="Y25" s="158" t="str">
        <f aca="false">IF($B25="","",T25-X25)</f>
        <v/>
      </c>
      <c r="Z25" s="116" t="str">
        <f aca="false">IF($B25="","",الموظفون!$S25*IF(E25="سعودي",cfg_G_SR,cfg_G_NR)*G25/cfg_DAYS_M)</f>
        <v/>
      </c>
      <c r="AA25" s="116" t="str">
        <f aca="false">IF($B25="","",الموظفون!$Q25*(cfg_EOS_R1*(MIN(AH25,cfg_EOS_TH)-MIN(AI25,cfg_EOS_TH))+cfg_EOS_R2*(MAX(AH25-cfg_EOS_TH,0)-MAX(AI25-cfg_EOS_TH,0))))</f>
        <v/>
      </c>
      <c r="AB25" s="116" t="str">
        <f aca="false">IF($B25="","",IF(الموظفون!$T25&lt;&gt;"",الموظفون!$T25,IF(AH25&gt;=cfg_LV_TH,cfg_LV_D2,cfg_LV_D1))/cfg_DAYS_Y*AJ25*الموظفون!$R25/cfg_DAYS_M)</f>
        <v/>
      </c>
      <c r="AC25" s="116" t="str">
        <f aca="false">IF($B25="","",IF(AND(الموظفون!$U25="نعم",N(الموظفون!$W25)&gt;0),الموظفون!$V25/الموظفون!$W25*12/cfg_DAYS_Y*AJ25,0))</f>
        <v/>
      </c>
      <c r="AD25" s="116" t="str">
        <f aca="false">IF($B25="","",(IF(الموظفون!$X25&lt;&gt;"",الموظفون!$X25,IF(الموظفون!$E25="غير سعودي",cfg_IQ,0))+IF(الموظفون!$Y25&lt;&gt;"",الموظفون!$Y25,IF(الموظفون!$E25="غير سعودي",cfg_WP,0)))/12*G25/cfg_DAYS_M)</f>
        <v/>
      </c>
      <c r="AE25" s="116" t="str">
        <f aca="false">IF($B25="","",IF(الموظفون!$Z25&lt;&gt;"",الموظفون!$Z25,cfg_MED)/12*G25/cfg_DAYS_M)</f>
        <v/>
      </c>
      <c r="AF25" s="116" t="str">
        <f aca="false">IF($B25="","",N(الموظفون!$AA25)/12*G25/cfg_DAYS_M)</f>
        <v/>
      </c>
      <c r="AG25" s="159" t="str">
        <f aca="false">IF($B25="","",T25+SUM(Z25:AF25))</f>
        <v/>
      </c>
      <c r="AH25" s="160" t="str">
        <f aca="false">IF($B25="","",MAX(0,IF(OR(الموظفون!$AE25="",الموظفون!$AE25&gt;$F$3),$F$3,الموظفون!$AE25)-الموظفون!$H25+1-SUMIFS('سجل الإجازات والحالات'!$AJ$6:$AJ$505,'سجل الإجازات والحالات'!$B$6:$B$505,$B25))/cfg_DAYS_Y)</f>
        <v/>
      </c>
      <c r="AI25" s="160" t="str">
        <f aca="false">IF($B25="","",MAX(0,IF(OR(الموظفون!$AE25="",الموظفون!$AE25&gt;($E$3-1)),($E$3-1),الموظفون!$AE25)-الموظفون!$H25+1-SUMIFS('سجل الإجازات والحالات'!$AI$6:$AI$505,'سجل الإجازات والحالات'!$B$6:$B$505,$B25))/cfg_DAYS_Y)</f>
        <v/>
      </c>
      <c r="AJ25" s="133" t="str">
        <f aca="false">IF($B25="","",MAX(0,AK25-(SUMIFS('سجل الإجازات والحالات'!$AJ$6:$AJ$505,'سجل الإجازات والحالات'!$B$6:$B$505,$B25)-SUMIFS('سجل الإجازات والحالات'!$AI$6:$AI$505,'سجل الإجازات والحالات'!$B$6:$B$505,$B25))))</f>
        <v/>
      </c>
      <c r="AK25" s="133" t="str">
        <f aca="false">IF($B25="","",MAX(0,IF(OR(الموظفون!$AE25="",الموظفون!$AE25&gt;$F$3),$F$3,الموظفون!$AE25)-MAX($E$3,الموظفون!$H25)+1))</f>
        <v/>
      </c>
      <c r="AL25" s="156" t="str">
        <f aca="false">IF($B25="","",SUMIFS('سجل الإجازات والحالات'!$AV$6:$AV$505,'سجل الإجازات والحالات'!$B$6:$B$505,$B25)+SUMIFS('الحركات الشهرية'!$K$6:$K$1005,'الحركات الشهرية'!$B$6:$B$1005,$B25,'الحركات الشهرية'!$A$6:$A$1005,$C$3))</f>
        <v/>
      </c>
      <c r="AM25" s="116" t="str">
        <f aca="false">IF($B25="","",AL25*الموظفون!$R25/cfg_DAYS_M+S25)</f>
        <v/>
      </c>
      <c r="AN25" s="156" t="str">
        <f aca="false">IF($B25="","",SUMIFS('سجل الإجازات والحالات'!$X$6:$X$505,'سجل الإجازات والحالات'!$B$6:$B$505,$B25))</f>
        <v/>
      </c>
    </row>
    <row r="26" customFormat="false" ht="15" hidden="false" customHeight="false" outlineLevel="0" collapsed="false">
      <c r="A26" s="106" t="str">
        <f aca="false">IF($B26="","",الموظفون!$A26)</f>
        <v/>
      </c>
      <c r="B26" s="114" t="str">
        <f aca="false">IF(الموظفون!$B26="","",الموظفون!$B26)</f>
        <v/>
      </c>
      <c r="C26" s="114" t="str">
        <f aca="false">IF($B26="","",الموظفون!$C26)</f>
        <v/>
      </c>
      <c r="D26" s="114" t="str">
        <f aca="false">IF($B26="","",الموظفون!$F26)</f>
        <v/>
      </c>
      <c r="E26" s="114" t="str">
        <f aca="false">IF($B26="","",الموظفون!$E26)</f>
        <v/>
      </c>
      <c r="F26" s="114" t="str">
        <f aca="false">IF($B26="","",IF(AK26=0,IF(AND(الموظفون!$AE26&lt;&gt;"",الموظفون!$AE26&lt;$E$3),"✖ منتهي الخدمة","⏳ لم يباشر"),IF(S26&gt;0,"✈ راتب إجازة مقدم",IF(J26=0,"⛔ بدون راتب هذا الشهر",IF(I26&gt;0,"✈ خصم "&amp;ROUND(I26,2)&amp;" يوم بدون أجر",IF(AL26&gt;0,"🌴 إجازة سنوية "&amp;ROUND(AL26,2)&amp;" يوم",IF(H26&gt;0,"⚠ غياب "&amp;ROUND(H26,2)&amp;" يوم","✔ على رأس العمل")))))))</f>
        <v/>
      </c>
      <c r="G26" s="151" t="str">
        <f aca="false">IF($B26="","",IF(AK26&gt;=DAY($F$3),cfg_DAYS_M,MIN(AK26,cfg_DAYS_M)))</f>
        <v/>
      </c>
      <c r="H26" s="151" t="str">
        <f aca="false">IF($B26="","",SUMIFS('الحركات الشهرية'!$D$6:$D$1005,'الحركات الشهرية'!$B$6:$B$1005,$B26,'الحركات الشهرية'!$A$6:$A$1005,$C$3))</f>
        <v/>
      </c>
      <c r="I26" s="151" t="str">
        <f aca="false">IF($B26="","",MIN(G26,IF(AND(AK26&gt;0,AN26&gt;=AK26),G26,AN26)+SUMIFS('الحركات الشهرية'!$E$6:$E$1005,'الحركات الشهرية'!$B$6:$B$1005,$B26,'الحركات الشهرية'!$A$6:$A$1005,$C$3)))</f>
        <v/>
      </c>
      <c r="J26" s="151" t="str">
        <f aca="false">IF($B26="","",MAX(0,G26-H26-I26))</f>
        <v/>
      </c>
      <c r="K26" s="111" t="str">
        <f aca="false">IF($B26="","",الموظفون!$L26*$J26/cfg_DAYS_M)</f>
        <v/>
      </c>
      <c r="L26" s="111" t="str">
        <f aca="false">IF($B26="","",الموظفون!$M26*$J26/cfg_DAYS_M)</f>
        <v/>
      </c>
      <c r="M26" s="111" t="str">
        <f aca="false">IF($B26="","",الموظفون!$N26*$J26/cfg_DAYS_M)</f>
        <v/>
      </c>
      <c r="N26" s="111" t="str">
        <f aca="false">IF($B26="","",الموظفون!$O26*$J26/cfg_DAYS_M)</f>
        <v/>
      </c>
      <c r="O26" s="151" t="str">
        <f aca="false">IF($B26="","",SUMIFS('الحركات الشهرية'!$F$6:$F$1005,'الحركات الشهرية'!$B$6:$B$1005,$B26,'الحركات الشهرية'!$A$6:$A$1005,$C$3))</f>
        <v/>
      </c>
      <c r="P26" s="111" t="str">
        <f aca="false">IF($B26="","",O26*(الموظفون!$P26+الموظفون!$L26*cfg_OT_P)/cfg_DAYS_M/cfg_HRS)</f>
        <v/>
      </c>
      <c r="Q26" s="111" t="str">
        <f aca="false">IF($B26="","",SUMIFS('الحركات الشهرية'!$G$6:$G$1005,'الحركات الشهرية'!$B$6:$B$1005,$B26,'الحركات الشهرية'!$A$6:$A$1005,$C$3))</f>
        <v/>
      </c>
      <c r="R26" s="111" t="str">
        <f aca="false">IF($B26="","",SUMIFS('الحركات الشهرية'!$H$6:$H$1005,'الحركات الشهرية'!$B$6:$B$1005,$B26,'الحركات الشهرية'!$A$6:$A$1005,$C$3))</f>
        <v/>
      </c>
      <c r="S26" s="111" t="str">
        <f aca="false">IF($B26="","",SUMIFS('سجل الإجازات والحالات'!$N$6:$N$505,'سجل الإجازات والحالات'!$B$6:$B$505,$B26,'سجل الإجازات والحالات'!$O$6:$O$505,$C$3))</f>
        <v/>
      </c>
      <c r="T26" s="152" t="str">
        <f aca="false">IF($B26="","",SUM(K26:N26)+SUM(P26:S26))</f>
        <v/>
      </c>
      <c r="U26" s="111" t="str">
        <f aca="false">IF($B26="","",الموظفون!$S26*IF(E26="سعودي",cfg_G_SE,cfg_G_NE)*G26/cfg_DAYS_M)</f>
        <v/>
      </c>
      <c r="V26" s="111" t="str">
        <f aca="false">IF($B26="","",SUMIFS('الحركات الشهرية'!$I$6:$I$1005,'الحركات الشهرية'!$B$6:$B$1005,$B26,'الحركات الشهرية'!$A$6:$A$1005,$C$3))</f>
        <v/>
      </c>
      <c r="W26" s="111" t="str">
        <f aca="false">IF($B26="","",SUMIFS('الحركات الشهرية'!$J$6:$J$1005,'الحركات الشهرية'!$B$6:$B$1005,$B26,'الحركات الشهرية'!$A$6:$A$1005,$C$3))</f>
        <v/>
      </c>
      <c r="X26" s="111" t="str">
        <f aca="false">IF($B26="","",SUM(U26:W26))</f>
        <v/>
      </c>
      <c r="Y26" s="153" t="str">
        <f aca="false">IF($B26="","",T26-X26)</f>
        <v/>
      </c>
      <c r="Z26" s="111" t="str">
        <f aca="false">IF($B26="","",الموظفون!$S26*IF(E26="سعودي",cfg_G_SR,cfg_G_NR)*G26/cfg_DAYS_M)</f>
        <v/>
      </c>
      <c r="AA26" s="111" t="str">
        <f aca="false">IF($B26="","",الموظفون!$Q26*(cfg_EOS_R1*(MIN(AH26,cfg_EOS_TH)-MIN(AI26,cfg_EOS_TH))+cfg_EOS_R2*(MAX(AH26-cfg_EOS_TH,0)-MAX(AI26-cfg_EOS_TH,0))))</f>
        <v/>
      </c>
      <c r="AB26" s="111" t="str">
        <f aca="false">IF($B26="","",IF(الموظفون!$T26&lt;&gt;"",الموظفون!$T26,IF(AH26&gt;=cfg_LV_TH,cfg_LV_D2,cfg_LV_D1))/cfg_DAYS_Y*AJ26*الموظفون!$R26/cfg_DAYS_M)</f>
        <v/>
      </c>
      <c r="AC26" s="111" t="str">
        <f aca="false">IF($B26="","",IF(AND(الموظفون!$U26="نعم",N(الموظفون!$W26)&gt;0),الموظفون!$V26/الموظفون!$W26*12/cfg_DAYS_Y*AJ26,0))</f>
        <v/>
      </c>
      <c r="AD26" s="111" t="str">
        <f aca="false">IF($B26="","",(IF(الموظفون!$X26&lt;&gt;"",الموظفون!$X26,IF(الموظفون!$E26="غير سعودي",cfg_IQ,0))+IF(الموظفون!$Y26&lt;&gt;"",الموظفون!$Y26,IF(الموظفون!$E26="غير سعودي",cfg_WP,0)))/12*G26/cfg_DAYS_M)</f>
        <v/>
      </c>
      <c r="AE26" s="111" t="str">
        <f aca="false">IF($B26="","",IF(الموظفون!$Z26&lt;&gt;"",الموظفون!$Z26,cfg_MED)/12*G26/cfg_DAYS_M)</f>
        <v/>
      </c>
      <c r="AF26" s="111" t="str">
        <f aca="false">IF($B26="","",N(الموظفون!$AA26)/12*G26/cfg_DAYS_M)</f>
        <v/>
      </c>
      <c r="AG26" s="154" t="str">
        <f aca="false">IF($B26="","",T26+SUM(Z26:AF26))</f>
        <v/>
      </c>
      <c r="AH26" s="155" t="str">
        <f aca="false">IF($B26="","",MAX(0,IF(OR(الموظفون!$AE26="",الموظفون!$AE26&gt;$F$3),$F$3,الموظفون!$AE26)-الموظفون!$H26+1-SUMIFS('سجل الإجازات والحالات'!$AJ$6:$AJ$505,'سجل الإجازات والحالات'!$B$6:$B$505,$B26))/cfg_DAYS_Y)</f>
        <v/>
      </c>
      <c r="AI26" s="155" t="str">
        <f aca="false">IF($B26="","",MAX(0,IF(OR(الموظفون!$AE26="",الموظفون!$AE26&gt;($E$3-1)),($E$3-1),الموظفون!$AE26)-الموظفون!$H26+1-SUMIFS('سجل الإجازات والحالات'!$AI$6:$AI$505,'سجل الإجازات والحالات'!$B$6:$B$505,$B26))/cfg_DAYS_Y)</f>
        <v/>
      </c>
      <c r="AJ26" s="65" t="str">
        <f aca="false">IF($B26="","",MAX(0,AK26-(SUMIFS('سجل الإجازات والحالات'!$AJ$6:$AJ$505,'سجل الإجازات والحالات'!$B$6:$B$505,$B26)-SUMIFS('سجل الإجازات والحالات'!$AI$6:$AI$505,'سجل الإجازات والحالات'!$B$6:$B$505,$B26))))</f>
        <v/>
      </c>
      <c r="AK26" s="65" t="str">
        <f aca="false">IF($B26="","",MAX(0,IF(OR(الموظفون!$AE26="",الموظفون!$AE26&gt;$F$3),$F$3,الموظفون!$AE26)-MAX($E$3,الموظفون!$H26)+1))</f>
        <v/>
      </c>
      <c r="AL26" s="151" t="str">
        <f aca="false">IF($B26="","",SUMIFS('سجل الإجازات والحالات'!$AV$6:$AV$505,'سجل الإجازات والحالات'!$B$6:$B$505,$B26)+SUMIFS('الحركات الشهرية'!$K$6:$K$1005,'الحركات الشهرية'!$B$6:$B$1005,$B26,'الحركات الشهرية'!$A$6:$A$1005,$C$3))</f>
        <v/>
      </c>
      <c r="AM26" s="111" t="str">
        <f aca="false">IF($B26="","",AL26*الموظفون!$R26/cfg_DAYS_M+S26)</f>
        <v/>
      </c>
      <c r="AN26" s="151" t="str">
        <f aca="false">IF($B26="","",SUMIFS('سجل الإجازات والحالات'!$X$6:$X$505,'سجل الإجازات والحالات'!$B$6:$B$505,$B26))</f>
        <v/>
      </c>
    </row>
    <row r="27" customFormat="false" ht="15" hidden="false" customHeight="false" outlineLevel="0" collapsed="false">
      <c r="A27" s="115" t="str">
        <f aca="false">IF($B27="","",الموظفون!$A27)</f>
        <v/>
      </c>
      <c r="B27" s="117" t="str">
        <f aca="false">IF(الموظفون!$B27="","",الموظفون!$B27)</f>
        <v/>
      </c>
      <c r="C27" s="117" t="str">
        <f aca="false">IF($B27="","",الموظفون!$C27)</f>
        <v/>
      </c>
      <c r="D27" s="117" t="str">
        <f aca="false">IF($B27="","",الموظفون!$F27)</f>
        <v/>
      </c>
      <c r="E27" s="117" t="str">
        <f aca="false">IF($B27="","",الموظفون!$E27)</f>
        <v/>
      </c>
      <c r="F27" s="117" t="str">
        <f aca="false">IF($B27="","",IF(AK27=0,IF(AND(الموظفون!$AE27&lt;&gt;"",الموظفون!$AE27&lt;$E$3),"✖ منتهي الخدمة","⏳ لم يباشر"),IF(S27&gt;0,"✈ راتب إجازة مقدم",IF(J27=0,"⛔ بدون راتب هذا الشهر",IF(I27&gt;0,"✈ خصم "&amp;ROUND(I27,2)&amp;" يوم بدون أجر",IF(AL27&gt;0,"🌴 إجازة سنوية "&amp;ROUND(AL27,2)&amp;" يوم",IF(H27&gt;0,"⚠ غياب "&amp;ROUND(H27,2)&amp;" يوم","✔ على رأس العمل")))))))</f>
        <v/>
      </c>
      <c r="G27" s="156" t="str">
        <f aca="false">IF($B27="","",IF(AK27&gt;=DAY($F$3),cfg_DAYS_M,MIN(AK27,cfg_DAYS_M)))</f>
        <v/>
      </c>
      <c r="H27" s="156" t="str">
        <f aca="false">IF($B27="","",SUMIFS('الحركات الشهرية'!$D$6:$D$1005,'الحركات الشهرية'!$B$6:$B$1005,$B27,'الحركات الشهرية'!$A$6:$A$1005,$C$3))</f>
        <v/>
      </c>
      <c r="I27" s="156" t="str">
        <f aca="false">IF($B27="","",MIN(G27,IF(AND(AK27&gt;0,AN27&gt;=AK27),G27,AN27)+SUMIFS('الحركات الشهرية'!$E$6:$E$1005,'الحركات الشهرية'!$B$6:$B$1005,$B27,'الحركات الشهرية'!$A$6:$A$1005,$C$3)))</f>
        <v/>
      </c>
      <c r="J27" s="156" t="str">
        <f aca="false">IF($B27="","",MAX(0,G27-H27-I27))</f>
        <v/>
      </c>
      <c r="K27" s="116" t="str">
        <f aca="false">IF($B27="","",الموظفون!$L27*$J27/cfg_DAYS_M)</f>
        <v/>
      </c>
      <c r="L27" s="116" t="str">
        <f aca="false">IF($B27="","",الموظفون!$M27*$J27/cfg_DAYS_M)</f>
        <v/>
      </c>
      <c r="M27" s="116" t="str">
        <f aca="false">IF($B27="","",الموظفون!$N27*$J27/cfg_DAYS_M)</f>
        <v/>
      </c>
      <c r="N27" s="116" t="str">
        <f aca="false">IF($B27="","",الموظفون!$O27*$J27/cfg_DAYS_M)</f>
        <v/>
      </c>
      <c r="O27" s="156" t="str">
        <f aca="false">IF($B27="","",SUMIFS('الحركات الشهرية'!$F$6:$F$1005,'الحركات الشهرية'!$B$6:$B$1005,$B27,'الحركات الشهرية'!$A$6:$A$1005,$C$3))</f>
        <v/>
      </c>
      <c r="P27" s="116" t="str">
        <f aca="false">IF($B27="","",O27*(الموظفون!$P27+الموظفون!$L27*cfg_OT_P)/cfg_DAYS_M/cfg_HRS)</f>
        <v/>
      </c>
      <c r="Q27" s="116" t="str">
        <f aca="false">IF($B27="","",SUMIFS('الحركات الشهرية'!$G$6:$G$1005,'الحركات الشهرية'!$B$6:$B$1005,$B27,'الحركات الشهرية'!$A$6:$A$1005,$C$3))</f>
        <v/>
      </c>
      <c r="R27" s="116" t="str">
        <f aca="false">IF($B27="","",SUMIFS('الحركات الشهرية'!$H$6:$H$1005,'الحركات الشهرية'!$B$6:$B$1005,$B27,'الحركات الشهرية'!$A$6:$A$1005,$C$3))</f>
        <v/>
      </c>
      <c r="S27" s="116" t="str">
        <f aca="false">IF($B27="","",SUMIFS('سجل الإجازات والحالات'!$N$6:$N$505,'سجل الإجازات والحالات'!$B$6:$B$505,$B27,'سجل الإجازات والحالات'!$O$6:$O$505,$C$3))</f>
        <v/>
      </c>
      <c r="T27" s="157" t="str">
        <f aca="false">IF($B27="","",SUM(K27:N27)+SUM(P27:S27))</f>
        <v/>
      </c>
      <c r="U27" s="116" t="str">
        <f aca="false">IF($B27="","",الموظفون!$S27*IF(E27="سعودي",cfg_G_SE,cfg_G_NE)*G27/cfg_DAYS_M)</f>
        <v/>
      </c>
      <c r="V27" s="116" t="str">
        <f aca="false">IF($B27="","",SUMIFS('الحركات الشهرية'!$I$6:$I$1005,'الحركات الشهرية'!$B$6:$B$1005,$B27,'الحركات الشهرية'!$A$6:$A$1005,$C$3))</f>
        <v/>
      </c>
      <c r="W27" s="116" t="str">
        <f aca="false">IF($B27="","",SUMIFS('الحركات الشهرية'!$J$6:$J$1005,'الحركات الشهرية'!$B$6:$B$1005,$B27,'الحركات الشهرية'!$A$6:$A$1005,$C$3))</f>
        <v/>
      </c>
      <c r="X27" s="116" t="str">
        <f aca="false">IF($B27="","",SUM(U27:W27))</f>
        <v/>
      </c>
      <c r="Y27" s="158" t="str">
        <f aca="false">IF($B27="","",T27-X27)</f>
        <v/>
      </c>
      <c r="Z27" s="116" t="str">
        <f aca="false">IF($B27="","",الموظفون!$S27*IF(E27="سعودي",cfg_G_SR,cfg_G_NR)*G27/cfg_DAYS_M)</f>
        <v/>
      </c>
      <c r="AA27" s="116" t="str">
        <f aca="false">IF($B27="","",الموظفون!$Q27*(cfg_EOS_R1*(MIN(AH27,cfg_EOS_TH)-MIN(AI27,cfg_EOS_TH))+cfg_EOS_R2*(MAX(AH27-cfg_EOS_TH,0)-MAX(AI27-cfg_EOS_TH,0))))</f>
        <v/>
      </c>
      <c r="AB27" s="116" t="str">
        <f aca="false">IF($B27="","",IF(الموظفون!$T27&lt;&gt;"",الموظفون!$T27,IF(AH27&gt;=cfg_LV_TH,cfg_LV_D2,cfg_LV_D1))/cfg_DAYS_Y*AJ27*الموظفون!$R27/cfg_DAYS_M)</f>
        <v/>
      </c>
      <c r="AC27" s="116" t="str">
        <f aca="false">IF($B27="","",IF(AND(الموظفون!$U27="نعم",N(الموظفون!$W27)&gt;0),الموظفون!$V27/الموظفون!$W27*12/cfg_DAYS_Y*AJ27,0))</f>
        <v/>
      </c>
      <c r="AD27" s="116" t="str">
        <f aca="false">IF($B27="","",(IF(الموظفون!$X27&lt;&gt;"",الموظفون!$X27,IF(الموظفون!$E27="غير سعودي",cfg_IQ,0))+IF(الموظفون!$Y27&lt;&gt;"",الموظفون!$Y27,IF(الموظفون!$E27="غير سعودي",cfg_WP,0)))/12*G27/cfg_DAYS_M)</f>
        <v/>
      </c>
      <c r="AE27" s="116" t="str">
        <f aca="false">IF($B27="","",IF(الموظفون!$Z27&lt;&gt;"",الموظفون!$Z27,cfg_MED)/12*G27/cfg_DAYS_M)</f>
        <v/>
      </c>
      <c r="AF27" s="116" t="str">
        <f aca="false">IF($B27="","",N(الموظفون!$AA27)/12*G27/cfg_DAYS_M)</f>
        <v/>
      </c>
      <c r="AG27" s="159" t="str">
        <f aca="false">IF($B27="","",T27+SUM(Z27:AF27))</f>
        <v/>
      </c>
      <c r="AH27" s="160" t="str">
        <f aca="false">IF($B27="","",MAX(0,IF(OR(الموظفون!$AE27="",الموظفون!$AE27&gt;$F$3),$F$3,الموظفون!$AE27)-الموظفون!$H27+1-SUMIFS('سجل الإجازات والحالات'!$AJ$6:$AJ$505,'سجل الإجازات والحالات'!$B$6:$B$505,$B27))/cfg_DAYS_Y)</f>
        <v/>
      </c>
      <c r="AI27" s="160" t="str">
        <f aca="false">IF($B27="","",MAX(0,IF(OR(الموظفون!$AE27="",الموظفون!$AE27&gt;($E$3-1)),($E$3-1),الموظفون!$AE27)-الموظفون!$H27+1-SUMIFS('سجل الإجازات والحالات'!$AI$6:$AI$505,'سجل الإجازات والحالات'!$B$6:$B$505,$B27))/cfg_DAYS_Y)</f>
        <v/>
      </c>
      <c r="AJ27" s="133" t="str">
        <f aca="false">IF($B27="","",MAX(0,AK27-(SUMIFS('سجل الإجازات والحالات'!$AJ$6:$AJ$505,'سجل الإجازات والحالات'!$B$6:$B$505,$B27)-SUMIFS('سجل الإجازات والحالات'!$AI$6:$AI$505,'سجل الإجازات والحالات'!$B$6:$B$505,$B27))))</f>
        <v/>
      </c>
      <c r="AK27" s="133" t="str">
        <f aca="false">IF($B27="","",MAX(0,IF(OR(الموظفون!$AE27="",الموظفون!$AE27&gt;$F$3),$F$3,الموظفون!$AE27)-MAX($E$3,الموظفون!$H27)+1))</f>
        <v/>
      </c>
      <c r="AL27" s="156" t="str">
        <f aca="false">IF($B27="","",SUMIFS('سجل الإجازات والحالات'!$AV$6:$AV$505,'سجل الإجازات والحالات'!$B$6:$B$505,$B27)+SUMIFS('الحركات الشهرية'!$K$6:$K$1005,'الحركات الشهرية'!$B$6:$B$1005,$B27,'الحركات الشهرية'!$A$6:$A$1005,$C$3))</f>
        <v/>
      </c>
      <c r="AM27" s="116" t="str">
        <f aca="false">IF($B27="","",AL27*الموظفون!$R27/cfg_DAYS_M+S27)</f>
        <v/>
      </c>
      <c r="AN27" s="156" t="str">
        <f aca="false">IF($B27="","",SUMIFS('سجل الإجازات والحالات'!$X$6:$X$505,'سجل الإجازات والحالات'!$B$6:$B$505,$B27))</f>
        <v/>
      </c>
    </row>
    <row r="28" customFormat="false" ht="15" hidden="false" customHeight="false" outlineLevel="0" collapsed="false">
      <c r="A28" s="106" t="str">
        <f aca="false">IF($B28="","",الموظفون!$A28)</f>
        <v/>
      </c>
      <c r="B28" s="114" t="str">
        <f aca="false">IF(الموظفون!$B28="","",الموظفون!$B28)</f>
        <v/>
      </c>
      <c r="C28" s="114" t="str">
        <f aca="false">IF($B28="","",الموظفون!$C28)</f>
        <v/>
      </c>
      <c r="D28" s="114" t="str">
        <f aca="false">IF($B28="","",الموظفون!$F28)</f>
        <v/>
      </c>
      <c r="E28" s="114" t="str">
        <f aca="false">IF($B28="","",الموظفون!$E28)</f>
        <v/>
      </c>
      <c r="F28" s="114" t="str">
        <f aca="false">IF($B28="","",IF(AK28=0,IF(AND(الموظفون!$AE28&lt;&gt;"",الموظفون!$AE28&lt;$E$3),"✖ منتهي الخدمة","⏳ لم يباشر"),IF(S28&gt;0,"✈ راتب إجازة مقدم",IF(J28=0,"⛔ بدون راتب هذا الشهر",IF(I28&gt;0,"✈ خصم "&amp;ROUND(I28,2)&amp;" يوم بدون أجر",IF(AL28&gt;0,"🌴 إجازة سنوية "&amp;ROUND(AL28,2)&amp;" يوم",IF(H28&gt;0,"⚠ غياب "&amp;ROUND(H28,2)&amp;" يوم","✔ على رأس العمل")))))))</f>
        <v/>
      </c>
      <c r="G28" s="151" t="str">
        <f aca="false">IF($B28="","",IF(AK28&gt;=DAY($F$3),cfg_DAYS_M,MIN(AK28,cfg_DAYS_M)))</f>
        <v/>
      </c>
      <c r="H28" s="151" t="str">
        <f aca="false">IF($B28="","",SUMIFS('الحركات الشهرية'!$D$6:$D$1005,'الحركات الشهرية'!$B$6:$B$1005,$B28,'الحركات الشهرية'!$A$6:$A$1005,$C$3))</f>
        <v/>
      </c>
      <c r="I28" s="151" t="str">
        <f aca="false">IF($B28="","",MIN(G28,IF(AND(AK28&gt;0,AN28&gt;=AK28),G28,AN28)+SUMIFS('الحركات الشهرية'!$E$6:$E$1005,'الحركات الشهرية'!$B$6:$B$1005,$B28,'الحركات الشهرية'!$A$6:$A$1005,$C$3)))</f>
        <v/>
      </c>
      <c r="J28" s="151" t="str">
        <f aca="false">IF($B28="","",MAX(0,G28-H28-I28))</f>
        <v/>
      </c>
      <c r="K28" s="111" t="str">
        <f aca="false">IF($B28="","",الموظفون!$L28*$J28/cfg_DAYS_M)</f>
        <v/>
      </c>
      <c r="L28" s="111" t="str">
        <f aca="false">IF($B28="","",الموظفون!$M28*$J28/cfg_DAYS_M)</f>
        <v/>
      </c>
      <c r="M28" s="111" t="str">
        <f aca="false">IF($B28="","",الموظفون!$N28*$J28/cfg_DAYS_M)</f>
        <v/>
      </c>
      <c r="N28" s="111" t="str">
        <f aca="false">IF($B28="","",الموظفون!$O28*$J28/cfg_DAYS_M)</f>
        <v/>
      </c>
      <c r="O28" s="151" t="str">
        <f aca="false">IF($B28="","",SUMIFS('الحركات الشهرية'!$F$6:$F$1005,'الحركات الشهرية'!$B$6:$B$1005,$B28,'الحركات الشهرية'!$A$6:$A$1005,$C$3))</f>
        <v/>
      </c>
      <c r="P28" s="111" t="str">
        <f aca="false">IF($B28="","",O28*(الموظفون!$P28+الموظفون!$L28*cfg_OT_P)/cfg_DAYS_M/cfg_HRS)</f>
        <v/>
      </c>
      <c r="Q28" s="111" t="str">
        <f aca="false">IF($B28="","",SUMIFS('الحركات الشهرية'!$G$6:$G$1005,'الحركات الشهرية'!$B$6:$B$1005,$B28,'الحركات الشهرية'!$A$6:$A$1005,$C$3))</f>
        <v/>
      </c>
      <c r="R28" s="111" t="str">
        <f aca="false">IF($B28="","",SUMIFS('الحركات الشهرية'!$H$6:$H$1005,'الحركات الشهرية'!$B$6:$B$1005,$B28,'الحركات الشهرية'!$A$6:$A$1005,$C$3))</f>
        <v/>
      </c>
      <c r="S28" s="111" t="str">
        <f aca="false">IF($B28="","",SUMIFS('سجل الإجازات والحالات'!$N$6:$N$505,'سجل الإجازات والحالات'!$B$6:$B$505,$B28,'سجل الإجازات والحالات'!$O$6:$O$505,$C$3))</f>
        <v/>
      </c>
      <c r="T28" s="152" t="str">
        <f aca="false">IF($B28="","",SUM(K28:N28)+SUM(P28:S28))</f>
        <v/>
      </c>
      <c r="U28" s="111" t="str">
        <f aca="false">IF($B28="","",الموظفون!$S28*IF(E28="سعودي",cfg_G_SE,cfg_G_NE)*G28/cfg_DAYS_M)</f>
        <v/>
      </c>
      <c r="V28" s="111" t="str">
        <f aca="false">IF($B28="","",SUMIFS('الحركات الشهرية'!$I$6:$I$1005,'الحركات الشهرية'!$B$6:$B$1005,$B28,'الحركات الشهرية'!$A$6:$A$1005,$C$3))</f>
        <v/>
      </c>
      <c r="W28" s="111" t="str">
        <f aca="false">IF($B28="","",SUMIFS('الحركات الشهرية'!$J$6:$J$1005,'الحركات الشهرية'!$B$6:$B$1005,$B28,'الحركات الشهرية'!$A$6:$A$1005,$C$3))</f>
        <v/>
      </c>
      <c r="X28" s="111" t="str">
        <f aca="false">IF($B28="","",SUM(U28:W28))</f>
        <v/>
      </c>
      <c r="Y28" s="153" t="str">
        <f aca="false">IF($B28="","",T28-X28)</f>
        <v/>
      </c>
      <c r="Z28" s="111" t="str">
        <f aca="false">IF($B28="","",الموظفون!$S28*IF(E28="سعودي",cfg_G_SR,cfg_G_NR)*G28/cfg_DAYS_M)</f>
        <v/>
      </c>
      <c r="AA28" s="111" t="str">
        <f aca="false">IF($B28="","",الموظفون!$Q28*(cfg_EOS_R1*(MIN(AH28,cfg_EOS_TH)-MIN(AI28,cfg_EOS_TH))+cfg_EOS_R2*(MAX(AH28-cfg_EOS_TH,0)-MAX(AI28-cfg_EOS_TH,0))))</f>
        <v/>
      </c>
      <c r="AB28" s="111" t="str">
        <f aca="false">IF($B28="","",IF(الموظفون!$T28&lt;&gt;"",الموظفون!$T28,IF(AH28&gt;=cfg_LV_TH,cfg_LV_D2,cfg_LV_D1))/cfg_DAYS_Y*AJ28*الموظفون!$R28/cfg_DAYS_M)</f>
        <v/>
      </c>
      <c r="AC28" s="111" t="str">
        <f aca="false">IF($B28="","",IF(AND(الموظفون!$U28="نعم",N(الموظفون!$W28)&gt;0),الموظفون!$V28/الموظفون!$W28*12/cfg_DAYS_Y*AJ28,0))</f>
        <v/>
      </c>
      <c r="AD28" s="111" t="str">
        <f aca="false">IF($B28="","",(IF(الموظفون!$X28&lt;&gt;"",الموظفون!$X28,IF(الموظفون!$E28="غير سعودي",cfg_IQ,0))+IF(الموظفون!$Y28&lt;&gt;"",الموظفون!$Y28,IF(الموظفون!$E28="غير سعودي",cfg_WP,0)))/12*G28/cfg_DAYS_M)</f>
        <v/>
      </c>
      <c r="AE28" s="111" t="str">
        <f aca="false">IF($B28="","",IF(الموظفون!$Z28&lt;&gt;"",الموظفون!$Z28,cfg_MED)/12*G28/cfg_DAYS_M)</f>
        <v/>
      </c>
      <c r="AF28" s="111" t="str">
        <f aca="false">IF($B28="","",N(الموظفون!$AA28)/12*G28/cfg_DAYS_M)</f>
        <v/>
      </c>
      <c r="AG28" s="154" t="str">
        <f aca="false">IF($B28="","",T28+SUM(Z28:AF28))</f>
        <v/>
      </c>
      <c r="AH28" s="155" t="str">
        <f aca="false">IF($B28="","",MAX(0,IF(OR(الموظفون!$AE28="",الموظفون!$AE28&gt;$F$3),$F$3,الموظفون!$AE28)-الموظفون!$H28+1-SUMIFS('سجل الإجازات والحالات'!$AJ$6:$AJ$505,'سجل الإجازات والحالات'!$B$6:$B$505,$B28))/cfg_DAYS_Y)</f>
        <v/>
      </c>
      <c r="AI28" s="155" t="str">
        <f aca="false">IF($B28="","",MAX(0,IF(OR(الموظفون!$AE28="",الموظفون!$AE28&gt;($E$3-1)),($E$3-1),الموظفون!$AE28)-الموظفون!$H28+1-SUMIFS('سجل الإجازات والحالات'!$AI$6:$AI$505,'سجل الإجازات والحالات'!$B$6:$B$505,$B28))/cfg_DAYS_Y)</f>
        <v/>
      </c>
      <c r="AJ28" s="65" t="str">
        <f aca="false">IF($B28="","",MAX(0,AK28-(SUMIFS('سجل الإجازات والحالات'!$AJ$6:$AJ$505,'سجل الإجازات والحالات'!$B$6:$B$505,$B28)-SUMIFS('سجل الإجازات والحالات'!$AI$6:$AI$505,'سجل الإجازات والحالات'!$B$6:$B$505,$B28))))</f>
        <v/>
      </c>
      <c r="AK28" s="65" t="str">
        <f aca="false">IF($B28="","",MAX(0,IF(OR(الموظفون!$AE28="",الموظفون!$AE28&gt;$F$3),$F$3,الموظفون!$AE28)-MAX($E$3,الموظفون!$H28)+1))</f>
        <v/>
      </c>
      <c r="AL28" s="151" t="str">
        <f aca="false">IF($B28="","",SUMIFS('سجل الإجازات والحالات'!$AV$6:$AV$505,'سجل الإجازات والحالات'!$B$6:$B$505,$B28)+SUMIFS('الحركات الشهرية'!$K$6:$K$1005,'الحركات الشهرية'!$B$6:$B$1005,$B28,'الحركات الشهرية'!$A$6:$A$1005,$C$3))</f>
        <v/>
      </c>
      <c r="AM28" s="111" t="str">
        <f aca="false">IF($B28="","",AL28*الموظفون!$R28/cfg_DAYS_M+S28)</f>
        <v/>
      </c>
      <c r="AN28" s="151" t="str">
        <f aca="false">IF($B28="","",SUMIFS('سجل الإجازات والحالات'!$X$6:$X$505,'سجل الإجازات والحالات'!$B$6:$B$505,$B28))</f>
        <v/>
      </c>
    </row>
    <row r="29" customFormat="false" ht="15" hidden="false" customHeight="false" outlineLevel="0" collapsed="false">
      <c r="A29" s="115" t="str">
        <f aca="false">IF($B29="","",الموظفون!$A29)</f>
        <v/>
      </c>
      <c r="B29" s="117" t="str">
        <f aca="false">IF(الموظفون!$B29="","",الموظفون!$B29)</f>
        <v/>
      </c>
      <c r="C29" s="117" t="str">
        <f aca="false">IF($B29="","",الموظفون!$C29)</f>
        <v/>
      </c>
      <c r="D29" s="117" t="str">
        <f aca="false">IF($B29="","",الموظفون!$F29)</f>
        <v/>
      </c>
      <c r="E29" s="117" t="str">
        <f aca="false">IF($B29="","",الموظفون!$E29)</f>
        <v/>
      </c>
      <c r="F29" s="117" t="str">
        <f aca="false">IF($B29="","",IF(AK29=0,IF(AND(الموظفون!$AE29&lt;&gt;"",الموظفون!$AE29&lt;$E$3),"✖ منتهي الخدمة","⏳ لم يباشر"),IF(S29&gt;0,"✈ راتب إجازة مقدم",IF(J29=0,"⛔ بدون راتب هذا الشهر",IF(I29&gt;0,"✈ خصم "&amp;ROUND(I29,2)&amp;" يوم بدون أجر",IF(AL29&gt;0,"🌴 إجازة سنوية "&amp;ROUND(AL29,2)&amp;" يوم",IF(H29&gt;0,"⚠ غياب "&amp;ROUND(H29,2)&amp;" يوم","✔ على رأس العمل")))))))</f>
        <v/>
      </c>
      <c r="G29" s="156" t="str">
        <f aca="false">IF($B29="","",IF(AK29&gt;=DAY($F$3),cfg_DAYS_M,MIN(AK29,cfg_DAYS_M)))</f>
        <v/>
      </c>
      <c r="H29" s="156" t="str">
        <f aca="false">IF($B29="","",SUMIFS('الحركات الشهرية'!$D$6:$D$1005,'الحركات الشهرية'!$B$6:$B$1005,$B29,'الحركات الشهرية'!$A$6:$A$1005,$C$3))</f>
        <v/>
      </c>
      <c r="I29" s="156" t="str">
        <f aca="false">IF($B29="","",MIN(G29,IF(AND(AK29&gt;0,AN29&gt;=AK29),G29,AN29)+SUMIFS('الحركات الشهرية'!$E$6:$E$1005,'الحركات الشهرية'!$B$6:$B$1005,$B29,'الحركات الشهرية'!$A$6:$A$1005,$C$3)))</f>
        <v/>
      </c>
      <c r="J29" s="156" t="str">
        <f aca="false">IF($B29="","",MAX(0,G29-H29-I29))</f>
        <v/>
      </c>
      <c r="K29" s="116" t="str">
        <f aca="false">IF($B29="","",الموظفون!$L29*$J29/cfg_DAYS_M)</f>
        <v/>
      </c>
      <c r="L29" s="116" t="str">
        <f aca="false">IF($B29="","",الموظفون!$M29*$J29/cfg_DAYS_M)</f>
        <v/>
      </c>
      <c r="M29" s="116" t="str">
        <f aca="false">IF($B29="","",الموظفون!$N29*$J29/cfg_DAYS_M)</f>
        <v/>
      </c>
      <c r="N29" s="116" t="str">
        <f aca="false">IF($B29="","",الموظفون!$O29*$J29/cfg_DAYS_M)</f>
        <v/>
      </c>
      <c r="O29" s="156" t="str">
        <f aca="false">IF($B29="","",SUMIFS('الحركات الشهرية'!$F$6:$F$1005,'الحركات الشهرية'!$B$6:$B$1005,$B29,'الحركات الشهرية'!$A$6:$A$1005,$C$3))</f>
        <v/>
      </c>
      <c r="P29" s="116" t="str">
        <f aca="false">IF($B29="","",O29*(الموظفون!$P29+الموظفون!$L29*cfg_OT_P)/cfg_DAYS_M/cfg_HRS)</f>
        <v/>
      </c>
      <c r="Q29" s="116" t="str">
        <f aca="false">IF($B29="","",SUMIFS('الحركات الشهرية'!$G$6:$G$1005,'الحركات الشهرية'!$B$6:$B$1005,$B29,'الحركات الشهرية'!$A$6:$A$1005,$C$3))</f>
        <v/>
      </c>
      <c r="R29" s="116" t="str">
        <f aca="false">IF($B29="","",SUMIFS('الحركات الشهرية'!$H$6:$H$1005,'الحركات الشهرية'!$B$6:$B$1005,$B29,'الحركات الشهرية'!$A$6:$A$1005,$C$3))</f>
        <v/>
      </c>
      <c r="S29" s="116" t="str">
        <f aca="false">IF($B29="","",SUMIFS('سجل الإجازات والحالات'!$N$6:$N$505,'سجل الإجازات والحالات'!$B$6:$B$505,$B29,'سجل الإجازات والحالات'!$O$6:$O$505,$C$3))</f>
        <v/>
      </c>
      <c r="T29" s="157" t="str">
        <f aca="false">IF($B29="","",SUM(K29:N29)+SUM(P29:S29))</f>
        <v/>
      </c>
      <c r="U29" s="116" t="str">
        <f aca="false">IF($B29="","",الموظفون!$S29*IF(E29="سعودي",cfg_G_SE,cfg_G_NE)*G29/cfg_DAYS_M)</f>
        <v/>
      </c>
      <c r="V29" s="116" t="str">
        <f aca="false">IF($B29="","",SUMIFS('الحركات الشهرية'!$I$6:$I$1005,'الحركات الشهرية'!$B$6:$B$1005,$B29,'الحركات الشهرية'!$A$6:$A$1005,$C$3))</f>
        <v/>
      </c>
      <c r="W29" s="116" t="str">
        <f aca="false">IF($B29="","",SUMIFS('الحركات الشهرية'!$J$6:$J$1005,'الحركات الشهرية'!$B$6:$B$1005,$B29,'الحركات الشهرية'!$A$6:$A$1005,$C$3))</f>
        <v/>
      </c>
      <c r="X29" s="116" t="str">
        <f aca="false">IF($B29="","",SUM(U29:W29))</f>
        <v/>
      </c>
      <c r="Y29" s="158" t="str">
        <f aca="false">IF($B29="","",T29-X29)</f>
        <v/>
      </c>
      <c r="Z29" s="116" t="str">
        <f aca="false">IF($B29="","",الموظفون!$S29*IF(E29="سعودي",cfg_G_SR,cfg_G_NR)*G29/cfg_DAYS_M)</f>
        <v/>
      </c>
      <c r="AA29" s="116" t="str">
        <f aca="false">IF($B29="","",الموظفون!$Q29*(cfg_EOS_R1*(MIN(AH29,cfg_EOS_TH)-MIN(AI29,cfg_EOS_TH))+cfg_EOS_R2*(MAX(AH29-cfg_EOS_TH,0)-MAX(AI29-cfg_EOS_TH,0))))</f>
        <v/>
      </c>
      <c r="AB29" s="116" t="str">
        <f aca="false">IF($B29="","",IF(الموظفون!$T29&lt;&gt;"",الموظفون!$T29,IF(AH29&gt;=cfg_LV_TH,cfg_LV_D2,cfg_LV_D1))/cfg_DAYS_Y*AJ29*الموظفون!$R29/cfg_DAYS_M)</f>
        <v/>
      </c>
      <c r="AC29" s="116" t="str">
        <f aca="false">IF($B29="","",IF(AND(الموظفون!$U29="نعم",N(الموظفون!$W29)&gt;0),الموظفون!$V29/الموظفون!$W29*12/cfg_DAYS_Y*AJ29,0))</f>
        <v/>
      </c>
      <c r="AD29" s="116" t="str">
        <f aca="false">IF($B29="","",(IF(الموظفون!$X29&lt;&gt;"",الموظفون!$X29,IF(الموظفون!$E29="غير سعودي",cfg_IQ,0))+IF(الموظفون!$Y29&lt;&gt;"",الموظفون!$Y29,IF(الموظفون!$E29="غير سعودي",cfg_WP,0)))/12*G29/cfg_DAYS_M)</f>
        <v/>
      </c>
      <c r="AE29" s="116" t="str">
        <f aca="false">IF($B29="","",IF(الموظفون!$Z29&lt;&gt;"",الموظفون!$Z29,cfg_MED)/12*G29/cfg_DAYS_M)</f>
        <v/>
      </c>
      <c r="AF29" s="116" t="str">
        <f aca="false">IF($B29="","",N(الموظفون!$AA29)/12*G29/cfg_DAYS_M)</f>
        <v/>
      </c>
      <c r="AG29" s="159" t="str">
        <f aca="false">IF($B29="","",T29+SUM(Z29:AF29))</f>
        <v/>
      </c>
      <c r="AH29" s="160" t="str">
        <f aca="false">IF($B29="","",MAX(0,IF(OR(الموظفون!$AE29="",الموظفون!$AE29&gt;$F$3),$F$3,الموظفون!$AE29)-الموظفون!$H29+1-SUMIFS('سجل الإجازات والحالات'!$AJ$6:$AJ$505,'سجل الإجازات والحالات'!$B$6:$B$505,$B29))/cfg_DAYS_Y)</f>
        <v/>
      </c>
      <c r="AI29" s="160" t="str">
        <f aca="false">IF($B29="","",MAX(0,IF(OR(الموظفون!$AE29="",الموظفون!$AE29&gt;($E$3-1)),($E$3-1),الموظفون!$AE29)-الموظفون!$H29+1-SUMIFS('سجل الإجازات والحالات'!$AI$6:$AI$505,'سجل الإجازات والحالات'!$B$6:$B$505,$B29))/cfg_DAYS_Y)</f>
        <v/>
      </c>
      <c r="AJ29" s="133" t="str">
        <f aca="false">IF($B29="","",MAX(0,AK29-(SUMIFS('سجل الإجازات والحالات'!$AJ$6:$AJ$505,'سجل الإجازات والحالات'!$B$6:$B$505,$B29)-SUMIFS('سجل الإجازات والحالات'!$AI$6:$AI$505,'سجل الإجازات والحالات'!$B$6:$B$505,$B29))))</f>
        <v/>
      </c>
      <c r="AK29" s="133" t="str">
        <f aca="false">IF($B29="","",MAX(0,IF(OR(الموظفون!$AE29="",الموظفون!$AE29&gt;$F$3),$F$3,الموظفون!$AE29)-MAX($E$3,الموظفون!$H29)+1))</f>
        <v/>
      </c>
      <c r="AL29" s="156" t="str">
        <f aca="false">IF($B29="","",SUMIFS('سجل الإجازات والحالات'!$AV$6:$AV$505,'سجل الإجازات والحالات'!$B$6:$B$505,$B29)+SUMIFS('الحركات الشهرية'!$K$6:$K$1005,'الحركات الشهرية'!$B$6:$B$1005,$B29,'الحركات الشهرية'!$A$6:$A$1005,$C$3))</f>
        <v/>
      </c>
      <c r="AM29" s="116" t="str">
        <f aca="false">IF($B29="","",AL29*الموظفون!$R29/cfg_DAYS_M+S29)</f>
        <v/>
      </c>
      <c r="AN29" s="156" t="str">
        <f aca="false">IF($B29="","",SUMIFS('سجل الإجازات والحالات'!$X$6:$X$505,'سجل الإجازات والحالات'!$B$6:$B$505,$B29))</f>
        <v/>
      </c>
    </row>
    <row r="30" customFormat="false" ht="15" hidden="false" customHeight="false" outlineLevel="0" collapsed="false">
      <c r="A30" s="106" t="str">
        <f aca="false">IF($B30="","",الموظفون!$A30)</f>
        <v/>
      </c>
      <c r="B30" s="114" t="str">
        <f aca="false">IF(الموظفون!$B30="","",الموظفون!$B30)</f>
        <v/>
      </c>
      <c r="C30" s="114" t="str">
        <f aca="false">IF($B30="","",الموظفون!$C30)</f>
        <v/>
      </c>
      <c r="D30" s="114" t="str">
        <f aca="false">IF($B30="","",الموظفون!$F30)</f>
        <v/>
      </c>
      <c r="E30" s="114" t="str">
        <f aca="false">IF($B30="","",الموظفون!$E30)</f>
        <v/>
      </c>
      <c r="F30" s="114" t="str">
        <f aca="false">IF($B30="","",IF(AK30=0,IF(AND(الموظفون!$AE30&lt;&gt;"",الموظفون!$AE30&lt;$E$3),"✖ منتهي الخدمة","⏳ لم يباشر"),IF(S30&gt;0,"✈ راتب إجازة مقدم",IF(J30=0,"⛔ بدون راتب هذا الشهر",IF(I30&gt;0,"✈ خصم "&amp;ROUND(I30,2)&amp;" يوم بدون أجر",IF(AL30&gt;0,"🌴 إجازة سنوية "&amp;ROUND(AL30,2)&amp;" يوم",IF(H30&gt;0,"⚠ غياب "&amp;ROUND(H30,2)&amp;" يوم","✔ على رأس العمل")))))))</f>
        <v/>
      </c>
      <c r="G30" s="151" t="str">
        <f aca="false">IF($B30="","",IF(AK30&gt;=DAY($F$3),cfg_DAYS_M,MIN(AK30,cfg_DAYS_M)))</f>
        <v/>
      </c>
      <c r="H30" s="151" t="str">
        <f aca="false">IF($B30="","",SUMIFS('الحركات الشهرية'!$D$6:$D$1005,'الحركات الشهرية'!$B$6:$B$1005,$B30,'الحركات الشهرية'!$A$6:$A$1005,$C$3))</f>
        <v/>
      </c>
      <c r="I30" s="151" t="str">
        <f aca="false">IF($B30="","",MIN(G30,IF(AND(AK30&gt;0,AN30&gt;=AK30),G30,AN30)+SUMIFS('الحركات الشهرية'!$E$6:$E$1005,'الحركات الشهرية'!$B$6:$B$1005,$B30,'الحركات الشهرية'!$A$6:$A$1005,$C$3)))</f>
        <v/>
      </c>
      <c r="J30" s="151" t="str">
        <f aca="false">IF($B30="","",MAX(0,G30-H30-I30))</f>
        <v/>
      </c>
      <c r="K30" s="111" t="str">
        <f aca="false">IF($B30="","",الموظفون!$L30*$J30/cfg_DAYS_M)</f>
        <v/>
      </c>
      <c r="L30" s="111" t="str">
        <f aca="false">IF($B30="","",الموظفون!$M30*$J30/cfg_DAYS_M)</f>
        <v/>
      </c>
      <c r="M30" s="111" t="str">
        <f aca="false">IF($B30="","",الموظفون!$N30*$J30/cfg_DAYS_M)</f>
        <v/>
      </c>
      <c r="N30" s="111" t="str">
        <f aca="false">IF($B30="","",الموظفون!$O30*$J30/cfg_DAYS_M)</f>
        <v/>
      </c>
      <c r="O30" s="151" t="str">
        <f aca="false">IF($B30="","",SUMIFS('الحركات الشهرية'!$F$6:$F$1005,'الحركات الشهرية'!$B$6:$B$1005,$B30,'الحركات الشهرية'!$A$6:$A$1005,$C$3))</f>
        <v/>
      </c>
      <c r="P30" s="111" t="str">
        <f aca="false">IF($B30="","",O30*(الموظفون!$P30+الموظفون!$L30*cfg_OT_P)/cfg_DAYS_M/cfg_HRS)</f>
        <v/>
      </c>
      <c r="Q30" s="111" t="str">
        <f aca="false">IF($B30="","",SUMIFS('الحركات الشهرية'!$G$6:$G$1005,'الحركات الشهرية'!$B$6:$B$1005,$B30,'الحركات الشهرية'!$A$6:$A$1005,$C$3))</f>
        <v/>
      </c>
      <c r="R30" s="111" t="str">
        <f aca="false">IF($B30="","",SUMIFS('الحركات الشهرية'!$H$6:$H$1005,'الحركات الشهرية'!$B$6:$B$1005,$B30,'الحركات الشهرية'!$A$6:$A$1005,$C$3))</f>
        <v/>
      </c>
      <c r="S30" s="111" t="str">
        <f aca="false">IF($B30="","",SUMIFS('سجل الإجازات والحالات'!$N$6:$N$505,'سجل الإجازات والحالات'!$B$6:$B$505,$B30,'سجل الإجازات والحالات'!$O$6:$O$505,$C$3))</f>
        <v/>
      </c>
      <c r="T30" s="152" t="str">
        <f aca="false">IF($B30="","",SUM(K30:N30)+SUM(P30:S30))</f>
        <v/>
      </c>
      <c r="U30" s="111" t="str">
        <f aca="false">IF($B30="","",الموظفون!$S30*IF(E30="سعودي",cfg_G_SE,cfg_G_NE)*G30/cfg_DAYS_M)</f>
        <v/>
      </c>
      <c r="V30" s="111" t="str">
        <f aca="false">IF($B30="","",SUMIFS('الحركات الشهرية'!$I$6:$I$1005,'الحركات الشهرية'!$B$6:$B$1005,$B30,'الحركات الشهرية'!$A$6:$A$1005,$C$3))</f>
        <v/>
      </c>
      <c r="W30" s="111" t="str">
        <f aca="false">IF($B30="","",SUMIFS('الحركات الشهرية'!$J$6:$J$1005,'الحركات الشهرية'!$B$6:$B$1005,$B30,'الحركات الشهرية'!$A$6:$A$1005,$C$3))</f>
        <v/>
      </c>
      <c r="X30" s="111" t="str">
        <f aca="false">IF($B30="","",SUM(U30:W30))</f>
        <v/>
      </c>
      <c r="Y30" s="153" t="str">
        <f aca="false">IF($B30="","",T30-X30)</f>
        <v/>
      </c>
      <c r="Z30" s="111" t="str">
        <f aca="false">IF($B30="","",الموظفون!$S30*IF(E30="سعودي",cfg_G_SR,cfg_G_NR)*G30/cfg_DAYS_M)</f>
        <v/>
      </c>
      <c r="AA30" s="111" t="str">
        <f aca="false">IF($B30="","",الموظفون!$Q30*(cfg_EOS_R1*(MIN(AH30,cfg_EOS_TH)-MIN(AI30,cfg_EOS_TH))+cfg_EOS_R2*(MAX(AH30-cfg_EOS_TH,0)-MAX(AI30-cfg_EOS_TH,0))))</f>
        <v/>
      </c>
      <c r="AB30" s="111" t="str">
        <f aca="false">IF($B30="","",IF(الموظفون!$T30&lt;&gt;"",الموظفون!$T30,IF(AH30&gt;=cfg_LV_TH,cfg_LV_D2,cfg_LV_D1))/cfg_DAYS_Y*AJ30*الموظفون!$R30/cfg_DAYS_M)</f>
        <v/>
      </c>
      <c r="AC30" s="111" t="str">
        <f aca="false">IF($B30="","",IF(AND(الموظفون!$U30="نعم",N(الموظفون!$W30)&gt;0),الموظفون!$V30/الموظفون!$W30*12/cfg_DAYS_Y*AJ30,0))</f>
        <v/>
      </c>
      <c r="AD30" s="111" t="str">
        <f aca="false">IF($B30="","",(IF(الموظفون!$X30&lt;&gt;"",الموظفون!$X30,IF(الموظفون!$E30="غير سعودي",cfg_IQ,0))+IF(الموظفون!$Y30&lt;&gt;"",الموظفون!$Y30,IF(الموظفون!$E30="غير سعودي",cfg_WP,0)))/12*G30/cfg_DAYS_M)</f>
        <v/>
      </c>
      <c r="AE30" s="111" t="str">
        <f aca="false">IF($B30="","",IF(الموظفون!$Z30&lt;&gt;"",الموظفون!$Z30,cfg_MED)/12*G30/cfg_DAYS_M)</f>
        <v/>
      </c>
      <c r="AF30" s="111" t="str">
        <f aca="false">IF($B30="","",N(الموظفون!$AA30)/12*G30/cfg_DAYS_M)</f>
        <v/>
      </c>
      <c r="AG30" s="154" t="str">
        <f aca="false">IF($B30="","",T30+SUM(Z30:AF30))</f>
        <v/>
      </c>
      <c r="AH30" s="155" t="str">
        <f aca="false">IF($B30="","",MAX(0,IF(OR(الموظفون!$AE30="",الموظفون!$AE30&gt;$F$3),$F$3,الموظفون!$AE30)-الموظفون!$H30+1-SUMIFS('سجل الإجازات والحالات'!$AJ$6:$AJ$505,'سجل الإجازات والحالات'!$B$6:$B$505,$B30))/cfg_DAYS_Y)</f>
        <v/>
      </c>
      <c r="AI30" s="155" t="str">
        <f aca="false">IF($B30="","",MAX(0,IF(OR(الموظفون!$AE30="",الموظفون!$AE30&gt;($E$3-1)),($E$3-1),الموظفون!$AE30)-الموظفون!$H30+1-SUMIFS('سجل الإجازات والحالات'!$AI$6:$AI$505,'سجل الإجازات والحالات'!$B$6:$B$505,$B30))/cfg_DAYS_Y)</f>
        <v/>
      </c>
      <c r="AJ30" s="65" t="str">
        <f aca="false">IF($B30="","",MAX(0,AK30-(SUMIFS('سجل الإجازات والحالات'!$AJ$6:$AJ$505,'سجل الإجازات والحالات'!$B$6:$B$505,$B30)-SUMIFS('سجل الإجازات والحالات'!$AI$6:$AI$505,'سجل الإجازات والحالات'!$B$6:$B$505,$B30))))</f>
        <v/>
      </c>
      <c r="AK30" s="65" t="str">
        <f aca="false">IF($B30="","",MAX(0,IF(OR(الموظفون!$AE30="",الموظفون!$AE30&gt;$F$3),$F$3,الموظفون!$AE30)-MAX($E$3,الموظفون!$H30)+1))</f>
        <v/>
      </c>
      <c r="AL30" s="151" t="str">
        <f aca="false">IF($B30="","",SUMIFS('سجل الإجازات والحالات'!$AV$6:$AV$505,'سجل الإجازات والحالات'!$B$6:$B$505,$B30)+SUMIFS('الحركات الشهرية'!$K$6:$K$1005,'الحركات الشهرية'!$B$6:$B$1005,$B30,'الحركات الشهرية'!$A$6:$A$1005,$C$3))</f>
        <v/>
      </c>
      <c r="AM30" s="111" t="str">
        <f aca="false">IF($B30="","",AL30*الموظفون!$R30/cfg_DAYS_M+S30)</f>
        <v/>
      </c>
      <c r="AN30" s="151" t="str">
        <f aca="false">IF($B30="","",SUMIFS('سجل الإجازات والحالات'!$X$6:$X$505,'سجل الإجازات والحالات'!$B$6:$B$505,$B30))</f>
        <v/>
      </c>
    </row>
    <row r="31" customFormat="false" ht="15" hidden="false" customHeight="false" outlineLevel="0" collapsed="false">
      <c r="A31" s="115" t="str">
        <f aca="false">IF($B31="","",الموظفون!$A31)</f>
        <v/>
      </c>
      <c r="B31" s="117" t="str">
        <f aca="false">IF(الموظفون!$B31="","",الموظفون!$B31)</f>
        <v/>
      </c>
      <c r="C31" s="117" t="str">
        <f aca="false">IF($B31="","",الموظفون!$C31)</f>
        <v/>
      </c>
      <c r="D31" s="117" t="str">
        <f aca="false">IF($B31="","",الموظفون!$F31)</f>
        <v/>
      </c>
      <c r="E31" s="117" t="str">
        <f aca="false">IF($B31="","",الموظفون!$E31)</f>
        <v/>
      </c>
      <c r="F31" s="117" t="str">
        <f aca="false">IF($B31="","",IF(AK31=0,IF(AND(الموظفون!$AE31&lt;&gt;"",الموظفون!$AE31&lt;$E$3),"✖ منتهي الخدمة","⏳ لم يباشر"),IF(S31&gt;0,"✈ راتب إجازة مقدم",IF(J31=0,"⛔ بدون راتب هذا الشهر",IF(I31&gt;0,"✈ خصم "&amp;ROUND(I31,2)&amp;" يوم بدون أجر",IF(AL31&gt;0,"🌴 إجازة سنوية "&amp;ROUND(AL31,2)&amp;" يوم",IF(H31&gt;0,"⚠ غياب "&amp;ROUND(H31,2)&amp;" يوم","✔ على رأس العمل")))))))</f>
        <v/>
      </c>
      <c r="G31" s="156" t="str">
        <f aca="false">IF($B31="","",IF(AK31&gt;=DAY($F$3),cfg_DAYS_M,MIN(AK31,cfg_DAYS_M)))</f>
        <v/>
      </c>
      <c r="H31" s="156" t="str">
        <f aca="false">IF($B31="","",SUMIFS('الحركات الشهرية'!$D$6:$D$1005,'الحركات الشهرية'!$B$6:$B$1005,$B31,'الحركات الشهرية'!$A$6:$A$1005,$C$3))</f>
        <v/>
      </c>
      <c r="I31" s="156" t="str">
        <f aca="false">IF($B31="","",MIN(G31,IF(AND(AK31&gt;0,AN31&gt;=AK31),G31,AN31)+SUMIFS('الحركات الشهرية'!$E$6:$E$1005,'الحركات الشهرية'!$B$6:$B$1005,$B31,'الحركات الشهرية'!$A$6:$A$1005,$C$3)))</f>
        <v/>
      </c>
      <c r="J31" s="156" t="str">
        <f aca="false">IF($B31="","",MAX(0,G31-H31-I31))</f>
        <v/>
      </c>
      <c r="K31" s="116" t="str">
        <f aca="false">IF($B31="","",الموظفون!$L31*$J31/cfg_DAYS_M)</f>
        <v/>
      </c>
      <c r="L31" s="116" t="str">
        <f aca="false">IF($B31="","",الموظفون!$M31*$J31/cfg_DAYS_M)</f>
        <v/>
      </c>
      <c r="M31" s="116" t="str">
        <f aca="false">IF($B31="","",الموظفون!$N31*$J31/cfg_DAYS_M)</f>
        <v/>
      </c>
      <c r="N31" s="116" t="str">
        <f aca="false">IF($B31="","",الموظفون!$O31*$J31/cfg_DAYS_M)</f>
        <v/>
      </c>
      <c r="O31" s="156" t="str">
        <f aca="false">IF($B31="","",SUMIFS('الحركات الشهرية'!$F$6:$F$1005,'الحركات الشهرية'!$B$6:$B$1005,$B31,'الحركات الشهرية'!$A$6:$A$1005,$C$3))</f>
        <v/>
      </c>
      <c r="P31" s="116" t="str">
        <f aca="false">IF($B31="","",O31*(الموظفون!$P31+الموظفون!$L31*cfg_OT_P)/cfg_DAYS_M/cfg_HRS)</f>
        <v/>
      </c>
      <c r="Q31" s="116" t="str">
        <f aca="false">IF($B31="","",SUMIFS('الحركات الشهرية'!$G$6:$G$1005,'الحركات الشهرية'!$B$6:$B$1005,$B31,'الحركات الشهرية'!$A$6:$A$1005,$C$3))</f>
        <v/>
      </c>
      <c r="R31" s="116" t="str">
        <f aca="false">IF($B31="","",SUMIFS('الحركات الشهرية'!$H$6:$H$1005,'الحركات الشهرية'!$B$6:$B$1005,$B31,'الحركات الشهرية'!$A$6:$A$1005,$C$3))</f>
        <v/>
      </c>
      <c r="S31" s="116" t="str">
        <f aca="false">IF($B31="","",SUMIFS('سجل الإجازات والحالات'!$N$6:$N$505,'سجل الإجازات والحالات'!$B$6:$B$505,$B31,'سجل الإجازات والحالات'!$O$6:$O$505,$C$3))</f>
        <v/>
      </c>
      <c r="T31" s="157" t="str">
        <f aca="false">IF($B31="","",SUM(K31:N31)+SUM(P31:S31))</f>
        <v/>
      </c>
      <c r="U31" s="116" t="str">
        <f aca="false">IF($B31="","",الموظفون!$S31*IF(E31="سعودي",cfg_G_SE,cfg_G_NE)*G31/cfg_DAYS_M)</f>
        <v/>
      </c>
      <c r="V31" s="116" t="str">
        <f aca="false">IF($B31="","",SUMIFS('الحركات الشهرية'!$I$6:$I$1005,'الحركات الشهرية'!$B$6:$B$1005,$B31,'الحركات الشهرية'!$A$6:$A$1005,$C$3))</f>
        <v/>
      </c>
      <c r="W31" s="116" t="str">
        <f aca="false">IF($B31="","",SUMIFS('الحركات الشهرية'!$J$6:$J$1005,'الحركات الشهرية'!$B$6:$B$1005,$B31,'الحركات الشهرية'!$A$6:$A$1005,$C$3))</f>
        <v/>
      </c>
      <c r="X31" s="116" t="str">
        <f aca="false">IF($B31="","",SUM(U31:W31))</f>
        <v/>
      </c>
      <c r="Y31" s="158" t="str">
        <f aca="false">IF($B31="","",T31-X31)</f>
        <v/>
      </c>
      <c r="Z31" s="116" t="str">
        <f aca="false">IF($B31="","",الموظفون!$S31*IF(E31="سعودي",cfg_G_SR,cfg_G_NR)*G31/cfg_DAYS_M)</f>
        <v/>
      </c>
      <c r="AA31" s="116" t="str">
        <f aca="false">IF($B31="","",الموظفون!$Q31*(cfg_EOS_R1*(MIN(AH31,cfg_EOS_TH)-MIN(AI31,cfg_EOS_TH))+cfg_EOS_R2*(MAX(AH31-cfg_EOS_TH,0)-MAX(AI31-cfg_EOS_TH,0))))</f>
        <v/>
      </c>
      <c r="AB31" s="116" t="str">
        <f aca="false">IF($B31="","",IF(الموظفون!$T31&lt;&gt;"",الموظفون!$T31,IF(AH31&gt;=cfg_LV_TH,cfg_LV_D2,cfg_LV_D1))/cfg_DAYS_Y*AJ31*الموظفون!$R31/cfg_DAYS_M)</f>
        <v/>
      </c>
      <c r="AC31" s="116" t="str">
        <f aca="false">IF($B31="","",IF(AND(الموظفون!$U31="نعم",N(الموظفون!$W31)&gt;0),الموظفون!$V31/الموظفون!$W31*12/cfg_DAYS_Y*AJ31,0))</f>
        <v/>
      </c>
      <c r="AD31" s="116" t="str">
        <f aca="false">IF($B31="","",(IF(الموظفون!$X31&lt;&gt;"",الموظفون!$X31,IF(الموظفون!$E31="غير سعودي",cfg_IQ,0))+IF(الموظفون!$Y31&lt;&gt;"",الموظفون!$Y31,IF(الموظفون!$E31="غير سعودي",cfg_WP,0)))/12*G31/cfg_DAYS_M)</f>
        <v/>
      </c>
      <c r="AE31" s="116" t="str">
        <f aca="false">IF($B31="","",IF(الموظفون!$Z31&lt;&gt;"",الموظفون!$Z31,cfg_MED)/12*G31/cfg_DAYS_M)</f>
        <v/>
      </c>
      <c r="AF31" s="116" t="str">
        <f aca="false">IF($B31="","",N(الموظفون!$AA31)/12*G31/cfg_DAYS_M)</f>
        <v/>
      </c>
      <c r="AG31" s="159" t="str">
        <f aca="false">IF($B31="","",T31+SUM(Z31:AF31))</f>
        <v/>
      </c>
      <c r="AH31" s="160" t="str">
        <f aca="false">IF($B31="","",MAX(0,IF(OR(الموظفون!$AE31="",الموظفون!$AE31&gt;$F$3),$F$3,الموظفون!$AE31)-الموظفون!$H31+1-SUMIFS('سجل الإجازات والحالات'!$AJ$6:$AJ$505,'سجل الإجازات والحالات'!$B$6:$B$505,$B31))/cfg_DAYS_Y)</f>
        <v/>
      </c>
      <c r="AI31" s="160" t="str">
        <f aca="false">IF($B31="","",MAX(0,IF(OR(الموظفون!$AE31="",الموظفون!$AE31&gt;($E$3-1)),($E$3-1),الموظفون!$AE31)-الموظفون!$H31+1-SUMIFS('سجل الإجازات والحالات'!$AI$6:$AI$505,'سجل الإجازات والحالات'!$B$6:$B$505,$B31))/cfg_DAYS_Y)</f>
        <v/>
      </c>
      <c r="AJ31" s="133" t="str">
        <f aca="false">IF($B31="","",MAX(0,AK31-(SUMIFS('سجل الإجازات والحالات'!$AJ$6:$AJ$505,'سجل الإجازات والحالات'!$B$6:$B$505,$B31)-SUMIFS('سجل الإجازات والحالات'!$AI$6:$AI$505,'سجل الإجازات والحالات'!$B$6:$B$505,$B31))))</f>
        <v/>
      </c>
      <c r="AK31" s="133" t="str">
        <f aca="false">IF($B31="","",MAX(0,IF(OR(الموظفون!$AE31="",الموظفون!$AE31&gt;$F$3),$F$3,الموظفون!$AE31)-MAX($E$3,الموظفون!$H31)+1))</f>
        <v/>
      </c>
      <c r="AL31" s="156" t="str">
        <f aca="false">IF($B31="","",SUMIFS('سجل الإجازات والحالات'!$AV$6:$AV$505,'سجل الإجازات والحالات'!$B$6:$B$505,$B31)+SUMIFS('الحركات الشهرية'!$K$6:$K$1005,'الحركات الشهرية'!$B$6:$B$1005,$B31,'الحركات الشهرية'!$A$6:$A$1005,$C$3))</f>
        <v/>
      </c>
      <c r="AM31" s="116" t="str">
        <f aca="false">IF($B31="","",AL31*الموظفون!$R31/cfg_DAYS_M+S31)</f>
        <v/>
      </c>
      <c r="AN31" s="156" t="str">
        <f aca="false">IF($B31="","",SUMIFS('سجل الإجازات والحالات'!$X$6:$X$505,'سجل الإجازات والحالات'!$B$6:$B$505,$B31))</f>
        <v/>
      </c>
    </row>
    <row r="32" customFormat="false" ht="15" hidden="false" customHeight="false" outlineLevel="0" collapsed="false">
      <c r="A32" s="106" t="str">
        <f aca="false">IF($B32="","",الموظفون!$A32)</f>
        <v/>
      </c>
      <c r="B32" s="114" t="str">
        <f aca="false">IF(الموظفون!$B32="","",الموظفون!$B32)</f>
        <v/>
      </c>
      <c r="C32" s="114" t="str">
        <f aca="false">IF($B32="","",الموظفون!$C32)</f>
        <v/>
      </c>
      <c r="D32" s="114" t="str">
        <f aca="false">IF($B32="","",الموظفون!$F32)</f>
        <v/>
      </c>
      <c r="E32" s="114" t="str">
        <f aca="false">IF($B32="","",الموظفون!$E32)</f>
        <v/>
      </c>
      <c r="F32" s="114" t="str">
        <f aca="false">IF($B32="","",IF(AK32=0,IF(AND(الموظفون!$AE32&lt;&gt;"",الموظفون!$AE32&lt;$E$3),"✖ منتهي الخدمة","⏳ لم يباشر"),IF(S32&gt;0,"✈ راتب إجازة مقدم",IF(J32=0,"⛔ بدون راتب هذا الشهر",IF(I32&gt;0,"✈ خصم "&amp;ROUND(I32,2)&amp;" يوم بدون أجر",IF(AL32&gt;0,"🌴 إجازة سنوية "&amp;ROUND(AL32,2)&amp;" يوم",IF(H32&gt;0,"⚠ غياب "&amp;ROUND(H32,2)&amp;" يوم","✔ على رأس العمل")))))))</f>
        <v/>
      </c>
      <c r="G32" s="151" t="str">
        <f aca="false">IF($B32="","",IF(AK32&gt;=DAY($F$3),cfg_DAYS_M,MIN(AK32,cfg_DAYS_M)))</f>
        <v/>
      </c>
      <c r="H32" s="151" t="str">
        <f aca="false">IF($B32="","",SUMIFS('الحركات الشهرية'!$D$6:$D$1005,'الحركات الشهرية'!$B$6:$B$1005,$B32,'الحركات الشهرية'!$A$6:$A$1005,$C$3))</f>
        <v/>
      </c>
      <c r="I32" s="151" t="str">
        <f aca="false">IF($B32="","",MIN(G32,IF(AND(AK32&gt;0,AN32&gt;=AK32),G32,AN32)+SUMIFS('الحركات الشهرية'!$E$6:$E$1005,'الحركات الشهرية'!$B$6:$B$1005,$B32,'الحركات الشهرية'!$A$6:$A$1005,$C$3)))</f>
        <v/>
      </c>
      <c r="J32" s="151" t="str">
        <f aca="false">IF($B32="","",MAX(0,G32-H32-I32))</f>
        <v/>
      </c>
      <c r="K32" s="111" t="str">
        <f aca="false">IF($B32="","",الموظفون!$L32*$J32/cfg_DAYS_M)</f>
        <v/>
      </c>
      <c r="L32" s="111" t="str">
        <f aca="false">IF($B32="","",الموظفون!$M32*$J32/cfg_DAYS_M)</f>
        <v/>
      </c>
      <c r="M32" s="111" t="str">
        <f aca="false">IF($B32="","",الموظفون!$N32*$J32/cfg_DAYS_M)</f>
        <v/>
      </c>
      <c r="N32" s="111" t="str">
        <f aca="false">IF($B32="","",الموظفون!$O32*$J32/cfg_DAYS_M)</f>
        <v/>
      </c>
      <c r="O32" s="151" t="str">
        <f aca="false">IF($B32="","",SUMIFS('الحركات الشهرية'!$F$6:$F$1005,'الحركات الشهرية'!$B$6:$B$1005,$B32,'الحركات الشهرية'!$A$6:$A$1005,$C$3))</f>
        <v/>
      </c>
      <c r="P32" s="111" t="str">
        <f aca="false">IF($B32="","",O32*(الموظفون!$P32+الموظفون!$L32*cfg_OT_P)/cfg_DAYS_M/cfg_HRS)</f>
        <v/>
      </c>
      <c r="Q32" s="111" t="str">
        <f aca="false">IF($B32="","",SUMIFS('الحركات الشهرية'!$G$6:$G$1005,'الحركات الشهرية'!$B$6:$B$1005,$B32,'الحركات الشهرية'!$A$6:$A$1005,$C$3))</f>
        <v/>
      </c>
      <c r="R32" s="111" t="str">
        <f aca="false">IF($B32="","",SUMIFS('الحركات الشهرية'!$H$6:$H$1005,'الحركات الشهرية'!$B$6:$B$1005,$B32,'الحركات الشهرية'!$A$6:$A$1005,$C$3))</f>
        <v/>
      </c>
      <c r="S32" s="111" t="str">
        <f aca="false">IF($B32="","",SUMIFS('سجل الإجازات والحالات'!$N$6:$N$505,'سجل الإجازات والحالات'!$B$6:$B$505,$B32,'سجل الإجازات والحالات'!$O$6:$O$505,$C$3))</f>
        <v/>
      </c>
      <c r="T32" s="152" t="str">
        <f aca="false">IF($B32="","",SUM(K32:N32)+SUM(P32:S32))</f>
        <v/>
      </c>
      <c r="U32" s="111" t="str">
        <f aca="false">IF($B32="","",الموظفون!$S32*IF(E32="سعودي",cfg_G_SE,cfg_G_NE)*G32/cfg_DAYS_M)</f>
        <v/>
      </c>
      <c r="V32" s="111" t="str">
        <f aca="false">IF($B32="","",SUMIFS('الحركات الشهرية'!$I$6:$I$1005,'الحركات الشهرية'!$B$6:$B$1005,$B32,'الحركات الشهرية'!$A$6:$A$1005,$C$3))</f>
        <v/>
      </c>
      <c r="W32" s="111" t="str">
        <f aca="false">IF($B32="","",SUMIFS('الحركات الشهرية'!$J$6:$J$1005,'الحركات الشهرية'!$B$6:$B$1005,$B32,'الحركات الشهرية'!$A$6:$A$1005,$C$3))</f>
        <v/>
      </c>
      <c r="X32" s="111" t="str">
        <f aca="false">IF($B32="","",SUM(U32:W32))</f>
        <v/>
      </c>
      <c r="Y32" s="153" t="str">
        <f aca="false">IF($B32="","",T32-X32)</f>
        <v/>
      </c>
      <c r="Z32" s="111" t="str">
        <f aca="false">IF($B32="","",الموظفون!$S32*IF(E32="سعودي",cfg_G_SR,cfg_G_NR)*G32/cfg_DAYS_M)</f>
        <v/>
      </c>
      <c r="AA32" s="111" t="str">
        <f aca="false">IF($B32="","",الموظفون!$Q32*(cfg_EOS_R1*(MIN(AH32,cfg_EOS_TH)-MIN(AI32,cfg_EOS_TH))+cfg_EOS_R2*(MAX(AH32-cfg_EOS_TH,0)-MAX(AI32-cfg_EOS_TH,0))))</f>
        <v/>
      </c>
      <c r="AB32" s="111" t="str">
        <f aca="false">IF($B32="","",IF(الموظفون!$T32&lt;&gt;"",الموظفون!$T32,IF(AH32&gt;=cfg_LV_TH,cfg_LV_D2,cfg_LV_D1))/cfg_DAYS_Y*AJ32*الموظفون!$R32/cfg_DAYS_M)</f>
        <v/>
      </c>
      <c r="AC32" s="111" t="str">
        <f aca="false">IF($B32="","",IF(AND(الموظفون!$U32="نعم",N(الموظفون!$W32)&gt;0),الموظفون!$V32/الموظفون!$W32*12/cfg_DAYS_Y*AJ32,0))</f>
        <v/>
      </c>
      <c r="AD32" s="111" t="str">
        <f aca="false">IF($B32="","",(IF(الموظفون!$X32&lt;&gt;"",الموظفون!$X32,IF(الموظفون!$E32="غير سعودي",cfg_IQ,0))+IF(الموظفون!$Y32&lt;&gt;"",الموظفون!$Y32,IF(الموظفون!$E32="غير سعودي",cfg_WP,0)))/12*G32/cfg_DAYS_M)</f>
        <v/>
      </c>
      <c r="AE32" s="111" t="str">
        <f aca="false">IF($B32="","",IF(الموظفون!$Z32&lt;&gt;"",الموظفون!$Z32,cfg_MED)/12*G32/cfg_DAYS_M)</f>
        <v/>
      </c>
      <c r="AF32" s="111" t="str">
        <f aca="false">IF($B32="","",N(الموظفون!$AA32)/12*G32/cfg_DAYS_M)</f>
        <v/>
      </c>
      <c r="AG32" s="154" t="str">
        <f aca="false">IF($B32="","",T32+SUM(Z32:AF32))</f>
        <v/>
      </c>
      <c r="AH32" s="155" t="str">
        <f aca="false">IF($B32="","",MAX(0,IF(OR(الموظفون!$AE32="",الموظفون!$AE32&gt;$F$3),$F$3,الموظفون!$AE32)-الموظفون!$H32+1-SUMIFS('سجل الإجازات والحالات'!$AJ$6:$AJ$505,'سجل الإجازات والحالات'!$B$6:$B$505,$B32))/cfg_DAYS_Y)</f>
        <v/>
      </c>
      <c r="AI32" s="155" t="str">
        <f aca="false">IF($B32="","",MAX(0,IF(OR(الموظفون!$AE32="",الموظفون!$AE32&gt;($E$3-1)),($E$3-1),الموظفون!$AE32)-الموظفون!$H32+1-SUMIFS('سجل الإجازات والحالات'!$AI$6:$AI$505,'سجل الإجازات والحالات'!$B$6:$B$505,$B32))/cfg_DAYS_Y)</f>
        <v/>
      </c>
      <c r="AJ32" s="65" t="str">
        <f aca="false">IF($B32="","",MAX(0,AK32-(SUMIFS('سجل الإجازات والحالات'!$AJ$6:$AJ$505,'سجل الإجازات والحالات'!$B$6:$B$505,$B32)-SUMIFS('سجل الإجازات والحالات'!$AI$6:$AI$505,'سجل الإجازات والحالات'!$B$6:$B$505,$B32))))</f>
        <v/>
      </c>
      <c r="AK32" s="65" t="str">
        <f aca="false">IF($B32="","",MAX(0,IF(OR(الموظفون!$AE32="",الموظفون!$AE32&gt;$F$3),$F$3,الموظفون!$AE32)-MAX($E$3,الموظفون!$H32)+1))</f>
        <v/>
      </c>
      <c r="AL32" s="151" t="str">
        <f aca="false">IF($B32="","",SUMIFS('سجل الإجازات والحالات'!$AV$6:$AV$505,'سجل الإجازات والحالات'!$B$6:$B$505,$B32)+SUMIFS('الحركات الشهرية'!$K$6:$K$1005,'الحركات الشهرية'!$B$6:$B$1005,$B32,'الحركات الشهرية'!$A$6:$A$1005,$C$3))</f>
        <v/>
      </c>
      <c r="AM32" s="111" t="str">
        <f aca="false">IF($B32="","",AL32*الموظفون!$R32/cfg_DAYS_M+S32)</f>
        <v/>
      </c>
      <c r="AN32" s="151" t="str">
        <f aca="false">IF($B32="","",SUMIFS('سجل الإجازات والحالات'!$X$6:$X$505,'سجل الإجازات والحالات'!$B$6:$B$505,$B32))</f>
        <v/>
      </c>
    </row>
    <row r="33" customFormat="false" ht="15" hidden="false" customHeight="false" outlineLevel="0" collapsed="false">
      <c r="A33" s="115" t="str">
        <f aca="false">IF($B33="","",الموظفون!$A33)</f>
        <v/>
      </c>
      <c r="B33" s="117" t="str">
        <f aca="false">IF(الموظفون!$B33="","",الموظفون!$B33)</f>
        <v/>
      </c>
      <c r="C33" s="117" t="str">
        <f aca="false">IF($B33="","",الموظفون!$C33)</f>
        <v/>
      </c>
      <c r="D33" s="117" t="str">
        <f aca="false">IF($B33="","",الموظفون!$F33)</f>
        <v/>
      </c>
      <c r="E33" s="117" t="str">
        <f aca="false">IF($B33="","",الموظفون!$E33)</f>
        <v/>
      </c>
      <c r="F33" s="117" t="str">
        <f aca="false">IF($B33="","",IF(AK33=0,IF(AND(الموظفون!$AE33&lt;&gt;"",الموظفون!$AE33&lt;$E$3),"✖ منتهي الخدمة","⏳ لم يباشر"),IF(S33&gt;0,"✈ راتب إجازة مقدم",IF(J33=0,"⛔ بدون راتب هذا الشهر",IF(I33&gt;0,"✈ خصم "&amp;ROUND(I33,2)&amp;" يوم بدون أجر",IF(AL33&gt;0,"🌴 إجازة سنوية "&amp;ROUND(AL33,2)&amp;" يوم",IF(H33&gt;0,"⚠ غياب "&amp;ROUND(H33,2)&amp;" يوم","✔ على رأس العمل")))))))</f>
        <v/>
      </c>
      <c r="G33" s="156" t="str">
        <f aca="false">IF($B33="","",IF(AK33&gt;=DAY($F$3),cfg_DAYS_M,MIN(AK33,cfg_DAYS_M)))</f>
        <v/>
      </c>
      <c r="H33" s="156" t="str">
        <f aca="false">IF($B33="","",SUMIFS('الحركات الشهرية'!$D$6:$D$1005,'الحركات الشهرية'!$B$6:$B$1005,$B33,'الحركات الشهرية'!$A$6:$A$1005,$C$3))</f>
        <v/>
      </c>
      <c r="I33" s="156" t="str">
        <f aca="false">IF($B33="","",MIN(G33,IF(AND(AK33&gt;0,AN33&gt;=AK33),G33,AN33)+SUMIFS('الحركات الشهرية'!$E$6:$E$1005,'الحركات الشهرية'!$B$6:$B$1005,$B33,'الحركات الشهرية'!$A$6:$A$1005,$C$3)))</f>
        <v/>
      </c>
      <c r="J33" s="156" t="str">
        <f aca="false">IF($B33="","",MAX(0,G33-H33-I33))</f>
        <v/>
      </c>
      <c r="K33" s="116" t="str">
        <f aca="false">IF($B33="","",الموظفون!$L33*$J33/cfg_DAYS_M)</f>
        <v/>
      </c>
      <c r="L33" s="116" t="str">
        <f aca="false">IF($B33="","",الموظفون!$M33*$J33/cfg_DAYS_M)</f>
        <v/>
      </c>
      <c r="M33" s="116" t="str">
        <f aca="false">IF($B33="","",الموظفون!$N33*$J33/cfg_DAYS_M)</f>
        <v/>
      </c>
      <c r="N33" s="116" t="str">
        <f aca="false">IF($B33="","",الموظفون!$O33*$J33/cfg_DAYS_M)</f>
        <v/>
      </c>
      <c r="O33" s="156" t="str">
        <f aca="false">IF($B33="","",SUMIFS('الحركات الشهرية'!$F$6:$F$1005,'الحركات الشهرية'!$B$6:$B$1005,$B33,'الحركات الشهرية'!$A$6:$A$1005,$C$3))</f>
        <v/>
      </c>
      <c r="P33" s="116" t="str">
        <f aca="false">IF($B33="","",O33*(الموظفون!$P33+الموظفون!$L33*cfg_OT_P)/cfg_DAYS_M/cfg_HRS)</f>
        <v/>
      </c>
      <c r="Q33" s="116" t="str">
        <f aca="false">IF($B33="","",SUMIFS('الحركات الشهرية'!$G$6:$G$1005,'الحركات الشهرية'!$B$6:$B$1005,$B33,'الحركات الشهرية'!$A$6:$A$1005,$C$3))</f>
        <v/>
      </c>
      <c r="R33" s="116" t="str">
        <f aca="false">IF($B33="","",SUMIFS('الحركات الشهرية'!$H$6:$H$1005,'الحركات الشهرية'!$B$6:$B$1005,$B33,'الحركات الشهرية'!$A$6:$A$1005,$C$3))</f>
        <v/>
      </c>
      <c r="S33" s="116" t="str">
        <f aca="false">IF($B33="","",SUMIFS('سجل الإجازات والحالات'!$N$6:$N$505,'سجل الإجازات والحالات'!$B$6:$B$505,$B33,'سجل الإجازات والحالات'!$O$6:$O$505,$C$3))</f>
        <v/>
      </c>
      <c r="T33" s="157" t="str">
        <f aca="false">IF($B33="","",SUM(K33:N33)+SUM(P33:S33))</f>
        <v/>
      </c>
      <c r="U33" s="116" t="str">
        <f aca="false">IF($B33="","",الموظفون!$S33*IF(E33="سعودي",cfg_G_SE,cfg_G_NE)*G33/cfg_DAYS_M)</f>
        <v/>
      </c>
      <c r="V33" s="116" t="str">
        <f aca="false">IF($B33="","",SUMIFS('الحركات الشهرية'!$I$6:$I$1005,'الحركات الشهرية'!$B$6:$B$1005,$B33,'الحركات الشهرية'!$A$6:$A$1005,$C$3))</f>
        <v/>
      </c>
      <c r="W33" s="116" t="str">
        <f aca="false">IF($B33="","",SUMIFS('الحركات الشهرية'!$J$6:$J$1005,'الحركات الشهرية'!$B$6:$B$1005,$B33,'الحركات الشهرية'!$A$6:$A$1005,$C$3))</f>
        <v/>
      </c>
      <c r="X33" s="116" t="str">
        <f aca="false">IF($B33="","",SUM(U33:W33))</f>
        <v/>
      </c>
      <c r="Y33" s="158" t="str">
        <f aca="false">IF($B33="","",T33-X33)</f>
        <v/>
      </c>
      <c r="Z33" s="116" t="str">
        <f aca="false">IF($B33="","",الموظفون!$S33*IF(E33="سعودي",cfg_G_SR,cfg_G_NR)*G33/cfg_DAYS_M)</f>
        <v/>
      </c>
      <c r="AA33" s="116" t="str">
        <f aca="false">IF($B33="","",الموظفون!$Q33*(cfg_EOS_R1*(MIN(AH33,cfg_EOS_TH)-MIN(AI33,cfg_EOS_TH))+cfg_EOS_R2*(MAX(AH33-cfg_EOS_TH,0)-MAX(AI33-cfg_EOS_TH,0))))</f>
        <v/>
      </c>
      <c r="AB33" s="116" t="str">
        <f aca="false">IF($B33="","",IF(الموظفون!$T33&lt;&gt;"",الموظفون!$T33,IF(AH33&gt;=cfg_LV_TH,cfg_LV_D2,cfg_LV_D1))/cfg_DAYS_Y*AJ33*الموظفون!$R33/cfg_DAYS_M)</f>
        <v/>
      </c>
      <c r="AC33" s="116" t="str">
        <f aca="false">IF($B33="","",IF(AND(الموظفون!$U33="نعم",N(الموظفون!$W33)&gt;0),الموظفون!$V33/الموظفون!$W33*12/cfg_DAYS_Y*AJ33,0))</f>
        <v/>
      </c>
      <c r="AD33" s="116" t="str">
        <f aca="false">IF($B33="","",(IF(الموظفون!$X33&lt;&gt;"",الموظفون!$X33,IF(الموظفون!$E33="غير سعودي",cfg_IQ,0))+IF(الموظفون!$Y33&lt;&gt;"",الموظفون!$Y33,IF(الموظفون!$E33="غير سعودي",cfg_WP,0)))/12*G33/cfg_DAYS_M)</f>
        <v/>
      </c>
      <c r="AE33" s="116" t="str">
        <f aca="false">IF($B33="","",IF(الموظفون!$Z33&lt;&gt;"",الموظفون!$Z33,cfg_MED)/12*G33/cfg_DAYS_M)</f>
        <v/>
      </c>
      <c r="AF33" s="116" t="str">
        <f aca="false">IF($B33="","",N(الموظفون!$AA33)/12*G33/cfg_DAYS_M)</f>
        <v/>
      </c>
      <c r="AG33" s="159" t="str">
        <f aca="false">IF($B33="","",T33+SUM(Z33:AF33))</f>
        <v/>
      </c>
      <c r="AH33" s="160" t="str">
        <f aca="false">IF($B33="","",MAX(0,IF(OR(الموظفون!$AE33="",الموظفون!$AE33&gt;$F$3),$F$3,الموظفون!$AE33)-الموظفون!$H33+1-SUMIFS('سجل الإجازات والحالات'!$AJ$6:$AJ$505,'سجل الإجازات والحالات'!$B$6:$B$505,$B33))/cfg_DAYS_Y)</f>
        <v/>
      </c>
      <c r="AI33" s="160" t="str">
        <f aca="false">IF($B33="","",MAX(0,IF(OR(الموظفون!$AE33="",الموظفون!$AE33&gt;($E$3-1)),($E$3-1),الموظفون!$AE33)-الموظفون!$H33+1-SUMIFS('سجل الإجازات والحالات'!$AI$6:$AI$505,'سجل الإجازات والحالات'!$B$6:$B$505,$B33))/cfg_DAYS_Y)</f>
        <v/>
      </c>
      <c r="AJ33" s="133" t="str">
        <f aca="false">IF($B33="","",MAX(0,AK33-(SUMIFS('سجل الإجازات والحالات'!$AJ$6:$AJ$505,'سجل الإجازات والحالات'!$B$6:$B$505,$B33)-SUMIFS('سجل الإجازات والحالات'!$AI$6:$AI$505,'سجل الإجازات والحالات'!$B$6:$B$505,$B33))))</f>
        <v/>
      </c>
      <c r="AK33" s="133" t="str">
        <f aca="false">IF($B33="","",MAX(0,IF(OR(الموظفون!$AE33="",الموظفون!$AE33&gt;$F$3),$F$3,الموظفون!$AE33)-MAX($E$3,الموظفون!$H33)+1))</f>
        <v/>
      </c>
      <c r="AL33" s="156" t="str">
        <f aca="false">IF($B33="","",SUMIFS('سجل الإجازات والحالات'!$AV$6:$AV$505,'سجل الإجازات والحالات'!$B$6:$B$505,$B33)+SUMIFS('الحركات الشهرية'!$K$6:$K$1005,'الحركات الشهرية'!$B$6:$B$1005,$B33,'الحركات الشهرية'!$A$6:$A$1005,$C$3))</f>
        <v/>
      </c>
      <c r="AM33" s="116" t="str">
        <f aca="false">IF($B33="","",AL33*الموظفون!$R33/cfg_DAYS_M+S33)</f>
        <v/>
      </c>
      <c r="AN33" s="156" t="str">
        <f aca="false">IF($B33="","",SUMIFS('سجل الإجازات والحالات'!$X$6:$X$505,'سجل الإجازات والحالات'!$B$6:$B$505,$B33))</f>
        <v/>
      </c>
    </row>
    <row r="34" customFormat="false" ht="15" hidden="false" customHeight="false" outlineLevel="0" collapsed="false">
      <c r="A34" s="106" t="str">
        <f aca="false">IF($B34="","",الموظفون!$A34)</f>
        <v/>
      </c>
      <c r="B34" s="114" t="str">
        <f aca="false">IF(الموظفون!$B34="","",الموظفون!$B34)</f>
        <v/>
      </c>
      <c r="C34" s="114" t="str">
        <f aca="false">IF($B34="","",الموظفون!$C34)</f>
        <v/>
      </c>
      <c r="D34" s="114" t="str">
        <f aca="false">IF($B34="","",الموظفون!$F34)</f>
        <v/>
      </c>
      <c r="E34" s="114" t="str">
        <f aca="false">IF($B34="","",الموظفون!$E34)</f>
        <v/>
      </c>
      <c r="F34" s="114" t="str">
        <f aca="false">IF($B34="","",IF(AK34=0,IF(AND(الموظفون!$AE34&lt;&gt;"",الموظفون!$AE34&lt;$E$3),"✖ منتهي الخدمة","⏳ لم يباشر"),IF(S34&gt;0,"✈ راتب إجازة مقدم",IF(J34=0,"⛔ بدون راتب هذا الشهر",IF(I34&gt;0,"✈ خصم "&amp;ROUND(I34,2)&amp;" يوم بدون أجر",IF(AL34&gt;0,"🌴 إجازة سنوية "&amp;ROUND(AL34,2)&amp;" يوم",IF(H34&gt;0,"⚠ غياب "&amp;ROUND(H34,2)&amp;" يوم","✔ على رأس العمل")))))))</f>
        <v/>
      </c>
      <c r="G34" s="151" t="str">
        <f aca="false">IF($B34="","",IF(AK34&gt;=DAY($F$3),cfg_DAYS_M,MIN(AK34,cfg_DAYS_M)))</f>
        <v/>
      </c>
      <c r="H34" s="151" t="str">
        <f aca="false">IF($B34="","",SUMIFS('الحركات الشهرية'!$D$6:$D$1005,'الحركات الشهرية'!$B$6:$B$1005,$B34,'الحركات الشهرية'!$A$6:$A$1005,$C$3))</f>
        <v/>
      </c>
      <c r="I34" s="151" t="str">
        <f aca="false">IF($B34="","",MIN(G34,IF(AND(AK34&gt;0,AN34&gt;=AK34),G34,AN34)+SUMIFS('الحركات الشهرية'!$E$6:$E$1005,'الحركات الشهرية'!$B$6:$B$1005,$B34,'الحركات الشهرية'!$A$6:$A$1005,$C$3)))</f>
        <v/>
      </c>
      <c r="J34" s="151" t="str">
        <f aca="false">IF($B34="","",MAX(0,G34-H34-I34))</f>
        <v/>
      </c>
      <c r="K34" s="111" t="str">
        <f aca="false">IF($B34="","",الموظفون!$L34*$J34/cfg_DAYS_M)</f>
        <v/>
      </c>
      <c r="L34" s="111" t="str">
        <f aca="false">IF($B34="","",الموظفون!$M34*$J34/cfg_DAYS_M)</f>
        <v/>
      </c>
      <c r="M34" s="111" t="str">
        <f aca="false">IF($B34="","",الموظفون!$N34*$J34/cfg_DAYS_M)</f>
        <v/>
      </c>
      <c r="N34" s="111" t="str">
        <f aca="false">IF($B34="","",الموظفون!$O34*$J34/cfg_DAYS_M)</f>
        <v/>
      </c>
      <c r="O34" s="151" t="str">
        <f aca="false">IF($B34="","",SUMIFS('الحركات الشهرية'!$F$6:$F$1005,'الحركات الشهرية'!$B$6:$B$1005,$B34,'الحركات الشهرية'!$A$6:$A$1005,$C$3))</f>
        <v/>
      </c>
      <c r="P34" s="111" t="str">
        <f aca="false">IF($B34="","",O34*(الموظفون!$P34+الموظفون!$L34*cfg_OT_P)/cfg_DAYS_M/cfg_HRS)</f>
        <v/>
      </c>
      <c r="Q34" s="111" t="str">
        <f aca="false">IF($B34="","",SUMIFS('الحركات الشهرية'!$G$6:$G$1005,'الحركات الشهرية'!$B$6:$B$1005,$B34,'الحركات الشهرية'!$A$6:$A$1005,$C$3))</f>
        <v/>
      </c>
      <c r="R34" s="111" t="str">
        <f aca="false">IF($B34="","",SUMIFS('الحركات الشهرية'!$H$6:$H$1005,'الحركات الشهرية'!$B$6:$B$1005,$B34,'الحركات الشهرية'!$A$6:$A$1005,$C$3))</f>
        <v/>
      </c>
      <c r="S34" s="111" t="str">
        <f aca="false">IF($B34="","",SUMIFS('سجل الإجازات والحالات'!$N$6:$N$505,'سجل الإجازات والحالات'!$B$6:$B$505,$B34,'سجل الإجازات والحالات'!$O$6:$O$505,$C$3))</f>
        <v/>
      </c>
      <c r="T34" s="152" t="str">
        <f aca="false">IF($B34="","",SUM(K34:N34)+SUM(P34:S34))</f>
        <v/>
      </c>
      <c r="U34" s="111" t="str">
        <f aca="false">IF($B34="","",الموظفون!$S34*IF(E34="سعودي",cfg_G_SE,cfg_G_NE)*G34/cfg_DAYS_M)</f>
        <v/>
      </c>
      <c r="V34" s="111" t="str">
        <f aca="false">IF($B34="","",SUMIFS('الحركات الشهرية'!$I$6:$I$1005,'الحركات الشهرية'!$B$6:$B$1005,$B34,'الحركات الشهرية'!$A$6:$A$1005,$C$3))</f>
        <v/>
      </c>
      <c r="W34" s="111" t="str">
        <f aca="false">IF($B34="","",SUMIFS('الحركات الشهرية'!$J$6:$J$1005,'الحركات الشهرية'!$B$6:$B$1005,$B34,'الحركات الشهرية'!$A$6:$A$1005,$C$3))</f>
        <v/>
      </c>
      <c r="X34" s="111" t="str">
        <f aca="false">IF($B34="","",SUM(U34:W34))</f>
        <v/>
      </c>
      <c r="Y34" s="153" t="str">
        <f aca="false">IF($B34="","",T34-X34)</f>
        <v/>
      </c>
      <c r="Z34" s="111" t="str">
        <f aca="false">IF($B34="","",الموظفون!$S34*IF(E34="سعودي",cfg_G_SR,cfg_G_NR)*G34/cfg_DAYS_M)</f>
        <v/>
      </c>
      <c r="AA34" s="111" t="str">
        <f aca="false">IF($B34="","",الموظفون!$Q34*(cfg_EOS_R1*(MIN(AH34,cfg_EOS_TH)-MIN(AI34,cfg_EOS_TH))+cfg_EOS_R2*(MAX(AH34-cfg_EOS_TH,0)-MAX(AI34-cfg_EOS_TH,0))))</f>
        <v/>
      </c>
      <c r="AB34" s="111" t="str">
        <f aca="false">IF($B34="","",IF(الموظفون!$T34&lt;&gt;"",الموظفون!$T34,IF(AH34&gt;=cfg_LV_TH,cfg_LV_D2,cfg_LV_D1))/cfg_DAYS_Y*AJ34*الموظفون!$R34/cfg_DAYS_M)</f>
        <v/>
      </c>
      <c r="AC34" s="111" t="str">
        <f aca="false">IF($B34="","",IF(AND(الموظفون!$U34="نعم",N(الموظفون!$W34)&gt;0),الموظفون!$V34/الموظفون!$W34*12/cfg_DAYS_Y*AJ34,0))</f>
        <v/>
      </c>
      <c r="AD34" s="111" t="str">
        <f aca="false">IF($B34="","",(IF(الموظفون!$X34&lt;&gt;"",الموظفون!$X34,IF(الموظفون!$E34="غير سعودي",cfg_IQ,0))+IF(الموظفون!$Y34&lt;&gt;"",الموظفون!$Y34,IF(الموظفون!$E34="غير سعودي",cfg_WP,0)))/12*G34/cfg_DAYS_M)</f>
        <v/>
      </c>
      <c r="AE34" s="111" t="str">
        <f aca="false">IF($B34="","",IF(الموظفون!$Z34&lt;&gt;"",الموظفون!$Z34,cfg_MED)/12*G34/cfg_DAYS_M)</f>
        <v/>
      </c>
      <c r="AF34" s="111" t="str">
        <f aca="false">IF($B34="","",N(الموظفون!$AA34)/12*G34/cfg_DAYS_M)</f>
        <v/>
      </c>
      <c r="AG34" s="154" t="str">
        <f aca="false">IF($B34="","",T34+SUM(Z34:AF34))</f>
        <v/>
      </c>
      <c r="AH34" s="155" t="str">
        <f aca="false">IF($B34="","",MAX(0,IF(OR(الموظفون!$AE34="",الموظفون!$AE34&gt;$F$3),$F$3,الموظفون!$AE34)-الموظفون!$H34+1-SUMIFS('سجل الإجازات والحالات'!$AJ$6:$AJ$505,'سجل الإجازات والحالات'!$B$6:$B$505,$B34))/cfg_DAYS_Y)</f>
        <v/>
      </c>
      <c r="AI34" s="155" t="str">
        <f aca="false">IF($B34="","",MAX(0,IF(OR(الموظفون!$AE34="",الموظفون!$AE34&gt;($E$3-1)),($E$3-1),الموظفون!$AE34)-الموظفون!$H34+1-SUMIFS('سجل الإجازات والحالات'!$AI$6:$AI$505,'سجل الإجازات والحالات'!$B$6:$B$505,$B34))/cfg_DAYS_Y)</f>
        <v/>
      </c>
      <c r="AJ34" s="65" t="str">
        <f aca="false">IF($B34="","",MAX(0,AK34-(SUMIFS('سجل الإجازات والحالات'!$AJ$6:$AJ$505,'سجل الإجازات والحالات'!$B$6:$B$505,$B34)-SUMIFS('سجل الإجازات والحالات'!$AI$6:$AI$505,'سجل الإجازات والحالات'!$B$6:$B$505,$B34))))</f>
        <v/>
      </c>
      <c r="AK34" s="65" t="str">
        <f aca="false">IF($B34="","",MAX(0,IF(OR(الموظفون!$AE34="",الموظفون!$AE34&gt;$F$3),$F$3,الموظفون!$AE34)-MAX($E$3,الموظفون!$H34)+1))</f>
        <v/>
      </c>
      <c r="AL34" s="151" t="str">
        <f aca="false">IF($B34="","",SUMIFS('سجل الإجازات والحالات'!$AV$6:$AV$505,'سجل الإجازات والحالات'!$B$6:$B$505,$B34)+SUMIFS('الحركات الشهرية'!$K$6:$K$1005,'الحركات الشهرية'!$B$6:$B$1005,$B34,'الحركات الشهرية'!$A$6:$A$1005,$C$3))</f>
        <v/>
      </c>
      <c r="AM34" s="111" t="str">
        <f aca="false">IF($B34="","",AL34*الموظفون!$R34/cfg_DAYS_M+S34)</f>
        <v/>
      </c>
      <c r="AN34" s="151" t="str">
        <f aca="false">IF($B34="","",SUMIFS('سجل الإجازات والحالات'!$X$6:$X$505,'سجل الإجازات والحالات'!$B$6:$B$505,$B34))</f>
        <v/>
      </c>
    </row>
    <row r="35" customFormat="false" ht="15" hidden="false" customHeight="false" outlineLevel="0" collapsed="false">
      <c r="A35" s="115" t="str">
        <f aca="false">IF($B35="","",الموظفون!$A35)</f>
        <v/>
      </c>
      <c r="B35" s="117" t="str">
        <f aca="false">IF(الموظفون!$B35="","",الموظفون!$B35)</f>
        <v/>
      </c>
      <c r="C35" s="117" t="str">
        <f aca="false">IF($B35="","",الموظفون!$C35)</f>
        <v/>
      </c>
      <c r="D35" s="117" t="str">
        <f aca="false">IF($B35="","",الموظفون!$F35)</f>
        <v/>
      </c>
      <c r="E35" s="117" t="str">
        <f aca="false">IF($B35="","",الموظفون!$E35)</f>
        <v/>
      </c>
      <c r="F35" s="117" t="str">
        <f aca="false">IF($B35="","",IF(AK35=0,IF(AND(الموظفون!$AE35&lt;&gt;"",الموظفون!$AE35&lt;$E$3),"✖ منتهي الخدمة","⏳ لم يباشر"),IF(S35&gt;0,"✈ راتب إجازة مقدم",IF(J35=0,"⛔ بدون راتب هذا الشهر",IF(I35&gt;0,"✈ خصم "&amp;ROUND(I35,2)&amp;" يوم بدون أجر",IF(AL35&gt;0,"🌴 إجازة سنوية "&amp;ROUND(AL35,2)&amp;" يوم",IF(H35&gt;0,"⚠ غياب "&amp;ROUND(H35,2)&amp;" يوم","✔ على رأس العمل")))))))</f>
        <v/>
      </c>
      <c r="G35" s="156" t="str">
        <f aca="false">IF($B35="","",IF(AK35&gt;=DAY($F$3),cfg_DAYS_M,MIN(AK35,cfg_DAYS_M)))</f>
        <v/>
      </c>
      <c r="H35" s="156" t="str">
        <f aca="false">IF($B35="","",SUMIFS('الحركات الشهرية'!$D$6:$D$1005,'الحركات الشهرية'!$B$6:$B$1005,$B35,'الحركات الشهرية'!$A$6:$A$1005,$C$3))</f>
        <v/>
      </c>
      <c r="I35" s="156" t="str">
        <f aca="false">IF($B35="","",MIN(G35,IF(AND(AK35&gt;0,AN35&gt;=AK35),G35,AN35)+SUMIFS('الحركات الشهرية'!$E$6:$E$1005,'الحركات الشهرية'!$B$6:$B$1005,$B35,'الحركات الشهرية'!$A$6:$A$1005,$C$3)))</f>
        <v/>
      </c>
      <c r="J35" s="156" t="str">
        <f aca="false">IF($B35="","",MAX(0,G35-H35-I35))</f>
        <v/>
      </c>
      <c r="K35" s="116" t="str">
        <f aca="false">IF($B35="","",الموظفون!$L35*$J35/cfg_DAYS_M)</f>
        <v/>
      </c>
      <c r="L35" s="116" t="str">
        <f aca="false">IF($B35="","",الموظفون!$M35*$J35/cfg_DAYS_M)</f>
        <v/>
      </c>
      <c r="M35" s="116" t="str">
        <f aca="false">IF($B35="","",الموظفون!$N35*$J35/cfg_DAYS_M)</f>
        <v/>
      </c>
      <c r="N35" s="116" t="str">
        <f aca="false">IF($B35="","",الموظفون!$O35*$J35/cfg_DAYS_M)</f>
        <v/>
      </c>
      <c r="O35" s="156" t="str">
        <f aca="false">IF($B35="","",SUMIFS('الحركات الشهرية'!$F$6:$F$1005,'الحركات الشهرية'!$B$6:$B$1005,$B35,'الحركات الشهرية'!$A$6:$A$1005,$C$3))</f>
        <v/>
      </c>
      <c r="P35" s="116" t="str">
        <f aca="false">IF($B35="","",O35*(الموظفون!$P35+الموظفون!$L35*cfg_OT_P)/cfg_DAYS_M/cfg_HRS)</f>
        <v/>
      </c>
      <c r="Q35" s="116" t="str">
        <f aca="false">IF($B35="","",SUMIFS('الحركات الشهرية'!$G$6:$G$1005,'الحركات الشهرية'!$B$6:$B$1005,$B35,'الحركات الشهرية'!$A$6:$A$1005,$C$3))</f>
        <v/>
      </c>
      <c r="R35" s="116" t="str">
        <f aca="false">IF($B35="","",SUMIFS('الحركات الشهرية'!$H$6:$H$1005,'الحركات الشهرية'!$B$6:$B$1005,$B35,'الحركات الشهرية'!$A$6:$A$1005,$C$3))</f>
        <v/>
      </c>
      <c r="S35" s="116" t="str">
        <f aca="false">IF($B35="","",SUMIFS('سجل الإجازات والحالات'!$N$6:$N$505,'سجل الإجازات والحالات'!$B$6:$B$505,$B35,'سجل الإجازات والحالات'!$O$6:$O$505,$C$3))</f>
        <v/>
      </c>
      <c r="T35" s="157" t="str">
        <f aca="false">IF($B35="","",SUM(K35:N35)+SUM(P35:S35))</f>
        <v/>
      </c>
      <c r="U35" s="116" t="str">
        <f aca="false">IF($B35="","",الموظفون!$S35*IF(E35="سعودي",cfg_G_SE,cfg_G_NE)*G35/cfg_DAYS_M)</f>
        <v/>
      </c>
      <c r="V35" s="116" t="str">
        <f aca="false">IF($B35="","",SUMIFS('الحركات الشهرية'!$I$6:$I$1005,'الحركات الشهرية'!$B$6:$B$1005,$B35,'الحركات الشهرية'!$A$6:$A$1005,$C$3))</f>
        <v/>
      </c>
      <c r="W35" s="116" t="str">
        <f aca="false">IF($B35="","",SUMIFS('الحركات الشهرية'!$J$6:$J$1005,'الحركات الشهرية'!$B$6:$B$1005,$B35,'الحركات الشهرية'!$A$6:$A$1005,$C$3))</f>
        <v/>
      </c>
      <c r="X35" s="116" t="str">
        <f aca="false">IF($B35="","",SUM(U35:W35))</f>
        <v/>
      </c>
      <c r="Y35" s="158" t="str">
        <f aca="false">IF($B35="","",T35-X35)</f>
        <v/>
      </c>
      <c r="Z35" s="116" t="str">
        <f aca="false">IF($B35="","",الموظفون!$S35*IF(E35="سعودي",cfg_G_SR,cfg_G_NR)*G35/cfg_DAYS_M)</f>
        <v/>
      </c>
      <c r="AA35" s="116" t="str">
        <f aca="false">IF($B35="","",الموظفون!$Q35*(cfg_EOS_R1*(MIN(AH35,cfg_EOS_TH)-MIN(AI35,cfg_EOS_TH))+cfg_EOS_R2*(MAX(AH35-cfg_EOS_TH,0)-MAX(AI35-cfg_EOS_TH,0))))</f>
        <v/>
      </c>
      <c r="AB35" s="116" t="str">
        <f aca="false">IF($B35="","",IF(الموظفون!$T35&lt;&gt;"",الموظفون!$T35,IF(AH35&gt;=cfg_LV_TH,cfg_LV_D2,cfg_LV_D1))/cfg_DAYS_Y*AJ35*الموظفون!$R35/cfg_DAYS_M)</f>
        <v/>
      </c>
      <c r="AC35" s="116" t="str">
        <f aca="false">IF($B35="","",IF(AND(الموظفون!$U35="نعم",N(الموظفون!$W35)&gt;0),الموظفون!$V35/الموظفون!$W35*12/cfg_DAYS_Y*AJ35,0))</f>
        <v/>
      </c>
      <c r="AD35" s="116" t="str">
        <f aca="false">IF($B35="","",(IF(الموظفون!$X35&lt;&gt;"",الموظفون!$X35,IF(الموظفون!$E35="غير سعودي",cfg_IQ,0))+IF(الموظفون!$Y35&lt;&gt;"",الموظفون!$Y35,IF(الموظفون!$E35="غير سعودي",cfg_WP,0)))/12*G35/cfg_DAYS_M)</f>
        <v/>
      </c>
      <c r="AE35" s="116" t="str">
        <f aca="false">IF($B35="","",IF(الموظفون!$Z35&lt;&gt;"",الموظفون!$Z35,cfg_MED)/12*G35/cfg_DAYS_M)</f>
        <v/>
      </c>
      <c r="AF35" s="116" t="str">
        <f aca="false">IF($B35="","",N(الموظفون!$AA35)/12*G35/cfg_DAYS_M)</f>
        <v/>
      </c>
      <c r="AG35" s="159" t="str">
        <f aca="false">IF($B35="","",T35+SUM(Z35:AF35))</f>
        <v/>
      </c>
      <c r="AH35" s="160" t="str">
        <f aca="false">IF($B35="","",MAX(0,IF(OR(الموظفون!$AE35="",الموظفون!$AE35&gt;$F$3),$F$3,الموظفون!$AE35)-الموظفون!$H35+1-SUMIFS('سجل الإجازات والحالات'!$AJ$6:$AJ$505,'سجل الإجازات والحالات'!$B$6:$B$505,$B35))/cfg_DAYS_Y)</f>
        <v/>
      </c>
      <c r="AI35" s="160" t="str">
        <f aca="false">IF($B35="","",MAX(0,IF(OR(الموظفون!$AE35="",الموظفون!$AE35&gt;($E$3-1)),($E$3-1),الموظفون!$AE35)-الموظفون!$H35+1-SUMIFS('سجل الإجازات والحالات'!$AI$6:$AI$505,'سجل الإجازات والحالات'!$B$6:$B$505,$B35))/cfg_DAYS_Y)</f>
        <v/>
      </c>
      <c r="AJ35" s="133" t="str">
        <f aca="false">IF($B35="","",MAX(0,AK35-(SUMIFS('سجل الإجازات والحالات'!$AJ$6:$AJ$505,'سجل الإجازات والحالات'!$B$6:$B$505,$B35)-SUMIFS('سجل الإجازات والحالات'!$AI$6:$AI$505,'سجل الإجازات والحالات'!$B$6:$B$505,$B35))))</f>
        <v/>
      </c>
      <c r="AK35" s="133" t="str">
        <f aca="false">IF($B35="","",MAX(0,IF(OR(الموظفون!$AE35="",الموظفون!$AE35&gt;$F$3),$F$3,الموظفون!$AE35)-MAX($E$3,الموظفون!$H35)+1))</f>
        <v/>
      </c>
      <c r="AL35" s="156" t="str">
        <f aca="false">IF($B35="","",SUMIFS('سجل الإجازات والحالات'!$AV$6:$AV$505,'سجل الإجازات والحالات'!$B$6:$B$505,$B35)+SUMIFS('الحركات الشهرية'!$K$6:$K$1005,'الحركات الشهرية'!$B$6:$B$1005,$B35,'الحركات الشهرية'!$A$6:$A$1005,$C$3))</f>
        <v/>
      </c>
      <c r="AM35" s="116" t="str">
        <f aca="false">IF($B35="","",AL35*الموظفون!$R35/cfg_DAYS_M+S35)</f>
        <v/>
      </c>
      <c r="AN35" s="156" t="str">
        <f aca="false">IF($B35="","",SUMIFS('سجل الإجازات والحالات'!$X$6:$X$505,'سجل الإجازات والحالات'!$B$6:$B$505,$B35))</f>
        <v/>
      </c>
    </row>
    <row r="36" customFormat="false" ht="15" hidden="false" customHeight="false" outlineLevel="0" collapsed="false">
      <c r="A36" s="106" t="str">
        <f aca="false">IF($B36="","",الموظفون!$A36)</f>
        <v/>
      </c>
      <c r="B36" s="114" t="str">
        <f aca="false">IF(الموظفون!$B36="","",الموظفون!$B36)</f>
        <v/>
      </c>
      <c r="C36" s="114" t="str">
        <f aca="false">IF($B36="","",الموظفون!$C36)</f>
        <v/>
      </c>
      <c r="D36" s="114" t="str">
        <f aca="false">IF($B36="","",الموظفون!$F36)</f>
        <v/>
      </c>
      <c r="E36" s="114" t="str">
        <f aca="false">IF($B36="","",الموظفون!$E36)</f>
        <v/>
      </c>
      <c r="F36" s="114" t="str">
        <f aca="false">IF($B36="","",IF(AK36=0,IF(AND(الموظفون!$AE36&lt;&gt;"",الموظفون!$AE36&lt;$E$3),"✖ منتهي الخدمة","⏳ لم يباشر"),IF(S36&gt;0,"✈ راتب إجازة مقدم",IF(J36=0,"⛔ بدون راتب هذا الشهر",IF(I36&gt;0,"✈ خصم "&amp;ROUND(I36,2)&amp;" يوم بدون أجر",IF(AL36&gt;0,"🌴 إجازة سنوية "&amp;ROUND(AL36,2)&amp;" يوم",IF(H36&gt;0,"⚠ غياب "&amp;ROUND(H36,2)&amp;" يوم","✔ على رأس العمل")))))))</f>
        <v/>
      </c>
      <c r="G36" s="151" t="str">
        <f aca="false">IF($B36="","",IF(AK36&gt;=DAY($F$3),cfg_DAYS_M,MIN(AK36,cfg_DAYS_M)))</f>
        <v/>
      </c>
      <c r="H36" s="151" t="str">
        <f aca="false">IF($B36="","",SUMIFS('الحركات الشهرية'!$D$6:$D$1005,'الحركات الشهرية'!$B$6:$B$1005,$B36,'الحركات الشهرية'!$A$6:$A$1005,$C$3))</f>
        <v/>
      </c>
      <c r="I36" s="151" t="str">
        <f aca="false">IF($B36="","",MIN(G36,IF(AND(AK36&gt;0,AN36&gt;=AK36),G36,AN36)+SUMIFS('الحركات الشهرية'!$E$6:$E$1005,'الحركات الشهرية'!$B$6:$B$1005,$B36,'الحركات الشهرية'!$A$6:$A$1005,$C$3)))</f>
        <v/>
      </c>
      <c r="J36" s="151" t="str">
        <f aca="false">IF($B36="","",MAX(0,G36-H36-I36))</f>
        <v/>
      </c>
      <c r="K36" s="111" t="str">
        <f aca="false">IF($B36="","",الموظفون!$L36*$J36/cfg_DAYS_M)</f>
        <v/>
      </c>
      <c r="L36" s="111" t="str">
        <f aca="false">IF($B36="","",الموظفون!$M36*$J36/cfg_DAYS_M)</f>
        <v/>
      </c>
      <c r="M36" s="111" t="str">
        <f aca="false">IF($B36="","",الموظفون!$N36*$J36/cfg_DAYS_M)</f>
        <v/>
      </c>
      <c r="N36" s="111" t="str">
        <f aca="false">IF($B36="","",الموظفون!$O36*$J36/cfg_DAYS_M)</f>
        <v/>
      </c>
      <c r="O36" s="151" t="str">
        <f aca="false">IF($B36="","",SUMIFS('الحركات الشهرية'!$F$6:$F$1005,'الحركات الشهرية'!$B$6:$B$1005,$B36,'الحركات الشهرية'!$A$6:$A$1005,$C$3))</f>
        <v/>
      </c>
      <c r="P36" s="111" t="str">
        <f aca="false">IF($B36="","",O36*(الموظفون!$P36+الموظفون!$L36*cfg_OT_P)/cfg_DAYS_M/cfg_HRS)</f>
        <v/>
      </c>
      <c r="Q36" s="111" t="str">
        <f aca="false">IF($B36="","",SUMIFS('الحركات الشهرية'!$G$6:$G$1005,'الحركات الشهرية'!$B$6:$B$1005,$B36,'الحركات الشهرية'!$A$6:$A$1005,$C$3))</f>
        <v/>
      </c>
      <c r="R36" s="111" t="str">
        <f aca="false">IF($B36="","",SUMIFS('الحركات الشهرية'!$H$6:$H$1005,'الحركات الشهرية'!$B$6:$B$1005,$B36,'الحركات الشهرية'!$A$6:$A$1005,$C$3))</f>
        <v/>
      </c>
      <c r="S36" s="111" t="str">
        <f aca="false">IF($B36="","",SUMIFS('سجل الإجازات والحالات'!$N$6:$N$505,'سجل الإجازات والحالات'!$B$6:$B$505,$B36,'سجل الإجازات والحالات'!$O$6:$O$505,$C$3))</f>
        <v/>
      </c>
      <c r="T36" s="152" t="str">
        <f aca="false">IF($B36="","",SUM(K36:N36)+SUM(P36:S36))</f>
        <v/>
      </c>
      <c r="U36" s="111" t="str">
        <f aca="false">IF($B36="","",الموظفون!$S36*IF(E36="سعودي",cfg_G_SE,cfg_G_NE)*G36/cfg_DAYS_M)</f>
        <v/>
      </c>
      <c r="V36" s="111" t="str">
        <f aca="false">IF($B36="","",SUMIFS('الحركات الشهرية'!$I$6:$I$1005,'الحركات الشهرية'!$B$6:$B$1005,$B36,'الحركات الشهرية'!$A$6:$A$1005,$C$3))</f>
        <v/>
      </c>
      <c r="W36" s="111" t="str">
        <f aca="false">IF($B36="","",SUMIFS('الحركات الشهرية'!$J$6:$J$1005,'الحركات الشهرية'!$B$6:$B$1005,$B36,'الحركات الشهرية'!$A$6:$A$1005,$C$3))</f>
        <v/>
      </c>
      <c r="X36" s="111" t="str">
        <f aca="false">IF($B36="","",SUM(U36:W36))</f>
        <v/>
      </c>
      <c r="Y36" s="153" t="str">
        <f aca="false">IF($B36="","",T36-X36)</f>
        <v/>
      </c>
      <c r="Z36" s="111" t="str">
        <f aca="false">IF($B36="","",الموظفون!$S36*IF(E36="سعودي",cfg_G_SR,cfg_G_NR)*G36/cfg_DAYS_M)</f>
        <v/>
      </c>
      <c r="AA36" s="111" t="str">
        <f aca="false">IF($B36="","",الموظفون!$Q36*(cfg_EOS_R1*(MIN(AH36,cfg_EOS_TH)-MIN(AI36,cfg_EOS_TH))+cfg_EOS_R2*(MAX(AH36-cfg_EOS_TH,0)-MAX(AI36-cfg_EOS_TH,0))))</f>
        <v/>
      </c>
      <c r="AB36" s="111" t="str">
        <f aca="false">IF($B36="","",IF(الموظفون!$T36&lt;&gt;"",الموظفون!$T36,IF(AH36&gt;=cfg_LV_TH,cfg_LV_D2,cfg_LV_D1))/cfg_DAYS_Y*AJ36*الموظفون!$R36/cfg_DAYS_M)</f>
        <v/>
      </c>
      <c r="AC36" s="111" t="str">
        <f aca="false">IF($B36="","",IF(AND(الموظفون!$U36="نعم",N(الموظفون!$W36)&gt;0),الموظفون!$V36/الموظفون!$W36*12/cfg_DAYS_Y*AJ36,0))</f>
        <v/>
      </c>
      <c r="AD36" s="111" t="str">
        <f aca="false">IF($B36="","",(IF(الموظفون!$X36&lt;&gt;"",الموظفون!$X36,IF(الموظفون!$E36="غير سعودي",cfg_IQ,0))+IF(الموظفون!$Y36&lt;&gt;"",الموظفون!$Y36,IF(الموظفون!$E36="غير سعودي",cfg_WP,0)))/12*G36/cfg_DAYS_M)</f>
        <v/>
      </c>
      <c r="AE36" s="111" t="str">
        <f aca="false">IF($B36="","",IF(الموظفون!$Z36&lt;&gt;"",الموظفون!$Z36,cfg_MED)/12*G36/cfg_DAYS_M)</f>
        <v/>
      </c>
      <c r="AF36" s="111" t="str">
        <f aca="false">IF($B36="","",N(الموظفون!$AA36)/12*G36/cfg_DAYS_M)</f>
        <v/>
      </c>
      <c r="AG36" s="154" t="str">
        <f aca="false">IF($B36="","",T36+SUM(Z36:AF36))</f>
        <v/>
      </c>
      <c r="AH36" s="155" t="str">
        <f aca="false">IF($B36="","",MAX(0,IF(OR(الموظفون!$AE36="",الموظفون!$AE36&gt;$F$3),$F$3,الموظفون!$AE36)-الموظفون!$H36+1-SUMIFS('سجل الإجازات والحالات'!$AJ$6:$AJ$505,'سجل الإجازات والحالات'!$B$6:$B$505,$B36))/cfg_DAYS_Y)</f>
        <v/>
      </c>
      <c r="AI36" s="155" t="str">
        <f aca="false">IF($B36="","",MAX(0,IF(OR(الموظفون!$AE36="",الموظفون!$AE36&gt;($E$3-1)),($E$3-1),الموظفون!$AE36)-الموظفون!$H36+1-SUMIFS('سجل الإجازات والحالات'!$AI$6:$AI$505,'سجل الإجازات والحالات'!$B$6:$B$505,$B36))/cfg_DAYS_Y)</f>
        <v/>
      </c>
      <c r="AJ36" s="65" t="str">
        <f aca="false">IF($B36="","",MAX(0,AK36-(SUMIFS('سجل الإجازات والحالات'!$AJ$6:$AJ$505,'سجل الإجازات والحالات'!$B$6:$B$505,$B36)-SUMIFS('سجل الإجازات والحالات'!$AI$6:$AI$505,'سجل الإجازات والحالات'!$B$6:$B$505,$B36))))</f>
        <v/>
      </c>
      <c r="AK36" s="65" t="str">
        <f aca="false">IF($B36="","",MAX(0,IF(OR(الموظفون!$AE36="",الموظفون!$AE36&gt;$F$3),$F$3,الموظفون!$AE36)-MAX($E$3,الموظفون!$H36)+1))</f>
        <v/>
      </c>
      <c r="AL36" s="151" t="str">
        <f aca="false">IF($B36="","",SUMIFS('سجل الإجازات والحالات'!$AV$6:$AV$505,'سجل الإجازات والحالات'!$B$6:$B$505,$B36)+SUMIFS('الحركات الشهرية'!$K$6:$K$1005,'الحركات الشهرية'!$B$6:$B$1005,$B36,'الحركات الشهرية'!$A$6:$A$1005,$C$3))</f>
        <v/>
      </c>
      <c r="AM36" s="111" t="str">
        <f aca="false">IF($B36="","",AL36*الموظفون!$R36/cfg_DAYS_M+S36)</f>
        <v/>
      </c>
      <c r="AN36" s="151" t="str">
        <f aca="false">IF($B36="","",SUMIFS('سجل الإجازات والحالات'!$X$6:$X$505,'سجل الإجازات والحالات'!$B$6:$B$505,$B36))</f>
        <v/>
      </c>
    </row>
    <row r="37" customFormat="false" ht="15" hidden="false" customHeight="false" outlineLevel="0" collapsed="false">
      <c r="A37" s="115" t="str">
        <f aca="false">IF($B37="","",الموظفون!$A37)</f>
        <v/>
      </c>
      <c r="B37" s="117" t="str">
        <f aca="false">IF(الموظفون!$B37="","",الموظفون!$B37)</f>
        <v/>
      </c>
      <c r="C37" s="117" t="str">
        <f aca="false">IF($B37="","",الموظفون!$C37)</f>
        <v/>
      </c>
      <c r="D37" s="117" t="str">
        <f aca="false">IF($B37="","",الموظفون!$F37)</f>
        <v/>
      </c>
      <c r="E37" s="117" t="str">
        <f aca="false">IF($B37="","",الموظفون!$E37)</f>
        <v/>
      </c>
      <c r="F37" s="117" t="str">
        <f aca="false">IF($B37="","",IF(AK37=0,IF(AND(الموظفون!$AE37&lt;&gt;"",الموظفون!$AE37&lt;$E$3),"✖ منتهي الخدمة","⏳ لم يباشر"),IF(S37&gt;0,"✈ راتب إجازة مقدم",IF(J37=0,"⛔ بدون راتب هذا الشهر",IF(I37&gt;0,"✈ خصم "&amp;ROUND(I37,2)&amp;" يوم بدون أجر",IF(AL37&gt;0,"🌴 إجازة سنوية "&amp;ROUND(AL37,2)&amp;" يوم",IF(H37&gt;0,"⚠ غياب "&amp;ROUND(H37,2)&amp;" يوم","✔ على رأس العمل")))))))</f>
        <v/>
      </c>
      <c r="G37" s="156" t="str">
        <f aca="false">IF($B37="","",IF(AK37&gt;=DAY($F$3),cfg_DAYS_M,MIN(AK37,cfg_DAYS_M)))</f>
        <v/>
      </c>
      <c r="H37" s="156" t="str">
        <f aca="false">IF($B37="","",SUMIFS('الحركات الشهرية'!$D$6:$D$1005,'الحركات الشهرية'!$B$6:$B$1005,$B37,'الحركات الشهرية'!$A$6:$A$1005,$C$3))</f>
        <v/>
      </c>
      <c r="I37" s="156" t="str">
        <f aca="false">IF($B37="","",MIN(G37,IF(AND(AK37&gt;0,AN37&gt;=AK37),G37,AN37)+SUMIFS('الحركات الشهرية'!$E$6:$E$1005,'الحركات الشهرية'!$B$6:$B$1005,$B37,'الحركات الشهرية'!$A$6:$A$1005,$C$3)))</f>
        <v/>
      </c>
      <c r="J37" s="156" t="str">
        <f aca="false">IF($B37="","",MAX(0,G37-H37-I37))</f>
        <v/>
      </c>
      <c r="K37" s="116" t="str">
        <f aca="false">IF($B37="","",الموظفون!$L37*$J37/cfg_DAYS_M)</f>
        <v/>
      </c>
      <c r="L37" s="116" t="str">
        <f aca="false">IF($B37="","",الموظفون!$M37*$J37/cfg_DAYS_M)</f>
        <v/>
      </c>
      <c r="M37" s="116" t="str">
        <f aca="false">IF($B37="","",الموظفون!$N37*$J37/cfg_DAYS_M)</f>
        <v/>
      </c>
      <c r="N37" s="116" t="str">
        <f aca="false">IF($B37="","",الموظفون!$O37*$J37/cfg_DAYS_M)</f>
        <v/>
      </c>
      <c r="O37" s="156" t="str">
        <f aca="false">IF($B37="","",SUMIFS('الحركات الشهرية'!$F$6:$F$1005,'الحركات الشهرية'!$B$6:$B$1005,$B37,'الحركات الشهرية'!$A$6:$A$1005,$C$3))</f>
        <v/>
      </c>
      <c r="P37" s="116" t="str">
        <f aca="false">IF($B37="","",O37*(الموظفون!$P37+الموظفون!$L37*cfg_OT_P)/cfg_DAYS_M/cfg_HRS)</f>
        <v/>
      </c>
      <c r="Q37" s="116" t="str">
        <f aca="false">IF($B37="","",SUMIFS('الحركات الشهرية'!$G$6:$G$1005,'الحركات الشهرية'!$B$6:$B$1005,$B37,'الحركات الشهرية'!$A$6:$A$1005,$C$3))</f>
        <v/>
      </c>
      <c r="R37" s="116" t="str">
        <f aca="false">IF($B37="","",SUMIFS('الحركات الشهرية'!$H$6:$H$1005,'الحركات الشهرية'!$B$6:$B$1005,$B37,'الحركات الشهرية'!$A$6:$A$1005,$C$3))</f>
        <v/>
      </c>
      <c r="S37" s="116" t="str">
        <f aca="false">IF($B37="","",SUMIFS('سجل الإجازات والحالات'!$N$6:$N$505,'سجل الإجازات والحالات'!$B$6:$B$505,$B37,'سجل الإجازات والحالات'!$O$6:$O$505,$C$3))</f>
        <v/>
      </c>
      <c r="T37" s="157" t="str">
        <f aca="false">IF($B37="","",SUM(K37:N37)+SUM(P37:S37))</f>
        <v/>
      </c>
      <c r="U37" s="116" t="str">
        <f aca="false">IF($B37="","",الموظفون!$S37*IF(E37="سعودي",cfg_G_SE,cfg_G_NE)*G37/cfg_DAYS_M)</f>
        <v/>
      </c>
      <c r="V37" s="116" t="str">
        <f aca="false">IF($B37="","",SUMIFS('الحركات الشهرية'!$I$6:$I$1005,'الحركات الشهرية'!$B$6:$B$1005,$B37,'الحركات الشهرية'!$A$6:$A$1005,$C$3))</f>
        <v/>
      </c>
      <c r="W37" s="116" t="str">
        <f aca="false">IF($B37="","",SUMIFS('الحركات الشهرية'!$J$6:$J$1005,'الحركات الشهرية'!$B$6:$B$1005,$B37,'الحركات الشهرية'!$A$6:$A$1005,$C$3))</f>
        <v/>
      </c>
      <c r="X37" s="116" t="str">
        <f aca="false">IF($B37="","",SUM(U37:W37))</f>
        <v/>
      </c>
      <c r="Y37" s="158" t="str">
        <f aca="false">IF($B37="","",T37-X37)</f>
        <v/>
      </c>
      <c r="Z37" s="116" t="str">
        <f aca="false">IF($B37="","",الموظفون!$S37*IF(E37="سعودي",cfg_G_SR,cfg_G_NR)*G37/cfg_DAYS_M)</f>
        <v/>
      </c>
      <c r="AA37" s="116" t="str">
        <f aca="false">IF($B37="","",الموظفون!$Q37*(cfg_EOS_R1*(MIN(AH37,cfg_EOS_TH)-MIN(AI37,cfg_EOS_TH))+cfg_EOS_R2*(MAX(AH37-cfg_EOS_TH,0)-MAX(AI37-cfg_EOS_TH,0))))</f>
        <v/>
      </c>
      <c r="AB37" s="116" t="str">
        <f aca="false">IF($B37="","",IF(الموظفون!$T37&lt;&gt;"",الموظفون!$T37,IF(AH37&gt;=cfg_LV_TH,cfg_LV_D2,cfg_LV_D1))/cfg_DAYS_Y*AJ37*الموظفون!$R37/cfg_DAYS_M)</f>
        <v/>
      </c>
      <c r="AC37" s="116" t="str">
        <f aca="false">IF($B37="","",IF(AND(الموظفون!$U37="نعم",N(الموظفون!$W37)&gt;0),الموظفون!$V37/الموظفون!$W37*12/cfg_DAYS_Y*AJ37,0))</f>
        <v/>
      </c>
      <c r="AD37" s="116" t="str">
        <f aca="false">IF($B37="","",(IF(الموظفون!$X37&lt;&gt;"",الموظفون!$X37,IF(الموظفون!$E37="غير سعودي",cfg_IQ,0))+IF(الموظفون!$Y37&lt;&gt;"",الموظفون!$Y37,IF(الموظفون!$E37="غير سعودي",cfg_WP,0)))/12*G37/cfg_DAYS_M)</f>
        <v/>
      </c>
      <c r="AE37" s="116" t="str">
        <f aca="false">IF($B37="","",IF(الموظفون!$Z37&lt;&gt;"",الموظفون!$Z37,cfg_MED)/12*G37/cfg_DAYS_M)</f>
        <v/>
      </c>
      <c r="AF37" s="116" t="str">
        <f aca="false">IF($B37="","",N(الموظفون!$AA37)/12*G37/cfg_DAYS_M)</f>
        <v/>
      </c>
      <c r="AG37" s="159" t="str">
        <f aca="false">IF($B37="","",T37+SUM(Z37:AF37))</f>
        <v/>
      </c>
      <c r="AH37" s="160" t="str">
        <f aca="false">IF($B37="","",MAX(0,IF(OR(الموظفون!$AE37="",الموظفون!$AE37&gt;$F$3),$F$3,الموظفون!$AE37)-الموظفون!$H37+1-SUMIFS('سجل الإجازات والحالات'!$AJ$6:$AJ$505,'سجل الإجازات والحالات'!$B$6:$B$505,$B37))/cfg_DAYS_Y)</f>
        <v/>
      </c>
      <c r="AI37" s="160" t="str">
        <f aca="false">IF($B37="","",MAX(0,IF(OR(الموظفون!$AE37="",الموظفون!$AE37&gt;($E$3-1)),($E$3-1),الموظفون!$AE37)-الموظفون!$H37+1-SUMIFS('سجل الإجازات والحالات'!$AI$6:$AI$505,'سجل الإجازات والحالات'!$B$6:$B$505,$B37))/cfg_DAYS_Y)</f>
        <v/>
      </c>
      <c r="AJ37" s="133" t="str">
        <f aca="false">IF($B37="","",MAX(0,AK37-(SUMIFS('سجل الإجازات والحالات'!$AJ$6:$AJ$505,'سجل الإجازات والحالات'!$B$6:$B$505,$B37)-SUMIFS('سجل الإجازات والحالات'!$AI$6:$AI$505,'سجل الإجازات والحالات'!$B$6:$B$505,$B37))))</f>
        <v/>
      </c>
      <c r="AK37" s="133" t="str">
        <f aca="false">IF($B37="","",MAX(0,IF(OR(الموظفون!$AE37="",الموظفون!$AE37&gt;$F$3),$F$3,الموظفون!$AE37)-MAX($E$3,الموظفون!$H37)+1))</f>
        <v/>
      </c>
      <c r="AL37" s="156" t="str">
        <f aca="false">IF($B37="","",SUMIFS('سجل الإجازات والحالات'!$AV$6:$AV$505,'سجل الإجازات والحالات'!$B$6:$B$505,$B37)+SUMIFS('الحركات الشهرية'!$K$6:$K$1005,'الحركات الشهرية'!$B$6:$B$1005,$B37,'الحركات الشهرية'!$A$6:$A$1005,$C$3))</f>
        <v/>
      </c>
      <c r="AM37" s="116" t="str">
        <f aca="false">IF($B37="","",AL37*الموظفون!$R37/cfg_DAYS_M+S37)</f>
        <v/>
      </c>
      <c r="AN37" s="156" t="str">
        <f aca="false">IF($B37="","",SUMIFS('سجل الإجازات والحالات'!$X$6:$X$505,'سجل الإجازات والحالات'!$B$6:$B$505,$B37))</f>
        <v/>
      </c>
    </row>
    <row r="38" customFormat="false" ht="15" hidden="false" customHeight="false" outlineLevel="0" collapsed="false">
      <c r="A38" s="106" t="str">
        <f aca="false">IF($B38="","",الموظفون!$A38)</f>
        <v/>
      </c>
      <c r="B38" s="114" t="str">
        <f aca="false">IF(الموظفون!$B38="","",الموظفون!$B38)</f>
        <v/>
      </c>
      <c r="C38" s="114" t="str">
        <f aca="false">IF($B38="","",الموظفون!$C38)</f>
        <v/>
      </c>
      <c r="D38" s="114" t="str">
        <f aca="false">IF($B38="","",الموظفون!$F38)</f>
        <v/>
      </c>
      <c r="E38" s="114" t="str">
        <f aca="false">IF($B38="","",الموظفون!$E38)</f>
        <v/>
      </c>
      <c r="F38" s="114" t="str">
        <f aca="false">IF($B38="","",IF(AK38=0,IF(AND(الموظفون!$AE38&lt;&gt;"",الموظفون!$AE38&lt;$E$3),"✖ منتهي الخدمة","⏳ لم يباشر"),IF(S38&gt;0,"✈ راتب إجازة مقدم",IF(J38=0,"⛔ بدون راتب هذا الشهر",IF(I38&gt;0,"✈ خصم "&amp;ROUND(I38,2)&amp;" يوم بدون أجر",IF(AL38&gt;0,"🌴 إجازة سنوية "&amp;ROUND(AL38,2)&amp;" يوم",IF(H38&gt;0,"⚠ غياب "&amp;ROUND(H38,2)&amp;" يوم","✔ على رأس العمل")))))))</f>
        <v/>
      </c>
      <c r="G38" s="151" t="str">
        <f aca="false">IF($B38="","",IF(AK38&gt;=DAY($F$3),cfg_DAYS_M,MIN(AK38,cfg_DAYS_M)))</f>
        <v/>
      </c>
      <c r="H38" s="151" t="str">
        <f aca="false">IF($B38="","",SUMIFS('الحركات الشهرية'!$D$6:$D$1005,'الحركات الشهرية'!$B$6:$B$1005,$B38,'الحركات الشهرية'!$A$6:$A$1005,$C$3))</f>
        <v/>
      </c>
      <c r="I38" s="151" t="str">
        <f aca="false">IF($B38="","",MIN(G38,IF(AND(AK38&gt;0,AN38&gt;=AK38),G38,AN38)+SUMIFS('الحركات الشهرية'!$E$6:$E$1005,'الحركات الشهرية'!$B$6:$B$1005,$B38,'الحركات الشهرية'!$A$6:$A$1005,$C$3)))</f>
        <v/>
      </c>
      <c r="J38" s="151" t="str">
        <f aca="false">IF($B38="","",MAX(0,G38-H38-I38))</f>
        <v/>
      </c>
      <c r="K38" s="111" t="str">
        <f aca="false">IF($B38="","",الموظفون!$L38*$J38/cfg_DAYS_M)</f>
        <v/>
      </c>
      <c r="L38" s="111" t="str">
        <f aca="false">IF($B38="","",الموظفون!$M38*$J38/cfg_DAYS_M)</f>
        <v/>
      </c>
      <c r="M38" s="111" t="str">
        <f aca="false">IF($B38="","",الموظفون!$N38*$J38/cfg_DAYS_M)</f>
        <v/>
      </c>
      <c r="N38" s="111" t="str">
        <f aca="false">IF($B38="","",الموظفون!$O38*$J38/cfg_DAYS_M)</f>
        <v/>
      </c>
      <c r="O38" s="151" t="str">
        <f aca="false">IF($B38="","",SUMIFS('الحركات الشهرية'!$F$6:$F$1005,'الحركات الشهرية'!$B$6:$B$1005,$B38,'الحركات الشهرية'!$A$6:$A$1005,$C$3))</f>
        <v/>
      </c>
      <c r="P38" s="111" t="str">
        <f aca="false">IF($B38="","",O38*(الموظفون!$P38+الموظفون!$L38*cfg_OT_P)/cfg_DAYS_M/cfg_HRS)</f>
        <v/>
      </c>
      <c r="Q38" s="111" t="str">
        <f aca="false">IF($B38="","",SUMIFS('الحركات الشهرية'!$G$6:$G$1005,'الحركات الشهرية'!$B$6:$B$1005,$B38,'الحركات الشهرية'!$A$6:$A$1005,$C$3))</f>
        <v/>
      </c>
      <c r="R38" s="111" t="str">
        <f aca="false">IF($B38="","",SUMIFS('الحركات الشهرية'!$H$6:$H$1005,'الحركات الشهرية'!$B$6:$B$1005,$B38,'الحركات الشهرية'!$A$6:$A$1005,$C$3))</f>
        <v/>
      </c>
      <c r="S38" s="111" t="str">
        <f aca="false">IF($B38="","",SUMIFS('سجل الإجازات والحالات'!$N$6:$N$505,'سجل الإجازات والحالات'!$B$6:$B$505,$B38,'سجل الإجازات والحالات'!$O$6:$O$505,$C$3))</f>
        <v/>
      </c>
      <c r="T38" s="152" t="str">
        <f aca="false">IF($B38="","",SUM(K38:N38)+SUM(P38:S38))</f>
        <v/>
      </c>
      <c r="U38" s="111" t="str">
        <f aca="false">IF($B38="","",الموظفون!$S38*IF(E38="سعودي",cfg_G_SE,cfg_G_NE)*G38/cfg_DAYS_M)</f>
        <v/>
      </c>
      <c r="V38" s="111" t="str">
        <f aca="false">IF($B38="","",SUMIFS('الحركات الشهرية'!$I$6:$I$1005,'الحركات الشهرية'!$B$6:$B$1005,$B38,'الحركات الشهرية'!$A$6:$A$1005,$C$3))</f>
        <v/>
      </c>
      <c r="W38" s="111" t="str">
        <f aca="false">IF($B38="","",SUMIFS('الحركات الشهرية'!$J$6:$J$1005,'الحركات الشهرية'!$B$6:$B$1005,$B38,'الحركات الشهرية'!$A$6:$A$1005,$C$3))</f>
        <v/>
      </c>
      <c r="X38" s="111" t="str">
        <f aca="false">IF($B38="","",SUM(U38:W38))</f>
        <v/>
      </c>
      <c r="Y38" s="153" t="str">
        <f aca="false">IF($B38="","",T38-X38)</f>
        <v/>
      </c>
      <c r="Z38" s="111" t="str">
        <f aca="false">IF($B38="","",الموظفون!$S38*IF(E38="سعودي",cfg_G_SR,cfg_G_NR)*G38/cfg_DAYS_M)</f>
        <v/>
      </c>
      <c r="AA38" s="111" t="str">
        <f aca="false">IF($B38="","",الموظفون!$Q38*(cfg_EOS_R1*(MIN(AH38,cfg_EOS_TH)-MIN(AI38,cfg_EOS_TH))+cfg_EOS_R2*(MAX(AH38-cfg_EOS_TH,0)-MAX(AI38-cfg_EOS_TH,0))))</f>
        <v/>
      </c>
      <c r="AB38" s="111" t="str">
        <f aca="false">IF($B38="","",IF(الموظفون!$T38&lt;&gt;"",الموظفون!$T38,IF(AH38&gt;=cfg_LV_TH,cfg_LV_D2,cfg_LV_D1))/cfg_DAYS_Y*AJ38*الموظفون!$R38/cfg_DAYS_M)</f>
        <v/>
      </c>
      <c r="AC38" s="111" t="str">
        <f aca="false">IF($B38="","",IF(AND(الموظفون!$U38="نعم",N(الموظفون!$W38)&gt;0),الموظفون!$V38/الموظفون!$W38*12/cfg_DAYS_Y*AJ38,0))</f>
        <v/>
      </c>
      <c r="AD38" s="111" t="str">
        <f aca="false">IF($B38="","",(IF(الموظفون!$X38&lt;&gt;"",الموظفون!$X38,IF(الموظفون!$E38="غير سعودي",cfg_IQ,0))+IF(الموظفون!$Y38&lt;&gt;"",الموظفون!$Y38,IF(الموظفون!$E38="غير سعودي",cfg_WP,0)))/12*G38/cfg_DAYS_M)</f>
        <v/>
      </c>
      <c r="AE38" s="111" t="str">
        <f aca="false">IF($B38="","",IF(الموظفون!$Z38&lt;&gt;"",الموظفون!$Z38,cfg_MED)/12*G38/cfg_DAYS_M)</f>
        <v/>
      </c>
      <c r="AF38" s="111" t="str">
        <f aca="false">IF($B38="","",N(الموظفون!$AA38)/12*G38/cfg_DAYS_M)</f>
        <v/>
      </c>
      <c r="AG38" s="154" t="str">
        <f aca="false">IF($B38="","",T38+SUM(Z38:AF38))</f>
        <v/>
      </c>
      <c r="AH38" s="155" t="str">
        <f aca="false">IF($B38="","",MAX(0,IF(OR(الموظفون!$AE38="",الموظفون!$AE38&gt;$F$3),$F$3,الموظفون!$AE38)-الموظفون!$H38+1-SUMIFS('سجل الإجازات والحالات'!$AJ$6:$AJ$505,'سجل الإجازات والحالات'!$B$6:$B$505,$B38))/cfg_DAYS_Y)</f>
        <v/>
      </c>
      <c r="AI38" s="155" t="str">
        <f aca="false">IF($B38="","",MAX(0,IF(OR(الموظفون!$AE38="",الموظفون!$AE38&gt;($E$3-1)),($E$3-1),الموظفون!$AE38)-الموظفون!$H38+1-SUMIFS('سجل الإجازات والحالات'!$AI$6:$AI$505,'سجل الإجازات والحالات'!$B$6:$B$505,$B38))/cfg_DAYS_Y)</f>
        <v/>
      </c>
      <c r="AJ38" s="65" t="str">
        <f aca="false">IF($B38="","",MAX(0,AK38-(SUMIFS('سجل الإجازات والحالات'!$AJ$6:$AJ$505,'سجل الإجازات والحالات'!$B$6:$B$505,$B38)-SUMIFS('سجل الإجازات والحالات'!$AI$6:$AI$505,'سجل الإجازات والحالات'!$B$6:$B$505,$B38))))</f>
        <v/>
      </c>
      <c r="AK38" s="65" t="str">
        <f aca="false">IF($B38="","",MAX(0,IF(OR(الموظفون!$AE38="",الموظفون!$AE38&gt;$F$3),$F$3,الموظفون!$AE38)-MAX($E$3,الموظفون!$H38)+1))</f>
        <v/>
      </c>
      <c r="AL38" s="151" t="str">
        <f aca="false">IF($B38="","",SUMIFS('سجل الإجازات والحالات'!$AV$6:$AV$505,'سجل الإجازات والحالات'!$B$6:$B$505,$B38)+SUMIFS('الحركات الشهرية'!$K$6:$K$1005,'الحركات الشهرية'!$B$6:$B$1005,$B38,'الحركات الشهرية'!$A$6:$A$1005,$C$3))</f>
        <v/>
      </c>
      <c r="AM38" s="111" t="str">
        <f aca="false">IF($B38="","",AL38*الموظفون!$R38/cfg_DAYS_M+S38)</f>
        <v/>
      </c>
      <c r="AN38" s="151" t="str">
        <f aca="false">IF($B38="","",SUMIFS('سجل الإجازات والحالات'!$X$6:$X$505,'سجل الإجازات والحالات'!$B$6:$B$505,$B38))</f>
        <v/>
      </c>
    </row>
    <row r="39" customFormat="false" ht="15" hidden="false" customHeight="false" outlineLevel="0" collapsed="false">
      <c r="A39" s="115" t="str">
        <f aca="false">IF($B39="","",الموظفون!$A39)</f>
        <v/>
      </c>
      <c r="B39" s="117" t="str">
        <f aca="false">IF(الموظفون!$B39="","",الموظفون!$B39)</f>
        <v/>
      </c>
      <c r="C39" s="117" t="str">
        <f aca="false">IF($B39="","",الموظفون!$C39)</f>
        <v/>
      </c>
      <c r="D39" s="117" t="str">
        <f aca="false">IF($B39="","",الموظفون!$F39)</f>
        <v/>
      </c>
      <c r="E39" s="117" t="str">
        <f aca="false">IF($B39="","",الموظفون!$E39)</f>
        <v/>
      </c>
      <c r="F39" s="117" t="str">
        <f aca="false">IF($B39="","",IF(AK39=0,IF(AND(الموظفون!$AE39&lt;&gt;"",الموظفون!$AE39&lt;$E$3),"✖ منتهي الخدمة","⏳ لم يباشر"),IF(S39&gt;0,"✈ راتب إجازة مقدم",IF(J39=0,"⛔ بدون راتب هذا الشهر",IF(I39&gt;0,"✈ خصم "&amp;ROUND(I39,2)&amp;" يوم بدون أجر",IF(AL39&gt;0,"🌴 إجازة سنوية "&amp;ROUND(AL39,2)&amp;" يوم",IF(H39&gt;0,"⚠ غياب "&amp;ROUND(H39,2)&amp;" يوم","✔ على رأس العمل")))))))</f>
        <v/>
      </c>
      <c r="G39" s="156" t="str">
        <f aca="false">IF($B39="","",IF(AK39&gt;=DAY($F$3),cfg_DAYS_M,MIN(AK39,cfg_DAYS_M)))</f>
        <v/>
      </c>
      <c r="H39" s="156" t="str">
        <f aca="false">IF($B39="","",SUMIFS('الحركات الشهرية'!$D$6:$D$1005,'الحركات الشهرية'!$B$6:$B$1005,$B39,'الحركات الشهرية'!$A$6:$A$1005,$C$3))</f>
        <v/>
      </c>
      <c r="I39" s="156" t="str">
        <f aca="false">IF($B39="","",MIN(G39,IF(AND(AK39&gt;0,AN39&gt;=AK39),G39,AN39)+SUMIFS('الحركات الشهرية'!$E$6:$E$1005,'الحركات الشهرية'!$B$6:$B$1005,$B39,'الحركات الشهرية'!$A$6:$A$1005,$C$3)))</f>
        <v/>
      </c>
      <c r="J39" s="156" t="str">
        <f aca="false">IF($B39="","",MAX(0,G39-H39-I39))</f>
        <v/>
      </c>
      <c r="K39" s="116" t="str">
        <f aca="false">IF($B39="","",الموظفون!$L39*$J39/cfg_DAYS_M)</f>
        <v/>
      </c>
      <c r="L39" s="116" t="str">
        <f aca="false">IF($B39="","",الموظفون!$M39*$J39/cfg_DAYS_M)</f>
        <v/>
      </c>
      <c r="M39" s="116" t="str">
        <f aca="false">IF($B39="","",الموظفون!$N39*$J39/cfg_DAYS_M)</f>
        <v/>
      </c>
      <c r="N39" s="116" t="str">
        <f aca="false">IF($B39="","",الموظفون!$O39*$J39/cfg_DAYS_M)</f>
        <v/>
      </c>
      <c r="O39" s="156" t="str">
        <f aca="false">IF($B39="","",SUMIFS('الحركات الشهرية'!$F$6:$F$1005,'الحركات الشهرية'!$B$6:$B$1005,$B39,'الحركات الشهرية'!$A$6:$A$1005,$C$3))</f>
        <v/>
      </c>
      <c r="P39" s="116" t="str">
        <f aca="false">IF($B39="","",O39*(الموظفون!$P39+الموظفون!$L39*cfg_OT_P)/cfg_DAYS_M/cfg_HRS)</f>
        <v/>
      </c>
      <c r="Q39" s="116" t="str">
        <f aca="false">IF($B39="","",SUMIFS('الحركات الشهرية'!$G$6:$G$1005,'الحركات الشهرية'!$B$6:$B$1005,$B39,'الحركات الشهرية'!$A$6:$A$1005,$C$3))</f>
        <v/>
      </c>
      <c r="R39" s="116" t="str">
        <f aca="false">IF($B39="","",SUMIFS('الحركات الشهرية'!$H$6:$H$1005,'الحركات الشهرية'!$B$6:$B$1005,$B39,'الحركات الشهرية'!$A$6:$A$1005,$C$3))</f>
        <v/>
      </c>
      <c r="S39" s="116" t="str">
        <f aca="false">IF($B39="","",SUMIFS('سجل الإجازات والحالات'!$N$6:$N$505,'سجل الإجازات والحالات'!$B$6:$B$505,$B39,'سجل الإجازات والحالات'!$O$6:$O$505,$C$3))</f>
        <v/>
      </c>
      <c r="T39" s="157" t="str">
        <f aca="false">IF($B39="","",SUM(K39:N39)+SUM(P39:S39))</f>
        <v/>
      </c>
      <c r="U39" s="116" t="str">
        <f aca="false">IF($B39="","",الموظفون!$S39*IF(E39="سعودي",cfg_G_SE,cfg_G_NE)*G39/cfg_DAYS_M)</f>
        <v/>
      </c>
      <c r="V39" s="116" t="str">
        <f aca="false">IF($B39="","",SUMIFS('الحركات الشهرية'!$I$6:$I$1005,'الحركات الشهرية'!$B$6:$B$1005,$B39,'الحركات الشهرية'!$A$6:$A$1005,$C$3))</f>
        <v/>
      </c>
      <c r="W39" s="116" t="str">
        <f aca="false">IF($B39="","",SUMIFS('الحركات الشهرية'!$J$6:$J$1005,'الحركات الشهرية'!$B$6:$B$1005,$B39,'الحركات الشهرية'!$A$6:$A$1005,$C$3))</f>
        <v/>
      </c>
      <c r="X39" s="116" t="str">
        <f aca="false">IF($B39="","",SUM(U39:W39))</f>
        <v/>
      </c>
      <c r="Y39" s="158" t="str">
        <f aca="false">IF($B39="","",T39-X39)</f>
        <v/>
      </c>
      <c r="Z39" s="116" t="str">
        <f aca="false">IF($B39="","",الموظفون!$S39*IF(E39="سعودي",cfg_G_SR,cfg_G_NR)*G39/cfg_DAYS_M)</f>
        <v/>
      </c>
      <c r="AA39" s="116" t="str">
        <f aca="false">IF($B39="","",الموظفون!$Q39*(cfg_EOS_R1*(MIN(AH39,cfg_EOS_TH)-MIN(AI39,cfg_EOS_TH))+cfg_EOS_R2*(MAX(AH39-cfg_EOS_TH,0)-MAX(AI39-cfg_EOS_TH,0))))</f>
        <v/>
      </c>
      <c r="AB39" s="116" t="str">
        <f aca="false">IF($B39="","",IF(الموظفون!$T39&lt;&gt;"",الموظفون!$T39,IF(AH39&gt;=cfg_LV_TH,cfg_LV_D2,cfg_LV_D1))/cfg_DAYS_Y*AJ39*الموظفون!$R39/cfg_DAYS_M)</f>
        <v/>
      </c>
      <c r="AC39" s="116" t="str">
        <f aca="false">IF($B39="","",IF(AND(الموظفون!$U39="نعم",N(الموظفون!$W39)&gt;0),الموظفون!$V39/الموظفون!$W39*12/cfg_DAYS_Y*AJ39,0))</f>
        <v/>
      </c>
      <c r="AD39" s="116" t="str">
        <f aca="false">IF($B39="","",(IF(الموظفون!$X39&lt;&gt;"",الموظفون!$X39,IF(الموظفون!$E39="غير سعودي",cfg_IQ,0))+IF(الموظفون!$Y39&lt;&gt;"",الموظفون!$Y39,IF(الموظفون!$E39="غير سعودي",cfg_WP,0)))/12*G39/cfg_DAYS_M)</f>
        <v/>
      </c>
      <c r="AE39" s="116" t="str">
        <f aca="false">IF($B39="","",IF(الموظفون!$Z39&lt;&gt;"",الموظفون!$Z39,cfg_MED)/12*G39/cfg_DAYS_M)</f>
        <v/>
      </c>
      <c r="AF39" s="116" t="str">
        <f aca="false">IF($B39="","",N(الموظفون!$AA39)/12*G39/cfg_DAYS_M)</f>
        <v/>
      </c>
      <c r="AG39" s="159" t="str">
        <f aca="false">IF($B39="","",T39+SUM(Z39:AF39))</f>
        <v/>
      </c>
      <c r="AH39" s="160" t="str">
        <f aca="false">IF($B39="","",MAX(0,IF(OR(الموظفون!$AE39="",الموظفون!$AE39&gt;$F$3),$F$3,الموظفون!$AE39)-الموظفون!$H39+1-SUMIFS('سجل الإجازات والحالات'!$AJ$6:$AJ$505,'سجل الإجازات والحالات'!$B$6:$B$505,$B39))/cfg_DAYS_Y)</f>
        <v/>
      </c>
      <c r="AI39" s="160" t="str">
        <f aca="false">IF($B39="","",MAX(0,IF(OR(الموظفون!$AE39="",الموظفون!$AE39&gt;($E$3-1)),($E$3-1),الموظفون!$AE39)-الموظفون!$H39+1-SUMIFS('سجل الإجازات والحالات'!$AI$6:$AI$505,'سجل الإجازات والحالات'!$B$6:$B$505,$B39))/cfg_DAYS_Y)</f>
        <v/>
      </c>
      <c r="AJ39" s="133" t="str">
        <f aca="false">IF($B39="","",MAX(0,AK39-(SUMIFS('سجل الإجازات والحالات'!$AJ$6:$AJ$505,'سجل الإجازات والحالات'!$B$6:$B$505,$B39)-SUMIFS('سجل الإجازات والحالات'!$AI$6:$AI$505,'سجل الإجازات والحالات'!$B$6:$B$505,$B39))))</f>
        <v/>
      </c>
      <c r="AK39" s="133" t="str">
        <f aca="false">IF($B39="","",MAX(0,IF(OR(الموظفون!$AE39="",الموظفون!$AE39&gt;$F$3),$F$3,الموظفون!$AE39)-MAX($E$3,الموظفون!$H39)+1))</f>
        <v/>
      </c>
      <c r="AL39" s="156" t="str">
        <f aca="false">IF($B39="","",SUMIFS('سجل الإجازات والحالات'!$AV$6:$AV$505,'سجل الإجازات والحالات'!$B$6:$B$505,$B39)+SUMIFS('الحركات الشهرية'!$K$6:$K$1005,'الحركات الشهرية'!$B$6:$B$1005,$B39,'الحركات الشهرية'!$A$6:$A$1005,$C$3))</f>
        <v/>
      </c>
      <c r="AM39" s="116" t="str">
        <f aca="false">IF($B39="","",AL39*الموظفون!$R39/cfg_DAYS_M+S39)</f>
        <v/>
      </c>
      <c r="AN39" s="156" t="str">
        <f aca="false">IF($B39="","",SUMIFS('سجل الإجازات والحالات'!$X$6:$X$505,'سجل الإجازات والحالات'!$B$6:$B$505,$B39))</f>
        <v/>
      </c>
    </row>
    <row r="40" customFormat="false" ht="15" hidden="false" customHeight="false" outlineLevel="0" collapsed="false">
      <c r="A40" s="106" t="str">
        <f aca="false">IF($B40="","",الموظفون!$A40)</f>
        <v/>
      </c>
      <c r="B40" s="114" t="str">
        <f aca="false">IF(الموظفون!$B40="","",الموظفون!$B40)</f>
        <v/>
      </c>
      <c r="C40" s="114" t="str">
        <f aca="false">IF($B40="","",الموظفون!$C40)</f>
        <v/>
      </c>
      <c r="D40" s="114" t="str">
        <f aca="false">IF($B40="","",الموظفون!$F40)</f>
        <v/>
      </c>
      <c r="E40" s="114" t="str">
        <f aca="false">IF($B40="","",الموظفون!$E40)</f>
        <v/>
      </c>
      <c r="F40" s="114" t="str">
        <f aca="false">IF($B40="","",IF(AK40=0,IF(AND(الموظفون!$AE40&lt;&gt;"",الموظفون!$AE40&lt;$E$3),"✖ منتهي الخدمة","⏳ لم يباشر"),IF(S40&gt;0,"✈ راتب إجازة مقدم",IF(J40=0,"⛔ بدون راتب هذا الشهر",IF(I40&gt;0,"✈ خصم "&amp;ROUND(I40,2)&amp;" يوم بدون أجر",IF(AL40&gt;0,"🌴 إجازة سنوية "&amp;ROUND(AL40,2)&amp;" يوم",IF(H40&gt;0,"⚠ غياب "&amp;ROUND(H40,2)&amp;" يوم","✔ على رأس العمل")))))))</f>
        <v/>
      </c>
      <c r="G40" s="151" t="str">
        <f aca="false">IF($B40="","",IF(AK40&gt;=DAY($F$3),cfg_DAYS_M,MIN(AK40,cfg_DAYS_M)))</f>
        <v/>
      </c>
      <c r="H40" s="151" t="str">
        <f aca="false">IF($B40="","",SUMIFS('الحركات الشهرية'!$D$6:$D$1005,'الحركات الشهرية'!$B$6:$B$1005,$B40,'الحركات الشهرية'!$A$6:$A$1005,$C$3))</f>
        <v/>
      </c>
      <c r="I40" s="151" t="str">
        <f aca="false">IF($B40="","",MIN(G40,IF(AND(AK40&gt;0,AN40&gt;=AK40),G40,AN40)+SUMIFS('الحركات الشهرية'!$E$6:$E$1005,'الحركات الشهرية'!$B$6:$B$1005,$B40,'الحركات الشهرية'!$A$6:$A$1005,$C$3)))</f>
        <v/>
      </c>
      <c r="J40" s="151" t="str">
        <f aca="false">IF($B40="","",MAX(0,G40-H40-I40))</f>
        <v/>
      </c>
      <c r="K40" s="111" t="str">
        <f aca="false">IF($B40="","",الموظفون!$L40*$J40/cfg_DAYS_M)</f>
        <v/>
      </c>
      <c r="L40" s="111" t="str">
        <f aca="false">IF($B40="","",الموظفون!$M40*$J40/cfg_DAYS_M)</f>
        <v/>
      </c>
      <c r="M40" s="111" t="str">
        <f aca="false">IF($B40="","",الموظفون!$N40*$J40/cfg_DAYS_M)</f>
        <v/>
      </c>
      <c r="N40" s="111" t="str">
        <f aca="false">IF($B40="","",الموظفون!$O40*$J40/cfg_DAYS_M)</f>
        <v/>
      </c>
      <c r="O40" s="151" t="str">
        <f aca="false">IF($B40="","",SUMIFS('الحركات الشهرية'!$F$6:$F$1005,'الحركات الشهرية'!$B$6:$B$1005,$B40,'الحركات الشهرية'!$A$6:$A$1005,$C$3))</f>
        <v/>
      </c>
      <c r="P40" s="111" t="str">
        <f aca="false">IF($B40="","",O40*(الموظفون!$P40+الموظفون!$L40*cfg_OT_P)/cfg_DAYS_M/cfg_HRS)</f>
        <v/>
      </c>
      <c r="Q40" s="111" t="str">
        <f aca="false">IF($B40="","",SUMIFS('الحركات الشهرية'!$G$6:$G$1005,'الحركات الشهرية'!$B$6:$B$1005,$B40,'الحركات الشهرية'!$A$6:$A$1005,$C$3))</f>
        <v/>
      </c>
      <c r="R40" s="111" t="str">
        <f aca="false">IF($B40="","",SUMIFS('الحركات الشهرية'!$H$6:$H$1005,'الحركات الشهرية'!$B$6:$B$1005,$B40,'الحركات الشهرية'!$A$6:$A$1005,$C$3))</f>
        <v/>
      </c>
      <c r="S40" s="111" t="str">
        <f aca="false">IF($B40="","",SUMIFS('سجل الإجازات والحالات'!$N$6:$N$505,'سجل الإجازات والحالات'!$B$6:$B$505,$B40,'سجل الإجازات والحالات'!$O$6:$O$505,$C$3))</f>
        <v/>
      </c>
      <c r="T40" s="152" t="str">
        <f aca="false">IF($B40="","",SUM(K40:N40)+SUM(P40:S40))</f>
        <v/>
      </c>
      <c r="U40" s="111" t="str">
        <f aca="false">IF($B40="","",الموظفون!$S40*IF(E40="سعودي",cfg_G_SE,cfg_G_NE)*G40/cfg_DAYS_M)</f>
        <v/>
      </c>
      <c r="V40" s="111" t="str">
        <f aca="false">IF($B40="","",SUMIFS('الحركات الشهرية'!$I$6:$I$1005,'الحركات الشهرية'!$B$6:$B$1005,$B40,'الحركات الشهرية'!$A$6:$A$1005,$C$3))</f>
        <v/>
      </c>
      <c r="W40" s="111" t="str">
        <f aca="false">IF($B40="","",SUMIFS('الحركات الشهرية'!$J$6:$J$1005,'الحركات الشهرية'!$B$6:$B$1005,$B40,'الحركات الشهرية'!$A$6:$A$1005,$C$3))</f>
        <v/>
      </c>
      <c r="X40" s="111" t="str">
        <f aca="false">IF($B40="","",SUM(U40:W40))</f>
        <v/>
      </c>
      <c r="Y40" s="153" t="str">
        <f aca="false">IF($B40="","",T40-X40)</f>
        <v/>
      </c>
      <c r="Z40" s="111" t="str">
        <f aca="false">IF($B40="","",الموظفون!$S40*IF(E40="سعودي",cfg_G_SR,cfg_G_NR)*G40/cfg_DAYS_M)</f>
        <v/>
      </c>
      <c r="AA40" s="111" t="str">
        <f aca="false">IF($B40="","",الموظفون!$Q40*(cfg_EOS_R1*(MIN(AH40,cfg_EOS_TH)-MIN(AI40,cfg_EOS_TH))+cfg_EOS_R2*(MAX(AH40-cfg_EOS_TH,0)-MAX(AI40-cfg_EOS_TH,0))))</f>
        <v/>
      </c>
      <c r="AB40" s="111" t="str">
        <f aca="false">IF($B40="","",IF(الموظفون!$T40&lt;&gt;"",الموظفون!$T40,IF(AH40&gt;=cfg_LV_TH,cfg_LV_D2,cfg_LV_D1))/cfg_DAYS_Y*AJ40*الموظفون!$R40/cfg_DAYS_M)</f>
        <v/>
      </c>
      <c r="AC40" s="111" t="str">
        <f aca="false">IF($B40="","",IF(AND(الموظفون!$U40="نعم",N(الموظفون!$W40)&gt;0),الموظفون!$V40/الموظفون!$W40*12/cfg_DAYS_Y*AJ40,0))</f>
        <v/>
      </c>
      <c r="AD40" s="111" t="str">
        <f aca="false">IF($B40="","",(IF(الموظفون!$X40&lt;&gt;"",الموظفون!$X40,IF(الموظفون!$E40="غير سعودي",cfg_IQ,0))+IF(الموظفون!$Y40&lt;&gt;"",الموظفون!$Y40,IF(الموظفون!$E40="غير سعودي",cfg_WP,0)))/12*G40/cfg_DAYS_M)</f>
        <v/>
      </c>
      <c r="AE40" s="111" t="str">
        <f aca="false">IF($B40="","",IF(الموظفون!$Z40&lt;&gt;"",الموظفون!$Z40,cfg_MED)/12*G40/cfg_DAYS_M)</f>
        <v/>
      </c>
      <c r="AF40" s="111" t="str">
        <f aca="false">IF($B40="","",N(الموظفون!$AA40)/12*G40/cfg_DAYS_M)</f>
        <v/>
      </c>
      <c r="AG40" s="154" t="str">
        <f aca="false">IF($B40="","",T40+SUM(Z40:AF40))</f>
        <v/>
      </c>
      <c r="AH40" s="155" t="str">
        <f aca="false">IF($B40="","",MAX(0,IF(OR(الموظفون!$AE40="",الموظفون!$AE40&gt;$F$3),$F$3,الموظفون!$AE40)-الموظفون!$H40+1-SUMIFS('سجل الإجازات والحالات'!$AJ$6:$AJ$505,'سجل الإجازات والحالات'!$B$6:$B$505,$B40))/cfg_DAYS_Y)</f>
        <v/>
      </c>
      <c r="AI40" s="155" t="str">
        <f aca="false">IF($B40="","",MAX(0,IF(OR(الموظفون!$AE40="",الموظفون!$AE40&gt;($E$3-1)),($E$3-1),الموظفون!$AE40)-الموظفون!$H40+1-SUMIFS('سجل الإجازات والحالات'!$AI$6:$AI$505,'سجل الإجازات والحالات'!$B$6:$B$505,$B40))/cfg_DAYS_Y)</f>
        <v/>
      </c>
      <c r="AJ40" s="65" t="str">
        <f aca="false">IF($B40="","",MAX(0,AK40-(SUMIFS('سجل الإجازات والحالات'!$AJ$6:$AJ$505,'سجل الإجازات والحالات'!$B$6:$B$505,$B40)-SUMIFS('سجل الإجازات والحالات'!$AI$6:$AI$505,'سجل الإجازات والحالات'!$B$6:$B$505,$B40))))</f>
        <v/>
      </c>
      <c r="AK40" s="65" t="str">
        <f aca="false">IF($B40="","",MAX(0,IF(OR(الموظفون!$AE40="",الموظفون!$AE40&gt;$F$3),$F$3,الموظفون!$AE40)-MAX($E$3,الموظفون!$H40)+1))</f>
        <v/>
      </c>
      <c r="AL40" s="151" t="str">
        <f aca="false">IF($B40="","",SUMIFS('سجل الإجازات والحالات'!$AV$6:$AV$505,'سجل الإجازات والحالات'!$B$6:$B$505,$B40)+SUMIFS('الحركات الشهرية'!$K$6:$K$1005,'الحركات الشهرية'!$B$6:$B$1005,$B40,'الحركات الشهرية'!$A$6:$A$1005,$C$3))</f>
        <v/>
      </c>
      <c r="AM40" s="111" t="str">
        <f aca="false">IF($B40="","",AL40*الموظفون!$R40/cfg_DAYS_M+S40)</f>
        <v/>
      </c>
      <c r="AN40" s="151" t="str">
        <f aca="false">IF($B40="","",SUMIFS('سجل الإجازات والحالات'!$X$6:$X$505,'سجل الإجازات والحالات'!$B$6:$B$505,$B40))</f>
        <v/>
      </c>
    </row>
    <row r="41" customFormat="false" ht="15" hidden="false" customHeight="false" outlineLevel="0" collapsed="false">
      <c r="A41" s="115" t="str">
        <f aca="false">IF($B41="","",الموظفون!$A41)</f>
        <v/>
      </c>
      <c r="B41" s="117" t="str">
        <f aca="false">IF(الموظفون!$B41="","",الموظفون!$B41)</f>
        <v/>
      </c>
      <c r="C41" s="117" t="str">
        <f aca="false">IF($B41="","",الموظفون!$C41)</f>
        <v/>
      </c>
      <c r="D41" s="117" t="str">
        <f aca="false">IF($B41="","",الموظفون!$F41)</f>
        <v/>
      </c>
      <c r="E41" s="117" t="str">
        <f aca="false">IF($B41="","",الموظفون!$E41)</f>
        <v/>
      </c>
      <c r="F41" s="117" t="str">
        <f aca="false">IF($B41="","",IF(AK41=0,IF(AND(الموظفون!$AE41&lt;&gt;"",الموظفون!$AE41&lt;$E$3),"✖ منتهي الخدمة","⏳ لم يباشر"),IF(S41&gt;0,"✈ راتب إجازة مقدم",IF(J41=0,"⛔ بدون راتب هذا الشهر",IF(I41&gt;0,"✈ خصم "&amp;ROUND(I41,2)&amp;" يوم بدون أجر",IF(AL41&gt;0,"🌴 إجازة سنوية "&amp;ROUND(AL41,2)&amp;" يوم",IF(H41&gt;0,"⚠ غياب "&amp;ROUND(H41,2)&amp;" يوم","✔ على رأس العمل")))))))</f>
        <v/>
      </c>
      <c r="G41" s="156" t="str">
        <f aca="false">IF($B41="","",IF(AK41&gt;=DAY($F$3),cfg_DAYS_M,MIN(AK41,cfg_DAYS_M)))</f>
        <v/>
      </c>
      <c r="H41" s="156" t="str">
        <f aca="false">IF($B41="","",SUMIFS('الحركات الشهرية'!$D$6:$D$1005,'الحركات الشهرية'!$B$6:$B$1005,$B41,'الحركات الشهرية'!$A$6:$A$1005,$C$3))</f>
        <v/>
      </c>
      <c r="I41" s="156" t="str">
        <f aca="false">IF($B41="","",MIN(G41,IF(AND(AK41&gt;0,AN41&gt;=AK41),G41,AN41)+SUMIFS('الحركات الشهرية'!$E$6:$E$1005,'الحركات الشهرية'!$B$6:$B$1005,$B41,'الحركات الشهرية'!$A$6:$A$1005,$C$3)))</f>
        <v/>
      </c>
      <c r="J41" s="156" t="str">
        <f aca="false">IF($B41="","",MAX(0,G41-H41-I41))</f>
        <v/>
      </c>
      <c r="K41" s="116" t="str">
        <f aca="false">IF($B41="","",الموظفون!$L41*$J41/cfg_DAYS_M)</f>
        <v/>
      </c>
      <c r="L41" s="116" t="str">
        <f aca="false">IF($B41="","",الموظفون!$M41*$J41/cfg_DAYS_M)</f>
        <v/>
      </c>
      <c r="M41" s="116" t="str">
        <f aca="false">IF($B41="","",الموظفون!$N41*$J41/cfg_DAYS_M)</f>
        <v/>
      </c>
      <c r="N41" s="116" t="str">
        <f aca="false">IF($B41="","",الموظفون!$O41*$J41/cfg_DAYS_M)</f>
        <v/>
      </c>
      <c r="O41" s="156" t="str">
        <f aca="false">IF($B41="","",SUMIFS('الحركات الشهرية'!$F$6:$F$1005,'الحركات الشهرية'!$B$6:$B$1005,$B41,'الحركات الشهرية'!$A$6:$A$1005,$C$3))</f>
        <v/>
      </c>
      <c r="P41" s="116" t="str">
        <f aca="false">IF($B41="","",O41*(الموظفون!$P41+الموظفون!$L41*cfg_OT_P)/cfg_DAYS_M/cfg_HRS)</f>
        <v/>
      </c>
      <c r="Q41" s="116" t="str">
        <f aca="false">IF($B41="","",SUMIFS('الحركات الشهرية'!$G$6:$G$1005,'الحركات الشهرية'!$B$6:$B$1005,$B41,'الحركات الشهرية'!$A$6:$A$1005,$C$3))</f>
        <v/>
      </c>
      <c r="R41" s="116" t="str">
        <f aca="false">IF($B41="","",SUMIFS('الحركات الشهرية'!$H$6:$H$1005,'الحركات الشهرية'!$B$6:$B$1005,$B41,'الحركات الشهرية'!$A$6:$A$1005,$C$3))</f>
        <v/>
      </c>
      <c r="S41" s="116" t="str">
        <f aca="false">IF($B41="","",SUMIFS('سجل الإجازات والحالات'!$N$6:$N$505,'سجل الإجازات والحالات'!$B$6:$B$505,$B41,'سجل الإجازات والحالات'!$O$6:$O$505,$C$3))</f>
        <v/>
      </c>
      <c r="T41" s="157" t="str">
        <f aca="false">IF($B41="","",SUM(K41:N41)+SUM(P41:S41))</f>
        <v/>
      </c>
      <c r="U41" s="116" t="str">
        <f aca="false">IF($B41="","",الموظفون!$S41*IF(E41="سعودي",cfg_G_SE,cfg_G_NE)*G41/cfg_DAYS_M)</f>
        <v/>
      </c>
      <c r="V41" s="116" t="str">
        <f aca="false">IF($B41="","",SUMIFS('الحركات الشهرية'!$I$6:$I$1005,'الحركات الشهرية'!$B$6:$B$1005,$B41,'الحركات الشهرية'!$A$6:$A$1005,$C$3))</f>
        <v/>
      </c>
      <c r="W41" s="116" t="str">
        <f aca="false">IF($B41="","",SUMIFS('الحركات الشهرية'!$J$6:$J$1005,'الحركات الشهرية'!$B$6:$B$1005,$B41,'الحركات الشهرية'!$A$6:$A$1005,$C$3))</f>
        <v/>
      </c>
      <c r="X41" s="116" t="str">
        <f aca="false">IF($B41="","",SUM(U41:W41))</f>
        <v/>
      </c>
      <c r="Y41" s="158" t="str">
        <f aca="false">IF($B41="","",T41-X41)</f>
        <v/>
      </c>
      <c r="Z41" s="116" t="str">
        <f aca="false">IF($B41="","",الموظفون!$S41*IF(E41="سعودي",cfg_G_SR,cfg_G_NR)*G41/cfg_DAYS_M)</f>
        <v/>
      </c>
      <c r="AA41" s="116" t="str">
        <f aca="false">IF($B41="","",الموظفون!$Q41*(cfg_EOS_R1*(MIN(AH41,cfg_EOS_TH)-MIN(AI41,cfg_EOS_TH))+cfg_EOS_R2*(MAX(AH41-cfg_EOS_TH,0)-MAX(AI41-cfg_EOS_TH,0))))</f>
        <v/>
      </c>
      <c r="AB41" s="116" t="str">
        <f aca="false">IF($B41="","",IF(الموظفون!$T41&lt;&gt;"",الموظفون!$T41,IF(AH41&gt;=cfg_LV_TH,cfg_LV_D2,cfg_LV_D1))/cfg_DAYS_Y*AJ41*الموظفون!$R41/cfg_DAYS_M)</f>
        <v/>
      </c>
      <c r="AC41" s="116" t="str">
        <f aca="false">IF($B41="","",IF(AND(الموظفون!$U41="نعم",N(الموظفون!$W41)&gt;0),الموظفون!$V41/الموظفون!$W41*12/cfg_DAYS_Y*AJ41,0))</f>
        <v/>
      </c>
      <c r="AD41" s="116" t="str">
        <f aca="false">IF($B41="","",(IF(الموظفون!$X41&lt;&gt;"",الموظفون!$X41,IF(الموظفون!$E41="غير سعودي",cfg_IQ,0))+IF(الموظفون!$Y41&lt;&gt;"",الموظفون!$Y41,IF(الموظفون!$E41="غير سعودي",cfg_WP,0)))/12*G41/cfg_DAYS_M)</f>
        <v/>
      </c>
      <c r="AE41" s="116" t="str">
        <f aca="false">IF($B41="","",IF(الموظفون!$Z41&lt;&gt;"",الموظفون!$Z41,cfg_MED)/12*G41/cfg_DAYS_M)</f>
        <v/>
      </c>
      <c r="AF41" s="116" t="str">
        <f aca="false">IF($B41="","",N(الموظفون!$AA41)/12*G41/cfg_DAYS_M)</f>
        <v/>
      </c>
      <c r="AG41" s="159" t="str">
        <f aca="false">IF($B41="","",T41+SUM(Z41:AF41))</f>
        <v/>
      </c>
      <c r="AH41" s="160" t="str">
        <f aca="false">IF($B41="","",MAX(0,IF(OR(الموظفون!$AE41="",الموظفون!$AE41&gt;$F$3),$F$3,الموظفون!$AE41)-الموظفون!$H41+1-SUMIFS('سجل الإجازات والحالات'!$AJ$6:$AJ$505,'سجل الإجازات والحالات'!$B$6:$B$505,$B41))/cfg_DAYS_Y)</f>
        <v/>
      </c>
      <c r="AI41" s="160" t="str">
        <f aca="false">IF($B41="","",MAX(0,IF(OR(الموظفون!$AE41="",الموظفون!$AE41&gt;($E$3-1)),($E$3-1),الموظفون!$AE41)-الموظفون!$H41+1-SUMIFS('سجل الإجازات والحالات'!$AI$6:$AI$505,'سجل الإجازات والحالات'!$B$6:$B$505,$B41))/cfg_DAYS_Y)</f>
        <v/>
      </c>
      <c r="AJ41" s="133" t="str">
        <f aca="false">IF($B41="","",MAX(0,AK41-(SUMIFS('سجل الإجازات والحالات'!$AJ$6:$AJ$505,'سجل الإجازات والحالات'!$B$6:$B$505,$B41)-SUMIFS('سجل الإجازات والحالات'!$AI$6:$AI$505,'سجل الإجازات والحالات'!$B$6:$B$505,$B41))))</f>
        <v/>
      </c>
      <c r="AK41" s="133" t="str">
        <f aca="false">IF($B41="","",MAX(0,IF(OR(الموظفون!$AE41="",الموظفون!$AE41&gt;$F$3),$F$3,الموظفون!$AE41)-MAX($E$3,الموظفون!$H41)+1))</f>
        <v/>
      </c>
      <c r="AL41" s="156" t="str">
        <f aca="false">IF($B41="","",SUMIFS('سجل الإجازات والحالات'!$AV$6:$AV$505,'سجل الإجازات والحالات'!$B$6:$B$505,$B41)+SUMIFS('الحركات الشهرية'!$K$6:$K$1005,'الحركات الشهرية'!$B$6:$B$1005,$B41,'الحركات الشهرية'!$A$6:$A$1005,$C$3))</f>
        <v/>
      </c>
      <c r="AM41" s="116" t="str">
        <f aca="false">IF($B41="","",AL41*الموظفون!$R41/cfg_DAYS_M+S41)</f>
        <v/>
      </c>
      <c r="AN41" s="156" t="str">
        <f aca="false">IF($B41="","",SUMIFS('سجل الإجازات والحالات'!$X$6:$X$505,'سجل الإجازات والحالات'!$B$6:$B$505,$B41))</f>
        <v/>
      </c>
    </row>
    <row r="42" customFormat="false" ht="15" hidden="false" customHeight="false" outlineLevel="0" collapsed="false">
      <c r="A42" s="106" t="str">
        <f aca="false">IF($B42="","",الموظفون!$A42)</f>
        <v/>
      </c>
      <c r="B42" s="114" t="str">
        <f aca="false">IF(الموظفون!$B42="","",الموظفون!$B42)</f>
        <v/>
      </c>
      <c r="C42" s="114" t="str">
        <f aca="false">IF($B42="","",الموظفون!$C42)</f>
        <v/>
      </c>
      <c r="D42" s="114" t="str">
        <f aca="false">IF($B42="","",الموظفون!$F42)</f>
        <v/>
      </c>
      <c r="E42" s="114" t="str">
        <f aca="false">IF($B42="","",الموظفون!$E42)</f>
        <v/>
      </c>
      <c r="F42" s="114" t="str">
        <f aca="false">IF($B42="","",IF(AK42=0,IF(AND(الموظفون!$AE42&lt;&gt;"",الموظفون!$AE42&lt;$E$3),"✖ منتهي الخدمة","⏳ لم يباشر"),IF(S42&gt;0,"✈ راتب إجازة مقدم",IF(J42=0,"⛔ بدون راتب هذا الشهر",IF(I42&gt;0,"✈ خصم "&amp;ROUND(I42,2)&amp;" يوم بدون أجر",IF(AL42&gt;0,"🌴 إجازة سنوية "&amp;ROUND(AL42,2)&amp;" يوم",IF(H42&gt;0,"⚠ غياب "&amp;ROUND(H42,2)&amp;" يوم","✔ على رأس العمل")))))))</f>
        <v/>
      </c>
      <c r="G42" s="151" t="str">
        <f aca="false">IF($B42="","",IF(AK42&gt;=DAY($F$3),cfg_DAYS_M,MIN(AK42,cfg_DAYS_M)))</f>
        <v/>
      </c>
      <c r="H42" s="151" t="str">
        <f aca="false">IF($B42="","",SUMIFS('الحركات الشهرية'!$D$6:$D$1005,'الحركات الشهرية'!$B$6:$B$1005,$B42,'الحركات الشهرية'!$A$6:$A$1005,$C$3))</f>
        <v/>
      </c>
      <c r="I42" s="151" t="str">
        <f aca="false">IF($B42="","",MIN(G42,IF(AND(AK42&gt;0,AN42&gt;=AK42),G42,AN42)+SUMIFS('الحركات الشهرية'!$E$6:$E$1005,'الحركات الشهرية'!$B$6:$B$1005,$B42,'الحركات الشهرية'!$A$6:$A$1005,$C$3)))</f>
        <v/>
      </c>
      <c r="J42" s="151" t="str">
        <f aca="false">IF($B42="","",MAX(0,G42-H42-I42))</f>
        <v/>
      </c>
      <c r="K42" s="111" t="str">
        <f aca="false">IF($B42="","",الموظفون!$L42*$J42/cfg_DAYS_M)</f>
        <v/>
      </c>
      <c r="L42" s="111" t="str">
        <f aca="false">IF($B42="","",الموظفون!$M42*$J42/cfg_DAYS_M)</f>
        <v/>
      </c>
      <c r="M42" s="111" t="str">
        <f aca="false">IF($B42="","",الموظفون!$N42*$J42/cfg_DAYS_M)</f>
        <v/>
      </c>
      <c r="N42" s="111" t="str">
        <f aca="false">IF($B42="","",الموظفون!$O42*$J42/cfg_DAYS_M)</f>
        <v/>
      </c>
      <c r="O42" s="151" t="str">
        <f aca="false">IF($B42="","",SUMIFS('الحركات الشهرية'!$F$6:$F$1005,'الحركات الشهرية'!$B$6:$B$1005,$B42,'الحركات الشهرية'!$A$6:$A$1005,$C$3))</f>
        <v/>
      </c>
      <c r="P42" s="111" t="str">
        <f aca="false">IF($B42="","",O42*(الموظفون!$P42+الموظفون!$L42*cfg_OT_P)/cfg_DAYS_M/cfg_HRS)</f>
        <v/>
      </c>
      <c r="Q42" s="111" t="str">
        <f aca="false">IF($B42="","",SUMIFS('الحركات الشهرية'!$G$6:$G$1005,'الحركات الشهرية'!$B$6:$B$1005,$B42,'الحركات الشهرية'!$A$6:$A$1005,$C$3))</f>
        <v/>
      </c>
      <c r="R42" s="111" t="str">
        <f aca="false">IF($B42="","",SUMIFS('الحركات الشهرية'!$H$6:$H$1005,'الحركات الشهرية'!$B$6:$B$1005,$B42,'الحركات الشهرية'!$A$6:$A$1005,$C$3))</f>
        <v/>
      </c>
      <c r="S42" s="111" t="str">
        <f aca="false">IF($B42="","",SUMIFS('سجل الإجازات والحالات'!$N$6:$N$505,'سجل الإجازات والحالات'!$B$6:$B$505,$B42,'سجل الإجازات والحالات'!$O$6:$O$505,$C$3))</f>
        <v/>
      </c>
      <c r="T42" s="152" t="str">
        <f aca="false">IF($B42="","",SUM(K42:N42)+SUM(P42:S42))</f>
        <v/>
      </c>
      <c r="U42" s="111" t="str">
        <f aca="false">IF($B42="","",الموظفون!$S42*IF(E42="سعودي",cfg_G_SE,cfg_G_NE)*G42/cfg_DAYS_M)</f>
        <v/>
      </c>
      <c r="V42" s="111" t="str">
        <f aca="false">IF($B42="","",SUMIFS('الحركات الشهرية'!$I$6:$I$1005,'الحركات الشهرية'!$B$6:$B$1005,$B42,'الحركات الشهرية'!$A$6:$A$1005,$C$3))</f>
        <v/>
      </c>
      <c r="W42" s="111" t="str">
        <f aca="false">IF($B42="","",SUMIFS('الحركات الشهرية'!$J$6:$J$1005,'الحركات الشهرية'!$B$6:$B$1005,$B42,'الحركات الشهرية'!$A$6:$A$1005,$C$3))</f>
        <v/>
      </c>
      <c r="X42" s="111" t="str">
        <f aca="false">IF($B42="","",SUM(U42:W42))</f>
        <v/>
      </c>
      <c r="Y42" s="153" t="str">
        <f aca="false">IF($B42="","",T42-X42)</f>
        <v/>
      </c>
      <c r="Z42" s="111" t="str">
        <f aca="false">IF($B42="","",الموظفون!$S42*IF(E42="سعودي",cfg_G_SR,cfg_G_NR)*G42/cfg_DAYS_M)</f>
        <v/>
      </c>
      <c r="AA42" s="111" t="str">
        <f aca="false">IF($B42="","",الموظفون!$Q42*(cfg_EOS_R1*(MIN(AH42,cfg_EOS_TH)-MIN(AI42,cfg_EOS_TH))+cfg_EOS_R2*(MAX(AH42-cfg_EOS_TH,0)-MAX(AI42-cfg_EOS_TH,0))))</f>
        <v/>
      </c>
      <c r="AB42" s="111" t="str">
        <f aca="false">IF($B42="","",IF(الموظفون!$T42&lt;&gt;"",الموظفون!$T42,IF(AH42&gt;=cfg_LV_TH,cfg_LV_D2,cfg_LV_D1))/cfg_DAYS_Y*AJ42*الموظفون!$R42/cfg_DAYS_M)</f>
        <v/>
      </c>
      <c r="AC42" s="111" t="str">
        <f aca="false">IF($B42="","",IF(AND(الموظفون!$U42="نعم",N(الموظفون!$W42)&gt;0),الموظفون!$V42/الموظفون!$W42*12/cfg_DAYS_Y*AJ42,0))</f>
        <v/>
      </c>
      <c r="AD42" s="111" t="str">
        <f aca="false">IF($B42="","",(IF(الموظفون!$X42&lt;&gt;"",الموظفون!$X42,IF(الموظفون!$E42="غير سعودي",cfg_IQ,0))+IF(الموظفون!$Y42&lt;&gt;"",الموظفون!$Y42,IF(الموظفون!$E42="غير سعودي",cfg_WP,0)))/12*G42/cfg_DAYS_M)</f>
        <v/>
      </c>
      <c r="AE42" s="111" t="str">
        <f aca="false">IF($B42="","",IF(الموظفون!$Z42&lt;&gt;"",الموظفون!$Z42,cfg_MED)/12*G42/cfg_DAYS_M)</f>
        <v/>
      </c>
      <c r="AF42" s="111" t="str">
        <f aca="false">IF($B42="","",N(الموظفون!$AA42)/12*G42/cfg_DAYS_M)</f>
        <v/>
      </c>
      <c r="AG42" s="154" t="str">
        <f aca="false">IF($B42="","",T42+SUM(Z42:AF42))</f>
        <v/>
      </c>
      <c r="AH42" s="155" t="str">
        <f aca="false">IF($B42="","",MAX(0,IF(OR(الموظفون!$AE42="",الموظفون!$AE42&gt;$F$3),$F$3,الموظفون!$AE42)-الموظفون!$H42+1-SUMIFS('سجل الإجازات والحالات'!$AJ$6:$AJ$505,'سجل الإجازات والحالات'!$B$6:$B$505,$B42))/cfg_DAYS_Y)</f>
        <v/>
      </c>
      <c r="AI42" s="155" t="str">
        <f aca="false">IF($B42="","",MAX(0,IF(OR(الموظفون!$AE42="",الموظفون!$AE42&gt;($E$3-1)),($E$3-1),الموظفون!$AE42)-الموظفون!$H42+1-SUMIFS('سجل الإجازات والحالات'!$AI$6:$AI$505,'سجل الإجازات والحالات'!$B$6:$B$505,$B42))/cfg_DAYS_Y)</f>
        <v/>
      </c>
      <c r="AJ42" s="65" t="str">
        <f aca="false">IF($B42="","",MAX(0,AK42-(SUMIFS('سجل الإجازات والحالات'!$AJ$6:$AJ$505,'سجل الإجازات والحالات'!$B$6:$B$505,$B42)-SUMIFS('سجل الإجازات والحالات'!$AI$6:$AI$505,'سجل الإجازات والحالات'!$B$6:$B$505,$B42))))</f>
        <v/>
      </c>
      <c r="AK42" s="65" t="str">
        <f aca="false">IF($B42="","",MAX(0,IF(OR(الموظفون!$AE42="",الموظفون!$AE42&gt;$F$3),$F$3,الموظفون!$AE42)-MAX($E$3,الموظفون!$H42)+1))</f>
        <v/>
      </c>
      <c r="AL42" s="151" t="str">
        <f aca="false">IF($B42="","",SUMIFS('سجل الإجازات والحالات'!$AV$6:$AV$505,'سجل الإجازات والحالات'!$B$6:$B$505,$B42)+SUMIFS('الحركات الشهرية'!$K$6:$K$1005,'الحركات الشهرية'!$B$6:$B$1005,$B42,'الحركات الشهرية'!$A$6:$A$1005,$C$3))</f>
        <v/>
      </c>
      <c r="AM42" s="111" t="str">
        <f aca="false">IF($B42="","",AL42*الموظفون!$R42/cfg_DAYS_M+S42)</f>
        <v/>
      </c>
      <c r="AN42" s="151" t="str">
        <f aca="false">IF($B42="","",SUMIFS('سجل الإجازات والحالات'!$X$6:$X$505,'سجل الإجازات والحالات'!$B$6:$B$505,$B42))</f>
        <v/>
      </c>
    </row>
    <row r="43" customFormat="false" ht="15" hidden="false" customHeight="false" outlineLevel="0" collapsed="false">
      <c r="A43" s="115" t="str">
        <f aca="false">IF($B43="","",الموظفون!$A43)</f>
        <v/>
      </c>
      <c r="B43" s="117" t="str">
        <f aca="false">IF(الموظفون!$B43="","",الموظفون!$B43)</f>
        <v/>
      </c>
      <c r="C43" s="117" t="str">
        <f aca="false">IF($B43="","",الموظفون!$C43)</f>
        <v/>
      </c>
      <c r="D43" s="117" t="str">
        <f aca="false">IF($B43="","",الموظفون!$F43)</f>
        <v/>
      </c>
      <c r="E43" s="117" t="str">
        <f aca="false">IF($B43="","",الموظفون!$E43)</f>
        <v/>
      </c>
      <c r="F43" s="117" t="str">
        <f aca="false">IF($B43="","",IF(AK43=0,IF(AND(الموظفون!$AE43&lt;&gt;"",الموظفون!$AE43&lt;$E$3),"✖ منتهي الخدمة","⏳ لم يباشر"),IF(S43&gt;0,"✈ راتب إجازة مقدم",IF(J43=0,"⛔ بدون راتب هذا الشهر",IF(I43&gt;0,"✈ خصم "&amp;ROUND(I43,2)&amp;" يوم بدون أجر",IF(AL43&gt;0,"🌴 إجازة سنوية "&amp;ROUND(AL43,2)&amp;" يوم",IF(H43&gt;0,"⚠ غياب "&amp;ROUND(H43,2)&amp;" يوم","✔ على رأس العمل")))))))</f>
        <v/>
      </c>
      <c r="G43" s="156" t="str">
        <f aca="false">IF($B43="","",IF(AK43&gt;=DAY($F$3),cfg_DAYS_M,MIN(AK43,cfg_DAYS_M)))</f>
        <v/>
      </c>
      <c r="H43" s="156" t="str">
        <f aca="false">IF($B43="","",SUMIFS('الحركات الشهرية'!$D$6:$D$1005,'الحركات الشهرية'!$B$6:$B$1005,$B43,'الحركات الشهرية'!$A$6:$A$1005,$C$3))</f>
        <v/>
      </c>
      <c r="I43" s="156" t="str">
        <f aca="false">IF($B43="","",MIN(G43,IF(AND(AK43&gt;0,AN43&gt;=AK43),G43,AN43)+SUMIFS('الحركات الشهرية'!$E$6:$E$1005,'الحركات الشهرية'!$B$6:$B$1005,$B43,'الحركات الشهرية'!$A$6:$A$1005,$C$3)))</f>
        <v/>
      </c>
      <c r="J43" s="156" t="str">
        <f aca="false">IF($B43="","",MAX(0,G43-H43-I43))</f>
        <v/>
      </c>
      <c r="K43" s="116" t="str">
        <f aca="false">IF($B43="","",الموظفون!$L43*$J43/cfg_DAYS_M)</f>
        <v/>
      </c>
      <c r="L43" s="116" t="str">
        <f aca="false">IF($B43="","",الموظفون!$M43*$J43/cfg_DAYS_M)</f>
        <v/>
      </c>
      <c r="M43" s="116" t="str">
        <f aca="false">IF($B43="","",الموظفون!$N43*$J43/cfg_DAYS_M)</f>
        <v/>
      </c>
      <c r="N43" s="116" t="str">
        <f aca="false">IF($B43="","",الموظفون!$O43*$J43/cfg_DAYS_M)</f>
        <v/>
      </c>
      <c r="O43" s="156" t="str">
        <f aca="false">IF($B43="","",SUMIFS('الحركات الشهرية'!$F$6:$F$1005,'الحركات الشهرية'!$B$6:$B$1005,$B43,'الحركات الشهرية'!$A$6:$A$1005,$C$3))</f>
        <v/>
      </c>
      <c r="P43" s="116" t="str">
        <f aca="false">IF($B43="","",O43*(الموظفون!$P43+الموظفون!$L43*cfg_OT_P)/cfg_DAYS_M/cfg_HRS)</f>
        <v/>
      </c>
      <c r="Q43" s="116" t="str">
        <f aca="false">IF($B43="","",SUMIFS('الحركات الشهرية'!$G$6:$G$1005,'الحركات الشهرية'!$B$6:$B$1005,$B43,'الحركات الشهرية'!$A$6:$A$1005,$C$3))</f>
        <v/>
      </c>
      <c r="R43" s="116" t="str">
        <f aca="false">IF($B43="","",SUMIFS('الحركات الشهرية'!$H$6:$H$1005,'الحركات الشهرية'!$B$6:$B$1005,$B43,'الحركات الشهرية'!$A$6:$A$1005,$C$3))</f>
        <v/>
      </c>
      <c r="S43" s="116" t="str">
        <f aca="false">IF($B43="","",SUMIFS('سجل الإجازات والحالات'!$N$6:$N$505,'سجل الإجازات والحالات'!$B$6:$B$505,$B43,'سجل الإجازات والحالات'!$O$6:$O$505,$C$3))</f>
        <v/>
      </c>
      <c r="T43" s="157" t="str">
        <f aca="false">IF($B43="","",SUM(K43:N43)+SUM(P43:S43))</f>
        <v/>
      </c>
      <c r="U43" s="116" t="str">
        <f aca="false">IF($B43="","",الموظفون!$S43*IF(E43="سعودي",cfg_G_SE,cfg_G_NE)*G43/cfg_DAYS_M)</f>
        <v/>
      </c>
      <c r="V43" s="116" t="str">
        <f aca="false">IF($B43="","",SUMIFS('الحركات الشهرية'!$I$6:$I$1005,'الحركات الشهرية'!$B$6:$B$1005,$B43,'الحركات الشهرية'!$A$6:$A$1005,$C$3))</f>
        <v/>
      </c>
      <c r="W43" s="116" t="str">
        <f aca="false">IF($B43="","",SUMIFS('الحركات الشهرية'!$J$6:$J$1005,'الحركات الشهرية'!$B$6:$B$1005,$B43,'الحركات الشهرية'!$A$6:$A$1005,$C$3))</f>
        <v/>
      </c>
      <c r="X43" s="116" t="str">
        <f aca="false">IF($B43="","",SUM(U43:W43))</f>
        <v/>
      </c>
      <c r="Y43" s="158" t="str">
        <f aca="false">IF($B43="","",T43-X43)</f>
        <v/>
      </c>
      <c r="Z43" s="116" t="str">
        <f aca="false">IF($B43="","",الموظفون!$S43*IF(E43="سعودي",cfg_G_SR,cfg_G_NR)*G43/cfg_DAYS_M)</f>
        <v/>
      </c>
      <c r="AA43" s="116" t="str">
        <f aca="false">IF($B43="","",الموظفون!$Q43*(cfg_EOS_R1*(MIN(AH43,cfg_EOS_TH)-MIN(AI43,cfg_EOS_TH))+cfg_EOS_R2*(MAX(AH43-cfg_EOS_TH,0)-MAX(AI43-cfg_EOS_TH,0))))</f>
        <v/>
      </c>
      <c r="AB43" s="116" t="str">
        <f aca="false">IF($B43="","",IF(الموظفون!$T43&lt;&gt;"",الموظفون!$T43,IF(AH43&gt;=cfg_LV_TH,cfg_LV_D2,cfg_LV_D1))/cfg_DAYS_Y*AJ43*الموظفون!$R43/cfg_DAYS_M)</f>
        <v/>
      </c>
      <c r="AC43" s="116" t="str">
        <f aca="false">IF($B43="","",IF(AND(الموظفون!$U43="نعم",N(الموظفون!$W43)&gt;0),الموظفون!$V43/الموظفون!$W43*12/cfg_DAYS_Y*AJ43,0))</f>
        <v/>
      </c>
      <c r="AD43" s="116" t="str">
        <f aca="false">IF($B43="","",(IF(الموظفون!$X43&lt;&gt;"",الموظفون!$X43,IF(الموظفون!$E43="غير سعودي",cfg_IQ,0))+IF(الموظفون!$Y43&lt;&gt;"",الموظفون!$Y43,IF(الموظفون!$E43="غير سعودي",cfg_WP,0)))/12*G43/cfg_DAYS_M)</f>
        <v/>
      </c>
      <c r="AE43" s="116" t="str">
        <f aca="false">IF($B43="","",IF(الموظفون!$Z43&lt;&gt;"",الموظفون!$Z43,cfg_MED)/12*G43/cfg_DAYS_M)</f>
        <v/>
      </c>
      <c r="AF43" s="116" t="str">
        <f aca="false">IF($B43="","",N(الموظفون!$AA43)/12*G43/cfg_DAYS_M)</f>
        <v/>
      </c>
      <c r="AG43" s="159" t="str">
        <f aca="false">IF($B43="","",T43+SUM(Z43:AF43))</f>
        <v/>
      </c>
      <c r="AH43" s="160" t="str">
        <f aca="false">IF($B43="","",MAX(0,IF(OR(الموظفون!$AE43="",الموظفون!$AE43&gt;$F$3),$F$3,الموظفون!$AE43)-الموظفون!$H43+1-SUMIFS('سجل الإجازات والحالات'!$AJ$6:$AJ$505,'سجل الإجازات والحالات'!$B$6:$B$505,$B43))/cfg_DAYS_Y)</f>
        <v/>
      </c>
      <c r="AI43" s="160" t="str">
        <f aca="false">IF($B43="","",MAX(0,IF(OR(الموظفون!$AE43="",الموظفون!$AE43&gt;($E$3-1)),($E$3-1),الموظفون!$AE43)-الموظفون!$H43+1-SUMIFS('سجل الإجازات والحالات'!$AI$6:$AI$505,'سجل الإجازات والحالات'!$B$6:$B$505,$B43))/cfg_DAYS_Y)</f>
        <v/>
      </c>
      <c r="AJ43" s="133" t="str">
        <f aca="false">IF($B43="","",MAX(0,AK43-(SUMIFS('سجل الإجازات والحالات'!$AJ$6:$AJ$505,'سجل الإجازات والحالات'!$B$6:$B$505,$B43)-SUMIFS('سجل الإجازات والحالات'!$AI$6:$AI$505,'سجل الإجازات والحالات'!$B$6:$B$505,$B43))))</f>
        <v/>
      </c>
      <c r="AK43" s="133" t="str">
        <f aca="false">IF($B43="","",MAX(0,IF(OR(الموظفون!$AE43="",الموظفون!$AE43&gt;$F$3),$F$3,الموظفون!$AE43)-MAX($E$3,الموظفون!$H43)+1))</f>
        <v/>
      </c>
      <c r="AL43" s="156" t="str">
        <f aca="false">IF($B43="","",SUMIFS('سجل الإجازات والحالات'!$AV$6:$AV$505,'سجل الإجازات والحالات'!$B$6:$B$505,$B43)+SUMIFS('الحركات الشهرية'!$K$6:$K$1005,'الحركات الشهرية'!$B$6:$B$1005,$B43,'الحركات الشهرية'!$A$6:$A$1005,$C$3))</f>
        <v/>
      </c>
      <c r="AM43" s="116" t="str">
        <f aca="false">IF($B43="","",AL43*الموظفون!$R43/cfg_DAYS_M+S43)</f>
        <v/>
      </c>
      <c r="AN43" s="156" t="str">
        <f aca="false">IF($B43="","",SUMIFS('سجل الإجازات والحالات'!$X$6:$X$505,'سجل الإجازات والحالات'!$B$6:$B$505,$B43))</f>
        <v/>
      </c>
    </row>
    <row r="44" customFormat="false" ht="15" hidden="false" customHeight="false" outlineLevel="0" collapsed="false">
      <c r="A44" s="106" t="str">
        <f aca="false">IF($B44="","",الموظفون!$A44)</f>
        <v/>
      </c>
      <c r="B44" s="114" t="str">
        <f aca="false">IF(الموظفون!$B44="","",الموظفون!$B44)</f>
        <v/>
      </c>
      <c r="C44" s="114" t="str">
        <f aca="false">IF($B44="","",الموظفون!$C44)</f>
        <v/>
      </c>
      <c r="D44" s="114" t="str">
        <f aca="false">IF($B44="","",الموظفون!$F44)</f>
        <v/>
      </c>
      <c r="E44" s="114" t="str">
        <f aca="false">IF($B44="","",الموظفون!$E44)</f>
        <v/>
      </c>
      <c r="F44" s="114" t="str">
        <f aca="false">IF($B44="","",IF(AK44=0,IF(AND(الموظفون!$AE44&lt;&gt;"",الموظفون!$AE44&lt;$E$3),"✖ منتهي الخدمة","⏳ لم يباشر"),IF(S44&gt;0,"✈ راتب إجازة مقدم",IF(J44=0,"⛔ بدون راتب هذا الشهر",IF(I44&gt;0,"✈ خصم "&amp;ROUND(I44,2)&amp;" يوم بدون أجر",IF(AL44&gt;0,"🌴 إجازة سنوية "&amp;ROUND(AL44,2)&amp;" يوم",IF(H44&gt;0,"⚠ غياب "&amp;ROUND(H44,2)&amp;" يوم","✔ على رأس العمل")))))))</f>
        <v/>
      </c>
      <c r="G44" s="151" t="str">
        <f aca="false">IF($B44="","",IF(AK44&gt;=DAY($F$3),cfg_DAYS_M,MIN(AK44,cfg_DAYS_M)))</f>
        <v/>
      </c>
      <c r="H44" s="151" t="str">
        <f aca="false">IF($B44="","",SUMIFS('الحركات الشهرية'!$D$6:$D$1005,'الحركات الشهرية'!$B$6:$B$1005,$B44,'الحركات الشهرية'!$A$6:$A$1005,$C$3))</f>
        <v/>
      </c>
      <c r="I44" s="151" t="str">
        <f aca="false">IF($B44="","",MIN(G44,IF(AND(AK44&gt;0,AN44&gt;=AK44),G44,AN44)+SUMIFS('الحركات الشهرية'!$E$6:$E$1005,'الحركات الشهرية'!$B$6:$B$1005,$B44,'الحركات الشهرية'!$A$6:$A$1005,$C$3)))</f>
        <v/>
      </c>
      <c r="J44" s="151" t="str">
        <f aca="false">IF($B44="","",MAX(0,G44-H44-I44))</f>
        <v/>
      </c>
      <c r="K44" s="111" t="str">
        <f aca="false">IF($B44="","",الموظفون!$L44*$J44/cfg_DAYS_M)</f>
        <v/>
      </c>
      <c r="L44" s="111" t="str">
        <f aca="false">IF($B44="","",الموظفون!$M44*$J44/cfg_DAYS_M)</f>
        <v/>
      </c>
      <c r="M44" s="111" t="str">
        <f aca="false">IF($B44="","",الموظفون!$N44*$J44/cfg_DAYS_M)</f>
        <v/>
      </c>
      <c r="N44" s="111" t="str">
        <f aca="false">IF($B44="","",الموظفون!$O44*$J44/cfg_DAYS_M)</f>
        <v/>
      </c>
      <c r="O44" s="151" t="str">
        <f aca="false">IF($B44="","",SUMIFS('الحركات الشهرية'!$F$6:$F$1005,'الحركات الشهرية'!$B$6:$B$1005,$B44,'الحركات الشهرية'!$A$6:$A$1005,$C$3))</f>
        <v/>
      </c>
      <c r="P44" s="111" t="str">
        <f aca="false">IF($B44="","",O44*(الموظفون!$P44+الموظفون!$L44*cfg_OT_P)/cfg_DAYS_M/cfg_HRS)</f>
        <v/>
      </c>
      <c r="Q44" s="111" t="str">
        <f aca="false">IF($B44="","",SUMIFS('الحركات الشهرية'!$G$6:$G$1005,'الحركات الشهرية'!$B$6:$B$1005,$B44,'الحركات الشهرية'!$A$6:$A$1005,$C$3))</f>
        <v/>
      </c>
      <c r="R44" s="111" t="str">
        <f aca="false">IF($B44="","",SUMIFS('الحركات الشهرية'!$H$6:$H$1005,'الحركات الشهرية'!$B$6:$B$1005,$B44,'الحركات الشهرية'!$A$6:$A$1005,$C$3))</f>
        <v/>
      </c>
      <c r="S44" s="111" t="str">
        <f aca="false">IF($B44="","",SUMIFS('سجل الإجازات والحالات'!$N$6:$N$505,'سجل الإجازات والحالات'!$B$6:$B$505,$B44,'سجل الإجازات والحالات'!$O$6:$O$505,$C$3))</f>
        <v/>
      </c>
      <c r="T44" s="152" t="str">
        <f aca="false">IF($B44="","",SUM(K44:N44)+SUM(P44:S44))</f>
        <v/>
      </c>
      <c r="U44" s="111" t="str">
        <f aca="false">IF($B44="","",الموظفون!$S44*IF(E44="سعودي",cfg_G_SE,cfg_G_NE)*G44/cfg_DAYS_M)</f>
        <v/>
      </c>
      <c r="V44" s="111" t="str">
        <f aca="false">IF($B44="","",SUMIFS('الحركات الشهرية'!$I$6:$I$1005,'الحركات الشهرية'!$B$6:$B$1005,$B44,'الحركات الشهرية'!$A$6:$A$1005,$C$3))</f>
        <v/>
      </c>
      <c r="W44" s="111" t="str">
        <f aca="false">IF($B44="","",SUMIFS('الحركات الشهرية'!$J$6:$J$1005,'الحركات الشهرية'!$B$6:$B$1005,$B44,'الحركات الشهرية'!$A$6:$A$1005,$C$3))</f>
        <v/>
      </c>
      <c r="X44" s="111" t="str">
        <f aca="false">IF($B44="","",SUM(U44:W44))</f>
        <v/>
      </c>
      <c r="Y44" s="153" t="str">
        <f aca="false">IF($B44="","",T44-X44)</f>
        <v/>
      </c>
      <c r="Z44" s="111" t="str">
        <f aca="false">IF($B44="","",الموظفون!$S44*IF(E44="سعودي",cfg_G_SR,cfg_G_NR)*G44/cfg_DAYS_M)</f>
        <v/>
      </c>
      <c r="AA44" s="111" t="str">
        <f aca="false">IF($B44="","",الموظفون!$Q44*(cfg_EOS_R1*(MIN(AH44,cfg_EOS_TH)-MIN(AI44,cfg_EOS_TH))+cfg_EOS_R2*(MAX(AH44-cfg_EOS_TH,0)-MAX(AI44-cfg_EOS_TH,0))))</f>
        <v/>
      </c>
      <c r="AB44" s="111" t="str">
        <f aca="false">IF($B44="","",IF(الموظفون!$T44&lt;&gt;"",الموظفون!$T44,IF(AH44&gt;=cfg_LV_TH,cfg_LV_D2,cfg_LV_D1))/cfg_DAYS_Y*AJ44*الموظفون!$R44/cfg_DAYS_M)</f>
        <v/>
      </c>
      <c r="AC44" s="111" t="str">
        <f aca="false">IF($B44="","",IF(AND(الموظفون!$U44="نعم",N(الموظفون!$W44)&gt;0),الموظفون!$V44/الموظفون!$W44*12/cfg_DAYS_Y*AJ44,0))</f>
        <v/>
      </c>
      <c r="AD44" s="111" t="str">
        <f aca="false">IF($B44="","",(IF(الموظفون!$X44&lt;&gt;"",الموظفون!$X44,IF(الموظفون!$E44="غير سعودي",cfg_IQ,0))+IF(الموظفون!$Y44&lt;&gt;"",الموظفون!$Y44,IF(الموظفون!$E44="غير سعودي",cfg_WP,0)))/12*G44/cfg_DAYS_M)</f>
        <v/>
      </c>
      <c r="AE44" s="111" t="str">
        <f aca="false">IF($B44="","",IF(الموظفون!$Z44&lt;&gt;"",الموظفون!$Z44,cfg_MED)/12*G44/cfg_DAYS_M)</f>
        <v/>
      </c>
      <c r="AF44" s="111" t="str">
        <f aca="false">IF($B44="","",N(الموظفون!$AA44)/12*G44/cfg_DAYS_M)</f>
        <v/>
      </c>
      <c r="AG44" s="154" t="str">
        <f aca="false">IF($B44="","",T44+SUM(Z44:AF44))</f>
        <v/>
      </c>
      <c r="AH44" s="155" t="str">
        <f aca="false">IF($B44="","",MAX(0,IF(OR(الموظفون!$AE44="",الموظفون!$AE44&gt;$F$3),$F$3,الموظفون!$AE44)-الموظفون!$H44+1-SUMIFS('سجل الإجازات والحالات'!$AJ$6:$AJ$505,'سجل الإجازات والحالات'!$B$6:$B$505,$B44))/cfg_DAYS_Y)</f>
        <v/>
      </c>
      <c r="AI44" s="155" t="str">
        <f aca="false">IF($B44="","",MAX(0,IF(OR(الموظفون!$AE44="",الموظفون!$AE44&gt;($E$3-1)),($E$3-1),الموظفون!$AE44)-الموظفون!$H44+1-SUMIFS('سجل الإجازات والحالات'!$AI$6:$AI$505,'سجل الإجازات والحالات'!$B$6:$B$505,$B44))/cfg_DAYS_Y)</f>
        <v/>
      </c>
      <c r="AJ44" s="65" t="str">
        <f aca="false">IF($B44="","",MAX(0,AK44-(SUMIFS('سجل الإجازات والحالات'!$AJ$6:$AJ$505,'سجل الإجازات والحالات'!$B$6:$B$505,$B44)-SUMIFS('سجل الإجازات والحالات'!$AI$6:$AI$505,'سجل الإجازات والحالات'!$B$6:$B$505,$B44))))</f>
        <v/>
      </c>
      <c r="AK44" s="65" t="str">
        <f aca="false">IF($B44="","",MAX(0,IF(OR(الموظفون!$AE44="",الموظفون!$AE44&gt;$F$3),$F$3,الموظفون!$AE44)-MAX($E$3,الموظفون!$H44)+1))</f>
        <v/>
      </c>
      <c r="AL44" s="151" t="str">
        <f aca="false">IF($B44="","",SUMIFS('سجل الإجازات والحالات'!$AV$6:$AV$505,'سجل الإجازات والحالات'!$B$6:$B$505,$B44)+SUMIFS('الحركات الشهرية'!$K$6:$K$1005,'الحركات الشهرية'!$B$6:$B$1005,$B44,'الحركات الشهرية'!$A$6:$A$1005,$C$3))</f>
        <v/>
      </c>
      <c r="AM44" s="111" t="str">
        <f aca="false">IF($B44="","",AL44*الموظفون!$R44/cfg_DAYS_M+S44)</f>
        <v/>
      </c>
      <c r="AN44" s="151" t="str">
        <f aca="false">IF($B44="","",SUMIFS('سجل الإجازات والحالات'!$X$6:$X$505,'سجل الإجازات والحالات'!$B$6:$B$505,$B44))</f>
        <v/>
      </c>
    </row>
    <row r="45" customFormat="false" ht="15" hidden="false" customHeight="false" outlineLevel="0" collapsed="false">
      <c r="A45" s="115" t="str">
        <f aca="false">IF($B45="","",الموظفون!$A45)</f>
        <v/>
      </c>
      <c r="B45" s="117" t="str">
        <f aca="false">IF(الموظفون!$B45="","",الموظفون!$B45)</f>
        <v/>
      </c>
      <c r="C45" s="117" t="str">
        <f aca="false">IF($B45="","",الموظفون!$C45)</f>
        <v/>
      </c>
      <c r="D45" s="117" t="str">
        <f aca="false">IF($B45="","",الموظفون!$F45)</f>
        <v/>
      </c>
      <c r="E45" s="117" t="str">
        <f aca="false">IF($B45="","",الموظفون!$E45)</f>
        <v/>
      </c>
      <c r="F45" s="117" t="str">
        <f aca="false">IF($B45="","",IF(AK45=0,IF(AND(الموظفون!$AE45&lt;&gt;"",الموظفون!$AE45&lt;$E$3),"✖ منتهي الخدمة","⏳ لم يباشر"),IF(S45&gt;0,"✈ راتب إجازة مقدم",IF(J45=0,"⛔ بدون راتب هذا الشهر",IF(I45&gt;0,"✈ خصم "&amp;ROUND(I45,2)&amp;" يوم بدون أجر",IF(AL45&gt;0,"🌴 إجازة سنوية "&amp;ROUND(AL45,2)&amp;" يوم",IF(H45&gt;0,"⚠ غياب "&amp;ROUND(H45,2)&amp;" يوم","✔ على رأس العمل")))))))</f>
        <v/>
      </c>
      <c r="G45" s="156" t="str">
        <f aca="false">IF($B45="","",IF(AK45&gt;=DAY($F$3),cfg_DAYS_M,MIN(AK45,cfg_DAYS_M)))</f>
        <v/>
      </c>
      <c r="H45" s="156" t="str">
        <f aca="false">IF($B45="","",SUMIFS('الحركات الشهرية'!$D$6:$D$1005,'الحركات الشهرية'!$B$6:$B$1005,$B45,'الحركات الشهرية'!$A$6:$A$1005,$C$3))</f>
        <v/>
      </c>
      <c r="I45" s="156" t="str">
        <f aca="false">IF($B45="","",MIN(G45,IF(AND(AK45&gt;0,AN45&gt;=AK45),G45,AN45)+SUMIFS('الحركات الشهرية'!$E$6:$E$1005,'الحركات الشهرية'!$B$6:$B$1005,$B45,'الحركات الشهرية'!$A$6:$A$1005,$C$3)))</f>
        <v/>
      </c>
      <c r="J45" s="156" t="str">
        <f aca="false">IF($B45="","",MAX(0,G45-H45-I45))</f>
        <v/>
      </c>
      <c r="K45" s="116" t="str">
        <f aca="false">IF($B45="","",الموظفون!$L45*$J45/cfg_DAYS_M)</f>
        <v/>
      </c>
      <c r="L45" s="116" t="str">
        <f aca="false">IF($B45="","",الموظفون!$M45*$J45/cfg_DAYS_M)</f>
        <v/>
      </c>
      <c r="M45" s="116" t="str">
        <f aca="false">IF($B45="","",الموظفون!$N45*$J45/cfg_DAYS_M)</f>
        <v/>
      </c>
      <c r="N45" s="116" t="str">
        <f aca="false">IF($B45="","",الموظفون!$O45*$J45/cfg_DAYS_M)</f>
        <v/>
      </c>
      <c r="O45" s="156" t="str">
        <f aca="false">IF($B45="","",SUMIFS('الحركات الشهرية'!$F$6:$F$1005,'الحركات الشهرية'!$B$6:$B$1005,$B45,'الحركات الشهرية'!$A$6:$A$1005,$C$3))</f>
        <v/>
      </c>
      <c r="P45" s="116" t="str">
        <f aca="false">IF($B45="","",O45*(الموظفون!$P45+الموظفون!$L45*cfg_OT_P)/cfg_DAYS_M/cfg_HRS)</f>
        <v/>
      </c>
      <c r="Q45" s="116" t="str">
        <f aca="false">IF($B45="","",SUMIFS('الحركات الشهرية'!$G$6:$G$1005,'الحركات الشهرية'!$B$6:$B$1005,$B45,'الحركات الشهرية'!$A$6:$A$1005,$C$3))</f>
        <v/>
      </c>
      <c r="R45" s="116" t="str">
        <f aca="false">IF($B45="","",SUMIFS('الحركات الشهرية'!$H$6:$H$1005,'الحركات الشهرية'!$B$6:$B$1005,$B45,'الحركات الشهرية'!$A$6:$A$1005,$C$3))</f>
        <v/>
      </c>
      <c r="S45" s="116" t="str">
        <f aca="false">IF($B45="","",SUMIFS('سجل الإجازات والحالات'!$N$6:$N$505,'سجل الإجازات والحالات'!$B$6:$B$505,$B45,'سجل الإجازات والحالات'!$O$6:$O$505,$C$3))</f>
        <v/>
      </c>
      <c r="T45" s="157" t="str">
        <f aca="false">IF($B45="","",SUM(K45:N45)+SUM(P45:S45))</f>
        <v/>
      </c>
      <c r="U45" s="116" t="str">
        <f aca="false">IF($B45="","",الموظفون!$S45*IF(E45="سعودي",cfg_G_SE,cfg_G_NE)*G45/cfg_DAYS_M)</f>
        <v/>
      </c>
      <c r="V45" s="116" t="str">
        <f aca="false">IF($B45="","",SUMIFS('الحركات الشهرية'!$I$6:$I$1005,'الحركات الشهرية'!$B$6:$B$1005,$B45,'الحركات الشهرية'!$A$6:$A$1005,$C$3))</f>
        <v/>
      </c>
      <c r="W45" s="116" t="str">
        <f aca="false">IF($B45="","",SUMIFS('الحركات الشهرية'!$J$6:$J$1005,'الحركات الشهرية'!$B$6:$B$1005,$B45,'الحركات الشهرية'!$A$6:$A$1005,$C$3))</f>
        <v/>
      </c>
      <c r="X45" s="116" t="str">
        <f aca="false">IF($B45="","",SUM(U45:W45))</f>
        <v/>
      </c>
      <c r="Y45" s="158" t="str">
        <f aca="false">IF($B45="","",T45-X45)</f>
        <v/>
      </c>
      <c r="Z45" s="116" t="str">
        <f aca="false">IF($B45="","",الموظفون!$S45*IF(E45="سعودي",cfg_G_SR,cfg_G_NR)*G45/cfg_DAYS_M)</f>
        <v/>
      </c>
      <c r="AA45" s="116" t="str">
        <f aca="false">IF($B45="","",الموظفون!$Q45*(cfg_EOS_R1*(MIN(AH45,cfg_EOS_TH)-MIN(AI45,cfg_EOS_TH))+cfg_EOS_R2*(MAX(AH45-cfg_EOS_TH,0)-MAX(AI45-cfg_EOS_TH,0))))</f>
        <v/>
      </c>
      <c r="AB45" s="116" t="str">
        <f aca="false">IF($B45="","",IF(الموظفون!$T45&lt;&gt;"",الموظفون!$T45,IF(AH45&gt;=cfg_LV_TH,cfg_LV_D2,cfg_LV_D1))/cfg_DAYS_Y*AJ45*الموظفون!$R45/cfg_DAYS_M)</f>
        <v/>
      </c>
      <c r="AC45" s="116" t="str">
        <f aca="false">IF($B45="","",IF(AND(الموظفون!$U45="نعم",N(الموظفون!$W45)&gt;0),الموظفون!$V45/الموظفون!$W45*12/cfg_DAYS_Y*AJ45,0))</f>
        <v/>
      </c>
      <c r="AD45" s="116" t="str">
        <f aca="false">IF($B45="","",(IF(الموظفون!$X45&lt;&gt;"",الموظفون!$X45,IF(الموظفون!$E45="غير سعودي",cfg_IQ,0))+IF(الموظفون!$Y45&lt;&gt;"",الموظفون!$Y45,IF(الموظفون!$E45="غير سعودي",cfg_WP,0)))/12*G45/cfg_DAYS_M)</f>
        <v/>
      </c>
      <c r="AE45" s="116" t="str">
        <f aca="false">IF($B45="","",IF(الموظفون!$Z45&lt;&gt;"",الموظفون!$Z45,cfg_MED)/12*G45/cfg_DAYS_M)</f>
        <v/>
      </c>
      <c r="AF45" s="116" t="str">
        <f aca="false">IF($B45="","",N(الموظفون!$AA45)/12*G45/cfg_DAYS_M)</f>
        <v/>
      </c>
      <c r="AG45" s="159" t="str">
        <f aca="false">IF($B45="","",T45+SUM(Z45:AF45))</f>
        <v/>
      </c>
      <c r="AH45" s="160" t="str">
        <f aca="false">IF($B45="","",MAX(0,IF(OR(الموظفون!$AE45="",الموظفون!$AE45&gt;$F$3),$F$3,الموظفون!$AE45)-الموظفون!$H45+1-SUMIFS('سجل الإجازات والحالات'!$AJ$6:$AJ$505,'سجل الإجازات والحالات'!$B$6:$B$505,$B45))/cfg_DAYS_Y)</f>
        <v/>
      </c>
      <c r="AI45" s="160" t="str">
        <f aca="false">IF($B45="","",MAX(0,IF(OR(الموظفون!$AE45="",الموظفون!$AE45&gt;($E$3-1)),($E$3-1),الموظفون!$AE45)-الموظفون!$H45+1-SUMIFS('سجل الإجازات والحالات'!$AI$6:$AI$505,'سجل الإجازات والحالات'!$B$6:$B$505,$B45))/cfg_DAYS_Y)</f>
        <v/>
      </c>
      <c r="AJ45" s="133" t="str">
        <f aca="false">IF($B45="","",MAX(0,AK45-(SUMIFS('سجل الإجازات والحالات'!$AJ$6:$AJ$505,'سجل الإجازات والحالات'!$B$6:$B$505,$B45)-SUMIFS('سجل الإجازات والحالات'!$AI$6:$AI$505,'سجل الإجازات والحالات'!$B$6:$B$505,$B45))))</f>
        <v/>
      </c>
      <c r="AK45" s="133" t="str">
        <f aca="false">IF($B45="","",MAX(0,IF(OR(الموظفون!$AE45="",الموظفون!$AE45&gt;$F$3),$F$3,الموظفون!$AE45)-MAX($E$3,الموظفون!$H45)+1))</f>
        <v/>
      </c>
      <c r="AL45" s="156" t="str">
        <f aca="false">IF($B45="","",SUMIFS('سجل الإجازات والحالات'!$AV$6:$AV$505,'سجل الإجازات والحالات'!$B$6:$B$505,$B45)+SUMIFS('الحركات الشهرية'!$K$6:$K$1005,'الحركات الشهرية'!$B$6:$B$1005,$B45,'الحركات الشهرية'!$A$6:$A$1005,$C$3))</f>
        <v/>
      </c>
      <c r="AM45" s="116" t="str">
        <f aca="false">IF($B45="","",AL45*الموظفون!$R45/cfg_DAYS_M+S45)</f>
        <v/>
      </c>
      <c r="AN45" s="156" t="str">
        <f aca="false">IF($B45="","",SUMIFS('سجل الإجازات والحالات'!$X$6:$X$505,'سجل الإجازات والحالات'!$B$6:$B$505,$B45))</f>
        <v/>
      </c>
    </row>
    <row r="46" customFormat="false" ht="15" hidden="false" customHeight="false" outlineLevel="0" collapsed="false">
      <c r="A46" s="106" t="str">
        <f aca="false">IF($B46="","",الموظفون!$A46)</f>
        <v/>
      </c>
      <c r="B46" s="114" t="str">
        <f aca="false">IF(الموظفون!$B46="","",الموظفون!$B46)</f>
        <v/>
      </c>
      <c r="C46" s="114" t="str">
        <f aca="false">IF($B46="","",الموظفون!$C46)</f>
        <v/>
      </c>
      <c r="D46" s="114" t="str">
        <f aca="false">IF($B46="","",الموظفون!$F46)</f>
        <v/>
      </c>
      <c r="E46" s="114" t="str">
        <f aca="false">IF($B46="","",الموظفون!$E46)</f>
        <v/>
      </c>
      <c r="F46" s="114" t="str">
        <f aca="false">IF($B46="","",IF(AK46=0,IF(AND(الموظفون!$AE46&lt;&gt;"",الموظفون!$AE46&lt;$E$3),"✖ منتهي الخدمة","⏳ لم يباشر"),IF(S46&gt;0,"✈ راتب إجازة مقدم",IF(J46=0,"⛔ بدون راتب هذا الشهر",IF(I46&gt;0,"✈ خصم "&amp;ROUND(I46,2)&amp;" يوم بدون أجر",IF(AL46&gt;0,"🌴 إجازة سنوية "&amp;ROUND(AL46,2)&amp;" يوم",IF(H46&gt;0,"⚠ غياب "&amp;ROUND(H46,2)&amp;" يوم","✔ على رأس العمل")))))))</f>
        <v/>
      </c>
      <c r="G46" s="151" t="str">
        <f aca="false">IF($B46="","",IF(AK46&gt;=DAY($F$3),cfg_DAYS_M,MIN(AK46,cfg_DAYS_M)))</f>
        <v/>
      </c>
      <c r="H46" s="151" t="str">
        <f aca="false">IF($B46="","",SUMIFS('الحركات الشهرية'!$D$6:$D$1005,'الحركات الشهرية'!$B$6:$B$1005,$B46,'الحركات الشهرية'!$A$6:$A$1005,$C$3))</f>
        <v/>
      </c>
      <c r="I46" s="151" t="str">
        <f aca="false">IF($B46="","",MIN(G46,IF(AND(AK46&gt;0,AN46&gt;=AK46),G46,AN46)+SUMIFS('الحركات الشهرية'!$E$6:$E$1005,'الحركات الشهرية'!$B$6:$B$1005,$B46,'الحركات الشهرية'!$A$6:$A$1005,$C$3)))</f>
        <v/>
      </c>
      <c r="J46" s="151" t="str">
        <f aca="false">IF($B46="","",MAX(0,G46-H46-I46))</f>
        <v/>
      </c>
      <c r="K46" s="111" t="str">
        <f aca="false">IF($B46="","",الموظفون!$L46*$J46/cfg_DAYS_M)</f>
        <v/>
      </c>
      <c r="L46" s="111" t="str">
        <f aca="false">IF($B46="","",الموظفون!$M46*$J46/cfg_DAYS_M)</f>
        <v/>
      </c>
      <c r="M46" s="111" t="str">
        <f aca="false">IF($B46="","",الموظفون!$N46*$J46/cfg_DAYS_M)</f>
        <v/>
      </c>
      <c r="N46" s="111" t="str">
        <f aca="false">IF($B46="","",الموظفون!$O46*$J46/cfg_DAYS_M)</f>
        <v/>
      </c>
      <c r="O46" s="151" t="str">
        <f aca="false">IF($B46="","",SUMIFS('الحركات الشهرية'!$F$6:$F$1005,'الحركات الشهرية'!$B$6:$B$1005,$B46,'الحركات الشهرية'!$A$6:$A$1005,$C$3))</f>
        <v/>
      </c>
      <c r="P46" s="111" t="str">
        <f aca="false">IF($B46="","",O46*(الموظفون!$P46+الموظفون!$L46*cfg_OT_P)/cfg_DAYS_M/cfg_HRS)</f>
        <v/>
      </c>
      <c r="Q46" s="111" t="str">
        <f aca="false">IF($B46="","",SUMIFS('الحركات الشهرية'!$G$6:$G$1005,'الحركات الشهرية'!$B$6:$B$1005,$B46,'الحركات الشهرية'!$A$6:$A$1005,$C$3))</f>
        <v/>
      </c>
      <c r="R46" s="111" t="str">
        <f aca="false">IF($B46="","",SUMIFS('الحركات الشهرية'!$H$6:$H$1005,'الحركات الشهرية'!$B$6:$B$1005,$B46,'الحركات الشهرية'!$A$6:$A$1005,$C$3))</f>
        <v/>
      </c>
      <c r="S46" s="111" t="str">
        <f aca="false">IF($B46="","",SUMIFS('سجل الإجازات والحالات'!$N$6:$N$505,'سجل الإجازات والحالات'!$B$6:$B$505,$B46,'سجل الإجازات والحالات'!$O$6:$O$505,$C$3))</f>
        <v/>
      </c>
      <c r="T46" s="152" t="str">
        <f aca="false">IF($B46="","",SUM(K46:N46)+SUM(P46:S46))</f>
        <v/>
      </c>
      <c r="U46" s="111" t="str">
        <f aca="false">IF($B46="","",الموظفون!$S46*IF(E46="سعودي",cfg_G_SE,cfg_G_NE)*G46/cfg_DAYS_M)</f>
        <v/>
      </c>
      <c r="V46" s="111" t="str">
        <f aca="false">IF($B46="","",SUMIFS('الحركات الشهرية'!$I$6:$I$1005,'الحركات الشهرية'!$B$6:$B$1005,$B46,'الحركات الشهرية'!$A$6:$A$1005,$C$3))</f>
        <v/>
      </c>
      <c r="W46" s="111" t="str">
        <f aca="false">IF($B46="","",SUMIFS('الحركات الشهرية'!$J$6:$J$1005,'الحركات الشهرية'!$B$6:$B$1005,$B46,'الحركات الشهرية'!$A$6:$A$1005,$C$3))</f>
        <v/>
      </c>
      <c r="X46" s="111" t="str">
        <f aca="false">IF($B46="","",SUM(U46:W46))</f>
        <v/>
      </c>
      <c r="Y46" s="153" t="str">
        <f aca="false">IF($B46="","",T46-X46)</f>
        <v/>
      </c>
      <c r="Z46" s="111" t="str">
        <f aca="false">IF($B46="","",الموظفون!$S46*IF(E46="سعودي",cfg_G_SR,cfg_G_NR)*G46/cfg_DAYS_M)</f>
        <v/>
      </c>
      <c r="AA46" s="111" t="str">
        <f aca="false">IF($B46="","",الموظفون!$Q46*(cfg_EOS_R1*(MIN(AH46,cfg_EOS_TH)-MIN(AI46,cfg_EOS_TH))+cfg_EOS_R2*(MAX(AH46-cfg_EOS_TH,0)-MAX(AI46-cfg_EOS_TH,0))))</f>
        <v/>
      </c>
      <c r="AB46" s="111" t="str">
        <f aca="false">IF($B46="","",IF(الموظفون!$T46&lt;&gt;"",الموظفون!$T46,IF(AH46&gt;=cfg_LV_TH,cfg_LV_D2,cfg_LV_D1))/cfg_DAYS_Y*AJ46*الموظفون!$R46/cfg_DAYS_M)</f>
        <v/>
      </c>
      <c r="AC46" s="111" t="str">
        <f aca="false">IF($B46="","",IF(AND(الموظفون!$U46="نعم",N(الموظفون!$W46)&gt;0),الموظفون!$V46/الموظفون!$W46*12/cfg_DAYS_Y*AJ46,0))</f>
        <v/>
      </c>
      <c r="AD46" s="111" t="str">
        <f aca="false">IF($B46="","",(IF(الموظفون!$X46&lt;&gt;"",الموظفون!$X46,IF(الموظفون!$E46="غير سعودي",cfg_IQ,0))+IF(الموظفون!$Y46&lt;&gt;"",الموظفون!$Y46,IF(الموظفون!$E46="غير سعودي",cfg_WP,0)))/12*G46/cfg_DAYS_M)</f>
        <v/>
      </c>
      <c r="AE46" s="111" t="str">
        <f aca="false">IF($B46="","",IF(الموظفون!$Z46&lt;&gt;"",الموظفون!$Z46,cfg_MED)/12*G46/cfg_DAYS_M)</f>
        <v/>
      </c>
      <c r="AF46" s="111" t="str">
        <f aca="false">IF($B46="","",N(الموظفون!$AA46)/12*G46/cfg_DAYS_M)</f>
        <v/>
      </c>
      <c r="AG46" s="154" t="str">
        <f aca="false">IF($B46="","",T46+SUM(Z46:AF46))</f>
        <v/>
      </c>
      <c r="AH46" s="155" t="str">
        <f aca="false">IF($B46="","",MAX(0,IF(OR(الموظفون!$AE46="",الموظفون!$AE46&gt;$F$3),$F$3,الموظفون!$AE46)-الموظفون!$H46+1-SUMIFS('سجل الإجازات والحالات'!$AJ$6:$AJ$505,'سجل الإجازات والحالات'!$B$6:$B$505,$B46))/cfg_DAYS_Y)</f>
        <v/>
      </c>
      <c r="AI46" s="155" t="str">
        <f aca="false">IF($B46="","",MAX(0,IF(OR(الموظفون!$AE46="",الموظفون!$AE46&gt;($E$3-1)),($E$3-1),الموظفون!$AE46)-الموظفون!$H46+1-SUMIFS('سجل الإجازات والحالات'!$AI$6:$AI$505,'سجل الإجازات والحالات'!$B$6:$B$505,$B46))/cfg_DAYS_Y)</f>
        <v/>
      </c>
      <c r="AJ46" s="65" t="str">
        <f aca="false">IF($B46="","",MAX(0,AK46-(SUMIFS('سجل الإجازات والحالات'!$AJ$6:$AJ$505,'سجل الإجازات والحالات'!$B$6:$B$505,$B46)-SUMIFS('سجل الإجازات والحالات'!$AI$6:$AI$505,'سجل الإجازات والحالات'!$B$6:$B$505,$B46))))</f>
        <v/>
      </c>
      <c r="AK46" s="65" t="str">
        <f aca="false">IF($B46="","",MAX(0,IF(OR(الموظفون!$AE46="",الموظفون!$AE46&gt;$F$3),$F$3,الموظفون!$AE46)-MAX($E$3,الموظفون!$H46)+1))</f>
        <v/>
      </c>
      <c r="AL46" s="151" t="str">
        <f aca="false">IF($B46="","",SUMIFS('سجل الإجازات والحالات'!$AV$6:$AV$505,'سجل الإجازات والحالات'!$B$6:$B$505,$B46)+SUMIFS('الحركات الشهرية'!$K$6:$K$1005,'الحركات الشهرية'!$B$6:$B$1005,$B46,'الحركات الشهرية'!$A$6:$A$1005,$C$3))</f>
        <v/>
      </c>
      <c r="AM46" s="111" t="str">
        <f aca="false">IF($B46="","",AL46*الموظفون!$R46/cfg_DAYS_M+S46)</f>
        <v/>
      </c>
      <c r="AN46" s="151" t="str">
        <f aca="false">IF($B46="","",SUMIFS('سجل الإجازات والحالات'!$X$6:$X$505,'سجل الإجازات والحالات'!$B$6:$B$505,$B46))</f>
        <v/>
      </c>
    </row>
    <row r="47" customFormat="false" ht="15" hidden="false" customHeight="false" outlineLevel="0" collapsed="false">
      <c r="A47" s="115" t="str">
        <f aca="false">IF($B47="","",الموظفون!$A47)</f>
        <v/>
      </c>
      <c r="B47" s="117" t="str">
        <f aca="false">IF(الموظفون!$B47="","",الموظفون!$B47)</f>
        <v/>
      </c>
      <c r="C47" s="117" t="str">
        <f aca="false">IF($B47="","",الموظفون!$C47)</f>
        <v/>
      </c>
      <c r="D47" s="117" t="str">
        <f aca="false">IF($B47="","",الموظفون!$F47)</f>
        <v/>
      </c>
      <c r="E47" s="117" t="str">
        <f aca="false">IF($B47="","",الموظفون!$E47)</f>
        <v/>
      </c>
      <c r="F47" s="117" t="str">
        <f aca="false">IF($B47="","",IF(AK47=0,IF(AND(الموظفون!$AE47&lt;&gt;"",الموظفون!$AE47&lt;$E$3),"✖ منتهي الخدمة","⏳ لم يباشر"),IF(S47&gt;0,"✈ راتب إجازة مقدم",IF(J47=0,"⛔ بدون راتب هذا الشهر",IF(I47&gt;0,"✈ خصم "&amp;ROUND(I47,2)&amp;" يوم بدون أجر",IF(AL47&gt;0,"🌴 إجازة سنوية "&amp;ROUND(AL47,2)&amp;" يوم",IF(H47&gt;0,"⚠ غياب "&amp;ROUND(H47,2)&amp;" يوم","✔ على رأس العمل")))))))</f>
        <v/>
      </c>
      <c r="G47" s="156" t="str">
        <f aca="false">IF($B47="","",IF(AK47&gt;=DAY($F$3),cfg_DAYS_M,MIN(AK47,cfg_DAYS_M)))</f>
        <v/>
      </c>
      <c r="H47" s="156" t="str">
        <f aca="false">IF($B47="","",SUMIFS('الحركات الشهرية'!$D$6:$D$1005,'الحركات الشهرية'!$B$6:$B$1005,$B47,'الحركات الشهرية'!$A$6:$A$1005,$C$3))</f>
        <v/>
      </c>
      <c r="I47" s="156" t="str">
        <f aca="false">IF($B47="","",MIN(G47,IF(AND(AK47&gt;0,AN47&gt;=AK47),G47,AN47)+SUMIFS('الحركات الشهرية'!$E$6:$E$1005,'الحركات الشهرية'!$B$6:$B$1005,$B47,'الحركات الشهرية'!$A$6:$A$1005,$C$3)))</f>
        <v/>
      </c>
      <c r="J47" s="156" t="str">
        <f aca="false">IF($B47="","",MAX(0,G47-H47-I47))</f>
        <v/>
      </c>
      <c r="K47" s="116" t="str">
        <f aca="false">IF($B47="","",الموظفون!$L47*$J47/cfg_DAYS_M)</f>
        <v/>
      </c>
      <c r="L47" s="116" t="str">
        <f aca="false">IF($B47="","",الموظفون!$M47*$J47/cfg_DAYS_M)</f>
        <v/>
      </c>
      <c r="M47" s="116" t="str">
        <f aca="false">IF($B47="","",الموظفون!$N47*$J47/cfg_DAYS_M)</f>
        <v/>
      </c>
      <c r="N47" s="116" t="str">
        <f aca="false">IF($B47="","",الموظفون!$O47*$J47/cfg_DAYS_M)</f>
        <v/>
      </c>
      <c r="O47" s="156" t="str">
        <f aca="false">IF($B47="","",SUMIFS('الحركات الشهرية'!$F$6:$F$1005,'الحركات الشهرية'!$B$6:$B$1005,$B47,'الحركات الشهرية'!$A$6:$A$1005,$C$3))</f>
        <v/>
      </c>
      <c r="P47" s="116" t="str">
        <f aca="false">IF($B47="","",O47*(الموظفون!$P47+الموظفون!$L47*cfg_OT_P)/cfg_DAYS_M/cfg_HRS)</f>
        <v/>
      </c>
      <c r="Q47" s="116" t="str">
        <f aca="false">IF($B47="","",SUMIFS('الحركات الشهرية'!$G$6:$G$1005,'الحركات الشهرية'!$B$6:$B$1005,$B47,'الحركات الشهرية'!$A$6:$A$1005,$C$3))</f>
        <v/>
      </c>
      <c r="R47" s="116" t="str">
        <f aca="false">IF($B47="","",SUMIFS('الحركات الشهرية'!$H$6:$H$1005,'الحركات الشهرية'!$B$6:$B$1005,$B47,'الحركات الشهرية'!$A$6:$A$1005,$C$3))</f>
        <v/>
      </c>
      <c r="S47" s="116" t="str">
        <f aca="false">IF($B47="","",SUMIFS('سجل الإجازات والحالات'!$N$6:$N$505,'سجل الإجازات والحالات'!$B$6:$B$505,$B47,'سجل الإجازات والحالات'!$O$6:$O$505,$C$3))</f>
        <v/>
      </c>
      <c r="T47" s="157" t="str">
        <f aca="false">IF($B47="","",SUM(K47:N47)+SUM(P47:S47))</f>
        <v/>
      </c>
      <c r="U47" s="116" t="str">
        <f aca="false">IF($B47="","",الموظفون!$S47*IF(E47="سعودي",cfg_G_SE,cfg_G_NE)*G47/cfg_DAYS_M)</f>
        <v/>
      </c>
      <c r="V47" s="116" t="str">
        <f aca="false">IF($B47="","",SUMIFS('الحركات الشهرية'!$I$6:$I$1005,'الحركات الشهرية'!$B$6:$B$1005,$B47,'الحركات الشهرية'!$A$6:$A$1005,$C$3))</f>
        <v/>
      </c>
      <c r="W47" s="116" t="str">
        <f aca="false">IF($B47="","",SUMIFS('الحركات الشهرية'!$J$6:$J$1005,'الحركات الشهرية'!$B$6:$B$1005,$B47,'الحركات الشهرية'!$A$6:$A$1005,$C$3))</f>
        <v/>
      </c>
      <c r="X47" s="116" t="str">
        <f aca="false">IF($B47="","",SUM(U47:W47))</f>
        <v/>
      </c>
      <c r="Y47" s="158" t="str">
        <f aca="false">IF($B47="","",T47-X47)</f>
        <v/>
      </c>
      <c r="Z47" s="116" t="str">
        <f aca="false">IF($B47="","",الموظفون!$S47*IF(E47="سعودي",cfg_G_SR,cfg_G_NR)*G47/cfg_DAYS_M)</f>
        <v/>
      </c>
      <c r="AA47" s="116" t="str">
        <f aca="false">IF($B47="","",الموظفون!$Q47*(cfg_EOS_R1*(MIN(AH47,cfg_EOS_TH)-MIN(AI47,cfg_EOS_TH))+cfg_EOS_R2*(MAX(AH47-cfg_EOS_TH,0)-MAX(AI47-cfg_EOS_TH,0))))</f>
        <v/>
      </c>
      <c r="AB47" s="116" t="str">
        <f aca="false">IF($B47="","",IF(الموظفون!$T47&lt;&gt;"",الموظفون!$T47,IF(AH47&gt;=cfg_LV_TH,cfg_LV_D2,cfg_LV_D1))/cfg_DAYS_Y*AJ47*الموظفون!$R47/cfg_DAYS_M)</f>
        <v/>
      </c>
      <c r="AC47" s="116" t="str">
        <f aca="false">IF($B47="","",IF(AND(الموظفون!$U47="نعم",N(الموظفون!$W47)&gt;0),الموظفون!$V47/الموظفون!$W47*12/cfg_DAYS_Y*AJ47,0))</f>
        <v/>
      </c>
      <c r="AD47" s="116" t="str">
        <f aca="false">IF($B47="","",(IF(الموظفون!$X47&lt;&gt;"",الموظفون!$X47,IF(الموظفون!$E47="غير سعودي",cfg_IQ,0))+IF(الموظفون!$Y47&lt;&gt;"",الموظفون!$Y47,IF(الموظفون!$E47="غير سعودي",cfg_WP,0)))/12*G47/cfg_DAYS_M)</f>
        <v/>
      </c>
      <c r="AE47" s="116" t="str">
        <f aca="false">IF($B47="","",IF(الموظفون!$Z47&lt;&gt;"",الموظفون!$Z47,cfg_MED)/12*G47/cfg_DAYS_M)</f>
        <v/>
      </c>
      <c r="AF47" s="116" t="str">
        <f aca="false">IF($B47="","",N(الموظفون!$AA47)/12*G47/cfg_DAYS_M)</f>
        <v/>
      </c>
      <c r="AG47" s="159" t="str">
        <f aca="false">IF($B47="","",T47+SUM(Z47:AF47))</f>
        <v/>
      </c>
      <c r="AH47" s="160" t="str">
        <f aca="false">IF($B47="","",MAX(0,IF(OR(الموظفون!$AE47="",الموظفون!$AE47&gt;$F$3),$F$3,الموظفون!$AE47)-الموظفون!$H47+1-SUMIFS('سجل الإجازات والحالات'!$AJ$6:$AJ$505,'سجل الإجازات والحالات'!$B$6:$B$505,$B47))/cfg_DAYS_Y)</f>
        <v/>
      </c>
      <c r="AI47" s="160" t="str">
        <f aca="false">IF($B47="","",MAX(0,IF(OR(الموظفون!$AE47="",الموظفون!$AE47&gt;($E$3-1)),($E$3-1),الموظفون!$AE47)-الموظفون!$H47+1-SUMIFS('سجل الإجازات والحالات'!$AI$6:$AI$505,'سجل الإجازات والحالات'!$B$6:$B$505,$B47))/cfg_DAYS_Y)</f>
        <v/>
      </c>
      <c r="AJ47" s="133" t="str">
        <f aca="false">IF($B47="","",MAX(0,AK47-(SUMIFS('سجل الإجازات والحالات'!$AJ$6:$AJ$505,'سجل الإجازات والحالات'!$B$6:$B$505,$B47)-SUMIFS('سجل الإجازات والحالات'!$AI$6:$AI$505,'سجل الإجازات والحالات'!$B$6:$B$505,$B47))))</f>
        <v/>
      </c>
      <c r="AK47" s="133" t="str">
        <f aca="false">IF($B47="","",MAX(0,IF(OR(الموظفون!$AE47="",الموظفون!$AE47&gt;$F$3),$F$3,الموظفون!$AE47)-MAX($E$3,الموظفون!$H47)+1))</f>
        <v/>
      </c>
      <c r="AL47" s="156" t="str">
        <f aca="false">IF($B47="","",SUMIFS('سجل الإجازات والحالات'!$AV$6:$AV$505,'سجل الإجازات والحالات'!$B$6:$B$505,$B47)+SUMIFS('الحركات الشهرية'!$K$6:$K$1005,'الحركات الشهرية'!$B$6:$B$1005,$B47,'الحركات الشهرية'!$A$6:$A$1005,$C$3))</f>
        <v/>
      </c>
      <c r="AM47" s="116" t="str">
        <f aca="false">IF($B47="","",AL47*الموظفون!$R47/cfg_DAYS_M+S47)</f>
        <v/>
      </c>
      <c r="AN47" s="156" t="str">
        <f aca="false">IF($B47="","",SUMIFS('سجل الإجازات والحالات'!$X$6:$X$505,'سجل الإجازات والحالات'!$B$6:$B$505,$B47))</f>
        <v/>
      </c>
    </row>
    <row r="48" customFormat="false" ht="15" hidden="false" customHeight="false" outlineLevel="0" collapsed="false">
      <c r="A48" s="106" t="str">
        <f aca="false">IF($B48="","",الموظفون!$A48)</f>
        <v/>
      </c>
      <c r="B48" s="114" t="str">
        <f aca="false">IF(الموظفون!$B48="","",الموظفون!$B48)</f>
        <v/>
      </c>
      <c r="C48" s="114" t="str">
        <f aca="false">IF($B48="","",الموظفون!$C48)</f>
        <v/>
      </c>
      <c r="D48" s="114" t="str">
        <f aca="false">IF($B48="","",الموظفون!$F48)</f>
        <v/>
      </c>
      <c r="E48" s="114" t="str">
        <f aca="false">IF($B48="","",الموظفون!$E48)</f>
        <v/>
      </c>
      <c r="F48" s="114" t="str">
        <f aca="false">IF($B48="","",IF(AK48=0,IF(AND(الموظفون!$AE48&lt;&gt;"",الموظفون!$AE48&lt;$E$3),"✖ منتهي الخدمة","⏳ لم يباشر"),IF(S48&gt;0,"✈ راتب إجازة مقدم",IF(J48=0,"⛔ بدون راتب هذا الشهر",IF(I48&gt;0,"✈ خصم "&amp;ROUND(I48,2)&amp;" يوم بدون أجر",IF(AL48&gt;0,"🌴 إجازة سنوية "&amp;ROUND(AL48,2)&amp;" يوم",IF(H48&gt;0,"⚠ غياب "&amp;ROUND(H48,2)&amp;" يوم","✔ على رأس العمل")))))))</f>
        <v/>
      </c>
      <c r="G48" s="151" t="str">
        <f aca="false">IF($B48="","",IF(AK48&gt;=DAY($F$3),cfg_DAYS_M,MIN(AK48,cfg_DAYS_M)))</f>
        <v/>
      </c>
      <c r="H48" s="151" t="str">
        <f aca="false">IF($B48="","",SUMIFS('الحركات الشهرية'!$D$6:$D$1005,'الحركات الشهرية'!$B$6:$B$1005,$B48,'الحركات الشهرية'!$A$6:$A$1005,$C$3))</f>
        <v/>
      </c>
      <c r="I48" s="151" t="str">
        <f aca="false">IF($B48="","",MIN(G48,IF(AND(AK48&gt;0,AN48&gt;=AK48),G48,AN48)+SUMIFS('الحركات الشهرية'!$E$6:$E$1005,'الحركات الشهرية'!$B$6:$B$1005,$B48,'الحركات الشهرية'!$A$6:$A$1005,$C$3)))</f>
        <v/>
      </c>
      <c r="J48" s="151" t="str">
        <f aca="false">IF($B48="","",MAX(0,G48-H48-I48))</f>
        <v/>
      </c>
      <c r="K48" s="111" t="str">
        <f aca="false">IF($B48="","",الموظفون!$L48*$J48/cfg_DAYS_M)</f>
        <v/>
      </c>
      <c r="L48" s="111" t="str">
        <f aca="false">IF($B48="","",الموظفون!$M48*$J48/cfg_DAYS_M)</f>
        <v/>
      </c>
      <c r="M48" s="111" t="str">
        <f aca="false">IF($B48="","",الموظفون!$N48*$J48/cfg_DAYS_M)</f>
        <v/>
      </c>
      <c r="N48" s="111" t="str">
        <f aca="false">IF($B48="","",الموظفون!$O48*$J48/cfg_DAYS_M)</f>
        <v/>
      </c>
      <c r="O48" s="151" t="str">
        <f aca="false">IF($B48="","",SUMIFS('الحركات الشهرية'!$F$6:$F$1005,'الحركات الشهرية'!$B$6:$B$1005,$B48,'الحركات الشهرية'!$A$6:$A$1005,$C$3))</f>
        <v/>
      </c>
      <c r="P48" s="111" t="str">
        <f aca="false">IF($B48="","",O48*(الموظفون!$P48+الموظفون!$L48*cfg_OT_P)/cfg_DAYS_M/cfg_HRS)</f>
        <v/>
      </c>
      <c r="Q48" s="111" t="str">
        <f aca="false">IF($B48="","",SUMIFS('الحركات الشهرية'!$G$6:$G$1005,'الحركات الشهرية'!$B$6:$B$1005,$B48,'الحركات الشهرية'!$A$6:$A$1005,$C$3))</f>
        <v/>
      </c>
      <c r="R48" s="111" t="str">
        <f aca="false">IF($B48="","",SUMIFS('الحركات الشهرية'!$H$6:$H$1005,'الحركات الشهرية'!$B$6:$B$1005,$B48,'الحركات الشهرية'!$A$6:$A$1005,$C$3))</f>
        <v/>
      </c>
      <c r="S48" s="111" t="str">
        <f aca="false">IF($B48="","",SUMIFS('سجل الإجازات والحالات'!$N$6:$N$505,'سجل الإجازات والحالات'!$B$6:$B$505,$B48,'سجل الإجازات والحالات'!$O$6:$O$505,$C$3))</f>
        <v/>
      </c>
      <c r="T48" s="152" t="str">
        <f aca="false">IF($B48="","",SUM(K48:N48)+SUM(P48:S48))</f>
        <v/>
      </c>
      <c r="U48" s="111" t="str">
        <f aca="false">IF($B48="","",الموظفون!$S48*IF(E48="سعودي",cfg_G_SE,cfg_G_NE)*G48/cfg_DAYS_M)</f>
        <v/>
      </c>
      <c r="V48" s="111" t="str">
        <f aca="false">IF($B48="","",SUMIFS('الحركات الشهرية'!$I$6:$I$1005,'الحركات الشهرية'!$B$6:$B$1005,$B48,'الحركات الشهرية'!$A$6:$A$1005,$C$3))</f>
        <v/>
      </c>
      <c r="W48" s="111" t="str">
        <f aca="false">IF($B48="","",SUMIFS('الحركات الشهرية'!$J$6:$J$1005,'الحركات الشهرية'!$B$6:$B$1005,$B48,'الحركات الشهرية'!$A$6:$A$1005,$C$3))</f>
        <v/>
      </c>
      <c r="X48" s="111" t="str">
        <f aca="false">IF($B48="","",SUM(U48:W48))</f>
        <v/>
      </c>
      <c r="Y48" s="153" t="str">
        <f aca="false">IF($B48="","",T48-X48)</f>
        <v/>
      </c>
      <c r="Z48" s="111" t="str">
        <f aca="false">IF($B48="","",الموظفون!$S48*IF(E48="سعودي",cfg_G_SR,cfg_G_NR)*G48/cfg_DAYS_M)</f>
        <v/>
      </c>
      <c r="AA48" s="111" t="str">
        <f aca="false">IF($B48="","",الموظفون!$Q48*(cfg_EOS_R1*(MIN(AH48,cfg_EOS_TH)-MIN(AI48,cfg_EOS_TH))+cfg_EOS_R2*(MAX(AH48-cfg_EOS_TH,0)-MAX(AI48-cfg_EOS_TH,0))))</f>
        <v/>
      </c>
      <c r="AB48" s="111" t="str">
        <f aca="false">IF($B48="","",IF(الموظفون!$T48&lt;&gt;"",الموظفون!$T48,IF(AH48&gt;=cfg_LV_TH,cfg_LV_D2,cfg_LV_D1))/cfg_DAYS_Y*AJ48*الموظفون!$R48/cfg_DAYS_M)</f>
        <v/>
      </c>
      <c r="AC48" s="111" t="str">
        <f aca="false">IF($B48="","",IF(AND(الموظفون!$U48="نعم",N(الموظفون!$W48)&gt;0),الموظفون!$V48/الموظفون!$W48*12/cfg_DAYS_Y*AJ48,0))</f>
        <v/>
      </c>
      <c r="AD48" s="111" t="str">
        <f aca="false">IF($B48="","",(IF(الموظفون!$X48&lt;&gt;"",الموظفون!$X48,IF(الموظفون!$E48="غير سعودي",cfg_IQ,0))+IF(الموظفون!$Y48&lt;&gt;"",الموظفون!$Y48,IF(الموظفون!$E48="غير سعودي",cfg_WP,0)))/12*G48/cfg_DAYS_M)</f>
        <v/>
      </c>
      <c r="AE48" s="111" t="str">
        <f aca="false">IF($B48="","",IF(الموظفون!$Z48&lt;&gt;"",الموظفون!$Z48,cfg_MED)/12*G48/cfg_DAYS_M)</f>
        <v/>
      </c>
      <c r="AF48" s="111" t="str">
        <f aca="false">IF($B48="","",N(الموظفون!$AA48)/12*G48/cfg_DAYS_M)</f>
        <v/>
      </c>
      <c r="AG48" s="154" t="str">
        <f aca="false">IF($B48="","",T48+SUM(Z48:AF48))</f>
        <v/>
      </c>
      <c r="AH48" s="155" t="str">
        <f aca="false">IF($B48="","",MAX(0,IF(OR(الموظفون!$AE48="",الموظفون!$AE48&gt;$F$3),$F$3,الموظفون!$AE48)-الموظفون!$H48+1-SUMIFS('سجل الإجازات والحالات'!$AJ$6:$AJ$505,'سجل الإجازات والحالات'!$B$6:$B$505,$B48))/cfg_DAYS_Y)</f>
        <v/>
      </c>
      <c r="AI48" s="155" t="str">
        <f aca="false">IF($B48="","",MAX(0,IF(OR(الموظفون!$AE48="",الموظفون!$AE48&gt;($E$3-1)),($E$3-1),الموظفون!$AE48)-الموظفون!$H48+1-SUMIFS('سجل الإجازات والحالات'!$AI$6:$AI$505,'سجل الإجازات والحالات'!$B$6:$B$505,$B48))/cfg_DAYS_Y)</f>
        <v/>
      </c>
      <c r="AJ48" s="65" t="str">
        <f aca="false">IF($B48="","",MAX(0,AK48-(SUMIFS('سجل الإجازات والحالات'!$AJ$6:$AJ$505,'سجل الإجازات والحالات'!$B$6:$B$505,$B48)-SUMIFS('سجل الإجازات والحالات'!$AI$6:$AI$505,'سجل الإجازات والحالات'!$B$6:$B$505,$B48))))</f>
        <v/>
      </c>
      <c r="AK48" s="65" t="str">
        <f aca="false">IF($B48="","",MAX(0,IF(OR(الموظفون!$AE48="",الموظفون!$AE48&gt;$F$3),$F$3,الموظفون!$AE48)-MAX($E$3,الموظفون!$H48)+1))</f>
        <v/>
      </c>
      <c r="AL48" s="151" t="str">
        <f aca="false">IF($B48="","",SUMIFS('سجل الإجازات والحالات'!$AV$6:$AV$505,'سجل الإجازات والحالات'!$B$6:$B$505,$B48)+SUMIFS('الحركات الشهرية'!$K$6:$K$1005,'الحركات الشهرية'!$B$6:$B$1005,$B48,'الحركات الشهرية'!$A$6:$A$1005,$C$3))</f>
        <v/>
      </c>
      <c r="AM48" s="111" t="str">
        <f aca="false">IF($B48="","",AL48*الموظفون!$R48/cfg_DAYS_M+S48)</f>
        <v/>
      </c>
      <c r="AN48" s="151" t="str">
        <f aca="false">IF($B48="","",SUMIFS('سجل الإجازات والحالات'!$X$6:$X$505,'سجل الإجازات والحالات'!$B$6:$B$505,$B48))</f>
        <v/>
      </c>
    </row>
    <row r="49" customFormat="false" ht="15" hidden="false" customHeight="false" outlineLevel="0" collapsed="false">
      <c r="A49" s="115" t="str">
        <f aca="false">IF($B49="","",الموظفون!$A49)</f>
        <v/>
      </c>
      <c r="B49" s="117" t="str">
        <f aca="false">IF(الموظفون!$B49="","",الموظفون!$B49)</f>
        <v/>
      </c>
      <c r="C49" s="117" t="str">
        <f aca="false">IF($B49="","",الموظفون!$C49)</f>
        <v/>
      </c>
      <c r="D49" s="117" t="str">
        <f aca="false">IF($B49="","",الموظفون!$F49)</f>
        <v/>
      </c>
      <c r="E49" s="117" t="str">
        <f aca="false">IF($B49="","",الموظفون!$E49)</f>
        <v/>
      </c>
      <c r="F49" s="117" t="str">
        <f aca="false">IF($B49="","",IF(AK49=0,IF(AND(الموظفون!$AE49&lt;&gt;"",الموظفون!$AE49&lt;$E$3),"✖ منتهي الخدمة","⏳ لم يباشر"),IF(S49&gt;0,"✈ راتب إجازة مقدم",IF(J49=0,"⛔ بدون راتب هذا الشهر",IF(I49&gt;0,"✈ خصم "&amp;ROUND(I49,2)&amp;" يوم بدون أجر",IF(AL49&gt;0,"🌴 إجازة سنوية "&amp;ROUND(AL49,2)&amp;" يوم",IF(H49&gt;0,"⚠ غياب "&amp;ROUND(H49,2)&amp;" يوم","✔ على رأس العمل")))))))</f>
        <v/>
      </c>
      <c r="G49" s="156" t="str">
        <f aca="false">IF($B49="","",IF(AK49&gt;=DAY($F$3),cfg_DAYS_M,MIN(AK49,cfg_DAYS_M)))</f>
        <v/>
      </c>
      <c r="H49" s="156" t="str">
        <f aca="false">IF($B49="","",SUMIFS('الحركات الشهرية'!$D$6:$D$1005,'الحركات الشهرية'!$B$6:$B$1005,$B49,'الحركات الشهرية'!$A$6:$A$1005,$C$3))</f>
        <v/>
      </c>
      <c r="I49" s="156" t="str">
        <f aca="false">IF($B49="","",MIN(G49,IF(AND(AK49&gt;0,AN49&gt;=AK49),G49,AN49)+SUMIFS('الحركات الشهرية'!$E$6:$E$1005,'الحركات الشهرية'!$B$6:$B$1005,$B49,'الحركات الشهرية'!$A$6:$A$1005,$C$3)))</f>
        <v/>
      </c>
      <c r="J49" s="156" t="str">
        <f aca="false">IF($B49="","",MAX(0,G49-H49-I49))</f>
        <v/>
      </c>
      <c r="K49" s="116" t="str">
        <f aca="false">IF($B49="","",الموظفون!$L49*$J49/cfg_DAYS_M)</f>
        <v/>
      </c>
      <c r="L49" s="116" t="str">
        <f aca="false">IF($B49="","",الموظفون!$M49*$J49/cfg_DAYS_M)</f>
        <v/>
      </c>
      <c r="M49" s="116" t="str">
        <f aca="false">IF($B49="","",الموظفون!$N49*$J49/cfg_DAYS_M)</f>
        <v/>
      </c>
      <c r="N49" s="116" t="str">
        <f aca="false">IF($B49="","",الموظفون!$O49*$J49/cfg_DAYS_M)</f>
        <v/>
      </c>
      <c r="O49" s="156" t="str">
        <f aca="false">IF($B49="","",SUMIFS('الحركات الشهرية'!$F$6:$F$1005,'الحركات الشهرية'!$B$6:$B$1005,$B49,'الحركات الشهرية'!$A$6:$A$1005,$C$3))</f>
        <v/>
      </c>
      <c r="P49" s="116" t="str">
        <f aca="false">IF($B49="","",O49*(الموظفون!$P49+الموظفون!$L49*cfg_OT_P)/cfg_DAYS_M/cfg_HRS)</f>
        <v/>
      </c>
      <c r="Q49" s="116" t="str">
        <f aca="false">IF($B49="","",SUMIFS('الحركات الشهرية'!$G$6:$G$1005,'الحركات الشهرية'!$B$6:$B$1005,$B49,'الحركات الشهرية'!$A$6:$A$1005,$C$3))</f>
        <v/>
      </c>
      <c r="R49" s="116" t="str">
        <f aca="false">IF($B49="","",SUMIFS('الحركات الشهرية'!$H$6:$H$1005,'الحركات الشهرية'!$B$6:$B$1005,$B49,'الحركات الشهرية'!$A$6:$A$1005,$C$3))</f>
        <v/>
      </c>
      <c r="S49" s="116" t="str">
        <f aca="false">IF($B49="","",SUMIFS('سجل الإجازات والحالات'!$N$6:$N$505,'سجل الإجازات والحالات'!$B$6:$B$505,$B49,'سجل الإجازات والحالات'!$O$6:$O$505,$C$3))</f>
        <v/>
      </c>
      <c r="T49" s="157" t="str">
        <f aca="false">IF($B49="","",SUM(K49:N49)+SUM(P49:S49))</f>
        <v/>
      </c>
      <c r="U49" s="116" t="str">
        <f aca="false">IF($B49="","",الموظفون!$S49*IF(E49="سعودي",cfg_G_SE,cfg_G_NE)*G49/cfg_DAYS_M)</f>
        <v/>
      </c>
      <c r="V49" s="116" t="str">
        <f aca="false">IF($B49="","",SUMIFS('الحركات الشهرية'!$I$6:$I$1005,'الحركات الشهرية'!$B$6:$B$1005,$B49,'الحركات الشهرية'!$A$6:$A$1005,$C$3))</f>
        <v/>
      </c>
      <c r="W49" s="116" t="str">
        <f aca="false">IF($B49="","",SUMIFS('الحركات الشهرية'!$J$6:$J$1005,'الحركات الشهرية'!$B$6:$B$1005,$B49,'الحركات الشهرية'!$A$6:$A$1005,$C$3))</f>
        <v/>
      </c>
      <c r="X49" s="116" t="str">
        <f aca="false">IF($B49="","",SUM(U49:W49))</f>
        <v/>
      </c>
      <c r="Y49" s="158" t="str">
        <f aca="false">IF($B49="","",T49-X49)</f>
        <v/>
      </c>
      <c r="Z49" s="116" t="str">
        <f aca="false">IF($B49="","",الموظفون!$S49*IF(E49="سعودي",cfg_G_SR,cfg_G_NR)*G49/cfg_DAYS_M)</f>
        <v/>
      </c>
      <c r="AA49" s="116" t="str">
        <f aca="false">IF($B49="","",الموظفون!$Q49*(cfg_EOS_R1*(MIN(AH49,cfg_EOS_TH)-MIN(AI49,cfg_EOS_TH))+cfg_EOS_R2*(MAX(AH49-cfg_EOS_TH,0)-MAX(AI49-cfg_EOS_TH,0))))</f>
        <v/>
      </c>
      <c r="AB49" s="116" t="str">
        <f aca="false">IF($B49="","",IF(الموظفون!$T49&lt;&gt;"",الموظفون!$T49,IF(AH49&gt;=cfg_LV_TH,cfg_LV_D2,cfg_LV_D1))/cfg_DAYS_Y*AJ49*الموظفون!$R49/cfg_DAYS_M)</f>
        <v/>
      </c>
      <c r="AC49" s="116" t="str">
        <f aca="false">IF($B49="","",IF(AND(الموظفون!$U49="نعم",N(الموظفون!$W49)&gt;0),الموظفون!$V49/الموظفون!$W49*12/cfg_DAYS_Y*AJ49,0))</f>
        <v/>
      </c>
      <c r="AD49" s="116" t="str">
        <f aca="false">IF($B49="","",(IF(الموظفون!$X49&lt;&gt;"",الموظفون!$X49,IF(الموظفون!$E49="غير سعودي",cfg_IQ,0))+IF(الموظفون!$Y49&lt;&gt;"",الموظفون!$Y49,IF(الموظفون!$E49="غير سعودي",cfg_WP,0)))/12*G49/cfg_DAYS_M)</f>
        <v/>
      </c>
      <c r="AE49" s="116" t="str">
        <f aca="false">IF($B49="","",IF(الموظفون!$Z49&lt;&gt;"",الموظفون!$Z49,cfg_MED)/12*G49/cfg_DAYS_M)</f>
        <v/>
      </c>
      <c r="AF49" s="116" t="str">
        <f aca="false">IF($B49="","",N(الموظفون!$AA49)/12*G49/cfg_DAYS_M)</f>
        <v/>
      </c>
      <c r="AG49" s="159" t="str">
        <f aca="false">IF($B49="","",T49+SUM(Z49:AF49))</f>
        <v/>
      </c>
      <c r="AH49" s="160" t="str">
        <f aca="false">IF($B49="","",MAX(0,IF(OR(الموظفون!$AE49="",الموظفون!$AE49&gt;$F$3),$F$3,الموظفون!$AE49)-الموظفون!$H49+1-SUMIFS('سجل الإجازات والحالات'!$AJ$6:$AJ$505,'سجل الإجازات والحالات'!$B$6:$B$505,$B49))/cfg_DAYS_Y)</f>
        <v/>
      </c>
      <c r="AI49" s="160" t="str">
        <f aca="false">IF($B49="","",MAX(0,IF(OR(الموظفون!$AE49="",الموظفون!$AE49&gt;($E$3-1)),($E$3-1),الموظفون!$AE49)-الموظفون!$H49+1-SUMIFS('سجل الإجازات والحالات'!$AI$6:$AI$505,'سجل الإجازات والحالات'!$B$6:$B$505,$B49))/cfg_DAYS_Y)</f>
        <v/>
      </c>
      <c r="AJ49" s="133" t="str">
        <f aca="false">IF($B49="","",MAX(0,AK49-(SUMIFS('سجل الإجازات والحالات'!$AJ$6:$AJ$505,'سجل الإجازات والحالات'!$B$6:$B$505,$B49)-SUMIFS('سجل الإجازات والحالات'!$AI$6:$AI$505,'سجل الإجازات والحالات'!$B$6:$B$505,$B49))))</f>
        <v/>
      </c>
      <c r="AK49" s="133" t="str">
        <f aca="false">IF($B49="","",MAX(0,IF(OR(الموظفون!$AE49="",الموظفون!$AE49&gt;$F$3),$F$3,الموظفون!$AE49)-MAX($E$3,الموظفون!$H49)+1))</f>
        <v/>
      </c>
      <c r="AL49" s="156" t="str">
        <f aca="false">IF($B49="","",SUMIFS('سجل الإجازات والحالات'!$AV$6:$AV$505,'سجل الإجازات والحالات'!$B$6:$B$505,$B49)+SUMIFS('الحركات الشهرية'!$K$6:$K$1005,'الحركات الشهرية'!$B$6:$B$1005,$B49,'الحركات الشهرية'!$A$6:$A$1005,$C$3))</f>
        <v/>
      </c>
      <c r="AM49" s="116" t="str">
        <f aca="false">IF($B49="","",AL49*الموظفون!$R49/cfg_DAYS_M+S49)</f>
        <v/>
      </c>
      <c r="AN49" s="156" t="str">
        <f aca="false">IF($B49="","",SUMIFS('سجل الإجازات والحالات'!$X$6:$X$505,'سجل الإجازات والحالات'!$B$6:$B$505,$B49))</f>
        <v/>
      </c>
    </row>
    <row r="50" customFormat="false" ht="15" hidden="false" customHeight="false" outlineLevel="0" collapsed="false">
      <c r="A50" s="106" t="str">
        <f aca="false">IF($B50="","",الموظفون!$A50)</f>
        <v/>
      </c>
      <c r="B50" s="114" t="str">
        <f aca="false">IF(الموظفون!$B50="","",الموظفون!$B50)</f>
        <v/>
      </c>
      <c r="C50" s="114" t="str">
        <f aca="false">IF($B50="","",الموظفون!$C50)</f>
        <v/>
      </c>
      <c r="D50" s="114" t="str">
        <f aca="false">IF($B50="","",الموظفون!$F50)</f>
        <v/>
      </c>
      <c r="E50" s="114" t="str">
        <f aca="false">IF($B50="","",الموظفون!$E50)</f>
        <v/>
      </c>
      <c r="F50" s="114" t="str">
        <f aca="false">IF($B50="","",IF(AK50=0,IF(AND(الموظفون!$AE50&lt;&gt;"",الموظفون!$AE50&lt;$E$3),"✖ منتهي الخدمة","⏳ لم يباشر"),IF(S50&gt;0,"✈ راتب إجازة مقدم",IF(J50=0,"⛔ بدون راتب هذا الشهر",IF(I50&gt;0,"✈ خصم "&amp;ROUND(I50,2)&amp;" يوم بدون أجر",IF(AL50&gt;0,"🌴 إجازة سنوية "&amp;ROUND(AL50,2)&amp;" يوم",IF(H50&gt;0,"⚠ غياب "&amp;ROUND(H50,2)&amp;" يوم","✔ على رأس العمل")))))))</f>
        <v/>
      </c>
      <c r="G50" s="151" t="str">
        <f aca="false">IF($B50="","",IF(AK50&gt;=DAY($F$3),cfg_DAYS_M,MIN(AK50,cfg_DAYS_M)))</f>
        <v/>
      </c>
      <c r="H50" s="151" t="str">
        <f aca="false">IF($B50="","",SUMIFS('الحركات الشهرية'!$D$6:$D$1005,'الحركات الشهرية'!$B$6:$B$1005,$B50,'الحركات الشهرية'!$A$6:$A$1005,$C$3))</f>
        <v/>
      </c>
      <c r="I50" s="151" t="str">
        <f aca="false">IF($B50="","",MIN(G50,IF(AND(AK50&gt;0,AN50&gt;=AK50),G50,AN50)+SUMIFS('الحركات الشهرية'!$E$6:$E$1005,'الحركات الشهرية'!$B$6:$B$1005,$B50,'الحركات الشهرية'!$A$6:$A$1005,$C$3)))</f>
        <v/>
      </c>
      <c r="J50" s="151" t="str">
        <f aca="false">IF($B50="","",MAX(0,G50-H50-I50))</f>
        <v/>
      </c>
      <c r="K50" s="111" t="str">
        <f aca="false">IF($B50="","",الموظفون!$L50*$J50/cfg_DAYS_M)</f>
        <v/>
      </c>
      <c r="L50" s="111" t="str">
        <f aca="false">IF($B50="","",الموظفون!$M50*$J50/cfg_DAYS_M)</f>
        <v/>
      </c>
      <c r="M50" s="111" t="str">
        <f aca="false">IF($B50="","",الموظفون!$N50*$J50/cfg_DAYS_M)</f>
        <v/>
      </c>
      <c r="N50" s="111" t="str">
        <f aca="false">IF($B50="","",الموظفون!$O50*$J50/cfg_DAYS_M)</f>
        <v/>
      </c>
      <c r="O50" s="151" t="str">
        <f aca="false">IF($B50="","",SUMIFS('الحركات الشهرية'!$F$6:$F$1005,'الحركات الشهرية'!$B$6:$B$1005,$B50,'الحركات الشهرية'!$A$6:$A$1005,$C$3))</f>
        <v/>
      </c>
      <c r="P50" s="111" t="str">
        <f aca="false">IF($B50="","",O50*(الموظفون!$P50+الموظفون!$L50*cfg_OT_P)/cfg_DAYS_M/cfg_HRS)</f>
        <v/>
      </c>
      <c r="Q50" s="111" t="str">
        <f aca="false">IF($B50="","",SUMIFS('الحركات الشهرية'!$G$6:$G$1005,'الحركات الشهرية'!$B$6:$B$1005,$B50,'الحركات الشهرية'!$A$6:$A$1005,$C$3))</f>
        <v/>
      </c>
      <c r="R50" s="111" t="str">
        <f aca="false">IF($B50="","",SUMIFS('الحركات الشهرية'!$H$6:$H$1005,'الحركات الشهرية'!$B$6:$B$1005,$B50,'الحركات الشهرية'!$A$6:$A$1005,$C$3))</f>
        <v/>
      </c>
      <c r="S50" s="111" t="str">
        <f aca="false">IF($B50="","",SUMIFS('سجل الإجازات والحالات'!$N$6:$N$505,'سجل الإجازات والحالات'!$B$6:$B$505,$B50,'سجل الإجازات والحالات'!$O$6:$O$505,$C$3))</f>
        <v/>
      </c>
      <c r="T50" s="152" t="str">
        <f aca="false">IF($B50="","",SUM(K50:N50)+SUM(P50:S50))</f>
        <v/>
      </c>
      <c r="U50" s="111" t="str">
        <f aca="false">IF($B50="","",الموظفون!$S50*IF(E50="سعودي",cfg_G_SE,cfg_G_NE)*G50/cfg_DAYS_M)</f>
        <v/>
      </c>
      <c r="V50" s="111" t="str">
        <f aca="false">IF($B50="","",SUMIFS('الحركات الشهرية'!$I$6:$I$1005,'الحركات الشهرية'!$B$6:$B$1005,$B50,'الحركات الشهرية'!$A$6:$A$1005,$C$3))</f>
        <v/>
      </c>
      <c r="W50" s="111" t="str">
        <f aca="false">IF($B50="","",SUMIFS('الحركات الشهرية'!$J$6:$J$1005,'الحركات الشهرية'!$B$6:$B$1005,$B50,'الحركات الشهرية'!$A$6:$A$1005,$C$3))</f>
        <v/>
      </c>
      <c r="X50" s="111" t="str">
        <f aca="false">IF($B50="","",SUM(U50:W50))</f>
        <v/>
      </c>
      <c r="Y50" s="153" t="str">
        <f aca="false">IF($B50="","",T50-X50)</f>
        <v/>
      </c>
      <c r="Z50" s="111" t="str">
        <f aca="false">IF($B50="","",الموظفون!$S50*IF(E50="سعودي",cfg_G_SR,cfg_G_NR)*G50/cfg_DAYS_M)</f>
        <v/>
      </c>
      <c r="AA50" s="111" t="str">
        <f aca="false">IF($B50="","",الموظفون!$Q50*(cfg_EOS_R1*(MIN(AH50,cfg_EOS_TH)-MIN(AI50,cfg_EOS_TH))+cfg_EOS_R2*(MAX(AH50-cfg_EOS_TH,0)-MAX(AI50-cfg_EOS_TH,0))))</f>
        <v/>
      </c>
      <c r="AB50" s="111" t="str">
        <f aca="false">IF($B50="","",IF(الموظفون!$T50&lt;&gt;"",الموظفون!$T50,IF(AH50&gt;=cfg_LV_TH,cfg_LV_D2,cfg_LV_D1))/cfg_DAYS_Y*AJ50*الموظفون!$R50/cfg_DAYS_M)</f>
        <v/>
      </c>
      <c r="AC50" s="111" t="str">
        <f aca="false">IF($B50="","",IF(AND(الموظفون!$U50="نعم",N(الموظفون!$W50)&gt;0),الموظفون!$V50/الموظفون!$W50*12/cfg_DAYS_Y*AJ50,0))</f>
        <v/>
      </c>
      <c r="AD50" s="111" t="str">
        <f aca="false">IF($B50="","",(IF(الموظفون!$X50&lt;&gt;"",الموظفون!$X50,IF(الموظفون!$E50="غير سعودي",cfg_IQ,0))+IF(الموظفون!$Y50&lt;&gt;"",الموظفون!$Y50,IF(الموظفون!$E50="غير سعودي",cfg_WP,0)))/12*G50/cfg_DAYS_M)</f>
        <v/>
      </c>
      <c r="AE50" s="111" t="str">
        <f aca="false">IF($B50="","",IF(الموظفون!$Z50&lt;&gt;"",الموظفون!$Z50,cfg_MED)/12*G50/cfg_DAYS_M)</f>
        <v/>
      </c>
      <c r="AF50" s="111" t="str">
        <f aca="false">IF($B50="","",N(الموظفون!$AA50)/12*G50/cfg_DAYS_M)</f>
        <v/>
      </c>
      <c r="AG50" s="154" t="str">
        <f aca="false">IF($B50="","",T50+SUM(Z50:AF50))</f>
        <v/>
      </c>
      <c r="AH50" s="155" t="str">
        <f aca="false">IF($B50="","",MAX(0,IF(OR(الموظفون!$AE50="",الموظفون!$AE50&gt;$F$3),$F$3,الموظفون!$AE50)-الموظفون!$H50+1-SUMIFS('سجل الإجازات والحالات'!$AJ$6:$AJ$505,'سجل الإجازات والحالات'!$B$6:$B$505,$B50))/cfg_DAYS_Y)</f>
        <v/>
      </c>
      <c r="AI50" s="155" t="str">
        <f aca="false">IF($B50="","",MAX(0,IF(OR(الموظفون!$AE50="",الموظفون!$AE50&gt;($E$3-1)),($E$3-1),الموظفون!$AE50)-الموظفون!$H50+1-SUMIFS('سجل الإجازات والحالات'!$AI$6:$AI$505,'سجل الإجازات والحالات'!$B$6:$B$505,$B50))/cfg_DAYS_Y)</f>
        <v/>
      </c>
      <c r="AJ50" s="65" t="str">
        <f aca="false">IF($B50="","",MAX(0,AK50-(SUMIFS('سجل الإجازات والحالات'!$AJ$6:$AJ$505,'سجل الإجازات والحالات'!$B$6:$B$505,$B50)-SUMIFS('سجل الإجازات والحالات'!$AI$6:$AI$505,'سجل الإجازات والحالات'!$B$6:$B$505,$B50))))</f>
        <v/>
      </c>
      <c r="AK50" s="65" t="str">
        <f aca="false">IF($B50="","",MAX(0,IF(OR(الموظفون!$AE50="",الموظفون!$AE50&gt;$F$3),$F$3,الموظفون!$AE50)-MAX($E$3,الموظفون!$H50)+1))</f>
        <v/>
      </c>
      <c r="AL50" s="151" t="str">
        <f aca="false">IF($B50="","",SUMIFS('سجل الإجازات والحالات'!$AV$6:$AV$505,'سجل الإجازات والحالات'!$B$6:$B$505,$B50)+SUMIFS('الحركات الشهرية'!$K$6:$K$1005,'الحركات الشهرية'!$B$6:$B$1005,$B50,'الحركات الشهرية'!$A$6:$A$1005,$C$3))</f>
        <v/>
      </c>
      <c r="AM50" s="111" t="str">
        <f aca="false">IF($B50="","",AL50*الموظفون!$R50/cfg_DAYS_M+S50)</f>
        <v/>
      </c>
      <c r="AN50" s="151" t="str">
        <f aca="false">IF($B50="","",SUMIFS('سجل الإجازات والحالات'!$X$6:$X$505,'سجل الإجازات والحالات'!$B$6:$B$505,$B50))</f>
        <v/>
      </c>
    </row>
    <row r="51" customFormat="false" ht="15" hidden="false" customHeight="false" outlineLevel="0" collapsed="false">
      <c r="A51" s="115" t="str">
        <f aca="false">IF($B51="","",الموظفون!$A51)</f>
        <v/>
      </c>
      <c r="B51" s="117" t="str">
        <f aca="false">IF(الموظفون!$B51="","",الموظفون!$B51)</f>
        <v/>
      </c>
      <c r="C51" s="117" t="str">
        <f aca="false">IF($B51="","",الموظفون!$C51)</f>
        <v/>
      </c>
      <c r="D51" s="117" t="str">
        <f aca="false">IF($B51="","",الموظفون!$F51)</f>
        <v/>
      </c>
      <c r="E51" s="117" t="str">
        <f aca="false">IF($B51="","",الموظفون!$E51)</f>
        <v/>
      </c>
      <c r="F51" s="117" t="str">
        <f aca="false">IF($B51="","",IF(AK51=0,IF(AND(الموظفون!$AE51&lt;&gt;"",الموظفون!$AE51&lt;$E$3),"✖ منتهي الخدمة","⏳ لم يباشر"),IF(S51&gt;0,"✈ راتب إجازة مقدم",IF(J51=0,"⛔ بدون راتب هذا الشهر",IF(I51&gt;0,"✈ خصم "&amp;ROUND(I51,2)&amp;" يوم بدون أجر",IF(AL51&gt;0,"🌴 إجازة سنوية "&amp;ROUND(AL51,2)&amp;" يوم",IF(H51&gt;0,"⚠ غياب "&amp;ROUND(H51,2)&amp;" يوم","✔ على رأس العمل")))))))</f>
        <v/>
      </c>
      <c r="G51" s="156" t="str">
        <f aca="false">IF($B51="","",IF(AK51&gt;=DAY($F$3),cfg_DAYS_M,MIN(AK51,cfg_DAYS_M)))</f>
        <v/>
      </c>
      <c r="H51" s="156" t="str">
        <f aca="false">IF($B51="","",SUMIFS('الحركات الشهرية'!$D$6:$D$1005,'الحركات الشهرية'!$B$6:$B$1005,$B51,'الحركات الشهرية'!$A$6:$A$1005,$C$3))</f>
        <v/>
      </c>
      <c r="I51" s="156" t="str">
        <f aca="false">IF($B51="","",MIN(G51,IF(AND(AK51&gt;0,AN51&gt;=AK51),G51,AN51)+SUMIFS('الحركات الشهرية'!$E$6:$E$1005,'الحركات الشهرية'!$B$6:$B$1005,$B51,'الحركات الشهرية'!$A$6:$A$1005,$C$3)))</f>
        <v/>
      </c>
      <c r="J51" s="156" t="str">
        <f aca="false">IF($B51="","",MAX(0,G51-H51-I51))</f>
        <v/>
      </c>
      <c r="K51" s="116" t="str">
        <f aca="false">IF($B51="","",الموظفون!$L51*$J51/cfg_DAYS_M)</f>
        <v/>
      </c>
      <c r="L51" s="116" t="str">
        <f aca="false">IF($B51="","",الموظفون!$M51*$J51/cfg_DAYS_M)</f>
        <v/>
      </c>
      <c r="M51" s="116" t="str">
        <f aca="false">IF($B51="","",الموظفون!$N51*$J51/cfg_DAYS_M)</f>
        <v/>
      </c>
      <c r="N51" s="116" t="str">
        <f aca="false">IF($B51="","",الموظفون!$O51*$J51/cfg_DAYS_M)</f>
        <v/>
      </c>
      <c r="O51" s="156" t="str">
        <f aca="false">IF($B51="","",SUMIFS('الحركات الشهرية'!$F$6:$F$1005,'الحركات الشهرية'!$B$6:$B$1005,$B51,'الحركات الشهرية'!$A$6:$A$1005,$C$3))</f>
        <v/>
      </c>
      <c r="P51" s="116" t="str">
        <f aca="false">IF($B51="","",O51*(الموظفون!$P51+الموظفون!$L51*cfg_OT_P)/cfg_DAYS_M/cfg_HRS)</f>
        <v/>
      </c>
      <c r="Q51" s="116" t="str">
        <f aca="false">IF($B51="","",SUMIFS('الحركات الشهرية'!$G$6:$G$1005,'الحركات الشهرية'!$B$6:$B$1005,$B51,'الحركات الشهرية'!$A$6:$A$1005,$C$3))</f>
        <v/>
      </c>
      <c r="R51" s="116" t="str">
        <f aca="false">IF($B51="","",SUMIFS('الحركات الشهرية'!$H$6:$H$1005,'الحركات الشهرية'!$B$6:$B$1005,$B51,'الحركات الشهرية'!$A$6:$A$1005,$C$3))</f>
        <v/>
      </c>
      <c r="S51" s="116" t="str">
        <f aca="false">IF($B51="","",SUMIFS('سجل الإجازات والحالات'!$N$6:$N$505,'سجل الإجازات والحالات'!$B$6:$B$505,$B51,'سجل الإجازات والحالات'!$O$6:$O$505,$C$3))</f>
        <v/>
      </c>
      <c r="T51" s="157" t="str">
        <f aca="false">IF($B51="","",SUM(K51:N51)+SUM(P51:S51))</f>
        <v/>
      </c>
      <c r="U51" s="116" t="str">
        <f aca="false">IF($B51="","",الموظفون!$S51*IF(E51="سعودي",cfg_G_SE,cfg_G_NE)*G51/cfg_DAYS_M)</f>
        <v/>
      </c>
      <c r="V51" s="116" t="str">
        <f aca="false">IF($B51="","",SUMIFS('الحركات الشهرية'!$I$6:$I$1005,'الحركات الشهرية'!$B$6:$B$1005,$B51,'الحركات الشهرية'!$A$6:$A$1005,$C$3))</f>
        <v/>
      </c>
      <c r="W51" s="116" t="str">
        <f aca="false">IF($B51="","",SUMIFS('الحركات الشهرية'!$J$6:$J$1005,'الحركات الشهرية'!$B$6:$B$1005,$B51,'الحركات الشهرية'!$A$6:$A$1005,$C$3))</f>
        <v/>
      </c>
      <c r="X51" s="116" t="str">
        <f aca="false">IF($B51="","",SUM(U51:W51))</f>
        <v/>
      </c>
      <c r="Y51" s="158" t="str">
        <f aca="false">IF($B51="","",T51-X51)</f>
        <v/>
      </c>
      <c r="Z51" s="116" t="str">
        <f aca="false">IF($B51="","",الموظفون!$S51*IF(E51="سعودي",cfg_G_SR,cfg_G_NR)*G51/cfg_DAYS_M)</f>
        <v/>
      </c>
      <c r="AA51" s="116" t="str">
        <f aca="false">IF($B51="","",الموظفون!$Q51*(cfg_EOS_R1*(MIN(AH51,cfg_EOS_TH)-MIN(AI51,cfg_EOS_TH))+cfg_EOS_R2*(MAX(AH51-cfg_EOS_TH,0)-MAX(AI51-cfg_EOS_TH,0))))</f>
        <v/>
      </c>
      <c r="AB51" s="116" t="str">
        <f aca="false">IF($B51="","",IF(الموظفون!$T51&lt;&gt;"",الموظفون!$T51,IF(AH51&gt;=cfg_LV_TH,cfg_LV_D2,cfg_LV_D1))/cfg_DAYS_Y*AJ51*الموظفون!$R51/cfg_DAYS_M)</f>
        <v/>
      </c>
      <c r="AC51" s="116" t="str">
        <f aca="false">IF($B51="","",IF(AND(الموظفون!$U51="نعم",N(الموظفون!$W51)&gt;0),الموظفون!$V51/الموظفون!$W51*12/cfg_DAYS_Y*AJ51,0))</f>
        <v/>
      </c>
      <c r="AD51" s="116" t="str">
        <f aca="false">IF($B51="","",(IF(الموظفون!$X51&lt;&gt;"",الموظفون!$X51,IF(الموظفون!$E51="غير سعودي",cfg_IQ,0))+IF(الموظفون!$Y51&lt;&gt;"",الموظفون!$Y51,IF(الموظفون!$E51="غير سعودي",cfg_WP,0)))/12*G51/cfg_DAYS_M)</f>
        <v/>
      </c>
      <c r="AE51" s="116" t="str">
        <f aca="false">IF($B51="","",IF(الموظفون!$Z51&lt;&gt;"",الموظفون!$Z51,cfg_MED)/12*G51/cfg_DAYS_M)</f>
        <v/>
      </c>
      <c r="AF51" s="116" t="str">
        <f aca="false">IF($B51="","",N(الموظفون!$AA51)/12*G51/cfg_DAYS_M)</f>
        <v/>
      </c>
      <c r="AG51" s="159" t="str">
        <f aca="false">IF($B51="","",T51+SUM(Z51:AF51))</f>
        <v/>
      </c>
      <c r="AH51" s="160" t="str">
        <f aca="false">IF($B51="","",MAX(0,IF(OR(الموظفون!$AE51="",الموظفون!$AE51&gt;$F$3),$F$3,الموظفون!$AE51)-الموظفون!$H51+1-SUMIFS('سجل الإجازات والحالات'!$AJ$6:$AJ$505,'سجل الإجازات والحالات'!$B$6:$B$505,$B51))/cfg_DAYS_Y)</f>
        <v/>
      </c>
      <c r="AI51" s="160" t="str">
        <f aca="false">IF($B51="","",MAX(0,IF(OR(الموظفون!$AE51="",الموظفون!$AE51&gt;($E$3-1)),($E$3-1),الموظفون!$AE51)-الموظفون!$H51+1-SUMIFS('سجل الإجازات والحالات'!$AI$6:$AI$505,'سجل الإجازات والحالات'!$B$6:$B$505,$B51))/cfg_DAYS_Y)</f>
        <v/>
      </c>
      <c r="AJ51" s="133" t="str">
        <f aca="false">IF($B51="","",MAX(0,AK51-(SUMIFS('سجل الإجازات والحالات'!$AJ$6:$AJ$505,'سجل الإجازات والحالات'!$B$6:$B$505,$B51)-SUMIFS('سجل الإجازات والحالات'!$AI$6:$AI$505,'سجل الإجازات والحالات'!$B$6:$B$505,$B51))))</f>
        <v/>
      </c>
      <c r="AK51" s="133" t="str">
        <f aca="false">IF($B51="","",MAX(0,IF(OR(الموظفون!$AE51="",الموظفون!$AE51&gt;$F$3),$F$3,الموظفون!$AE51)-MAX($E$3,الموظفون!$H51)+1))</f>
        <v/>
      </c>
      <c r="AL51" s="156" t="str">
        <f aca="false">IF($B51="","",SUMIFS('سجل الإجازات والحالات'!$AV$6:$AV$505,'سجل الإجازات والحالات'!$B$6:$B$505,$B51)+SUMIFS('الحركات الشهرية'!$K$6:$K$1005,'الحركات الشهرية'!$B$6:$B$1005,$B51,'الحركات الشهرية'!$A$6:$A$1005,$C$3))</f>
        <v/>
      </c>
      <c r="AM51" s="116" t="str">
        <f aca="false">IF($B51="","",AL51*الموظفون!$R51/cfg_DAYS_M+S51)</f>
        <v/>
      </c>
      <c r="AN51" s="156" t="str">
        <f aca="false">IF($B51="","",SUMIFS('سجل الإجازات والحالات'!$X$6:$X$505,'سجل الإجازات والحالات'!$B$6:$B$505,$B51))</f>
        <v/>
      </c>
    </row>
    <row r="52" customFormat="false" ht="15" hidden="false" customHeight="false" outlineLevel="0" collapsed="false">
      <c r="A52" s="106" t="str">
        <f aca="false">IF($B52="","",الموظفون!$A52)</f>
        <v/>
      </c>
      <c r="B52" s="114" t="str">
        <f aca="false">IF(الموظفون!$B52="","",الموظفون!$B52)</f>
        <v/>
      </c>
      <c r="C52" s="114" t="str">
        <f aca="false">IF($B52="","",الموظفون!$C52)</f>
        <v/>
      </c>
      <c r="D52" s="114" t="str">
        <f aca="false">IF($B52="","",الموظفون!$F52)</f>
        <v/>
      </c>
      <c r="E52" s="114" t="str">
        <f aca="false">IF($B52="","",الموظفون!$E52)</f>
        <v/>
      </c>
      <c r="F52" s="114" t="str">
        <f aca="false">IF($B52="","",IF(AK52=0,IF(AND(الموظفون!$AE52&lt;&gt;"",الموظفون!$AE52&lt;$E$3),"✖ منتهي الخدمة","⏳ لم يباشر"),IF(S52&gt;0,"✈ راتب إجازة مقدم",IF(J52=0,"⛔ بدون راتب هذا الشهر",IF(I52&gt;0,"✈ خصم "&amp;ROUND(I52,2)&amp;" يوم بدون أجر",IF(AL52&gt;0,"🌴 إجازة سنوية "&amp;ROUND(AL52,2)&amp;" يوم",IF(H52&gt;0,"⚠ غياب "&amp;ROUND(H52,2)&amp;" يوم","✔ على رأس العمل")))))))</f>
        <v/>
      </c>
      <c r="G52" s="151" t="str">
        <f aca="false">IF($B52="","",IF(AK52&gt;=DAY($F$3),cfg_DAYS_M,MIN(AK52,cfg_DAYS_M)))</f>
        <v/>
      </c>
      <c r="H52" s="151" t="str">
        <f aca="false">IF($B52="","",SUMIFS('الحركات الشهرية'!$D$6:$D$1005,'الحركات الشهرية'!$B$6:$B$1005,$B52,'الحركات الشهرية'!$A$6:$A$1005,$C$3))</f>
        <v/>
      </c>
      <c r="I52" s="151" t="str">
        <f aca="false">IF($B52="","",MIN(G52,IF(AND(AK52&gt;0,AN52&gt;=AK52),G52,AN52)+SUMIFS('الحركات الشهرية'!$E$6:$E$1005,'الحركات الشهرية'!$B$6:$B$1005,$B52,'الحركات الشهرية'!$A$6:$A$1005,$C$3)))</f>
        <v/>
      </c>
      <c r="J52" s="151" t="str">
        <f aca="false">IF($B52="","",MAX(0,G52-H52-I52))</f>
        <v/>
      </c>
      <c r="K52" s="111" t="str">
        <f aca="false">IF($B52="","",الموظفون!$L52*$J52/cfg_DAYS_M)</f>
        <v/>
      </c>
      <c r="L52" s="111" t="str">
        <f aca="false">IF($B52="","",الموظفون!$M52*$J52/cfg_DAYS_M)</f>
        <v/>
      </c>
      <c r="M52" s="111" t="str">
        <f aca="false">IF($B52="","",الموظفون!$N52*$J52/cfg_DAYS_M)</f>
        <v/>
      </c>
      <c r="N52" s="111" t="str">
        <f aca="false">IF($B52="","",الموظفون!$O52*$J52/cfg_DAYS_M)</f>
        <v/>
      </c>
      <c r="O52" s="151" t="str">
        <f aca="false">IF($B52="","",SUMIFS('الحركات الشهرية'!$F$6:$F$1005,'الحركات الشهرية'!$B$6:$B$1005,$B52,'الحركات الشهرية'!$A$6:$A$1005,$C$3))</f>
        <v/>
      </c>
      <c r="P52" s="111" t="str">
        <f aca="false">IF($B52="","",O52*(الموظفون!$P52+الموظفون!$L52*cfg_OT_P)/cfg_DAYS_M/cfg_HRS)</f>
        <v/>
      </c>
      <c r="Q52" s="111" t="str">
        <f aca="false">IF($B52="","",SUMIFS('الحركات الشهرية'!$G$6:$G$1005,'الحركات الشهرية'!$B$6:$B$1005,$B52,'الحركات الشهرية'!$A$6:$A$1005,$C$3))</f>
        <v/>
      </c>
      <c r="R52" s="111" t="str">
        <f aca="false">IF($B52="","",SUMIFS('الحركات الشهرية'!$H$6:$H$1005,'الحركات الشهرية'!$B$6:$B$1005,$B52,'الحركات الشهرية'!$A$6:$A$1005,$C$3))</f>
        <v/>
      </c>
      <c r="S52" s="111" t="str">
        <f aca="false">IF($B52="","",SUMIFS('سجل الإجازات والحالات'!$N$6:$N$505,'سجل الإجازات والحالات'!$B$6:$B$505,$B52,'سجل الإجازات والحالات'!$O$6:$O$505,$C$3))</f>
        <v/>
      </c>
      <c r="T52" s="152" t="str">
        <f aca="false">IF($B52="","",SUM(K52:N52)+SUM(P52:S52))</f>
        <v/>
      </c>
      <c r="U52" s="111" t="str">
        <f aca="false">IF($B52="","",الموظفون!$S52*IF(E52="سعودي",cfg_G_SE,cfg_G_NE)*G52/cfg_DAYS_M)</f>
        <v/>
      </c>
      <c r="V52" s="111" t="str">
        <f aca="false">IF($B52="","",SUMIFS('الحركات الشهرية'!$I$6:$I$1005,'الحركات الشهرية'!$B$6:$B$1005,$B52,'الحركات الشهرية'!$A$6:$A$1005,$C$3))</f>
        <v/>
      </c>
      <c r="W52" s="111" t="str">
        <f aca="false">IF($B52="","",SUMIFS('الحركات الشهرية'!$J$6:$J$1005,'الحركات الشهرية'!$B$6:$B$1005,$B52,'الحركات الشهرية'!$A$6:$A$1005,$C$3))</f>
        <v/>
      </c>
      <c r="X52" s="111" t="str">
        <f aca="false">IF($B52="","",SUM(U52:W52))</f>
        <v/>
      </c>
      <c r="Y52" s="153" t="str">
        <f aca="false">IF($B52="","",T52-X52)</f>
        <v/>
      </c>
      <c r="Z52" s="111" t="str">
        <f aca="false">IF($B52="","",الموظفون!$S52*IF(E52="سعودي",cfg_G_SR,cfg_G_NR)*G52/cfg_DAYS_M)</f>
        <v/>
      </c>
      <c r="AA52" s="111" t="str">
        <f aca="false">IF($B52="","",الموظفون!$Q52*(cfg_EOS_R1*(MIN(AH52,cfg_EOS_TH)-MIN(AI52,cfg_EOS_TH))+cfg_EOS_R2*(MAX(AH52-cfg_EOS_TH,0)-MAX(AI52-cfg_EOS_TH,0))))</f>
        <v/>
      </c>
      <c r="AB52" s="111" t="str">
        <f aca="false">IF($B52="","",IF(الموظفون!$T52&lt;&gt;"",الموظفون!$T52,IF(AH52&gt;=cfg_LV_TH,cfg_LV_D2,cfg_LV_D1))/cfg_DAYS_Y*AJ52*الموظفون!$R52/cfg_DAYS_M)</f>
        <v/>
      </c>
      <c r="AC52" s="111" t="str">
        <f aca="false">IF($B52="","",IF(AND(الموظفون!$U52="نعم",N(الموظفون!$W52)&gt;0),الموظفون!$V52/الموظفون!$W52*12/cfg_DAYS_Y*AJ52,0))</f>
        <v/>
      </c>
      <c r="AD52" s="111" t="str">
        <f aca="false">IF($B52="","",(IF(الموظفون!$X52&lt;&gt;"",الموظفون!$X52,IF(الموظفون!$E52="غير سعودي",cfg_IQ,0))+IF(الموظفون!$Y52&lt;&gt;"",الموظفون!$Y52,IF(الموظفون!$E52="غير سعودي",cfg_WP,0)))/12*G52/cfg_DAYS_M)</f>
        <v/>
      </c>
      <c r="AE52" s="111" t="str">
        <f aca="false">IF($B52="","",IF(الموظفون!$Z52&lt;&gt;"",الموظفون!$Z52,cfg_MED)/12*G52/cfg_DAYS_M)</f>
        <v/>
      </c>
      <c r="AF52" s="111" t="str">
        <f aca="false">IF($B52="","",N(الموظفون!$AA52)/12*G52/cfg_DAYS_M)</f>
        <v/>
      </c>
      <c r="AG52" s="154" t="str">
        <f aca="false">IF($B52="","",T52+SUM(Z52:AF52))</f>
        <v/>
      </c>
      <c r="AH52" s="155" t="str">
        <f aca="false">IF($B52="","",MAX(0,IF(OR(الموظفون!$AE52="",الموظفون!$AE52&gt;$F$3),$F$3,الموظفون!$AE52)-الموظفون!$H52+1-SUMIFS('سجل الإجازات والحالات'!$AJ$6:$AJ$505,'سجل الإجازات والحالات'!$B$6:$B$505,$B52))/cfg_DAYS_Y)</f>
        <v/>
      </c>
      <c r="AI52" s="155" t="str">
        <f aca="false">IF($B52="","",MAX(0,IF(OR(الموظفون!$AE52="",الموظفون!$AE52&gt;($E$3-1)),($E$3-1),الموظفون!$AE52)-الموظفون!$H52+1-SUMIFS('سجل الإجازات والحالات'!$AI$6:$AI$505,'سجل الإجازات والحالات'!$B$6:$B$505,$B52))/cfg_DAYS_Y)</f>
        <v/>
      </c>
      <c r="AJ52" s="65" t="str">
        <f aca="false">IF($B52="","",MAX(0,AK52-(SUMIFS('سجل الإجازات والحالات'!$AJ$6:$AJ$505,'سجل الإجازات والحالات'!$B$6:$B$505,$B52)-SUMIFS('سجل الإجازات والحالات'!$AI$6:$AI$505,'سجل الإجازات والحالات'!$B$6:$B$505,$B52))))</f>
        <v/>
      </c>
      <c r="AK52" s="65" t="str">
        <f aca="false">IF($B52="","",MAX(0,IF(OR(الموظفون!$AE52="",الموظفون!$AE52&gt;$F$3),$F$3,الموظفون!$AE52)-MAX($E$3,الموظفون!$H52)+1))</f>
        <v/>
      </c>
      <c r="AL52" s="151" t="str">
        <f aca="false">IF($B52="","",SUMIFS('سجل الإجازات والحالات'!$AV$6:$AV$505,'سجل الإجازات والحالات'!$B$6:$B$505,$B52)+SUMIFS('الحركات الشهرية'!$K$6:$K$1005,'الحركات الشهرية'!$B$6:$B$1005,$B52,'الحركات الشهرية'!$A$6:$A$1005,$C$3))</f>
        <v/>
      </c>
      <c r="AM52" s="111" t="str">
        <f aca="false">IF($B52="","",AL52*الموظفون!$R52/cfg_DAYS_M+S52)</f>
        <v/>
      </c>
      <c r="AN52" s="151" t="str">
        <f aca="false">IF($B52="","",SUMIFS('سجل الإجازات والحالات'!$X$6:$X$505,'سجل الإجازات والحالات'!$B$6:$B$505,$B52))</f>
        <v/>
      </c>
    </row>
    <row r="53" customFormat="false" ht="15" hidden="false" customHeight="false" outlineLevel="0" collapsed="false">
      <c r="A53" s="115" t="str">
        <f aca="false">IF($B53="","",الموظفون!$A53)</f>
        <v/>
      </c>
      <c r="B53" s="117" t="str">
        <f aca="false">IF(الموظفون!$B53="","",الموظفون!$B53)</f>
        <v/>
      </c>
      <c r="C53" s="117" t="str">
        <f aca="false">IF($B53="","",الموظفون!$C53)</f>
        <v/>
      </c>
      <c r="D53" s="117" t="str">
        <f aca="false">IF($B53="","",الموظفون!$F53)</f>
        <v/>
      </c>
      <c r="E53" s="117" t="str">
        <f aca="false">IF($B53="","",الموظفون!$E53)</f>
        <v/>
      </c>
      <c r="F53" s="117" t="str">
        <f aca="false">IF($B53="","",IF(AK53=0,IF(AND(الموظفون!$AE53&lt;&gt;"",الموظفون!$AE53&lt;$E$3),"✖ منتهي الخدمة","⏳ لم يباشر"),IF(S53&gt;0,"✈ راتب إجازة مقدم",IF(J53=0,"⛔ بدون راتب هذا الشهر",IF(I53&gt;0,"✈ خصم "&amp;ROUND(I53,2)&amp;" يوم بدون أجر",IF(AL53&gt;0,"🌴 إجازة سنوية "&amp;ROUND(AL53,2)&amp;" يوم",IF(H53&gt;0,"⚠ غياب "&amp;ROUND(H53,2)&amp;" يوم","✔ على رأس العمل")))))))</f>
        <v/>
      </c>
      <c r="G53" s="156" t="str">
        <f aca="false">IF($B53="","",IF(AK53&gt;=DAY($F$3),cfg_DAYS_M,MIN(AK53,cfg_DAYS_M)))</f>
        <v/>
      </c>
      <c r="H53" s="156" t="str">
        <f aca="false">IF($B53="","",SUMIFS('الحركات الشهرية'!$D$6:$D$1005,'الحركات الشهرية'!$B$6:$B$1005,$B53,'الحركات الشهرية'!$A$6:$A$1005,$C$3))</f>
        <v/>
      </c>
      <c r="I53" s="156" t="str">
        <f aca="false">IF($B53="","",MIN(G53,IF(AND(AK53&gt;0,AN53&gt;=AK53),G53,AN53)+SUMIFS('الحركات الشهرية'!$E$6:$E$1005,'الحركات الشهرية'!$B$6:$B$1005,$B53,'الحركات الشهرية'!$A$6:$A$1005,$C$3)))</f>
        <v/>
      </c>
      <c r="J53" s="156" t="str">
        <f aca="false">IF($B53="","",MAX(0,G53-H53-I53))</f>
        <v/>
      </c>
      <c r="K53" s="116" t="str">
        <f aca="false">IF($B53="","",الموظفون!$L53*$J53/cfg_DAYS_M)</f>
        <v/>
      </c>
      <c r="L53" s="116" t="str">
        <f aca="false">IF($B53="","",الموظفون!$M53*$J53/cfg_DAYS_M)</f>
        <v/>
      </c>
      <c r="M53" s="116" t="str">
        <f aca="false">IF($B53="","",الموظفون!$N53*$J53/cfg_DAYS_M)</f>
        <v/>
      </c>
      <c r="N53" s="116" t="str">
        <f aca="false">IF($B53="","",الموظفون!$O53*$J53/cfg_DAYS_M)</f>
        <v/>
      </c>
      <c r="O53" s="156" t="str">
        <f aca="false">IF($B53="","",SUMIFS('الحركات الشهرية'!$F$6:$F$1005,'الحركات الشهرية'!$B$6:$B$1005,$B53,'الحركات الشهرية'!$A$6:$A$1005,$C$3))</f>
        <v/>
      </c>
      <c r="P53" s="116" t="str">
        <f aca="false">IF($B53="","",O53*(الموظفون!$P53+الموظفون!$L53*cfg_OT_P)/cfg_DAYS_M/cfg_HRS)</f>
        <v/>
      </c>
      <c r="Q53" s="116" t="str">
        <f aca="false">IF($B53="","",SUMIFS('الحركات الشهرية'!$G$6:$G$1005,'الحركات الشهرية'!$B$6:$B$1005,$B53,'الحركات الشهرية'!$A$6:$A$1005,$C$3))</f>
        <v/>
      </c>
      <c r="R53" s="116" t="str">
        <f aca="false">IF($B53="","",SUMIFS('الحركات الشهرية'!$H$6:$H$1005,'الحركات الشهرية'!$B$6:$B$1005,$B53,'الحركات الشهرية'!$A$6:$A$1005,$C$3))</f>
        <v/>
      </c>
      <c r="S53" s="116" t="str">
        <f aca="false">IF($B53="","",SUMIFS('سجل الإجازات والحالات'!$N$6:$N$505,'سجل الإجازات والحالات'!$B$6:$B$505,$B53,'سجل الإجازات والحالات'!$O$6:$O$505,$C$3))</f>
        <v/>
      </c>
      <c r="T53" s="157" t="str">
        <f aca="false">IF($B53="","",SUM(K53:N53)+SUM(P53:S53))</f>
        <v/>
      </c>
      <c r="U53" s="116" t="str">
        <f aca="false">IF($B53="","",الموظفون!$S53*IF(E53="سعودي",cfg_G_SE,cfg_G_NE)*G53/cfg_DAYS_M)</f>
        <v/>
      </c>
      <c r="V53" s="116" t="str">
        <f aca="false">IF($B53="","",SUMIFS('الحركات الشهرية'!$I$6:$I$1005,'الحركات الشهرية'!$B$6:$B$1005,$B53,'الحركات الشهرية'!$A$6:$A$1005,$C$3))</f>
        <v/>
      </c>
      <c r="W53" s="116" t="str">
        <f aca="false">IF($B53="","",SUMIFS('الحركات الشهرية'!$J$6:$J$1005,'الحركات الشهرية'!$B$6:$B$1005,$B53,'الحركات الشهرية'!$A$6:$A$1005,$C$3))</f>
        <v/>
      </c>
      <c r="X53" s="116" t="str">
        <f aca="false">IF($B53="","",SUM(U53:W53))</f>
        <v/>
      </c>
      <c r="Y53" s="158" t="str">
        <f aca="false">IF($B53="","",T53-X53)</f>
        <v/>
      </c>
      <c r="Z53" s="116" t="str">
        <f aca="false">IF($B53="","",الموظفون!$S53*IF(E53="سعودي",cfg_G_SR,cfg_G_NR)*G53/cfg_DAYS_M)</f>
        <v/>
      </c>
      <c r="AA53" s="116" t="str">
        <f aca="false">IF($B53="","",الموظفون!$Q53*(cfg_EOS_R1*(MIN(AH53,cfg_EOS_TH)-MIN(AI53,cfg_EOS_TH))+cfg_EOS_R2*(MAX(AH53-cfg_EOS_TH,0)-MAX(AI53-cfg_EOS_TH,0))))</f>
        <v/>
      </c>
      <c r="AB53" s="116" t="str">
        <f aca="false">IF($B53="","",IF(الموظفون!$T53&lt;&gt;"",الموظفون!$T53,IF(AH53&gt;=cfg_LV_TH,cfg_LV_D2,cfg_LV_D1))/cfg_DAYS_Y*AJ53*الموظفون!$R53/cfg_DAYS_M)</f>
        <v/>
      </c>
      <c r="AC53" s="116" t="str">
        <f aca="false">IF($B53="","",IF(AND(الموظفون!$U53="نعم",N(الموظفون!$W53)&gt;0),الموظفون!$V53/الموظفون!$W53*12/cfg_DAYS_Y*AJ53,0))</f>
        <v/>
      </c>
      <c r="AD53" s="116" t="str">
        <f aca="false">IF($B53="","",(IF(الموظفون!$X53&lt;&gt;"",الموظفون!$X53,IF(الموظفون!$E53="غير سعودي",cfg_IQ,0))+IF(الموظفون!$Y53&lt;&gt;"",الموظفون!$Y53,IF(الموظفون!$E53="غير سعودي",cfg_WP,0)))/12*G53/cfg_DAYS_M)</f>
        <v/>
      </c>
      <c r="AE53" s="116" t="str">
        <f aca="false">IF($B53="","",IF(الموظفون!$Z53&lt;&gt;"",الموظفون!$Z53,cfg_MED)/12*G53/cfg_DAYS_M)</f>
        <v/>
      </c>
      <c r="AF53" s="116" t="str">
        <f aca="false">IF($B53="","",N(الموظفون!$AA53)/12*G53/cfg_DAYS_M)</f>
        <v/>
      </c>
      <c r="AG53" s="159" t="str">
        <f aca="false">IF($B53="","",T53+SUM(Z53:AF53))</f>
        <v/>
      </c>
      <c r="AH53" s="160" t="str">
        <f aca="false">IF($B53="","",MAX(0,IF(OR(الموظفون!$AE53="",الموظفون!$AE53&gt;$F$3),$F$3,الموظفون!$AE53)-الموظفون!$H53+1-SUMIFS('سجل الإجازات والحالات'!$AJ$6:$AJ$505,'سجل الإجازات والحالات'!$B$6:$B$505,$B53))/cfg_DAYS_Y)</f>
        <v/>
      </c>
      <c r="AI53" s="160" t="str">
        <f aca="false">IF($B53="","",MAX(0,IF(OR(الموظفون!$AE53="",الموظفون!$AE53&gt;($E$3-1)),($E$3-1),الموظفون!$AE53)-الموظفون!$H53+1-SUMIFS('سجل الإجازات والحالات'!$AI$6:$AI$505,'سجل الإجازات والحالات'!$B$6:$B$505,$B53))/cfg_DAYS_Y)</f>
        <v/>
      </c>
      <c r="AJ53" s="133" t="str">
        <f aca="false">IF($B53="","",MAX(0,AK53-(SUMIFS('سجل الإجازات والحالات'!$AJ$6:$AJ$505,'سجل الإجازات والحالات'!$B$6:$B$505,$B53)-SUMIFS('سجل الإجازات والحالات'!$AI$6:$AI$505,'سجل الإجازات والحالات'!$B$6:$B$505,$B53))))</f>
        <v/>
      </c>
      <c r="AK53" s="133" t="str">
        <f aca="false">IF($B53="","",MAX(0,IF(OR(الموظفون!$AE53="",الموظفون!$AE53&gt;$F$3),$F$3,الموظفون!$AE53)-MAX($E$3,الموظفون!$H53)+1))</f>
        <v/>
      </c>
      <c r="AL53" s="156" t="str">
        <f aca="false">IF($B53="","",SUMIFS('سجل الإجازات والحالات'!$AV$6:$AV$505,'سجل الإجازات والحالات'!$B$6:$B$505,$B53)+SUMIFS('الحركات الشهرية'!$K$6:$K$1005,'الحركات الشهرية'!$B$6:$B$1005,$B53,'الحركات الشهرية'!$A$6:$A$1005,$C$3))</f>
        <v/>
      </c>
      <c r="AM53" s="116" t="str">
        <f aca="false">IF($B53="","",AL53*الموظفون!$R53/cfg_DAYS_M+S53)</f>
        <v/>
      </c>
      <c r="AN53" s="156" t="str">
        <f aca="false">IF($B53="","",SUMIFS('سجل الإجازات والحالات'!$X$6:$X$505,'سجل الإجازات والحالات'!$B$6:$B$505,$B53))</f>
        <v/>
      </c>
    </row>
    <row r="54" customFormat="false" ht="15" hidden="false" customHeight="false" outlineLevel="0" collapsed="false">
      <c r="A54" s="106" t="str">
        <f aca="false">IF($B54="","",الموظفون!$A54)</f>
        <v/>
      </c>
      <c r="B54" s="114" t="str">
        <f aca="false">IF(الموظفون!$B54="","",الموظفون!$B54)</f>
        <v/>
      </c>
      <c r="C54" s="114" t="str">
        <f aca="false">IF($B54="","",الموظفون!$C54)</f>
        <v/>
      </c>
      <c r="D54" s="114" t="str">
        <f aca="false">IF($B54="","",الموظفون!$F54)</f>
        <v/>
      </c>
      <c r="E54" s="114" t="str">
        <f aca="false">IF($B54="","",الموظفون!$E54)</f>
        <v/>
      </c>
      <c r="F54" s="114" t="str">
        <f aca="false">IF($B54="","",IF(AK54=0,IF(AND(الموظفون!$AE54&lt;&gt;"",الموظفون!$AE54&lt;$E$3),"✖ منتهي الخدمة","⏳ لم يباشر"),IF(S54&gt;0,"✈ راتب إجازة مقدم",IF(J54=0,"⛔ بدون راتب هذا الشهر",IF(I54&gt;0,"✈ خصم "&amp;ROUND(I54,2)&amp;" يوم بدون أجر",IF(AL54&gt;0,"🌴 إجازة سنوية "&amp;ROUND(AL54,2)&amp;" يوم",IF(H54&gt;0,"⚠ غياب "&amp;ROUND(H54,2)&amp;" يوم","✔ على رأس العمل")))))))</f>
        <v/>
      </c>
      <c r="G54" s="151" t="str">
        <f aca="false">IF($B54="","",IF(AK54&gt;=DAY($F$3),cfg_DAYS_M,MIN(AK54,cfg_DAYS_M)))</f>
        <v/>
      </c>
      <c r="H54" s="151" t="str">
        <f aca="false">IF($B54="","",SUMIFS('الحركات الشهرية'!$D$6:$D$1005,'الحركات الشهرية'!$B$6:$B$1005,$B54,'الحركات الشهرية'!$A$6:$A$1005,$C$3))</f>
        <v/>
      </c>
      <c r="I54" s="151" t="str">
        <f aca="false">IF($B54="","",MIN(G54,IF(AND(AK54&gt;0,AN54&gt;=AK54),G54,AN54)+SUMIFS('الحركات الشهرية'!$E$6:$E$1005,'الحركات الشهرية'!$B$6:$B$1005,$B54,'الحركات الشهرية'!$A$6:$A$1005,$C$3)))</f>
        <v/>
      </c>
      <c r="J54" s="151" t="str">
        <f aca="false">IF($B54="","",MAX(0,G54-H54-I54))</f>
        <v/>
      </c>
      <c r="K54" s="111" t="str">
        <f aca="false">IF($B54="","",الموظفون!$L54*$J54/cfg_DAYS_M)</f>
        <v/>
      </c>
      <c r="L54" s="111" t="str">
        <f aca="false">IF($B54="","",الموظفون!$M54*$J54/cfg_DAYS_M)</f>
        <v/>
      </c>
      <c r="M54" s="111" t="str">
        <f aca="false">IF($B54="","",الموظفون!$N54*$J54/cfg_DAYS_M)</f>
        <v/>
      </c>
      <c r="N54" s="111" t="str">
        <f aca="false">IF($B54="","",الموظفون!$O54*$J54/cfg_DAYS_M)</f>
        <v/>
      </c>
      <c r="O54" s="151" t="str">
        <f aca="false">IF($B54="","",SUMIFS('الحركات الشهرية'!$F$6:$F$1005,'الحركات الشهرية'!$B$6:$B$1005,$B54,'الحركات الشهرية'!$A$6:$A$1005,$C$3))</f>
        <v/>
      </c>
      <c r="P54" s="111" t="str">
        <f aca="false">IF($B54="","",O54*(الموظفون!$P54+الموظفون!$L54*cfg_OT_P)/cfg_DAYS_M/cfg_HRS)</f>
        <v/>
      </c>
      <c r="Q54" s="111" t="str">
        <f aca="false">IF($B54="","",SUMIFS('الحركات الشهرية'!$G$6:$G$1005,'الحركات الشهرية'!$B$6:$B$1005,$B54,'الحركات الشهرية'!$A$6:$A$1005,$C$3))</f>
        <v/>
      </c>
      <c r="R54" s="111" t="str">
        <f aca="false">IF($B54="","",SUMIFS('الحركات الشهرية'!$H$6:$H$1005,'الحركات الشهرية'!$B$6:$B$1005,$B54,'الحركات الشهرية'!$A$6:$A$1005,$C$3))</f>
        <v/>
      </c>
      <c r="S54" s="111" t="str">
        <f aca="false">IF($B54="","",SUMIFS('سجل الإجازات والحالات'!$N$6:$N$505,'سجل الإجازات والحالات'!$B$6:$B$505,$B54,'سجل الإجازات والحالات'!$O$6:$O$505,$C$3))</f>
        <v/>
      </c>
      <c r="T54" s="152" t="str">
        <f aca="false">IF($B54="","",SUM(K54:N54)+SUM(P54:S54))</f>
        <v/>
      </c>
      <c r="U54" s="111" t="str">
        <f aca="false">IF($B54="","",الموظفون!$S54*IF(E54="سعودي",cfg_G_SE,cfg_G_NE)*G54/cfg_DAYS_M)</f>
        <v/>
      </c>
      <c r="V54" s="111" t="str">
        <f aca="false">IF($B54="","",SUMIFS('الحركات الشهرية'!$I$6:$I$1005,'الحركات الشهرية'!$B$6:$B$1005,$B54,'الحركات الشهرية'!$A$6:$A$1005,$C$3))</f>
        <v/>
      </c>
      <c r="W54" s="111" t="str">
        <f aca="false">IF($B54="","",SUMIFS('الحركات الشهرية'!$J$6:$J$1005,'الحركات الشهرية'!$B$6:$B$1005,$B54,'الحركات الشهرية'!$A$6:$A$1005,$C$3))</f>
        <v/>
      </c>
      <c r="X54" s="111" t="str">
        <f aca="false">IF($B54="","",SUM(U54:W54))</f>
        <v/>
      </c>
      <c r="Y54" s="153" t="str">
        <f aca="false">IF($B54="","",T54-X54)</f>
        <v/>
      </c>
      <c r="Z54" s="111" t="str">
        <f aca="false">IF($B54="","",الموظفون!$S54*IF(E54="سعودي",cfg_G_SR,cfg_G_NR)*G54/cfg_DAYS_M)</f>
        <v/>
      </c>
      <c r="AA54" s="111" t="str">
        <f aca="false">IF($B54="","",الموظفون!$Q54*(cfg_EOS_R1*(MIN(AH54,cfg_EOS_TH)-MIN(AI54,cfg_EOS_TH))+cfg_EOS_R2*(MAX(AH54-cfg_EOS_TH,0)-MAX(AI54-cfg_EOS_TH,0))))</f>
        <v/>
      </c>
      <c r="AB54" s="111" t="str">
        <f aca="false">IF($B54="","",IF(الموظفون!$T54&lt;&gt;"",الموظفون!$T54,IF(AH54&gt;=cfg_LV_TH,cfg_LV_D2,cfg_LV_D1))/cfg_DAYS_Y*AJ54*الموظفون!$R54/cfg_DAYS_M)</f>
        <v/>
      </c>
      <c r="AC54" s="111" t="str">
        <f aca="false">IF($B54="","",IF(AND(الموظفون!$U54="نعم",N(الموظفون!$W54)&gt;0),الموظفون!$V54/الموظفون!$W54*12/cfg_DAYS_Y*AJ54,0))</f>
        <v/>
      </c>
      <c r="AD54" s="111" t="str">
        <f aca="false">IF($B54="","",(IF(الموظفون!$X54&lt;&gt;"",الموظفون!$X54,IF(الموظفون!$E54="غير سعودي",cfg_IQ,0))+IF(الموظفون!$Y54&lt;&gt;"",الموظفون!$Y54,IF(الموظفون!$E54="غير سعودي",cfg_WP,0)))/12*G54/cfg_DAYS_M)</f>
        <v/>
      </c>
      <c r="AE54" s="111" t="str">
        <f aca="false">IF($B54="","",IF(الموظفون!$Z54&lt;&gt;"",الموظفون!$Z54,cfg_MED)/12*G54/cfg_DAYS_M)</f>
        <v/>
      </c>
      <c r="AF54" s="111" t="str">
        <f aca="false">IF($B54="","",N(الموظفون!$AA54)/12*G54/cfg_DAYS_M)</f>
        <v/>
      </c>
      <c r="AG54" s="154" t="str">
        <f aca="false">IF($B54="","",T54+SUM(Z54:AF54))</f>
        <v/>
      </c>
      <c r="AH54" s="155" t="str">
        <f aca="false">IF($B54="","",MAX(0,IF(OR(الموظفون!$AE54="",الموظفون!$AE54&gt;$F$3),$F$3,الموظفون!$AE54)-الموظفون!$H54+1-SUMIFS('سجل الإجازات والحالات'!$AJ$6:$AJ$505,'سجل الإجازات والحالات'!$B$6:$B$505,$B54))/cfg_DAYS_Y)</f>
        <v/>
      </c>
      <c r="AI54" s="155" t="str">
        <f aca="false">IF($B54="","",MAX(0,IF(OR(الموظفون!$AE54="",الموظفون!$AE54&gt;($E$3-1)),($E$3-1),الموظفون!$AE54)-الموظفون!$H54+1-SUMIFS('سجل الإجازات والحالات'!$AI$6:$AI$505,'سجل الإجازات والحالات'!$B$6:$B$505,$B54))/cfg_DAYS_Y)</f>
        <v/>
      </c>
      <c r="AJ54" s="65" t="str">
        <f aca="false">IF($B54="","",MAX(0,AK54-(SUMIFS('سجل الإجازات والحالات'!$AJ$6:$AJ$505,'سجل الإجازات والحالات'!$B$6:$B$505,$B54)-SUMIFS('سجل الإجازات والحالات'!$AI$6:$AI$505,'سجل الإجازات والحالات'!$B$6:$B$505,$B54))))</f>
        <v/>
      </c>
      <c r="AK54" s="65" t="str">
        <f aca="false">IF($B54="","",MAX(0,IF(OR(الموظفون!$AE54="",الموظفون!$AE54&gt;$F$3),$F$3,الموظفون!$AE54)-MAX($E$3,الموظفون!$H54)+1))</f>
        <v/>
      </c>
      <c r="AL54" s="151" t="str">
        <f aca="false">IF($B54="","",SUMIFS('سجل الإجازات والحالات'!$AV$6:$AV$505,'سجل الإجازات والحالات'!$B$6:$B$505,$B54)+SUMIFS('الحركات الشهرية'!$K$6:$K$1005,'الحركات الشهرية'!$B$6:$B$1005,$B54,'الحركات الشهرية'!$A$6:$A$1005,$C$3))</f>
        <v/>
      </c>
      <c r="AM54" s="111" t="str">
        <f aca="false">IF($B54="","",AL54*الموظفون!$R54/cfg_DAYS_M+S54)</f>
        <v/>
      </c>
      <c r="AN54" s="151" t="str">
        <f aca="false">IF($B54="","",SUMIFS('سجل الإجازات والحالات'!$X$6:$X$505,'سجل الإجازات والحالات'!$B$6:$B$505,$B54))</f>
        <v/>
      </c>
    </row>
    <row r="55" customFormat="false" ht="15" hidden="false" customHeight="false" outlineLevel="0" collapsed="false">
      <c r="A55" s="115" t="str">
        <f aca="false">IF($B55="","",الموظفون!$A55)</f>
        <v/>
      </c>
      <c r="B55" s="117" t="str">
        <f aca="false">IF(الموظفون!$B55="","",الموظفون!$B55)</f>
        <v/>
      </c>
      <c r="C55" s="117" t="str">
        <f aca="false">IF($B55="","",الموظفون!$C55)</f>
        <v/>
      </c>
      <c r="D55" s="117" t="str">
        <f aca="false">IF($B55="","",الموظفون!$F55)</f>
        <v/>
      </c>
      <c r="E55" s="117" t="str">
        <f aca="false">IF($B55="","",الموظفون!$E55)</f>
        <v/>
      </c>
      <c r="F55" s="117" t="str">
        <f aca="false">IF($B55="","",IF(AK55=0,IF(AND(الموظفون!$AE55&lt;&gt;"",الموظفون!$AE55&lt;$E$3),"✖ منتهي الخدمة","⏳ لم يباشر"),IF(S55&gt;0,"✈ راتب إجازة مقدم",IF(J55=0,"⛔ بدون راتب هذا الشهر",IF(I55&gt;0,"✈ خصم "&amp;ROUND(I55,2)&amp;" يوم بدون أجر",IF(AL55&gt;0,"🌴 إجازة سنوية "&amp;ROUND(AL55,2)&amp;" يوم",IF(H55&gt;0,"⚠ غياب "&amp;ROUND(H55,2)&amp;" يوم","✔ على رأس العمل")))))))</f>
        <v/>
      </c>
      <c r="G55" s="156" t="str">
        <f aca="false">IF($B55="","",IF(AK55&gt;=DAY($F$3),cfg_DAYS_M,MIN(AK55,cfg_DAYS_M)))</f>
        <v/>
      </c>
      <c r="H55" s="156" t="str">
        <f aca="false">IF($B55="","",SUMIFS('الحركات الشهرية'!$D$6:$D$1005,'الحركات الشهرية'!$B$6:$B$1005,$B55,'الحركات الشهرية'!$A$6:$A$1005,$C$3))</f>
        <v/>
      </c>
      <c r="I55" s="156" t="str">
        <f aca="false">IF($B55="","",MIN(G55,IF(AND(AK55&gt;0,AN55&gt;=AK55),G55,AN55)+SUMIFS('الحركات الشهرية'!$E$6:$E$1005,'الحركات الشهرية'!$B$6:$B$1005,$B55,'الحركات الشهرية'!$A$6:$A$1005,$C$3)))</f>
        <v/>
      </c>
      <c r="J55" s="156" t="str">
        <f aca="false">IF($B55="","",MAX(0,G55-H55-I55))</f>
        <v/>
      </c>
      <c r="K55" s="116" t="str">
        <f aca="false">IF($B55="","",الموظفون!$L55*$J55/cfg_DAYS_M)</f>
        <v/>
      </c>
      <c r="L55" s="116" t="str">
        <f aca="false">IF($B55="","",الموظفون!$M55*$J55/cfg_DAYS_M)</f>
        <v/>
      </c>
      <c r="M55" s="116" t="str">
        <f aca="false">IF($B55="","",الموظفون!$N55*$J55/cfg_DAYS_M)</f>
        <v/>
      </c>
      <c r="N55" s="116" t="str">
        <f aca="false">IF($B55="","",الموظفون!$O55*$J55/cfg_DAYS_M)</f>
        <v/>
      </c>
      <c r="O55" s="156" t="str">
        <f aca="false">IF($B55="","",SUMIFS('الحركات الشهرية'!$F$6:$F$1005,'الحركات الشهرية'!$B$6:$B$1005,$B55,'الحركات الشهرية'!$A$6:$A$1005,$C$3))</f>
        <v/>
      </c>
      <c r="P55" s="116" t="str">
        <f aca="false">IF($B55="","",O55*(الموظفون!$P55+الموظفون!$L55*cfg_OT_P)/cfg_DAYS_M/cfg_HRS)</f>
        <v/>
      </c>
      <c r="Q55" s="116" t="str">
        <f aca="false">IF($B55="","",SUMIFS('الحركات الشهرية'!$G$6:$G$1005,'الحركات الشهرية'!$B$6:$B$1005,$B55,'الحركات الشهرية'!$A$6:$A$1005,$C$3))</f>
        <v/>
      </c>
      <c r="R55" s="116" t="str">
        <f aca="false">IF($B55="","",SUMIFS('الحركات الشهرية'!$H$6:$H$1005,'الحركات الشهرية'!$B$6:$B$1005,$B55,'الحركات الشهرية'!$A$6:$A$1005,$C$3))</f>
        <v/>
      </c>
      <c r="S55" s="116" t="str">
        <f aca="false">IF($B55="","",SUMIFS('سجل الإجازات والحالات'!$N$6:$N$505,'سجل الإجازات والحالات'!$B$6:$B$505,$B55,'سجل الإجازات والحالات'!$O$6:$O$505,$C$3))</f>
        <v/>
      </c>
      <c r="T55" s="157" t="str">
        <f aca="false">IF($B55="","",SUM(K55:N55)+SUM(P55:S55))</f>
        <v/>
      </c>
      <c r="U55" s="116" t="str">
        <f aca="false">IF($B55="","",الموظفون!$S55*IF(E55="سعودي",cfg_G_SE,cfg_G_NE)*G55/cfg_DAYS_M)</f>
        <v/>
      </c>
      <c r="V55" s="116" t="str">
        <f aca="false">IF($B55="","",SUMIFS('الحركات الشهرية'!$I$6:$I$1005,'الحركات الشهرية'!$B$6:$B$1005,$B55,'الحركات الشهرية'!$A$6:$A$1005,$C$3))</f>
        <v/>
      </c>
      <c r="W55" s="116" t="str">
        <f aca="false">IF($B55="","",SUMIFS('الحركات الشهرية'!$J$6:$J$1005,'الحركات الشهرية'!$B$6:$B$1005,$B55,'الحركات الشهرية'!$A$6:$A$1005,$C$3))</f>
        <v/>
      </c>
      <c r="X55" s="116" t="str">
        <f aca="false">IF($B55="","",SUM(U55:W55))</f>
        <v/>
      </c>
      <c r="Y55" s="158" t="str">
        <f aca="false">IF($B55="","",T55-X55)</f>
        <v/>
      </c>
      <c r="Z55" s="116" t="str">
        <f aca="false">IF($B55="","",الموظفون!$S55*IF(E55="سعودي",cfg_G_SR,cfg_G_NR)*G55/cfg_DAYS_M)</f>
        <v/>
      </c>
      <c r="AA55" s="116" t="str">
        <f aca="false">IF($B55="","",الموظفون!$Q55*(cfg_EOS_R1*(MIN(AH55,cfg_EOS_TH)-MIN(AI55,cfg_EOS_TH))+cfg_EOS_R2*(MAX(AH55-cfg_EOS_TH,0)-MAX(AI55-cfg_EOS_TH,0))))</f>
        <v/>
      </c>
      <c r="AB55" s="116" t="str">
        <f aca="false">IF($B55="","",IF(الموظفون!$T55&lt;&gt;"",الموظفون!$T55,IF(AH55&gt;=cfg_LV_TH,cfg_LV_D2,cfg_LV_D1))/cfg_DAYS_Y*AJ55*الموظفون!$R55/cfg_DAYS_M)</f>
        <v/>
      </c>
      <c r="AC55" s="116" t="str">
        <f aca="false">IF($B55="","",IF(AND(الموظفون!$U55="نعم",N(الموظفون!$W55)&gt;0),الموظفون!$V55/الموظفون!$W55*12/cfg_DAYS_Y*AJ55,0))</f>
        <v/>
      </c>
      <c r="AD55" s="116" t="str">
        <f aca="false">IF($B55="","",(IF(الموظفون!$X55&lt;&gt;"",الموظفون!$X55,IF(الموظفون!$E55="غير سعودي",cfg_IQ,0))+IF(الموظفون!$Y55&lt;&gt;"",الموظفون!$Y55,IF(الموظفون!$E55="غير سعودي",cfg_WP,0)))/12*G55/cfg_DAYS_M)</f>
        <v/>
      </c>
      <c r="AE55" s="116" t="str">
        <f aca="false">IF($B55="","",IF(الموظفون!$Z55&lt;&gt;"",الموظفون!$Z55,cfg_MED)/12*G55/cfg_DAYS_M)</f>
        <v/>
      </c>
      <c r="AF55" s="116" t="str">
        <f aca="false">IF($B55="","",N(الموظفون!$AA55)/12*G55/cfg_DAYS_M)</f>
        <v/>
      </c>
      <c r="AG55" s="159" t="str">
        <f aca="false">IF($B55="","",T55+SUM(Z55:AF55))</f>
        <v/>
      </c>
      <c r="AH55" s="160" t="str">
        <f aca="false">IF($B55="","",MAX(0,IF(OR(الموظفون!$AE55="",الموظفون!$AE55&gt;$F$3),$F$3,الموظفون!$AE55)-الموظفون!$H55+1-SUMIFS('سجل الإجازات والحالات'!$AJ$6:$AJ$505,'سجل الإجازات والحالات'!$B$6:$B$505,$B55))/cfg_DAYS_Y)</f>
        <v/>
      </c>
      <c r="AI55" s="160" t="str">
        <f aca="false">IF($B55="","",MAX(0,IF(OR(الموظفون!$AE55="",الموظفون!$AE55&gt;($E$3-1)),($E$3-1),الموظفون!$AE55)-الموظفون!$H55+1-SUMIFS('سجل الإجازات والحالات'!$AI$6:$AI$505,'سجل الإجازات والحالات'!$B$6:$B$505,$B55))/cfg_DAYS_Y)</f>
        <v/>
      </c>
      <c r="AJ55" s="133" t="str">
        <f aca="false">IF($B55="","",MAX(0,AK55-(SUMIFS('سجل الإجازات والحالات'!$AJ$6:$AJ$505,'سجل الإجازات والحالات'!$B$6:$B$505,$B55)-SUMIFS('سجل الإجازات والحالات'!$AI$6:$AI$505,'سجل الإجازات والحالات'!$B$6:$B$505,$B55))))</f>
        <v/>
      </c>
      <c r="AK55" s="133" t="str">
        <f aca="false">IF($B55="","",MAX(0,IF(OR(الموظفون!$AE55="",الموظفون!$AE55&gt;$F$3),$F$3,الموظفون!$AE55)-MAX($E$3,الموظفون!$H55)+1))</f>
        <v/>
      </c>
      <c r="AL55" s="156" t="str">
        <f aca="false">IF($B55="","",SUMIFS('سجل الإجازات والحالات'!$AV$6:$AV$505,'سجل الإجازات والحالات'!$B$6:$B$505,$B55)+SUMIFS('الحركات الشهرية'!$K$6:$K$1005,'الحركات الشهرية'!$B$6:$B$1005,$B55,'الحركات الشهرية'!$A$6:$A$1005,$C$3))</f>
        <v/>
      </c>
      <c r="AM55" s="116" t="str">
        <f aca="false">IF($B55="","",AL55*الموظفون!$R55/cfg_DAYS_M+S55)</f>
        <v/>
      </c>
      <c r="AN55" s="156" t="str">
        <f aca="false">IF($B55="","",SUMIFS('سجل الإجازات والحالات'!$X$6:$X$505,'سجل الإجازات والحالات'!$B$6:$B$505,$B55))</f>
        <v/>
      </c>
    </row>
    <row r="56" customFormat="false" ht="15" hidden="false" customHeight="false" outlineLevel="0" collapsed="false">
      <c r="A56" s="106" t="str">
        <f aca="false">IF($B56="","",الموظفون!$A56)</f>
        <v/>
      </c>
      <c r="B56" s="114" t="str">
        <f aca="false">IF(الموظفون!$B56="","",الموظفون!$B56)</f>
        <v/>
      </c>
      <c r="C56" s="114" t="str">
        <f aca="false">IF($B56="","",الموظفون!$C56)</f>
        <v/>
      </c>
      <c r="D56" s="114" t="str">
        <f aca="false">IF($B56="","",الموظفون!$F56)</f>
        <v/>
      </c>
      <c r="E56" s="114" t="str">
        <f aca="false">IF($B56="","",الموظفون!$E56)</f>
        <v/>
      </c>
      <c r="F56" s="114" t="str">
        <f aca="false">IF($B56="","",IF(AK56=0,IF(AND(الموظفون!$AE56&lt;&gt;"",الموظفون!$AE56&lt;$E$3),"✖ منتهي الخدمة","⏳ لم يباشر"),IF(S56&gt;0,"✈ راتب إجازة مقدم",IF(J56=0,"⛔ بدون راتب هذا الشهر",IF(I56&gt;0,"✈ خصم "&amp;ROUND(I56,2)&amp;" يوم بدون أجر",IF(AL56&gt;0,"🌴 إجازة سنوية "&amp;ROUND(AL56,2)&amp;" يوم",IF(H56&gt;0,"⚠ غياب "&amp;ROUND(H56,2)&amp;" يوم","✔ على رأس العمل")))))))</f>
        <v/>
      </c>
      <c r="G56" s="151" t="str">
        <f aca="false">IF($B56="","",IF(AK56&gt;=DAY($F$3),cfg_DAYS_M,MIN(AK56,cfg_DAYS_M)))</f>
        <v/>
      </c>
      <c r="H56" s="151" t="str">
        <f aca="false">IF($B56="","",SUMIFS('الحركات الشهرية'!$D$6:$D$1005,'الحركات الشهرية'!$B$6:$B$1005,$B56,'الحركات الشهرية'!$A$6:$A$1005,$C$3))</f>
        <v/>
      </c>
      <c r="I56" s="151" t="str">
        <f aca="false">IF($B56="","",MIN(G56,IF(AND(AK56&gt;0,AN56&gt;=AK56),G56,AN56)+SUMIFS('الحركات الشهرية'!$E$6:$E$1005,'الحركات الشهرية'!$B$6:$B$1005,$B56,'الحركات الشهرية'!$A$6:$A$1005,$C$3)))</f>
        <v/>
      </c>
      <c r="J56" s="151" t="str">
        <f aca="false">IF($B56="","",MAX(0,G56-H56-I56))</f>
        <v/>
      </c>
      <c r="K56" s="111" t="str">
        <f aca="false">IF($B56="","",الموظفون!$L56*$J56/cfg_DAYS_M)</f>
        <v/>
      </c>
      <c r="L56" s="111" t="str">
        <f aca="false">IF($B56="","",الموظفون!$M56*$J56/cfg_DAYS_M)</f>
        <v/>
      </c>
      <c r="M56" s="111" t="str">
        <f aca="false">IF($B56="","",الموظفون!$N56*$J56/cfg_DAYS_M)</f>
        <v/>
      </c>
      <c r="N56" s="111" t="str">
        <f aca="false">IF($B56="","",الموظفون!$O56*$J56/cfg_DAYS_M)</f>
        <v/>
      </c>
      <c r="O56" s="151" t="str">
        <f aca="false">IF($B56="","",SUMIFS('الحركات الشهرية'!$F$6:$F$1005,'الحركات الشهرية'!$B$6:$B$1005,$B56,'الحركات الشهرية'!$A$6:$A$1005,$C$3))</f>
        <v/>
      </c>
      <c r="P56" s="111" t="str">
        <f aca="false">IF($B56="","",O56*(الموظفون!$P56+الموظفون!$L56*cfg_OT_P)/cfg_DAYS_M/cfg_HRS)</f>
        <v/>
      </c>
      <c r="Q56" s="111" t="str">
        <f aca="false">IF($B56="","",SUMIFS('الحركات الشهرية'!$G$6:$G$1005,'الحركات الشهرية'!$B$6:$B$1005,$B56,'الحركات الشهرية'!$A$6:$A$1005,$C$3))</f>
        <v/>
      </c>
      <c r="R56" s="111" t="str">
        <f aca="false">IF($B56="","",SUMIFS('الحركات الشهرية'!$H$6:$H$1005,'الحركات الشهرية'!$B$6:$B$1005,$B56,'الحركات الشهرية'!$A$6:$A$1005,$C$3))</f>
        <v/>
      </c>
      <c r="S56" s="111" t="str">
        <f aca="false">IF($B56="","",SUMIFS('سجل الإجازات والحالات'!$N$6:$N$505,'سجل الإجازات والحالات'!$B$6:$B$505,$B56,'سجل الإجازات والحالات'!$O$6:$O$505,$C$3))</f>
        <v/>
      </c>
      <c r="T56" s="152" t="str">
        <f aca="false">IF($B56="","",SUM(K56:N56)+SUM(P56:S56))</f>
        <v/>
      </c>
      <c r="U56" s="111" t="str">
        <f aca="false">IF($B56="","",الموظفون!$S56*IF(E56="سعودي",cfg_G_SE,cfg_G_NE)*G56/cfg_DAYS_M)</f>
        <v/>
      </c>
      <c r="V56" s="111" t="str">
        <f aca="false">IF($B56="","",SUMIFS('الحركات الشهرية'!$I$6:$I$1005,'الحركات الشهرية'!$B$6:$B$1005,$B56,'الحركات الشهرية'!$A$6:$A$1005,$C$3))</f>
        <v/>
      </c>
      <c r="W56" s="111" t="str">
        <f aca="false">IF($B56="","",SUMIFS('الحركات الشهرية'!$J$6:$J$1005,'الحركات الشهرية'!$B$6:$B$1005,$B56,'الحركات الشهرية'!$A$6:$A$1005,$C$3))</f>
        <v/>
      </c>
      <c r="X56" s="111" t="str">
        <f aca="false">IF($B56="","",SUM(U56:W56))</f>
        <v/>
      </c>
      <c r="Y56" s="153" t="str">
        <f aca="false">IF($B56="","",T56-X56)</f>
        <v/>
      </c>
      <c r="Z56" s="111" t="str">
        <f aca="false">IF($B56="","",الموظفون!$S56*IF(E56="سعودي",cfg_G_SR,cfg_G_NR)*G56/cfg_DAYS_M)</f>
        <v/>
      </c>
      <c r="AA56" s="111" t="str">
        <f aca="false">IF($B56="","",الموظفون!$Q56*(cfg_EOS_R1*(MIN(AH56,cfg_EOS_TH)-MIN(AI56,cfg_EOS_TH))+cfg_EOS_R2*(MAX(AH56-cfg_EOS_TH,0)-MAX(AI56-cfg_EOS_TH,0))))</f>
        <v/>
      </c>
      <c r="AB56" s="111" t="str">
        <f aca="false">IF($B56="","",IF(الموظفون!$T56&lt;&gt;"",الموظفون!$T56,IF(AH56&gt;=cfg_LV_TH,cfg_LV_D2,cfg_LV_D1))/cfg_DAYS_Y*AJ56*الموظفون!$R56/cfg_DAYS_M)</f>
        <v/>
      </c>
      <c r="AC56" s="111" t="str">
        <f aca="false">IF($B56="","",IF(AND(الموظفون!$U56="نعم",N(الموظفون!$W56)&gt;0),الموظفون!$V56/الموظفون!$W56*12/cfg_DAYS_Y*AJ56,0))</f>
        <v/>
      </c>
      <c r="AD56" s="111" t="str">
        <f aca="false">IF($B56="","",(IF(الموظفون!$X56&lt;&gt;"",الموظفون!$X56,IF(الموظفون!$E56="غير سعودي",cfg_IQ,0))+IF(الموظفون!$Y56&lt;&gt;"",الموظفون!$Y56,IF(الموظفون!$E56="غير سعودي",cfg_WP,0)))/12*G56/cfg_DAYS_M)</f>
        <v/>
      </c>
      <c r="AE56" s="111" t="str">
        <f aca="false">IF($B56="","",IF(الموظفون!$Z56&lt;&gt;"",الموظفون!$Z56,cfg_MED)/12*G56/cfg_DAYS_M)</f>
        <v/>
      </c>
      <c r="AF56" s="111" t="str">
        <f aca="false">IF($B56="","",N(الموظفون!$AA56)/12*G56/cfg_DAYS_M)</f>
        <v/>
      </c>
      <c r="AG56" s="154" t="str">
        <f aca="false">IF($B56="","",T56+SUM(Z56:AF56))</f>
        <v/>
      </c>
      <c r="AH56" s="155" t="str">
        <f aca="false">IF($B56="","",MAX(0,IF(OR(الموظفون!$AE56="",الموظفون!$AE56&gt;$F$3),$F$3,الموظفون!$AE56)-الموظفون!$H56+1-SUMIFS('سجل الإجازات والحالات'!$AJ$6:$AJ$505,'سجل الإجازات والحالات'!$B$6:$B$505,$B56))/cfg_DAYS_Y)</f>
        <v/>
      </c>
      <c r="AI56" s="155" t="str">
        <f aca="false">IF($B56="","",MAX(0,IF(OR(الموظفون!$AE56="",الموظفون!$AE56&gt;($E$3-1)),($E$3-1),الموظفون!$AE56)-الموظفون!$H56+1-SUMIFS('سجل الإجازات والحالات'!$AI$6:$AI$505,'سجل الإجازات والحالات'!$B$6:$B$505,$B56))/cfg_DAYS_Y)</f>
        <v/>
      </c>
      <c r="AJ56" s="65" t="str">
        <f aca="false">IF($B56="","",MAX(0,AK56-(SUMIFS('سجل الإجازات والحالات'!$AJ$6:$AJ$505,'سجل الإجازات والحالات'!$B$6:$B$505,$B56)-SUMIFS('سجل الإجازات والحالات'!$AI$6:$AI$505,'سجل الإجازات والحالات'!$B$6:$B$505,$B56))))</f>
        <v/>
      </c>
      <c r="AK56" s="65" t="str">
        <f aca="false">IF($B56="","",MAX(0,IF(OR(الموظفون!$AE56="",الموظفون!$AE56&gt;$F$3),$F$3,الموظفون!$AE56)-MAX($E$3,الموظفون!$H56)+1))</f>
        <v/>
      </c>
      <c r="AL56" s="151" t="str">
        <f aca="false">IF($B56="","",SUMIFS('سجل الإجازات والحالات'!$AV$6:$AV$505,'سجل الإجازات والحالات'!$B$6:$B$505,$B56)+SUMIFS('الحركات الشهرية'!$K$6:$K$1005,'الحركات الشهرية'!$B$6:$B$1005,$B56,'الحركات الشهرية'!$A$6:$A$1005,$C$3))</f>
        <v/>
      </c>
      <c r="AM56" s="111" t="str">
        <f aca="false">IF($B56="","",AL56*الموظفون!$R56/cfg_DAYS_M+S56)</f>
        <v/>
      </c>
      <c r="AN56" s="151" t="str">
        <f aca="false">IF($B56="","",SUMIFS('سجل الإجازات والحالات'!$X$6:$X$505,'سجل الإجازات والحالات'!$B$6:$B$505,$B56))</f>
        <v/>
      </c>
    </row>
    <row r="57" customFormat="false" ht="15" hidden="false" customHeight="false" outlineLevel="0" collapsed="false">
      <c r="A57" s="115" t="str">
        <f aca="false">IF($B57="","",الموظفون!$A57)</f>
        <v/>
      </c>
      <c r="B57" s="117" t="str">
        <f aca="false">IF(الموظفون!$B57="","",الموظفون!$B57)</f>
        <v/>
      </c>
      <c r="C57" s="117" t="str">
        <f aca="false">IF($B57="","",الموظفون!$C57)</f>
        <v/>
      </c>
      <c r="D57" s="117" t="str">
        <f aca="false">IF($B57="","",الموظفون!$F57)</f>
        <v/>
      </c>
      <c r="E57" s="117" t="str">
        <f aca="false">IF($B57="","",الموظفون!$E57)</f>
        <v/>
      </c>
      <c r="F57" s="117" t="str">
        <f aca="false">IF($B57="","",IF(AK57=0,IF(AND(الموظفون!$AE57&lt;&gt;"",الموظفون!$AE57&lt;$E$3),"✖ منتهي الخدمة","⏳ لم يباشر"),IF(S57&gt;0,"✈ راتب إجازة مقدم",IF(J57=0,"⛔ بدون راتب هذا الشهر",IF(I57&gt;0,"✈ خصم "&amp;ROUND(I57,2)&amp;" يوم بدون أجر",IF(AL57&gt;0,"🌴 إجازة سنوية "&amp;ROUND(AL57,2)&amp;" يوم",IF(H57&gt;0,"⚠ غياب "&amp;ROUND(H57,2)&amp;" يوم","✔ على رأس العمل")))))))</f>
        <v/>
      </c>
      <c r="G57" s="156" t="str">
        <f aca="false">IF($B57="","",IF(AK57&gt;=DAY($F$3),cfg_DAYS_M,MIN(AK57,cfg_DAYS_M)))</f>
        <v/>
      </c>
      <c r="H57" s="156" t="str">
        <f aca="false">IF($B57="","",SUMIFS('الحركات الشهرية'!$D$6:$D$1005,'الحركات الشهرية'!$B$6:$B$1005,$B57,'الحركات الشهرية'!$A$6:$A$1005,$C$3))</f>
        <v/>
      </c>
      <c r="I57" s="156" t="str">
        <f aca="false">IF($B57="","",MIN(G57,IF(AND(AK57&gt;0,AN57&gt;=AK57),G57,AN57)+SUMIFS('الحركات الشهرية'!$E$6:$E$1005,'الحركات الشهرية'!$B$6:$B$1005,$B57,'الحركات الشهرية'!$A$6:$A$1005,$C$3)))</f>
        <v/>
      </c>
      <c r="J57" s="156" t="str">
        <f aca="false">IF($B57="","",MAX(0,G57-H57-I57))</f>
        <v/>
      </c>
      <c r="K57" s="116" t="str">
        <f aca="false">IF($B57="","",الموظفون!$L57*$J57/cfg_DAYS_M)</f>
        <v/>
      </c>
      <c r="L57" s="116" t="str">
        <f aca="false">IF($B57="","",الموظفون!$M57*$J57/cfg_DAYS_M)</f>
        <v/>
      </c>
      <c r="M57" s="116" t="str">
        <f aca="false">IF($B57="","",الموظفون!$N57*$J57/cfg_DAYS_M)</f>
        <v/>
      </c>
      <c r="N57" s="116" t="str">
        <f aca="false">IF($B57="","",الموظفون!$O57*$J57/cfg_DAYS_M)</f>
        <v/>
      </c>
      <c r="O57" s="156" t="str">
        <f aca="false">IF($B57="","",SUMIFS('الحركات الشهرية'!$F$6:$F$1005,'الحركات الشهرية'!$B$6:$B$1005,$B57,'الحركات الشهرية'!$A$6:$A$1005,$C$3))</f>
        <v/>
      </c>
      <c r="P57" s="116" t="str">
        <f aca="false">IF($B57="","",O57*(الموظفون!$P57+الموظفون!$L57*cfg_OT_P)/cfg_DAYS_M/cfg_HRS)</f>
        <v/>
      </c>
      <c r="Q57" s="116" t="str">
        <f aca="false">IF($B57="","",SUMIFS('الحركات الشهرية'!$G$6:$G$1005,'الحركات الشهرية'!$B$6:$B$1005,$B57,'الحركات الشهرية'!$A$6:$A$1005,$C$3))</f>
        <v/>
      </c>
      <c r="R57" s="116" t="str">
        <f aca="false">IF($B57="","",SUMIFS('الحركات الشهرية'!$H$6:$H$1005,'الحركات الشهرية'!$B$6:$B$1005,$B57,'الحركات الشهرية'!$A$6:$A$1005,$C$3))</f>
        <v/>
      </c>
      <c r="S57" s="116" t="str">
        <f aca="false">IF($B57="","",SUMIFS('سجل الإجازات والحالات'!$N$6:$N$505,'سجل الإجازات والحالات'!$B$6:$B$505,$B57,'سجل الإجازات والحالات'!$O$6:$O$505,$C$3))</f>
        <v/>
      </c>
      <c r="T57" s="157" t="str">
        <f aca="false">IF($B57="","",SUM(K57:N57)+SUM(P57:S57))</f>
        <v/>
      </c>
      <c r="U57" s="116" t="str">
        <f aca="false">IF($B57="","",الموظفون!$S57*IF(E57="سعودي",cfg_G_SE,cfg_G_NE)*G57/cfg_DAYS_M)</f>
        <v/>
      </c>
      <c r="V57" s="116" t="str">
        <f aca="false">IF($B57="","",SUMIFS('الحركات الشهرية'!$I$6:$I$1005,'الحركات الشهرية'!$B$6:$B$1005,$B57,'الحركات الشهرية'!$A$6:$A$1005,$C$3))</f>
        <v/>
      </c>
      <c r="W57" s="116" t="str">
        <f aca="false">IF($B57="","",SUMIFS('الحركات الشهرية'!$J$6:$J$1005,'الحركات الشهرية'!$B$6:$B$1005,$B57,'الحركات الشهرية'!$A$6:$A$1005,$C$3))</f>
        <v/>
      </c>
      <c r="X57" s="116" t="str">
        <f aca="false">IF($B57="","",SUM(U57:W57))</f>
        <v/>
      </c>
      <c r="Y57" s="158" t="str">
        <f aca="false">IF($B57="","",T57-X57)</f>
        <v/>
      </c>
      <c r="Z57" s="116" t="str">
        <f aca="false">IF($B57="","",الموظفون!$S57*IF(E57="سعودي",cfg_G_SR,cfg_G_NR)*G57/cfg_DAYS_M)</f>
        <v/>
      </c>
      <c r="AA57" s="116" t="str">
        <f aca="false">IF($B57="","",الموظفون!$Q57*(cfg_EOS_R1*(MIN(AH57,cfg_EOS_TH)-MIN(AI57,cfg_EOS_TH))+cfg_EOS_R2*(MAX(AH57-cfg_EOS_TH,0)-MAX(AI57-cfg_EOS_TH,0))))</f>
        <v/>
      </c>
      <c r="AB57" s="116" t="str">
        <f aca="false">IF($B57="","",IF(الموظفون!$T57&lt;&gt;"",الموظفون!$T57,IF(AH57&gt;=cfg_LV_TH,cfg_LV_D2,cfg_LV_D1))/cfg_DAYS_Y*AJ57*الموظفون!$R57/cfg_DAYS_M)</f>
        <v/>
      </c>
      <c r="AC57" s="116" t="str">
        <f aca="false">IF($B57="","",IF(AND(الموظفون!$U57="نعم",N(الموظفون!$W57)&gt;0),الموظفون!$V57/الموظفون!$W57*12/cfg_DAYS_Y*AJ57,0))</f>
        <v/>
      </c>
      <c r="AD57" s="116" t="str">
        <f aca="false">IF($B57="","",(IF(الموظفون!$X57&lt;&gt;"",الموظفون!$X57,IF(الموظفون!$E57="غير سعودي",cfg_IQ,0))+IF(الموظفون!$Y57&lt;&gt;"",الموظفون!$Y57,IF(الموظفون!$E57="غير سعودي",cfg_WP,0)))/12*G57/cfg_DAYS_M)</f>
        <v/>
      </c>
      <c r="AE57" s="116" t="str">
        <f aca="false">IF($B57="","",IF(الموظفون!$Z57&lt;&gt;"",الموظفون!$Z57,cfg_MED)/12*G57/cfg_DAYS_M)</f>
        <v/>
      </c>
      <c r="AF57" s="116" t="str">
        <f aca="false">IF($B57="","",N(الموظفون!$AA57)/12*G57/cfg_DAYS_M)</f>
        <v/>
      </c>
      <c r="AG57" s="159" t="str">
        <f aca="false">IF($B57="","",T57+SUM(Z57:AF57))</f>
        <v/>
      </c>
      <c r="AH57" s="160" t="str">
        <f aca="false">IF($B57="","",MAX(0,IF(OR(الموظفون!$AE57="",الموظفون!$AE57&gt;$F$3),$F$3,الموظفون!$AE57)-الموظفون!$H57+1-SUMIFS('سجل الإجازات والحالات'!$AJ$6:$AJ$505,'سجل الإجازات والحالات'!$B$6:$B$505,$B57))/cfg_DAYS_Y)</f>
        <v/>
      </c>
      <c r="AI57" s="160" t="str">
        <f aca="false">IF($B57="","",MAX(0,IF(OR(الموظفون!$AE57="",الموظفون!$AE57&gt;($E$3-1)),($E$3-1),الموظفون!$AE57)-الموظفون!$H57+1-SUMIFS('سجل الإجازات والحالات'!$AI$6:$AI$505,'سجل الإجازات والحالات'!$B$6:$B$505,$B57))/cfg_DAYS_Y)</f>
        <v/>
      </c>
      <c r="AJ57" s="133" t="str">
        <f aca="false">IF($B57="","",MAX(0,AK57-(SUMIFS('سجل الإجازات والحالات'!$AJ$6:$AJ$505,'سجل الإجازات والحالات'!$B$6:$B$505,$B57)-SUMIFS('سجل الإجازات والحالات'!$AI$6:$AI$505,'سجل الإجازات والحالات'!$B$6:$B$505,$B57))))</f>
        <v/>
      </c>
      <c r="AK57" s="133" t="str">
        <f aca="false">IF($B57="","",MAX(0,IF(OR(الموظفون!$AE57="",الموظفون!$AE57&gt;$F$3),$F$3,الموظفون!$AE57)-MAX($E$3,الموظفون!$H57)+1))</f>
        <v/>
      </c>
      <c r="AL57" s="156" t="str">
        <f aca="false">IF($B57="","",SUMIFS('سجل الإجازات والحالات'!$AV$6:$AV$505,'سجل الإجازات والحالات'!$B$6:$B$505,$B57)+SUMIFS('الحركات الشهرية'!$K$6:$K$1005,'الحركات الشهرية'!$B$6:$B$1005,$B57,'الحركات الشهرية'!$A$6:$A$1005,$C$3))</f>
        <v/>
      </c>
      <c r="AM57" s="116" t="str">
        <f aca="false">IF($B57="","",AL57*الموظفون!$R57/cfg_DAYS_M+S57)</f>
        <v/>
      </c>
      <c r="AN57" s="156" t="str">
        <f aca="false">IF($B57="","",SUMIFS('سجل الإجازات والحالات'!$X$6:$X$505,'سجل الإجازات والحالات'!$B$6:$B$505,$B57))</f>
        <v/>
      </c>
    </row>
    <row r="58" customFormat="false" ht="15" hidden="false" customHeight="false" outlineLevel="0" collapsed="false">
      <c r="A58" s="106" t="str">
        <f aca="false">IF($B58="","",الموظفون!$A58)</f>
        <v/>
      </c>
      <c r="B58" s="114" t="str">
        <f aca="false">IF(الموظفون!$B58="","",الموظفون!$B58)</f>
        <v/>
      </c>
      <c r="C58" s="114" t="str">
        <f aca="false">IF($B58="","",الموظفون!$C58)</f>
        <v/>
      </c>
      <c r="D58" s="114" t="str">
        <f aca="false">IF($B58="","",الموظفون!$F58)</f>
        <v/>
      </c>
      <c r="E58" s="114" t="str">
        <f aca="false">IF($B58="","",الموظفون!$E58)</f>
        <v/>
      </c>
      <c r="F58" s="114" t="str">
        <f aca="false">IF($B58="","",IF(AK58=0,IF(AND(الموظفون!$AE58&lt;&gt;"",الموظفون!$AE58&lt;$E$3),"✖ منتهي الخدمة","⏳ لم يباشر"),IF(S58&gt;0,"✈ راتب إجازة مقدم",IF(J58=0,"⛔ بدون راتب هذا الشهر",IF(I58&gt;0,"✈ خصم "&amp;ROUND(I58,2)&amp;" يوم بدون أجر",IF(AL58&gt;0,"🌴 إجازة سنوية "&amp;ROUND(AL58,2)&amp;" يوم",IF(H58&gt;0,"⚠ غياب "&amp;ROUND(H58,2)&amp;" يوم","✔ على رأس العمل")))))))</f>
        <v/>
      </c>
      <c r="G58" s="151" t="str">
        <f aca="false">IF($B58="","",IF(AK58&gt;=DAY($F$3),cfg_DAYS_M,MIN(AK58,cfg_DAYS_M)))</f>
        <v/>
      </c>
      <c r="H58" s="151" t="str">
        <f aca="false">IF($B58="","",SUMIFS('الحركات الشهرية'!$D$6:$D$1005,'الحركات الشهرية'!$B$6:$B$1005,$B58,'الحركات الشهرية'!$A$6:$A$1005,$C$3))</f>
        <v/>
      </c>
      <c r="I58" s="151" t="str">
        <f aca="false">IF($B58="","",MIN(G58,IF(AND(AK58&gt;0,AN58&gt;=AK58),G58,AN58)+SUMIFS('الحركات الشهرية'!$E$6:$E$1005,'الحركات الشهرية'!$B$6:$B$1005,$B58,'الحركات الشهرية'!$A$6:$A$1005,$C$3)))</f>
        <v/>
      </c>
      <c r="J58" s="151" t="str">
        <f aca="false">IF($B58="","",MAX(0,G58-H58-I58))</f>
        <v/>
      </c>
      <c r="K58" s="111" t="str">
        <f aca="false">IF($B58="","",الموظفون!$L58*$J58/cfg_DAYS_M)</f>
        <v/>
      </c>
      <c r="L58" s="111" t="str">
        <f aca="false">IF($B58="","",الموظفون!$M58*$J58/cfg_DAYS_M)</f>
        <v/>
      </c>
      <c r="M58" s="111" t="str">
        <f aca="false">IF($B58="","",الموظفون!$N58*$J58/cfg_DAYS_M)</f>
        <v/>
      </c>
      <c r="N58" s="111" t="str">
        <f aca="false">IF($B58="","",الموظفون!$O58*$J58/cfg_DAYS_M)</f>
        <v/>
      </c>
      <c r="O58" s="151" t="str">
        <f aca="false">IF($B58="","",SUMIFS('الحركات الشهرية'!$F$6:$F$1005,'الحركات الشهرية'!$B$6:$B$1005,$B58,'الحركات الشهرية'!$A$6:$A$1005,$C$3))</f>
        <v/>
      </c>
      <c r="P58" s="111" t="str">
        <f aca="false">IF($B58="","",O58*(الموظفون!$P58+الموظفون!$L58*cfg_OT_P)/cfg_DAYS_M/cfg_HRS)</f>
        <v/>
      </c>
      <c r="Q58" s="111" t="str">
        <f aca="false">IF($B58="","",SUMIFS('الحركات الشهرية'!$G$6:$G$1005,'الحركات الشهرية'!$B$6:$B$1005,$B58,'الحركات الشهرية'!$A$6:$A$1005,$C$3))</f>
        <v/>
      </c>
      <c r="R58" s="111" t="str">
        <f aca="false">IF($B58="","",SUMIFS('الحركات الشهرية'!$H$6:$H$1005,'الحركات الشهرية'!$B$6:$B$1005,$B58,'الحركات الشهرية'!$A$6:$A$1005,$C$3))</f>
        <v/>
      </c>
      <c r="S58" s="111" t="str">
        <f aca="false">IF($B58="","",SUMIFS('سجل الإجازات والحالات'!$N$6:$N$505,'سجل الإجازات والحالات'!$B$6:$B$505,$B58,'سجل الإجازات والحالات'!$O$6:$O$505,$C$3))</f>
        <v/>
      </c>
      <c r="T58" s="152" t="str">
        <f aca="false">IF($B58="","",SUM(K58:N58)+SUM(P58:S58))</f>
        <v/>
      </c>
      <c r="U58" s="111" t="str">
        <f aca="false">IF($B58="","",الموظفون!$S58*IF(E58="سعودي",cfg_G_SE,cfg_G_NE)*G58/cfg_DAYS_M)</f>
        <v/>
      </c>
      <c r="V58" s="111" t="str">
        <f aca="false">IF($B58="","",SUMIFS('الحركات الشهرية'!$I$6:$I$1005,'الحركات الشهرية'!$B$6:$B$1005,$B58,'الحركات الشهرية'!$A$6:$A$1005,$C$3))</f>
        <v/>
      </c>
      <c r="W58" s="111" t="str">
        <f aca="false">IF($B58="","",SUMIFS('الحركات الشهرية'!$J$6:$J$1005,'الحركات الشهرية'!$B$6:$B$1005,$B58,'الحركات الشهرية'!$A$6:$A$1005,$C$3))</f>
        <v/>
      </c>
      <c r="X58" s="111" t="str">
        <f aca="false">IF($B58="","",SUM(U58:W58))</f>
        <v/>
      </c>
      <c r="Y58" s="153" t="str">
        <f aca="false">IF($B58="","",T58-X58)</f>
        <v/>
      </c>
      <c r="Z58" s="111" t="str">
        <f aca="false">IF($B58="","",الموظفون!$S58*IF(E58="سعودي",cfg_G_SR,cfg_G_NR)*G58/cfg_DAYS_M)</f>
        <v/>
      </c>
      <c r="AA58" s="111" t="str">
        <f aca="false">IF($B58="","",الموظفون!$Q58*(cfg_EOS_R1*(MIN(AH58,cfg_EOS_TH)-MIN(AI58,cfg_EOS_TH))+cfg_EOS_R2*(MAX(AH58-cfg_EOS_TH,0)-MAX(AI58-cfg_EOS_TH,0))))</f>
        <v/>
      </c>
      <c r="AB58" s="111" t="str">
        <f aca="false">IF($B58="","",IF(الموظفون!$T58&lt;&gt;"",الموظفون!$T58,IF(AH58&gt;=cfg_LV_TH,cfg_LV_D2,cfg_LV_D1))/cfg_DAYS_Y*AJ58*الموظفون!$R58/cfg_DAYS_M)</f>
        <v/>
      </c>
      <c r="AC58" s="111" t="str">
        <f aca="false">IF($B58="","",IF(AND(الموظفون!$U58="نعم",N(الموظفون!$W58)&gt;0),الموظفون!$V58/الموظفون!$W58*12/cfg_DAYS_Y*AJ58,0))</f>
        <v/>
      </c>
      <c r="AD58" s="111" t="str">
        <f aca="false">IF($B58="","",(IF(الموظفون!$X58&lt;&gt;"",الموظفون!$X58,IF(الموظفون!$E58="غير سعودي",cfg_IQ,0))+IF(الموظفون!$Y58&lt;&gt;"",الموظفون!$Y58,IF(الموظفون!$E58="غير سعودي",cfg_WP,0)))/12*G58/cfg_DAYS_M)</f>
        <v/>
      </c>
      <c r="AE58" s="111" t="str">
        <f aca="false">IF($B58="","",IF(الموظفون!$Z58&lt;&gt;"",الموظفون!$Z58,cfg_MED)/12*G58/cfg_DAYS_M)</f>
        <v/>
      </c>
      <c r="AF58" s="111" t="str">
        <f aca="false">IF($B58="","",N(الموظفون!$AA58)/12*G58/cfg_DAYS_M)</f>
        <v/>
      </c>
      <c r="AG58" s="154" t="str">
        <f aca="false">IF($B58="","",T58+SUM(Z58:AF58))</f>
        <v/>
      </c>
      <c r="AH58" s="155" t="str">
        <f aca="false">IF($B58="","",MAX(0,IF(OR(الموظفون!$AE58="",الموظفون!$AE58&gt;$F$3),$F$3,الموظفون!$AE58)-الموظفون!$H58+1-SUMIFS('سجل الإجازات والحالات'!$AJ$6:$AJ$505,'سجل الإجازات والحالات'!$B$6:$B$505,$B58))/cfg_DAYS_Y)</f>
        <v/>
      </c>
      <c r="AI58" s="155" t="str">
        <f aca="false">IF($B58="","",MAX(0,IF(OR(الموظفون!$AE58="",الموظفون!$AE58&gt;($E$3-1)),($E$3-1),الموظفون!$AE58)-الموظفون!$H58+1-SUMIFS('سجل الإجازات والحالات'!$AI$6:$AI$505,'سجل الإجازات والحالات'!$B$6:$B$505,$B58))/cfg_DAYS_Y)</f>
        <v/>
      </c>
      <c r="AJ58" s="65" t="str">
        <f aca="false">IF($B58="","",MAX(0,AK58-(SUMIFS('سجل الإجازات والحالات'!$AJ$6:$AJ$505,'سجل الإجازات والحالات'!$B$6:$B$505,$B58)-SUMIFS('سجل الإجازات والحالات'!$AI$6:$AI$505,'سجل الإجازات والحالات'!$B$6:$B$505,$B58))))</f>
        <v/>
      </c>
      <c r="AK58" s="65" t="str">
        <f aca="false">IF($B58="","",MAX(0,IF(OR(الموظفون!$AE58="",الموظفون!$AE58&gt;$F$3),$F$3,الموظفون!$AE58)-MAX($E$3,الموظفون!$H58)+1))</f>
        <v/>
      </c>
      <c r="AL58" s="151" t="str">
        <f aca="false">IF($B58="","",SUMIFS('سجل الإجازات والحالات'!$AV$6:$AV$505,'سجل الإجازات والحالات'!$B$6:$B$505,$B58)+SUMIFS('الحركات الشهرية'!$K$6:$K$1005,'الحركات الشهرية'!$B$6:$B$1005,$B58,'الحركات الشهرية'!$A$6:$A$1005,$C$3))</f>
        <v/>
      </c>
      <c r="AM58" s="111" t="str">
        <f aca="false">IF($B58="","",AL58*الموظفون!$R58/cfg_DAYS_M+S58)</f>
        <v/>
      </c>
      <c r="AN58" s="151" t="str">
        <f aca="false">IF($B58="","",SUMIFS('سجل الإجازات والحالات'!$X$6:$X$505,'سجل الإجازات والحالات'!$B$6:$B$505,$B58))</f>
        <v/>
      </c>
    </row>
    <row r="59" customFormat="false" ht="15" hidden="false" customHeight="false" outlineLevel="0" collapsed="false">
      <c r="A59" s="115" t="str">
        <f aca="false">IF($B59="","",الموظفون!$A59)</f>
        <v/>
      </c>
      <c r="B59" s="117" t="str">
        <f aca="false">IF(الموظفون!$B59="","",الموظفون!$B59)</f>
        <v/>
      </c>
      <c r="C59" s="117" t="str">
        <f aca="false">IF($B59="","",الموظفون!$C59)</f>
        <v/>
      </c>
      <c r="D59" s="117" t="str">
        <f aca="false">IF($B59="","",الموظفون!$F59)</f>
        <v/>
      </c>
      <c r="E59" s="117" t="str">
        <f aca="false">IF($B59="","",الموظفون!$E59)</f>
        <v/>
      </c>
      <c r="F59" s="117" t="str">
        <f aca="false">IF($B59="","",IF(AK59=0,IF(AND(الموظفون!$AE59&lt;&gt;"",الموظفون!$AE59&lt;$E$3),"✖ منتهي الخدمة","⏳ لم يباشر"),IF(S59&gt;0,"✈ راتب إجازة مقدم",IF(J59=0,"⛔ بدون راتب هذا الشهر",IF(I59&gt;0,"✈ خصم "&amp;ROUND(I59,2)&amp;" يوم بدون أجر",IF(AL59&gt;0,"🌴 إجازة سنوية "&amp;ROUND(AL59,2)&amp;" يوم",IF(H59&gt;0,"⚠ غياب "&amp;ROUND(H59,2)&amp;" يوم","✔ على رأس العمل")))))))</f>
        <v/>
      </c>
      <c r="G59" s="156" t="str">
        <f aca="false">IF($B59="","",IF(AK59&gt;=DAY($F$3),cfg_DAYS_M,MIN(AK59,cfg_DAYS_M)))</f>
        <v/>
      </c>
      <c r="H59" s="156" t="str">
        <f aca="false">IF($B59="","",SUMIFS('الحركات الشهرية'!$D$6:$D$1005,'الحركات الشهرية'!$B$6:$B$1005,$B59,'الحركات الشهرية'!$A$6:$A$1005,$C$3))</f>
        <v/>
      </c>
      <c r="I59" s="156" t="str">
        <f aca="false">IF($B59="","",MIN(G59,IF(AND(AK59&gt;0,AN59&gt;=AK59),G59,AN59)+SUMIFS('الحركات الشهرية'!$E$6:$E$1005,'الحركات الشهرية'!$B$6:$B$1005,$B59,'الحركات الشهرية'!$A$6:$A$1005,$C$3)))</f>
        <v/>
      </c>
      <c r="J59" s="156" t="str">
        <f aca="false">IF($B59="","",MAX(0,G59-H59-I59))</f>
        <v/>
      </c>
      <c r="K59" s="116" t="str">
        <f aca="false">IF($B59="","",الموظفون!$L59*$J59/cfg_DAYS_M)</f>
        <v/>
      </c>
      <c r="L59" s="116" t="str">
        <f aca="false">IF($B59="","",الموظفون!$M59*$J59/cfg_DAYS_M)</f>
        <v/>
      </c>
      <c r="M59" s="116" t="str">
        <f aca="false">IF($B59="","",الموظفون!$N59*$J59/cfg_DAYS_M)</f>
        <v/>
      </c>
      <c r="N59" s="116" t="str">
        <f aca="false">IF($B59="","",الموظفون!$O59*$J59/cfg_DAYS_M)</f>
        <v/>
      </c>
      <c r="O59" s="156" t="str">
        <f aca="false">IF($B59="","",SUMIFS('الحركات الشهرية'!$F$6:$F$1005,'الحركات الشهرية'!$B$6:$B$1005,$B59,'الحركات الشهرية'!$A$6:$A$1005,$C$3))</f>
        <v/>
      </c>
      <c r="P59" s="116" t="str">
        <f aca="false">IF($B59="","",O59*(الموظفون!$P59+الموظفون!$L59*cfg_OT_P)/cfg_DAYS_M/cfg_HRS)</f>
        <v/>
      </c>
      <c r="Q59" s="116" t="str">
        <f aca="false">IF($B59="","",SUMIFS('الحركات الشهرية'!$G$6:$G$1005,'الحركات الشهرية'!$B$6:$B$1005,$B59,'الحركات الشهرية'!$A$6:$A$1005,$C$3))</f>
        <v/>
      </c>
      <c r="R59" s="116" t="str">
        <f aca="false">IF($B59="","",SUMIFS('الحركات الشهرية'!$H$6:$H$1005,'الحركات الشهرية'!$B$6:$B$1005,$B59,'الحركات الشهرية'!$A$6:$A$1005,$C$3))</f>
        <v/>
      </c>
      <c r="S59" s="116" t="str">
        <f aca="false">IF($B59="","",SUMIFS('سجل الإجازات والحالات'!$N$6:$N$505,'سجل الإجازات والحالات'!$B$6:$B$505,$B59,'سجل الإجازات والحالات'!$O$6:$O$505,$C$3))</f>
        <v/>
      </c>
      <c r="T59" s="157" t="str">
        <f aca="false">IF($B59="","",SUM(K59:N59)+SUM(P59:S59))</f>
        <v/>
      </c>
      <c r="U59" s="116" t="str">
        <f aca="false">IF($B59="","",الموظفون!$S59*IF(E59="سعودي",cfg_G_SE,cfg_G_NE)*G59/cfg_DAYS_M)</f>
        <v/>
      </c>
      <c r="V59" s="116" t="str">
        <f aca="false">IF($B59="","",SUMIFS('الحركات الشهرية'!$I$6:$I$1005,'الحركات الشهرية'!$B$6:$B$1005,$B59,'الحركات الشهرية'!$A$6:$A$1005,$C$3))</f>
        <v/>
      </c>
      <c r="W59" s="116" t="str">
        <f aca="false">IF($B59="","",SUMIFS('الحركات الشهرية'!$J$6:$J$1005,'الحركات الشهرية'!$B$6:$B$1005,$B59,'الحركات الشهرية'!$A$6:$A$1005,$C$3))</f>
        <v/>
      </c>
      <c r="X59" s="116" t="str">
        <f aca="false">IF($B59="","",SUM(U59:W59))</f>
        <v/>
      </c>
      <c r="Y59" s="158" t="str">
        <f aca="false">IF($B59="","",T59-X59)</f>
        <v/>
      </c>
      <c r="Z59" s="116" t="str">
        <f aca="false">IF($B59="","",الموظفون!$S59*IF(E59="سعودي",cfg_G_SR,cfg_G_NR)*G59/cfg_DAYS_M)</f>
        <v/>
      </c>
      <c r="AA59" s="116" t="str">
        <f aca="false">IF($B59="","",الموظفون!$Q59*(cfg_EOS_R1*(MIN(AH59,cfg_EOS_TH)-MIN(AI59,cfg_EOS_TH))+cfg_EOS_R2*(MAX(AH59-cfg_EOS_TH,0)-MAX(AI59-cfg_EOS_TH,0))))</f>
        <v/>
      </c>
      <c r="AB59" s="116" t="str">
        <f aca="false">IF($B59="","",IF(الموظفون!$T59&lt;&gt;"",الموظفون!$T59,IF(AH59&gt;=cfg_LV_TH,cfg_LV_D2,cfg_LV_D1))/cfg_DAYS_Y*AJ59*الموظفون!$R59/cfg_DAYS_M)</f>
        <v/>
      </c>
      <c r="AC59" s="116" t="str">
        <f aca="false">IF($B59="","",IF(AND(الموظفون!$U59="نعم",N(الموظفون!$W59)&gt;0),الموظفون!$V59/الموظفون!$W59*12/cfg_DAYS_Y*AJ59,0))</f>
        <v/>
      </c>
      <c r="AD59" s="116" t="str">
        <f aca="false">IF($B59="","",(IF(الموظفون!$X59&lt;&gt;"",الموظفون!$X59,IF(الموظفون!$E59="غير سعودي",cfg_IQ,0))+IF(الموظفون!$Y59&lt;&gt;"",الموظفون!$Y59,IF(الموظفون!$E59="غير سعودي",cfg_WP,0)))/12*G59/cfg_DAYS_M)</f>
        <v/>
      </c>
      <c r="AE59" s="116" t="str">
        <f aca="false">IF($B59="","",IF(الموظفون!$Z59&lt;&gt;"",الموظفون!$Z59,cfg_MED)/12*G59/cfg_DAYS_M)</f>
        <v/>
      </c>
      <c r="AF59" s="116" t="str">
        <f aca="false">IF($B59="","",N(الموظفون!$AA59)/12*G59/cfg_DAYS_M)</f>
        <v/>
      </c>
      <c r="AG59" s="159" t="str">
        <f aca="false">IF($B59="","",T59+SUM(Z59:AF59))</f>
        <v/>
      </c>
      <c r="AH59" s="160" t="str">
        <f aca="false">IF($B59="","",MAX(0,IF(OR(الموظفون!$AE59="",الموظفون!$AE59&gt;$F$3),$F$3,الموظفون!$AE59)-الموظفون!$H59+1-SUMIFS('سجل الإجازات والحالات'!$AJ$6:$AJ$505,'سجل الإجازات والحالات'!$B$6:$B$505,$B59))/cfg_DAYS_Y)</f>
        <v/>
      </c>
      <c r="AI59" s="160" t="str">
        <f aca="false">IF($B59="","",MAX(0,IF(OR(الموظفون!$AE59="",الموظفون!$AE59&gt;($E$3-1)),($E$3-1),الموظفون!$AE59)-الموظفون!$H59+1-SUMIFS('سجل الإجازات والحالات'!$AI$6:$AI$505,'سجل الإجازات والحالات'!$B$6:$B$505,$B59))/cfg_DAYS_Y)</f>
        <v/>
      </c>
      <c r="AJ59" s="133" t="str">
        <f aca="false">IF($B59="","",MAX(0,AK59-(SUMIFS('سجل الإجازات والحالات'!$AJ$6:$AJ$505,'سجل الإجازات والحالات'!$B$6:$B$505,$B59)-SUMIFS('سجل الإجازات والحالات'!$AI$6:$AI$505,'سجل الإجازات والحالات'!$B$6:$B$505,$B59))))</f>
        <v/>
      </c>
      <c r="AK59" s="133" t="str">
        <f aca="false">IF($B59="","",MAX(0,IF(OR(الموظفون!$AE59="",الموظفون!$AE59&gt;$F$3),$F$3,الموظفون!$AE59)-MAX($E$3,الموظفون!$H59)+1))</f>
        <v/>
      </c>
      <c r="AL59" s="156" t="str">
        <f aca="false">IF($B59="","",SUMIFS('سجل الإجازات والحالات'!$AV$6:$AV$505,'سجل الإجازات والحالات'!$B$6:$B$505,$B59)+SUMIFS('الحركات الشهرية'!$K$6:$K$1005,'الحركات الشهرية'!$B$6:$B$1005,$B59,'الحركات الشهرية'!$A$6:$A$1005,$C$3))</f>
        <v/>
      </c>
      <c r="AM59" s="116" t="str">
        <f aca="false">IF($B59="","",AL59*الموظفون!$R59/cfg_DAYS_M+S59)</f>
        <v/>
      </c>
      <c r="AN59" s="156" t="str">
        <f aca="false">IF($B59="","",SUMIFS('سجل الإجازات والحالات'!$X$6:$X$505,'سجل الإجازات والحالات'!$B$6:$B$505,$B59))</f>
        <v/>
      </c>
    </row>
    <row r="60" customFormat="false" ht="15" hidden="false" customHeight="false" outlineLevel="0" collapsed="false">
      <c r="A60" s="106" t="str">
        <f aca="false">IF($B60="","",الموظفون!$A60)</f>
        <v/>
      </c>
      <c r="B60" s="114" t="str">
        <f aca="false">IF(الموظفون!$B60="","",الموظفون!$B60)</f>
        <v/>
      </c>
      <c r="C60" s="114" t="str">
        <f aca="false">IF($B60="","",الموظفون!$C60)</f>
        <v/>
      </c>
      <c r="D60" s="114" t="str">
        <f aca="false">IF($B60="","",الموظفون!$F60)</f>
        <v/>
      </c>
      <c r="E60" s="114" t="str">
        <f aca="false">IF($B60="","",الموظفون!$E60)</f>
        <v/>
      </c>
      <c r="F60" s="114" t="str">
        <f aca="false">IF($B60="","",IF(AK60=0,IF(AND(الموظفون!$AE60&lt;&gt;"",الموظفون!$AE60&lt;$E$3),"✖ منتهي الخدمة","⏳ لم يباشر"),IF(S60&gt;0,"✈ راتب إجازة مقدم",IF(J60=0,"⛔ بدون راتب هذا الشهر",IF(I60&gt;0,"✈ خصم "&amp;ROUND(I60,2)&amp;" يوم بدون أجر",IF(AL60&gt;0,"🌴 إجازة سنوية "&amp;ROUND(AL60,2)&amp;" يوم",IF(H60&gt;0,"⚠ غياب "&amp;ROUND(H60,2)&amp;" يوم","✔ على رأس العمل")))))))</f>
        <v/>
      </c>
      <c r="G60" s="151" t="str">
        <f aca="false">IF($B60="","",IF(AK60&gt;=DAY($F$3),cfg_DAYS_M,MIN(AK60,cfg_DAYS_M)))</f>
        <v/>
      </c>
      <c r="H60" s="151" t="str">
        <f aca="false">IF($B60="","",SUMIFS('الحركات الشهرية'!$D$6:$D$1005,'الحركات الشهرية'!$B$6:$B$1005,$B60,'الحركات الشهرية'!$A$6:$A$1005,$C$3))</f>
        <v/>
      </c>
      <c r="I60" s="151" t="str">
        <f aca="false">IF($B60="","",MIN(G60,IF(AND(AK60&gt;0,AN60&gt;=AK60),G60,AN60)+SUMIFS('الحركات الشهرية'!$E$6:$E$1005,'الحركات الشهرية'!$B$6:$B$1005,$B60,'الحركات الشهرية'!$A$6:$A$1005,$C$3)))</f>
        <v/>
      </c>
      <c r="J60" s="151" t="str">
        <f aca="false">IF($B60="","",MAX(0,G60-H60-I60))</f>
        <v/>
      </c>
      <c r="K60" s="111" t="str">
        <f aca="false">IF($B60="","",الموظفون!$L60*$J60/cfg_DAYS_M)</f>
        <v/>
      </c>
      <c r="L60" s="111" t="str">
        <f aca="false">IF($B60="","",الموظفون!$M60*$J60/cfg_DAYS_M)</f>
        <v/>
      </c>
      <c r="M60" s="111" t="str">
        <f aca="false">IF($B60="","",الموظفون!$N60*$J60/cfg_DAYS_M)</f>
        <v/>
      </c>
      <c r="N60" s="111" t="str">
        <f aca="false">IF($B60="","",الموظفون!$O60*$J60/cfg_DAYS_M)</f>
        <v/>
      </c>
      <c r="O60" s="151" t="str">
        <f aca="false">IF($B60="","",SUMIFS('الحركات الشهرية'!$F$6:$F$1005,'الحركات الشهرية'!$B$6:$B$1005,$B60,'الحركات الشهرية'!$A$6:$A$1005,$C$3))</f>
        <v/>
      </c>
      <c r="P60" s="111" t="str">
        <f aca="false">IF($B60="","",O60*(الموظفون!$P60+الموظفون!$L60*cfg_OT_P)/cfg_DAYS_M/cfg_HRS)</f>
        <v/>
      </c>
      <c r="Q60" s="111" t="str">
        <f aca="false">IF($B60="","",SUMIFS('الحركات الشهرية'!$G$6:$G$1005,'الحركات الشهرية'!$B$6:$B$1005,$B60,'الحركات الشهرية'!$A$6:$A$1005,$C$3))</f>
        <v/>
      </c>
      <c r="R60" s="111" t="str">
        <f aca="false">IF($B60="","",SUMIFS('الحركات الشهرية'!$H$6:$H$1005,'الحركات الشهرية'!$B$6:$B$1005,$B60,'الحركات الشهرية'!$A$6:$A$1005,$C$3))</f>
        <v/>
      </c>
      <c r="S60" s="111" t="str">
        <f aca="false">IF($B60="","",SUMIFS('سجل الإجازات والحالات'!$N$6:$N$505,'سجل الإجازات والحالات'!$B$6:$B$505,$B60,'سجل الإجازات والحالات'!$O$6:$O$505,$C$3))</f>
        <v/>
      </c>
      <c r="T60" s="152" t="str">
        <f aca="false">IF($B60="","",SUM(K60:N60)+SUM(P60:S60))</f>
        <v/>
      </c>
      <c r="U60" s="111" t="str">
        <f aca="false">IF($B60="","",الموظفون!$S60*IF(E60="سعودي",cfg_G_SE,cfg_G_NE)*G60/cfg_DAYS_M)</f>
        <v/>
      </c>
      <c r="V60" s="111" t="str">
        <f aca="false">IF($B60="","",SUMIFS('الحركات الشهرية'!$I$6:$I$1005,'الحركات الشهرية'!$B$6:$B$1005,$B60,'الحركات الشهرية'!$A$6:$A$1005,$C$3))</f>
        <v/>
      </c>
      <c r="W60" s="111" t="str">
        <f aca="false">IF($B60="","",SUMIFS('الحركات الشهرية'!$J$6:$J$1005,'الحركات الشهرية'!$B$6:$B$1005,$B60,'الحركات الشهرية'!$A$6:$A$1005,$C$3))</f>
        <v/>
      </c>
      <c r="X60" s="111" t="str">
        <f aca="false">IF($B60="","",SUM(U60:W60))</f>
        <v/>
      </c>
      <c r="Y60" s="153" t="str">
        <f aca="false">IF($B60="","",T60-X60)</f>
        <v/>
      </c>
      <c r="Z60" s="111" t="str">
        <f aca="false">IF($B60="","",الموظفون!$S60*IF(E60="سعودي",cfg_G_SR,cfg_G_NR)*G60/cfg_DAYS_M)</f>
        <v/>
      </c>
      <c r="AA60" s="111" t="str">
        <f aca="false">IF($B60="","",الموظفون!$Q60*(cfg_EOS_R1*(MIN(AH60,cfg_EOS_TH)-MIN(AI60,cfg_EOS_TH))+cfg_EOS_R2*(MAX(AH60-cfg_EOS_TH,0)-MAX(AI60-cfg_EOS_TH,0))))</f>
        <v/>
      </c>
      <c r="AB60" s="111" t="str">
        <f aca="false">IF($B60="","",IF(الموظفون!$T60&lt;&gt;"",الموظفون!$T60,IF(AH60&gt;=cfg_LV_TH,cfg_LV_D2,cfg_LV_D1))/cfg_DAYS_Y*AJ60*الموظفون!$R60/cfg_DAYS_M)</f>
        <v/>
      </c>
      <c r="AC60" s="111" t="str">
        <f aca="false">IF($B60="","",IF(AND(الموظفون!$U60="نعم",N(الموظفون!$W60)&gt;0),الموظفون!$V60/الموظفون!$W60*12/cfg_DAYS_Y*AJ60,0))</f>
        <v/>
      </c>
      <c r="AD60" s="111" t="str">
        <f aca="false">IF($B60="","",(IF(الموظفون!$X60&lt;&gt;"",الموظفون!$X60,IF(الموظفون!$E60="غير سعودي",cfg_IQ,0))+IF(الموظفون!$Y60&lt;&gt;"",الموظفون!$Y60,IF(الموظفون!$E60="غير سعودي",cfg_WP,0)))/12*G60/cfg_DAYS_M)</f>
        <v/>
      </c>
      <c r="AE60" s="111" t="str">
        <f aca="false">IF($B60="","",IF(الموظفون!$Z60&lt;&gt;"",الموظفون!$Z60,cfg_MED)/12*G60/cfg_DAYS_M)</f>
        <v/>
      </c>
      <c r="AF60" s="111" t="str">
        <f aca="false">IF($B60="","",N(الموظفون!$AA60)/12*G60/cfg_DAYS_M)</f>
        <v/>
      </c>
      <c r="AG60" s="154" t="str">
        <f aca="false">IF($B60="","",T60+SUM(Z60:AF60))</f>
        <v/>
      </c>
      <c r="AH60" s="155" t="str">
        <f aca="false">IF($B60="","",MAX(0,IF(OR(الموظفون!$AE60="",الموظفون!$AE60&gt;$F$3),$F$3,الموظفون!$AE60)-الموظفون!$H60+1-SUMIFS('سجل الإجازات والحالات'!$AJ$6:$AJ$505,'سجل الإجازات والحالات'!$B$6:$B$505,$B60))/cfg_DAYS_Y)</f>
        <v/>
      </c>
      <c r="AI60" s="155" t="str">
        <f aca="false">IF($B60="","",MAX(0,IF(OR(الموظفون!$AE60="",الموظفون!$AE60&gt;($E$3-1)),($E$3-1),الموظفون!$AE60)-الموظفون!$H60+1-SUMIFS('سجل الإجازات والحالات'!$AI$6:$AI$505,'سجل الإجازات والحالات'!$B$6:$B$505,$B60))/cfg_DAYS_Y)</f>
        <v/>
      </c>
      <c r="AJ60" s="65" t="str">
        <f aca="false">IF($B60="","",MAX(0,AK60-(SUMIFS('سجل الإجازات والحالات'!$AJ$6:$AJ$505,'سجل الإجازات والحالات'!$B$6:$B$505,$B60)-SUMIFS('سجل الإجازات والحالات'!$AI$6:$AI$505,'سجل الإجازات والحالات'!$B$6:$B$505,$B60))))</f>
        <v/>
      </c>
      <c r="AK60" s="65" t="str">
        <f aca="false">IF($B60="","",MAX(0,IF(OR(الموظفون!$AE60="",الموظفون!$AE60&gt;$F$3),$F$3,الموظفون!$AE60)-MAX($E$3,الموظفون!$H60)+1))</f>
        <v/>
      </c>
      <c r="AL60" s="151" t="str">
        <f aca="false">IF($B60="","",SUMIFS('سجل الإجازات والحالات'!$AV$6:$AV$505,'سجل الإجازات والحالات'!$B$6:$B$505,$B60)+SUMIFS('الحركات الشهرية'!$K$6:$K$1005,'الحركات الشهرية'!$B$6:$B$1005,$B60,'الحركات الشهرية'!$A$6:$A$1005,$C$3))</f>
        <v/>
      </c>
      <c r="AM60" s="111" t="str">
        <f aca="false">IF($B60="","",AL60*الموظفون!$R60/cfg_DAYS_M+S60)</f>
        <v/>
      </c>
      <c r="AN60" s="151" t="str">
        <f aca="false">IF($B60="","",SUMIFS('سجل الإجازات والحالات'!$X$6:$X$505,'سجل الإجازات والحالات'!$B$6:$B$505,$B60))</f>
        <v/>
      </c>
    </row>
    <row r="61" customFormat="false" ht="15" hidden="false" customHeight="false" outlineLevel="0" collapsed="false">
      <c r="A61" s="115" t="str">
        <f aca="false">IF($B61="","",الموظفون!$A61)</f>
        <v/>
      </c>
      <c r="B61" s="117" t="str">
        <f aca="false">IF(الموظفون!$B61="","",الموظفون!$B61)</f>
        <v/>
      </c>
      <c r="C61" s="117" t="str">
        <f aca="false">IF($B61="","",الموظفون!$C61)</f>
        <v/>
      </c>
      <c r="D61" s="117" t="str">
        <f aca="false">IF($B61="","",الموظفون!$F61)</f>
        <v/>
      </c>
      <c r="E61" s="117" t="str">
        <f aca="false">IF($B61="","",الموظفون!$E61)</f>
        <v/>
      </c>
      <c r="F61" s="117" t="str">
        <f aca="false">IF($B61="","",IF(AK61=0,IF(AND(الموظفون!$AE61&lt;&gt;"",الموظفون!$AE61&lt;$E$3),"✖ منتهي الخدمة","⏳ لم يباشر"),IF(S61&gt;0,"✈ راتب إجازة مقدم",IF(J61=0,"⛔ بدون راتب هذا الشهر",IF(I61&gt;0,"✈ خصم "&amp;ROUND(I61,2)&amp;" يوم بدون أجر",IF(AL61&gt;0,"🌴 إجازة سنوية "&amp;ROUND(AL61,2)&amp;" يوم",IF(H61&gt;0,"⚠ غياب "&amp;ROUND(H61,2)&amp;" يوم","✔ على رأس العمل")))))))</f>
        <v/>
      </c>
      <c r="G61" s="156" t="str">
        <f aca="false">IF($B61="","",IF(AK61&gt;=DAY($F$3),cfg_DAYS_M,MIN(AK61,cfg_DAYS_M)))</f>
        <v/>
      </c>
      <c r="H61" s="156" t="str">
        <f aca="false">IF($B61="","",SUMIFS('الحركات الشهرية'!$D$6:$D$1005,'الحركات الشهرية'!$B$6:$B$1005,$B61,'الحركات الشهرية'!$A$6:$A$1005,$C$3))</f>
        <v/>
      </c>
      <c r="I61" s="156" t="str">
        <f aca="false">IF($B61="","",MIN(G61,IF(AND(AK61&gt;0,AN61&gt;=AK61),G61,AN61)+SUMIFS('الحركات الشهرية'!$E$6:$E$1005,'الحركات الشهرية'!$B$6:$B$1005,$B61,'الحركات الشهرية'!$A$6:$A$1005,$C$3)))</f>
        <v/>
      </c>
      <c r="J61" s="156" t="str">
        <f aca="false">IF($B61="","",MAX(0,G61-H61-I61))</f>
        <v/>
      </c>
      <c r="K61" s="116" t="str">
        <f aca="false">IF($B61="","",الموظفون!$L61*$J61/cfg_DAYS_M)</f>
        <v/>
      </c>
      <c r="L61" s="116" t="str">
        <f aca="false">IF($B61="","",الموظفون!$M61*$J61/cfg_DAYS_M)</f>
        <v/>
      </c>
      <c r="M61" s="116" t="str">
        <f aca="false">IF($B61="","",الموظفون!$N61*$J61/cfg_DAYS_M)</f>
        <v/>
      </c>
      <c r="N61" s="116" t="str">
        <f aca="false">IF($B61="","",الموظفون!$O61*$J61/cfg_DAYS_M)</f>
        <v/>
      </c>
      <c r="O61" s="156" t="str">
        <f aca="false">IF($B61="","",SUMIFS('الحركات الشهرية'!$F$6:$F$1005,'الحركات الشهرية'!$B$6:$B$1005,$B61,'الحركات الشهرية'!$A$6:$A$1005,$C$3))</f>
        <v/>
      </c>
      <c r="P61" s="116" t="str">
        <f aca="false">IF($B61="","",O61*(الموظفون!$P61+الموظفون!$L61*cfg_OT_P)/cfg_DAYS_M/cfg_HRS)</f>
        <v/>
      </c>
      <c r="Q61" s="116" t="str">
        <f aca="false">IF($B61="","",SUMIFS('الحركات الشهرية'!$G$6:$G$1005,'الحركات الشهرية'!$B$6:$B$1005,$B61,'الحركات الشهرية'!$A$6:$A$1005,$C$3))</f>
        <v/>
      </c>
      <c r="R61" s="116" t="str">
        <f aca="false">IF($B61="","",SUMIFS('الحركات الشهرية'!$H$6:$H$1005,'الحركات الشهرية'!$B$6:$B$1005,$B61,'الحركات الشهرية'!$A$6:$A$1005,$C$3))</f>
        <v/>
      </c>
      <c r="S61" s="116" t="str">
        <f aca="false">IF($B61="","",SUMIFS('سجل الإجازات والحالات'!$N$6:$N$505,'سجل الإجازات والحالات'!$B$6:$B$505,$B61,'سجل الإجازات والحالات'!$O$6:$O$505,$C$3))</f>
        <v/>
      </c>
      <c r="T61" s="157" t="str">
        <f aca="false">IF($B61="","",SUM(K61:N61)+SUM(P61:S61))</f>
        <v/>
      </c>
      <c r="U61" s="116" t="str">
        <f aca="false">IF($B61="","",الموظفون!$S61*IF(E61="سعودي",cfg_G_SE,cfg_G_NE)*G61/cfg_DAYS_M)</f>
        <v/>
      </c>
      <c r="V61" s="116" t="str">
        <f aca="false">IF($B61="","",SUMIFS('الحركات الشهرية'!$I$6:$I$1005,'الحركات الشهرية'!$B$6:$B$1005,$B61,'الحركات الشهرية'!$A$6:$A$1005,$C$3))</f>
        <v/>
      </c>
      <c r="W61" s="116" t="str">
        <f aca="false">IF($B61="","",SUMIFS('الحركات الشهرية'!$J$6:$J$1005,'الحركات الشهرية'!$B$6:$B$1005,$B61,'الحركات الشهرية'!$A$6:$A$1005,$C$3))</f>
        <v/>
      </c>
      <c r="X61" s="116" t="str">
        <f aca="false">IF($B61="","",SUM(U61:W61))</f>
        <v/>
      </c>
      <c r="Y61" s="158" t="str">
        <f aca="false">IF($B61="","",T61-X61)</f>
        <v/>
      </c>
      <c r="Z61" s="116" t="str">
        <f aca="false">IF($B61="","",الموظفون!$S61*IF(E61="سعودي",cfg_G_SR,cfg_G_NR)*G61/cfg_DAYS_M)</f>
        <v/>
      </c>
      <c r="AA61" s="116" t="str">
        <f aca="false">IF($B61="","",الموظفون!$Q61*(cfg_EOS_R1*(MIN(AH61,cfg_EOS_TH)-MIN(AI61,cfg_EOS_TH))+cfg_EOS_R2*(MAX(AH61-cfg_EOS_TH,0)-MAX(AI61-cfg_EOS_TH,0))))</f>
        <v/>
      </c>
      <c r="AB61" s="116" t="str">
        <f aca="false">IF($B61="","",IF(الموظفون!$T61&lt;&gt;"",الموظفون!$T61,IF(AH61&gt;=cfg_LV_TH,cfg_LV_D2,cfg_LV_D1))/cfg_DAYS_Y*AJ61*الموظفون!$R61/cfg_DAYS_M)</f>
        <v/>
      </c>
      <c r="AC61" s="116" t="str">
        <f aca="false">IF($B61="","",IF(AND(الموظفون!$U61="نعم",N(الموظفون!$W61)&gt;0),الموظفون!$V61/الموظفون!$W61*12/cfg_DAYS_Y*AJ61,0))</f>
        <v/>
      </c>
      <c r="AD61" s="116" t="str">
        <f aca="false">IF($B61="","",(IF(الموظفون!$X61&lt;&gt;"",الموظفون!$X61,IF(الموظفون!$E61="غير سعودي",cfg_IQ,0))+IF(الموظفون!$Y61&lt;&gt;"",الموظفون!$Y61,IF(الموظفون!$E61="غير سعودي",cfg_WP,0)))/12*G61/cfg_DAYS_M)</f>
        <v/>
      </c>
      <c r="AE61" s="116" t="str">
        <f aca="false">IF($B61="","",IF(الموظفون!$Z61&lt;&gt;"",الموظفون!$Z61,cfg_MED)/12*G61/cfg_DAYS_M)</f>
        <v/>
      </c>
      <c r="AF61" s="116" t="str">
        <f aca="false">IF($B61="","",N(الموظفون!$AA61)/12*G61/cfg_DAYS_M)</f>
        <v/>
      </c>
      <c r="AG61" s="159" t="str">
        <f aca="false">IF($B61="","",T61+SUM(Z61:AF61))</f>
        <v/>
      </c>
      <c r="AH61" s="160" t="str">
        <f aca="false">IF($B61="","",MAX(0,IF(OR(الموظفون!$AE61="",الموظفون!$AE61&gt;$F$3),$F$3,الموظفون!$AE61)-الموظفون!$H61+1-SUMIFS('سجل الإجازات والحالات'!$AJ$6:$AJ$505,'سجل الإجازات والحالات'!$B$6:$B$505,$B61))/cfg_DAYS_Y)</f>
        <v/>
      </c>
      <c r="AI61" s="160" t="str">
        <f aca="false">IF($B61="","",MAX(0,IF(OR(الموظفون!$AE61="",الموظفون!$AE61&gt;($E$3-1)),($E$3-1),الموظفون!$AE61)-الموظفون!$H61+1-SUMIFS('سجل الإجازات والحالات'!$AI$6:$AI$505,'سجل الإجازات والحالات'!$B$6:$B$505,$B61))/cfg_DAYS_Y)</f>
        <v/>
      </c>
      <c r="AJ61" s="133" t="str">
        <f aca="false">IF($B61="","",MAX(0,AK61-(SUMIFS('سجل الإجازات والحالات'!$AJ$6:$AJ$505,'سجل الإجازات والحالات'!$B$6:$B$505,$B61)-SUMIFS('سجل الإجازات والحالات'!$AI$6:$AI$505,'سجل الإجازات والحالات'!$B$6:$B$505,$B61))))</f>
        <v/>
      </c>
      <c r="AK61" s="133" t="str">
        <f aca="false">IF($B61="","",MAX(0,IF(OR(الموظفون!$AE61="",الموظفون!$AE61&gt;$F$3),$F$3,الموظفون!$AE61)-MAX($E$3,الموظفون!$H61)+1))</f>
        <v/>
      </c>
      <c r="AL61" s="156" t="str">
        <f aca="false">IF($B61="","",SUMIFS('سجل الإجازات والحالات'!$AV$6:$AV$505,'سجل الإجازات والحالات'!$B$6:$B$505,$B61)+SUMIFS('الحركات الشهرية'!$K$6:$K$1005,'الحركات الشهرية'!$B$6:$B$1005,$B61,'الحركات الشهرية'!$A$6:$A$1005,$C$3))</f>
        <v/>
      </c>
      <c r="AM61" s="116" t="str">
        <f aca="false">IF($B61="","",AL61*الموظفون!$R61/cfg_DAYS_M+S61)</f>
        <v/>
      </c>
      <c r="AN61" s="156" t="str">
        <f aca="false">IF($B61="","",SUMIFS('سجل الإجازات والحالات'!$X$6:$X$505,'سجل الإجازات والحالات'!$B$6:$B$505,$B61))</f>
        <v/>
      </c>
    </row>
    <row r="62" customFormat="false" ht="15" hidden="false" customHeight="false" outlineLevel="0" collapsed="false">
      <c r="A62" s="106" t="str">
        <f aca="false">IF($B62="","",الموظفون!$A62)</f>
        <v/>
      </c>
      <c r="B62" s="114" t="str">
        <f aca="false">IF(الموظفون!$B62="","",الموظفون!$B62)</f>
        <v/>
      </c>
      <c r="C62" s="114" t="str">
        <f aca="false">IF($B62="","",الموظفون!$C62)</f>
        <v/>
      </c>
      <c r="D62" s="114" t="str">
        <f aca="false">IF($B62="","",الموظفون!$F62)</f>
        <v/>
      </c>
      <c r="E62" s="114" t="str">
        <f aca="false">IF($B62="","",الموظفون!$E62)</f>
        <v/>
      </c>
      <c r="F62" s="114" t="str">
        <f aca="false">IF($B62="","",IF(AK62=0,IF(AND(الموظفون!$AE62&lt;&gt;"",الموظفون!$AE62&lt;$E$3),"✖ منتهي الخدمة","⏳ لم يباشر"),IF(S62&gt;0,"✈ راتب إجازة مقدم",IF(J62=0,"⛔ بدون راتب هذا الشهر",IF(I62&gt;0,"✈ خصم "&amp;ROUND(I62,2)&amp;" يوم بدون أجر",IF(AL62&gt;0,"🌴 إجازة سنوية "&amp;ROUND(AL62,2)&amp;" يوم",IF(H62&gt;0,"⚠ غياب "&amp;ROUND(H62,2)&amp;" يوم","✔ على رأس العمل")))))))</f>
        <v/>
      </c>
      <c r="G62" s="151" t="str">
        <f aca="false">IF($B62="","",IF(AK62&gt;=DAY($F$3),cfg_DAYS_M,MIN(AK62,cfg_DAYS_M)))</f>
        <v/>
      </c>
      <c r="H62" s="151" t="str">
        <f aca="false">IF($B62="","",SUMIFS('الحركات الشهرية'!$D$6:$D$1005,'الحركات الشهرية'!$B$6:$B$1005,$B62,'الحركات الشهرية'!$A$6:$A$1005,$C$3))</f>
        <v/>
      </c>
      <c r="I62" s="151" t="str">
        <f aca="false">IF($B62="","",MIN(G62,IF(AND(AK62&gt;0,AN62&gt;=AK62),G62,AN62)+SUMIFS('الحركات الشهرية'!$E$6:$E$1005,'الحركات الشهرية'!$B$6:$B$1005,$B62,'الحركات الشهرية'!$A$6:$A$1005,$C$3)))</f>
        <v/>
      </c>
      <c r="J62" s="151" t="str">
        <f aca="false">IF($B62="","",MAX(0,G62-H62-I62))</f>
        <v/>
      </c>
      <c r="K62" s="111" t="str">
        <f aca="false">IF($B62="","",الموظفون!$L62*$J62/cfg_DAYS_M)</f>
        <v/>
      </c>
      <c r="L62" s="111" t="str">
        <f aca="false">IF($B62="","",الموظفون!$M62*$J62/cfg_DAYS_M)</f>
        <v/>
      </c>
      <c r="M62" s="111" t="str">
        <f aca="false">IF($B62="","",الموظفون!$N62*$J62/cfg_DAYS_M)</f>
        <v/>
      </c>
      <c r="N62" s="111" t="str">
        <f aca="false">IF($B62="","",الموظفون!$O62*$J62/cfg_DAYS_M)</f>
        <v/>
      </c>
      <c r="O62" s="151" t="str">
        <f aca="false">IF($B62="","",SUMIFS('الحركات الشهرية'!$F$6:$F$1005,'الحركات الشهرية'!$B$6:$B$1005,$B62,'الحركات الشهرية'!$A$6:$A$1005,$C$3))</f>
        <v/>
      </c>
      <c r="P62" s="111" t="str">
        <f aca="false">IF($B62="","",O62*(الموظفون!$P62+الموظفون!$L62*cfg_OT_P)/cfg_DAYS_M/cfg_HRS)</f>
        <v/>
      </c>
      <c r="Q62" s="111" t="str">
        <f aca="false">IF($B62="","",SUMIFS('الحركات الشهرية'!$G$6:$G$1005,'الحركات الشهرية'!$B$6:$B$1005,$B62,'الحركات الشهرية'!$A$6:$A$1005,$C$3))</f>
        <v/>
      </c>
      <c r="R62" s="111" t="str">
        <f aca="false">IF($B62="","",SUMIFS('الحركات الشهرية'!$H$6:$H$1005,'الحركات الشهرية'!$B$6:$B$1005,$B62,'الحركات الشهرية'!$A$6:$A$1005,$C$3))</f>
        <v/>
      </c>
      <c r="S62" s="111" t="str">
        <f aca="false">IF($B62="","",SUMIFS('سجل الإجازات والحالات'!$N$6:$N$505,'سجل الإجازات والحالات'!$B$6:$B$505,$B62,'سجل الإجازات والحالات'!$O$6:$O$505,$C$3))</f>
        <v/>
      </c>
      <c r="T62" s="152" t="str">
        <f aca="false">IF($B62="","",SUM(K62:N62)+SUM(P62:S62))</f>
        <v/>
      </c>
      <c r="U62" s="111" t="str">
        <f aca="false">IF($B62="","",الموظفون!$S62*IF(E62="سعودي",cfg_G_SE,cfg_G_NE)*G62/cfg_DAYS_M)</f>
        <v/>
      </c>
      <c r="V62" s="111" t="str">
        <f aca="false">IF($B62="","",SUMIFS('الحركات الشهرية'!$I$6:$I$1005,'الحركات الشهرية'!$B$6:$B$1005,$B62,'الحركات الشهرية'!$A$6:$A$1005,$C$3))</f>
        <v/>
      </c>
      <c r="W62" s="111" t="str">
        <f aca="false">IF($B62="","",SUMIFS('الحركات الشهرية'!$J$6:$J$1005,'الحركات الشهرية'!$B$6:$B$1005,$B62,'الحركات الشهرية'!$A$6:$A$1005,$C$3))</f>
        <v/>
      </c>
      <c r="X62" s="111" t="str">
        <f aca="false">IF($B62="","",SUM(U62:W62))</f>
        <v/>
      </c>
      <c r="Y62" s="153" t="str">
        <f aca="false">IF($B62="","",T62-X62)</f>
        <v/>
      </c>
      <c r="Z62" s="111" t="str">
        <f aca="false">IF($B62="","",الموظفون!$S62*IF(E62="سعودي",cfg_G_SR,cfg_G_NR)*G62/cfg_DAYS_M)</f>
        <v/>
      </c>
      <c r="AA62" s="111" t="str">
        <f aca="false">IF($B62="","",الموظفون!$Q62*(cfg_EOS_R1*(MIN(AH62,cfg_EOS_TH)-MIN(AI62,cfg_EOS_TH))+cfg_EOS_R2*(MAX(AH62-cfg_EOS_TH,0)-MAX(AI62-cfg_EOS_TH,0))))</f>
        <v/>
      </c>
      <c r="AB62" s="111" t="str">
        <f aca="false">IF($B62="","",IF(الموظفون!$T62&lt;&gt;"",الموظفون!$T62,IF(AH62&gt;=cfg_LV_TH,cfg_LV_D2,cfg_LV_D1))/cfg_DAYS_Y*AJ62*الموظفون!$R62/cfg_DAYS_M)</f>
        <v/>
      </c>
      <c r="AC62" s="111" t="str">
        <f aca="false">IF($B62="","",IF(AND(الموظفون!$U62="نعم",N(الموظفون!$W62)&gt;0),الموظفون!$V62/الموظفون!$W62*12/cfg_DAYS_Y*AJ62,0))</f>
        <v/>
      </c>
      <c r="AD62" s="111" t="str">
        <f aca="false">IF($B62="","",(IF(الموظفون!$X62&lt;&gt;"",الموظفون!$X62,IF(الموظفون!$E62="غير سعودي",cfg_IQ,0))+IF(الموظفون!$Y62&lt;&gt;"",الموظفون!$Y62,IF(الموظفون!$E62="غير سعودي",cfg_WP,0)))/12*G62/cfg_DAYS_M)</f>
        <v/>
      </c>
      <c r="AE62" s="111" t="str">
        <f aca="false">IF($B62="","",IF(الموظفون!$Z62&lt;&gt;"",الموظفون!$Z62,cfg_MED)/12*G62/cfg_DAYS_M)</f>
        <v/>
      </c>
      <c r="AF62" s="111" t="str">
        <f aca="false">IF($B62="","",N(الموظفون!$AA62)/12*G62/cfg_DAYS_M)</f>
        <v/>
      </c>
      <c r="AG62" s="154" t="str">
        <f aca="false">IF($B62="","",T62+SUM(Z62:AF62))</f>
        <v/>
      </c>
      <c r="AH62" s="155" t="str">
        <f aca="false">IF($B62="","",MAX(0,IF(OR(الموظفون!$AE62="",الموظفون!$AE62&gt;$F$3),$F$3,الموظفون!$AE62)-الموظفون!$H62+1-SUMIFS('سجل الإجازات والحالات'!$AJ$6:$AJ$505,'سجل الإجازات والحالات'!$B$6:$B$505,$B62))/cfg_DAYS_Y)</f>
        <v/>
      </c>
      <c r="AI62" s="155" t="str">
        <f aca="false">IF($B62="","",MAX(0,IF(OR(الموظفون!$AE62="",الموظفون!$AE62&gt;($E$3-1)),($E$3-1),الموظفون!$AE62)-الموظفون!$H62+1-SUMIFS('سجل الإجازات والحالات'!$AI$6:$AI$505,'سجل الإجازات والحالات'!$B$6:$B$505,$B62))/cfg_DAYS_Y)</f>
        <v/>
      </c>
      <c r="AJ62" s="65" t="str">
        <f aca="false">IF($B62="","",MAX(0,AK62-(SUMIFS('سجل الإجازات والحالات'!$AJ$6:$AJ$505,'سجل الإجازات والحالات'!$B$6:$B$505,$B62)-SUMIFS('سجل الإجازات والحالات'!$AI$6:$AI$505,'سجل الإجازات والحالات'!$B$6:$B$505,$B62))))</f>
        <v/>
      </c>
      <c r="AK62" s="65" t="str">
        <f aca="false">IF($B62="","",MAX(0,IF(OR(الموظفون!$AE62="",الموظفون!$AE62&gt;$F$3),$F$3,الموظفون!$AE62)-MAX($E$3,الموظفون!$H62)+1))</f>
        <v/>
      </c>
      <c r="AL62" s="151" t="str">
        <f aca="false">IF($B62="","",SUMIFS('سجل الإجازات والحالات'!$AV$6:$AV$505,'سجل الإجازات والحالات'!$B$6:$B$505,$B62)+SUMIFS('الحركات الشهرية'!$K$6:$K$1005,'الحركات الشهرية'!$B$6:$B$1005,$B62,'الحركات الشهرية'!$A$6:$A$1005,$C$3))</f>
        <v/>
      </c>
      <c r="AM62" s="111" t="str">
        <f aca="false">IF($B62="","",AL62*الموظفون!$R62/cfg_DAYS_M+S62)</f>
        <v/>
      </c>
      <c r="AN62" s="151" t="str">
        <f aca="false">IF($B62="","",SUMIFS('سجل الإجازات والحالات'!$X$6:$X$505,'سجل الإجازات والحالات'!$B$6:$B$505,$B62))</f>
        <v/>
      </c>
    </row>
    <row r="63" customFormat="false" ht="15" hidden="false" customHeight="false" outlineLevel="0" collapsed="false">
      <c r="A63" s="115" t="str">
        <f aca="false">IF($B63="","",الموظفون!$A63)</f>
        <v/>
      </c>
      <c r="B63" s="117" t="str">
        <f aca="false">IF(الموظفون!$B63="","",الموظفون!$B63)</f>
        <v/>
      </c>
      <c r="C63" s="117" t="str">
        <f aca="false">IF($B63="","",الموظفون!$C63)</f>
        <v/>
      </c>
      <c r="D63" s="117" t="str">
        <f aca="false">IF($B63="","",الموظفون!$F63)</f>
        <v/>
      </c>
      <c r="E63" s="117" t="str">
        <f aca="false">IF($B63="","",الموظفون!$E63)</f>
        <v/>
      </c>
      <c r="F63" s="117" t="str">
        <f aca="false">IF($B63="","",IF(AK63=0,IF(AND(الموظفون!$AE63&lt;&gt;"",الموظفون!$AE63&lt;$E$3),"✖ منتهي الخدمة","⏳ لم يباشر"),IF(S63&gt;0,"✈ راتب إجازة مقدم",IF(J63=0,"⛔ بدون راتب هذا الشهر",IF(I63&gt;0,"✈ خصم "&amp;ROUND(I63,2)&amp;" يوم بدون أجر",IF(AL63&gt;0,"🌴 إجازة سنوية "&amp;ROUND(AL63,2)&amp;" يوم",IF(H63&gt;0,"⚠ غياب "&amp;ROUND(H63,2)&amp;" يوم","✔ على رأس العمل")))))))</f>
        <v/>
      </c>
      <c r="G63" s="156" t="str">
        <f aca="false">IF($B63="","",IF(AK63&gt;=DAY($F$3),cfg_DAYS_M,MIN(AK63,cfg_DAYS_M)))</f>
        <v/>
      </c>
      <c r="H63" s="156" t="str">
        <f aca="false">IF($B63="","",SUMIFS('الحركات الشهرية'!$D$6:$D$1005,'الحركات الشهرية'!$B$6:$B$1005,$B63,'الحركات الشهرية'!$A$6:$A$1005,$C$3))</f>
        <v/>
      </c>
      <c r="I63" s="156" t="str">
        <f aca="false">IF($B63="","",MIN(G63,IF(AND(AK63&gt;0,AN63&gt;=AK63),G63,AN63)+SUMIFS('الحركات الشهرية'!$E$6:$E$1005,'الحركات الشهرية'!$B$6:$B$1005,$B63,'الحركات الشهرية'!$A$6:$A$1005,$C$3)))</f>
        <v/>
      </c>
      <c r="J63" s="156" t="str">
        <f aca="false">IF($B63="","",MAX(0,G63-H63-I63))</f>
        <v/>
      </c>
      <c r="K63" s="116" t="str">
        <f aca="false">IF($B63="","",الموظفون!$L63*$J63/cfg_DAYS_M)</f>
        <v/>
      </c>
      <c r="L63" s="116" t="str">
        <f aca="false">IF($B63="","",الموظفون!$M63*$J63/cfg_DAYS_M)</f>
        <v/>
      </c>
      <c r="M63" s="116" t="str">
        <f aca="false">IF($B63="","",الموظفون!$N63*$J63/cfg_DAYS_M)</f>
        <v/>
      </c>
      <c r="N63" s="116" t="str">
        <f aca="false">IF($B63="","",الموظفون!$O63*$J63/cfg_DAYS_M)</f>
        <v/>
      </c>
      <c r="O63" s="156" t="str">
        <f aca="false">IF($B63="","",SUMIFS('الحركات الشهرية'!$F$6:$F$1005,'الحركات الشهرية'!$B$6:$B$1005,$B63,'الحركات الشهرية'!$A$6:$A$1005,$C$3))</f>
        <v/>
      </c>
      <c r="P63" s="116" t="str">
        <f aca="false">IF($B63="","",O63*(الموظفون!$P63+الموظفون!$L63*cfg_OT_P)/cfg_DAYS_M/cfg_HRS)</f>
        <v/>
      </c>
      <c r="Q63" s="116" t="str">
        <f aca="false">IF($B63="","",SUMIFS('الحركات الشهرية'!$G$6:$G$1005,'الحركات الشهرية'!$B$6:$B$1005,$B63,'الحركات الشهرية'!$A$6:$A$1005,$C$3))</f>
        <v/>
      </c>
      <c r="R63" s="116" t="str">
        <f aca="false">IF($B63="","",SUMIFS('الحركات الشهرية'!$H$6:$H$1005,'الحركات الشهرية'!$B$6:$B$1005,$B63,'الحركات الشهرية'!$A$6:$A$1005,$C$3))</f>
        <v/>
      </c>
      <c r="S63" s="116" t="str">
        <f aca="false">IF($B63="","",SUMIFS('سجل الإجازات والحالات'!$N$6:$N$505,'سجل الإجازات والحالات'!$B$6:$B$505,$B63,'سجل الإجازات والحالات'!$O$6:$O$505,$C$3))</f>
        <v/>
      </c>
      <c r="T63" s="157" t="str">
        <f aca="false">IF($B63="","",SUM(K63:N63)+SUM(P63:S63))</f>
        <v/>
      </c>
      <c r="U63" s="116" t="str">
        <f aca="false">IF($B63="","",الموظفون!$S63*IF(E63="سعودي",cfg_G_SE,cfg_G_NE)*G63/cfg_DAYS_M)</f>
        <v/>
      </c>
      <c r="V63" s="116" t="str">
        <f aca="false">IF($B63="","",SUMIFS('الحركات الشهرية'!$I$6:$I$1005,'الحركات الشهرية'!$B$6:$B$1005,$B63,'الحركات الشهرية'!$A$6:$A$1005,$C$3))</f>
        <v/>
      </c>
      <c r="W63" s="116" t="str">
        <f aca="false">IF($B63="","",SUMIFS('الحركات الشهرية'!$J$6:$J$1005,'الحركات الشهرية'!$B$6:$B$1005,$B63,'الحركات الشهرية'!$A$6:$A$1005,$C$3))</f>
        <v/>
      </c>
      <c r="X63" s="116" t="str">
        <f aca="false">IF($B63="","",SUM(U63:W63))</f>
        <v/>
      </c>
      <c r="Y63" s="158" t="str">
        <f aca="false">IF($B63="","",T63-X63)</f>
        <v/>
      </c>
      <c r="Z63" s="116" t="str">
        <f aca="false">IF($B63="","",الموظفون!$S63*IF(E63="سعودي",cfg_G_SR,cfg_G_NR)*G63/cfg_DAYS_M)</f>
        <v/>
      </c>
      <c r="AA63" s="116" t="str">
        <f aca="false">IF($B63="","",الموظفون!$Q63*(cfg_EOS_R1*(MIN(AH63,cfg_EOS_TH)-MIN(AI63,cfg_EOS_TH))+cfg_EOS_R2*(MAX(AH63-cfg_EOS_TH,0)-MAX(AI63-cfg_EOS_TH,0))))</f>
        <v/>
      </c>
      <c r="AB63" s="116" t="str">
        <f aca="false">IF($B63="","",IF(الموظفون!$T63&lt;&gt;"",الموظفون!$T63,IF(AH63&gt;=cfg_LV_TH,cfg_LV_D2,cfg_LV_D1))/cfg_DAYS_Y*AJ63*الموظفون!$R63/cfg_DAYS_M)</f>
        <v/>
      </c>
      <c r="AC63" s="116" t="str">
        <f aca="false">IF($B63="","",IF(AND(الموظفون!$U63="نعم",N(الموظفون!$W63)&gt;0),الموظفون!$V63/الموظفون!$W63*12/cfg_DAYS_Y*AJ63,0))</f>
        <v/>
      </c>
      <c r="AD63" s="116" t="str">
        <f aca="false">IF($B63="","",(IF(الموظفون!$X63&lt;&gt;"",الموظفون!$X63,IF(الموظفون!$E63="غير سعودي",cfg_IQ,0))+IF(الموظفون!$Y63&lt;&gt;"",الموظفون!$Y63,IF(الموظفون!$E63="غير سعودي",cfg_WP,0)))/12*G63/cfg_DAYS_M)</f>
        <v/>
      </c>
      <c r="AE63" s="116" t="str">
        <f aca="false">IF($B63="","",IF(الموظفون!$Z63&lt;&gt;"",الموظفون!$Z63,cfg_MED)/12*G63/cfg_DAYS_M)</f>
        <v/>
      </c>
      <c r="AF63" s="116" t="str">
        <f aca="false">IF($B63="","",N(الموظفون!$AA63)/12*G63/cfg_DAYS_M)</f>
        <v/>
      </c>
      <c r="AG63" s="159" t="str">
        <f aca="false">IF($B63="","",T63+SUM(Z63:AF63))</f>
        <v/>
      </c>
      <c r="AH63" s="160" t="str">
        <f aca="false">IF($B63="","",MAX(0,IF(OR(الموظفون!$AE63="",الموظفون!$AE63&gt;$F$3),$F$3,الموظفون!$AE63)-الموظفون!$H63+1-SUMIFS('سجل الإجازات والحالات'!$AJ$6:$AJ$505,'سجل الإجازات والحالات'!$B$6:$B$505,$B63))/cfg_DAYS_Y)</f>
        <v/>
      </c>
      <c r="AI63" s="160" t="str">
        <f aca="false">IF($B63="","",MAX(0,IF(OR(الموظفون!$AE63="",الموظفون!$AE63&gt;($E$3-1)),($E$3-1),الموظفون!$AE63)-الموظفون!$H63+1-SUMIFS('سجل الإجازات والحالات'!$AI$6:$AI$505,'سجل الإجازات والحالات'!$B$6:$B$505,$B63))/cfg_DAYS_Y)</f>
        <v/>
      </c>
      <c r="AJ63" s="133" t="str">
        <f aca="false">IF($B63="","",MAX(0,AK63-(SUMIFS('سجل الإجازات والحالات'!$AJ$6:$AJ$505,'سجل الإجازات والحالات'!$B$6:$B$505,$B63)-SUMIFS('سجل الإجازات والحالات'!$AI$6:$AI$505,'سجل الإجازات والحالات'!$B$6:$B$505,$B63))))</f>
        <v/>
      </c>
      <c r="AK63" s="133" t="str">
        <f aca="false">IF($B63="","",MAX(0,IF(OR(الموظفون!$AE63="",الموظفون!$AE63&gt;$F$3),$F$3,الموظفون!$AE63)-MAX($E$3,الموظفون!$H63)+1))</f>
        <v/>
      </c>
      <c r="AL63" s="156" t="str">
        <f aca="false">IF($B63="","",SUMIFS('سجل الإجازات والحالات'!$AV$6:$AV$505,'سجل الإجازات والحالات'!$B$6:$B$505,$B63)+SUMIFS('الحركات الشهرية'!$K$6:$K$1005,'الحركات الشهرية'!$B$6:$B$1005,$B63,'الحركات الشهرية'!$A$6:$A$1005,$C$3))</f>
        <v/>
      </c>
      <c r="AM63" s="116" t="str">
        <f aca="false">IF($B63="","",AL63*الموظفون!$R63/cfg_DAYS_M+S63)</f>
        <v/>
      </c>
      <c r="AN63" s="156" t="str">
        <f aca="false">IF($B63="","",SUMIFS('سجل الإجازات والحالات'!$X$6:$X$505,'سجل الإجازات والحالات'!$B$6:$B$505,$B63))</f>
        <v/>
      </c>
    </row>
    <row r="64" customFormat="false" ht="15" hidden="false" customHeight="false" outlineLevel="0" collapsed="false">
      <c r="A64" s="106" t="str">
        <f aca="false">IF($B64="","",الموظفون!$A64)</f>
        <v/>
      </c>
      <c r="B64" s="114" t="str">
        <f aca="false">IF(الموظفون!$B64="","",الموظفون!$B64)</f>
        <v/>
      </c>
      <c r="C64" s="114" t="str">
        <f aca="false">IF($B64="","",الموظفون!$C64)</f>
        <v/>
      </c>
      <c r="D64" s="114" t="str">
        <f aca="false">IF($B64="","",الموظفون!$F64)</f>
        <v/>
      </c>
      <c r="E64" s="114" t="str">
        <f aca="false">IF($B64="","",الموظفون!$E64)</f>
        <v/>
      </c>
      <c r="F64" s="114" t="str">
        <f aca="false">IF($B64="","",IF(AK64=0,IF(AND(الموظفون!$AE64&lt;&gt;"",الموظفون!$AE64&lt;$E$3),"✖ منتهي الخدمة","⏳ لم يباشر"),IF(S64&gt;0,"✈ راتب إجازة مقدم",IF(J64=0,"⛔ بدون راتب هذا الشهر",IF(I64&gt;0,"✈ خصم "&amp;ROUND(I64,2)&amp;" يوم بدون أجر",IF(AL64&gt;0,"🌴 إجازة سنوية "&amp;ROUND(AL64,2)&amp;" يوم",IF(H64&gt;0,"⚠ غياب "&amp;ROUND(H64,2)&amp;" يوم","✔ على رأس العمل")))))))</f>
        <v/>
      </c>
      <c r="G64" s="151" t="str">
        <f aca="false">IF($B64="","",IF(AK64&gt;=DAY($F$3),cfg_DAYS_M,MIN(AK64,cfg_DAYS_M)))</f>
        <v/>
      </c>
      <c r="H64" s="151" t="str">
        <f aca="false">IF($B64="","",SUMIFS('الحركات الشهرية'!$D$6:$D$1005,'الحركات الشهرية'!$B$6:$B$1005,$B64,'الحركات الشهرية'!$A$6:$A$1005,$C$3))</f>
        <v/>
      </c>
      <c r="I64" s="151" t="str">
        <f aca="false">IF($B64="","",MIN(G64,IF(AND(AK64&gt;0,AN64&gt;=AK64),G64,AN64)+SUMIFS('الحركات الشهرية'!$E$6:$E$1005,'الحركات الشهرية'!$B$6:$B$1005,$B64,'الحركات الشهرية'!$A$6:$A$1005,$C$3)))</f>
        <v/>
      </c>
      <c r="J64" s="151" t="str">
        <f aca="false">IF($B64="","",MAX(0,G64-H64-I64))</f>
        <v/>
      </c>
      <c r="K64" s="111" t="str">
        <f aca="false">IF($B64="","",الموظفون!$L64*$J64/cfg_DAYS_M)</f>
        <v/>
      </c>
      <c r="L64" s="111" t="str">
        <f aca="false">IF($B64="","",الموظفون!$M64*$J64/cfg_DAYS_M)</f>
        <v/>
      </c>
      <c r="M64" s="111" t="str">
        <f aca="false">IF($B64="","",الموظفون!$N64*$J64/cfg_DAYS_M)</f>
        <v/>
      </c>
      <c r="N64" s="111" t="str">
        <f aca="false">IF($B64="","",الموظفون!$O64*$J64/cfg_DAYS_M)</f>
        <v/>
      </c>
      <c r="O64" s="151" t="str">
        <f aca="false">IF($B64="","",SUMIFS('الحركات الشهرية'!$F$6:$F$1005,'الحركات الشهرية'!$B$6:$B$1005,$B64,'الحركات الشهرية'!$A$6:$A$1005,$C$3))</f>
        <v/>
      </c>
      <c r="P64" s="111" t="str">
        <f aca="false">IF($B64="","",O64*(الموظفون!$P64+الموظفون!$L64*cfg_OT_P)/cfg_DAYS_M/cfg_HRS)</f>
        <v/>
      </c>
      <c r="Q64" s="111" t="str">
        <f aca="false">IF($B64="","",SUMIFS('الحركات الشهرية'!$G$6:$G$1005,'الحركات الشهرية'!$B$6:$B$1005,$B64,'الحركات الشهرية'!$A$6:$A$1005,$C$3))</f>
        <v/>
      </c>
      <c r="R64" s="111" t="str">
        <f aca="false">IF($B64="","",SUMIFS('الحركات الشهرية'!$H$6:$H$1005,'الحركات الشهرية'!$B$6:$B$1005,$B64,'الحركات الشهرية'!$A$6:$A$1005,$C$3))</f>
        <v/>
      </c>
      <c r="S64" s="111" t="str">
        <f aca="false">IF($B64="","",SUMIFS('سجل الإجازات والحالات'!$N$6:$N$505,'سجل الإجازات والحالات'!$B$6:$B$505,$B64,'سجل الإجازات والحالات'!$O$6:$O$505,$C$3))</f>
        <v/>
      </c>
      <c r="T64" s="152" t="str">
        <f aca="false">IF($B64="","",SUM(K64:N64)+SUM(P64:S64))</f>
        <v/>
      </c>
      <c r="U64" s="111" t="str">
        <f aca="false">IF($B64="","",الموظفون!$S64*IF(E64="سعودي",cfg_G_SE,cfg_G_NE)*G64/cfg_DAYS_M)</f>
        <v/>
      </c>
      <c r="V64" s="111" t="str">
        <f aca="false">IF($B64="","",SUMIFS('الحركات الشهرية'!$I$6:$I$1005,'الحركات الشهرية'!$B$6:$B$1005,$B64,'الحركات الشهرية'!$A$6:$A$1005,$C$3))</f>
        <v/>
      </c>
      <c r="W64" s="111" t="str">
        <f aca="false">IF($B64="","",SUMIFS('الحركات الشهرية'!$J$6:$J$1005,'الحركات الشهرية'!$B$6:$B$1005,$B64,'الحركات الشهرية'!$A$6:$A$1005,$C$3))</f>
        <v/>
      </c>
      <c r="X64" s="111" t="str">
        <f aca="false">IF($B64="","",SUM(U64:W64))</f>
        <v/>
      </c>
      <c r="Y64" s="153" t="str">
        <f aca="false">IF($B64="","",T64-X64)</f>
        <v/>
      </c>
      <c r="Z64" s="111" t="str">
        <f aca="false">IF($B64="","",الموظفون!$S64*IF(E64="سعودي",cfg_G_SR,cfg_G_NR)*G64/cfg_DAYS_M)</f>
        <v/>
      </c>
      <c r="AA64" s="111" t="str">
        <f aca="false">IF($B64="","",الموظفون!$Q64*(cfg_EOS_R1*(MIN(AH64,cfg_EOS_TH)-MIN(AI64,cfg_EOS_TH))+cfg_EOS_R2*(MAX(AH64-cfg_EOS_TH,0)-MAX(AI64-cfg_EOS_TH,0))))</f>
        <v/>
      </c>
      <c r="AB64" s="111" t="str">
        <f aca="false">IF($B64="","",IF(الموظفون!$T64&lt;&gt;"",الموظفون!$T64,IF(AH64&gt;=cfg_LV_TH,cfg_LV_D2,cfg_LV_D1))/cfg_DAYS_Y*AJ64*الموظفون!$R64/cfg_DAYS_M)</f>
        <v/>
      </c>
      <c r="AC64" s="111" t="str">
        <f aca="false">IF($B64="","",IF(AND(الموظفون!$U64="نعم",N(الموظفون!$W64)&gt;0),الموظفون!$V64/الموظفون!$W64*12/cfg_DAYS_Y*AJ64,0))</f>
        <v/>
      </c>
      <c r="AD64" s="111" t="str">
        <f aca="false">IF($B64="","",(IF(الموظفون!$X64&lt;&gt;"",الموظفون!$X64,IF(الموظفون!$E64="غير سعودي",cfg_IQ,0))+IF(الموظفون!$Y64&lt;&gt;"",الموظفون!$Y64,IF(الموظفون!$E64="غير سعودي",cfg_WP,0)))/12*G64/cfg_DAYS_M)</f>
        <v/>
      </c>
      <c r="AE64" s="111" t="str">
        <f aca="false">IF($B64="","",IF(الموظفون!$Z64&lt;&gt;"",الموظفون!$Z64,cfg_MED)/12*G64/cfg_DAYS_M)</f>
        <v/>
      </c>
      <c r="AF64" s="111" t="str">
        <f aca="false">IF($B64="","",N(الموظفون!$AA64)/12*G64/cfg_DAYS_M)</f>
        <v/>
      </c>
      <c r="AG64" s="154" t="str">
        <f aca="false">IF($B64="","",T64+SUM(Z64:AF64))</f>
        <v/>
      </c>
      <c r="AH64" s="155" t="str">
        <f aca="false">IF($B64="","",MAX(0,IF(OR(الموظفون!$AE64="",الموظفون!$AE64&gt;$F$3),$F$3,الموظفون!$AE64)-الموظفون!$H64+1-SUMIFS('سجل الإجازات والحالات'!$AJ$6:$AJ$505,'سجل الإجازات والحالات'!$B$6:$B$505,$B64))/cfg_DAYS_Y)</f>
        <v/>
      </c>
      <c r="AI64" s="155" t="str">
        <f aca="false">IF($B64="","",MAX(0,IF(OR(الموظفون!$AE64="",الموظفون!$AE64&gt;($E$3-1)),($E$3-1),الموظفون!$AE64)-الموظفون!$H64+1-SUMIFS('سجل الإجازات والحالات'!$AI$6:$AI$505,'سجل الإجازات والحالات'!$B$6:$B$505,$B64))/cfg_DAYS_Y)</f>
        <v/>
      </c>
      <c r="AJ64" s="65" t="str">
        <f aca="false">IF($B64="","",MAX(0,AK64-(SUMIFS('سجل الإجازات والحالات'!$AJ$6:$AJ$505,'سجل الإجازات والحالات'!$B$6:$B$505,$B64)-SUMIFS('سجل الإجازات والحالات'!$AI$6:$AI$505,'سجل الإجازات والحالات'!$B$6:$B$505,$B64))))</f>
        <v/>
      </c>
      <c r="AK64" s="65" t="str">
        <f aca="false">IF($B64="","",MAX(0,IF(OR(الموظفون!$AE64="",الموظفون!$AE64&gt;$F$3),$F$3,الموظفون!$AE64)-MAX($E$3,الموظفون!$H64)+1))</f>
        <v/>
      </c>
      <c r="AL64" s="151" t="str">
        <f aca="false">IF($B64="","",SUMIFS('سجل الإجازات والحالات'!$AV$6:$AV$505,'سجل الإجازات والحالات'!$B$6:$B$505,$B64)+SUMIFS('الحركات الشهرية'!$K$6:$K$1005,'الحركات الشهرية'!$B$6:$B$1005,$B64,'الحركات الشهرية'!$A$6:$A$1005,$C$3))</f>
        <v/>
      </c>
      <c r="AM64" s="111" t="str">
        <f aca="false">IF($B64="","",AL64*الموظفون!$R64/cfg_DAYS_M+S64)</f>
        <v/>
      </c>
      <c r="AN64" s="151" t="str">
        <f aca="false">IF($B64="","",SUMIFS('سجل الإجازات والحالات'!$X$6:$X$505,'سجل الإجازات والحالات'!$B$6:$B$505,$B64))</f>
        <v/>
      </c>
    </row>
    <row r="65" customFormat="false" ht="15" hidden="false" customHeight="false" outlineLevel="0" collapsed="false">
      <c r="A65" s="115" t="str">
        <f aca="false">IF($B65="","",الموظفون!$A65)</f>
        <v/>
      </c>
      <c r="B65" s="117" t="str">
        <f aca="false">IF(الموظفون!$B65="","",الموظفون!$B65)</f>
        <v/>
      </c>
      <c r="C65" s="117" t="str">
        <f aca="false">IF($B65="","",الموظفون!$C65)</f>
        <v/>
      </c>
      <c r="D65" s="117" t="str">
        <f aca="false">IF($B65="","",الموظفون!$F65)</f>
        <v/>
      </c>
      <c r="E65" s="117" t="str">
        <f aca="false">IF($B65="","",الموظفون!$E65)</f>
        <v/>
      </c>
      <c r="F65" s="117" t="str">
        <f aca="false">IF($B65="","",IF(AK65=0,IF(AND(الموظفون!$AE65&lt;&gt;"",الموظفون!$AE65&lt;$E$3),"✖ منتهي الخدمة","⏳ لم يباشر"),IF(S65&gt;0,"✈ راتب إجازة مقدم",IF(J65=0,"⛔ بدون راتب هذا الشهر",IF(I65&gt;0,"✈ خصم "&amp;ROUND(I65,2)&amp;" يوم بدون أجر",IF(AL65&gt;0,"🌴 إجازة سنوية "&amp;ROUND(AL65,2)&amp;" يوم",IF(H65&gt;0,"⚠ غياب "&amp;ROUND(H65,2)&amp;" يوم","✔ على رأس العمل")))))))</f>
        <v/>
      </c>
      <c r="G65" s="156" t="str">
        <f aca="false">IF($B65="","",IF(AK65&gt;=DAY($F$3),cfg_DAYS_M,MIN(AK65,cfg_DAYS_M)))</f>
        <v/>
      </c>
      <c r="H65" s="156" t="str">
        <f aca="false">IF($B65="","",SUMIFS('الحركات الشهرية'!$D$6:$D$1005,'الحركات الشهرية'!$B$6:$B$1005,$B65,'الحركات الشهرية'!$A$6:$A$1005,$C$3))</f>
        <v/>
      </c>
      <c r="I65" s="156" t="str">
        <f aca="false">IF($B65="","",MIN(G65,IF(AND(AK65&gt;0,AN65&gt;=AK65),G65,AN65)+SUMIFS('الحركات الشهرية'!$E$6:$E$1005,'الحركات الشهرية'!$B$6:$B$1005,$B65,'الحركات الشهرية'!$A$6:$A$1005,$C$3)))</f>
        <v/>
      </c>
      <c r="J65" s="156" t="str">
        <f aca="false">IF($B65="","",MAX(0,G65-H65-I65))</f>
        <v/>
      </c>
      <c r="K65" s="116" t="str">
        <f aca="false">IF($B65="","",الموظفون!$L65*$J65/cfg_DAYS_M)</f>
        <v/>
      </c>
      <c r="L65" s="116" t="str">
        <f aca="false">IF($B65="","",الموظفون!$M65*$J65/cfg_DAYS_M)</f>
        <v/>
      </c>
      <c r="M65" s="116" t="str">
        <f aca="false">IF($B65="","",الموظفون!$N65*$J65/cfg_DAYS_M)</f>
        <v/>
      </c>
      <c r="N65" s="116" t="str">
        <f aca="false">IF($B65="","",الموظفون!$O65*$J65/cfg_DAYS_M)</f>
        <v/>
      </c>
      <c r="O65" s="156" t="str">
        <f aca="false">IF($B65="","",SUMIFS('الحركات الشهرية'!$F$6:$F$1005,'الحركات الشهرية'!$B$6:$B$1005,$B65,'الحركات الشهرية'!$A$6:$A$1005,$C$3))</f>
        <v/>
      </c>
      <c r="P65" s="116" t="str">
        <f aca="false">IF($B65="","",O65*(الموظفون!$P65+الموظفون!$L65*cfg_OT_P)/cfg_DAYS_M/cfg_HRS)</f>
        <v/>
      </c>
      <c r="Q65" s="116" t="str">
        <f aca="false">IF($B65="","",SUMIFS('الحركات الشهرية'!$G$6:$G$1005,'الحركات الشهرية'!$B$6:$B$1005,$B65,'الحركات الشهرية'!$A$6:$A$1005,$C$3))</f>
        <v/>
      </c>
      <c r="R65" s="116" t="str">
        <f aca="false">IF($B65="","",SUMIFS('الحركات الشهرية'!$H$6:$H$1005,'الحركات الشهرية'!$B$6:$B$1005,$B65,'الحركات الشهرية'!$A$6:$A$1005,$C$3))</f>
        <v/>
      </c>
      <c r="S65" s="116" t="str">
        <f aca="false">IF($B65="","",SUMIFS('سجل الإجازات والحالات'!$N$6:$N$505,'سجل الإجازات والحالات'!$B$6:$B$505,$B65,'سجل الإجازات والحالات'!$O$6:$O$505,$C$3))</f>
        <v/>
      </c>
      <c r="T65" s="157" t="str">
        <f aca="false">IF($B65="","",SUM(K65:N65)+SUM(P65:S65))</f>
        <v/>
      </c>
      <c r="U65" s="116" t="str">
        <f aca="false">IF($B65="","",الموظفون!$S65*IF(E65="سعودي",cfg_G_SE,cfg_G_NE)*G65/cfg_DAYS_M)</f>
        <v/>
      </c>
      <c r="V65" s="116" t="str">
        <f aca="false">IF($B65="","",SUMIFS('الحركات الشهرية'!$I$6:$I$1005,'الحركات الشهرية'!$B$6:$B$1005,$B65,'الحركات الشهرية'!$A$6:$A$1005,$C$3))</f>
        <v/>
      </c>
      <c r="W65" s="116" t="str">
        <f aca="false">IF($B65="","",SUMIFS('الحركات الشهرية'!$J$6:$J$1005,'الحركات الشهرية'!$B$6:$B$1005,$B65,'الحركات الشهرية'!$A$6:$A$1005,$C$3))</f>
        <v/>
      </c>
      <c r="X65" s="116" t="str">
        <f aca="false">IF($B65="","",SUM(U65:W65))</f>
        <v/>
      </c>
      <c r="Y65" s="158" t="str">
        <f aca="false">IF($B65="","",T65-X65)</f>
        <v/>
      </c>
      <c r="Z65" s="116" t="str">
        <f aca="false">IF($B65="","",الموظفون!$S65*IF(E65="سعودي",cfg_G_SR,cfg_G_NR)*G65/cfg_DAYS_M)</f>
        <v/>
      </c>
      <c r="AA65" s="116" t="str">
        <f aca="false">IF($B65="","",الموظفون!$Q65*(cfg_EOS_R1*(MIN(AH65,cfg_EOS_TH)-MIN(AI65,cfg_EOS_TH))+cfg_EOS_R2*(MAX(AH65-cfg_EOS_TH,0)-MAX(AI65-cfg_EOS_TH,0))))</f>
        <v/>
      </c>
      <c r="AB65" s="116" t="str">
        <f aca="false">IF($B65="","",IF(الموظفون!$T65&lt;&gt;"",الموظفون!$T65,IF(AH65&gt;=cfg_LV_TH,cfg_LV_D2,cfg_LV_D1))/cfg_DAYS_Y*AJ65*الموظفون!$R65/cfg_DAYS_M)</f>
        <v/>
      </c>
      <c r="AC65" s="116" t="str">
        <f aca="false">IF($B65="","",IF(AND(الموظفون!$U65="نعم",N(الموظفون!$W65)&gt;0),الموظفون!$V65/الموظفون!$W65*12/cfg_DAYS_Y*AJ65,0))</f>
        <v/>
      </c>
      <c r="AD65" s="116" t="str">
        <f aca="false">IF($B65="","",(IF(الموظفون!$X65&lt;&gt;"",الموظفون!$X65,IF(الموظفون!$E65="غير سعودي",cfg_IQ,0))+IF(الموظفون!$Y65&lt;&gt;"",الموظفون!$Y65,IF(الموظفون!$E65="غير سعودي",cfg_WP,0)))/12*G65/cfg_DAYS_M)</f>
        <v/>
      </c>
      <c r="AE65" s="116" t="str">
        <f aca="false">IF($B65="","",IF(الموظفون!$Z65&lt;&gt;"",الموظفون!$Z65,cfg_MED)/12*G65/cfg_DAYS_M)</f>
        <v/>
      </c>
      <c r="AF65" s="116" t="str">
        <f aca="false">IF($B65="","",N(الموظفون!$AA65)/12*G65/cfg_DAYS_M)</f>
        <v/>
      </c>
      <c r="AG65" s="159" t="str">
        <f aca="false">IF($B65="","",T65+SUM(Z65:AF65))</f>
        <v/>
      </c>
      <c r="AH65" s="160" t="str">
        <f aca="false">IF($B65="","",MAX(0,IF(OR(الموظفون!$AE65="",الموظفون!$AE65&gt;$F$3),$F$3,الموظفون!$AE65)-الموظفون!$H65+1-SUMIFS('سجل الإجازات والحالات'!$AJ$6:$AJ$505,'سجل الإجازات والحالات'!$B$6:$B$505,$B65))/cfg_DAYS_Y)</f>
        <v/>
      </c>
      <c r="AI65" s="160" t="str">
        <f aca="false">IF($B65="","",MAX(0,IF(OR(الموظفون!$AE65="",الموظفون!$AE65&gt;($E$3-1)),($E$3-1),الموظفون!$AE65)-الموظفون!$H65+1-SUMIFS('سجل الإجازات والحالات'!$AI$6:$AI$505,'سجل الإجازات والحالات'!$B$6:$B$505,$B65))/cfg_DAYS_Y)</f>
        <v/>
      </c>
      <c r="AJ65" s="133" t="str">
        <f aca="false">IF($B65="","",MAX(0,AK65-(SUMIFS('سجل الإجازات والحالات'!$AJ$6:$AJ$505,'سجل الإجازات والحالات'!$B$6:$B$505,$B65)-SUMIFS('سجل الإجازات والحالات'!$AI$6:$AI$505,'سجل الإجازات والحالات'!$B$6:$B$505,$B65))))</f>
        <v/>
      </c>
      <c r="AK65" s="133" t="str">
        <f aca="false">IF($B65="","",MAX(0,IF(OR(الموظفون!$AE65="",الموظفون!$AE65&gt;$F$3),$F$3,الموظفون!$AE65)-MAX($E$3,الموظفون!$H65)+1))</f>
        <v/>
      </c>
      <c r="AL65" s="156" t="str">
        <f aca="false">IF($B65="","",SUMIFS('سجل الإجازات والحالات'!$AV$6:$AV$505,'سجل الإجازات والحالات'!$B$6:$B$505,$B65)+SUMIFS('الحركات الشهرية'!$K$6:$K$1005,'الحركات الشهرية'!$B$6:$B$1005,$B65,'الحركات الشهرية'!$A$6:$A$1005,$C$3))</f>
        <v/>
      </c>
      <c r="AM65" s="116" t="str">
        <f aca="false">IF($B65="","",AL65*الموظفون!$R65/cfg_DAYS_M+S65)</f>
        <v/>
      </c>
      <c r="AN65" s="156" t="str">
        <f aca="false">IF($B65="","",SUMIFS('سجل الإجازات والحالات'!$X$6:$X$505,'سجل الإجازات والحالات'!$B$6:$B$505,$B65))</f>
        <v/>
      </c>
    </row>
    <row r="66" customFormat="false" ht="15" hidden="false" customHeight="false" outlineLevel="0" collapsed="false">
      <c r="A66" s="106" t="str">
        <f aca="false">IF($B66="","",الموظفون!$A66)</f>
        <v/>
      </c>
      <c r="B66" s="114" t="str">
        <f aca="false">IF(الموظفون!$B66="","",الموظفون!$B66)</f>
        <v/>
      </c>
      <c r="C66" s="114" t="str">
        <f aca="false">IF($B66="","",الموظفون!$C66)</f>
        <v/>
      </c>
      <c r="D66" s="114" t="str">
        <f aca="false">IF($B66="","",الموظفون!$F66)</f>
        <v/>
      </c>
      <c r="E66" s="114" t="str">
        <f aca="false">IF($B66="","",الموظفون!$E66)</f>
        <v/>
      </c>
      <c r="F66" s="114" t="str">
        <f aca="false">IF($B66="","",IF(AK66=0,IF(AND(الموظفون!$AE66&lt;&gt;"",الموظفون!$AE66&lt;$E$3),"✖ منتهي الخدمة","⏳ لم يباشر"),IF(S66&gt;0,"✈ راتب إجازة مقدم",IF(J66=0,"⛔ بدون راتب هذا الشهر",IF(I66&gt;0,"✈ خصم "&amp;ROUND(I66,2)&amp;" يوم بدون أجر",IF(AL66&gt;0,"🌴 إجازة سنوية "&amp;ROUND(AL66,2)&amp;" يوم",IF(H66&gt;0,"⚠ غياب "&amp;ROUND(H66,2)&amp;" يوم","✔ على رأس العمل")))))))</f>
        <v/>
      </c>
      <c r="G66" s="151" t="str">
        <f aca="false">IF($B66="","",IF(AK66&gt;=DAY($F$3),cfg_DAYS_M,MIN(AK66,cfg_DAYS_M)))</f>
        <v/>
      </c>
      <c r="H66" s="151" t="str">
        <f aca="false">IF($B66="","",SUMIFS('الحركات الشهرية'!$D$6:$D$1005,'الحركات الشهرية'!$B$6:$B$1005,$B66,'الحركات الشهرية'!$A$6:$A$1005,$C$3))</f>
        <v/>
      </c>
      <c r="I66" s="151" t="str">
        <f aca="false">IF($B66="","",MIN(G66,IF(AND(AK66&gt;0,AN66&gt;=AK66),G66,AN66)+SUMIFS('الحركات الشهرية'!$E$6:$E$1005,'الحركات الشهرية'!$B$6:$B$1005,$B66,'الحركات الشهرية'!$A$6:$A$1005,$C$3)))</f>
        <v/>
      </c>
      <c r="J66" s="151" t="str">
        <f aca="false">IF($B66="","",MAX(0,G66-H66-I66))</f>
        <v/>
      </c>
      <c r="K66" s="111" t="str">
        <f aca="false">IF($B66="","",الموظفون!$L66*$J66/cfg_DAYS_M)</f>
        <v/>
      </c>
      <c r="L66" s="111" t="str">
        <f aca="false">IF($B66="","",الموظفون!$M66*$J66/cfg_DAYS_M)</f>
        <v/>
      </c>
      <c r="M66" s="111" t="str">
        <f aca="false">IF($B66="","",الموظفون!$N66*$J66/cfg_DAYS_M)</f>
        <v/>
      </c>
      <c r="N66" s="111" t="str">
        <f aca="false">IF($B66="","",الموظفون!$O66*$J66/cfg_DAYS_M)</f>
        <v/>
      </c>
      <c r="O66" s="151" t="str">
        <f aca="false">IF($B66="","",SUMIFS('الحركات الشهرية'!$F$6:$F$1005,'الحركات الشهرية'!$B$6:$B$1005,$B66,'الحركات الشهرية'!$A$6:$A$1005,$C$3))</f>
        <v/>
      </c>
      <c r="P66" s="111" t="str">
        <f aca="false">IF($B66="","",O66*(الموظفون!$P66+الموظفون!$L66*cfg_OT_P)/cfg_DAYS_M/cfg_HRS)</f>
        <v/>
      </c>
      <c r="Q66" s="111" t="str">
        <f aca="false">IF($B66="","",SUMIFS('الحركات الشهرية'!$G$6:$G$1005,'الحركات الشهرية'!$B$6:$B$1005,$B66,'الحركات الشهرية'!$A$6:$A$1005,$C$3))</f>
        <v/>
      </c>
      <c r="R66" s="111" t="str">
        <f aca="false">IF($B66="","",SUMIFS('الحركات الشهرية'!$H$6:$H$1005,'الحركات الشهرية'!$B$6:$B$1005,$B66,'الحركات الشهرية'!$A$6:$A$1005,$C$3))</f>
        <v/>
      </c>
      <c r="S66" s="111" t="str">
        <f aca="false">IF($B66="","",SUMIFS('سجل الإجازات والحالات'!$N$6:$N$505,'سجل الإجازات والحالات'!$B$6:$B$505,$B66,'سجل الإجازات والحالات'!$O$6:$O$505,$C$3))</f>
        <v/>
      </c>
      <c r="T66" s="152" t="str">
        <f aca="false">IF($B66="","",SUM(K66:N66)+SUM(P66:S66))</f>
        <v/>
      </c>
      <c r="U66" s="111" t="str">
        <f aca="false">IF($B66="","",الموظفون!$S66*IF(E66="سعودي",cfg_G_SE,cfg_G_NE)*G66/cfg_DAYS_M)</f>
        <v/>
      </c>
      <c r="V66" s="111" t="str">
        <f aca="false">IF($B66="","",SUMIFS('الحركات الشهرية'!$I$6:$I$1005,'الحركات الشهرية'!$B$6:$B$1005,$B66,'الحركات الشهرية'!$A$6:$A$1005,$C$3))</f>
        <v/>
      </c>
      <c r="W66" s="111" t="str">
        <f aca="false">IF($B66="","",SUMIFS('الحركات الشهرية'!$J$6:$J$1005,'الحركات الشهرية'!$B$6:$B$1005,$B66,'الحركات الشهرية'!$A$6:$A$1005,$C$3))</f>
        <v/>
      </c>
      <c r="X66" s="111" t="str">
        <f aca="false">IF($B66="","",SUM(U66:W66))</f>
        <v/>
      </c>
      <c r="Y66" s="153" t="str">
        <f aca="false">IF($B66="","",T66-X66)</f>
        <v/>
      </c>
      <c r="Z66" s="111" t="str">
        <f aca="false">IF($B66="","",الموظفون!$S66*IF(E66="سعودي",cfg_G_SR,cfg_G_NR)*G66/cfg_DAYS_M)</f>
        <v/>
      </c>
      <c r="AA66" s="111" t="str">
        <f aca="false">IF($B66="","",الموظفون!$Q66*(cfg_EOS_R1*(MIN(AH66,cfg_EOS_TH)-MIN(AI66,cfg_EOS_TH))+cfg_EOS_R2*(MAX(AH66-cfg_EOS_TH,0)-MAX(AI66-cfg_EOS_TH,0))))</f>
        <v/>
      </c>
      <c r="AB66" s="111" t="str">
        <f aca="false">IF($B66="","",IF(الموظفون!$T66&lt;&gt;"",الموظفون!$T66,IF(AH66&gt;=cfg_LV_TH,cfg_LV_D2,cfg_LV_D1))/cfg_DAYS_Y*AJ66*الموظفون!$R66/cfg_DAYS_M)</f>
        <v/>
      </c>
      <c r="AC66" s="111" t="str">
        <f aca="false">IF($B66="","",IF(AND(الموظفون!$U66="نعم",N(الموظفون!$W66)&gt;0),الموظفون!$V66/الموظفون!$W66*12/cfg_DAYS_Y*AJ66,0))</f>
        <v/>
      </c>
      <c r="AD66" s="111" t="str">
        <f aca="false">IF($B66="","",(IF(الموظفون!$X66&lt;&gt;"",الموظفون!$X66,IF(الموظفون!$E66="غير سعودي",cfg_IQ,0))+IF(الموظفون!$Y66&lt;&gt;"",الموظفون!$Y66,IF(الموظفون!$E66="غير سعودي",cfg_WP,0)))/12*G66/cfg_DAYS_M)</f>
        <v/>
      </c>
      <c r="AE66" s="111" t="str">
        <f aca="false">IF($B66="","",IF(الموظفون!$Z66&lt;&gt;"",الموظفون!$Z66,cfg_MED)/12*G66/cfg_DAYS_M)</f>
        <v/>
      </c>
      <c r="AF66" s="111" t="str">
        <f aca="false">IF($B66="","",N(الموظفون!$AA66)/12*G66/cfg_DAYS_M)</f>
        <v/>
      </c>
      <c r="AG66" s="154" t="str">
        <f aca="false">IF($B66="","",T66+SUM(Z66:AF66))</f>
        <v/>
      </c>
      <c r="AH66" s="155" t="str">
        <f aca="false">IF($B66="","",MAX(0,IF(OR(الموظفون!$AE66="",الموظفون!$AE66&gt;$F$3),$F$3,الموظفون!$AE66)-الموظفون!$H66+1-SUMIFS('سجل الإجازات والحالات'!$AJ$6:$AJ$505,'سجل الإجازات والحالات'!$B$6:$B$505,$B66))/cfg_DAYS_Y)</f>
        <v/>
      </c>
      <c r="AI66" s="155" t="str">
        <f aca="false">IF($B66="","",MAX(0,IF(OR(الموظفون!$AE66="",الموظفون!$AE66&gt;($E$3-1)),($E$3-1),الموظفون!$AE66)-الموظفون!$H66+1-SUMIFS('سجل الإجازات والحالات'!$AI$6:$AI$505,'سجل الإجازات والحالات'!$B$6:$B$505,$B66))/cfg_DAYS_Y)</f>
        <v/>
      </c>
      <c r="AJ66" s="65" t="str">
        <f aca="false">IF($B66="","",MAX(0,AK66-(SUMIFS('سجل الإجازات والحالات'!$AJ$6:$AJ$505,'سجل الإجازات والحالات'!$B$6:$B$505,$B66)-SUMIFS('سجل الإجازات والحالات'!$AI$6:$AI$505,'سجل الإجازات والحالات'!$B$6:$B$505,$B66))))</f>
        <v/>
      </c>
      <c r="AK66" s="65" t="str">
        <f aca="false">IF($B66="","",MAX(0,IF(OR(الموظفون!$AE66="",الموظفون!$AE66&gt;$F$3),$F$3,الموظفون!$AE66)-MAX($E$3,الموظفون!$H66)+1))</f>
        <v/>
      </c>
      <c r="AL66" s="151" t="str">
        <f aca="false">IF($B66="","",SUMIFS('سجل الإجازات والحالات'!$AV$6:$AV$505,'سجل الإجازات والحالات'!$B$6:$B$505,$B66)+SUMIFS('الحركات الشهرية'!$K$6:$K$1005,'الحركات الشهرية'!$B$6:$B$1005,$B66,'الحركات الشهرية'!$A$6:$A$1005,$C$3))</f>
        <v/>
      </c>
      <c r="AM66" s="111" t="str">
        <f aca="false">IF($B66="","",AL66*الموظفون!$R66/cfg_DAYS_M+S66)</f>
        <v/>
      </c>
      <c r="AN66" s="151" t="str">
        <f aca="false">IF($B66="","",SUMIFS('سجل الإجازات والحالات'!$X$6:$X$505,'سجل الإجازات والحالات'!$B$6:$B$505,$B66))</f>
        <v/>
      </c>
    </row>
    <row r="67" customFormat="false" ht="15" hidden="false" customHeight="false" outlineLevel="0" collapsed="false">
      <c r="A67" s="115" t="str">
        <f aca="false">IF($B67="","",الموظفون!$A67)</f>
        <v/>
      </c>
      <c r="B67" s="117" t="str">
        <f aca="false">IF(الموظفون!$B67="","",الموظفون!$B67)</f>
        <v/>
      </c>
      <c r="C67" s="117" t="str">
        <f aca="false">IF($B67="","",الموظفون!$C67)</f>
        <v/>
      </c>
      <c r="D67" s="117" t="str">
        <f aca="false">IF($B67="","",الموظفون!$F67)</f>
        <v/>
      </c>
      <c r="E67" s="117" t="str">
        <f aca="false">IF($B67="","",الموظفون!$E67)</f>
        <v/>
      </c>
      <c r="F67" s="117" t="str">
        <f aca="false">IF($B67="","",IF(AK67=0,IF(AND(الموظفون!$AE67&lt;&gt;"",الموظفون!$AE67&lt;$E$3),"✖ منتهي الخدمة","⏳ لم يباشر"),IF(S67&gt;0,"✈ راتب إجازة مقدم",IF(J67=0,"⛔ بدون راتب هذا الشهر",IF(I67&gt;0,"✈ خصم "&amp;ROUND(I67,2)&amp;" يوم بدون أجر",IF(AL67&gt;0,"🌴 إجازة سنوية "&amp;ROUND(AL67,2)&amp;" يوم",IF(H67&gt;0,"⚠ غياب "&amp;ROUND(H67,2)&amp;" يوم","✔ على رأس العمل")))))))</f>
        <v/>
      </c>
      <c r="G67" s="156" t="str">
        <f aca="false">IF($B67="","",IF(AK67&gt;=DAY($F$3),cfg_DAYS_M,MIN(AK67,cfg_DAYS_M)))</f>
        <v/>
      </c>
      <c r="H67" s="156" t="str">
        <f aca="false">IF($B67="","",SUMIFS('الحركات الشهرية'!$D$6:$D$1005,'الحركات الشهرية'!$B$6:$B$1005,$B67,'الحركات الشهرية'!$A$6:$A$1005,$C$3))</f>
        <v/>
      </c>
      <c r="I67" s="156" t="str">
        <f aca="false">IF($B67="","",MIN(G67,IF(AND(AK67&gt;0,AN67&gt;=AK67),G67,AN67)+SUMIFS('الحركات الشهرية'!$E$6:$E$1005,'الحركات الشهرية'!$B$6:$B$1005,$B67,'الحركات الشهرية'!$A$6:$A$1005,$C$3)))</f>
        <v/>
      </c>
      <c r="J67" s="156" t="str">
        <f aca="false">IF($B67="","",MAX(0,G67-H67-I67))</f>
        <v/>
      </c>
      <c r="K67" s="116" t="str">
        <f aca="false">IF($B67="","",الموظفون!$L67*$J67/cfg_DAYS_M)</f>
        <v/>
      </c>
      <c r="L67" s="116" t="str">
        <f aca="false">IF($B67="","",الموظفون!$M67*$J67/cfg_DAYS_M)</f>
        <v/>
      </c>
      <c r="M67" s="116" t="str">
        <f aca="false">IF($B67="","",الموظفون!$N67*$J67/cfg_DAYS_M)</f>
        <v/>
      </c>
      <c r="N67" s="116" t="str">
        <f aca="false">IF($B67="","",الموظفون!$O67*$J67/cfg_DAYS_M)</f>
        <v/>
      </c>
      <c r="O67" s="156" t="str">
        <f aca="false">IF($B67="","",SUMIFS('الحركات الشهرية'!$F$6:$F$1005,'الحركات الشهرية'!$B$6:$B$1005,$B67,'الحركات الشهرية'!$A$6:$A$1005,$C$3))</f>
        <v/>
      </c>
      <c r="P67" s="116" t="str">
        <f aca="false">IF($B67="","",O67*(الموظفون!$P67+الموظفون!$L67*cfg_OT_P)/cfg_DAYS_M/cfg_HRS)</f>
        <v/>
      </c>
      <c r="Q67" s="116" t="str">
        <f aca="false">IF($B67="","",SUMIFS('الحركات الشهرية'!$G$6:$G$1005,'الحركات الشهرية'!$B$6:$B$1005,$B67,'الحركات الشهرية'!$A$6:$A$1005,$C$3))</f>
        <v/>
      </c>
      <c r="R67" s="116" t="str">
        <f aca="false">IF($B67="","",SUMIFS('الحركات الشهرية'!$H$6:$H$1005,'الحركات الشهرية'!$B$6:$B$1005,$B67,'الحركات الشهرية'!$A$6:$A$1005,$C$3))</f>
        <v/>
      </c>
      <c r="S67" s="116" t="str">
        <f aca="false">IF($B67="","",SUMIFS('سجل الإجازات والحالات'!$N$6:$N$505,'سجل الإجازات والحالات'!$B$6:$B$505,$B67,'سجل الإجازات والحالات'!$O$6:$O$505,$C$3))</f>
        <v/>
      </c>
      <c r="T67" s="157" t="str">
        <f aca="false">IF($B67="","",SUM(K67:N67)+SUM(P67:S67))</f>
        <v/>
      </c>
      <c r="U67" s="116" t="str">
        <f aca="false">IF($B67="","",الموظفون!$S67*IF(E67="سعودي",cfg_G_SE,cfg_G_NE)*G67/cfg_DAYS_M)</f>
        <v/>
      </c>
      <c r="V67" s="116" t="str">
        <f aca="false">IF($B67="","",SUMIFS('الحركات الشهرية'!$I$6:$I$1005,'الحركات الشهرية'!$B$6:$B$1005,$B67,'الحركات الشهرية'!$A$6:$A$1005,$C$3))</f>
        <v/>
      </c>
      <c r="W67" s="116" t="str">
        <f aca="false">IF($B67="","",SUMIFS('الحركات الشهرية'!$J$6:$J$1005,'الحركات الشهرية'!$B$6:$B$1005,$B67,'الحركات الشهرية'!$A$6:$A$1005,$C$3))</f>
        <v/>
      </c>
      <c r="X67" s="116" t="str">
        <f aca="false">IF($B67="","",SUM(U67:W67))</f>
        <v/>
      </c>
      <c r="Y67" s="158" t="str">
        <f aca="false">IF($B67="","",T67-X67)</f>
        <v/>
      </c>
      <c r="Z67" s="116" t="str">
        <f aca="false">IF($B67="","",الموظفون!$S67*IF(E67="سعودي",cfg_G_SR,cfg_G_NR)*G67/cfg_DAYS_M)</f>
        <v/>
      </c>
      <c r="AA67" s="116" t="str">
        <f aca="false">IF($B67="","",الموظفون!$Q67*(cfg_EOS_R1*(MIN(AH67,cfg_EOS_TH)-MIN(AI67,cfg_EOS_TH))+cfg_EOS_R2*(MAX(AH67-cfg_EOS_TH,0)-MAX(AI67-cfg_EOS_TH,0))))</f>
        <v/>
      </c>
      <c r="AB67" s="116" t="str">
        <f aca="false">IF($B67="","",IF(الموظفون!$T67&lt;&gt;"",الموظفون!$T67,IF(AH67&gt;=cfg_LV_TH,cfg_LV_D2,cfg_LV_D1))/cfg_DAYS_Y*AJ67*الموظفون!$R67/cfg_DAYS_M)</f>
        <v/>
      </c>
      <c r="AC67" s="116" t="str">
        <f aca="false">IF($B67="","",IF(AND(الموظفون!$U67="نعم",N(الموظفون!$W67)&gt;0),الموظفون!$V67/الموظفون!$W67*12/cfg_DAYS_Y*AJ67,0))</f>
        <v/>
      </c>
      <c r="AD67" s="116" t="str">
        <f aca="false">IF($B67="","",(IF(الموظفون!$X67&lt;&gt;"",الموظفون!$X67,IF(الموظفون!$E67="غير سعودي",cfg_IQ,0))+IF(الموظفون!$Y67&lt;&gt;"",الموظفون!$Y67,IF(الموظفون!$E67="غير سعودي",cfg_WP,0)))/12*G67/cfg_DAYS_M)</f>
        <v/>
      </c>
      <c r="AE67" s="116" t="str">
        <f aca="false">IF($B67="","",IF(الموظفون!$Z67&lt;&gt;"",الموظفون!$Z67,cfg_MED)/12*G67/cfg_DAYS_M)</f>
        <v/>
      </c>
      <c r="AF67" s="116" t="str">
        <f aca="false">IF($B67="","",N(الموظفون!$AA67)/12*G67/cfg_DAYS_M)</f>
        <v/>
      </c>
      <c r="AG67" s="159" t="str">
        <f aca="false">IF($B67="","",T67+SUM(Z67:AF67))</f>
        <v/>
      </c>
      <c r="AH67" s="160" t="str">
        <f aca="false">IF($B67="","",MAX(0,IF(OR(الموظفون!$AE67="",الموظفون!$AE67&gt;$F$3),$F$3,الموظفون!$AE67)-الموظفون!$H67+1-SUMIFS('سجل الإجازات والحالات'!$AJ$6:$AJ$505,'سجل الإجازات والحالات'!$B$6:$B$505,$B67))/cfg_DAYS_Y)</f>
        <v/>
      </c>
      <c r="AI67" s="160" t="str">
        <f aca="false">IF($B67="","",MAX(0,IF(OR(الموظفون!$AE67="",الموظفون!$AE67&gt;($E$3-1)),($E$3-1),الموظفون!$AE67)-الموظفون!$H67+1-SUMIFS('سجل الإجازات والحالات'!$AI$6:$AI$505,'سجل الإجازات والحالات'!$B$6:$B$505,$B67))/cfg_DAYS_Y)</f>
        <v/>
      </c>
      <c r="AJ67" s="133" t="str">
        <f aca="false">IF($B67="","",MAX(0,AK67-(SUMIFS('سجل الإجازات والحالات'!$AJ$6:$AJ$505,'سجل الإجازات والحالات'!$B$6:$B$505,$B67)-SUMIFS('سجل الإجازات والحالات'!$AI$6:$AI$505,'سجل الإجازات والحالات'!$B$6:$B$505,$B67))))</f>
        <v/>
      </c>
      <c r="AK67" s="133" t="str">
        <f aca="false">IF($B67="","",MAX(0,IF(OR(الموظفون!$AE67="",الموظفون!$AE67&gt;$F$3),$F$3,الموظفون!$AE67)-MAX($E$3,الموظفون!$H67)+1))</f>
        <v/>
      </c>
      <c r="AL67" s="156" t="str">
        <f aca="false">IF($B67="","",SUMIFS('سجل الإجازات والحالات'!$AV$6:$AV$505,'سجل الإجازات والحالات'!$B$6:$B$505,$B67)+SUMIFS('الحركات الشهرية'!$K$6:$K$1005,'الحركات الشهرية'!$B$6:$B$1005,$B67,'الحركات الشهرية'!$A$6:$A$1005,$C$3))</f>
        <v/>
      </c>
      <c r="AM67" s="116" t="str">
        <f aca="false">IF($B67="","",AL67*الموظفون!$R67/cfg_DAYS_M+S67)</f>
        <v/>
      </c>
      <c r="AN67" s="156" t="str">
        <f aca="false">IF($B67="","",SUMIFS('سجل الإجازات والحالات'!$X$6:$X$505,'سجل الإجازات والحالات'!$B$6:$B$505,$B67))</f>
        <v/>
      </c>
    </row>
    <row r="68" customFormat="false" ht="15" hidden="false" customHeight="false" outlineLevel="0" collapsed="false">
      <c r="A68" s="106" t="str">
        <f aca="false">IF($B68="","",الموظفون!$A68)</f>
        <v/>
      </c>
      <c r="B68" s="114" t="str">
        <f aca="false">IF(الموظفون!$B68="","",الموظفون!$B68)</f>
        <v/>
      </c>
      <c r="C68" s="114" t="str">
        <f aca="false">IF($B68="","",الموظفون!$C68)</f>
        <v/>
      </c>
      <c r="D68" s="114" t="str">
        <f aca="false">IF($B68="","",الموظفون!$F68)</f>
        <v/>
      </c>
      <c r="E68" s="114" t="str">
        <f aca="false">IF($B68="","",الموظفون!$E68)</f>
        <v/>
      </c>
      <c r="F68" s="114" t="str">
        <f aca="false">IF($B68="","",IF(AK68=0,IF(AND(الموظفون!$AE68&lt;&gt;"",الموظفون!$AE68&lt;$E$3),"✖ منتهي الخدمة","⏳ لم يباشر"),IF(S68&gt;0,"✈ راتب إجازة مقدم",IF(J68=0,"⛔ بدون راتب هذا الشهر",IF(I68&gt;0,"✈ خصم "&amp;ROUND(I68,2)&amp;" يوم بدون أجر",IF(AL68&gt;0,"🌴 إجازة سنوية "&amp;ROUND(AL68,2)&amp;" يوم",IF(H68&gt;0,"⚠ غياب "&amp;ROUND(H68,2)&amp;" يوم","✔ على رأس العمل")))))))</f>
        <v/>
      </c>
      <c r="G68" s="151" t="str">
        <f aca="false">IF($B68="","",IF(AK68&gt;=DAY($F$3),cfg_DAYS_M,MIN(AK68,cfg_DAYS_M)))</f>
        <v/>
      </c>
      <c r="H68" s="151" t="str">
        <f aca="false">IF($B68="","",SUMIFS('الحركات الشهرية'!$D$6:$D$1005,'الحركات الشهرية'!$B$6:$B$1005,$B68,'الحركات الشهرية'!$A$6:$A$1005,$C$3))</f>
        <v/>
      </c>
      <c r="I68" s="151" t="str">
        <f aca="false">IF($B68="","",MIN(G68,IF(AND(AK68&gt;0,AN68&gt;=AK68),G68,AN68)+SUMIFS('الحركات الشهرية'!$E$6:$E$1005,'الحركات الشهرية'!$B$6:$B$1005,$B68,'الحركات الشهرية'!$A$6:$A$1005,$C$3)))</f>
        <v/>
      </c>
      <c r="J68" s="151" t="str">
        <f aca="false">IF($B68="","",MAX(0,G68-H68-I68))</f>
        <v/>
      </c>
      <c r="K68" s="111" t="str">
        <f aca="false">IF($B68="","",الموظفون!$L68*$J68/cfg_DAYS_M)</f>
        <v/>
      </c>
      <c r="L68" s="111" t="str">
        <f aca="false">IF($B68="","",الموظفون!$M68*$J68/cfg_DAYS_M)</f>
        <v/>
      </c>
      <c r="M68" s="111" t="str">
        <f aca="false">IF($B68="","",الموظفون!$N68*$J68/cfg_DAYS_M)</f>
        <v/>
      </c>
      <c r="N68" s="111" t="str">
        <f aca="false">IF($B68="","",الموظفون!$O68*$J68/cfg_DAYS_M)</f>
        <v/>
      </c>
      <c r="O68" s="151" t="str">
        <f aca="false">IF($B68="","",SUMIFS('الحركات الشهرية'!$F$6:$F$1005,'الحركات الشهرية'!$B$6:$B$1005,$B68,'الحركات الشهرية'!$A$6:$A$1005,$C$3))</f>
        <v/>
      </c>
      <c r="P68" s="111" t="str">
        <f aca="false">IF($B68="","",O68*(الموظفون!$P68+الموظفون!$L68*cfg_OT_P)/cfg_DAYS_M/cfg_HRS)</f>
        <v/>
      </c>
      <c r="Q68" s="111" t="str">
        <f aca="false">IF($B68="","",SUMIFS('الحركات الشهرية'!$G$6:$G$1005,'الحركات الشهرية'!$B$6:$B$1005,$B68,'الحركات الشهرية'!$A$6:$A$1005,$C$3))</f>
        <v/>
      </c>
      <c r="R68" s="111" t="str">
        <f aca="false">IF($B68="","",SUMIFS('الحركات الشهرية'!$H$6:$H$1005,'الحركات الشهرية'!$B$6:$B$1005,$B68,'الحركات الشهرية'!$A$6:$A$1005,$C$3))</f>
        <v/>
      </c>
      <c r="S68" s="111" t="str">
        <f aca="false">IF($B68="","",SUMIFS('سجل الإجازات والحالات'!$N$6:$N$505,'سجل الإجازات والحالات'!$B$6:$B$505,$B68,'سجل الإجازات والحالات'!$O$6:$O$505,$C$3))</f>
        <v/>
      </c>
      <c r="T68" s="152" t="str">
        <f aca="false">IF($B68="","",SUM(K68:N68)+SUM(P68:S68))</f>
        <v/>
      </c>
      <c r="U68" s="111" t="str">
        <f aca="false">IF($B68="","",الموظفون!$S68*IF(E68="سعودي",cfg_G_SE,cfg_G_NE)*G68/cfg_DAYS_M)</f>
        <v/>
      </c>
      <c r="V68" s="111" t="str">
        <f aca="false">IF($B68="","",SUMIFS('الحركات الشهرية'!$I$6:$I$1005,'الحركات الشهرية'!$B$6:$B$1005,$B68,'الحركات الشهرية'!$A$6:$A$1005,$C$3))</f>
        <v/>
      </c>
      <c r="W68" s="111" t="str">
        <f aca="false">IF($B68="","",SUMIFS('الحركات الشهرية'!$J$6:$J$1005,'الحركات الشهرية'!$B$6:$B$1005,$B68,'الحركات الشهرية'!$A$6:$A$1005,$C$3))</f>
        <v/>
      </c>
      <c r="X68" s="111" t="str">
        <f aca="false">IF($B68="","",SUM(U68:W68))</f>
        <v/>
      </c>
      <c r="Y68" s="153" t="str">
        <f aca="false">IF($B68="","",T68-X68)</f>
        <v/>
      </c>
      <c r="Z68" s="111" t="str">
        <f aca="false">IF($B68="","",الموظفون!$S68*IF(E68="سعودي",cfg_G_SR,cfg_G_NR)*G68/cfg_DAYS_M)</f>
        <v/>
      </c>
      <c r="AA68" s="111" t="str">
        <f aca="false">IF($B68="","",الموظفون!$Q68*(cfg_EOS_R1*(MIN(AH68,cfg_EOS_TH)-MIN(AI68,cfg_EOS_TH))+cfg_EOS_R2*(MAX(AH68-cfg_EOS_TH,0)-MAX(AI68-cfg_EOS_TH,0))))</f>
        <v/>
      </c>
      <c r="AB68" s="111" t="str">
        <f aca="false">IF($B68="","",IF(الموظفون!$T68&lt;&gt;"",الموظفون!$T68,IF(AH68&gt;=cfg_LV_TH,cfg_LV_D2,cfg_LV_D1))/cfg_DAYS_Y*AJ68*الموظفون!$R68/cfg_DAYS_M)</f>
        <v/>
      </c>
      <c r="AC68" s="111" t="str">
        <f aca="false">IF($B68="","",IF(AND(الموظفون!$U68="نعم",N(الموظفون!$W68)&gt;0),الموظفون!$V68/الموظفون!$W68*12/cfg_DAYS_Y*AJ68,0))</f>
        <v/>
      </c>
      <c r="AD68" s="111" t="str">
        <f aca="false">IF($B68="","",(IF(الموظفون!$X68&lt;&gt;"",الموظفون!$X68,IF(الموظفون!$E68="غير سعودي",cfg_IQ,0))+IF(الموظفون!$Y68&lt;&gt;"",الموظفون!$Y68,IF(الموظفون!$E68="غير سعودي",cfg_WP,0)))/12*G68/cfg_DAYS_M)</f>
        <v/>
      </c>
      <c r="AE68" s="111" t="str">
        <f aca="false">IF($B68="","",IF(الموظفون!$Z68&lt;&gt;"",الموظفون!$Z68,cfg_MED)/12*G68/cfg_DAYS_M)</f>
        <v/>
      </c>
      <c r="AF68" s="111" t="str">
        <f aca="false">IF($B68="","",N(الموظفون!$AA68)/12*G68/cfg_DAYS_M)</f>
        <v/>
      </c>
      <c r="AG68" s="154" t="str">
        <f aca="false">IF($B68="","",T68+SUM(Z68:AF68))</f>
        <v/>
      </c>
      <c r="AH68" s="155" t="str">
        <f aca="false">IF($B68="","",MAX(0,IF(OR(الموظفون!$AE68="",الموظفون!$AE68&gt;$F$3),$F$3,الموظفون!$AE68)-الموظفون!$H68+1-SUMIFS('سجل الإجازات والحالات'!$AJ$6:$AJ$505,'سجل الإجازات والحالات'!$B$6:$B$505,$B68))/cfg_DAYS_Y)</f>
        <v/>
      </c>
      <c r="AI68" s="155" t="str">
        <f aca="false">IF($B68="","",MAX(0,IF(OR(الموظفون!$AE68="",الموظفون!$AE68&gt;($E$3-1)),($E$3-1),الموظفون!$AE68)-الموظفون!$H68+1-SUMIFS('سجل الإجازات والحالات'!$AI$6:$AI$505,'سجل الإجازات والحالات'!$B$6:$B$505,$B68))/cfg_DAYS_Y)</f>
        <v/>
      </c>
      <c r="AJ68" s="65" t="str">
        <f aca="false">IF($B68="","",MAX(0,AK68-(SUMIFS('سجل الإجازات والحالات'!$AJ$6:$AJ$505,'سجل الإجازات والحالات'!$B$6:$B$505,$B68)-SUMIFS('سجل الإجازات والحالات'!$AI$6:$AI$505,'سجل الإجازات والحالات'!$B$6:$B$505,$B68))))</f>
        <v/>
      </c>
      <c r="AK68" s="65" t="str">
        <f aca="false">IF($B68="","",MAX(0,IF(OR(الموظفون!$AE68="",الموظفون!$AE68&gt;$F$3),$F$3,الموظفون!$AE68)-MAX($E$3,الموظفون!$H68)+1))</f>
        <v/>
      </c>
      <c r="AL68" s="151" t="str">
        <f aca="false">IF($B68="","",SUMIFS('سجل الإجازات والحالات'!$AV$6:$AV$505,'سجل الإجازات والحالات'!$B$6:$B$505,$B68)+SUMIFS('الحركات الشهرية'!$K$6:$K$1005,'الحركات الشهرية'!$B$6:$B$1005,$B68,'الحركات الشهرية'!$A$6:$A$1005,$C$3))</f>
        <v/>
      </c>
      <c r="AM68" s="111" t="str">
        <f aca="false">IF($B68="","",AL68*الموظفون!$R68/cfg_DAYS_M+S68)</f>
        <v/>
      </c>
      <c r="AN68" s="151" t="str">
        <f aca="false">IF($B68="","",SUMIFS('سجل الإجازات والحالات'!$X$6:$X$505,'سجل الإجازات والحالات'!$B$6:$B$505,$B68))</f>
        <v/>
      </c>
    </row>
    <row r="69" customFormat="false" ht="15" hidden="false" customHeight="false" outlineLevel="0" collapsed="false">
      <c r="A69" s="115" t="str">
        <f aca="false">IF($B69="","",الموظفون!$A69)</f>
        <v/>
      </c>
      <c r="B69" s="117" t="str">
        <f aca="false">IF(الموظفون!$B69="","",الموظفون!$B69)</f>
        <v/>
      </c>
      <c r="C69" s="117" t="str">
        <f aca="false">IF($B69="","",الموظفون!$C69)</f>
        <v/>
      </c>
      <c r="D69" s="117" t="str">
        <f aca="false">IF($B69="","",الموظفون!$F69)</f>
        <v/>
      </c>
      <c r="E69" s="117" t="str">
        <f aca="false">IF($B69="","",الموظفون!$E69)</f>
        <v/>
      </c>
      <c r="F69" s="117" t="str">
        <f aca="false">IF($B69="","",IF(AK69=0,IF(AND(الموظفون!$AE69&lt;&gt;"",الموظفون!$AE69&lt;$E$3),"✖ منتهي الخدمة","⏳ لم يباشر"),IF(S69&gt;0,"✈ راتب إجازة مقدم",IF(J69=0,"⛔ بدون راتب هذا الشهر",IF(I69&gt;0,"✈ خصم "&amp;ROUND(I69,2)&amp;" يوم بدون أجر",IF(AL69&gt;0,"🌴 إجازة سنوية "&amp;ROUND(AL69,2)&amp;" يوم",IF(H69&gt;0,"⚠ غياب "&amp;ROUND(H69,2)&amp;" يوم","✔ على رأس العمل")))))))</f>
        <v/>
      </c>
      <c r="G69" s="156" t="str">
        <f aca="false">IF($B69="","",IF(AK69&gt;=DAY($F$3),cfg_DAYS_M,MIN(AK69,cfg_DAYS_M)))</f>
        <v/>
      </c>
      <c r="H69" s="156" t="str">
        <f aca="false">IF($B69="","",SUMIFS('الحركات الشهرية'!$D$6:$D$1005,'الحركات الشهرية'!$B$6:$B$1005,$B69,'الحركات الشهرية'!$A$6:$A$1005,$C$3))</f>
        <v/>
      </c>
      <c r="I69" s="156" t="str">
        <f aca="false">IF($B69="","",MIN(G69,IF(AND(AK69&gt;0,AN69&gt;=AK69),G69,AN69)+SUMIFS('الحركات الشهرية'!$E$6:$E$1005,'الحركات الشهرية'!$B$6:$B$1005,$B69,'الحركات الشهرية'!$A$6:$A$1005,$C$3)))</f>
        <v/>
      </c>
      <c r="J69" s="156" t="str">
        <f aca="false">IF($B69="","",MAX(0,G69-H69-I69))</f>
        <v/>
      </c>
      <c r="K69" s="116" t="str">
        <f aca="false">IF($B69="","",الموظفون!$L69*$J69/cfg_DAYS_M)</f>
        <v/>
      </c>
      <c r="L69" s="116" t="str">
        <f aca="false">IF($B69="","",الموظفون!$M69*$J69/cfg_DAYS_M)</f>
        <v/>
      </c>
      <c r="M69" s="116" t="str">
        <f aca="false">IF($B69="","",الموظفون!$N69*$J69/cfg_DAYS_M)</f>
        <v/>
      </c>
      <c r="N69" s="116" t="str">
        <f aca="false">IF($B69="","",الموظفون!$O69*$J69/cfg_DAYS_M)</f>
        <v/>
      </c>
      <c r="O69" s="156" t="str">
        <f aca="false">IF($B69="","",SUMIFS('الحركات الشهرية'!$F$6:$F$1005,'الحركات الشهرية'!$B$6:$B$1005,$B69,'الحركات الشهرية'!$A$6:$A$1005,$C$3))</f>
        <v/>
      </c>
      <c r="P69" s="116" t="str">
        <f aca="false">IF($B69="","",O69*(الموظفون!$P69+الموظفون!$L69*cfg_OT_P)/cfg_DAYS_M/cfg_HRS)</f>
        <v/>
      </c>
      <c r="Q69" s="116" t="str">
        <f aca="false">IF($B69="","",SUMIFS('الحركات الشهرية'!$G$6:$G$1005,'الحركات الشهرية'!$B$6:$B$1005,$B69,'الحركات الشهرية'!$A$6:$A$1005,$C$3))</f>
        <v/>
      </c>
      <c r="R69" s="116" t="str">
        <f aca="false">IF($B69="","",SUMIFS('الحركات الشهرية'!$H$6:$H$1005,'الحركات الشهرية'!$B$6:$B$1005,$B69,'الحركات الشهرية'!$A$6:$A$1005,$C$3))</f>
        <v/>
      </c>
      <c r="S69" s="116" t="str">
        <f aca="false">IF($B69="","",SUMIFS('سجل الإجازات والحالات'!$N$6:$N$505,'سجل الإجازات والحالات'!$B$6:$B$505,$B69,'سجل الإجازات والحالات'!$O$6:$O$505,$C$3))</f>
        <v/>
      </c>
      <c r="T69" s="157" t="str">
        <f aca="false">IF($B69="","",SUM(K69:N69)+SUM(P69:S69))</f>
        <v/>
      </c>
      <c r="U69" s="116" t="str">
        <f aca="false">IF($B69="","",الموظفون!$S69*IF(E69="سعودي",cfg_G_SE,cfg_G_NE)*G69/cfg_DAYS_M)</f>
        <v/>
      </c>
      <c r="V69" s="116" t="str">
        <f aca="false">IF($B69="","",SUMIFS('الحركات الشهرية'!$I$6:$I$1005,'الحركات الشهرية'!$B$6:$B$1005,$B69,'الحركات الشهرية'!$A$6:$A$1005,$C$3))</f>
        <v/>
      </c>
      <c r="W69" s="116" t="str">
        <f aca="false">IF($B69="","",SUMIFS('الحركات الشهرية'!$J$6:$J$1005,'الحركات الشهرية'!$B$6:$B$1005,$B69,'الحركات الشهرية'!$A$6:$A$1005,$C$3))</f>
        <v/>
      </c>
      <c r="X69" s="116" t="str">
        <f aca="false">IF($B69="","",SUM(U69:W69))</f>
        <v/>
      </c>
      <c r="Y69" s="158" t="str">
        <f aca="false">IF($B69="","",T69-X69)</f>
        <v/>
      </c>
      <c r="Z69" s="116" t="str">
        <f aca="false">IF($B69="","",الموظفون!$S69*IF(E69="سعودي",cfg_G_SR,cfg_G_NR)*G69/cfg_DAYS_M)</f>
        <v/>
      </c>
      <c r="AA69" s="116" t="str">
        <f aca="false">IF($B69="","",الموظفون!$Q69*(cfg_EOS_R1*(MIN(AH69,cfg_EOS_TH)-MIN(AI69,cfg_EOS_TH))+cfg_EOS_R2*(MAX(AH69-cfg_EOS_TH,0)-MAX(AI69-cfg_EOS_TH,0))))</f>
        <v/>
      </c>
      <c r="AB69" s="116" t="str">
        <f aca="false">IF($B69="","",IF(الموظفون!$T69&lt;&gt;"",الموظفون!$T69,IF(AH69&gt;=cfg_LV_TH,cfg_LV_D2,cfg_LV_D1))/cfg_DAYS_Y*AJ69*الموظفون!$R69/cfg_DAYS_M)</f>
        <v/>
      </c>
      <c r="AC69" s="116" t="str">
        <f aca="false">IF($B69="","",IF(AND(الموظفون!$U69="نعم",N(الموظفون!$W69)&gt;0),الموظفون!$V69/الموظفون!$W69*12/cfg_DAYS_Y*AJ69,0))</f>
        <v/>
      </c>
      <c r="AD69" s="116" t="str">
        <f aca="false">IF($B69="","",(IF(الموظفون!$X69&lt;&gt;"",الموظفون!$X69,IF(الموظفون!$E69="غير سعودي",cfg_IQ,0))+IF(الموظفون!$Y69&lt;&gt;"",الموظفون!$Y69,IF(الموظفون!$E69="غير سعودي",cfg_WP,0)))/12*G69/cfg_DAYS_M)</f>
        <v/>
      </c>
      <c r="AE69" s="116" t="str">
        <f aca="false">IF($B69="","",IF(الموظفون!$Z69&lt;&gt;"",الموظفون!$Z69,cfg_MED)/12*G69/cfg_DAYS_M)</f>
        <v/>
      </c>
      <c r="AF69" s="116" t="str">
        <f aca="false">IF($B69="","",N(الموظفون!$AA69)/12*G69/cfg_DAYS_M)</f>
        <v/>
      </c>
      <c r="AG69" s="159" t="str">
        <f aca="false">IF($B69="","",T69+SUM(Z69:AF69))</f>
        <v/>
      </c>
      <c r="AH69" s="160" t="str">
        <f aca="false">IF($B69="","",MAX(0,IF(OR(الموظفون!$AE69="",الموظفون!$AE69&gt;$F$3),$F$3,الموظفون!$AE69)-الموظفون!$H69+1-SUMIFS('سجل الإجازات والحالات'!$AJ$6:$AJ$505,'سجل الإجازات والحالات'!$B$6:$B$505,$B69))/cfg_DAYS_Y)</f>
        <v/>
      </c>
      <c r="AI69" s="160" t="str">
        <f aca="false">IF($B69="","",MAX(0,IF(OR(الموظفون!$AE69="",الموظفون!$AE69&gt;($E$3-1)),($E$3-1),الموظفون!$AE69)-الموظفون!$H69+1-SUMIFS('سجل الإجازات والحالات'!$AI$6:$AI$505,'سجل الإجازات والحالات'!$B$6:$B$505,$B69))/cfg_DAYS_Y)</f>
        <v/>
      </c>
      <c r="AJ69" s="133" t="str">
        <f aca="false">IF($B69="","",MAX(0,AK69-(SUMIFS('سجل الإجازات والحالات'!$AJ$6:$AJ$505,'سجل الإجازات والحالات'!$B$6:$B$505,$B69)-SUMIFS('سجل الإجازات والحالات'!$AI$6:$AI$505,'سجل الإجازات والحالات'!$B$6:$B$505,$B69))))</f>
        <v/>
      </c>
      <c r="AK69" s="133" t="str">
        <f aca="false">IF($B69="","",MAX(0,IF(OR(الموظفون!$AE69="",الموظفون!$AE69&gt;$F$3),$F$3,الموظفون!$AE69)-MAX($E$3,الموظفون!$H69)+1))</f>
        <v/>
      </c>
      <c r="AL69" s="156" t="str">
        <f aca="false">IF($B69="","",SUMIFS('سجل الإجازات والحالات'!$AV$6:$AV$505,'سجل الإجازات والحالات'!$B$6:$B$505,$B69)+SUMIFS('الحركات الشهرية'!$K$6:$K$1005,'الحركات الشهرية'!$B$6:$B$1005,$B69,'الحركات الشهرية'!$A$6:$A$1005,$C$3))</f>
        <v/>
      </c>
      <c r="AM69" s="116" t="str">
        <f aca="false">IF($B69="","",AL69*الموظفون!$R69/cfg_DAYS_M+S69)</f>
        <v/>
      </c>
      <c r="AN69" s="156" t="str">
        <f aca="false">IF($B69="","",SUMIFS('سجل الإجازات والحالات'!$X$6:$X$505,'سجل الإجازات والحالات'!$B$6:$B$505,$B69))</f>
        <v/>
      </c>
    </row>
    <row r="70" customFormat="false" ht="15" hidden="false" customHeight="false" outlineLevel="0" collapsed="false">
      <c r="A70" s="106" t="str">
        <f aca="false">IF($B70="","",الموظفون!$A70)</f>
        <v/>
      </c>
      <c r="B70" s="114" t="str">
        <f aca="false">IF(الموظفون!$B70="","",الموظفون!$B70)</f>
        <v/>
      </c>
      <c r="C70" s="114" t="str">
        <f aca="false">IF($B70="","",الموظفون!$C70)</f>
        <v/>
      </c>
      <c r="D70" s="114" t="str">
        <f aca="false">IF($B70="","",الموظفون!$F70)</f>
        <v/>
      </c>
      <c r="E70" s="114" t="str">
        <f aca="false">IF($B70="","",الموظفون!$E70)</f>
        <v/>
      </c>
      <c r="F70" s="114" t="str">
        <f aca="false">IF($B70="","",IF(AK70=0,IF(AND(الموظفون!$AE70&lt;&gt;"",الموظفون!$AE70&lt;$E$3),"✖ منتهي الخدمة","⏳ لم يباشر"),IF(S70&gt;0,"✈ راتب إجازة مقدم",IF(J70=0,"⛔ بدون راتب هذا الشهر",IF(I70&gt;0,"✈ خصم "&amp;ROUND(I70,2)&amp;" يوم بدون أجر",IF(AL70&gt;0,"🌴 إجازة سنوية "&amp;ROUND(AL70,2)&amp;" يوم",IF(H70&gt;0,"⚠ غياب "&amp;ROUND(H70,2)&amp;" يوم","✔ على رأس العمل")))))))</f>
        <v/>
      </c>
      <c r="G70" s="151" t="str">
        <f aca="false">IF($B70="","",IF(AK70&gt;=DAY($F$3),cfg_DAYS_M,MIN(AK70,cfg_DAYS_M)))</f>
        <v/>
      </c>
      <c r="H70" s="151" t="str">
        <f aca="false">IF($B70="","",SUMIFS('الحركات الشهرية'!$D$6:$D$1005,'الحركات الشهرية'!$B$6:$B$1005,$B70,'الحركات الشهرية'!$A$6:$A$1005,$C$3))</f>
        <v/>
      </c>
      <c r="I70" s="151" t="str">
        <f aca="false">IF($B70="","",MIN(G70,IF(AND(AK70&gt;0,AN70&gt;=AK70),G70,AN70)+SUMIFS('الحركات الشهرية'!$E$6:$E$1005,'الحركات الشهرية'!$B$6:$B$1005,$B70,'الحركات الشهرية'!$A$6:$A$1005,$C$3)))</f>
        <v/>
      </c>
      <c r="J70" s="151" t="str">
        <f aca="false">IF($B70="","",MAX(0,G70-H70-I70))</f>
        <v/>
      </c>
      <c r="K70" s="111" t="str">
        <f aca="false">IF($B70="","",الموظفون!$L70*$J70/cfg_DAYS_M)</f>
        <v/>
      </c>
      <c r="L70" s="111" t="str">
        <f aca="false">IF($B70="","",الموظفون!$M70*$J70/cfg_DAYS_M)</f>
        <v/>
      </c>
      <c r="M70" s="111" t="str">
        <f aca="false">IF($B70="","",الموظفون!$N70*$J70/cfg_DAYS_M)</f>
        <v/>
      </c>
      <c r="N70" s="111" t="str">
        <f aca="false">IF($B70="","",الموظفون!$O70*$J70/cfg_DAYS_M)</f>
        <v/>
      </c>
      <c r="O70" s="151" t="str">
        <f aca="false">IF($B70="","",SUMIFS('الحركات الشهرية'!$F$6:$F$1005,'الحركات الشهرية'!$B$6:$B$1005,$B70,'الحركات الشهرية'!$A$6:$A$1005,$C$3))</f>
        <v/>
      </c>
      <c r="P70" s="111" t="str">
        <f aca="false">IF($B70="","",O70*(الموظفون!$P70+الموظفون!$L70*cfg_OT_P)/cfg_DAYS_M/cfg_HRS)</f>
        <v/>
      </c>
      <c r="Q70" s="111" t="str">
        <f aca="false">IF($B70="","",SUMIFS('الحركات الشهرية'!$G$6:$G$1005,'الحركات الشهرية'!$B$6:$B$1005,$B70,'الحركات الشهرية'!$A$6:$A$1005,$C$3))</f>
        <v/>
      </c>
      <c r="R70" s="111" t="str">
        <f aca="false">IF($B70="","",SUMIFS('الحركات الشهرية'!$H$6:$H$1005,'الحركات الشهرية'!$B$6:$B$1005,$B70,'الحركات الشهرية'!$A$6:$A$1005,$C$3))</f>
        <v/>
      </c>
      <c r="S70" s="111" t="str">
        <f aca="false">IF($B70="","",SUMIFS('سجل الإجازات والحالات'!$N$6:$N$505,'سجل الإجازات والحالات'!$B$6:$B$505,$B70,'سجل الإجازات والحالات'!$O$6:$O$505,$C$3))</f>
        <v/>
      </c>
      <c r="T70" s="152" t="str">
        <f aca="false">IF($B70="","",SUM(K70:N70)+SUM(P70:S70))</f>
        <v/>
      </c>
      <c r="U70" s="111" t="str">
        <f aca="false">IF($B70="","",الموظفون!$S70*IF(E70="سعودي",cfg_G_SE,cfg_G_NE)*G70/cfg_DAYS_M)</f>
        <v/>
      </c>
      <c r="V70" s="111" t="str">
        <f aca="false">IF($B70="","",SUMIFS('الحركات الشهرية'!$I$6:$I$1005,'الحركات الشهرية'!$B$6:$B$1005,$B70,'الحركات الشهرية'!$A$6:$A$1005,$C$3))</f>
        <v/>
      </c>
      <c r="W70" s="111" t="str">
        <f aca="false">IF($B70="","",SUMIFS('الحركات الشهرية'!$J$6:$J$1005,'الحركات الشهرية'!$B$6:$B$1005,$B70,'الحركات الشهرية'!$A$6:$A$1005,$C$3))</f>
        <v/>
      </c>
      <c r="X70" s="111" t="str">
        <f aca="false">IF($B70="","",SUM(U70:W70))</f>
        <v/>
      </c>
      <c r="Y70" s="153" t="str">
        <f aca="false">IF($B70="","",T70-X70)</f>
        <v/>
      </c>
      <c r="Z70" s="111" t="str">
        <f aca="false">IF($B70="","",الموظفون!$S70*IF(E70="سعودي",cfg_G_SR,cfg_G_NR)*G70/cfg_DAYS_M)</f>
        <v/>
      </c>
      <c r="AA70" s="111" t="str">
        <f aca="false">IF($B70="","",الموظفون!$Q70*(cfg_EOS_R1*(MIN(AH70,cfg_EOS_TH)-MIN(AI70,cfg_EOS_TH))+cfg_EOS_R2*(MAX(AH70-cfg_EOS_TH,0)-MAX(AI70-cfg_EOS_TH,0))))</f>
        <v/>
      </c>
      <c r="AB70" s="111" t="str">
        <f aca="false">IF($B70="","",IF(الموظفون!$T70&lt;&gt;"",الموظفون!$T70,IF(AH70&gt;=cfg_LV_TH,cfg_LV_D2,cfg_LV_D1))/cfg_DAYS_Y*AJ70*الموظفون!$R70/cfg_DAYS_M)</f>
        <v/>
      </c>
      <c r="AC70" s="111" t="str">
        <f aca="false">IF($B70="","",IF(AND(الموظفون!$U70="نعم",N(الموظفون!$W70)&gt;0),الموظفون!$V70/الموظفون!$W70*12/cfg_DAYS_Y*AJ70,0))</f>
        <v/>
      </c>
      <c r="AD70" s="111" t="str">
        <f aca="false">IF($B70="","",(IF(الموظفون!$X70&lt;&gt;"",الموظفون!$X70,IF(الموظفون!$E70="غير سعودي",cfg_IQ,0))+IF(الموظفون!$Y70&lt;&gt;"",الموظفون!$Y70,IF(الموظفون!$E70="غير سعودي",cfg_WP,0)))/12*G70/cfg_DAYS_M)</f>
        <v/>
      </c>
      <c r="AE70" s="111" t="str">
        <f aca="false">IF($B70="","",IF(الموظفون!$Z70&lt;&gt;"",الموظفون!$Z70,cfg_MED)/12*G70/cfg_DAYS_M)</f>
        <v/>
      </c>
      <c r="AF70" s="111" t="str">
        <f aca="false">IF($B70="","",N(الموظفون!$AA70)/12*G70/cfg_DAYS_M)</f>
        <v/>
      </c>
      <c r="AG70" s="154" t="str">
        <f aca="false">IF($B70="","",T70+SUM(Z70:AF70))</f>
        <v/>
      </c>
      <c r="AH70" s="155" t="str">
        <f aca="false">IF($B70="","",MAX(0,IF(OR(الموظفون!$AE70="",الموظفون!$AE70&gt;$F$3),$F$3,الموظفون!$AE70)-الموظفون!$H70+1-SUMIFS('سجل الإجازات والحالات'!$AJ$6:$AJ$505,'سجل الإجازات والحالات'!$B$6:$B$505,$B70))/cfg_DAYS_Y)</f>
        <v/>
      </c>
      <c r="AI70" s="155" t="str">
        <f aca="false">IF($B70="","",MAX(0,IF(OR(الموظفون!$AE70="",الموظفون!$AE70&gt;($E$3-1)),($E$3-1),الموظفون!$AE70)-الموظفون!$H70+1-SUMIFS('سجل الإجازات والحالات'!$AI$6:$AI$505,'سجل الإجازات والحالات'!$B$6:$B$505,$B70))/cfg_DAYS_Y)</f>
        <v/>
      </c>
      <c r="AJ70" s="65" t="str">
        <f aca="false">IF($B70="","",MAX(0,AK70-(SUMIFS('سجل الإجازات والحالات'!$AJ$6:$AJ$505,'سجل الإجازات والحالات'!$B$6:$B$505,$B70)-SUMIFS('سجل الإجازات والحالات'!$AI$6:$AI$505,'سجل الإجازات والحالات'!$B$6:$B$505,$B70))))</f>
        <v/>
      </c>
      <c r="AK70" s="65" t="str">
        <f aca="false">IF($B70="","",MAX(0,IF(OR(الموظفون!$AE70="",الموظفون!$AE70&gt;$F$3),$F$3,الموظفون!$AE70)-MAX($E$3,الموظفون!$H70)+1))</f>
        <v/>
      </c>
      <c r="AL70" s="151" t="str">
        <f aca="false">IF($B70="","",SUMIFS('سجل الإجازات والحالات'!$AV$6:$AV$505,'سجل الإجازات والحالات'!$B$6:$B$505,$B70)+SUMIFS('الحركات الشهرية'!$K$6:$K$1005,'الحركات الشهرية'!$B$6:$B$1005,$B70,'الحركات الشهرية'!$A$6:$A$1005,$C$3))</f>
        <v/>
      </c>
      <c r="AM70" s="111" t="str">
        <f aca="false">IF($B70="","",AL70*الموظفون!$R70/cfg_DAYS_M+S70)</f>
        <v/>
      </c>
      <c r="AN70" s="151" t="str">
        <f aca="false">IF($B70="","",SUMIFS('سجل الإجازات والحالات'!$X$6:$X$505,'سجل الإجازات والحالات'!$B$6:$B$505,$B70))</f>
        <v/>
      </c>
    </row>
    <row r="71" customFormat="false" ht="15" hidden="false" customHeight="false" outlineLevel="0" collapsed="false">
      <c r="A71" s="115" t="str">
        <f aca="false">IF($B71="","",الموظفون!$A71)</f>
        <v/>
      </c>
      <c r="B71" s="117" t="str">
        <f aca="false">IF(الموظفون!$B71="","",الموظفون!$B71)</f>
        <v/>
      </c>
      <c r="C71" s="117" t="str">
        <f aca="false">IF($B71="","",الموظفون!$C71)</f>
        <v/>
      </c>
      <c r="D71" s="117" t="str">
        <f aca="false">IF($B71="","",الموظفون!$F71)</f>
        <v/>
      </c>
      <c r="E71" s="117" t="str">
        <f aca="false">IF($B71="","",الموظفون!$E71)</f>
        <v/>
      </c>
      <c r="F71" s="117" t="str">
        <f aca="false">IF($B71="","",IF(AK71=0,IF(AND(الموظفون!$AE71&lt;&gt;"",الموظفون!$AE71&lt;$E$3),"✖ منتهي الخدمة","⏳ لم يباشر"),IF(S71&gt;0,"✈ راتب إجازة مقدم",IF(J71=0,"⛔ بدون راتب هذا الشهر",IF(I71&gt;0,"✈ خصم "&amp;ROUND(I71,2)&amp;" يوم بدون أجر",IF(AL71&gt;0,"🌴 إجازة سنوية "&amp;ROUND(AL71,2)&amp;" يوم",IF(H71&gt;0,"⚠ غياب "&amp;ROUND(H71,2)&amp;" يوم","✔ على رأس العمل")))))))</f>
        <v/>
      </c>
      <c r="G71" s="156" t="str">
        <f aca="false">IF($B71="","",IF(AK71&gt;=DAY($F$3),cfg_DAYS_M,MIN(AK71,cfg_DAYS_M)))</f>
        <v/>
      </c>
      <c r="H71" s="156" t="str">
        <f aca="false">IF($B71="","",SUMIFS('الحركات الشهرية'!$D$6:$D$1005,'الحركات الشهرية'!$B$6:$B$1005,$B71,'الحركات الشهرية'!$A$6:$A$1005,$C$3))</f>
        <v/>
      </c>
      <c r="I71" s="156" t="str">
        <f aca="false">IF($B71="","",MIN(G71,IF(AND(AK71&gt;0,AN71&gt;=AK71),G71,AN71)+SUMIFS('الحركات الشهرية'!$E$6:$E$1005,'الحركات الشهرية'!$B$6:$B$1005,$B71,'الحركات الشهرية'!$A$6:$A$1005,$C$3)))</f>
        <v/>
      </c>
      <c r="J71" s="156" t="str">
        <f aca="false">IF($B71="","",MAX(0,G71-H71-I71))</f>
        <v/>
      </c>
      <c r="K71" s="116" t="str">
        <f aca="false">IF($B71="","",الموظفون!$L71*$J71/cfg_DAYS_M)</f>
        <v/>
      </c>
      <c r="L71" s="116" t="str">
        <f aca="false">IF($B71="","",الموظفون!$M71*$J71/cfg_DAYS_M)</f>
        <v/>
      </c>
      <c r="M71" s="116" t="str">
        <f aca="false">IF($B71="","",الموظفون!$N71*$J71/cfg_DAYS_M)</f>
        <v/>
      </c>
      <c r="N71" s="116" t="str">
        <f aca="false">IF($B71="","",الموظفون!$O71*$J71/cfg_DAYS_M)</f>
        <v/>
      </c>
      <c r="O71" s="156" t="str">
        <f aca="false">IF($B71="","",SUMIFS('الحركات الشهرية'!$F$6:$F$1005,'الحركات الشهرية'!$B$6:$B$1005,$B71,'الحركات الشهرية'!$A$6:$A$1005,$C$3))</f>
        <v/>
      </c>
      <c r="P71" s="116" t="str">
        <f aca="false">IF($B71="","",O71*(الموظفون!$P71+الموظفون!$L71*cfg_OT_P)/cfg_DAYS_M/cfg_HRS)</f>
        <v/>
      </c>
      <c r="Q71" s="116" t="str">
        <f aca="false">IF($B71="","",SUMIFS('الحركات الشهرية'!$G$6:$G$1005,'الحركات الشهرية'!$B$6:$B$1005,$B71,'الحركات الشهرية'!$A$6:$A$1005,$C$3))</f>
        <v/>
      </c>
      <c r="R71" s="116" t="str">
        <f aca="false">IF($B71="","",SUMIFS('الحركات الشهرية'!$H$6:$H$1005,'الحركات الشهرية'!$B$6:$B$1005,$B71,'الحركات الشهرية'!$A$6:$A$1005,$C$3))</f>
        <v/>
      </c>
      <c r="S71" s="116" t="str">
        <f aca="false">IF($B71="","",SUMIFS('سجل الإجازات والحالات'!$N$6:$N$505,'سجل الإجازات والحالات'!$B$6:$B$505,$B71,'سجل الإجازات والحالات'!$O$6:$O$505,$C$3))</f>
        <v/>
      </c>
      <c r="T71" s="157" t="str">
        <f aca="false">IF($B71="","",SUM(K71:N71)+SUM(P71:S71))</f>
        <v/>
      </c>
      <c r="U71" s="116" t="str">
        <f aca="false">IF($B71="","",الموظفون!$S71*IF(E71="سعودي",cfg_G_SE,cfg_G_NE)*G71/cfg_DAYS_M)</f>
        <v/>
      </c>
      <c r="V71" s="116" t="str">
        <f aca="false">IF($B71="","",SUMIFS('الحركات الشهرية'!$I$6:$I$1005,'الحركات الشهرية'!$B$6:$B$1005,$B71,'الحركات الشهرية'!$A$6:$A$1005,$C$3))</f>
        <v/>
      </c>
      <c r="W71" s="116" t="str">
        <f aca="false">IF($B71="","",SUMIFS('الحركات الشهرية'!$J$6:$J$1005,'الحركات الشهرية'!$B$6:$B$1005,$B71,'الحركات الشهرية'!$A$6:$A$1005,$C$3))</f>
        <v/>
      </c>
      <c r="X71" s="116" t="str">
        <f aca="false">IF($B71="","",SUM(U71:W71))</f>
        <v/>
      </c>
      <c r="Y71" s="158" t="str">
        <f aca="false">IF($B71="","",T71-X71)</f>
        <v/>
      </c>
      <c r="Z71" s="116" t="str">
        <f aca="false">IF($B71="","",الموظفون!$S71*IF(E71="سعودي",cfg_G_SR,cfg_G_NR)*G71/cfg_DAYS_M)</f>
        <v/>
      </c>
      <c r="AA71" s="116" t="str">
        <f aca="false">IF($B71="","",الموظفون!$Q71*(cfg_EOS_R1*(MIN(AH71,cfg_EOS_TH)-MIN(AI71,cfg_EOS_TH))+cfg_EOS_R2*(MAX(AH71-cfg_EOS_TH,0)-MAX(AI71-cfg_EOS_TH,0))))</f>
        <v/>
      </c>
      <c r="AB71" s="116" t="str">
        <f aca="false">IF($B71="","",IF(الموظفون!$T71&lt;&gt;"",الموظفون!$T71,IF(AH71&gt;=cfg_LV_TH,cfg_LV_D2,cfg_LV_D1))/cfg_DAYS_Y*AJ71*الموظفون!$R71/cfg_DAYS_M)</f>
        <v/>
      </c>
      <c r="AC71" s="116" t="str">
        <f aca="false">IF($B71="","",IF(AND(الموظفون!$U71="نعم",N(الموظفون!$W71)&gt;0),الموظفون!$V71/الموظفون!$W71*12/cfg_DAYS_Y*AJ71,0))</f>
        <v/>
      </c>
      <c r="AD71" s="116" t="str">
        <f aca="false">IF($B71="","",(IF(الموظفون!$X71&lt;&gt;"",الموظفون!$X71,IF(الموظفون!$E71="غير سعودي",cfg_IQ,0))+IF(الموظفون!$Y71&lt;&gt;"",الموظفون!$Y71,IF(الموظفون!$E71="غير سعودي",cfg_WP,0)))/12*G71/cfg_DAYS_M)</f>
        <v/>
      </c>
      <c r="AE71" s="116" t="str">
        <f aca="false">IF($B71="","",IF(الموظفون!$Z71&lt;&gt;"",الموظفون!$Z71,cfg_MED)/12*G71/cfg_DAYS_M)</f>
        <v/>
      </c>
      <c r="AF71" s="116" t="str">
        <f aca="false">IF($B71="","",N(الموظفون!$AA71)/12*G71/cfg_DAYS_M)</f>
        <v/>
      </c>
      <c r="AG71" s="159" t="str">
        <f aca="false">IF($B71="","",T71+SUM(Z71:AF71))</f>
        <v/>
      </c>
      <c r="AH71" s="160" t="str">
        <f aca="false">IF($B71="","",MAX(0,IF(OR(الموظفون!$AE71="",الموظفون!$AE71&gt;$F$3),$F$3,الموظفون!$AE71)-الموظفون!$H71+1-SUMIFS('سجل الإجازات والحالات'!$AJ$6:$AJ$505,'سجل الإجازات والحالات'!$B$6:$B$505,$B71))/cfg_DAYS_Y)</f>
        <v/>
      </c>
      <c r="AI71" s="160" t="str">
        <f aca="false">IF($B71="","",MAX(0,IF(OR(الموظفون!$AE71="",الموظفون!$AE71&gt;($E$3-1)),($E$3-1),الموظفون!$AE71)-الموظفون!$H71+1-SUMIFS('سجل الإجازات والحالات'!$AI$6:$AI$505,'سجل الإجازات والحالات'!$B$6:$B$505,$B71))/cfg_DAYS_Y)</f>
        <v/>
      </c>
      <c r="AJ71" s="133" t="str">
        <f aca="false">IF($B71="","",MAX(0,AK71-(SUMIFS('سجل الإجازات والحالات'!$AJ$6:$AJ$505,'سجل الإجازات والحالات'!$B$6:$B$505,$B71)-SUMIFS('سجل الإجازات والحالات'!$AI$6:$AI$505,'سجل الإجازات والحالات'!$B$6:$B$505,$B71))))</f>
        <v/>
      </c>
      <c r="AK71" s="133" t="str">
        <f aca="false">IF($B71="","",MAX(0,IF(OR(الموظفون!$AE71="",الموظفون!$AE71&gt;$F$3),$F$3,الموظفون!$AE71)-MAX($E$3,الموظفون!$H71)+1))</f>
        <v/>
      </c>
      <c r="AL71" s="156" t="str">
        <f aca="false">IF($B71="","",SUMIFS('سجل الإجازات والحالات'!$AV$6:$AV$505,'سجل الإجازات والحالات'!$B$6:$B$505,$B71)+SUMIFS('الحركات الشهرية'!$K$6:$K$1005,'الحركات الشهرية'!$B$6:$B$1005,$B71,'الحركات الشهرية'!$A$6:$A$1005,$C$3))</f>
        <v/>
      </c>
      <c r="AM71" s="116" t="str">
        <f aca="false">IF($B71="","",AL71*الموظفون!$R71/cfg_DAYS_M+S71)</f>
        <v/>
      </c>
      <c r="AN71" s="156" t="str">
        <f aca="false">IF($B71="","",SUMIFS('سجل الإجازات والحالات'!$X$6:$X$505,'سجل الإجازات والحالات'!$B$6:$B$505,$B71))</f>
        <v/>
      </c>
    </row>
    <row r="72" customFormat="false" ht="15" hidden="false" customHeight="false" outlineLevel="0" collapsed="false">
      <c r="A72" s="106" t="str">
        <f aca="false">IF($B72="","",الموظفون!$A72)</f>
        <v/>
      </c>
      <c r="B72" s="114" t="str">
        <f aca="false">IF(الموظفون!$B72="","",الموظفون!$B72)</f>
        <v/>
      </c>
      <c r="C72" s="114" t="str">
        <f aca="false">IF($B72="","",الموظفون!$C72)</f>
        <v/>
      </c>
      <c r="D72" s="114" t="str">
        <f aca="false">IF($B72="","",الموظفون!$F72)</f>
        <v/>
      </c>
      <c r="E72" s="114" t="str">
        <f aca="false">IF($B72="","",الموظفون!$E72)</f>
        <v/>
      </c>
      <c r="F72" s="114" t="str">
        <f aca="false">IF($B72="","",IF(AK72=0,IF(AND(الموظفون!$AE72&lt;&gt;"",الموظفون!$AE72&lt;$E$3),"✖ منتهي الخدمة","⏳ لم يباشر"),IF(S72&gt;0,"✈ راتب إجازة مقدم",IF(J72=0,"⛔ بدون راتب هذا الشهر",IF(I72&gt;0,"✈ خصم "&amp;ROUND(I72,2)&amp;" يوم بدون أجر",IF(AL72&gt;0,"🌴 إجازة سنوية "&amp;ROUND(AL72,2)&amp;" يوم",IF(H72&gt;0,"⚠ غياب "&amp;ROUND(H72,2)&amp;" يوم","✔ على رأس العمل")))))))</f>
        <v/>
      </c>
      <c r="G72" s="151" t="str">
        <f aca="false">IF($B72="","",IF(AK72&gt;=DAY($F$3),cfg_DAYS_M,MIN(AK72,cfg_DAYS_M)))</f>
        <v/>
      </c>
      <c r="H72" s="151" t="str">
        <f aca="false">IF($B72="","",SUMIFS('الحركات الشهرية'!$D$6:$D$1005,'الحركات الشهرية'!$B$6:$B$1005,$B72,'الحركات الشهرية'!$A$6:$A$1005,$C$3))</f>
        <v/>
      </c>
      <c r="I72" s="151" t="str">
        <f aca="false">IF($B72="","",MIN(G72,IF(AND(AK72&gt;0,AN72&gt;=AK72),G72,AN72)+SUMIFS('الحركات الشهرية'!$E$6:$E$1005,'الحركات الشهرية'!$B$6:$B$1005,$B72,'الحركات الشهرية'!$A$6:$A$1005,$C$3)))</f>
        <v/>
      </c>
      <c r="J72" s="151" t="str">
        <f aca="false">IF($B72="","",MAX(0,G72-H72-I72))</f>
        <v/>
      </c>
      <c r="K72" s="111" t="str">
        <f aca="false">IF($B72="","",الموظفون!$L72*$J72/cfg_DAYS_M)</f>
        <v/>
      </c>
      <c r="L72" s="111" t="str">
        <f aca="false">IF($B72="","",الموظفون!$M72*$J72/cfg_DAYS_M)</f>
        <v/>
      </c>
      <c r="M72" s="111" t="str">
        <f aca="false">IF($B72="","",الموظفون!$N72*$J72/cfg_DAYS_M)</f>
        <v/>
      </c>
      <c r="N72" s="111" t="str">
        <f aca="false">IF($B72="","",الموظفون!$O72*$J72/cfg_DAYS_M)</f>
        <v/>
      </c>
      <c r="O72" s="151" t="str">
        <f aca="false">IF($B72="","",SUMIFS('الحركات الشهرية'!$F$6:$F$1005,'الحركات الشهرية'!$B$6:$B$1005,$B72,'الحركات الشهرية'!$A$6:$A$1005,$C$3))</f>
        <v/>
      </c>
      <c r="P72" s="111" t="str">
        <f aca="false">IF($B72="","",O72*(الموظفون!$P72+الموظفون!$L72*cfg_OT_P)/cfg_DAYS_M/cfg_HRS)</f>
        <v/>
      </c>
      <c r="Q72" s="111" t="str">
        <f aca="false">IF($B72="","",SUMIFS('الحركات الشهرية'!$G$6:$G$1005,'الحركات الشهرية'!$B$6:$B$1005,$B72,'الحركات الشهرية'!$A$6:$A$1005,$C$3))</f>
        <v/>
      </c>
      <c r="R72" s="111" t="str">
        <f aca="false">IF($B72="","",SUMIFS('الحركات الشهرية'!$H$6:$H$1005,'الحركات الشهرية'!$B$6:$B$1005,$B72,'الحركات الشهرية'!$A$6:$A$1005,$C$3))</f>
        <v/>
      </c>
      <c r="S72" s="111" t="str">
        <f aca="false">IF($B72="","",SUMIFS('سجل الإجازات والحالات'!$N$6:$N$505,'سجل الإجازات والحالات'!$B$6:$B$505,$B72,'سجل الإجازات والحالات'!$O$6:$O$505,$C$3))</f>
        <v/>
      </c>
      <c r="T72" s="152" t="str">
        <f aca="false">IF($B72="","",SUM(K72:N72)+SUM(P72:S72))</f>
        <v/>
      </c>
      <c r="U72" s="111" t="str">
        <f aca="false">IF($B72="","",الموظفون!$S72*IF(E72="سعودي",cfg_G_SE,cfg_G_NE)*G72/cfg_DAYS_M)</f>
        <v/>
      </c>
      <c r="V72" s="111" t="str">
        <f aca="false">IF($B72="","",SUMIFS('الحركات الشهرية'!$I$6:$I$1005,'الحركات الشهرية'!$B$6:$B$1005,$B72,'الحركات الشهرية'!$A$6:$A$1005,$C$3))</f>
        <v/>
      </c>
      <c r="W72" s="111" t="str">
        <f aca="false">IF($B72="","",SUMIFS('الحركات الشهرية'!$J$6:$J$1005,'الحركات الشهرية'!$B$6:$B$1005,$B72,'الحركات الشهرية'!$A$6:$A$1005,$C$3))</f>
        <v/>
      </c>
      <c r="X72" s="111" t="str">
        <f aca="false">IF($B72="","",SUM(U72:W72))</f>
        <v/>
      </c>
      <c r="Y72" s="153" t="str">
        <f aca="false">IF($B72="","",T72-X72)</f>
        <v/>
      </c>
      <c r="Z72" s="111" t="str">
        <f aca="false">IF($B72="","",الموظفون!$S72*IF(E72="سعودي",cfg_G_SR,cfg_G_NR)*G72/cfg_DAYS_M)</f>
        <v/>
      </c>
      <c r="AA72" s="111" t="str">
        <f aca="false">IF($B72="","",الموظفون!$Q72*(cfg_EOS_R1*(MIN(AH72,cfg_EOS_TH)-MIN(AI72,cfg_EOS_TH))+cfg_EOS_R2*(MAX(AH72-cfg_EOS_TH,0)-MAX(AI72-cfg_EOS_TH,0))))</f>
        <v/>
      </c>
      <c r="AB72" s="111" t="str">
        <f aca="false">IF($B72="","",IF(الموظفون!$T72&lt;&gt;"",الموظفون!$T72,IF(AH72&gt;=cfg_LV_TH,cfg_LV_D2,cfg_LV_D1))/cfg_DAYS_Y*AJ72*الموظفون!$R72/cfg_DAYS_M)</f>
        <v/>
      </c>
      <c r="AC72" s="111" t="str">
        <f aca="false">IF($B72="","",IF(AND(الموظفون!$U72="نعم",N(الموظفون!$W72)&gt;0),الموظفون!$V72/الموظفون!$W72*12/cfg_DAYS_Y*AJ72,0))</f>
        <v/>
      </c>
      <c r="AD72" s="111" t="str">
        <f aca="false">IF($B72="","",(IF(الموظفون!$X72&lt;&gt;"",الموظفون!$X72,IF(الموظفون!$E72="غير سعودي",cfg_IQ,0))+IF(الموظفون!$Y72&lt;&gt;"",الموظفون!$Y72,IF(الموظفون!$E72="غير سعودي",cfg_WP,0)))/12*G72/cfg_DAYS_M)</f>
        <v/>
      </c>
      <c r="AE72" s="111" t="str">
        <f aca="false">IF($B72="","",IF(الموظفون!$Z72&lt;&gt;"",الموظفون!$Z72,cfg_MED)/12*G72/cfg_DAYS_M)</f>
        <v/>
      </c>
      <c r="AF72" s="111" t="str">
        <f aca="false">IF($B72="","",N(الموظفون!$AA72)/12*G72/cfg_DAYS_M)</f>
        <v/>
      </c>
      <c r="AG72" s="154" t="str">
        <f aca="false">IF($B72="","",T72+SUM(Z72:AF72))</f>
        <v/>
      </c>
      <c r="AH72" s="155" t="str">
        <f aca="false">IF($B72="","",MAX(0,IF(OR(الموظفون!$AE72="",الموظفون!$AE72&gt;$F$3),$F$3,الموظفون!$AE72)-الموظفون!$H72+1-SUMIFS('سجل الإجازات والحالات'!$AJ$6:$AJ$505,'سجل الإجازات والحالات'!$B$6:$B$505,$B72))/cfg_DAYS_Y)</f>
        <v/>
      </c>
      <c r="AI72" s="155" t="str">
        <f aca="false">IF($B72="","",MAX(0,IF(OR(الموظفون!$AE72="",الموظفون!$AE72&gt;($E$3-1)),($E$3-1),الموظفون!$AE72)-الموظفون!$H72+1-SUMIFS('سجل الإجازات والحالات'!$AI$6:$AI$505,'سجل الإجازات والحالات'!$B$6:$B$505,$B72))/cfg_DAYS_Y)</f>
        <v/>
      </c>
      <c r="AJ72" s="65" t="str">
        <f aca="false">IF($B72="","",MAX(0,AK72-(SUMIFS('سجل الإجازات والحالات'!$AJ$6:$AJ$505,'سجل الإجازات والحالات'!$B$6:$B$505,$B72)-SUMIFS('سجل الإجازات والحالات'!$AI$6:$AI$505,'سجل الإجازات والحالات'!$B$6:$B$505,$B72))))</f>
        <v/>
      </c>
      <c r="AK72" s="65" t="str">
        <f aca="false">IF($B72="","",MAX(0,IF(OR(الموظفون!$AE72="",الموظفون!$AE72&gt;$F$3),$F$3,الموظفون!$AE72)-MAX($E$3,الموظفون!$H72)+1))</f>
        <v/>
      </c>
      <c r="AL72" s="151" t="str">
        <f aca="false">IF($B72="","",SUMIFS('سجل الإجازات والحالات'!$AV$6:$AV$505,'سجل الإجازات والحالات'!$B$6:$B$505,$B72)+SUMIFS('الحركات الشهرية'!$K$6:$K$1005,'الحركات الشهرية'!$B$6:$B$1005,$B72,'الحركات الشهرية'!$A$6:$A$1005,$C$3))</f>
        <v/>
      </c>
      <c r="AM72" s="111" t="str">
        <f aca="false">IF($B72="","",AL72*الموظفون!$R72/cfg_DAYS_M+S72)</f>
        <v/>
      </c>
      <c r="AN72" s="151" t="str">
        <f aca="false">IF($B72="","",SUMIFS('سجل الإجازات والحالات'!$X$6:$X$505,'سجل الإجازات والحالات'!$B$6:$B$505,$B72))</f>
        <v/>
      </c>
    </row>
    <row r="73" customFormat="false" ht="15" hidden="false" customHeight="false" outlineLevel="0" collapsed="false">
      <c r="A73" s="115" t="str">
        <f aca="false">IF($B73="","",الموظفون!$A73)</f>
        <v/>
      </c>
      <c r="B73" s="117" t="str">
        <f aca="false">IF(الموظفون!$B73="","",الموظفون!$B73)</f>
        <v/>
      </c>
      <c r="C73" s="117" t="str">
        <f aca="false">IF($B73="","",الموظفون!$C73)</f>
        <v/>
      </c>
      <c r="D73" s="117" t="str">
        <f aca="false">IF($B73="","",الموظفون!$F73)</f>
        <v/>
      </c>
      <c r="E73" s="117" t="str">
        <f aca="false">IF($B73="","",الموظفون!$E73)</f>
        <v/>
      </c>
      <c r="F73" s="117" t="str">
        <f aca="false">IF($B73="","",IF(AK73=0,IF(AND(الموظفون!$AE73&lt;&gt;"",الموظفون!$AE73&lt;$E$3),"✖ منتهي الخدمة","⏳ لم يباشر"),IF(S73&gt;0,"✈ راتب إجازة مقدم",IF(J73=0,"⛔ بدون راتب هذا الشهر",IF(I73&gt;0,"✈ خصم "&amp;ROUND(I73,2)&amp;" يوم بدون أجر",IF(AL73&gt;0,"🌴 إجازة سنوية "&amp;ROUND(AL73,2)&amp;" يوم",IF(H73&gt;0,"⚠ غياب "&amp;ROUND(H73,2)&amp;" يوم","✔ على رأس العمل")))))))</f>
        <v/>
      </c>
      <c r="G73" s="156" t="str">
        <f aca="false">IF($B73="","",IF(AK73&gt;=DAY($F$3),cfg_DAYS_M,MIN(AK73,cfg_DAYS_M)))</f>
        <v/>
      </c>
      <c r="H73" s="156" t="str">
        <f aca="false">IF($B73="","",SUMIFS('الحركات الشهرية'!$D$6:$D$1005,'الحركات الشهرية'!$B$6:$B$1005,$B73,'الحركات الشهرية'!$A$6:$A$1005,$C$3))</f>
        <v/>
      </c>
      <c r="I73" s="156" t="str">
        <f aca="false">IF($B73="","",MIN(G73,IF(AND(AK73&gt;0,AN73&gt;=AK73),G73,AN73)+SUMIFS('الحركات الشهرية'!$E$6:$E$1005,'الحركات الشهرية'!$B$6:$B$1005,$B73,'الحركات الشهرية'!$A$6:$A$1005,$C$3)))</f>
        <v/>
      </c>
      <c r="J73" s="156" t="str">
        <f aca="false">IF($B73="","",MAX(0,G73-H73-I73))</f>
        <v/>
      </c>
      <c r="K73" s="116" t="str">
        <f aca="false">IF($B73="","",الموظفون!$L73*$J73/cfg_DAYS_M)</f>
        <v/>
      </c>
      <c r="L73" s="116" t="str">
        <f aca="false">IF($B73="","",الموظفون!$M73*$J73/cfg_DAYS_M)</f>
        <v/>
      </c>
      <c r="M73" s="116" t="str">
        <f aca="false">IF($B73="","",الموظفون!$N73*$J73/cfg_DAYS_M)</f>
        <v/>
      </c>
      <c r="N73" s="116" t="str">
        <f aca="false">IF($B73="","",الموظفون!$O73*$J73/cfg_DAYS_M)</f>
        <v/>
      </c>
      <c r="O73" s="156" t="str">
        <f aca="false">IF($B73="","",SUMIFS('الحركات الشهرية'!$F$6:$F$1005,'الحركات الشهرية'!$B$6:$B$1005,$B73,'الحركات الشهرية'!$A$6:$A$1005,$C$3))</f>
        <v/>
      </c>
      <c r="P73" s="116" t="str">
        <f aca="false">IF($B73="","",O73*(الموظفون!$P73+الموظفون!$L73*cfg_OT_P)/cfg_DAYS_M/cfg_HRS)</f>
        <v/>
      </c>
      <c r="Q73" s="116" t="str">
        <f aca="false">IF($B73="","",SUMIFS('الحركات الشهرية'!$G$6:$G$1005,'الحركات الشهرية'!$B$6:$B$1005,$B73,'الحركات الشهرية'!$A$6:$A$1005,$C$3))</f>
        <v/>
      </c>
      <c r="R73" s="116" t="str">
        <f aca="false">IF($B73="","",SUMIFS('الحركات الشهرية'!$H$6:$H$1005,'الحركات الشهرية'!$B$6:$B$1005,$B73,'الحركات الشهرية'!$A$6:$A$1005,$C$3))</f>
        <v/>
      </c>
      <c r="S73" s="116" t="str">
        <f aca="false">IF($B73="","",SUMIFS('سجل الإجازات والحالات'!$N$6:$N$505,'سجل الإجازات والحالات'!$B$6:$B$505,$B73,'سجل الإجازات والحالات'!$O$6:$O$505,$C$3))</f>
        <v/>
      </c>
      <c r="T73" s="157" t="str">
        <f aca="false">IF($B73="","",SUM(K73:N73)+SUM(P73:S73))</f>
        <v/>
      </c>
      <c r="U73" s="116" t="str">
        <f aca="false">IF($B73="","",الموظفون!$S73*IF(E73="سعودي",cfg_G_SE,cfg_G_NE)*G73/cfg_DAYS_M)</f>
        <v/>
      </c>
      <c r="V73" s="116" t="str">
        <f aca="false">IF($B73="","",SUMIFS('الحركات الشهرية'!$I$6:$I$1005,'الحركات الشهرية'!$B$6:$B$1005,$B73,'الحركات الشهرية'!$A$6:$A$1005,$C$3))</f>
        <v/>
      </c>
      <c r="W73" s="116" t="str">
        <f aca="false">IF($B73="","",SUMIFS('الحركات الشهرية'!$J$6:$J$1005,'الحركات الشهرية'!$B$6:$B$1005,$B73,'الحركات الشهرية'!$A$6:$A$1005,$C$3))</f>
        <v/>
      </c>
      <c r="X73" s="116" t="str">
        <f aca="false">IF($B73="","",SUM(U73:W73))</f>
        <v/>
      </c>
      <c r="Y73" s="158" t="str">
        <f aca="false">IF($B73="","",T73-X73)</f>
        <v/>
      </c>
      <c r="Z73" s="116" t="str">
        <f aca="false">IF($B73="","",الموظفون!$S73*IF(E73="سعودي",cfg_G_SR,cfg_G_NR)*G73/cfg_DAYS_M)</f>
        <v/>
      </c>
      <c r="AA73" s="116" t="str">
        <f aca="false">IF($B73="","",الموظفون!$Q73*(cfg_EOS_R1*(MIN(AH73,cfg_EOS_TH)-MIN(AI73,cfg_EOS_TH))+cfg_EOS_R2*(MAX(AH73-cfg_EOS_TH,0)-MAX(AI73-cfg_EOS_TH,0))))</f>
        <v/>
      </c>
      <c r="AB73" s="116" t="str">
        <f aca="false">IF($B73="","",IF(الموظفون!$T73&lt;&gt;"",الموظفون!$T73,IF(AH73&gt;=cfg_LV_TH,cfg_LV_D2,cfg_LV_D1))/cfg_DAYS_Y*AJ73*الموظفون!$R73/cfg_DAYS_M)</f>
        <v/>
      </c>
      <c r="AC73" s="116" t="str">
        <f aca="false">IF($B73="","",IF(AND(الموظفون!$U73="نعم",N(الموظفون!$W73)&gt;0),الموظفون!$V73/الموظفون!$W73*12/cfg_DAYS_Y*AJ73,0))</f>
        <v/>
      </c>
      <c r="AD73" s="116" t="str">
        <f aca="false">IF($B73="","",(IF(الموظفون!$X73&lt;&gt;"",الموظفون!$X73,IF(الموظفون!$E73="غير سعودي",cfg_IQ,0))+IF(الموظفون!$Y73&lt;&gt;"",الموظفون!$Y73,IF(الموظفون!$E73="غير سعودي",cfg_WP,0)))/12*G73/cfg_DAYS_M)</f>
        <v/>
      </c>
      <c r="AE73" s="116" t="str">
        <f aca="false">IF($B73="","",IF(الموظفون!$Z73&lt;&gt;"",الموظفون!$Z73,cfg_MED)/12*G73/cfg_DAYS_M)</f>
        <v/>
      </c>
      <c r="AF73" s="116" t="str">
        <f aca="false">IF($B73="","",N(الموظفون!$AA73)/12*G73/cfg_DAYS_M)</f>
        <v/>
      </c>
      <c r="AG73" s="159" t="str">
        <f aca="false">IF($B73="","",T73+SUM(Z73:AF73))</f>
        <v/>
      </c>
      <c r="AH73" s="160" t="str">
        <f aca="false">IF($B73="","",MAX(0,IF(OR(الموظفون!$AE73="",الموظفون!$AE73&gt;$F$3),$F$3,الموظفون!$AE73)-الموظفون!$H73+1-SUMIFS('سجل الإجازات والحالات'!$AJ$6:$AJ$505,'سجل الإجازات والحالات'!$B$6:$B$505,$B73))/cfg_DAYS_Y)</f>
        <v/>
      </c>
      <c r="AI73" s="160" t="str">
        <f aca="false">IF($B73="","",MAX(0,IF(OR(الموظفون!$AE73="",الموظفون!$AE73&gt;($E$3-1)),($E$3-1),الموظفون!$AE73)-الموظفون!$H73+1-SUMIFS('سجل الإجازات والحالات'!$AI$6:$AI$505,'سجل الإجازات والحالات'!$B$6:$B$505,$B73))/cfg_DAYS_Y)</f>
        <v/>
      </c>
      <c r="AJ73" s="133" t="str">
        <f aca="false">IF($B73="","",MAX(0,AK73-(SUMIFS('سجل الإجازات والحالات'!$AJ$6:$AJ$505,'سجل الإجازات والحالات'!$B$6:$B$505,$B73)-SUMIFS('سجل الإجازات والحالات'!$AI$6:$AI$505,'سجل الإجازات والحالات'!$B$6:$B$505,$B73))))</f>
        <v/>
      </c>
      <c r="AK73" s="133" t="str">
        <f aca="false">IF($B73="","",MAX(0,IF(OR(الموظفون!$AE73="",الموظفون!$AE73&gt;$F$3),$F$3,الموظفون!$AE73)-MAX($E$3,الموظفون!$H73)+1))</f>
        <v/>
      </c>
      <c r="AL73" s="156" t="str">
        <f aca="false">IF($B73="","",SUMIFS('سجل الإجازات والحالات'!$AV$6:$AV$505,'سجل الإجازات والحالات'!$B$6:$B$505,$B73)+SUMIFS('الحركات الشهرية'!$K$6:$K$1005,'الحركات الشهرية'!$B$6:$B$1005,$B73,'الحركات الشهرية'!$A$6:$A$1005,$C$3))</f>
        <v/>
      </c>
      <c r="AM73" s="116" t="str">
        <f aca="false">IF($B73="","",AL73*الموظفون!$R73/cfg_DAYS_M+S73)</f>
        <v/>
      </c>
      <c r="AN73" s="156" t="str">
        <f aca="false">IF($B73="","",SUMIFS('سجل الإجازات والحالات'!$X$6:$X$505,'سجل الإجازات والحالات'!$B$6:$B$505,$B73))</f>
        <v/>
      </c>
    </row>
    <row r="74" customFormat="false" ht="15" hidden="false" customHeight="false" outlineLevel="0" collapsed="false">
      <c r="A74" s="106" t="str">
        <f aca="false">IF($B74="","",الموظفون!$A74)</f>
        <v/>
      </c>
      <c r="B74" s="114" t="str">
        <f aca="false">IF(الموظفون!$B74="","",الموظفون!$B74)</f>
        <v/>
      </c>
      <c r="C74" s="114" t="str">
        <f aca="false">IF($B74="","",الموظفون!$C74)</f>
        <v/>
      </c>
      <c r="D74" s="114" t="str">
        <f aca="false">IF($B74="","",الموظفون!$F74)</f>
        <v/>
      </c>
      <c r="E74" s="114" t="str">
        <f aca="false">IF($B74="","",الموظفون!$E74)</f>
        <v/>
      </c>
      <c r="F74" s="114" t="str">
        <f aca="false">IF($B74="","",IF(AK74=0,IF(AND(الموظفون!$AE74&lt;&gt;"",الموظفون!$AE74&lt;$E$3),"✖ منتهي الخدمة","⏳ لم يباشر"),IF(S74&gt;0,"✈ راتب إجازة مقدم",IF(J74=0,"⛔ بدون راتب هذا الشهر",IF(I74&gt;0,"✈ خصم "&amp;ROUND(I74,2)&amp;" يوم بدون أجر",IF(AL74&gt;0,"🌴 إجازة سنوية "&amp;ROUND(AL74,2)&amp;" يوم",IF(H74&gt;0,"⚠ غياب "&amp;ROUND(H74,2)&amp;" يوم","✔ على رأس العمل")))))))</f>
        <v/>
      </c>
      <c r="G74" s="151" t="str">
        <f aca="false">IF($B74="","",IF(AK74&gt;=DAY($F$3),cfg_DAYS_M,MIN(AK74,cfg_DAYS_M)))</f>
        <v/>
      </c>
      <c r="H74" s="151" t="str">
        <f aca="false">IF($B74="","",SUMIFS('الحركات الشهرية'!$D$6:$D$1005,'الحركات الشهرية'!$B$6:$B$1005,$B74,'الحركات الشهرية'!$A$6:$A$1005,$C$3))</f>
        <v/>
      </c>
      <c r="I74" s="151" t="str">
        <f aca="false">IF($B74="","",MIN(G74,IF(AND(AK74&gt;0,AN74&gt;=AK74),G74,AN74)+SUMIFS('الحركات الشهرية'!$E$6:$E$1005,'الحركات الشهرية'!$B$6:$B$1005,$B74,'الحركات الشهرية'!$A$6:$A$1005,$C$3)))</f>
        <v/>
      </c>
      <c r="J74" s="151" t="str">
        <f aca="false">IF($B74="","",MAX(0,G74-H74-I74))</f>
        <v/>
      </c>
      <c r="K74" s="111" t="str">
        <f aca="false">IF($B74="","",الموظفون!$L74*$J74/cfg_DAYS_M)</f>
        <v/>
      </c>
      <c r="L74" s="111" t="str">
        <f aca="false">IF($B74="","",الموظفون!$M74*$J74/cfg_DAYS_M)</f>
        <v/>
      </c>
      <c r="M74" s="111" t="str">
        <f aca="false">IF($B74="","",الموظفون!$N74*$J74/cfg_DAYS_M)</f>
        <v/>
      </c>
      <c r="N74" s="111" t="str">
        <f aca="false">IF($B74="","",الموظفون!$O74*$J74/cfg_DAYS_M)</f>
        <v/>
      </c>
      <c r="O74" s="151" t="str">
        <f aca="false">IF($B74="","",SUMIFS('الحركات الشهرية'!$F$6:$F$1005,'الحركات الشهرية'!$B$6:$B$1005,$B74,'الحركات الشهرية'!$A$6:$A$1005,$C$3))</f>
        <v/>
      </c>
      <c r="P74" s="111" t="str">
        <f aca="false">IF($B74="","",O74*(الموظفون!$P74+الموظفون!$L74*cfg_OT_P)/cfg_DAYS_M/cfg_HRS)</f>
        <v/>
      </c>
      <c r="Q74" s="111" t="str">
        <f aca="false">IF($B74="","",SUMIFS('الحركات الشهرية'!$G$6:$G$1005,'الحركات الشهرية'!$B$6:$B$1005,$B74,'الحركات الشهرية'!$A$6:$A$1005,$C$3))</f>
        <v/>
      </c>
      <c r="R74" s="111" t="str">
        <f aca="false">IF($B74="","",SUMIFS('الحركات الشهرية'!$H$6:$H$1005,'الحركات الشهرية'!$B$6:$B$1005,$B74,'الحركات الشهرية'!$A$6:$A$1005,$C$3))</f>
        <v/>
      </c>
      <c r="S74" s="111" t="str">
        <f aca="false">IF($B74="","",SUMIFS('سجل الإجازات والحالات'!$N$6:$N$505,'سجل الإجازات والحالات'!$B$6:$B$505,$B74,'سجل الإجازات والحالات'!$O$6:$O$505,$C$3))</f>
        <v/>
      </c>
      <c r="T74" s="152" t="str">
        <f aca="false">IF($B74="","",SUM(K74:N74)+SUM(P74:S74))</f>
        <v/>
      </c>
      <c r="U74" s="111" t="str">
        <f aca="false">IF($B74="","",الموظفون!$S74*IF(E74="سعودي",cfg_G_SE,cfg_G_NE)*G74/cfg_DAYS_M)</f>
        <v/>
      </c>
      <c r="V74" s="111" t="str">
        <f aca="false">IF($B74="","",SUMIFS('الحركات الشهرية'!$I$6:$I$1005,'الحركات الشهرية'!$B$6:$B$1005,$B74,'الحركات الشهرية'!$A$6:$A$1005,$C$3))</f>
        <v/>
      </c>
      <c r="W74" s="111" t="str">
        <f aca="false">IF($B74="","",SUMIFS('الحركات الشهرية'!$J$6:$J$1005,'الحركات الشهرية'!$B$6:$B$1005,$B74,'الحركات الشهرية'!$A$6:$A$1005,$C$3))</f>
        <v/>
      </c>
      <c r="X74" s="111" t="str">
        <f aca="false">IF($B74="","",SUM(U74:W74))</f>
        <v/>
      </c>
      <c r="Y74" s="153" t="str">
        <f aca="false">IF($B74="","",T74-X74)</f>
        <v/>
      </c>
      <c r="Z74" s="111" t="str">
        <f aca="false">IF($B74="","",الموظفون!$S74*IF(E74="سعودي",cfg_G_SR,cfg_G_NR)*G74/cfg_DAYS_M)</f>
        <v/>
      </c>
      <c r="AA74" s="111" t="str">
        <f aca="false">IF($B74="","",الموظفون!$Q74*(cfg_EOS_R1*(MIN(AH74,cfg_EOS_TH)-MIN(AI74,cfg_EOS_TH))+cfg_EOS_R2*(MAX(AH74-cfg_EOS_TH,0)-MAX(AI74-cfg_EOS_TH,0))))</f>
        <v/>
      </c>
      <c r="AB74" s="111" t="str">
        <f aca="false">IF($B74="","",IF(الموظفون!$T74&lt;&gt;"",الموظفون!$T74,IF(AH74&gt;=cfg_LV_TH,cfg_LV_D2,cfg_LV_D1))/cfg_DAYS_Y*AJ74*الموظفون!$R74/cfg_DAYS_M)</f>
        <v/>
      </c>
      <c r="AC74" s="111" t="str">
        <f aca="false">IF($B74="","",IF(AND(الموظفون!$U74="نعم",N(الموظفون!$W74)&gt;0),الموظفون!$V74/الموظفون!$W74*12/cfg_DAYS_Y*AJ74,0))</f>
        <v/>
      </c>
      <c r="AD74" s="111" t="str">
        <f aca="false">IF($B74="","",(IF(الموظفون!$X74&lt;&gt;"",الموظفون!$X74,IF(الموظفون!$E74="غير سعودي",cfg_IQ,0))+IF(الموظفون!$Y74&lt;&gt;"",الموظفون!$Y74,IF(الموظفون!$E74="غير سعودي",cfg_WP,0)))/12*G74/cfg_DAYS_M)</f>
        <v/>
      </c>
      <c r="AE74" s="111" t="str">
        <f aca="false">IF($B74="","",IF(الموظفون!$Z74&lt;&gt;"",الموظفون!$Z74,cfg_MED)/12*G74/cfg_DAYS_M)</f>
        <v/>
      </c>
      <c r="AF74" s="111" t="str">
        <f aca="false">IF($B74="","",N(الموظفون!$AA74)/12*G74/cfg_DAYS_M)</f>
        <v/>
      </c>
      <c r="AG74" s="154" t="str">
        <f aca="false">IF($B74="","",T74+SUM(Z74:AF74))</f>
        <v/>
      </c>
      <c r="AH74" s="155" t="str">
        <f aca="false">IF($B74="","",MAX(0,IF(OR(الموظفون!$AE74="",الموظفون!$AE74&gt;$F$3),$F$3,الموظفون!$AE74)-الموظفون!$H74+1-SUMIFS('سجل الإجازات والحالات'!$AJ$6:$AJ$505,'سجل الإجازات والحالات'!$B$6:$B$505,$B74))/cfg_DAYS_Y)</f>
        <v/>
      </c>
      <c r="AI74" s="155" t="str">
        <f aca="false">IF($B74="","",MAX(0,IF(OR(الموظفون!$AE74="",الموظفون!$AE74&gt;($E$3-1)),($E$3-1),الموظفون!$AE74)-الموظفون!$H74+1-SUMIFS('سجل الإجازات والحالات'!$AI$6:$AI$505,'سجل الإجازات والحالات'!$B$6:$B$505,$B74))/cfg_DAYS_Y)</f>
        <v/>
      </c>
      <c r="AJ74" s="65" t="str">
        <f aca="false">IF($B74="","",MAX(0,AK74-(SUMIFS('سجل الإجازات والحالات'!$AJ$6:$AJ$505,'سجل الإجازات والحالات'!$B$6:$B$505,$B74)-SUMIFS('سجل الإجازات والحالات'!$AI$6:$AI$505,'سجل الإجازات والحالات'!$B$6:$B$505,$B74))))</f>
        <v/>
      </c>
      <c r="AK74" s="65" t="str">
        <f aca="false">IF($B74="","",MAX(0,IF(OR(الموظفون!$AE74="",الموظفون!$AE74&gt;$F$3),$F$3,الموظفون!$AE74)-MAX($E$3,الموظفون!$H74)+1))</f>
        <v/>
      </c>
      <c r="AL74" s="151" t="str">
        <f aca="false">IF($B74="","",SUMIFS('سجل الإجازات والحالات'!$AV$6:$AV$505,'سجل الإجازات والحالات'!$B$6:$B$505,$B74)+SUMIFS('الحركات الشهرية'!$K$6:$K$1005,'الحركات الشهرية'!$B$6:$B$1005,$B74,'الحركات الشهرية'!$A$6:$A$1005,$C$3))</f>
        <v/>
      </c>
      <c r="AM74" s="111" t="str">
        <f aca="false">IF($B74="","",AL74*الموظفون!$R74/cfg_DAYS_M+S74)</f>
        <v/>
      </c>
      <c r="AN74" s="151" t="str">
        <f aca="false">IF($B74="","",SUMIFS('سجل الإجازات والحالات'!$X$6:$X$505,'سجل الإجازات والحالات'!$B$6:$B$505,$B74))</f>
        <v/>
      </c>
    </row>
    <row r="75" customFormat="false" ht="15" hidden="false" customHeight="false" outlineLevel="0" collapsed="false">
      <c r="A75" s="115" t="str">
        <f aca="false">IF($B75="","",الموظفون!$A75)</f>
        <v/>
      </c>
      <c r="B75" s="117" t="str">
        <f aca="false">IF(الموظفون!$B75="","",الموظفون!$B75)</f>
        <v/>
      </c>
      <c r="C75" s="117" t="str">
        <f aca="false">IF($B75="","",الموظفون!$C75)</f>
        <v/>
      </c>
      <c r="D75" s="117" t="str">
        <f aca="false">IF($B75="","",الموظفون!$F75)</f>
        <v/>
      </c>
      <c r="E75" s="117" t="str">
        <f aca="false">IF($B75="","",الموظفون!$E75)</f>
        <v/>
      </c>
      <c r="F75" s="117" t="str">
        <f aca="false">IF($B75="","",IF(AK75=0,IF(AND(الموظفون!$AE75&lt;&gt;"",الموظفون!$AE75&lt;$E$3),"✖ منتهي الخدمة","⏳ لم يباشر"),IF(S75&gt;0,"✈ راتب إجازة مقدم",IF(J75=0,"⛔ بدون راتب هذا الشهر",IF(I75&gt;0,"✈ خصم "&amp;ROUND(I75,2)&amp;" يوم بدون أجر",IF(AL75&gt;0,"🌴 إجازة سنوية "&amp;ROUND(AL75,2)&amp;" يوم",IF(H75&gt;0,"⚠ غياب "&amp;ROUND(H75,2)&amp;" يوم","✔ على رأس العمل")))))))</f>
        <v/>
      </c>
      <c r="G75" s="156" t="str">
        <f aca="false">IF($B75="","",IF(AK75&gt;=DAY($F$3),cfg_DAYS_M,MIN(AK75,cfg_DAYS_M)))</f>
        <v/>
      </c>
      <c r="H75" s="156" t="str">
        <f aca="false">IF($B75="","",SUMIFS('الحركات الشهرية'!$D$6:$D$1005,'الحركات الشهرية'!$B$6:$B$1005,$B75,'الحركات الشهرية'!$A$6:$A$1005,$C$3))</f>
        <v/>
      </c>
      <c r="I75" s="156" t="str">
        <f aca="false">IF($B75="","",MIN(G75,IF(AND(AK75&gt;0,AN75&gt;=AK75),G75,AN75)+SUMIFS('الحركات الشهرية'!$E$6:$E$1005,'الحركات الشهرية'!$B$6:$B$1005,$B75,'الحركات الشهرية'!$A$6:$A$1005,$C$3)))</f>
        <v/>
      </c>
      <c r="J75" s="156" t="str">
        <f aca="false">IF($B75="","",MAX(0,G75-H75-I75))</f>
        <v/>
      </c>
      <c r="K75" s="116" t="str">
        <f aca="false">IF($B75="","",الموظفون!$L75*$J75/cfg_DAYS_M)</f>
        <v/>
      </c>
      <c r="L75" s="116" t="str">
        <f aca="false">IF($B75="","",الموظفون!$M75*$J75/cfg_DAYS_M)</f>
        <v/>
      </c>
      <c r="M75" s="116" t="str">
        <f aca="false">IF($B75="","",الموظفون!$N75*$J75/cfg_DAYS_M)</f>
        <v/>
      </c>
      <c r="N75" s="116" t="str">
        <f aca="false">IF($B75="","",الموظفون!$O75*$J75/cfg_DAYS_M)</f>
        <v/>
      </c>
      <c r="O75" s="156" t="str">
        <f aca="false">IF($B75="","",SUMIFS('الحركات الشهرية'!$F$6:$F$1005,'الحركات الشهرية'!$B$6:$B$1005,$B75,'الحركات الشهرية'!$A$6:$A$1005,$C$3))</f>
        <v/>
      </c>
      <c r="P75" s="116" t="str">
        <f aca="false">IF($B75="","",O75*(الموظفون!$P75+الموظفون!$L75*cfg_OT_P)/cfg_DAYS_M/cfg_HRS)</f>
        <v/>
      </c>
      <c r="Q75" s="116" t="str">
        <f aca="false">IF($B75="","",SUMIFS('الحركات الشهرية'!$G$6:$G$1005,'الحركات الشهرية'!$B$6:$B$1005,$B75,'الحركات الشهرية'!$A$6:$A$1005,$C$3))</f>
        <v/>
      </c>
      <c r="R75" s="116" t="str">
        <f aca="false">IF($B75="","",SUMIFS('الحركات الشهرية'!$H$6:$H$1005,'الحركات الشهرية'!$B$6:$B$1005,$B75,'الحركات الشهرية'!$A$6:$A$1005,$C$3))</f>
        <v/>
      </c>
      <c r="S75" s="116" t="str">
        <f aca="false">IF($B75="","",SUMIFS('سجل الإجازات والحالات'!$N$6:$N$505,'سجل الإجازات والحالات'!$B$6:$B$505,$B75,'سجل الإجازات والحالات'!$O$6:$O$505,$C$3))</f>
        <v/>
      </c>
      <c r="T75" s="157" t="str">
        <f aca="false">IF($B75="","",SUM(K75:N75)+SUM(P75:S75))</f>
        <v/>
      </c>
      <c r="U75" s="116" t="str">
        <f aca="false">IF($B75="","",الموظفون!$S75*IF(E75="سعودي",cfg_G_SE,cfg_G_NE)*G75/cfg_DAYS_M)</f>
        <v/>
      </c>
      <c r="V75" s="116" t="str">
        <f aca="false">IF($B75="","",SUMIFS('الحركات الشهرية'!$I$6:$I$1005,'الحركات الشهرية'!$B$6:$B$1005,$B75,'الحركات الشهرية'!$A$6:$A$1005,$C$3))</f>
        <v/>
      </c>
      <c r="W75" s="116" t="str">
        <f aca="false">IF($B75="","",SUMIFS('الحركات الشهرية'!$J$6:$J$1005,'الحركات الشهرية'!$B$6:$B$1005,$B75,'الحركات الشهرية'!$A$6:$A$1005,$C$3))</f>
        <v/>
      </c>
      <c r="X75" s="116" t="str">
        <f aca="false">IF($B75="","",SUM(U75:W75))</f>
        <v/>
      </c>
      <c r="Y75" s="158" t="str">
        <f aca="false">IF($B75="","",T75-X75)</f>
        <v/>
      </c>
      <c r="Z75" s="116" t="str">
        <f aca="false">IF($B75="","",الموظفون!$S75*IF(E75="سعودي",cfg_G_SR,cfg_G_NR)*G75/cfg_DAYS_M)</f>
        <v/>
      </c>
      <c r="AA75" s="116" t="str">
        <f aca="false">IF($B75="","",الموظفون!$Q75*(cfg_EOS_R1*(MIN(AH75,cfg_EOS_TH)-MIN(AI75,cfg_EOS_TH))+cfg_EOS_R2*(MAX(AH75-cfg_EOS_TH,0)-MAX(AI75-cfg_EOS_TH,0))))</f>
        <v/>
      </c>
      <c r="AB75" s="116" t="str">
        <f aca="false">IF($B75="","",IF(الموظفون!$T75&lt;&gt;"",الموظفون!$T75,IF(AH75&gt;=cfg_LV_TH,cfg_LV_D2,cfg_LV_D1))/cfg_DAYS_Y*AJ75*الموظفون!$R75/cfg_DAYS_M)</f>
        <v/>
      </c>
      <c r="AC75" s="116" t="str">
        <f aca="false">IF($B75="","",IF(AND(الموظفون!$U75="نعم",N(الموظفون!$W75)&gt;0),الموظفون!$V75/الموظفون!$W75*12/cfg_DAYS_Y*AJ75,0))</f>
        <v/>
      </c>
      <c r="AD75" s="116" t="str">
        <f aca="false">IF($B75="","",(IF(الموظفون!$X75&lt;&gt;"",الموظفون!$X75,IF(الموظفون!$E75="غير سعودي",cfg_IQ,0))+IF(الموظفون!$Y75&lt;&gt;"",الموظفون!$Y75,IF(الموظفون!$E75="غير سعودي",cfg_WP,0)))/12*G75/cfg_DAYS_M)</f>
        <v/>
      </c>
      <c r="AE75" s="116" t="str">
        <f aca="false">IF($B75="","",IF(الموظفون!$Z75&lt;&gt;"",الموظفون!$Z75,cfg_MED)/12*G75/cfg_DAYS_M)</f>
        <v/>
      </c>
      <c r="AF75" s="116" t="str">
        <f aca="false">IF($B75="","",N(الموظفون!$AA75)/12*G75/cfg_DAYS_M)</f>
        <v/>
      </c>
      <c r="AG75" s="159" t="str">
        <f aca="false">IF($B75="","",T75+SUM(Z75:AF75))</f>
        <v/>
      </c>
      <c r="AH75" s="160" t="str">
        <f aca="false">IF($B75="","",MAX(0,IF(OR(الموظفون!$AE75="",الموظفون!$AE75&gt;$F$3),$F$3,الموظفون!$AE75)-الموظفون!$H75+1-SUMIFS('سجل الإجازات والحالات'!$AJ$6:$AJ$505,'سجل الإجازات والحالات'!$B$6:$B$505,$B75))/cfg_DAYS_Y)</f>
        <v/>
      </c>
      <c r="AI75" s="160" t="str">
        <f aca="false">IF($B75="","",MAX(0,IF(OR(الموظفون!$AE75="",الموظفون!$AE75&gt;($E$3-1)),($E$3-1),الموظفون!$AE75)-الموظفون!$H75+1-SUMIFS('سجل الإجازات والحالات'!$AI$6:$AI$505,'سجل الإجازات والحالات'!$B$6:$B$505,$B75))/cfg_DAYS_Y)</f>
        <v/>
      </c>
      <c r="AJ75" s="133" t="str">
        <f aca="false">IF($B75="","",MAX(0,AK75-(SUMIFS('سجل الإجازات والحالات'!$AJ$6:$AJ$505,'سجل الإجازات والحالات'!$B$6:$B$505,$B75)-SUMIFS('سجل الإجازات والحالات'!$AI$6:$AI$505,'سجل الإجازات والحالات'!$B$6:$B$505,$B75))))</f>
        <v/>
      </c>
      <c r="AK75" s="133" t="str">
        <f aca="false">IF($B75="","",MAX(0,IF(OR(الموظفون!$AE75="",الموظفون!$AE75&gt;$F$3),$F$3,الموظفون!$AE75)-MAX($E$3,الموظفون!$H75)+1))</f>
        <v/>
      </c>
      <c r="AL75" s="156" t="str">
        <f aca="false">IF($B75="","",SUMIFS('سجل الإجازات والحالات'!$AV$6:$AV$505,'سجل الإجازات والحالات'!$B$6:$B$505,$B75)+SUMIFS('الحركات الشهرية'!$K$6:$K$1005,'الحركات الشهرية'!$B$6:$B$1005,$B75,'الحركات الشهرية'!$A$6:$A$1005,$C$3))</f>
        <v/>
      </c>
      <c r="AM75" s="116" t="str">
        <f aca="false">IF($B75="","",AL75*الموظفون!$R75/cfg_DAYS_M+S75)</f>
        <v/>
      </c>
      <c r="AN75" s="156" t="str">
        <f aca="false">IF($B75="","",SUMIFS('سجل الإجازات والحالات'!$X$6:$X$505,'سجل الإجازات والحالات'!$B$6:$B$505,$B75))</f>
        <v/>
      </c>
    </row>
    <row r="76" customFormat="false" ht="15" hidden="false" customHeight="false" outlineLevel="0" collapsed="false">
      <c r="A76" s="106" t="str">
        <f aca="false">IF($B76="","",الموظفون!$A76)</f>
        <v/>
      </c>
      <c r="B76" s="114" t="str">
        <f aca="false">IF(الموظفون!$B76="","",الموظفون!$B76)</f>
        <v/>
      </c>
      <c r="C76" s="114" t="str">
        <f aca="false">IF($B76="","",الموظفون!$C76)</f>
        <v/>
      </c>
      <c r="D76" s="114" t="str">
        <f aca="false">IF($B76="","",الموظفون!$F76)</f>
        <v/>
      </c>
      <c r="E76" s="114" t="str">
        <f aca="false">IF($B76="","",الموظفون!$E76)</f>
        <v/>
      </c>
      <c r="F76" s="114" t="str">
        <f aca="false">IF($B76="","",IF(AK76=0,IF(AND(الموظفون!$AE76&lt;&gt;"",الموظفون!$AE76&lt;$E$3),"✖ منتهي الخدمة","⏳ لم يباشر"),IF(S76&gt;0,"✈ راتب إجازة مقدم",IF(J76=0,"⛔ بدون راتب هذا الشهر",IF(I76&gt;0,"✈ خصم "&amp;ROUND(I76,2)&amp;" يوم بدون أجر",IF(AL76&gt;0,"🌴 إجازة سنوية "&amp;ROUND(AL76,2)&amp;" يوم",IF(H76&gt;0,"⚠ غياب "&amp;ROUND(H76,2)&amp;" يوم","✔ على رأس العمل")))))))</f>
        <v/>
      </c>
      <c r="G76" s="151" t="str">
        <f aca="false">IF($B76="","",IF(AK76&gt;=DAY($F$3),cfg_DAYS_M,MIN(AK76,cfg_DAYS_M)))</f>
        <v/>
      </c>
      <c r="H76" s="151" t="str">
        <f aca="false">IF($B76="","",SUMIFS('الحركات الشهرية'!$D$6:$D$1005,'الحركات الشهرية'!$B$6:$B$1005,$B76,'الحركات الشهرية'!$A$6:$A$1005,$C$3))</f>
        <v/>
      </c>
      <c r="I76" s="151" t="str">
        <f aca="false">IF($B76="","",MIN(G76,IF(AND(AK76&gt;0,AN76&gt;=AK76),G76,AN76)+SUMIFS('الحركات الشهرية'!$E$6:$E$1005,'الحركات الشهرية'!$B$6:$B$1005,$B76,'الحركات الشهرية'!$A$6:$A$1005,$C$3)))</f>
        <v/>
      </c>
      <c r="J76" s="151" t="str">
        <f aca="false">IF($B76="","",MAX(0,G76-H76-I76))</f>
        <v/>
      </c>
      <c r="K76" s="111" t="str">
        <f aca="false">IF($B76="","",الموظفون!$L76*$J76/cfg_DAYS_M)</f>
        <v/>
      </c>
      <c r="L76" s="111" t="str">
        <f aca="false">IF($B76="","",الموظفون!$M76*$J76/cfg_DAYS_M)</f>
        <v/>
      </c>
      <c r="M76" s="111" t="str">
        <f aca="false">IF($B76="","",الموظفون!$N76*$J76/cfg_DAYS_M)</f>
        <v/>
      </c>
      <c r="N76" s="111" t="str">
        <f aca="false">IF($B76="","",الموظفون!$O76*$J76/cfg_DAYS_M)</f>
        <v/>
      </c>
      <c r="O76" s="151" t="str">
        <f aca="false">IF($B76="","",SUMIFS('الحركات الشهرية'!$F$6:$F$1005,'الحركات الشهرية'!$B$6:$B$1005,$B76,'الحركات الشهرية'!$A$6:$A$1005,$C$3))</f>
        <v/>
      </c>
      <c r="P76" s="111" t="str">
        <f aca="false">IF($B76="","",O76*(الموظفون!$P76+الموظفون!$L76*cfg_OT_P)/cfg_DAYS_M/cfg_HRS)</f>
        <v/>
      </c>
      <c r="Q76" s="111" t="str">
        <f aca="false">IF($B76="","",SUMIFS('الحركات الشهرية'!$G$6:$G$1005,'الحركات الشهرية'!$B$6:$B$1005,$B76,'الحركات الشهرية'!$A$6:$A$1005,$C$3))</f>
        <v/>
      </c>
      <c r="R76" s="111" t="str">
        <f aca="false">IF($B76="","",SUMIFS('الحركات الشهرية'!$H$6:$H$1005,'الحركات الشهرية'!$B$6:$B$1005,$B76,'الحركات الشهرية'!$A$6:$A$1005,$C$3))</f>
        <v/>
      </c>
      <c r="S76" s="111" t="str">
        <f aca="false">IF($B76="","",SUMIFS('سجل الإجازات والحالات'!$N$6:$N$505,'سجل الإجازات والحالات'!$B$6:$B$505,$B76,'سجل الإجازات والحالات'!$O$6:$O$505,$C$3))</f>
        <v/>
      </c>
      <c r="T76" s="152" t="str">
        <f aca="false">IF($B76="","",SUM(K76:N76)+SUM(P76:S76))</f>
        <v/>
      </c>
      <c r="U76" s="111" t="str">
        <f aca="false">IF($B76="","",الموظفون!$S76*IF(E76="سعودي",cfg_G_SE,cfg_G_NE)*G76/cfg_DAYS_M)</f>
        <v/>
      </c>
      <c r="V76" s="111" t="str">
        <f aca="false">IF($B76="","",SUMIFS('الحركات الشهرية'!$I$6:$I$1005,'الحركات الشهرية'!$B$6:$B$1005,$B76,'الحركات الشهرية'!$A$6:$A$1005,$C$3))</f>
        <v/>
      </c>
      <c r="W76" s="111" t="str">
        <f aca="false">IF($B76="","",SUMIFS('الحركات الشهرية'!$J$6:$J$1005,'الحركات الشهرية'!$B$6:$B$1005,$B76,'الحركات الشهرية'!$A$6:$A$1005,$C$3))</f>
        <v/>
      </c>
      <c r="X76" s="111" t="str">
        <f aca="false">IF($B76="","",SUM(U76:W76))</f>
        <v/>
      </c>
      <c r="Y76" s="153" t="str">
        <f aca="false">IF($B76="","",T76-X76)</f>
        <v/>
      </c>
      <c r="Z76" s="111" t="str">
        <f aca="false">IF($B76="","",الموظفون!$S76*IF(E76="سعودي",cfg_G_SR,cfg_G_NR)*G76/cfg_DAYS_M)</f>
        <v/>
      </c>
      <c r="AA76" s="111" t="str">
        <f aca="false">IF($B76="","",الموظفون!$Q76*(cfg_EOS_R1*(MIN(AH76,cfg_EOS_TH)-MIN(AI76,cfg_EOS_TH))+cfg_EOS_R2*(MAX(AH76-cfg_EOS_TH,0)-MAX(AI76-cfg_EOS_TH,0))))</f>
        <v/>
      </c>
      <c r="AB76" s="111" t="str">
        <f aca="false">IF($B76="","",IF(الموظفون!$T76&lt;&gt;"",الموظفون!$T76,IF(AH76&gt;=cfg_LV_TH,cfg_LV_D2,cfg_LV_D1))/cfg_DAYS_Y*AJ76*الموظفون!$R76/cfg_DAYS_M)</f>
        <v/>
      </c>
      <c r="AC76" s="111" t="str">
        <f aca="false">IF($B76="","",IF(AND(الموظفون!$U76="نعم",N(الموظفون!$W76)&gt;0),الموظفون!$V76/الموظفون!$W76*12/cfg_DAYS_Y*AJ76,0))</f>
        <v/>
      </c>
      <c r="AD76" s="111" t="str">
        <f aca="false">IF($B76="","",(IF(الموظفون!$X76&lt;&gt;"",الموظفون!$X76,IF(الموظفون!$E76="غير سعودي",cfg_IQ,0))+IF(الموظفون!$Y76&lt;&gt;"",الموظفون!$Y76,IF(الموظفون!$E76="غير سعودي",cfg_WP,0)))/12*G76/cfg_DAYS_M)</f>
        <v/>
      </c>
      <c r="AE76" s="111" t="str">
        <f aca="false">IF($B76="","",IF(الموظفون!$Z76&lt;&gt;"",الموظفون!$Z76,cfg_MED)/12*G76/cfg_DAYS_M)</f>
        <v/>
      </c>
      <c r="AF76" s="111" t="str">
        <f aca="false">IF($B76="","",N(الموظفون!$AA76)/12*G76/cfg_DAYS_M)</f>
        <v/>
      </c>
      <c r="AG76" s="154" t="str">
        <f aca="false">IF($B76="","",T76+SUM(Z76:AF76))</f>
        <v/>
      </c>
      <c r="AH76" s="155" t="str">
        <f aca="false">IF($B76="","",MAX(0,IF(OR(الموظفون!$AE76="",الموظفون!$AE76&gt;$F$3),$F$3,الموظفون!$AE76)-الموظفون!$H76+1-SUMIFS('سجل الإجازات والحالات'!$AJ$6:$AJ$505,'سجل الإجازات والحالات'!$B$6:$B$505,$B76))/cfg_DAYS_Y)</f>
        <v/>
      </c>
      <c r="AI76" s="155" t="str">
        <f aca="false">IF($B76="","",MAX(0,IF(OR(الموظفون!$AE76="",الموظفون!$AE76&gt;($E$3-1)),($E$3-1),الموظفون!$AE76)-الموظفون!$H76+1-SUMIFS('سجل الإجازات والحالات'!$AI$6:$AI$505,'سجل الإجازات والحالات'!$B$6:$B$505,$B76))/cfg_DAYS_Y)</f>
        <v/>
      </c>
      <c r="AJ76" s="65" t="str">
        <f aca="false">IF($B76="","",MAX(0,AK76-(SUMIFS('سجل الإجازات والحالات'!$AJ$6:$AJ$505,'سجل الإجازات والحالات'!$B$6:$B$505,$B76)-SUMIFS('سجل الإجازات والحالات'!$AI$6:$AI$505,'سجل الإجازات والحالات'!$B$6:$B$505,$B76))))</f>
        <v/>
      </c>
      <c r="AK76" s="65" t="str">
        <f aca="false">IF($B76="","",MAX(0,IF(OR(الموظفون!$AE76="",الموظفون!$AE76&gt;$F$3),$F$3,الموظفون!$AE76)-MAX($E$3,الموظفون!$H76)+1))</f>
        <v/>
      </c>
      <c r="AL76" s="151" t="str">
        <f aca="false">IF($B76="","",SUMIFS('سجل الإجازات والحالات'!$AV$6:$AV$505,'سجل الإجازات والحالات'!$B$6:$B$505,$B76)+SUMIFS('الحركات الشهرية'!$K$6:$K$1005,'الحركات الشهرية'!$B$6:$B$1005,$B76,'الحركات الشهرية'!$A$6:$A$1005,$C$3))</f>
        <v/>
      </c>
      <c r="AM76" s="111" t="str">
        <f aca="false">IF($B76="","",AL76*الموظفون!$R76/cfg_DAYS_M+S76)</f>
        <v/>
      </c>
      <c r="AN76" s="151" t="str">
        <f aca="false">IF($B76="","",SUMIFS('سجل الإجازات والحالات'!$X$6:$X$505,'سجل الإجازات والحالات'!$B$6:$B$505,$B76))</f>
        <v/>
      </c>
    </row>
    <row r="77" customFormat="false" ht="15" hidden="false" customHeight="false" outlineLevel="0" collapsed="false">
      <c r="A77" s="115" t="str">
        <f aca="false">IF($B77="","",الموظفون!$A77)</f>
        <v/>
      </c>
      <c r="B77" s="117" t="str">
        <f aca="false">IF(الموظفون!$B77="","",الموظفون!$B77)</f>
        <v/>
      </c>
      <c r="C77" s="117" t="str">
        <f aca="false">IF($B77="","",الموظفون!$C77)</f>
        <v/>
      </c>
      <c r="D77" s="117" t="str">
        <f aca="false">IF($B77="","",الموظفون!$F77)</f>
        <v/>
      </c>
      <c r="E77" s="117" t="str">
        <f aca="false">IF($B77="","",الموظفون!$E77)</f>
        <v/>
      </c>
      <c r="F77" s="117" t="str">
        <f aca="false">IF($B77="","",IF(AK77=0,IF(AND(الموظفون!$AE77&lt;&gt;"",الموظفون!$AE77&lt;$E$3),"✖ منتهي الخدمة","⏳ لم يباشر"),IF(S77&gt;0,"✈ راتب إجازة مقدم",IF(J77=0,"⛔ بدون راتب هذا الشهر",IF(I77&gt;0,"✈ خصم "&amp;ROUND(I77,2)&amp;" يوم بدون أجر",IF(AL77&gt;0,"🌴 إجازة سنوية "&amp;ROUND(AL77,2)&amp;" يوم",IF(H77&gt;0,"⚠ غياب "&amp;ROUND(H77,2)&amp;" يوم","✔ على رأس العمل")))))))</f>
        <v/>
      </c>
      <c r="G77" s="156" t="str">
        <f aca="false">IF($B77="","",IF(AK77&gt;=DAY($F$3),cfg_DAYS_M,MIN(AK77,cfg_DAYS_M)))</f>
        <v/>
      </c>
      <c r="H77" s="156" t="str">
        <f aca="false">IF($B77="","",SUMIFS('الحركات الشهرية'!$D$6:$D$1005,'الحركات الشهرية'!$B$6:$B$1005,$B77,'الحركات الشهرية'!$A$6:$A$1005,$C$3))</f>
        <v/>
      </c>
      <c r="I77" s="156" t="str">
        <f aca="false">IF($B77="","",MIN(G77,IF(AND(AK77&gt;0,AN77&gt;=AK77),G77,AN77)+SUMIFS('الحركات الشهرية'!$E$6:$E$1005,'الحركات الشهرية'!$B$6:$B$1005,$B77,'الحركات الشهرية'!$A$6:$A$1005,$C$3)))</f>
        <v/>
      </c>
      <c r="J77" s="156" t="str">
        <f aca="false">IF($B77="","",MAX(0,G77-H77-I77))</f>
        <v/>
      </c>
      <c r="K77" s="116" t="str">
        <f aca="false">IF($B77="","",الموظفون!$L77*$J77/cfg_DAYS_M)</f>
        <v/>
      </c>
      <c r="L77" s="116" t="str">
        <f aca="false">IF($B77="","",الموظفون!$M77*$J77/cfg_DAYS_M)</f>
        <v/>
      </c>
      <c r="M77" s="116" t="str">
        <f aca="false">IF($B77="","",الموظفون!$N77*$J77/cfg_DAYS_M)</f>
        <v/>
      </c>
      <c r="N77" s="116" t="str">
        <f aca="false">IF($B77="","",الموظفون!$O77*$J77/cfg_DAYS_M)</f>
        <v/>
      </c>
      <c r="O77" s="156" t="str">
        <f aca="false">IF($B77="","",SUMIFS('الحركات الشهرية'!$F$6:$F$1005,'الحركات الشهرية'!$B$6:$B$1005,$B77,'الحركات الشهرية'!$A$6:$A$1005,$C$3))</f>
        <v/>
      </c>
      <c r="P77" s="116" t="str">
        <f aca="false">IF($B77="","",O77*(الموظفون!$P77+الموظفون!$L77*cfg_OT_P)/cfg_DAYS_M/cfg_HRS)</f>
        <v/>
      </c>
      <c r="Q77" s="116" t="str">
        <f aca="false">IF($B77="","",SUMIFS('الحركات الشهرية'!$G$6:$G$1005,'الحركات الشهرية'!$B$6:$B$1005,$B77,'الحركات الشهرية'!$A$6:$A$1005,$C$3))</f>
        <v/>
      </c>
      <c r="R77" s="116" t="str">
        <f aca="false">IF($B77="","",SUMIFS('الحركات الشهرية'!$H$6:$H$1005,'الحركات الشهرية'!$B$6:$B$1005,$B77,'الحركات الشهرية'!$A$6:$A$1005,$C$3))</f>
        <v/>
      </c>
      <c r="S77" s="116" t="str">
        <f aca="false">IF($B77="","",SUMIFS('سجل الإجازات والحالات'!$N$6:$N$505,'سجل الإجازات والحالات'!$B$6:$B$505,$B77,'سجل الإجازات والحالات'!$O$6:$O$505,$C$3))</f>
        <v/>
      </c>
      <c r="T77" s="157" t="str">
        <f aca="false">IF($B77="","",SUM(K77:N77)+SUM(P77:S77))</f>
        <v/>
      </c>
      <c r="U77" s="116" t="str">
        <f aca="false">IF($B77="","",الموظفون!$S77*IF(E77="سعودي",cfg_G_SE,cfg_G_NE)*G77/cfg_DAYS_M)</f>
        <v/>
      </c>
      <c r="V77" s="116" t="str">
        <f aca="false">IF($B77="","",SUMIFS('الحركات الشهرية'!$I$6:$I$1005,'الحركات الشهرية'!$B$6:$B$1005,$B77,'الحركات الشهرية'!$A$6:$A$1005,$C$3))</f>
        <v/>
      </c>
      <c r="W77" s="116" t="str">
        <f aca="false">IF($B77="","",SUMIFS('الحركات الشهرية'!$J$6:$J$1005,'الحركات الشهرية'!$B$6:$B$1005,$B77,'الحركات الشهرية'!$A$6:$A$1005,$C$3))</f>
        <v/>
      </c>
      <c r="X77" s="116" t="str">
        <f aca="false">IF($B77="","",SUM(U77:W77))</f>
        <v/>
      </c>
      <c r="Y77" s="158" t="str">
        <f aca="false">IF($B77="","",T77-X77)</f>
        <v/>
      </c>
      <c r="Z77" s="116" t="str">
        <f aca="false">IF($B77="","",الموظفون!$S77*IF(E77="سعودي",cfg_G_SR,cfg_G_NR)*G77/cfg_DAYS_M)</f>
        <v/>
      </c>
      <c r="AA77" s="116" t="str">
        <f aca="false">IF($B77="","",الموظفون!$Q77*(cfg_EOS_R1*(MIN(AH77,cfg_EOS_TH)-MIN(AI77,cfg_EOS_TH))+cfg_EOS_R2*(MAX(AH77-cfg_EOS_TH,0)-MAX(AI77-cfg_EOS_TH,0))))</f>
        <v/>
      </c>
      <c r="AB77" s="116" t="str">
        <f aca="false">IF($B77="","",IF(الموظفون!$T77&lt;&gt;"",الموظفون!$T77,IF(AH77&gt;=cfg_LV_TH,cfg_LV_D2,cfg_LV_D1))/cfg_DAYS_Y*AJ77*الموظفون!$R77/cfg_DAYS_M)</f>
        <v/>
      </c>
      <c r="AC77" s="116" t="str">
        <f aca="false">IF($B77="","",IF(AND(الموظفون!$U77="نعم",N(الموظفون!$W77)&gt;0),الموظفون!$V77/الموظفون!$W77*12/cfg_DAYS_Y*AJ77,0))</f>
        <v/>
      </c>
      <c r="AD77" s="116" t="str">
        <f aca="false">IF($B77="","",(IF(الموظفون!$X77&lt;&gt;"",الموظفون!$X77,IF(الموظفون!$E77="غير سعودي",cfg_IQ,0))+IF(الموظفون!$Y77&lt;&gt;"",الموظفون!$Y77,IF(الموظفون!$E77="غير سعودي",cfg_WP,0)))/12*G77/cfg_DAYS_M)</f>
        <v/>
      </c>
      <c r="AE77" s="116" t="str">
        <f aca="false">IF($B77="","",IF(الموظفون!$Z77&lt;&gt;"",الموظفون!$Z77,cfg_MED)/12*G77/cfg_DAYS_M)</f>
        <v/>
      </c>
      <c r="AF77" s="116" t="str">
        <f aca="false">IF($B77="","",N(الموظفون!$AA77)/12*G77/cfg_DAYS_M)</f>
        <v/>
      </c>
      <c r="AG77" s="159" t="str">
        <f aca="false">IF($B77="","",T77+SUM(Z77:AF77))</f>
        <v/>
      </c>
      <c r="AH77" s="160" t="str">
        <f aca="false">IF($B77="","",MAX(0,IF(OR(الموظفون!$AE77="",الموظفون!$AE77&gt;$F$3),$F$3,الموظفون!$AE77)-الموظفون!$H77+1-SUMIFS('سجل الإجازات والحالات'!$AJ$6:$AJ$505,'سجل الإجازات والحالات'!$B$6:$B$505,$B77))/cfg_DAYS_Y)</f>
        <v/>
      </c>
      <c r="AI77" s="160" t="str">
        <f aca="false">IF($B77="","",MAX(0,IF(OR(الموظفون!$AE77="",الموظفون!$AE77&gt;($E$3-1)),($E$3-1),الموظفون!$AE77)-الموظفون!$H77+1-SUMIFS('سجل الإجازات والحالات'!$AI$6:$AI$505,'سجل الإجازات والحالات'!$B$6:$B$505,$B77))/cfg_DAYS_Y)</f>
        <v/>
      </c>
      <c r="AJ77" s="133" t="str">
        <f aca="false">IF($B77="","",MAX(0,AK77-(SUMIFS('سجل الإجازات والحالات'!$AJ$6:$AJ$505,'سجل الإجازات والحالات'!$B$6:$B$505,$B77)-SUMIFS('سجل الإجازات والحالات'!$AI$6:$AI$505,'سجل الإجازات والحالات'!$B$6:$B$505,$B77))))</f>
        <v/>
      </c>
      <c r="AK77" s="133" t="str">
        <f aca="false">IF($B77="","",MAX(0,IF(OR(الموظفون!$AE77="",الموظفون!$AE77&gt;$F$3),$F$3,الموظفون!$AE77)-MAX($E$3,الموظفون!$H77)+1))</f>
        <v/>
      </c>
      <c r="AL77" s="156" t="str">
        <f aca="false">IF($B77="","",SUMIFS('سجل الإجازات والحالات'!$AV$6:$AV$505,'سجل الإجازات والحالات'!$B$6:$B$505,$B77)+SUMIFS('الحركات الشهرية'!$K$6:$K$1005,'الحركات الشهرية'!$B$6:$B$1005,$B77,'الحركات الشهرية'!$A$6:$A$1005,$C$3))</f>
        <v/>
      </c>
      <c r="AM77" s="116" t="str">
        <f aca="false">IF($B77="","",AL77*الموظفون!$R77/cfg_DAYS_M+S77)</f>
        <v/>
      </c>
      <c r="AN77" s="156" t="str">
        <f aca="false">IF($B77="","",SUMIFS('سجل الإجازات والحالات'!$X$6:$X$505,'سجل الإجازات والحالات'!$B$6:$B$505,$B77))</f>
        <v/>
      </c>
    </row>
    <row r="78" customFormat="false" ht="15" hidden="false" customHeight="false" outlineLevel="0" collapsed="false">
      <c r="A78" s="106" t="str">
        <f aca="false">IF($B78="","",الموظفون!$A78)</f>
        <v/>
      </c>
      <c r="B78" s="114" t="str">
        <f aca="false">IF(الموظفون!$B78="","",الموظفون!$B78)</f>
        <v/>
      </c>
      <c r="C78" s="114" t="str">
        <f aca="false">IF($B78="","",الموظفون!$C78)</f>
        <v/>
      </c>
      <c r="D78" s="114" t="str">
        <f aca="false">IF($B78="","",الموظفون!$F78)</f>
        <v/>
      </c>
      <c r="E78" s="114" t="str">
        <f aca="false">IF($B78="","",الموظفون!$E78)</f>
        <v/>
      </c>
      <c r="F78" s="114" t="str">
        <f aca="false">IF($B78="","",IF(AK78=0,IF(AND(الموظفون!$AE78&lt;&gt;"",الموظفون!$AE78&lt;$E$3),"✖ منتهي الخدمة","⏳ لم يباشر"),IF(S78&gt;0,"✈ راتب إجازة مقدم",IF(J78=0,"⛔ بدون راتب هذا الشهر",IF(I78&gt;0,"✈ خصم "&amp;ROUND(I78,2)&amp;" يوم بدون أجر",IF(AL78&gt;0,"🌴 إجازة سنوية "&amp;ROUND(AL78,2)&amp;" يوم",IF(H78&gt;0,"⚠ غياب "&amp;ROUND(H78,2)&amp;" يوم","✔ على رأس العمل")))))))</f>
        <v/>
      </c>
      <c r="G78" s="151" t="str">
        <f aca="false">IF($B78="","",IF(AK78&gt;=DAY($F$3),cfg_DAYS_M,MIN(AK78,cfg_DAYS_M)))</f>
        <v/>
      </c>
      <c r="H78" s="151" t="str">
        <f aca="false">IF($B78="","",SUMIFS('الحركات الشهرية'!$D$6:$D$1005,'الحركات الشهرية'!$B$6:$B$1005,$B78,'الحركات الشهرية'!$A$6:$A$1005,$C$3))</f>
        <v/>
      </c>
      <c r="I78" s="151" t="str">
        <f aca="false">IF($B78="","",MIN(G78,IF(AND(AK78&gt;0,AN78&gt;=AK78),G78,AN78)+SUMIFS('الحركات الشهرية'!$E$6:$E$1005,'الحركات الشهرية'!$B$6:$B$1005,$B78,'الحركات الشهرية'!$A$6:$A$1005,$C$3)))</f>
        <v/>
      </c>
      <c r="J78" s="151" t="str">
        <f aca="false">IF($B78="","",MAX(0,G78-H78-I78))</f>
        <v/>
      </c>
      <c r="K78" s="111" t="str">
        <f aca="false">IF($B78="","",الموظفون!$L78*$J78/cfg_DAYS_M)</f>
        <v/>
      </c>
      <c r="L78" s="111" t="str">
        <f aca="false">IF($B78="","",الموظفون!$M78*$J78/cfg_DAYS_M)</f>
        <v/>
      </c>
      <c r="M78" s="111" t="str">
        <f aca="false">IF($B78="","",الموظفون!$N78*$J78/cfg_DAYS_M)</f>
        <v/>
      </c>
      <c r="N78" s="111" t="str">
        <f aca="false">IF($B78="","",الموظفون!$O78*$J78/cfg_DAYS_M)</f>
        <v/>
      </c>
      <c r="O78" s="151" t="str">
        <f aca="false">IF($B78="","",SUMIFS('الحركات الشهرية'!$F$6:$F$1005,'الحركات الشهرية'!$B$6:$B$1005,$B78,'الحركات الشهرية'!$A$6:$A$1005,$C$3))</f>
        <v/>
      </c>
      <c r="P78" s="111" t="str">
        <f aca="false">IF($B78="","",O78*(الموظفون!$P78+الموظفون!$L78*cfg_OT_P)/cfg_DAYS_M/cfg_HRS)</f>
        <v/>
      </c>
      <c r="Q78" s="111" t="str">
        <f aca="false">IF($B78="","",SUMIFS('الحركات الشهرية'!$G$6:$G$1005,'الحركات الشهرية'!$B$6:$B$1005,$B78,'الحركات الشهرية'!$A$6:$A$1005,$C$3))</f>
        <v/>
      </c>
      <c r="R78" s="111" t="str">
        <f aca="false">IF($B78="","",SUMIFS('الحركات الشهرية'!$H$6:$H$1005,'الحركات الشهرية'!$B$6:$B$1005,$B78,'الحركات الشهرية'!$A$6:$A$1005,$C$3))</f>
        <v/>
      </c>
      <c r="S78" s="111" t="str">
        <f aca="false">IF($B78="","",SUMIFS('سجل الإجازات والحالات'!$N$6:$N$505,'سجل الإجازات والحالات'!$B$6:$B$505,$B78,'سجل الإجازات والحالات'!$O$6:$O$505,$C$3))</f>
        <v/>
      </c>
      <c r="T78" s="152" t="str">
        <f aca="false">IF($B78="","",SUM(K78:N78)+SUM(P78:S78))</f>
        <v/>
      </c>
      <c r="U78" s="111" t="str">
        <f aca="false">IF($B78="","",الموظفون!$S78*IF(E78="سعودي",cfg_G_SE,cfg_G_NE)*G78/cfg_DAYS_M)</f>
        <v/>
      </c>
      <c r="V78" s="111" t="str">
        <f aca="false">IF($B78="","",SUMIFS('الحركات الشهرية'!$I$6:$I$1005,'الحركات الشهرية'!$B$6:$B$1005,$B78,'الحركات الشهرية'!$A$6:$A$1005,$C$3))</f>
        <v/>
      </c>
      <c r="W78" s="111" t="str">
        <f aca="false">IF($B78="","",SUMIFS('الحركات الشهرية'!$J$6:$J$1005,'الحركات الشهرية'!$B$6:$B$1005,$B78,'الحركات الشهرية'!$A$6:$A$1005,$C$3))</f>
        <v/>
      </c>
      <c r="X78" s="111" t="str">
        <f aca="false">IF($B78="","",SUM(U78:W78))</f>
        <v/>
      </c>
      <c r="Y78" s="153" t="str">
        <f aca="false">IF($B78="","",T78-X78)</f>
        <v/>
      </c>
      <c r="Z78" s="111" t="str">
        <f aca="false">IF($B78="","",الموظفون!$S78*IF(E78="سعودي",cfg_G_SR,cfg_G_NR)*G78/cfg_DAYS_M)</f>
        <v/>
      </c>
      <c r="AA78" s="111" t="str">
        <f aca="false">IF($B78="","",الموظفون!$Q78*(cfg_EOS_R1*(MIN(AH78,cfg_EOS_TH)-MIN(AI78,cfg_EOS_TH))+cfg_EOS_R2*(MAX(AH78-cfg_EOS_TH,0)-MAX(AI78-cfg_EOS_TH,0))))</f>
        <v/>
      </c>
      <c r="AB78" s="111" t="str">
        <f aca="false">IF($B78="","",IF(الموظفون!$T78&lt;&gt;"",الموظفون!$T78,IF(AH78&gt;=cfg_LV_TH,cfg_LV_D2,cfg_LV_D1))/cfg_DAYS_Y*AJ78*الموظفون!$R78/cfg_DAYS_M)</f>
        <v/>
      </c>
      <c r="AC78" s="111" t="str">
        <f aca="false">IF($B78="","",IF(AND(الموظفون!$U78="نعم",N(الموظفون!$W78)&gt;0),الموظفون!$V78/الموظفون!$W78*12/cfg_DAYS_Y*AJ78,0))</f>
        <v/>
      </c>
      <c r="AD78" s="111" t="str">
        <f aca="false">IF($B78="","",(IF(الموظفون!$X78&lt;&gt;"",الموظفون!$X78,IF(الموظفون!$E78="غير سعودي",cfg_IQ,0))+IF(الموظفون!$Y78&lt;&gt;"",الموظفون!$Y78,IF(الموظفون!$E78="غير سعودي",cfg_WP,0)))/12*G78/cfg_DAYS_M)</f>
        <v/>
      </c>
      <c r="AE78" s="111" t="str">
        <f aca="false">IF($B78="","",IF(الموظفون!$Z78&lt;&gt;"",الموظفون!$Z78,cfg_MED)/12*G78/cfg_DAYS_M)</f>
        <v/>
      </c>
      <c r="AF78" s="111" t="str">
        <f aca="false">IF($B78="","",N(الموظفون!$AA78)/12*G78/cfg_DAYS_M)</f>
        <v/>
      </c>
      <c r="AG78" s="154" t="str">
        <f aca="false">IF($B78="","",T78+SUM(Z78:AF78))</f>
        <v/>
      </c>
      <c r="AH78" s="155" t="str">
        <f aca="false">IF($B78="","",MAX(0,IF(OR(الموظفون!$AE78="",الموظفون!$AE78&gt;$F$3),$F$3,الموظفون!$AE78)-الموظفون!$H78+1-SUMIFS('سجل الإجازات والحالات'!$AJ$6:$AJ$505,'سجل الإجازات والحالات'!$B$6:$B$505,$B78))/cfg_DAYS_Y)</f>
        <v/>
      </c>
      <c r="AI78" s="155" t="str">
        <f aca="false">IF($B78="","",MAX(0,IF(OR(الموظفون!$AE78="",الموظفون!$AE78&gt;($E$3-1)),($E$3-1),الموظفون!$AE78)-الموظفون!$H78+1-SUMIFS('سجل الإجازات والحالات'!$AI$6:$AI$505,'سجل الإجازات والحالات'!$B$6:$B$505,$B78))/cfg_DAYS_Y)</f>
        <v/>
      </c>
      <c r="AJ78" s="65" t="str">
        <f aca="false">IF($B78="","",MAX(0,AK78-(SUMIFS('سجل الإجازات والحالات'!$AJ$6:$AJ$505,'سجل الإجازات والحالات'!$B$6:$B$505,$B78)-SUMIFS('سجل الإجازات والحالات'!$AI$6:$AI$505,'سجل الإجازات والحالات'!$B$6:$B$505,$B78))))</f>
        <v/>
      </c>
      <c r="AK78" s="65" t="str">
        <f aca="false">IF($B78="","",MAX(0,IF(OR(الموظفون!$AE78="",الموظفون!$AE78&gt;$F$3),$F$3,الموظفون!$AE78)-MAX($E$3,الموظفون!$H78)+1))</f>
        <v/>
      </c>
      <c r="AL78" s="151" t="str">
        <f aca="false">IF($B78="","",SUMIFS('سجل الإجازات والحالات'!$AV$6:$AV$505,'سجل الإجازات والحالات'!$B$6:$B$505,$B78)+SUMIFS('الحركات الشهرية'!$K$6:$K$1005,'الحركات الشهرية'!$B$6:$B$1005,$B78,'الحركات الشهرية'!$A$6:$A$1005,$C$3))</f>
        <v/>
      </c>
      <c r="AM78" s="111" t="str">
        <f aca="false">IF($B78="","",AL78*الموظفون!$R78/cfg_DAYS_M+S78)</f>
        <v/>
      </c>
      <c r="AN78" s="151" t="str">
        <f aca="false">IF($B78="","",SUMIFS('سجل الإجازات والحالات'!$X$6:$X$505,'سجل الإجازات والحالات'!$B$6:$B$505,$B78))</f>
        <v/>
      </c>
    </row>
    <row r="79" customFormat="false" ht="15" hidden="false" customHeight="false" outlineLevel="0" collapsed="false">
      <c r="A79" s="115" t="str">
        <f aca="false">IF($B79="","",الموظفون!$A79)</f>
        <v/>
      </c>
      <c r="B79" s="117" t="str">
        <f aca="false">IF(الموظفون!$B79="","",الموظفون!$B79)</f>
        <v/>
      </c>
      <c r="C79" s="117" t="str">
        <f aca="false">IF($B79="","",الموظفون!$C79)</f>
        <v/>
      </c>
      <c r="D79" s="117" t="str">
        <f aca="false">IF($B79="","",الموظفون!$F79)</f>
        <v/>
      </c>
      <c r="E79" s="117" t="str">
        <f aca="false">IF($B79="","",الموظفون!$E79)</f>
        <v/>
      </c>
      <c r="F79" s="117" t="str">
        <f aca="false">IF($B79="","",IF(AK79=0,IF(AND(الموظفون!$AE79&lt;&gt;"",الموظفون!$AE79&lt;$E$3),"✖ منتهي الخدمة","⏳ لم يباشر"),IF(S79&gt;0,"✈ راتب إجازة مقدم",IF(J79=0,"⛔ بدون راتب هذا الشهر",IF(I79&gt;0,"✈ خصم "&amp;ROUND(I79,2)&amp;" يوم بدون أجر",IF(AL79&gt;0,"🌴 إجازة سنوية "&amp;ROUND(AL79,2)&amp;" يوم",IF(H79&gt;0,"⚠ غياب "&amp;ROUND(H79,2)&amp;" يوم","✔ على رأس العمل")))))))</f>
        <v/>
      </c>
      <c r="G79" s="156" t="str">
        <f aca="false">IF($B79="","",IF(AK79&gt;=DAY($F$3),cfg_DAYS_M,MIN(AK79,cfg_DAYS_M)))</f>
        <v/>
      </c>
      <c r="H79" s="156" t="str">
        <f aca="false">IF($B79="","",SUMIFS('الحركات الشهرية'!$D$6:$D$1005,'الحركات الشهرية'!$B$6:$B$1005,$B79,'الحركات الشهرية'!$A$6:$A$1005,$C$3))</f>
        <v/>
      </c>
      <c r="I79" s="156" t="str">
        <f aca="false">IF($B79="","",MIN(G79,IF(AND(AK79&gt;0,AN79&gt;=AK79),G79,AN79)+SUMIFS('الحركات الشهرية'!$E$6:$E$1005,'الحركات الشهرية'!$B$6:$B$1005,$B79,'الحركات الشهرية'!$A$6:$A$1005,$C$3)))</f>
        <v/>
      </c>
      <c r="J79" s="156" t="str">
        <f aca="false">IF($B79="","",MAX(0,G79-H79-I79))</f>
        <v/>
      </c>
      <c r="K79" s="116" t="str">
        <f aca="false">IF($B79="","",الموظفون!$L79*$J79/cfg_DAYS_M)</f>
        <v/>
      </c>
      <c r="L79" s="116" t="str">
        <f aca="false">IF($B79="","",الموظفون!$M79*$J79/cfg_DAYS_M)</f>
        <v/>
      </c>
      <c r="M79" s="116" t="str">
        <f aca="false">IF($B79="","",الموظفون!$N79*$J79/cfg_DAYS_M)</f>
        <v/>
      </c>
      <c r="N79" s="116" t="str">
        <f aca="false">IF($B79="","",الموظفون!$O79*$J79/cfg_DAYS_M)</f>
        <v/>
      </c>
      <c r="O79" s="156" t="str">
        <f aca="false">IF($B79="","",SUMIFS('الحركات الشهرية'!$F$6:$F$1005,'الحركات الشهرية'!$B$6:$B$1005,$B79,'الحركات الشهرية'!$A$6:$A$1005,$C$3))</f>
        <v/>
      </c>
      <c r="P79" s="116" t="str">
        <f aca="false">IF($B79="","",O79*(الموظفون!$P79+الموظفون!$L79*cfg_OT_P)/cfg_DAYS_M/cfg_HRS)</f>
        <v/>
      </c>
      <c r="Q79" s="116" t="str">
        <f aca="false">IF($B79="","",SUMIFS('الحركات الشهرية'!$G$6:$G$1005,'الحركات الشهرية'!$B$6:$B$1005,$B79,'الحركات الشهرية'!$A$6:$A$1005,$C$3))</f>
        <v/>
      </c>
      <c r="R79" s="116" t="str">
        <f aca="false">IF($B79="","",SUMIFS('الحركات الشهرية'!$H$6:$H$1005,'الحركات الشهرية'!$B$6:$B$1005,$B79,'الحركات الشهرية'!$A$6:$A$1005,$C$3))</f>
        <v/>
      </c>
      <c r="S79" s="116" t="str">
        <f aca="false">IF($B79="","",SUMIFS('سجل الإجازات والحالات'!$N$6:$N$505,'سجل الإجازات والحالات'!$B$6:$B$505,$B79,'سجل الإجازات والحالات'!$O$6:$O$505,$C$3))</f>
        <v/>
      </c>
      <c r="T79" s="157" t="str">
        <f aca="false">IF($B79="","",SUM(K79:N79)+SUM(P79:S79))</f>
        <v/>
      </c>
      <c r="U79" s="116" t="str">
        <f aca="false">IF($B79="","",الموظفون!$S79*IF(E79="سعودي",cfg_G_SE,cfg_G_NE)*G79/cfg_DAYS_M)</f>
        <v/>
      </c>
      <c r="V79" s="116" t="str">
        <f aca="false">IF($B79="","",SUMIFS('الحركات الشهرية'!$I$6:$I$1005,'الحركات الشهرية'!$B$6:$B$1005,$B79,'الحركات الشهرية'!$A$6:$A$1005,$C$3))</f>
        <v/>
      </c>
      <c r="W79" s="116" t="str">
        <f aca="false">IF($B79="","",SUMIFS('الحركات الشهرية'!$J$6:$J$1005,'الحركات الشهرية'!$B$6:$B$1005,$B79,'الحركات الشهرية'!$A$6:$A$1005,$C$3))</f>
        <v/>
      </c>
      <c r="X79" s="116" t="str">
        <f aca="false">IF($B79="","",SUM(U79:W79))</f>
        <v/>
      </c>
      <c r="Y79" s="158" t="str">
        <f aca="false">IF($B79="","",T79-X79)</f>
        <v/>
      </c>
      <c r="Z79" s="116" t="str">
        <f aca="false">IF($B79="","",الموظفون!$S79*IF(E79="سعودي",cfg_G_SR,cfg_G_NR)*G79/cfg_DAYS_M)</f>
        <v/>
      </c>
      <c r="AA79" s="116" t="str">
        <f aca="false">IF($B79="","",الموظفون!$Q79*(cfg_EOS_R1*(MIN(AH79,cfg_EOS_TH)-MIN(AI79,cfg_EOS_TH))+cfg_EOS_R2*(MAX(AH79-cfg_EOS_TH,0)-MAX(AI79-cfg_EOS_TH,0))))</f>
        <v/>
      </c>
      <c r="AB79" s="116" t="str">
        <f aca="false">IF($B79="","",IF(الموظفون!$T79&lt;&gt;"",الموظفون!$T79,IF(AH79&gt;=cfg_LV_TH,cfg_LV_D2,cfg_LV_D1))/cfg_DAYS_Y*AJ79*الموظفون!$R79/cfg_DAYS_M)</f>
        <v/>
      </c>
      <c r="AC79" s="116" t="str">
        <f aca="false">IF($B79="","",IF(AND(الموظفون!$U79="نعم",N(الموظفون!$W79)&gt;0),الموظفون!$V79/الموظفون!$W79*12/cfg_DAYS_Y*AJ79,0))</f>
        <v/>
      </c>
      <c r="AD79" s="116" t="str">
        <f aca="false">IF($B79="","",(IF(الموظفون!$X79&lt;&gt;"",الموظفون!$X79,IF(الموظفون!$E79="غير سعودي",cfg_IQ,0))+IF(الموظفون!$Y79&lt;&gt;"",الموظفون!$Y79,IF(الموظفون!$E79="غير سعودي",cfg_WP,0)))/12*G79/cfg_DAYS_M)</f>
        <v/>
      </c>
      <c r="AE79" s="116" t="str">
        <f aca="false">IF($B79="","",IF(الموظفون!$Z79&lt;&gt;"",الموظفون!$Z79,cfg_MED)/12*G79/cfg_DAYS_M)</f>
        <v/>
      </c>
      <c r="AF79" s="116" t="str">
        <f aca="false">IF($B79="","",N(الموظفون!$AA79)/12*G79/cfg_DAYS_M)</f>
        <v/>
      </c>
      <c r="AG79" s="159" t="str">
        <f aca="false">IF($B79="","",T79+SUM(Z79:AF79))</f>
        <v/>
      </c>
      <c r="AH79" s="160" t="str">
        <f aca="false">IF($B79="","",MAX(0,IF(OR(الموظفون!$AE79="",الموظفون!$AE79&gt;$F$3),$F$3,الموظفون!$AE79)-الموظفون!$H79+1-SUMIFS('سجل الإجازات والحالات'!$AJ$6:$AJ$505,'سجل الإجازات والحالات'!$B$6:$B$505,$B79))/cfg_DAYS_Y)</f>
        <v/>
      </c>
      <c r="AI79" s="160" t="str">
        <f aca="false">IF($B79="","",MAX(0,IF(OR(الموظفون!$AE79="",الموظفون!$AE79&gt;($E$3-1)),($E$3-1),الموظفون!$AE79)-الموظفون!$H79+1-SUMIFS('سجل الإجازات والحالات'!$AI$6:$AI$505,'سجل الإجازات والحالات'!$B$6:$B$505,$B79))/cfg_DAYS_Y)</f>
        <v/>
      </c>
      <c r="AJ79" s="133" t="str">
        <f aca="false">IF($B79="","",MAX(0,AK79-(SUMIFS('سجل الإجازات والحالات'!$AJ$6:$AJ$505,'سجل الإجازات والحالات'!$B$6:$B$505,$B79)-SUMIFS('سجل الإجازات والحالات'!$AI$6:$AI$505,'سجل الإجازات والحالات'!$B$6:$B$505,$B79))))</f>
        <v/>
      </c>
      <c r="AK79" s="133" t="str">
        <f aca="false">IF($B79="","",MAX(0,IF(OR(الموظفون!$AE79="",الموظفون!$AE79&gt;$F$3),$F$3,الموظفون!$AE79)-MAX($E$3,الموظفون!$H79)+1))</f>
        <v/>
      </c>
      <c r="AL79" s="156" t="str">
        <f aca="false">IF($B79="","",SUMIFS('سجل الإجازات والحالات'!$AV$6:$AV$505,'سجل الإجازات والحالات'!$B$6:$B$505,$B79)+SUMIFS('الحركات الشهرية'!$K$6:$K$1005,'الحركات الشهرية'!$B$6:$B$1005,$B79,'الحركات الشهرية'!$A$6:$A$1005,$C$3))</f>
        <v/>
      </c>
      <c r="AM79" s="116" t="str">
        <f aca="false">IF($B79="","",AL79*الموظفون!$R79/cfg_DAYS_M+S79)</f>
        <v/>
      </c>
      <c r="AN79" s="156" t="str">
        <f aca="false">IF($B79="","",SUMIFS('سجل الإجازات والحالات'!$X$6:$X$505,'سجل الإجازات والحالات'!$B$6:$B$505,$B79))</f>
        <v/>
      </c>
    </row>
    <row r="80" customFormat="false" ht="15" hidden="false" customHeight="false" outlineLevel="0" collapsed="false">
      <c r="A80" s="106" t="str">
        <f aca="false">IF($B80="","",الموظفون!$A80)</f>
        <v/>
      </c>
      <c r="B80" s="114" t="str">
        <f aca="false">IF(الموظفون!$B80="","",الموظفون!$B80)</f>
        <v/>
      </c>
      <c r="C80" s="114" t="str">
        <f aca="false">IF($B80="","",الموظفون!$C80)</f>
        <v/>
      </c>
      <c r="D80" s="114" t="str">
        <f aca="false">IF($B80="","",الموظفون!$F80)</f>
        <v/>
      </c>
      <c r="E80" s="114" t="str">
        <f aca="false">IF($B80="","",الموظفون!$E80)</f>
        <v/>
      </c>
      <c r="F80" s="114" t="str">
        <f aca="false">IF($B80="","",IF(AK80=0,IF(AND(الموظفون!$AE80&lt;&gt;"",الموظفون!$AE80&lt;$E$3),"✖ منتهي الخدمة","⏳ لم يباشر"),IF(S80&gt;0,"✈ راتب إجازة مقدم",IF(J80=0,"⛔ بدون راتب هذا الشهر",IF(I80&gt;0,"✈ خصم "&amp;ROUND(I80,2)&amp;" يوم بدون أجر",IF(AL80&gt;0,"🌴 إجازة سنوية "&amp;ROUND(AL80,2)&amp;" يوم",IF(H80&gt;0,"⚠ غياب "&amp;ROUND(H80,2)&amp;" يوم","✔ على رأس العمل")))))))</f>
        <v/>
      </c>
      <c r="G80" s="151" t="str">
        <f aca="false">IF($B80="","",IF(AK80&gt;=DAY($F$3),cfg_DAYS_M,MIN(AK80,cfg_DAYS_M)))</f>
        <v/>
      </c>
      <c r="H80" s="151" t="str">
        <f aca="false">IF($B80="","",SUMIFS('الحركات الشهرية'!$D$6:$D$1005,'الحركات الشهرية'!$B$6:$B$1005,$B80,'الحركات الشهرية'!$A$6:$A$1005,$C$3))</f>
        <v/>
      </c>
      <c r="I80" s="151" t="str">
        <f aca="false">IF($B80="","",MIN(G80,IF(AND(AK80&gt;0,AN80&gt;=AK80),G80,AN80)+SUMIFS('الحركات الشهرية'!$E$6:$E$1005,'الحركات الشهرية'!$B$6:$B$1005,$B80,'الحركات الشهرية'!$A$6:$A$1005,$C$3)))</f>
        <v/>
      </c>
      <c r="J80" s="151" t="str">
        <f aca="false">IF($B80="","",MAX(0,G80-H80-I80))</f>
        <v/>
      </c>
      <c r="K80" s="111" t="str">
        <f aca="false">IF($B80="","",الموظفون!$L80*$J80/cfg_DAYS_M)</f>
        <v/>
      </c>
      <c r="L80" s="111" t="str">
        <f aca="false">IF($B80="","",الموظفون!$M80*$J80/cfg_DAYS_M)</f>
        <v/>
      </c>
      <c r="M80" s="111" t="str">
        <f aca="false">IF($B80="","",الموظفون!$N80*$J80/cfg_DAYS_M)</f>
        <v/>
      </c>
      <c r="N80" s="111" t="str">
        <f aca="false">IF($B80="","",الموظفون!$O80*$J80/cfg_DAYS_M)</f>
        <v/>
      </c>
      <c r="O80" s="151" t="str">
        <f aca="false">IF($B80="","",SUMIFS('الحركات الشهرية'!$F$6:$F$1005,'الحركات الشهرية'!$B$6:$B$1005,$B80,'الحركات الشهرية'!$A$6:$A$1005,$C$3))</f>
        <v/>
      </c>
      <c r="P80" s="111" t="str">
        <f aca="false">IF($B80="","",O80*(الموظفون!$P80+الموظفون!$L80*cfg_OT_P)/cfg_DAYS_M/cfg_HRS)</f>
        <v/>
      </c>
      <c r="Q80" s="111" t="str">
        <f aca="false">IF($B80="","",SUMIFS('الحركات الشهرية'!$G$6:$G$1005,'الحركات الشهرية'!$B$6:$B$1005,$B80,'الحركات الشهرية'!$A$6:$A$1005,$C$3))</f>
        <v/>
      </c>
      <c r="R80" s="111" t="str">
        <f aca="false">IF($B80="","",SUMIFS('الحركات الشهرية'!$H$6:$H$1005,'الحركات الشهرية'!$B$6:$B$1005,$B80,'الحركات الشهرية'!$A$6:$A$1005,$C$3))</f>
        <v/>
      </c>
      <c r="S80" s="111" t="str">
        <f aca="false">IF($B80="","",SUMIFS('سجل الإجازات والحالات'!$N$6:$N$505,'سجل الإجازات والحالات'!$B$6:$B$505,$B80,'سجل الإجازات والحالات'!$O$6:$O$505,$C$3))</f>
        <v/>
      </c>
      <c r="T80" s="152" t="str">
        <f aca="false">IF($B80="","",SUM(K80:N80)+SUM(P80:S80))</f>
        <v/>
      </c>
      <c r="U80" s="111" t="str">
        <f aca="false">IF($B80="","",الموظفون!$S80*IF(E80="سعودي",cfg_G_SE,cfg_G_NE)*G80/cfg_DAYS_M)</f>
        <v/>
      </c>
      <c r="V80" s="111" t="str">
        <f aca="false">IF($B80="","",SUMIFS('الحركات الشهرية'!$I$6:$I$1005,'الحركات الشهرية'!$B$6:$B$1005,$B80,'الحركات الشهرية'!$A$6:$A$1005,$C$3))</f>
        <v/>
      </c>
      <c r="W80" s="111" t="str">
        <f aca="false">IF($B80="","",SUMIFS('الحركات الشهرية'!$J$6:$J$1005,'الحركات الشهرية'!$B$6:$B$1005,$B80,'الحركات الشهرية'!$A$6:$A$1005,$C$3))</f>
        <v/>
      </c>
      <c r="X80" s="111" t="str">
        <f aca="false">IF($B80="","",SUM(U80:W80))</f>
        <v/>
      </c>
      <c r="Y80" s="153" t="str">
        <f aca="false">IF($B80="","",T80-X80)</f>
        <v/>
      </c>
      <c r="Z80" s="111" t="str">
        <f aca="false">IF($B80="","",الموظفون!$S80*IF(E80="سعودي",cfg_G_SR,cfg_G_NR)*G80/cfg_DAYS_M)</f>
        <v/>
      </c>
      <c r="AA80" s="111" t="str">
        <f aca="false">IF($B80="","",الموظفون!$Q80*(cfg_EOS_R1*(MIN(AH80,cfg_EOS_TH)-MIN(AI80,cfg_EOS_TH))+cfg_EOS_R2*(MAX(AH80-cfg_EOS_TH,0)-MAX(AI80-cfg_EOS_TH,0))))</f>
        <v/>
      </c>
      <c r="AB80" s="111" t="str">
        <f aca="false">IF($B80="","",IF(الموظفون!$T80&lt;&gt;"",الموظفون!$T80,IF(AH80&gt;=cfg_LV_TH,cfg_LV_D2,cfg_LV_D1))/cfg_DAYS_Y*AJ80*الموظفون!$R80/cfg_DAYS_M)</f>
        <v/>
      </c>
      <c r="AC80" s="111" t="str">
        <f aca="false">IF($B80="","",IF(AND(الموظفون!$U80="نعم",N(الموظفون!$W80)&gt;0),الموظفون!$V80/الموظفون!$W80*12/cfg_DAYS_Y*AJ80,0))</f>
        <v/>
      </c>
      <c r="AD80" s="111" t="str">
        <f aca="false">IF($B80="","",(IF(الموظفون!$X80&lt;&gt;"",الموظفون!$X80,IF(الموظفون!$E80="غير سعودي",cfg_IQ,0))+IF(الموظفون!$Y80&lt;&gt;"",الموظفون!$Y80,IF(الموظفون!$E80="غير سعودي",cfg_WP,0)))/12*G80/cfg_DAYS_M)</f>
        <v/>
      </c>
      <c r="AE80" s="111" t="str">
        <f aca="false">IF($B80="","",IF(الموظفون!$Z80&lt;&gt;"",الموظفون!$Z80,cfg_MED)/12*G80/cfg_DAYS_M)</f>
        <v/>
      </c>
      <c r="AF80" s="111" t="str">
        <f aca="false">IF($B80="","",N(الموظفون!$AA80)/12*G80/cfg_DAYS_M)</f>
        <v/>
      </c>
      <c r="AG80" s="154" t="str">
        <f aca="false">IF($B80="","",T80+SUM(Z80:AF80))</f>
        <v/>
      </c>
      <c r="AH80" s="155" t="str">
        <f aca="false">IF($B80="","",MAX(0,IF(OR(الموظفون!$AE80="",الموظفون!$AE80&gt;$F$3),$F$3,الموظفون!$AE80)-الموظفون!$H80+1-SUMIFS('سجل الإجازات والحالات'!$AJ$6:$AJ$505,'سجل الإجازات والحالات'!$B$6:$B$505,$B80))/cfg_DAYS_Y)</f>
        <v/>
      </c>
      <c r="AI80" s="155" t="str">
        <f aca="false">IF($B80="","",MAX(0,IF(OR(الموظفون!$AE80="",الموظفون!$AE80&gt;($E$3-1)),($E$3-1),الموظفون!$AE80)-الموظفون!$H80+1-SUMIFS('سجل الإجازات والحالات'!$AI$6:$AI$505,'سجل الإجازات والحالات'!$B$6:$B$505,$B80))/cfg_DAYS_Y)</f>
        <v/>
      </c>
      <c r="AJ80" s="65" t="str">
        <f aca="false">IF($B80="","",MAX(0,AK80-(SUMIFS('سجل الإجازات والحالات'!$AJ$6:$AJ$505,'سجل الإجازات والحالات'!$B$6:$B$505,$B80)-SUMIFS('سجل الإجازات والحالات'!$AI$6:$AI$505,'سجل الإجازات والحالات'!$B$6:$B$505,$B80))))</f>
        <v/>
      </c>
      <c r="AK80" s="65" t="str">
        <f aca="false">IF($B80="","",MAX(0,IF(OR(الموظفون!$AE80="",الموظفون!$AE80&gt;$F$3),$F$3,الموظفون!$AE80)-MAX($E$3,الموظفون!$H80)+1))</f>
        <v/>
      </c>
      <c r="AL80" s="151" t="str">
        <f aca="false">IF($B80="","",SUMIFS('سجل الإجازات والحالات'!$AV$6:$AV$505,'سجل الإجازات والحالات'!$B$6:$B$505,$B80)+SUMIFS('الحركات الشهرية'!$K$6:$K$1005,'الحركات الشهرية'!$B$6:$B$1005,$B80,'الحركات الشهرية'!$A$6:$A$1005,$C$3))</f>
        <v/>
      </c>
      <c r="AM80" s="111" t="str">
        <f aca="false">IF($B80="","",AL80*الموظفون!$R80/cfg_DAYS_M+S80)</f>
        <v/>
      </c>
      <c r="AN80" s="151" t="str">
        <f aca="false">IF($B80="","",SUMIFS('سجل الإجازات والحالات'!$X$6:$X$505,'سجل الإجازات والحالات'!$B$6:$B$505,$B80))</f>
        <v/>
      </c>
    </row>
    <row r="81" customFormat="false" ht="15" hidden="false" customHeight="false" outlineLevel="0" collapsed="false">
      <c r="A81" s="115" t="str">
        <f aca="false">IF($B81="","",الموظفون!$A81)</f>
        <v/>
      </c>
      <c r="B81" s="117" t="str">
        <f aca="false">IF(الموظفون!$B81="","",الموظفون!$B81)</f>
        <v/>
      </c>
      <c r="C81" s="117" t="str">
        <f aca="false">IF($B81="","",الموظفون!$C81)</f>
        <v/>
      </c>
      <c r="D81" s="117" t="str">
        <f aca="false">IF($B81="","",الموظفون!$F81)</f>
        <v/>
      </c>
      <c r="E81" s="117" t="str">
        <f aca="false">IF($B81="","",الموظفون!$E81)</f>
        <v/>
      </c>
      <c r="F81" s="117" t="str">
        <f aca="false">IF($B81="","",IF(AK81=0,IF(AND(الموظفون!$AE81&lt;&gt;"",الموظفون!$AE81&lt;$E$3),"✖ منتهي الخدمة","⏳ لم يباشر"),IF(S81&gt;0,"✈ راتب إجازة مقدم",IF(J81=0,"⛔ بدون راتب هذا الشهر",IF(I81&gt;0,"✈ خصم "&amp;ROUND(I81,2)&amp;" يوم بدون أجر",IF(AL81&gt;0,"🌴 إجازة سنوية "&amp;ROUND(AL81,2)&amp;" يوم",IF(H81&gt;0,"⚠ غياب "&amp;ROUND(H81,2)&amp;" يوم","✔ على رأس العمل")))))))</f>
        <v/>
      </c>
      <c r="G81" s="156" t="str">
        <f aca="false">IF($B81="","",IF(AK81&gt;=DAY($F$3),cfg_DAYS_M,MIN(AK81,cfg_DAYS_M)))</f>
        <v/>
      </c>
      <c r="H81" s="156" t="str">
        <f aca="false">IF($B81="","",SUMIFS('الحركات الشهرية'!$D$6:$D$1005,'الحركات الشهرية'!$B$6:$B$1005,$B81,'الحركات الشهرية'!$A$6:$A$1005,$C$3))</f>
        <v/>
      </c>
      <c r="I81" s="156" t="str">
        <f aca="false">IF($B81="","",MIN(G81,IF(AND(AK81&gt;0,AN81&gt;=AK81),G81,AN81)+SUMIFS('الحركات الشهرية'!$E$6:$E$1005,'الحركات الشهرية'!$B$6:$B$1005,$B81,'الحركات الشهرية'!$A$6:$A$1005,$C$3)))</f>
        <v/>
      </c>
      <c r="J81" s="156" t="str">
        <f aca="false">IF($B81="","",MAX(0,G81-H81-I81))</f>
        <v/>
      </c>
      <c r="K81" s="116" t="str">
        <f aca="false">IF($B81="","",الموظفون!$L81*$J81/cfg_DAYS_M)</f>
        <v/>
      </c>
      <c r="L81" s="116" t="str">
        <f aca="false">IF($B81="","",الموظفون!$M81*$J81/cfg_DAYS_M)</f>
        <v/>
      </c>
      <c r="M81" s="116" t="str">
        <f aca="false">IF($B81="","",الموظفون!$N81*$J81/cfg_DAYS_M)</f>
        <v/>
      </c>
      <c r="N81" s="116" t="str">
        <f aca="false">IF($B81="","",الموظفون!$O81*$J81/cfg_DAYS_M)</f>
        <v/>
      </c>
      <c r="O81" s="156" t="str">
        <f aca="false">IF($B81="","",SUMIFS('الحركات الشهرية'!$F$6:$F$1005,'الحركات الشهرية'!$B$6:$B$1005,$B81,'الحركات الشهرية'!$A$6:$A$1005,$C$3))</f>
        <v/>
      </c>
      <c r="P81" s="116" t="str">
        <f aca="false">IF($B81="","",O81*(الموظفون!$P81+الموظفون!$L81*cfg_OT_P)/cfg_DAYS_M/cfg_HRS)</f>
        <v/>
      </c>
      <c r="Q81" s="116" t="str">
        <f aca="false">IF($B81="","",SUMIFS('الحركات الشهرية'!$G$6:$G$1005,'الحركات الشهرية'!$B$6:$B$1005,$B81,'الحركات الشهرية'!$A$6:$A$1005,$C$3))</f>
        <v/>
      </c>
      <c r="R81" s="116" t="str">
        <f aca="false">IF($B81="","",SUMIFS('الحركات الشهرية'!$H$6:$H$1005,'الحركات الشهرية'!$B$6:$B$1005,$B81,'الحركات الشهرية'!$A$6:$A$1005,$C$3))</f>
        <v/>
      </c>
      <c r="S81" s="116" t="str">
        <f aca="false">IF($B81="","",SUMIFS('سجل الإجازات والحالات'!$N$6:$N$505,'سجل الإجازات والحالات'!$B$6:$B$505,$B81,'سجل الإجازات والحالات'!$O$6:$O$505,$C$3))</f>
        <v/>
      </c>
      <c r="T81" s="157" t="str">
        <f aca="false">IF($B81="","",SUM(K81:N81)+SUM(P81:S81))</f>
        <v/>
      </c>
      <c r="U81" s="116" t="str">
        <f aca="false">IF($B81="","",الموظفون!$S81*IF(E81="سعودي",cfg_G_SE,cfg_G_NE)*G81/cfg_DAYS_M)</f>
        <v/>
      </c>
      <c r="V81" s="116" t="str">
        <f aca="false">IF($B81="","",SUMIFS('الحركات الشهرية'!$I$6:$I$1005,'الحركات الشهرية'!$B$6:$B$1005,$B81,'الحركات الشهرية'!$A$6:$A$1005,$C$3))</f>
        <v/>
      </c>
      <c r="W81" s="116" t="str">
        <f aca="false">IF($B81="","",SUMIFS('الحركات الشهرية'!$J$6:$J$1005,'الحركات الشهرية'!$B$6:$B$1005,$B81,'الحركات الشهرية'!$A$6:$A$1005,$C$3))</f>
        <v/>
      </c>
      <c r="X81" s="116" t="str">
        <f aca="false">IF($B81="","",SUM(U81:W81))</f>
        <v/>
      </c>
      <c r="Y81" s="158" t="str">
        <f aca="false">IF($B81="","",T81-X81)</f>
        <v/>
      </c>
      <c r="Z81" s="116" t="str">
        <f aca="false">IF($B81="","",الموظفون!$S81*IF(E81="سعودي",cfg_G_SR,cfg_G_NR)*G81/cfg_DAYS_M)</f>
        <v/>
      </c>
      <c r="AA81" s="116" t="str">
        <f aca="false">IF($B81="","",الموظفون!$Q81*(cfg_EOS_R1*(MIN(AH81,cfg_EOS_TH)-MIN(AI81,cfg_EOS_TH))+cfg_EOS_R2*(MAX(AH81-cfg_EOS_TH,0)-MAX(AI81-cfg_EOS_TH,0))))</f>
        <v/>
      </c>
      <c r="AB81" s="116" t="str">
        <f aca="false">IF($B81="","",IF(الموظفون!$T81&lt;&gt;"",الموظفون!$T81,IF(AH81&gt;=cfg_LV_TH,cfg_LV_D2,cfg_LV_D1))/cfg_DAYS_Y*AJ81*الموظفون!$R81/cfg_DAYS_M)</f>
        <v/>
      </c>
      <c r="AC81" s="116" t="str">
        <f aca="false">IF($B81="","",IF(AND(الموظفون!$U81="نعم",N(الموظفون!$W81)&gt;0),الموظفون!$V81/الموظفون!$W81*12/cfg_DAYS_Y*AJ81,0))</f>
        <v/>
      </c>
      <c r="AD81" s="116" t="str">
        <f aca="false">IF($B81="","",(IF(الموظفون!$X81&lt;&gt;"",الموظفون!$X81,IF(الموظفون!$E81="غير سعودي",cfg_IQ,0))+IF(الموظفون!$Y81&lt;&gt;"",الموظفون!$Y81,IF(الموظفون!$E81="غير سعودي",cfg_WP,0)))/12*G81/cfg_DAYS_M)</f>
        <v/>
      </c>
      <c r="AE81" s="116" t="str">
        <f aca="false">IF($B81="","",IF(الموظفون!$Z81&lt;&gt;"",الموظفون!$Z81,cfg_MED)/12*G81/cfg_DAYS_M)</f>
        <v/>
      </c>
      <c r="AF81" s="116" t="str">
        <f aca="false">IF($B81="","",N(الموظفون!$AA81)/12*G81/cfg_DAYS_M)</f>
        <v/>
      </c>
      <c r="AG81" s="159" t="str">
        <f aca="false">IF($B81="","",T81+SUM(Z81:AF81))</f>
        <v/>
      </c>
      <c r="AH81" s="160" t="str">
        <f aca="false">IF($B81="","",MAX(0,IF(OR(الموظفون!$AE81="",الموظفون!$AE81&gt;$F$3),$F$3,الموظفون!$AE81)-الموظفون!$H81+1-SUMIFS('سجل الإجازات والحالات'!$AJ$6:$AJ$505,'سجل الإجازات والحالات'!$B$6:$B$505,$B81))/cfg_DAYS_Y)</f>
        <v/>
      </c>
      <c r="AI81" s="160" t="str">
        <f aca="false">IF($B81="","",MAX(0,IF(OR(الموظفون!$AE81="",الموظفون!$AE81&gt;($E$3-1)),($E$3-1),الموظفون!$AE81)-الموظفون!$H81+1-SUMIFS('سجل الإجازات والحالات'!$AI$6:$AI$505,'سجل الإجازات والحالات'!$B$6:$B$505,$B81))/cfg_DAYS_Y)</f>
        <v/>
      </c>
      <c r="AJ81" s="133" t="str">
        <f aca="false">IF($B81="","",MAX(0,AK81-(SUMIFS('سجل الإجازات والحالات'!$AJ$6:$AJ$505,'سجل الإجازات والحالات'!$B$6:$B$505,$B81)-SUMIFS('سجل الإجازات والحالات'!$AI$6:$AI$505,'سجل الإجازات والحالات'!$B$6:$B$505,$B81))))</f>
        <v/>
      </c>
      <c r="AK81" s="133" t="str">
        <f aca="false">IF($B81="","",MAX(0,IF(OR(الموظفون!$AE81="",الموظفون!$AE81&gt;$F$3),$F$3,الموظفون!$AE81)-MAX($E$3,الموظفون!$H81)+1))</f>
        <v/>
      </c>
      <c r="AL81" s="156" t="str">
        <f aca="false">IF($B81="","",SUMIFS('سجل الإجازات والحالات'!$AV$6:$AV$505,'سجل الإجازات والحالات'!$B$6:$B$505,$B81)+SUMIFS('الحركات الشهرية'!$K$6:$K$1005,'الحركات الشهرية'!$B$6:$B$1005,$B81,'الحركات الشهرية'!$A$6:$A$1005,$C$3))</f>
        <v/>
      </c>
      <c r="AM81" s="116" t="str">
        <f aca="false">IF($B81="","",AL81*الموظفون!$R81/cfg_DAYS_M+S81)</f>
        <v/>
      </c>
      <c r="AN81" s="156" t="str">
        <f aca="false">IF($B81="","",SUMIFS('سجل الإجازات والحالات'!$X$6:$X$505,'سجل الإجازات والحالات'!$B$6:$B$505,$B81))</f>
        <v/>
      </c>
    </row>
    <row r="82" customFormat="false" ht="15" hidden="false" customHeight="false" outlineLevel="0" collapsed="false">
      <c r="A82" s="106" t="str">
        <f aca="false">IF($B82="","",الموظفون!$A82)</f>
        <v/>
      </c>
      <c r="B82" s="114" t="str">
        <f aca="false">IF(الموظفون!$B82="","",الموظفون!$B82)</f>
        <v/>
      </c>
      <c r="C82" s="114" t="str">
        <f aca="false">IF($B82="","",الموظفون!$C82)</f>
        <v/>
      </c>
      <c r="D82" s="114" t="str">
        <f aca="false">IF($B82="","",الموظفون!$F82)</f>
        <v/>
      </c>
      <c r="E82" s="114" t="str">
        <f aca="false">IF($B82="","",الموظفون!$E82)</f>
        <v/>
      </c>
      <c r="F82" s="114" t="str">
        <f aca="false">IF($B82="","",IF(AK82=0,IF(AND(الموظفون!$AE82&lt;&gt;"",الموظفون!$AE82&lt;$E$3),"✖ منتهي الخدمة","⏳ لم يباشر"),IF(S82&gt;0,"✈ راتب إجازة مقدم",IF(J82=0,"⛔ بدون راتب هذا الشهر",IF(I82&gt;0,"✈ خصم "&amp;ROUND(I82,2)&amp;" يوم بدون أجر",IF(AL82&gt;0,"🌴 إجازة سنوية "&amp;ROUND(AL82,2)&amp;" يوم",IF(H82&gt;0,"⚠ غياب "&amp;ROUND(H82,2)&amp;" يوم","✔ على رأس العمل")))))))</f>
        <v/>
      </c>
      <c r="G82" s="151" t="str">
        <f aca="false">IF($B82="","",IF(AK82&gt;=DAY($F$3),cfg_DAYS_M,MIN(AK82,cfg_DAYS_M)))</f>
        <v/>
      </c>
      <c r="H82" s="151" t="str">
        <f aca="false">IF($B82="","",SUMIFS('الحركات الشهرية'!$D$6:$D$1005,'الحركات الشهرية'!$B$6:$B$1005,$B82,'الحركات الشهرية'!$A$6:$A$1005,$C$3))</f>
        <v/>
      </c>
      <c r="I82" s="151" t="str">
        <f aca="false">IF($B82="","",MIN(G82,IF(AND(AK82&gt;0,AN82&gt;=AK82),G82,AN82)+SUMIFS('الحركات الشهرية'!$E$6:$E$1005,'الحركات الشهرية'!$B$6:$B$1005,$B82,'الحركات الشهرية'!$A$6:$A$1005,$C$3)))</f>
        <v/>
      </c>
      <c r="J82" s="151" t="str">
        <f aca="false">IF($B82="","",MAX(0,G82-H82-I82))</f>
        <v/>
      </c>
      <c r="K82" s="111" t="str">
        <f aca="false">IF($B82="","",الموظفون!$L82*$J82/cfg_DAYS_M)</f>
        <v/>
      </c>
      <c r="L82" s="111" t="str">
        <f aca="false">IF($B82="","",الموظفون!$M82*$J82/cfg_DAYS_M)</f>
        <v/>
      </c>
      <c r="M82" s="111" t="str">
        <f aca="false">IF($B82="","",الموظفون!$N82*$J82/cfg_DAYS_M)</f>
        <v/>
      </c>
      <c r="N82" s="111" t="str">
        <f aca="false">IF($B82="","",الموظفون!$O82*$J82/cfg_DAYS_M)</f>
        <v/>
      </c>
      <c r="O82" s="151" t="str">
        <f aca="false">IF($B82="","",SUMIFS('الحركات الشهرية'!$F$6:$F$1005,'الحركات الشهرية'!$B$6:$B$1005,$B82,'الحركات الشهرية'!$A$6:$A$1005,$C$3))</f>
        <v/>
      </c>
      <c r="P82" s="111" t="str">
        <f aca="false">IF($B82="","",O82*(الموظفون!$P82+الموظفون!$L82*cfg_OT_P)/cfg_DAYS_M/cfg_HRS)</f>
        <v/>
      </c>
      <c r="Q82" s="111" t="str">
        <f aca="false">IF($B82="","",SUMIFS('الحركات الشهرية'!$G$6:$G$1005,'الحركات الشهرية'!$B$6:$B$1005,$B82,'الحركات الشهرية'!$A$6:$A$1005,$C$3))</f>
        <v/>
      </c>
      <c r="R82" s="111" t="str">
        <f aca="false">IF($B82="","",SUMIFS('الحركات الشهرية'!$H$6:$H$1005,'الحركات الشهرية'!$B$6:$B$1005,$B82,'الحركات الشهرية'!$A$6:$A$1005,$C$3))</f>
        <v/>
      </c>
      <c r="S82" s="111" t="str">
        <f aca="false">IF($B82="","",SUMIFS('سجل الإجازات والحالات'!$N$6:$N$505,'سجل الإجازات والحالات'!$B$6:$B$505,$B82,'سجل الإجازات والحالات'!$O$6:$O$505,$C$3))</f>
        <v/>
      </c>
      <c r="T82" s="152" t="str">
        <f aca="false">IF($B82="","",SUM(K82:N82)+SUM(P82:S82))</f>
        <v/>
      </c>
      <c r="U82" s="111" t="str">
        <f aca="false">IF($B82="","",الموظفون!$S82*IF(E82="سعودي",cfg_G_SE,cfg_G_NE)*G82/cfg_DAYS_M)</f>
        <v/>
      </c>
      <c r="V82" s="111" t="str">
        <f aca="false">IF($B82="","",SUMIFS('الحركات الشهرية'!$I$6:$I$1005,'الحركات الشهرية'!$B$6:$B$1005,$B82,'الحركات الشهرية'!$A$6:$A$1005,$C$3))</f>
        <v/>
      </c>
      <c r="W82" s="111" t="str">
        <f aca="false">IF($B82="","",SUMIFS('الحركات الشهرية'!$J$6:$J$1005,'الحركات الشهرية'!$B$6:$B$1005,$B82,'الحركات الشهرية'!$A$6:$A$1005,$C$3))</f>
        <v/>
      </c>
      <c r="X82" s="111" t="str">
        <f aca="false">IF($B82="","",SUM(U82:W82))</f>
        <v/>
      </c>
      <c r="Y82" s="153" t="str">
        <f aca="false">IF($B82="","",T82-X82)</f>
        <v/>
      </c>
      <c r="Z82" s="111" t="str">
        <f aca="false">IF($B82="","",الموظفون!$S82*IF(E82="سعودي",cfg_G_SR,cfg_G_NR)*G82/cfg_DAYS_M)</f>
        <v/>
      </c>
      <c r="AA82" s="111" t="str">
        <f aca="false">IF($B82="","",الموظفون!$Q82*(cfg_EOS_R1*(MIN(AH82,cfg_EOS_TH)-MIN(AI82,cfg_EOS_TH))+cfg_EOS_R2*(MAX(AH82-cfg_EOS_TH,0)-MAX(AI82-cfg_EOS_TH,0))))</f>
        <v/>
      </c>
      <c r="AB82" s="111" t="str">
        <f aca="false">IF($B82="","",IF(الموظفون!$T82&lt;&gt;"",الموظفون!$T82,IF(AH82&gt;=cfg_LV_TH,cfg_LV_D2,cfg_LV_D1))/cfg_DAYS_Y*AJ82*الموظفون!$R82/cfg_DAYS_M)</f>
        <v/>
      </c>
      <c r="AC82" s="111" t="str">
        <f aca="false">IF($B82="","",IF(AND(الموظفون!$U82="نعم",N(الموظفون!$W82)&gt;0),الموظفون!$V82/الموظفون!$W82*12/cfg_DAYS_Y*AJ82,0))</f>
        <v/>
      </c>
      <c r="AD82" s="111" t="str">
        <f aca="false">IF($B82="","",(IF(الموظفون!$X82&lt;&gt;"",الموظفون!$X82,IF(الموظفون!$E82="غير سعودي",cfg_IQ,0))+IF(الموظفون!$Y82&lt;&gt;"",الموظفون!$Y82,IF(الموظفون!$E82="غير سعودي",cfg_WP,0)))/12*G82/cfg_DAYS_M)</f>
        <v/>
      </c>
      <c r="AE82" s="111" t="str">
        <f aca="false">IF($B82="","",IF(الموظفون!$Z82&lt;&gt;"",الموظفون!$Z82,cfg_MED)/12*G82/cfg_DAYS_M)</f>
        <v/>
      </c>
      <c r="AF82" s="111" t="str">
        <f aca="false">IF($B82="","",N(الموظفون!$AA82)/12*G82/cfg_DAYS_M)</f>
        <v/>
      </c>
      <c r="AG82" s="154" t="str">
        <f aca="false">IF($B82="","",T82+SUM(Z82:AF82))</f>
        <v/>
      </c>
      <c r="AH82" s="155" t="str">
        <f aca="false">IF($B82="","",MAX(0,IF(OR(الموظفون!$AE82="",الموظفون!$AE82&gt;$F$3),$F$3,الموظفون!$AE82)-الموظفون!$H82+1-SUMIFS('سجل الإجازات والحالات'!$AJ$6:$AJ$505,'سجل الإجازات والحالات'!$B$6:$B$505,$B82))/cfg_DAYS_Y)</f>
        <v/>
      </c>
      <c r="AI82" s="155" t="str">
        <f aca="false">IF($B82="","",MAX(0,IF(OR(الموظفون!$AE82="",الموظفون!$AE82&gt;($E$3-1)),($E$3-1),الموظفون!$AE82)-الموظفون!$H82+1-SUMIFS('سجل الإجازات والحالات'!$AI$6:$AI$505,'سجل الإجازات والحالات'!$B$6:$B$505,$B82))/cfg_DAYS_Y)</f>
        <v/>
      </c>
      <c r="AJ82" s="65" t="str">
        <f aca="false">IF($B82="","",MAX(0,AK82-(SUMIFS('سجل الإجازات والحالات'!$AJ$6:$AJ$505,'سجل الإجازات والحالات'!$B$6:$B$505,$B82)-SUMIFS('سجل الإجازات والحالات'!$AI$6:$AI$505,'سجل الإجازات والحالات'!$B$6:$B$505,$B82))))</f>
        <v/>
      </c>
      <c r="AK82" s="65" t="str">
        <f aca="false">IF($B82="","",MAX(0,IF(OR(الموظفون!$AE82="",الموظفون!$AE82&gt;$F$3),$F$3,الموظفون!$AE82)-MAX($E$3,الموظفون!$H82)+1))</f>
        <v/>
      </c>
      <c r="AL82" s="151" t="str">
        <f aca="false">IF($B82="","",SUMIFS('سجل الإجازات والحالات'!$AV$6:$AV$505,'سجل الإجازات والحالات'!$B$6:$B$505,$B82)+SUMIFS('الحركات الشهرية'!$K$6:$K$1005,'الحركات الشهرية'!$B$6:$B$1005,$B82,'الحركات الشهرية'!$A$6:$A$1005,$C$3))</f>
        <v/>
      </c>
      <c r="AM82" s="111" t="str">
        <f aca="false">IF($B82="","",AL82*الموظفون!$R82/cfg_DAYS_M+S82)</f>
        <v/>
      </c>
      <c r="AN82" s="151" t="str">
        <f aca="false">IF($B82="","",SUMIFS('سجل الإجازات والحالات'!$X$6:$X$505,'سجل الإجازات والحالات'!$B$6:$B$505,$B82))</f>
        <v/>
      </c>
    </row>
    <row r="83" customFormat="false" ht="15" hidden="false" customHeight="false" outlineLevel="0" collapsed="false">
      <c r="A83" s="115" t="str">
        <f aca="false">IF($B83="","",الموظفون!$A83)</f>
        <v/>
      </c>
      <c r="B83" s="117" t="str">
        <f aca="false">IF(الموظفون!$B83="","",الموظفون!$B83)</f>
        <v/>
      </c>
      <c r="C83" s="117" t="str">
        <f aca="false">IF($B83="","",الموظفون!$C83)</f>
        <v/>
      </c>
      <c r="D83" s="117" t="str">
        <f aca="false">IF($B83="","",الموظفون!$F83)</f>
        <v/>
      </c>
      <c r="E83" s="117" t="str">
        <f aca="false">IF($B83="","",الموظفون!$E83)</f>
        <v/>
      </c>
      <c r="F83" s="117" t="str">
        <f aca="false">IF($B83="","",IF(AK83=0,IF(AND(الموظفون!$AE83&lt;&gt;"",الموظفون!$AE83&lt;$E$3),"✖ منتهي الخدمة","⏳ لم يباشر"),IF(S83&gt;0,"✈ راتب إجازة مقدم",IF(J83=0,"⛔ بدون راتب هذا الشهر",IF(I83&gt;0,"✈ خصم "&amp;ROUND(I83,2)&amp;" يوم بدون أجر",IF(AL83&gt;0,"🌴 إجازة سنوية "&amp;ROUND(AL83,2)&amp;" يوم",IF(H83&gt;0,"⚠ غياب "&amp;ROUND(H83,2)&amp;" يوم","✔ على رأس العمل")))))))</f>
        <v/>
      </c>
      <c r="G83" s="156" t="str">
        <f aca="false">IF($B83="","",IF(AK83&gt;=DAY($F$3),cfg_DAYS_M,MIN(AK83,cfg_DAYS_M)))</f>
        <v/>
      </c>
      <c r="H83" s="156" t="str">
        <f aca="false">IF($B83="","",SUMIFS('الحركات الشهرية'!$D$6:$D$1005,'الحركات الشهرية'!$B$6:$B$1005,$B83,'الحركات الشهرية'!$A$6:$A$1005,$C$3))</f>
        <v/>
      </c>
      <c r="I83" s="156" t="str">
        <f aca="false">IF($B83="","",MIN(G83,IF(AND(AK83&gt;0,AN83&gt;=AK83),G83,AN83)+SUMIFS('الحركات الشهرية'!$E$6:$E$1005,'الحركات الشهرية'!$B$6:$B$1005,$B83,'الحركات الشهرية'!$A$6:$A$1005,$C$3)))</f>
        <v/>
      </c>
      <c r="J83" s="156" t="str">
        <f aca="false">IF($B83="","",MAX(0,G83-H83-I83))</f>
        <v/>
      </c>
      <c r="K83" s="116" t="str">
        <f aca="false">IF($B83="","",الموظفون!$L83*$J83/cfg_DAYS_M)</f>
        <v/>
      </c>
      <c r="L83" s="116" t="str">
        <f aca="false">IF($B83="","",الموظفون!$M83*$J83/cfg_DAYS_M)</f>
        <v/>
      </c>
      <c r="M83" s="116" t="str">
        <f aca="false">IF($B83="","",الموظفون!$N83*$J83/cfg_DAYS_M)</f>
        <v/>
      </c>
      <c r="N83" s="116" t="str">
        <f aca="false">IF($B83="","",الموظفون!$O83*$J83/cfg_DAYS_M)</f>
        <v/>
      </c>
      <c r="O83" s="156" t="str">
        <f aca="false">IF($B83="","",SUMIFS('الحركات الشهرية'!$F$6:$F$1005,'الحركات الشهرية'!$B$6:$B$1005,$B83,'الحركات الشهرية'!$A$6:$A$1005,$C$3))</f>
        <v/>
      </c>
      <c r="P83" s="116" t="str">
        <f aca="false">IF($B83="","",O83*(الموظفون!$P83+الموظفون!$L83*cfg_OT_P)/cfg_DAYS_M/cfg_HRS)</f>
        <v/>
      </c>
      <c r="Q83" s="116" t="str">
        <f aca="false">IF($B83="","",SUMIFS('الحركات الشهرية'!$G$6:$G$1005,'الحركات الشهرية'!$B$6:$B$1005,$B83,'الحركات الشهرية'!$A$6:$A$1005,$C$3))</f>
        <v/>
      </c>
      <c r="R83" s="116" t="str">
        <f aca="false">IF($B83="","",SUMIFS('الحركات الشهرية'!$H$6:$H$1005,'الحركات الشهرية'!$B$6:$B$1005,$B83,'الحركات الشهرية'!$A$6:$A$1005,$C$3))</f>
        <v/>
      </c>
      <c r="S83" s="116" t="str">
        <f aca="false">IF($B83="","",SUMIFS('سجل الإجازات والحالات'!$N$6:$N$505,'سجل الإجازات والحالات'!$B$6:$B$505,$B83,'سجل الإجازات والحالات'!$O$6:$O$505,$C$3))</f>
        <v/>
      </c>
      <c r="T83" s="157" t="str">
        <f aca="false">IF($B83="","",SUM(K83:N83)+SUM(P83:S83))</f>
        <v/>
      </c>
      <c r="U83" s="116" t="str">
        <f aca="false">IF($B83="","",الموظفون!$S83*IF(E83="سعودي",cfg_G_SE,cfg_G_NE)*G83/cfg_DAYS_M)</f>
        <v/>
      </c>
      <c r="V83" s="116" t="str">
        <f aca="false">IF($B83="","",SUMIFS('الحركات الشهرية'!$I$6:$I$1005,'الحركات الشهرية'!$B$6:$B$1005,$B83,'الحركات الشهرية'!$A$6:$A$1005,$C$3))</f>
        <v/>
      </c>
      <c r="W83" s="116" t="str">
        <f aca="false">IF($B83="","",SUMIFS('الحركات الشهرية'!$J$6:$J$1005,'الحركات الشهرية'!$B$6:$B$1005,$B83,'الحركات الشهرية'!$A$6:$A$1005,$C$3))</f>
        <v/>
      </c>
      <c r="X83" s="116" t="str">
        <f aca="false">IF($B83="","",SUM(U83:W83))</f>
        <v/>
      </c>
      <c r="Y83" s="158" t="str">
        <f aca="false">IF($B83="","",T83-X83)</f>
        <v/>
      </c>
      <c r="Z83" s="116" t="str">
        <f aca="false">IF($B83="","",الموظفون!$S83*IF(E83="سعودي",cfg_G_SR,cfg_G_NR)*G83/cfg_DAYS_M)</f>
        <v/>
      </c>
      <c r="AA83" s="116" t="str">
        <f aca="false">IF($B83="","",الموظفون!$Q83*(cfg_EOS_R1*(MIN(AH83,cfg_EOS_TH)-MIN(AI83,cfg_EOS_TH))+cfg_EOS_R2*(MAX(AH83-cfg_EOS_TH,0)-MAX(AI83-cfg_EOS_TH,0))))</f>
        <v/>
      </c>
      <c r="AB83" s="116" t="str">
        <f aca="false">IF($B83="","",IF(الموظفون!$T83&lt;&gt;"",الموظفون!$T83,IF(AH83&gt;=cfg_LV_TH,cfg_LV_D2,cfg_LV_D1))/cfg_DAYS_Y*AJ83*الموظفون!$R83/cfg_DAYS_M)</f>
        <v/>
      </c>
      <c r="AC83" s="116" t="str">
        <f aca="false">IF($B83="","",IF(AND(الموظفون!$U83="نعم",N(الموظفون!$W83)&gt;0),الموظفون!$V83/الموظفون!$W83*12/cfg_DAYS_Y*AJ83,0))</f>
        <v/>
      </c>
      <c r="AD83" s="116" t="str">
        <f aca="false">IF($B83="","",(IF(الموظفون!$X83&lt;&gt;"",الموظفون!$X83,IF(الموظفون!$E83="غير سعودي",cfg_IQ,0))+IF(الموظفون!$Y83&lt;&gt;"",الموظفون!$Y83,IF(الموظفون!$E83="غير سعودي",cfg_WP,0)))/12*G83/cfg_DAYS_M)</f>
        <v/>
      </c>
      <c r="AE83" s="116" t="str">
        <f aca="false">IF($B83="","",IF(الموظفون!$Z83&lt;&gt;"",الموظفون!$Z83,cfg_MED)/12*G83/cfg_DAYS_M)</f>
        <v/>
      </c>
      <c r="AF83" s="116" t="str">
        <f aca="false">IF($B83="","",N(الموظفون!$AA83)/12*G83/cfg_DAYS_M)</f>
        <v/>
      </c>
      <c r="AG83" s="159" t="str">
        <f aca="false">IF($B83="","",T83+SUM(Z83:AF83))</f>
        <v/>
      </c>
      <c r="AH83" s="160" t="str">
        <f aca="false">IF($B83="","",MAX(0,IF(OR(الموظفون!$AE83="",الموظفون!$AE83&gt;$F$3),$F$3,الموظفون!$AE83)-الموظفون!$H83+1-SUMIFS('سجل الإجازات والحالات'!$AJ$6:$AJ$505,'سجل الإجازات والحالات'!$B$6:$B$505,$B83))/cfg_DAYS_Y)</f>
        <v/>
      </c>
      <c r="AI83" s="160" t="str">
        <f aca="false">IF($B83="","",MAX(0,IF(OR(الموظفون!$AE83="",الموظفون!$AE83&gt;($E$3-1)),($E$3-1),الموظفون!$AE83)-الموظفون!$H83+1-SUMIFS('سجل الإجازات والحالات'!$AI$6:$AI$505,'سجل الإجازات والحالات'!$B$6:$B$505,$B83))/cfg_DAYS_Y)</f>
        <v/>
      </c>
      <c r="AJ83" s="133" t="str">
        <f aca="false">IF($B83="","",MAX(0,AK83-(SUMIFS('سجل الإجازات والحالات'!$AJ$6:$AJ$505,'سجل الإجازات والحالات'!$B$6:$B$505,$B83)-SUMIFS('سجل الإجازات والحالات'!$AI$6:$AI$505,'سجل الإجازات والحالات'!$B$6:$B$505,$B83))))</f>
        <v/>
      </c>
      <c r="AK83" s="133" t="str">
        <f aca="false">IF($B83="","",MAX(0,IF(OR(الموظفون!$AE83="",الموظفون!$AE83&gt;$F$3),$F$3,الموظفون!$AE83)-MAX($E$3,الموظفون!$H83)+1))</f>
        <v/>
      </c>
      <c r="AL83" s="156" t="str">
        <f aca="false">IF($B83="","",SUMIFS('سجل الإجازات والحالات'!$AV$6:$AV$505,'سجل الإجازات والحالات'!$B$6:$B$505,$B83)+SUMIFS('الحركات الشهرية'!$K$6:$K$1005,'الحركات الشهرية'!$B$6:$B$1005,$B83,'الحركات الشهرية'!$A$6:$A$1005,$C$3))</f>
        <v/>
      </c>
      <c r="AM83" s="116" t="str">
        <f aca="false">IF($B83="","",AL83*الموظفون!$R83/cfg_DAYS_M+S83)</f>
        <v/>
      </c>
      <c r="AN83" s="156" t="str">
        <f aca="false">IF($B83="","",SUMIFS('سجل الإجازات والحالات'!$X$6:$X$505,'سجل الإجازات والحالات'!$B$6:$B$505,$B83))</f>
        <v/>
      </c>
    </row>
    <row r="84" customFormat="false" ht="15" hidden="false" customHeight="false" outlineLevel="0" collapsed="false">
      <c r="A84" s="106" t="str">
        <f aca="false">IF($B84="","",الموظفون!$A84)</f>
        <v/>
      </c>
      <c r="B84" s="114" t="str">
        <f aca="false">IF(الموظفون!$B84="","",الموظفون!$B84)</f>
        <v/>
      </c>
      <c r="C84" s="114" t="str">
        <f aca="false">IF($B84="","",الموظفون!$C84)</f>
        <v/>
      </c>
      <c r="D84" s="114" t="str">
        <f aca="false">IF($B84="","",الموظفون!$F84)</f>
        <v/>
      </c>
      <c r="E84" s="114" t="str">
        <f aca="false">IF($B84="","",الموظفون!$E84)</f>
        <v/>
      </c>
      <c r="F84" s="114" t="str">
        <f aca="false">IF($B84="","",IF(AK84=0,IF(AND(الموظفون!$AE84&lt;&gt;"",الموظفون!$AE84&lt;$E$3),"✖ منتهي الخدمة","⏳ لم يباشر"),IF(S84&gt;0,"✈ راتب إجازة مقدم",IF(J84=0,"⛔ بدون راتب هذا الشهر",IF(I84&gt;0,"✈ خصم "&amp;ROUND(I84,2)&amp;" يوم بدون أجر",IF(AL84&gt;0,"🌴 إجازة سنوية "&amp;ROUND(AL84,2)&amp;" يوم",IF(H84&gt;0,"⚠ غياب "&amp;ROUND(H84,2)&amp;" يوم","✔ على رأس العمل")))))))</f>
        <v/>
      </c>
      <c r="G84" s="151" t="str">
        <f aca="false">IF($B84="","",IF(AK84&gt;=DAY($F$3),cfg_DAYS_M,MIN(AK84,cfg_DAYS_M)))</f>
        <v/>
      </c>
      <c r="H84" s="151" t="str">
        <f aca="false">IF($B84="","",SUMIFS('الحركات الشهرية'!$D$6:$D$1005,'الحركات الشهرية'!$B$6:$B$1005,$B84,'الحركات الشهرية'!$A$6:$A$1005,$C$3))</f>
        <v/>
      </c>
      <c r="I84" s="151" t="str">
        <f aca="false">IF($B84="","",MIN(G84,IF(AND(AK84&gt;0,AN84&gt;=AK84),G84,AN84)+SUMIFS('الحركات الشهرية'!$E$6:$E$1005,'الحركات الشهرية'!$B$6:$B$1005,$B84,'الحركات الشهرية'!$A$6:$A$1005,$C$3)))</f>
        <v/>
      </c>
      <c r="J84" s="151" t="str">
        <f aca="false">IF($B84="","",MAX(0,G84-H84-I84))</f>
        <v/>
      </c>
      <c r="K84" s="111" t="str">
        <f aca="false">IF($B84="","",الموظفون!$L84*$J84/cfg_DAYS_M)</f>
        <v/>
      </c>
      <c r="L84" s="111" t="str">
        <f aca="false">IF($B84="","",الموظفون!$M84*$J84/cfg_DAYS_M)</f>
        <v/>
      </c>
      <c r="M84" s="111" t="str">
        <f aca="false">IF($B84="","",الموظفون!$N84*$J84/cfg_DAYS_M)</f>
        <v/>
      </c>
      <c r="N84" s="111" t="str">
        <f aca="false">IF($B84="","",الموظفون!$O84*$J84/cfg_DAYS_M)</f>
        <v/>
      </c>
      <c r="O84" s="151" t="str">
        <f aca="false">IF($B84="","",SUMIFS('الحركات الشهرية'!$F$6:$F$1005,'الحركات الشهرية'!$B$6:$B$1005,$B84,'الحركات الشهرية'!$A$6:$A$1005,$C$3))</f>
        <v/>
      </c>
      <c r="P84" s="111" t="str">
        <f aca="false">IF($B84="","",O84*(الموظفون!$P84+الموظفون!$L84*cfg_OT_P)/cfg_DAYS_M/cfg_HRS)</f>
        <v/>
      </c>
      <c r="Q84" s="111" t="str">
        <f aca="false">IF($B84="","",SUMIFS('الحركات الشهرية'!$G$6:$G$1005,'الحركات الشهرية'!$B$6:$B$1005,$B84,'الحركات الشهرية'!$A$6:$A$1005,$C$3))</f>
        <v/>
      </c>
      <c r="R84" s="111" t="str">
        <f aca="false">IF($B84="","",SUMIFS('الحركات الشهرية'!$H$6:$H$1005,'الحركات الشهرية'!$B$6:$B$1005,$B84,'الحركات الشهرية'!$A$6:$A$1005,$C$3))</f>
        <v/>
      </c>
      <c r="S84" s="111" t="str">
        <f aca="false">IF($B84="","",SUMIFS('سجل الإجازات والحالات'!$N$6:$N$505,'سجل الإجازات والحالات'!$B$6:$B$505,$B84,'سجل الإجازات والحالات'!$O$6:$O$505,$C$3))</f>
        <v/>
      </c>
      <c r="T84" s="152" t="str">
        <f aca="false">IF($B84="","",SUM(K84:N84)+SUM(P84:S84))</f>
        <v/>
      </c>
      <c r="U84" s="111" t="str">
        <f aca="false">IF($B84="","",الموظفون!$S84*IF(E84="سعودي",cfg_G_SE,cfg_G_NE)*G84/cfg_DAYS_M)</f>
        <v/>
      </c>
      <c r="V84" s="111" t="str">
        <f aca="false">IF($B84="","",SUMIFS('الحركات الشهرية'!$I$6:$I$1005,'الحركات الشهرية'!$B$6:$B$1005,$B84,'الحركات الشهرية'!$A$6:$A$1005,$C$3))</f>
        <v/>
      </c>
      <c r="W84" s="111" t="str">
        <f aca="false">IF($B84="","",SUMIFS('الحركات الشهرية'!$J$6:$J$1005,'الحركات الشهرية'!$B$6:$B$1005,$B84,'الحركات الشهرية'!$A$6:$A$1005,$C$3))</f>
        <v/>
      </c>
      <c r="X84" s="111" t="str">
        <f aca="false">IF($B84="","",SUM(U84:W84))</f>
        <v/>
      </c>
      <c r="Y84" s="153" t="str">
        <f aca="false">IF($B84="","",T84-X84)</f>
        <v/>
      </c>
      <c r="Z84" s="111" t="str">
        <f aca="false">IF($B84="","",الموظفون!$S84*IF(E84="سعودي",cfg_G_SR,cfg_G_NR)*G84/cfg_DAYS_M)</f>
        <v/>
      </c>
      <c r="AA84" s="111" t="str">
        <f aca="false">IF($B84="","",الموظفون!$Q84*(cfg_EOS_R1*(MIN(AH84,cfg_EOS_TH)-MIN(AI84,cfg_EOS_TH))+cfg_EOS_R2*(MAX(AH84-cfg_EOS_TH,0)-MAX(AI84-cfg_EOS_TH,0))))</f>
        <v/>
      </c>
      <c r="AB84" s="111" t="str">
        <f aca="false">IF($B84="","",IF(الموظفون!$T84&lt;&gt;"",الموظفون!$T84,IF(AH84&gt;=cfg_LV_TH,cfg_LV_D2,cfg_LV_D1))/cfg_DAYS_Y*AJ84*الموظفون!$R84/cfg_DAYS_M)</f>
        <v/>
      </c>
      <c r="AC84" s="111" t="str">
        <f aca="false">IF($B84="","",IF(AND(الموظفون!$U84="نعم",N(الموظفون!$W84)&gt;0),الموظفون!$V84/الموظفون!$W84*12/cfg_DAYS_Y*AJ84,0))</f>
        <v/>
      </c>
      <c r="AD84" s="111" t="str">
        <f aca="false">IF($B84="","",(IF(الموظفون!$X84&lt;&gt;"",الموظفون!$X84,IF(الموظفون!$E84="غير سعودي",cfg_IQ,0))+IF(الموظفون!$Y84&lt;&gt;"",الموظفون!$Y84,IF(الموظفون!$E84="غير سعودي",cfg_WP,0)))/12*G84/cfg_DAYS_M)</f>
        <v/>
      </c>
      <c r="AE84" s="111" t="str">
        <f aca="false">IF($B84="","",IF(الموظفون!$Z84&lt;&gt;"",الموظفون!$Z84,cfg_MED)/12*G84/cfg_DAYS_M)</f>
        <v/>
      </c>
      <c r="AF84" s="111" t="str">
        <f aca="false">IF($B84="","",N(الموظفون!$AA84)/12*G84/cfg_DAYS_M)</f>
        <v/>
      </c>
      <c r="AG84" s="154" t="str">
        <f aca="false">IF($B84="","",T84+SUM(Z84:AF84))</f>
        <v/>
      </c>
      <c r="AH84" s="155" t="str">
        <f aca="false">IF($B84="","",MAX(0,IF(OR(الموظفون!$AE84="",الموظفون!$AE84&gt;$F$3),$F$3,الموظفون!$AE84)-الموظفون!$H84+1-SUMIFS('سجل الإجازات والحالات'!$AJ$6:$AJ$505,'سجل الإجازات والحالات'!$B$6:$B$505,$B84))/cfg_DAYS_Y)</f>
        <v/>
      </c>
      <c r="AI84" s="155" t="str">
        <f aca="false">IF($B84="","",MAX(0,IF(OR(الموظفون!$AE84="",الموظفون!$AE84&gt;($E$3-1)),($E$3-1),الموظفون!$AE84)-الموظفون!$H84+1-SUMIFS('سجل الإجازات والحالات'!$AI$6:$AI$505,'سجل الإجازات والحالات'!$B$6:$B$505,$B84))/cfg_DAYS_Y)</f>
        <v/>
      </c>
      <c r="AJ84" s="65" t="str">
        <f aca="false">IF($B84="","",MAX(0,AK84-(SUMIFS('سجل الإجازات والحالات'!$AJ$6:$AJ$505,'سجل الإجازات والحالات'!$B$6:$B$505,$B84)-SUMIFS('سجل الإجازات والحالات'!$AI$6:$AI$505,'سجل الإجازات والحالات'!$B$6:$B$505,$B84))))</f>
        <v/>
      </c>
      <c r="AK84" s="65" t="str">
        <f aca="false">IF($B84="","",MAX(0,IF(OR(الموظفون!$AE84="",الموظفون!$AE84&gt;$F$3),$F$3,الموظفون!$AE84)-MAX($E$3,الموظفون!$H84)+1))</f>
        <v/>
      </c>
      <c r="AL84" s="151" t="str">
        <f aca="false">IF($B84="","",SUMIFS('سجل الإجازات والحالات'!$AV$6:$AV$505,'سجل الإجازات والحالات'!$B$6:$B$505,$B84)+SUMIFS('الحركات الشهرية'!$K$6:$K$1005,'الحركات الشهرية'!$B$6:$B$1005,$B84,'الحركات الشهرية'!$A$6:$A$1005,$C$3))</f>
        <v/>
      </c>
      <c r="AM84" s="111" t="str">
        <f aca="false">IF($B84="","",AL84*الموظفون!$R84/cfg_DAYS_M+S84)</f>
        <v/>
      </c>
      <c r="AN84" s="151" t="str">
        <f aca="false">IF($B84="","",SUMIFS('سجل الإجازات والحالات'!$X$6:$X$505,'سجل الإجازات والحالات'!$B$6:$B$505,$B84))</f>
        <v/>
      </c>
    </row>
    <row r="85" customFormat="false" ht="15" hidden="false" customHeight="false" outlineLevel="0" collapsed="false">
      <c r="A85" s="115" t="str">
        <f aca="false">IF($B85="","",الموظفون!$A85)</f>
        <v/>
      </c>
      <c r="B85" s="117" t="str">
        <f aca="false">IF(الموظفون!$B85="","",الموظفون!$B85)</f>
        <v/>
      </c>
      <c r="C85" s="117" t="str">
        <f aca="false">IF($B85="","",الموظفون!$C85)</f>
        <v/>
      </c>
      <c r="D85" s="117" t="str">
        <f aca="false">IF($B85="","",الموظفون!$F85)</f>
        <v/>
      </c>
      <c r="E85" s="117" t="str">
        <f aca="false">IF($B85="","",الموظفون!$E85)</f>
        <v/>
      </c>
      <c r="F85" s="117" t="str">
        <f aca="false">IF($B85="","",IF(AK85=0,IF(AND(الموظفون!$AE85&lt;&gt;"",الموظفون!$AE85&lt;$E$3),"✖ منتهي الخدمة","⏳ لم يباشر"),IF(S85&gt;0,"✈ راتب إجازة مقدم",IF(J85=0,"⛔ بدون راتب هذا الشهر",IF(I85&gt;0,"✈ خصم "&amp;ROUND(I85,2)&amp;" يوم بدون أجر",IF(AL85&gt;0,"🌴 إجازة سنوية "&amp;ROUND(AL85,2)&amp;" يوم",IF(H85&gt;0,"⚠ غياب "&amp;ROUND(H85,2)&amp;" يوم","✔ على رأس العمل")))))))</f>
        <v/>
      </c>
      <c r="G85" s="156" t="str">
        <f aca="false">IF($B85="","",IF(AK85&gt;=DAY($F$3),cfg_DAYS_M,MIN(AK85,cfg_DAYS_M)))</f>
        <v/>
      </c>
      <c r="H85" s="156" t="str">
        <f aca="false">IF($B85="","",SUMIFS('الحركات الشهرية'!$D$6:$D$1005,'الحركات الشهرية'!$B$6:$B$1005,$B85,'الحركات الشهرية'!$A$6:$A$1005,$C$3))</f>
        <v/>
      </c>
      <c r="I85" s="156" t="str">
        <f aca="false">IF($B85="","",MIN(G85,IF(AND(AK85&gt;0,AN85&gt;=AK85),G85,AN85)+SUMIFS('الحركات الشهرية'!$E$6:$E$1005,'الحركات الشهرية'!$B$6:$B$1005,$B85,'الحركات الشهرية'!$A$6:$A$1005,$C$3)))</f>
        <v/>
      </c>
      <c r="J85" s="156" t="str">
        <f aca="false">IF($B85="","",MAX(0,G85-H85-I85))</f>
        <v/>
      </c>
      <c r="K85" s="116" t="str">
        <f aca="false">IF($B85="","",الموظفون!$L85*$J85/cfg_DAYS_M)</f>
        <v/>
      </c>
      <c r="L85" s="116" t="str">
        <f aca="false">IF($B85="","",الموظفون!$M85*$J85/cfg_DAYS_M)</f>
        <v/>
      </c>
      <c r="M85" s="116" t="str">
        <f aca="false">IF($B85="","",الموظفون!$N85*$J85/cfg_DAYS_M)</f>
        <v/>
      </c>
      <c r="N85" s="116" t="str">
        <f aca="false">IF($B85="","",الموظفون!$O85*$J85/cfg_DAYS_M)</f>
        <v/>
      </c>
      <c r="O85" s="156" t="str">
        <f aca="false">IF($B85="","",SUMIFS('الحركات الشهرية'!$F$6:$F$1005,'الحركات الشهرية'!$B$6:$B$1005,$B85,'الحركات الشهرية'!$A$6:$A$1005,$C$3))</f>
        <v/>
      </c>
      <c r="P85" s="116" t="str">
        <f aca="false">IF($B85="","",O85*(الموظفون!$P85+الموظفون!$L85*cfg_OT_P)/cfg_DAYS_M/cfg_HRS)</f>
        <v/>
      </c>
      <c r="Q85" s="116" t="str">
        <f aca="false">IF($B85="","",SUMIFS('الحركات الشهرية'!$G$6:$G$1005,'الحركات الشهرية'!$B$6:$B$1005,$B85,'الحركات الشهرية'!$A$6:$A$1005,$C$3))</f>
        <v/>
      </c>
      <c r="R85" s="116" t="str">
        <f aca="false">IF($B85="","",SUMIFS('الحركات الشهرية'!$H$6:$H$1005,'الحركات الشهرية'!$B$6:$B$1005,$B85,'الحركات الشهرية'!$A$6:$A$1005,$C$3))</f>
        <v/>
      </c>
      <c r="S85" s="116" t="str">
        <f aca="false">IF($B85="","",SUMIFS('سجل الإجازات والحالات'!$N$6:$N$505,'سجل الإجازات والحالات'!$B$6:$B$505,$B85,'سجل الإجازات والحالات'!$O$6:$O$505,$C$3))</f>
        <v/>
      </c>
      <c r="T85" s="157" t="str">
        <f aca="false">IF($B85="","",SUM(K85:N85)+SUM(P85:S85))</f>
        <v/>
      </c>
      <c r="U85" s="116" t="str">
        <f aca="false">IF($B85="","",الموظفون!$S85*IF(E85="سعودي",cfg_G_SE,cfg_G_NE)*G85/cfg_DAYS_M)</f>
        <v/>
      </c>
      <c r="V85" s="116" t="str">
        <f aca="false">IF($B85="","",SUMIFS('الحركات الشهرية'!$I$6:$I$1005,'الحركات الشهرية'!$B$6:$B$1005,$B85,'الحركات الشهرية'!$A$6:$A$1005,$C$3))</f>
        <v/>
      </c>
      <c r="W85" s="116" t="str">
        <f aca="false">IF($B85="","",SUMIFS('الحركات الشهرية'!$J$6:$J$1005,'الحركات الشهرية'!$B$6:$B$1005,$B85,'الحركات الشهرية'!$A$6:$A$1005,$C$3))</f>
        <v/>
      </c>
      <c r="X85" s="116" t="str">
        <f aca="false">IF($B85="","",SUM(U85:W85))</f>
        <v/>
      </c>
      <c r="Y85" s="158" t="str">
        <f aca="false">IF($B85="","",T85-X85)</f>
        <v/>
      </c>
      <c r="Z85" s="116" t="str">
        <f aca="false">IF($B85="","",الموظفون!$S85*IF(E85="سعودي",cfg_G_SR,cfg_G_NR)*G85/cfg_DAYS_M)</f>
        <v/>
      </c>
      <c r="AA85" s="116" t="str">
        <f aca="false">IF($B85="","",الموظفون!$Q85*(cfg_EOS_R1*(MIN(AH85,cfg_EOS_TH)-MIN(AI85,cfg_EOS_TH))+cfg_EOS_R2*(MAX(AH85-cfg_EOS_TH,0)-MAX(AI85-cfg_EOS_TH,0))))</f>
        <v/>
      </c>
      <c r="AB85" s="116" t="str">
        <f aca="false">IF($B85="","",IF(الموظفون!$T85&lt;&gt;"",الموظفون!$T85,IF(AH85&gt;=cfg_LV_TH,cfg_LV_D2,cfg_LV_D1))/cfg_DAYS_Y*AJ85*الموظفون!$R85/cfg_DAYS_M)</f>
        <v/>
      </c>
      <c r="AC85" s="116" t="str">
        <f aca="false">IF($B85="","",IF(AND(الموظفون!$U85="نعم",N(الموظفون!$W85)&gt;0),الموظفون!$V85/الموظفون!$W85*12/cfg_DAYS_Y*AJ85,0))</f>
        <v/>
      </c>
      <c r="AD85" s="116" t="str">
        <f aca="false">IF($B85="","",(IF(الموظفون!$X85&lt;&gt;"",الموظفون!$X85,IF(الموظفون!$E85="غير سعودي",cfg_IQ,0))+IF(الموظفون!$Y85&lt;&gt;"",الموظفون!$Y85,IF(الموظفون!$E85="غير سعودي",cfg_WP,0)))/12*G85/cfg_DAYS_M)</f>
        <v/>
      </c>
      <c r="AE85" s="116" t="str">
        <f aca="false">IF($B85="","",IF(الموظفون!$Z85&lt;&gt;"",الموظفون!$Z85,cfg_MED)/12*G85/cfg_DAYS_M)</f>
        <v/>
      </c>
      <c r="AF85" s="116" t="str">
        <f aca="false">IF($B85="","",N(الموظفون!$AA85)/12*G85/cfg_DAYS_M)</f>
        <v/>
      </c>
      <c r="AG85" s="159" t="str">
        <f aca="false">IF($B85="","",T85+SUM(Z85:AF85))</f>
        <v/>
      </c>
      <c r="AH85" s="160" t="str">
        <f aca="false">IF($B85="","",MAX(0,IF(OR(الموظفون!$AE85="",الموظفون!$AE85&gt;$F$3),$F$3,الموظفون!$AE85)-الموظفون!$H85+1-SUMIFS('سجل الإجازات والحالات'!$AJ$6:$AJ$505,'سجل الإجازات والحالات'!$B$6:$B$505,$B85))/cfg_DAYS_Y)</f>
        <v/>
      </c>
      <c r="AI85" s="160" t="str">
        <f aca="false">IF($B85="","",MAX(0,IF(OR(الموظفون!$AE85="",الموظفون!$AE85&gt;($E$3-1)),($E$3-1),الموظفون!$AE85)-الموظفون!$H85+1-SUMIFS('سجل الإجازات والحالات'!$AI$6:$AI$505,'سجل الإجازات والحالات'!$B$6:$B$505,$B85))/cfg_DAYS_Y)</f>
        <v/>
      </c>
      <c r="AJ85" s="133" t="str">
        <f aca="false">IF($B85="","",MAX(0,AK85-(SUMIFS('سجل الإجازات والحالات'!$AJ$6:$AJ$505,'سجل الإجازات والحالات'!$B$6:$B$505,$B85)-SUMIFS('سجل الإجازات والحالات'!$AI$6:$AI$505,'سجل الإجازات والحالات'!$B$6:$B$505,$B85))))</f>
        <v/>
      </c>
      <c r="AK85" s="133" t="str">
        <f aca="false">IF($B85="","",MAX(0,IF(OR(الموظفون!$AE85="",الموظفون!$AE85&gt;$F$3),$F$3,الموظفون!$AE85)-MAX($E$3,الموظفون!$H85)+1))</f>
        <v/>
      </c>
      <c r="AL85" s="156" t="str">
        <f aca="false">IF($B85="","",SUMIFS('سجل الإجازات والحالات'!$AV$6:$AV$505,'سجل الإجازات والحالات'!$B$6:$B$505,$B85)+SUMIFS('الحركات الشهرية'!$K$6:$K$1005,'الحركات الشهرية'!$B$6:$B$1005,$B85,'الحركات الشهرية'!$A$6:$A$1005,$C$3))</f>
        <v/>
      </c>
      <c r="AM85" s="116" t="str">
        <f aca="false">IF($B85="","",AL85*الموظفون!$R85/cfg_DAYS_M+S85)</f>
        <v/>
      </c>
      <c r="AN85" s="156" t="str">
        <f aca="false">IF($B85="","",SUMIFS('سجل الإجازات والحالات'!$X$6:$X$505,'سجل الإجازات والحالات'!$B$6:$B$505,$B85))</f>
        <v/>
      </c>
    </row>
    <row r="86" customFormat="false" ht="15" hidden="false" customHeight="false" outlineLevel="0" collapsed="false">
      <c r="A86" s="106" t="str">
        <f aca="false">IF($B86="","",الموظفون!$A86)</f>
        <v/>
      </c>
      <c r="B86" s="114" t="str">
        <f aca="false">IF(الموظفون!$B86="","",الموظفون!$B86)</f>
        <v/>
      </c>
      <c r="C86" s="114" t="str">
        <f aca="false">IF($B86="","",الموظفون!$C86)</f>
        <v/>
      </c>
      <c r="D86" s="114" t="str">
        <f aca="false">IF($B86="","",الموظفون!$F86)</f>
        <v/>
      </c>
      <c r="E86" s="114" t="str">
        <f aca="false">IF($B86="","",الموظفون!$E86)</f>
        <v/>
      </c>
      <c r="F86" s="114" t="str">
        <f aca="false">IF($B86="","",IF(AK86=0,IF(AND(الموظفون!$AE86&lt;&gt;"",الموظفون!$AE86&lt;$E$3),"✖ منتهي الخدمة","⏳ لم يباشر"),IF(S86&gt;0,"✈ راتب إجازة مقدم",IF(J86=0,"⛔ بدون راتب هذا الشهر",IF(I86&gt;0,"✈ خصم "&amp;ROUND(I86,2)&amp;" يوم بدون أجر",IF(AL86&gt;0,"🌴 إجازة سنوية "&amp;ROUND(AL86,2)&amp;" يوم",IF(H86&gt;0,"⚠ غياب "&amp;ROUND(H86,2)&amp;" يوم","✔ على رأس العمل")))))))</f>
        <v/>
      </c>
      <c r="G86" s="151" t="str">
        <f aca="false">IF($B86="","",IF(AK86&gt;=DAY($F$3),cfg_DAYS_M,MIN(AK86,cfg_DAYS_M)))</f>
        <v/>
      </c>
      <c r="H86" s="151" t="str">
        <f aca="false">IF($B86="","",SUMIFS('الحركات الشهرية'!$D$6:$D$1005,'الحركات الشهرية'!$B$6:$B$1005,$B86,'الحركات الشهرية'!$A$6:$A$1005,$C$3))</f>
        <v/>
      </c>
      <c r="I86" s="151" t="str">
        <f aca="false">IF($B86="","",MIN(G86,IF(AND(AK86&gt;0,AN86&gt;=AK86),G86,AN86)+SUMIFS('الحركات الشهرية'!$E$6:$E$1005,'الحركات الشهرية'!$B$6:$B$1005,$B86,'الحركات الشهرية'!$A$6:$A$1005,$C$3)))</f>
        <v/>
      </c>
      <c r="J86" s="151" t="str">
        <f aca="false">IF($B86="","",MAX(0,G86-H86-I86))</f>
        <v/>
      </c>
      <c r="K86" s="111" t="str">
        <f aca="false">IF($B86="","",الموظفون!$L86*$J86/cfg_DAYS_M)</f>
        <v/>
      </c>
      <c r="L86" s="111" t="str">
        <f aca="false">IF($B86="","",الموظفون!$M86*$J86/cfg_DAYS_M)</f>
        <v/>
      </c>
      <c r="M86" s="111" t="str">
        <f aca="false">IF($B86="","",الموظفون!$N86*$J86/cfg_DAYS_M)</f>
        <v/>
      </c>
      <c r="N86" s="111" t="str">
        <f aca="false">IF($B86="","",الموظفون!$O86*$J86/cfg_DAYS_M)</f>
        <v/>
      </c>
      <c r="O86" s="151" t="str">
        <f aca="false">IF($B86="","",SUMIFS('الحركات الشهرية'!$F$6:$F$1005,'الحركات الشهرية'!$B$6:$B$1005,$B86,'الحركات الشهرية'!$A$6:$A$1005,$C$3))</f>
        <v/>
      </c>
      <c r="P86" s="111" t="str">
        <f aca="false">IF($B86="","",O86*(الموظفون!$P86+الموظفون!$L86*cfg_OT_P)/cfg_DAYS_M/cfg_HRS)</f>
        <v/>
      </c>
      <c r="Q86" s="111" t="str">
        <f aca="false">IF($B86="","",SUMIFS('الحركات الشهرية'!$G$6:$G$1005,'الحركات الشهرية'!$B$6:$B$1005,$B86,'الحركات الشهرية'!$A$6:$A$1005,$C$3))</f>
        <v/>
      </c>
      <c r="R86" s="111" t="str">
        <f aca="false">IF($B86="","",SUMIFS('الحركات الشهرية'!$H$6:$H$1005,'الحركات الشهرية'!$B$6:$B$1005,$B86,'الحركات الشهرية'!$A$6:$A$1005,$C$3))</f>
        <v/>
      </c>
      <c r="S86" s="111" t="str">
        <f aca="false">IF($B86="","",SUMIFS('سجل الإجازات والحالات'!$N$6:$N$505,'سجل الإجازات والحالات'!$B$6:$B$505,$B86,'سجل الإجازات والحالات'!$O$6:$O$505,$C$3))</f>
        <v/>
      </c>
      <c r="T86" s="152" t="str">
        <f aca="false">IF($B86="","",SUM(K86:N86)+SUM(P86:S86))</f>
        <v/>
      </c>
      <c r="U86" s="111" t="str">
        <f aca="false">IF($B86="","",الموظفون!$S86*IF(E86="سعودي",cfg_G_SE,cfg_G_NE)*G86/cfg_DAYS_M)</f>
        <v/>
      </c>
      <c r="V86" s="111" t="str">
        <f aca="false">IF($B86="","",SUMIFS('الحركات الشهرية'!$I$6:$I$1005,'الحركات الشهرية'!$B$6:$B$1005,$B86,'الحركات الشهرية'!$A$6:$A$1005,$C$3))</f>
        <v/>
      </c>
      <c r="W86" s="111" t="str">
        <f aca="false">IF($B86="","",SUMIFS('الحركات الشهرية'!$J$6:$J$1005,'الحركات الشهرية'!$B$6:$B$1005,$B86,'الحركات الشهرية'!$A$6:$A$1005,$C$3))</f>
        <v/>
      </c>
      <c r="X86" s="111" t="str">
        <f aca="false">IF($B86="","",SUM(U86:W86))</f>
        <v/>
      </c>
      <c r="Y86" s="153" t="str">
        <f aca="false">IF($B86="","",T86-X86)</f>
        <v/>
      </c>
      <c r="Z86" s="111" t="str">
        <f aca="false">IF($B86="","",الموظفون!$S86*IF(E86="سعودي",cfg_G_SR,cfg_G_NR)*G86/cfg_DAYS_M)</f>
        <v/>
      </c>
      <c r="AA86" s="111" t="str">
        <f aca="false">IF($B86="","",الموظفون!$Q86*(cfg_EOS_R1*(MIN(AH86,cfg_EOS_TH)-MIN(AI86,cfg_EOS_TH))+cfg_EOS_R2*(MAX(AH86-cfg_EOS_TH,0)-MAX(AI86-cfg_EOS_TH,0))))</f>
        <v/>
      </c>
      <c r="AB86" s="111" t="str">
        <f aca="false">IF($B86="","",IF(الموظفون!$T86&lt;&gt;"",الموظفون!$T86,IF(AH86&gt;=cfg_LV_TH,cfg_LV_D2,cfg_LV_D1))/cfg_DAYS_Y*AJ86*الموظفون!$R86/cfg_DAYS_M)</f>
        <v/>
      </c>
      <c r="AC86" s="111" t="str">
        <f aca="false">IF($B86="","",IF(AND(الموظفون!$U86="نعم",N(الموظفون!$W86)&gt;0),الموظفون!$V86/الموظفون!$W86*12/cfg_DAYS_Y*AJ86,0))</f>
        <v/>
      </c>
      <c r="AD86" s="111" t="str">
        <f aca="false">IF($B86="","",(IF(الموظفون!$X86&lt;&gt;"",الموظفون!$X86,IF(الموظفون!$E86="غير سعودي",cfg_IQ,0))+IF(الموظفون!$Y86&lt;&gt;"",الموظفون!$Y86,IF(الموظفون!$E86="غير سعودي",cfg_WP,0)))/12*G86/cfg_DAYS_M)</f>
        <v/>
      </c>
      <c r="AE86" s="111" t="str">
        <f aca="false">IF($B86="","",IF(الموظفون!$Z86&lt;&gt;"",الموظفون!$Z86,cfg_MED)/12*G86/cfg_DAYS_M)</f>
        <v/>
      </c>
      <c r="AF86" s="111" t="str">
        <f aca="false">IF($B86="","",N(الموظفون!$AA86)/12*G86/cfg_DAYS_M)</f>
        <v/>
      </c>
      <c r="AG86" s="154" t="str">
        <f aca="false">IF($B86="","",T86+SUM(Z86:AF86))</f>
        <v/>
      </c>
      <c r="AH86" s="155" t="str">
        <f aca="false">IF($B86="","",MAX(0,IF(OR(الموظفون!$AE86="",الموظفون!$AE86&gt;$F$3),$F$3,الموظفون!$AE86)-الموظفون!$H86+1-SUMIFS('سجل الإجازات والحالات'!$AJ$6:$AJ$505,'سجل الإجازات والحالات'!$B$6:$B$505,$B86))/cfg_DAYS_Y)</f>
        <v/>
      </c>
      <c r="AI86" s="155" t="str">
        <f aca="false">IF($B86="","",MAX(0,IF(OR(الموظفون!$AE86="",الموظفون!$AE86&gt;($E$3-1)),($E$3-1),الموظفون!$AE86)-الموظفون!$H86+1-SUMIFS('سجل الإجازات والحالات'!$AI$6:$AI$505,'سجل الإجازات والحالات'!$B$6:$B$505,$B86))/cfg_DAYS_Y)</f>
        <v/>
      </c>
      <c r="AJ86" s="65" t="str">
        <f aca="false">IF($B86="","",MAX(0,AK86-(SUMIFS('سجل الإجازات والحالات'!$AJ$6:$AJ$505,'سجل الإجازات والحالات'!$B$6:$B$505,$B86)-SUMIFS('سجل الإجازات والحالات'!$AI$6:$AI$505,'سجل الإجازات والحالات'!$B$6:$B$505,$B86))))</f>
        <v/>
      </c>
      <c r="AK86" s="65" t="str">
        <f aca="false">IF($B86="","",MAX(0,IF(OR(الموظفون!$AE86="",الموظفون!$AE86&gt;$F$3),$F$3,الموظفون!$AE86)-MAX($E$3,الموظفون!$H86)+1))</f>
        <v/>
      </c>
      <c r="AL86" s="151" t="str">
        <f aca="false">IF($B86="","",SUMIFS('سجل الإجازات والحالات'!$AV$6:$AV$505,'سجل الإجازات والحالات'!$B$6:$B$505,$B86)+SUMIFS('الحركات الشهرية'!$K$6:$K$1005,'الحركات الشهرية'!$B$6:$B$1005,$B86,'الحركات الشهرية'!$A$6:$A$1005,$C$3))</f>
        <v/>
      </c>
      <c r="AM86" s="111" t="str">
        <f aca="false">IF($B86="","",AL86*الموظفون!$R86/cfg_DAYS_M+S86)</f>
        <v/>
      </c>
      <c r="AN86" s="151" t="str">
        <f aca="false">IF($B86="","",SUMIFS('سجل الإجازات والحالات'!$X$6:$X$505,'سجل الإجازات والحالات'!$B$6:$B$505,$B86))</f>
        <v/>
      </c>
    </row>
    <row r="87" customFormat="false" ht="15" hidden="false" customHeight="false" outlineLevel="0" collapsed="false">
      <c r="A87" s="115" t="str">
        <f aca="false">IF($B87="","",الموظفون!$A87)</f>
        <v/>
      </c>
      <c r="B87" s="117" t="str">
        <f aca="false">IF(الموظفون!$B87="","",الموظفون!$B87)</f>
        <v/>
      </c>
      <c r="C87" s="117" t="str">
        <f aca="false">IF($B87="","",الموظفون!$C87)</f>
        <v/>
      </c>
      <c r="D87" s="117" t="str">
        <f aca="false">IF($B87="","",الموظفون!$F87)</f>
        <v/>
      </c>
      <c r="E87" s="117" t="str">
        <f aca="false">IF($B87="","",الموظفون!$E87)</f>
        <v/>
      </c>
      <c r="F87" s="117" t="str">
        <f aca="false">IF($B87="","",IF(AK87=0,IF(AND(الموظفون!$AE87&lt;&gt;"",الموظفون!$AE87&lt;$E$3),"✖ منتهي الخدمة","⏳ لم يباشر"),IF(S87&gt;0,"✈ راتب إجازة مقدم",IF(J87=0,"⛔ بدون راتب هذا الشهر",IF(I87&gt;0,"✈ خصم "&amp;ROUND(I87,2)&amp;" يوم بدون أجر",IF(AL87&gt;0,"🌴 إجازة سنوية "&amp;ROUND(AL87,2)&amp;" يوم",IF(H87&gt;0,"⚠ غياب "&amp;ROUND(H87,2)&amp;" يوم","✔ على رأس العمل")))))))</f>
        <v/>
      </c>
      <c r="G87" s="156" t="str">
        <f aca="false">IF($B87="","",IF(AK87&gt;=DAY($F$3),cfg_DAYS_M,MIN(AK87,cfg_DAYS_M)))</f>
        <v/>
      </c>
      <c r="H87" s="156" t="str">
        <f aca="false">IF($B87="","",SUMIFS('الحركات الشهرية'!$D$6:$D$1005,'الحركات الشهرية'!$B$6:$B$1005,$B87,'الحركات الشهرية'!$A$6:$A$1005,$C$3))</f>
        <v/>
      </c>
      <c r="I87" s="156" t="str">
        <f aca="false">IF($B87="","",MIN(G87,IF(AND(AK87&gt;0,AN87&gt;=AK87),G87,AN87)+SUMIFS('الحركات الشهرية'!$E$6:$E$1005,'الحركات الشهرية'!$B$6:$B$1005,$B87,'الحركات الشهرية'!$A$6:$A$1005,$C$3)))</f>
        <v/>
      </c>
      <c r="J87" s="156" t="str">
        <f aca="false">IF($B87="","",MAX(0,G87-H87-I87))</f>
        <v/>
      </c>
      <c r="K87" s="116" t="str">
        <f aca="false">IF($B87="","",الموظفون!$L87*$J87/cfg_DAYS_M)</f>
        <v/>
      </c>
      <c r="L87" s="116" t="str">
        <f aca="false">IF($B87="","",الموظفون!$M87*$J87/cfg_DAYS_M)</f>
        <v/>
      </c>
      <c r="M87" s="116" t="str">
        <f aca="false">IF($B87="","",الموظفون!$N87*$J87/cfg_DAYS_M)</f>
        <v/>
      </c>
      <c r="N87" s="116" t="str">
        <f aca="false">IF($B87="","",الموظفون!$O87*$J87/cfg_DAYS_M)</f>
        <v/>
      </c>
      <c r="O87" s="156" t="str">
        <f aca="false">IF($B87="","",SUMIFS('الحركات الشهرية'!$F$6:$F$1005,'الحركات الشهرية'!$B$6:$B$1005,$B87,'الحركات الشهرية'!$A$6:$A$1005,$C$3))</f>
        <v/>
      </c>
      <c r="P87" s="116" t="str">
        <f aca="false">IF($B87="","",O87*(الموظفون!$P87+الموظفون!$L87*cfg_OT_P)/cfg_DAYS_M/cfg_HRS)</f>
        <v/>
      </c>
      <c r="Q87" s="116" t="str">
        <f aca="false">IF($B87="","",SUMIFS('الحركات الشهرية'!$G$6:$G$1005,'الحركات الشهرية'!$B$6:$B$1005,$B87,'الحركات الشهرية'!$A$6:$A$1005,$C$3))</f>
        <v/>
      </c>
      <c r="R87" s="116" t="str">
        <f aca="false">IF($B87="","",SUMIFS('الحركات الشهرية'!$H$6:$H$1005,'الحركات الشهرية'!$B$6:$B$1005,$B87,'الحركات الشهرية'!$A$6:$A$1005,$C$3))</f>
        <v/>
      </c>
      <c r="S87" s="116" t="str">
        <f aca="false">IF($B87="","",SUMIFS('سجل الإجازات والحالات'!$N$6:$N$505,'سجل الإجازات والحالات'!$B$6:$B$505,$B87,'سجل الإجازات والحالات'!$O$6:$O$505,$C$3))</f>
        <v/>
      </c>
      <c r="T87" s="157" t="str">
        <f aca="false">IF($B87="","",SUM(K87:N87)+SUM(P87:S87))</f>
        <v/>
      </c>
      <c r="U87" s="116" t="str">
        <f aca="false">IF($B87="","",الموظفون!$S87*IF(E87="سعودي",cfg_G_SE,cfg_G_NE)*G87/cfg_DAYS_M)</f>
        <v/>
      </c>
      <c r="V87" s="116" t="str">
        <f aca="false">IF($B87="","",SUMIFS('الحركات الشهرية'!$I$6:$I$1005,'الحركات الشهرية'!$B$6:$B$1005,$B87,'الحركات الشهرية'!$A$6:$A$1005,$C$3))</f>
        <v/>
      </c>
      <c r="W87" s="116" t="str">
        <f aca="false">IF($B87="","",SUMIFS('الحركات الشهرية'!$J$6:$J$1005,'الحركات الشهرية'!$B$6:$B$1005,$B87,'الحركات الشهرية'!$A$6:$A$1005,$C$3))</f>
        <v/>
      </c>
      <c r="X87" s="116" t="str">
        <f aca="false">IF($B87="","",SUM(U87:W87))</f>
        <v/>
      </c>
      <c r="Y87" s="158" t="str">
        <f aca="false">IF($B87="","",T87-X87)</f>
        <v/>
      </c>
      <c r="Z87" s="116" t="str">
        <f aca="false">IF($B87="","",الموظفون!$S87*IF(E87="سعودي",cfg_G_SR,cfg_G_NR)*G87/cfg_DAYS_M)</f>
        <v/>
      </c>
      <c r="AA87" s="116" t="str">
        <f aca="false">IF($B87="","",الموظفون!$Q87*(cfg_EOS_R1*(MIN(AH87,cfg_EOS_TH)-MIN(AI87,cfg_EOS_TH))+cfg_EOS_R2*(MAX(AH87-cfg_EOS_TH,0)-MAX(AI87-cfg_EOS_TH,0))))</f>
        <v/>
      </c>
      <c r="AB87" s="116" t="str">
        <f aca="false">IF($B87="","",IF(الموظفون!$T87&lt;&gt;"",الموظفون!$T87,IF(AH87&gt;=cfg_LV_TH,cfg_LV_D2,cfg_LV_D1))/cfg_DAYS_Y*AJ87*الموظفون!$R87/cfg_DAYS_M)</f>
        <v/>
      </c>
      <c r="AC87" s="116" t="str">
        <f aca="false">IF($B87="","",IF(AND(الموظفون!$U87="نعم",N(الموظفون!$W87)&gt;0),الموظفون!$V87/الموظفون!$W87*12/cfg_DAYS_Y*AJ87,0))</f>
        <v/>
      </c>
      <c r="AD87" s="116" t="str">
        <f aca="false">IF($B87="","",(IF(الموظفون!$X87&lt;&gt;"",الموظفون!$X87,IF(الموظفون!$E87="غير سعودي",cfg_IQ,0))+IF(الموظفون!$Y87&lt;&gt;"",الموظفون!$Y87,IF(الموظفون!$E87="غير سعودي",cfg_WP,0)))/12*G87/cfg_DAYS_M)</f>
        <v/>
      </c>
      <c r="AE87" s="116" t="str">
        <f aca="false">IF($B87="","",IF(الموظفون!$Z87&lt;&gt;"",الموظفون!$Z87,cfg_MED)/12*G87/cfg_DAYS_M)</f>
        <v/>
      </c>
      <c r="AF87" s="116" t="str">
        <f aca="false">IF($B87="","",N(الموظفون!$AA87)/12*G87/cfg_DAYS_M)</f>
        <v/>
      </c>
      <c r="AG87" s="159" t="str">
        <f aca="false">IF($B87="","",T87+SUM(Z87:AF87))</f>
        <v/>
      </c>
      <c r="AH87" s="160" t="str">
        <f aca="false">IF($B87="","",MAX(0,IF(OR(الموظفون!$AE87="",الموظفون!$AE87&gt;$F$3),$F$3,الموظفون!$AE87)-الموظفون!$H87+1-SUMIFS('سجل الإجازات والحالات'!$AJ$6:$AJ$505,'سجل الإجازات والحالات'!$B$6:$B$505,$B87))/cfg_DAYS_Y)</f>
        <v/>
      </c>
      <c r="AI87" s="160" t="str">
        <f aca="false">IF($B87="","",MAX(0,IF(OR(الموظفون!$AE87="",الموظفون!$AE87&gt;($E$3-1)),($E$3-1),الموظفون!$AE87)-الموظفون!$H87+1-SUMIFS('سجل الإجازات والحالات'!$AI$6:$AI$505,'سجل الإجازات والحالات'!$B$6:$B$505,$B87))/cfg_DAYS_Y)</f>
        <v/>
      </c>
      <c r="AJ87" s="133" t="str">
        <f aca="false">IF($B87="","",MAX(0,AK87-(SUMIFS('سجل الإجازات والحالات'!$AJ$6:$AJ$505,'سجل الإجازات والحالات'!$B$6:$B$505,$B87)-SUMIFS('سجل الإجازات والحالات'!$AI$6:$AI$505,'سجل الإجازات والحالات'!$B$6:$B$505,$B87))))</f>
        <v/>
      </c>
      <c r="AK87" s="133" t="str">
        <f aca="false">IF($B87="","",MAX(0,IF(OR(الموظفون!$AE87="",الموظفون!$AE87&gt;$F$3),$F$3,الموظفون!$AE87)-MAX($E$3,الموظفون!$H87)+1))</f>
        <v/>
      </c>
      <c r="AL87" s="156" t="str">
        <f aca="false">IF($B87="","",SUMIFS('سجل الإجازات والحالات'!$AV$6:$AV$505,'سجل الإجازات والحالات'!$B$6:$B$505,$B87)+SUMIFS('الحركات الشهرية'!$K$6:$K$1005,'الحركات الشهرية'!$B$6:$B$1005,$B87,'الحركات الشهرية'!$A$6:$A$1005,$C$3))</f>
        <v/>
      </c>
      <c r="AM87" s="116" t="str">
        <f aca="false">IF($B87="","",AL87*الموظفون!$R87/cfg_DAYS_M+S87)</f>
        <v/>
      </c>
      <c r="AN87" s="156" t="str">
        <f aca="false">IF($B87="","",SUMIFS('سجل الإجازات والحالات'!$X$6:$X$505,'سجل الإجازات والحالات'!$B$6:$B$505,$B87))</f>
        <v/>
      </c>
    </row>
    <row r="88" customFormat="false" ht="15" hidden="false" customHeight="false" outlineLevel="0" collapsed="false">
      <c r="A88" s="106" t="str">
        <f aca="false">IF($B88="","",الموظفون!$A88)</f>
        <v/>
      </c>
      <c r="B88" s="114" t="str">
        <f aca="false">IF(الموظفون!$B88="","",الموظفون!$B88)</f>
        <v/>
      </c>
      <c r="C88" s="114" t="str">
        <f aca="false">IF($B88="","",الموظفون!$C88)</f>
        <v/>
      </c>
      <c r="D88" s="114" t="str">
        <f aca="false">IF($B88="","",الموظفون!$F88)</f>
        <v/>
      </c>
      <c r="E88" s="114" t="str">
        <f aca="false">IF($B88="","",الموظفون!$E88)</f>
        <v/>
      </c>
      <c r="F88" s="114" t="str">
        <f aca="false">IF($B88="","",IF(AK88=0,IF(AND(الموظفون!$AE88&lt;&gt;"",الموظفون!$AE88&lt;$E$3),"✖ منتهي الخدمة","⏳ لم يباشر"),IF(S88&gt;0,"✈ راتب إجازة مقدم",IF(J88=0,"⛔ بدون راتب هذا الشهر",IF(I88&gt;0,"✈ خصم "&amp;ROUND(I88,2)&amp;" يوم بدون أجر",IF(AL88&gt;0,"🌴 إجازة سنوية "&amp;ROUND(AL88,2)&amp;" يوم",IF(H88&gt;0,"⚠ غياب "&amp;ROUND(H88,2)&amp;" يوم","✔ على رأس العمل")))))))</f>
        <v/>
      </c>
      <c r="G88" s="151" t="str">
        <f aca="false">IF($B88="","",IF(AK88&gt;=DAY($F$3),cfg_DAYS_M,MIN(AK88,cfg_DAYS_M)))</f>
        <v/>
      </c>
      <c r="H88" s="151" t="str">
        <f aca="false">IF($B88="","",SUMIFS('الحركات الشهرية'!$D$6:$D$1005,'الحركات الشهرية'!$B$6:$B$1005,$B88,'الحركات الشهرية'!$A$6:$A$1005,$C$3))</f>
        <v/>
      </c>
      <c r="I88" s="151" t="str">
        <f aca="false">IF($B88="","",MIN(G88,IF(AND(AK88&gt;0,AN88&gt;=AK88),G88,AN88)+SUMIFS('الحركات الشهرية'!$E$6:$E$1005,'الحركات الشهرية'!$B$6:$B$1005,$B88,'الحركات الشهرية'!$A$6:$A$1005,$C$3)))</f>
        <v/>
      </c>
      <c r="J88" s="151" t="str">
        <f aca="false">IF($B88="","",MAX(0,G88-H88-I88))</f>
        <v/>
      </c>
      <c r="K88" s="111" t="str">
        <f aca="false">IF($B88="","",الموظفون!$L88*$J88/cfg_DAYS_M)</f>
        <v/>
      </c>
      <c r="L88" s="111" t="str">
        <f aca="false">IF($B88="","",الموظفون!$M88*$J88/cfg_DAYS_M)</f>
        <v/>
      </c>
      <c r="M88" s="111" t="str">
        <f aca="false">IF($B88="","",الموظفون!$N88*$J88/cfg_DAYS_M)</f>
        <v/>
      </c>
      <c r="N88" s="111" t="str">
        <f aca="false">IF($B88="","",الموظفون!$O88*$J88/cfg_DAYS_M)</f>
        <v/>
      </c>
      <c r="O88" s="151" t="str">
        <f aca="false">IF($B88="","",SUMIFS('الحركات الشهرية'!$F$6:$F$1005,'الحركات الشهرية'!$B$6:$B$1005,$B88,'الحركات الشهرية'!$A$6:$A$1005,$C$3))</f>
        <v/>
      </c>
      <c r="P88" s="111" t="str">
        <f aca="false">IF($B88="","",O88*(الموظفون!$P88+الموظفون!$L88*cfg_OT_P)/cfg_DAYS_M/cfg_HRS)</f>
        <v/>
      </c>
      <c r="Q88" s="111" t="str">
        <f aca="false">IF($B88="","",SUMIFS('الحركات الشهرية'!$G$6:$G$1005,'الحركات الشهرية'!$B$6:$B$1005,$B88,'الحركات الشهرية'!$A$6:$A$1005,$C$3))</f>
        <v/>
      </c>
      <c r="R88" s="111" t="str">
        <f aca="false">IF($B88="","",SUMIFS('الحركات الشهرية'!$H$6:$H$1005,'الحركات الشهرية'!$B$6:$B$1005,$B88,'الحركات الشهرية'!$A$6:$A$1005,$C$3))</f>
        <v/>
      </c>
      <c r="S88" s="111" t="str">
        <f aca="false">IF($B88="","",SUMIFS('سجل الإجازات والحالات'!$N$6:$N$505,'سجل الإجازات والحالات'!$B$6:$B$505,$B88,'سجل الإجازات والحالات'!$O$6:$O$505,$C$3))</f>
        <v/>
      </c>
      <c r="T88" s="152" t="str">
        <f aca="false">IF($B88="","",SUM(K88:N88)+SUM(P88:S88))</f>
        <v/>
      </c>
      <c r="U88" s="111" t="str">
        <f aca="false">IF($B88="","",الموظفون!$S88*IF(E88="سعودي",cfg_G_SE,cfg_G_NE)*G88/cfg_DAYS_M)</f>
        <v/>
      </c>
      <c r="V88" s="111" t="str">
        <f aca="false">IF($B88="","",SUMIFS('الحركات الشهرية'!$I$6:$I$1005,'الحركات الشهرية'!$B$6:$B$1005,$B88,'الحركات الشهرية'!$A$6:$A$1005,$C$3))</f>
        <v/>
      </c>
      <c r="W88" s="111" t="str">
        <f aca="false">IF($B88="","",SUMIFS('الحركات الشهرية'!$J$6:$J$1005,'الحركات الشهرية'!$B$6:$B$1005,$B88,'الحركات الشهرية'!$A$6:$A$1005,$C$3))</f>
        <v/>
      </c>
      <c r="X88" s="111" t="str">
        <f aca="false">IF($B88="","",SUM(U88:W88))</f>
        <v/>
      </c>
      <c r="Y88" s="153" t="str">
        <f aca="false">IF($B88="","",T88-X88)</f>
        <v/>
      </c>
      <c r="Z88" s="111" t="str">
        <f aca="false">IF($B88="","",الموظفون!$S88*IF(E88="سعودي",cfg_G_SR,cfg_G_NR)*G88/cfg_DAYS_M)</f>
        <v/>
      </c>
      <c r="AA88" s="111" t="str">
        <f aca="false">IF($B88="","",الموظفون!$Q88*(cfg_EOS_R1*(MIN(AH88,cfg_EOS_TH)-MIN(AI88,cfg_EOS_TH))+cfg_EOS_R2*(MAX(AH88-cfg_EOS_TH,0)-MAX(AI88-cfg_EOS_TH,0))))</f>
        <v/>
      </c>
      <c r="AB88" s="111" t="str">
        <f aca="false">IF($B88="","",IF(الموظفون!$T88&lt;&gt;"",الموظفون!$T88,IF(AH88&gt;=cfg_LV_TH,cfg_LV_D2,cfg_LV_D1))/cfg_DAYS_Y*AJ88*الموظفون!$R88/cfg_DAYS_M)</f>
        <v/>
      </c>
      <c r="AC88" s="111" t="str">
        <f aca="false">IF($B88="","",IF(AND(الموظفون!$U88="نعم",N(الموظفون!$W88)&gt;0),الموظفون!$V88/الموظفون!$W88*12/cfg_DAYS_Y*AJ88,0))</f>
        <v/>
      </c>
      <c r="AD88" s="111" t="str">
        <f aca="false">IF($B88="","",(IF(الموظفون!$X88&lt;&gt;"",الموظفون!$X88,IF(الموظفون!$E88="غير سعودي",cfg_IQ,0))+IF(الموظفون!$Y88&lt;&gt;"",الموظفون!$Y88,IF(الموظفون!$E88="غير سعودي",cfg_WP,0)))/12*G88/cfg_DAYS_M)</f>
        <v/>
      </c>
      <c r="AE88" s="111" t="str">
        <f aca="false">IF($B88="","",IF(الموظفون!$Z88&lt;&gt;"",الموظفون!$Z88,cfg_MED)/12*G88/cfg_DAYS_M)</f>
        <v/>
      </c>
      <c r="AF88" s="111" t="str">
        <f aca="false">IF($B88="","",N(الموظفون!$AA88)/12*G88/cfg_DAYS_M)</f>
        <v/>
      </c>
      <c r="AG88" s="154" t="str">
        <f aca="false">IF($B88="","",T88+SUM(Z88:AF88))</f>
        <v/>
      </c>
      <c r="AH88" s="155" t="str">
        <f aca="false">IF($B88="","",MAX(0,IF(OR(الموظفون!$AE88="",الموظفون!$AE88&gt;$F$3),$F$3,الموظفون!$AE88)-الموظفون!$H88+1-SUMIFS('سجل الإجازات والحالات'!$AJ$6:$AJ$505,'سجل الإجازات والحالات'!$B$6:$B$505,$B88))/cfg_DAYS_Y)</f>
        <v/>
      </c>
      <c r="AI88" s="155" t="str">
        <f aca="false">IF($B88="","",MAX(0,IF(OR(الموظفون!$AE88="",الموظفون!$AE88&gt;($E$3-1)),($E$3-1),الموظفون!$AE88)-الموظفون!$H88+1-SUMIFS('سجل الإجازات والحالات'!$AI$6:$AI$505,'سجل الإجازات والحالات'!$B$6:$B$505,$B88))/cfg_DAYS_Y)</f>
        <v/>
      </c>
      <c r="AJ88" s="65" t="str">
        <f aca="false">IF($B88="","",MAX(0,AK88-(SUMIFS('سجل الإجازات والحالات'!$AJ$6:$AJ$505,'سجل الإجازات والحالات'!$B$6:$B$505,$B88)-SUMIFS('سجل الإجازات والحالات'!$AI$6:$AI$505,'سجل الإجازات والحالات'!$B$6:$B$505,$B88))))</f>
        <v/>
      </c>
      <c r="AK88" s="65" t="str">
        <f aca="false">IF($B88="","",MAX(0,IF(OR(الموظفون!$AE88="",الموظفون!$AE88&gt;$F$3),$F$3,الموظفون!$AE88)-MAX($E$3,الموظفون!$H88)+1))</f>
        <v/>
      </c>
      <c r="AL88" s="151" t="str">
        <f aca="false">IF($B88="","",SUMIFS('سجل الإجازات والحالات'!$AV$6:$AV$505,'سجل الإجازات والحالات'!$B$6:$B$505,$B88)+SUMIFS('الحركات الشهرية'!$K$6:$K$1005,'الحركات الشهرية'!$B$6:$B$1005,$B88,'الحركات الشهرية'!$A$6:$A$1005,$C$3))</f>
        <v/>
      </c>
      <c r="AM88" s="111" t="str">
        <f aca="false">IF($B88="","",AL88*الموظفون!$R88/cfg_DAYS_M+S88)</f>
        <v/>
      </c>
      <c r="AN88" s="151" t="str">
        <f aca="false">IF($B88="","",SUMIFS('سجل الإجازات والحالات'!$X$6:$X$505,'سجل الإجازات والحالات'!$B$6:$B$505,$B88))</f>
        <v/>
      </c>
    </row>
    <row r="89" customFormat="false" ht="15" hidden="false" customHeight="false" outlineLevel="0" collapsed="false">
      <c r="A89" s="115" t="str">
        <f aca="false">IF($B89="","",الموظفون!$A89)</f>
        <v/>
      </c>
      <c r="B89" s="117" t="str">
        <f aca="false">IF(الموظفون!$B89="","",الموظفون!$B89)</f>
        <v/>
      </c>
      <c r="C89" s="117" t="str">
        <f aca="false">IF($B89="","",الموظفون!$C89)</f>
        <v/>
      </c>
      <c r="D89" s="117" t="str">
        <f aca="false">IF($B89="","",الموظفون!$F89)</f>
        <v/>
      </c>
      <c r="E89" s="117" t="str">
        <f aca="false">IF($B89="","",الموظفون!$E89)</f>
        <v/>
      </c>
      <c r="F89" s="117" t="str">
        <f aca="false">IF($B89="","",IF(AK89=0,IF(AND(الموظفون!$AE89&lt;&gt;"",الموظفون!$AE89&lt;$E$3),"✖ منتهي الخدمة","⏳ لم يباشر"),IF(S89&gt;0,"✈ راتب إجازة مقدم",IF(J89=0,"⛔ بدون راتب هذا الشهر",IF(I89&gt;0,"✈ خصم "&amp;ROUND(I89,2)&amp;" يوم بدون أجر",IF(AL89&gt;0,"🌴 إجازة سنوية "&amp;ROUND(AL89,2)&amp;" يوم",IF(H89&gt;0,"⚠ غياب "&amp;ROUND(H89,2)&amp;" يوم","✔ على رأس العمل")))))))</f>
        <v/>
      </c>
      <c r="G89" s="156" t="str">
        <f aca="false">IF($B89="","",IF(AK89&gt;=DAY($F$3),cfg_DAYS_M,MIN(AK89,cfg_DAYS_M)))</f>
        <v/>
      </c>
      <c r="H89" s="156" t="str">
        <f aca="false">IF($B89="","",SUMIFS('الحركات الشهرية'!$D$6:$D$1005,'الحركات الشهرية'!$B$6:$B$1005,$B89,'الحركات الشهرية'!$A$6:$A$1005,$C$3))</f>
        <v/>
      </c>
      <c r="I89" s="156" t="str">
        <f aca="false">IF($B89="","",MIN(G89,IF(AND(AK89&gt;0,AN89&gt;=AK89),G89,AN89)+SUMIFS('الحركات الشهرية'!$E$6:$E$1005,'الحركات الشهرية'!$B$6:$B$1005,$B89,'الحركات الشهرية'!$A$6:$A$1005,$C$3)))</f>
        <v/>
      </c>
      <c r="J89" s="156" t="str">
        <f aca="false">IF($B89="","",MAX(0,G89-H89-I89))</f>
        <v/>
      </c>
      <c r="K89" s="116" t="str">
        <f aca="false">IF($B89="","",الموظفون!$L89*$J89/cfg_DAYS_M)</f>
        <v/>
      </c>
      <c r="L89" s="116" t="str">
        <f aca="false">IF($B89="","",الموظفون!$M89*$J89/cfg_DAYS_M)</f>
        <v/>
      </c>
      <c r="M89" s="116" t="str">
        <f aca="false">IF($B89="","",الموظفون!$N89*$J89/cfg_DAYS_M)</f>
        <v/>
      </c>
      <c r="N89" s="116" t="str">
        <f aca="false">IF($B89="","",الموظفون!$O89*$J89/cfg_DAYS_M)</f>
        <v/>
      </c>
      <c r="O89" s="156" t="str">
        <f aca="false">IF($B89="","",SUMIFS('الحركات الشهرية'!$F$6:$F$1005,'الحركات الشهرية'!$B$6:$B$1005,$B89,'الحركات الشهرية'!$A$6:$A$1005,$C$3))</f>
        <v/>
      </c>
      <c r="P89" s="116" t="str">
        <f aca="false">IF($B89="","",O89*(الموظفون!$P89+الموظفون!$L89*cfg_OT_P)/cfg_DAYS_M/cfg_HRS)</f>
        <v/>
      </c>
      <c r="Q89" s="116" t="str">
        <f aca="false">IF($B89="","",SUMIFS('الحركات الشهرية'!$G$6:$G$1005,'الحركات الشهرية'!$B$6:$B$1005,$B89,'الحركات الشهرية'!$A$6:$A$1005,$C$3))</f>
        <v/>
      </c>
      <c r="R89" s="116" t="str">
        <f aca="false">IF($B89="","",SUMIFS('الحركات الشهرية'!$H$6:$H$1005,'الحركات الشهرية'!$B$6:$B$1005,$B89,'الحركات الشهرية'!$A$6:$A$1005,$C$3))</f>
        <v/>
      </c>
      <c r="S89" s="116" t="str">
        <f aca="false">IF($B89="","",SUMIFS('سجل الإجازات والحالات'!$N$6:$N$505,'سجل الإجازات والحالات'!$B$6:$B$505,$B89,'سجل الإجازات والحالات'!$O$6:$O$505,$C$3))</f>
        <v/>
      </c>
      <c r="T89" s="157" t="str">
        <f aca="false">IF($B89="","",SUM(K89:N89)+SUM(P89:S89))</f>
        <v/>
      </c>
      <c r="U89" s="116" t="str">
        <f aca="false">IF($B89="","",الموظفون!$S89*IF(E89="سعودي",cfg_G_SE,cfg_G_NE)*G89/cfg_DAYS_M)</f>
        <v/>
      </c>
      <c r="V89" s="116" t="str">
        <f aca="false">IF($B89="","",SUMIFS('الحركات الشهرية'!$I$6:$I$1005,'الحركات الشهرية'!$B$6:$B$1005,$B89,'الحركات الشهرية'!$A$6:$A$1005,$C$3))</f>
        <v/>
      </c>
      <c r="W89" s="116" t="str">
        <f aca="false">IF($B89="","",SUMIFS('الحركات الشهرية'!$J$6:$J$1005,'الحركات الشهرية'!$B$6:$B$1005,$B89,'الحركات الشهرية'!$A$6:$A$1005,$C$3))</f>
        <v/>
      </c>
      <c r="X89" s="116" t="str">
        <f aca="false">IF($B89="","",SUM(U89:W89))</f>
        <v/>
      </c>
      <c r="Y89" s="158" t="str">
        <f aca="false">IF($B89="","",T89-X89)</f>
        <v/>
      </c>
      <c r="Z89" s="116" t="str">
        <f aca="false">IF($B89="","",الموظفون!$S89*IF(E89="سعودي",cfg_G_SR,cfg_G_NR)*G89/cfg_DAYS_M)</f>
        <v/>
      </c>
      <c r="AA89" s="116" t="str">
        <f aca="false">IF($B89="","",الموظفون!$Q89*(cfg_EOS_R1*(MIN(AH89,cfg_EOS_TH)-MIN(AI89,cfg_EOS_TH))+cfg_EOS_R2*(MAX(AH89-cfg_EOS_TH,0)-MAX(AI89-cfg_EOS_TH,0))))</f>
        <v/>
      </c>
      <c r="AB89" s="116" t="str">
        <f aca="false">IF($B89="","",IF(الموظفون!$T89&lt;&gt;"",الموظفون!$T89,IF(AH89&gt;=cfg_LV_TH,cfg_LV_D2,cfg_LV_D1))/cfg_DAYS_Y*AJ89*الموظفون!$R89/cfg_DAYS_M)</f>
        <v/>
      </c>
      <c r="AC89" s="116" t="str">
        <f aca="false">IF($B89="","",IF(AND(الموظفون!$U89="نعم",N(الموظفون!$W89)&gt;0),الموظفون!$V89/الموظفون!$W89*12/cfg_DAYS_Y*AJ89,0))</f>
        <v/>
      </c>
      <c r="AD89" s="116" t="str">
        <f aca="false">IF($B89="","",(IF(الموظفون!$X89&lt;&gt;"",الموظفون!$X89,IF(الموظفون!$E89="غير سعودي",cfg_IQ,0))+IF(الموظفون!$Y89&lt;&gt;"",الموظفون!$Y89,IF(الموظفون!$E89="غير سعودي",cfg_WP,0)))/12*G89/cfg_DAYS_M)</f>
        <v/>
      </c>
      <c r="AE89" s="116" t="str">
        <f aca="false">IF($B89="","",IF(الموظفون!$Z89&lt;&gt;"",الموظفون!$Z89,cfg_MED)/12*G89/cfg_DAYS_M)</f>
        <v/>
      </c>
      <c r="AF89" s="116" t="str">
        <f aca="false">IF($B89="","",N(الموظفون!$AA89)/12*G89/cfg_DAYS_M)</f>
        <v/>
      </c>
      <c r="AG89" s="159" t="str">
        <f aca="false">IF($B89="","",T89+SUM(Z89:AF89))</f>
        <v/>
      </c>
      <c r="AH89" s="160" t="str">
        <f aca="false">IF($B89="","",MAX(0,IF(OR(الموظفون!$AE89="",الموظفون!$AE89&gt;$F$3),$F$3,الموظفون!$AE89)-الموظفون!$H89+1-SUMIFS('سجل الإجازات والحالات'!$AJ$6:$AJ$505,'سجل الإجازات والحالات'!$B$6:$B$505,$B89))/cfg_DAYS_Y)</f>
        <v/>
      </c>
      <c r="AI89" s="160" t="str">
        <f aca="false">IF($B89="","",MAX(0,IF(OR(الموظفون!$AE89="",الموظفون!$AE89&gt;($E$3-1)),($E$3-1),الموظفون!$AE89)-الموظفون!$H89+1-SUMIFS('سجل الإجازات والحالات'!$AI$6:$AI$505,'سجل الإجازات والحالات'!$B$6:$B$505,$B89))/cfg_DAYS_Y)</f>
        <v/>
      </c>
      <c r="AJ89" s="133" t="str">
        <f aca="false">IF($B89="","",MAX(0,AK89-(SUMIFS('سجل الإجازات والحالات'!$AJ$6:$AJ$505,'سجل الإجازات والحالات'!$B$6:$B$505,$B89)-SUMIFS('سجل الإجازات والحالات'!$AI$6:$AI$505,'سجل الإجازات والحالات'!$B$6:$B$505,$B89))))</f>
        <v/>
      </c>
      <c r="AK89" s="133" t="str">
        <f aca="false">IF($B89="","",MAX(0,IF(OR(الموظفون!$AE89="",الموظفون!$AE89&gt;$F$3),$F$3,الموظفون!$AE89)-MAX($E$3,الموظفون!$H89)+1))</f>
        <v/>
      </c>
      <c r="AL89" s="156" t="str">
        <f aca="false">IF($B89="","",SUMIFS('سجل الإجازات والحالات'!$AV$6:$AV$505,'سجل الإجازات والحالات'!$B$6:$B$505,$B89)+SUMIFS('الحركات الشهرية'!$K$6:$K$1005,'الحركات الشهرية'!$B$6:$B$1005,$B89,'الحركات الشهرية'!$A$6:$A$1005,$C$3))</f>
        <v/>
      </c>
      <c r="AM89" s="116" t="str">
        <f aca="false">IF($B89="","",AL89*الموظفون!$R89/cfg_DAYS_M+S89)</f>
        <v/>
      </c>
      <c r="AN89" s="156" t="str">
        <f aca="false">IF($B89="","",SUMIFS('سجل الإجازات والحالات'!$X$6:$X$505,'سجل الإجازات والحالات'!$B$6:$B$505,$B89))</f>
        <v/>
      </c>
    </row>
    <row r="90" customFormat="false" ht="15" hidden="false" customHeight="false" outlineLevel="0" collapsed="false">
      <c r="A90" s="106" t="str">
        <f aca="false">IF($B90="","",الموظفون!$A90)</f>
        <v/>
      </c>
      <c r="B90" s="114" t="str">
        <f aca="false">IF(الموظفون!$B90="","",الموظفون!$B90)</f>
        <v/>
      </c>
      <c r="C90" s="114" t="str">
        <f aca="false">IF($B90="","",الموظفون!$C90)</f>
        <v/>
      </c>
      <c r="D90" s="114" t="str">
        <f aca="false">IF($B90="","",الموظفون!$F90)</f>
        <v/>
      </c>
      <c r="E90" s="114" t="str">
        <f aca="false">IF($B90="","",الموظفون!$E90)</f>
        <v/>
      </c>
      <c r="F90" s="114" t="str">
        <f aca="false">IF($B90="","",IF(AK90=0,IF(AND(الموظفون!$AE90&lt;&gt;"",الموظفون!$AE90&lt;$E$3),"✖ منتهي الخدمة","⏳ لم يباشر"),IF(S90&gt;0,"✈ راتب إجازة مقدم",IF(J90=0,"⛔ بدون راتب هذا الشهر",IF(I90&gt;0,"✈ خصم "&amp;ROUND(I90,2)&amp;" يوم بدون أجر",IF(AL90&gt;0,"🌴 إجازة سنوية "&amp;ROUND(AL90,2)&amp;" يوم",IF(H90&gt;0,"⚠ غياب "&amp;ROUND(H90,2)&amp;" يوم","✔ على رأس العمل")))))))</f>
        <v/>
      </c>
      <c r="G90" s="151" t="str">
        <f aca="false">IF($B90="","",IF(AK90&gt;=DAY($F$3),cfg_DAYS_M,MIN(AK90,cfg_DAYS_M)))</f>
        <v/>
      </c>
      <c r="H90" s="151" t="str">
        <f aca="false">IF($B90="","",SUMIFS('الحركات الشهرية'!$D$6:$D$1005,'الحركات الشهرية'!$B$6:$B$1005,$B90,'الحركات الشهرية'!$A$6:$A$1005,$C$3))</f>
        <v/>
      </c>
      <c r="I90" s="151" t="str">
        <f aca="false">IF($B90="","",MIN(G90,IF(AND(AK90&gt;0,AN90&gt;=AK90),G90,AN90)+SUMIFS('الحركات الشهرية'!$E$6:$E$1005,'الحركات الشهرية'!$B$6:$B$1005,$B90,'الحركات الشهرية'!$A$6:$A$1005,$C$3)))</f>
        <v/>
      </c>
      <c r="J90" s="151" t="str">
        <f aca="false">IF($B90="","",MAX(0,G90-H90-I90))</f>
        <v/>
      </c>
      <c r="K90" s="111" t="str">
        <f aca="false">IF($B90="","",الموظفون!$L90*$J90/cfg_DAYS_M)</f>
        <v/>
      </c>
      <c r="L90" s="111" t="str">
        <f aca="false">IF($B90="","",الموظفون!$M90*$J90/cfg_DAYS_M)</f>
        <v/>
      </c>
      <c r="M90" s="111" t="str">
        <f aca="false">IF($B90="","",الموظفون!$N90*$J90/cfg_DAYS_M)</f>
        <v/>
      </c>
      <c r="N90" s="111" t="str">
        <f aca="false">IF($B90="","",الموظفون!$O90*$J90/cfg_DAYS_M)</f>
        <v/>
      </c>
      <c r="O90" s="151" t="str">
        <f aca="false">IF($B90="","",SUMIFS('الحركات الشهرية'!$F$6:$F$1005,'الحركات الشهرية'!$B$6:$B$1005,$B90,'الحركات الشهرية'!$A$6:$A$1005,$C$3))</f>
        <v/>
      </c>
      <c r="P90" s="111" t="str">
        <f aca="false">IF($B90="","",O90*(الموظفون!$P90+الموظفون!$L90*cfg_OT_P)/cfg_DAYS_M/cfg_HRS)</f>
        <v/>
      </c>
      <c r="Q90" s="111" t="str">
        <f aca="false">IF($B90="","",SUMIFS('الحركات الشهرية'!$G$6:$G$1005,'الحركات الشهرية'!$B$6:$B$1005,$B90,'الحركات الشهرية'!$A$6:$A$1005,$C$3))</f>
        <v/>
      </c>
      <c r="R90" s="111" t="str">
        <f aca="false">IF($B90="","",SUMIFS('الحركات الشهرية'!$H$6:$H$1005,'الحركات الشهرية'!$B$6:$B$1005,$B90,'الحركات الشهرية'!$A$6:$A$1005,$C$3))</f>
        <v/>
      </c>
      <c r="S90" s="111" t="str">
        <f aca="false">IF($B90="","",SUMIFS('سجل الإجازات والحالات'!$N$6:$N$505,'سجل الإجازات والحالات'!$B$6:$B$505,$B90,'سجل الإجازات والحالات'!$O$6:$O$505,$C$3))</f>
        <v/>
      </c>
      <c r="T90" s="152" t="str">
        <f aca="false">IF($B90="","",SUM(K90:N90)+SUM(P90:S90))</f>
        <v/>
      </c>
      <c r="U90" s="111" t="str">
        <f aca="false">IF($B90="","",الموظفون!$S90*IF(E90="سعودي",cfg_G_SE,cfg_G_NE)*G90/cfg_DAYS_M)</f>
        <v/>
      </c>
      <c r="V90" s="111" t="str">
        <f aca="false">IF($B90="","",SUMIFS('الحركات الشهرية'!$I$6:$I$1005,'الحركات الشهرية'!$B$6:$B$1005,$B90,'الحركات الشهرية'!$A$6:$A$1005,$C$3))</f>
        <v/>
      </c>
      <c r="W90" s="111" t="str">
        <f aca="false">IF($B90="","",SUMIFS('الحركات الشهرية'!$J$6:$J$1005,'الحركات الشهرية'!$B$6:$B$1005,$B90,'الحركات الشهرية'!$A$6:$A$1005,$C$3))</f>
        <v/>
      </c>
      <c r="X90" s="111" t="str">
        <f aca="false">IF($B90="","",SUM(U90:W90))</f>
        <v/>
      </c>
      <c r="Y90" s="153" t="str">
        <f aca="false">IF($B90="","",T90-X90)</f>
        <v/>
      </c>
      <c r="Z90" s="111" t="str">
        <f aca="false">IF($B90="","",الموظفون!$S90*IF(E90="سعودي",cfg_G_SR,cfg_G_NR)*G90/cfg_DAYS_M)</f>
        <v/>
      </c>
      <c r="AA90" s="111" t="str">
        <f aca="false">IF($B90="","",الموظفون!$Q90*(cfg_EOS_R1*(MIN(AH90,cfg_EOS_TH)-MIN(AI90,cfg_EOS_TH))+cfg_EOS_R2*(MAX(AH90-cfg_EOS_TH,0)-MAX(AI90-cfg_EOS_TH,0))))</f>
        <v/>
      </c>
      <c r="AB90" s="111" t="str">
        <f aca="false">IF($B90="","",IF(الموظفون!$T90&lt;&gt;"",الموظفون!$T90,IF(AH90&gt;=cfg_LV_TH,cfg_LV_D2,cfg_LV_D1))/cfg_DAYS_Y*AJ90*الموظفون!$R90/cfg_DAYS_M)</f>
        <v/>
      </c>
      <c r="AC90" s="111" t="str">
        <f aca="false">IF($B90="","",IF(AND(الموظفون!$U90="نعم",N(الموظفون!$W90)&gt;0),الموظفون!$V90/الموظفون!$W90*12/cfg_DAYS_Y*AJ90,0))</f>
        <v/>
      </c>
      <c r="AD90" s="111" t="str">
        <f aca="false">IF($B90="","",(IF(الموظفون!$X90&lt;&gt;"",الموظفون!$X90,IF(الموظفون!$E90="غير سعودي",cfg_IQ,0))+IF(الموظفون!$Y90&lt;&gt;"",الموظفون!$Y90,IF(الموظفون!$E90="غير سعودي",cfg_WP,0)))/12*G90/cfg_DAYS_M)</f>
        <v/>
      </c>
      <c r="AE90" s="111" t="str">
        <f aca="false">IF($B90="","",IF(الموظفون!$Z90&lt;&gt;"",الموظفون!$Z90,cfg_MED)/12*G90/cfg_DAYS_M)</f>
        <v/>
      </c>
      <c r="AF90" s="111" t="str">
        <f aca="false">IF($B90="","",N(الموظفون!$AA90)/12*G90/cfg_DAYS_M)</f>
        <v/>
      </c>
      <c r="AG90" s="154" t="str">
        <f aca="false">IF($B90="","",T90+SUM(Z90:AF90))</f>
        <v/>
      </c>
      <c r="AH90" s="155" t="str">
        <f aca="false">IF($B90="","",MAX(0,IF(OR(الموظفون!$AE90="",الموظفون!$AE90&gt;$F$3),$F$3,الموظفون!$AE90)-الموظفون!$H90+1-SUMIFS('سجل الإجازات والحالات'!$AJ$6:$AJ$505,'سجل الإجازات والحالات'!$B$6:$B$505,$B90))/cfg_DAYS_Y)</f>
        <v/>
      </c>
      <c r="AI90" s="155" t="str">
        <f aca="false">IF($B90="","",MAX(0,IF(OR(الموظفون!$AE90="",الموظفون!$AE90&gt;($E$3-1)),($E$3-1),الموظفون!$AE90)-الموظفون!$H90+1-SUMIFS('سجل الإجازات والحالات'!$AI$6:$AI$505,'سجل الإجازات والحالات'!$B$6:$B$505,$B90))/cfg_DAYS_Y)</f>
        <v/>
      </c>
      <c r="AJ90" s="65" t="str">
        <f aca="false">IF($B90="","",MAX(0,AK90-(SUMIFS('سجل الإجازات والحالات'!$AJ$6:$AJ$505,'سجل الإجازات والحالات'!$B$6:$B$505,$B90)-SUMIFS('سجل الإجازات والحالات'!$AI$6:$AI$505,'سجل الإجازات والحالات'!$B$6:$B$505,$B90))))</f>
        <v/>
      </c>
      <c r="AK90" s="65" t="str">
        <f aca="false">IF($B90="","",MAX(0,IF(OR(الموظفون!$AE90="",الموظفون!$AE90&gt;$F$3),$F$3,الموظفون!$AE90)-MAX($E$3,الموظفون!$H90)+1))</f>
        <v/>
      </c>
      <c r="AL90" s="151" t="str">
        <f aca="false">IF($B90="","",SUMIFS('سجل الإجازات والحالات'!$AV$6:$AV$505,'سجل الإجازات والحالات'!$B$6:$B$505,$B90)+SUMIFS('الحركات الشهرية'!$K$6:$K$1005,'الحركات الشهرية'!$B$6:$B$1005,$B90,'الحركات الشهرية'!$A$6:$A$1005,$C$3))</f>
        <v/>
      </c>
      <c r="AM90" s="111" t="str">
        <f aca="false">IF($B90="","",AL90*الموظفون!$R90/cfg_DAYS_M+S90)</f>
        <v/>
      </c>
      <c r="AN90" s="151" t="str">
        <f aca="false">IF($B90="","",SUMIFS('سجل الإجازات والحالات'!$X$6:$X$505,'سجل الإجازات والحالات'!$B$6:$B$505,$B90))</f>
        <v/>
      </c>
    </row>
    <row r="91" customFormat="false" ht="15" hidden="false" customHeight="false" outlineLevel="0" collapsed="false">
      <c r="A91" s="115" t="str">
        <f aca="false">IF($B91="","",الموظفون!$A91)</f>
        <v/>
      </c>
      <c r="B91" s="117" t="str">
        <f aca="false">IF(الموظفون!$B91="","",الموظفون!$B91)</f>
        <v/>
      </c>
      <c r="C91" s="117" t="str">
        <f aca="false">IF($B91="","",الموظفون!$C91)</f>
        <v/>
      </c>
      <c r="D91" s="117" t="str">
        <f aca="false">IF($B91="","",الموظفون!$F91)</f>
        <v/>
      </c>
      <c r="E91" s="117" t="str">
        <f aca="false">IF($B91="","",الموظفون!$E91)</f>
        <v/>
      </c>
      <c r="F91" s="117" t="str">
        <f aca="false">IF($B91="","",IF(AK91=0,IF(AND(الموظفون!$AE91&lt;&gt;"",الموظفون!$AE91&lt;$E$3),"✖ منتهي الخدمة","⏳ لم يباشر"),IF(S91&gt;0,"✈ راتب إجازة مقدم",IF(J91=0,"⛔ بدون راتب هذا الشهر",IF(I91&gt;0,"✈ خصم "&amp;ROUND(I91,2)&amp;" يوم بدون أجر",IF(AL91&gt;0,"🌴 إجازة سنوية "&amp;ROUND(AL91,2)&amp;" يوم",IF(H91&gt;0,"⚠ غياب "&amp;ROUND(H91,2)&amp;" يوم","✔ على رأس العمل")))))))</f>
        <v/>
      </c>
      <c r="G91" s="156" t="str">
        <f aca="false">IF($B91="","",IF(AK91&gt;=DAY($F$3),cfg_DAYS_M,MIN(AK91,cfg_DAYS_M)))</f>
        <v/>
      </c>
      <c r="H91" s="156" t="str">
        <f aca="false">IF($B91="","",SUMIFS('الحركات الشهرية'!$D$6:$D$1005,'الحركات الشهرية'!$B$6:$B$1005,$B91,'الحركات الشهرية'!$A$6:$A$1005,$C$3))</f>
        <v/>
      </c>
      <c r="I91" s="156" t="str">
        <f aca="false">IF($B91="","",MIN(G91,IF(AND(AK91&gt;0,AN91&gt;=AK91),G91,AN91)+SUMIFS('الحركات الشهرية'!$E$6:$E$1005,'الحركات الشهرية'!$B$6:$B$1005,$B91,'الحركات الشهرية'!$A$6:$A$1005,$C$3)))</f>
        <v/>
      </c>
      <c r="J91" s="156" t="str">
        <f aca="false">IF($B91="","",MAX(0,G91-H91-I91))</f>
        <v/>
      </c>
      <c r="K91" s="116" t="str">
        <f aca="false">IF($B91="","",الموظفون!$L91*$J91/cfg_DAYS_M)</f>
        <v/>
      </c>
      <c r="L91" s="116" t="str">
        <f aca="false">IF($B91="","",الموظفون!$M91*$J91/cfg_DAYS_M)</f>
        <v/>
      </c>
      <c r="M91" s="116" t="str">
        <f aca="false">IF($B91="","",الموظفون!$N91*$J91/cfg_DAYS_M)</f>
        <v/>
      </c>
      <c r="N91" s="116" t="str">
        <f aca="false">IF($B91="","",الموظفون!$O91*$J91/cfg_DAYS_M)</f>
        <v/>
      </c>
      <c r="O91" s="156" t="str">
        <f aca="false">IF($B91="","",SUMIFS('الحركات الشهرية'!$F$6:$F$1005,'الحركات الشهرية'!$B$6:$B$1005,$B91,'الحركات الشهرية'!$A$6:$A$1005,$C$3))</f>
        <v/>
      </c>
      <c r="P91" s="116" t="str">
        <f aca="false">IF($B91="","",O91*(الموظفون!$P91+الموظفون!$L91*cfg_OT_P)/cfg_DAYS_M/cfg_HRS)</f>
        <v/>
      </c>
      <c r="Q91" s="116" t="str">
        <f aca="false">IF($B91="","",SUMIFS('الحركات الشهرية'!$G$6:$G$1005,'الحركات الشهرية'!$B$6:$B$1005,$B91,'الحركات الشهرية'!$A$6:$A$1005,$C$3))</f>
        <v/>
      </c>
      <c r="R91" s="116" t="str">
        <f aca="false">IF($B91="","",SUMIFS('الحركات الشهرية'!$H$6:$H$1005,'الحركات الشهرية'!$B$6:$B$1005,$B91,'الحركات الشهرية'!$A$6:$A$1005,$C$3))</f>
        <v/>
      </c>
      <c r="S91" s="116" t="str">
        <f aca="false">IF($B91="","",SUMIFS('سجل الإجازات والحالات'!$N$6:$N$505,'سجل الإجازات والحالات'!$B$6:$B$505,$B91,'سجل الإجازات والحالات'!$O$6:$O$505,$C$3))</f>
        <v/>
      </c>
      <c r="T91" s="157" t="str">
        <f aca="false">IF($B91="","",SUM(K91:N91)+SUM(P91:S91))</f>
        <v/>
      </c>
      <c r="U91" s="116" t="str">
        <f aca="false">IF($B91="","",الموظفون!$S91*IF(E91="سعودي",cfg_G_SE,cfg_G_NE)*G91/cfg_DAYS_M)</f>
        <v/>
      </c>
      <c r="V91" s="116" t="str">
        <f aca="false">IF($B91="","",SUMIFS('الحركات الشهرية'!$I$6:$I$1005,'الحركات الشهرية'!$B$6:$B$1005,$B91,'الحركات الشهرية'!$A$6:$A$1005,$C$3))</f>
        <v/>
      </c>
      <c r="W91" s="116" t="str">
        <f aca="false">IF($B91="","",SUMIFS('الحركات الشهرية'!$J$6:$J$1005,'الحركات الشهرية'!$B$6:$B$1005,$B91,'الحركات الشهرية'!$A$6:$A$1005,$C$3))</f>
        <v/>
      </c>
      <c r="X91" s="116" t="str">
        <f aca="false">IF($B91="","",SUM(U91:W91))</f>
        <v/>
      </c>
      <c r="Y91" s="158" t="str">
        <f aca="false">IF($B91="","",T91-X91)</f>
        <v/>
      </c>
      <c r="Z91" s="116" t="str">
        <f aca="false">IF($B91="","",الموظفون!$S91*IF(E91="سعودي",cfg_G_SR,cfg_G_NR)*G91/cfg_DAYS_M)</f>
        <v/>
      </c>
      <c r="AA91" s="116" t="str">
        <f aca="false">IF($B91="","",الموظفون!$Q91*(cfg_EOS_R1*(MIN(AH91,cfg_EOS_TH)-MIN(AI91,cfg_EOS_TH))+cfg_EOS_R2*(MAX(AH91-cfg_EOS_TH,0)-MAX(AI91-cfg_EOS_TH,0))))</f>
        <v/>
      </c>
      <c r="AB91" s="116" t="str">
        <f aca="false">IF($B91="","",IF(الموظفون!$T91&lt;&gt;"",الموظفون!$T91,IF(AH91&gt;=cfg_LV_TH,cfg_LV_D2,cfg_LV_D1))/cfg_DAYS_Y*AJ91*الموظفون!$R91/cfg_DAYS_M)</f>
        <v/>
      </c>
      <c r="AC91" s="116" t="str">
        <f aca="false">IF($B91="","",IF(AND(الموظفون!$U91="نعم",N(الموظفون!$W91)&gt;0),الموظفون!$V91/الموظفون!$W91*12/cfg_DAYS_Y*AJ91,0))</f>
        <v/>
      </c>
      <c r="AD91" s="116" t="str">
        <f aca="false">IF($B91="","",(IF(الموظفون!$X91&lt;&gt;"",الموظفون!$X91,IF(الموظفون!$E91="غير سعودي",cfg_IQ,0))+IF(الموظفون!$Y91&lt;&gt;"",الموظفون!$Y91,IF(الموظفون!$E91="غير سعودي",cfg_WP,0)))/12*G91/cfg_DAYS_M)</f>
        <v/>
      </c>
      <c r="AE91" s="116" t="str">
        <f aca="false">IF($B91="","",IF(الموظفون!$Z91&lt;&gt;"",الموظفون!$Z91,cfg_MED)/12*G91/cfg_DAYS_M)</f>
        <v/>
      </c>
      <c r="AF91" s="116" t="str">
        <f aca="false">IF($B91="","",N(الموظفون!$AA91)/12*G91/cfg_DAYS_M)</f>
        <v/>
      </c>
      <c r="AG91" s="159" t="str">
        <f aca="false">IF($B91="","",T91+SUM(Z91:AF91))</f>
        <v/>
      </c>
      <c r="AH91" s="160" t="str">
        <f aca="false">IF($B91="","",MAX(0,IF(OR(الموظفون!$AE91="",الموظفون!$AE91&gt;$F$3),$F$3,الموظفون!$AE91)-الموظفون!$H91+1-SUMIFS('سجل الإجازات والحالات'!$AJ$6:$AJ$505,'سجل الإجازات والحالات'!$B$6:$B$505,$B91))/cfg_DAYS_Y)</f>
        <v/>
      </c>
      <c r="AI91" s="160" t="str">
        <f aca="false">IF($B91="","",MAX(0,IF(OR(الموظفون!$AE91="",الموظفون!$AE91&gt;($E$3-1)),($E$3-1),الموظفون!$AE91)-الموظفون!$H91+1-SUMIFS('سجل الإجازات والحالات'!$AI$6:$AI$505,'سجل الإجازات والحالات'!$B$6:$B$505,$B91))/cfg_DAYS_Y)</f>
        <v/>
      </c>
      <c r="AJ91" s="133" t="str">
        <f aca="false">IF($B91="","",MAX(0,AK91-(SUMIFS('سجل الإجازات والحالات'!$AJ$6:$AJ$505,'سجل الإجازات والحالات'!$B$6:$B$505,$B91)-SUMIFS('سجل الإجازات والحالات'!$AI$6:$AI$505,'سجل الإجازات والحالات'!$B$6:$B$505,$B91))))</f>
        <v/>
      </c>
      <c r="AK91" s="133" t="str">
        <f aca="false">IF($B91="","",MAX(0,IF(OR(الموظفون!$AE91="",الموظفون!$AE91&gt;$F$3),$F$3,الموظفون!$AE91)-MAX($E$3,الموظفون!$H91)+1))</f>
        <v/>
      </c>
      <c r="AL91" s="156" t="str">
        <f aca="false">IF($B91="","",SUMIFS('سجل الإجازات والحالات'!$AV$6:$AV$505,'سجل الإجازات والحالات'!$B$6:$B$505,$B91)+SUMIFS('الحركات الشهرية'!$K$6:$K$1005,'الحركات الشهرية'!$B$6:$B$1005,$B91,'الحركات الشهرية'!$A$6:$A$1005,$C$3))</f>
        <v/>
      </c>
      <c r="AM91" s="116" t="str">
        <f aca="false">IF($B91="","",AL91*الموظفون!$R91/cfg_DAYS_M+S91)</f>
        <v/>
      </c>
      <c r="AN91" s="156" t="str">
        <f aca="false">IF($B91="","",SUMIFS('سجل الإجازات والحالات'!$X$6:$X$505,'سجل الإجازات والحالات'!$B$6:$B$505,$B91))</f>
        <v/>
      </c>
    </row>
    <row r="92" customFormat="false" ht="15" hidden="false" customHeight="false" outlineLevel="0" collapsed="false">
      <c r="A92" s="106" t="str">
        <f aca="false">IF($B92="","",الموظفون!$A92)</f>
        <v/>
      </c>
      <c r="B92" s="114" t="str">
        <f aca="false">IF(الموظفون!$B92="","",الموظفون!$B92)</f>
        <v/>
      </c>
      <c r="C92" s="114" t="str">
        <f aca="false">IF($B92="","",الموظفون!$C92)</f>
        <v/>
      </c>
      <c r="D92" s="114" t="str">
        <f aca="false">IF($B92="","",الموظفون!$F92)</f>
        <v/>
      </c>
      <c r="E92" s="114" t="str">
        <f aca="false">IF($B92="","",الموظفون!$E92)</f>
        <v/>
      </c>
      <c r="F92" s="114" t="str">
        <f aca="false">IF($B92="","",IF(AK92=0,IF(AND(الموظفون!$AE92&lt;&gt;"",الموظفون!$AE92&lt;$E$3),"✖ منتهي الخدمة","⏳ لم يباشر"),IF(S92&gt;0,"✈ راتب إجازة مقدم",IF(J92=0,"⛔ بدون راتب هذا الشهر",IF(I92&gt;0,"✈ خصم "&amp;ROUND(I92,2)&amp;" يوم بدون أجر",IF(AL92&gt;0,"🌴 إجازة سنوية "&amp;ROUND(AL92,2)&amp;" يوم",IF(H92&gt;0,"⚠ غياب "&amp;ROUND(H92,2)&amp;" يوم","✔ على رأس العمل")))))))</f>
        <v/>
      </c>
      <c r="G92" s="151" t="str">
        <f aca="false">IF($B92="","",IF(AK92&gt;=DAY($F$3),cfg_DAYS_M,MIN(AK92,cfg_DAYS_M)))</f>
        <v/>
      </c>
      <c r="H92" s="151" t="str">
        <f aca="false">IF($B92="","",SUMIFS('الحركات الشهرية'!$D$6:$D$1005,'الحركات الشهرية'!$B$6:$B$1005,$B92,'الحركات الشهرية'!$A$6:$A$1005,$C$3))</f>
        <v/>
      </c>
      <c r="I92" s="151" t="str">
        <f aca="false">IF($B92="","",MIN(G92,IF(AND(AK92&gt;0,AN92&gt;=AK92),G92,AN92)+SUMIFS('الحركات الشهرية'!$E$6:$E$1005,'الحركات الشهرية'!$B$6:$B$1005,$B92,'الحركات الشهرية'!$A$6:$A$1005,$C$3)))</f>
        <v/>
      </c>
      <c r="J92" s="151" t="str">
        <f aca="false">IF($B92="","",MAX(0,G92-H92-I92))</f>
        <v/>
      </c>
      <c r="K92" s="111" t="str">
        <f aca="false">IF($B92="","",الموظفون!$L92*$J92/cfg_DAYS_M)</f>
        <v/>
      </c>
      <c r="L92" s="111" t="str">
        <f aca="false">IF($B92="","",الموظفون!$M92*$J92/cfg_DAYS_M)</f>
        <v/>
      </c>
      <c r="M92" s="111" t="str">
        <f aca="false">IF($B92="","",الموظفون!$N92*$J92/cfg_DAYS_M)</f>
        <v/>
      </c>
      <c r="N92" s="111" t="str">
        <f aca="false">IF($B92="","",الموظفون!$O92*$J92/cfg_DAYS_M)</f>
        <v/>
      </c>
      <c r="O92" s="151" t="str">
        <f aca="false">IF($B92="","",SUMIFS('الحركات الشهرية'!$F$6:$F$1005,'الحركات الشهرية'!$B$6:$B$1005,$B92,'الحركات الشهرية'!$A$6:$A$1005,$C$3))</f>
        <v/>
      </c>
      <c r="P92" s="111" t="str">
        <f aca="false">IF($B92="","",O92*(الموظفون!$P92+الموظفون!$L92*cfg_OT_P)/cfg_DAYS_M/cfg_HRS)</f>
        <v/>
      </c>
      <c r="Q92" s="111" t="str">
        <f aca="false">IF($B92="","",SUMIFS('الحركات الشهرية'!$G$6:$G$1005,'الحركات الشهرية'!$B$6:$B$1005,$B92,'الحركات الشهرية'!$A$6:$A$1005,$C$3))</f>
        <v/>
      </c>
      <c r="R92" s="111" t="str">
        <f aca="false">IF($B92="","",SUMIFS('الحركات الشهرية'!$H$6:$H$1005,'الحركات الشهرية'!$B$6:$B$1005,$B92,'الحركات الشهرية'!$A$6:$A$1005,$C$3))</f>
        <v/>
      </c>
      <c r="S92" s="111" t="str">
        <f aca="false">IF($B92="","",SUMIFS('سجل الإجازات والحالات'!$N$6:$N$505,'سجل الإجازات والحالات'!$B$6:$B$505,$B92,'سجل الإجازات والحالات'!$O$6:$O$505,$C$3))</f>
        <v/>
      </c>
      <c r="T92" s="152" t="str">
        <f aca="false">IF($B92="","",SUM(K92:N92)+SUM(P92:S92))</f>
        <v/>
      </c>
      <c r="U92" s="111" t="str">
        <f aca="false">IF($B92="","",الموظفون!$S92*IF(E92="سعودي",cfg_G_SE,cfg_G_NE)*G92/cfg_DAYS_M)</f>
        <v/>
      </c>
      <c r="V92" s="111" t="str">
        <f aca="false">IF($B92="","",SUMIFS('الحركات الشهرية'!$I$6:$I$1005,'الحركات الشهرية'!$B$6:$B$1005,$B92,'الحركات الشهرية'!$A$6:$A$1005,$C$3))</f>
        <v/>
      </c>
      <c r="W92" s="111" t="str">
        <f aca="false">IF($B92="","",SUMIFS('الحركات الشهرية'!$J$6:$J$1005,'الحركات الشهرية'!$B$6:$B$1005,$B92,'الحركات الشهرية'!$A$6:$A$1005,$C$3))</f>
        <v/>
      </c>
      <c r="X92" s="111" t="str">
        <f aca="false">IF($B92="","",SUM(U92:W92))</f>
        <v/>
      </c>
      <c r="Y92" s="153" t="str">
        <f aca="false">IF($B92="","",T92-X92)</f>
        <v/>
      </c>
      <c r="Z92" s="111" t="str">
        <f aca="false">IF($B92="","",الموظفون!$S92*IF(E92="سعودي",cfg_G_SR,cfg_G_NR)*G92/cfg_DAYS_M)</f>
        <v/>
      </c>
      <c r="AA92" s="111" t="str">
        <f aca="false">IF($B92="","",الموظفون!$Q92*(cfg_EOS_R1*(MIN(AH92,cfg_EOS_TH)-MIN(AI92,cfg_EOS_TH))+cfg_EOS_R2*(MAX(AH92-cfg_EOS_TH,0)-MAX(AI92-cfg_EOS_TH,0))))</f>
        <v/>
      </c>
      <c r="AB92" s="111" t="str">
        <f aca="false">IF($B92="","",IF(الموظفون!$T92&lt;&gt;"",الموظفون!$T92,IF(AH92&gt;=cfg_LV_TH,cfg_LV_D2,cfg_LV_D1))/cfg_DAYS_Y*AJ92*الموظفون!$R92/cfg_DAYS_M)</f>
        <v/>
      </c>
      <c r="AC92" s="111" t="str">
        <f aca="false">IF($B92="","",IF(AND(الموظفون!$U92="نعم",N(الموظفون!$W92)&gt;0),الموظفون!$V92/الموظفون!$W92*12/cfg_DAYS_Y*AJ92,0))</f>
        <v/>
      </c>
      <c r="AD92" s="111" t="str">
        <f aca="false">IF($B92="","",(IF(الموظفون!$X92&lt;&gt;"",الموظفون!$X92,IF(الموظفون!$E92="غير سعودي",cfg_IQ,0))+IF(الموظفون!$Y92&lt;&gt;"",الموظفون!$Y92,IF(الموظفون!$E92="غير سعودي",cfg_WP,0)))/12*G92/cfg_DAYS_M)</f>
        <v/>
      </c>
      <c r="AE92" s="111" t="str">
        <f aca="false">IF($B92="","",IF(الموظفون!$Z92&lt;&gt;"",الموظفون!$Z92,cfg_MED)/12*G92/cfg_DAYS_M)</f>
        <v/>
      </c>
      <c r="AF92" s="111" t="str">
        <f aca="false">IF($B92="","",N(الموظفون!$AA92)/12*G92/cfg_DAYS_M)</f>
        <v/>
      </c>
      <c r="AG92" s="154" t="str">
        <f aca="false">IF($B92="","",T92+SUM(Z92:AF92))</f>
        <v/>
      </c>
      <c r="AH92" s="155" t="str">
        <f aca="false">IF($B92="","",MAX(0,IF(OR(الموظفون!$AE92="",الموظفون!$AE92&gt;$F$3),$F$3,الموظفون!$AE92)-الموظفون!$H92+1-SUMIFS('سجل الإجازات والحالات'!$AJ$6:$AJ$505,'سجل الإجازات والحالات'!$B$6:$B$505,$B92))/cfg_DAYS_Y)</f>
        <v/>
      </c>
      <c r="AI92" s="155" t="str">
        <f aca="false">IF($B92="","",MAX(0,IF(OR(الموظفون!$AE92="",الموظفون!$AE92&gt;($E$3-1)),($E$3-1),الموظفون!$AE92)-الموظفون!$H92+1-SUMIFS('سجل الإجازات والحالات'!$AI$6:$AI$505,'سجل الإجازات والحالات'!$B$6:$B$505,$B92))/cfg_DAYS_Y)</f>
        <v/>
      </c>
      <c r="AJ92" s="65" t="str">
        <f aca="false">IF($B92="","",MAX(0,AK92-(SUMIFS('سجل الإجازات والحالات'!$AJ$6:$AJ$505,'سجل الإجازات والحالات'!$B$6:$B$505,$B92)-SUMIFS('سجل الإجازات والحالات'!$AI$6:$AI$505,'سجل الإجازات والحالات'!$B$6:$B$505,$B92))))</f>
        <v/>
      </c>
      <c r="AK92" s="65" t="str">
        <f aca="false">IF($B92="","",MAX(0,IF(OR(الموظفون!$AE92="",الموظفون!$AE92&gt;$F$3),$F$3,الموظفون!$AE92)-MAX($E$3,الموظفون!$H92)+1))</f>
        <v/>
      </c>
      <c r="AL92" s="151" t="str">
        <f aca="false">IF($B92="","",SUMIFS('سجل الإجازات والحالات'!$AV$6:$AV$505,'سجل الإجازات والحالات'!$B$6:$B$505,$B92)+SUMIFS('الحركات الشهرية'!$K$6:$K$1005,'الحركات الشهرية'!$B$6:$B$1005,$B92,'الحركات الشهرية'!$A$6:$A$1005,$C$3))</f>
        <v/>
      </c>
      <c r="AM92" s="111" t="str">
        <f aca="false">IF($B92="","",AL92*الموظفون!$R92/cfg_DAYS_M+S92)</f>
        <v/>
      </c>
      <c r="AN92" s="151" t="str">
        <f aca="false">IF($B92="","",SUMIFS('سجل الإجازات والحالات'!$X$6:$X$505,'سجل الإجازات والحالات'!$B$6:$B$505,$B92))</f>
        <v/>
      </c>
    </row>
    <row r="93" customFormat="false" ht="15" hidden="false" customHeight="false" outlineLevel="0" collapsed="false">
      <c r="A93" s="115" t="str">
        <f aca="false">IF($B93="","",الموظفون!$A93)</f>
        <v/>
      </c>
      <c r="B93" s="117" t="str">
        <f aca="false">IF(الموظفون!$B93="","",الموظفون!$B93)</f>
        <v/>
      </c>
      <c r="C93" s="117" t="str">
        <f aca="false">IF($B93="","",الموظفون!$C93)</f>
        <v/>
      </c>
      <c r="D93" s="117" t="str">
        <f aca="false">IF($B93="","",الموظفون!$F93)</f>
        <v/>
      </c>
      <c r="E93" s="117" t="str">
        <f aca="false">IF($B93="","",الموظفون!$E93)</f>
        <v/>
      </c>
      <c r="F93" s="117" t="str">
        <f aca="false">IF($B93="","",IF(AK93=0,IF(AND(الموظفون!$AE93&lt;&gt;"",الموظفون!$AE93&lt;$E$3),"✖ منتهي الخدمة","⏳ لم يباشر"),IF(S93&gt;0,"✈ راتب إجازة مقدم",IF(J93=0,"⛔ بدون راتب هذا الشهر",IF(I93&gt;0,"✈ خصم "&amp;ROUND(I93,2)&amp;" يوم بدون أجر",IF(AL93&gt;0,"🌴 إجازة سنوية "&amp;ROUND(AL93,2)&amp;" يوم",IF(H93&gt;0,"⚠ غياب "&amp;ROUND(H93,2)&amp;" يوم","✔ على رأس العمل")))))))</f>
        <v/>
      </c>
      <c r="G93" s="156" t="str">
        <f aca="false">IF($B93="","",IF(AK93&gt;=DAY($F$3),cfg_DAYS_M,MIN(AK93,cfg_DAYS_M)))</f>
        <v/>
      </c>
      <c r="H93" s="156" t="str">
        <f aca="false">IF($B93="","",SUMIFS('الحركات الشهرية'!$D$6:$D$1005,'الحركات الشهرية'!$B$6:$B$1005,$B93,'الحركات الشهرية'!$A$6:$A$1005,$C$3))</f>
        <v/>
      </c>
      <c r="I93" s="156" t="str">
        <f aca="false">IF($B93="","",MIN(G93,IF(AND(AK93&gt;0,AN93&gt;=AK93),G93,AN93)+SUMIFS('الحركات الشهرية'!$E$6:$E$1005,'الحركات الشهرية'!$B$6:$B$1005,$B93,'الحركات الشهرية'!$A$6:$A$1005,$C$3)))</f>
        <v/>
      </c>
      <c r="J93" s="156" t="str">
        <f aca="false">IF($B93="","",MAX(0,G93-H93-I93))</f>
        <v/>
      </c>
      <c r="K93" s="116" t="str">
        <f aca="false">IF($B93="","",الموظفون!$L93*$J93/cfg_DAYS_M)</f>
        <v/>
      </c>
      <c r="L93" s="116" t="str">
        <f aca="false">IF($B93="","",الموظفون!$M93*$J93/cfg_DAYS_M)</f>
        <v/>
      </c>
      <c r="M93" s="116" t="str">
        <f aca="false">IF($B93="","",الموظفون!$N93*$J93/cfg_DAYS_M)</f>
        <v/>
      </c>
      <c r="N93" s="116" t="str">
        <f aca="false">IF($B93="","",الموظفون!$O93*$J93/cfg_DAYS_M)</f>
        <v/>
      </c>
      <c r="O93" s="156" t="str">
        <f aca="false">IF($B93="","",SUMIFS('الحركات الشهرية'!$F$6:$F$1005,'الحركات الشهرية'!$B$6:$B$1005,$B93,'الحركات الشهرية'!$A$6:$A$1005,$C$3))</f>
        <v/>
      </c>
      <c r="P93" s="116" t="str">
        <f aca="false">IF($B93="","",O93*(الموظفون!$P93+الموظفون!$L93*cfg_OT_P)/cfg_DAYS_M/cfg_HRS)</f>
        <v/>
      </c>
      <c r="Q93" s="116" t="str">
        <f aca="false">IF($B93="","",SUMIFS('الحركات الشهرية'!$G$6:$G$1005,'الحركات الشهرية'!$B$6:$B$1005,$B93,'الحركات الشهرية'!$A$6:$A$1005,$C$3))</f>
        <v/>
      </c>
      <c r="R93" s="116" t="str">
        <f aca="false">IF($B93="","",SUMIFS('الحركات الشهرية'!$H$6:$H$1005,'الحركات الشهرية'!$B$6:$B$1005,$B93,'الحركات الشهرية'!$A$6:$A$1005,$C$3))</f>
        <v/>
      </c>
      <c r="S93" s="116" t="str">
        <f aca="false">IF($B93="","",SUMIFS('سجل الإجازات والحالات'!$N$6:$N$505,'سجل الإجازات والحالات'!$B$6:$B$505,$B93,'سجل الإجازات والحالات'!$O$6:$O$505,$C$3))</f>
        <v/>
      </c>
      <c r="T93" s="157" t="str">
        <f aca="false">IF($B93="","",SUM(K93:N93)+SUM(P93:S93))</f>
        <v/>
      </c>
      <c r="U93" s="116" t="str">
        <f aca="false">IF($B93="","",الموظفون!$S93*IF(E93="سعودي",cfg_G_SE,cfg_G_NE)*G93/cfg_DAYS_M)</f>
        <v/>
      </c>
      <c r="V93" s="116" t="str">
        <f aca="false">IF($B93="","",SUMIFS('الحركات الشهرية'!$I$6:$I$1005,'الحركات الشهرية'!$B$6:$B$1005,$B93,'الحركات الشهرية'!$A$6:$A$1005,$C$3))</f>
        <v/>
      </c>
      <c r="W93" s="116" t="str">
        <f aca="false">IF($B93="","",SUMIFS('الحركات الشهرية'!$J$6:$J$1005,'الحركات الشهرية'!$B$6:$B$1005,$B93,'الحركات الشهرية'!$A$6:$A$1005,$C$3))</f>
        <v/>
      </c>
      <c r="X93" s="116" t="str">
        <f aca="false">IF($B93="","",SUM(U93:W93))</f>
        <v/>
      </c>
      <c r="Y93" s="158" t="str">
        <f aca="false">IF($B93="","",T93-X93)</f>
        <v/>
      </c>
      <c r="Z93" s="116" t="str">
        <f aca="false">IF($B93="","",الموظفون!$S93*IF(E93="سعودي",cfg_G_SR,cfg_G_NR)*G93/cfg_DAYS_M)</f>
        <v/>
      </c>
      <c r="AA93" s="116" t="str">
        <f aca="false">IF($B93="","",الموظفون!$Q93*(cfg_EOS_R1*(MIN(AH93,cfg_EOS_TH)-MIN(AI93,cfg_EOS_TH))+cfg_EOS_R2*(MAX(AH93-cfg_EOS_TH,0)-MAX(AI93-cfg_EOS_TH,0))))</f>
        <v/>
      </c>
      <c r="AB93" s="116" t="str">
        <f aca="false">IF($B93="","",IF(الموظفون!$T93&lt;&gt;"",الموظفون!$T93,IF(AH93&gt;=cfg_LV_TH,cfg_LV_D2,cfg_LV_D1))/cfg_DAYS_Y*AJ93*الموظفون!$R93/cfg_DAYS_M)</f>
        <v/>
      </c>
      <c r="AC93" s="116" t="str">
        <f aca="false">IF($B93="","",IF(AND(الموظفون!$U93="نعم",N(الموظفون!$W93)&gt;0),الموظفون!$V93/الموظفون!$W93*12/cfg_DAYS_Y*AJ93,0))</f>
        <v/>
      </c>
      <c r="AD93" s="116" t="str">
        <f aca="false">IF($B93="","",(IF(الموظفون!$X93&lt;&gt;"",الموظفون!$X93,IF(الموظفون!$E93="غير سعودي",cfg_IQ,0))+IF(الموظفون!$Y93&lt;&gt;"",الموظفون!$Y93,IF(الموظفون!$E93="غير سعودي",cfg_WP,0)))/12*G93/cfg_DAYS_M)</f>
        <v/>
      </c>
      <c r="AE93" s="116" t="str">
        <f aca="false">IF($B93="","",IF(الموظفون!$Z93&lt;&gt;"",الموظفون!$Z93,cfg_MED)/12*G93/cfg_DAYS_M)</f>
        <v/>
      </c>
      <c r="AF93" s="116" t="str">
        <f aca="false">IF($B93="","",N(الموظفون!$AA93)/12*G93/cfg_DAYS_M)</f>
        <v/>
      </c>
      <c r="AG93" s="159" t="str">
        <f aca="false">IF($B93="","",T93+SUM(Z93:AF93))</f>
        <v/>
      </c>
      <c r="AH93" s="160" t="str">
        <f aca="false">IF($B93="","",MAX(0,IF(OR(الموظفون!$AE93="",الموظفون!$AE93&gt;$F$3),$F$3,الموظفون!$AE93)-الموظفون!$H93+1-SUMIFS('سجل الإجازات والحالات'!$AJ$6:$AJ$505,'سجل الإجازات والحالات'!$B$6:$B$505,$B93))/cfg_DAYS_Y)</f>
        <v/>
      </c>
      <c r="AI93" s="160" t="str">
        <f aca="false">IF($B93="","",MAX(0,IF(OR(الموظفون!$AE93="",الموظفون!$AE93&gt;($E$3-1)),($E$3-1),الموظفون!$AE93)-الموظفون!$H93+1-SUMIFS('سجل الإجازات والحالات'!$AI$6:$AI$505,'سجل الإجازات والحالات'!$B$6:$B$505,$B93))/cfg_DAYS_Y)</f>
        <v/>
      </c>
      <c r="AJ93" s="133" t="str">
        <f aca="false">IF($B93="","",MAX(0,AK93-(SUMIFS('سجل الإجازات والحالات'!$AJ$6:$AJ$505,'سجل الإجازات والحالات'!$B$6:$B$505,$B93)-SUMIFS('سجل الإجازات والحالات'!$AI$6:$AI$505,'سجل الإجازات والحالات'!$B$6:$B$505,$B93))))</f>
        <v/>
      </c>
      <c r="AK93" s="133" t="str">
        <f aca="false">IF($B93="","",MAX(0,IF(OR(الموظفون!$AE93="",الموظفون!$AE93&gt;$F$3),$F$3,الموظفون!$AE93)-MAX($E$3,الموظفون!$H93)+1))</f>
        <v/>
      </c>
      <c r="AL93" s="156" t="str">
        <f aca="false">IF($B93="","",SUMIFS('سجل الإجازات والحالات'!$AV$6:$AV$505,'سجل الإجازات والحالات'!$B$6:$B$505,$B93)+SUMIFS('الحركات الشهرية'!$K$6:$K$1005,'الحركات الشهرية'!$B$6:$B$1005,$B93,'الحركات الشهرية'!$A$6:$A$1005,$C$3))</f>
        <v/>
      </c>
      <c r="AM93" s="116" t="str">
        <f aca="false">IF($B93="","",AL93*الموظفون!$R93/cfg_DAYS_M+S93)</f>
        <v/>
      </c>
      <c r="AN93" s="156" t="str">
        <f aca="false">IF($B93="","",SUMIFS('سجل الإجازات والحالات'!$X$6:$X$505,'سجل الإجازات والحالات'!$B$6:$B$505,$B93))</f>
        <v/>
      </c>
    </row>
    <row r="94" customFormat="false" ht="15" hidden="false" customHeight="false" outlineLevel="0" collapsed="false">
      <c r="A94" s="106" t="str">
        <f aca="false">IF($B94="","",الموظفون!$A94)</f>
        <v/>
      </c>
      <c r="B94" s="114" t="str">
        <f aca="false">IF(الموظفون!$B94="","",الموظفون!$B94)</f>
        <v/>
      </c>
      <c r="C94" s="114" t="str">
        <f aca="false">IF($B94="","",الموظفون!$C94)</f>
        <v/>
      </c>
      <c r="D94" s="114" t="str">
        <f aca="false">IF($B94="","",الموظفون!$F94)</f>
        <v/>
      </c>
      <c r="E94" s="114" t="str">
        <f aca="false">IF($B94="","",الموظفون!$E94)</f>
        <v/>
      </c>
      <c r="F94" s="114" t="str">
        <f aca="false">IF($B94="","",IF(AK94=0,IF(AND(الموظفون!$AE94&lt;&gt;"",الموظفون!$AE94&lt;$E$3),"✖ منتهي الخدمة","⏳ لم يباشر"),IF(S94&gt;0,"✈ راتب إجازة مقدم",IF(J94=0,"⛔ بدون راتب هذا الشهر",IF(I94&gt;0,"✈ خصم "&amp;ROUND(I94,2)&amp;" يوم بدون أجر",IF(AL94&gt;0,"🌴 إجازة سنوية "&amp;ROUND(AL94,2)&amp;" يوم",IF(H94&gt;0,"⚠ غياب "&amp;ROUND(H94,2)&amp;" يوم","✔ على رأس العمل")))))))</f>
        <v/>
      </c>
      <c r="G94" s="151" t="str">
        <f aca="false">IF($B94="","",IF(AK94&gt;=DAY($F$3),cfg_DAYS_M,MIN(AK94,cfg_DAYS_M)))</f>
        <v/>
      </c>
      <c r="H94" s="151" t="str">
        <f aca="false">IF($B94="","",SUMIFS('الحركات الشهرية'!$D$6:$D$1005,'الحركات الشهرية'!$B$6:$B$1005,$B94,'الحركات الشهرية'!$A$6:$A$1005,$C$3))</f>
        <v/>
      </c>
      <c r="I94" s="151" t="str">
        <f aca="false">IF($B94="","",MIN(G94,IF(AND(AK94&gt;0,AN94&gt;=AK94),G94,AN94)+SUMIFS('الحركات الشهرية'!$E$6:$E$1005,'الحركات الشهرية'!$B$6:$B$1005,$B94,'الحركات الشهرية'!$A$6:$A$1005,$C$3)))</f>
        <v/>
      </c>
      <c r="J94" s="151" t="str">
        <f aca="false">IF($B94="","",MAX(0,G94-H94-I94))</f>
        <v/>
      </c>
      <c r="K94" s="111" t="str">
        <f aca="false">IF($B94="","",الموظفون!$L94*$J94/cfg_DAYS_M)</f>
        <v/>
      </c>
      <c r="L94" s="111" t="str">
        <f aca="false">IF($B94="","",الموظفون!$M94*$J94/cfg_DAYS_M)</f>
        <v/>
      </c>
      <c r="M94" s="111" t="str">
        <f aca="false">IF($B94="","",الموظفون!$N94*$J94/cfg_DAYS_M)</f>
        <v/>
      </c>
      <c r="N94" s="111" t="str">
        <f aca="false">IF($B94="","",الموظفون!$O94*$J94/cfg_DAYS_M)</f>
        <v/>
      </c>
      <c r="O94" s="151" t="str">
        <f aca="false">IF($B94="","",SUMIFS('الحركات الشهرية'!$F$6:$F$1005,'الحركات الشهرية'!$B$6:$B$1005,$B94,'الحركات الشهرية'!$A$6:$A$1005,$C$3))</f>
        <v/>
      </c>
      <c r="P94" s="111" t="str">
        <f aca="false">IF($B94="","",O94*(الموظفون!$P94+الموظفون!$L94*cfg_OT_P)/cfg_DAYS_M/cfg_HRS)</f>
        <v/>
      </c>
      <c r="Q94" s="111" t="str">
        <f aca="false">IF($B94="","",SUMIFS('الحركات الشهرية'!$G$6:$G$1005,'الحركات الشهرية'!$B$6:$B$1005,$B94,'الحركات الشهرية'!$A$6:$A$1005,$C$3))</f>
        <v/>
      </c>
      <c r="R94" s="111" t="str">
        <f aca="false">IF($B94="","",SUMIFS('الحركات الشهرية'!$H$6:$H$1005,'الحركات الشهرية'!$B$6:$B$1005,$B94,'الحركات الشهرية'!$A$6:$A$1005,$C$3))</f>
        <v/>
      </c>
      <c r="S94" s="111" t="str">
        <f aca="false">IF($B94="","",SUMIFS('سجل الإجازات والحالات'!$N$6:$N$505,'سجل الإجازات والحالات'!$B$6:$B$505,$B94,'سجل الإجازات والحالات'!$O$6:$O$505,$C$3))</f>
        <v/>
      </c>
      <c r="T94" s="152" t="str">
        <f aca="false">IF($B94="","",SUM(K94:N94)+SUM(P94:S94))</f>
        <v/>
      </c>
      <c r="U94" s="111" t="str">
        <f aca="false">IF($B94="","",الموظفون!$S94*IF(E94="سعودي",cfg_G_SE,cfg_G_NE)*G94/cfg_DAYS_M)</f>
        <v/>
      </c>
      <c r="V94" s="111" t="str">
        <f aca="false">IF($B94="","",SUMIFS('الحركات الشهرية'!$I$6:$I$1005,'الحركات الشهرية'!$B$6:$B$1005,$B94,'الحركات الشهرية'!$A$6:$A$1005,$C$3))</f>
        <v/>
      </c>
      <c r="W94" s="111" t="str">
        <f aca="false">IF($B94="","",SUMIFS('الحركات الشهرية'!$J$6:$J$1005,'الحركات الشهرية'!$B$6:$B$1005,$B94,'الحركات الشهرية'!$A$6:$A$1005,$C$3))</f>
        <v/>
      </c>
      <c r="X94" s="111" t="str">
        <f aca="false">IF($B94="","",SUM(U94:W94))</f>
        <v/>
      </c>
      <c r="Y94" s="153" t="str">
        <f aca="false">IF($B94="","",T94-X94)</f>
        <v/>
      </c>
      <c r="Z94" s="111" t="str">
        <f aca="false">IF($B94="","",الموظفون!$S94*IF(E94="سعودي",cfg_G_SR,cfg_G_NR)*G94/cfg_DAYS_M)</f>
        <v/>
      </c>
      <c r="AA94" s="111" t="str">
        <f aca="false">IF($B94="","",الموظفون!$Q94*(cfg_EOS_R1*(MIN(AH94,cfg_EOS_TH)-MIN(AI94,cfg_EOS_TH))+cfg_EOS_R2*(MAX(AH94-cfg_EOS_TH,0)-MAX(AI94-cfg_EOS_TH,0))))</f>
        <v/>
      </c>
      <c r="AB94" s="111" t="str">
        <f aca="false">IF($B94="","",IF(الموظفون!$T94&lt;&gt;"",الموظفون!$T94,IF(AH94&gt;=cfg_LV_TH,cfg_LV_D2,cfg_LV_D1))/cfg_DAYS_Y*AJ94*الموظفون!$R94/cfg_DAYS_M)</f>
        <v/>
      </c>
      <c r="AC94" s="111" t="str">
        <f aca="false">IF($B94="","",IF(AND(الموظفون!$U94="نعم",N(الموظفون!$W94)&gt;0),الموظفون!$V94/الموظفون!$W94*12/cfg_DAYS_Y*AJ94,0))</f>
        <v/>
      </c>
      <c r="AD94" s="111" t="str">
        <f aca="false">IF($B94="","",(IF(الموظفون!$X94&lt;&gt;"",الموظفون!$X94,IF(الموظفون!$E94="غير سعودي",cfg_IQ,0))+IF(الموظفون!$Y94&lt;&gt;"",الموظفون!$Y94,IF(الموظفون!$E94="غير سعودي",cfg_WP,0)))/12*G94/cfg_DAYS_M)</f>
        <v/>
      </c>
      <c r="AE94" s="111" t="str">
        <f aca="false">IF($B94="","",IF(الموظفون!$Z94&lt;&gt;"",الموظفون!$Z94,cfg_MED)/12*G94/cfg_DAYS_M)</f>
        <v/>
      </c>
      <c r="AF94" s="111" t="str">
        <f aca="false">IF($B94="","",N(الموظفون!$AA94)/12*G94/cfg_DAYS_M)</f>
        <v/>
      </c>
      <c r="AG94" s="154" t="str">
        <f aca="false">IF($B94="","",T94+SUM(Z94:AF94))</f>
        <v/>
      </c>
      <c r="AH94" s="155" t="str">
        <f aca="false">IF($B94="","",MAX(0,IF(OR(الموظفون!$AE94="",الموظفون!$AE94&gt;$F$3),$F$3,الموظفون!$AE94)-الموظفون!$H94+1-SUMIFS('سجل الإجازات والحالات'!$AJ$6:$AJ$505,'سجل الإجازات والحالات'!$B$6:$B$505,$B94))/cfg_DAYS_Y)</f>
        <v/>
      </c>
      <c r="AI94" s="155" t="str">
        <f aca="false">IF($B94="","",MAX(0,IF(OR(الموظفون!$AE94="",الموظفون!$AE94&gt;($E$3-1)),($E$3-1),الموظفون!$AE94)-الموظفون!$H94+1-SUMIFS('سجل الإجازات والحالات'!$AI$6:$AI$505,'سجل الإجازات والحالات'!$B$6:$B$505,$B94))/cfg_DAYS_Y)</f>
        <v/>
      </c>
      <c r="AJ94" s="65" t="str">
        <f aca="false">IF($B94="","",MAX(0,AK94-(SUMIFS('سجل الإجازات والحالات'!$AJ$6:$AJ$505,'سجل الإجازات والحالات'!$B$6:$B$505,$B94)-SUMIFS('سجل الإجازات والحالات'!$AI$6:$AI$505,'سجل الإجازات والحالات'!$B$6:$B$505,$B94))))</f>
        <v/>
      </c>
      <c r="AK94" s="65" t="str">
        <f aca="false">IF($B94="","",MAX(0,IF(OR(الموظفون!$AE94="",الموظفون!$AE94&gt;$F$3),$F$3,الموظفون!$AE94)-MAX($E$3,الموظفون!$H94)+1))</f>
        <v/>
      </c>
      <c r="AL94" s="151" t="str">
        <f aca="false">IF($B94="","",SUMIFS('سجل الإجازات والحالات'!$AV$6:$AV$505,'سجل الإجازات والحالات'!$B$6:$B$505,$B94)+SUMIFS('الحركات الشهرية'!$K$6:$K$1005,'الحركات الشهرية'!$B$6:$B$1005,$B94,'الحركات الشهرية'!$A$6:$A$1005,$C$3))</f>
        <v/>
      </c>
      <c r="AM94" s="111" t="str">
        <f aca="false">IF($B94="","",AL94*الموظفون!$R94/cfg_DAYS_M+S94)</f>
        <v/>
      </c>
      <c r="AN94" s="151" t="str">
        <f aca="false">IF($B94="","",SUMIFS('سجل الإجازات والحالات'!$X$6:$X$505,'سجل الإجازات والحالات'!$B$6:$B$505,$B94))</f>
        <v/>
      </c>
    </row>
    <row r="95" customFormat="false" ht="15" hidden="false" customHeight="false" outlineLevel="0" collapsed="false">
      <c r="A95" s="115" t="str">
        <f aca="false">IF($B95="","",الموظفون!$A95)</f>
        <v/>
      </c>
      <c r="B95" s="117" t="str">
        <f aca="false">IF(الموظفون!$B95="","",الموظفون!$B95)</f>
        <v/>
      </c>
      <c r="C95" s="117" t="str">
        <f aca="false">IF($B95="","",الموظفون!$C95)</f>
        <v/>
      </c>
      <c r="D95" s="117" t="str">
        <f aca="false">IF($B95="","",الموظفون!$F95)</f>
        <v/>
      </c>
      <c r="E95" s="117" t="str">
        <f aca="false">IF($B95="","",الموظفون!$E95)</f>
        <v/>
      </c>
      <c r="F95" s="117" t="str">
        <f aca="false">IF($B95="","",IF(AK95=0,IF(AND(الموظفون!$AE95&lt;&gt;"",الموظفون!$AE95&lt;$E$3),"✖ منتهي الخدمة","⏳ لم يباشر"),IF(S95&gt;0,"✈ راتب إجازة مقدم",IF(J95=0,"⛔ بدون راتب هذا الشهر",IF(I95&gt;0,"✈ خصم "&amp;ROUND(I95,2)&amp;" يوم بدون أجر",IF(AL95&gt;0,"🌴 إجازة سنوية "&amp;ROUND(AL95,2)&amp;" يوم",IF(H95&gt;0,"⚠ غياب "&amp;ROUND(H95,2)&amp;" يوم","✔ على رأس العمل")))))))</f>
        <v/>
      </c>
      <c r="G95" s="156" t="str">
        <f aca="false">IF($B95="","",IF(AK95&gt;=DAY($F$3),cfg_DAYS_M,MIN(AK95,cfg_DAYS_M)))</f>
        <v/>
      </c>
      <c r="H95" s="156" t="str">
        <f aca="false">IF($B95="","",SUMIFS('الحركات الشهرية'!$D$6:$D$1005,'الحركات الشهرية'!$B$6:$B$1005,$B95,'الحركات الشهرية'!$A$6:$A$1005,$C$3))</f>
        <v/>
      </c>
      <c r="I95" s="156" t="str">
        <f aca="false">IF($B95="","",MIN(G95,IF(AND(AK95&gt;0,AN95&gt;=AK95),G95,AN95)+SUMIFS('الحركات الشهرية'!$E$6:$E$1005,'الحركات الشهرية'!$B$6:$B$1005,$B95,'الحركات الشهرية'!$A$6:$A$1005,$C$3)))</f>
        <v/>
      </c>
      <c r="J95" s="156" t="str">
        <f aca="false">IF($B95="","",MAX(0,G95-H95-I95))</f>
        <v/>
      </c>
      <c r="K95" s="116" t="str">
        <f aca="false">IF($B95="","",الموظفون!$L95*$J95/cfg_DAYS_M)</f>
        <v/>
      </c>
      <c r="L95" s="116" t="str">
        <f aca="false">IF($B95="","",الموظفون!$M95*$J95/cfg_DAYS_M)</f>
        <v/>
      </c>
      <c r="M95" s="116" t="str">
        <f aca="false">IF($B95="","",الموظفون!$N95*$J95/cfg_DAYS_M)</f>
        <v/>
      </c>
      <c r="N95" s="116" t="str">
        <f aca="false">IF($B95="","",الموظفون!$O95*$J95/cfg_DAYS_M)</f>
        <v/>
      </c>
      <c r="O95" s="156" t="str">
        <f aca="false">IF($B95="","",SUMIFS('الحركات الشهرية'!$F$6:$F$1005,'الحركات الشهرية'!$B$6:$B$1005,$B95,'الحركات الشهرية'!$A$6:$A$1005,$C$3))</f>
        <v/>
      </c>
      <c r="P95" s="116" t="str">
        <f aca="false">IF($B95="","",O95*(الموظفون!$P95+الموظفون!$L95*cfg_OT_P)/cfg_DAYS_M/cfg_HRS)</f>
        <v/>
      </c>
      <c r="Q95" s="116" t="str">
        <f aca="false">IF($B95="","",SUMIFS('الحركات الشهرية'!$G$6:$G$1005,'الحركات الشهرية'!$B$6:$B$1005,$B95,'الحركات الشهرية'!$A$6:$A$1005,$C$3))</f>
        <v/>
      </c>
      <c r="R95" s="116" t="str">
        <f aca="false">IF($B95="","",SUMIFS('الحركات الشهرية'!$H$6:$H$1005,'الحركات الشهرية'!$B$6:$B$1005,$B95,'الحركات الشهرية'!$A$6:$A$1005,$C$3))</f>
        <v/>
      </c>
      <c r="S95" s="116" t="str">
        <f aca="false">IF($B95="","",SUMIFS('سجل الإجازات والحالات'!$N$6:$N$505,'سجل الإجازات والحالات'!$B$6:$B$505,$B95,'سجل الإجازات والحالات'!$O$6:$O$505,$C$3))</f>
        <v/>
      </c>
      <c r="T95" s="157" t="str">
        <f aca="false">IF($B95="","",SUM(K95:N95)+SUM(P95:S95))</f>
        <v/>
      </c>
      <c r="U95" s="116" t="str">
        <f aca="false">IF($B95="","",الموظفون!$S95*IF(E95="سعودي",cfg_G_SE,cfg_G_NE)*G95/cfg_DAYS_M)</f>
        <v/>
      </c>
      <c r="V95" s="116" t="str">
        <f aca="false">IF($B95="","",SUMIFS('الحركات الشهرية'!$I$6:$I$1005,'الحركات الشهرية'!$B$6:$B$1005,$B95,'الحركات الشهرية'!$A$6:$A$1005,$C$3))</f>
        <v/>
      </c>
      <c r="W95" s="116" t="str">
        <f aca="false">IF($B95="","",SUMIFS('الحركات الشهرية'!$J$6:$J$1005,'الحركات الشهرية'!$B$6:$B$1005,$B95,'الحركات الشهرية'!$A$6:$A$1005,$C$3))</f>
        <v/>
      </c>
      <c r="X95" s="116" t="str">
        <f aca="false">IF($B95="","",SUM(U95:W95))</f>
        <v/>
      </c>
      <c r="Y95" s="158" t="str">
        <f aca="false">IF($B95="","",T95-X95)</f>
        <v/>
      </c>
      <c r="Z95" s="116" t="str">
        <f aca="false">IF($B95="","",الموظفون!$S95*IF(E95="سعودي",cfg_G_SR,cfg_G_NR)*G95/cfg_DAYS_M)</f>
        <v/>
      </c>
      <c r="AA95" s="116" t="str">
        <f aca="false">IF($B95="","",الموظفون!$Q95*(cfg_EOS_R1*(MIN(AH95,cfg_EOS_TH)-MIN(AI95,cfg_EOS_TH))+cfg_EOS_R2*(MAX(AH95-cfg_EOS_TH,0)-MAX(AI95-cfg_EOS_TH,0))))</f>
        <v/>
      </c>
      <c r="AB95" s="116" t="str">
        <f aca="false">IF($B95="","",IF(الموظفون!$T95&lt;&gt;"",الموظفون!$T95,IF(AH95&gt;=cfg_LV_TH,cfg_LV_D2,cfg_LV_D1))/cfg_DAYS_Y*AJ95*الموظفون!$R95/cfg_DAYS_M)</f>
        <v/>
      </c>
      <c r="AC95" s="116" t="str">
        <f aca="false">IF($B95="","",IF(AND(الموظفون!$U95="نعم",N(الموظفون!$W95)&gt;0),الموظفون!$V95/الموظفون!$W95*12/cfg_DAYS_Y*AJ95,0))</f>
        <v/>
      </c>
      <c r="AD95" s="116" t="str">
        <f aca="false">IF($B95="","",(IF(الموظفون!$X95&lt;&gt;"",الموظفون!$X95,IF(الموظفون!$E95="غير سعودي",cfg_IQ,0))+IF(الموظفون!$Y95&lt;&gt;"",الموظفون!$Y95,IF(الموظفون!$E95="غير سعودي",cfg_WP,0)))/12*G95/cfg_DAYS_M)</f>
        <v/>
      </c>
      <c r="AE95" s="116" t="str">
        <f aca="false">IF($B95="","",IF(الموظفون!$Z95&lt;&gt;"",الموظفون!$Z95,cfg_MED)/12*G95/cfg_DAYS_M)</f>
        <v/>
      </c>
      <c r="AF95" s="116" t="str">
        <f aca="false">IF($B95="","",N(الموظفون!$AA95)/12*G95/cfg_DAYS_M)</f>
        <v/>
      </c>
      <c r="AG95" s="159" t="str">
        <f aca="false">IF($B95="","",T95+SUM(Z95:AF95))</f>
        <v/>
      </c>
      <c r="AH95" s="160" t="str">
        <f aca="false">IF($B95="","",MAX(0,IF(OR(الموظفون!$AE95="",الموظفون!$AE95&gt;$F$3),$F$3,الموظفون!$AE95)-الموظفون!$H95+1-SUMIFS('سجل الإجازات والحالات'!$AJ$6:$AJ$505,'سجل الإجازات والحالات'!$B$6:$B$505,$B95))/cfg_DAYS_Y)</f>
        <v/>
      </c>
      <c r="AI95" s="160" t="str">
        <f aca="false">IF($B95="","",MAX(0,IF(OR(الموظفون!$AE95="",الموظفون!$AE95&gt;($E$3-1)),($E$3-1),الموظفون!$AE95)-الموظفون!$H95+1-SUMIFS('سجل الإجازات والحالات'!$AI$6:$AI$505,'سجل الإجازات والحالات'!$B$6:$B$505,$B95))/cfg_DAYS_Y)</f>
        <v/>
      </c>
      <c r="AJ95" s="133" t="str">
        <f aca="false">IF($B95="","",MAX(0,AK95-(SUMIFS('سجل الإجازات والحالات'!$AJ$6:$AJ$505,'سجل الإجازات والحالات'!$B$6:$B$505,$B95)-SUMIFS('سجل الإجازات والحالات'!$AI$6:$AI$505,'سجل الإجازات والحالات'!$B$6:$B$505,$B95))))</f>
        <v/>
      </c>
      <c r="AK95" s="133" t="str">
        <f aca="false">IF($B95="","",MAX(0,IF(OR(الموظفون!$AE95="",الموظفون!$AE95&gt;$F$3),$F$3,الموظفون!$AE95)-MAX($E$3,الموظفون!$H95)+1))</f>
        <v/>
      </c>
      <c r="AL95" s="156" t="str">
        <f aca="false">IF($B95="","",SUMIFS('سجل الإجازات والحالات'!$AV$6:$AV$505,'سجل الإجازات والحالات'!$B$6:$B$505,$B95)+SUMIFS('الحركات الشهرية'!$K$6:$K$1005,'الحركات الشهرية'!$B$6:$B$1005,$B95,'الحركات الشهرية'!$A$6:$A$1005,$C$3))</f>
        <v/>
      </c>
      <c r="AM95" s="116" t="str">
        <f aca="false">IF($B95="","",AL95*الموظفون!$R95/cfg_DAYS_M+S95)</f>
        <v/>
      </c>
      <c r="AN95" s="156" t="str">
        <f aca="false">IF($B95="","",SUMIFS('سجل الإجازات والحالات'!$X$6:$X$505,'سجل الإجازات والحالات'!$B$6:$B$505,$B95))</f>
        <v/>
      </c>
    </row>
    <row r="96" customFormat="false" ht="15" hidden="false" customHeight="false" outlineLevel="0" collapsed="false">
      <c r="A96" s="106" t="str">
        <f aca="false">IF($B96="","",الموظفون!$A96)</f>
        <v/>
      </c>
      <c r="B96" s="114" t="str">
        <f aca="false">IF(الموظفون!$B96="","",الموظفون!$B96)</f>
        <v/>
      </c>
      <c r="C96" s="114" t="str">
        <f aca="false">IF($B96="","",الموظفون!$C96)</f>
        <v/>
      </c>
      <c r="D96" s="114" t="str">
        <f aca="false">IF($B96="","",الموظفون!$F96)</f>
        <v/>
      </c>
      <c r="E96" s="114" t="str">
        <f aca="false">IF($B96="","",الموظفون!$E96)</f>
        <v/>
      </c>
      <c r="F96" s="114" t="str">
        <f aca="false">IF($B96="","",IF(AK96=0,IF(AND(الموظفون!$AE96&lt;&gt;"",الموظفون!$AE96&lt;$E$3),"✖ منتهي الخدمة","⏳ لم يباشر"),IF(S96&gt;0,"✈ راتب إجازة مقدم",IF(J96=0,"⛔ بدون راتب هذا الشهر",IF(I96&gt;0,"✈ خصم "&amp;ROUND(I96,2)&amp;" يوم بدون أجر",IF(AL96&gt;0,"🌴 إجازة سنوية "&amp;ROUND(AL96,2)&amp;" يوم",IF(H96&gt;0,"⚠ غياب "&amp;ROUND(H96,2)&amp;" يوم","✔ على رأس العمل")))))))</f>
        <v/>
      </c>
      <c r="G96" s="151" t="str">
        <f aca="false">IF($B96="","",IF(AK96&gt;=DAY($F$3),cfg_DAYS_M,MIN(AK96,cfg_DAYS_M)))</f>
        <v/>
      </c>
      <c r="H96" s="151" t="str">
        <f aca="false">IF($B96="","",SUMIFS('الحركات الشهرية'!$D$6:$D$1005,'الحركات الشهرية'!$B$6:$B$1005,$B96,'الحركات الشهرية'!$A$6:$A$1005,$C$3))</f>
        <v/>
      </c>
      <c r="I96" s="151" t="str">
        <f aca="false">IF($B96="","",MIN(G96,IF(AND(AK96&gt;0,AN96&gt;=AK96),G96,AN96)+SUMIFS('الحركات الشهرية'!$E$6:$E$1005,'الحركات الشهرية'!$B$6:$B$1005,$B96,'الحركات الشهرية'!$A$6:$A$1005,$C$3)))</f>
        <v/>
      </c>
      <c r="J96" s="151" t="str">
        <f aca="false">IF($B96="","",MAX(0,G96-H96-I96))</f>
        <v/>
      </c>
      <c r="K96" s="111" t="str">
        <f aca="false">IF($B96="","",الموظفون!$L96*$J96/cfg_DAYS_M)</f>
        <v/>
      </c>
      <c r="L96" s="111" t="str">
        <f aca="false">IF($B96="","",الموظفون!$M96*$J96/cfg_DAYS_M)</f>
        <v/>
      </c>
      <c r="M96" s="111" t="str">
        <f aca="false">IF($B96="","",الموظفون!$N96*$J96/cfg_DAYS_M)</f>
        <v/>
      </c>
      <c r="N96" s="111" t="str">
        <f aca="false">IF($B96="","",الموظفون!$O96*$J96/cfg_DAYS_M)</f>
        <v/>
      </c>
      <c r="O96" s="151" t="str">
        <f aca="false">IF($B96="","",SUMIFS('الحركات الشهرية'!$F$6:$F$1005,'الحركات الشهرية'!$B$6:$B$1005,$B96,'الحركات الشهرية'!$A$6:$A$1005,$C$3))</f>
        <v/>
      </c>
      <c r="P96" s="111" t="str">
        <f aca="false">IF($B96="","",O96*(الموظفون!$P96+الموظفون!$L96*cfg_OT_P)/cfg_DAYS_M/cfg_HRS)</f>
        <v/>
      </c>
      <c r="Q96" s="111" t="str">
        <f aca="false">IF($B96="","",SUMIFS('الحركات الشهرية'!$G$6:$G$1005,'الحركات الشهرية'!$B$6:$B$1005,$B96,'الحركات الشهرية'!$A$6:$A$1005,$C$3))</f>
        <v/>
      </c>
      <c r="R96" s="111" t="str">
        <f aca="false">IF($B96="","",SUMIFS('الحركات الشهرية'!$H$6:$H$1005,'الحركات الشهرية'!$B$6:$B$1005,$B96,'الحركات الشهرية'!$A$6:$A$1005,$C$3))</f>
        <v/>
      </c>
      <c r="S96" s="111" t="str">
        <f aca="false">IF($B96="","",SUMIFS('سجل الإجازات والحالات'!$N$6:$N$505,'سجل الإجازات والحالات'!$B$6:$B$505,$B96,'سجل الإجازات والحالات'!$O$6:$O$505,$C$3))</f>
        <v/>
      </c>
      <c r="T96" s="152" t="str">
        <f aca="false">IF($B96="","",SUM(K96:N96)+SUM(P96:S96))</f>
        <v/>
      </c>
      <c r="U96" s="111" t="str">
        <f aca="false">IF($B96="","",الموظفون!$S96*IF(E96="سعودي",cfg_G_SE,cfg_G_NE)*G96/cfg_DAYS_M)</f>
        <v/>
      </c>
      <c r="V96" s="111" t="str">
        <f aca="false">IF($B96="","",SUMIFS('الحركات الشهرية'!$I$6:$I$1005,'الحركات الشهرية'!$B$6:$B$1005,$B96,'الحركات الشهرية'!$A$6:$A$1005,$C$3))</f>
        <v/>
      </c>
      <c r="W96" s="111" t="str">
        <f aca="false">IF($B96="","",SUMIFS('الحركات الشهرية'!$J$6:$J$1005,'الحركات الشهرية'!$B$6:$B$1005,$B96,'الحركات الشهرية'!$A$6:$A$1005,$C$3))</f>
        <v/>
      </c>
      <c r="X96" s="111" t="str">
        <f aca="false">IF($B96="","",SUM(U96:W96))</f>
        <v/>
      </c>
      <c r="Y96" s="153" t="str">
        <f aca="false">IF($B96="","",T96-X96)</f>
        <v/>
      </c>
      <c r="Z96" s="111" t="str">
        <f aca="false">IF($B96="","",الموظفون!$S96*IF(E96="سعودي",cfg_G_SR,cfg_G_NR)*G96/cfg_DAYS_M)</f>
        <v/>
      </c>
      <c r="AA96" s="111" t="str">
        <f aca="false">IF($B96="","",الموظفون!$Q96*(cfg_EOS_R1*(MIN(AH96,cfg_EOS_TH)-MIN(AI96,cfg_EOS_TH))+cfg_EOS_R2*(MAX(AH96-cfg_EOS_TH,0)-MAX(AI96-cfg_EOS_TH,0))))</f>
        <v/>
      </c>
      <c r="AB96" s="111" t="str">
        <f aca="false">IF($B96="","",IF(الموظفون!$T96&lt;&gt;"",الموظفون!$T96,IF(AH96&gt;=cfg_LV_TH,cfg_LV_D2,cfg_LV_D1))/cfg_DAYS_Y*AJ96*الموظفون!$R96/cfg_DAYS_M)</f>
        <v/>
      </c>
      <c r="AC96" s="111" t="str">
        <f aca="false">IF($B96="","",IF(AND(الموظفون!$U96="نعم",N(الموظفون!$W96)&gt;0),الموظفون!$V96/الموظفون!$W96*12/cfg_DAYS_Y*AJ96,0))</f>
        <v/>
      </c>
      <c r="AD96" s="111" t="str">
        <f aca="false">IF($B96="","",(IF(الموظفون!$X96&lt;&gt;"",الموظفون!$X96,IF(الموظفون!$E96="غير سعودي",cfg_IQ,0))+IF(الموظفون!$Y96&lt;&gt;"",الموظفون!$Y96,IF(الموظفون!$E96="غير سعودي",cfg_WP,0)))/12*G96/cfg_DAYS_M)</f>
        <v/>
      </c>
      <c r="AE96" s="111" t="str">
        <f aca="false">IF($B96="","",IF(الموظفون!$Z96&lt;&gt;"",الموظفون!$Z96,cfg_MED)/12*G96/cfg_DAYS_M)</f>
        <v/>
      </c>
      <c r="AF96" s="111" t="str">
        <f aca="false">IF($B96="","",N(الموظفون!$AA96)/12*G96/cfg_DAYS_M)</f>
        <v/>
      </c>
      <c r="AG96" s="154" t="str">
        <f aca="false">IF($B96="","",T96+SUM(Z96:AF96))</f>
        <v/>
      </c>
      <c r="AH96" s="155" t="str">
        <f aca="false">IF($B96="","",MAX(0,IF(OR(الموظفون!$AE96="",الموظفون!$AE96&gt;$F$3),$F$3,الموظفون!$AE96)-الموظفون!$H96+1-SUMIFS('سجل الإجازات والحالات'!$AJ$6:$AJ$505,'سجل الإجازات والحالات'!$B$6:$B$505,$B96))/cfg_DAYS_Y)</f>
        <v/>
      </c>
      <c r="AI96" s="155" t="str">
        <f aca="false">IF($B96="","",MAX(0,IF(OR(الموظفون!$AE96="",الموظفون!$AE96&gt;($E$3-1)),($E$3-1),الموظفون!$AE96)-الموظفون!$H96+1-SUMIFS('سجل الإجازات والحالات'!$AI$6:$AI$505,'سجل الإجازات والحالات'!$B$6:$B$505,$B96))/cfg_DAYS_Y)</f>
        <v/>
      </c>
      <c r="AJ96" s="65" t="str">
        <f aca="false">IF($B96="","",MAX(0,AK96-(SUMIFS('سجل الإجازات والحالات'!$AJ$6:$AJ$505,'سجل الإجازات والحالات'!$B$6:$B$505,$B96)-SUMIFS('سجل الإجازات والحالات'!$AI$6:$AI$505,'سجل الإجازات والحالات'!$B$6:$B$505,$B96))))</f>
        <v/>
      </c>
      <c r="AK96" s="65" t="str">
        <f aca="false">IF($B96="","",MAX(0,IF(OR(الموظفون!$AE96="",الموظفون!$AE96&gt;$F$3),$F$3,الموظفون!$AE96)-MAX($E$3,الموظفون!$H96)+1))</f>
        <v/>
      </c>
      <c r="AL96" s="151" t="str">
        <f aca="false">IF($B96="","",SUMIFS('سجل الإجازات والحالات'!$AV$6:$AV$505,'سجل الإجازات والحالات'!$B$6:$B$505,$B96)+SUMIFS('الحركات الشهرية'!$K$6:$K$1005,'الحركات الشهرية'!$B$6:$B$1005,$B96,'الحركات الشهرية'!$A$6:$A$1005,$C$3))</f>
        <v/>
      </c>
      <c r="AM96" s="111" t="str">
        <f aca="false">IF($B96="","",AL96*الموظفون!$R96/cfg_DAYS_M+S96)</f>
        <v/>
      </c>
      <c r="AN96" s="151" t="str">
        <f aca="false">IF($B96="","",SUMIFS('سجل الإجازات والحالات'!$X$6:$X$505,'سجل الإجازات والحالات'!$B$6:$B$505,$B96))</f>
        <v/>
      </c>
    </row>
    <row r="97" customFormat="false" ht="15" hidden="false" customHeight="false" outlineLevel="0" collapsed="false">
      <c r="A97" s="115" t="str">
        <f aca="false">IF($B97="","",الموظفون!$A97)</f>
        <v/>
      </c>
      <c r="B97" s="117" t="str">
        <f aca="false">IF(الموظفون!$B97="","",الموظفون!$B97)</f>
        <v/>
      </c>
      <c r="C97" s="117" t="str">
        <f aca="false">IF($B97="","",الموظفون!$C97)</f>
        <v/>
      </c>
      <c r="D97" s="117" t="str">
        <f aca="false">IF($B97="","",الموظفون!$F97)</f>
        <v/>
      </c>
      <c r="E97" s="117" t="str">
        <f aca="false">IF($B97="","",الموظفون!$E97)</f>
        <v/>
      </c>
      <c r="F97" s="117" t="str">
        <f aca="false">IF($B97="","",IF(AK97=0,IF(AND(الموظفون!$AE97&lt;&gt;"",الموظفون!$AE97&lt;$E$3),"✖ منتهي الخدمة","⏳ لم يباشر"),IF(S97&gt;0,"✈ راتب إجازة مقدم",IF(J97=0,"⛔ بدون راتب هذا الشهر",IF(I97&gt;0,"✈ خصم "&amp;ROUND(I97,2)&amp;" يوم بدون أجر",IF(AL97&gt;0,"🌴 إجازة سنوية "&amp;ROUND(AL97,2)&amp;" يوم",IF(H97&gt;0,"⚠ غياب "&amp;ROUND(H97,2)&amp;" يوم","✔ على رأس العمل")))))))</f>
        <v/>
      </c>
      <c r="G97" s="156" t="str">
        <f aca="false">IF($B97="","",IF(AK97&gt;=DAY($F$3),cfg_DAYS_M,MIN(AK97,cfg_DAYS_M)))</f>
        <v/>
      </c>
      <c r="H97" s="156" t="str">
        <f aca="false">IF($B97="","",SUMIFS('الحركات الشهرية'!$D$6:$D$1005,'الحركات الشهرية'!$B$6:$B$1005,$B97,'الحركات الشهرية'!$A$6:$A$1005,$C$3))</f>
        <v/>
      </c>
      <c r="I97" s="156" t="str">
        <f aca="false">IF($B97="","",MIN(G97,IF(AND(AK97&gt;0,AN97&gt;=AK97),G97,AN97)+SUMIFS('الحركات الشهرية'!$E$6:$E$1005,'الحركات الشهرية'!$B$6:$B$1005,$B97,'الحركات الشهرية'!$A$6:$A$1005,$C$3)))</f>
        <v/>
      </c>
      <c r="J97" s="156" t="str">
        <f aca="false">IF($B97="","",MAX(0,G97-H97-I97))</f>
        <v/>
      </c>
      <c r="K97" s="116" t="str">
        <f aca="false">IF($B97="","",الموظفون!$L97*$J97/cfg_DAYS_M)</f>
        <v/>
      </c>
      <c r="L97" s="116" t="str">
        <f aca="false">IF($B97="","",الموظفون!$M97*$J97/cfg_DAYS_M)</f>
        <v/>
      </c>
      <c r="M97" s="116" t="str">
        <f aca="false">IF($B97="","",الموظفون!$N97*$J97/cfg_DAYS_M)</f>
        <v/>
      </c>
      <c r="N97" s="116" t="str">
        <f aca="false">IF($B97="","",الموظفون!$O97*$J97/cfg_DAYS_M)</f>
        <v/>
      </c>
      <c r="O97" s="156" t="str">
        <f aca="false">IF($B97="","",SUMIFS('الحركات الشهرية'!$F$6:$F$1005,'الحركات الشهرية'!$B$6:$B$1005,$B97,'الحركات الشهرية'!$A$6:$A$1005,$C$3))</f>
        <v/>
      </c>
      <c r="P97" s="116" t="str">
        <f aca="false">IF($B97="","",O97*(الموظفون!$P97+الموظفون!$L97*cfg_OT_P)/cfg_DAYS_M/cfg_HRS)</f>
        <v/>
      </c>
      <c r="Q97" s="116" t="str">
        <f aca="false">IF($B97="","",SUMIFS('الحركات الشهرية'!$G$6:$G$1005,'الحركات الشهرية'!$B$6:$B$1005,$B97,'الحركات الشهرية'!$A$6:$A$1005,$C$3))</f>
        <v/>
      </c>
      <c r="R97" s="116" t="str">
        <f aca="false">IF($B97="","",SUMIFS('الحركات الشهرية'!$H$6:$H$1005,'الحركات الشهرية'!$B$6:$B$1005,$B97,'الحركات الشهرية'!$A$6:$A$1005,$C$3))</f>
        <v/>
      </c>
      <c r="S97" s="116" t="str">
        <f aca="false">IF($B97="","",SUMIFS('سجل الإجازات والحالات'!$N$6:$N$505,'سجل الإجازات والحالات'!$B$6:$B$505,$B97,'سجل الإجازات والحالات'!$O$6:$O$505,$C$3))</f>
        <v/>
      </c>
      <c r="T97" s="157" t="str">
        <f aca="false">IF($B97="","",SUM(K97:N97)+SUM(P97:S97))</f>
        <v/>
      </c>
      <c r="U97" s="116" t="str">
        <f aca="false">IF($B97="","",الموظفون!$S97*IF(E97="سعودي",cfg_G_SE,cfg_G_NE)*G97/cfg_DAYS_M)</f>
        <v/>
      </c>
      <c r="V97" s="116" t="str">
        <f aca="false">IF($B97="","",SUMIFS('الحركات الشهرية'!$I$6:$I$1005,'الحركات الشهرية'!$B$6:$B$1005,$B97,'الحركات الشهرية'!$A$6:$A$1005,$C$3))</f>
        <v/>
      </c>
      <c r="W97" s="116" t="str">
        <f aca="false">IF($B97="","",SUMIFS('الحركات الشهرية'!$J$6:$J$1005,'الحركات الشهرية'!$B$6:$B$1005,$B97,'الحركات الشهرية'!$A$6:$A$1005,$C$3))</f>
        <v/>
      </c>
      <c r="X97" s="116" t="str">
        <f aca="false">IF($B97="","",SUM(U97:W97))</f>
        <v/>
      </c>
      <c r="Y97" s="158" t="str">
        <f aca="false">IF($B97="","",T97-X97)</f>
        <v/>
      </c>
      <c r="Z97" s="116" t="str">
        <f aca="false">IF($B97="","",الموظفون!$S97*IF(E97="سعودي",cfg_G_SR,cfg_G_NR)*G97/cfg_DAYS_M)</f>
        <v/>
      </c>
      <c r="AA97" s="116" t="str">
        <f aca="false">IF($B97="","",الموظفون!$Q97*(cfg_EOS_R1*(MIN(AH97,cfg_EOS_TH)-MIN(AI97,cfg_EOS_TH))+cfg_EOS_R2*(MAX(AH97-cfg_EOS_TH,0)-MAX(AI97-cfg_EOS_TH,0))))</f>
        <v/>
      </c>
      <c r="AB97" s="116" t="str">
        <f aca="false">IF($B97="","",IF(الموظفون!$T97&lt;&gt;"",الموظفون!$T97,IF(AH97&gt;=cfg_LV_TH,cfg_LV_D2,cfg_LV_D1))/cfg_DAYS_Y*AJ97*الموظفون!$R97/cfg_DAYS_M)</f>
        <v/>
      </c>
      <c r="AC97" s="116" t="str">
        <f aca="false">IF($B97="","",IF(AND(الموظفون!$U97="نعم",N(الموظفون!$W97)&gt;0),الموظفون!$V97/الموظفون!$W97*12/cfg_DAYS_Y*AJ97,0))</f>
        <v/>
      </c>
      <c r="AD97" s="116" t="str">
        <f aca="false">IF($B97="","",(IF(الموظفون!$X97&lt;&gt;"",الموظفون!$X97,IF(الموظفون!$E97="غير سعودي",cfg_IQ,0))+IF(الموظفون!$Y97&lt;&gt;"",الموظفون!$Y97,IF(الموظفون!$E97="غير سعودي",cfg_WP,0)))/12*G97/cfg_DAYS_M)</f>
        <v/>
      </c>
      <c r="AE97" s="116" t="str">
        <f aca="false">IF($B97="","",IF(الموظفون!$Z97&lt;&gt;"",الموظفون!$Z97,cfg_MED)/12*G97/cfg_DAYS_M)</f>
        <v/>
      </c>
      <c r="AF97" s="116" t="str">
        <f aca="false">IF($B97="","",N(الموظفون!$AA97)/12*G97/cfg_DAYS_M)</f>
        <v/>
      </c>
      <c r="AG97" s="159" t="str">
        <f aca="false">IF($B97="","",T97+SUM(Z97:AF97))</f>
        <v/>
      </c>
      <c r="AH97" s="160" t="str">
        <f aca="false">IF($B97="","",MAX(0,IF(OR(الموظفون!$AE97="",الموظفون!$AE97&gt;$F$3),$F$3,الموظفون!$AE97)-الموظفون!$H97+1-SUMIFS('سجل الإجازات والحالات'!$AJ$6:$AJ$505,'سجل الإجازات والحالات'!$B$6:$B$505,$B97))/cfg_DAYS_Y)</f>
        <v/>
      </c>
      <c r="AI97" s="160" t="str">
        <f aca="false">IF($B97="","",MAX(0,IF(OR(الموظفون!$AE97="",الموظفون!$AE97&gt;($E$3-1)),($E$3-1),الموظفون!$AE97)-الموظفون!$H97+1-SUMIFS('سجل الإجازات والحالات'!$AI$6:$AI$505,'سجل الإجازات والحالات'!$B$6:$B$505,$B97))/cfg_DAYS_Y)</f>
        <v/>
      </c>
      <c r="AJ97" s="133" t="str">
        <f aca="false">IF($B97="","",MAX(0,AK97-(SUMIFS('سجل الإجازات والحالات'!$AJ$6:$AJ$505,'سجل الإجازات والحالات'!$B$6:$B$505,$B97)-SUMIFS('سجل الإجازات والحالات'!$AI$6:$AI$505,'سجل الإجازات والحالات'!$B$6:$B$505,$B97))))</f>
        <v/>
      </c>
      <c r="AK97" s="133" t="str">
        <f aca="false">IF($B97="","",MAX(0,IF(OR(الموظفون!$AE97="",الموظفون!$AE97&gt;$F$3),$F$3,الموظفون!$AE97)-MAX($E$3,الموظفون!$H97)+1))</f>
        <v/>
      </c>
      <c r="AL97" s="156" t="str">
        <f aca="false">IF($B97="","",SUMIFS('سجل الإجازات والحالات'!$AV$6:$AV$505,'سجل الإجازات والحالات'!$B$6:$B$505,$B97)+SUMIFS('الحركات الشهرية'!$K$6:$K$1005,'الحركات الشهرية'!$B$6:$B$1005,$B97,'الحركات الشهرية'!$A$6:$A$1005,$C$3))</f>
        <v/>
      </c>
      <c r="AM97" s="116" t="str">
        <f aca="false">IF($B97="","",AL97*الموظفون!$R97/cfg_DAYS_M+S97)</f>
        <v/>
      </c>
      <c r="AN97" s="156" t="str">
        <f aca="false">IF($B97="","",SUMIFS('سجل الإجازات والحالات'!$X$6:$X$505,'سجل الإجازات والحالات'!$B$6:$B$505,$B97))</f>
        <v/>
      </c>
    </row>
    <row r="98" customFormat="false" ht="15" hidden="false" customHeight="false" outlineLevel="0" collapsed="false">
      <c r="A98" s="106" t="str">
        <f aca="false">IF($B98="","",الموظفون!$A98)</f>
        <v/>
      </c>
      <c r="B98" s="114" t="str">
        <f aca="false">IF(الموظفون!$B98="","",الموظفون!$B98)</f>
        <v/>
      </c>
      <c r="C98" s="114" t="str">
        <f aca="false">IF($B98="","",الموظفون!$C98)</f>
        <v/>
      </c>
      <c r="D98" s="114" t="str">
        <f aca="false">IF($B98="","",الموظفون!$F98)</f>
        <v/>
      </c>
      <c r="E98" s="114" t="str">
        <f aca="false">IF($B98="","",الموظفون!$E98)</f>
        <v/>
      </c>
      <c r="F98" s="114" t="str">
        <f aca="false">IF($B98="","",IF(AK98=0,IF(AND(الموظفون!$AE98&lt;&gt;"",الموظفون!$AE98&lt;$E$3),"✖ منتهي الخدمة","⏳ لم يباشر"),IF(S98&gt;0,"✈ راتب إجازة مقدم",IF(J98=0,"⛔ بدون راتب هذا الشهر",IF(I98&gt;0,"✈ خصم "&amp;ROUND(I98,2)&amp;" يوم بدون أجر",IF(AL98&gt;0,"🌴 إجازة سنوية "&amp;ROUND(AL98,2)&amp;" يوم",IF(H98&gt;0,"⚠ غياب "&amp;ROUND(H98,2)&amp;" يوم","✔ على رأس العمل")))))))</f>
        <v/>
      </c>
      <c r="G98" s="151" t="str">
        <f aca="false">IF($B98="","",IF(AK98&gt;=DAY($F$3),cfg_DAYS_M,MIN(AK98,cfg_DAYS_M)))</f>
        <v/>
      </c>
      <c r="H98" s="151" t="str">
        <f aca="false">IF($B98="","",SUMIFS('الحركات الشهرية'!$D$6:$D$1005,'الحركات الشهرية'!$B$6:$B$1005,$B98,'الحركات الشهرية'!$A$6:$A$1005,$C$3))</f>
        <v/>
      </c>
      <c r="I98" s="151" t="str">
        <f aca="false">IF($B98="","",MIN(G98,IF(AND(AK98&gt;0,AN98&gt;=AK98),G98,AN98)+SUMIFS('الحركات الشهرية'!$E$6:$E$1005,'الحركات الشهرية'!$B$6:$B$1005,$B98,'الحركات الشهرية'!$A$6:$A$1005,$C$3)))</f>
        <v/>
      </c>
      <c r="J98" s="151" t="str">
        <f aca="false">IF($B98="","",MAX(0,G98-H98-I98))</f>
        <v/>
      </c>
      <c r="K98" s="111" t="str">
        <f aca="false">IF($B98="","",الموظفون!$L98*$J98/cfg_DAYS_M)</f>
        <v/>
      </c>
      <c r="L98" s="111" t="str">
        <f aca="false">IF($B98="","",الموظفون!$M98*$J98/cfg_DAYS_M)</f>
        <v/>
      </c>
      <c r="M98" s="111" t="str">
        <f aca="false">IF($B98="","",الموظفون!$N98*$J98/cfg_DAYS_M)</f>
        <v/>
      </c>
      <c r="N98" s="111" t="str">
        <f aca="false">IF($B98="","",الموظفون!$O98*$J98/cfg_DAYS_M)</f>
        <v/>
      </c>
      <c r="O98" s="151" t="str">
        <f aca="false">IF($B98="","",SUMIFS('الحركات الشهرية'!$F$6:$F$1005,'الحركات الشهرية'!$B$6:$B$1005,$B98,'الحركات الشهرية'!$A$6:$A$1005,$C$3))</f>
        <v/>
      </c>
      <c r="P98" s="111" t="str">
        <f aca="false">IF($B98="","",O98*(الموظفون!$P98+الموظفون!$L98*cfg_OT_P)/cfg_DAYS_M/cfg_HRS)</f>
        <v/>
      </c>
      <c r="Q98" s="111" t="str">
        <f aca="false">IF($B98="","",SUMIFS('الحركات الشهرية'!$G$6:$G$1005,'الحركات الشهرية'!$B$6:$B$1005,$B98,'الحركات الشهرية'!$A$6:$A$1005,$C$3))</f>
        <v/>
      </c>
      <c r="R98" s="111" t="str">
        <f aca="false">IF($B98="","",SUMIFS('الحركات الشهرية'!$H$6:$H$1005,'الحركات الشهرية'!$B$6:$B$1005,$B98,'الحركات الشهرية'!$A$6:$A$1005,$C$3))</f>
        <v/>
      </c>
      <c r="S98" s="111" t="str">
        <f aca="false">IF($B98="","",SUMIFS('سجل الإجازات والحالات'!$N$6:$N$505,'سجل الإجازات والحالات'!$B$6:$B$505,$B98,'سجل الإجازات والحالات'!$O$6:$O$505,$C$3))</f>
        <v/>
      </c>
      <c r="T98" s="152" t="str">
        <f aca="false">IF($B98="","",SUM(K98:N98)+SUM(P98:S98))</f>
        <v/>
      </c>
      <c r="U98" s="111" t="str">
        <f aca="false">IF($B98="","",الموظفون!$S98*IF(E98="سعودي",cfg_G_SE,cfg_G_NE)*G98/cfg_DAYS_M)</f>
        <v/>
      </c>
      <c r="V98" s="111" t="str">
        <f aca="false">IF($B98="","",SUMIFS('الحركات الشهرية'!$I$6:$I$1005,'الحركات الشهرية'!$B$6:$B$1005,$B98,'الحركات الشهرية'!$A$6:$A$1005,$C$3))</f>
        <v/>
      </c>
      <c r="W98" s="111" t="str">
        <f aca="false">IF($B98="","",SUMIFS('الحركات الشهرية'!$J$6:$J$1005,'الحركات الشهرية'!$B$6:$B$1005,$B98,'الحركات الشهرية'!$A$6:$A$1005,$C$3))</f>
        <v/>
      </c>
      <c r="X98" s="111" t="str">
        <f aca="false">IF($B98="","",SUM(U98:W98))</f>
        <v/>
      </c>
      <c r="Y98" s="153" t="str">
        <f aca="false">IF($B98="","",T98-X98)</f>
        <v/>
      </c>
      <c r="Z98" s="111" t="str">
        <f aca="false">IF($B98="","",الموظفون!$S98*IF(E98="سعودي",cfg_G_SR,cfg_G_NR)*G98/cfg_DAYS_M)</f>
        <v/>
      </c>
      <c r="AA98" s="111" t="str">
        <f aca="false">IF($B98="","",الموظفون!$Q98*(cfg_EOS_R1*(MIN(AH98,cfg_EOS_TH)-MIN(AI98,cfg_EOS_TH))+cfg_EOS_R2*(MAX(AH98-cfg_EOS_TH,0)-MAX(AI98-cfg_EOS_TH,0))))</f>
        <v/>
      </c>
      <c r="AB98" s="111" t="str">
        <f aca="false">IF($B98="","",IF(الموظفون!$T98&lt;&gt;"",الموظفون!$T98,IF(AH98&gt;=cfg_LV_TH,cfg_LV_D2,cfg_LV_D1))/cfg_DAYS_Y*AJ98*الموظفون!$R98/cfg_DAYS_M)</f>
        <v/>
      </c>
      <c r="AC98" s="111" t="str">
        <f aca="false">IF($B98="","",IF(AND(الموظفون!$U98="نعم",N(الموظفون!$W98)&gt;0),الموظفون!$V98/الموظفون!$W98*12/cfg_DAYS_Y*AJ98,0))</f>
        <v/>
      </c>
      <c r="AD98" s="111" t="str">
        <f aca="false">IF($B98="","",(IF(الموظفون!$X98&lt;&gt;"",الموظفون!$X98,IF(الموظفون!$E98="غير سعودي",cfg_IQ,0))+IF(الموظفون!$Y98&lt;&gt;"",الموظفون!$Y98,IF(الموظفون!$E98="غير سعودي",cfg_WP,0)))/12*G98/cfg_DAYS_M)</f>
        <v/>
      </c>
      <c r="AE98" s="111" t="str">
        <f aca="false">IF($B98="","",IF(الموظفون!$Z98&lt;&gt;"",الموظفون!$Z98,cfg_MED)/12*G98/cfg_DAYS_M)</f>
        <v/>
      </c>
      <c r="AF98" s="111" t="str">
        <f aca="false">IF($B98="","",N(الموظفون!$AA98)/12*G98/cfg_DAYS_M)</f>
        <v/>
      </c>
      <c r="AG98" s="154" t="str">
        <f aca="false">IF($B98="","",T98+SUM(Z98:AF98))</f>
        <v/>
      </c>
      <c r="AH98" s="155" t="str">
        <f aca="false">IF($B98="","",MAX(0,IF(OR(الموظفون!$AE98="",الموظفون!$AE98&gt;$F$3),$F$3,الموظفون!$AE98)-الموظفون!$H98+1-SUMIFS('سجل الإجازات والحالات'!$AJ$6:$AJ$505,'سجل الإجازات والحالات'!$B$6:$B$505,$B98))/cfg_DAYS_Y)</f>
        <v/>
      </c>
      <c r="AI98" s="155" t="str">
        <f aca="false">IF($B98="","",MAX(0,IF(OR(الموظفون!$AE98="",الموظفون!$AE98&gt;($E$3-1)),($E$3-1),الموظفون!$AE98)-الموظفون!$H98+1-SUMIFS('سجل الإجازات والحالات'!$AI$6:$AI$505,'سجل الإجازات والحالات'!$B$6:$B$505,$B98))/cfg_DAYS_Y)</f>
        <v/>
      </c>
      <c r="AJ98" s="65" t="str">
        <f aca="false">IF($B98="","",MAX(0,AK98-(SUMIFS('سجل الإجازات والحالات'!$AJ$6:$AJ$505,'سجل الإجازات والحالات'!$B$6:$B$505,$B98)-SUMIFS('سجل الإجازات والحالات'!$AI$6:$AI$505,'سجل الإجازات والحالات'!$B$6:$B$505,$B98))))</f>
        <v/>
      </c>
      <c r="AK98" s="65" t="str">
        <f aca="false">IF($B98="","",MAX(0,IF(OR(الموظفون!$AE98="",الموظفون!$AE98&gt;$F$3),$F$3,الموظفون!$AE98)-MAX($E$3,الموظفون!$H98)+1))</f>
        <v/>
      </c>
      <c r="AL98" s="151" t="str">
        <f aca="false">IF($B98="","",SUMIFS('سجل الإجازات والحالات'!$AV$6:$AV$505,'سجل الإجازات والحالات'!$B$6:$B$505,$B98)+SUMIFS('الحركات الشهرية'!$K$6:$K$1005,'الحركات الشهرية'!$B$6:$B$1005,$B98,'الحركات الشهرية'!$A$6:$A$1005,$C$3))</f>
        <v/>
      </c>
      <c r="AM98" s="111" t="str">
        <f aca="false">IF($B98="","",AL98*الموظفون!$R98/cfg_DAYS_M+S98)</f>
        <v/>
      </c>
      <c r="AN98" s="151" t="str">
        <f aca="false">IF($B98="","",SUMIFS('سجل الإجازات والحالات'!$X$6:$X$505,'سجل الإجازات والحالات'!$B$6:$B$505,$B98))</f>
        <v/>
      </c>
    </row>
    <row r="99" customFormat="false" ht="15" hidden="false" customHeight="false" outlineLevel="0" collapsed="false">
      <c r="A99" s="115" t="str">
        <f aca="false">IF($B99="","",الموظفون!$A99)</f>
        <v/>
      </c>
      <c r="B99" s="117" t="str">
        <f aca="false">IF(الموظفون!$B99="","",الموظفون!$B99)</f>
        <v/>
      </c>
      <c r="C99" s="117" t="str">
        <f aca="false">IF($B99="","",الموظفون!$C99)</f>
        <v/>
      </c>
      <c r="D99" s="117" t="str">
        <f aca="false">IF($B99="","",الموظفون!$F99)</f>
        <v/>
      </c>
      <c r="E99" s="117" t="str">
        <f aca="false">IF($B99="","",الموظفون!$E99)</f>
        <v/>
      </c>
      <c r="F99" s="117" t="str">
        <f aca="false">IF($B99="","",IF(AK99=0,IF(AND(الموظفون!$AE99&lt;&gt;"",الموظفون!$AE99&lt;$E$3),"✖ منتهي الخدمة","⏳ لم يباشر"),IF(S99&gt;0,"✈ راتب إجازة مقدم",IF(J99=0,"⛔ بدون راتب هذا الشهر",IF(I99&gt;0,"✈ خصم "&amp;ROUND(I99,2)&amp;" يوم بدون أجر",IF(AL99&gt;0,"🌴 إجازة سنوية "&amp;ROUND(AL99,2)&amp;" يوم",IF(H99&gt;0,"⚠ غياب "&amp;ROUND(H99,2)&amp;" يوم","✔ على رأس العمل")))))))</f>
        <v/>
      </c>
      <c r="G99" s="156" t="str">
        <f aca="false">IF($B99="","",IF(AK99&gt;=DAY($F$3),cfg_DAYS_M,MIN(AK99,cfg_DAYS_M)))</f>
        <v/>
      </c>
      <c r="H99" s="156" t="str">
        <f aca="false">IF($B99="","",SUMIFS('الحركات الشهرية'!$D$6:$D$1005,'الحركات الشهرية'!$B$6:$B$1005,$B99,'الحركات الشهرية'!$A$6:$A$1005,$C$3))</f>
        <v/>
      </c>
      <c r="I99" s="156" t="str">
        <f aca="false">IF($B99="","",MIN(G99,IF(AND(AK99&gt;0,AN99&gt;=AK99),G99,AN99)+SUMIFS('الحركات الشهرية'!$E$6:$E$1005,'الحركات الشهرية'!$B$6:$B$1005,$B99,'الحركات الشهرية'!$A$6:$A$1005,$C$3)))</f>
        <v/>
      </c>
      <c r="J99" s="156" t="str">
        <f aca="false">IF($B99="","",MAX(0,G99-H99-I99))</f>
        <v/>
      </c>
      <c r="K99" s="116" t="str">
        <f aca="false">IF($B99="","",الموظفون!$L99*$J99/cfg_DAYS_M)</f>
        <v/>
      </c>
      <c r="L99" s="116" t="str">
        <f aca="false">IF($B99="","",الموظفون!$M99*$J99/cfg_DAYS_M)</f>
        <v/>
      </c>
      <c r="M99" s="116" t="str">
        <f aca="false">IF($B99="","",الموظفون!$N99*$J99/cfg_DAYS_M)</f>
        <v/>
      </c>
      <c r="N99" s="116" t="str">
        <f aca="false">IF($B99="","",الموظفون!$O99*$J99/cfg_DAYS_M)</f>
        <v/>
      </c>
      <c r="O99" s="156" t="str">
        <f aca="false">IF($B99="","",SUMIFS('الحركات الشهرية'!$F$6:$F$1005,'الحركات الشهرية'!$B$6:$B$1005,$B99,'الحركات الشهرية'!$A$6:$A$1005,$C$3))</f>
        <v/>
      </c>
      <c r="P99" s="116" t="str">
        <f aca="false">IF($B99="","",O99*(الموظفون!$P99+الموظفون!$L99*cfg_OT_P)/cfg_DAYS_M/cfg_HRS)</f>
        <v/>
      </c>
      <c r="Q99" s="116" t="str">
        <f aca="false">IF($B99="","",SUMIFS('الحركات الشهرية'!$G$6:$G$1005,'الحركات الشهرية'!$B$6:$B$1005,$B99,'الحركات الشهرية'!$A$6:$A$1005,$C$3))</f>
        <v/>
      </c>
      <c r="R99" s="116" t="str">
        <f aca="false">IF($B99="","",SUMIFS('الحركات الشهرية'!$H$6:$H$1005,'الحركات الشهرية'!$B$6:$B$1005,$B99,'الحركات الشهرية'!$A$6:$A$1005,$C$3))</f>
        <v/>
      </c>
      <c r="S99" s="116" t="str">
        <f aca="false">IF($B99="","",SUMIFS('سجل الإجازات والحالات'!$N$6:$N$505,'سجل الإجازات والحالات'!$B$6:$B$505,$B99,'سجل الإجازات والحالات'!$O$6:$O$505,$C$3))</f>
        <v/>
      </c>
      <c r="T99" s="157" t="str">
        <f aca="false">IF($B99="","",SUM(K99:N99)+SUM(P99:S99))</f>
        <v/>
      </c>
      <c r="U99" s="116" t="str">
        <f aca="false">IF($B99="","",الموظفون!$S99*IF(E99="سعودي",cfg_G_SE,cfg_G_NE)*G99/cfg_DAYS_M)</f>
        <v/>
      </c>
      <c r="V99" s="116" t="str">
        <f aca="false">IF($B99="","",SUMIFS('الحركات الشهرية'!$I$6:$I$1005,'الحركات الشهرية'!$B$6:$B$1005,$B99,'الحركات الشهرية'!$A$6:$A$1005,$C$3))</f>
        <v/>
      </c>
      <c r="W99" s="116" t="str">
        <f aca="false">IF($B99="","",SUMIFS('الحركات الشهرية'!$J$6:$J$1005,'الحركات الشهرية'!$B$6:$B$1005,$B99,'الحركات الشهرية'!$A$6:$A$1005,$C$3))</f>
        <v/>
      </c>
      <c r="X99" s="116" t="str">
        <f aca="false">IF($B99="","",SUM(U99:W99))</f>
        <v/>
      </c>
      <c r="Y99" s="158" t="str">
        <f aca="false">IF($B99="","",T99-X99)</f>
        <v/>
      </c>
      <c r="Z99" s="116" t="str">
        <f aca="false">IF($B99="","",الموظفون!$S99*IF(E99="سعودي",cfg_G_SR,cfg_G_NR)*G99/cfg_DAYS_M)</f>
        <v/>
      </c>
      <c r="AA99" s="116" t="str">
        <f aca="false">IF($B99="","",الموظفون!$Q99*(cfg_EOS_R1*(MIN(AH99,cfg_EOS_TH)-MIN(AI99,cfg_EOS_TH))+cfg_EOS_R2*(MAX(AH99-cfg_EOS_TH,0)-MAX(AI99-cfg_EOS_TH,0))))</f>
        <v/>
      </c>
      <c r="AB99" s="116" t="str">
        <f aca="false">IF($B99="","",IF(الموظفون!$T99&lt;&gt;"",الموظفون!$T99,IF(AH99&gt;=cfg_LV_TH,cfg_LV_D2,cfg_LV_D1))/cfg_DAYS_Y*AJ99*الموظفون!$R99/cfg_DAYS_M)</f>
        <v/>
      </c>
      <c r="AC99" s="116" t="str">
        <f aca="false">IF($B99="","",IF(AND(الموظفون!$U99="نعم",N(الموظفون!$W99)&gt;0),الموظفون!$V99/الموظفون!$W99*12/cfg_DAYS_Y*AJ99,0))</f>
        <v/>
      </c>
      <c r="AD99" s="116" t="str">
        <f aca="false">IF($B99="","",(IF(الموظفون!$X99&lt;&gt;"",الموظفون!$X99,IF(الموظفون!$E99="غير سعودي",cfg_IQ,0))+IF(الموظفون!$Y99&lt;&gt;"",الموظفون!$Y99,IF(الموظفون!$E99="غير سعودي",cfg_WP,0)))/12*G99/cfg_DAYS_M)</f>
        <v/>
      </c>
      <c r="AE99" s="116" t="str">
        <f aca="false">IF($B99="","",IF(الموظفون!$Z99&lt;&gt;"",الموظفون!$Z99,cfg_MED)/12*G99/cfg_DAYS_M)</f>
        <v/>
      </c>
      <c r="AF99" s="116" t="str">
        <f aca="false">IF($B99="","",N(الموظفون!$AA99)/12*G99/cfg_DAYS_M)</f>
        <v/>
      </c>
      <c r="AG99" s="159" t="str">
        <f aca="false">IF($B99="","",T99+SUM(Z99:AF99))</f>
        <v/>
      </c>
      <c r="AH99" s="160" t="str">
        <f aca="false">IF($B99="","",MAX(0,IF(OR(الموظفون!$AE99="",الموظفون!$AE99&gt;$F$3),$F$3,الموظفون!$AE99)-الموظفون!$H99+1-SUMIFS('سجل الإجازات والحالات'!$AJ$6:$AJ$505,'سجل الإجازات والحالات'!$B$6:$B$505,$B99))/cfg_DAYS_Y)</f>
        <v/>
      </c>
      <c r="AI99" s="160" t="str">
        <f aca="false">IF($B99="","",MAX(0,IF(OR(الموظفون!$AE99="",الموظفون!$AE99&gt;($E$3-1)),($E$3-1),الموظفون!$AE99)-الموظفون!$H99+1-SUMIFS('سجل الإجازات والحالات'!$AI$6:$AI$505,'سجل الإجازات والحالات'!$B$6:$B$505,$B99))/cfg_DAYS_Y)</f>
        <v/>
      </c>
      <c r="AJ99" s="133" t="str">
        <f aca="false">IF($B99="","",MAX(0,AK99-(SUMIFS('سجل الإجازات والحالات'!$AJ$6:$AJ$505,'سجل الإجازات والحالات'!$B$6:$B$505,$B99)-SUMIFS('سجل الإجازات والحالات'!$AI$6:$AI$505,'سجل الإجازات والحالات'!$B$6:$B$505,$B99))))</f>
        <v/>
      </c>
      <c r="AK99" s="133" t="str">
        <f aca="false">IF($B99="","",MAX(0,IF(OR(الموظفون!$AE99="",الموظفون!$AE99&gt;$F$3),$F$3,الموظفون!$AE99)-MAX($E$3,الموظفون!$H99)+1))</f>
        <v/>
      </c>
      <c r="AL99" s="156" t="str">
        <f aca="false">IF($B99="","",SUMIFS('سجل الإجازات والحالات'!$AV$6:$AV$505,'سجل الإجازات والحالات'!$B$6:$B$505,$B99)+SUMIFS('الحركات الشهرية'!$K$6:$K$1005,'الحركات الشهرية'!$B$6:$B$1005,$B99,'الحركات الشهرية'!$A$6:$A$1005,$C$3))</f>
        <v/>
      </c>
      <c r="AM99" s="116" t="str">
        <f aca="false">IF($B99="","",AL99*الموظفون!$R99/cfg_DAYS_M+S99)</f>
        <v/>
      </c>
      <c r="AN99" s="156" t="str">
        <f aca="false">IF($B99="","",SUMIFS('سجل الإجازات والحالات'!$X$6:$X$505,'سجل الإجازات والحالات'!$B$6:$B$505,$B99))</f>
        <v/>
      </c>
    </row>
    <row r="100" customFormat="false" ht="15" hidden="false" customHeight="false" outlineLevel="0" collapsed="false">
      <c r="A100" s="106" t="str">
        <f aca="false">IF($B100="","",الموظفون!$A100)</f>
        <v/>
      </c>
      <c r="B100" s="114" t="str">
        <f aca="false">IF(الموظفون!$B100="","",الموظفون!$B100)</f>
        <v/>
      </c>
      <c r="C100" s="114" t="str">
        <f aca="false">IF($B100="","",الموظفون!$C100)</f>
        <v/>
      </c>
      <c r="D100" s="114" t="str">
        <f aca="false">IF($B100="","",الموظفون!$F100)</f>
        <v/>
      </c>
      <c r="E100" s="114" t="str">
        <f aca="false">IF($B100="","",الموظفون!$E100)</f>
        <v/>
      </c>
      <c r="F100" s="114" t="str">
        <f aca="false">IF($B100="","",IF(AK100=0,IF(AND(الموظفون!$AE100&lt;&gt;"",الموظفون!$AE100&lt;$E$3),"✖ منتهي الخدمة","⏳ لم يباشر"),IF(S100&gt;0,"✈ راتب إجازة مقدم",IF(J100=0,"⛔ بدون راتب هذا الشهر",IF(I100&gt;0,"✈ خصم "&amp;ROUND(I100,2)&amp;" يوم بدون أجر",IF(AL100&gt;0,"🌴 إجازة سنوية "&amp;ROUND(AL100,2)&amp;" يوم",IF(H100&gt;0,"⚠ غياب "&amp;ROUND(H100,2)&amp;" يوم","✔ على رأس العمل")))))))</f>
        <v/>
      </c>
      <c r="G100" s="151" t="str">
        <f aca="false">IF($B100="","",IF(AK100&gt;=DAY($F$3),cfg_DAYS_M,MIN(AK100,cfg_DAYS_M)))</f>
        <v/>
      </c>
      <c r="H100" s="151" t="str">
        <f aca="false">IF($B100="","",SUMIFS('الحركات الشهرية'!$D$6:$D$1005,'الحركات الشهرية'!$B$6:$B$1005,$B100,'الحركات الشهرية'!$A$6:$A$1005,$C$3))</f>
        <v/>
      </c>
      <c r="I100" s="151" t="str">
        <f aca="false">IF($B100="","",MIN(G100,IF(AND(AK100&gt;0,AN100&gt;=AK100),G100,AN100)+SUMIFS('الحركات الشهرية'!$E$6:$E$1005,'الحركات الشهرية'!$B$6:$B$1005,$B100,'الحركات الشهرية'!$A$6:$A$1005,$C$3)))</f>
        <v/>
      </c>
      <c r="J100" s="151" t="str">
        <f aca="false">IF($B100="","",MAX(0,G100-H100-I100))</f>
        <v/>
      </c>
      <c r="K100" s="111" t="str">
        <f aca="false">IF($B100="","",الموظفون!$L100*$J100/cfg_DAYS_M)</f>
        <v/>
      </c>
      <c r="L100" s="111" t="str">
        <f aca="false">IF($B100="","",الموظفون!$M100*$J100/cfg_DAYS_M)</f>
        <v/>
      </c>
      <c r="M100" s="111" t="str">
        <f aca="false">IF($B100="","",الموظفون!$N100*$J100/cfg_DAYS_M)</f>
        <v/>
      </c>
      <c r="N100" s="111" t="str">
        <f aca="false">IF($B100="","",الموظفون!$O100*$J100/cfg_DAYS_M)</f>
        <v/>
      </c>
      <c r="O100" s="151" t="str">
        <f aca="false">IF($B100="","",SUMIFS('الحركات الشهرية'!$F$6:$F$1005,'الحركات الشهرية'!$B$6:$B$1005,$B100,'الحركات الشهرية'!$A$6:$A$1005,$C$3))</f>
        <v/>
      </c>
      <c r="P100" s="111" t="str">
        <f aca="false">IF($B100="","",O100*(الموظفون!$P100+الموظفون!$L100*cfg_OT_P)/cfg_DAYS_M/cfg_HRS)</f>
        <v/>
      </c>
      <c r="Q100" s="111" t="str">
        <f aca="false">IF($B100="","",SUMIFS('الحركات الشهرية'!$G$6:$G$1005,'الحركات الشهرية'!$B$6:$B$1005,$B100,'الحركات الشهرية'!$A$6:$A$1005,$C$3))</f>
        <v/>
      </c>
      <c r="R100" s="111" t="str">
        <f aca="false">IF($B100="","",SUMIFS('الحركات الشهرية'!$H$6:$H$1005,'الحركات الشهرية'!$B$6:$B$1005,$B100,'الحركات الشهرية'!$A$6:$A$1005,$C$3))</f>
        <v/>
      </c>
      <c r="S100" s="111" t="str">
        <f aca="false">IF($B100="","",SUMIFS('سجل الإجازات والحالات'!$N$6:$N$505,'سجل الإجازات والحالات'!$B$6:$B$505,$B100,'سجل الإجازات والحالات'!$O$6:$O$505,$C$3))</f>
        <v/>
      </c>
      <c r="T100" s="152" t="str">
        <f aca="false">IF($B100="","",SUM(K100:N100)+SUM(P100:S100))</f>
        <v/>
      </c>
      <c r="U100" s="111" t="str">
        <f aca="false">IF($B100="","",الموظفون!$S100*IF(E100="سعودي",cfg_G_SE,cfg_G_NE)*G100/cfg_DAYS_M)</f>
        <v/>
      </c>
      <c r="V100" s="111" t="str">
        <f aca="false">IF($B100="","",SUMIFS('الحركات الشهرية'!$I$6:$I$1005,'الحركات الشهرية'!$B$6:$B$1005,$B100,'الحركات الشهرية'!$A$6:$A$1005,$C$3))</f>
        <v/>
      </c>
      <c r="W100" s="111" t="str">
        <f aca="false">IF($B100="","",SUMIFS('الحركات الشهرية'!$J$6:$J$1005,'الحركات الشهرية'!$B$6:$B$1005,$B100,'الحركات الشهرية'!$A$6:$A$1005,$C$3))</f>
        <v/>
      </c>
      <c r="X100" s="111" t="str">
        <f aca="false">IF($B100="","",SUM(U100:W100))</f>
        <v/>
      </c>
      <c r="Y100" s="153" t="str">
        <f aca="false">IF($B100="","",T100-X100)</f>
        <v/>
      </c>
      <c r="Z100" s="111" t="str">
        <f aca="false">IF($B100="","",الموظفون!$S100*IF(E100="سعودي",cfg_G_SR,cfg_G_NR)*G100/cfg_DAYS_M)</f>
        <v/>
      </c>
      <c r="AA100" s="111" t="str">
        <f aca="false">IF($B100="","",الموظفون!$Q100*(cfg_EOS_R1*(MIN(AH100,cfg_EOS_TH)-MIN(AI100,cfg_EOS_TH))+cfg_EOS_R2*(MAX(AH100-cfg_EOS_TH,0)-MAX(AI100-cfg_EOS_TH,0))))</f>
        <v/>
      </c>
      <c r="AB100" s="111" t="str">
        <f aca="false">IF($B100="","",IF(الموظفون!$T100&lt;&gt;"",الموظفون!$T100,IF(AH100&gt;=cfg_LV_TH,cfg_LV_D2,cfg_LV_D1))/cfg_DAYS_Y*AJ100*الموظفون!$R100/cfg_DAYS_M)</f>
        <v/>
      </c>
      <c r="AC100" s="111" t="str">
        <f aca="false">IF($B100="","",IF(AND(الموظفون!$U100="نعم",N(الموظفون!$W100)&gt;0),الموظفون!$V100/الموظفون!$W100*12/cfg_DAYS_Y*AJ100,0))</f>
        <v/>
      </c>
      <c r="AD100" s="111" t="str">
        <f aca="false">IF($B100="","",(IF(الموظفون!$X100&lt;&gt;"",الموظفون!$X100,IF(الموظفون!$E100="غير سعودي",cfg_IQ,0))+IF(الموظفون!$Y100&lt;&gt;"",الموظفون!$Y100,IF(الموظفون!$E100="غير سعودي",cfg_WP,0)))/12*G100/cfg_DAYS_M)</f>
        <v/>
      </c>
      <c r="AE100" s="111" t="str">
        <f aca="false">IF($B100="","",IF(الموظفون!$Z100&lt;&gt;"",الموظفون!$Z100,cfg_MED)/12*G100/cfg_DAYS_M)</f>
        <v/>
      </c>
      <c r="AF100" s="111" t="str">
        <f aca="false">IF($B100="","",N(الموظفون!$AA100)/12*G100/cfg_DAYS_M)</f>
        <v/>
      </c>
      <c r="AG100" s="154" t="str">
        <f aca="false">IF($B100="","",T100+SUM(Z100:AF100))</f>
        <v/>
      </c>
      <c r="AH100" s="155" t="str">
        <f aca="false">IF($B100="","",MAX(0,IF(OR(الموظفون!$AE100="",الموظفون!$AE100&gt;$F$3),$F$3,الموظفون!$AE100)-الموظفون!$H100+1-SUMIFS('سجل الإجازات والحالات'!$AJ$6:$AJ$505,'سجل الإجازات والحالات'!$B$6:$B$505,$B100))/cfg_DAYS_Y)</f>
        <v/>
      </c>
      <c r="AI100" s="155" t="str">
        <f aca="false">IF($B100="","",MAX(0,IF(OR(الموظفون!$AE100="",الموظفون!$AE100&gt;($E$3-1)),($E$3-1),الموظفون!$AE100)-الموظفون!$H100+1-SUMIFS('سجل الإجازات والحالات'!$AI$6:$AI$505,'سجل الإجازات والحالات'!$B$6:$B$505,$B100))/cfg_DAYS_Y)</f>
        <v/>
      </c>
      <c r="AJ100" s="65" t="str">
        <f aca="false">IF($B100="","",MAX(0,AK100-(SUMIFS('سجل الإجازات والحالات'!$AJ$6:$AJ$505,'سجل الإجازات والحالات'!$B$6:$B$505,$B100)-SUMIFS('سجل الإجازات والحالات'!$AI$6:$AI$505,'سجل الإجازات والحالات'!$B$6:$B$505,$B100))))</f>
        <v/>
      </c>
      <c r="AK100" s="65" t="str">
        <f aca="false">IF($B100="","",MAX(0,IF(OR(الموظفون!$AE100="",الموظفون!$AE100&gt;$F$3),$F$3,الموظفون!$AE100)-MAX($E$3,الموظفون!$H100)+1))</f>
        <v/>
      </c>
      <c r="AL100" s="151" t="str">
        <f aca="false">IF($B100="","",SUMIFS('سجل الإجازات والحالات'!$AV$6:$AV$505,'سجل الإجازات والحالات'!$B$6:$B$505,$B100)+SUMIFS('الحركات الشهرية'!$K$6:$K$1005,'الحركات الشهرية'!$B$6:$B$1005,$B100,'الحركات الشهرية'!$A$6:$A$1005,$C$3))</f>
        <v/>
      </c>
      <c r="AM100" s="111" t="str">
        <f aca="false">IF($B100="","",AL100*الموظفون!$R100/cfg_DAYS_M+S100)</f>
        <v/>
      </c>
      <c r="AN100" s="151" t="str">
        <f aca="false">IF($B100="","",SUMIFS('سجل الإجازات والحالات'!$X$6:$X$505,'سجل الإجازات والحالات'!$B$6:$B$505,$B100))</f>
        <v/>
      </c>
    </row>
    <row r="101" customFormat="false" ht="15" hidden="false" customHeight="false" outlineLevel="0" collapsed="false">
      <c r="A101" s="115" t="str">
        <f aca="false">IF($B101="","",الموظفون!$A101)</f>
        <v/>
      </c>
      <c r="B101" s="117" t="str">
        <f aca="false">IF(الموظفون!$B101="","",الموظفون!$B101)</f>
        <v/>
      </c>
      <c r="C101" s="117" t="str">
        <f aca="false">IF($B101="","",الموظفون!$C101)</f>
        <v/>
      </c>
      <c r="D101" s="117" t="str">
        <f aca="false">IF($B101="","",الموظفون!$F101)</f>
        <v/>
      </c>
      <c r="E101" s="117" t="str">
        <f aca="false">IF($B101="","",الموظفون!$E101)</f>
        <v/>
      </c>
      <c r="F101" s="117" t="str">
        <f aca="false">IF($B101="","",IF(AK101=0,IF(AND(الموظفون!$AE101&lt;&gt;"",الموظفون!$AE101&lt;$E$3),"✖ منتهي الخدمة","⏳ لم يباشر"),IF(S101&gt;0,"✈ راتب إجازة مقدم",IF(J101=0,"⛔ بدون راتب هذا الشهر",IF(I101&gt;0,"✈ خصم "&amp;ROUND(I101,2)&amp;" يوم بدون أجر",IF(AL101&gt;0,"🌴 إجازة سنوية "&amp;ROUND(AL101,2)&amp;" يوم",IF(H101&gt;0,"⚠ غياب "&amp;ROUND(H101,2)&amp;" يوم","✔ على رأس العمل")))))))</f>
        <v/>
      </c>
      <c r="G101" s="156" t="str">
        <f aca="false">IF($B101="","",IF(AK101&gt;=DAY($F$3),cfg_DAYS_M,MIN(AK101,cfg_DAYS_M)))</f>
        <v/>
      </c>
      <c r="H101" s="156" t="str">
        <f aca="false">IF($B101="","",SUMIFS('الحركات الشهرية'!$D$6:$D$1005,'الحركات الشهرية'!$B$6:$B$1005,$B101,'الحركات الشهرية'!$A$6:$A$1005,$C$3))</f>
        <v/>
      </c>
      <c r="I101" s="156" t="str">
        <f aca="false">IF($B101="","",MIN(G101,IF(AND(AK101&gt;0,AN101&gt;=AK101),G101,AN101)+SUMIFS('الحركات الشهرية'!$E$6:$E$1005,'الحركات الشهرية'!$B$6:$B$1005,$B101,'الحركات الشهرية'!$A$6:$A$1005,$C$3)))</f>
        <v/>
      </c>
      <c r="J101" s="156" t="str">
        <f aca="false">IF($B101="","",MAX(0,G101-H101-I101))</f>
        <v/>
      </c>
      <c r="K101" s="116" t="str">
        <f aca="false">IF($B101="","",الموظفون!$L101*$J101/cfg_DAYS_M)</f>
        <v/>
      </c>
      <c r="L101" s="116" t="str">
        <f aca="false">IF($B101="","",الموظفون!$M101*$J101/cfg_DAYS_M)</f>
        <v/>
      </c>
      <c r="M101" s="116" t="str">
        <f aca="false">IF($B101="","",الموظفون!$N101*$J101/cfg_DAYS_M)</f>
        <v/>
      </c>
      <c r="N101" s="116" t="str">
        <f aca="false">IF($B101="","",الموظفون!$O101*$J101/cfg_DAYS_M)</f>
        <v/>
      </c>
      <c r="O101" s="156" t="str">
        <f aca="false">IF($B101="","",SUMIFS('الحركات الشهرية'!$F$6:$F$1005,'الحركات الشهرية'!$B$6:$B$1005,$B101,'الحركات الشهرية'!$A$6:$A$1005,$C$3))</f>
        <v/>
      </c>
      <c r="P101" s="116" t="str">
        <f aca="false">IF($B101="","",O101*(الموظفون!$P101+الموظفون!$L101*cfg_OT_P)/cfg_DAYS_M/cfg_HRS)</f>
        <v/>
      </c>
      <c r="Q101" s="116" t="str">
        <f aca="false">IF($B101="","",SUMIFS('الحركات الشهرية'!$G$6:$G$1005,'الحركات الشهرية'!$B$6:$B$1005,$B101,'الحركات الشهرية'!$A$6:$A$1005,$C$3))</f>
        <v/>
      </c>
      <c r="R101" s="116" t="str">
        <f aca="false">IF($B101="","",SUMIFS('الحركات الشهرية'!$H$6:$H$1005,'الحركات الشهرية'!$B$6:$B$1005,$B101,'الحركات الشهرية'!$A$6:$A$1005,$C$3))</f>
        <v/>
      </c>
      <c r="S101" s="116" t="str">
        <f aca="false">IF($B101="","",SUMIFS('سجل الإجازات والحالات'!$N$6:$N$505,'سجل الإجازات والحالات'!$B$6:$B$505,$B101,'سجل الإجازات والحالات'!$O$6:$O$505,$C$3))</f>
        <v/>
      </c>
      <c r="T101" s="157" t="str">
        <f aca="false">IF($B101="","",SUM(K101:N101)+SUM(P101:S101))</f>
        <v/>
      </c>
      <c r="U101" s="116" t="str">
        <f aca="false">IF($B101="","",الموظفون!$S101*IF(E101="سعودي",cfg_G_SE,cfg_G_NE)*G101/cfg_DAYS_M)</f>
        <v/>
      </c>
      <c r="V101" s="116" t="str">
        <f aca="false">IF($B101="","",SUMIFS('الحركات الشهرية'!$I$6:$I$1005,'الحركات الشهرية'!$B$6:$B$1005,$B101,'الحركات الشهرية'!$A$6:$A$1005,$C$3))</f>
        <v/>
      </c>
      <c r="W101" s="116" t="str">
        <f aca="false">IF($B101="","",SUMIFS('الحركات الشهرية'!$J$6:$J$1005,'الحركات الشهرية'!$B$6:$B$1005,$B101,'الحركات الشهرية'!$A$6:$A$1005,$C$3))</f>
        <v/>
      </c>
      <c r="X101" s="116" t="str">
        <f aca="false">IF($B101="","",SUM(U101:W101))</f>
        <v/>
      </c>
      <c r="Y101" s="158" t="str">
        <f aca="false">IF($B101="","",T101-X101)</f>
        <v/>
      </c>
      <c r="Z101" s="116" t="str">
        <f aca="false">IF($B101="","",الموظفون!$S101*IF(E101="سعودي",cfg_G_SR,cfg_G_NR)*G101/cfg_DAYS_M)</f>
        <v/>
      </c>
      <c r="AA101" s="116" t="str">
        <f aca="false">IF($B101="","",الموظفون!$Q101*(cfg_EOS_R1*(MIN(AH101,cfg_EOS_TH)-MIN(AI101,cfg_EOS_TH))+cfg_EOS_R2*(MAX(AH101-cfg_EOS_TH,0)-MAX(AI101-cfg_EOS_TH,0))))</f>
        <v/>
      </c>
      <c r="AB101" s="116" t="str">
        <f aca="false">IF($B101="","",IF(الموظفون!$T101&lt;&gt;"",الموظفون!$T101,IF(AH101&gt;=cfg_LV_TH,cfg_LV_D2,cfg_LV_D1))/cfg_DAYS_Y*AJ101*الموظفون!$R101/cfg_DAYS_M)</f>
        <v/>
      </c>
      <c r="AC101" s="116" t="str">
        <f aca="false">IF($B101="","",IF(AND(الموظفون!$U101="نعم",N(الموظفون!$W101)&gt;0),الموظفون!$V101/الموظفون!$W101*12/cfg_DAYS_Y*AJ101,0))</f>
        <v/>
      </c>
      <c r="AD101" s="116" t="str">
        <f aca="false">IF($B101="","",(IF(الموظفون!$X101&lt;&gt;"",الموظفون!$X101,IF(الموظفون!$E101="غير سعودي",cfg_IQ,0))+IF(الموظفون!$Y101&lt;&gt;"",الموظفون!$Y101,IF(الموظفون!$E101="غير سعودي",cfg_WP,0)))/12*G101/cfg_DAYS_M)</f>
        <v/>
      </c>
      <c r="AE101" s="116" t="str">
        <f aca="false">IF($B101="","",IF(الموظفون!$Z101&lt;&gt;"",الموظفون!$Z101,cfg_MED)/12*G101/cfg_DAYS_M)</f>
        <v/>
      </c>
      <c r="AF101" s="116" t="str">
        <f aca="false">IF($B101="","",N(الموظفون!$AA101)/12*G101/cfg_DAYS_M)</f>
        <v/>
      </c>
      <c r="AG101" s="159" t="str">
        <f aca="false">IF($B101="","",T101+SUM(Z101:AF101))</f>
        <v/>
      </c>
      <c r="AH101" s="160" t="str">
        <f aca="false">IF($B101="","",MAX(0,IF(OR(الموظفون!$AE101="",الموظفون!$AE101&gt;$F$3),$F$3,الموظفون!$AE101)-الموظفون!$H101+1-SUMIFS('سجل الإجازات والحالات'!$AJ$6:$AJ$505,'سجل الإجازات والحالات'!$B$6:$B$505,$B101))/cfg_DAYS_Y)</f>
        <v/>
      </c>
      <c r="AI101" s="160" t="str">
        <f aca="false">IF($B101="","",MAX(0,IF(OR(الموظفون!$AE101="",الموظفون!$AE101&gt;($E$3-1)),($E$3-1),الموظفون!$AE101)-الموظفون!$H101+1-SUMIFS('سجل الإجازات والحالات'!$AI$6:$AI$505,'سجل الإجازات والحالات'!$B$6:$B$505,$B101))/cfg_DAYS_Y)</f>
        <v/>
      </c>
      <c r="AJ101" s="133" t="str">
        <f aca="false">IF($B101="","",MAX(0,AK101-(SUMIFS('سجل الإجازات والحالات'!$AJ$6:$AJ$505,'سجل الإجازات والحالات'!$B$6:$B$505,$B101)-SUMIFS('سجل الإجازات والحالات'!$AI$6:$AI$505,'سجل الإجازات والحالات'!$B$6:$B$505,$B101))))</f>
        <v/>
      </c>
      <c r="AK101" s="133" t="str">
        <f aca="false">IF($B101="","",MAX(0,IF(OR(الموظفون!$AE101="",الموظفون!$AE101&gt;$F$3),$F$3,الموظفون!$AE101)-MAX($E$3,الموظفون!$H101)+1))</f>
        <v/>
      </c>
      <c r="AL101" s="156" t="str">
        <f aca="false">IF($B101="","",SUMIFS('سجل الإجازات والحالات'!$AV$6:$AV$505,'سجل الإجازات والحالات'!$B$6:$B$505,$B101)+SUMIFS('الحركات الشهرية'!$K$6:$K$1005,'الحركات الشهرية'!$B$6:$B$1005,$B101,'الحركات الشهرية'!$A$6:$A$1005,$C$3))</f>
        <v/>
      </c>
      <c r="AM101" s="116" t="str">
        <f aca="false">IF($B101="","",AL101*الموظفون!$R101/cfg_DAYS_M+S101)</f>
        <v/>
      </c>
      <c r="AN101" s="156" t="str">
        <f aca="false">IF($B101="","",SUMIFS('سجل الإجازات والحالات'!$X$6:$X$505,'سجل الإجازات والحالات'!$B$6:$B$505,$B101))</f>
        <v/>
      </c>
    </row>
    <row r="102" customFormat="false" ht="15" hidden="false" customHeight="false" outlineLevel="0" collapsed="false">
      <c r="A102" s="106" t="str">
        <f aca="false">IF($B102="","",الموظفون!$A102)</f>
        <v/>
      </c>
      <c r="B102" s="114" t="str">
        <f aca="false">IF(الموظفون!$B102="","",الموظفون!$B102)</f>
        <v/>
      </c>
      <c r="C102" s="114" t="str">
        <f aca="false">IF($B102="","",الموظفون!$C102)</f>
        <v/>
      </c>
      <c r="D102" s="114" t="str">
        <f aca="false">IF($B102="","",الموظفون!$F102)</f>
        <v/>
      </c>
      <c r="E102" s="114" t="str">
        <f aca="false">IF($B102="","",الموظفون!$E102)</f>
        <v/>
      </c>
      <c r="F102" s="114" t="str">
        <f aca="false">IF($B102="","",IF(AK102=0,IF(AND(الموظفون!$AE102&lt;&gt;"",الموظفون!$AE102&lt;$E$3),"✖ منتهي الخدمة","⏳ لم يباشر"),IF(S102&gt;0,"✈ راتب إجازة مقدم",IF(J102=0,"⛔ بدون راتب هذا الشهر",IF(I102&gt;0,"✈ خصم "&amp;ROUND(I102,2)&amp;" يوم بدون أجر",IF(AL102&gt;0,"🌴 إجازة سنوية "&amp;ROUND(AL102,2)&amp;" يوم",IF(H102&gt;0,"⚠ غياب "&amp;ROUND(H102,2)&amp;" يوم","✔ على رأس العمل")))))))</f>
        <v/>
      </c>
      <c r="G102" s="151" t="str">
        <f aca="false">IF($B102="","",IF(AK102&gt;=DAY($F$3),cfg_DAYS_M,MIN(AK102,cfg_DAYS_M)))</f>
        <v/>
      </c>
      <c r="H102" s="151" t="str">
        <f aca="false">IF($B102="","",SUMIFS('الحركات الشهرية'!$D$6:$D$1005,'الحركات الشهرية'!$B$6:$B$1005,$B102,'الحركات الشهرية'!$A$6:$A$1005,$C$3))</f>
        <v/>
      </c>
      <c r="I102" s="151" t="str">
        <f aca="false">IF($B102="","",MIN(G102,IF(AND(AK102&gt;0,AN102&gt;=AK102),G102,AN102)+SUMIFS('الحركات الشهرية'!$E$6:$E$1005,'الحركات الشهرية'!$B$6:$B$1005,$B102,'الحركات الشهرية'!$A$6:$A$1005,$C$3)))</f>
        <v/>
      </c>
      <c r="J102" s="151" t="str">
        <f aca="false">IF($B102="","",MAX(0,G102-H102-I102))</f>
        <v/>
      </c>
      <c r="K102" s="111" t="str">
        <f aca="false">IF($B102="","",الموظفون!$L102*$J102/cfg_DAYS_M)</f>
        <v/>
      </c>
      <c r="L102" s="111" t="str">
        <f aca="false">IF($B102="","",الموظفون!$M102*$J102/cfg_DAYS_M)</f>
        <v/>
      </c>
      <c r="M102" s="111" t="str">
        <f aca="false">IF($B102="","",الموظفون!$N102*$J102/cfg_DAYS_M)</f>
        <v/>
      </c>
      <c r="N102" s="111" t="str">
        <f aca="false">IF($B102="","",الموظفون!$O102*$J102/cfg_DAYS_M)</f>
        <v/>
      </c>
      <c r="O102" s="151" t="str">
        <f aca="false">IF($B102="","",SUMIFS('الحركات الشهرية'!$F$6:$F$1005,'الحركات الشهرية'!$B$6:$B$1005,$B102,'الحركات الشهرية'!$A$6:$A$1005,$C$3))</f>
        <v/>
      </c>
      <c r="P102" s="111" t="str">
        <f aca="false">IF($B102="","",O102*(الموظفون!$P102+الموظفون!$L102*cfg_OT_P)/cfg_DAYS_M/cfg_HRS)</f>
        <v/>
      </c>
      <c r="Q102" s="111" t="str">
        <f aca="false">IF($B102="","",SUMIFS('الحركات الشهرية'!$G$6:$G$1005,'الحركات الشهرية'!$B$6:$B$1005,$B102,'الحركات الشهرية'!$A$6:$A$1005,$C$3))</f>
        <v/>
      </c>
      <c r="R102" s="111" t="str">
        <f aca="false">IF($B102="","",SUMIFS('الحركات الشهرية'!$H$6:$H$1005,'الحركات الشهرية'!$B$6:$B$1005,$B102,'الحركات الشهرية'!$A$6:$A$1005,$C$3))</f>
        <v/>
      </c>
      <c r="S102" s="111" t="str">
        <f aca="false">IF($B102="","",SUMIFS('سجل الإجازات والحالات'!$N$6:$N$505,'سجل الإجازات والحالات'!$B$6:$B$505,$B102,'سجل الإجازات والحالات'!$O$6:$O$505,$C$3))</f>
        <v/>
      </c>
      <c r="T102" s="152" t="str">
        <f aca="false">IF($B102="","",SUM(K102:N102)+SUM(P102:S102))</f>
        <v/>
      </c>
      <c r="U102" s="111" t="str">
        <f aca="false">IF($B102="","",الموظفون!$S102*IF(E102="سعودي",cfg_G_SE,cfg_G_NE)*G102/cfg_DAYS_M)</f>
        <v/>
      </c>
      <c r="V102" s="111" t="str">
        <f aca="false">IF($B102="","",SUMIFS('الحركات الشهرية'!$I$6:$I$1005,'الحركات الشهرية'!$B$6:$B$1005,$B102,'الحركات الشهرية'!$A$6:$A$1005,$C$3))</f>
        <v/>
      </c>
      <c r="W102" s="111" t="str">
        <f aca="false">IF($B102="","",SUMIFS('الحركات الشهرية'!$J$6:$J$1005,'الحركات الشهرية'!$B$6:$B$1005,$B102,'الحركات الشهرية'!$A$6:$A$1005,$C$3))</f>
        <v/>
      </c>
      <c r="X102" s="111" t="str">
        <f aca="false">IF($B102="","",SUM(U102:W102))</f>
        <v/>
      </c>
      <c r="Y102" s="153" t="str">
        <f aca="false">IF($B102="","",T102-X102)</f>
        <v/>
      </c>
      <c r="Z102" s="111" t="str">
        <f aca="false">IF($B102="","",الموظفون!$S102*IF(E102="سعودي",cfg_G_SR,cfg_G_NR)*G102/cfg_DAYS_M)</f>
        <v/>
      </c>
      <c r="AA102" s="111" t="str">
        <f aca="false">IF($B102="","",الموظفون!$Q102*(cfg_EOS_R1*(MIN(AH102,cfg_EOS_TH)-MIN(AI102,cfg_EOS_TH))+cfg_EOS_R2*(MAX(AH102-cfg_EOS_TH,0)-MAX(AI102-cfg_EOS_TH,0))))</f>
        <v/>
      </c>
      <c r="AB102" s="111" t="str">
        <f aca="false">IF($B102="","",IF(الموظفون!$T102&lt;&gt;"",الموظفون!$T102,IF(AH102&gt;=cfg_LV_TH,cfg_LV_D2,cfg_LV_D1))/cfg_DAYS_Y*AJ102*الموظفون!$R102/cfg_DAYS_M)</f>
        <v/>
      </c>
      <c r="AC102" s="111" t="str">
        <f aca="false">IF($B102="","",IF(AND(الموظفون!$U102="نعم",N(الموظفون!$W102)&gt;0),الموظفون!$V102/الموظفون!$W102*12/cfg_DAYS_Y*AJ102,0))</f>
        <v/>
      </c>
      <c r="AD102" s="111" t="str">
        <f aca="false">IF($B102="","",(IF(الموظفون!$X102&lt;&gt;"",الموظفون!$X102,IF(الموظفون!$E102="غير سعودي",cfg_IQ,0))+IF(الموظفون!$Y102&lt;&gt;"",الموظفون!$Y102,IF(الموظفون!$E102="غير سعودي",cfg_WP,0)))/12*G102/cfg_DAYS_M)</f>
        <v/>
      </c>
      <c r="AE102" s="111" t="str">
        <f aca="false">IF($B102="","",IF(الموظفون!$Z102&lt;&gt;"",الموظفون!$Z102,cfg_MED)/12*G102/cfg_DAYS_M)</f>
        <v/>
      </c>
      <c r="AF102" s="111" t="str">
        <f aca="false">IF($B102="","",N(الموظفون!$AA102)/12*G102/cfg_DAYS_M)</f>
        <v/>
      </c>
      <c r="AG102" s="154" t="str">
        <f aca="false">IF($B102="","",T102+SUM(Z102:AF102))</f>
        <v/>
      </c>
      <c r="AH102" s="155" t="str">
        <f aca="false">IF($B102="","",MAX(0,IF(OR(الموظفون!$AE102="",الموظفون!$AE102&gt;$F$3),$F$3,الموظفون!$AE102)-الموظفون!$H102+1-SUMIFS('سجل الإجازات والحالات'!$AJ$6:$AJ$505,'سجل الإجازات والحالات'!$B$6:$B$505,$B102))/cfg_DAYS_Y)</f>
        <v/>
      </c>
      <c r="AI102" s="155" t="str">
        <f aca="false">IF($B102="","",MAX(0,IF(OR(الموظفون!$AE102="",الموظفون!$AE102&gt;($E$3-1)),($E$3-1),الموظفون!$AE102)-الموظفون!$H102+1-SUMIFS('سجل الإجازات والحالات'!$AI$6:$AI$505,'سجل الإجازات والحالات'!$B$6:$B$505,$B102))/cfg_DAYS_Y)</f>
        <v/>
      </c>
      <c r="AJ102" s="65" t="str">
        <f aca="false">IF($B102="","",MAX(0,AK102-(SUMIFS('سجل الإجازات والحالات'!$AJ$6:$AJ$505,'سجل الإجازات والحالات'!$B$6:$B$505,$B102)-SUMIFS('سجل الإجازات والحالات'!$AI$6:$AI$505,'سجل الإجازات والحالات'!$B$6:$B$505,$B102))))</f>
        <v/>
      </c>
      <c r="AK102" s="65" t="str">
        <f aca="false">IF($B102="","",MAX(0,IF(OR(الموظفون!$AE102="",الموظفون!$AE102&gt;$F$3),$F$3,الموظفون!$AE102)-MAX($E$3,الموظفون!$H102)+1))</f>
        <v/>
      </c>
      <c r="AL102" s="151" t="str">
        <f aca="false">IF($B102="","",SUMIFS('سجل الإجازات والحالات'!$AV$6:$AV$505,'سجل الإجازات والحالات'!$B$6:$B$505,$B102)+SUMIFS('الحركات الشهرية'!$K$6:$K$1005,'الحركات الشهرية'!$B$6:$B$1005,$B102,'الحركات الشهرية'!$A$6:$A$1005,$C$3))</f>
        <v/>
      </c>
      <c r="AM102" s="111" t="str">
        <f aca="false">IF($B102="","",AL102*الموظفون!$R102/cfg_DAYS_M+S102)</f>
        <v/>
      </c>
      <c r="AN102" s="151" t="str">
        <f aca="false">IF($B102="","",SUMIFS('سجل الإجازات والحالات'!$X$6:$X$505,'سجل الإجازات والحالات'!$B$6:$B$505,$B102))</f>
        <v/>
      </c>
    </row>
    <row r="103" customFormat="false" ht="15" hidden="false" customHeight="false" outlineLevel="0" collapsed="false">
      <c r="A103" s="115" t="str">
        <f aca="false">IF($B103="","",الموظفون!$A103)</f>
        <v/>
      </c>
      <c r="B103" s="117" t="str">
        <f aca="false">IF(الموظفون!$B103="","",الموظفون!$B103)</f>
        <v/>
      </c>
      <c r="C103" s="117" t="str">
        <f aca="false">IF($B103="","",الموظفون!$C103)</f>
        <v/>
      </c>
      <c r="D103" s="117" t="str">
        <f aca="false">IF($B103="","",الموظفون!$F103)</f>
        <v/>
      </c>
      <c r="E103" s="117" t="str">
        <f aca="false">IF($B103="","",الموظفون!$E103)</f>
        <v/>
      </c>
      <c r="F103" s="117" t="str">
        <f aca="false">IF($B103="","",IF(AK103=0,IF(AND(الموظفون!$AE103&lt;&gt;"",الموظفون!$AE103&lt;$E$3),"✖ منتهي الخدمة","⏳ لم يباشر"),IF(S103&gt;0,"✈ راتب إجازة مقدم",IF(J103=0,"⛔ بدون راتب هذا الشهر",IF(I103&gt;0,"✈ خصم "&amp;ROUND(I103,2)&amp;" يوم بدون أجر",IF(AL103&gt;0,"🌴 إجازة سنوية "&amp;ROUND(AL103,2)&amp;" يوم",IF(H103&gt;0,"⚠ غياب "&amp;ROUND(H103,2)&amp;" يوم","✔ على رأس العمل")))))))</f>
        <v/>
      </c>
      <c r="G103" s="156" t="str">
        <f aca="false">IF($B103="","",IF(AK103&gt;=DAY($F$3),cfg_DAYS_M,MIN(AK103,cfg_DAYS_M)))</f>
        <v/>
      </c>
      <c r="H103" s="156" t="str">
        <f aca="false">IF($B103="","",SUMIFS('الحركات الشهرية'!$D$6:$D$1005,'الحركات الشهرية'!$B$6:$B$1005,$B103,'الحركات الشهرية'!$A$6:$A$1005,$C$3))</f>
        <v/>
      </c>
      <c r="I103" s="156" t="str">
        <f aca="false">IF($B103="","",MIN(G103,IF(AND(AK103&gt;0,AN103&gt;=AK103),G103,AN103)+SUMIFS('الحركات الشهرية'!$E$6:$E$1005,'الحركات الشهرية'!$B$6:$B$1005,$B103,'الحركات الشهرية'!$A$6:$A$1005,$C$3)))</f>
        <v/>
      </c>
      <c r="J103" s="156" t="str">
        <f aca="false">IF($B103="","",MAX(0,G103-H103-I103))</f>
        <v/>
      </c>
      <c r="K103" s="116" t="str">
        <f aca="false">IF($B103="","",الموظفون!$L103*$J103/cfg_DAYS_M)</f>
        <v/>
      </c>
      <c r="L103" s="116" t="str">
        <f aca="false">IF($B103="","",الموظفون!$M103*$J103/cfg_DAYS_M)</f>
        <v/>
      </c>
      <c r="M103" s="116" t="str">
        <f aca="false">IF($B103="","",الموظفون!$N103*$J103/cfg_DAYS_M)</f>
        <v/>
      </c>
      <c r="N103" s="116" t="str">
        <f aca="false">IF($B103="","",الموظفون!$O103*$J103/cfg_DAYS_M)</f>
        <v/>
      </c>
      <c r="O103" s="156" t="str">
        <f aca="false">IF($B103="","",SUMIFS('الحركات الشهرية'!$F$6:$F$1005,'الحركات الشهرية'!$B$6:$B$1005,$B103,'الحركات الشهرية'!$A$6:$A$1005,$C$3))</f>
        <v/>
      </c>
      <c r="P103" s="116" t="str">
        <f aca="false">IF($B103="","",O103*(الموظفون!$P103+الموظفون!$L103*cfg_OT_P)/cfg_DAYS_M/cfg_HRS)</f>
        <v/>
      </c>
      <c r="Q103" s="116" t="str">
        <f aca="false">IF($B103="","",SUMIFS('الحركات الشهرية'!$G$6:$G$1005,'الحركات الشهرية'!$B$6:$B$1005,$B103,'الحركات الشهرية'!$A$6:$A$1005,$C$3))</f>
        <v/>
      </c>
      <c r="R103" s="116" t="str">
        <f aca="false">IF($B103="","",SUMIFS('الحركات الشهرية'!$H$6:$H$1005,'الحركات الشهرية'!$B$6:$B$1005,$B103,'الحركات الشهرية'!$A$6:$A$1005,$C$3))</f>
        <v/>
      </c>
      <c r="S103" s="116" t="str">
        <f aca="false">IF($B103="","",SUMIFS('سجل الإجازات والحالات'!$N$6:$N$505,'سجل الإجازات والحالات'!$B$6:$B$505,$B103,'سجل الإجازات والحالات'!$O$6:$O$505,$C$3))</f>
        <v/>
      </c>
      <c r="T103" s="157" t="str">
        <f aca="false">IF($B103="","",SUM(K103:N103)+SUM(P103:S103))</f>
        <v/>
      </c>
      <c r="U103" s="116" t="str">
        <f aca="false">IF($B103="","",الموظفون!$S103*IF(E103="سعودي",cfg_G_SE,cfg_G_NE)*G103/cfg_DAYS_M)</f>
        <v/>
      </c>
      <c r="V103" s="116" t="str">
        <f aca="false">IF($B103="","",SUMIFS('الحركات الشهرية'!$I$6:$I$1005,'الحركات الشهرية'!$B$6:$B$1005,$B103,'الحركات الشهرية'!$A$6:$A$1005,$C$3))</f>
        <v/>
      </c>
      <c r="W103" s="116" t="str">
        <f aca="false">IF($B103="","",SUMIFS('الحركات الشهرية'!$J$6:$J$1005,'الحركات الشهرية'!$B$6:$B$1005,$B103,'الحركات الشهرية'!$A$6:$A$1005,$C$3))</f>
        <v/>
      </c>
      <c r="X103" s="116" t="str">
        <f aca="false">IF($B103="","",SUM(U103:W103))</f>
        <v/>
      </c>
      <c r="Y103" s="158" t="str">
        <f aca="false">IF($B103="","",T103-X103)</f>
        <v/>
      </c>
      <c r="Z103" s="116" t="str">
        <f aca="false">IF($B103="","",الموظفون!$S103*IF(E103="سعودي",cfg_G_SR,cfg_G_NR)*G103/cfg_DAYS_M)</f>
        <v/>
      </c>
      <c r="AA103" s="116" t="str">
        <f aca="false">IF($B103="","",الموظفون!$Q103*(cfg_EOS_R1*(MIN(AH103,cfg_EOS_TH)-MIN(AI103,cfg_EOS_TH))+cfg_EOS_R2*(MAX(AH103-cfg_EOS_TH,0)-MAX(AI103-cfg_EOS_TH,0))))</f>
        <v/>
      </c>
      <c r="AB103" s="116" t="str">
        <f aca="false">IF($B103="","",IF(الموظفون!$T103&lt;&gt;"",الموظفون!$T103,IF(AH103&gt;=cfg_LV_TH,cfg_LV_D2,cfg_LV_D1))/cfg_DAYS_Y*AJ103*الموظفون!$R103/cfg_DAYS_M)</f>
        <v/>
      </c>
      <c r="AC103" s="116" t="str">
        <f aca="false">IF($B103="","",IF(AND(الموظفون!$U103="نعم",N(الموظفون!$W103)&gt;0),الموظفون!$V103/الموظفون!$W103*12/cfg_DAYS_Y*AJ103,0))</f>
        <v/>
      </c>
      <c r="AD103" s="116" t="str">
        <f aca="false">IF($B103="","",(IF(الموظفون!$X103&lt;&gt;"",الموظفون!$X103,IF(الموظفون!$E103="غير سعودي",cfg_IQ,0))+IF(الموظفون!$Y103&lt;&gt;"",الموظفون!$Y103,IF(الموظفون!$E103="غير سعودي",cfg_WP,0)))/12*G103/cfg_DAYS_M)</f>
        <v/>
      </c>
      <c r="AE103" s="116" t="str">
        <f aca="false">IF($B103="","",IF(الموظفون!$Z103&lt;&gt;"",الموظفون!$Z103,cfg_MED)/12*G103/cfg_DAYS_M)</f>
        <v/>
      </c>
      <c r="AF103" s="116" t="str">
        <f aca="false">IF($B103="","",N(الموظفون!$AA103)/12*G103/cfg_DAYS_M)</f>
        <v/>
      </c>
      <c r="AG103" s="159" t="str">
        <f aca="false">IF($B103="","",T103+SUM(Z103:AF103))</f>
        <v/>
      </c>
      <c r="AH103" s="160" t="str">
        <f aca="false">IF($B103="","",MAX(0,IF(OR(الموظفون!$AE103="",الموظفون!$AE103&gt;$F$3),$F$3,الموظفون!$AE103)-الموظفون!$H103+1-SUMIFS('سجل الإجازات والحالات'!$AJ$6:$AJ$505,'سجل الإجازات والحالات'!$B$6:$B$505,$B103))/cfg_DAYS_Y)</f>
        <v/>
      </c>
      <c r="AI103" s="160" t="str">
        <f aca="false">IF($B103="","",MAX(0,IF(OR(الموظفون!$AE103="",الموظفون!$AE103&gt;($E$3-1)),($E$3-1),الموظفون!$AE103)-الموظفون!$H103+1-SUMIFS('سجل الإجازات والحالات'!$AI$6:$AI$505,'سجل الإجازات والحالات'!$B$6:$B$505,$B103))/cfg_DAYS_Y)</f>
        <v/>
      </c>
      <c r="AJ103" s="133" t="str">
        <f aca="false">IF($B103="","",MAX(0,AK103-(SUMIFS('سجل الإجازات والحالات'!$AJ$6:$AJ$505,'سجل الإجازات والحالات'!$B$6:$B$505,$B103)-SUMIFS('سجل الإجازات والحالات'!$AI$6:$AI$505,'سجل الإجازات والحالات'!$B$6:$B$505,$B103))))</f>
        <v/>
      </c>
      <c r="AK103" s="133" t="str">
        <f aca="false">IF($B103="","",MAX(0,IF(OR(الموظفون!$AE103="",الموظفون!$AE103&gt;$F$3),$F$3,الموظفون!$AE103)-MAX($E$3,الموظفون!$H103)+1))</f>
        <v/>
      </c>
      <c r="AL103" s="156" t="str">
        <f aca="false">IF($B103="","",SUMIFS('سجل الإجازات والحالات'!$AV$6:$AV$505,'سجل الإجازات والحالات'!$B$6:$B$505,$B103)+SUMIFS('الحركات الشهرية'!$K$6:$K$1005,'الحركات الشهرية'!$B$6:$B$1005,$B103,'الحركات الشهرية'!$A$6:$A$1005,$C$3))</f>
        <v/>
      </c>
      <c r="AM103" s="116" t="str">
        <f aca="false">IF($B103="","",AL103*الموظفون!$R103/cfg_DAYS_M+S103)</f>
        <v/>
      </c>
      <c r="AN103" s="156" t="str">
        <f aca="false">IF($B103="","",SUMIFS('سجل الإجازات والحالات'!$X$6:$X$505,'سجل الإجازات والحالات'!$B$6:$B$505,$B103))</f>
        <v/>
      </c>
    </row>
    <row r="104" customFormat="false" ht="15" hidden="false" customHeight="false" outlineLevel="0" collapsed="false">
      <c r="A104" s="106" t="str">
        <f aca="false">IF($B104="","",الموظفون!$A104)</f>
        <v/>
      </c>
      <c r="B104" s="114" t="str">
        <f aca="false">IF(الموظفون!$B104="","",الموظفون!$B104)</f>
        <v/>
      </c>
      <c r="C104" s="114" t="str">
        <f aca="false">IF($B104="","",الموظفون!$C104)</f>
        <v/>
      </c>
      <c r="D104" s="114" t="str">
        <f aca="false">IF($B104="","",الموظفون!$F104)</f>
        <v/>
      </c>
      <c r="E104" s="114" t="str">
        <f aca="false">IF($B104="","",الموظفون!$E104)</f>
        <v/>
      </c>
      <c r="F104" s="114" t="str">
        <f aca="false">IF($B104="","",IF(AK104=0,IF(AND(الموظفون!$AE104&lt;&gt;"",الموظفون!$AE104&lt;$E$3),"✖ منتهي الخدمة","⏳ لم يباشر"),IF(S104&gt;0,"✈ راتب إجازة مقدم",IF(J104=0,"⛔ بدون راتب هذا الشهر",IF(I104&gt;0,"✈ خصم "&amp;ROUND(I104,2)&amp;" يوم بدون أجر",IF(AL104&gt;0,"🌴 إجازة سنوية "&amp;ROUND(AL104,2)&amp;" يوم",IF(H104&gt;0,"⚠ غياب "&amp;ROUND(H104,2)&amp;" يوم","✔ على رأس العمل")))))))</f>
        <v/>
      </c>
      <c r="G104" s="151" t="str">
        <f aca="false">IF($B104="","",IF(AK104&gt;=DAY($F$3),cfg_DAYS_M,MIN(AK104,cfg_DAYS_M)))</f>
        <v/>
      </c>
      <c r="H104" s="151" t="str">
        <f aca="false">IF($B104="","",SUMIFS('الحركات الشهرية'!$D$6:$D$1005,'الحركات الشهرية'!$B$6:$B$1005,$B104,'الحركات الشهرية'!$A$6:$A$1005,$C$3))</f>
        <v/>
      </c>
      <c r="I104" s="151" t="str">
        <f aca="false">IF($B104="","",MIN(G104,IF(AND(AK104&gt;0,AN104&gt;=AK104),G104,AN104)+SUMIFS('الحركات الشهرية'!$E$6:$E$1005,'الحركات الشهرية'!$B$6:$B$1005,$B104,'الحركات الشهرية'!$A$6:$A$1005,$C$3)))</f>
        <v/>
      </c>
      <c r="J104" s="151" t="str">
        <f aca="false">IF($B104="","",MAX(0,G104-H104-I104))</f>
        <v/>
      </c>
      <c r="K104" s="111" t="str">
        <f aca="false">IF($B104="","",الموظفون!$L104*$J104/cfg_DAYS_M)</f>
        <v/>
      </c>
      <c r="L104" s="111" t="str">
        <f aca="false">IF($B104="","",الموظفون!$M104*$J104/cfg_DAYS_M)</f>
        <v/>
      </c>
      <c r="M104" s="111" t="str">
        <f aca="false">IF($B104="","",الموظفون!$N104*$J104/cfg_DAYS_M)</f>
        <v/>
      </c>
      <c r="N104" s="111" t="str">
        <f aca="false">IF($B104="","",الموظفون!$O104*$J104/cfg_DAYS_M)</f>
        <v/>
      </c>
      <c r="O104" s="151" t="str">
        <f aca="false">IF($B104="","",SUMIFS('الحركات الشهرية'!$F$6:$F$1005,'الحركات الشهرية'!$B$6:$B$1005,$B104,'الحركات الشهرية'!$A$6:$A$1005,$C$3))</f>
        <v/>
      </c>
      <c r="P104" s="111" t="str">
        <f aca="false">IF($B104="","",O104*(الموظفون!$P104+الموظفون!$L104*cfg_OT_P)/cfg_DAYS_M/cfg_HRS)</f>
        <v/>
      </c>
      <c r="Q104" s="111" t="str">
        <f aca="false">IF($B104="","",SUMIFS('الحركات الشهرية'!$G$6:$G$1005,'الحركات الشهرية'!$B$6:$B$1005,$B104,'الحركات الشهرية'!$A$6:$A$1005,$C$3))</f>
        <v/>
      </c>
      <c r="R104" s="111" t="str">
        <f aca="false">IF($B104="","",SUMIFS('الحركات الشهرية'!$H$6:$H$1005,'الحركات الشهرية'!$B$6:$B$1005,$B104,'الحركات الشهرية'!$A$6:$A$1005,$C$3))</f>
        <v/>
      </c>
      <c r="S104" s="111" t="str">
        <f aca="false">IF($B104="","",SUMIFS('سجل الإجازات والحالات'!$N$6:$N$505,'سجل الإجازات والحالات'!$B$6:$B$505,$B104,'سجل الإجازات والحالات'!$O$6:$O$505,$C$3))</f>
        <v/>
      </c>
      <c r="T104" s="152" t="str">
        <f aca="false">IF($B104="","",SUM(K104:N104)+SUM(P104:S104))</f>
        <v/>
      </c>
      <c r="U104" s="111" t="str">
        <f aca="false">IF($B104="","",الموظفون!$S104*IF(E104="سعودي",cfg_G_SE,cfg_G_NE)*G104/cfg_DAYS_M)</f>
        <v/>
      </c>
      <c r="V104" s="111" t="str">
        <f aca="false">IF($B104="","",SUMIFS('الحركات الشهرية'!$I$6:$I$1005,'الحركات الشهرية'!$B$6:$B$1005,$B104,'الحركات الشهرية'!$A$6:$A$1005,$C$3))</f>
        <v/>
      </c>
      <c r="W104" s="111" t="str">
        <f aca="false">IF($B104="","",SUMIFS('الحركات الشهرية'!$J$6:$J$1005,'الحركات الشهرية'!$B$6:$B$1005,$B104,'الحركات الشهرية'!$A$6:$A$1005,$C$3))</f>
        <v/>
      </c>
      <c r="X104" s="111" t="str">
        <f aca="false">IF($B104="","",SUM(U104:W104))</f>
        <v/>
      </c>
      <c r="Y104" s="153" t="str">
        <f aca="false">IF($B104="","",T104-X104)</f>
        <v/>
      </c>
      <c r="Z104" s="111" t="str">
        <f aca="false">IF($B104="","",الموظفون!$S104*IF(E104="سعودي",cfg_G_SR,cfg_G_NR)*G104/cfg_DAYS_M)</f>
        <v/>
      </c>
      <c r="AA104" s="111" t="str">
        <f aca="false">IF($B104="","",الموظفون!$Q104*(cfg_EOS_R1*(MIN(AH104,cfg_EOS_TH)-MIN(AI104,cfg_EOS_TH))+cfg_EOS_R2*(MAX(AH104-cfg_EOS_TH,0)-MAX(AI104-cfg_EOS_TH,0))))</f>
        <v/>
      </c>
      <c r="AB104" s="111" t="str">
        <f aca="false">IF($B104="","",IF(الموظفون!$T104&lt;&gt;"",الموظفون!$T104,IF(AH104&gt;=cfg_LV_TH,cfg_LV_D2,cfg_LV_D1))/cfg_DAYS_Y*AJ104*الموظفون!$R104/cfg_DAYS_M)</f>
        <v/>
      </c>
      <c r="AC104" s="111" t="str">
        <f aca="false">IF($B104="","",IF(AND(الموظفون!$U104="نعم",N(الموظفون!$W104)&gt;0),الموظفون!$V104/الموظفون!$W104*12/cfg_DAYS_Y*AJ104,0))</f>
        <v/>
      </c>
      <c r="AD104" s="111" t="str">
        <f aca="false">IF($B104="","",(IF(الموظفون!$X104&lt;&gt;"",الموظفون!$X104,IF(الموظفون!$E104="غير سعودي",cfg_IQ,0))+IF(الموظفون!$Y104&lt;&gt;"",الموظفون!$Y104,IF(الموظفون!$E104="غير سعودي",cfg_WP,0)))/12*G104/cfg_DAYS_M)</f>
        <v/>
      </c>
      <c r="AE104" s="111" t="str">
        <f aca="false">IF($B104="","",IF(الموظفون!$Z104&lt;&gt;"",الموظفون!$Z104,cfg_MED)/12*G104/cfg_DAYS_M)</f>
        <v/>
      </c>
      <c r="AF104" s="111" t="str">
        <f aca="false">IF($B104="","",N(الموظفون!$AA104)/12*G104/cfg_DAYS_M)</f>
        <v/>
      </c>
      <c r="AG104" s="154" t="str">
        <f aca="false">IF($B104="","",T104+SUM(Z104:AF104))</f>
        <v/>
      </c>
      <c r="AH104" s="155" t="str">
        <f aca="false">IF($B104="","",MAX(0,IF(OR(الموظفون!$AE104="",الموظفون!$AE104&gt;$F$3),$F$3,الموظفون!$AE104)-الموظفون!$H104+1-SUMIFS('سجل الإجازات والحالات'!$AJ$6:$AJ$505,'سجل الإجازات والحالات'!$B$6:$B$505,$B104))/cfg_DAYS_Y)</f>
        <v/>
      </c>
      <c r="AI104" s="155" t="str">
        <f aca="false">IF($B104="","",MAX(0,IF(OR(الموظفون!$AE104="",الموظفون!$AE104&gt;($E$3-1)),($E$3-1),الموظفون!$AE104)-الموظفون!$H104+1-SUMIFS('سجل الإجازات والحالات'!$AI$6:$AI$505,'سجل الإجازات والحالات'!$B$6:$B$505,$B104))/cfg_DAYS_Y)</f>
        <v/>
      </c>
      <c r="AJ104" s="65" t="str">
        <f aca="false">IF($B104="","",MAX(0,AK104-(SUMIFS('سجل الإجازات والحالات'!$AJ$6:$AJ$505,'سجل الإجازات والحالات'!$B$6:$B$505,$B104)-SUMIFS('سجل الإجازات والحالات'!$AI$6:$AI$505,'سجل الإجازات والحالات'!$B$6:$B$505,$B104))))</f>
        <v/>
      </c>
      <c r="AK104" s="65" t="str">
        <f aca="false">IF($B104="","",MAX(0,IF(OR(الموظفون!$AE104="",الموظفون!$AE104&gt;$F$3),$F$3,الموظفون!$AE104)-MAX($E$3,الموظفون!$H104)+1))</f>
        <v/>
      </c>
      <c r="AL104" s="151" t="str">
        <f aca="false">IF($B104="","",SUMIFS('سجل الإجازات والحالات'!$AV$6:$AV$505,'سجل الإجازات والحالات'!$B$6:$B$505,$B104)+SUMIFS('الحركات الشهرية'!$K$6:$K$1005,'الحركات الشهرية'!$B$6:$B$1005,$B104,'الحركات الشهرية'!$A$6:$A$1005,$C$3))</f>
        <v/>
      </c>
      <c r="AM104" s="111" t="str">
        <f aca="false">IF($B104="","",AL104*الموظفون!$R104/cfg_DAYS_M+S104)</f>
        <v/>
      </c>
      <c r="AN104" s="151" t="str">
        <f aca="false">IF($B104="","",SUMIFS('سجل الإجازات والحالات'!$X$6:$X$505,'سجل الإجازات والحالات'!$B$6:$B$505,$B104))</f>
        <v/>
      </c>
    </row>
    <row r="105" customFormat="false" ht="15" hidden="false" customHeight="false" outlineLevel="0" collapsed="false">
      <c r="A105" s="115" t="str">
        <f aca="false">IF($B105="","",الموظفون!$A105)</f>
        <v/>
      </c>
      <c r="B105" s="117" t="str">
        <f aca="false">IF(الموظفون!$B105="","",الموظفون!$B105)</f>
        <v/>
      </c>
      <c r="C105" s="117" t="str">
        <f aca="false">IF($B105="","",الموظفون!$C105)</f>
        <v/>
      </c>
      <c r="D105" s="117" t="str">
        <f aca="false">IF($B105="","",الموظفون!$F105)</f>
        <v/>
      </c>
      <c r="E105" s="117" t="str">
        <f aca="false">IF($B105="","",الموظفون!$E105)</f>
        <v/>
      </c>
      <c r="F105" s="117" t="str">
        <f aca="false">IF($B105="","",IF(AK105=0,IF(AND(الموظفون!$AE105&lt;&gt;"",الموظفون!$AE105&lt;$E$3),"✖ منتهي الخدمة","⏳ لم يباشر"),IF(S105&gt;0,"✈ راتب إجازة مقدم",IF(J105=0,"⛔ بدون راتب هذا الشهر",IF(I105&gt;0,"✈ خصم "&amp;ROUND(I105,2)&amp;" يوم بدون أجر",IF(AL105&gt;0,"🌴 إجازة سنوية "&amp;ROUND(AL105,2)&amp;" يوم",IF(H105&gt;0,"⚠ غياب "&amp;ROUND(H105,2)&amp;" يوم","✔ على رأس العمل")))))))</f>
        <v/>
      </c>
      <c r="G105" s="156" t="str">
        <f aca="false">IF($B105="","",IF(AK105&gt;=DAY($F$3),cfg_DAYS_M,MIN(AK105,cfg_DAYS_M)))</f>
        <v/>
      </c>
      <c r="H105" s="156" t="str">
        <f aca="false">IF($B105="","",SUMIFS('الحركات الشهرية'!$D$6:$D$1005,'الحركات الشهرية'!$B$6:$B$1005,$B105,'الحركات الشهرية'!$A$6:$A$1005,$C$3))</f>
        <v/>
      </c>
      <c r="I105" s="156" t="str">
        <f aca="false">IF($B105="","",MIN(G105,IF(AND(AK105&gt;0,AN105&gt;=AK105),G105,AN105)+SUMIFS('الحركات الشهرية'!$E$6:$E$1005,'الحركات الشهرية'!$B$6:$B$1005,$B105,'الحركات الشهرية'!$A$6:$A$1005,$C$3)))</f>
        <v/>
      </c>
      <c r="J105" s="156" t="str">
        <f aca="false">IF($B105="","",MAX(0,G105-H105-I105))</f>
        <v/>
      </c>
      <c r="K105" s="116" t="str">
        <f aca="false">IF($B105="","",الموظفون!$L105*$J105/cfg_DAYS_M)</f>
        <v/>
      </c>
      <c r="L105" s="116" t="str">
        <f aca="false">IF($B105="","",الموظفون!$M105*$J105/cfg_DAYS_M)</f>
        <v/>
      </c>
      <c r="M105" s="116" t="str">
        <f aca="false">IF($B105="","",الموظفون!$N105*$J105/cfg_DAYS_M)</f>
        <v/>
      </c>
      <c r="N105" s="116" t="str">
        <f aca="false">IF($B105="","",الموظفون!$O105*$J105/cfg_DAYS_M)</f>
        <v/>
      </c>
      <c r="O105" s="156" t="str">
        <f aca="false">IF($B105="","",SUMIFS('الحركات الشهرية'!$F$6:$F$1005,'الحركات الشهرية'!$B$6:$B$1005,$B105,'الحركات الشهرية'!$A$6:$A$1005,$C$3))</f>
        <v/>
      </c>
      <c r="P105" s="116" t="str">
        <f aca="false">IF($B105="","",O105*(الموظفون!$P105+الموظفون!$L105*cfg_OT_P)/cfg_DAYS_M/cfg_HRS)</f>
        <v/>
      </c>
      <c r="Q105" s="116" t="str">
        <f aca="false">IF($B105="","",SUMIFS('الحركات الشهرية'!$G$6:$G$1005,'الحركات الشهرية'!$B$6:$B$1005,$B105,'الحركات الشهرية'!$A$6:$A$1005,$C$3))</f>
        <v/>
      </c>
      <c r="R105" s="116" t="str">
        <f aca="false">IF($B105="","",SUMIFS('الحركات الشهرية'!$H$6:$H$1005,'الحركات الشهرية'!$B$6:$B$1005,$B105,'الحركات الشهرية'!$A$6:$A$1005,$C$3))</f>
        <v/>
      </c>
      <c r="S105" s="116" t="str">
        <f aca="false">IF($B105="","",SUMIFS('سجل الإجازات والحالات'!$N$6:$N$505,'سجل الإجازات والحالات'!$B$6:$B$505,$B105,'سجل الإجازات والحالات'!$O$6:$O$505,$C$3))</f>
        <v/>
      </c>
      <c r="T105" s="157" t="str">
        <f aca="false">IF($B105="","",SUM(K105:N105)+SUM(P105:S105))</f>
        <v/>
      </c>
      <c r="U105" s="116" t="str">
        <f aca="false">IF($B105="","",الموظفون!$S105*IF(E105="سعودي",cfg_G_SE,cfg_G_NE)*G105/cfg_DAYS_M)</f>
        <v/>
      </c>
      <c r="V105" s="116" t="str">
        <f aca="false">IF($B105="","",SUMIFS('الحركات الشهرية'!$I$6:$I$1005,'الحركات الشهرية'!$B$6:$B$1005,$B105,'الحركات الشهرية'!$A$6:$A$1005,$C$3))</f>
        <v/>
      </c>
      <c r="W105" s="116" t="str">
        <f aca="false">IF($B105="","",SUMIFS('الحركات الشهرية'!$J$6:$J$1005,'الحركات الشهرية'!$B$6:$B$1005,$B105,'الحركات الشهرية'!$A$6:$A$1005,$C$3))</f>
        <v/>
      </c>
      <c r="X105" s="116" t="str">
        <f aca="false">IF($B105="","",SUM(U105:W105))</f>
        <v/>
      </c>
      <c r="Y105" s="158" t="str">
        <f aca="false">IF($B105="","",T105-X105)</f>
        <v/>
      </c>
      <c r="Z105" s="116" t="str">
        <f aca="false">IF($B105="","",الموظفون!$S105*IF(E105="سعودي",cfg_G_SR,cfg_G_NR)*G105/cfg_DAYS_M)</f>
        <v/>
      </c>
      <c r="AA105" s="116" t="str">
        <f aca="false">IF($B105="","",الموظفون!$Q105*(cfg_EOS_R1*(MIN(AH105,cfg_EOS_TH)-MIN(AI105,cfg_EOS_TH))+cfg_EOS_R2*(MAX(AH105-cfg_EOS_TH,0)-MAX(AI105-cfg_EOS_TH,0))))</f>
        <v/>
      </c>
      <c r="AB105" s="116" t="str">
        <f aca="false">IF($B105="","",IF(الموظفون!$T105&lt;&gt;"",الموظفون!$T105,IF(AH105&gt;=cfg_LV_TH,cfg_LV_D2,cfg_LV_D1))/cfg_DAYS_Y*AJ105*الموظفون!$R105/cfg_DAYS_M)</f>
        <v/>
      </c>
      <c r="AC105" s="116" t="str">
        <f aca="false">IF($B105="","",IF(AND(الموظفون!$U105="نعم",N(الموظفون!$W105)&gt;0),الموظفون!$V105/الموظفون!$W105*12/cfg_DAYS_Y*AJ105,0))</f>
        <v/>
      </c>
      <c r="AD105" s="116" t="str">
        <f aca="false">IF($B105="","",(IF(الموظفون!$X105&lt;&gt;"",الموظفون!$X105,IF(الموظفون!$E105="غير سعودي",cfg_IQ,0))+IF(الموظفون!$Y105&lt;&gt;"",الموظفون!$Y105,IF(الموظفون!$E105="غير سعودي",cfg_WP,0)))/12*G105/cfg_DAYS_M)</f>
        <v/>
      </c>
      <c r="AE105" s="116" t="str">
        <f aca="false">IF($B105="","",IF(الموظفون!$Z105&lt;&gt;"",الموظفون!$Z105,cfg_MED)/12*G105/cfg_DAYS_M)</f>
        <v/>
      </c>
      <c r="AF105" s="116" t="str">
        <f aca="false">IF($B105="","",N(الموظفون!$AA105)/12*G105/cfg_DAYS_M)</f>
        <v/>
      </c>
      <c r="AG105" s="159" t="str">
        <f aca="false">IF($B105="","",T105+SUM(Z105:AF105))</f>
        <v/>
      </c>
      <c r="AH105" s="160" t="str">
        <f aca="false">IF($B105="","",MAX(0,IF(OR(الموظفون!$AE105="",الموظفون!$AE105&gt;$F$3),$F$3,الموظفون!$AE105)-الموظفون!$H105+1-SUMIFS('سجل الإجازات والحالات'!$AJ$6:$AJ$505,'سجل الإجازات والحالات'!$B$6:$B$505,$B105))/cfg_DAYS_Y)</f>
        <v/>
      </c>
      <c r="AI105" s="160" t="str">
        <f aca="false">IF($B105="","",MAX(0,IF(OR(الموظفون!$AE105="",الموظفون!$AE105&gt;($E$3-1)),($E$3-1),الموظفون!$AE105)-الموظفون!$H105+1-SUMIFS('سجل الإجازات والحالات'!$AI$6:$AI$505,'سجل الإجازات والحالات'!$B$6:$B$505,$B105))/cfg_DAYS_Y)</f>
        <v/>
      </c>
      <c r="AJ105" s="133" t="str">
        <f aca="false">IF($B105="","",MAX(0,AK105-(SUMIFS('سجل الإجازات والحالات'!$AJ$6:$AJ$505,'سجل الإجازات والحالات'!$B$6:$B$505,$B105)-SUMIFS('سجل الإجازات والحالات'!$AI$6:$AI$505,'سجل الإجازات والحالات'!$B$6:$B$505,$B105))))</f>
        <v/>
      </c>
      <c r="AK105" s="133" t="str">
        <f aca="false">IF($B105="","",MAX(0,IF(OR(الموظفون!$AE105="",الموظفون!$AE105&gt;$F$3),$F$3,الموظفون!$AE105)-MAX($E$3,الموظفون!$H105)+1))</f>
        <v/>
      </c>
      <c r="AL105" s="156" t="str">
        <f aca="false">IF($B105="","",SUMIFS('سجل الإجازات والحالات'!$AV$6:$AV$505,'سجل الإجازات والحالات'!$B$6:$B$505,$B105)+SUMIFS('الحركات الشهرية'!$K$6:$K$1005,'الحركات الشهرية'!$B$6:$B$1005,$B105,'الحركات الشهرية'!$A$6:$A$1005,$C$3))</f>
        <v/>
      </c>
      <c r="AM105" s="116" t="str">
        <f aca="false">IF($B105="","",AL105*الموظفون!$R105/cfg_DAYS_M+S105)</f>
        <v/>
      </c>
      <c r="AN105" s="156" t="str">
        <f aca="false">IF($B105="","",SUMIFS('سجل الإجازات والحالات'!$X$6:$X$505,'سجل الإجازات والحالات'!$B$6:$B$505,$B105))</f>
        <v/>
      </c>
    </row>
    <row r="106" customFormat="false" ht="24" hidden="false" customHeight="true" outlineLevel="0" collapsed="false">
      <c r="A106" s="124"/>
      <c r="B106" s="125" t="str">
        <f aca="false">COUNTIF(G6:G105,"&gt;0")&amp;" موظف"</f>
        <v>11 موظف</v>
      </c>
      <c r="C106" s="124" t="s">
        <v>161</v>
      </c>
      <c r="D106" s="124"/>
      <c r="E106" s="124"/>
      <c r="F106" s="125" t="str">
        <f aca="false">COUNTIFS(G6:G105,"&gt;0",J6:J105,0)&amp;" بدون راتب"</f>
        <v>0 بدون راتب</v>
      </c>
      <c r="G106" s="124"/>
      <c r="H106" s="161" t="n">
        <f aca="false">SUM(H6:H105)</f>
        <v>0</v>
      </c>
      <c r="I106" s="161" t="n">
        <f aca="false">SUM(I6:I105)</f>
        <v>0</v>
      </c>
      <c r="J106" s="161" t="n">
        <f aca="false">SUM(J6:J105)</f>
        <v>330</v>
      </c>
      <c r="K106" s="125" t="n">
        <f aca="false">SUM(K6:K105)</f>
        <v>132500</v>
      </c>
      <c r="L106" s="125" t="n">
        <f aca="false">SUM(L6:L105)</f>
        <v>33125</v>
      </c>
      <c r="M106" s="125" t="n">
        <f aca="false">SUM(M6:M105)</f>
        <v>13250</v>
      </c>
      <c r="N106" s="125" t="n">
        <f aca="false">SUM(N6:N105)</f>
        <v>10300</v>
      </c>
      <c r="O106" s="161" t="n">
        <f aca="false">SUM(O6:O105)</f>
        <v>10</v>
      </c>
      <c r="P106" s="125" t="n">
        <f aca="false">SUM(P6:P105)</f>
        <v>881.25</v>
      </c>
      <c r="Q106" s="125" t="n">
        <f aca="false">SUM(Q6:Q105)</f>
        <v>0</v>
      </c>
      <c r="R106" s="125" t="n">
        <f aca="false">SUM(R6:R105)</f>
        <v>0</v>
      </c>
      <c r="S106" s="125" t="n">
        <f aca="false">SUM(S6:S105)</f>
        <v>0</v>
      </c>
      <c r="T106" s="125" t="n">
        <f aca="false">SUM(T6:T105)</f>
        <v>190056.25</v>
      </c>
      <c r="U106" s="125" t="n">
        <f aca="false">SUM(U6:U105)</f>
        <v>11273.4375</v>
      </c>
      <c r="V106" s="125" t="n">
        <f aca="false">SUM(V6:V105)</f>
        <v>1000</v>
      </c>
      <c r="W106" s="125" t="n">
        <f aca="false">SUM(W6:W105)</f>
        <v>0</v>
      </c>
      <c r="X106" s="125" t="n">
        <f aca="false">SUM(X6:X105)</f>
        <v>12273.4375</v>
      </c>
      <c r="Y106" s="125" t="n">
        <f aca="false">SUM(Y6:Y105)</f>
        <v>177782.8125</v>
      </c>
      <c r="Z106" s="125" t="n">
        <f aca="false">SUM(Z6:Z105)</f>
        <v>14585.9375</v>
      </c>
      <c r="AA106" s="125" t="n">
        <f aca="false">SUM(AA6:AA105)</f>
        <v>14074.2123287672</v>
      </c>
      <c r="AB106" s="125" t="n">
        <f aca="false">SUM(AB6:AB105)</f>
        <v>14521.3767123288</v>
      </c>
      <c r="AC106" s="125" t="n">
        <f aca="false">SUM(AC6:AC105)</f>
        <v>959.72602739726</v>
      </c>
      <c r="AD106" s="125" t="n">
        <f aca="false">SUM(AD6:AD105)</f>
        <v>4270.83333333333</v>
      </c>
      <c r="AE106" s="125" t="n">
        <f aca="false">SUM(AE6:AE105)</f>
        <v>2600</v>
      </c>
      <c r="AF106" s="125" t="n">
        <f aca="false">SUM(AF6:AF105)</f>
        <v>400</v>
      </c>
      <c r="AG106" s="125" t="n">
        <f aca="false">SUM(AG6:AG105)</f>
        <v>241468.335901827</v>
      </c>
      <c r="AH106" s="124"/>
      <c r="AI106" s="124"/>
      <c r="AJ106" s="124"/>
      <c r="AK106" s="124"/>
      <c r="AL106" s="161" t="n">
        <f aca="false">SUM(AL6:AL105)</f>
        <v>31</v>
      </c>
      <c r="AM106" s="125" t="n">
        <f aca="false">SUM(AM6:AM105)</f>
        <v>22995</v>
      </c>
      <c r="AN106" s="124"/>
    </row>
    <row r="107" customFormat="false" ht="48" hidden="false" customHeight="true" outlineLevel="0" collapsed="false">
      <c r="A107" s="24" t="s">
        <v>505</v>
      </c>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row>
  </sheetData>
  <sheetProtection sheet="true" password="ffa5" objects="true" scenarios="true"/>
  <autoFilter ref="A5:AN105"/>
  <mergeCells count="6">
    <mergeCell ref="A1:AG1"/>
    <mergeCell ref="A2:AG2"/>
    <mergeCell ref="G3:H3"/>
    <mergeCell ref="J3:K3"/>
    <mergeCell ref="L3:M3"/>
    <mergeCell ref="A107:AN107"/>
  </mergeCells>
  <conditionalFormatting sqref="G3">
    <cfRule type="expression" priority="2" aboveAverage="0" equalAverage="0" bottom="0" percent="0" rank="0" text="" dxfId="0">
      <formula>ISNUMBER(SEARCH("✔",G3))</formula>
    </cfRule>
    <cfRule type="expression" priority="3" aboveAverage="0" equalAverage="0" bottom="0" percent="0" rank="0" text="" dxfId="1">
      <formula>ISNUMBER(SEARCH("✖",G3))</formula>
    </cfRule>
    <cfRule type="expression" priority="4" aboveAverage="0" equalAverage="0" bottom="0" percent="0" rank="0" text="" dxfId="2">
      <formula>ISNUMBER(SEARCH("⚠",G3))</formula>
    </cfRule>
    <cfRule type="expression" priority="5" aboveAverage="0" equalAverage="0" bottom="0" percent="0" rank="0" text="" dxfId="3">
      <formula>ISNUMBER(SEARCH("✈",G3))</formula>
    </cfRule>
    <cfRule type="expression" priority="6" aboveAverage="0" equalAverage="0" bottom="0" percent="0" rank="0" text="" dxfId="1">
      <formula>ISNUMBER(SEARCH("⛔",G3))</formula>
    </cfRule>
    <cfRule type="expression" priority="7" aboveAverage="0" equalAverage="0" bottom="0" percent="0" rank="0" text="" dxfId="0">
      <formula>ISNUMBER(SEARCH("🌴",G3))</formula>
    </cfRule>
    <cfRule type="expression" priority="8" aboveAverage="0" equalAverage="0" bottom="0" percent="0" rank="0" text="" dxfId="4">
      <formula>ISNUMBER(SEARCH("⏳",G3))</formula>
    </cfRule>
  </conditionalFormatting>
  <conditionalFormatting sqref="F6:F105">
    <cfRule type="expression" priority="9" aboveAverage="0" equalAverage="0" bottom="0" percent="0" rank="0" text="" dxfId="0">
      <formula>ISNUMBER(SEARCH("✔",F6))</formula>
    </cfRule>
    <cfRule type="expression" priority="10" aboveAverage="0" equalAverage="0" bottom="0" percent="0" rank="0" text="" dxfId="1">
      <formula>ISNUMBER(SEARCH("✖",F6))</formula>
    </cfRule>
    <cfRule type="expression" priority="11" aboveAverage="0" equalAverage="0" bottom="0" percent="0" rank="0" text="" dxfId="2">
      <formula>ISNUMBER(SEARCH("⚠",F6))</formula>
    </cfRule>
    <cfRule type="expression" priority="12" aboveAverage="0" equalAverage="0" bottom="0" percent="0" rank="0" text="" dxfId="3">
      <formula>ISNUMBER(SEARCH("✈",F6))</formula>
    </cfRule>
    <cfRule type="expression" priority="13" aboveAverage="0" equalAverage="0" bottom="0" percent="0" rank="0" text="" dxfId="1">
      <formula>ISNUMBER(SEARCH("⛔",F6))</formula>
    </cfRule>
    <cfRule type="expression" priority="14" aboveAverage="0" equalAverage="0" bottom="0" percent="0" rank="0" text="" dxfId="0">
      <formula>ISNUMBER(SEARCH("🌴",F6))</formula>
    </cfRule>
    <cfRule type="expression" priority="15" aboveAverage="0" equalAverage="0" bottom="0" percent="0" rank="0" text="" dxfId="4">
      <formula>ISNUMBER(SEARCH("⏳",F6))</formula>
    </cfRule>
  </conditionalFormatting>
  <conditionalFormatting sqref="G6:AN105">
    <cfRule type="expression" priority="16" aboveAverage="0" equalAverage="0" bottom="0" percent="0" rank="0" text="" dxfId="31">
      <formula>AND($B6&lt;&gt;"",$J6=0)</formula>
    </cfRule>
  </conditionalFormatting>
  <conditionalFormatting sqref="Y6:Y105">
    <cfRule type="expression" priority="17" aboveAverage="0" equalAverage="0" bottom="0" percent="0" rank="0" text="" dxfId="1">
      <formula>AND(ISNUMBER(Y6),Y6&lt;0)</formula>
    </cfRule>
  </conditionalFormatting>
  <hyperlinks>
    <hyperlink ref="A2" r:id="rId1" display="https://accopro.net/"/>
    <hyperlink ref="J3" location="'مسير فبراير'!A1" display="◀ الشهر السابق"/>
    <hyperlink ref="L3" location="'مسير أبريل'!A1" display="الشهر التالي ▶"/>
    <hyperlink ref="O3" location="'الرئيسية'!A1" display="🏠 الرئيسية"/>
    <hyperlink ref="P3" location="'لوحة التحكم'!A1" display="📊 لوحة التحكم"/>
    <hyperlink ref="R3" location="'الموظفون'!A1" display="👥 الموظفون"/>
    <hyperlink ref="S3" location="'سجل الإجازات والحالات'!A1" display="🌴 سجل الإجازات"/>
    <hyperlink ref="U3" location="'الحركات الشهرية'!A1" display="✍ الحركات"/>
    <hyperlink ref="W3" location="'الملخص الشهري'!A1" display="📅 الملخص الشهري"/>
    <hyperlink ref="Y3" location="'قيود الرواتب'!A1" display="🧾 القيود"/>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&amp;Cنسخة تجريبية — النسخة الكاملة: accopro.net</oddHeader>
    <oddFooter>&amp;CAccoPro — https://accopro.net</oddFooter>
  </headerFooter>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N107"/>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24"/>
    <col collapsed="false" customWidth="true" hidden="false" outlineLevel="0" max="4" min="4" style="0" width="14"/>
    <col collapsed="false" customWidth="true" hidden="false" outlineLevel="0" max="5" min="5" style="0" width="10"/>
    <col collapsed="false" customWidth="true" hidden="false" outlineLevel="0" max="6" min="6" style="0" width="20"/>
    <col collapsed="false" customWidth="true" hidden="false" outlineLevel="0" max="8" min="7" style="0" width="8"/>
    <col collapsed="false" customWidth="true" hidden="false" outlineLevel="0" max="9" min="9" style="0" width="9"/>
    <col collapsed="false" customWidth="true" hidden="false" outlineLevel="0" max="10" min="10" style="0" width="8"/>
    <col collapsed="false" customWidth="true" hidden="false" outlineLevel="0" max="11" min="11" style="0" width="12"/>
    <col collapsed="false" customWidth="true" hidden="false" outlineLevel="0" max="12" min="12" style="0" width="11"/>
    <col collapsed="false" customWidth="true" hidden="false" outlineLevel="0" max="14" min="13" style="0" width="10"/>
    <col collapsed="false" customWidth="true" hidden="false" outlineLevel="0" max="15" min="15" style="0" width="7"/>
    <col collapsed="false" customWidth="true" hidden="false" outlineLevel="0" max="19" min="16" style="0" width="11"/>
    <col collapsed="false" customWidth="true" hidden="false" outlineLevel="0" max="20" min="20" style="0" width="13"/>
    <col collapsed="false" customWidth="true" hidden="false" outlineLevel="0" max="21" min="21" style="0" width="11"/>
    <col collapsed="false" customWidth="true" hidden="false" outlineLevel="0" max="23" min="22" style="0" width="10"/>
    <col collapsed="false" customWidth="true" hidden="false" outlineLevel="0" max="24" min="24" style="0" width="12"/>
    <col collapsed="false" customWidth="true" hidden="false" outlineLevel="0" max="25" min="25" style="0" width="13"/>
    <col collapsed="false" customWidth="true" hidden="false" outlineLevel="0" max="26" min="26" style="0" width="11"/>
    <col collapsed="false" customWidth="true" hidden="false" outlineLevel="0" max="27" min="27" style="0" width="12"/>
    <col collapsed="false" customWidth="true" hidden="false" outlineLevel="0" max="29" min="28" style="0" width="11"/>
    <col collapsed="false" customWidth="true" hidden="false" outlineLevel="0" max="30" min="30" style="0" width="12"/>
    <col collapsed="false" customWidth="true" hidden="false" outlineLevel="0" max="31" min="31" style="0" width="11"/>
    <col collapsed="false" customWidth="true" hidden="false" outlineLevel="0" max="32" min="32" style="0" width="10"/>
    <col collapsed="false" customWidth="true" hidden="false" outlineLevel="0" max="33" min="33" style="0" width="14"/>
    <col collapsed="false" customWidth="true" hidden="true" outlineLevel="0" max="38" min="34" style="0" width="9"/>
    <col collapsed="false" customWidth="true" hidden="true" outlineLevel="0" max="39" min="39" style="0" width="11"/>
    <col collapsed="false" customWidth="true" hidden="true" outlineLevel="0" max="40" min="40" style="0" width="9"/>
  </cols>
  <sheetData>
    <row r="1" customFormat="false" ht="37.5" hidden="false" customHeight="true" outlineLevel="0" collapsed="false">
      <c r="A1" s="136" t="str">
        <f aca="false">"💵 مسير رواتب شهر أبريل "&amp;cfg_FY&amp;"   🔒 نسخة تجريبية"</f>
        <v>💵 مسير رواتب شهر أبريل 2026   🔒 نسخة تجريبية</v>
      </c>
      <c r="B1" s="136"/>
      <c r="C1" s="136"/>
      <c r="D1" s="136"/>
      <c r="E1" s="136"/>
      <c r="F1" s="136"/>
      <c r="G1" s="136"/>
      <c r="H1" s="136"/>
      <c r="I1" s="136"/>
      <c r="J1" s="136"/>
      <c r="K1" s="136"/>
      <c r="L1" s="136"/>
      <c r="M1" s="136"/>
      <c r="N1" s="136"/>
      <c r="O1" s="136"/>
      <c r="P1" s="136"/>
      <c r="Q1" s="136"/>
      <c r="R1" s="136"/>
      <c r="S1" s="136"/>
      <c r="T1" s="136"/>
      <c r="U1" s="136"/>
      <c r="V1" s="136"/>
      <c r="W1" s="136"/>
      <c r="X1" s="136"/>
      <c r="Y1" s="136"/>
      <c r="Z1" s="136"/>
      <c r="AA1" s="136"/>
      <c r="AB1" s="136"/>
      <c r="AC1" s="136"/>
      <c r="AD1" s="136"/>
      <c r="AE1" s="136"/>
      <c r="AF1" s="136"/>
      <c r="AG1" s="136"/>
    </row>
    <row r="2" customFormat="false" ht="19.5" hidden="false" customHeight="true" outlineLevel="0" collapsed="false">
      <c r="A2" s="2" t="str">
        <f aca="false">"🛒 نسخة تجريبية — للنسخة الكاملة اضغط هنا ← accopro.net   |   "&amp;cfg_CO&amp;"   |   السنة المالية "&amp;cfg_FY&amp;"   |   شهر التقرير: "&amp;INDEX(L_MONTH,cfg_VAL_M)&amp;"   |   المبالغ بـ "&amp;cfg_CUR</f>
        <v>🛒 نسخة تجريبية — للنسخة الكاملة اضغط هنا ← accopro.net   |   شركة النخبة للتجارة والمقاولات   |   السنة المالية 2026   |   شهر التقرير: سبتمبر   |   المبالغ بـ ريال سعودي</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row>
    <row r="3" customFormat="false" ht="25.5" hidden="false" customHeight="true" outlineLevel="0" collapsed="false">
      <c r="B3" s="137" t="s">
        <v>163</v>
      </c>
      <c r="C3" s="138" t="n">
        <v>4</v>
      </c>
      <c r="D3" s="137" t="s">
        <v>472</v>
      </c>
      <c r="E3" s="139" t="n">
        <f aca="false">DATE(cfg_FY,C3,1)</f>
        <v>46113</v>
      </c>
      <c r="F3" s="139" t="n">
        <f aca="false">EOMONTH(E3,0)</f>
        <v>46142</v>
      </c>
      <c r="G3" s="140" t="str">
        <f aca="false">IF(C3&lt;=cfg_VAL_M,"✔ فعلي","⚠ متوقع")</f>
        <v>✔ فعلي</v>
      </c>
      <c r="H3" s="140"/>
      <c r="J3" s="141" t="s">
        <v>506</v>
      </c>
      <c r="K3" s="141"/>
      <c r="L3" s="141" t="s">
        <v>473</v>
      </c>
      <c r="M3" s="141"/>
      <c r="O3" s="31" t="s">
        <v>114</v>
      </c>
      <c r="P3" s="12" t="s">
        <v>172</v>
      </c>
      <c r="R3" s="32" t="s">
        <v>116</v>
      </c>
      <c r="S3" s="33" t="s">
        <v>117</v>
      </c>
      <c r="U3" s="32" t="s">
        <v>118</v>
      </c>
      <c r="W3" s="32" t="s">
        <v>39</v>
      </c>
      <c r="Y3" s="32" t="s">
        <v>173</v>
      </c>
    </row>
    <row r="4" customFormat="false" ht="7.5" hidden="false" customHeight="true" outlineLevel="0" collapsed="false"/>
    <row r="5" customFormat="false" ht="51.75" hidden="false" customHeight="true" outlineLevel="0" collapsed="false">
      <c r="A5" s="142" t="s">
        <v>308</v>
      </c>
      <c r="B5" s="142" t="s">
        <v>309</v>
      </c>
      <c r="C5" s="142" t="s">
        <v>310</v>
      </c>
      <c r="D5" s="142" t="s">
        <v>156</v>
      </c>
      <c r="E5" s="142" t="s">
        <v>142</v>
      </c>
      <c r="F5" s="142" t="s">
        <v>474</v>
      </c>
      <c r="G5" s="143" t="s">
        <v>475</v>
      </c>
      <c r="H5" s="143" t="s">
        <v>476</v>
      </c>
      <c r="I5" s="143" t="s">
        <v>477</v>
      </c>
      <c r="J5" s="143" t="s">
        <v>478</v>
      </c>
      <c r="K5" s="144" t="s">
        <v>479</v>
      </c>
      <c r="L5" s="144" t="s">
        <v>480</v>
      </c>
      <c r="M5" s="144" t="s">
        <v>481</v>
      </c>
      <c r="N5" s="144" t="s">
        <v>482</v>
      </c>
      <c r="O5" s="144" t="s">
        <v>483</v>
      </c>
      <c r="P5" s="144" t="s">
        <v>484</v>
      </c>
      <c r="Q5" s="144" t="s">
        <v>451</v>
      </c>
      <c r="R5" s="144" t="s">
        <v>485</v>
      </c>
      <c r="S5" s="144" t="s">
        <v>486</v>
      </c>
      <c r="T5" s="144" t="s">
        <v>127</v>
      </c>
      <c r="U5" s="145" t="s">
        <v>487</v>
      </c>
      <c r="V5" s="145" t="s">
        <v>453</v>
      </c>
      <c r="W5" s="145" t="s">
        <v>454</v>
      </c>
      <c r="X5" s="145" t="s">
        <v>488</v>
      </c>
      <c r="Y5" s="146" t="s">
        <v>489</v>
      </c>
      <c r="Z5" s="147" t="s">
        <v>490</v>
      </c>
      <c r="AA5" s="147" t="s">
        <v>491</v>
      </c>
      <c r="AB5" s="147" t="s">
        <v>492</v>
      </c>
      <c r="AC5" s="147" t="s">
        <v>493</v>
      </c>
      <c r="AD5" s="148" t="s">
        <v>494</v>
      </c>
      <c r="AE5" s="148" t="s">
        <v>495</v>
      </c>
      <c r="AF5" s="148" t="s">
        <v>496</v>
      </c>
      <c r="AG5" s="149" t="s">
        <v>497</v>
      </c>
      <c r="AH5" s="150" t="s">
        <v>498</v>
      </c>
      <c r="AI5" s="150" t="s">
        <v>499</v>
      </c>
      <c r="AJ5" s="150" t="s">
        <v>500</v>
      </c>
      <c r="AK5" s="150" t="s">
        <v>501</v>
      </c>
      <c r="AL5" s="150" t="s">
        <v>502</v>
      </c>
      <c r="AM5" s="150" t="s">
        <v>503</v>
      </c>
      <c r="AN5" s="150" t="s">
        <v>504</v>
      </c>
    </row>
    <row r="6" customFormat="false" ht="15" hidden="false" customHeight="false" outlineLevel="0" collapsed="false">
      <c r="A6" s="106" t="n">
        <f aca="false">IF($B6="","",الموظفون!$A6)</f>
        <v>1</v>
      </c>
      <c r="B6" s="114" t="str">
        <f aca="false">IF(الموظفون!$B6="","",الموظفون!$B6)</f>
        <v>E001</v>
      </c>
      <c r="C6" s="114" t="str">
        <f aca="false">IF($B6="","",الموظفون!$C6)</f>
        <v>عبدالله محمد العتيبي</v>
      </c>
      <c r="D6" s="114" t="str">
        <f aca="false">IF($B6="","",الموظفون!$F6)</f>
        <v>الإدارة العليا</v>
      </c>
      <c r="E6" s="114" t="str">
        <f aca="false">IF($B6="","",الموظفون!$E6)</f>
        <v>سعودي</v>
      </c>
      <c r="F6" s="114" t="str">
        <f aca="false">IF($B6="","",IF(AK6=0,IF(AND(الموظفون!$AE6&lt;&gt;"",الموظفون!$AE6&lt;$E$3),"✖ منتهي الخدمة","⏳ لم يباشر"),IF(S6&gt;0,"✈ راتب إجازة مقدم",IF(J6=0,"⛔ بدون راتب هذا الشهر",IF(I6&gt;0,"✈ خصم "&amp;ROUND(I6,2)&amp;" يوم بدون أجر",IF(AL6&gt;0,"🌴 إجازة سنوية "&amp;ROUND(AL6,2)&amp;" يوم",IF(H6&gt;0,"⚠ غياب "&amp;ROUND(H6,2)&amp;" يوم","✔ على رأس العمل")))))))</f>
        <v>✔ على رأس العمل</v>
      </c>
      <c r="G6" s="151" t="n">
        <f aca="false">IF($B6="","",IF(AK6&gt;=DAY($F$3),cfg_DAYS_M,MIN(AK6,cfg_DAYS_M)))</f>
        <v>30</v>
      </c>
      <c r="H6" s="151" t="n">
        <f aca="false">IF($B6="","",SUMIFS('الحركات الشهرية'!$D$6:$D$1005,'الحركات الشهرية'!$B$6:$B$1005,$B6,'الحركات الشهرية'!$A$6:$A$1005,$C$3))</f>
        <v>0</v>
      </c>
      <c r="I6" s="151" t="n">
        <f aca="false">IF($B6="","",MIN(G6,IF(AND(AK6&gt;0,AN6&gt;=AK6),G6,AN6)+SUMIFS('الحركات الشهرية'!$E$6:$E$1005,'الحركات الشهرية'!$B$6:$B$1005,$B6,'الحركات الشهرية'!$A$6:$A$1005,$C$3)))</f>
        <v>0</v>
      </c>
      <c r="J6" s="151" t="n">
        <f aca="false">IF($B6="","",MAX(0,G6-H6-I6))</f>
        <v>30</v>
      </c>
      <c r="K6" s="111" t="n">
        <f aca="false">IF($B6="","",الموظفون!$L6*$J6/cfg_DAYS_M)</f>
        <v>28000</v>
      </c>
      <c r="L6" s="111" t="n">
        <f aca="false">IF($B6="","",الموظفون!$M6*$J6/cfg_DAYS_M)</f>
        <v>7000</v>
      </c>
      <c r="M6" s="111" t="n">
        <f aca="false">IF($B6="","",الموظفون!$N6*$J6/cfg_DAYS_M)</f>
        <v>2800</v>
      </c>
      <c r="N6" s="111" t="n">
        <f aca="false">IF($B6="","",الموظفون!$O6*$J6/cfg_DAYS_M)</f>
        <v>3000</v>
      </c>
      <c r="O6" s="151" t="n">
        <f aca="false">IF($B6="","",SUMIFS('الحركات الشهرية'!$F$6:$F$1005,'الحركات الشهرية'!$B$6:$B$1005,$B6,'الحركات الشهرية'!$A$6:$A$1005,$C$3))</f>
        <v>0</v>
      </c>
      <c r="P6" s="111" t="n">
        <f aca="false">IF($B6="","",O6*(الموظفون!$P6+الموظفون!$L6*cfg_OT_P)/cfg_DAYS_M/cfg_HRS)</f>
        <v>0</v>
      </c>
      <c r="Q6" s="111" t="n">
        <f aca="false">IF($B6="","",SUMIFS('الحركات الشهرية'!$G$6:$G$1005,'الحركات الشهرية'!$B$6:$B$1005,$B6,'الحركات الشهرية'!$A$6:$A$1005,$C$3))</f>
        <v>0</v>
      </c>
      <c r="R6" s="111" t="n">
        <f aca="false">IF($B6="","",SUMIFS('الحركات الشهرية'!$H$6:$H$1005,'الحركات الشهرية'!$B$6:$B$1005,$B6,'الحركات الشهرية'!$A$6:$A$1005,$C$3))</f>
        <v>0</v>
      </c>
      <c r="S6" s="111" t="n">
        <f aca="false">IF($B6="","",SUMIFS('سجل الإجازات والحالات'!$N$6:$N$505,'سجل الإجازات والحالات'!$B$6:$B$505,$B6,'سجل الإجازات والحالات'!$O$6:$O$505,$C$3))</f>
        <v>0</v>
      </c>
      <c r="T6" s="152" t="n">
        <f aca="false">IF($B6="","",SUM(K6:N6)+SUM(P6:S6))</f>
        <v>40800</v>
      </c>
      <c r="U6" s="111" t="n">
        <f aca="false">IF($B6="","",الموظفون!$S6*IF(E6="سعودي",cfg_G_SE,cfg_G_NE)*G6/cfg_DAYS_M)</f>
        <v>3412.5</v>
      </c>
      <c r="V6" s="111" t="n">
        <f aca="false">IF($B6="","",SUMIFS('الحركات الشهرية'!$I$6:$I$1005,'الحركات الشهرية'!$B$6:$B$1005,$B6,'الحركات الشهرية'!$A$6:$A$1005,$C$3))</f>
        <v>0</v>
      </c>
      <c r="W6" s="111" t="n">
        <f aca="false">IF($B6="","",SUMIFS('الحركات الشهرية'!$J$6:$J$1005,'الحركات الشهرية'!$B$6:$B$1005,$B6,'الحركات الشهرية'!$A$6:$A$1005,$C$3))</f>
        <v>0</v>
      </c>
      <c r="X6" s="111" t="n">
        <f aca="false">IF($B6="","",SUM(U6:W6))</f>
        <v>3412.5</v>
      </c>
      <c r="Y6" s="153" t="n">
        <f aca="false">IF($B6="","",T6-X6)</f>
        <v>37387.5</v>
      </c>
      <c r="Z6" s="111" t="n">
        <f aca="false">IF($B6="","",الموظفون!$S6*IF(E6="سعودي",cfg_G_SR,cfg_G_NR)*G6/cfg_DAYS_M)</f>
        <v>4112.5</v>
      </c>
      <c r="AA6" s="111" t="n">
        <f aca="false">IF($B6="","",الموظفون!$Q6*(cfg_EOS_R1*(MIN(AH6,cfg_EOS_TH)-MIN(AI6,cfg_EOS_TH))+cfg_EOS_R2*(MAX(AH6-cfg_EOS_TH,0)-MAX(AI6-cfg_EOS_TH,0))))</f>
        <v>3106.84931506847</v>
      </c>
      <c r="AB6" s="111" t="n">
        <f aca="false">IF($B6="","",IF(الموظفون!$T6&lt;&gt;"",الموظفون!$T6,IF(AH6&gt;=cfg_LV_TH,cfg_LV_D2,cfg_LV_D1))/cfg_DAYS_Y*AJ6*الموظفون!$R6/cfg_DAYS_M)</f>
        <v>3106.84931506849</v>
      </c>
      <c r="AC6" s="111" t="n">
        <f aca="false">IF($B6="","",IF(AND(الموظفون!$U6="نعم",N(الموظفون!$W6)&gt;0),الموظفون!$V6/الموظفون!$W6*12/cfg_DAYS_Y*AJ6,0))</f>
        <v>0</v>
      </c>
      <c r="AD6" s="111" t="n">
        <f aca="false">IF($B6="","",(IF(الموظفون!$X6&lt;&gt;"",الموظفون!$X6,IF(الموظفون!$E6="غير سعودي",cfg_IQ,0))+IF(الموظفون!$Y6&lt;&gt;"",الموظفون!$Y6,IF(الموظفون!$E6="غير سعودي",cfg_WP,0)))/12*G6/cfg_DAYS_M)</f>
        <v>0</v>
      </c>
      <c r="AE6" s="111" t="n">
        <f aca="false">IF($B6="","",IF(الموظفون!$Z6&lt;&gt;"",الموظفون!$Z6,cfg_MED)/12*G6/cfg_DAYS_M)</f>
        <v>400</v>
      </c>
      <c r="AF6" s="111" t="n">
        <f aca="false">IF($B6="","",N(الموظفون!$AA6)/12*G6/cfg_DAYS_M)</f>
        <v>0</v>
      </c>
      <c r="AG6" s="154" t="n">
        <f aca="false">IF($B6="","",T6+SUM(Z6:AF6))</f>
        <v>51526.198630137</v>
      </c>
      <c r="AH6" s="155" t="n">
        <f aca="false">IF($B6="","",MAX(0,IF(OR(الموظفون!$AE6="",الموظفون!$AE6&gt;$F$3),$F$3,الموظفون!$AE6)-الموظفون!$H6+1-SUMIFS('سجل الإجازات والحالات'!$AK$6:$AK$505,'سجل الإجازات والحالات'!$B$6:$B$505,$B6))/cfg_DAYS_Y)</f>
        <v>14.3013698630137</v>
      </c>
      <c r="AI6" s="155" t="n">
        <f aca="false">IF($B6="","",MAX(0,IF(OR(الموظفون!$AE6="",الموظفون!$AE6&gt;($E$3-1)),($E$3-1),الموظفون!$AE6)-الموظفون!$H6+1-SUMIFS('سجل الإجازات والحالات'!$AJ$6:$AJ$505,'سجل الإجازات والحالات'!$B$6:$B$505,$B6))/cfg_DAYS_Y)</f>
        <v>14.2191780821918</v>
      </c>
      <c r="AJ6" s="65" t="n">
        <f aca="false">IF($B6="","",MAX(0,AK6-(SUMIFS('سجل الإجازات والحالات'!$AK$6:$AK$505,'سجل الإجازات والحالات'!$B$6:$B$505,$B6)-SUMIFS('سجل الإجازات والحالات'!$AJ$6:$AJ$505,'سجل الإجازات والحالات'!$B$6:$B$505,$B6))))</f>
        <v>30</v>
      </c>
      <c r="AK6" s="65" t="n">
        <f aca="false">IF($B6="","",MAX(0,IF(OR(الموظفون!$AE6="",الموظفون!$AE6&gt;$F$3),$F$3,الموظفون!$AE6)-MAX($E$3,الموظفون!$H6)+1))</f>
        <v>30</v>
      </c>
      <c r="AL6" s="151" t="n">
        <f aca="false">IF($B6="","",SUMIFS('سجل الإجازات والحالات'!$AW$6:$AW$505,'سجل الإجازات والحالات'!$B$6:$B$505,$B6)+SUMIFS('الحركات الشهرية'!$K$6:$K$1005,'الحركات الشهرية'!$B$6:$B$1005,$B6,'الحركات الشهرية'!$A$6:$A$1005,$C$3))</f>
        <v>0</v>
      </c>
      <c r="AM6" s="111" t="n">
        <f aca="false">IF($B6="","",AL6*الموظفون!$R6/cfg_DAYS_M+S6)</f>
        <v>0</v>
      </c>
      <c r="AN6" s="151" t="n">
        <f aca="false">IF($B6="","",SUMIFS('سجل الإجازات والحالات'!$Y$6:$Y$505,'سجل الإجازات والحالات'!$B$6:$B$505,$B6))</f>
        <v>0</v>
      </c>
    </row>
    <row r="7" customFormat="false" ht="15" hidden="false" customHeight="false" outlineLevel="0" collapsed="false">
      <c r="A7" s="115" t="n">
        <f aca="false">IF($B7="","",الموظفون!$A7)</f>
        <v>2</v>
      </c>
      <c r="B7" s="117" t="str">
        <f aca="false">IF(الموظفون!$B7="","",الموظفون!$B7)</f>
        <v>E002</v>
      </c>
      <c r="C7" s="117" t="str">
        <f aca="false">IF($B7="","",الموظفون!$C7)</f>
        <v>أحمد سعيد القحطاني</v>
      </c>
      <c r="D7" s="117" t="str">
        <f aca="false">IF($B7="","",الموظفون!$F7)</f>
        <v>المالية</v>
      </c>
      <c r="E7" s="117" t="str">
        <f aca="false">IF($B7="","",الموظفون!$E7)</f>
        <v>سعودي</v>
      </c>
      <c r="F7" s="117" t="str">
        <f aca="false">IF($B7="","",IF(AK7=0,IF(AND(الموظفون!$AE7&lt;&gt;"",الموظفون!$AE7&lt;$E$3),"✖ منتهي الخدمة","⏳ لم يباشر"),IF(S7&gt;0,"✈ راتب إجازة مقدم",IF(J7=0,"⛔ بدون راتب هذا الشهر",IF(I7&gt;0,"✈ خصم "&amp;ROUND(I7,2)&amp;" يوم بدون أجر",IF(AL7&gt;0,"🌴 إجازة سنوية "&amp;ROUND(AL7,2)&amp;" يوم",IF(H7&gt;0,"⚠ غياب "&amp;ROUND(H7,2)&amp;" يوم","✔ على رأس العمل")))))))</f>
        <v>✔ على رأس العمل</v>
      </c>
      <c r="G7" s="156" t="n">
        <f aca="false">IF($B7="","",IF(AK7&gt;=DAY($F$3),cfg_DAYS_M,MIN(AK7,cfg_DAYS_M)))</f>
        <v>30</v>
      </c>
      <c r="H7" s="156" t="n">
        <f aca="false">IF($B7="","",SUMIFS('الحركات الشهرية'!$D$6:$D$1005,'الحركات الشهرية'!$B$6:$B$1005,$B7,'الحركات الشهرية'!$A$6:$A$1005,$C$3))</f>
        <v>0</v>
      </c>
      <c r="I7" s="156" t="n">
        <f aca="false">IF($B7="","",MIN(G7,IF(AND(AK7&gt;0,AN7&gt;=AK7),G7,AN7)+SUMIFS('الحركات الشهرية'!$E$6:$E$1005,'الحركات الشهرية'!$B$6:$B$1005,$B7,'الحركات الشهرية'!$A$6:$A$1005,$C$3)))</f>
        <v>0</v>
      </c>
      <c r="J7" s="156" t="n">
        <f aca="false">IF($B7="","",MAX(0,G7-H7-I7))</f>
        <v>30</v>
      </c>
      <c r="K7" s="116" t="n">
        <f aca="false">IF($B7="","",الموظفون!$L7*$J7/cfg_DAYS_M)</f>
        <v>18000</v>
      </c>
      <c r="L7" s="116" t="n">
        <f aca="false">IF($B7="","",الموظفون!$M7*$J7/cfg_DAYS_M)</f>
        <v>4500</v>
      </c>
      <c r="M7" s="116" t="n">
        <f aca="false">IF($B7="","",الموظفون!$N7*$J7/cfg_DAYS_M)</f>
        <v>1800</v>
      </c>
      <c r="N7" s="116" t="n">
        <f aca="false">IF($B7="","",الموظفون!$O7*$J7/cfg_DAYS_M)</f>
        <v>1000</v>
      </c>
      <c r="O7" s="156" t="n">
        <f aca="false">IF($B7="","",SUMIFS('الحركات الشهرية'!$F$6:$F$1005,'الحركات الشهرية'!$B$6:$B$1005,$B7,'الحركات الشهرية'!$A$6:$A$1005,$C$3))</f>
        <v>0</v>
      </c>
      <c r="P7" s="116" t="n">
        <f aca="false">IF($B7="","",O7*(الموظفون!$P7+الموظفون!$L7*cfg_OT_P)/cfg_DAYS_M/cfg_HRS)</f>
        <v>0</v>
      </c>
      <c r="Q7" s="116" t="n">
        <f aca="false">IF($B7="","",SUMIFS('الحركات الشهرية'!$G$6:$G$1005,'الحركات الشهرية'!$B$6:$B$1005,$B7,'الحركات الشهرية'!$A$6:$A$1005,$C$3))</f>
        <v>0</v>
      </c>
      <c r="R7" s="116" t="n">
        <f aca="false">IF($B7="","",SUMIFS('الحركات الشهرية'!$H$6:$H$1005,'الحركات الشهرية'!$B$6:$B$1005,$B7,'الحركات الشهرية'!$A$6:$A$1005,$C$3))</f>
        <v>0</v>
      </c>
      <c r="S7" s="116" t="n">
        <f aca="false">IF($B7="","",SUMIFS('سجل الإجازات والحالات'!$N$6:$N$505,'سجل الإجازات والحالات'!$B$6:$B$505,$B7,'سجل الإجازات والحالات'!$O$6:$O$505,$C$3))</f>
        <v>0</v>
      </c>
      <c r="T7" s="157" t="n">
        <f aca="false">IF($B7="","",SUM(K7:N7)+SUM(P7:S7))</f>
        <v>25300</v>
      </c>
      <c r="U7" s="116" t="n">
        <f aca="false">IF($B7="","",الموظفون!$S7*IF(E7="سعودي",cfg_G_SE,cfg_G_NE)*G7/cfg_DAYS_M)</f>
        <v>2193.75</v>
      </c>
      <c r="V7" s="116" t="n">
        <f aca="false">IF($B7="","",SUMIFS('الحركات الشهرية'!$I$6:$I$1005,'الحركات الشهرية'!$B$6:$B$1005,$B7,'الحركات الشهرية'!$A$6:$A$1005,$C$3))</f>
        <v>0</v>
      </c>
      <c r="W7" s="116" t="n">
        <f aca="false">IF($B7="","",SUMIFS('الحركات الشهرية'!$J$6:$J$1005,'الحركات الشهرية'!$B$6:$B$1005,$B7,'الحركات الشهرية'!$A$6:$A$1005,$C$3))</f>
        <v>0</v>
      </c>
      <c r="X7" s="116" t="n">
        <f aca="false">IF($B7="","",SUM(U7:W7))</f>
        <v>2193.75</v>
      </c>
      <c r="Y7" s="158" t="n">
        <f aca="false">IF($B7="","",T7-X7)</f>
        <v>23106.25</v>
      </c>
      <c r="Z7" s="116" t="n">
        <f aca="false">IF($B7="","",الموظفون!$S7*IF(E7="سعودي",cfg_G_SR,cfg_G_NR)*G7/cfg_DAYS_M)</f>
        <v>2643.75</v>
      </c>
      <c r="AA7" s="116" t="n">
        <f aca="false">IF($B7="","",الموظفون!$Q7*(cfg_EOS_R1*(MIN(AH7,cfg_EOS_TH)-MIN(AI7,cfg_EOS_TH))+cfg_EOS_R2*(MAX(AH7-cfg_EOS_TH,0)-MAX(AI7-cfg_EOS_TH,0))))</f>
        <v>1997.26027397259</v>
      </c>
      <c r="AB7" s="116" t="n">
        <f aca="false">IF($B7="","",IF(الموظفون!$T7&lt;&gt;"",الموظفون!$T7,IF(AH7&gt;=cfg_LV_TH,cfg_LV_D2,cfg_LV_D1))/cfg_DAYS_Y*AJ7*الموظفون!$R7/cfg_DAYS_M)</f>
        <v>1997.2602739726</v>
      </c>
      <c r="AC7" s="116" t="n">
        <f aca="false">IF($B7="","",IF(AND(الموظفون!$U7="نعم",N(الموظفون!$W7)&gt;0),الموظفون!$V7/الموظفون!$W7*12/cfg_DAYS_Y*AJ7,0))</f>
        <v>0</v>
      </c>
      <c r="AD7" s="116" t="n">
        <f aca="false">IF($B7="","",(IF(الموظفون!$X7&lt;&gt;"",الموظفون!$X7,IF(الموظفون!$E7="غير سعودي",cfg_IQ,0))+IF(الموظفون!$Y7&lt;&gt;"",الموظفون!$Y7,IF(الموظفون!$E7="غير سعودي",cfg_WP,0)))/12*G7/cfg_DAYS_M)</f>
        <v>0</v>
      </c>
      <c r="AE7" s="116" t="n">
        <f aca="false">IF($B7="","",IF(الموظفون!$Z7&lt;&gt;"",الموظفون!$Z7,cfg_MED)/12*G7/cfg_DAYS_M)</f>
        <v>300</v>
      </c>
      <c r="AF7" s="116" t="n">
        <f aca="false">IF($B7="","",N(الموظفون!$AA7)/12*G7/cfg_DAYS_M)</f>
        <v>0</v>
      </c>
      <c r="AG7" s="159" t="n">
        <f aca="false">IF($B7="","",T7+SUM(Z7:AF7))</f>
        <v>32238.2705479452</v>
      </c>
      <c r="AH7" s="160" t="n">
        <f aca="false">IF($B7="","",MAX(0,IF(OR(الموظفون!$AE7="",الموظفون!$AE7&gt;$F$3),$F$3,الموظفون!$AE7)-الموظفون!$H7+1-SUMIFS('سجل الإجازات والحالات'!$AK$6:$AK$505,'سجل الإجازات والحالات'!$B$6:$B$505,$B7))/cfg_DAYS_Y)</f>
        <v>9.92054794520548</v>
      </c>
      <c r="AI7" s="160" t="n">
        <f aca="false">IF($B7="","",MAX(0,IF(OR(الموظفون!$AE7="",الموظفون!$AE7&gt;($E$3-1)),($E$3-1),الموظفون!$AE7)-الموظفون!$H7+1-SUMIFS('سجل الإجازات والحالات'!$AJ$6:$AJ$505,'سجل الإجازات والحالات'!$B$6:$B$505,$B7))/cfg_DAYS_Y)</f>
        <v>9.83835616438356</v>
      </c>
      <c r="AJ7" s="133" t="n">
        <f aca="false">IF($B7="","",MAX(0,AK7-(SUMIFS('سجل الإجازات والحالات'!$AK$6:$AK$505,'سجل الإجازات والحالات'!$B$6:$B$505,$B7)-SUMIFS('سجل الإجازات والحالات'!$AJ$6:$AJ$505,'سجل الإجازات والحالات'!$B$6:$B$505,$B7))))</f>
        <v>30</v>
      </c>
      <c r="AK7" s="133" t="n">
        <f aca="false">IF($B7="","",MAX(0,IF(OR(الموظفون!$AE7="",الموظفون!$AE7&gt;$F$3),$F$3,الموظفون!$AE7)-MAX($E$3,الموظفون!$H7)+1))</f>
        <v>30</v>
      </c>
      <c r="AL7" s="156" t="n">
        <f aca="false">IF($B7="","",SUMIFS('سجل الإجازات والحالات'!$AW$6:$AW$505,'سجل الإجازات والحالات'!$B$6:$B$505,$B7)+SUMIFS('الحركات الشهرية'!$K$6:$K$1005,'الحركات الشهرية'!$B$6:$B$1005,$B7,'الحركات الشهرية'!$A$6:$A$1005,$C$3))</f>
        <v>0</v>
      </c>
      <c r="AM7" s="116" t="n">
        <f aca="false">IF($B7="","",AL7*الموظفون!$R7/cfg_DAYS_M+S7)</f>
        <v>0</v>
      </c>
      <c r="AN7" s="156" t="n">
        <f aca="false">IF($B7="","",SUMIFS('سجل الإجازات والحالات'!$Y$6:$Y$505,'سجل الإجازات والحالات'!$B$6:$B$505,$B7))</f>
        <v>0</v>
      </c>
    </row>
    <row r="8" customFormat="false" ht="15" hidden="false" customHeight="false" outlineLevel="0" collapsed="false">
      <c r="A8" s="106" t="n">
        <f aca="false">IF($B8="","",الموظفون!$A8)</f>
        <v>3</v>
      </c>
      <c r="B8" s="114" t="str">
        <f aca="false">IF(الموظفون!$B8="","",الموظفون!$B8)</f>
        <v>E003</v>
      </c>
      <c r="C8" s="114" t="str">
        <f aca="false">IF($B8="","",الموظفون!$C8)</f>
        <v>محمد علي حسن</v>
      </c>
      <c r="D8" s="114" t="str">
        <f aca="false">IF($B8="","",الموظفون!$F8)</f>
        <v>المالية</v>
      </c>
      <c r="E8" s="114" t="str">
        <f aca="false">IF($B8="","",الموظفون!$E8)</f>
        <v>غير سعودي</v>
      </c>
      <c r="F8" s="114" t="str">
        <f aca="false">IF($B8="","",IF(AK8=0,IF(AND(الموظفون!$AE8&lt;&gt;"",الموظفون!$AE8&lt;$E$3),"✖ منتهي الخدمة","⏳ لم يباشر"),IF(S8&gt;0,"✈ راتب إجازة مقدم",IF(J8=0,"⛔ بدون راتب هذا الشهر",IF(I8&gt;0,"✈ خصم "&amp;ROUND(I8,2)&amp;" يوم بدون أجر",IF(AL8&gt;0,"🌴 إجازة سنوية "&amp;ROUND(AL8,2)&amp;" يوم",IF(H8&gt;0,"⚠ غياب "&amp;ROUND(H8,2)&amp;" يوم","✔ على رأس العمل")))))))</f>
        <v>✔ على رأس العمل</v>
      </c>
      <c r="G8" s="151" t="n">
        <f aca="false">IF($B8="","",IF(AK8&gt;=DAY($F$3),cfg_DAYS_M,MIN(AK8,cfg_DAYS_M)))</f>
        <v>30</v>
      </c>
      <c r="H8" s="151" t="n">
        <f aca="false">IF($B8="","",SUMIFS('الحركات الشهرية'!$D$6:$D$1005,'الحركات الشهرية'!$B$6:$B$1005,$B8,'الحركات الشهرية'!$A$6:$A$1005,$C$3))</f>
        <v>0</v>
      </c>
      <c r="I8" s="151" t="n">
        <f aca="false">IF($B8="","",MIN(G8,IF(AND(AK8&gt;0,AN8&gt;=AK8),G8,AN8)+SUMIFS('الحركات الشهرية'!$E$6:$E$1005,'الحركات الشهرية'!$B$6:$B$1005,$B8,'الحركات الشهرية'!$A$6:$A$1005,$C$3)))</f>
        <v>0</v>
      </c>
      <c r="J8" s="151" t="n">
        <f aca="false">IF($B8="","",MAX(0,G8-H8-I8))</f>
        <v>30</v>
      </c>
      <c r="K8" s="111" t="n">
        <f aca="false">IF($B8="","",الموظفون!$L8*$J8/cfg_DAYS_M)</f>
        <v>8500</v>
      </c>
      <c r="L8" s="111" t="n">
        <f aca="false">IF($B8="","",الموظفون!$M8*$J8/cfg_DAYS_M)</f>
        <v>2125</v>
      </c>
      <c r="M8" s="111" t="n">
        <f aca="false">IF($B8="","",الموظفون!$N8*$J8/cfg_DAYS_M)</f>
        <v>850</v>
      </c>
      <c r="N8" s="111" t="n">
        <f aca="false">IF($B8="","",الموظفون!$O8*$J8/cfg_DAYS_M)</f>
        <v>500</v>
      </c>
      <c r="O8" s="151" t="n">
        <f aca="false">IF($B8="","",SUMIFS('الحركات الشهرية'!$F$6:$F$1005,'الحركات الشهرية'!$B$6:$B$1005,$B8,'الحركات الشهرية'!$A$6:$A$1005,$C$3))</f>
        <v>0</v>
      </c>
      <c r="P8" s="111" t="n">
        <f aca="false">IF($B8="","",O8*(الموظفون!$P8+الموظفون!$L8*cfg_OT_P)/cfg_DAYS_M/cfg_HRS)</f>
        <v>0</v>
      </c>
      <c r="Q8" s="111" t="n">
        <f aca="false">IF($B8="","",SUMIFS('الحركات الشهرية'!$G$6:$G$1005,'الحركات الشهرية'!$B$6:$B$1005,$B8,'الحركات الشهرية'!$A$6:$A$1005,$C$3))</f>
        <v>0</v>
      </c>
      <c r="R8" s="111" t="n">
        <f aca="false">IF($B8="","",SUMIFS('الحركات الشهرية'!$H$6:$H$1005,'الحركات الشهرية'!$B$6:$B$1005,$B8,'الحركات الشهرية'!$A$6:$A$1005,$C$3))</f>
        <v>0</v>
      </c>
      <c r="S8" s="111" t="n">
        <f aca="false">IF($B8="","",SUMIFS('سجل الإجازات والحالات'!$N$6:$N$505,'سجل الإجازات والحالات'!$B$6:$B$505,$B8,'سجل الإجازات والحالات'!$O$6:$O$505,$C$3))</f>
        <v>0</v>
      </c>
      <c r="T8" s="152" t="n">
        <f aca="false">IF($B8="","",SUM(K8:N8)+SUM(P8:S8))</f>
        <v>11975</v>
      </c>
      <c r="U8" s="111" t="n">
        <f aca="false">IF($B8="","",الموظفون!$S8*IF(E8="سعودي",cfg_G_SE,cfg_G_NE)*G8/cfg_DAYS_M)</f>
        <v>0</v>
      </c>
      <c r="V8" s="111" t="n">
        <f aca="false">IF($B8="","",SUMIFS('الحركات الشهرية'!$I$6:$I$1005,'الحركات الشهرية'!$B$6:$B$1005,$B8,'الحركات الشهرية'!$A$6:$A$1005,$C$3))</f>
        <v>1000</v>
      </c>
      <c r="W8" s="111" t="n">
        <f aca="false">IF($B8="","",SUMIFS('الحركات الشهرية'!$J$6:$J$1005,'الحركات الشهرية'!$B$6:$B$1005,$B8,'الحركات الشهرية'!$A$6:$A$1005,$C$3))</f>
        <v>0</v>
      </c>
      <c r="X8" s="111" t="n">
        <f aca="false">IF($B8="","",SUM(U8:W8))</f>
        <v>1000</v>
      </c>
      <c r="Y8" s="153" t="n">
        <f aca="false">IF($B8="","",T8-X8)</f>
        <v>10975</v>
      </c>
      <c r="Z8" s="111" t="n">
        <f aca="false">IF($B8="","",الموظفون!$S8*IF(E8="سعودي",cfg_G_SR,cfg_G_NR)*G8/cfg_DAYS_M)</f>
        <v>212.5</v>
      </c>
      <c r="AA8" s="111" t="n">
        <f aca="false">IF($B8="","",الموظفون!$Q8*(cfg_EOS_R1*(MIN(AH8,cfg_EOS_TH)-MIN(AI8,cfg_EOS_TH))+cfg_EOS_R2*(MAX(AH8-cfg_EOS_TH,0)-MAX(AI8-cfg_EOS_TH,0))))</f>
        <v>943.150684931511</v>
      </c>
      <c r="AB8" s="111" t="n">
        <f aca="false">IF($B8="","",IF(الموظفون!$T8&lt;&gt;"",الموظفون!$T8,IF(AH8&gt;=cfg_LV_TH,cfg_LV_D2,cfg_LV_D1))/cfg_DAYS_Y*AJ8*الموظفون!$R8/cfg_DAYS_M)</f>
        <v>943.150684931507</v>
      </c>
      <c r="AC8" s="111" t="n">
        <f aca="false">IF($B8="","",IF(AND(الموظفون!$U8="نعم",N(الموظفون!$W8)&gt;0),الموظفون!$V8/الموظفون!$W8*12/cfg_DAYS_Y*AJ8,0))</f>
        <v>131.506849315068</v>
      </c>
      <c r="AD8" s="111" t="n">
        <f aca="false">IF($B8="","",(IF(الموظفون!$X8&lt;&gt;"",الموظفون!$X8,IF(الموظفون!$E8="غير سعودي",cfg_IQ,0))+IF(الموظفون!$Y8&lt;&gt;"",الموظفون!$Y8,IF(الموظفون!$E8="غير سعودي",cfg_WP,0)))/12*G8/cfg_DAYS_M)</f>
        <v>854.166666666667</v>
      </c>
      <c r="AE8" s="111" t="n">
        <f aca="false">IF($B8="","",IF(الموظفون!$Z8&lt;&gt;"",الموظفون!$Z8,cfg_MED)/12*G8/cfg_DAYS_M)</f>
        <v>200</v>
      </c>
      <c r="AF8" s="111" t="n">
        <f aca="false">IF($B8="","",N(الموظفون!$AA8)/12*G8/cfg_DAYS_M)</f>
        <v>0</v>
      </c>
      <c r="AG8" s="154" t="n">
        <f aca="false">IF($B8="","",T8+SUM(Z8:AF8))</f>
        <v>15259.4748858448</v>
      </c>
      <c r="AH8" s="155" t="n">
        <f aca="false">IF($B8="","",MAX(0,IF(OR(الموظفون!$AE8="",الموظفون!$AE8&gt;$F$3),$F$3,الموظفون!$AE8)-الموظفون!$H8+1-SUMIFS('سجل الإجازات والحالات'!$AK$6:$AK$505,'سجل الإجازات والحالات'!$B$6:$B$505,$B8))/cfg_DAYS_Y)</f>
        <v>7.64383561643836</v>
      </c>
      <c r="AI8" s="155" t="n">
        <f aca="false">IF($B8="","",MAX(0,IF(OR(الموظفون!$AE8="",الموظفون!$AE8&gt;($E$3-1)),($E$3-1),الموظفون!$AE8)-الموظفون!$H8+1-SUMIFS('سجل الإجازات والحالات'!$AJ$6:$AJ$505,'سجل الإجازات والحالات'!$B$6:$B$505,$B8))/cfg_DAYS_Y)</f>
        <v>7.56164383561644</v>
      </c>
      <c r="AJ8" s="65" t="n">
        <f aca="false">IF($B8="","",MAX(0,AK8-(SUMIFS('سجل الإجازات والحالات'!$AK$6:$AK$505,'سجل الإجازات والحالات'!$B$6:$B$505,$B8)-SUMIFS('سجل الإجازات والحالات'!$AJ$6:$AJ$505,'سجل الإجازات والحالات'!$B$6:$B$505,$B8))))</f>
        <v>30</v>
      </c>
      <c r="AK8" s="65" t="n">
        <f aca="false">IF($B8="","",MAX(0,IF(OR(الموظفون!$AE8="",الموظفون!$AE8&gt;$F$3),$F$3,الموظفون!$AE8)-MAX($E$3,الموظفون!$H8)+1))</f>
        <v>30</v>
      </c>
      <c r="AL8" s="151" t="n">
        <f aca="false">IF($B8="","",SUMIFS('سجل الإجازات والحالات'!$AW$6:$AW$505,'سجل الإجازات والحالات'!$B$6:$B$505,$B8)+SUMIFS('الحركات الشهرية'!$K$6:$K$1005,'الحركات الشهرية'!$B$6:$B$1005,$B8,'الحركات الشهرية'!$A$6:$A$1005,$C$3))</f>
        <v>0</v>
      </c>
      <c r="AM8" s="111" t="n">
        <f aca="false">IF($B8="","",AL8*الموظفون!$R8/cfg_DAYS_M+S8)</f>
        <v>0</v>
      </c>
      <c r="AN8" s="151" t="n">
        <f aca="false">IF($B8="","",SUMIFS('سجل الإجازات والحالات'!$Y$6:$Y$505,'سجل الإجازات والحالات'!$B$6:$B$505,$B8))</f>
        <v>0</v>
      </c>
    </row>
    <row r="9" customFormat="false" ht="15" hidden="false" customHeight="false" outlineLevel="0" collapsed="false">
      <c r="A9" s="115" t="n">
        <f aca="false">IF($B9="","",الموظفون!$A9)</f>
        <v>4</v>
      </c>
      <c r="B9" s="117" t="str">
        <f aca="false">IF(الموظفون!$B9="","",الموظفون!$B9)</f>
        <v>E004</v>
      </c>
      <c r="C9" s="117" t="str">
        <f aca="false">IF($B9="","",الموظفون!$C9)</f>
        <v>نورة خالد الدوسري</v>
      </c>
      <c r="D9" s="117" t="str">
        <f aca="false">IF($B9="","",الموظفون!$F9)</f>
        <v>الموارد البشرية</v>
      </c>
      <c r="E9" s="117" t="str">
        <f aca="false">IF($B9="","",الموظفون!$E9)</f>
        <v>سعودي</v>
      </c>
      <c r="F9" s="117" t="str">
        <f aca="false">IF($B9="","",IF(AK9=0,IF(AND(الموظفون!$AE9&lt;&gt;"",الموظفون!$AE9&lt;$E$3),"✖ منتهي الخدمة","⏳ لم يباشر"),IF(S9&gt;0,"✈ راتب إجازة مقدم",IF(J9=0,"⛔ بدون راتب هذا الشهر",IF(I9&gt;0,"✈ خصم "&amp;ROUND(I9,2)&amp;" يوم بدون أجر",IF(AL9&gt;0,"🌴 إجازة سنوية "&amp;ROUND(AL9,2)&amp;" يوم",IF(H9&gt;0,"⚠ غياب "&amp;ROUND(H9,2)&amp;" يوم","✔ على رأس العمل")))))))</f>
        <v>✔ على رأس العمل</v>
      </c>
      <c r="G9" s="156" t="n">
        <f aca="false">IF($B9="","",IF(AK9&gt;=DAY($F$3),cfg_DAYS_M,MIN(AK9,cfg_DAYS_M)))</f>
        <v>30</v>
      </c>
      <c r="H9" s="156" t="n">
        <f aca="false">IF($B9="","",SUMIFS('الحركات الشهرية'!$D$6:$D$1005,'الحركات الشهرية'!$B$6:$B$1005,$B9,'الحركات الشهرية'!$A$6:$A$1005,$C$3))</f>
        <v>0</v>
      </c>
      <c r="I9" s="156" t="n">
        <f aca="false">IF($B9="","",MIN(G9,IF(AND(AK9&gt;0,AN9&gt;=AK9),G9,AN9)+SUMIFS('الحركات الشهرية'!$E$6:$E$1005,'الحركات الشهرية'!$B$6:$B$1005,$B9,'الحركات الشهرية'!$A$6:$A$1005,$C$3)))</f>
        <v>0</v>
      </c>
      <c r="J9" s="156" t="n">
        <f aca="false">IF($B9="","",MAX(0,G9-H9-I9))</f>
        <v>30</v>
      </c>
      <c r="K9" s="116" t="n">
        <f aca="false">IF($B9="","",الموظفون!$L9*$J9/cfg_DAYS_M)</f>
        <v>14000</v>
      </c>
      <c r="L9" s="116" t="n">
        <f aca="false">IF($B9="","",الموظفون!$M9*$J9/cfg_DAYS_M)</f>
        <v>3500</v>
      </c>
      <c r="M9" s="116" t="n">
        <f aca="false">IF($B9="","",الموظفون!$N9*$J9/cfg_DAYS_M)</f>
        <v>1400</v>
      </c>
      <c r="N9" s="116" t="n">
        <f aca="false">IF($B9="","",الموظفون!$O9*$J9/cfg_DAYS_M)</f>
        <v>0</v>
      </c>
      <c r="O9" s="156" t="n">
        <f aca="false">IF($B9="","",SUMIFS('الحركات الشهرية'!$F$6:$F$1005,'الحركات الشهرية'!$B$6:$B$1005,$B9,'الحركات الشهرية'!$A$6:$A$1005,$C$3))</f>
        <v>0</v>
      </c>
      <c r="P9" s="116" t="n">
        <f aca="false">IF($B9="","",O9*(الموظفون!$P9+الموظفون!$L9*cfg_OT_P)/cfg_DAYS_M/cfg_HRS)</f>
        <v>0</v>
      </c>
      <c r="Q9" s="116" t="n">
        <f aca="false">IF($B9="","",SUMIFS('الحركات الشهرية'!$G$6:$G$1005,'الحركات الشهرية'!$B$6:$B$1005,$B9,'الحركات الشهرية'!$A$6:$A$1005,$C$3))</f>
        <v>0</v>
      </c>
      <c r="R9" s="116" t="n">
        <f aca="false">IF($B9="","",SUMIFS('الحركات الشهرية'!$H$6:$H$1005,'الحركات الشهرية'!$B$6:$B$1005,$B9,'الحركات الشهرية'!$A$6:$A$1005,$C$3))</f>
        <v>0</v>
      </c>
      <c r="S9" s="116" t="n">
        <f aca="false">IF($B9="","",SUMIFS('سجل الإجازات والحالات'!$N$6:$N$505,'سجل الإجازات والحالات'!$B$6:$B$505,$B9,'سجل الإجازات والحالات'!$O$6:$O$505,$C$3))</f>
        <v>0</v>
      </c>
      <c r="T9" s="157" t="n">
        <f aca="false">IF($B9="","",SUM(K9:N9)+SUM(P9:S9))</f>
        <v>18900</v>
      </c>
      <c r="U9" s="116" t="n">
        <f aca="false">IF($B9="","",الموظفون!$S9*IF(E9="سعودي",cfg_G_SE,cfg_G_NE)*G9/cfg_DAYS_M)</f>
        <v>1706.25</v>
      </c>
      <c r="V9" s="116" t="n">
        <f aca="false">IF($B9="","",SUMIFS('الحركات الشهرية'!$I$6:$I$1005,'الحركات الشهرية'!$B$6:$B$1005,$B9,'الحركات الشهرية'!$A$6:$A$1005,$C$3))</f>
        <v>0</v>
      </c>
      <c r="W9" s="116" t="n">
        <f aca="false">IF($B9="","",SUMIFS('الحركات الشهرية'!$J$6:$J$1005,'الحركات الشهرية'!$B$6:$B$1005,$B9,'الحركات الشهرية'!$A$6:$A$1005,$C$3))</f>
        <v>0</v>
      </c>
      <c r="X9" s="116" t="n">
        <f aca="false">IF($B9="","",SUM(U9:W9))</f>
        <v>1706.25</v>
      </c>
      <c r="Y9" s="158" t="n">
        <f aca="false">IF($B9="","",T9-X9)</f>
        <v>17193.75</v>
      </c>
      <c r="Z9" s="116" t="n">
        <f aca="false">IF($B9="","",الموظفون!$S9*IF(E9="سعودي",cfg_G_SR,cfg_G_NR)*G9/cfg_DAYS_M)</f>
        <v>2056.25</v>
      </c>
      <c r="AA9" s="116" t="n">
        <f aca="false">IF($B9="","",الموظفون!$Q9*(cfg_EOS_R1*(MIN(AH9,cfg_EOS_TH)-MIN(AI9,cfg_EOS_TH))+cfg_EOS_R2*(MAX(AH9-cfg_EOS_TH,0)-MAX(AI9-cfg_EOS_TH,0))))</f>
        <v>1553.42465753425</v>
      </c>
      <c r="AB9" s="116" t="n">
        <f aca="false">IF($B9="","",IF(الموظفون!$T9&lt;&gt;"",الموظفون!$T9,IF(AH9&gt;=cfg_LV_TH,cfg_LV_D2,cfg_LV_D1))/cfg_DAYS_Y*AJ9*الموظفون!$R9/cfg_DAYS_M)</f>
        <v>1553.42465753425</v>
      </c>
      <c r="AC9" s="116" t="n">
        <f aca="false">IF($B9="","",IF(AND(الموظفون!$U9="نعم",N(الموظفون!$W9)&gt;0),الموظفون!$V9/الموظفون!$W9*12/cfg_DAYS_Y*AJ9,0))</f>
        <v>0</v>
      </c>
      <c r="AD9" s="116" t="n">
        <f aca="false">IF($B9="","",(IF(الموظفون!$X9&lt;&gt;"",الموظفون!$X9,IF(الموظفون!$E9="غير سعودي",cfg_IQ,0))+IF(الموظفون!$Y9&lt;&gt;"",الموظفون!$Y9,IF(الموظفون!$E9="غير سعودي",cfg_WP,0)))/12*G9/cfg_DAYS_M)</f>
        <v>0</v>
      </c>
      <c r="AE9" s="116" t="n">
        <f aca="false">IF($B9="","",IF(الموظفون!$Z9&lt;&gt;"",الموظفون!$Z9,cfg_MED)/12*G9/cfg_DAYS_M)</f>
        <v>300</v>
      </c>
      <c r="AF9" s="116" t="n">
        <f aca="false">IF($B9="","",N(الموظفون!$AA9)/12*G9/cfg_DAYS_M)</f>
        <v>0</v>
      </c>
      <c r="AG9" s="159" t="n">
        <f aca="false">IF($B9="","",T9+SUM(Z9:AF9))</f>
        <v>24363.0993150685</v>
      </c>
      <c r="AH9" s="160" t="n">
        <f aca="false">IF($B9="","",MAX(0,IF(OR(الموظفون!$AE9="",الموظفون!$AE9&gt;$F$3),$F$3,الموظفون!$AE9)-الموظفون!$H9+1-SUMIFS('سجل الإجازات والحالات'!$AK$6:$AK$505,'سجل الإجازات والحالات'!$B$6:$B$505,$B9))/cfg_DAYS_Y)</f>
        <v>7.24931506849315</v>
      </c>
      <c r="AI9" s="160" t="n">
        <f aca="false">IF($B9="","",MAX(0,IF(OR(الموظفون!$AE9="",الموظفون!$AE9&gt;($E$3-1)),($E$3-1),الموظفون!$AE9)-الموظفون!$H9+1-SUMIFS('سجل الإجازات والحالات'!$AJ$6:$AJ$505,'سجل الإجازات والحالات'!$B$6:$B$505,$B9))/cfg_DAYS_Y)</f>
        <v>7.16712328767123</v>
      </c>
      <c r="AJ9" s="133" t="n">
        <f aca="false">IF($B9="","",MAX(0,AK9-(SUMIFS('سجل الإجازات والحالات'!$AK$6:$AK$505,'سجل الإجازات والحالات'!$B$6:$B$505,$B9)-SUMIFS('سجل الإجازات والحالات'!$AJ$6:$AJ$505,'سجل الإجازات والحالات'!$B$6:$B$505,$B9))))</f>
        <v>30</v>
      </c>
      <c r="AK9" s="133" t="n">
        <f aca="false">IF($B9="","",MAX(0,IF(OR(الموظفون!$AE9="",الموظفون!$AE9&gt;$F$3),$F$3,الموظفون!$AE9)-MAX($E$3,الموظفون!$H9)+1))</f>
        <v>30</v>
      </c>
      <c r="AL9" s="156" t="n">
        <f aca="false">IF($B9="","",SUMIFS('سجل الإجازات والحالات'!$AW$6:$AW$505,'سجل الإجازات والحالات'!$B$6:$B$505,$B9)+SUMIFS('الحركات الشهرية'!$K$6:$K$1005,'الحركات الشهرية'!$B$6:$B$1005,$B9,'الحركات الشهرية'!$A$6:$A$1005,$C$3))</f>
        <v>0</v>
      </c>
      <c r="AM9" s="116" t="n">
        <f aca="false">IF($B9="","",AL9*الموظفون!$R9/cfg_DAYS_M+S9)</f>
        <v>0</v>
      </c>
      <c r="AN9" s="156" t="n">
        <f aca="false">IF($B9="","",SUMIFS('سجل الإجازات والحالات'!$Y$6:$Y$505,'سجل الإجازات والحالات'!$B$6:$B$505,$B9))</f>
        <v>0</v>
      </c>
    </row>
    <row r="10" customFormat="false" ht="15" hidden="false" customHeight="false" outlineLevel="0" collapsed="false">
      <c r="A10" s="106" t="n">
        <f aca="false">IF($B10="","",الموظفون!$A10)</f>
        <v>5</v>
      </c>
      <c r="B10" s="114" t="str">
        <f aca="false">IF(الموظفون!$B10="","",الموظفون!$B10)</f>
        <v>E005</v>
      </c>
      <c r="C10" s="114" t="str">
        <f aca="false">IF($B10="","",الموظفون!$C10)</f>
        <v>راجيش كومار</v>
      </c>
      <c r="D10" s="114" t="str">
        <f aca="false">IF($B10="","",الموظفون!$F10)</f>
        <v>تقنية المعلومات</v>
      </c>
      <c r="E10" s="114" t="str">
        <f aca="false">IF($B10="","",الموظفون!$E10)</f>
        <v>غير سعودي</v>
      </c>
      <c r="F10" s="114" t="str">
        <f aca="false">IF($B10="","",IF(AK10=0,IF(AND(الموظفون!$AE10&lt;&gt;"",الموظفون!$AE10&lt;$E$3),"✖ منتهي الخدمة","⏳ لم يباشر"),IF(S10&gt;0,"✈ راتب إجازة مقدم",IF(J10=0,"⛔ بدون راتب هذا الشهر",IF(I10&gt;0,"✈ خصم "&amp;ROUND(I10,2)&amp;" يوم بدون أجر",IF(AL10&gt;0,"🌴 إجازة سنوية "&amp;ROUND(AL10,2)&amp;" يوم",IF(H10&gt;0,"⚠ غياب "&amp;ROUND(H10,2)&amp;" يوم","✔ على رأس العمل")))))))</f>
        <v>✔ على رأس العمل</v>
      </c>
      <c r="G10" s="151" t="n">
        <f aca="false">IF($B10="","",IF(AK10&gt;=DAY($F$3),cfg_DAYS_M,MIN(AK10,cfg_DAYS_M)))</f>
        <v>30</v>
      </c>
      <c r="H10" s="151" t="n">
        <f aca="false">IF($B10="","",SUMIFS('الحركات الشهرية'!$D$6:$D$1005,'الحركات الشهرية'!$B$6:$B$1005,$B10,'الحركات الشهرية'!$A$6:$A$1005,$C$3))</f>
        <v>0</v>
      </c>
      <c r="I10" s="151" t="n">
        <f aca="false">IF($B10="","",MIN(G10,IF(AND(AK10&gt;0,AN10&gt;=AK10),G10,AN10)+SUMIFS('الحركات الشهرية'!$E$6:$E$1005,'الحركات الشهرية'!$B$6:$B$1005,$B10,'الحركات الشهرية'!$A$6:$A$1005,$C$3)))</f>
        <v>0</v>
      </c>
      <c r="J10" s="151" t="n">
        <f aca="false">IF($B10="","",MAX(0,G10-H10-I10))</f>
        <v>30</v>
      </c>
      <c r="K10" s="111" t="n">
        <f aca="false">IF($B10="","",الموظفون!$L10*$J10/cfg_DAYS_M)</f>
        <v>9000</v>
      </c>
      <c r="L10" s="111" t="n">
        <f aca="false">IF($B10="","",الموظفون!$M10*$J10/cfg_DAYS_M)</f>
        <v>2250</v>
      </c>
      <c r="M10" s="111" t="n">
        <f aca="false">IF($B10="","",الموظفون!$N10*$J10/cfg_DAYS_M)</f>
        <v>900</v>
      </c>
      <c r="N10" s="111" t="n">
        <f aca="false">IF($B10="","",الموظفون!$O10*$J10/cfg_DAYS_M)</f>
        <v>700</v>
      </c>
      <c r="O10" s="151" t="n">
        <f aca="false">IF($B10="","",SUMIFS('الحركات الشهرية'!$F$6:$F$1005,'الحركات الشهرية'!$B$6:$B$1005,$B10,'الحركات الشهرية'!$A$6:$A$1005,$C$3))</f>
        <v>0</v>
      </c>
      <c r="P10" s="111" t="n">
        <f aca="false">IF($B10="","",O10*(الموظفون!$P10+الموظفون!$L10*cfg_OT_P)/cfg_DAYS_M/cfg_HRS)</f>
        <v>0</v>
      </c>
      <c r="Q10" s="111" t="n">
        <f aca="false">IF($B10="","",SUMIFS('الحركات الشهرية'!$G$6:$G$1005,'الحركات الشهرية'!$B$6:$B$1005,$B10,'الحركات الشهرية'!$A$6:$A$1005,$C$3))</f>
        <v>0</v>
      </c>
      <c r="R10" s="111" t="n">
        <f aca="false">IF($B10="","",SUMIFS('الحركات الشهرية'!$H$6:$H$1005,'الحركات الشهرية'!$B$6:$B$1005,$B10,'الحركات الشهرية'!$A$6:$A$1005,$C$3))</f>
        <v>0</v>
      </c>
      <c r="S10" s="111" t="n">
        <f aca="false">IF($B10="","",SUMIFS('سجل الإجازات والحالات'!$N$6:$N$505,'سجل الإجازات والحالات'!$B$6:$B$505,$B10,'سجل الإجازات والحالات'!$O$6:$O$505,$C$3))</f>
        <v>0</v>
      </c>
      <c r="T10" s="152" t="n">
        <f aca="false">IF($B10="","",SUM(K10:N10)+SUM(P10:S10))</f>
        <v>12850</v>
      </c>
      <c r="U10" s="111" t="n">
        <f aca="false">IF($B10="","",الموظفون!$S10*IF(E10="سعودي",cfg_G_SE,cfg_G_NE)*G10/cfg_DAYS_M)</f>
        <v>0</v>
      </c>
      <c r="V10" s="111" t="n">
        <f aca="false">IF($B10="","",SUMIFS('الحركات الشهرية'!$I$6:$I$1005,'الحركات الشهرية'!$B$6:$B$1005,$B10,'الحركات الشهرية'!$A$6:$A$1005,$C$3))</f>
        <v>0</v>
      </c>
      <c r="W10" s="111" t="n">
        <f aca="false">IF($B10="","",SUMIFS('الحركات الشهرية'!$J$6:$J$1005,'الحركات الشهرية'!$B$6:$B$1005,$B10,'الحركات الشهرية'!$A$6:$A$1005,$C$3))</f>
        <v>0</v>
      </c>
      <c r="X10" s="111" t="n">
        <f aca="false">IF($B10="","",SUM(U10:W10))</f>
        <v>0</v>
      </c>
      <c r="Y10" s="153" t="n">
        <f aca="false">IF($B10="","",T10-X10)</f>
        <v>12850</v>
      </c>
      <c r="Z10" s="111" t="n">
        <f aca="false">IF($B10="","",الموظفون!$S10*IF(E10="سعودي",cfg_G_SR,cfg_G_NR)*G10/cfg_DAYS_M)</f>
        <v>225</v>
      </c>
      <c r="AA10" s="111" t="n">
        <f aca="false">IF($B10="","",الموظفون!$Q10*(cfg_EOS_R1*(MIN(AH10,cfg_EOS_TH)-MIN(AI10,cfg_EOS_TH))+cfg_EOS_R2*(MAX(AH10-cfg_EOS_TH,0)-MAX(AI10-cfg_EOS_TH,0))))</f>
        <v>998.630136986305</v>
      </c>
      <c r="AB10" s="111" t="n">
        <f aca="false">IF($B10="","",IF(الموظفون!$T10&lt;&gt;"",الموظفون!$T10,IF(AH10&gt;=cfg_LV_TH,cfg_LV_D2,cfg_LV_D1))/cfg_DAYS_Y*AJ10*الموظفون!$R10/cfg_DAYS_M)</f>
        <v>998.630136986301</v>
      </c>
      <c r="AC10" s="111" t="n">
        <f aca="false">IF($B10="","",IF(AND(الموظفون!$U10="نعم",N(الموظفون!$W10)&gt;0),الموظفون!$V10/الموظفون!$W10*12/cfg_DAYS_Y*AJ10,0))</f>
        <v>230.13698630137</v>
      </c>
      <c r="AD10" s="111" t="n">
        <f aca="false">IF($B10="","",(IF(الموظفون!$X10&lt;&gt;"",الموظفون!$X10,IF(الموظفون!$E10="غير سعودي",cfg_IQ,0))+IF(الموظفون!$Y10&lt;&gt;"",الموظفون!$Y10,IF(الموظفون!$E10="غير سعودي",cfg_WP,0)))/12*G10/cfg_DAYS_M)</f>
        <v>854.166666666667</v>
      </c>
      <c r="AE10" s="111" t="n">
        <f aca="false">IF($B10="","",IF(الموظفون!$Z10&lt;&gt;"",الموظفون!$Z10,cfg_MED)/12*G10/cfg_DAYS_M)</f>
        <v>200</v>
      </c>
      <c r="AF10" s="111" t="n">
        <f aca="false">IF($B10="","",N(الموظفون!$AA10)/12*G10/cfg_DAYS_M)</f>
        <v>0</v>
      </c>
      <c r="AG10" s="154" t="n">
        <f aca="false">IF($B10="","",T10+SUM(Z10:AF10))</f>
        <v>16356.5639269406</v>
      </c>
      <c r="AH10" s="155" t="n">
        <f aca="false">IF($B10="","",MAX(0,IF(OR(الموظفون!$AE10="",الموظفون!$AE10&gt;$F$3),$F$3,الموظفون!$AE10)-الموظفون!$H10+1-SUMIFS('سجل الإجازات والحالات'!$AK$6:$AK$505,'سجل الإجازات والحالات'!$B$6:$B$505,$B10))/cfg_DAYS_Y)</f>
        <v>6.05479452054795</v>
      </c>
      <c r="AI10" s="155" t="n">
        <f aca="false">IF($B10="","",MAX(0,IF(OR(الموظفون!$AE10="",الموظفون!$AE10&gt;($E$3-1)),($E$3-1),الموظفون!$AE10)-الموظفون!$H10+1-SUMIFS('سجل الإجازات والحالات'!$AJ$6:$AJ$505,'سجل الإجازات والحالات'!$B$6:$B$505,$B10))/cfg_DAYS_Y)</f>
        <v>5.97260273972603</v>
      </c>
      <c r="AJ10" s="65" t="n">
        <f aca="false">IF($B10="","",MAX(0,AK10-(SUMIFS('سجل الإجازات والحالات'!$AK$6:$AK$505,'سجل الإجازات والحالات'!$B$6:$B$505,$B10)-SUMIFS('سجل الإجازات والحالات'!$AJ$6:$AJ$505,'سجل الإجازات والحالات'!$B$6:$B$505,$B10))))</f>
        <v>30</v>
      </c>
      <c r="AK10" s="65" t="n">
        <f aca="false">IF($B10="","",MAX(0,IF(OR(الموظفون!$AE10="",الموظفون!$AE10&gt;$F$3),$F$3,الموظفون!$AE10)-MAX($E$3,الموظفون!$H10)+1))</f>
        <v>30</v>
      </c>
      <c r="AL10" s="151" t="n">
        <f aca="false">IF($B10="","",SUMIFS('سجل الإجازات والحالات'!$AW$6:$AW$505,'سجل الإجازات والحالات'!$B$6:$B$505,$B10)+SUMIFS('الحركات الشهرية'!$K$6:$K$1005,'الحركات الشهرية'!$B$6:$B$1005,$B10,'الحركات الشهرية'!$A$6:$A$1005,$C$3))</f>
        <v>0</v>
      </c>
      <c r="AM10" s="111" t="n">
        <f aca="false">IF($B10="","",AL10*الموظفون!$R10/cfg_DAYS_M+S10)</f>
        <v>0</v>
      </c>
      <c r="AN10" s="151" t="n">
        <f aca="false">IF($B10="","",SUMIFS('سجل الإجازات والحالات'!$Y$6:$Y$505,'سجل الإجازات والحالات'!$B$6:$B$505,$B10))</f>
        <v>0</v>
      </c>
    </row>
    <row r="11" customFormat="false" ht="15" hidden="false" customHeight="false" outlineLevel="0" collapsed="false">
      <c r="A11" s="115" t="n">
        <f aca="false">IF($B11="","",الموظفون!$A11)</f>
        <v>6</v>
      </c>
      <c r="B11" s="117" t="str">
        <f aca="false">IF(الموظفون!$B11="","",الموظفون!$B11)</f>
        <v>E006</v>
      </c>
      <c r="C11" s="117" t="str">
        <f aca="false">IF($B11="","",الموظفون!$C11)</f>
        <v>فهد ناصر الشمري</v>
      </c>
      <c r="D11" s="117" t="str">
        <f aca="false">IF($B11="","",الموظفون!$F11)</f>
        <v>المبيعات</v>
      </c>
      <c r="E11" s="117" t="str">
        <f aca="false">IF($B11="","",الموظفون!$E11)</f>
        <v>سعودي</v>
      </c>
      <c r="F11" s="117" t="str">
        <f aca="false">IF($B11="","",IF(AK11=0,IF(AND(الموظفون!$AE11&lt;&gt;"",الموظفون!$AE11&lt;$E$3),"✖ منتهي الخدمة","⏳ لم يباشر"),IF(S11&gt;0,"✈ راتب إجازة مقدم",IF(J11=0,"⛔ بدون راتب هذا الشهر",IF(I11&gt;0,"✈ خصم "&amp;ROUND(I11,2)&amp;" يوم بدون أجر",IF(AL11&gt;0,"🌴 إجازة سنوية "&amp;ROUND(AL11,2)&amp;" يوم",IF(H11&gt;0,"⚠ غياب "&amp;ROUND(H11,2)&amp;" يوم","✔ على رأس العمل")))))))</f>
        <v>✔ على رأس العمل</v>
      </c>
      <c r="G11" s="156" t="n">
        <f aca="false">IF($B11="","",IF(AK11&gt;=DAY($F$3),cfg_DAYS_M,MIN(AK11,cfg_DAYS_M)))</f>
        <v>30</v>
      </c>
      <c r="H11" s="156" t="n">
        <f aca="false">IF($B11="","",SUMIFS('الحركات الشهرية'!$D$6:$D$1005,'الحركات الشهرية'!$B$6:$B$1005,$B11,'الحركات الشهرية'!$A$6:$A$1005,$C$3))</f>
        <v>0</v>
      </c>
      <c r="I11" s="156" t="n">
        <f aca="false">IF($B11="","",MIN(G11,IF(AND(AK11&gt;0,AN11&gt;=AK11),G11,AN11)+SUMIFS('الحركات الشهرية'!$E$6:$E$1005,'الحركات الشهرية'!$B$6:$B$1005,$B11,'الحركات الشهرية'!$A$6:$A$1005,$C$3)))</f>
        <v>0</v>
      </c>
      <c r="J11" s="156" t="n">
        <f aca="false">IF($B11="","",MAX(0,G11-H11-I11))</f>
        <v>30</v>
      </c>
      <c r="K11" s="116" t="n">
        <f aca="false">IF($B11="","",الموظفون!$L11*$J11/cfg_DAYS_M)</f>
        <v>13000</v>
      </c>
      <c r="L11" s="116" t="n">
        <f aca="false">IF($B11="","",الموظفون!$M11*$J11/cfg_DAYS_M)</f>
        <v>3250</v>
      </c>
      <c r="M11" s="116" t="n">
        <f aca="false">IF($B11="","",الموظفون!$N11*$J11/cfg_DAYS_M)</f>
        <v>1300</v>
      </c>
      <c r="N11" s="116" t="n">
        <f aca="false">IF($B11="","",الموظفون!$O11*$J11/cfg_DAYS_M)</f>
        <v>2500</v>
      </c>
      <c r="O11" s="156" t="n">
        <f aca="false">IF($B11="","",SUMIFS('الحركات الشهرية'!$F$6:$F$1005,'الحركات الشهرية'!$B$6:$B$1005,$B11,'الحركات الشهرية'!$A$6:$A$1005,$C$3))</f>
        <v>0</v>
      </c>
      <c r="P11" s="116" t="n">
        <f aca="false">IF($B11="","",O11*(الموظفون!$P11+الموظفون!$L11*cfg_OT_P)/cfg_DAYS_M/cfg_HRS)</f>
        <v>0</v>
      </c>
      <c r="Q11" s="116" t="n">
        <f aca="false">IF($B11="","",SUMIFS('الحركات الشهرية'!$G$6:$G$1005,'الحركات الشهرية'!$B$6:$B$1005,$B11,'الحركات الشهرية'!$A$6:$A$1005,$C$3))</f>
        <v>0</v>
      </c>
      <c r="R11" s="116" t="n">
        <f aca="false">IF($B11="","",SUMIFS('الحركات الشهرية'!$H$6:$H$1005,'الحركات الشهرية'!$B$6:$B$1005,$B11,'الحركات الشهرية'!$A$6:$A$1005,$C$3))</f>
        <v>0</v>
      </c>
      <c r="S11" s="116" t="n">
        <f aca="false">IF($B11="","",SUMIFS('سجل الإجازات والحالات'!$N$6:$N$505,'سجل الإجازات والحالات'!$B$6:$B$505,$B11,'سجل الإجازات والحالات'!$O$6:$O$505,$C$3))</f>
        <v>0</v>
      </c>
      <c r="T11" s="157" t="n">
        <f aca="false">IF($B11="","",SUM(K11:N11)+SUM(P11:S11))</f>
        <v>20050</v>
      </c>
      <c r="U11" s="116" t="n">
        <f aca="false">IF($B11="","",الموظفون!$S11*IF(E11="سعودي",cfg_G_SE,cfg_G_NE)*G11/cfg_DAYS_M)</f>
        <v>1584.375</v>
      </c>
      <c r="V11" s="116" t="n">
        <f aca="false">IF($B11="","",SUMIFS('الحركات الشهرية'!$I$6:$I$1005,'الحركات الشهرية'!$B$6:$B$1005,$B11,'الحركات الشهرية'!$A$6:$A$1005,$C$3))</f>
        <v>0</v>
      </c>
      <c r="W11" s="116" t="n">
        <f aca="false">IF($B11="","",SUMIFS('الحركات الشهرية'!$J$6:$J$1005,'الحركات الشهرية'!$B$6:$B$1005,$B11,'الحركات الشهرية'!$A$6:$A$1005,$C$3))</f>
        <v>0</v>
      </c>
      <c r="X11" s="116" t="n">
        <f aca="false">IF($B11="","",SUM(U11:W11))</f>
        <v>1584.375</v>
      </c>
      <c r="Y11" s="158" t="n">
        <f aca="false">IF($B11="","",T11-X11)</f>
        <v>18465.625</v>
      </c>
      <c r="Z11" s="116" t="n">
        <f aca="false">IF($B11="","",الموظفون!$S11*IF(E11="سعودي",cfg_G_SR,cfg_G_NR)*G11/cfg_DAYS_M)</f>
        <v>1909.375</v>
      </c>
      <c r="AA11" s="116" t="n">
        <f aca="false">IF($B11="","",الموظفون!$Q11*(cfg_EOS_R1*(MIN(AH11,cfg_EOS_TH)-MIN(AI11,cfg_EOS_TH))+cfg_EOS_R2*(MAX(AH11-cfg_EOS_TH,0)-MAX(AI11-cfg_EOS_TH,0))))</f>
        <v>1442.46575342465</v>
      </c>
      <c r="AB11" s="116" t="n">
        <f aca="false">IF($B11="","",IF(الموظفون!$T11&lt;&gt;"",الموظفون!$T11,IF(AH11&gt;=cfg_LV_TH,cfg_LV_D2,cfg_LV_D1))/cfg_DAYS_Y*AJ11*الموظفون!$R11/cfg_DAYS_M)</f>
        <v>1442.46575342466</v>
      </c>
      <c r="AC11" s="116" t="n">
        <f aca="false">IF($B11="","",IF(AND(الموظفون!$U11="نعم",N(الموظفون!$W11)&gt;0),الموظفون!$V11/الموظفون!$W11*12/cfg_DAYS_Y*AJ11,0))</f>
        <v>0</v>
      </c>
      <c r="AD11" s="116" t="n">
        <f aca="false">IF($B11="","",(IF(الموظفون!$X11&lt;&gt;"",الموظفون!$X11,IF(الموظفون!$E11="غير سعودي",cfg_IQ,0))+IF(الموظفون!$Y11&lt;&gt;"",الموظفون!$Y11,IF(الموظفون!$E11="غير سعودي",cfg_WP,0)))/12*G11/cfg_DAYS_M)</f>
        <v>0</v>
      </c>
      <c r="AE11" s="116" t="n">
        <f aca="false">IF($B11="","",IF(الموظفون!$Z11&lt;&gt;"",الموظفون!$Z11,cfg_MED)/12*G11/cfg_DAYS_M)</f>
        <v>300</v>
      </c>
      <c r="AF11" s="116" t="n">
        <f aca="false">IF($B11="","",N(الموظفون!$AA11)/12*G11/cfg_DAYS_M)</f>
        <v>0</v>
      </c>
      <c r="AG11" s="159" t="n">
        <f aca="false">IF($B11="","",T11+SUM(Z11:AF11))</f>
        <v>25144.3065068493</v>
      </c>
      <c r="AH11" s="160" t="n">
        <f aca="false">IF($B11="","",MAX(0,IF(OR(الموظفون!$AE11="",الموظفون!$AE11&gt;$F$3),$F$3,الموظفون!$AE11)-الموظفون!$H11+1-SUMIFS('سجل الإجازات والحالات'!$AK$6:$AK$505,'سجل الإجازات والحالات'!$B$6:$B$505,$B11))/cfg_DAYS_Y)</f>
        <v>8.49041095890411</v>
      </c>
      <c r="AI11" s="160" t="n">
        <f aca="false">IF($B11="","",MAX(0,IF(OR(الموظفون!$AE11="",الموظفون!$AE11&gt;($E$3-1)),($E$3-1),الموظفون!$AE11)-الموظفون!$H11+1-SUMIFS('سجل الإجازات والحالات'!$AJ$6:$AJ$505,'سجل الإجازات والحالات'!$B$6:$B$505,$B11))/cfg_DAYS_Y)</f>
        <v>8.40821917808219</v>
      </c>
      <c r="AJ11" s="133" t="n">
        <f aca="false">IF($B11="","",MAX(0,AK11-(SUMIFS('سجل الإجازات والحالات'!$AK$6:$AK$505,'سجل الإجازات والحالات'!$B$6:$B$505,$B11)-SUMIFS('سجل الإجازات والحالات'!$AJ$6:$AJ$505,'سجل الإجازات والحالات'!$B$6:$B$505,$B11))))</f>
        <v>30</v>
      </c>
      <c r="AK11" s="133" t="n">
        <f aca="false">IF($B11="","",MAX(0,IF(OR(الموظفون!$AE11="",الموظفون!$AE11&gt;$F$3),$F$3,الموظفون!$AE11)-MAX($E$3,الموظفون!$H11)+1))</f>
        <v>30</v>
      </c>
      <c r="AL11" s="156" t="n">
        <f aca="false">IF($B11="","",SUMIFS('سجل الإجازات والحالات'!$AW$6:$AW$505,'سجل الإجازات والحالات'!$B$6:$B$505,$B11)+SUMIFS('الحركات الشهرية'!$K$6:$K$1005,'الحركات الشهرية'!$B$6:$B$1005,$B11,'الحركات الشهرية'!$A$6:$A$1005,$C$3))</f>
        <v>0</v>
      </c>
      <c r="AM11" s="116" t="n">
        <f aca="false">IF($B11="","",AL11*الموظفون!$R11/cfg_DAYS_M+S11)</f>
        <v>0</v>
      </c>
      <c r="AN11" s="156" t="n">
        <f aca="false">IF($B11="","",SUMIFS('سجل الإجازات والحالات'!$Y$6:$Y$505,'سجل الإجازات والحالات'!$B$6:$B$505,$B11))</f>
        <v>0</v>
      </c>
    </row>
    <row r="12" customFormat="false" ht="15" hidden="false" customHeight="false" outlineLevel="0" collapsed="false">
      <c r="A12" s="106" t="n">
        <f aca="false">IF($B12="","",الموظفون!$A12)</f>
        <v>7</v>
      </c>
      <c r="B12" s="114" t="str">
        <f aca="false">IF(الموظفون!$B12="","",الموظفون!$B12)</f>
        <v>E007</v>
      </c>
      <c r="C12" s="114" t="str">
        <f aca="false">IF($B12="","",الموظفون!$C12)</f>
        <v>خالد يوسف الأحمد</v>
      </c>
      <c r="D12" s="114" t="str">
        <f aca="false">IF($B12="","",الموظفون!$F12)</f>
        <v>المشاريع</v>
      </c>
      <c r="E12" s="114" t="str">
        <f aca="false">IF($B12="","",الموظفون!$E12)</f>
        <v>غير سعودي</v>
      </c>
      <c r="F12" s="114" t="str">
        <f aca="false">IF($B12="","",IF(AK12=0,IF(AND(الموظفون!$AE12&lt;&gt;"",الموظفون!$AE12&lt;$E$3),"✖ منتهي الخدمة","⏳ لم يباشر"),IF(S12&gt;0,"✈ راتب إجازة مقدم",IF(J12=0,"⛔ بدون راتب هذا الشهر",IF(I12&gt;0,"✈ خصم "&amp;ROUND(I12,2)&amp;" يوم بدون أجر",IF(AL12&gt;0,"🌴 إجازة سنوية "&amp;ROUND(AL12,2)&amp;" يوم",IF(H12&gt;0,"⚠ غياب "&amp;ROUND(H12,2)&amp;" يوم","✔ على رأس العمل")))))))</f>
        <v>✔ على رأس العمل</v>
      </c>
      <c r="G12" s="151" t="n">
        <f aca="false">IF($B12="","",IF(AK12&gt;=DAY($F$3),cfg_DAYS_M,MIN(AK12,cfg_DAYS_M)))</f>
        <v>30</v>
      </c>
      <c r="H12" s="151" t="n">
        <f aca="false">IF($B12="","",SUMIFS('الحركات الشهرية'!$D$6:$D$1005,'الحركات الشهرية'!$B$6:$B$1005,$B12,'الحركات الشهرية'!$A$6:$A$1005,$C$3))</f>
        <v>0</v>
      </c>
      <c r="I12" s="151" t="n">
        <f aca="false">IF($B12="","",MIN(G12,IF(AND(AK12&gt;0,AN12&gt;=AK12),G12,AN12)+SUMIFS('الحركات الشهرية'!$E$6:$E$1005,'الحركات الشهرية'!$B$6:$B$1005,$B12,'الحركات الشهرية'!$A$6:$A$1005,$C$3)))</f>
        <v>0</v>
      </c>
      <c r="J12" s="151" t="n">
        <f aca="false">IF($B12="","",MAX(0,G12-H12-I12))</f>
        <v>30</v>
      </c>
      <c r="K12" s="111" t="n">
        <f aca="false">IF($B12="","",الموظفون!$L12*$J12/cfg_DAYS_M)</f>
        <v>11000</v>
      </c>
      <c r="L12" s="111" t="n">
        <f aca="false">IF($B12="","",الموظفون!$M12*$J12/cfg_DAYS_M)</f>
        <v>2750</v>
      </c>
      <c r="M12" s="111" t="n">
        <f aca="false">IF($B12="","",الموظفون!$N12*$J12/cfg_DAYS_M)</f>
        <v>1100</v>
      </c>
      <c r="N12" s="111" t="n">
        <f aca="false">IF($B12="","",الموظفون!$O12*$J12/cfg_DAYS_M)</f>
        <v>800</v>
      </c>
      <c r="O12" s="151" t="n">
        <f aca="false">IF($B12="","",SUMIFS('الحركات الشهرية'!$F$6:$F$1005,'الحركات الشهرية'!$B$6:$B$1005,$B12,'الحركات الشهرية'!$A$6:$A$1005,$C$3))</f>
        <v>0</v>
      </c>
      <c r="P12" s="111" t="n">
        <f aca="false">IF($B12="","",O12*(الموظفون!$P12+الموظفون!$L12*cfg_OT_P)/cfg_DAYS_M/cfg_HRS)</f>
        <v>0</v>
      </c>
      <c r="Q12" s="111" t="n">
        <f aca="false">IF($B12="","",SUMIFS('الحركات الشهرية'!$G$6:$G$1005,'الحركات الشهرية'!$B$6:$B$1005,$B12,'الحركات الشهرية'!$A$6:$A$1005,$C$3))</f>
        <v>0</v>
      </c>
      <c r="R12" s="111" t="n">
        <f aca="false">IF($B12="","",SUMIFS('الحركات الشهرية'!$H$6:$H$1005,'الحركات الشهرية'!$B$6:$B$1005,$B12,'الحركات الشهرية'!$A$6:$A$1005,$C$3))</f>
        <v>0</v>
      </c>
      <c r="S12" s="111" t="n">
        <f aca="false">IF($B12="","",SUMIFS('سجل الإجازات والحالات'!$N$6:$N$505,'سجل الإجازات والحالات'!$B$6:$B$505,$B12,'سجل الإجازات والحالات'!$O$6:$O$505,$C$3))</f>
        <v>0</v>
      </c>
      <c r="T12" s="152" t="n">
        <f aca="false">IF($B12="","",SUM(K12:N12)+SUM(P12:S12))</f>
        <v>15650</v>
      </c>
      <c r="U12" s="111" t="n">
        <f aca="false">IF($B12="","",الموظفون!$S12*IF(E12="سعودي",cfg_G_SE,cfg_G_NE)*G12/cfg_DAYS_M)</f>
        <v>0</v>
      </c>
      <c r="V12" s="111" t="n">
        <f aca="false">IF($B12="","",SUMIFS('الحركات الشهرية'!$I$6:$I$1005,'الحركات الشهرية'!$B$6:$B$1005,$B12,'الحركات الشهرية'!$A$6:$A$1005,$C$3))</f>
        <v>0</v>
      </c>
      <c r="W12" s="111" t="n">
        <f aca="false">IF($B12="","",SUMIFS('الحركات الشهرية'!$J$6:$J$1005,'الحركات الشهرية'!$B$6:$B$1005,$B12,'الحركات الشهرية'!$A$6:$A$1005,$C$3))</f>
        <v>0</v>
      </c>
      <c r="X12" s="111" t="n">
        <f aca="false">IF($B12="","",SUM(U12:W12))</f>
        <v>0</v>
      </c>
      <c r="Y12" s="153" t="n">
        <f aca="false">IF($B12="","",T12-X12)</f>
        <v>15650</v>
      </c>
      <c r="Z12" s="111" t="n">
        <f aca="false">IF($B12="","",الموظفون!$S12*IF(E12="سعودي",cfg_G_SR,cfg_G_NR)*G12/cfg_DAYS_M)</f>
        <v>275</v>
      </c>
      <c r="AA12" s="111" t="n">
        <f aca="false">IF($B12="","",الموظفون!$Q12*(cfg_EOS_R1*(MIN(AH12,cfg_EOS_TH)-MIN(AI12,cfg_EOS_TH))+cfg_EOS_R2*(MAX(AH12-cfg_EOS_TH,0)-MAX(AI12-cfg_EOS_TH,0))))</f>
        <v>1220.54794520548</v>
      </c>
      <c r="AB12" s="111" t="n">
        <f aca="false">IF($B12="","",IF(الموظفون!$T12&lt;&gt;"",الموظفون!$T12,IF(AH12&gt;=cfg_LV_TH,cfg_LV_D2,cfg_LV_D1))/cfg_DAYS_Y*AJ12*الموظفون!$R12/cfg_DAYS_M)</f>
        <v>1220.54794520548</v>
      </c>
      <c r="AC12" s="111" t="n">
        <f aca="false">IF($B12="","",IF(AND(الموظفون!$U12="نعم",N(الموظفون!$W12)&gt;0),الموظفون!$V12/الموظفون!$W12*12/cfg_DAYS_Y*AJ12,0))</f>
        <v>369.86301369863</v>
      </c>
      <c r="AD12" s="111" t="n">
        <f aca="false">IF($B12="","",(IF(الموظفون!$X12&lt;&gt;"",الموظفون!$X12,IF(الموظفون!$E12="غير سعودي",cfg_IQ,0))+IF(الموظفون!$Y12&lt;&gt;"",الموظفون!$Y12,IF(الموظفون!$E12="غير سعودي",cfg_WP,0)))/12*G12/cfg_DAYS_M)</f>
        <v>854.166666666667</v>
      </c>
      <c r="AE12" s="111" t="n">
        <f aca="false">IF($B12="","",IF(الموظفون!$Z12&lt;&gt;"",الموظفون!$Z12,cfg_MED)/12*G12/cfg_DAYS_M)</f>
        <v>200</v>
      </c>
      <c r="AF12" s="111" t="n">
        <f aca="false">IF($B12="","",N(الموظفون!$AA12)/12*G12/cfg_DAYS_M)</f>
        <v>400</v>
      </c>
      <c r="AG12" s="154" t="n">
        <f aca="false">IF($B12="","",T12+SUM(Z12:AF12))</f>
        <v>20190.1255707763</v>
      </c>
      <c r="AH12" s="155" t="n">
        <f aca="false">IF($B12="","",MAX(0,IF(OR(الموظفون!$AE12="",الموظفون!$AE12&gt;$F$3),$F$3,الموظفون!$AE12)-الموظفون!$H12+1-SUMIFS('سجل الإجازات والحالات'!$AK$6:$AK$505,'سجل الإجازات والحالات'!$B$6:$B$505,$B12))/cfg_DAYS_Y)</f>
        <v>5.27945205479452</v>
      </c>
      <c r="AI12" s="155" t="n">
        <f aca="false">IF($B12="","",MAX(0,IF(OR(الموظفون!$AE12="",الموظفون!$AE12&gt;($E$3-1)),($E$3-1),الموظفون!$AE12)-الموظفون!$H12+1-SUMIFS('سجل الإجازات والحالات'!$AJ$6:$AJ$505,'سجل الإجازات والحالات'!$B$6:$B$505,$B12))/cfg_DAYS_Y)</f>
        <v>5.1972602739726</v>
      </c>
      <c r="AJ12" s="65" t="n">
        <f aca="false">IF($B12="","",MAX(0,AK12-(SUMIFS('سجل الإجازات والحالات'!$AK$6:$AK$505,'سجل الإجازات والحالات'!$B$6:$B$505,$B12)-SUMIFS('سجل الإجازات والحالات'!$AJ$6:$AJ$505,'سجل الإجازات والحالات'!$B$6:$B$505,$B12))))</f>
        <v>30</v>
      </c>
      <c r="AK12" s="65" t="n">
        <f aca="false">IF($B12="","",MAX(0,IF(OR(الموظفون!$AE12="",الموظفون!$AE12&gt;$F$3),$F$3,الموظفون!$AE12)-MAX($E$3,الموظفون!$H12)+1))</f>
        <v>30</v>
      </c>
      <c r="AL12" s="151" t="n">
        <f aca="false">IF($B12="","",SUMIFS('سجل الإجازات والحالات'!$AW$6:$AW$505,'سجل الإجازات والحالات'!$B$6:$B$505,$B12)+SUMIFS('الحركات الشهرية'!$K$6:$K$1005,'الحركات الشهرية'!$B$6:$B$1005,$B12,'الحركات الشهرية'!$A$6:$A$1005,$C$3))</f>
        <v>0</v>
      </c>
      <c r="AM12" s="111" t="n">
        <f aca="false">IF($B12="","",AL12*الموظفون!$R12/cfg_DAYS_M+S12)</f>
        <v>0</v>
      </c>
      <c r="AN12" s="151" t="n">
        <f aca="false">IF($B12="","",SUMIFS('سجل الإجازات والحالات'!$Y$6:$Y$505,'سجل الإجازات والحالات'!$B$6:$B$505,$B12))</f>
        <v>0</v>
      </c>
    </row>
    <row r="13" customFormat="false" ht="15" hidden="false" customHeight="false" outlineLevel="0" collapsed="false">
      <c r="A13" s="115" t="n">
        <f aca="false">IF($B13="","",الموظفون!$A13)</f>
        <v>8</v>
      </c>
      <c r="B13" s="117" t="str">
        <f aca="false">IF(الموظفون!$B13="","",الموظفون!$B13)</f>
        <v>E008</v>
      </c>
      <c r="C13" s="117" t="str">
        <f aca="false">IF($B13="","",الموظفون!$C13)</f>
        <v>سارة عبدالرحمن الزهراني</v>
      </c>
      <c r="D13" s="117" t="str">
        <f aca="false">IF($B13="","",الموظفون!$F13)</f>
        <v>المالية</v>
      </c>
      <c r="E13" s="117" t="str">
        <f aca="false">IF($B13="","",الموظفون!$E13)</f>
        <v>سعودي</v>
      </c>
      <c r="F13" s="117" t="str">
        <f aca="false">IF($B13="","",IF(AK13=0,IF(AND(الموظفون!$AE13&lt;&gt;"",الموظفون!$AE13&lt;$E$3),"✖ منتهي الخدمة","⏳ لم يباشر"),IF(S13&gt;0,"✈ راتب إجازة مقدم",IF(J13=0,"⛔ بدون راتب هذا الشهر",IF(I13&gt;0,"✈ خصم "&amp;ROUND(I13,2)&amp;" يوم بدون أجر",IF(AL13&gt;0,"🌴 إجازة سنوية "&amp;ROUND(AL13,2)&amp;" يوم",IF(H13&gt;0,"⚠ غياب "&amp;ROUND(H13,2)&amp;" يوم","✔ على رأس العمل")))))))</f>
        <v>✔ على رأس العمل</v>
      </c>
      <c r="G13" s="156" t="n">
        <f aca="false">IF($B13="","",IF(AK13&gt;=DAY($F$3),cfg_DAYS_M,MIN(AK13,cfg_DAYS_M)))</f>
        <v>30</v>
      </c>
      <c r="H13" s="156" t="n">
        <f aca="false">IF($B13="","",SUMIFS('الحركات الشهرية'!$D$6:$D$1005,'الحركات الشهرية'!$B$6:$B$1005,$B13,'الحركات الشهرية'!$A$6:$A$1005,$C$3))</f>
        <v>0</v>
      </c>
      <c r="I13" s="156" t="n">
        <f aca="false">IF($B13="","",MIN(G13,IF(AND(AK13&gt;0,AN13&gt;=AK13),G13,AN13)+SUMIFS('الحركات الشهرية'!$E$6:$E$1005,'الحركات الشهرية'!$B$6:$B$1005,$B13,'الحركات الشهرية'!$A$6:$A$1005,$C$3)))</f>
        <v>0</v>
      </c>
      <c r="J13" s="156" t="n">
        <f aca="false">IF($B13="","",MAX(0,G13-H13-I13))</f>
        <v>30</v>
      </c>
      <c r="K13" s="116" t="n">
        <f aca="false">IF($B13="","",الموظفون!$L13*$J13/cfg_DAYS_M)</f>
        <v>7500</v>
      </c>
      <c r="L13" s="116" t="n">
        <f aca="false">IF($B13="","",الموظفون!$M13*$J13/cfg_DAYS_M)</f>
        <v>1875</v>
      </c>
      <c r="M13" s="116" t="n">
        <f aca="false">IF($B13="","",الموظفون!$N13*$J13/cfg_DAYS_M)</f>
        <v>750</v>
      </c>
      <c r="N13" s="116" t="n">
        <f aca="false">IF($B13="","",الموظفون!$O13*$J13/cfg_DAYS_M)</f>
        <v>0</v>
      </c>
      <c r="O13" s="156" t="n">
        <f aca="false">IF($B13="","",SUMIFS('الحركات الشهرية'!$F$6:$F$1005,'الحركات الشهرية'!$B$6:$B$1005,$B13,'الحركات الشهرية'!$A$6:$A$1005,$C$3))</f>
        <v>0</v>
      </c>
      <c r="P13" s="116" t="n">
        <f aca="false">IF($B13="","",O13*(الموظفون!$P13+الموظفون!$L13*cfg_OT_P)/cfg_DAYS_M/cfg_HRS)</f>
        <v>0</v>
      </c>
      <c r="Q13" s="116" t="n">
        <f aca="false">IF($B13="","",SUMIFS('الحركات الشهرية'!$G$6:$G$1005,'الحركات الشهرية'!$B$6:$B$1005,$B13,'الحركات الشهرية'!$A$6:$A$1005,$C$3))</f>
        <v>0</v>
      </c>
      <c r="R13" s="116" t="n">
        <f aca="false">IF($B13="","",SUMIFS('الحركات الشهرية'!$H$6:$H$1005,'الحركات الشهرية'!$B$6:$B$1005,$B13,'الحركات الشهرية'!$A$6:$A$1005,$C$3))</f>
        <v>0</v>
      </c>
      <c r="S13" s="116" t="n">
        <f aca="false">IF($B13="","",SUMIFS('سجل الإجازات والحالات'!$N$6:$N$505,'سجل الإجازات والحالات'!$B$6:$B$505,$B13,'سجل الإجازات والحالات'!$O$6:$O$505,$C$3))</f>
        <v>0</v>
      </c>
      <c r="T13" s="157" t="n">
        <f aca="false">IF($B13="","",SUM(K13:N13)+SUM(P13:S13))</f>
        <v>10125</v>
      </c>
      <c r="U13" s="116" t="n">
        <f aca="false">IF($B13="","",الموظفون!$S13*IF(E13="سعودي",cfg_G_SE,cfg_G_NE)*G13/cfg_DAYS_M)</f>
        <v>914.0625</v>
      </c>
      <c r="V13" s="116" t="n">
        <f aca="false">IF($B13="","",SUMIFS('الحركات الشهرية'!$I$6:$I$1005,'الحركات الشهرية'!$B$6:$B$1005,$B13,'الحركات الشهرية'!$A$6:$A$1005,$C$3))</f>
        <v>0</v>
      </c>
      <c r="W13" s="116" t="n">
        <f aca="false">IF($B13="","",SUMIFS('الحركات الشهرية'!$J$6:$J$1005,'الحركات الشهرية'!$B$6:$B$1005,$B13,'الحركات الشهرية'!$A$6:$A$1005,$C$3))</f>
        <v>0</v>
      </c>
      <c r="X13" s="116" t="n">
        <f aca="false">IF($B13="","",SUM(U13:W13))</f>
        <v>914.0625</v>
      </c>
      <c r="Y13" s="158" t="n">
        <f aca="false">IF($B13="","",T13-X13)</f>
        <v>9210.9375</v>
      </c>
      <c r="Z13" s="116" t="n">
        <f aca="false">IF($B13="","",الموظفون!$S13*IF(E13="سعودي",cfg_G_SR,cfg_G_NR)*G13/cfg_DAYS_M)</f>
        <v>1101.5625</v>
      </c>
      <c r="AA13" s="116" t="n">
        <f aca="false">IF($B13="","",الموظفون!$Q13*(cfg_EOS_R1*(MIN(AH13,cfg_EOS_TH)-MIN(AI13,cfg_EOS_TH))+cfg_EOS_R2*(MAX(AH13-cfg_EOS_TH,0)-MAX(AI13-cfg_EOS_TH,0))))</f>
        <v>416.095890410958</v>
      </c>
      <c r="AB13" s="116" t="n">
        <f aca="false">IF($B13="","",IF(الموظفون!$T13&lt;&gt;"",الموظفون!$T13,IF(AH13&gt;=cfg_LV_TH,cfg_LV_D2,cfg_LV_D1))/cfg_DAYS_Y*AJ13*الموظفون!$R13/cfg_DAYS_M)</f>
        <v>582.534246575342</v>
      </c>
      <c r="AC13" s="116" t="n">
        <f aca="false">IF($B13="","",IF(AND(الموظفون!$U13="نعم",N(الموظفون!$W13)&gt;0),الموظفون!$V13/الموظفون!$W13*12/cfg_DAYS_Y*AJ13,0))</f>
        <v>0</v>
      </c>
      <c r="AD13" s="116" t="n">
        <f aca="false">IF($B13="","",(IF(الموظفون!$X13&lt;&gt;"",الموظفون!$X13,IF(الموظفون!$E13="غير سعودي",cfg_IQ,0))+IF(الموظفون!$Y13&lt;&gt;"",الموظفون!$Y13,IF(الموظفون!$E13="غير سعودي",cfg_WP,0)))/12*G13/cfg_DAYS_M)</f>
        <v>0</v>
      </c>
      <c r="AE13" s="116" t="n">
        <f aca="false">IF($B13="","",IF(الموظفون!$Z13&lt;&gt;"",الموظفون!$Z13,cfg_MED)/12*G13/cfg_DAYS_M)</f>
        <v>200</v>
      </c>
      <c r="AF13" s="116" t="n">
        <f aca="false">IF($B13="","",N(الموظفون!$AA13)/12*G13/cfg_DAYS_M)</f>
        <v>0</v>
      </c>
      <c r="AG13" s="159" t="n">
        <f aca="false">IF($B13="","",T13+SUM(Z13:AF13))</f>
        <v>12425.1926369863</v>
      </c>
      <c r="AH13" s="160" t="n">
        <f aca="false">IF($B13="","",MAX(0,IF(OR(الموظفون!$AE13="",الموظفون!$AE13&gt;$F$3),$F$3,الموظفون!$AE13)-الموظفون!$H13+1-SUMIFS('سجل الإجازات والحالات'!$AK$6:$AK$505,'سجل الإجازات والحالات'!$B$6:$B$505,$B13))/cfg_DAYS_Y)</f>
        <v>3.16986301369863</v>
      </c>
      <c r="AI13" s="160" t="n">
        <f aca="false">IF($B13="","",MAX(0,IF(OR(الموظفون!$AE13="",الموظفون!$AE13&gt;($E$3-1)),($E$3-1),الموظفون!$AE13)-الموظفون!$H13+1-SUMIFS('سجل الإجازات والحالات'!$AJ$6:$AJ$505,'سجل الإجازات والحالات'!$B$6:$B$505,$B13))/cfg_DAYS_Y)</f>
        <v>3.08767123287671</v>
      </c>
      <c r="AJ13" s="133" t="n">
        <f aca="false">IF($B13="","",MAX(0,AK13-(SUMIFS('سجل الإجازات والحالات'!$AK$6:$AK$505,'سجل الإجازات والحالات'!$B$6:$B$505,$B13)-SUMIFS('سجل الإجازات والحالات'!$AJ$6:$AJ$505,'سجل الإجازات والحالات'!$B$6:$B$505,$B13))))</f>
        <v>30</v>
      </c>
      <c r="AK13" s="133" t="n">
        <f aca="false">IF($B13="","",MAX(0,IF(OR(الموظفون!$AE13="",الموظفون!$AE13&gt;$F$3),$F$3,الموظفون!$AE13)-MAX($E$3,الموظفون!$H13)+1))</f>
        <v>30</v>
      </c>
      <c r="AL13" s="156" t="n">
        <f aca="false">IF($B13="","",SUMIFS('سجل الإجازات والحالات'!$AW$6:$AW$505,'سجل الإجازات والحالات'!$B$6:$B$505,$B13)+SUMIFS('الحركات الشهرية'!$K$6:$K$1005,'الحركات الشهرية'!$B$6:$B$1005,$B13,'الحركات الشهرية'!$A$6:$A$1005,$C$3))</f>
        <v>0</v>
      </c>
      <c r="AM13" s="116" t="n">
        <f aca="false">IF($B13="","",AL13*الموظفون!$R13/cfg_DAYS_M+S13)</f>
        <v>0</v>
      </c>
      <c r="AN13" s="156" t="n">
        <f aca="false">IF($B13="","",SUMIFS('سجل الإجازات والحالات'!$Y$6:$Y$505,'سجل الإجازات والحالات'!$B$6:$B$505,$B13))</f>
        <v>0</v>
      </c>
    </row>
    <row r="14" customFormat="false" ht="15" hidden="false" customHeight="false" outlineLevel="0" collapsed="false">
      <c r="A14" s="106" t="n">
        <f aca="false">IF($B14="","",الموظفون!$A14)</f>
        <v>9</v>
      </c>
      <c r="B14" s="114" t="str">
        <f aca="false">IF(الموظفون!$B14="","",الموظفون!$B14)</f>
        <v>E009</v>
      </c>
      <c r="C14" s="114" t="str">
        <f aca="false">IF($B14="","",الموظفون!$C14)</f>
        <v>محمد رفيق</v>
      </c>
      <c r="D14" s="114" t="str">
        <f aca="false">IF($B14="","",الموظفون!$F14)</f>
        <v>العمليات</v>
      </c>
      <c r="E14" s="114" t="str">
        <f aca="false">IF($B14="","",الموظفون!$E14)</f>
        <v>غير سعودي</v>
      </c>
      <c r="F14" s="114" t="str">
        <f aca="false">IF($B14="","",IF(AK14=0,IF(AND(الموظفون!$AE14&lt;&gt;"",الموظفون!$AE14&lt;$E$3),"✖ منتهي الخدمة","⏳ لم يباشر"),IF(S14&gt;0,"✈ راتب إجازة مقدم",IF(J14=0,"⛔ بدون راتب هذا الشهر",IF(I14&gt;0,"✈ خصم "&amp;ROUND(I14,2)&amp;" يوم بدون أجر",IF(AL14&gt;0,"🌴 إجازة سنوية "&amp;ROUND(AL14,2)&amp;" يوم",IF(H14&gt;0,"⚠ غياب "&amp;ROUND(H14,2)&amp;" يوم","✔ على رأس العمل")))))))</f>
        <v>✔ على رأس العمل</v>
      </c>
      <c r="G14" s="151" t="n">
        <f aca="false">IF($B14="","",IF(AK14&gt;=DAY($F$3),cfg_DAYS_M,MIN(AK14,cfg_DAYS_M)))</f>
        <v>30</v>
      </c>
      <c r="H14" s="151" t="n">
        <f aca="false">IF($B14="","",SUMIFS('الحركات الشهرية'!$D$6:$D$1005,'الحركات الشهرية'!$B$6:$B$1005,$B14,'الحركات الشهرية'!$A$6:$A$1005,$C$3))</f>
        <v>0</v>
      </c>
      <c r="I14" s="151" t="n">
        <f aca="false">IF($B14="","",MIN(G14,IF(AND(AK14&gt;0,AN14&gt;=AK14),G14,AN14)+SUMIFS('الحركات الشهرية'!$E$6:$E$1005,'الحركات الشهرية'!$B$6:$B$1005,$B14,'الحركات الشهرية'!$A$6:$A$1005,$C$3)))</f>
        <v>0</v>
      </c>
      <c r="J14" s="151" t="n">
        <f aca="false">IF($B14="","",MAX(0,G14-H14-I14))</f>
        <v>30</v>
      </c>
      <c r="K14" s="111" t="n">
        <f aca="false">IF($B14="","",الموظفون!$L14*$J14/cfg_DAYS_M)</f>
        <v>6500</v>
      </c>
      <c r="L14" s="111" t="n">
        <f aca="false">IF($B14="","",الموظفون!$M14*$J14/cfg_DAYS_M)</f>
        <v>1625</v>
      </c>
      <c r="M14" s="111" t="n">
        <f aca="false">IF($B14="","",الموظفون!$N14*$J14/cfg_DAYS_M)</f>
        <v>650</v>
      </c>
      <c r="N14" s="111" t="n">
        <f aca="false">IF($B14="","",الموظفون!$O14*$J14/cfg_DAYS_M)</f>
        <v>300</v>
      </c>
      <c r="O14" s="151" t="n">
        <f aca="false">IF($B14="","",SUMIFS('الحركات الشهرية'!$F$6:$F$1005,'الحركات الشهرية'!$B$6:$B$1005,$B14,'الحركات الشهرية'!$A$6:$A$1005,$C$3))</f>
        <v>0</v>
      </c>
      <c r="P14" s="111" t="n">
        <f aca="false">IF($B14="","",O14*(الموظفون!$P14+الموظفون!$L14*cfg_OT_P)/cfg_DAYS_M/cfg_HRS)</f>
        <v>0</v>
      </c>
      <c r="Q14" s="111" t="n">
        <f aca="false">IF($B14="","",SUMIFS('الحركات الشهرية'!$G$6:$G$1005,'الحركات الشهرية'!$B$6:$B$1005,$B14,'الحركات الشهرية'!$A$6:$A$1005,$C$3))</f>
        <v>0</v>
      </c>
      <c r="R14" s="111" t="n">
        <f aca="false">IF($B14="","",SUMIFS('الحركات الشهرية'!$H$6:$H$1005,'الحركات الشهرية'!$B$6:$B$1005,$B14,'الحركات الشهرية'!$A$6:$A$1005,$C$3))</f>
        <v>0</v>
      </c>
      <c r="S14" s="111" t="n">
        <f aca="false">IF($B14="","",SUMIFS('سجل الإجازات والحالات'!$N$6:$N$505,'سجل الإجازات والحالات'!$B$6:$B$505,$B14,'سجل الإجازات والحالات'!$O$6:$O$505,$C$3))</f>
        <v>0</v>
      </c>
      <c r="T14" s="152" t="n">
        <f aca="false">IF($B14="","",SUM(K14:N14)+SUM(P14:S14))</f>
        <v>9075</v>
      </c>
      <c r="U14" s="111" t="n">
        <f aca="false">IF($B14="","",الموظفون!$S14*IF(E14="سعودي",cfg_G_SE,cfg_G_NE)*G14/cfg_DAYS_M)</f>
        <v>0</v>
      </c>
      <c r="V14" s="111" t="n">
        <f aca="false">IF($B14="","",SUMIFS('الحركات الشهرية'!$I$6:$I$1005,'الحركات الشهرية'!$B$6:$B$1005,$B14,'الحركات الشهرية'!$A$6:$A$1005,$C$3))</f>
        <v>0</v>
      </c>
      <c r="W14" s="111" t="n">
        <f aca="false">IF($B14="","",SUMIFS('الحركات الشهرية'!$J$6:$J$1005,'الحركات الشهرية'!$B$6:$B$1005,$B14,'الحركات الشهرية'!$A$6:$A$1005,$C$3))</f>
        <v>0</v>
      </c>
      <c r="X14" s="111" t="n">
        <f aca="false">IF($B14="","",SUM(U14:W14))</f>
        <v>0</v>
      </c>
      <c r="Y14" s="153" t="n">
        <f aca="false">IF($B14="","",T14-X14)</f>
        <v>9075</v>
      </c>
      <c r="Z14" s="111" t="n">
        <f aca="false">IF($B14="","",الموظفون!$S14*IF(E14="سعودي",cfg_G_SR,cfg_G_NR)*G14/cfg_DAYS_M)</f>
        <v>162.5</v>
      </c>
      <c r="AA14" s="111" t="n">
        <f aca="false">IF($B14="","",الموظفون!$Q14*(cfg_EOS_R1*(MIN(AH14,cfg_EOS_TH)-MIN(AI14,cfg_EOS_TH))+cfg_EOS_R2*(MAX(AH14-cfg_EOS_TH,0)-MAX(AI14-cfg_EOS_TH,0))))</f>
        <v>721.232876712324</v>
      </c>
      <c r="AB14" s="111" t="n">
        <f aca="false">IF($B14="","",IF(الموظفون!$T14&lt;&gt;"",الموظفون!$T14,IF(AH14&gt;=cfg_LV_TH,cfg_LV_D2,cfg_LV_D1))/cfg_DAYS_Y*AJ14*الموظفون!$R14/cfg_DAYS_M)</f>
        <v>721.232876712329</v>
      </c>
      <c r="AC14" s="111" t="n">
        <f aca="false">IF($B14="","",IF(AND(الموظفون!$U14="نعم",N(الموظفون!$W14)&gt;0),الموظفون!$V14/الموظفون!$W14*12/cfg_DAYS_Y*AJ14,0))</f>
        <v>90.4109589041096</v>
      </c>
      <c r="AD14" s="111" t="n">
        <f aca="false">IF($B14="","",(IF(الموظفون!$X14&lt;&gt;"",الموظفون!$X14,IF(الموظفون!$E14="غير سعودي",cfg_IQ,0))+IF(الموظفون!$Y14&lt;&gt;"",الموظفون!$Y14,IF(الموظفون!$E14="غير سعودي",cfg_WP,0)))/12*G14/cfg_DAYS_M)</f>
        <v>854.166666666667</v>
      </c>
      <c r="AE14" s="111" t="n">
        <f aca="false">IF($B14="","",IF(الموظفون!$Z14&lt;&gt;"",الموظفون!$Z14,cfg_MED)/12*G14/cfg_DAYS_M)</f>
        <v>150</v>
      </c>
      <c r="AF14" s="111" t="n">
        <f aca="false">IF($B14="","",N(الموظفون!$AA14)/12*G14/cfg_DAYS_M)</f>
        <v>0</v>
      </c>
      <c r="AG14" s="154" t="n">
        <f aca="false">IF($B14="","",T14+SUM(Z14:AF14))</f>
        <v>11774.5433789954</v>
      </c>
      <c r="AH14" s="155" t="n">
        <f aca="false">IF($B14="","",MAX(0,IF(OR(الموظفون!$AE14="",الموظفون!$AE14&gt;$F$3),$F$3,الموظفون!$AE14)-الموظفون!$H14+1-SUMIFS('سجل الإجازات والحالات'!$AK$6:$AK$505,'سجل الإجازات والحالات'!$B$6:$B$505,$B14))/cfg_DAYS_Y)</f>
        <v>11.7095890410959</v>
      </c>
      <c r="AI14" s="155" t="n">
        <f aca="false">IF($B14="","",MAX(0,IF(OR(الموظفون!$AE14="",الموظفون!$AE14&gt;($E$3-1)),($E$3-1),الموظفون!$AE14)-الموظفون!$H14+1-SUMIFS('سجل الإجازات والحالات'!$AJ$6:$AJ$505,'سجل الإجازات والحالات'!$B$6:$B$505,$B14))/cfg_DAYS_Y)</f>
        <v>11.627397260274</v>
      </c>
      <c r="AJ14" s="65" t="n">
        <f aca="false">IF($B14="","",MAX(0,AK14-(SUMIFS('سجل الإجازات والحالات'!$AK$6:$AK$505,'سجل الإجازات والحالات'!$B$6:$B$505,$B14)-SUMIFS('سجل الإجازات والحالات'!$AJ$6:$AJ$505,'سجل الإجازات والحالات'!$B$6:$B$505,$B14))))</f>
        <v>30</v>
      </c>
      <c r="AK14" s="65" t="n">
        <f aca="false">IF($B14="","",MAX(0,IF(OR(الموظفون!$AE14="",الموظفون!$AE14&gt;$F$3),$F$3,الموظفون!$AE14)-MAX($E$3,الموظفون!$H14)+1))</f>
        <v>30</v>
      </c>
      <c r="AL14" s="151" t="n">
        <f aca="false">IF($B14="","",SUMIFS('سجل الإجازات والحالات'!$AW$6:$AW$505,'سجل الإجازات والحالات'!$B$6:$B$505,$B14)+SUMIFS('الحركات الشهرية'!$K$6:$K$1005,'الحركات الشهرية'!$B$6:$B$1005,$B14,'الحركات الشهرية'!$A$6:$A$1005,$C$3))</f>
        <v>0</v>
      </c>
      <c r="AM14" s="111" t="n">
        <f aca="false">IF($B14="","",AL14*الموظفون!$R14/cfg_DAYS_M+S14)</f>
        <v>0</v>
      </c>
      <c r="AN14" s="151" t="n">
        <f aca="false">IF($B14="","",SUMIFS('سجل الإجازات والحالات'!$Y$6:$Y$505,'سجل الإجازات والحالات'!$B$6:$B$505,$B14))</f>
        <v>0</v>
      </c>
    </row>
    <row r="15" customFormat="false" ht="15" hidden="false" customHeight="false" outlineLevel="0" collapsed="false">
      <c r="A15" s="115" t="n">
        <f aca="false">IF($B15="","",الموظفون!$A15)</f>
        <v>10</v>
      </c>
      <c r="B15" s="117" t="str">
        <f aca="false">IF(الموظفون!$B15="","",الموظفون!$B15)</f>
        <v>E010</v>
      </c>
      <c r="C15" s="117" t="str">
        <f aca="false">IF($B15="","",الموظفون!$C15)</f>
        <v>ريم سلطان المطيري</v>
      </c>
      <c r="D15" s="117" t="str">
        <f aca="false">IF($B15="","",الموظفون!$F15)</f>
        <v>المبيعات</v>
      </c>
      <c r="E15" s="117" t="str">
        <f aca="false">IF($B15="","",الموظفون!$E15)</f>
        <v>سعودي</v>
      </c>
      <c r="F15" s="117" t="str">
        <f aca="false">IF($B15="","",IF(AK15=0,IF(AND(الموظفون!$AE15&lt;&gt;"",الموظفون!$AE15&lt;$E$3),"✖ منتهي الخدمة","⏳ لم يباشر"),IF(S15&gt;0,"✈ راتب إجازة مقدم",IF(J15=0,"⛔ بدون راتب هذا الشهر",IF(I15&gt;0,"✈ خصم "&amp;ROUND(I15,2)&amp;" يوم بدون أجر",IF(AL15&gt;0,"🌴 إجازة سنوية "&amp;ROUND(AL15,2)&amp;" يوم",IF(H15&gt;0,"⚠ غياب "&amp;ROUND(H15,2)&amp;" يوم","✔ على رأس العمل")))))))</f>
        <v>✔ على رأس العمل</v>
      </c>
      <c r="G15" s="156" t="n">
        <f aca="false">IF($B15="","",IF(AK15&gt;=DAY($F$3),cfg_DAYS_M,MIN(AK15,cfg_DAYS_M)))</f>
        <v>16</v>
      </c>
      <c r="H15" s="156" t="n">
        <f aca="false">IF($B15="","",SUMIFS('الحركات الشهرية'!$D$6:$D$1005,'الحركات الشهرية'!$B$6:$B$1005,$B15,'الحركات الشهرية'!$A$6:$A$1005,$C$3))</f>
        <v>0</v>
      </c>
      <c r="I15" s="156" t="n">
        <f aca="false">IF($B15="","",MIN(G15,IF(AND(AK15&gt;0,AN15&gt;=AK15),G15,AN15)+SUMIFS('الحركات الشهرية'!$E$6:$E$1005,'الحركات الشهرية'!$B$6:$B$1005,$B15,'الحركات الشهرية'!$A$6:$A$1005,$C$3)))</f>
        <v>0</v>
      </c>
      <c r="J15" s="156" t="n">
        <f aca="false">IF($B15="","",MAX(0,G15-H15-I15))</f>
        <v>16</v>
      </c>
      <c r="K15" s="116" t="n">
        <f aca="false">IF($B15="","",الموظفون!$L15*$J15/cfg_DAYS_M)</f>
        <v>4800</v>
      </c>
      <c r="L15" s="116" t="n">
        <f aca="false">IF($B15="","",الموظفون!$M15*$J15/cfg_DAYS_M)</f>
        <v>1200</v>
      </c>
      <c r="M15" s="116" t="n">
        <f aca="false">IF($B15="","",الموظفون!$N15*$J15/cfg_DAYS_M)</f>
        <v>480</v>
      </c>
      <c r="N15" s="116" t="n">
        <f aca="false">IF($B15="","",الموظفون!$O15*$J15/cfg_DAYS_M)</f>
        <v>0</v>
      </c>
      <c r="O15" s="156" t="n">
        <f aca="false">IF($B15="","",SUMIFS('الحركات الشهرية'!$F$6:$F$1005,'الحركات الشهرية'!$B$6:$B$1005,$B15,'الحركات الشهرية'!$A$6:$A$1005,$C$3))</f>
        <v>0</v>
      </c>
      <c r="P15" s="116" t="n">
        <f aca="false">IF($B15="","",O15*(الموظفون!$P15+الموظفون!$L15*cfg_OT_P)/cfg_DAYS_M/cfg_HRS)</f>
        <v>0</v>
      </c>
      <c r="Q15" s="116" t="n">
        <f aca="false">IF($B15="","",SUMIFS('الحركات الشهرية'!$G$6:$G$1005,'الحركات الشهرية'!$B$6:$B$1005,$B15,'الحركات الشهرية'!$A$6:$A$1005,$C$3))</f>
        <v>0</v>
      </c>
      <c r="R15" s="116" t="n">
        <f aca="false">IF($B15="","",SUMIFS('الحركات الشهرية'!$H$6:$H$1005,'الحركات الشهرية'!$B$6:$B$1005,$B15,'الحركات الشهرية'!$A$6:$A$1005,$C$3))</f>
        <v>0</v>
      </c>
      <c r="S15" s="116" t="n">
        <f aca="false">IF($B15="","",SUMIFS('سجل الإجازات والحالات'!$N$6:$N$505,'سجل الإجازات والحالات'!$B$6:$B$505,$B15,'سجل الإجازات والحالات'!$O$6:$O$505,$C$3))</f>
        <v>0</v>
      </c>
      <c r="T15" s="157" t="n">
        <f aca="false">IF($B15="","",SUM(K15:N15)+SUM(P15:S15))</f>
        <v>6480</v>
      </c>
      <c r="U15" s="116" t="n">
        <f aca="false">IF($B15="","",الموظفون!$S15*IF(E15="سعودي",cfg_G_SE,cfg_G_NE)*G15/cfg_DAYS_M)</f>
        <v>585</v>
      </c>
      <c r="V15" s="116" t="n">
        <f aca="false">IF($B15="","",SUMIFS('الحركات الشهرية'!$I$6:$I$1005,'الحركات الشهرية'!$B$6:$B$1005,$B15,'الحركات الشهرية'!$A$6:$A$1005,$C$3))</f>
        <v>0</v>
      </c>
      <c r="W15" s="116" t="n">
        <f aca="false">IF($B15="","",SUMIFS('الحركات الشهرية'!$J$6:$J$1005,'الحركات الشهرية'!$B$6:$B$1005,$B15,'الحركات الشهرية'!$A$6:$A$1005,$C$3))</f>
        <v>0</v>
      </c>
      <c r="X15" s="116" t="n">
        <f aca="false">IF($B15="","",SUM(U15:W15))</f>
        <v>585</v>
      </c>
      <c r="Y15" s="158" t="n">
        <f aca="false">IF($B15="","",T15-X15)</f>
        <v>5895</v>
      </c>
      <c r="Z15" s="116" t="n">
        <f aca="false">IF($B15="","",الموظفون!$S15*IF(E15="سعودي",cfg_G_SR,cfg_G_NR)*G15/cfg_DAYS_M)</f>
        <v>705</v>
      </c>
      <c r="AA15" s="116" t="n">
        <f aca="false">IF($B15="","",الموظفون!$Q15*(cfg_EOS_R1*(MIN(AH15,cfg_EOS_TH)-MIN(AI15,cfg_EOS_TH))+cfg_EOS_R2*(MAX(AH15-cfg_EOS_TH,0)-MAX(AI15-cfg_EOS_TH,0))))</f>
        <v>266.301369863014</v>
      </c>
      <c r="AB15" s="116" t="n">
        <f aca="false">IF($B15="","",IF(الموظفون!$T15&lt;&gt;"",الموظفون!$T15,IF(AH15&gt;=cfg_LV_TH,cfg_LV_D2,cfg_LV_D1))/cfg_DAYS_Y*AJ15*الموظفون!$R15/cfg_DAYS_M)</f>
        <v>372.821917808219</v>
      </c>
      <c r="AC15" s="116" t="n">
        <f aca="false">IF($B15="","",IF(AND(الموظفون!$U15="نعم",N(الموظفون!$W15)&gt;0),الموظفون!$V15/الموظفون!$W15*12/cfg_DAYS_Y*AJ15,0))</f>
        <v>0</v>
      </c>
      <c r="AD15" s="116" t="n">
        <f aca="false">IF($B15="","",(IF(الموظفون!$X15&lt;&gt;"",الموظفون!$X15,IF(الموظفون!$E15="غير سعودي",cfg_IQ,0))+IF(الموظفون!$Y15&lt;&gt;"",الموظفون!$Y15,IF(الموظفون!$E15="غير سعودي",cfg_WP,0)))/12*G15/cfg_DAYS_M)</f>
        <v>0</v>
      </c>
      <c r="AE15" s="116" t="n">
        <f aca="false">IF($B15="","",IF(الموظفون!$Z15&lt;&gt;"",الموظفون!$Z15,cfg_MED)/12*G15/cfg_DAYS_M)</f>
        <v>106.666666666667</v>
      </c>
      <c r="AF15" s="116" t="n">
        <f aca="false">IF($B15="","",N(الموظفون!$AA15)/12*G15/cfg_DAYS_M)</f>
        <v>0</v>
      </c>
      <c r="AG15" s="159" t="n">
        <f aca="false">IF($B15="","",T15+SUM(Z15:AF15))</f>
        <v>7930.7899543379</v>
      </c>
      <c r="AH15" s="160" t="n">
        <f aca="false">IF($B15="","",MAX(0,IF(OR(الموظفون!$AE15="",الموظفون!$AE15&gt;$F$3),$F$3,الموظفون!$AE15)-الموظفون!$H15+1-SUMIFS('سجل الإجازات والحالات'!$AK$6:$AK$505,'سجل الإجازات والحالات'!$B$6:$B$505,$B15))/cfg_DAYS_Y)</f>
        <v>0.0438356164383562</v>
      </c>
      <c r="AI15" s="160" t="n">
        <f aca="false">IF($B15="","",MAX(0,IF(OR(الموظفون!$AE15="",الموظفون!$AE15&gt;($E$3-1)),($E$3-1),الموظفون!$AE15)-الموظفون!$H15+1-SUMIFS('سجل الإجازات والحالات'!$AJ$6:$AJ$505,'سجل الإجازات والحالات'!$B$6:$B$505,$B15))/cfg_DAYS_Y)</f>
        <v>0</v>
      </c>
      <c r="AJ15" s="133" t="n">
        <f aca="false">IF($B15="","",MAX(0,AK15-(SUMIFS('سجل الإجازات والحالات'!$AK$6:$AK$505,'سجل الإجازات والحالات'!$B$6:$B$505,$B15)-SUMIFS('سجل الإجازات والحالات'!$AJ$6:$AJ$505,'سجل الإجازات والحالات'!$B$6:$B$505,$B15))))</f>
        <v>16</v>
      </c>
      <c r="AK15" s="133" t="n">
        <f aca="false">IF($B15="","",MAX(0,IF(OR(الموظفون!$AE15="",الموظفون!$AE15&gt;$F$3),$F$3,الموظفون!$AE15)-MAX($E$3,الموظفون!$H15)+1))</f>
        <v>16</v>
      </c>
      <c r="AL15" s="156" t="n">
        <f aca="false">IF($B15="","",SUMIFS('سجل الإجازات والحالات'!$AW$6:$AW$505,'سجل الإجازات والحالات'!$B$6:$B$505,$B15)+SUMIFS('الحركات الشهرية'!$K$6:$K$1005,'الحركات الشهرية'!$B$6:$B$1005,$B15,'الحركات الشهرية'!$A$6:$A$1005,$C$3))</f>
        <v>0</v>
      </c>
      <c r="AM15" s="116" t="n">
        <f aca="false">IF($B15="","",AL15*الموظفون!$R15/cfg_DAYS_M+S15)</f>
        <v>0</v>
      </c>
      <c r="AN15" s="156" t="n">
        <f aca="false">IF($B15="","",SUMIFS('سجل الإجازات والحالات'!$Y$6:$Y$505,'سجل الإجازات والحالات'!$B$6:$B$505,$B15))</f>
        <v>0</v>
      </c>
    </row>
    <row r="16" customFormat="false" ht="15" hidden="false" customHeight="false" outlineLevel="0" collapsed="false">
      <c r="A16" s="106" t="n">
        <f aca="false">IF($B16="","",الموظفون!$A16)</f>
        <v>11</v>
      </c>
      <c r="B16" s="114" t="str">
        <f aca="false">IF(الموظفون!$B16="","",الموظفون!$B16)</f>
        <v>E011</v>
      </c>
      <c r="C16" s="114" t="str">
        <f aca="false">IF($B16="","",الموظفون!$C16)</f>
        <v>جون ماتيو</v>
      </c>
      <c r="D16" s="114" t="str">
        <f aca="false">IF($B16="","",الموظفون!$F16)</f>
        <v>العمليات</v>
      </c>
      <c r="E16" s="114" t="str">
        <f aca="false">IF($B16="","",الموظفون!$E16)</f>
        <v>غير سعودي</v>
      </c>
      <c r="F16" s="114" t="str">
        <f aca="false">IF($B16="","",IF(AK16=0,IF(AND(الموظفون!$AE16&lt;&gt;"",الموظفون!$AE16&lt;$E$3),"✖ منتهي الخدمة","⏳ لم يباشر"),IF(S16&gt;0,"✈ راتب إجازة مقدم",IF(J16=0,"⛔ بدون راتب هذا الشهر",IF(I16&gt;0,"✈ خصم "&amp;ROUND(I16,2)&amp;" يوم بدون أجر",IF(AL16&gt;0,"🌴 إجازة سنوية "&amp;ROUND(AL16,2)&amp;" يوم",IF(H16&gt;0,"⚠ غياب "&amp;ROUND(H16,2)&amp;" يوم","✔ على رأس العمل")))))))</f>
        <v>✔ على رأس العمل</v>
      </c>
      <c r="G16" s="151" t="n">
        <f aca="false">IF($B16="","",IF(AK16&gt;=DAY($F$3),cfg_DAYS_M,MIN(AK16,cfg_DAYS_M)))</f>
        <v>30</v>
      </c>
      <c r="H16" s="151" t="n">
        <f aca="false">IF($B16="","",SUMIFS('الحركات الشهرية'!$D$6:$D$1005,'الحركات الشهرية'!$B$6:$B$1005,$B16,'الحركات الشهرية'!$A$6:$A$1005,$C$3))</f>
        <v>0</v>
      </c>
      <c r="I16" s="151" t="n">
        <f aca="false">IF($B16="","",MIN(G16,IF(AND(AK16&gt;0,AN16&gt;=AK16),G16,AN16)+SUMIFS('الحركات الشهرية'!$E$6:$E$1005,'الحركات الشهرية'!$B$6:$B$1005,$B16,'الحركات الشهرية'!$A$6:$A$1005,$C$3)))</f>
        <v>0</v>
      </c>
      <c r="J16" s="151" t="n">
        <f aca="false">IF($B16="","",MAX(0,G16-H16-I16))</f>
        <v>30</v>
      </c>
      <c r="K16" s="111" t="n">
        <f aca="false">IF($B16="","",الموظفون!$L16*$J16/cfg_DAYS_M)</f>
        <v>5000</v>
      </c>
      <c r="L16" s="111" t="n">
        <f aca="false">IF($B16="","",الموظفون!$M16*$J16/cfg_DAYS_M)</f>
        <v>1250</v>
      </c>
      <c r="M16" s="111" t="n">
        <f aca="false">IF($B16="","",الموظفون!$N16*$J16/cfg_DAYS_M)</f>
        <v>500</v>
      </c>
      <c r="N16" s="111" t="n">
        <f aca="false">IF($B16="","",الموظفون!$O16*$J16/cfg_DAYS_M)</f>
        <v>0</v>
      </c>
      <c r="O16" s="151" t="n">
        <f aca="false">IF($B16="","",SUMIFS('الحركات الشهرية'!$F$6:$F$1005,'الحركات الشهرية'!$B$6:$B$1005,$B16,'الحركات الشهرية'!$A$6:$A$1005,$C$3))</f>
        <v>0</v>
      </c>
      <c r="P16" s="111" t="n">
        <f aca="false">IF($B16="","",O16*(الموظفون!$P16+الموظفون!$L16*cfg_OT_P)/cfg_DAYS_M/cfg_HRS)</f>
        <v>0</v>
      </c>
      <c r="Q16" s="111" t="n">
        <f aca="false">IF($B16="","",SUMIFS('الحركات الشهرية'!$G$6:$G$1005,'الحركات الشهرية'!$B$6:$B$1005,$B16,'الحركات الشهرية'!$A$6:$A$1005,$C$3))</f>
        <v>0</v>
      </c>
      <c r="R16" s="111" t="n">
        <f aca="false">IF($B16="","",SUMIFS('الحركات الشهرية'!$H$6:$H$1005,'الحركات الشهرية'!$B$6:$B$1005,$B16,'الحركات الشهرية'!$A$6:$A$1005,$C$3))</f>
        <v>0</v>
      </c>
      <c r="S16" s="111" t="n">
        <f aca="false">IF($B16="","",SUMIFS('سجل الإجازات والحالات'!$N$6:$N$505,'سجل الإجازات والحالات'!$B$6:$B$505,$B16,'سجل الإجازات والحالات'!$O$6:$O$505,$C$3))</f>
        <v>0</v>
      </c>
      <c r="T16" s="152" t="n">
        <f aca="false">IF($B16="","",SUM(K16:N16)+SUM(P16:S16))</f>
        <v>6750</v>
      </c>
      <c r="U16" s="111" t="n">
        <f aca="false">IF($B16="","",الموظفون!$S16*IF(E16="سعودي",cfg_G_SE,cfg_G_NE)*G16/cfg_DAYS_M)</f>
        <v>0</v>
      </c>
      <c r="V16" s="111" t="n">
        <f aca="false">IF($B16="","",SUMIFS('الحركات الشهرية'!$I$6:$I$1005,'الحركات الشهرية'!$B$6:$B$1005,$B16,'الحركات الشهرية'!$A$6:$A$1005,$C$3))</f>
        <v>0</v>
      </c>
      <c r="W16" s="111" t="n">
        <f aca="false">IF($B16="","",SUMIFS('الحركات الشهرية'!$J$6:$J$1005,'الحركات الشهرية'!$B$6:$B$1005,$B16,'الحركات الشهرية'!$A$6:$A$1005,$C$3))</f>
        <v>0</v>
      </c>
      <c r="X16" s="111" t="n">
        <f aca="false">IF($B16="","",SUM(U16:W16))</f>
        <v>0</v>
      </c>
      <c r="Y16" s="153" t="n">
        <f aca="false">IF($B16="","",T16-X16)</f>
        <v>6750</v>
      </c>
      <c r="Z16" s="111" t="n">
        <f aca="false">IF($B16="","",الموظفون!$S16*IF(E16="سعودي",cfg_G_SR,cfg_G_NR)*G16/cfg_DAYS_M)</f>
        <v>125</v>
      </c>
      <c r="AA16" s="111" t="n">
        <f aca="false">IF($B16="","",الموظفون!$Q16*(cfg_EOS_R1*(MIN(AH16,cfg_EOS_TH)-MIN(AI16,cfg_EOS_TH))+cfg_EOS_R2*(MAX(AH16-cfg_EOS_TH,0)-MAX(AI16-cfg_EOS_TH,0))))</f>
        <v>554.794520547947</v>
      </c>
      <c r="AB16" s="111" t="n">
        <f aca="false">IF($B16="","",IF(الموظفون!$T16&lt;&gt;"",الموظفون!$T16,IF(AH16&gt;=cfg_LV_TH,cfg_LV_D2,cfg_LV_D1))/cfg_DAYS_Y*AJ16*الموظفون!$R16/cfg_DAYS_M)</f>
        <v>554.794520547945</v>
      </c>
      <c r="AC16" s="111" t="n">
        <f aca="false">IF($B16="","",IF(AND(الموظفون!$U16="نعم",N(الموظفون!$W16)&gt;0),الموظفون!$V16/الموظفون!$W16*12/cfg_DAYS_Y*AJ16,0))</f>
        <v>106.849315068493</v>
      </c>
      <c r="AD16" s="111" t="n">
        <f aca="false">IF($B16="","",(IF(الموظفون!$X16&lt;&gt;"",الموظفون!$X16,IF(الموظفون!$E16="غير سعودي",cfg_IQ,0))+IF(الموظفون!$Y16&lt;&gt;"",الموظفون!$Y16,IF(الموظفون!$E16="غير سعودي",cfg_WP,0)))/12*G16/cfg_DAYS_M)</f>
        <v>854.166666666667</v>
      </c>
      <c r="AE16" s="111" t="n">
        <f aca="false">IF($B16="","",IF(الموظفون!$Z16&lt;&gt;"",الموظفون!$Z16,cfg_MED)/12*G16/cfg_DAYS_M)</f>
        <v>150</v>
      </c>
      <c r="AF16" s="111" t="n">
        <f aca="false">IF($B16="","",N(الموظفون!$AA16)/12*G16/cfg_DAYS_M)</f>
        <v>0</v>
      </c>
      <c r="AG16" s="154" t="n">
        <f aca="false">IF($B16="","",T16+SUM(Z16:AF16))</f>
        <v>9095.60502283105</v>
      </c>
      <c r="AH16" s="155" t="n">
        <f aca="false">IF($B16="","",MAX(0,IF(OR(الموظفون!$AE16="",الموظفون!$AE16&gt;$F$3),$F$3,الموظفون!$AE16)-الموظفون!$H16+1-SUMIFS('سجل الإجازات والحالات'!$AK$6:$AK$505,'سجل الإجازات والحالات'!$B$6:$B$505,$B16))/cfg_DAYS_Y)</f>
        <v>7.17260273972603</v>
      </c>
      <c r="AI16" s="155" t="n">
        <f aca="false">IF($B16="","",MAX(0,IF(OR(الموظفون!$AE16="",الموظفون!$AE16&gt;($E$3-1)),($E$3-1),الموظفون!$AE16)-الموظفون!$H16+1-SUMIFS('سجل الإجازات والحالات'!$AJ$6:$AJ$505,'سجل الإجازات والحالات'!$B$6:$B$505,$B16))/cfg_DAYS_Y)</f>
        <v>7.09041095890411</v>
      </c>
      <c r="AJ16" s="65" t="n">
        <f aca="false">IF($B16="","",MAX(0,AK16-(SUMIFS('سجل الإجازات والحالات'!$AK$6:$AK$505,'سجل الإجازات والحالات'!$B$6:$B$505,$B16)-SUMIFS('سجل الإجازات والحالات'!$AJ$6:$AJ$505,'سجل الإجازات والحالات'!$B$6:$B$505,$B16))))</f>
        <v>30</v>
      </c>
      <c r="AK16" s="65" t="n">
        <f aca="false">IF($B16="","",MAX(0,IF(OR(الموظفون!$AE16="",الموظفون!$AE16&gt;$F$3),$F$3,الموظفون!$AE16)-MAX($E$3,الموظفون!$H16)+1))</f>
        <v>30</v>
      </c>
      <c r="AL16" s="151" t="n">
        <f aca="false">IF($B16="","",SUMIFS('سجل الإجازات والحالات'!$AW$6:$AW$505,'سجل الإجازات والحالات'!$B$6:$B$505,$B16)+SUMIFS('الحركات الشهرية'!$K$6:$K$1005,'الحركات الشهرية'!$B$6:$B$1005,$B16,'الحركات الشهرية'!$A$6:$A$1005,$C$3))</f>
        <v>0</v>
      </c>
      <c r="AM16" s="111" t="n">
        <f aca="false">IF($B16="","",AL16*الموظفون!$R16/cfg_DAYS_M+S16)</f>
        <v>0</v>
      </c>
      <c r="AN16" s="151" t="n">
        <f aca="false">IF($B16="","",SUMIFS('سجل الإجازات والحالات'!$Y$6:$Y$505,'سجل الإجازات والحالات'!$B$6:$B$505,$B16))</f>
        <v>0</v>
      </c>
    </row>
    <row r="17" customFormat="false" ht="15" hidden="false" customHeight="false" outlineLevel="0" collapsed="false">
      <c r="A17" s="115" t="n">
        <f aca="false">IF($B17="","",الموظفون!$A17)</f>
        <v>12</v>
      </c>
      <c r="B17" s="117" t="str">
        <f aca="false">IF(الموظفون!$B17="","",الموظفون!$B17)</f>
        <v>E012</v>
      </c>
      <c r="C17" s="117" t="str">
        <f aca="false">IF($B17="","",الموظفون!$C17)</f>
        <v>عمر حسين البيشي</v>
      </c>
      <c r="D17" s="117" t="str">
        <f aca="false">IF($B17="","",الموظفون!$F17)</f>
        <v>تقنية المعلومات</v>
      </c>
      <c r="E17" s="117" t="str">
        <f aca="false">IF($B17="","",الموظفون!$E17)</f>
        <v>سعودي</v>
      </c>
      <c r="F17" s="117" t="str">
        <f aca="false">IF($B17="","",IF(AK17=0,IF(AND(الموظفون!$AE17&lt;&gt;"",الموظفون!$AE17&lt;$E$3),"✖ منتهي الخدمة","⏳ لم يباشر"),IF(S17&gt;0,"✈ راتب إجازة مقدم",IF(J17=0,"⛔ بدون راتب هذا الشهر",IF(I17&gt;0,"✈ خصم "&amp;ROUND(I17,2)&amp;" يوم بدون أجر",IF(AL17&gt;0,"🌴 إجازة سنوية "&amp;ROUND(AL17,2)&amp;" يوم",IF(H17&gt;0,"⚠ غياب "&amp;ROUND(H17,2)&amp;" يوم","✔ على رأس العمل")))))))</f>
        <v>⚠ غياب 2 يوم</v>
      </c>
      <c r="G17" s="156" t="n">
        <f aca="false">IF($B17="","",IF(AK17&gt;=DAY($F$3),cfg_DAYS_M,MIN(AK17,cfg_DAYS_M)))</f>
        <v>30</v>
      </c>
      <c r="H17" s="156" t="n">
        <f aca="false">IF($B17="","",SUMIFS('الحركات الشهرية'!$D$6:$D$1005,'الحركات الشهرية'!$B$6:$B$1005,$B17,'الحركات الشهرية'!$A$6:$A$1005,$C$3))</f>
        <v>2</v>
      </c>
      <c r="I17" s="156" t="n">
        <f aca="false">IF($B17="","",MIN(G17,IF(AND(AK17&gt;0,AN17&gt;=AK17),G17,AN17)+SUMIFS('الحركات الشهرية'!$E$6:$E$1005,'الحركات الشهرية'!$B$6:$B$1005,$B17,'الحركات الشهرية'!$A$6:$A$1005,$C$3)))</f>
        <v>0</v>
      </c>
      <c r="J17" s="156" t="n">
        <f aca="false">IF($B17="","",MAX(0,G17-H17-I17))</f>
        <v>28</v>
      </c>
      <c r="K17" s="116" t="n">
        <f aca="false">IF($B17="","",الموظفون!$L17*$J17/cfg_DAYS_M)</f>
        <v>11200</v>
      </c>
      <c r="L17" s="116" t="n">
        <f aca="false">IF($B17="","",الموظفون!$M17*$J17/cfg_DAYS_M)</f>
        <v>2800</v>
      </c>
      <c r="M17" s="116" t="n">
        <f aca="false">IF($B17="","",الموظفون!$N17*$J17/cfg_DAYS_M)</f>
        <v>1120</v>
      </c>
      <c r="N17" s="116" t="n">
        <f aca="false">IF($B17="","",الموظفون!$O17*$J17/cfg_DAYS_M)</f>
        <v>1400</v>
      </c>
      <c r="O17" s="156" t="n">
        <f aca="false">IF($B17="","",SUMIFS('الحركات الشهرية'!$F$6:$F$1005,'الحركات الشهرية'!$B$6:$B$1005,$B17,'الحركات الشهرية'!$A$6:$A$1005,$C$3))</f>
        <v>0</v>
      </c>
      <c r="P17" s="116" t="n">
        <f aca="false">IF($B17="","",O17*(الموظفون!$P17+الموظفون!$L17*cfg_OT_P)/cfg_DAYS_M/cfg_HRS)</f>
        <v>0</v>
      </c>
      <c r="Q17" s="116" t="n">
        <f aca="false">IF($B17="","",SUMIFS('الحركات الشهرية'!$G$6:$G$1005,'الحركات الشهرية'!$B$6:$B$1005,$B17,'الحركات الشهرية'!$A$6:$A$1005,$C$3))</f>
        <v>0</v>
      </c>
      <c r="R17" s="116" t="n">
        <f aca="false">IF($B17="","",SUMIFS('الحركات الشهرية'!$H$6:$H$1005,'الحركات الشهرية'!$B$6:$B$1005,$B17,'الحركات الشهرية'!$A$6:$A$1005,$C$3))</f>
        <v>0</v>
      </c>
      <c r="S17" s="116" t="n">
        <f aca="false">IF($B17="","",SUMIFS('سجل الإجازات والحالات'!$N$6:$N$505,'سجل الإجازات والحالات'!$B$6:$B$505,$B17,'سجل الإجازات والحالات'!$O$6:$O$505,$C$3))</f>
        <v>0</v>
      </c>
      <c r="T17" s="157" t="n">
        <f aca="false">IF($B17="","",SUM(K17:N17)+SUM(P17:S17))</f>
        <v>16520</v>
      </c>
      <c r="U17" s="116" t="n">
        <f aca="false">IF($B17="","",الموظفون!$S17*IF(E17="سعودي",cfg_G_SE,cfg_G_NE)*G17/cfg_DAYS_M)</f>
        <v>1462.5</v>
      </c>
      <c r="V17" s="116" t="n">
        <f aca="false">IF($B17="","",SUMIFS('الحركات الشهرية'!$I$6:$I$1005,'الحركات الشهرية'!$B$6:$B$1005,$B17,'الحركات الشهرية'!$A$6:$A$1005,$C$3))</f>
        <v>0</v>
      </c>
      <c r="W17" s="116" t="n">
        <f aca="false">IF($B17="","",SUMIFS('الحركات الشهرية'!$J$6:$J$1005,'الحركات الشهرية'!$B$6:$B$1005,$B17,'الحركات الشهرية'!$A$6:$A$1005,$C$3))</f>
        <v>0</v>
      </c>
      <c r="X17" s="116" t="n">
        <f aca="false">IF($B17="","",SUM(U17:W17))</f>
        <v>1462.5</v>
      </c>
      <c r="Y17" s="158" t="n">
        <f aca="false">IF($B17="","",T17-X17)</f>
        <v>15057.5</v>
      </c>
      <c r="Z17" s="116" t="n">
        <f aca="false">IF($B17="","",الموظفون!$S17*IF(E17="سعودي",cfg_G_SR,cfg_G_NR)*G17/cfg_DAYS_M)</f>
        <v>1762.5</v>
      </c>
      <c r="AA17" s="116" t="n">
        <f aca="false">IF($B17="","",الموظفون!$Q17*(cfg_EOS_R1*(MIN(AH17,cfg_EOS_TH)-MIN(AI17,cfg_EOS_TH))+cfg_EOS_R2*(MAX(AH17-cfg_EOS_TH,0)-MAX(AI17-cfg_EOS_TH,0))))</f>
        <v>665.753424657537</v>
      </c>
      <c r="AB17" s="116" t="n">
        <f aca="false">IF($B17="","",IF(الموظفون!$T17&lt;&gt;"",الموظفون!$T17,IF(AH17&gt;=cfg_LV_TH,cfg_LV_D2,cfg_LV_D1))/cfg_DAYS_Y*AJ17*الموظفون!$R17/cfg_DAYS_M)</f>
        <v>932.054794520548</v>
      </c>
      <c r="AC17" s="116" t="n">
        <f aca="false">IF($B17="","",IF(AND(الموظفون!$U17="نعم",N(الموظفون!$W17)&gt;0),الموظفون!$V17/الموظفون!$W17*12/cfg_DAYS_Y*AJ17,0))</f>
        <v>0</v>
      </c>
      <c r="AD17" s="116" t="n">
        <f aca="false">IF($B17="","",(IF(الموظفون!$X17&lt;&gt;"",الموظفون!$X17,IF(الموظفون!$E17="غير سعودي",cfg_IQ,0))+IF(الموظفون!$Y17&lt;&gt;"",الموظفون!$Y17,IF(الموظفون!$E17="غير سعودي",cfg_WP,0)))/12*G17/cfg_DAYS_M)</f>
        <v>0</v>
      </c>
      <c r="AE17" s="116" t="n">
        <f aca="false">IF($B17="","",IF(الموظفون!$Z17&lt;&gt;"",الموظفون!$Z17,cfg_MED)/12*G17/cfg_DAYS_M)</f>
        <v>200</v>
      </c>
      <c r="AF17" s="116" t="n">
        <f aca="false">IF($B17="","",N(الموظفون!$AA17)/12*G17/cfg_DAYS_M)</f>
        <v>0</v>
      </c>
      <c r="AG17" s="159" t="n">
        <f aca="false">IF($B17="","",T17+SUM(Z17:AF17))</f>
        <v>20080.3082191781</v>
      </c>
      <c r="AH17" s="160" t="n">
        <f aca="false">IF($B17="","",MAX(0,IF(OR(الموظفون!$AE17="",الموظفون!$AE17&gt;$F$3),$F$3,الموظفون!$AE17)-الموظفون!$H17+1-SUMIFS('سجل الإجازات والحالات'!$AK$6:$AK$505,'سجل الإجازات والحالات'!$B$6:$B$505,$B17))/cfg_DAYS_Y)</f>
        <v>3.81095890410959</v>
      </c>
      <c r="AI17" s="160" t="n">
        <f aca="false">IF($B17="","",MAX(0,IF(OR(الموظفون!$AE17="",الموظفون!$AE17&gt;($E$3-1)),($E$3-1),الموظفون!$AE17)-الموظفون!$H17+1-SUMIFS('سجل الإجازات والحالات'!$AJ$6:$AJ$505,'سجل الإجازات والحالات'!$B$6:$B$505,$B17))/cfg_DAYS_Y)</f>
        <v>3.72876712328767</v>
      </c>
      <c r="AJ17" s="133" t="n">
        <f aca="false">IF($B17="","",MAX(0,AK17-(SUMIFS('سجل الإجازات والحالات'!$AK$6:$AK$505,'سجل الإجازات والحالات'!$B$6:$B$505,$B17)-SUMIFS('سجل الإجازات والحالات'!$AJ$6:$AJ$505,'سجل الإجازات والحالات'!$B$6:$B$505,$B17))))</f>
        <v>30</v>
      </c>
      <c r="AK17" s="133" t="n">
        <f aca="false">IF($B17="","",MAX(0,IF(OR(الموظفون!$AE17="",الموظفون!$AE17&gt;$F$3),$F$3,الموظفون!$AE17)-MAX($E$3,الموظفون!$H17)+1))</f>
        <v>30</v>
      </c>
      <c r="AL17" s="156" t="n">
        <f aca="false">IF($B17="","",SUMIFS('سجل الإجازات والحالات'!$AW$6:$AW$505,'سجل الإجازات والحالات'!$B$6:$B$505,$B17)+SUMIFS('الحركات الشهرية'!$K$6:$K$1005,'الحركات الشهرية'!$B$6:$B$1005,$B17,'الحركات الشهرية'!$A$6:$A$1005,$C$3))</f>
        <v>0</v>
      </c>
      <c r="AM17" s="116" t="n">
        <f aca="false">IF($B17="","",AL17*الموظفون!$R17/cfg_DAYS_M+S17)</f>
        <v>0</v>
      </c>
      <c r="AN17" s="156" t="n">
        <f aca="false">IF($B17="","",SUMIFS('سجل الإجازات والحالات'!$Y$6:$Y$505,'سجل الإجازات والحالات'!$B$6:$B$505,$B17))</f>
        <v>0</v>
      </c>
    </row>
    <row r="18" customFormat="false" ht="15" hidden="false" customHeight="false" outlineLevel="0" collapsed="false">
      <c r="A18" s="106" t="str">
        <f aca="false">IF($B18="","",الموظفون!$A18)</f>
        <v/>
      </c>
      <c r="B18" s="114" t="str">
        <f aca="false">IF(الموظفون!$B18="","",الموظفون!$B18)</f>
        <v/>
      </c>
      <c r="C18" s="114" t="str">
        <f aca="false">IF($B18="","",الموظفون!$C18)</f>
        <v/>
      </c>
      <c r="D18" s="114" t="str">
        <f aca="false">IF($B18="","",الموظفون!$F18)</f>
        <v/>
      </c>
      <c r="E18" s="114" t="str">
        <f aca="false">IF($B18="","",الموظفون!$E18)</f>
        <v/>
      </c>
      <c r="F18" s="114" t="str">
        <f aca="false">IF($B18="","",IF(AK18=0,IF(AND(الموظفون!$AE18&lt;&gt;"",الموظفون!$AE18&lt;$E$3),"✖ منتهي الخدمة","⏳ لم يباشر"),IF(S18&gt;0,"✈ راتب إجازة مقدم",IF(J18=0,"⛔ بدون راتب هذا الشهر",IF(I18&gt;0,"✈ خصم "&amp;ROUND(I18,2)&amp;" يوم بدون أجر",IF(AL18&gt;0,"🌴 إجازة سنوية "&amp;ROUND(AL18,2)&amp;" يوم",IF(H18&gt;0,"⚠ غياب "&amp;ROUND(H18,2)&amp;" يوم","✔ على رأس العمل")))))))</f>
        <v/>
      </c>
      <c r="G18" s="151" t="str">
        <f aca="false">IF($B18="","",IF(AK18&gt;=DAY($F$3),cfg_DAYS_M,MIN(AK18,cfg_DAYS_M)))</f>
        <v/>
      </c>
      <c r="H18" s="151" t="str">
        <f aca="false">IF($B18="","",SUMIFS('الحركات الشهرية'!$D$6:$D$1005,'الحركات الشهرية'!$B$6:$B$1005,$B18,'الحركات الشهرية'!$A$6:$A$1005,$C$3))</f>
        <v/>
      </c>
      <c r="I18" s="151" t="str">
        <f aca="false">IF($B18="","",MIN(G18,IF(AND(AK18&gt;0,AN18&gt;=AK18),G18,AN18)+SUMIFS('الحركات الشهرية'!$E$6:$E$1005,'الحركات الشهرية'!$B$6:$B$1005,$B18,'الحركات الشهرية'!$A$6:$A$1005,$C$3)))</f>
        <v/>
      </c>
      <c r="J18" s="151" t="str">
        <f aca="false">IF($B18="","",MAX(0,G18-H18-I18))</f>
        <v/>
      </c>
      <c r="K18" s="111" t="str">
        <f aca="false">IF($B18="","",الموظفون!$L18*$J18/cfg_DAYS_M)</f>
        <v/>
      </c>
      <c r="L18" s="111" t="str">
        <f aca="false">IF($B18="","",الموظفون!$M18*$J18/cfg_DAYS_M)</f>
        <v/>
      </c>
      <c r="M18" s="111" t="str">
        <f aca="false">IF($B18="","",الموظفون!$N18*$J18/cfg_DAYS_M)</f>
        <v/>
      </c>
      <c r="N18" s="111" t="str">
        <f aca="false">IF($B18="","",الموظفون!$O18*$J18/cfg_DAYS_M)</f>
        <v/>
      </c>
      <c r="O18" s="151" t="str">
        <f aca="false">IF($B18="","",SUMIFS('الحركات الشهرية'!$F$6:$F$1005,'الحركات الشهرية'!$B$6:$B$1005,$B18,'الحركات الشهرية'!$A$6:$A$1005,$C$3))</f>
        <v/>
      </c>
      <c r="P18" s="111" t="str">
        <f aca="false">IF($B18="","",O18*(الموظفون!$P18+الموظفون!$L18*cfg_OT_P)/cfg_DAYS_M/cfg_HRS)</f>
        <v/>
      </c>
      <c r="Q18" s="111" t="str">
        <f aca="false">IF($B18="","",SUMIFS('الحركات الشهرية'!$G$6:$G$1005,'الحركات الشهرية'!$B$6:$B$1005,$B18,'الحركات الشهرية'!$A$6:$A$1005,$C$3))</f>
        <v/>
      </c>
      <c r="R18" s="111" t="str">
        <f aca="false">IF($B18="","",SUMIFS('الحركات الشهرية'!$H$6:$H$1005,'الحركات الشهرية'!$B$6:$B$1005,$B18,'الحركات الشهرية'!$A$6:$A$1005,$C$3))</f>
        <v/>
      </c>
      <c r="S18" s="111" t="str">
        <f aca="false">IF($B18="","",SUMIFS('سجل الإجازات والحالات'!$N$6:$N$505,'سجل الإجازات والحالات'!$B$6:$B$505,$B18,'سجل الإجازات والحالات'!$O$6:$O$505,$C$3))</f>
        <v/>
      </c>
      <c r="T18" s="152" t="str">
        <f aca="false">IF($B18="","",SUM(K18:N18)+SUM(P18:S18))</f>
        <v/>
      </c>
      <c r="U18" s="111" t="str">
        <f aca="false">IF($B18="","",الموظفون!$S18*IF(E18="سعودي",cfg_G_SE,cfg_G_NE)*G18/cfg_DAYS_M)</f>
        <v/>
      </c>
      <c r="V18" s="111" t="str">
        <f aca="false">IF($B18="","",SUMIFS('الحركات الشهرية'!$I$6:$I$1005,'الحركات الشهرية'!$B$6:$B$1005,$B18,'الحركات الشهرية'!$A$6:$A$1005,$C$3))</f>
        <v/>
      </c>
      <c r="W18" s="111" t="str">
        <f aca="false">IF($B18="","",SUMIFS('الحركات الشهرية'!$J$6:$J$1005,'الحركات الشهرية'!$B$6:$B$1005,$B18,'الحركات الشهرية'!$A$6:$A$1005,$C$3))</f>
        <v/>
      </c>
      <c r="X18" s="111" t="str">
        <f aca="false">IF($B18="","",SUM(U18:W18))</f>
        <v/>
      </c>
      <c r="Y18" s="153" t="str">
        <f aca="false">IF($B18="","",T18-X18)</f>
        <v/>
      </c>
      <c r="Z18" s="111" t="str">
        <f aca="false">IF($B18="","",الموظفون!$S18*IF(E18="سعودي",cfg_G_SR,cfg_G_NR)*G18/cfg_DAYS_M)</f>
        <v/>
      </c>
      <c r="AA18" s="111" t="str">
        <f aca="false">IF($B18="","",الموظفون!$Q18*(cfg_EOS_R1*(MIN(AH18,cfg_EOS_TH)-MIN(AI18,cfg_EOS_TH))+cfg_EOS_R2*(MAX(AH18-cfg_EOS_TH,0)-MAX(AI18-cfg_EOS_TH,0))))</f>
        <v/>
      </c>
      <c r="AB18" s="111" t="str">
        <f aca="false">IF($B18="","",IF(الموظفون!$T18&lt;&gt;"",الموظفون!$T18,IF(AH18&gt;=cfg_LV_TH,cfg_LV_D2,cfg_LV_D1))/cfg_DAYS_Y*AJ18*الموظفون!$R18/cfg_DAYS_M)</f>
        <v/>
      </c>
      <c r="AC18" s="111" t="str">
        <f aca="false">IF($B18="","",IF(AND(الموظفون!$U18="نعم",N(الموظفون!$W18)&gt;0),الموظفون!$V18/الموظفون!$W18*12/cfg_DAYS_Y*AJ18,0))</f>
        <v/>
      </c>
      <c r="AD18" s="111" t="str">
        <f aca="false">IF($B18="","",(IF(الموظفون!$X18&lt;&gt;"",الموظفون!$X18,IF(الموظفون!$E18="غير سعودي",cfg_IQ,0))+IF(الموظفون!$Y18&lt;&gt;"",الموظفون!$Y18,IF(الموظفون!$E18="غير سعودي",cfg_WP,0)))/12*G18/cfg_DAYS_M)</f>
        <v/>
      </c>
      <c r="AE18" s="111" t="str">
        <f aca="false">IF($B18="","",IF(الموظفون!$Z18&lt;&gt;"",الموظفون!$Z18,cfg_MED)/12*G18/cfg_DAYS_M)</f>
        <v/>
      </c>
      <c r="AF18" s="111" t="str">
        <f aca="false">IF($B18="","",N(الموظفون!$AA18)/12*G18/cfg_DAYS_M)</f>
        <v/>
      </c>
      <c r="AG18" s="154" t="str">
        <f aca="false">IF($B18="","",T18+SUM(Z18:AF18))</f>
        <v/>
      </c>
      <c r="AH18" s="155" t="str">
        <f aca="false">IF($B18="","",MAX(0,IF(OR(الموظفون!$AE18="",الموظفون!$AE18&gt;$F$3),$F$3,الموظفون!$AE18)-الموظفون!$H18+1-SUMIFS('سجل الإجازات والحالات'!$AK$6:$AK$505,'سجل الإجازات والحالات'!$B$6:$B$505,$B18))/cfg_DAYS_Y)</f>
        <v/>
      </c>
      <c r="AI18" s="155" t="str">
        <f aca="false">IF($B18="","",MAX(0,IF(OR(الموظفون!$AE18="",الموظفون!$AE18&gt;($E$3-1)),($E$3-1),الموظفون!$AE18)-الموظفون!$H18+1-SUMIFS('سجل الإجازات والحالات'!$AJ$6:$AJ$505,'سجل الإجازات والحالات'!$B$6:$B$505,$B18))/cfg_DAYS_Y)</f>
        <v/>
      </c>
      <c r="AJ18" s="65" t="str">
        <f aca="false">IF($B18="","",MAX(0,AK18-(SUMIFS('سجل الإجازات والحالات'!$AK$6:$AK$505,'سجل الإجازات والحالات'!$B$6:$B$505,$B18)-SUMIFS('سجل الإجازات والحالات'!$AJ$6:$AJ$505,'سجل الإجازات والحالات'!$B$6:$B$505,$B18))))</f>
        <v/>
      </c>
      <c r="AK18" s="65" t="str">
        <f aca="false">IF($B18="","",MAX(0,IF(OR(الموظفون!$AE18="",الموظفون!$AE18&gt;$F$3),$F$3,الموظفون!$AE18)-MAX($E$3,الموظفون!$H18)+1))</f>
        <v/>
      </c>
      <c r="AL18" s="151" t="str">
        <f aca="false">IF($B18="","",SUMIFS('سجل الإجازات والحالات'!$AW$6:$AW$505,'سجل الإجازات والحالات'!$B$6:$B$505,$B18)+SUMIFS('الحركات الشهرية'!$K$6:$K$1005,'الحركات الشهرية'!$B$6:$B$1005,$B18,'الحركات الشهرية'!$A$6:$A$1005,$C$3))</f>
        <v/>
      </c>
      <c r="AM18" s="111" t="str">
        <f aca="false">IF($B18="","",AL18*الموظفون!$R18/cfg_DAYS_M+S18)</f>
        <v/>
      </c>
      <c r="AN18" s="151" t="str">
        <f aca="false">IF($B18="","",SUMIFS('سجل الإجازات والحالات'!$Y$6:$Y$505,'سجل الإجازات والحالات'!$B$6:$B$505,$B18))</f>
        <v/>
      </c>
    </row>
    <row r="19" customFormat="false" ht="15" hidden="false" customHeight="false" outlineLevel="0" collapsed="false">
      <c r="A19" s="115" t="str">
        <f aca="false">IF($B19="","",الموظفون!$A19)</f>
        <v/>
      </c>
      <c r="B19" s="117" t="str">
        <f aca="false">IF(الموظفون!$B19="","",الموظفون!$B19)</f>
        <v/>
      </c>
      <c r="C19" s="117" t="str">
        <f aca="false">IF($B19="","",الموظفون!$C19)</f>
        <v/>
      </c>
      <c r="D19" s="117" t="str">
        <f aca="false">IF($B19="","",الموظفون!$F19)</f>
        <v/>
      </c>
      <c r="E19" s="117" t="str">
        <f aca="false">IF($B19="","",الموظفون!$E19)</f>
        <v/>
      </c>
      <c r="F19" s="117" t="str">
        <f aca="false">IF($B19="","",IF(AK19=0,IF(AND(الموظفون!$AE19&lt;&gt;"",الموظفون!$AE19&lt;$E$3),"✖ منتهي الخدمة","⏳ لم يباشر"),IF(S19&gt;0,"✈ راتب إجازة مقدم",IF(J19=0,"⛔ بدون راتب هذا الشهر",IF(I19&gt;0,"✈ خصم "&amp;ROUND(I19,2)&amp;" يوم بدون أجر",IF(AL19&gt;0,"🌴 إجازة سنوية "&amp;ROUND(AL19,2)&amp;" يوم",IF(H19&gt;0,"⚠ غياب "&amp;ROUND(H19,2)&amp;" يوم","✔ على رأس العمل")))))))</f>
        <v/>
      </c>
      <c r="G19" s="156" t="str">
        <f aca="false">IF($B19="","",IF(AK19&gt;=DAY($F$3),cfg_DAYS_M,MIN(AK19,cfg_DAYS_M)))</f>
        <v/>
      </c>
      <c r="H19" s="156" t="str">
        <f aca="false">IF($B19="","",SUMIFS('الحركات الشهرية'!$D$6:$D$1005,'الحركات الشهرية'!$B$6:$B$1005,$B19,'الحركات الشهرية'!$A$6:$A$1005,$C$3))</f>
        <v/>
      </c>
      <c r="I19" s="156" t="str">
        <f aca="false">IF($B19="","",MIN(G19,IF(AND(AK19&gt;0,AN19&gt;=AK19),G19,AN19)+SUMIFS('الحركات الشهرية'!$E$6:$E$1005,'الحركات الشهرية'!$B$6:$B$1005,$B19,'الحركات الشهرية'!$A$6:$A$1005,$C$3)))</f>
        <v/>
      </c>
      <c r="J19" s="156" t="str">
        <f aca="false">IF($B19="","",MAX(0,G19-H19-I19))</f>
        <v/>
      </c>
      <c r="K19" s="116" t="str">
        <f aca="false">IF($B19="","",الموظفون!$L19*$J19/cfg_DAYS_M)</f>
        <v/>
      </c>
      <c r="L19" s="116" t="str">
        <f aca="false">IF($B19="","",الموظفون!$M19*$J19/cfg_DAYS_M)</f>
        <v/>
      </c>
      <c r="M19" s="116" t="str">
        <f aca="false">IF($B19="","",الموظفون!$N19*$J19/cfg_DAYS_M)</f>
        <v/>
      </c>
      <c r="N19" s="116" t="str">
        <f aca="false">IF($B19="","",الموظفون!$O19*$J19/cfg_DAYS_M)</f>
        <v/>
      </c>
      <c r="O19" s="156" t="str">
        <f aca="false">IF($B19="","",SUMIFS('الحركات الشهرية'!$F$6:$F$1005,'الحركات الشهرية'!$B$6:$B$1005,$B19,'الحركات الشهرية'!$A$6:$A$1005,$C$3))</f>
        <v/>
      </c>
      <c r="P19" s="116" t="str">
        <f aca="false">IF($B19="","",O19*(الموظفون!$P19+الموظفون!$L19*cfg_OT_P)/cfg_DAYS_M/cfg_HRS)</f>
        <v/>
      </c>
      <c r="Q19" s="116" t="str">
        <f aca="false">IF($B19="","",SUMIFS('الحركات الشهرية'!$G$6:$G$1005,'الحركات الشهرية'!$B$6:$B$1005,$B19,'الحركات الشهرية'!$A$6:$A$1005,$C$3))</f>
        <v/>
      </c>
      <c r="R19" s="116" t="str">
        <f aca="false">IF($B19="","",SUMIFS('الحركات الشهرية'!$H$6:$H$1005,'الحركات الشهرية'!$B$6:$B$1005,$B19,'الحركات الشهرية'!$A$6:$A$1005,$C$3))</f>
        <v/>
      </c>
      <c r="S19" s="116" t="str">
        <f aca="false">IF($B19="","",SUMIFS('سجل الإجازات والحالات'!$N$6:$N$505,'سجل الإجازات والحالات'!$B$6:$B$505,$B19,'سجل الإجازات والحالات'!$O$6:$O$505,$C$3))</f>
        <v/>
      </c>
      <c r="T19" s="157" t="str">
        <f aca="false">IF($B19="","",SUM(K19:N19)+SUM(P19:S19))</f>
        <v/>
      </c>
      <c r="U19" s="116" t="str">
        <f aca="false">IF($B19="","",الموظفون!$S19*IF(E19="سعودي",cfg_G_SE,cfg_G_NE)*G19/cfg_DAYS_M)</f>
        <v/>
      </c>
      <c r="V19" s="116" t="str">
        <f aca="false">IF($B19="","",SUMIFS('الحركات الشهرية'!$I$6:$I$1005,'الحركات الشهرية'!$B$6:$B$1005,$B19,'الحركات الشهرية'!$A$6:$A$1005,$C$3))</f>
        <v/>
      </c>
      <c r="W19" s="116" t="str">
        <f aca="false">IF($B19="","",SUMIFS('الحركات الشهرية'!$J$6:$J$1005,'الحركات الشهرية'!$B$6:$B$1005,$B19,'الحركات الشهرية'!$A$6:$A$1005,$C$3))</f>
        <v/>
      </c>
      <c r="X19" s="116" t="str">
        <f aca="false">IF($B19="","",SUM(U19:W19))</f>
        <v/>
      </c>
      <c r="Y19" s="158" t="str">
        <f aca="false">IF($B19="","",T19-X19)</f>
        <v/>
      </c>
      <c r="Z19" s="116" t="str">
        <f aca="false">IF($B19="","",الموظفون!$S19*IF(E19="سعودي",cfg_G_SR,cfg_G_NR)*G19/cfg_DAYS_M)</f>
        <v/>
      </c>
      <c r="AA19" s="116" t="str">
        <f aca="false">IF($B19="","",الموظفون!$Q19*(cfg_EOS_R1*(MIN(AH19,cfg_EOS_TH)-MIN(AI19,cfg_EOS_TH))+cfg_EOS_R2*(MAX(AH19-cfg_EOS_TH,0)-MAX(AI19-cfg_EOS_TH,0))))</f>
        <v/>
      </c>
      <c r="AB19" s="116" t="str">
        <f aca="false">IF($B19="","",IF(الموظفون!$T19&lt;&gt;"",الموظفون!$T19,IF(AH19&gt;=cfg_LV_TH,cfg_LV_D2,cfg_LV_D1))/cfg_DAYS_Y*AJ19*الموظفون!$R19/cfg_DAYS_M)</f>
        <v/>
      </c>
      <c r="AC19" s="116" t="str">
        <f aca="false">IF($B19="","",IF(AND(الموظفون!$U19="نعم",N(الموظفون!$W19)&gt;0),الموظفون!$V19/الموظفون!$W19*12/cfg_DAYS_Y*AJ19,0))</f>
        <v/>
      </c>
      <c r="AD19" s="116" t="str">
        <f aca="false">IF($B19="","",(IF(الموظفون!$X19&lt;&gt;"",الموظفون!$X19,IF(الموظفون!$E19="غير سعودي",cfg_IQ,0))+IF(الموظفون!$Y19&lt;&gt;"",الموظفون!$Y19,IF(الموظفون!$E19="غير سعودي",cfg_WP,0)))/12*G19/cfg_DAYS_M)</f>
        <v/>
      </c>
      <c r="AE19" s="116" t="str">
        <f aca="false">IF($B19="","",IF(الموظفون!$Z19&lt;&gt;"",الموظفون!$Z19,cfg_MED)/12*G19/cfg_DAYS_M)</f>
        <v/>
      </c>
      <c r="AF19" s="116" t="str">
        <f aca="false">IF($B19="","",N(الموظفون!$AA19)/12*G19/cfg_DAYS_M)</f>
        <v/>
      </c>
      <c r="AG19" s="159" t="str">
        <f aca="false">IF($B19="","",T19+SUM(Z19:AF19))</f>
        <v/>
      </c>
      <c r="AH19" s="160" t="str">
        <f aca="false">IF($B19="","",MAX(0,IF(OR(الموظفون!$AE19="",الموظفون!$AE19&gt;$F$3),$F$3,الموظفون!$AE19)-الموظفون!$H19+1-SUMIFS('سجل الإجازات والحالات'!$AK$6:$AK$505,'سجل الإجازات والحالات'!$B$6:$B$505,$B19))/cfg_DAYS_Y)</f>
        <v/>
      </c>
      <c r="AI19" s="160" t="str">
        <f aca="false">IF($B19="","",MAX(0,IF(OR(الموظفون!$AE19="",الموظفون!$AE19&gt;($E$3-1)),($E$3-1),الموظفون!$AE19)-الموظفون!$H19+1-SUMIFS('سجل الإجازات والحالات'!$AJ$6:$AJ$505,'سجل الإجازات والحالات'!$B$6:$B$505,$B19))/cfg_DAYS_Y)</f>
        <v/>
      </c>
      <c r="AJ19" s="133" t="str">
        <f aca="false">IF($B19="","",MAX(0,AK19-(SUMIFS('سجل الإجازات والحالات'!$AK$6:$AK$505,'سجل الإجازات والحالات'!$B$6:$B$505,$B19)-SUMIFS('سجل الإجازات والحالات'!$AJ$6:$AJ$505,'سجل الإجازات والحالات'!$B$6:$B$505,$B19))))</f>
        <v/>
      </c>
      <c r="AK19" s="133" t="str">
        <f aca="false">IF($B19="","",MAX(0,IF(OR(الموظفون!$AE19="",الموظفون!$AE19&gt;$F$3),$F$3,الموظفون!$AE19)-MAX($E$3,الموظفون!$H19)+1))</f>
        <v/>
      </c>
      <c r="AL19" s="156" t="str">
        <f aca="false">IF($B19="","",SUMIFS('سجل الإجازات والحالات'!$AW$6:$AW$505,'سجل الإجازات والحالات'!$B$6:$B$505,$B19)+SUMIFS('الحركات الشهرية'!$K$6:$K$1005,'الحركات الشهرية'!$B$6:$B$1005,$B19,'الحركات الشهرية'!$A$6:$A$1005,$C$3))</f>
        <v/>
      </c>
      <c r="AM19" s="116" t="str">
        <f aca="false">IF($B19="","",AL19*الموظفون!$R19/cfg_DAYS_M+S19)</f>
        <v/>
      </c>
      <c r="AN19" s="156" t="str">
        <f aca="false">IF($B19="","",SUMIFS('سجل الإجازات والحالات'!$Y$6:$Y$505,'سجل الإجازات والحالات'!$B$6:$B$505,$B19))</f>
        <v/>
      </c>
    </row>
    <row r="20" customFormat="false" ht="15" hidden="false" customHeight="false" outlineLevel="0" collapsed="false">
      <c r="A20" s="106" t="str">
        <f aca="false">IF($B20="","",الموظفون!$A20)</f>
        <v/>
      </c>
      <c r="B20" s="114" t="str">
        <f aca="false">IF(الموظفون!$B20="","",الموظفون!$B20)</f>
        <v/>
      </c>
      <c r="C20" s="114" t="str">
        <f aca="false">IF($B20="","",الموظفون!$C20)</f>
        <v/>
      </c>
      <c r="D20" s="114" t="str">
        <f aca="false">IF($B20="","",الموظفون!$F20)</f>
        <v/>
      </c>
      <c r="E20" s="114" t="str">
        <f aca="false">IF($B20="","",الموظفون!$E20)</f>
        <v/>
      </c>
      <c r="F20" s="114" t="str">
        <f aca="false">IF($B20="","",IF(AK20=0,IF(AND(الموظفون!$AE20&lt;&gt;"",الموظفون!$AE20&lt;$E$3),"✖ منتهي الخدمة","⏳ لم يباشر"),IF(S20&gt;0,"✈ راتب إجازة مقدم",IF(J20=0,"⛔ بدون راتب هذا الشهر",IF(I20&gt;0,"✈ خصم "&amp;ROUND(I20,2)&amp;" يوم بدون أجر",IF(AL20&gt;0,"🌴 إجازة سنوية "&amp;ROUND(AL20,2)&amp;" يوم",IF(H20&gt;0,"⚠ غياب "&amp;ROUND(H20,2)&amp;" يوم","✔ على رأس العمل")))))))</f>
        <v/>
      </c>
      <c r="G20" s="151" t="str">
        <f aca="false">IF($B20="","",IF(AK20&gt;=DAY($F$3),cfg_DAYS_M,MIN(AK20,cfg_DAYS_M)))</f>
        <v/>
      </c>
      <c r="H20" s="151" t="str">
        <f aca="false">IF($B20="","",SUMIFS('الحركات الشهرية'!$D$6:$D$1005,'الحركات الشهرية'!$B$6:$B$1005,$B20,'الحركات الشهرية'!$A$6:$A$1005,$C$3))</f>
        <v/>
      </c>
      <c r="I20" s="151" t="str">
        <f aca="false">IF($B20="","",MIN(G20,IF(AND(AK20&gt;0,AN20&gt;=AK20),G20,AN20)+SUMIFS('الحركات الشهرية'!$E$6:$E$1005,'الحركات الشهرية'!$B$6:$B$1005,$B20,'الحركات الشهرية'!$A$6:$A$1005,$C$3)))</f>
        <v/>
      </c>
      <c r="J20" s="151" t="str">
        <f aca="false">IF($B20="","",MAX(0,G20-H20-I20))</f>
        <v/>
      </c>
      <c r="K20" s="111" t="str">
        <f aca="false">IF($B20="","",الموظفون!$L20*$J20/cfg_DAYS_M)</f>
        <v/>
      </c>
      <c r="L20" s="111" t="str">
        <f aca="false">IF($B20="","",الموظفون!$M20*$J20/cfg_DAYS_M)</f>
        <v/>
      </c>
      <c r="M20" s="111" t="str">
        <f aca="false">IF($B20="","",الموظفون!$N20*$J20/cfg_DAYS_M)</f>
        <v/>
      </c>
      <c r="N20" s="111" t="str">
        <f aca="false">IF($B20="","",الموظفون!$O20*$J20/cfg_DAYS_M)</f>
        <v/>
      </c>
      <c r="O20" s="151" t="str">
        <f aca="false">IF($B20="","",SUMIFS('الحركات الشهرية'!$F$6:$F$1005,'الحركات الشهرية'!$B$6:$B$1005,$B20,'الحركات الشهرية'!$A$6:$A$1005,$C$3))</f>
        <v/>
      </c>
      <c r="P20" s="111" t="str">
        <f aca="false">IF($B20="","",O20*(الموظفون!$P20+الموظفون!$L20*cfg_OT_P)/cfg_DAYS_M/cfg_HRS)</f>
        <v/>
      </c>
      <c r="Q20" s="111" t="str">
        <f aca="false">IF($B20="","",SUMIFS('الحركات الشهرية'!$G$6:$G$1005,'الحركات الشهرية'!$B$6:$B$1005,$B20,'الحركات الشهرية'!$A$6:$A$1005,$C$3))</f>
        <v/>
      </c>
      <c r="R20" s="111" t="str">
        <f aca="false">IF($B20="","",SUMIFS('الحركات الشهرية'!$H$6:$H$1005,'الحركات الشهرية'!$B$6:$B$1005,$B20,'الحركات الشهرية'!$A$6:$A$1005,$C$3))</f>
        <v/>
      </c>
      <c r="S20" s="111" t="str">
        <f aca="false">IF($B20="","",SUMIFS('سجل الإجازات والحالات'!$N$6:$N$505,'سجل الإجازات والحالات'!$B$6:$B$505,$B20,'سجل الإجازات والحالات'!$O$6:$O$505,$C$3))</f>
        <v/>
      </c>
      <c r="T20" s="152" t="str">
        <f aca="false">IF($B20="","",SUM(K20:N20)+SUM(P20:S20))</f>
        <v/>
      </c>
      <c r="U20" s="111" t="str">
        <f aca="false">IF($B20="","",الموظفون!$S20*IF(E20="سعودي",cfg_G_SE,cfg_G_NE)*G20/cfg_DAYS_M)</f>
        <v/>
      </c>
      <c r="V20" s="111" t="str">
        <f aca="false">IF($B20="","",SUMIFS('الحركات الشهرية'!$I$6:$I$1005,'الحركات الشهرية'!$B$6:$B$1005,$B20,'الحركات الشهرية'!$A$6:$A$1005,$C$3))</f>
        <v/>
      </c>
      <c r="W20" s="111" t="str">
        <f aca="false">IF($B20="","",SUMIFS('الحركات الشهرية'!$J$6:$J$1005,'الحركات الشهرية'!$B$6:$B$1005,$B20,'الحركات الشهرية'!$A$6:$A$1005,$C$3))</f>
        <v/>
      </c>
      <c r="X20" s="111" t="str">
        <f aca="false">IF($B20="","",SUM(U20:W20))</f>
        <v/>
      </c>
      <c r="Y20" s="153" t="str">
        <f aca="false">IF($B20="","",T20-X20)</f>
        <v/>
      </c>
      <c r="Z20" s="111" t="str">
        <f aca="false">IF($B20="","",الموظفون!$S20*IF(E20="سعودي",cfg_G_SR,cfg_G_NR)*G20/cfg_DAYS_M)</f>
        <v/>
      </c>
      <c r="AA20" s="111" t="str">
        <f aca="false">IF($B20="","",الموظفون!$Q20*(cfg_EOS_R1*(MIN(AH20,cfg_EOS_TH)-MIN(AI20,cfg_EOS_TH))+cfg_EOS_R2*(MAX(AH20-cfg_EOS_TH,0)-MAX(AI20-cfg_EOS_TH,0))))</f>
        <v/>
      </c>
      <c r="AB20" s="111" t="str">
        <f aca="false">IF($B20="","",IF(الموظفون!$T20&lt;&gt;"",الموظفون!$T20,IF(AH20&gt;=cfg_LV_TH,cfg_LV_D2,cfg_LV_D1))/cfg_DAYS_Y*AJ20*الموظفون!$R20/cfg_DAYS_M)</f>
        <v/>
      </c>
      <c r="AC20" s="111" t="str">
        <f aca="false">IF($B20="","",IF(AND(الموظفون!$U20="نعم",N(الموظفون!$W20)&gt;0),الموظفون!$V20/الموظفون!$W20*12/cfg_DAYS_Y*AJ20,0))</f>
        <v/>
      </c>
      <c r="AD20" s="111" t="str">
        <f aca="false">IF($B20="","",(IF(الموظفون!$X20&lt;&gt;"",الموظفون!$X20,IF(الموظفون!$E20="غير سعودي",cfg_IQ,0))+IF(الموظفون!$Y20&lt;&gt;"",الموظفون!$Y20,IF(الموظفون!$E20="غير سعودي",cfg_WP,0)))/12*G20/cfg_DAYS_M)</f>
        <v/>
      </c>
      <c r="AE20" s="111" t="str">
        <f aca="false">IF($B20="","",IF(الموظفون!$Z20&lt;&gt;"",الموظفون!$Z20,cfg_MED)/12*G20/cfg_DAYS_M)</f>
        <v/>
      </c>
      <c r="AF20" s="111" t="str">
        <f aca="false">IF($B20="","",N(الموظفون!$AA20)/12*G20/cfg_DAYS_M)</f>
        <v/>
      </c>
      <c r="AG20" s="154" t="str">
        <f aca="false">IF($B20="","",T20+SUM(Z20:AF20))</f>
        <v/>
      </c>
      <c r="AH20" s="155" t="str">
        <f aca="false">IF($B20="","",MAX(0,IF(OR(الموظفون!$AE20="",الموظفون!$AE20&gt;$F$3),$F$3,الموظفون!$AE20)-الموظفون!$H20+1-SUMIFS('سجل الإجازات والحالات'!$AK$6:$AK$505,'سجل الإجازات والحالات'!$B$6:$B$505,$B20))/cfg_DAYS_Y)</f>
        <v/>
      </c>
      <c r="AI20" s="155" t="str">
        <f aca="false">IF($B20="","",MAX(0,IF(OR(الموظفون!$AE20="",الموظفون!$AE20&gt;($E$3-1)),($E$3-1),الموظفون!$AE20)-الموظفون!$H20+1-SUMIFS('سجل الإجازات والحالات'!$AJ$6:$AJ$505,'سجل الإجازات والحالات'!$B$6:$B$505,$B20))/cfg_DAYS_Y)</f>
        <v/>
      </c>
      <c r="AJ20" s="65" t="str">
        <f aca="false">IF($B20="","",MAX(0,AK20-(SUMIFS('سجل الإجازات والحالات'!$AK$6:$AK$505,'سجل الإجازات والحالات'!$B$6:$B$505,$B20)-SUMIFS('سجل الإجازات والحالات'!$AJ$6:$AJ$505,'سجل الإجازات والحالات'!$B$6:$B$505,$B20))))</f>
        <v/>
      </c>
      <c r="AK20" s="65" t="str">
        <f aca="false">IF($B20="","",MAX(0,IF(OR(الموظفون!$AE20="",الموظفون!$AE20&gt;$F$3),$F$3,الموظفون!$AE20)-MAX($E$3,الموظفون!$H20)+1))</f>
        <v/>
      </c>
      <c r="AL20" s="151" t="str">
        <f aca="false">IF($B20="","",SUMIFS('سجل الإجازات والحالات'!$AW$6:$AW$505,'سجل الإجازات والحالات'!$B$6:$B$505,$B20)+SUMIFS('الحركات الشهرية'!$K$6:$K$1005,'الحركات الشهرية'!$B$6:$B$1005,$B20,'الحركات الشهرية'!$A$6:$A$1005,$C$3))</f>
        <v/>
      </c>
      <c r="AM20" s="111" t="str">
        <f aca="false">IF($B20="","",AL20*الموظفون!$R20/cfg_DAYS_M+S20)</f>
        <v/>
      </c>
      <c r="AN20" s="151" t="str">
        <f aca="false">IF($B20="","",SUMIFS('سجل الإجازات والحالات'!$Y$6:$Y$505,'سجل الإجازات والحالات'!$B$6:$B$505,$B20))</f>
        <v/>
      </c>
    </row>
    <row r="21" customFormat="false" ht="15" hidden="false" customHeight="false" outlineLevel="0" collapsed="false">
      <c r="A21" s="115" t="str">
        <f aca="false">IF($B21="","",الموظفون!$A21)</f>
        <v/>
      </c>
      <c r="B21" s="117" t="str">
        <f aca="false">IF(الموظفون!$B21="","",الموظفون!$B21)</f>
        <v/>
      </c>
      <c r="C21" s="117" t="str">
        <f aca="false">IF($B21="","",الموظفون!$C21)</f>
        <v/>
      </c>
      <c r="D21" s="117" t="str">
        <f aca="false">IF($B21="","",الموظفون!$F21)</f>
        <v/>
      </c>
      <c r="E21" s="117" t="str">
        <f aca="false">IF($B21="","",الموظفون!$E21)</f>
        <v/>
      </c>
      <c r="F21" s="117" t="str">
        <f aca="false">IF($B21="","",IF(AK21=0,IF(AND(الموظفون!$AE21&lt;&gt;"",الموظفون!$AE21&lt;$E$3),"✖ منتهي الخدمة","⏳ لم يباشر"),IF(S21&gt;0,"✈ راتب إجازة مقدم",IF(J21=0,"⛔ بدون راتب هذا الشهر",IF(I21&gt;0,"✈ خصم "&amp;ROUND(I21,2)&amp;" يوم بدون أجر",IF(AL21&gt;0,"🌴 إجازة سنوية "&amp;ROUND(AL21,2)&amp;" يوم",IF(H21&gt;0,"⚠ غياب "&amp;ROUND(H21,2)&amp;" يوم","✔ على رأس العمل")))))))</f>
        <v/>
      </c>
      <c r="G21" s="156" t="str">
        <f aca="false">IF($B21="","",IF(AK21&gt;=DAY($F$3),cfg_DAYS_M,MIN(AK21,cfg_DAYS_M)))</f>
        <v/>
      </c>
      <c r="H21" s="156" t="str">
        <f aca="false">IF($B21="","",SUMIFS('الحركات الشهرية'!$D$6:$D$1005,'الحركات الشهرية'!$B$6:$B$1005,$B21,'الحركات الشهرية'!$A$6:$A$1005,$C$3))</f>
        <v/>
      </c>
      <c r="I21" s="156" t="str">
        <f aca="false">IF($B21="","",MIN(G21,IF(AND(AK21&gt;0,AN21&gt;=AK21),G21,AN21)+SUMIFS('الحركات الشهرية'!$E$6:$E$1005,'الحركات الشهرية'!$B$6:$B$1005,$B21,'الحركات الشهرية'!$A$6:$A$1005,$C$3)))</f>
        <v/>
      </c>
      <c r="J21" s="156" t="str">
        <f aca="false">IF($B21="","",MAX(0,G21-H21-I21))</f>
        <v/>
      </c>
      <c r="K21" s="116" t="str">
        <f aca="false">IF($B21="","",الموظفون!$L21*$J21/cfg_DAYS_M)</f>
        <v/>
      </c>
      <c r="L21" s="116" t="str">
        <f aca="false">IF($B21="","",الموظفون!$M21*$J21/cfg_DAYS_M)</f>
        <v/>
      </c>
      <c r="M21" s="116" t="str">
        <f aca="false">IF($B21="","",الموظفون!$N21*$J21/cfg_DAYS_M)</f>
        <v/>
      </c>
      <c r="N21" s="116" t="str">
        <f aca="false">IF($B21="","",الموظفون!$O21*$J21/cfg_DAYS_M)</f>
        <v/>
      </c>
      <c r="O21" s="156" t="str">
        <f aca="false">IF($B21="","",SUMIFS('الحركات الشهرية'!$F$6:$F$1005,'الحركات الشهرية'!$B$6:$B$1005,$B21,'الحركات الشهرية'!$A$6:$A$1005,$C$3))</f>
        <v/>
      </c>
      <c r="P21" s="116" t="str">
        <f aca="false">IF($B21="","",O21*(الموظفون!$P21+الموظفون!$L21*cfg_OT_P)/cfg_DAYS_M/cfg_HRS)</f>
        <v/>
      </c>
      <c r="Q21" s="116" t="str">
        <f aca="false">IF($B21="","",SUMIFS('الحركات الشهرية'!$G$6:$G$1005,'الحركات الشهرية'!$B$6:$B$1005,$B21,'الحركات الشهرية'!$A$6:$A$1005,$C$3))</f>
        <v/>
      </c>
      <c r="R21" s="116" t="str">
        <f aca="false">IF($B21="","",SUMIFS('الحركات الشهرية'!$H$6:$H$1005,'الحركات الشهرية'!$B$6:$B$1005,$B21,'الحركات الشهرية'!$A$6:$A$1005,$C$3))</f>
        <v/>
      </c>
      <c r="S21" s="116" t="str">
        <f aca="false">IF($B21="","",SUMIFS('سجل الإجازات والحالات'!$N$6:$N$505,'سجل الإجازات والحالات'!$B$6:$B$505,$B21,'سجل الإجازات والحالات'!$O$6:$O$505,$C$3))</f>
        <v/>
      </c>
      <c r="T21" s="157" t="str">
        <f aca="false">IF($B21="","",SUM(K21:N21)+SUM(P21:S21))</f>
        <v/>
      </c>
      <c r="U21" s="116" t="str">
        <f aca="false">IF($B21="","",الموظفون!$S21*IF(E21="سعودي",cfg_G_SE,cfg_G_NE)*G21/cfg_DAYS_M)</f>
        <v/>
      </c>
      <c r="V21" s="116" t="str">
        <f aca="false">IF($B21="","",SUMIFS('الحركات الشهرية'!$I$6:$I$1005,'الحركات الشهرية'!$B$6:$B$1005,$B21,'الحركات الشهرية'!$A$6:$A$1005,$C$3))</f>
        <v/>
      </c>
      <c r="W21" s="116" t="str">
        <f aca="false">IF($B21="","",SUMIFS('الحركات الشهرية'!$J$6:$J$1005,'الحركات الشهرية'!$B$6:$B$1005,$B21,'الحركات الشهرية'!$A$6:$A$1005,$C$3))</f>
        <v/>
      </c>
      <c r="X21" s="116" t="str">
        <f aca="false">IF($B21="","",SUM(U21:W21))</f>
        <v/>
      </c>
      <c r="Y21" s="158" t="str">
        <f aca="false">IF($B21="","",T21-X21)</f>
        <v/>
      </c>
      <c r="Z21" s="116" t="str">
        <f aca="false">IF($B21="","",الموظفون!$S21*IF(E21="سعودي",cfg_G_SR,cfg_G_NR)*G21/cfg_DAYS_M)</f>
        <v/>
      </c>
      <c r="AA21" s="116" t="str">
        <f aca="false">IF($B21="","",الموظفون!$Q21*(cfg_EOS_R1*(MIN(AH21,cfg_EOS_TH)-MIN(AI21,cfg_EOS_TH))+cfg_EOS_R2*(MAX(AH21-cfg_EOS_TH,0)-MAX(AI21-cfg_EOS_TH,0))))</f>
        <v/>
      </c>
      <c r="AB21" s="116" t="str">
        <f aca="false">IF($B21="","",IF(الموظفون!$T21&lt;&gt;"",الموظفون!$T21,IF(AH21&gt;=cfg_LV_TH,cfg_LV_D2,cfg_LV_D1))/cfg_DAYS_Y*AJ21*الموظفون!$R21/cfg_DAYS_M)</f>
        <v/>
      </c>
      <c r="AC21" s="116" t="str">
        <f aca="false">IF($B21="","",IF(AND(الموظفون!$U21="نعم",N(الموظفون!$W21)&gt;0),الموظفون!$V21/الموظفون!$W21*12/cfg_DAYS_Y*AJ21,0))</f>
        <v/>
      </c>
      <c r="AD21" s="116" t="str">
        <f aca="false">IF($B21="","",(IF(الموظفون!$X21&lt;&gt;"",الموظفون!$X21,IF(الموظفون!$E21="غير سعودي",cfg_IQ,0))+IF(الموظفون!$Y21&lt;&gt;"",الموظفون!$Y21,IF(الموظفون!$E21="غير سعودي",cfg_WP,0)))/12*G21/cfg_DAYS_M)</f>
        <v/>
      </c>
      <c r="AE21" s="116" t="str">
        <f aca="false">IF($B21="","",IF(الموظفون!$Z21&lt;&gt;"",الموظفون!$Z21,cfg_MED)/12*G21/cfg_DAYS_M)</f>
        <v/>
      </c>
      <c r="AF21" s="116" t="str">
        <f aca="false">IF($B21="","",N(الموظفون!$AA21)/12*G21/cfg_DAYS_M)</f>
        <v/>
      </c>
      <c r="AG21" s="159" t="str">
        <f aca="false">IF($B21="","",T21+SUM(Z21:AF21))</f>
        <v/>
      </c>
      <c r="AH21" s="160" t="str">
        <f aca="false">IF($B21="","",MAX(0,IF(OR(الموظفون!$AE21="",الموظفون!$AE21&gt;$F$3),$F$3,الموظفون!$AE21)-الموظفون!$H21+1-SUMIFS('سجل الإجازات والحالات'!$AK$6:$AK$505,'سجل الإجازات والحالات'!$B$6:$B$505,$B21))/cfg_DAYS_Y)</f>
        <v/>
      </c>
      <c r="AI21" s="160" t="str">
        <f aca="false">IF($B21="","",MAX(0,IF(OR(الموظفون!$AE21="",الموظفون!$AE21&gt;($E$3-1)),($E$3-1),الموظفون!$AE21)-الموظفون!$H21+1-SUMIFS('سجل الإجازات والحالات'!$AJ$6:$AJ$505,'سجل الإجازات والحالات'!$B$6:$B$505,$B21))/cfg_DAYS_Y)</f>
        <v/>
      </c>
      <c r="AJ21" s="133" t="str">
        <f aca="false">IF($B21="","",MAX(0,AK21-(SUMIFS('سجل الإجازات والحالات'!$AK$6:$AK$505,'سجل الإجازات والحالات'!$B$6:$B$505,$B21)-SUMIFS('سجل الإجازات والحالات'!$AJ$6:$AJ$505,'سجل الإجازات والحالات'!$B$6:$B$505,$B21))))</f>
        <v/>
      </c>
      <c r="AK21" s="133" t="str">
        <f aca="false">IF($B21="","",MAX(0,IF(OR(الموظفون!$AE21="",الموظفون!$AE21&gt;$F$3),$F$3,الموظفون!$AE21)-MAX($E$3,الموظفون!$H21)+1))</f>
        <v/>
      </c>
      <c r="AL21" s="156" t="str">
        <f aca="false">IF($B21="","",SUMIFS('سجل الإجازات والحالات'!$AW$6:$AW$505,'سجل الإجازات والحالات'!$B$6:$B$505,$B21)+SUMIFS('الحركات الشهرية'!$K$6:$K$1005,'الحركات الشهرية'!$B$6:$B$1005,$B21,'الحركات الشهرية'!$A$6:$A$1005,$C$3))</f>
        <v/>
      </c>
      <c r="AM21" s="116" t="str">
        <f aca="false">IF($B21="","",AL21*الموظفون!$R21/cfg_DAYS_M+S21)</f>
        <v/>
      </c>
      <c r="AN21" s="156" t="str">
        <f aca="false">IF($B21="","",SUMIFS('سجل الإجازات والحالات'!$Y$6:$Y$505,'سجل الإجازات والحالات'!$B$6:$B$505,$B21))</f>
        <v/>
      </c>
    </row>
    <row r="22" customFormat="false" ht="15" hidden="false" customHeight="false" outlineLevel="0" collapsed="false">
      <c r="A22" s="106" t="str">
        <f aca="false">IF($B22="","",الموظفون!$A22)</f>
        <v/>
      </c>
      <c r="B22" s="114" t="str">
        <f aca="false">IF(الموظفون!$B22="","",الموظفون!$B22)</f>
        <v/>
      </c>
      <c r="C22" s="114" t="str">
        <f aca="false">IF($B22="","",الموظفون!$C22)</f>
        <v/>
      </c>
      <c r="D22" s="114" t="str">
        <f aca="false">IF($B22="","",الموظفون!$F22)</f>
        <v/>
      </c>
      <c r="E22" s="114" t="str">
        <f aca="false">IF($B22="","",الموظفون!$E22)</f>
        <v/>
      </c>
      <c r="F22" s="114" t="str">
        <f aca="false">IF($B22="","",IF(AK22=0,IF(AND(الموظفون!$AE22&lt;&gt;"",الموظفون!$AE22&lt;$E$3),"✖ منتهي الخدمة","⏳ لم يباشر"),IF(S22&gt;0,"✈ راتب إجازة مقدم",IF(J22=0,"⛔ بدون راتب هذا الشهر",IF(I22&gt;0,"✈ خصم "&amp;ROUND(I22,2)&amp;" يوم بدون أجر",IF(AL22&gt;0,"🌴 إجازة سنوية "&amp;ROUND(AL22,2)&amp;" يوم",IF(H22&gt;0,"⚠ غياب "&amp;ROUND(H22,2)&amp;" يوم","✔ على رأس العمل")))))))</f>
        <v/>
      </c>
      <c r="G22" s="151" t="str">
        <f aca="false">IF($B22="","",IF(AK22&gt;=DAY($F$3),cfg_DAYS_M,MIN(AK22,cfg_DAYS_M)))</f>
        <v/>
      </c>
      <c r="H22" s="151" t="str">
        <f aca="false">IF($B22="","",SUMIFS('الحركات الشهرية'!$D$6:$D$1005,'الحركات الشهرية'!$B$6:$B$1005,$B22,'الحركات الشهرية'!$A$6:$A$1005,$C$3))</f>
        <v/>
      </c>
      <c r="I22" s="151" t="str">
        <f aca="false">IF($B22="","",MIN(G22,IF(AND(AK22&gt;0,AN22&gt;=AK22),G22,AN22)+SUMIFS('الحركات الشهرية'!$E$6:$E$1005,'الحركات الشهرية'!$B$6:$B$1005,$B22,'الحركات الشهرية'!$A$6:$A$1005,$C$3)))</f>
        <v/>
      </c>
      <c r="J22" s="151" t="str">
        <f aca="false">IF($B22="","",MAX(0,G22-H22-I22))</f>
        <v/>
      </c>
      <c r="K22" s="111" t="str">
        <f aca="false">IF($B22="","",الموظفون!$L22*$J22/cfg_DAYS_M)</f>
        <v/>
      </c>
      <c r="L22" s="111" t="str">
        <f aca="false">IF($B22="","",الموظفون!$M22*$J22/cfg_DAYS_M)</f>
        <v/>
      </c>
      <c r="M22" s="111" t="str">
        <f aca="false">IF($B22="","",الموظفون!$N22*$J22/cfg_DAYS_M)</f>
        <v/>
      </c>
      <c r="N22" s="111" t="str">
        <f aca="false">IF($B22="","",الموظفون!$O22*$J22/cfg_DAYS_M)</f>
        <v/>
      </c>
      <c r="O22" s="151" t="str">
        <f aca="false">IF($B22="","",SUMIFS('الحركات الشهرية'!$F$6:$F$1005,'الحركات الشهرية'!$B$6:$B$1005,$B22,'الحركات الشهرية'!$A$6:$A$1005,$C$3))</f>
        <v/>
      </c>
      <c r="P22" s="111" t="str">
        <f aca="false">IF($B22="","",O22*(الموظفون!$P22+الموظفون!$L22*cfg_OT_P)/cfg_DAYS_M/cfg_HRS)</f>
        <v/>
      </c>
      <c r="Q22" s="111" t="str">
        <f aca="false">IF($B22="","",SUMIFS('الحركات الشهرية'!$G$6:$G$1005,'الحركات الشهرية'!$B$6:$B$1005,$B22,'الحركات الشهرية'!$A$6:$A$1005,$C$3))</f>
        <v/>
      </c>
      <c r="R22" s="111" t="str">
        <f aca="false">IF($B22="","",SUMIFS('الحركات الشهرية'!$H$6:$H$1005,'الحركات الشهرية'!$B$6:$B$1005,$B22,'الحركات الشهرية'!$A$6:$A$1005,$C$3))</f>
        <v/>
      </c>
      <c r="S22" s="111" t="str">
        <f aca="false">IF($B22="","",SUMIFS('سجل الإجازات والحالات'!$N$6:$N$505,'سجل الإجازات والحالات'!$B$6:$B$505,$B22,'سجل الإجازات والحالات'!$O$6:$O$505,$C$3))</f>
        <v/>
      </c>
      <c r="T22" s="152" t="str">
        <f aca="false">IF($B22="","",SUM(K22:N22)+SUM(P22:S22))</f>
        <v/>
      </c>
      <c r="U22" s="111" t="str">
        <f aca="false">IF($B22="","",الموظفون!$S22*IF(E22="سعودي",cfg_G_SE,cfg_G_NE)*G22/cfg_DAYS_M)</f>
        <v/>
      </c>
      <c r="V22" s="111" t="str">
        <f aca="false">IF($B22="","",SUMIFS('الحركات الشهرية'!$I$6:$I$1005,'الحركات الشهرية'!$B$6:$B$1005,$B22,'الحركات الشهرية'!$A$6:$A$1005,$C$3))</f>
        <v/>
      </c>
      <c r="W22" s="111" t="str">
        <f aca="false">IF($B22="","",SUMIFS('الحركات الشهرية'!$J$6:$J$1005,'الحركات الشهرية'!$B$6:$B$1005,$B22,'الحركات الشهرية'!$A$6:$A$1005,$C$3))</f>
        <v/>
      </c>
      <c r="X22" s="111" t="str">
        <f aca="false">IF($B22="","",SUM(U22:W22))</f>
        <v/>
      </c>
      <c r="Y22" s="153" t="str">
        <f aca="false">IF($B22="","",T22-X22)</f>
        <v/>
      </c>
      <c r="Z22" s="111" t="str">
        <f aca="false">IF($B22="","",الموظفون!$S22*IF(E22="سعودي",cfg_G_SR,cfg_G_NR)*G22/cfg_DAYS_M)</f>
        <v/>
      </c>
      <c r="AA22" s="111" t="str">
        <f aca="false">IF($B22="","",الموظفون!$Q22*(cfg_EOS_R1*(MIN(AH22,cfg_EOS_TH)-MIN(AI22,cfg_EOS_TH))+cfg_EOS_R2*(MAX(AH22-cfg_EOS_TH,0)-MAX(AI22-cfg_EOS_TH,0))))</f>
        <v/>
      </c>
      <c r="AB22" s="111" t="str">
        <f aca="false">IF($B22="","",IF(الموظفون!$T22&lt;&gt;"",الموظفون!$T22,IF(AH22&gt;=cfg_LV_TH,cfg_LV_D2,cfg_LV_D1))/cfg_DAYS_Y*AJ22*الموظفون!$R22/cfg_DAYS_M)</f>
        <v/>
      </c>
      <c r="AC22" s="111" t="str">
        <f aca="false">IF($B22="","",IF(AND(الموظفون!$U22="نعم",N(الموظفون!$W22)&gt;0),الموظفون!$V22/الموظفون!$W22*12/cfg_DAYS_Y*AJ22,0))</f>
        <v/>
      </c>
      <c r="AD22" s="111" t="str">
        <f aca="false">IF($B22="","",(IF(الموظفون!$X22&lt;&gt;"",الموظفون!$X22,IF(الموظفون!$E22="غير سعودي",cfg_IQ,0))+IF(الموظفون!$Y22&lt;&gt;"",الموظفون!$Y22,IF(الموظفون!$E22="غير سعودي",cfg_WP,0)))/12*G22/cfg_DAYS_M)</f>
        <v/>
      </c>
      <c r="AE22" s="111" t="str">
        <f aca="false">IF($B22="","",IF(الموظفون!$Z22&lt;&gt;"",الموظفون!$Z22,cfg_MED)/12*G22/cfg_DAYS_M)</f>
        <v/>
      </c>
      <c r="AF22" s="111" t="str">
        <f aca="false">IF($B22="","",N(الموظفون!$AA22)/12*G22/cfg_DAYS_M)</f>
        <v/>
      </c>
      <c r="AG22" s="154" t="str">
        <f aca="false">IF($B22="","",T22+SUM(Z22:AF22))</f>
        <v/>
      </c>
      <c r="AH22" s="155" t="str">
        <f aca="false">IF($B22="","",MAX(0,IF(OR(الموظفون!$AE22="",الموظفون!$AE22&gt;$F$3),$F$3,الموظفون!$AE22)-الموظفون!$H22+1-SUMIFS('سجل الإجازات والحالات'!$AK$6:$AK$505,'سجل الإجازات والحالات'!$B$6:$B$505,$B22))/cfg_DAYS_Y)</f>
        <v/>
      </c>
      <c r="AI22" s="155" t="str">
        <f aca="false">IF($B22="","",MAX(0,IF(OR(الموظفون!$AE22="",الموظفون!$AE22&gt;($E$3-1)),($E$3-1),الموظفون!$AE22)-الموظفون!$H22+1-SUMIFS('سجل الإجازات والحالات'!$AJ$6:$AJ$505,'سجل الإجازات والحالات'!$B$6:$B$505,$B22))/cfg_DAYS_Y)</f>
        <v/>
      </c>
      <c r="AJ22" s="65" t="str">
        <f aca="false">IF($B22="","",MAX(0,AK22-(SUMIFS('سجل الإجازات والحالات'!$AK$6:$AK$505,'سجل الإجازات والحالات'!$B$6:$B$505,$B22)-SUMIFS('سجل الإجازات والحالات'!$AJ$6:$AJ$505,'سجل الإجازات والحالات'!$B$6:$B$505,$B22))))</f>
        <v/>
      </c>
      <c r="AK22" s="65" t="str">
        <f aca="false">IF($B22="","",MAX(0,IF(OR(الموظفون!$AE22="",الموظفون!$AE22&gt;$F$3),$F$3,الموظفون!$AE22)-MAX($E$3,الموظفون!$H22)+1))</f>
        <v/>
      </c>
      <c r="AL22" s="151" t="str">
        <f aca="false">IF($B22="","",SUMIFS('سجل الإجازات والحالات'!$AW$6:$AW$505,'سجل الإجازات والحالات'!$B$6:$B$505,$B22)+SUMIFS('الحركات الشهرية'!$K$6:$K$1005,'الحركات الشهرية'!$B$6:$B$1005,$B22,'الحركات الشهرية'!$A$6:$A$1005,$C$3))</f>
        <v/>
      </c>
      <c r="AM22" s="111" t="str">
        <f aca="false">IF($B22="","",AL22*الموظفون!$R22/cfg_DAYS_M+S22)</f>
        <v/>
      </c>
      <c r="AN22" s="151" t="str">
        <f aca="false">IF($B22="","",SUMIFS('سجل الإجازات والحالات'!$Y$6:$Y$505,'سجل الإجازات والحالات'!$B$6:$B$505,$B22))</f>
        <v/>
      </c>
    </row>
    <row r="23" customFormat="false" ht="15" hidden="false" customHeight="false" outlineLevel="0" collapsed="false">
      <c r="A23" s="115" t="str">
        <f aca="false">IF($B23="","",الموظفون!$A23)</f>
        <v/>
      </c>
      <c r="B23" s="117" t="str">
        <f aca="false">IF(الموظفون!$B23="","",الموظفون!$B23)</f>
        <v/>
      </c>
      <c r="C23" s="117" t="str">
        <f aca="false">IF($B23="","",الموظفون!$C23)</f>
        <v/>
      </c>
      <c r="D23" s="117" t="str">
        <f aca="false">IF($B23="","",الموظفون!$F23)</f>
        <v/>
      </c>
      <c r="E23" s="117" t="str">
        <f aca="false">IF($B23="","",الموظفون!$E23)</f>
        <v/>
      </c>
      <c r="F23" s="117" t="str">
        <f aca="false">IF($B23="","",IF(AK23=0,IF(AND(الموظفون!$AE23&lt;&gt;"",الموظفون!$AE23&lt;$E$3),"✖ منتهي الخدمة","⏳ لم يباشر"),IF(S23&gt;0,"✈ راتب إجازة مقدم",IF(J23=0,"⛔ بدون راتب هذا الشهر",IF(I23&gt;0,"✈ خصم "&amp;ROUND(I23,2)&amp;" يوم بدون أجر",IF(AL23&gt;0,"🌴 إجازة سنوية "&amp;ROUND(AL23,2)&amp;" يوم",IF(H23&gt;0,"⚠ غياب "&amp;ROUND(H23,2)&amp;" يوم","✔ على رأس العمل")))))))</f>
        <v/>
      </c>
      <c r="G23" s="156" t="str">
        <f aca="false">IF($B23="","",IF(AK23&gt;=DAY($F$3),cfg_DAYS_M,MIN(AK23,cfg_DAYS_M)))</f>
        <v/>
      </c>
      <c r="H23" s="156" t="str">
        <f aca="false">IF($B23="","",SUMIFS('الحركات الشهرية'!$D$6:$D$1005,'الحركات الشهرية'!$B$6:$B$1005,$B23,'الحركات الشهرية'!$A$6:$A$1005,$C$3))</f>
        <v/>
      </c>
      <c r="I23" s="156" t="str">
        <f aca="false">IF($B23="","",MIN(G23,IF(AND(AK23&gt;0,AN23&gt;=AK23),G23,AN23)+SUMIFS('الحركات الشهرية'!$E$6:$E$1005,'الحركات الشهرية'!$B$6:$B$1005,$B23,'الحركات الشهرية'!$A$6:$A$1005,$C$3)))</f>
        <v/>
      </c>
      <c r="J23" s="156" t="str">
        <f aca="false">IF($B23="","",MAX(0,G23-H23-I23))</f>
        <v/>
      </c>
      <c r="K23" s="116" t="str">
        <f aca="false">IF($B23="","",الموظفون!$L23*$J23/cfg_DAYS_M)</f>
        <v/>
      </c>
      <c r="L23" s="116" t="str">
        <f aca="false">IF($B23="","",الموظفون!$M23*$J23/cfg_DAYS_M)</f>
        <v/>
      </c>
      <c r="M23" s="116" t="str">
        <f aca="false">IF($B23="","",الموظفون!$N23*$J23/cfg_DAYS_M)</f>
        <v/>
      </c>
      <c r="N23" s="116" t="str">
        <f aca="false">IF($B23="","",الموظفون!$O23*$J23/cfg_DAYS_M)</f>
        <v/>
      </c>
      <c r="O23" s="156" t="str">
        <f aca="false">IF($B23="","",SUMIFS('الحركات الشهرية'!$F$6:$F$1005,'الحركات الشهرية'!$B$6:$B$1005,$B23,'الحركات الشهرية'!$A$6:$A$1005,$C$3))</f>
        <v/>
      </c>
      <c r="P23" s="116" t="str">
        <f aca="false">IF($B23="","",O23*(الموظفون!$P23+الموظفون!$L23*cfg_OT_P)/cfg_DAYS_M/cfg_HRS)</f>
        <v/>
      </c>
      <c r="Q23" s="116" t="str">
        <f aca="false">IF($B23="","",SUMIFS('الحركات الشهرية'!$G$6:$G$1005,'الحركات الشهرية'!$B$6:$B$1005,$B23,'الحركات الشهرية'!$A$6:$A$1005,$C$3))</f>
        <v/>
      </c>
      <c r="R23" s="116" t="str">
        <f aca="false">IF($B23="","",SUMIFS('الحركات الشهرية'!$H$6:$H$1005,'الحركات الشهرية'!$B$6:$B$1005,$B23,'الحركات الشهرية'!$A$6:$A$1005,$C$3))</f>
        <v/>
      </c>
      <c r="S23" s="116" t="str">
        <f aca="false">IF($B23="","",SUMIFS('سجل الإجازات والحالات'!$N$6:$N$505,'سجل الإجازات والحالات'!$B$6:$B$505,$B23,'سجل الإجازات والحالات'!$O$6:$O$505,$C$3))</f>
        <v/>
      </c>
      <c r="T23" s="157" t="str">
        <f aca="false">IF($B23="","",SUM(K23:N23)+SUM(P23:S23))</f>
        <v/>
      </c>
      <c r="U23" s="116" t="str">
        <f aca="false">IF($B23="","",الموظفون!$S23*IF(E23="سعودي",cfg_G_SE,cfg_G_NE)*G23/cfg_DAYS_M)</f>
        <v/>
      </c>
      <c r="V23" s="116" t="str">
        <f aca="false">IF($B23="","",SUMIFS('الحركات الشهرية'!$I$6:$I$1005,'الحركات الشهرية'!$B$6:$B$1005,$B23,'الحركات الشهرية'!$A$6:$A$1005,$C$3))</f>
        <v/>
      </c>
      <c r="W23" s="116" t="str">
        <f aca="false">IF($B23="","",SUMIFS('الحركات الشهرية'!$J$6:$J$1005,'الحركات الشهرية'!$B$6:$B$1005,$B23,'الحركات الشهرية'!$A$6:$A$1005,$C$3))</f>
        <v/>
      </c>
      <c r="X23" s="116" t="str">
        <f aca="false">IF($B23="","",SUM(U23:W23))</f>
        <v/>
      </c>
      <c r="Y23" s="158" t="str">
        <f aca="false">IF($B23="","",T23-X23)</f>
        <v/>
      </c>
      <c r="Z23" s="116" t="str">
        <f aca="false">IF($B23="","",الموظفون!$S23*IF(E23="سعودي",cfg_G_SR,cfg_G_NR)*G23/cfg_DAYS_M)</f>
        <v/>
      </c>
      <c r="AA23" s="116" t="str">
        <f aca="false">IF($B23="","",الموظفون!$Q23*(cfg_EOS_R1*(MIN(AH23,cfg_EOS_TH)-MIN(AI23,cfg_EOS_TH))+cfg_EOS_R2*(MAX(AH23-cfg_EOS_TH,0)-MAX(AI23-cfg_EOS_TH,0))))</f>
        <v/>
      </c>
      <c r="AB23" s="116" t="str">
        <f aca="false">IF($B23="","",IF(الموظفون!$T23&lt;&gt;"",الموظفون!$T23,IF(AH23&gt;=cfg_LV_TH,cfg_LV_D2,cfg_LV_D1))/cfg_DAYS_Y*AJ23*الموظفون!$R23/cfg_DAYS_M)</f>
        <v/>
      </c>
      <c r="AC23" s="116" t="str">
        <f aca="false">IF($B23="","",IF(AND(الموظفون!$U23="نعم",N(الموظفون!$W23)&gt;0),الموظفون!$V23/الموظفون!$W23*12/cfg_DAYS_Y*AJ23,0))</f>
        <v/>
      </c>
      <c r="AD23" s="116" t="str">
        <f aca="false">IF($B23="","",(IF(الموظفون!$X23&lt;&gt;"",الموظفون!$X23,IF(الموظفون!$E23="غير سعودي",cfg_IQ,0))+IF(الموظفون!$Y23&lt;&gt;"",الموظفون!$Y23,IF(الموظفون!$E23="غير سعودي",cfg_WP,0)))/12*G23/cfg_DAYS_M)</f>
        <v/>
      </c>
      <c r="AE23" s="116" t="str">
        <f aca="false">IF($B23="","",IF(الموظفون!$Z23&lt;&gt;"",الموظفون!$Z23,cfg_MED)/12*G23/cfg_DAYS_M)</f>
        <v/>
      </c>
      <c r="AF23" s="116" t="str">
        <f aca="false">IF($B23="","",N(الموظفون!$AA23)/12*G23/cfg_DAYS_M)</f>
        <v/>
      </c>
      <c r="AG23" s="159" t="str">
        <f aca="false">IF($B23="","",T23+SUM(Z23:AF23))</f>
        <v/>
      </c>
      <c r="AH23" s="160" t="str">
        <f aca="false">IF($B23="","",MAX(0,IF(OR(الموظفون!$AE23="",الموظفون!$AE23&gt;$F$3),$F$3,الموظفون!$AE23)-الموظفون!$H23+1-SUMIFS('سجل الإجازات والحالات'!$AK$6:$AK$505,'سجل الإجازات والحالات'!$B$6:$B$505,$B23))/cfg_DAYS_Y)</f>
        <v/>
      </c>
      <c r="AI23" s="160" t="str">
        <f aca="false">IF($B23="","",MAX(0,IF(OR(الموظفون!$AE23="",الموظفون!$AE23&gt;($E$3-1)),($E$3-1),الموظفون!$AE23)-الموظفون!$H23+1-SUMIFS('سجل الإجازات والحالات'!$AJ$6:$AJ$505,'سجل الإجازات والحالات'!$B$6:$B$505,$B23))/cfg_DAYS_Y)</f>
        <v/>
      </c>
      <c r="AJ23" s="133" t="str">
        <f aca="false">IF($B23="","",MAX(0,AK23-(SUMIFS('سجل الإجازات والحالات'!$AK$6:$AK$505,'سجل الإجازات والحالات'!$B$6:$B$505,$B23)-SUMIFS('سجل الإجازات والحالات'!$AJ$6:$AJ$505,'سجل الإجازات والحالات'!$B$6:$B$505,$B23))))</f>
        <v/>
      </c>
      <c r="AK23" s="133" t="str">
        <f aca="false">IF($B23="","",MAX(0,IF(OR(الموظفون!$AE23="",الموظفون!$AE23&gt;$F$3),$F$3,الموظفون!$AE23)-MAX($E$3,الموظفون!$H23)+1))</f>
        <v/>
      </c>
      <c r="AL23" s="156" t="str">
        <f aca="false">IF($B23="","",SUMIFS('سجل الإجازات والحالات'!$AW$6:$AW$505,'سجل الإجازات والحالات'!$B$6:$B$505,$B23)+SUMIFS('الحركات الشهرية'!$K$6:$K$1005,'الحركات الشهرية'!$B$6:$B$1005,$B23,'الحركات الشهرية'!$A$6:$A$1005,$C$3))</f>
        <v/>
      </c>
      <c r="AM23" s="116" t="str">
        <f aca="false">IF($B23="","",AL23*الموظفون!$R23/cfg_DAYS_M+S23)</f>
        <v/>
      </c>
      <c r="AN23" s="156" t="str">
        <f aca="false">IF($B23="","",SUMIFS('سجل الإجازات والحالات'!$Y$6:$Y$505,'سجل الإجازات والحالات'!$B$6:$B$505,$B23))</f>
        <v/>
      </c>
    </row>
    <row r="24" customFormat="false" ht="15" hidden="false" customHeight="false" outlineLevel="0" collapsed="false">
      <c r="A24" s="106" t="str">
        <f aca="false">IF($B24="","",الموظفون!$A24)</f>
        <v/>
      </c>
      <c r="B24" s="114" t="str">
        <f aca="false">IF(الموظفون!$B24="","",الموظفون!$B24)</f>
        <v/>
      </c>
      <c r="C24" s="114" t="str">
        <f aca="false">IF($B24="","",الموظفون!$C24)</f>
        <v/>
      </c>
      <c r="D24" s="114" t="str">
        <f aca="false">IF($B24="","",الموظفون!$F24)</f>
        <v/>
      </c>
      <c r="E24" s="114" t="str">
        <f aca="false">IF($B24="","",الموظفون!$E24)</f>
        <v/>
      </c>
      <c r="F24" s="114" t="str">
        <f aca="false">IF($B24="","",IF(AK24=0,IF(AND(الموظفون!$AE24&lt;&gt;"",الموظفون!$AE24&lt;$E$3),"✖ منتهي الخدمة","⏳ لم يباشر"),IF(S24&gt;0,"✈ راتب إجازة مقدم",IF(J24=0,"⛔ بدون راتب هذا الشهر",IF(I24&gt;0,"✈ خصم "&amp;ROUND(I24,2)&amp;" يوم بدون أجر",IF(AL24&gt;0,"🌴 إجازة سنوية "&amp;ROUND(AL24,2)&amp;" يوم",IF(H24&gt;0,"⚠ غياب "&amp;ROUND(H24,2)&amp;" يوم","✔ على رأس العمل")))))))</f>
        <v/>
      </c>
      <c r="G24" s="151" t="str">
        <f aca="false">IF($B24="","",IF(AK24&gt;=DAY($F$3),cfg_DAYS_M,MIN(AK24,cfg_DAYS_M)))</f>
        <v/>
      </c>
      <c r="H24" s="151" t="str">
        <f aca="false">IF($B24="","",SUMIFS('الحركات الشهرية'!$D$6:$D$1005,'الحركات الشهرية'!$B$6:$B$1005,$B24,'الحركات الشهرية'!$A$6:$A$1005,$C$3))</f>
        <v/>
      </c>
      <c r="I24" s="151" t="str">
        <f aca="false">IF($B24="","",MIN(G24,IF(AND(AK24&gt;0,AN24&gt;=AK24),G24,AN24)+SUMIFS('الحركات الشهرية'!$E$6:$E$1005,'الحركات الشهرية'!$B$6:$B$1005,$B24,'الحركات الشهرية'!$A$6:$A$1005,$C$3)))</f>
        <v/>
      </c>
      <c r="J24" s="151" t="str">
        <f aca="false">IF($B24="","",MAX(0,G24-H24-I24))</f>
        <v/>
      </c>
      <c r="K24" s="111" t="str">
        <f aca="false">IF($B24="","",الموظفون!$L24*$J24/cfg_DAYS_M)</f>
        <v/>
      </c>
      <c r="L24" s="111" t="str">
        <f aca="false">IF($B24="","",الموظفون!$M24*$J24/cfg_DAYS_M)</f>
        <v/>
      </c>
      <c r="M24" s="111" t="str">
        <f aca="false">IF($B24="","",الموظفون!$N24*$J24/cfg_DAYS_M)</f>
        <v/>
      </c>
      <c r="N24" s="111" t="str">
        <f aca="false">IF($B24="","",الموظفون!$O24*$J24/cfg_DAYS_M)</f>
        <v/>
      </c>
      <c r="O24" s="151" t="str">
        <f aca="false">IF($B24="","",SUMIFS('الحركات الشهرية'!$F$6:$F$1005,'الحركات الشهرية'!$B$6:$B$1005,$B24,'الحركات الشهرية'!$A$6:$A$1005,$C$3))</f>
        <v/>
      </c>
      <c r="P24" s="111" t="str">
        <f aca="false">IF($B24="","",O24*(الموظفون!$P24+الموظفون!$L24*cfg_OT_P)/cfg_DAYS_M/cfg_HRS)</f>
        <v/>
      </c>
      <c r="Q24" s="111" t="str">
        <f aca="false">IF($B24="","",SUMIFS('الحركات الشهرية'!$G$6:$G$1005,'الحركات الشهرية'!$B$6:$B$1005,$B24,'الحركات الشهرية'!$A$6:$A$1005,$C$3))</f>
        <v/>
      </c>
      <c r="R24" s="111" t="str">
        <f aca="false">IF($B24="","",SUMIFS('الحركات الشهرية'!$H$6:$H$1005,'الحركات الشهرية'!$B$6:$B$1005,$B24,'الحركات الشهرية'!$A$6:$A$1005,$C$3))</f>
        <v/>
      </c>
      <c r="S24" s="111" t="str">
        <f aca="false">IF($B24="","",SUMIFS('سجل الإجازات والحالات'!$N$6:$N$505,'سجل الإجازات والحالات'!$B$6:$B$505,$B24,'سجل الإجازات والحالات'!$O$6:$O$505,$C$3))</f>
        <v/>
      </c>
      <c r="T24" s="152" t="str">
        <f aca="false">IF($B24="","",SUM(K24:N24)+SUM(P24:S24))</f>
        <v/>
      </c>
      <c r="U24" s="111" t="str">
        <f aca="false">IF($B24="","",الموظفون!$S24*IF(E24="سعودي",cfg_G_SE,cfg_G_NE)*G24/cfg_DAYS_M)</f>
        <v/>
      </c>
      <c r="V24" s="111" t="str">
        <f aca="false">IF($B24="","",SUMIFS('الحركات الشهرية'!$I$6:$I$1005,'الحركات الشهرية'!$B$6:$B$1005,$B24,'الحركات الشهرية'!$A$6:$A$1005,$C$3))</f>
        <v/>
      </c>
      <c r="W24" s="111" t="str">
        <f aca="false">IF($B24="","",SUMIFS('الحركات الشهرية'!$J$6:$J$1005,'الحركات الشهرية'!$B$6:$B$1005,$B24,'الحركات الشهرية'!$A$6:$A$1005,$C$3))</f>
        <v/>
      </c>
      <c r="X24" s="111" t="str">
        <f aca="false">IF($B24="","",SUM(U24:W24))</f>
        <v/>
      </c>
      <c r="Y24" s="153" t="str">
        <f aca="false">IF($B24="","",T24-X24)</f>
        <v/>
      </c>
      <c r="Z24" s="111" t="str">
        <f aca="false">IF($B24="","",الموظفون!$S24*IF(E24="سعودي",cfg_G_SR,cfg_G_NR)*G24/cfg_DAYS_M)</f>
        <v/>
      </c>
      <c r="AA24" s="111" t="str">
        <f aca="false">IF($B24="","",الموظفون!$Q24*(cfg_EOS_R1*(MIN(AH24,cfg_EOS_TH)-MIN(AI24,cfg_EOS_TH))+cfg_EOS_R2*(MAX(AH24-cfg_EOS_TH,0)-MAX(AI24-cfg_EOS_TH,0))))</f>
        <v/>
      </c>
      <c r="AB24" s="111" t="str">
        <f aca="false">IF($B24="","",IF(الموظفون!$T24&lt;&gt;"",الموظفون!$T24,IF(AH24&gt;=cfg_LV_TH,cfg_LV_D2,cfg_LV_D1))/cfg_DAYS_Y*AJ24*الموظفون!$R24/cfg_DAYS_M)</f>
        <v/>
      </c>
      <c r="AC24" s="111" t="str">
        <f aca="false">IF($B24="","",IF(AND(الموظفون!$U24="نعم",N(الموظفون!$W24)&gt;0),الموظفون!$V24/الموظفون!$W24*12/cfg_DAYS_Y*AJ24,0))</f>
        <v/>
      </c>
      <c r="AD24" s="111" t="str">
        <f aca="false">IF($B24="","",(IF(الموظفون!$X24&lt;&gt;"",الموظفون!$X24,IF(الموظفون!$E24="غير سعودي",cfg_IQ,0))+IF(الموظفون!$Y24&lt;&gt;"",الموظفون!$Y24,IF(الموظفون!$E24="غير سعودي",cfg_WP,0)))/12*G24/cfg_DAYS_M)</f>
        <v/>
      </c>
      <c r="AE24" s="111" t="str">
        <f aca="false">IF($B24="","",IF(الموظفون!$Z24&lt;&gt;"",الموظفون!$Z24,cfg_MED)/12*G24/cfg_DAYS_M)</f>
        <v/>
      </c>
      <c r="AF24" s="111" t="str">
        <f aca="false">IF($B24="","",N(الموظفون!$AA24)/12*G24/cfg_DAYS_M)</f>
        <v/>
      </c>
      <c r="AG24" s="154" t="str">
        <f aca="false">IF($B24="","",T24+SUM(Z24:AF24))</f>
        <v/>
      </c>
      <c r="AH24" s="155" t="str">
        <f aca="false">IF($B24="","",MAX(0,IF(OR(الموظفون!$AE24="",الموظفون!$AE24&gt;$F$3),$F$3,الموظفون!$AE24)-الموظفون!$H24+1-SUMIFS('سجل الإجازات والحالات'!$AK$6:$AK$505,'سجل الإجازات والحالات'!$B$6:$B$505,$B24))/cfg_DAYS_Y)</f>
        <v/>
      </c>
      <c r="AI24" s="155" t="str">
        <f aca="false">IF($B24="","",MAX(0,IF(OR(الموظفون!$AE24="",الموظفون!$AE24&gt;($E$3-1)),($E$3-1),الموظفون!$AE24)-الموظفون!$H24+1-SUMIFS('سجل الإجازات والحالات'!$AJ$6:$AJ$505,'سجل الإجازات والحالات'!$B$6:$B$505,$B24))/cfg_DAYS_Y)</f>
        <v/>
      </c>
      <c r="AJ24" s="65" t="str">
        <f aca="false">IF($B24="","",MAX(0,AK24-(SUMIFS('سجل الإجازات والحالات'!$AK$6:$AK$505,'سجل الإجازات والحالات'!$B$6:$B$505,$B24)-SUMIFS('سجل الإجازات والحالات'!$AJ$6:$AJ$505,'سجل الإجازات والحالات'!$B$6:$B$505,$B24))))</f>
        <v/>
      </c>
      <c r="AK24" s="65" t="str">
        <f aca="false">IF($B24="","",MAX(0,IF(OR(الموظفون!$AE24="",الموظفون!$AE24&gt;$F$3),$F$3,الموظفون!$AE24)-MAX($E$3,الموظفون!$H24)+1))</f>
        <v/>
      </c>
      <c r="AL24" s="151" t="str">
        <f aca="false">IF($B24="","",SUMIFS('سجل الإجازات والحالات'!$AW$6:$AW$505,'سجل الإجازات والحالات'!$B$6:$B$505,$B24)+SUMIFS('الحركات الشهرية'!$K$6:$K$1005,'الحركات الشهرية'!$B$6:$B$1005,$B24,'الحركات الشهرية'!$A$6:$A$1005,$C$3))</f>
        <v/>
      </c>
      <c r="AM24" s="111" t="str">
        <f aca="false">IF($B24="","",AL24*الموظفون!$R24/cfg_DAYS_M+S24)</f>
        <v/>
      </c>
      <c r="AN24" s="151" t="str">
        <f aca="false">IF($B24="","",SUMIFS('سجل الإجازات والحالات'!$Y$6:$Y$505,'سجل الإجازات والحالات'!$B$6:$B$505,$B24))</f>
        <v/>
      </c>
    </row>
    <row r="25" customFormat="false" ht="15" hidden="false" customHeight="false" outlineLevel="0" collapsed="false">
      <c r="A25" s="115" t="str">
        <f aca="false">IF($B25="","",الموظفون!$A25)</f>
        <v/>
      </c>
      <c r="B25" s="117" t="str">
        <f aca="false">IF(الموظفون!$B25="","",الموظفون!$B25)</f>
        <v/>
      </c>
      <c r="C25" s="117" t="str">
        <f aca="false">IF($B25="","",الموظفون!$C25)</f>
        <v/>
      </c>
      <c r="D25" s="117" t="str">
        <f aca="false">IF($B25="","",الموظفون!$F25)</f>
        <v/>
      </c>
      <c r="E25" s="117" t="str">
        <f aca="false">IF($B25="","",الموظفون!$E25)</f>
        <v/>
      </c>
      <c r="F25" s="117" t="str">
        <f aca="false">IF($B25="","",IF(AK25=0,IF(AND(الموظفون!$AE25&lt;&gt;"",الموظفون!$AE25&lt;$E$3),"✖ منتهي الخدمة","⏳ لم يباشر"),IF(S25&gt;0,"✈ راتب إجازة مقدم",IF(J25=0,"⛔ بدون راتب هذا الشهر",IF(I25&gt;0,"✈ خصم "&amp;ROUND(I25,2)&amp;" يوم بدون أجر",IF(AL25&gt;0,"🌴 إجازة سنوية "&amp;ROUND(AL25,2)&amp;" يوم",IF(H25&gt;0,"⚠ غياب "&amp;ROUND(H25,2)&amp;" يوم","✔ على رأس العمل")))))))</f>
        <v/>
      </c>
      <c r="G25" s="156" t="str">
        <f aca="false">IF($B25="","",IF(AK25&gt;=DAY($F$3),cfg_DAYS_M,MIN(AK25,cfg_DAYS_M)))</f>
        <v/>
      </c>
      <c r="H25" s="156" t="str">
        <f aca="false">IF($B25="","",SUMIFS('الحركات الشهرية'!$D$6:$D$1005,'الحركات الشهرية'!$B$6:$B$1005,$B25,'الحركات الشهرية'!$A$6:$A$1005,$C$3))</f>
        <v/>
      </c>
      <c r="I25" s="156" t="str">
        <f aca="false">IF($B25="","",MIN(G25,IF(AND(AK25&gt;0,AN25&gt;=AK25),G25,AN25)+SUMIFS('الحركات الشهرية'!$E$6:$E$1005,'الحركات الشهرية'!$B$6:$B$1005,$B25,'الحركات الشهرية'!$A$6:$A$1005,$C$3)))</f>
        <v/>
      </c>
      <c r="J25" s="156" t="str">
        <f aca="false">IF($B25="","",MAX(0,G25-H25-I25))</f>
        <v/>
      </c>
      <c r="K25" s="116" t="str">
        <f aca="false">IF($B25="","",الموظفون!$L25*$J25/cfg_DAYS_M)</f>
        <v/>
      </c>
      <c r="L25" s="116" t="str">
        <f aca="false">IF($B25="","",الموظفون!$M25*$J25/cfg_DAYS_M)</f>
        <v/>
      </c>
      <c r="M25" s="116" t="str">
        <f aca="false">IF($B25="","",الموظفون!$N25*$J25/cfg_DAYS_M)</f>
        <v/>
      </c>
      <c r="N25" s="116" t="str">
        <f aca="false">IF($B25="","",الموظفون!$O25*$J25/cfg_DAYS_M)</f>
        <v/>
      </c>
      <c r="O25" s="156" t="str">
        <f aca="false">IF($B25="","",SUMIFS('الحركات الشهرية'!$F$6:$F$1005,'الحركات الشهرية'!$B$6:$B$1005,$B25,'الحركات الشهرية'!$A$6:$A$1005,$C$3))</f>
        <v/>
      </c>
      <c r="P25" s="116" t="str">
        <f aca="false">IF($B25="","",O25*(الموظفون!$P25+الموظفون!$L25*cfg_OT_P)/cfg_DAYS_M/cfg_HRS)</f>
        <v/>
      </c>
      <c r="Q25" s="116" t="str">
        <f aca="false">IF($B25="","",SUMIFS('الحركات الشهرية'!$G$6:$G$1005,'الحركات الشهرية'!$B$6:$B$1005,$B25,'الحركات الشهرية'!$A$6:$A$1005,$C$3))</f>
        <v/>
      </c>
      <c r="R25" s="116" t="str">
        <f aca="false">IF($B25="","",SUMIFS('الحركات الشهرية'!$H$6:$H$1005,'الحركات الشهرية'!$B$6:$B$1005,$B25,'الحركات الشهرية'!$A$6:$A$1005,$C$3))</f>
        <v/>
      </c>
      <c r="S25" s="116" t="str">
        <f aca="false">IF($B25="","",SUMIFS('سجل الإجازات والحالات'!$N$6:$N$505,'سجل الإجازات والحالات'!$B$6:$B$505,$B25,'سجل الإجازات والحالات'!$O$6:$O$505,$C$3))</f>
        <v/>
      </c>
      <c r="T25" s="157" t="str">
        <f aca="false">IF($B25="","",SUM(K25:N25)+SUM(P25:S25))</f>
        <v/>
      </c>
      <c r="U25" s="116" t="str">
        <f aca="false">IF($B25="","",الموظفون!$S25*IF(E25="سعودي",cfg_G_SE,cfg_G_NE)*G25/cfg_DAYS_M)</f>
        <v/>
      </c>
      <c r="V25" s="116" t="str">
        <f aca="false">IF($B25="","",SUMIFS('الحركات الشهرية'!$I$6:$I$1005,'الحركات الشهرية'!$B$6:$B$1005,$B25,'الحركات الشهرية'!$A$6:$A$1005,$C$3))</f>
        <v/>
      </c>
      <c r="W25" s="116" t="str">
        <f aca="false">IF($B25="","",SUMIFS('الحركات الشهرية'!$J$6:$J$1005,'الحركات الشهرية'!$B$6:$B$1005,$B25,'الحركات الشهرية'!$A$6:$A$1005,$C$3))</f>
        <v/>
      </c>
      <c r="X25" s="116" t="str">
        <f aca="false">IF($B25="","",SUM(U25:W25))</f>
        <v/>
      </c>
      <c r="Y25" s="158" t="str">
        <f aca="false">IF($B25="","",T25-X25)</f>
        <v/>
      </c>
      <c r="Z25" s="116" t="str">
        <f aca="false">IF($B25="","",الموظفون!$S25*IF(E25="سعودي",cfg_G_SR,cfg_G_NR)*G25/cfg_DAYS_M)</f>
        <v/>
      </c>
      <c r="AA25" s="116" t="str">
        <f aca="false">IF($B25="","",الموظفون!$Q25*(cfg_EOS_R1*(MIN(AH25,cfg_EOS_TH)-MIN(AI25,cfg_EOS_TH))+cfg_EOS_R2*(MAX(AH25-cfg_EOS_TH,0)-MAX(AI25-cfg_EOS_TH,0))))</f>
        <v/>
      </c>
      <c r="AB25" s="116" t="str">
        <f aca="false">IF($B25="","",IF(الموظفون!$T25&lt;&gt;"",الموظفون!$T25,IF(AH25&gt;=cfg_LV_TH,cfg_LV_D2,cfg_LV_D1))/cfg_DAYS_Y*AJ25*الموظفون!$R25/cfg_DAYS_M)</f>
        <v/>
      </c>
      <c r="AC25" s="116" t="str">
        <f aca="false">IF($B25="","",IF(AND(الموظفون!$U25="نعم",N(الموظفون!$W25)&gt;0),الموظفون!$V25/الموظفون!$W25*12/cfg_DAYS_Y*AJ25,0))</f>
        <v/>
      </c>
      <c r="AD25" s="116" t="str">
        <f aca="false">IF($B25="","",(IF(الموظفون!$X25&lt;&gt;"",الموظفون!$X25,IF(الموظفون!$E25="غير سعودي",cfg_IQ,0))+IF(الموظفون!$Y25&lt;&gt;"",الموظفون!$Y25,IF(الموظفون!$E25="غير سعودي",cfg_WP,0)))/12*G25/cfg_DAYS_M)</f>
        <v/>
      </c>
      <c r="AE25" s="116" t="str">
        <f aca="false">IF($B25="","",IF(الموظفون!$Z25&lt;&gt;"",الموظفون!$Z25,cfg_MED)/12*G25/cfg_DAYS_M)</f>
        <v/>
      </c>
      <c r="AF25" s="116" t="str">
        <f aca="false">IF($B25="","",N(الموظفون!$AA25)/12*G25/cfg_DAYS_M)</f>
        <v/>
      </c>
      <c r="AG25" s="159" t="str">
        <f aca="false">IF($B25="","",T25+SUM(Z25:AF25))</f>
        <v/>
      </c>
      <c r="AH25" s="160" t="str">
        <f aca="false">IF($B25="","",MAX(0,IF(OR(الموظفون!$AE25="",الموظفون!$AE25&gt;$F$3),$F$3,الموظفون!$AE25)-الموظفون!$H25+1-SUMIFS('سجل الإجازات والحالات'!$AK$6:$AK$505,'سجل الإجازات والحالات'!$B$6:$B$505,$B25))/cfg_DAYS_Y)</f>
        <v/>
      </c>
      <c r="AI25" s="160" t="str">
        <f aca="false">IF($B25="","",MAX(0,IF(OR(الموظفون!$AE25="",الموظفون!$AE25&gt;($E$3-1)),($E$3-1),الموظفون!$AE25)-الموظفون!$H25+1-SUMIFS('سجل الإجازات والحالات'!$AJ$6:$AJ$505,'سجل الإجازات والحالات'!$B$6:$B$505,$B25))/cfg_DAYS_Y)</f>
        <v/>
      </c>
      <c r="AJ25" s="133" t="str">
        <f aca="false">IF($B25="","",MAX(0,AK25-(SUMIFS('سجل الإجازات والحالات'!$AK$6:$AK$505,'سجل الإجازات والحالات'!$B$6:$B$505,$B25)-SUMIFS('سجل الإجازات والحالات'!$AJ$6:$AJ$505,'سجل الإجازات والحالات'!$B$6:$B$505,$B25))))</f>
        <v/>
      </c>
      <c r="AK25" s="133" t="str">
        <f aca="false">IF($B25="","",MAX(0,IF(OR(الموظفون!$AE25="",الموظفون!$AE25&gt;$F$3),$F$3,الموظفون!$AE25)-MAX($E$3,الموظفون!$H25)+1))</f>
        <v/>
      </c>
      <c r="AL25" s="156" t="str">
        <f aca="false">IF($B25="","",SUMIFS('سجل الإجازات والحالات'!$AW$6:$AW$505,'سجل الإجازات والحالات'!$B$6:$B$505,$B25)+SUMIFS('الحركات الشهرية'!$K$6:$K$1005,'الحركات الشهرية'!$B$6:$B$1005,$B25,'الحركات الشهرية'!$A$6:$A$1005,$C$3))</f>
        <v/>
      </c>
      <c r="AM25" s="116" t="str">
        <f aca="false">IF($B25="","",AL25*الموظفون!$R25/cfg_DAYS_M+S25)</f>
        <v/>
      </c>
      <c r="AN25" s="156" t="str">
        <f aca="false">IF($B25="","",SUMIFS('سجل الإجازات والحالات'!$Y$6:$Y$505,'سجل الإجازات والحالات'!$B$6:$B$505,$B25))</f>
        <v/>
      </c>
    </row>
    <row r="26" customFormat="false" ht="15" hidden="false" customHeight="false" outlineLevel="0" collapsed="false">
      <c r="A26" s="106" t="str">
        <f aca="false">IF($B26="","",الموظفون!$A26)</f>
        <v/>
      </c>
      <c r="B26" s="114" t="str">
        <f aca="false">IF(الموظفون!$B26="","",الموظفون!$B26)</f>
        <v/>
      </c>
      <c r="C26" s="114" t="str">
        <f aca="false">IF($B26="","",الموظفون!$C26)</f>
        <v/>
      </c>
      <c r="D26" s="114" t="str">
        <f aca="false">IF($B26="","",الموظفون!$F26)</f>
        <v/>
      </c>
      <c r="E26" s="114" t="str">
        <f aca="false">IF($B26="","",الموظفون!$E26)</f>
        <v/>
      </c>
      <c r="F26" s="114" t="str">
        <f aca="false">IF($B26="","",IF(AK26=0,IF(AND(الموظفون!$AE26&lt;&gt;"",الموظفون!$AE26&lt;$E$3),"✖ منتهي الخدمة","⏳ لم يباشر"),IF(S26&gt;0,"✈ راتب إجازة مقدم",IF(J26=0,"⛔ بدون راتب هذا الشهر",IF(I26&gt;0,"✈ خصم "&amp;ROUND(I26,2)&amp;" يوم بدون أجر",IF(AL26&gt;0,"🌴 إجازة سنوية "&amp;ROUND(AL26,2)&amp;" يوم",IF(H26&gt;0,"⚠ غياب "&amp;ROUND(H26,2)&amp;" يوم","✔ على رأس العمل")))))))</f>
        <v/>
      </c>
      <c r="G26" s="151" t="str">
        <f aca="false">IF($B26="","",IF(AK26&gt;=DAY($F$3),cfg_DAYS_M,MIN(AK26,cfg_DAYS_M)))</f>
        <v/>
      </c>
      <c r="H26" s="151" t="str">
        <f aca="false">IF($B26="","",SUMIFS('الحركات الشهرية'!$D$6:$D$1005,'الحركات الشهرية'!$B$6:$B$1005,$B26,'الحركات الشهرية'!$A$6:$A$1005,$C$3))</f>
        <v/>
      </c>
      <c r="I26" s="151" t="str">
        <f aca="false">IF($B26="","",MIN(G26,IF(AND(AK26&gt;0,AN26&gt;=AK26),G26,AN26)+SUMIFS('الحركات الشهرية'!$E$6:$E$1005,'الحركات الشهرية'!$B$6:$B$1005,$B26,'الحركات الشهرية'!$A$6:$A$1005,$C$3)))</f>
        <v/>
      </c>
      <c r="J26" s="151" t="str">
        <f aca="false">IF($B26="","",MAX(0,G26-H26-I26))</f>
        <v/>
      </c>
      <c r="K26" s="111" t="str">
        <f aca="false">IF($B26="","",الموظفون!$L26*$J26/cfg_DAYS_M)</f>
        <v/>
      </c>
      <c r="L26" s="111" t="str">
        <f aca="false">IF($B26="","",الموظفون!$M26*$J26/cfg_DAYS_M)</f>
        <v/>
      </c>
      <c r="M26" s="111" t="str">
        <f aca="false">IF($B26="","",الموظفون!$N26*$J26/cfg_DAYS_M)</f>
        <v/>
      </c>
      <c r="N26" s="111" t="str">
        <f aca="false">IF($B26="","",الموظفون!$O26*$J26/cfg_DAYS_M)</f>
        <v/>
      </c>
      <c r="O26" s="151" t="str">
        <f aca="false">IF($B26="","",SUMIFS('الحركات الشهرية'!$F$6:$F$1005,'الحركات الشهرية'!$B$6:$B$1005,$B26,'الحركات الشهرية'!$A$6:$A$1005,$C$3))</f>
        <v/>
      </c>
      <c r="P26" s="111" t="str">
        <f aca="false">IF($B26="","",O26*(الموظفون!$P26+الموظفون!$L26*cfg_OT_P)/cfg_DAYS_M/cfg_HRS)</f>
        <v/>
      </c>
      <c r="Q26" s="111" t="str">
        <f aca="false">IF($B26="","",SUMIFS('الحركات الشهرية'!$G$6:$G$1005,'الحركات الشهرية'!$B$6:$B$1005,$B26,'الحركات الشهرية'!$A$6:$A$1005,$C$3))</f>
        <v/>
      </c>
      <c r="R26" s="111" t="str">
        <f aca="false">IF($B26="","",SUMIFS('الحركات الشهرية'!$H$6:$H$1005,'الحركات الشهرية'!$B$6:$B$1005,$B26,'الحركات الشهرية'!$A$6:$A$1005,$C$3))</f>
        <v/>
      </c>
      <c r="S26" s="111" t="str">
        <f aca="false">IF($B26="","",SUMIFS('سجل الإجازات والحالات'!$N$6:$N$505,'سجل الإجازات والحالات'!$B$6:$B$505,$B26,'سجل الإجازات والحالات'!$O$6:$O$505,$C$3))</f>
        <v/>
      </c>
      <c r="T26" s="152" t="str">
        <f aca="false">IF($B26="","",SUM(K26:N26)+SUM(P26:S26))</f>
        <v/>
      </c>
      <c r="U26" s="111" t="str">
        <f aca="false">IF($B26="","",الموظفون!$S26*IF(E26="سعودي",cfg_G_SE,cfg_G_NE)*G26/cfg_DAYS_M)</f>
        <v/>
      </c>
      <c r="V26" s="111" t="str">
        <f aca="false">IF($B26="","",SUMIFS('الحركات الشهرية'!$I$6:$I$1005,'الحركات الشهرية'!$B$6:$B$1005,$B26,'الحركات الشهرية'!$A$6:$A$1005,$C$3))</f>
        <v/>
      </c>
      <c r="W26" s="111" t="str">
        <f aca="false">IF($B26="","",SUMIFS('الحركات الشهرية'!$J$6:$J$1005,'الحركات الشهرية'!$B$6:$B$1005,$B26,'الحركات الشهرية'!$A$6:$A$1005,$C$3))</f>
        <v/>
      </c>
      <c r="X26" s="111" t="str">
        <f aca="false">IF($B26="","",SUM(U26:W26))</f>
        <v/>
      </c>
      <c r="Y26" s="153" t="str">
        <f aca="false">IF($B26="","",T26-X26)</f>
        <v/>
      </c>
      <c r="Z26" s="111" t="str">
        <f aca="false">IF($B26="","",الموظفون!$S26*IF(E26="سعودي",cfg_G_SR,cfg_G_NR)*G26/cfg_DAYS_M)</f>
        <v/>
      </c>
      <c r="AA26" s="111" t="str">
        <f aca="false">IF($B26="","",الموظفون!$Q26*(cfg_EOS_R1*(MIN(AH26,cfg_EOS_TH)-MIN(AI26,cfg_EOS_TH))+cfg_EOS_R2*(MAX(AH26-cfg_EOS_TH,0)-MAX(AI26-cfg_EOS_TH,0))))</f>
        <v/>
      </c>
      <c r="AB26" s="111" t="str">
        <f aca="false">IF($B26="","",IF(الموظفون!$T26&lt;&gt;"",الموظفون!$T26,IF(AH26&gt;=cfg_LV_TH,cfg_LV_D2,cfg_LV_D1))/cfg_DAYS_Y*AJ26*الموظفون!$R26/cfg_DAYS_M)</f>
        <v/>
      </c>
      <c r="AC26" s="111" t="str">
        <f aca="false">IF($B26="","",IF(AND(الموظفون!$U26="نعم",N(الموظفون!$W26)&gt;0),الموظفون!$V26/الموظفون!$W26*12/cfg_DAYS_Y*AJ26,0))</f>
        <v/>
      </c>
      <c r="AD26" s="111" t="str">
        <f aca="false">IF($B26="","",(IF(الموظفون!$X26&lt;&gt;"",الموظفون!$X26,IF(الموظفون!$E26="غير سعودي",cfg_IQ,0))+IF(الموظفون!$Y26&lt;&gt;"",الموظفون!$Y26,IF(الموظفون!$E26="غير سعودي",cfg_WP,0)))/12*G26/cfg_DAYS_M)</f>
        <v/>
      </c>
      <c r="AE26" s="111" t="str">
        <f aca="false">IF($B26="","",IF(الموظفون!$Z26&lt;&gt;"",الموظفون!$Z26,cfg_MED)/12*G26/cfg_DAYS_M)</f>
        <v/>
      </c>
      <c r="AF26" s="111" t="str">
        <f aca="false">IF($B26="","",N(الموظفون!$AA26)/12*G26/cfg_DAYS_M)</f>
        <v/>
      </c>
      <c r="AG26" s="154" t="str">
        <f aca="false">IF($B26="","",T26+SUM(Z26:AF26))</f>
        <v/>
      </c>
      <c r="AH26" s="155" t="str">
        <f aca="false">IF($B26="","",MAX(0,IF(OR(الموظفون!$AE26="",الموظفون!$AE26&gt;$F$3),$F$3,الموظفون!$AE26)-الموظفون!$H26+1-SUMIFS('سجل الإجازات والحالات'!$AK$6:$AK$505,'سجل الإجازات والحالات'!$B$6:$B$505,$B26))/cfg_DAYS_Y)</f>
        <v/>
      </c>
      <c r="AI26" s="155" t="str">
        <f aca="false">IF($B26="","",MAX(0,IF(OR(الموظفون!$AE26="",الموظفون!$AE26&gt;($E$3-1)),($E$3-1),الموظفون!$AE26)-الموظفون!$H26+1-SUMIFS('سجل الإجازات والحالات'!$AJ$6:$AJ$505,'سجل الإجازات والحالات'!$B$6:$B$505,$B26))/cfg_DAYS_Y)</f>
        <v/>
      </c>
      <c r="AJ26" s="65" t="str">
        <f aca="false">IF($B26="","",MAX(0,AK26-(SUMIFS('سجل الإجازات والحالات'!$AK$6:$AK$505,'سجل الإجازات والحالات'!$B$6:$B$505,$B26)-SUMIFS('سجل الإجازات والحالات'!$AJ$6:$AJ$505,'سجل الإجازات والحالات'!$B$6:$B$505,$B26))))</f>
        <v/>
      </c>
      <c r="AK26" s="65" t="str">
        <f aca="false">IF($B26="","",MAX(0,IF(OR(الموظفون!$AE26="",الموظفون!$AE26&gt;$F$3),$F$3,الموظفون!$AE26)-MAX($E$3,الموظفون!$H26)+1))</f>
        <v/>
      </c>
      <c r="AL26" s="151" t="str">
        <f aca="false">IF($B26="","",SUMIFS('سجل الإجازات والحالات'!$AW$6:$AW$505,'سجل الإجازات والحالات'!$B$6:$B$505,$B26)+SUMIFS('الحركات الشهرية'!$K$6:$K$1005,'الحركات الشهرية'!$B$6:$B$1005,$B26,'الحركات الشهرية'!$A$6:$A$1005,$C$3))</f>
        <v/>
      </c>
      <c r="AM26" s="111" t="str">
        <f aca="false">IF($B26="","",AL26*الموظفون!$R26/cfg_DAYS_M+S26)</f>
        <v/>
      </c>
      <c r="AN26" s="151" t="str">
        <f aca="false">IF($B26="","",SUMIFS('سجل الإجازات والحالات'!$Y$6:$Y$505,'سجل الإجازات والحالات'!$B$6:$B$505,$B26))</f>
        <v/>
      </c>
    </row>
    <row r="27" customFormat="false" ht="15" hidden="false" customHeight="false" outlineLevel="0" collapsed="false">
      <c r="A27" s="115" t="str">
        <f aca="false">IF($B27="","",الموظفون!$A27)</f>
        <v/>
      </c>
      <c r="B27" s="117" t="str">
        <f aca="false">IF(الموظفون!$B27="","",الموظفون!$B27)</f>
        <v/>
      </c>
      <c r="C27" s="117" t="str">
        <f aca="false">IF($B27="","",الموظفون!$C27)</f>
        <v/>
      </c>
      <c r="D27" s="117" t="str">
        <f aca="false">IF($B27="","",الموظفون!$F27)</f>
        <v/>
      </c>
      <c r="E27" s="117" t="str">
        <f aca="false">IF($B27="","",الموظفون!$E27)</f>
        <v/>
      </c>
      <c r="F27" s="117" t="str">
        <f aca="false">IF($B27="","",IF(AK27=0,IF(AND(الموظفون!$AE27&lt;&gt;"",الموظفون!$AE27&lt;$E$3),"✖ منتهي الخدمة","⏳ لم يباشر"),IF(S27&gt;0,"✈ راتب إجازة مقدم",IF(J27=0,"⛔ بدون راتب هذا الشهر",IF(I27&gt;0,"✈ خصم "&amp;ROUND(I27,2)&amp;" يوم بدون أجر",IF(AL27&gt;0,"🌴 إجازة سنوية "&amp;ROUND(AL27,2)&amp;" يوم",IF(H27&gt;0,"⚠ غياب "&amp;ROUND(H27,2)&amp;" يوم","✔ على رأس العمل")))))))</f>
        <v/>
      </c>
      <c r="G27" s="156" t="str">
        <f aca="false">IF($B27="","",IF(AK27&gt;=DAY($F$3),cfg_DAYS_M,MIN(AK27,cfg_DAYS_M)))</f>
        <v/>
      </c>
      <c r="H27" s="156" t="str">
        <f aca="false">IF($B27="","",SUMIFS('الحركات الشهرية'!$D$6:$D$1005,'الحركات الشهرية'!$B$6:$B$1005,$B27,'الحركات الشهرية'!$A$6:$A$1005,$C$3))</f>
        <v/>
      </c>
      <c r="I27" s="156" t="str">
        <f aca="false">IF($B27="","",MIN(G27,IF(AND(AK27&gt;0,AN27&gt;=AK27),G27,AN27)+SUMIFS('الحركات الشهرية'!$E$6:$E$1005,'الحركات الشهرية'!$B$6:$B$1005,$B27,'الحركات الشهرية'!$A$6:$A$1005,$C$3)))</f>
        <v/>
      </c>
      <c r="J27" s="156" t="str">
        <f aca="false">IF($B27="","",MAX(0,G27-H27-I27))</f>
        <v/>
      </c>
      <c r="K27" s="116" t="str">
        <f aca="false">IF($B27="","",الموظفون!$L27*$J27/cfg_DAYS_M)</f>
        <v/>
      </c>
      <c r="L27" s="116" t="str">
        <f aca="false">IF($B27="","",الموظفون!$M27*$J27/cfg_DAYS_M)</f>
        <v/>
      </c>
      <c r="M27" s="116" t="str">
        <f aca="false">IF($B27="","",الموظفون!$N27*$J27/cfg_DAYS_M)</f>
        <v/>
      </c>
      <c r="N27" s="116" t="str">
        <f aca="false">IF($B27="","",الموظفون!$O27*$J27/cfg_DAYS_M)</f>
        <v/>
      </c>
      <c r="O27" s="156" t="str">
        <f aca="false">IF($B27="","",SUMIFS('الحركات الشهرية'!$F$6:$F$1005,'الحركات الشهرية'!$B$6:$B$1005,$B27,'الحركات الشهرية'!$A$6:$A$1005,$C$3))</f>
        <v/>
      </c>
      <c r="P27" s="116" t="str">
        <f aca="false">IF($B27="","",O27*(الموظفون!$P27+الموظفون!$L27*cfg_OT_P)/cfg_DAYS_M/cfg_HRS)</f>
        <v/>
      </c>
      <c r="Q27" s="116" t="str">
        <f aca="false">IF($B27="","",SUMIFS('الحركات الشهرية'!$G$6:$G$1005,'الحركات الشهرية'!$B$6:$B$1005,$B27,'الحركات الشهرية'!$A$6:$A$1005,$C$3))</f>
        <v/>
      </c>
      <c r="R27" s="116" t="str">
        <f aca="false">IF($B27="","",SUMIFS('الحركات الشهرية'!$H$6:$H$1005,'الحركات الشهرية'!$B$6:$B$1005,$B27,'الحركات الشهرية'!$A$6:$A$1005,$C$3))</f>
        <v/>
      </c>
      <c r="S27" s="116" t="str">
        <f aca="false">IF($B27="","",SUMIFS('سجل الإجازات والحالات'!$N$6:$N$505,'سجل الإجازات والحالات'!$B$6:$B$505,$B27,'سجل الإجازات والحالات'!$O$6:$O$505,$C$3))</f>
        <v/>
      </c>
      <c r="T27" s="157" t="str">
        <f aca="false">IF($B27="","",SUM(K27:N27)+SUM(P27:S27))</f>
        <v/>
      </c>
      <c r="U27" s="116" t="str">
        <f aca="false">IF($B27="","",الموظفون!$S27*IF(E27="سعودي",cfg_G_SE,cfg_G_NE)*G27/cfg_DAYS_M)</f>
        <v/>
      </c>
      <c r="V27" s="116" t="str">
        <f aca="false">IF($B27="","",SUMIFS('الحركات الشهرية'!$I$6:$I$1005,'الحركات الشهرية'!$B$6:$B$1005,$B27,'الحركات الشهرية'!$A$6:$A$1005,$C$3))</f>
        <v/>
      </c>
      <c r="W27" s="116" t="str">
        <f aca="false">IF($B27="","",SUMIFS('الحركات الشهرية'!$J$6:$J$1005,'الحركات الشهرية'!$B$6:$B$1005,$B27,'الحركات الشهرية'!$A$6:$A$1005,$C$3))</f>
        <v/>
      </c>
      <c r="X27" s="116" t="str">
        <f aca="false">IF($B27="","",SUM(U27:W27))</f>
        <v/>
      </c>
      <c r="Y27" s="158" t="str">
        <f aca="false">IF($B27="","",T27-X27)</f>
        <v/>
      </c>
      <c r="Z27" s="116" t="str">
        <f aca="false">IF($B27="","",الموظفون!$S27*IF(E27="سعودي",cfg_G_SR,cfg_G_NR)*G27/cfg_DAYS_M)</f>
        <v/>
      </c>
      <c r="AA27" s="116" t="str">
        <f aca="false">IF($B27="","",الموظفون!$Q27*(cfg_EOS_R1*(MIN(AH27,cfg_EOS_TH)-MIN(AI27,cfg_EOS_TH))+cfg_EOS_R2*(MAX(AH27-cfg_EOS_TH,0)-MAX(AI27-cfg_EOS_TH,0))))</f>
        <v/>
      </c>
      <c r="AB27" s="116" t="str">
        <f aca="false">IF($B27="","",IF(الموظفون!$T27&lt;&gt;"",الموظفون!$T27,IF(AH27&gt;=cfg_LV_TH,cfg_LV_D2,cfg_LV_D1))/cfg_DAYS_Y*AJ27*الموظفون!$R27/cfg_DAYS_M)</f>
        <v/>
      </c>
      <c r="AC27" s="116" t="str">
        <f aca="false">IF($B27="","",IF(AND(الموظفون!$U27="نعم",N(الموظفون!$W27)&gt;0),الموظفون!$V27/الموظفون!$W27*12/cfg_DAYS_Y*AJ27,0))</f>
        <v/>
      </c>
      <c r="AD27" s="116" t="str">
        <f aca="false">IF($B27="","",(IF(الموظفون!$X27&lt;&gt;"",الموظفون!$X27,IF(الموظفون!$E27="غير سعودي",cfg_IQ,0))+IF(الموظفون!$Y27&lt;&gt;"",الموظفون!$Y27,IF(الموظفون!$E27="غير سعودي",cfg_WP,0)))/12*G27/cfg_DAYS_M)</f>
        <v/>
      </c>
      <c r="AE27" s="116" t="str">
        <f aca="false">IF($B27="","",IF(الموظفون!$Z27&lt;&gt;"",الموظفون!$Z27,cfg_MED)/12*G27/cfg_DAYS_M)</f>
        <v/>
      </c>
      <c r="AF27" s="116" t="str">
        <f aca="false">IF($B27="","",N(الموظفون!$AA27)/12*G27/cfg_DAYS_M)</f>
        <v/>
      </c>
      <c r="AG27" s="159" t="str">
        <f aca="false">IF($B27="","",T27+SUM(Z27:AF27))</f>
        <v/>
      </c>
      <c r="AH27" s="160" t="str">
        <f aca="false">IF($B27="","",MAX(0,IF(OR(الموظفون!$AE27="",الموظفون!$AE27&gt;$F$3),$F$3,الموظفون!$AE27)-الموظفون!$H27+1-SUMIFS('سجل الإجازات والحالات'!$AK$6:$AK$505,'سجل الإجازات والحالات'!$B$6:$B$505,$B27))/cfg_DAYS_Y)</f>
        <v/>
      </c>
      <c r="AI27" s="160" t="str">
        <f aca="false">IF($B27="","",MAX(0,IF(OR(الموظفون!$AE27="",الموظفون!$AE27&gt;($E$3-1)),($E$3-1),الموظفون!$AE27)-الموظفون!$H27+1-SUMIFS('سجل الإجازات والحالات'!$AJ$6:$AJ$505,'سجل الإجازات والحالات'!$B$6:$B$505,$B27))/cfg_DAYS_Y)</f>
        <v/>
      </c>
      <c r="AJ27" s="133" t="str">
        <f aca="false">IF($B27="","",MAX(0,AK27-(SUMIFS('سجل الإجازات والحالات'!$AK$6:$AK$505,'سجل الإجازات والحالات'!$B$6:$B$505,$B27)-SUMIFS('سجل الإجازات والحالات'!$AJ$6:$AJ$505,'سجل الإجازات والحالات'!$B$6:$B$505,$B27))))</f>
        <v/>
      </c>
      <c r="AK27" s="133" t="str">
        <f aca="false">IF($B27="","",MAX(0,IF(OR(الموظفون!$AE27="",الموظفون!$AE27&gt;$F$3),$F$3,الموظفون!$AE27)-MAX($E$3,الموظفون!$H27)+1))</f>
        <v/>
      </c>
      <c r="AL27" s="156" t="str">
        <f aca="false">IF($B27="","",SUMIFS('سجل الإجازات والحالات'!$AW$6:$AW$505,'سجل الإجازات والحالات'!$B$6:$B$505,$B27)+SUMIFS('الحركات الشهرية'!$K$6:$K$1005,'الحركات الشهرية'!$B$6:$B$1005,$B27,'الحركات الشهرية'!$A$6:$A$1005,$C$3))</f>
        <v/>
      </c>
      <c r="AM27" s="116" t="str">
        <f aca="false">IF($B27="","",AL27*الموظفون!$R27/cfg_DAYS_M+S27)</f>
        <v/>
      </c>
      <c r="AN27" s="156" t="str">
        <f aca="false">IF($B27="","",SUMIFS('سجل الإجازات والحالات'!$Y$6:$Y$505,'سجل الإجازات والحالات'!$B$6:$B$505,$B27))</f>
        <v/>
      </c>
    </row>
    <row r="28" customFormat="false" ht="15" hidden="false" customHeight="false" outlineLevel="0" collapsed="false">
      <c r="A28" s="106" t="str">
        <f aca="false">IF($B28="","",الموظفون!$A28)</f>
        <v/>
      </c>
      <c r="B28" s="114" t="str">
        <f aca="false">IF(الموظفون!$B28="","",الموظفون!$B28)</f>
        <v/>
      </c>
      <c r="C28" s="114" t="str">
        <f aca="false">IF($B28="","",الموظفون!$C28)</f>
        <v/>
      </c>
      <c r="D28" s="114" t="str">
        <f aca="false">IF($B28="","",الموظفون!$F28)</f>
        <v/>
      </c>
      <c r="E28" s="114" t="str">
        <f aca="false">IF($B28="","",الموظفون!$E28)</f>
        <v/>
      </c>
      <c r="F28" s="114" t="str">
        <f aca="false">IF($B28="","",IF(AK28=0,IF(AND(الموظفون!$AE28&lt;&gt;"",الموظفون!$AE28&lt;$E$3),"✖ منتهي الخدمة","⏳ لم يباشر"),IF(S28&gt;0,"✈ راتب إجازة مقدم",IF(J28=0,"⛔ بدون راتب هذا الشهر",IF(I28&gt;0,"✈ خصم "&amp;ROUND(I28,2)&amp;" يوم بدون أجر",IF(AL28&gt;0,"🌴 إجازة سنوية "&amp;ROUND(AL28,2)&amp;" يوم",IF(H28&gt;0,"⚠ غياب "&amp;ROUND(H28,2)&amp;" يوم","✔ على رأس العمل")))))))</f>
        <v/>
      </c>
      <c r="G28" s="151" t="str">
        <f aca="false">IF($B28="","",IF(AK28&gt;=DAY($F$3),cfg_DAYS_M,MIN(AK28,cfg_DAYS_M)))</f>
        <v/>
      </c>
      <c r="H28" s="151" t="str">
        <f aca="false">IF($B28="","",SUMIFS('الحركات الشهرية'!$D$6:$D$1005,'الحركات الشهرية'!$B$6:$B$1005,$B28,'الحركات الشهرية'!$A$6:$A$1005,$C$3))</f>
        <v/>
      </c>
      <c r="I28" s="151" t="str">
        <f aca="false">IF($B28="","",MIN(G28,IF(AND(AK28&gt;0,AN28&gt;=AK28),G28,AN28)+SUMIFS('الحركات الشهرية'!$E$6:$E$1005,'الحركات الشهرية'!$B$6:$B$1005,$B28,'الحركات الشهرية'!$A$6:$A$1005,$C$3)))</f>
        <v/>
      </c>
      <c r="J28" s="151" t="str">
        <f aca="false">IF($B28="","",MAX(0,G28-H28-I28))</f>
        <v/>
      </c>
      <c r="K28" s="111" t="str">
        <f aca="false">IF($B28="","",الموظفون!$L28*$J28/cfg_DAYS_M)</f>
        <v/>
      </c>
      <c r="L28" s="111" t="str">
        <f aca="false">IF($B28="","",الموظفون!$M28*$J28/cfg_DAYS_M)</f>
        <v/>
      </c>
      <c r="M28" s="111" t="str">
        <f aca="false">IF($B28="","",الموظفون!$N28*$J28/cfg_DAYS_M)</f>
        <v/>
      </c>
      <c r="N28" s="111" t="str">
        <f aca="false">IF($B28="","",الموظفون!$O28*$J28/cfg_DAYS_M)</f>
        <v/>
      </c>
      <c r="O28" s="151" t="str">
        <f aca="false">IF($B28="","",SUMIFS('الحركات الشهرية'!$F$6:$F$1005,'الحركات الشهرية'!$B$6:$B$1005,$B28,'الحركات الشهرية'!$A$6:$A$1005,$C$3))</f>
        <v/>
      </c>
      <c r="P28" s="111" t="str">
        <f aca="false">IF($B28="","",O28*(الموظفون!$P28+الموظفون!$L28*cfg_OT_P)/cfg_DAYS_M/cfg_HRS)</f>
        <v/>
      </c>
      <c r="Q28" s="111" t="str">
        <f aca="false">IF($B28="","",SUMIFS('الحركات الشهرية'!$G$6:$G$1005,'الحركات الشهرية'!$B$6:$B$1005,$B28,'الحركات الشهرية'!$A$6:$A$1005,$C$3))</f>
        <v/>
      </c>
      <c r="R28" s="111" t="str">
        <f aca="false">IF($B28="","",SUMIFS('الحركات الشهرية'!$H$6:$H$1005,'الحركات الشهرية'!$B$6:$B$1005,$B28,'الحركات الشهرية'!$A$6:$A$1005,$C$3))</f>
        <v/>
      </c>
      <c r="S28" s="111" t="str">
        <f aca="false">IF($B28="","",SUMIFS('سجل الإجازات والحالات'!$N$6:$N$505,'سجل الإجازات والحالات'!$B$6:$B$505,$B28,'سجل الإجازات والحالات'!$O$6:$O$505,$C$3))</f>
        <v/>
      </c>
      <c r="T28" s="152" t="str">
        <f aca="false">IF($B28="","",SUM(K28:N28)+SUM(P28:S28))</f>
        <v/>
      </c>
      <c r="U28" s="111" t="str">
        <f aca="false">IF($B28="","",الموظفون!$S28*IF(E28="سعودي",cfg_G_SE,cfg_G_NE)*G28/cfg_DAYS_M)</f>
        <v/>
      </c>
      <c r="V28" s="111" t="str">
        <f aca="false">IF($B28="","",SUMIFS('الحركات الشهرية'!$I$6:$I$1005,'الحركات الشهرية'!$B$6:$B$1005,$B28,'الحركات الشهرية'!$A$6:$A$1005,$C$3))</f>
        <v/>
      </c>
      <c r="W28" s="111" t="str">
        <f aca="false">IF($B28="","",SUMIFS('الحركات الشهرية'!$J$6:$J$1005,'الحركات الشهرية'!$B$6:$B$1005,$B28,'الحركات الشهرية'!$A$6:$A$1005,$C$3))</f>
        <v/>
      </c>
      <c r="X28" s="111" t="str">
        <f aca="false">IF($B28="","",SUM(U28:W28))</f>
        <v/>
      </c>
      <c r="Y28" s="153" t="str">
        <f aca="false">IF($B28="","",T28-X28)</f>
        <v/>
      </c>
      <c r="Z28" s="111" t="str">
        <f aca="false">IF($B28="","",الموظفون!$S28*IF(E28="سعودي",cfg_G_SR,cfg_G_NR)*G28/cfg_DAYS_M)</f>
        <v/>
      </c>
      <c r="AA28" s="111" t="str">
        <f aca="false">IF($B28="","",الموظفون!$Q28*(cfg_EOS_R1*(MIN(AH28,cfg_EOS_TH)-MIN(AI28,cfg_EOS_TH))+cfg_EOS_R2*(MAX(AH28-cfg_EOS_TH,0)-MAX(AI28-cfg_EOS_TH,0))))</f>
        <v/>
      </c>
      <c r="AB28" s="111" t="str">
        <f aca="false">IF($B28="","",IF(الموظفون!$T28&lt;&gt;"",الموظفون!$T28,IF(AH28&gt;=cfg_LV_TH,cfg_LV_D2,cfg_LV_D1))/cfg_DAYS_Y*AJ28*الموظفون!$R28/cfg_DAYS_M)</f>
        <v/>
      </c>
      <c r="AC28" s="111" t="str">
        <f aca="false">IF($B28="","",IF(AND(الموظفون!$U28="نعم",N(الموظفون!$W28)&gt;0),الموظفون!$V28/الموظفون!$W28*12/cfg_DAYS_Y*AJ28,0))</f>
        <v/>
      </c>
      <c r="AD28" s="111" t="str">
        <f aca="false">IF($B28="","",(IF(الموظفون!$X28&lt;&gt;"",الموظفون!$X28,IF(الموظفون!$E28="غير سعودي",cfg_IQ,0))+IF(الموظفون!$Y28&lt;&gt;"",الموظفون!$Y28,IF(الموظفون!$E28="غير سعودي",cfg_WP,0)))/12*G28/cfg_DAYS_M)</f>
        <v/>
      </c>
      <c r="AE28" s="111" t="str">
        <f aca="false">IF($B28="","",IF(الموظفون!$Z28&lt;&gt;"",الموظفون!$Z28,cfg_MED)/12*G28/cfg_DAYS_M)</f>
        <v/>
      </c>
      <c r="AF28" s="111" t="str">
        <f aca="false">IF($B28="","",N(الموظفون!$AA28)/12*G28/cfg_DAYS_M)</f>
        <v/>
      </c>
      <c r="AG28" s="154" t="str">
        <f aca="false">IF($B28="","",T28+SUM(Z28:AF28))</f>
        <v/>
      </c>
      <c r="AH28" s="155" t="str">
        <f aca="false">IF($B28="","",MAX(0,IF(OR(الموظفون!$AE28="",الموظفون!$AE28&gt;$F$3),$F$3,الموظفون!$AE28)-الموظفون!$H28+1-SUMIFS('سجل الإجازات والحالات'!$AK$6:$AK$505,'سجل الإجازات والحالات'!$B$6:$B$505,$B28))/cfg_DAYS_Y)</f>
        <v/>
      </c>
      <c r="AI28" s="155" t="str">
        <f aca="false">IF($B28="","",MAX(0,IF(OR(الموظفون!$AE28="",الموظفون!$AE28&gt;($E$3-1)),($E$3-1),الموظفون!$AE28)-الموظفون!$H28+1-SUMIFS('سجل الإجازات والحالات'!$AJ$6:$AJ$505,'سجل الإجازات والحالات'!$B$6:$B$505,$B28))/cfg_DAYS_Y)</f>
        <v/>
      </c>
      <c r="AJ28" s="65" t="str">
        <f aca="false">IF($B28="","",MAX(0,AK28-(SUMIFS('سجل الإجازات والحالات'!$AK$6:$AK$505,'سجل الإجازات والحالات'!$B$6:$B$505,$B28)-SUMIFS('سجل الإجازات والحالات'!$AJ$6:$AJ$505,'سجل الإجازات والحالات'!$B$6:$B$505,$B28))))</f>
        <v/>
      </c>
      <c r="AK28" s="65" t="str">
        <f aca="false">IF($B28="","",MAX(0,IF(OR(الموظفون!$AE28="",الموظفون!$AE28&gt;$F$3),$F$3,الموظفون!$AE28)-MAX($E$3,الموظفون!$H28)+1))</f>
        <v/>
      </c>
      <c r="AL28" s="151" t="str">
        <f aca="false">IF($B28="","",SUMIFS('سجل الإجازات والحالات'!$AW$6:$AW$505,'سجل الإجازات والحالات'!$B$6:$B$505,$B28)+SUMIFS('الحركات الشهرية'!$K$6:$K$1005,'الحركات الشهرية'!$B$6:$B$1005,$B28,'الحركات الشهرية'!$A$6:$A$1005,$C$3))</f>
        <v/>
      </c>
      <c r="AM28" s="111" t="str">
        <f aca="false">IF($B28="","",AL28*الموظفون!$R28/cfg_DAYS_M+S28)</f>
        <v/>
      </c>
      <c r="AN28" s="151" t="str">
        <f aca="false">IF($B28="","",SUMIFS('سجل الإجازات والحالات'!$Y$6:$Y$505,'سجل الإجازات والحالات'!$B$6:$B$505,$B28))</f>
        <v/>
      </c>
    </row>
    <row r="29" customFormat="false" ht="15" hidden="false" customHeight="false" outlineLevel="0" collapsed="false">
      <c r="A29" s="115" t="str">
        <f aca="false">IF($B29="","",الموظفون!$A29)</f>
        <v/>
      </c>
      <c r="B29" s="117" t="str">
        <f aca="false">IF(الموظفون!$B29="","",الموظفون!$B29)</f>
        <v/>
      </c>
      <c r="C29" s="117" t="str">
        <f aca="false">IF($B29="","",الموظفون!$C29)</f>
        <v/>
      </c>
      <c r="D29" s="117" t="str">
        <f aca="false">IF($B29="","",الموظفون!$F29)</f>
        <v/>
      </c>
      <c r="E29" s="117" t="str">
        <f aca="false">IF($B29="","",الموظفون!$E29)</f>
        <v/>
      </c>
      <c r="F29" s="117" t="str">
        <f aca="false">IF($B29="","",IF(AK29=0,IF(AND(الموظفون!$AE29&lt;&gt;"",الموظفون!$AE29&lt;$E$3),"✖ منتهي الخدمة","⏳ لم يباشر"),IF(S29&gt;0,"✈ راتب إجازة مقدم",IF(J29=0,"⛔ بدون راتب هذا الشهر",IF(I29&gt;0,"✈ خصم "&amp;ROUND(I29,2)&amp;" يوم بدون أجر",IF(AL29&gt;0,"🌴 إجازة سنوية "&amp;ROUND(AL29,2)&amp;" يوم",IF(H29&gt;0,"⚠ غياب "&amp;ROUND(H29,2)&amp;" يوم","✔ على رأس العمل")))))))</f>
        <v/>
      </c>
      <c r="G29" s="156" t="str">
        <f aca="false">IF($B29="","",IF(AK29&gt;=DAY($F$3),cfg_DAYS_M,MIN(AK29,cfg_DAYS_M)))</f>
        <v/>
      </c>
      <c r="H29" s="156" t="str">
        <f aca="false">IF($B29="","",SUMIFS('الحركات الشهرية'!$D$6:$D$1005,'الحركات الشهرية'!$B$6:$B$1005,$B29,'الحركات الشهرية'!$A$6:$A$1005,$C$3))</f>
        <v/>
      </c>
      <c r="I29" s="156" t="str">
        <f aca="false">IF($B29="","",MIN(G29,IF(AND(AK29&gt;0,AN29&gt;=AK29),G29,AN29)+SUMIFS('الحركات الشهرية'!$E$6:$E$1005,'الحركات الشهرية'!$B$6:$B$1005,$B29,'الحركات الشهرية'!$A$6:$A$1005,$C$3)))</f>
        <v/>
      </c>
      <c r="J29" s="156" t="str">
        <f aca="false">IF($B29="","",MAX(0,G29-H29-I29))</f>
        <v/>
      </c>
      <c r="K29" s="116" t="str">
        <f aca="false">IF($B29="","",الموظفون!$L29*$J29/cfg_DAYS_M)</f>
        <v/>
      </c>
      <c r="L29" s="116" t="str">
        <f aca="false">IF($B29="","",الموظفون!$M29*$J29/cfg_DAYS_M)</f>
        <v/>
      </c>
      <c r="M29" s="116" t="str">
        <f aca="false">IF($B29="","",الموظفون!$N29*$J29/cfg_DAYS_M)</f>
        <v/>
      </c>
      <c r="N29" s="116" t="str">
        <f aca="false">IF($B29="","",الموظفون!$O29*$J29/cfg_DAYS_M)</f>
        <v/>
      </c>
      <c r="O29" s="156" t="str">
        <f aca="false">IF($B29="","",SUMIFS('الحركات الشهرية'!$F$6:$F$1005,'الحركات الشهرية'!$B$6:$B$1005,$B29,'الحركات الشهرية'!$A$6:$A$1005,$C$3))</f>
        <v/>
      </c>
      <c r="P29" s="116" t="str">
        <f aca="false">IF($B29="","",O29*(الموظفون!$P29+الموظفون!$L29*cfg_OT_P)/cfg_DAYS_M/cfg_HRS)</f>
        <v/>
      </c>
      <c r="Q29" s="116" t="str">
        <f aca="false">IF($B29="","",SUMIFS('الحركات الشهرية'!$G$6:$G$1005,'الحركات الشهرية'!$B$6:$B$1005,$B29,'الحركات الشهرية'!$A$6:$A$1005,$C$3))</f>
        <v/>
      </c>
      <c r="R29" s="116" t="str">
        <f aca="false">IF($B29="","",SUMIFS('الحركات الشهرية'!$H$6:$H$1005,'الحركات الشهرية'!$B$6:$B$1005,$B29,'الحركات الشهرية'!$A$6:$A$1005,$C$3))</f>
        <v/>
      </c>
      <c r="S29" s="116" t="str">
        <f aca="false">IF($B29="","",SUMIFS('سجل الإجازات والحالات'!$N$6:$N$505,'سجل الإجازات والحالات'!$B$6:$B$505,$B29,'سجل الإجازات والحالات'!$O$6:$O$505,$C$3))</f>
        <v/>
      </c>
      <c r="T29" s="157" t="str">
        <f aca="false">IF($B29="","",SUM(K29:N29)+SUM(P29:S29))</f>
        <v/>
      </c>
      <c r="U29" s="116" t="str">
        <f aca="false">IF($B29="","",الموظفون!$S29*IF(E29="سعودي",cfg_G_SE,cfg_G_NE)*G29/cfg_DAYS_M)</f>
        <v/>
      </c>
      <c r="V29" s="116" t="str">
        <f aca="false">IF($B29="","",SUMIFS('الحركات الشهرية'!$I$6:$I$1005,'الحركات الشهرية'!$B$6:$B$1005,$B29,'الحركات الشهرية'!$A$6:$A$1005,$C$3))</f>
        <v/>
      </c>
      <c r="W29" s="116" t="str">
        <f aca="false">IF($B29="","",SUMIFS('الحركات الشهرية'!$J$6:$J$1005,'الحركات الشهرية'!$B$6:$B$1005,$B29,'الحركات الشهرية'!$A$6:$A$1005,$C$3))</f>
        <v/>
      </c>
      <c r="X29" s="116" t="str">
        <f aca="false">IF($B29="","",SUM(U29:W29))</f>
        <v/>
      </c>
      <c r="Y29" s="158" t="str">
        <f aca="false">IF($B29="","",T29-X29)</f>
        <v/>
      </c>
      <c r="Z29" s="116" t="str">
        <f aca="false">IF($B29="","",الموظفون!$S29*IF(E29="سعودي",cfg_G_SR,cfg_G_NR)*G29/cfg_DAYS_M)</f>
        <v/>
      </c>
      <c r="AA29" s="116" t="str">
        <f aca="false">IF($B29="","",الموظفون!$Q29*(cfg_EOS_R1*(MIN(AH29,cfg_EOS_TH)-MIN(AI29,cfg_EOS_TH))+cfg_EOS_R2*(MAX(AH29-cfg_EOS_TH,0)-MAX(AI29-cfg_EOS_TH,0))))</f>
        <v/>
      </c>
      <c r="AB29" s="116" t="str">
        <f aca="false">IF($B29="","",IF(الموظفون!$T29&lt;&gt;"",الموظفون!$T29,IF(AH29&gt;=cfg_LV_TH,cfg_LV_D2,cfg_LV_D1))/cfg_DAYS_Y*AJ29*الموظفون!$R29/cfg_DAYS_M)</f>
        <v/>
      </c>
      <c r="AC29" s="116" t="str">
        <f aca="false">IF($B29="","",IF(AND(الموظفون!$U29="نعم",N(الموظفون!$W29)&gt;0),الموظفون!$V29/الموظفون!$W29*12/cfg_DAYS_Y*AJ29,0))</f>
        <v/>
      </c>
      <c r="AD29" s="116" t="str">
        <f aca="false">IF($B29="","",(IF(الموظفون!$X29&lt;&gt;"",الموظفون!$X29,IF(الموظفون!$E29="غير سعودي",cfg_IQ,0))+IF(الموظفون!$Y29&lt;&gt;"",الموظفون!$Y29,IF(الموظفون!$E29="غير سعودي",cfg_WP,0)))/12*G29/cfg_DAYS_M)</f>
        <v/>
      </c>
      <c r="AE29" s="116" t="str">
        <f aca="false">IF($B29="","",IF(الموظفون!$Z29&lt;&gt;"",الموظفون!$Z29,cfg_MED)/12*G29/cfg_DAYS_M)</f>
        <v/>
      </c>
      <c r="AF29" s="116" t="str">
        <f aca="false">IF($B29="","",N(الموظفون!$AA29)/12*G29/cfg_DAYS_M)</f>
        <v/>
      </c>
      <c r="AG29" s="159" t="str">
        <f aca="false">IF($B29="","",T29+SUM(Z29:AF29))</f>
        <v/>
      </c>
      <c r="AH29" s="160" t="str">
        <f aca="false">IF($B29="","",MAX(0,IF(OR(الموظفون!$AE29="",الموظفون!$AE29&gt;$F$3),$F$3,الموظفون!$AE29)-الموظفون!$H29+1-SUMIFS('سجل الإجازات والحالات'!$AK$6:$AK$505,'سجل الإجازات والحالات'!$B$6:$B$505,$B29))/cfg_DAYS_Y)</f>
        <v/>
      </c>
      <c r="AI29" s="160" t="str">
        <f aca="false">IF($B29="","",MAX(0,IF(OR(الموظفون!$AE29="",الموظفون!$AE29&gt;($E$3-1)),($E$3-1),الموظفون!$AE29)-الموظفون!$H29+1-SUMIFS('سجل الإجازات والحالات'!$AJ$6:$AJ$505,'سجل الإجازات والحالات'!$B$6:$B$505,$B29))/cfg_DAYS_Y)</f>
        <v/>
      </c>
      <c r="AJ29" s="133" t="str">
        <f aca="false">IF($B29="","",MAX(0,AK29-(SUMIFS('سجل الإجازات والحالات'!$AK$6:$AK$505,'سجل الإجازات والحالات'!$B$6:$B$505,$B29)-SUMIFS('سجل الإجازات والحالات'!$AJ$6:$AJ$505,'سجل الإجازات والحالات'!$B$6:$B$505,$B29))))</f>
        <v/>
      </c>
      <c r="AK29" s="133" t="str">
        <f aca="false">IF($B29="","",MAX(0,IF(OR(الموظفون!$AE29="",الموظفون!$AE29&gt;$F$3),$F$3,الموظفون!$AE29)-MAX($E$3,الموظفون!$H29)+1))</f>
        <v/>
      </c>
      <c r="AL29" s="156" t="str">
        <f aca="false">IF($B29="","",SUMIFS('سجل الإجازات والحالات'!$AW$6:$AW$505,'سجل الإجازات والحالات'!$B$6:$B$505,$B29)+SUMIFS('الحركات الشهرية'!$K$6:$K$1005,'الحركات الشهرية'!$B$6:$B$1005,$B29,'الحركات الشهرية'!$A$6:$A$1005,$C$3))</f>
        <v/>
      </c>
      <c r="AM29" s="116" t="str">
        <f aca="false">IF($B29="","",AL29*الموظفون!$R29/cfg_DAYS_M+S29)</f>
        <v/>
      </c>
      <c r="AN29" s="156" t="str">
        <f aca="false">IF($B29="","",SUMIFS('سجل الإجازات والحالات'!$Y$6:$Y$505,'سجل الإجازات والحالات'!$B$6:$B$505,$B29))</f>
        <v/>
      </c>
    </row>
    <row r="30" customFormat="false" ht="15" hidden="false" customHeight="false" outlineLevel="0" collapsed="false">
      <c r="A30" s="106" t="str">
        <f aca="false">IF($B30="","",الموظفون!$A30)</f>
        <v/>
      </c>
      <c r="B30" s="114" t="str">
        <f aca="false">IF(الموظفون!$B30="","",الموظفون!$B30)</f>
        <v/>
      </c>
      <c r="C30" s="114" t="str">
        <f aca="false">IF($B30="","",الموظفون!$C30)</f>
        <v/>
      </c>
      <c r="D30" s="114" t="str">
        <f aca="false">IF($B30="","",الموظفون!$F30)</f>
        <v/>
      </c>
      <c r="E30" s="114" t="str">
        <f aca="false">IF($B30="","",الموظفون!$E30)</f>
        <v/>
      </c>
      <c r="F30" s="114" t="str">
        <f aca="false">IF($B30="","",IF(AK30=0,IF(AND(الموظفون!$AE30&lt;&gt;"",الموظفون!$AE30&lt;$E$3),"✖ منتهي الخدمة","⏳ لم يباشر"),IF(S30&gt;0,"✈ راتب إجازة مقدم",IF(J30=0,"⛔ بدون راتب هذا الشهر",IF(I30&gt;0,"✈ خصم "&amp;ROUND(I30,2)&amp;" يوم بدون أجر",IF(AL30&gt;0,"🌴 إجازة سنوية "&amp;ROUND(AL30,2)&amp;" يوم",IF(H30&gt;0,"⚠ غياب "&amp;ROUND(H30,2)&amp;" يوم","✔ على رأس العمل")))))))</f>
        <v/>
      </c>
      <c r="G30" s="151" t="str">
        <f aca="false">IF($B30="","",IF(AK30&gt;=DAY($F$3),cfg_DAYS_M,MIN(AK30,cfg_DAYS_M)))</f>
        <v/>
      </c>
      <c r="H30" s="151" t="str">
        <f aca="false">IF($B30="","",SUMIFS('الحركات الشهرية'!$D$6:$D$1005,'الحركات الشهرية'!$B$6:$B$1005,$B30,'الحركات الشهرية'!$A$6:$A$1005,$C$3))</f>
        <v/>
      </c>
      <c r="I30" s="151" t="str">
        <f aca="false">IF($B30="","",MIN(G30,IF(AND(AK30&gt;0,AN30&gt;=AK30),G30,AN30)+SUMIFS('الحركات الشهرية'!$E$6:$E$1005,'الحركات الشهرية'!$B$6:$B$1005,$B30,'الحركات الشهرية'!$A$6:$A$1005,$C$3)))</f>
        <v/>
      </c>
      <c r="J30" s="151" t="str">
        <f aca="false">IF($B30="","",MAX(0,G30-H30-I30))</f>
        <v/>
      </c>
      <c r="K30" s="111" t="str">
        <f aca="false">IF($B30="","",الموظفون!$L30*$J30/cfg_DAYS_M)</f>
        <v/>
      </c>
      <c r="L30" s="111" t="str">
        <f aca="false">IF($B30="","",الموظفون!$M30*$J30/cfg_DAYS_M)</f>
        <v/>
      </c>
      <c r="M30" s="111" t="str">
        <f aca="false">IF($B30="","",الموظفون!$N30*$J30/cfg_DAYS_M)</f>
        <v/>
      </c>
      <c r="N30" s="111" t="str">
        <f aca="false">IF($B30="","",الموظفون!$O30*$J30/cfg_DAYS_M)</f>
        <v/>
      </c>
      <c r="O30" s="151" t="str">
        <f aca="false">IF($B30="","",SUMIFS('الحركات الشهرية'!$F$6:$F$1005,'الحركات الشهرية'!$B$6:$B$1005,$B30,'الحركات الشهرية'!$A$6:$A$1005,$C$3))</f>
        <v/>
      </c>
      <c r="P30" s="111" t="str">
        <f aca="false">IF($B30="","",O30*(الموظفون!$P30+الموظفون!$L30*cfg_OT_P)/cfg_DAYS_M/cfg_HRS)</f>
        <v/>
      </c>
      <c r="Q30" s="111" t="str">
        <f aca="false">IF($B30="","",SUMIFS('الحركات الشهرية'!$G$6:$G$1005,'الحركات الشهرية'!$B$6:$B$1005,$B30,'الحركات الشهرية'!$A$6:$A$1005,$C$3))</f>
        <v/>
      </c>
      <c r="R30" s="111" t="str">
        <f aca="false">IF($B30="","",SUMIFS('الحركات الشهرية'!$H$6:$H$1005,'الحركات الشهرية'!$B$6:$B$1005,$B30,'الحركات الشهرية'!$A$6:$A$1005,$C$3))</f>
        <v/>
      </c>
      <c r="S30" s="111" t="str">
        <f aca="false">IF($B30="","",SUMIFS('سجل الإجازات والحالات'!$N$6:$N$505,'سجل الإجازات والحالات'!$B$6:$B$505,$B30,'سجل الإجازات والحالات'!$O$6:$O$505,$C$3))</f>
        <v/>
      </c>
      <c r="T30" s="152" t="str">
        <f aca="false">IF($B30="","",SUM(K30:N30)+SUM(P30:S30))</f>
        <v/>
      </c>
      <c r="U30" s="111" t="str">
        <f aca="false">IF($B30="","",الموظفون!$S30*IF(E30="سعودي",cfg_G_SE,cfg_G_NE)*G30/cfg_DAYS_M)</f>
        <v/>
      </c>
      <c r="V30" s="111" t="str">
        <f aca="false">IF($B30="","",SUMIFS('الحركات الشهرية'!$I$6:$I$1005,'الحركات الشهرية'!$B$6:$B$1005,$B30,'الحركات الشهرية'!$A$6:$A$1005,$C$3))</f>
        <v/>
      </c>
      <c r="W30" s="111" t="str">
        <f aca="false">IF($B30="","",SUMIFS('الحركات الشهرية'!$J$6:$J$1005,'الحركات الشهرية'!$B$6:$B$1005,$B30,'الحركات الشهرية'!$A$6:$A$1005,$C$3))</f>
        <v/>
      </c>
      <c r="X30" s="111" t="str">
        <f aca="false">IF($B30="","",SUM(U30:W30))</f>
        <v/>
      </c>
      <c r="Y30" s="153" t="str">
        <f aca="false">IF($B30="","",T30-X30)</f>
        <v/>
      </c>
      <c r="Z30" s="111" t="str">
        <f aca="false">IF($B30="","",الموظفون!$S30*IF(E30="سعودي",cfg_G_SR,cfg_G_NR)*G30/cfg_DAYS_M)</f>
        <v/>
      </c>
      <c r="AA30" s="111" t="str">
        <f aca="false">IF($B30="","",الموظفون!$Q30*(cfg_EOS_R1*(MIN(AH30,cfg_EOS_TH)-MIN(AI30,cfg_EOS_TH))+cfg_EOS_R2*(MAX(AH30-cfg_EOS_TH,0)-MAX(AI30-cfg_EOS_TH,0))))</f>
        <v/>
      </c>
      <c r="AB30" s="111" t="str">
        <f aca="false">IF($B30="","",IF(الموظفون!$T30&lt;&gt;"",الموظفون!$T30,IF(AH30&gt;=cfg_LV_TH,cfg_LV_D2,cfg_LV_D1))/cfg_DAYS_Y*AJ30*الموظفون!$R30/cfg_DAYS_M)</f>
        <v/>
      </c>
      <c r="AC30" s="111" t="str">
        <f aca="false">IF($B30="","",IF(AND(الموظفون!$U30="نعم",N(الموظفون!$W30)&gt;0),الموظفون!$V30/الموظفون!$W30*12/cfg_DAYS_Y*AJ30,0))</f>
        <v/>
      </c>
      <c r="AD30" s="111" t="str">
        <f aca="false">IF($B30="","",(IF(الموظفون!$X30&lt;&gt;"",الموظفون!$X30,IF(الموظفون!$E30="غير سعودي",cfg_IQ,0))+IF(الموظفون!$Y30&lt;&gt;"",الموظفون!$Y30,IF(الموظفون!$E30="غير سعودي",cfg_WP,0)))/12*G30/cfg_DAYS_M)</f>
        <v/>
      </c>
      <c r="AE30" s="111" t="str">
        <f aca="false">IF($B30="","",IF(الموظفون!$Z30&lt;&gt;"",الموظفون!$Z30,cfg_MED)/12*G30/cfg_DAYS_M)</f>
        <v/>
      </c>
      <c r="AF30" s="111" t="str">
        <f aca="false">IF($B30="","",N(الموظفون!$AA30)/12*G30/cfg_DAYS_M)</f>
        <v/>
      </c>
      <c r="AG30" s="154" t="str">
        <f aca="false">IF($B30="","",T30+SUM(Z30:AF30))</f>
        <v/>
      </c>
      <c r="AH30" s="155" t="str">
        <f aca="false">IF($B30="","",MAX(0,IF(OR(الموظفون!$AE30="",الموظفون!$AE30&gt;$F$3),$F$3,الموظفون!$AE30)-الموظفون!$H30+1-SUMIFS('سجل الإجازات والحالات'!$AK$6:$AK$505,'سجل الإجازات والحالات'!$B$6:$B$505,$B30))/cfg_DAYS_Y)</f>
        <v/>
      </c>
      <c r="AI30" s="155" t="str">
        <f aca="false">IF($B30="","",MAX(0,IF(OR(الموظفون!$AE30="",الموظفون!$AE30&gt;($E$3-1)),($E$3-1),الموظفون!$AE30)-الموظفون!$H30+1-SUMIFS('سجل الإجازات والحالات'!$AJ$6:$AJ$505,'سجل الإجازات والحالات'!$B$6:$B$505,$B30))/cfg_DAYS_Y)</f>
        <v/>
      </c>
      <c r="AJ30" s="65" t="str">
        <f aca="false">IF($B30="","",MAX(0,AK30-(SUMIFS('سجل الإجازات والحالات'!$AK$6:$AK$505,'سجل الإجازات والحالات'!$B$6:$B$505,$B30)-SUMIFS('سجل الإجازات والحالات'!$AJ$6:$AJ$505,'سجل الإجازات والحالات'!$B$6:$B$505,$B30))))</f>
        <v/>
      </c>
      <c r="AK30" s="65" t="str">
        <f aca="false">IF($B30="","",MAX(0,IF(OR(الموظفون!$AE30="",الموظفون!$AE30&gt;$F$3),$F$3,الموظفون!$AE30)-MAX($E$3,الموظفون!$H30)+1))</f>
        <v/>
      </c>
      <c r="AL30" s="151" t="str">
        <f aca="false">IF($B30="","",SUMIFS('سجل الإجازات والحالات'!$AW$6:$AW$505,'سجل الإجازات والحالات'!$B$6:$B$505,$B30)+SUMIFS('الحركات الشهرية'!$K$6:$K$1005,'الحركات الشهرية'!$B$6:$B$1005,$B30,'الحركات الشهرية'!$A$6:$A$1005,$C$3))</f>
        <v/>
      </c>
      <c r="AM30" s="111" t="str">
        <f aca="false">IF($B30="","",AL30*الموظفون!$R30/cfg_DAYS_M+S30)</f>
        <v/>
      </c>
      <c r="AN30" s="151" t="str">
        <f aca="false">IF($B30="","",SUMIFS('سجل الإجازات والحالات'!$Y$6:$Y$505,'سجل الإجازات والحالات'!$B$6:$B$505,$B30))</f>
        <v/>
      </c>
    </row>
    <row r="31" customFormat="false" ht="15" hidden="false" customHeight="false" outlineLevel="0" collapsed="false">
      <c r="A31" s="115" t="str">
        <f aca="false">IF($B31="","",الموظفون!$A31)</f>
        <v/>
      </c>
      <c r="B31" s="117" t="str">
        <f aca="false">IF(الموظفون!$B31="","",الموظفون!$B31)</f>
        <v/>
      </c>
      <c r="C31" s="117" t="str">
        <f aca="false">IF($B31="","",الموظفون!$C31)</f>
        <v/>
      </c>
      <c r="D31" s="117" t="str">
        <f aca="false">IF($B31="","",الموظفون!$F31)</f>
        <v/>
      </c>
      <c r="E31" s="117" t="str">
        <f aca="false">IF($B31="","",الموظفون!$E31)</f>
        <v/>
      </c>
      <c r="F31" s="117" t="str">
        <f aca="false">IF($B31="","",IF(AK31=0,IF(AND(الموظفون!$AE31&lt;&gt;"",الموظفون!$AE31&lt;$E$3),"✖ منتهي الخدمة","⏳ لم يباشر"),IF(S31&gt;0,"✈ راتب إجازة مقدم",IF(J31=0,"⛔ بدون راتب هذا الشهر",IF(I31&gt;0,"✈ خصم "&amp;ROUND(I31,2)&amp;" يوم بدون أجر",IF(AL31&gt;0,"🌴 إجازة سنوية "&amp;ROUND(AL31,2)&amp;" يوم",IF(H31&gt;0,"⚠ غياب "&amp;ROUND(H31,2)&amp;" يوم","✔ على رأس العمل")))))))</f>
        <v/>
      </c>
      <c r="G31" s="156" t="str">
        <f aca="false">IF($B31="","",IF(AK31&gt;=DAY($F$3),cfg_DAYS_M,MIN(AK31,cfg_DAYS_M)))</f>
        <v/>
      </c>
      <c r="H31" s="156" t="str">
        <f aca="false">IF($B31="","",SUMIFS('الحركات الشهرية'!$D$6:$D$1005,'الحركات الشهرية'!$B$6:$B$1005,$B31,'الحركات الشهرية'!$A$6:$A$1005,$C$3))</f>
        <v/>
      </c>
      <c r="I31" s="156" t="str">
        <f aca="false">IF($B31="","",MIN(G31,IF(AND(AK31&gt;0,AN31&gt;=AK31),G31,AN31)+SUMIFS('الحركات الشهرية'!$E$6:$E$1005,'الحركات الشهرية'!$B$6:$B$1005,$B31,'الحركات الشهرية'!$A$6:$A$1005,$C$3)))</f>
        <v/>
      </c>
      <c r="J31" s="156" t="str">
        <f aca="false">IF($B31="","",MAX(0,G31-H31-I31))</f>
        <v/>
      </c>
      <c r="K31" s="116" t="str">
        <f aca="false">IF($B31="","",الموظفون!$L31*$J31/cfg_DAYS_M)</f>
        <v/>
      </c>
      <c r="L31" s="116" t="str">
        <f aca="false">IF($B31="","",الموظفون!$M31*$J31/cfg_DAYS_M)</f>
        <v/>
      </c>
      <c r="M31" s="116" t="str">
        <f aca="false">IF($B31="","",الموظفون!$N31*$J31/cfg_DAYS_M)</f>
        <v/>
      </c>
      <c r="N31" s="116" t="str">
        <f aca="false">IF($B31="","",الموظفون!$O31*$J31/cfg_DAYS_M)</f>
        <v/>
      </c>
      <c r="O31" s="156" t="str">
        <f aca="false">IF($B31="","",SUMIFS('الحركات الشهرية'!$F$6:$F$1005,'الحركات الشهرية'!$B$6:$B$1005,$B31,'الحركات الشهرية'!$A$6:$A$1005,$C$3))</f>
        <v/>
      </c>
      <c r="P31" s="116" t="str">
        <f aca="false">IF($B31="","",O31*(الموظفون!$P31+الموظفون!$L31*cfg_OT_P)/cfg_DAYS_M/cfg_HRS)</f>
        <v/>
      </c>
      <c r="Q31" s="116" t="str">
        <f aca="false">IF($B31="","",SUMIFS('الحركات الشهرية'!$G$6:$G$1005,'الحركات الشهرية'!$B$6:$B$1005,$B31,'الحركات الشهرية'!$A$6:$A$1005,$C$3))</f>
        <v/>
      </c>
      <c r="R31" s="116" t="str">
        <f aca="false">IF($B31="","",SUMIFS('الحركات الشهرية'!$H$6:$H$1005,'الحركات الشهرية'!$B$6:$B$1005,$B31,'الحركات الشهرية'!$A$6:$A$1005,$C$3))</f>
        <v/>
      </c>
      <c r="S31" s="116" t="str">
        <f aca="false">IF($B31="","",SUMIFS('سجل الإجازات والحالات'!$N$6:$N$505,'سجل الإجازات والحالات'!$B$6:$B$505,$B31,'سجل الإجازات والحالات'!$O$6:$O$505,$C$3))</f>
        <v/>
      </c>
      <c r="T31" s="157" t="str">
        <f aca="false">IF($B31="","",SUM(K31:N31)+SUM(P31:S31))</f>
        <v/>
      </c>
      <c r="U31" s="116" t="str">
        <f aca="false">IF($B31="","",الموظفون!$S31*IF(E31="سعودي",cfg_G_SE,cfg_G_NE)*G31/cfg_DAYS_M)</f>
        <v/>
      </c>
      <c r="V31" s="116" t="str">
        <f aca="false">IF($B31="","",SUMIFS('الحركات الشهرية'!$I$6:$I$1005,'الحركات الشهرية'!$B$6:$B$1005,$B31,'الحركات الشهرية'!$A$6:$A$1005,$C$3))</f>
        <v/>
      </c>
      <c r="W31" s="116" t="str">
        <f aca="false">IF($B31="","",SUMIFS('الحركات الشهرية'!$J$6:$J$1005,'الحركات الشهرية'!$B$6:$B$1005,$B31,'الحركات الشهرية'!$A$6:$A$1005,$C$3))</f>
        <v/>
      </c>
      <c r="X31" s="116" t="str">
        <f aca="false">IF($B31="","",SUM(U31:W31))</f>
        <v/>
      </c>
      <c r="Y31" s="158" t="str">
        <f aca="false">IF($B31="","",T31-X31)</f>
        <v/>
      </c>
      <c r="Z31" s="116" t="str">
        <f aca="false">IF($B31="","",الموظفون!$S31*IF(E31="سعودي",cfg_G_SR,cfg_G_NR)*G31/cfg_DAYS_M)</f>
        <v/>
      </c>
      <c r="AA31" s="116" t="str">
        <f aca="false">IF($B31="","",الموظفون!$Q31*(cfg_EOS_R1*(MIN(AH31,cfg_EOS_TH)-MIN(AI31,cfg_EOS_TH))+cfg_EOS_R2*(MAX(AH31-cfg_EOS_TH,0)-MAX(AI31-cfg_EOS_TH,0))))</f>
        <v/>
      </c>
      <c r="AB31" s="116" t="str">
        <f aca="false">IF($B31="","",IF(الموظفون!$T31&lt;&gt;"",الموظفون!$T31,IF(AH31&gt;=cfg_LV_TH,cfg_LV_D2,cfg_LV_D1))/cfg_DAYS_Y*AJ31*الموظفون!$R31/cfg_DAYS_M)</f>
        <v/>
      </c>
      <c r="AC31" s="116" t="str">
        <f aca="false">IF($B31="","",IF(AND(الموظفون!$U31="نعم",N(الموظفون!$W31)&gt;0),الموظفون!$V31/الموظفون!$W31*12/cfg_DAYS_Y*AJ31,0))</f>
        <v/>
      </c>
      <c r="AD31" s="116" t="str">
        <f aca="false">IF($B31="","",(IF(الموظفون!$X31&lt;&gt;"",الموظفون!$X31,IF(الموظفون!$E31="غير سعودي",cfg_IQ,0))+IF(الموظفون!$Y31&lt;&gt;"",الموظفون!$Y31,IF(الموظفون!$E31="غير سعودي",cfg_WP,0)))/12*G31/cfg_DAYS_M)</f>
        <v/>
      </c>
      <c r="AE31" s="116" t="str">
        <f aca="false">IF($B31="","",IF(الموظفون!$Z31&lt;&gt;"",الموظفون!$Z31,cfg_MED)/12*G31/cfg_DAYS_M)</f>
        <v/>
      </c>
      <c r="AF31" s="116" t="str">
        <f aca="false">IF($B31="","",N(الموظفون!$AA31)/12*G31/cfg_DAYS_M)</f>
        <v/>
      </c>
      <c r="AG31" s="159" t="str">
        <f aca="false">IF($B31="","",T31+SUM(Z31:AF31))</f>
        <v/>
      </c>
      <c r="AH31" s="160" t="str">
        <f aca="false">IF($B31="","",MAX(0,IF(OR(الموظفون!$AE31="",الموظفون!$AE31&gt;$F$3),$F$3,الموظفون!$AE31)-الموظفون!$H31+1-SUMIFS('سجل الإجازات والحالات'!$AK$6:$AK$505,'سجل الإجازات والحالات'!$B$6:$B$505,$B31))/cfg_DAYS_Y)</f>
        <v/>
      </c>
      <c r="AI31" s="160" t="str">
        <f aca="false">IF($B31="","",MAX(0,IF(OR(الموظفون!$AE31="",الموظفون!$AE31&gt;($E$3-1)),($E$3-1),الموظفون!$AE31)-الموظفون!$H31+1-SUMIFS('سجل الإجازات والحالات'!$AJ$6:$AJ$505,'سجل الإجازات والحالات'!$B$6:$B$505,$B31))/cfg_DAYS_Y)</f>
        <v/>
      </c>
      <c r="AJ31" s="133" t="str">
        <f aca="false">IF($B31="","",MAX(0,AK31-(SUMIFS('سجل الإجازات والحالات'!$AK$6:$AK$505,'سجل الإجازات والحالات'!$B$6:$B$505,$B31)-SUMIFS('سجل الإجازات والحالات'!$AJ$6:$AJ$505,'سجل الإجازات والحالات'!$B$6:$B$505,$B31))))</f>
        <v/>
      </c>
      <c r="AK31" s="133" t="str">
        <f aca="false">IF($B31="","",MAX(0,IF(OR(الموظفون!$AE31="",الموظفون!$AE31&gt;$F$3),$F$3,الموظفون!$AE31)-MAX($E$3,الموظفون!$H31)+1))</f>
        <v/>
      </c>
      <c r="AL31" s="156" t="str">
        <f aca="false">IF($B31="","",SUMIFS('سجل الإجازات والحالات'!$AW$6:$AW$505,'سجل الإجازات والحالات'!$B$6:$B$505,$B31)+SUMIFS('الحركات الشهرية'!$K$6:$K$1005,'الحركات الشهرية'!$B$6:$B$1005,$B31,'الحركات الشهرية'!$A$6:$A$1005,$C$3))</f>
        <v/>
      </c>
      <c r="AM31" s="116" t="str">
        <f aca="false">IF($B31="","",AL31*الموظفون!$R31/cfg_DAYS_M+S31)</f>
        <v/>
      </c>
      <c r="AN31" s="156" t="str">
        <f aca="false">IF($B31="","",SUMIFS('سجل الإجازات والحالات'!$Y$6:$Y$505,'سجل الإجازات والحالات'!$B$6:$B$505,$B31))</f>
        <v/>
      </c>
    </row>
    <row r="32" customFormat="false" ht="15" hidden="false" customHeight="false" outlineLevel="0" collapsed="false">
      <c r="A32" s="106" t="str">
        <f aca="false">IF($B32="","",الموظفون!$A32)</f>
        <v/>
      </c>
      <c r="B32" s="114" t="str">
        <f aca="false">IF(الموظفون!$B32="","",الموظفون!$B32)</f>
        <v/>
      </c>
      <c r="C32" s="114" t="str">
        <f aca="false">IF($B32="","",الموظفون!$C32)</f>
        <v/>
      </c>
      <c r="D32" s="114" t="str">
        <f aca="false">IF($B32="","",الموظفون!$F32)</f>
        <v/>
      </c>
      <c r="E32" s="114" t="str">
        <f aca="false">IF($B32="","",الموظفون!$E32)</f>
        <v/>
      </c>
      <c r="F32" s="114" t="str">
        <f aca="false">IF($B32="","",IF(AK32=0,IF(AND(الموظفون!$AE32&lt;&gt;"",الموظفون!$AE32&lt;$E$3),"✖ منتهي الخدمة","⏳ لم يباشر"),IF(S32&gt;0,"✈ راتب إجازة مقدم",IF(J32=0,"⛔ بدون راتب هذا الشهر",IF(I32&gt;0,"✈ خصم "&amp;ROUND(I32,2)&amp;" يوم بدون أجر",IF(AL32&gt;0,"🌴 إجازة سنوية "&amp;ROUND(AL32,2)&amp;" يوم",IF(H32&gt;0,"⚠ غياب "&amp;ROUND(H32,2)&amp;" يوم","✔ على رأس العمل")))))))</f>
        <v/>
      </c>
      <c r="G32" s="151" t="str">
        <f aca="false">IF($B32="","",IF(AK32&gt;=DAY($F$3),cfg_DAYS_M,MIN(AK32,cfg_DAYS_M)))</f>
        <v/>
      </c>
      <c r="H32" s="151" t="str">
        <f aca="false">IF($B32="","",SUMIFS('الحركات الشهرية'!$D$6:$D$1005,'الحركات الشهرية'!$B$6:$B$1005,$B32,'الحركات الشهرية'!$A$6:$A$1005,$C$3))</f>
        <v/>
      </c>
      <c r="I32" s="151" t="str">
        <f aca="false">IF($B32="","",MIN(G32,IF(AND(AK32&gt;0,AN32&gt;=AK32),G32,AN32)+SUMIFS('الحركات الشهرية'!$E$6:$E$1005,'الحركات الشهرية'!$B$6:$B$1005,$B32,'الحركات الشهرية'!$A$6:$A$1005,$C$3)))</f>
        <v/>
      </c>
      <c r="J32" s="151" t="str">
        <f aca="false">IF($B32="","",MAX(0,G32-H32-I32))</f>
        <v/>
      </c>
      <c r="K32" s="111" t="str">
        <f aca="false">IF($B32="","",الموظفون!$L32*$J32/cfg_DAYS_M)</f>
        <v/>
      </c>
      <c r="L32" s="111" t="str">
        <f aca="false">IF($B32="","",الموظفون!$M32*$J32/cfg_DAYS_M)</f>
        <v/>
      </c>
      <c r="M32" s="111" t="str">
        <f aca="false">IF($B32="","",الموظفون!$N32*$J32/cfg_DAYS_M)</f>
        <v/>
      </c>
      <c r="N32" s="111" t="str">
        <f aca="false">IF($B32="","",الموظفون!$O32*$J32/cfg_DAYS_M)</f>
        <v/>
      </c>
      <c r="O32" s="151" t="str">
        <f aca="false">IF($B32="","",SUMIFS('الحركات الشهرية'!$F$6:$F$1005,'الحركات الشهرية'!$B$6:$B$1005,$B32,'الحركات الشهرية'!$A$6:$A$1005,$C$3))</f>
        <v/>
      </c>
      <c r="P32" s="111" t="str">
        <f aca="false">IF($B32="","",O32*(الموظفون!$P32+الموظفون!$L32*cfg_OT_P)/cfg_DAYS_M/cfg_HRS)</f>
        <v/>
      </c>
      <c r="Q32" s="111" t="str">
        <f aca="false">IF($B32="","",SUMIFS('الحركات الشهرية'!$G$6:$G$1005,'الحركات الشهرية'!$B$6:$B$1005,$B32,'الحركات الشهرية'!$A$6:$A$1005,$C$3))</f>
        <v/>
      </c>
      <c r="R32" s="111" t="str">
        <f aca="false">IF($B32="","",SUMIFS('الحركات الشهرية'!$H$6:$H$1005,'الحركات الشهرية'!$B$6:$B$1005,$B32,'الحركات الشهرية'!$A$6:$A$1005,$C$3))</f>
        <v/>
      </c>
      <c r="S32" s="111" t="str">
        <f aca="false">IF($B32="","",SUMIFS('سجل الإجازات والحالات'!$N$6:$N$505,'سجل الإجازات والحالات'!$B$6:$B$505,$B32,'سجل الإجازات والحالات'!$O$6:$O$505,$C$3))</f>
        <v/>
      </c>
      <c r="T32" s="152" t="str">
        <f aca="false">IF($B32="","",SUM(K32:N32)+SUM(P32:S32))</f>
        <v/>
      </c>
      <c r="U32" s="111" t="str">
        <f aca="false">IF($B32="","",الموظفون!$S32*IF(E32="سعودي",cfg_G_SE,cfg_G_NE)*G32/cfg_DAYS_M)</f>
        <v/>
      </c>
      <c r="V32" s="111" t="str">
        <f aca="false">IF($B32="","",SUMIFS('الحركات الشهرية'!$I$6:$I$1005,'الحركات الشهرية'!$B$6:$B$1005,$B32,'الحركات الشهرية'!$A$6:$A$1005,$C$3))</f>
        <v/>
      </c>
      <c r="W32" s="111" t="str">
        <f aca="false">IF($B32="","",SUMIFS('الحركات الشهرية'!$J$6:$J$1005,'الحركات الشهرية'!$B$6:$B$1005,$B32,'الحركات الشهرية'!$A$6:$A$1005,$C$3))</f>
        <v/>
      </c>
      <c r="X32" s="111" t="str">
        <f aca="false">IF($B32="","",SUM(U32:W32))</f>
        <v/>
      </c>
      <c r="Y32" s="153" t="str">
        <f aca="false">IF($B32="","",T32-X32)</f>
        <v/>
      </c>
      <c r="Z32" s="111" t="str">
        <f aca="false">IF($B32="","",الموظفون!$S32*IF(E32="سعودي",cfg_G_SR,cfg_G_NR)*G32/cfg_DAYS_M)</f>
        <v/>
      </c>
      <c r="AA32" s="111" t="str">
        <f aca="false">IF($B32="","",الموظفون!$Q32*(cfg_EOS_R1*(MIN(AH32,cfg_EOS_TH)-MIN(AI32,cfg_EOS_TH))+cfg_EOS_R2*(MAX(AH32-cfg_EOS_TH,0)-MAX(AI32-cfg_EOS_TH,0))))</f>
        <v/>
      </c>
      <c r="AB32" s="111" t="str">
        <f aca="false">IF($B32="","",IF(الموظفون!$T32&lt;&gt;"",الموظفون!$T32,IF(AH32&gt;=cfg_LV_TH,cfg_LV_D2,cfg_LV_D1))/cfg_DAYS_Y*AJ32*الموظفون!$R32/cfg_DAYS_M)</f>
        <v/>
      </c>
      <c r="AC32" s="111" t="str">
        <f aca="false">IF($B32="","",IF(AND(الموظفون!$U32="نعم",N(الموظفون!$W32)&gt;0),الموظفون!$V32/الموظفون!$W32*12/cfg_DAYS_Y*AJ32,0))</f>
        <v/>
      </c>
      <c r="AD32" s="111" t="str">
        <f aca="false">IF($B32="","",(IF(الموظفون!$X32&lt;&gt;"",الموظفون!$X32,IF(الموظفون!$E32="غير سعودي",cfg_IQ,0))+IF(الموظفون!$Y32&lt;&gt;"",الموظفون!$Y32,IF(الموظفون!$E32="غير سعودي",cfg_WP,0)))/12*G32/cfg_DAYS_M)</f>
        <v/>
      </c>
      <c r="AE32" s="111" t="str">
        <f aca="false">IF($B32="","",IF(الموظفون!$Z32&lt;&gt;"",الموظفون!$Z32,cfg_MED)/12*G32/cfg_DAYS_M)</f>
        <v/>
      </c>
      <c r="AF32" s="111" t="str">
        <f aca="false">IF($B32="","",N(الموظفون!$AA32)/12*G32/cfg_DAYS_M)</f>
        <v/>
      </c>
      <c r="AG32" s="154" t="str">
        <f aca="false">IF($B32="","",T32+SUM(Z32:AF32))</f>
        <v/>
      </c>
      <c r="AH32" s="155" t="str">
        <f aca="false">IF($B32="","",MAX(0,IF(OR(الموظفون!$AE32="",الموظفون!$AE32&gt;$F$3),$F$3,الموظفون!$AE32)-الموظفون!$H32+1-SUMIFS('سجل الإجازات والحالات'!$AK$6:$AK$505,'سجل الإجازات والحالات'!$B$6:$B$505,$B32))/cfg_DAYS_Y)</f>
        <v/>
      </c>
      <c r="AI32" s="155" t="str">
        <f aca="false">IF($B32="","",MAX(0,IF(OR(الموظفون!$AE32="",الموظفون!$AE32&gt;($E$3-1)),($E$3-1),الموظفون!$AE32)-الموظفون!$H32+1-SUMIFS('سجل الإجازات والحالات'!$AJ$6:$AJ$505,'سجل الإجازات والحالات'!$B$6:$B$505,$B32))/cfg_DAYS_Y)</f>
        <v/>
      </c>
      <c r="AJ32" s="65" t="str">
        <f aca="false">IF($B32="","",MAX(0,AK32-(SUMIFS('سجل الإجازات والحالات'!$AK$6:$AK$505,'سجل الإجازات والحالات'!$B$6:$B$505,$B32)-SUMIFS('سجل الإجازات والحالات'!$AJ$6:$AJ$505,'سجل الإجازات والحالات'!$B$6:$B$505,$B32))))</f>
        <v/>
      </c>
      <c r="AK32" s="65" t="str">
        <f aca="false">IF($B32="","",MAX(0,IF(OR(الموظفون!$AE32="",الموظفون!$AE32&gt;$F$3),$F$3,الموظفون!$AE32)-MAX($E$3,الموظفون!$H32)+1))</f>
        <v/>
      </c>
      <c r="AL32" s="151" t="str">
        <f aca="false">IF($B32="","",SUMIFS('سجل الإجازات والحالات'!$AW$6:$AW$505,'سجل الإجازات والحالات'!$B$6:$B$505,$B32)+SUMIFS('الحركات الشهرية'!$K$6:$K$1005,'الحركات الشهرية'!$B$6:$B$1005,$B32,'الحركات الشهرية'!$A$6:$A$1005,$C$3))</f>
        <v/>
      </c>
      <c r="AM32" s="111" t="str">
        <f aca="false">IF($B32="","",AL32*الموظفون!$R32/cfg_DAYS_M+S32)</f>
        <v/>
      </c>
      <c r="AN32" s="151" t="str">
        <f aca="false">IF($B32="","",SUMIFS('سجل الإجازات والحالات'!$Y$6:$Y$505,'سجل الإجازات والحالات'!$B$6:$B$505,$B32))</f>
        <v/>
      </c>
    </row>
    <row r="33" customFormat="false" ht="15" hidden="false" customHeight="false" outlineLevel="0" collapsed="false">
      <c r="A33" s="115" t="str">
        <f aca="false">IF($B33="","",الموظفون!$A33)</f>
        <v/>
      </c>
      <c r="B33" s="117" t="str">
        <f aca="false">IF(الموظفون!$B33="","",الموظفون!$B33)</f>
        <v/>
      </c>
      <c r="C33" s="117" t="str">
        <f aca="false">IF($B33="","",الموظفون!$C33)</f>
        <v/>
      </c>
      <c r="D33" s="117" t="str">
        <f aca="false">IF($B33="","",الموظفون!$F33)</f>
        <v/>
      </c>
      <c r="E33" s="117" t="str">
        <f aca="false">IF($B33="","",الموظفون!$E33)</f>
        <v/>
      </c>
      <c r="F33" s="117" t="str">
        <f aca="false">IF($B33="","",IF(AK33=0,IF(AND(الموظفون!$AE33&lt;&gt;"",الموظفون!$AE33&lt;$E$3),"✖ منتهي الخدمة","⏳ لم يباشر"),IF(S33&gt;0,"✈ راتب إجازة مقدم",IF(J33=0,"⛔ بدون راتب هذا الشهر",IF(I33&gt;0,"✈ خصم "&amp;ROUND(I33,2)&amp;" يوم بدون أجر",IF(AL33&gt;0,"🌴 إجازة سنوية "&amp;ROUND(AL33,2)&amp;" يوم",IF(H33&gt;0,"⚠ غياب "&amp;ROUND(H33,2)&amp;" يوم","✔ على رأس العمل")))))))</f>
        <v/>
      </c>
      <c r="G33" s="156" t="str">
        <f aca="false">IF($B33="","",IF(AK33&gt;=DAY($F$3),cfg_DAYS_M,MIN(AK33,cfg_DAYS_M)))</f>
        <v/>
      </c>
      <c r="H33" s="156" t="str">
        <f aca="false">IF($B33="","",SUMIFS('الحركات الشهرية'!$D$6:$D$1005,'الحركات الشهرية'!$B$6:$B$1005,$B33,'الحركات الشهرية'!$A$6:$A$1005,$C$3))</f>
        <v/>
      </c>
      <c r="I33" s="156" t="str">
        <f aca="false">IF($B33="","",MIN(G33,IF(AND(AK33&gt;0,AN33&gt;=AK33),G33,AN33)+SUMIFS('الحركات الشهرية'!$E$6:$E$1005,'الحركات الشهرية'!$B$6:$B$1005,$B33,'الحركات الشهرية'!$A$6:$A$1005,$C$3)))</f>
        <v/>
      </c>
      <c r="J33" s="156" t="str">
        <f aca="false">IF($B33="","",MAX(0,G33-H33-I33))</f>
        <v/>
      </c>
      <c r="K33" s="116" t="str">
        <f aca="false">IF($B33="","",الموظفون!$L33*$J33/cfg_DAYS_M)</f>
        <v/>
      </c>
      <c r="L33" s="116" t="str">
        <f aca="false">IF($B33="","",الموظفون!$M33*$J33/cfg_DAYS_M)</f>
        <v/>
      </c>
      <c r="M33" s="116" t="str">
        <f aca="false">IF($B33="","",الموظفون!$N33*$J33/cfg_DAYS_M)</f>
        <v/>
      </c>
      <c r="N33" s="116" t="str">
        <f aca="false">IF($B33="","",الموظفون!$O33*$J33/cfg_DAYS_M)</f>
        <v/>
      </c>
      <c r="O33" s="156" t="str">
        <f aca="false">IF($B33="","",SUMIFS('الحركات الشهرية'!$F$6:$F$1005,'الحركات الشهرية'!$B$6:$B$1005,$B33,'الحركات الشهرية'!$A$6:$A$1005,$C$3))</f>
        <v/>
      </c>
      <c r="P33" s="116" t="str">
        <f aca="false">IF($B33="","",O33*(الموظفون!$P33+الموظفون!$L33*cfg_OT_P)/cfg_DAYS_M/cfg_HRS)</f>
        <v/>
      </c>
      <c r="Q33" s="116" t="str">
        <f aca="false">IF($B33="","",SUMIFS('الحركات الشهرية'!$G$6:$G$1005,'الحركات الشهرية'!$B$6:$B$1005,$B33,'الحركات الشهرية'!$A$6:$A$1005,$C$3))</f>
        <v/>
      </c>
      <c r="R33" s="116" t="str">
        <f aca="false">IF($B33="","",SUMIFS('الحركات الشهرية'!$H$6:$H$1005,'الحركات الشهرية'!$B$6:$B$1005,$B33,'الحركات الشهرية'!$A$6:$A$1005,$C$3))</f>
        <v/>
      </c>
      <c r="S33" s="116" t="str">
        <f aca="false">IF($B33="","",SUMIFS('سجل الإجازات والحالات'!$N$6:$N$505,'سجل الإجازات والحالات'!$B$6:$B$505,$B33,'سجل الإجازات والحالات'!$O$6:$O$505,$C$3))</f>
        <v/>
      </c>
      <c r="T33" s="157" t="str">
        <f aca="false">IF($B33="","",SUM(K33:N33)+SUM(P33:S33))</f>
        <v/>
      </c>
      <c r="U33" s="116" t="str">
        <f aca="false">IF($B33="","",الموظفون!$S33*IF(E33="سعودي",cfg_G_SE,cfg_G_NE)*G33/cfg_DAYS_M)</f>
        <v/>
      </c>
      <c r="V33" s="116" t="str">
        <f aca="false">IF($B33="","",SUMIFS('الحركات الشهرية'!$I$6:$I$1005,'الحركات الشهرية'!$B$6:$B$1005,$B33,'الحركات الشهرية'!$A$6:$A$1005,$C$3))</f>
        <v/>
      </c>
      <c r="W33" s="116" t="str">
        <f aca="false">IF($B33="","",SUMIFS('الحركات الشهرية'!$J$6:$J$1005,'الحركات الشهرية'!$B$6:$B$1005,$B33,'الحركات الشهرية'!$A$6:$A$1005,$C$3))</f>
        <v/>
      </c>
      <c r="X33" s="116" t="str">
        <f aca="false">IF($B33="","",SUM(U33:W33))</f>
        <v/>
      </c>
      <c r="Y33" s="158" t="str">
        <f aca="false">IF($B33="","",T33-X33)</f>
        <v/>
      </c>
      <c r="Z33" s="116" t="str">
        <f aca="false">IF($B33="","",الموظفون!$S33*IF(E33="سعودي",cfg_G_SR,cfg_G_NR)*G33/cfg_DAYS_M)</f>
        <v/>
      </c>
      <c r="AA33" s="116" t="str">
        <f aca="false">IF($B33="","",الموظفون!$Q33*(cfg_EOS_R1*(MIN(AH33,cfg_EOS_TH)-MIN(AI33,cfg_EOS_TH))+cfg_EOS_R2*(MAX(AH33-cfg_EOS_TH,0)-MAX(AI33-cfg_EOS_TH,0))))</f>
        <v/>
      </c>
      <c r="AB33" s="116" t="str">
        <f aca="false">IF($B33="","",IF(الموظفون!$T33&lt;&gt;"",الموظفون!$T33,IF(AH33&gt;=cfg_LV_TH,cfg_LV_D2,cfg_LV_D1))/cfg_DAYS_Y*AJ33*الموظفون!$R33/cfg_DAYS_M)</f>
        <v/>
      </c>
      <c r="AC33" s="116" t="str">
        <f aca="false">IF($B33="","",IF(AND(الموظفون!$U33="نعم",N(الموظفون!$W33)&gt;0),الموظفون!$V33/الموظفون!$W33*12/cfg_DAYS_Y*AJ33,0))</f>
        <v/>
      </c>
      <c r="AD33" s="116" t="str">
        <f aca="false">IF($B33="","",(IF(الموظفون!$X33&lt;&gt;"",الموظفون!$X33,IF(الموظفون!$E33="غير سعودي",cfg_IQ,0))+IF(الموظفون!$Y33&lt;&gt;"",الموظفون!$Y33,IF(الموظفون!$E33="غير سعودي",cfg_WP,0)))/12*G33/cfg_DAYS_M)</f>
        <v/>
      </c>
      <c r="AE33" s="116" t="str">
        <f aca="false">IF($B33="","",IF(الموظفون!$Z33&lt;&gt;"",الموظفون!$Z33,cfg_MED)/12*G33/cfg_DAYS_M)</f>
        <v/>
      </c>
      <c r="AF33" s="116" t="str">
        <f aca="false">IF($B33="","",N(الموظفون!$AA33)/12*G33/cfg_DAYS_M)</f>
        <v/>
      </c>
      <c r="AG33" s="159" t="str">
        <f aca="false">IF($B33="","",T33+SUM(Z33:AF33))</f>
        <v/>
      </c>
      <c r="AH33" s="160" t="str">
        <f aca="false">IF($B33="","",MAX(0,IF(OR(الموظفون!$AE33="",الموظفون!$AE33&gt;$F$3),$F$3,الموظفون!$AE33)-الموظفون!$H33+1-SUMIFS('سجل الإجازات والحالات'!$AK$6:$AK$505,'سجل الإجازات والحالات'!$B$6:$B$505,$B33))/cfg_DAYS_Y)</f>
        <v/>
      </c>
      <c r="AI33" s="160" t="str">
        <f aca="false">IF($B33="","",MAX(0,IF(OR(الموظفون!$AE33="",الموظفون!$AE33&gt;($E$3-1)),($E$3-1),الموظفون!$AE33)-الموظفون!$H33+1-SUMIFS('سجل الإجازات والحالات'!$AJ$6:$AJ$505,'سجل الإجازات والحالات'!$B$6:$B$505,$B33))/cfg_DAYS_Y)</f>
        <v/>
      </c>
      <c r="AJ33" s="133" t="str">
        <f aca="false">IF($B33="","",MAX(0,AK33-(SUMIFS('سجل الإجازات والحالات'!$AK$6:$AK$505,'سجل الإجازات والحالات'!$B$6:$B$505,$B33)-SUMIFS('سجل الإجازات والحالات'!$AJ$6:$AJ$505,'سجل الإجازات والحالات'!$B$6:$B$505,$B33))))</f>
        <v/>
      </c>
      <c r="AK33" s="133" t="str">
        <f aca="false">IF($B33="","",MAX(0,IF(OR(الموظفون!$AE33="",الموظفون!$AE33&gt;$F$3),$F$3,الموظفون!$AE33)-MAX($E$3,الموظفون!$H33)+1))</f>
        <v/>
      </c>
      <c r="AL33" s="156" t="str">
        <f aca="false">IF($B33="","",SUMIFS('سجل الإجازات والحالات'!$AW$6:$AW$505,'سجل الإجازات والحالات'!$B$6:$B$505,$B33)+SUMIFS('الحركات الشهرية'!$K$6:$K$1005,'الحركات الشهرية'!$B$6:$B$1005,$B33,'الحركات الشهرية'!$A$6:$A$1005,$C$3))</f>
        <v/>
      </c>
      <c r="AM33" s="116" t="str">
        <f aca="false">IF($B33="","",AL33*الموظفون!$R33/cfg_DAYS_M+S33)</f>
        <v/>
      </c>
      <c r="AN33" s="156" t="str">
        <f aca="false">IF($B33="","",SUMIFS('سجل الإجازات والحالات'!$Y$6:$Y$505,'سجل الإجازات والحالات'!$B$6:$B$505,$B33))</f>
        <v/>
      </c>
    </row>
    <row r="34" customFormat="false" ht="15" hidden="false" customHeight="false" outlineLevel="0" collapsed="false">
      <c r="A34" s="106" t="str">
        <f aca="false">IF($B34="","",الموظفون!$A34)</f>
        <v/>
      </c>
      <c r="B34" s="114" t="str">
        <f aca="false">IF(الموظفون!$B34="","",الموظفون!$B34)</f>
        <v/>
      </c>
      <c r="C34" s="114" t="str">
        <f aca="false">IF($B34="","",الموظفون!$C34)</f>
        <v/>
      </c>
      <c r="D34" s="114" t="str">
        <f aca="false">IF($B34="","",الموظفون!$F34)</f>
        <v/>
      </c>
      <c r="E34" s="114" t="str">
        <f aca="false">IF($B34="","",الموظفون!$E34)</f>
        <v/>
      </c>
      <c r="F34" s="114" t="str">
        <f aca="false">IF($B34="","",IF(AK34=0,IF(AND(الموظفون!$AE34&lt;&gt;"",الموظفون!$AE34&lt;$E$3),"✖ منتهي الخدمة","⏳ لم يباشر"),IF(S34&gt;0,"✈ راتب إجازة مقدم",IF(J34=0,"⛔ بدون راتب هذا الشهر",IF(I34&gt;0,"✈ خصم "&amp;ROUND(I34,2)&amp;" يوم بدون أجر",IF(AL34&gt;0,"🌴 إجازة سنوية "&amp;ROUND(AL34,2)&amp;" يوم",IF(H34&gt;0,"⚠ غياب "&amp;ROUND(H34,2)&amp;" يوم","✔ على رأس العمل")))))))</f>
        <v/>
      </c>
      <c r="G34" s="151" t="str">
        <f aca="false">IF($B34="","",IF(AK34&gt;=DAY($F$3),cfg_DAYS_M,MIN(AK34,cfg_DAYS_M)))</f>
        <v/>
      </c>
      <c r="H34" s="151" t="str">
        <f aca="false">IF($B34="","",SUMIFS('الحركات الشهرية'!$D$6:$D$1005,'الحركات الشهرية'!$B$6:$B$1005,$B34,'الحركات الشهرية'!$A$6:$A$1005,$C$3))</f>
        <v/>
      </c>
      <c r="I34" s="151" t="str">
        <f aca="false">IF($B34="","",MIN(G34,IF(AND(AK34&gt;0,AN34&gt;=AK34),G34,AN34)+SUMIFS('الحركات الشهرية'!$E$6:$E$1005,'الحركات الشهرية'!$B$6:$B$1005,$B34,'الحركات الشهرية'!$A$6:$A$1005,$C$3)))</f>
        <v/>
      </c>
      <c r="J34" s="151" t="str">
        <f aca="false">IF($B34="","",MAX(0,G34-H34-I34))</f>
        <v/>
      </c>
      <c r="K34" s="111" t="str">
        <f aca="false">IF($B34="","",الموظفون!$L34*$J34/cfg_DAYS_M)</f>
        <v/>
      </c>
      <c r="L34" s="111" t="str">
        <f aca="false">IF($B34="","",الموظفون!$M34*$J34/cfg_DAYS_M)</f>
        <v/>
      </c>
      <c r="M34" s="111" t="str">
        <f aca="false">IF($B34="","",الموظفون!$N34*$J34/cfg_DAYS_M)</f>
        <v/>
      </c>
      <c r="N34" s="111" t="str">
        <f aca="false">IF($B34="","",الموظفون!$O34*$J34/cfg_DAYS_M)</f>
        <v/>
      </c>
      <c r="O34" s="151" t="str">
        <f aca="false">IF($B34="","",SUMIFS('الحركات الشهرية'!$F$6:$F$1005,'الحركات الشهرية'!$B$6:$B$1005,$B34,'الحركات الشهرية'!$A$6:$A$1005,$C$3))</f>
        <v/>
      </c>
      <c r="P34" s="111" t="str">
        <f aca="false">IF($B34="","",O34*(الموظفون!$P34+الموظفون!$L34*cfg_OT_P)/cfg_DAYS_M/cfg_HRS)</f>
        <v/>
      </c>
      <c r="Q34" s="111" t="str">
        <f aca="false">IF($B34="","",SUMIFS('الحركات الشهرية'!$G$6:$G$1005,'الحركات الشهرية'!$B$6:$B$1005,$B34,'الحركات الشهرية'!$A$6:$A$1005,$C$3))</f>
        <v/>
      </c>
      <c r="R34" s="111" t="str">
        <f aca="false">IF($B34="","",SUMIFS('الحركات الشهرية'!$H$6:$H$1005,'الحركات الشهرية'!$B$6:$B$1005,$B34,'الحركات الشهرية'!$A$6:$A$1005,$C$3))</f>
        <v/>
      </c>
      <c r="S34" s="111" t="str">
        <f aca="false">IF($B34="","",SUMIFS('سجل الإجازات والحالات'!$N$6:$N$505,'سجل الإجازات والحالات'!$B$6:$B$505,$B34,'سجل الإجازات والحالات'!$O$6:$O$505,$C$3))</f>
        <v/>
      </c>
      <c r="T34" s="152" t="str">
        <f aca="false">IF($B34="","",SUM(K34:N34)+SUM(P34:S34))</f>
        <v/>
      </c>
      <c r="U34" s="111" t="str">
        <f aca="false">IF($B34="","",الموظفون!$S34*IF(E34="سعودي",cfg_G_SE,cfg_G_NE)*G34/cfg_DAYS_M)</f>
        <v/>
      </c>
      <c r="V34" s="111" t="str">
        <f aca="false">IF($B34="","",SUMIFS('الحركات الشهرية'!$I$6:$I$1005,'الحركات الشهرية'!$B$6:$B$1005,$B34,'الحركات الشهرية'!$A$6:$A$1005,$C$3))</f>
        <v/>
      </c>
      <c r="W34" s="111" t="str">
        <f aca="false">IF($B34="","",SUMIFS('الحركات الشهرية'!$J$6:$J$1005,'الحركات الشهرية'!$B$6:$B$1005,$B34,'الحركات الشهرية'!$A$6:$A$1005,$C$3))</f>
        <v/>
      </c>
      <c r="X34" s="111" t="str">
        <f aca="false">IF($B34="","",SUM(U34:W34))</f>
        <v/>
      </c>
      <c r="Y34" s="153" t="str">
        <f aca="false">IF($B34="","",T34-X34)</f>
        <v/>
      </c>
      <c r="Z34" s="111" t="str">
        <f aca="false">IF($B34="","",الموظفون!$S34*IF(E34="سعودي",cfg_G_SR,cfg_G_NR)*G34/cfg_DAYS_M)</f>
        <v/>
      </c>
      <c r="AA34" s="111" t="str">
        <f aca="false">IF($B34="","",الموظفون!$Q34*(cfg_EOS_R1*(MIN(AH34,cfg_EOS_TH)-MIN(AI34,cfg_EOS_TH))+cfg_EOS_R2*(MAX(AH34-cfg_EOS_TH,0)-MAX(AI34-cfg_EOS_TH,0))))</f>
        <v/>
      </c>
      <c r="AB34" s="111" t="str">
        <f aca="false">IF($B34="","",IF(الموظفون!$T34&lt;&gt;"",الموظفون!$T34,IF(AH34&gt;=cfg_LV_TH,cfg_LV_D2,cfg_LV_D1))/cfg_DAYS_Y*AJ34*الموظفون!$R34/cfg_DAYS_M)</f>
        <v/>
      </c>
      <c r="AC34" s="111" t="str">
        <f aca="false">IF($B34="","",IF(AND(الموظفون!$U34="نعم",N(الموظفون!$W34)&gt;0),الموظفون!$V34/الموظفون!$W34*12/cfg_DAYS_Y*AJ34,0))</f>
        <v/>
      </c>
      <c r="AD34" s="111" t="str">
        <f aca="false">IF($B34="","",(IF(الموظفون!$X34&lt;&gt;"",الموظفون!$X34,IF(الموظفون!$E34="غير سعودي",cfg_IQ,0))+IF(الموظفون!$Y34&lt;&gt;"",الموظفون!$Y34,IF(الموظفون!$E34="غير سعودي",cfg_WP,0)))/12*G34/cfg_DAYS_M)</f>
        <v/>
      </c>
      <c r="AE34" s="111" t="str">
        <f aca="false">IF($B34="","",IF(الموظفون!$Z34&lt;&gt;"",الموظفون!$Z34,cfg_MED)/12*G34/cfg_DAYS_M)</f>
        <v/>
      </c>
      <c r="AF34" s="111" t="str">
        <f aca="false">IF($B34="","",N(الموظفون!$AA34)/12*G34/cfg_DAYS_M)</f>
        <v/>
      </c>
      <c r="AG34" s="154" t="str">
        <f aca="false">IF($B34="","",T34+SUM(Z34:AF34))</f>
        <v/>
      </c>
      <c r="AH34" s="155" t="str">
        <f aca="false">IF($B34="","",MAX(0,IF(OR(الموظفون!$AE34="",الموظفون!$AE34&gt;$F$3),$F$3,الموظفون!$AE34)-الموظفون!$H34+1-SUMIFS('سجل الإجازات والحالات'!$AK$6:$AK$505,'سجل الإجازات والحالات'!$B$6:$B$505,$B34))/cfg_DAYS_Y)</f>
        <v/>
      </c>
      <c r="AI34" s="155" t="str">
        <f aca="false">IF($B34="","",MAX(0,IF(OR(الموظفون!$AE34="",الموظفون!$AE34&gt;($E$3-1)),($E$3-1),الموظفون!$AE34)-الموظفون!$H34+1-SUMIFS('سجل الإجازات والحالات'!$AJ$6:$AJ$505,'سجل الإجازات والحالات'!$B$6:$B$505,$B34))/cfg_DAYS_Y)</f>
        <v/>
      </c>
      <c r="AJ34" s="65" t="str">
        <f aca="false">IF($B34="","",MAX(0,AK34-(SUMIFS('سجل الإجازات والحالات'!$AK$6:$AK$505,'سجل الإجازات والحالات'!$B$6:$B$505,$B34)-SUMIFS('سجل الإجازات والحالات'!$AJ$6:$AJ$505,'سجل الإجازات والحالات'!$B$6:$B$505,$B34))))</f>
        <v/>
      </c>
      <c r="AK34" s="65" t="str">
        <f aca="false">IF($B34="","",MAX(0,IF(OR(الموظفون!$AE34="",الموظفون!$AE34&gt;$F$3),$F$3,الموظفون!$AE34)-MAX($E$3,الموظفون!$H34)+1))</f>
        <v/>
      </c>
      <c r="AL34" s="151" t="str">
        <f aca="false">IF($B34="","",SUMIFS('سجل الإجازات والحالات'!$AW$6:$AW$505,'سجل الإجازات والحالات'!$B$6:$B$505,$B34)+SUMIFS('الحركات الشهرية'!$K$6:$K$1005,'الحركات الشهرية'!$B$6:$B$1005,$B34,'الحركات الشهرية'!$A$6:$A$1005,$C$3))</f>
        <v/>
      </c>
      <c r="AM34" s="111" t="str">
        <f aca="false">IF($B34="","",AL34*الموظفون!$R34/cfg_DAYS_M+S34)</f>
        <v/>
      </c>
      <c r="AN34" s="151" t="str">
        <f aca="false">IF($B34="","",SUMIFS('سجل الإجازات والحالات'!$Y$6:$Y$505,'سجل الإجازات والحالات'!$B$6:$B$505,$B34))</f>
        <v/>
      </c>
    </row>
    <row r="35" customFormat="false" ht="15" hidden="false" customHeight="false" outlineLevel="0" collapsed="false">
      <c r="A35" s="115" t="str">
        <f aca="false">IF($B35="","",الموظفون!$A35)</f>
        <v/>
      </c>
      <c r="B35" s="117" t="str">
        <f aca="false">IF(الموظفون!$B35="","",الموظفون!$B35)</f>
        <v/>
      </c>
      <c r="C35" s="117" t="str">
        <f aca="false">IF($B35="","",الموظفون!$C35)</f>
        <v/>
      </c>
      <c r="D35" s="117" t="str">
        <f aca="false">IF($B35="","",الموظفون!$F35)</f>
        <v/>
      </c>
      <c r="E35" s="117" t="str">
        <f aca="false">IF($B35="","",الموظفون!$E35)</f>
        <v/>
      </c>
      <c r="F35" s="117" t="str">
        <f aca="false">IF($B35="","",IF(AK35=0,IF(AND(الموظفون!$AE35&lt;&gt;"",الموظفون!$AE35&lt;$E$3),"✖ منتهي الخدمة","⏳ لم يباشر"),IF(S35&gt;0,"✈ راتب إجازة مقدم",IF(J35=0,"⛔ بدون راتب هذا الشهر",IF(I35&gt;0,"✈ خصم "&amp;ROUND(I35,2)&amp;" يوم بدون أجر",IF(AL35&gt;0,"🌴 إجازة سنوية "&amp;ROUND(AL35,2)&amp;" يوم",IF(H35&gt;0,"⚠ غياب "&amp;ROUND(H35,2)&amp;" يوم","✔ على رأس العمل")))))))</f>
        <v/>
      </c>
      <c r="G35" s="156" t="str">
        <f aca="false">IF($B35="","",IF(AK35&gt;=DAY($F$3),cfg_DAYS_M,MIN(AK35,cfg_DAYS_M)))</f>
        <v/>
      </c>
      <c r="H35" s="156" t="str">
        <f aca="false">IF($B35="","",SUMIFS('الحركات الشهرية'!$D$6:$D$1005,'الحركات الشهرية'!$B$6:$B$1005,$B35,'الحركات الشهرية'!$A$6:$A$1005,$C$3))</f>
        <v/>
      </c>
      <c r="I35" s="156" t="str">
        <f aca="false">IF($B35="","",MIN(G35,IF(AND(AK35&gt;0,AN35&gt;=AK35),G35,AN35)+SUMIFS('الحركات الشهرية'!$E$6:$E$1005,'الحركات الشهرية'!$B$6:$B$1005,$B35,'الحركات الشهرية'!$A$6:$A$1005,$C$3)))</f>
        <v/>
      </c>
      <c r="J35" s="156" t="str">
        <f aca="false">IF($B35="","",MAX(0,G35-H35-I35))</f>
        <v/>
      </c>
      <c r="K35" s="116" t="str">
        <f aca="false">IF($B35="","",الموظفون!$L35*$J35/cfg_DAYS_M)</f>
        <v/>
      </c>
      <c r="L35" s="116" t="str">
        <f aca="false">IF($B35="","",الموظفون!$M35*$J35/cfg_DAYS_M)</f>
        <v/>
      </c>
      <c r="M35" s="116" t="str">
        <f aca="false">IF($B35="","",الموظفون!$N35*$J35/cfg_DAYS_M)</f>
        <v/>
      </c>
      <c r="N35" s="116" t="str">
        <f aca="false">IF($B35="","",الموظفون!$O35*$J35/cfg_DAYS_M)</f>
        <v/>
      </c>
      <c r="O35" s="156" t="str">
        <f aca="false">IF($B35="","",SUMIFS('الحركات الشهرية'!$F$6:$F$1005,'الحركات الشهرية'!$B$6:$B$1005,$B35,'الحركات الشهرية'!$A$6:$A$1005,$C$3))</f>
        <v/>
      </c>
      <c r="P35" s="116" t="str">
        <f aca="false">IF($B35="","",O35*(الموظفون!$P35+الموظفون!$L35*cfg_OT_P)/cfg_DAYS_M/cfg_HRS)</f>
        <v/>
      </c>
      <c r="Q35" s="116" t="str">
        <f aca="false">IF($B35="","",SUMIFS('الحركات الشهرية'!$G$6:$G$1005,'الحركات الشهرية'!$B$6:$B$1005,$B35,'الحركات الشهرية'!$A$6:$A$1005,$C$3))</f>
        <v/>
      </c>
      <c r="R35" s="116" t="str">
        <f aca="false">IF($B35="","",SUMIFS('الحركات الشهرية'!$H$6:$H$1005,'الحركات الشهرية'!$B$6:$B$1005,$B35,'الحركات الشهرية'!$A$6:$A$1005,$C$3))</f>
        <v/>
      </c>
      <c r="S35" s="116" t="str">
        <f aca="false">IF($B35="","",SUMIFS('سجل الإجازات والحالات'!$N$6:$N$505,'سجل الإجازات والحالات'!$B$6:$B$505,$B35,'سجل الإجازات والحالات'!$O$6:$O$505,$C$3))</f>
        <v/>
      </c>
      <c r="T35" s="157" t="str">
        <f aca="false">IF($B35="","",SUM(K35:N35)+SUM(P35:S35))</f>
        <v/>
      </c>
      <c r="U35" s="116" t="str">
        <f aca="false">IF($B35="","",الموظفون!$S35*IF(E35="سعودي",cfg_G_SE,cfg_G_NE)*G35/cfg_DAYS_M)</f>
        <v/>
      </c>
      <c r="V35" s="116" t="str">
        <f aca="false">IF($B35="","",SUMIFS('الحركات الشهرية'!$I$6:$I$1005,'الحركات الشهرية'!$B$6:$B$1005,$B35,'الحركات الشهرية'!$A$6:$A$1005,$C$3))</f>
        <v/>
      </c>
      <c r="W35" s="116" t="str">
        <f aca="false">IF($B35="","",SUMIFS('الحركات الشهرية'!$J$6:$J$1005,'الحركات الشهرية'!$B$6:$B$1005,$B35,'الحركات الشهرية'!$A$6:$A$1005,$C$3))</f>
        <v/>
      </c>
      <c r="X35" s="116" t="str">
        <f aca="false">IF($B35="","",SUM(U35:W35))</f>
        <v/>
      </c>
      <c r="Y35" s="158" t="str">
        <f aca="false">IF($B35="","",T35-X35)</f>
        <v/>
      </c>
      <c r="Z35" s="116" t="str">
        <f aca="false">IF($B35="","",الموظفون!$S35*IF(E35="سعودي",cfg_G_SR,cfg_G_NR)*G35/cfg_DAYS_M)</f>
        <v/>
      </c>
      <c r="AA35" s="116" t="str">
        <f aca="false">IF($B35="","",الموظفون!$Q35*(cfg_EOS_R1*(MIN(AH35,cfg_EOS_TH)-MIN(AI35,cfg_EOS_TH))+cfg_EOS_R2*(MAX(AH35-cfg_EOS_TH,0)-MAX(AI35-cfg_EOS_TH,0))))</f>
        <v/>
      </c>
      <c r="AB35" s="116" t="str">
        <f aca="false">IF($B35="","",IF(الموظفون!$T35&lt;&gt;"",الموظفون!$T35,IF(AH35&gt;=cfg_LV_TH,cfg_LV_D2,cfg_LV_D1))/cfg_DAYS_Y*AJ35*الموظفون!$R35/cfg_DAYS_M)</f>
        <v/>
      </c>
      <c r="AC35" s="116" t="str">
        <f aca="false">IF($B35="","",IF(AND(الموظفون!$U35="نعم",N(الموظفون!$W35)&gt;0),الموظفون!$V35/الموظفون!$W35*12/cfg_DAYS_Y*AJ35,0))</f>
        <v/>
      </c>
      <c r="AD35" s="116" t="str">
        <f aca="false">IF($B35="","",(IF(الموظفون!$X35&lt;&gt;"",الموظفون!$X35,IF(الموظفون!$E35="غير سعودي",cfg_IQ,0))+IF(الموظفون!$Y35&lt;&gt;"",الموظفون!$Y35,IF(الموظفون!$E35="غير سعودي",cfg_WP,0)))/12*G35/cfg_DAYS_M)</f>
        <v/>
      </c>
      <c r="AE35" s="116" t="str">
        <f aca="false">IF($B35="","",IF(الموظفون!$Z35&lt;&gt;"",الموظفون!$Z35,cfg_MED)/12*G35/cfg_DAYS_M)</f>
        <v/>
      </c>
      <c r="AF35" s="116" t="str">
        <f aca="false">IF($B35="","",N(الموظفون!$AA35)/12*G35/cfg_DAYS_M)</f>
        <v/>
      </c>
      <c r="AG35" s="159" t="str">
        <f aca="false">IF($B35="","",T35+SUM(Z35:AF35))</f>
        <v/>
      </c>
      <c r="AH35" s="160" t="str">
        <f aca="false">IF($B35="","",MAX(0,IF(OR(الموظفون!$AE35="",الموظفون!$AE35&gt;$F$3),$F$3,الموظفون!$AE35)-الموظفون!$H35+1-SUMIFS('سجل الإجازات والحالات'!$AK$6:$AK$505,'سجل الإجازات والحالات'!$B$6:$B$505,$B35))/cfg_DAYS_Y)</f>
        <v/>
      </c>
      <c r="AI35" s="160" t="str">
        <f aca="false">IF($B35="","",MAX(0,IF(OR(الموظفون!$AE35="",الموظفون!$AE35&gt;($E$3-1)),($E$3-1),الموظفون!$AE35)-الموظفون!$H35+1-SUMIFS('سجل الإجازات والحالات'!$AJ$6:$AJ$505,'سجل الإجازات والحالات'!$B$6:$B$505,$B35))/cfg_DAYS_Y)</f>
        <v/>
      </c>
      <c r="AJ35" s="133" t="str">
        <f aca="false">IF($B35="","",MAX(0,AK35-(SUMIFS('سجل الإجازات والحالات'!$AK$6:$AK$505,'سجل الإجازات والحالات'!$B$6:$B$505,$B35)-SUMIFS('سجل الإجازات والحالات'!$AJ$6:$AJ$505,'سجل الإجازات والحالات'!$B$6:$B$505,$B35))))</f>
        <v/>
      </c>
      <c r="AK35" s="133" t="str">
        <f aca="false">IF($B35="","",MAX(0,IF(OR(الموظفون!$AE35="",الموظفون!$AE35&gt;$F$3),$F$3,الموظفون!$AE35)-MAX($E$3,الموظفون!$H35)+1))</f>
        <v/>
      </c>
      <c r="AL35" s="156" t="str">
        <f aca="false">IF($B35="","",SUMIFS('سجل الإجازات والحالات'!$AW$6:$AW$505,'سجل الإجازات والحالات'!$B$6:$B$505,$B35)+SUMIFS('الحركات الشهرية'!$K$6:$K$1005,'الحركات الشهرية'!$B$6:$B$1005,$B35,'الحركات الشهرية'!$A$6:$A$1005,$C$3))</f>
        <v/>
      </c>
      <c r="AM35" s="116" t="str">
        <f aca="false">IF($B35="","",AL35*الموظفون!$R35/cfg_DAYS_M+S35)</f>
        <v/>
      </c>
      <c r="AN35" s="156" t="str">
        <f aca="false">IF($B35="","",SUMIFS('سجل الإجازات والحالات'!$Y$6:$Y$505,'سجل الإجازات والحالات'!$B$6:$B$505,$B35))</f>
        <v/>
      </c>
    </row>
    <row r="36" customFormat="false" ht="15" hidden="false" customHeight="false" outlineLevel="0" collapsed="false">
      <c r="A36" s="106" t="str">
        <f aca="false">IF($B36="","",الموظفون!$A36)</f>
        <v/>
      </c>
      <c r="B36" s="114" t="str">
        <f aca="false">IF(الموظفون!$B36="","",الموظفون!$B36)</f>
        <v/>
      </c>
      <c r="C36" s="114" t="str">
        <f aca="false">IF($B36="","",الموظفون!$C36)</f>
        <v/>
      </c>
      <c r="D36" s="114" t="str">
        <f aca="false">IF($B36="","",الموظفون!$F36)</f>
        <v/>
      </c>
      <c r="E36" s="114" t="str">
        <f aca="false">IF($B36="","",الموظفون!$E36)</f>
        <v/>
      </c>
      <c r="F36" s="114" t="str">
        <f aca="false">IF($B36="","",IF(AK36=0,IF(AND(الموظفون!$AE36&lt;&gt;"",الموظفون!$AE36&lt;$E$3),"✖ منتهي الخدمة","⏳ لم يباشر"),IF(S36&gt;0,"✈ راتب إجازة مقدم",IF(J36=0,"⛔ بدون راتب هذا الشهر",IF(I36&gt;0,"✈ خصم "&amp;ROUND(I36,2)&amp;" يوم بدون أجر",IF(AL36&gt;0,"🌴 إجازة سنوية "&amp;ROUND(AL36,2)&amp;" يوم",IF(H36&gt;0,"⚠ غياب "&amp;ROUND(H36,2)&amp;" يوم","✔ على رأس العمل")))))))</f>
        <v/>
      </c>
      <c r="G36" s="151" t="str">
        <f aca="false">IF($B36="","",IF(AK36&gt;=DAY($F$3),cfg_DAYS_M,MIN(AK36,cfg_DAYS_M)))</f>
        <v/>
      </c>
      <c r="H36" s="151" t="str">
        <f aca="false">IF($B36="","",SUMIFS('الحركات الشهرية'!$D$6:$D$1005,'الحركات الشهرية'!$B$6:$B$1005,$B36,'الحركات الشهرية'!$A$6:$A$1005,$C$3))</f>
        <v/>
      </c>
      <c r="I36" s="151" t="str">
        <f aca="false">IF($B36="","",MIN(G36,IF(AND(AK36&gt;0,AN36&gt;=AK36),G36,AN36)+SUMIFS('الحركات الشهرية'!$E$6:$E$1005,'الحركات الشهرية'!$B$6:$B$1005,$B36,'الحركات الشهرية'!$A$6:$A$1005,$C$3)))</f>
        <v/>
      </c>
      <c r="J36" s="151" t="str">
        <f aca="false">IF($B36="","",MAX(0,G36-H36-I36))</f>
        <v/>
      </c>
      <c r="K36" s="111" t="str">
        <f aca="false">IF($B36="","",الموظفون!$L36*$J36/cfg_DAYS_M)</f>
        <v/>
      </c>
      <c r="L36" s="111" t="str">
        <f aca="false">IF($B36="","",الموظفون!$M36*$J36/cfg_DAYS_M)</f>
        <v/>
      </c>
      <c r="M36" s="111" t="str">
        <f aca="false">IF($B36="","",الموظفون!$N36*$J36/cfg_DAYS_M)</f>
        <v/>
      </c>
      <c r="N36" s="111" t="str">
        <f aca="false">IF($B36="","",الموظفون!$O36*$J36/cfg_DAYS_M)</f>
        <v/>
      </c>
      <c r="O36" s="151" t="str">
        <f aca="false">IF($B36="","",SUMIFS('الحركات الشهرية'!$F$6:$F$1005,'الحركات الشهرية'!$B$6:$B$1005,$B36,'الحركات الشهرية'!$A$6:$A$1005,$C$3))</f>
        <v/>
      </c>
      <c r="P36" s="111" t="str">
        <f aca="false">IF($B36="","",O36*(الموظفون!$P36+الموظفون!$L36*cfg_OT_P)/cfg_DAYS_M/cfg_HRS)</f>
        <v/>
      </c>
      <c r="Q36" s="111" t="str">
        <f aca="false">IF($B36="","",SUMIFS('الحركات الشهرية'!$G$6:$G$1005,'الحركات الشهرية'!$B$6:$B$1005,$B36,'الحركات الشهرية'!$A$6:$A$1005,$C$3))</f>
        <v/>
      </c>
      <c r="R36" s="111" t="str">
        <f aca="false">IF($B36="","",SUMIFS('الحركات الشهرية'!$H$6:$H$1005,'الحركات الشهرية'!$B$6:$B$1005,$B36,'الحركات الشهرية'!$A$6:$A$1005,$C$3))</f>
        <v/>
      </c>
      <c r="S36" s="111" t="str">
        <f aca="false">IF($B36="","",SUMIFS('سجل الإجازات والحالات'!$N$6:$N$505,'سجل الإجازات والحالات'!$B$6:$B$505,$B36,'سجل الإجازات والحالات'!$O$6:$O$505,$C$3))</f>
        <v/>
      </c>
      <c r="T36" s="152" t="str">
        <f aca="false">IF($B36="","",SUM(K36:N36)+SUM(P36:S36))</f>
        <v/>
      </c>
      <c r="U36" s="111" t="str">
        <f aca="false">IF($B36="","",الموظفون!$S36*IF(E36="سعودي",cfg_G_SE,cfg_G_NE)*G36/cfg_DAYS_M)</f>
        <v/>
      </c>
      <c r="V36" s="111" t="str">
        <f aca="false">IF($B36="","",SUMIFS('الحركات الشهرية'!$I$6:$I$1005,'الحركات الشهرية'!$B$6:$B$1005,$B36,'الحركات الشهرية'!$A$6:$A$1005,$C$3))</f>
        <v/>
      </c>
      <c r="W36" s="111" t="str">
        <f aca="false">IF($B36="","",SUMIFS('الحركات الشهرية'!$J$6:$J$1005,'الحركات الشهرية'!$B$6:$B$1005,$B36,'الحركات الشهرية'!$A$6:$A$1005,$C$3))</f>
        <v/>
      </c>
      <c r="X36" s="111" t="str">
        <f aca="false">IF($B36="","",SUM(U36:W36))</f>
        <v/>
      </c>
      <c r="Y36" s="153" t="str">
        <f aca="false">IF($B36="","",T36-X36)</f>
        <v/>
      </c>
      <c r="Z36" s="111" t="str">
        <f aca="false">IF($B36="","",الموظفون!$S36*IF(E36="سعودي",cfg_G_SR,cfg_G_NR)*G36/cfg_DAYS_M)</f>
        <v/>
      </c>
      <c r="AA36" s="111" t="str">
        <f aca="false">IF($B36="","",الموظفون!$Q36*(cfg_EOS_R1*(MIN(AH36,cfg_EOS_TH)-MIN(AI36,cfg_EOS_TH))+cfg_EOS_R2*(MAX(AH36-cfg_EOS_TH,0)-MAX(AI36-cfg_EOS_TH,0))))</f>
        <v/>
      </c>
      <c r="AB36" s="111" t="str">
        <f aca="false">IF($B36="","",IF(الموظفون!$T36&lt;&gt;"",الموظفون!$T36,IF(AH36&gt;=cfg_LV_TH,cfg_LV_D2,cfg_LV_D1))/cfg_DAYS_Y*AJ36*الموظفون!$R36/cfg_DAYS_M)</f>
        <v/>
      </c>
      <c r="AC36" s="111" t="str">
        <f aca="false">IF($B36="","",IF(AND(الموظفون!$U36="نعم",N(الموظفون!$W36)&gt;0),الموظفون!$V36/الموظفون!$W36*12/cfg_DAYS_Y*AJ36,0))</f>
        <v/>
      </c>
      <c r="AD36" s="111" t="str">
        <f aca="false">IF($B36="","",(IF(الموظفون!$X36&lt;&gt;"",الموظفون!$X36,IF(الموظفون!$E36="غير سعودي",cfg_IQ,0))+IF(الموظفون!$Y36&lt;&gt;"",الموظفون!$Y36,IF(الموظفون!$E36="غير سعودي",cfg_WP,0)))/12*G36/cfg_DAYS_M)</f>
        <v/>
      </c>
      <c r="AE36" s="111" t="str">
        <f aca="false">IF($B36="","",IF(الموظفون!$Z36&lt;&gt;"",الموظفون!$Z36,cfg_MED)/12*G36/cfg_DAYS_M)</f>
        <v/>
      </c>
      <c r="AF36" s="111" t="str">
        <f aca="false">IF($B36="","",N(الموظفون!$AA36)/12*G36/cfg_DAYS_M)</f>
        <v/>
      </c>
      <c r="AG36" s="154" t="str">
        <f aca="false">IF($B36="","",T36+SUM(Z36:AF36))</f>
        <v/>
      </c>
      <c r="AH36" s="155" t="str">
        <f aca="false">IF($B36="","",MAX(0,IF(OR(الموظفون!$AE36="",الموظفون!$AE36&gt;$F$3),$F$3,الموظفون!$AE36)-الموظفون!$H36+1-SUMIFS('سجل الإجازات والحالات'!$AK$6:$AK$505,'سجل الإجازات والحالات'!$B$6:$B$505,$B36))/cfg_DAYS_Y)</f>
        <v/>
      </c>
      <c r="AI36" s="155" t="str">
        <f aca="false">IF($B36="","",MAX(0,IF(OR(الموظفون!$AE36="",الموظفون!$AE36&gt;($E$3-1)),($E$3-1),الموظفون!$AE36)-الموظفون!$H36+1-SUMIFS('سجل الإجازات والحالات'!$AJ$6:$AJ$505,'سجل الإجازات والحالات'!$B$6:$B$505,$B36))/cfg_DAYS_Y)</f>
        <v/>
      </c>
      <c r="AJ36" s="65" t="str">
        <f aca="false">IF($B36="","",MAX(0,AK36-(SUMIFS('سجل الإجازات والحالات'!$AK$6:$AK$505,'سجل الإجازات والحالات'!$B$6:$B$505,$B36)-SUMIFS('سجل الإجازات والحالات'!$AJ$6:$AJ$505,'سجل الإجازات والحالات'!$B$6:$B$505,$B36))))</f>
        <v/>
      </c>
      <c r="AK36" s="65" t="str">
        <f aca="false">IF($B36="","",MAX(0,IF(OR(الموظفون!$AE36="",الموظفون!$AE36&gt;$F$3),$F$3,الموظفون!$AE36)-MAX($E$3,الموظفون!$H36)+1))</f>
        <v/>
      </c>
      <c r="AL36" s="151" t="str">
        <f aca="false">IF($B36="","",SUMIFS('سجل الإجازات والحالات'!$AW$6:$AW$505,'سجل الإجازات والحالات'!$B$6:$B$505,$B36)+SUMIFS('الحركات الشهرية'!$K$6:$K$1005,'الحركات الشهرية'!$B$6:$B$1005,$B36,'الحركات الشهرية'!$A$6:$A$1005,$C$3))</f>
        <v/>
      </c>
      <c r="AM36" s="111" t="str">
        <f aca="false">IF($B36="","",AL36*الموظفون!$R36/cfg_DAYS_M+S36)</f>
        <v/>
      </c>
      <c r="AN36" s="151" t="str">
        <f aca="false">IF($B36="","",SUMIFS('سجل الإجازات والحالات'!$Y$6:$Y$505,'سجل الإجازات والحالات'!$B$6:$B$505,$B36))</f>
        <v/>
      </c>
    </row>
    <row r="37" customFormat="false" ht="15" hidden="false" customHeight="false" outlineLevel="0" collapsed="false">
      <c r="A37" s="115" t="str">
        <f aca="false">IF($B37="","",الموظفون!$A37)</f>
        <v/>
      </c>
      <c r="B37" s="117" t="str">
        <f aca="false">IF(الموظفون!$B37="","",الموظفون!$B37)</f>
        <v/>
      </c>
      <c r="C37" s="117" t="str">
        <f aca="false">IF($B37="","",الموظفون!$C37)</f>
        <v/>
      </c>
      <c r="D37" s="117" t="str">
        <f aca="false">IF($B37="","",الموظفون!$F37)</f>
        <v/>
      </c>
      <c r="E37" s="117" t="str">
        <f aca="false">IF($B37="","",الموظفون!$E37)</f>
        <v/>
      </c>
      <c r="F37" s="117" t="str">
        <f aca="false">IF($B37="","",IF(AK37=0,IF(AND(الموظفون!$AE37&lt;&gt;"",الموظفون!$AE37&lt;$E$3),"✖ منتهي الخدمة","⏳ لم يباشر"),IF(S37&gt;0,"✈ راتب إجازة مقدم",IF(J37=0,"⛔ بدون راتب هذا الشهر",IF(I37&gt;0,"✈ خصم "&amp;ROUND(I37,2)&amp;" يوم بدون أجر",IF(AL37&gt;0,"🌴 إجازة سنوية "&amp;ROUND(AL37,2)&amp;" يوم",IF(H37&gt;0,"⚠ غياب "&amp;ROUND(H37,2)&amp;" يوم","✔ على رأس العمل")))))))</f>
        <v/>
      </c>
      <c r="G37" s="156" t="str">
        <f aca="false">IF($B37="","",IF(AK37&gt;=DAY($F$3),cfg_DAYS_M,MIN(AK37,cfg_DAYS_M)))</f>
        <v/>
      </c>
      <c r="H37" s="156" t="str">
        <f aca="false">IF($B37="","",SUMIFS('الحركات الشهرية'!$D$6:$D$1005,'الحركات الشهرية'!$B$6:$B$1005,$B37,'الحركات الشهرية'!$A$6:$A$1005,$C$3))</f>
        <v/>
      </c>
      <c r="I37" s="156" t="str">
        <f aca="false">IF($B37="","",MIN(G37,IF(AND(AK37&gt;0,AN37&gt;=AK37),G37,AN37)+SUMIFS('الحركات الشهرية'!$E$6:$E$1005,'الحركات الشهرية'!$B$6:$B$1005,$B37,'الحركات الشهرية'!$A$6:$A$1005,$C$3)))</f>
        <v/>
      </c>
      <c r="J37" s="156" t="str">
        <f aca="false">IF($B37="","",MAX(0,G37-H37-I37))</f>
        <v/>
      </c>
      <c r="K37" s="116" t="str">
        <f aca="false">IF($B37="","",الموظفون!$L37*$J37/cfg_DAYS_M)</f>
        <v/>
      </c>
      <c r="L37" s="116" t="str">
        <f aca="false">IF($B37="","",الموظفون!$M37*$J37/cfg_DAYS_M)</f>
        <v/>
      </c>
      <c r="M37" s="116" t="str">
        <f aca="false">IF($B37="","",الموظفون!$N37*$J37/cfg_DAYS_M)</f>
        <v/>
      </c>
      <c r="N37" s="116" t="str">
        <f aca="false">IF($B37="","",الموظفون!$O37*$J37/cfg_DAYS_M)</f>
        <v/>
      </c>
      <c r="O37" s="156" t="str">
        <f aca="false">IF($B37="","",SUMIFS('الحركات الشهرية'!$F$6:$F$1005,'الحركات الشهرية'!$B$6:$B$1005,$B37,'الحركات الشهرية'!$A$6:$A$1005,$C$3))</f>
        <v/>
      </c>
      <c r="P37" s="116" t="str">
        <f aca="false">IF($B37="","",O37*(الموظفون!$P37+الموظفون!$L37*cfg_OT_P)/cfg_DAYS_M/cfg_HRS)</f>
        <v/>
      </c>
      <c r="Q37" s="116" t="str">
        <f aca="false">IF($B37="","",SUMIFS('الحركات الشهرية'!$G$6:$G$1005,'الحركات الشهرية'!$B$6:$B$1005,$B37,'الحركات الشهرية'!$A$6:$A$1005,$C$3))</f>
        <v/>
      </c>
      <c r="R37" s="116" t="str">
        <f aca="false">IF($B37="","",SUMIFS('الحركات الشهرية'!$H$6:$H$1005,'الحركات الشهرية'!$B$6:$B$1005,$B37,'الحركات الشهرية'!$A$6:$A$1005,$C$3))</f>
        <v/>
      </c>
      <c r="S37" s="116" t="str">
        <f aca="false">IF($B37="","",SUMIFS('سجل الإجازات والحالات'!$N$6:$N$505,'سجل الإجازات والحالات'!$B$6:$B$505,$B37,'سجل الإجازات والحالات'!$O$6:$O$505,$C$3))</f>
        <v/>
      </c>
      <c r="T37" s="157" t="str">
        <f aca="false">IF($B37="","",SUM(K37:N37)+SUM(P37:S37))</f>
        <v/>
      </c>
      <c r="U37" s="116" t="str">
        <f aca="false">IF($B37="","",الموظفون!$S37*IF(E37="سعودي",cfg_G_SE,cfg_G_NE)*G37/cfg_DAYS_M)</f>
        <v/>
      </c>
      <c r="V37" s="116" t="str">
        <f aca="false">IF($B37="","",SUMIFS('الحركات الشهرية'!$I$6:$I$1005,'الحركات الشهرية'!$B$6:$B$1005,$B37,'الحركات الشهرية'!$A$6:$A$1005,$C$3))</f>
        <v/>
      </c>
      <c r="W37" s="116" t="str">
        <f aca="false">IF($B37="","",SUMIFS('الحركات الشهرية'!$J$6:$J$1005,'الحركات الشهرية'!$B$6:$B$1005,$B37,'الحركات الشهرية'!$A$6:$A$1005,$C$3))</f>
        <v/>
      </c>
      <c r="X37" s="116" t="str">
        <f aca="false">IF($B37="","",SUM(U37:W37))</f>
        <v/>
      </c>
      <c r="Y37" s="158" t="str">
        <f aca="false">IF($B37="","",T37-X37)</f>
        <v/>
      </c>
      <c r="Z37" s="116" t="str">
        <f aca="false">IF($B37="","",الموظفون!$S37*IF(E37="سعودي",cfg_G_SR,cfg_G_NR)*G37/cfg_DAYS_M)</f>
        <v/>
      </c>
      <c r="AA37" s="116" t="str">
        <f aca="false">IF($B37="","",الموظفون!$Q37*(cfg_EOS_R1*(MIN(AH37,cfg_EOS_TH)-MIN(AI37,cfg_EOS_TH))+cfg_EOS_R2*(MAX(AH37-cfg_EOS_TH,0)-MAX(AI37-cfg_EOS_TH,0))))</f>
        <v/>
      </c>
      <c r="AB37" s="116" t="str">
        <f aca="false">IF($B37="","",IF(الموظفون!$T37&lt;&gt;"",الموظفون!$T37,IF(AH37&gt;=cfg_LV_TH,cfg_LV_D2,cfg_LV_D1))/cfg_DAYS_Y*AJ37*الموظفون!$R37/cfg_DAYS_M)</f>
        <v/>
      </c>
      <c r="AC37" s="116" t="str">
        <f aca="false">IF($B37="","",IF(AND(الموظفون!$U37="نعم",N(الموظفون!$W37)&gt;0),الموظفون!$V37/الموظفون!$W37*12/cfg_DAYS_Y*AJ37,0))</f>
        <v/>
      </c>
      <c r="AD37" s="116" t="str">
        <f aca="false">IF($B37="","",(IF(الموظفون!$X37&lt;&gt;"",الموظفون!$X37,IF(الموظفون!$E37="غير سعودي",cfg_IQ,0))+IF(الموظفون!$Y37&lt;&gt;"",الموظفون!$Y37,IF(الموظفون!$E37="غير سعودي",cfg_WP,0)))/12*G37/cfg_DAYS_M)</f>
        <v/>
      </c>
      <c r="AE37" s="116" t="str">
        <f aca="false">IF($B37="","",IF(الموظفون!$Z37&lt;&gt;"",الموظفون!$Z37,cfg_MED)/12*G37/cfg_DAYS_M)</f>
        <v/>
      </c>
      <c r="AF37" s="116" t="str">
        <f aca="false">IF($B37="","",N(الموظفون!$AA37)/12*G37/cfg_DAYS_M)</f>
        <v/>
      </c>
      <c r="AG37" s="159" t="str">
        <f aca="false">IF($B37="","",T37+SUM(Z37:AF37))</f>
        <v/>
      </c>
      <c r="AH37" s="160" t="str">
        <f aca="false">IF($B37="","",MAX(0,IF(OR(الموظفون!$AE37="",الموظفون!$AE37&gt;$F$3),$F$3,الموظفون!$AE37)-الموظفون!$H37+1-SUMIFS('سجل الإجازات والحالات'!$AK$6:$AK$505,'سجل الإجازات والحالات'!$B$6:$B$505,$B37))/cfg_DAYS_Y)</f>
        <v/>
      </c>
      <c r="AI37" s="160" t="str">
        <f aca="false">IF($B37="","",MAX(0,IF(OR(الموظفون!$AE37="",الموظفون!$AE37&gt;($E$3-1)),($E$3-1),الموظفون!$AE37)-الموظفون!$H37+1-SUMIFS('سجل الإجازات والحالات'!$AJ$6:$AJ$505,'سجل الإجازات والحالات'!$B$6:$B$505,$B37))/cfg_DAYS_Y)</f>
        <v/>
      </c>
      <c r="AJ37" s="133" t="str">
        <f aca="false">IF($B37="","",MAX(0,AK37-(SUMIFS('سجل الإجازات والحالات'!$AK$6:$AK$505,'سجل الإجازات والحالات'!$B$6:$B$505,$B37)-SUMIFS('سجل الإجازات والحالات'!$AJ$6:$AJ$505,'سجل الإجازات والحالات'!$B$6:$B$505,$B37))))</f>
        <v/>
      </c>
      <c r="AK37" s="133" t="str">
        <f aca="false">IF($B37="","",MAX(0,IF(OR(الموظفون!$AE37="",الموظفون!$AE37&gt;$F$3),$F$3,الموظفون!$AE37)-MAX($E$3,الموظفون!$H37)+1))</f>
        <v/>
      </c>
      <c r="AL37" s="156" t="str">
        <f aca="false">IF($B37="","",SUMIFS('سجل الإجازات والحالات'!$AW$6:$AW$505,'سجل الإجازات والحالات'!$B$6:$B$505,$B37)+SUMIFS('الحركات الشهرية'!$K$6:$K$1005,'الحركات الشهرية'!$B$6:$B$1005,$B37,'الحركات الشهرية'!$A$6:$A$1005,$C$3))</f>
        <v/>
      </c>
      <c r="AM37" s="116" t="str">
        <f aca="false">IF($B37="","",AL37*الموظفون!$R37/cfg_DAYS_M+S37)</f>
        <v/>
      </c>
      <c r="AN37" s="156" t="str">
        <f aca="false">IF($B37="","",SUMIFS('سجل الإجازات والحالات'!$Y$6:$Y$505,'سجل الإجازات والحالات'!$B$6:$B$505,$B37))</f>
        <v/>
      </c>
    </row>
    <row r="38" customFormat="false" ht="15" hidden="false" customHeight="false" outlineLevel="0" collapsed="false">
      <c r="A38" s="106" t="str">
        <f aca="false">IF($B38="","",الموظفون!$A38)</f>
        <v/>
      </c>
      <c r="B38" s="114" t="str">
        <f aca="false">IF(الموظفون!$B38="","",الموظفون!$B38)</f>
        <v/>
      </c>
      <c r="C38" s="114" t="str">
        <f aca="false">IF($B38="","",الموظفون!$C38)</f>
        <v/>
      </c>
      <c r="D38" s="114" t="str">
        <f aca="false">IF($B38="","",الموظفون!$F38)</f>
        <v/>
      </c>
      <c r="E38" s="114" t="str">
        <f aca="false">IF($B38="","",الموظفون!$E38)</f>
        <v/>
      </c>
      <c r="F38" s="114" t="str">
        <f aca="false">IF($B38="","",IF(AK38=0,IF(AND(الموظفون!$AE38&lt;&gt;"",الموظفون!$AE38&lt;$E$3),"✖ منتهي الخدمة","⏳ لم يباشر"),IF(S38&gt;0,"✈ راتب إجازة مقدم",IF(J38=0,"⛔ بدون راتب هذا الشهر",IF(I38&gt;0,"✈ خصم "&amp;ROUND(I38,2)&amp;" يوم بدون أجر",IF(AL38&gt;0,"🌴 إجازة سنوية "&amp;ROUND(AL38,2)&amp;" يوم",IF(H38&gt;0,"⚠ غياب "&amp;ROUND(H38,2)&amp;" يوم","✔ على رأس العمل")))))))</f>
        <v/>
      </c>
      <c r="G38" s="151" t="str">
        <f aca="false">IF($B38="","",IF(AK38&gt;=DAY($F$3),cfg_DAYS_M,MIN(AK38,cfg_DAYS_M)))</f>
        <v/>
      </c>
      <c r="H38" s="151" t="str">
        <f aca="false">IF($B38="","",SUMIFS('الحركات الشهرية'!$D$6:$D$1005,'الحركات الشهرية'!$B$6:$B$1005,$B38,'الحركات الشهرية'!$A$6:$A$1005,$C$3))</f>
        <v/>
      </c>
      <c r="I38" s="151" t="str">
        <f aca="false">IF($B38="","",MIN(G38,IF(AND(AK38&gt;0,AN38&gt;=AK38),G38,AN38)+SUMIFS('الحركات الشهرية'!$E$6:$E$1005,'الحركات الشهرية'!$B$6:$B$1005,$B38,'الحركات الشهرية'!$A$6:$A$1005,$C$3)))</f>
        <v/>
      </c>
      <c r="J38" s="151" t="str">
        <f aca="false">IF($B38="","",MAX(0,G38-H38-I38))</f>
        <v/>
      </c>
      <c r="K38" s="111" t="str">
        <f aca="false">IF($B38="","",الموظفون!$L38*$J38/cfg_DAYS_M)</f>
        <v/>
      </c>
      <c r="L38" s="111" t="str">
        <f aca="false">IF($B38="","",الموظفون!$M38*$J38/cfg_DAYS_M)</f>
        <v/>
      </c>
      <c r="M38" s="111" t="str">
        <f aca="false">IF($B38="","",الموظفون!$N38*$J38/cfg_DAYS_M)</f>
        <v/>
      </c>
      <c r="N38" s="111" t="str">
        <f aca="false">IF($B38="","",الموظفون!$O38*$J38/cfg_DAYS_M)</f>
        <v/>
      </c>
      <c r="O38" s="151" t="str">
        <f aca="false">IF($B38="","",SUMIFS('الحركات الشهرية'!$F$6:$F$1005,'الحركات الشهرية'!$B$6:$B$1005,$B38,'الحركات الشهرية'!$A$6:$A$1005,$C$3))</f>
        <v/>
      </c>
      <c r="P38" s="111" t="str">
        <f aca="false">IF($B38="","",O38*(الموظفون!$P38+الموظفون!$L38*cfg_OT_P)/cfg_DAYS_M/cfg_HRS)</f>
        <v/>
      </c>
      <c r="Q38" s="111" t="str">
        <f aca="false">IF($B38="","",SUMIFS('الحركات الشهرية'!$G$6:$G$1005,'الحركات الشهرية'!$B$6:$B$1005,$B38,'الحركات الشهرية'!$A$6:$A$1005,$C$3))</f>
        <v/>
      </c>
      <c r="R38" s="111" t="str">
        <f aca="false">IF($B38="","",SUMIFS('الحركات الشهرية'!$H$6:$H$1005,'الحركات الشهرية'!$B$6:$B$1005,$B38,'الحركات الشهرية'!$A$6:$A$1005,$C$3))</f>
        <v/>
      </c>
      <c r="S38" s="111" t="str">
        <f aca="false">IF($B38="","",SUMIFS('سجل الإجازات والحالات'!$N$6:$N$505,'سجل الإجازات والحالات'!$B$6:$B$505,$B38,'سجل الإجازات والحالات'!$O$6:$O$505,$C$3))</f>
        <v/>
      </c>
      <c r="T38" s="152" t="str">
        <f aca="false">IF($B38="","",SUM(K38:N38)+SUM(P38:S38))</f>
        <v/>
      </c>
      <c r="U38" s="111" t="str">
        <f aca="false">IF($B38="","",الموظفون!$S38*IF(E38="سعودي",cfg_G_SE,cfg_G_NE)*G38/cfg_DAYS_M)</f>
        <v/>
      </c>
      <c r="V38" s="111" t="str">
        <f aca="false">IF($B38="","",SUMIFS('الحركات الشهرية'!$I$6:$I$1005,'الحركات الشهرية'!$B$6:$B$1005,$B38,'الحركات الشهرية'!$A$6:$A$1005,$C$3))</f>
        <v/>
      </c>
      <c r="W38" s="111" t="str">
        <f aca="false">IF($B38="","",SUMIFS('الحركات الشهرية'!$J$6:$J$1005,'الحركات الشهرية'!$B$6:$B$1005,$B38,'الحركات الشهرية'!$A$6:$A$1005,$C$3))</f>
        <v/>
      </c>
      <c r="X38" s="111" t="str">
        <f aca="false">IF($B38="","",SUM(U38:W38))</f>
        <v/>
      </c>
      <c r="Y38" s="153" t="str">
        <f aca="false">IF($B38="","",T38-X38)</f>
        <v/>
      </c>
      <c r="Z38" s="111" t="str">
        <f aca="false">IF($B38="","",الموظفون!$S38*IF(E38="سعودي",cfg_G_SR,cfg_G_NR)*G38/cfg_DAYS_M)</f>
        <v/>
      </c>
      <c r="AA38" s="111" t="str">
        <f aca="false">IF($B38="","",الموظفون!$Q38*(cfg_EOS_R1*(MIN(AH38,cfg_EOS_TH)-MIN(AI38,cfg_EOS_TH))+cfg_EOS_R2*(MAX(AH38-cfg_EOS_TH,0)-MAX(AI38-cfg_EOS_TH,0))))</f>
        <v/>
      </c>
      <c r="AB38" s="111" t="str">
        <f aca="false">IF($B38="","",IF(الموظفون!$T38&lt;&gt;"",الموظفون!$T38,IF(AH38&gt;=cfg_LV_TH,cfg_LV_D2,cfg_LV_D1))/cfg_DAYS_Y*AJ38*الموظفون!$R38/cfg_DAYS_M)</f>
        <v/>
      </c>
      <c r="AC38" s="111" t="str">
        <f aca="false">IF($B38="","",IF(AND(الموظفون!$U38="نعم",N(الموظفون!$W38)&gt;0),الموظفون!$V38/الموظفون!$W38*12/cfg_DAYS_Y*AJ38,0))</f>
        <v/>
      </c>
      <c r="AD38" s="111" t="str">
        <f aca="false">IF($B38="","",(IF(الموظفون!$X38&lt;&gt;"",الموظفون!$X38,IF(الموظفون!$E38="غير سعودي",cfg_IQ,0))+IF(الموظفون!$Y38&lt;&gt;"",الموظفون!$Y38,IF(الموظفون!$E38="غير سعودي",cfg_WP,0)))/12*G38/cfg_DAYS_M)</f>
        <v/>
      </c>
      <c r="AE38" s="111" t="str">
        <f aca="false">IF($B38="","",IF(الموظفون!$Z38&lt;&gt;"",الموظفون!$Z38,cfg_MED)/12*G38/cfg_DAYS_M)</f>
        <v/>
      </c>
      <c r="AF38" s="111" t="str">
        <f aca="false">IF($B38="","",N(الموظفون!$AA38)/12*G38/cfg_DAYS_M)</f>
        <v/>
      </c>
      <c r="AG38" s="154" t="str">
        <f aca="false">IF($B38="","",T38+SUM(Z38:AF38))</f>
        <v/>
      </c>
      <c r="AH38" s="155" t="str">
        <f aca="false">IF($B38="","",MAX(0,IF(OR(الموظفون!$AE38="",الموظفون!$AE38&gt;$F$3),$F$3,الموظفون!$AE38)-الموظفون!$H38+1-SUMIFS('سجل الإجازات والحالات'!$AK$6:$AK$505,'سجل الإجازات والحالات'!$B$6:$B$505,$B38))/cfg_DAYS_Y)</f>
        <v/>
      </c>
      <c r="AI38" s="155" t="str">
        <f aca="false">IF($B38="","",MAX(0,IF(OR(الموظفون!$AE38="",الموظفون!$AE38&gt;($E$3-1)),($E$3-1),الموظفون!$AE38)-الموظفون!$H38+1-SUMIFS('سجل الإجازات والحالات'!$AJ$6:$AJ$505,'سجل الإجازات والحالات'!$B$6:$B$505,$B38))/cfg_DAYS_Y)</f>
        <v/>
      </c>
      <c r="AJ38" s="65" t="str">
        <f aca="false">IF($B38="","",MAX(0,AK38-(SUMIFS('سجل الإجازات والحالات'!$AK$6:$AK$505,'سجل الإجازات والحالات'!$B$6:$B$505,$B38)-SUMIFS('سجل الإجازات والحالات'!$AJ$6:$AJ$505,'سجل الإجازات والحالات'!$B$6:$B$505,$B38))))</f>
        <v/>
      </c>
      <c r="AK38" s="65" t="str">
        <f aca="false">IF($B38="","",MAX(0,IF(OR(الموظفون!$AE38="",الموظفون!$AE38&gt;$F$3),$F$3,الموظفون!$AE38)-MAX($E$3,الموظفون!$H38)+1))</f>
        <v/>
      </c>
      <c r="AL38" s="151" t="str">
        <f aca="false">IF($B38="","",SUMIFS('سجل الإجازات والحالات'!$AW$6:$AW$505,'سجل الإجازات والحالات'!$B$6:$B$505,$B38)+SUMIFS('الحركات الشهرية'!$K$6:$K$1005,'الحركات الشهرية'!$B$6:$B$1005,$B38,'الحركات الشهرية'!$A$6:$A$1005,$C$3))</f>
        <v/>
      </c>
      <c r="AM38" s="111" t="str">
        <f aca="false">IF($B38="","",AL38*الموظفون!$R38/cfg_DAYS_M+S38)</f>
        <v/>
      </c>
      <c r="AN38" s="151" t="str">
        <f aca="false">IF($B38="","",SUMIFS('سجل الإجازات والحالات'!$Y$6:$Y$505,'سجل الإجازات والحالات'!$B$6:$B$505,$B38))</f>
        <v/>
      </c>
    </row>
    <row r="39" customFormat="false" ht="15" hidden="false" customHeight="false" outlineLevel="0" collapsed="false">
      <c r="A39" s="115" t="str">
        <f aca="false">IF($B39="","",الموظفون!$A39)</f>
        <v/>
      </c>
      <c r="B39" s="117" t="str">
        <f aca="false">IF(الموظفون!$B39="","",الموظفون!$B39)</f>
        <v/>
      </c>
      <c r="C39" s="117" t="str">
        <f aca="false">IF($B39="","",الموظفون!$C39)</f>
        <v/>
      </c>
      <c r="D39" s="117" t="str">
        <f aca="false">IF($B39="","",الموظفون!$F39)</f>
        <v/>
      </c>
      <c r="E39" s="117" t="str">
        <f aca="false">IF($B39="","",الموظفون!$E39)</f>
        <v/>
      </c>
      <c r="F39" s="117" t="str">
        <f aca="false">IF($B39="","",IF(AK39=0,IF(AND(الموظفون!$AE39&lt;&gt;"",الموظفون!$AE39&lt;$E$3),"✖ منتهي الخدمة","⏳ لم يباشر"),IF(S39&gt;0,"✈ راتب إجازة مقدم",IF(J39=0,"⛔ بدون راتب هذا الشهر",IF(I39&gt;0,"✈ خصم "&amp;ROUND(I39,2)&amp;" يوم بدون أجر",IF(AL39&gt;0,"🌴 إجازة سنوية "&amp;ROUND(AL39,2)&amp;" يوم",IF(H39&gt;0,"⚠ غياب "&amp;ROUND(H39,2)&amp;" يوم","✔ على رأس العمل")))))))</f>
        <v/>
      </c>
      <c r="G39" s="156" t="str">
        <f aca="false">IF($B39="","",IF(AK39&gt;=DAY($F$3),cfg_DAYS_M,MIN(AK39,cfg_DAYS_M)))</f>
        <v/>
      </c>
      <c r="H39" s="156" t="str">
        <f aca="false">IF($B39="","",SUMIFS('الحركات الشهرية'!$D$6:$D$1005,'الحركات الشهرية'!$B$6:$B$1005,$B39,'الحركات الشهرية'!$A$6:$A$1005,$C$3))</f>
        <v/>
      </c>
      <c r="I39" s="156" t="str">
        <f aca="false">IF($B39="","",MIN(G39,IF(AND(AK39&gt;0,AN39&gt;=AK39),G39,AN39)+SUMIFS('الحركات الشهرية'!$E$6:$E$1005,'الحركات الشهرية'!$B$6:$B$1005,$B39,'الحركات الشهرية'!$A$6:$A$1005,$C$3)))</f>
        <v/>
      </c>
      <c r="J39" s="156" t="str">
        <f aca="false">IF($B39="","",MAX(0,G39-H39-I39))</f>
        <v/>
      </c>
      <c r="K39" s="116" t="str">
        <f aca="false">IF($B39="","",الموظفون!$L39*$J39/cfg_DAYS_M)</f>
        <v/>
      </c>
      <c r="L39" s="116" t="str">
        <f aca="false">IF($B39="","",الموظفون!$M39*$J39/cfg_DAYS_M)</f>
        <v/>
      </c>
      <c r="M39" s="116" t="str">
        <f aca="false">IF($B39="","",الموظفون!$N39*$J39/cfg_DAYS_M)</f>
        <v/>
      </c>
      <c r="N39" s="116" t="str">
        <f aca="false">IF($B39="","",الموظفون!$O39*$J39/cfg_DAYS_M)</f>
        <v/>
      </c>
      <c r="O39" s="156" t="str">
        <f aca="false">IF($B39="","",SUMIFS('الحركات الشهرية'!$F$6:$F$1005,'الحركات الشهرية'!$B$6:$B$1005,$B39,'الحركات الشهرية'!$A$6:$A$1005,$C$3))</f>
        <v/>
      </c>
      <c r="P39" s="116" t="str">
        <f aca="false">IF($B39="","",O39*(الموظفون!$P39+الموظفون!$L39*cfg_OT_P)/cfg_DAYS_M/cfg_HRS)</f>
        <v/>
      </c>
      <c r="Q39" s="116" t="str">
        <f aca="false">IF($B39="","",SUMIFS('الحركات الشهرية'!$G$6:$G$1005,'الحركات الشهرية'!$B$6:$B$1005,$B39,'الحركات الشهرية'!$A$6:$A$1005,$C$3))</f>
        <v/>
      </c>
      <c r="R39" s="116" t="str">
        <f aca="false">IF($B39="","",SUMIFS('الحركات الشهرية'!$H$6:$H$1005,'الحركات الشهرية'!$B$6:$B$1005,$B39,'الحركات الشهرية'!$A$6:$A$1005,$C$3))</f>
        <v/>
      </c>
      <c r="S39" s="116" t="str">
        <f aca="false">IF($B39="","",SUMIFS('سجل الإجازات والحالات'!$N$6:$N$505,'سجل الإجازات والحالات'!$B$6:$B$505,$B39,'سجل الإجازات والحالات'!$O$6:$O$505,$C$3))</f>
        <v/>
      </c>
      <c r="T39" s="157" t="str">
        <f aca="false">IF($B39="","",SUM(K39:N39)+SUM(P39:S39))</f>
        <v/>
      </c>
      <c r="U39" s="116" t="str">
        <f aca="false">IF($B39="","",الموظفون!$S39*IF(E39="سعودي",cfg_G_SE,cfg_G_NE)*G39/cfg_DAYS_M)</f>
        <v/>
      </c>
      <c r="V39" s="116" t="str">
        <f aca="false">IF($B39="","",SUMIFS('الحركات الشهرية'!$I$6:$I$1005,'الحركات الشهرية'!$B$6:$B$1005,$B39,'الحركات الشهرية'!$A$6:$A$1005,$C$3))</f>
        <v/>
      </c>
      <c r="W39" s="116" t="str">
        <f aca="false">IF($B39="","",SUMIFS('الحركات الشهرية'!$J$6:$J$1005,'الحركات الشهرية'!$B$6:$B$1005,$B39,'الحركات الشهرية'!$A$6:$A$1005,$C$3))</f>
        <v/>
      </c>
      <c r="X39" s="116" t="str">
        <f aca="false">IF($B39="","",SUM(U39:W39))</f>
        <v/>
      </c>
      <c r="Y39" s="158" t="str">
        <f aca="false">IF($B39="","",T39-X39)</f>
        <v/>
      </c>
      <c r="Z39" s="116" t="str">
        <f aca="false">IF($B39="","",الموظفون!$S39*IF(E39="سعودي",cfg_G_SR,cfg_G_NR)*G39/cfg_DAYS_M)</f>
        <v/>
      </c>
      <c r="AA39" s="116" t="str">
        <f aca="false">IF($B39="","",الموظفون!$Q39*(cfg_EOS_R1*(MIN(AH39,cfg_EOS_TH)-MIN(AI39,cfg_EOS_TH))+cfg_EOS_R2*(MAX(AH39-cfg_EOS_TH,0)-MAX(AI39-cfg_EOS_TH,0))))</f>
        <v/>
      </c>
      <c r="AB39" s="116" t="str">
        <f aca="false">IF($B39="","",IF(الموظفون!$T39&lt;&gt;"",الموظفون!$T39,IF(AH39&gt;=cfg_LV_TH,cfg_LV_D2,cfg_LV_D1))/cfg_DAYS_Y*AJ39*الموظفون!$R39/cfg_DAYS_M)</f>
        <v/>
      </c>
      <c r="AC39" s="116" t="str">
        <f aca="false">IF($B39="","",IF(AND(الموظفون!$U39="نعم",N(الموظفون!$W39)&gt;0),الموظفون!$V39/الموظفون!$W39*12/cfg_DAYS_Y*AJ39,0))</f>
        <v/>
      </c>
      <c r="AD39" s="116" t="str">
        <f aca="false">IF($B39="","",(IF(الموظفون!$X39&lt;&gt;"",الموظفون!$X39,IF(الموظفون!$E39="غير سعودي",cfg_IQ,0))+IF(الموظفون!$Y39&lt;&gt;"",الموظفون!$Y39,IF(الموظفون!$E39="غير سعودي",cfg_WP,0)))/12*G39/cfg_DAYS_M)</f>
        <v/>
      </c>
      <c r="AE39" s="116" t="str">
        <f aca="false">IF($B39="","",IF(الموظفون!$Z39&lt;&gt;"",الموظفون!$Z39,cfg_MED)/12*G39/cfg_DAYS_M)</f>
        <v/>
      </c>
      <c r="AF39" s="116" t="str">
        <f aca="false">IF($B39="","",N(الموظفون!$AA39)/12*G39/cfg_DAYS_M)</f>
        <v/>
      </c>
      <c r="AG39" s="159" t="str">
        <f aca="false">IF($B39="","",T39+SUM(Z39:AF39))</f>
        <v/>
      </c>
      <c r="AH39" s="160" t="str">
        <f aca="false">IF($B39="","",MAX(0,IF(OR(الموظفون!$AE39="",الموظفون!$AE39&gt;$F$3),$F$3,الموظفون!$AE39)-الموظفون!$H39+1-SUMIFS('سجل الإجازات والحالات'!$AK$6:$AK$505,'سجل الإجازات والحالات'!$B$6:$B$505,$B39))/cfg_DAYS_Y)</f>
        <v/>
      </c>
      <c r="AI39" s="160" t="str">
        <f aca="false">IF($B39="","",MAX(0,IF(OR(الموظفون!$AE39="",الموظفون!$AE39&gt;($E$3-1)),($E$3-1),الموظفون!$AE39)-الموظفون!$H39+1-SUMIFS('سجل الإجازات والحالات'!$AJ$6:$AJ$505,'سجل الإجازات والحالات'!$B$6:$B$505,$B39))/cfg_DAYS_Y)</f>
        <v/>
      </c>
      <c r="AJ39" s="133" t="str">
        <f aca="false">IF($B39="","",MAX(0,AK39-(SUMIFS('سجل الإجازات والحالات'!$AK$6:$AK$505,'سجل الإجازات والحالات'!$B$6:$B$505,$B39)-SUMIFS('سجل الإجازات والحالات'!$AJ$6:$AJ$505,'سجل الإجازات والحالات'!$B$6:$B$505,$B39))))</f>
        <v/>
      </c>
      <c r="AK39" s="133" t="str">
        <f aca="false">IF($B39="","",MAX(0,IF(OR(الموظفون!$AE39="",الموظفون!$AE39&gt;$F$3),$F$3,الموظفون!$AE39)-MAX($E$3,الموظفون!$H39)+1))</f>
        <v/>
      </c>
      <c r="AL39" s="156" t="str">
        <f aca="false">IF($B39="","",SUMIFS('سجل الإجازات والحالات'!$AW$6:$AW$505,'سجل الإجازات والحالات'!$B$6:$B$505,$B39)+SUMIFS('الحركات الشهرية'!$K$6:$K$1005,'الحركات الشهرية'!$B$6:$B$1005,$B39,'الحركات الشهرية'!$A$6:$A$1005,$C$3))</f>
        <v/>
      </c>
      <c r="AM39" s="116" t="str">
        <f aca="false">IF($B39="","",AL39*الموظفون!$R39/cfg_DAYS_M+S39)</f>
        <v/>
      </c>
      <c r="AN39" s="156" t="str">
        <f aca="false">IF($B39="","",SUMIFS('سجل الإجازات والحالات'!$Y$6:$Y$505,'سجل الإجازات والحالات'!$B$6:$B$505,$B39))</f>
        <v/>
      </c>
    </row>
    <row r="40" customFormat="false" ht="15" hidden="false" customHeight="false" outlineLevel="0" collapsed="false">
      <c r="A40" s="106" t="str">
        <f aca="false">IF($B40="","",الموظفون!$A40)</f>
        <v/>
      </c>
      <c r="B40" s="114" t="str">
        <f aca="false">IF(الموظفون!$B40="","",الموظفون!$B40)</f>
        <v/>
      </c>
      <c r="C40" s="114" t="str">
        <f aca="false">IF($B40="","",الموظفون!$C40)</f>
        <v/>
      </c>
      <c r="D40" s="114" t="str">
        <f aca="false">IF($B40="","",الموظفون!$F40)</f>
        <v/>
      </c>
      <c r="E40" s="114" t="str">
        <f aca="false">IF($B40="","",الموظفون!$E40)</f>
        <v/>
      </c>
      <c r="F40" s="114" t="str">
        <f aca="false">IF($B40="","",IF(AK40=0,IF(AND(الموظفون!$AE40&lt;&gt;"",الموظفون!$AE40&lt;$E$3),"✖ منتهي الخدمة","⏳ لم يباشر"),IF(S40&gt;0,"✈ راتب إجازة مقدم",IF(J40=0,"⛔ بدون راتب هذا الشهر",IF(I40&gt;0,"✈ خصم "&amp;ROUND(I40,2)&amp;" يوم بدون أجر",IF(AL40&gt;0,"🌴 إجازة سنوية "&amp;ROUND(AL40,2)&amp;" يوم",IF(H40&gt;0,"⚠ غياب "&amp;ROUND(H40,2)&amp;" يوم","✔ على رأس العمل")))))))</f>
        <v/>
      </c>
      <c r="G40" s="151" t="str">
        <f aca="false">IF($B40="","",IF(AK40&gt;=DAY($F$3),cfg_DAYS_M,MIN(AK40,cfg_DAYS_M)))</f>
        <v/>
      </c>
      <c r="H40" s="151" t="str">
        <f aca="false">IF($B40="","",SUMIFS('الحركات الشهرية'!$D$6:$D$1005,'الحركات الشهرية'!$B$6:$B$1005,$B40,'الحركات الشهرية'!$A$6:$A$1005,$C$3))</f>
        <v/>
      </c>
      <c r="I40" s="151" t="str">
        <f aca="false">IF($B40="","",MIN(G40,IF(AND(AK40&gt;0,AN40&gt;=AK40),G40,AN40)+SUMIFS('الحركات الشهرية'!$E$6:$E$1005,'الحركات الشهرية'!$B$6:$B$1005,$B40,'الحركات الشهرية'!$A$6:$A$1005,$C$3)))</f>
        <v/>
      </c>
      <c r="J40" s="151" t="str">
        <f aca="false">IF($B40="","",MAX(0,G40-H40-I40))</f>
        <v/>
      </c>
      <c r="K40" s="111" t="str">
        <f aca="false">IF($B40="","",الموظفون!$L40*$J40/cfg_DAYS_M)</f>
        <v/>
      </c>
      <c r="L40" s="111" t="str">
        <f aca="false">IF($B40="","",الموظفون!$M40*$J40/cfg_DAYS_M)</f>
        <v/>
      </c>
      <c r="M40" s="111" t="str">
        <f aca="false">IF($B40="","",الموظفون!$N40*$J40/cfg_DAYS_M)</f>
        <v/>
      </c>
      <c r="N40" s="111" t="str">
        <f aca="false">IF($B40="","",الموظفون!$O40*$J40/cfg_DAYS_M)</f>
        <v/>
      </c>
      <c r="O40" s="151" t="str">
        <f aca="false">IF($B40="","",SUMIFS('الحركات الشهرية'!$F$6:$F$1005,'الحركات الشهرية'!$B$6:$B$1005,$B40,'الحركات الشهرية'!$A$6:$A$1005,$C$3))</f>
        <v/>
      </c>
      <c r="P40" s="111" t="str">
        <f aca="false">IF($B40="","",O40*(الموظفون!$P40+الموظفون!$L40*cfg_OT_P)/cfg_DAYS_M/cfg_HRS)</f>
        <v/>
      </c>
      <c r="Q40" s="111" t="str">
        <f aca="false">IF($B40="","",SUMIFS('الحركات الشهرية'!$G$6:$G$1005,'الحركات الشهرية'!$B$6:$B$1005,$B40,'الحركات الشهرية'!$A$6:$A$1005,$C$3))</f>
        <v/>
      </c>
      <c r="R40" s="111" t="str">
        <f aca="false">IF($B40="","",SUMIFS('الحركات الشهرية'!$H$6:$H$1005,'الحركات الشهرية'!$B$6:$B$1005,$B40,'الحركات الشهرية'!$A$6:$A$1005,$C$3))</f>
        <v/>
      </c>
      <c r="S40" s="111" t="str">
        <f aca="false">IF($B40="","",SUMIFS('سجل الإجازات والحالات'!$N$6:$N$505,'سجل الإجازات والحالات'!$B$6:$B$505,$B40,'سجل الإجازات والحالات'!$O$6:$O$505,$C$3))</f>
        <v/>
      </c>
      <c r="T40" s="152" t="str">
        <f aca="false">IF($B40="","",SUM(K40:N40)+SUM(P40:S40))</f>
        <v/>
      </c>
      <c r="U40" s="111" t="str">
        <f aca="false">IF($B40="","",الموظفون!$S40*IF(E40="سعودي",cfg_G_SE,cfg_G_NE)*G40/cfg_DAYS_M)</f>
        <v/>
      </c>
      <c r="V40" s="111" t="str">
        <f aca="false">IF($B40="","",SUMIFS('الحركات الشهرية'!$I$6:$I$1005,'الحركات الشهرية'!$B$6:$B$1005,$B40,'الحركات الشهرية'!$A$6:$A$1005,$C$3))</f>
        <v/>
      </c>
      <c r="W40" s="111" t="str">
        <f aca="false">IF($B40="","",SUMIFS('الحركات الشهرية'!$J$6:$J$1005,'الحركات الشهرية'!$B$6:$B$1005,$B40,'الحركات الشهرية'!$A$6:$A$1005,$C$3))</f>
        <v/>
      </c>
      <c r="X40" s="111" t="str">
        <f aca="false">IF($B40="","",SUM(U40:W40))</f>
        <v/>
      </c>
      <c r="Y40" s="153" t="str">
        <f aca="false">IF($B40="","",T40-X40)</f>
        <v/>
      </c>
      <c r="Z40" s="111" t="str">
        <f aca="false">IF($B40="","",الموظفون!$S40*IF(E40="سعودي",cfg_G_SR,cfg_G_NR)*G40/cfg_DAYS_M)</f>
        <v/>
      </c>
      <c r="AA40" s="111" t="str">
        <f aca="false">IF($B40="","",الموظفون!$Q40*(cfg_EOS_R1*(MIN(AH40,cfg_EOS_TH)-MIN(AI40,cfg_EOS_TH))+cfg_EOS_R2*(MAX(AH40-cfg_EOS_TH,0)-MAX(AI40-cfg_EOS_TH,0))))</f>
        <v/>
      </c>
      <c r="AB40" s="111" t="str">
        <f aca="false">IF($B40="","",IF(الموظفون!$T40&lt;&gt;"",الموظفون!$T40,IF(AH40&gt;=cfg_LV_TH,cfg_LV_D2,cfg_LV_D1))/cfg_DAYS_Y*AJ40*الموظفون!$R40/cfg_DAYS_M)</f>
        <v/>
      </c>
      <c r="AC40" s="111" t="str">
        <f aca="false">IF($B40="","",IF(AND(الموظفون!$U40="نعم",N(الموظفون!$W40)&gt;0),الموظفون!$V40/الموظفون!$W40*12/cfg_DAYS_Y*AJ40,0))</f>
        <v/>
      </c>
      <c r="AD40" s="111" t="str">
        <f aca="false">IF($B40="","",(IF(الموظفون!$X40&lt;&gt;"",الموظفون!$X40,IF(الموظفون!$E40="غير سعودي",cfg_IQ,0))+IF(الموظفون!$Y40&lt;&gt;"",الموظفون!$Y40,IF(الموظفون!$E40="غير سعودي",cfg_WP,0)))/12*G40/cfg_DAYS_M)</f>
        <v/>
      </c>
      <c r="AE40" s="111" t="str">
        <f aca="false">IF($B40="","",IF(الموظفون!$Z40&lt;&gt;"",الموظفون!$Z40,cfg_MED)/12*G40/cfg_DAYS_M)</f>
        <v/>
      </c>
      <c r="AF40" s="111" t="str">
        <f aca="false">IF($B40="","",N(الموظفون!$AA40)/12*G40/cfg_DAYS_M)</f>
        <v/>
      </c>
      <c r="AG40" s="154" t="str">
        <f aca="false">IF($B40="","",T40+SUM(Z40:AF40))</f>
        <v/>
      </c>
      <c r="AH40" s="155" t="str">
        <f aca="false">IF($B40="","",MAX(0,IF(OR(الموظفون!$AE40="",الموظفون!$AE40&gt;$F$3),$F$3,الموظفون!$AE40)-الموظفون!$H40+1-SUMIFS('سجل الإجازات والحالات'!$AK$6:$AK$505,'سجل الإجازات والحالات'!$B$6:$B$505,$B40))/cfg_DAYS_Y)</f>
        <v/>
      </c>
      <c r="AI40" s="155" t="str">
        <f aca="false">IF($B40="","",MAX(0,IF(OR(الموظفون!$AE40="",الموظفون!$AE40&gt;($E$3-1)),($E$3-1),الموظفون!$AE40)-الموظفون!$H40+1-SUMIFS('سجل الإجازات والحالات'!$AJ$6:$AJ$505,'سجل الإجازات والحالات'!$B$6:$B$505,$B40))/cfg_DAYS_Y)</f>
        <v/>
      </c>
      <c r="AJ40" s="65" t="str">
        <f aca="false">IF($B40="","",MAX(0,AK40-(SUMIFS('سجل الإجازات والحالات'!$AK$6:$AK$505,'سجل الإجازات والحالات'!$B$6:$B$505,$B40)-SUMIFS('سجل الإجازات والحالات'!$AJ$6:$AJ$505,'سجل الإجازات والحالات'!$B$6:$B$505,$B40))))</f>
        <v/>
      </c>
      <c r="AK40" s="65" t="str">
        <f aca="false">IF($B40="","",MAX(0,IF(OR(الموظفون!$AE40="",الموظفون!$AE40&gt;$F$3),$F$3,الموظفون!$AE40)-MAX($E$3,الموظفون!$H40)+1))</f>
        <v/>
      </c>
      <c r="AL40" s="151" t="str">
        <f aca="false">IF($B40="","",SUMIFS('سجل الإجازات والحالات'!$AW$6:$AW$505,'سجل الإجازات والحالات'!$B$6:$B$505,$B40)+SUMIFS('الحركات الشهرية'!$K$6:$K$1005,'الحركات الشهرية'!$B$6:$B$1005,$B40,'الحركات الشهرية'!$A$6:$A$1005,$C$3))</f>
        <v/>
      </c>
      <c r="AM40" s="111" t="str">
        <f aca="false">IF($B40="","",AL40*الموظفون!$R40/cfg_DAYS_M+S40)</f>
        <v/>
      </c>
      <c r="AN40" s="151" t="str">
        <f aca="false">IF($B40="","",SUMIFS('سجل الإجازات والحالات'!$Y$6:$Y$505,'سجل الإجازات والحالات'!$B$6:$B$505,$B40))</f>
        <v/>
      </c>
    </row>
    <row r="41" customFormat="false" ht="15" hidden="false" customHeight="false" outlineLevel="0" collapsed="false">
      <c r="A41" s="115" t="str">
        <f aca="false">IF($B41="","",الموظفون!$A41)</f>
        <v/>
      </c>
      <c r="B41" s="117" t="str">
        <f aca="false">IF(الموظفون!$B41="","",الموظفون!$B41)</f>
        <v/>
      </c>
      <c r="C41" s="117" t="str">
        <f aca="false">IF($B41="","",الموظفون!$C41)</f>
        <v/>
      </c>
      <c r="D41" s="117" t="str">
        <f aca="false">IF($B41="","",الموظفون!$F41)</f>
        <v/>
      </c>
      <c r="E41" s="117" t="str">
        <f aca="false">IF($B41="","",الموظفون!$E41)</f>
        <v/>
      </c>
      <c r="F41" s="117" t="str">
        <f aca="false">IF($B41="","",IF(AK41=0,IF(AND(الموظفون!$AE41&lt;&gt;"",الموظفون!$AE41&lt;$E$3),"✖ منتهي الخدمة","⏳ لم يباشر"),IF(S41&gt;0,"✈ راتب إجازة مقدم",IF(J41=0,"⛔ بدون راتب هذا الشهر",IF(I41&gt;0,"✈ خصم "&amp;ROUND(I41,2)&amp;" يوم بدون أجر",IF(AL41&gt;0,"🌴 إجازة سنوية "&amp;ROUND(AL41,2)&amp;" يوم",IF(H41&gt;0,"⚠ غياب "&amp;ROUND(H41,2)&amp;" يوم","✔ على رأس العمل")))))))</f>
        <v/>
      </c>
      <c r="G41" s="156" t="str">
        <f aca="false">IF($B41="","",IF(AK41&gt;=DAY($F$3),cfg_DAYS_M,MIN(AK41,cfg_DAYS_M)))</f>
        <v/>
      </c>
      <c r="H41" s="156" t="str">
        <f aca="false">IF($B41="","",SUMIFS('الحركات الشهرية'!$D$6:$D$1005,'الحركات الشهرية'!$B$6:$B$1005,$B41,'الحركات الشهرية'!$A$6:$A$1005,$C$3))</f>
        <v/>
      </c>
      <c r="I41" s="156" t="str">
        <f aca="false">IF($B41="","",MIN(G41,IF(AND(AK41&gt;0,AN41&gt;=AK41),G41,AN41)+SUMIFS('الحركات الشهرية'!$E$6:$E$1005,'الحركات الشهرية'!$B$6:$B$1005,$B41,'الحركات الشهرية'!$A$6:$A$1005,$C$3)))</f>
        <v/>
      </c>
      <c r="J41" s="156" t="str">
        <f aca="false">IF($B41="","",MAX(0,G41-H41-I41))</f>
        <v/>
      </c>
      <c r="K41" s="116" t="str">
        <f aca="false">IF($B41="","",الموظفون!$L41*$J41/cfg_DAYS_M)</f>
        <v/>
      </c>
      <c r="L41" s="116" t="str">
        <f aca="false">IF($B41="","",الموظفون!$M41*$J41/cfg_DAYS_M)</f>
        <v/>
      </c>
      <c r="M41" s="116" t="str">
        <f aca="false">IF($B41="","",الموظفون!$N41*$J41/cfg_DAYS_M)</f>
        <v/>
      </c>
      <c r="N41" s="116" t="str">
        <f aca="false">IF($B41="","",الموظفون!$O41*$J41/cfg_DAYS_M)</f>
        <v/>
      </c>
      <c r="O41" s="156" t="str">
        <f aca="false">IF($B41="","",SUMIFS('الحركات الشهرية'!$F$6:$F$1005,'الحركات الشهرية'!$B$6:$B$1005,$B41,'الحركات الشهرية'!$A$6:$A$1005,$C$3))</f>
        <v/>
      </c>
      <c r="P41" s="116" t="str">
        <f aca="false">IF($B41="","",O41*(الموظفون!$P41+الموظفون!$L41*cfg_OT_P)/cfg_DAYS_M/cfg_HRS)</f>
        <v/>
      </c>
      <c r="Q41" s="116" t="str">
        <f aca="false">IF($B41="","",SUMIFS('الحركات الشهرية'!$G$6:$G$1005,'الحركات الشهرية'!$B$6:$B$1005,$B41,'الحركات الشهرية'!$A$6:$A$1005,$C$3))</f>
        <v/>
      </c>
      <c r="R41" s="116" t="str">
        <f aca="false">IF($B41="","",SUMIFS('الحركات الشهرية'!$H$6:$H$1005,'الحركات الشهرية'!$B$6:$B$1005,$B41,'الحركات الشهرية'!$A$6:$A$1005,$C$3))</f>
        <v/>
      </c>
      <c r="S41" s="116" t="str">
        <f aca="false">IF($B41="","",SUMIFS('سجل الإجازات والحالات'!$N$6:$N$505,'سجل الإجازات والحالات'!$B$6:$B$505,$B41,'سجل الإجازات والحالات'!$O$6:$O$505,$C$3))</f>
        <v/>
      </c>
      <c r="T41" s="157" t="str">
        <f aca="false">IF($B41="","",SUM(K41:N41)+SUM(P41:S41))</f>
        <v/>
      </c>
      <c r="U41" s="116" t="str">
        <f aca="false">IF($B41="","",الموظفون!$S41*IF(E41="سعودي",cfg_G_SE,cfg_G_NE)*G41/cfg_DAYS_M)</f>
        <v/>
      </c>
      <c r="V41" s="116" t="str">
        <f aca="false">IF($B41="","",SUMIFS('الحركات الشهرية'!$I$6:$I$1005,'الحركات الشهرية'!$B$6:$B$1005,$B41,'الحركات الشهرية'!$A$6:$A$1005,$C$3))</f>
        <v/>
      </c>
      <c r="W41" s="116" t="str">
        <f aca="false">IF($B41="","",SUMIFS('الحركات الشهرية'!$J$6:$J$1005,'الحركات الشهرية'!$B$6:$B$1005,$B41,'الحركات الشهرية'!$A$6:$A$1005,$C$3))</f>
        <v/>
      </c>
      <c r="X41" s="116" t="str">
        <f aca="false">IF($B41="","",SUM(U41:W41))</f>
        <v/>
      </c>
      <c r="Y41" s="158" t="str">
        <f aca="false">IF($B41="","",T41-X41)</f>
        <v/>
      </c>
      <c r="Z41" s="116" t="str">
        <f aca="false">IF($B41="","",الموظفون!$S41*IF(E41="سعودي",cfg_G_SR,cfg_G_NR)*G41/cfg_DAYS_M)</f>
        <v/>
      </c>
      <c r="AA41" s="116" t="str">
        <f aca="false">IF($B41="","",الموظفون!$Q41*(cfg_EOS_R1*(MIN(AH41,cfg_EOS_TH)-MIN(AI41,cfg_EOS_TH))+cfg_EOS_R2*(MAX(AH41-cfg_EOS_TH,0)-MAX(AI41-cfg_EOS_TH,0))))</f>
        <v/>
      </c>
      <c r="AB41" s="116" t="str">
        <f aca="false">IF($B41="","",IF(الموظفون!$T41&lt;&gt;"",الموظفون!$T41,IF(AH41&gt;=cfg_LV_TH,cfg_LV_D2,cfg_LV_D1))/cfg_DAYS_Y*AJ41*الموظفون!$R41/cfg_DAYS_M)</f>
        <v/>
      </c>
      <c r="AC41" s="116" t="str">
        <f aca="false">IF($B41="","",IF(AND(الموظفون!$U41="نعم",N(الموظفون!$W41)&gt;0),الموظفون!$V41/الموظفون!$W41*12/cfg_DAYS_Y*AJ41,0))</f>
        <v/>
      </c>
      <c r="AD41" s="116" t="str">
        <f aca="false">IF($B41="","",(IF(الموظفون!$X41&lt;&gt;"",الموظفون!$X41,IF(الموظفون!$E41="غير سعودي",cfg_IQ,0))+IF(الموظفون!$Y41&lt;&gt;"",الموظفون!$Y41,IF(الموظفون!$E41="غير سعودي",cfg_WP,0)))/12*G41/cfg_DAYS_M)</f>
        <v/>
      </c>
      <c r="AE41" s="116" t="str">
        <f aca="false">IF($B41="","",IF(الموظفون!$Z41&lt;&gt;"",الموظفون!$Z41,cfg_MED)/12*G41/cfg_DAYS_M)</f>
        <v/>
      </c>
      <c r="AF41" s="116" t="str">
        <f aca="false">IF($B41="","",N(الموظفون!$AA41)/12*G41/cfg_DAYS_M)</f>
        <v/>
      </c>
      <c r="AG41" s="159" t="str">
        <f aca="false">IF($B41="","",T41+SUM(Z41:AF41))</f>
        <v/>
      </c>
      <c r="AH41" s="160" t="str">
        <f aca="false">IF($B41="","",MAX(0,IF(OR(الموظفون!$AE41="",الموظفون!$AE41&gt;$F$3),$F$3,الموظفون!$AE41)-الموظفون!$H41+1-SUMIFS('سجل الإجازات والحالات'!$AK$6:$AK$505,'سجل الإجازات والحالات'!$B$6:$B$505,$B41))/cfg_DAYS_Y)</f>
        <v/>
      </c>
      <c r="AI41" s="160" t="str">
        <f aca="false">IF($B41="","",MAX(0,IF(OR(الموظفون!$AE41="",الموظفون!$AE41&gt;($E$3-1)),($E$3-1),الموظفون!$AE41)-الموظفون!$H41+1-SUMIFS('سجل الإجازات والحالات'!$AJ$6:$AJ$505,'سجل الإجازات والحالات'!$B$6:$B$505,$B41))/cfg_DAYS_Y)</f>
        <v/>
      </c>
      <c r="AJ41" s="133" t="str">
        <f aca="false">IF($B41="","",MAX(0,AK41-(SUMIFS('سجل الإجازات والحالات'!$AK$6:$AK$505,'سجل الإجازات والحالات'!$B$6:$B$505,$B41)-SUMIFS('سجل الإجازات والحالات'!$AJ$6:$AJ$505,'سجل الإجازات والحالات'!$B$6:$B$505,$B41))))</f>
        <v/>
      </c>
      <c r="AK41" s="133" t="str">
        <f aca="false">IF($B41="","",MAX(0,IF(OR(الموظفون!$AE41="",الموظفون!$AE41&gt;$F$3),$F$3,الموظفون!$AE41)-MAX($E$3,الموظفون!$H41)+1))</f>
        <v/>
      </c>
      <c r="AL41" s="156" t="str">
        <f aca="false">IF($B41="","",SUMIFS('سجل الإجازات والحالات'!$AW$6:$AW$505,'سجل الإجازات والحالات'!$B$6:$B$505,$B41)+SUMIFS('الحركات الشهرية'!$K$6:$K$1005,'الحركات الشهرية'!$B$6:$B$1005,$B41,'الحركات الشهرية'!$A$6:$A$1005,$C$3))</f>
        <v/>
      </c>
      <c r="AM41" s="116" t="str">
        <f aca="false">IF($B41="","",AL41*الموظفون!$R41/cfg_DAYS_M+S41)</f>
        <v/>
      </c>
      <c r="AN41" s="156" t="str">
        <f aca="false">IF($B41="","",SUMIFS('سجل الإجازات والحالات'!$Y$6:$Y$505,'سجل الإجازات والحالات'!$B$6:$B$505,$B41))</f>
        <v/>
      </c>
    </row>
    <row r="42" customFormat="false" ht="15" hidden="false" customHeight="false" outlineLevel="0" collapsed="false">
      <c r="A42" s="106" t="str">
        <f aca="false">IF($B42="","",الموظفون!$A42)</f>
        <v/>
      </c>
      <c r="B42" s="114" t="str">
        <f aca="false">IF(الموظفون!$B42="","",الموظفون!$B42)</f>
        <v/>
      </c>
      <c r="C42" s="114" t="str">
        <f aca="false">IF($B42="","",الموظفون!$C42)</f>
        <v/>
      </c>
      <c r="D42" s="114" t="str">
        <f aca="false">IF($B42="","",الموظفون!$F42)</f>
        <v/>
      </c>
      <c r="E42" s="114" t="str">
        <f aca="false">IF($B42="","",الموظفون!$E42)</f>
        <v/>
      </c>
      <c r="F42" s="114" t="str">
        <f aca="false">IF($B42="","",IF(AK42=0,IF(AND(الموظفون!$AE42&lt;&gt;"",الموظفون!$AE42&lt;$E$3),"✖ منتهي الخدمة","⏳ لم يباشر"),IF(S42&gt;0,"✈ راتب إجازة مقدم",IF(J42=0,"⛔ بدون راتب هذا الشهر",IF(I42&gt;0,"✈ خصم "&amp;ROUND(I42,2)&amp;" يوم بدون أجر",IF(AL42&gt;0,"🌴 إجازة سنوية "&amp;ROUND(AL42,2)&amp;" يوم",IF(H42&gt;0,"⚠ غياب "&amp;ROUND(H42,2)&amp;" يوم","✔ على رأس العمل")))))))</f>
        <v/>
      </c>
      <c r="G42" s="151" t="str">
        <f aca="false">IF($B42="","",IF(AK42&gt;=DAY($F$3),cfg_DAYS_M,MIN(AK42,cfg_DAYS_M)))</f>
        <v/>
      </c>
      <c r="H42" s="151" t="str">
        <f aca="false">IF($B42="","",SUMIFS('الحركات الشهرية'!$D$6:$D$1005,'الحركات الشهرية'!$B$6:$B$1005,$B42,'الحركات الشهرية'!$A$6:$A$1005,$C$3))</f>
        <v/>
      </c>
      <c r="I42" s="151" t="str">
        <f aca="false">IF($B42="","",MIN(G42,IF(AND(AK42&gt;0,AN42&gt;=AK42),G42,AN42)+SUMIFS('الحركات الشهرية'!$E$6:$E$1005,'الحركات الشهرية'!$B$6:$B$1005,$B42,'الحركات الشهرية'!$A$6:$A$1005,$C$3)))</f>
        <v/>
      </c>
      <c r="J42" s="151" t="str">
        <f aca="false">IF($B42="","",MAX(0,G42-H42-I42))</f>
        <v/>
      </c>
      <c r="K42" s="111" t="str">
        <f aca="false">IF($B42="","",الموظفون!$L42*$J42/cfg_DAYS_M)</f>
        <v/>
      </c>
      <c r="L42" s="111" t="str">
        <f aca="false">IF($B42="","",الموظفون!$M42*$J42/cfg_DAYS_M)</f>
        <v/>
      </c>
      <c r="M42" s="111" t="str">
        <f aca="false">IF($B42="","",الموظفون!$N42*$J42/cfg_DAYS_M)</f>
        <v/>
      </c>
      <c r="N42" s="111" t="str">
        <f aca="false">IF($B42="","",الموظفون!$O42*$J42/cfg_DAYS_M)</f>
        <v/>
      </c>
      <c r="O42" s="151" t="str">
        <f aca="false">IF($B42="","",SUMIFS('الحركات الشهرية'!$F$6:$F$1005,'الحركات الشهرية'!$B$6:$B$1005,$B42,'الحركات الشهرية'!$A$6:$A$1005,$C$3))</f>
        <v/>
      </c>
      <c r="P42" s="111" t="str">
        <f aca="false">IF($B42="","",O42*(الموظفون!$P42+الموظفون!$L42*cfg_OT_P)/cfg_DAYS_M/cfg_HRS)</f>
        <v/>
      </c>
      <c r="Q42" s="111" t="str">
        <f aca="false">IF($B42="","",SUMIFS('الحركات الشهرية'!$G$6:$G$1005,'الحركات الشهرية'!$B$6:$B$1005,$B42,'الحركات الشهرية'!$A$6:$A$1005,$C$3))</f>
        <v/>
      </c>
      <c r="R42" s="111" t="str">
        <f aca="false">IF($B42="","",SUMIFS('الحركات الشهرية'!$H$6:$H$1005,'الحركات الشهرية'!$B$6:$B$1005,$B42,'الحركات الشهرية'!$A$6:$A$1005,$C$3))</f>
        <v/>
      </c>
      <c r="S42" s="111" t="str">
        <f aca="false">IF($B42="","",SUMIFS('سجل الإجازات والحالات'!$N$6:$N$505,'سجل الإجازات والحالات'!$B$6:$B$505,$B42,'سجل الإجازات والحالات'!$O$6:$O$505,$C$3))</f>
        <v/>
      </c>
      <c r="T42" s="152" t="str">
        <f aca="false">IF($B42="","",SUM(K42:N42)+SUM(P42:S42))</f>
        <v/>
      </c>
      <c r="U42" s="111" t="str">
        <f aca="false">IF($B42="","",الموظفون!$S42*IF(E42="سعودي",cfg_G_SE,cfg_G_NE)*G42/cfg_DAYS_M)</f>
        <v/>
      </c>
      <c r="V42" s="111" t="str">
        <f aca="false">IF($B42="","",SUMIFS('الحركات الشهرية'!$I$6:$I$1005,'الحركات الشهرية'!$B$6:$B$1005,$B42,'الحركات الشهرية'!$A$6:$A$1005,$C$3))</f>
        <v/>
      </c>
      <c r="W42" s="111" t="str">
        <f aca="false">IF($B42="","",SUMIFS('الحركات الشهرية'!$J$6:$J$1005,'الحركات الشهرية'!$B$6:$B$1005,$B42,'الحركات الشهرية'!$A$6:$A$1005,$C$3))</f>
        <v/>
      </c>
      <c r="X42" s="111" t="str">
        <f aca="false">IF($B42="","",SUM(U42:W42))</f>
        <v/>
      </c>
      <c r="Y42" s="153" t="str">
        <f aca="false">IF($B42="","",T42-X42)</f>
        <v/>
      </c>
      <c r="Z42" s="111" t="str">
        <f aca="false">IF($B42="","",الموظفون!$S42*IF(E42="سعودي",cfg_G_SR,cfg_G_NR)*G42/cfg_DAYS_M)</f>
        <v/>
      </c>
      <c r="AA42" s="111" t="str">
        <f aca="false">IF($B42="","",الموظفون!$Q42*(cfg_EOS_R1*(MIN(AH42,cfg_EOS_TH)-MIN(AI42,cfg_EOS_TH))+cfg_EOS_R2*(MAX(AH42-cfg_EOS_TH,0)-MAX(AI42-cfg_EOS_TH,0))))</f>
        <v/>
      </c>
      <c r="AB42" s="111" t="str">
        <f aca="false">IF($B42="","",IF(الموظفون!$T42&lt;&gt;"",الموظفون!$T42,IF(AH42&gt;=cfg_LV_TH,cfg_LV_D2,cfg_LV_D1))/cfg_DAYS_Y*AJ42*الموظفون!$R42/cfg_DAYS_M)</f>
        <v/>
      </c>
      <c r="AC42" s="111" t="str">
        <f aca="false">IF($B42="","",IF(AND(الموظفون!$U42="نعم",N(الموظفون!$W42)&gt;0),الموظفون!$V42/الموظفون!$W42*12/cfg_DAYS_Y*AJ42,0))</f>
        <v/>
      </c>
      <c r="AD42" s="111" t="str">
        <f aca="false">IF($B42="","",(IF(الموظفون!$X42&lt;&gt;"",الموظفون!$X42,IF(الموظفون!$E42="غير سعودي",cfg_IQ,0))+IF(الموظفون!$Y42&lt;&gt;"",الموظفون!$Y42,IF(الموظفون!$E42="غير سعودي",cfg_WP,0)))/12*G42/cfg_DAYS_M)</f>
        <v/>
      </c>
      <c r="AE42" s="111" t="str">
        <f aca="false">IF($B42="","",IF(الموظفون!$Z42&lt;&gt;"",الموظفون!$Z42,cfg_MED)/12*G42/cfg_DAYS_M)</f>
        <v/>
      </c>
      <c r="AF42" s="111" t="str">
        <f aca="false">IF($B42="","",N(الموظفون!$AA42)/12*G42/cfg_DAYS_M)</f>
        <v/>
      </c>
      <c r="AG42" s="154" t="str">
        <f aca="false">IF($B42="","",T42+SUM(Z42:AF42))</f>
        <v/>
      </c>
      <c r="AH42" s="155" t="str">
        <f aca="false">IF($B42="","",MAX(0,IF(OR(الموظفون!$AE42="",الموظفون!$AE42&gt;$F$3),$F$3,الموظفون!$AE42)-الموظفون!$H42+1-SUMIFS('سجل الإجازات والحالات'!$AK$6:$AK$505,'سجل الإجازات والحالات'!$B$6:$B$505,$B42))/cfg_DAYS_Y)</f>
        <v/>
      </c>
      <c r="AI42" s="155" t="str">
        <f aca="false">IF($B42="","",MAX(0,IF(OR(الموظفون!$AE42="",الموظفون!$AE42&gt;($E$3-1)),($E$3-1),الموظفون!$AE42)-الموظفون!$H42+1-SUMIFS('سجل الإجازات والحالات'!$AJ$6:$AJ$505,'سجل الإجازات والحالات'!$B$6:$B$505,$B42))/cfg_DAYS_Y)</f>
        <v/>
      </c>
      <c r="AJ42" s="65" t="str">
        <f aca="false">IF($B42="","",MAX(0,AK42-(SUMIFS('سجل الإجازات والحالات'!$AK$6:$AK$505,'سجل الإجازات والحالات'!$B$6:$B$505,$B42)-SUMIFS('سجل الإجازات والحالات'!$AJ$6:$AJ$505,'سجل الإجازات والحالات'!$B$6:$B$505,$B42))))</f>
        <v/>
      </c>
      <c r="AK42" s="65" t="str">
        <f aca="false">IF($B42="","",MAX(0,IF(OR(الموظفون!$AE42="",الموظفون!$AE42&gt;$F$3),$F$3,الموظفون!$AE42)-MAX($E$3,الموظفون!$H42)+1))</f>
        <v/>
      </c>
      <c r="AL42" s="151" t="str">
        <f aca="false">IF($B42="","",SUMIFS('سجل الإجازات والحالات'!$AW$6:$AW$505,'سجل الإجازات والحالات'!$B$6:$B$505,$B42)+SUMIFS('الحركات الشهرية'!$K$6:$K$1005,'الحركات الشهرية'!$B$6:$B$1005,$B42,'الحركات الشهرية'!$A$6:$A$1005,$C$3))</f>
        <v/>
      </c>
      <c r="AM42" s="111" t="str">
        <f aca="false">IF($B42="","",AL42*الموظفون!$R42/cfg_DAYS_M+S42)</f>
        <v/>
      </c>
      <c r="AN42" s="151" t="str">
        <f aca="false">IF($B42="","",SUMIFS('سجل الإجازات والحالات'!$Y$6:$Y$505,'سجل الإجازات والحالات'!$B$6:$B$505,$B42))</f>
        <v/>
      </c>
    </row>
    <row r="43" customFormat="false" ht="15" hidden="false" customHeight="false" outlineLevel="0" collapsed="false">
      <c r="A43" s="115" t="str">
        <f aca="false">IF($B43="","",الموظفون!$A43)</f>
        <v/>
      </c>
      <c r="B43" s="117" t="str">
        <f aca="false">IF(الموظفون!$B43="","",الموظفون!$B43)</f>
        <v/>
      </c>
      <c r="C43" s="117" t="str">
        <f aca="false">IF($B43="","",الموظفون!$C43)</f>
        <v/>
      </c>
      <c r="D43" s="117" t="str">
        <f aca="false">IF($B43="","",الموظفون!$F43)</f>
        <v/>
      </c>
      <c r="E43" s="117" t="str">
        <f aca="false">IF($B43="","",الموظفون!$E43)</f>
        <v/>
      </c>
      <c r="F43" s="117" t="str">
        <f aca="false">IF($B43="","",IF(AK43=0,IF(AND(الموظفون!$AE43&lt;&gt;"",الموظفون!$AE43&lt;$E$3),"✖ منتهي الخدمة","⏳ لم يباشر"),IF(S43&gt;0,"✈ راتب إجازة مقدم",IF(J43=0,"⛔ بدون راتب هذا الشهر",IF(I43&gt;0,"✈ خصم "&amp;ROUND(I43,2)&amp;" يوم بدون أجر",IF(AL43&gt;0,"🌴 إجازة سنوية "&amp;ROUND(AL43,2)&amp;" يوم",IF(H43&gt;0,"⚠ غياب "&amp;ROUND(H43,2)&amp;" يوم","✔ على رأس العمل")))))))</f>
        <v/>
      </c>
      <c r="G43" s="156" t="str">
        <f aca="false">IF($B43="","",IF(AK43&gt;=DAY($F$3),cfg_DAYS_M,MIN(AK43,cfg_DAYS_M)))</f>
        <v/>
      </c>
      <c r="H43" s="156" t="str">
        <f aca="false">IF($B43="","",SUMIFS('الحركات الشهرية'!$D$6:$D$1005,'الحركات الشهرية'!$B$6:$B$1005,$B43,'الحركات الشهرية'!$A$6:$A$1005,$C$3))</f>
        <v/>
      </c>
      <c r="I43" s="156" t="str">
        <f aca="false">IF($B43="","",MIN(G43,IF(AND(AK43&gt;0,AN43&gt;=AK43),G43,AN43)+SUMIFS('الحركات الشهرية'!$E$6:$E$1005,'الحركات الشهرية'!$B$6:$B$1005,$B43,'الحركات الشهرية'!$A$6:$A$1005,$C$3)))</f>
        <v/>
      </c>
      <c r="J43" s="156" t="str">
        <f aca="false">IF($B43="","",MAX(0,G43-H43-I43))</f>
        <v/>
      </c>
      <c r="K43" s="116" t="str">
        <f aca="false">IF($B43="","",الموظفون!$L43*$J43/cfg_DAYS_M)</f>
        <v/>
      </c>
      <c r="L43" s="116" t="str">
        <f aca="false">IF($B43="","",الموظفون!$M43*$J43/cfg_DAYS_M)</f>
        <v/>
      </c>
      <c r="M43" s="116" t="str">
        <f aca="false">IF($B43="","",الموظفون!$N43*$J43/cfg_DAYS_M)</f>
        <v/>
      </c>
      <c r="N43" s="116" t="str">
        <f aca="false">IF($B43="","",الموظفون!$O43*$J43/cfg_DAYS_M)</f>
        <v/>
      </c>
      <c r="O43" s="156" t="str">
        <f aca="false">IF($B43="","",SUMIFS('الحركات الشهرية'!$F$6:$F$1005,'الحركات الشهرية'!$B$6:$B$1005,$B43,'الحركات الشهرية'!$A$6:$A$1005,$C$3))</f>
        <v/>
      </c>
      <c r="P43" s="116" t="str">
        <f aca="false">IF($B43="","",O43*(الموظفون!$P43+الموظفون!$L43*cfg_OT_P)/cfg_DAYS_M/cfg_HRS)</f>
        <v/>
      </c>
      <c r="Q43" s="116" t="str">
        <f aca="false">IF($B43="","",SUMIFS('الحركات الشهرية'!$G$6:$G$1005,'الحركات الشهرية'!$B$6:$B$1005,$B43,'الحركات الشهرية'!$A$6:$A$1005,$C$3))</f>
        <v/>
      </c>
      <c r="R43" s="116" t="str">
        <f aca="false">IF($B43="","",SUMIFS('الحركات الشهرية'!$H$6:$H$1005,'الحركات الشهرية'!$B$6:$B$1005,$B43,'الحركات الشهرية'!$A$6:$A$1005,$C$3))</f>
        <v/>
      </c>
      <c r="S43" s="116" t="str">
        <f aca="false">IF($B43="","",SUMIFS('سجل الإجازات والحالات'!$N$6:$N$505,'سجل الإجازات والحالات'!$B$6:$B$505,$B43,'سجل الإجازات والحالات'!$O$6:$O$505,$C$3))</f>
        <v/>
      </c>
      <c r="T43" s="157" t="str">
        <f aca="false">IF($B43="","",SUM(K43:N43)+SUM(P43:S43))</f>
        <v/>
      </c>
      <c r="U43" s="116" t="str">
        <f aca="false">IF($B43="","",الموظفون!$S43*IF(E43="سعودي",cfg_G_SE,cfg_G_NE)*G43/cfg_DAYS_M)</f>
        <v/>
      </c>
      <c r="V43" s="116" t="str">
        <f aca="false">IF($B43="","",SUMIFS('الحركات الشهرية'!$I$6:$I$1005,'الحركات الشهرية'!$B$6:$B$1005,$B43,'الحركات الشهرية'!$A$6:$A$1005,$C$3))</f>
        <v/>
      </c>
      <c r="W43" s="116" t="str">
        <f aca="false">IF($B43="","",SUMIFS('الحركات الشهرية'!$J$6:$J$1005,'الحركات الشهرية'!$B$6:$B$1005,$B43,'الحركات الشهرية'!$A$6:$A$1005,$C$3))</f>
        <v/>
      </c>
      <c r="X43" s="116" t="str">
        <f aca="false">IF($B43="","",SUM(U43:W43))</f>
        <v/>
      </c>
      <c r="Y43" s="158" t="str">
        <f aca="false">IF($B43="","",T43-X43)</f>
        <v/>
      </c>
      <c r="Z43" s="116" t="str">
        <f aca="false">IF($B43="","",الموظفون!$S43*IF(E43="سعودي",cfg_G_SR,cfg_G_NR)*G43/cfg_DAYS_M)</f>
        <v/>
      </c>
      <c r="AA43" s="116" t="str">
        <f aca="false">IF($B43="","",الموظفون!$Q43*(cfg_EOS_R1*(MIN(AH43,cfg_EOS_TH)-MIN(AI43,cfg_EOS_TH))+cfg_EOS_R2*(MAX(AH43-cfg_EOS_TH,0)-MAX(AI43-cfg_EOS_TH,0))))</f>
        <v/>
      </c>
      <c r="AB43" s="116" t="str">
        <f aca="false">IF($B43="","",IF(الموظفون!$T43&lt;&gt;"",الموظفون!$T43,IF(AH43&gt;=cfg_LV_TH,cfg_LV_D2,cfg_LV_D1))/cfg_DAYS_Y*AJ43*الموظفون!$R43/cfg_DAYS_M)</f>
        <v/>
      </c>
      <c r="AC43" s="116" t="str">
        <f aca="false">IF($B43="","",IF(AND(الموظفون!$U43="نعم",N(الموظفون!$W43)&gt;0),الموظفون!$V43/الموظفون!$W43*12/cfg_DAYS_Y*AJ43,0))</f>
        <v/>
      </c>
      <c r="AD43" s="116" t="str">
        <f aca="false">IF($B43="","",(IF(الموظفون!$X43&lt;&gt;"",الموظفون!$X43,IF(الموظفون!$E43="غير سعودي",cfg_IQ,0))+IF(الموظفون!$Y43&lt;&gt;"",الموظفون!$Y43,IF(الموظفون!$E43="غير سعودي",cfg_WP,0)))/12*G43/cfg_DAYS_M)</f>
        <v/>
      </c>
      <c r="AE43" s="116" t="str">
        <f aca="false">IF($B43="","",IF(الموظفون!$Z43&lt;&gt;"",الموظفون!$Z43,cfg_MED)/12*G43/cfg_DAYS_M)</f>
        <v/>
      </c>
      <c r="AF43" s="116" t="str">
        <f aca="false">IF($B43="","",N(الموظفون!$AA43)/12*G43/cfg_DAYS_M)</f>
        <v/>
      </c>
      <c r="AG43" s="159" t="str">
        <f aca="false">IF($B43="","",T43+SUM(Z43:AF43))</f>
        <v/>
      </c>
      <c r="AH43" s="160" t="str">
        <f aca="false">IF($B43="","",MAX(0,IF(OR(الموظفون!$AE43="",الموظفون!$AE43&gt;$F$3),$F$3,الموظفون!$AE43)-الموظفون!$H43+1-SUMIFS('سجل الإجازات والحالات'!$AK$6:$AK$505,'سجل الإجازات والحالات'!$B$6:$B$505,$B43))/cfg_DAYS_Y)</f>
        <v/>
      </c>
      <c r="AI43" s="160" t="str">
        <f aca="false">IF($B43="","",MAX(0,IF(OR(الموظفون!$AE43="",الموظفون!$AE43&gt;($E$3-1)),($E$3-1),الموظفون!$AE43)-الموظفون!$H43+1-SUMIFS('سجل الإجازات والحالات'!$AJ$6:$AJ$505,'سجل الإجازات والحالات'!$B$6:$B$505,$B43))/cfg_DAYS_Y)</f>
        <v/>
      </c>
      <c r="AJ43" s="133" t="str">
        <f aca="false">IF($B43="","",MAX(0,AK43-(SUMIFS('سجل الإجازات والحالات'!$AK$6:$AK$505,'سجل الإجازات والحالات'!$B$6:$B$505,$B43)-SUMIFS('سجل الإجازات والحالات'!$AJ$6:$AJ$505,'سجل الإجازات والحالات'!$B$6:$B$505,$B43))))</f>
        <v/>
      </c>
      <c r="AK43" s="133" t="str">
        <f aca="false">IF($B43="","",MAX(0,IF(OR(الموظفون!$AE43="",الموظفون!$AE43&gt;$F$3),$F$3,الموظفون!$AE43)-MAX($E$3,الموظفون!$H43)+1))</f>
        <v/>
      </c>
      <c r="AL43" s="156" t="str">
        <f aca="false">IF($B43="","",SUMIFS('سجل الإجازات والحالات'!$AW$6:$AW$505,'سجل الإجازات والحالات'!$B$6:$B$505,$B43)+SUMIFS('الحركات الشهرية'!$K$6:$K$1005,'الحركات الشهرية'!$B$6:$B$1005,$B43,'الحركات الشهرية'!$A$6:$A$1005,$C$3))</f>
        <v/>
      </c>
      <c r="AM43" s="116" t="str">
        <f aca="false">IF($B43="","",AL43*الموظفون!$R43/cfg_DAYS_M+S43)</f>
        <v/>
      </c>
      <c r="AN43" s="156" t="str">
        <f aca="false">IF($B43="","",SUMIFS('سجل الإجازات والحالات'!$Y$6:$Y$505,'سجل الإجازات والحالات'!$B$6:$B$505,$B43))</f>
        <v/>
      </c>
    </row>
    <row r="44" customFormat="false" ht="15" hidden="false" customHeight="false" outlineLevel="0" collapsed="false">
      <c r="A44" s="106" t="str">
        <f aca="false">IF($B44="","",الموظفون!$A44)</f>
        <v/>
      </c>
      <c r="B44" s="114" t="str">
        <f aca="false">IF(الموظفون!$B44="","",الموظفون!$B44)</f>
        <v/>
      </c>
      <c r="C44" s="114" t="str">
        <f aca="false">IF($B44="","",الموظفون!$C44)</f>
        <v/>
      </c>
      <c r="D44" s="114" t="str">
        <f aca="false">IF($B44="","",الموظفون!$F44)</f>
        <v/>
      </c>
      <c r="E44" s="114" t="str">
        <f aca="false">IF($B44="","",الموظفون!$E44)</f>
        <v/>
      </c>
      <c r="F44" s="114" t="str">
        <f aca="false">IF($B44="","",IF(AK44=0,IF(AND(الموظفون!$AE44&lt;&gt;"",الموظفون!$AE44&lt;$E$3),"✖ منتهي الخدمة","⏳ لم يباشر"),IF(S44&gt;0,"✈ راتب إجازة مقدم",IF(J44=0,"⛔ بدون راتب هذا الشهر",IF(I44&gt;0,"✈ خصم "&amp;ROUND(I44,2)&amp;" يوم بدون أجر",IF(AL44&gt;0,"🌴 إجازة سنوية "&amp;ROUND(AL44,2)&amp;" يوم",IF(H44&gt;0,"⚠ غياب "&amp;ROUND(H44,2)&amp;" يوم","✔ على رأس العمل")))))))</f>
        <v/>
      </c>
      <c r="G44" s="151" t="str">
        <f aca="false">IF($B44="","",IF(AK44&gt;=DAY($F$3),cfg_DAYS_M,MIN(AK44,cfg_DAYS_M)))</f>
        <v/>
      </c>
      <c r="H44" s="151" t="str">
        <f aca="false">IF($B44="","",SUMIFS('الحركات الشهرية'!$D$6:$D$1005,'الحركات الشهرية'!$B$6:$B$1005,$B44,'الحركات الشهرية'!$A$6:$A$1005,$C$3))</f>
        <v/>
      </c>
      <c r="I44" s="151" t="str">
        <f aca="false">IF($B44="","",MIN(G44,IF(AND(AK44&gt;0,AN44&gt;=AK44),G44,AN44)+SUMIFS('الحركات الشهرية'!$E$6:$E$1005,'الحركات الشهرية'!$B$6:$B$1005,$B44,'الحركات الشهرية'!$A$6:$A$1005,$C$3)))</f>
        <v/>
      </c>
      <c r="J44" s="151" t="str">
        <f aca="false">IF($B44="","",MAX(0,G44-H44-I44))</f>
        <v/>
      </c>
      <c r="K44" s="111" t="str">
        <f aca="false">IF($B44="","",الموظفون!$L44*$J44/cfg_DAYS_M)</f>
        <v/>
      </c>
      <c r="L44" s="111" t="str">
        <f aca="false">IF($B44="","",الموظفون!$M44*$J44/cfg_DAYS_M)</f>
        <v/>
      </c>
      <c r="M44" s="111" t="str">
        <f aca="false">IF($B44="","",الموظفون!$N44*$J44/cfg_DAYS_M)</f>
        <v/>
      </c>
      <c r="N44" s="111" t="str">
        <f aca="false">IF($B44="","",الموظفون!$O44*$J44/cfg_DAYS_M)</f>
        <v/>
      </c>
      <c r="O44" s="151" t="str">
        <f aca="false">IF($B44="","",SUMIFS('الحركات الشهرية'!$F$6:$F$1005,'الحركات الشهرية'!$B$6:$B$1005,$B44,'الحركات الشهرية'!$A$6:$A$1005,$C$3))</f>
        <v/>
      </c>
      <c r="P44" s="111" t="str">
        <f aca="false">IF($B44="","",O44*(الموظفون!$P44+الموظفون!$L44*cfg_OT_P)/cfg_DAYS_M/cfg_HRS)</f>
        <v/>
      </c>
      <c r="Q44" s="111" t="str">
        <f aca="false">IF($B44="","",SUMIFS('الحركات الشهرية'!$G$6:$G$1005,'الحركات الشهرية'!$B$6:$B$1005,$B44,'الحركات الشهرية'!$A$6:$A$1005,$C$3))</f>
        <v/>
      </c>
      <c r="R44" s="111" t="str">
        <f aca="false">IF($B44="","",SUMIFS('الحركات الشهرية'!$H$6:$H$1005,'الحركات الشهرية'!$B$6:$B$1005,$B44,'الحركات الشهرية'!$A$6:$A$1005,$C$3))</f>
        <v/>
      </c>
      <c r="S44" s="111" t="str">
        <f aca="false">IF($B44="","",SUMIFS('سجل الإجازات والحالات'!$N$6:$N$505,'سجل الإجازات والحالات'!$B$6:$B$505,$B44,'سجل الإجازات والحالات'!$O$6:$O$505,$C$3))</f>
        <v/>
      </c>
      <c r="T44" s="152" t="str">
        <f aca="false">IF($B44="","",SUM(K44:N44)+SUM(P44:S44))</f>
        <v/>
      </c>
      <c r="U44" s="111" t="str">
        <f aca="false">IF($B44="","",الموظفون!$S44*IF(E44="سعودي",cfg_G_SE,cfg_G_NE)*G44/cfg_DAYS_M)</f>
        <v/>
      </c>
      <c r="V44" s="111" t="str">
        <f aca="false">IF($B44="","",SUMIFS('الحركات الشهرية'!$I$6:$I$1005,'الحركات الشهرية'!$B$6:$B$1005,$B44,'الحركات الشهرية'!$A$6:$A$1005,$C$3))</f>
        <v/>
      </c>
      <c r="W44" s="111" t="str">
        <f aca="false">IF($B44="","",SUMIFS('الحركات الشهرية'!$J$6:$J$1005,'الحركات الشهرية'!$B$6:$B$1005,$B44,'الحركات الشهرية'!$A$6:$A$1005,$C$3))</f>
        <v/>
      </c>
      <c r="X44" s="111" t="str">
        <f aca="false">IF($B44="","",SUM(U44:W44))</f>
        <v/>
      </c>
      <c r="Y44" s="153" t="str">
        <f aca="false">IF($B44="","",T44-X44)</f>
        <v/>
      </c>
      <c r="Z44" s="111" t="str">
        <f aca="false">IF($B44="","",الموظفون!$S44*IF(E44="سعودي",cfg_G_SR,cfg_G_NR)*G44/cfg_DAYS_M)</f>
        <v/>
      </c>
      <c r="AA44" s="111" t="str">
        <f aca="false">IF($B44="","",الموظفون!$Q44*(cfg_EOS_R1*(MIN(AH44,cfg_EOS_TH)-MIN(AI44,cfg_EOS_TH))+cfg_EOS_R2*(MAX(AH44-cfg_EOS_TH,0)-MAX(AI44-cfg_EOS_TH,0))))</f>
        <v/>
      </c>
      <c r="AB44" s="111" t="str">
        <f aca="false">IF($B44="","",IF(الموظفون!$T44&lt;&gt;"",الموظفون!$T44,IF(AH44&gt;=cfg_LV_TH,cfg_LV_D2,cfg_LV_D1))/cfg_DAYS_Y*AJ44*الموظفون!$R44/cfg_DAYS_M)</f>
        <v/>
      </c>
      <c r="AC44" s="111" t="str">
        <f aca="false">IF($B44="","",IF(AND(الموظفون!$U44="نعم",N(الموظفون!$W44)&gt;0),الموظفون!$V44/الموظفون!$W44*12/cfg_DAYS_Y*AJ44,0))</f>
        <v/>
      </c>
      <c r="AD44" s="111" t="str">
        <f aca="false">IF($B44="","",(IF(الموظفون!$X44&lt;&gt;"",الموظفون!$X44,IF(الموظفون!$E44="غير سعودي",cfg_IQ,0))+IF(الموظفون!$Y44&lt;&gt;"",الموظفون!$Y44,IF(الموظفون!$E44="غير سعودي",cfg_WP,0)))/12*G44/cfg_DAYS_M)</f>
        <v/>
      </c>
      <c r="AE44" s="111" t="str">
        <f aca="false">IF($B44="","",IF(الموظفون!$Z44&lt;&gt;"",الموظفون!$Z44,cfg_MED)/12*G44/cfg_DAYS_M)</f>
        <v/>
      </c>
      <c r="AF44" s="111" t="str">
        <f aca="false">IF($B44="","",N(الموظفون!$AA44)/12*G44/cfg_DAYS_M)</f>
        <v/>
      </c>
      <c r="AG44" s="154" t="str">
        <f aca="false">IF($B44="","",T44+SUM(Z44:AF44))</f>
        <v/>
      </c>
      <c r="AH44" s="155" t="str">
        <f aca="false">IF($B44="","",MAX(0,IF(OR(الموظفون!$AE44="",الموظفون!$AE44&gt;$F$3),$F$3,الموظفون!$AE44)-الموظفون!$H44+1-SUMIFS('سجل الإجازات والحالات'!$AK$6:$AK$505,'سجل الإجازات والحالات'!$B$6:$B$505,$B44))/cfg_DAYS_Y)</f>
        <v/>
      </c>
      <c r="AI44" s="155" t="str">
        <f aca="false">IF($B44="","",MAX(0,IF(OR(الموظفون!$AE44="",الموظفون!$AE44&gt;($E$3-1)),($E$3-1),الموظفون!$AE44)-الموظفون!$H44+1-SUMIFS('سجل الإجازات والحالات'!$AJ$6:$AJ$505,'سجل الإجازات والحالات'!$B$6:$B$505,$B44))/cfg_DAYS_Y)</f>
        <v/>
      </c>
      <c r="AJ44" s="65" t="str">
        <f aca="false">IF($B44="","",MAX(0,AK44-(SUMIFS('سجل الإجازات والحالات'!$AK$6:$AK$505,'سجل الإجازات والحالات'!$B$6:$B$505,$B44)-SUMIFS('سجل الإجازات والحالات'!$AJ$6:$AJ$505,'سجل الإجازات والحالات'!$B$6:$B$505,$B44))))</f>
        <v/>
      </c>
      <c r="AK44" s="65" t="str">
        <f aca="false">IF($B44="","",MAX(0,IF(OR(الموظفون!$AE44="",الموظفون!$AE44&gt;$F$3),$F$3,الموظفون!$AE44)-MAX($E$3,الموظفون!$H44)+1))</f>
        <v/>
      </c>
      <c r="AL44" s="151" t="str">
        <f aca="false">IF($B44="","",SUMIFS('سجل الإجازات والحالات'!$AW$6:$AW$505,'سجل الإجازات والحالات'!$B$6:$B$505,$B44)+SUMIFS('الحركات الشهرية'!$K$6:$K$1005,'الحركات الشهرية'!$B$6:$B$1005,$B44,'الحركات الشهرية'!$A$6:$A$1005,$C$3))</f>
        <v/>
      </c>
      <c r="AM44" s="111" t="str">
        <f aca="false">IF($B44="","",AL44*الموظفون!$R44/cfg_DAYS_M+S44)</f>
        <v/>
      </c>
      <c r="AN44" s="151" t="str">
        <f aca="false">IF($B44="","",SUMIFS('سجل الإجازات والحالات'!$Y$6:$Y$505,'سجل الإجازات والحالات'!$B$6:$B$505,$B44))</f>
        <v/>
      </c>
    </row>
    <row r="45" customFormat="false" ht="15" hidden="false" customHeight="false" outlineLevel="0" collapsed="false">
      <c r="A45" s="115" t="str">
        <f aca="false">IF($B45="","",الموظفون!$A45)</f>
        <v/>
      </c>
      <c r="B45" s="117" t="str">
        <f aca="false">IF(الموظفون!$B45="","",الموظفون!$B45)</f>
        <v/>
      </c>
      <c r="C45" s="117" t="str">
        <f aca="false">IF($B45="","",الموظفون!$C45)</f>
        <v/>
      </c>
      <c r="D45" s="117" t="str">
        <f aca="false">IF($B45="","",الموظفون!$F45)</f>
        <v/>
      </c>
      <c r="E45" s="117" t="str">
        <f aca="false">IF($B45="","",الموظفون!$E45)</f>
        <v/>
      </c>
      <c r="F45" s="117" t="str">
        <f aca="false">IF($B45="","",IF(AK45=0,IF(AND(الموظفون!$AE45&lt;&gt;"",الموظفون!$AE45&lt;$E$3),"✖ منتهي الخدمة","⏳ لم يباشر"),IF(S45&gt;0,"✈ راتب إجازة مقدم",IF(J45=0,"⛔ بدون راتب هذا الشهر",IF(I45&gt;0,"✈ خصم "&amp;ROUND(I45,2)&amp;" يوم بدون أجر",IF(AL45&gt;0,"🌴 إجازة سنوية "&amp;ROUND(AL45,2)&amp;" يوم",IF(H45&gt;0,"⚠ غياب "&amp;ROUND(H45,2)&amp;" يوم","✔ على رأس العمل")))))))</f>
        <v/>
      </c>
      <c r="G45" s="156" t="str">
        <f aca="false">IF($B45="","",IF(AK45&gt;=DAY($F$3),cfg_DAYS_M,MIN(AK45,cfg_DAYS_M)))</f>
        <v/>
      </c>
      <c r="H45" s="156" t="str">
        <f aca="false">IF($B45="","",SUMIFS('الحركات الشهرية'!$D$6:$D$1005,'الحركات الشهرية'!$B$6:$B$1005,$B45,'الحركات الشهرية'!$A$6:$A$1005,$C$3))</f>
        <v/>
      </c>
      <c r="I45" s="156" t="str">
        <f aca="false">IF($B45="","",MIN(G45,IF(AND(AK45&gt;0,AN45&gt;=AK45),G45,AN45)+SUMIFS('الحركات الشهرية'!$E$6:$E$1005,'الحركات الشهرية'!$B$6:$B$1005,$B45,'الحركات الشهرية'!$A$6:$A$1005,$C$3)))</f>
        <v/>
      </c>
      <c r="J45" s="156" t="str">
        <f aca="false">IF($B45="","",MAX(0,G45-H45-I45))</f>
        <v/>
      </c>
      <c r="K45" s="116" t="str">
        <f aca="false">IF($B45="","",الموظفون!$L45*$J45/cfg_DAYS_M)</f>
        <v/>
      </c>
      <c r="L45" s="116" t="str">
        <f aca="false">IF($B45="","",الموظفون!$M45*$J45/cfg_DAYS_M)</f>
        <v/>
      </c>
      <c r="M45" s="116" t="str">
        <f aca="false">IF($B45="","",الموظفون!$N45*$J45/cfg_DAYS_M)</f>
        <v/>
      </c>
      <c r="N45" s="116" t="str">
        <f aca="false">IF($B45="","",الموظفون!$O45*$J45/cfg_DAYS_M)</f>
        <v/>
      </c>
      <c r="O45" s="156" t="str">
        <f aca="false">IF($B45="","",SUMIFS('الحركات الشهرية'!$F$6:$F$1005,'الحركات الشهرية'!$B$6:$B$1005,$B45,'الحركات الشهرية'!$A$6:$A$1005,$C$3))</f>
        <v/>
      </c>
      <c r="P45" s="116" t="str">
        <f aca="false">IF($B45="","",O45*(الموظفون!$P45+الموظفون!$L45*cfg_OT_P)/cfg_DAYS_M/cfg_HRS)</f>
        <v/>
      </c>
      <c r="Q45" s="116" t="str">
        <f aca="false">IF($B45="","",SUMIFS('الحركات الشهرية'!$G$6:$G$1005,'الحركات الشهرية'!$B$6:$B$1005,$B45,'الحركات الشهرية'!$A$6:$A$1005,$C$3))</f>
        <v/>
      </c>
      <c r="R45" s="116" t="str">
        <f aca="false">IF($B45="","",SUMIFS('الحركات الشهرية'!$H$6:$H$1005,'الحركات الشهرية'!$B$6:$B$1005,$B45,'الحركات الشهرية'!$A$6:$A$1005,$C$3))</f>
        <v/>
      </c>
      <c r="S45" s="116" t="str">
        <f aca="false">IF($B45="","",SUMIFS('سجل الإجازات والحالات'!$N$6:$N$505,'سجل الإجازات والحالات'!$B$6:$B$505,$B45,'سجل الإجازات والحالات'!$O$6:$O$505,$C$3))</f>
        <v/>
      </c>
      <c r="T45" s="157" t="str">
        <f aca="false">IF($B45="","",SUM(K45:N45)+SUM(P45:S45))</f>
        <v/>
      </c>
      <c r="U45" s="116" t="str">
        <f aca="false">IF($B45="","",الموظفون!$S45*IF(E45="سعودي",cfg_G_SE,cfg_G_NE)*G45/cfg_DAYS_M)</f>
        <v/>
      </c>
      <c r="V45" s="116" t="str">
        <f aca="false">IF($B45="","",SUMIFS('الحركات الشهرية'!$I$6:$I$1005,'الحركات الشهرية'!$B$6:$B$1005,$B45,'الحركات الشهرية'!$A$6:$A$1005,$C$3))</f>
        <v/>
      </c>
      <c r="W45" s="116" t="str">
        <f aca="false">IF($B45="","",SUMIFS('الحركات الشهرية'!$J$6:$J$1005,'الحركات الشهرية'!$B$6:$B$1005,$B45,'الحركات الشهرية'!$A$6:$A$1005,$C$3))</f>
        <v/>
      </c>
      <c r="X45" s="116" t="str">
        <f aca="false">IF($B45="","",SUM(U45:W45))</f>
        <v/>
      </c>
      <c r="Y45" s="158" t="str">
        <f aca="false">IF($B45="","",T45-X45)</f>
        <v/>
      </c>
      <c r="Z45" s="116" t="str">
        <f aca="false">IF($B45="","",الموظفون!$S45*IF(E45="سعودي",cfg_G_SR,cfg_G_NR)*G45/cfg_DAYS_M)</f>
        <v/>
      </c>
      <c r="AA45" s="116" t="str">
        <f aca="false">IF($B45="","",الموظفون!$Q45*(cfg_EOS_R1*(MIN(AH45,cfg_EOS_TH)-MIN(AI45,cfg_EOS_TH))+cfg_EOS_R2*(MAX(AH45-cfg_EOS_TH,0)-MAX(AI45-cfg_EOS_TH,0))))</f>
        <v/>
      </c>
      <c r="AB45" s="116" t="str">
        <f aca="false">IF($B45="","",IF(الموظفون!$T45&lt;&gt;"",الموظفون!$T45,IF(AH45&gt;=cfg_LV_TH,cfg_LV_D2,cfg_LV_D1))/cfg_DAYS_Y*AJ45*الموظفون!$R45/cfg_DAYS_M)</f>
        <v/>
      </c>
      <c r="AC45" s="116" t="str">
        <f aca="false">IF($B45="","",IF(AND(الموظفون!$U45="نعم",N(الموظفون!$W45)&gt;0),الموظفون!$V45/الموظفون!$W45*12/cfg_DAYS_Y*AJ45,0))</f>
        <v/>
      </c>
      <c r="AD45" s="116" t="str">
        <f aca="false">IF($B45="","",(IF(الموظفون!$X45&lt;&gt;"",الموظفون!$X45,IF(الموظفون!$E45="غير سعودي",cfg_IQ,0))+IF(الموظفون!$Y45&lt;&gt;"",الموظفون!$Y45,IF(الموظفون!$E45="غير سعودي",cfg_WP,0)))/12*G45/cfg_DAYS_M)</f>
        <v/>
      </c>
      <c r="AE45" s="116" t="str">
        <f aca="false">IF($B45="","",IF(الموظفون!$Z45&lt;&gt;"",الموظفون!$Z45,cfg_MED)/12*G45/cfg_DAYS_M)</f>
        <v/>
      </c>
      <c r="AF45" s="116" t="str">
        <f aca="false">IF($B45="","",N(الموظفون!$AA45)/12*G45/cfg_DAYS_M)</f>
        <v/>
      </c>
      <c r="AG45" s="159" t="str">
        <f aca="false">IF($B45="","",T45+SUM(Z45:AF45))</f>
        <v/>
      </c>
      <c r="AH45" s="160" t="str">
        <f aca="false">IF($B45="","",MAX(0,IF(OR(الموظفون!$AE45="",الموظفون!$AE45&gt;$F$3),$F$3,الموظفون!$AE45)-الموظفون!$H45+1-SUMIFS('سجل الإجازات والحالات'!$AK$6:$AK$505,'سجل الإجازات والحالات'!$B$6:$B$505,$B45))/cfg_DAYS_Y)</f>
        <v/>
      </c>
      <c r="AI45" s="160" t="str">
        <f aca="false">IF($B45="","",MAX(0,IF(OR(الموظفون!$AE45="",الموظفون!$AE45&gt;($E$3-1)),($E$3-1),الموظفون!$AE45)-الموظفون!$H45+1-SUMIFS('سجل الإجازات والحالات'!$AJ$6:$AJ$505,'سجل الإجازات والحالات'!$B$6:$B$505,$B45))/cfg_DAYS_Y)</f>
        <v/>
      </c>
      <c r="AJ45" s="133" t="str">
        <f aca="false">IF($B45="","",MAX(0,AK45-(SUMIFS('سجل الإجازات والحالات'!$AK$6:$AK$505,'سجل الإجازات والحالات'!$B$6:$B$505,$B45)-SUMIFS('سجل الإجازات والحالات'!$AJ$6:$AJ$505,'سجل الإجازات والحالات'!$B$6:$B$505,$B45))))</f>
        <v/>
      </c>
      <c r="AK45" s="133" t="str">
        <f aca="false">IF($B45="","",MAX(0,IF(OR(الموظفون!$AE45="",الموظفون!$AE45&gt;$F$3),$F$3,الموظفون!$AE45)-MAX($E$3,الموظفون!$H45)+1))</f>
        <v/>
      </c>
      <c r="AL45" s="156" t="str">
        <f aca="false">IF($B45="","",SUMIFS('سجل الإجازات والحالات'!$AW$6:$AW$505,'سجل الإجازات والحالات'!$B$6:$B$505,$B45)+SUMIFS('الحركات الشهرية'!$K$6:$K$1005,'الحركات الشهرية'!$B$6:$B$1005,$B45,'الحركات الشهرية'!$A$6:$A$1005,$C$3))</f>
        <v/>
      </c>
      <c r="AM45" s="116" t="str">
        <f aca="false">IF($B45="","",AL45*الموظفون!$R45/cfg_DAYS_M+S45)</f>
        <v/>
      </c>
      <c r="AN45" s="156" t="str">
        <f aca="false">IF($B45="","",SUMIFS('سجل الإجازات والحالات'!$Y$6:$Y$505,'سجل الإجازات والحالات'!$B$6:$B$505,$B45))</f>
        <v/>
      </c>
    </row>
    <row r="46" customFormat="false" ht="15" hidden="false" customHeight="false" outlineLevel="0" collapsed="false">
      <c r="A46" s="106" t="str">
        <f aca="false">IF($B46="","",الموظفون!$A46)</f>
        <v/>
      </c>
      <c r="B46" s="114" t="str">
        <f aca="false">IF(الموظفون!$B46="","",الموظفون!$B46)</f>
        <v/>
      </c>
      <c r="C46" s="114" t="str">
        <f aca="false">IF($B46="","",الموظفون!$C46)</f>
        <v/>
      </c>
      <c r="D46" s="114" t="str">
        <f aca="false">IF($B46="","",الموظفون!$F46)</f>
        <v/>
      </c>
      <c r="E46" s="114" t="str">
        <f aca="false">IF($B46="","",الموظفون!$E46)</f>
        <v/>
      </c>
      <c r="F46" s="114" t="str">
        <f aca="false">IF($B46="","",IF(AK46=0,IF(AND(الموظفون!$AE46&lt;&gt;"",الموظفون!$AE46&lt;$E$3),"✖ منتهي الخدمة","⏳ لم يباشر"),IF(S46&gt;0,"✈ راتب إجازة مقدم",IF(J46=0,"⛔ بدون راتب هذا الشهر",IF(I46&gt;0,"✈ خصم "&amp;ROUND(I46,2)&amp;" يوم بدون أجر",IF(AL46&gt;0,"🌴 إجازة سنوية "&amp;ROUND(AL46,2)&amp;" يوم",IF(H46&gt;0,"⚠ غياب "&amp;ROUND(H46,2)&amp;" يوم","✔ على رأس العمل")))))))</f>
        <v/>
      </c>
      <c r="G46" s="151" t="str">
        <f aca="false">IF($B46="","",IF(AK46&gt;=DAY($F$3),cfg_DAYS_M,MIN(AK46,cfg_DAYS_M)))</f>
        <v/>
      </c>
      <c r="H46" s="151" t="str">
        <f aca="false">IF($B46="","",SUMIFS('الحركات الشهرية'!$D$6:$D$1005,'الحركات الشهرية'!$B$6:$B$1005,$B46,'الحركات الشهرية'!$A$6:$A$1005,$C$3))</f>
        <v/>
      </c>
      <c r="I46" s="151" t="str">
        <f aca="false">IF($B46="","",MIN(G46,IF(AND(AK46&gt;0,AN46&gt;=AK46),G46,AN46)+SUMIFS('الحركات الشهرية'!$E$6:$E$1005,'الحركات الشهرية'!$B$6:$B$1005,$B46,'الحركات الشهرية'!$A$6:$A$1005,$C$3)))</f>
        <v/>
      </c>
      <c r="J46" s="151" t="str">
        <f aca="false">IF($B46="","",MAX(0,G46-H46-I46))</f>
        <v/>
      </c>
      <c r="K46" s="111" t="str">
        <f aca="false">IF($B46="","",الموظفون!$L46*$J46/cfg_DAYS_M)</f>
        <v/>
      </c>
      <c r="L46" s="111" t="str">
        <f aca="false">IF($B46="","",الموظفون!$M46*$J46/cfg_DAYS_M)</f>
        <v/>
      </c>
      <c r="M46" s="111" t="str">
        <f aca="false">IF($B46="","",الموظفون!$N46*$J46/cfg_DAYS_M)</f>
        <v/>
      </c>
      <c r="N46" s="111" t="str">
        <f aca="false">IF($B46="","",الموظفون!$O46*$J46/cfg_DAYS_M)</f>
        <v/>
      </c>
      <c r="O46" s="151" t="str">
        <f aca="false">IF($B46="","",SUMIFS('الحركات الشهرية'!$F$6:$F$1005,'الحركات الشهرية'!$B$6:$B$1005,$B46,'الحركات الشهرية'!$A$6:$A$1005,$C$3))</f>
        <v/>
      </c>
      <c r="P46" s="111" t="str">
        <f aca="false">IF($B46="","",O46*(الموظفون!$P46+الموظفون!$L46*cfg_OT_P)/cfg_DAYS_M/cfg_HRS)</f>
        <v/>
      </c>
      <c r="Q46" s="111" t="str">
        <f aca="false">IF($B46="","",SUMIFS('الحركات الشهرية'!$G$6:$G$1005,'الحركات الشهرية'!$B$6:$B$1005,$B46,'الحركات الشهرية'!$A$6:$A$1005,$C$3))</f>
        <v/>
      </c>
      <c r="R46" s="111" t="str">
        <f aca="false">IF($B46="","",SUMIFS('الحركات الشهرية'!$H$6:$H$1005,'الحركات الشهرية'!$B$6:$B$1005,$B46,'الحركات الشهرية'!$A$6:$A$1005,$C$3))</f>
        <v/>
      </c>
      <c r="S46" s="111" t="str">
        <f aca="false">IF($B46="","",SUMIFS('سجل الإجازات والحالات'!$N$6:$N$505,'سجل الإجازات والحالات'!$B$6:$B$505,$B46,'سجل الإجازات والحالات'!$O$6:$O$505,$C$3))</f>
        <v/>
      </c>
      <c r="T46" s="152" t="str">
        <f aca="false">IF($B46="","",SUM(K46:N46)+SUM(P46:S46))</f>
        <v/>
      </c>
      <c r="U46" s="111" t="str">
        <f aca="false">IF($B46="","",الموظفون!$S46*IF(E46="سعودي",cfg_G_SE,cfg_G_NE)*G46/cfg_DAYS_M)</f>
        <v/>
      </c>
      <c r="V46" s="111" t="str">
        <f aca="false">IF($B46="","",SUMIFS('الحركات الشهرية'!$I$6:$I$1005,'الحركات الشهرية'!$B$6:$B$1005,$B46,'الحركات الشهرية'!$A$6:$A$1005,$C$3))</f>
        <v/>
      </c>
      <c r="W46" s="111" t="str">
        <f aca="false">IF($B46="","",SUMIFS('الحركات الشهرية'!$J$6:$J$1005,'الحركات الشهرية'!$B$6:$B$1005,$B46,'الحركات الشهرية'!$A$6:$A$1005,$C$3))</f>
        <v/>
      </c>
      <c r="X46" s="111" t="str">
        <f aca="false">IF($B46="","",SUM(U46:W46))</f>
        <v/>
      </c>
      <c r="Y46" s="153" t="str">
        <f aca="false">IF($B46="","",T46-X46)</f>
        <v/>
      </c>
      <c r="Z46" s="111" t="str">
        <f aca="false">IF($B46="","",الموظفون!$S46*IF(E46="سعودي",cfg_G_SR,cfg_G_NR)*G46/cfg_DAYS_M)</f>
        <v/>
      </c>
      <c r="AA46" s="111" t="str">
        <f aca="false">IF($B46="","",الموظفون!$Q46*(cfg_EOS_R1*(MIN(AH46,cfg_EOS_TH)-MIN(AI46,cfg_EOS_TH))+cfg_EOS_R2*(MAX(AH46-cfg_EOS_TH,0)-MAX(AI46-cfg_EOS_TH,0))))</f>
        <v/>
      </c>
      <c r="AB46" s="111" t="str">
        <f aca="false">IF($B46="","",IF(الموظفون!$T46&lt;&gt;"",الموظفون!$T46,IF(AH46&gt;=cfg_LV_TH,cfg_LV_D2,cfg_LV_D1))/cfg_DAYS_Y*AJ46*الموظفون!$R46/cfg_DAYS_M)</f>
        <v/>
      </c>
      <c r="AC46" s="111" t="str">
        <f aca="false">IF($B46="","",IF(AND(الموظفون!$U46="نعم",N(الموظفون!$W46)&gt;0),الموظفون!$V46/الموظفون!$W46*12/cfg_DAYS_Y*AJ46,0))</f>
        <v/>
      </c>
      <c r="AD46" s="111" t="str">
        <f aca="false">IF($B46="","",(IF(الموظفون!$X46&lt;&gt;"",الموظفون!$X46,IF(الموظفون!$E46="غير سعودي",cfg_IQ,0))+IF(الموظفون!$Y46&lt;&gt;"",الموظفون!$Y46,IF(الموظفون!$E46="غير سعودي",cfg_WP,0)))/12*G46/cfg_DAYS_M)</f>
        <v/>
      </c>
      <c r="AE46" s="111" t="str">
        <f aca="false">IF($B46="","",IF(الموظفون!$Z46&lt;&gt;"",الموظفون!$Z46,cfg_MED)/12*G46/cfg_DAYS_M)</f>
        <v/>
      </c>
      <c r="AF46" s="111" t="str">
        <f aca="false">IF($B46="","",N(الموظفون!$AA46)/12*G46/cfg_DAYS_M)</f>
        <v/>
      </c>
      <c r="AG46" s="154" t="str">
        <f aca="false">IF($B46="","",T46+SUM(Z46:AF46))</f>
        <v/>
      </c>
      <c r="AH46" s="155" t="str">
        <f aca="false">IF($B46="","",MAX(0,IF(OR(الموظفون!$AE46="",الموظفون!$AE46&gt;$F$3),$F$3,الموظفون!$AE46)-الموظفون!$H46+1-SUMIFS('سجل الإجازات والحالات'!$AK$6:$AK$505,'سجل الإجازات والحالات'!$B$6:$B$505,$B46))/cfg_DAYS_Y)</f>
        <v/>
      </c>
      <c r="AI46" s="155" t="str">
        <f aca="false">IF($B46="","",MAX(0,IF(OR(الموظفون!$AE46="",الموظفون!$AE46&gt;($E$3-1)),($E$3-1),الموظفون!$AE46)-الموظفون!$H46+1-SUMIFS('سجل الإجازات والحالات'!$AJ$6:$AJ$505,'سجل الإجازات والحالات'!$B$6:$B$505,$B46))/cfg_DAYS_Y)</f>
        <v/>
      </c>
      <c r="AJ46" s="65" t="str">
        <f aca="false">IF($B46="","",MAX(0,AK46-(SUMIFS('سجل الإجازات والحالات'!$AK$6:$AK$505,'سجل الإجازات والحالات'!$B$6:$B$505,$B46)-SUMIFS('سجل الإجازات والحالات'!$AJ$6:$AJ$505,'سجل الإجازات والحالات'!$B$6:$B$505,$B46))))</f>
        <v/>
      </c>
      <c r="AK46" s="65" t="str">
        <f aca="false">IF($B46="","",MAX(0,IF(OR(الموظفون!$AE46="",الموظفون!$AE46&gt;$F$3),$F$3,الموظفون!$AE46)-MAX($E$3,الموظفون!$H46)+1))</f>
        <v/>
      </c>
      <c r="AL46" s="151" t="str">
        <f aca="false">IF($B46="","",SUMIFS('سجل الإجازات والحالات'!$AW$6:$AW$505,'سجل الإجازات والحالات'!$B$6:$B$505,$B46)+SUMIFS('الحركات الشهرية'!$K$6:$K$1005,'الحركات الشهرية'!$B$6:$B$1005,$B46,'الحركات الشهرية'!$A$6:$A$1005,$C$3))</f>
        <v/>
      </c>
      <c r="AM46" s="111" t="str">
        <f aca="false">IF($B46="","",AL46*الموظفون!$R46/cfg_DAYS_M+S46)</f>
        <v/>
      </c>
      <c r="AN46" s="151" t="str">
        <f aca="false">IF($B46="","",SUMIFS('سجل الإجازات والحالات'!$Y$6:$Y$505,'سجل الإجازات والحالات'!$B$6:$B$505,$B46))</f>
        <v/>
      </c>
    </row>
    <row r="47" customFormat="false" ht="15" hidden="false" customHeight="false" outlineLevel="0" collapsed="false">
      <c r="A47" s="115" t="str">
        <f aca="false">IF($B47="","",الموظفون!$A47)</f>
        <v/>
      </c>
      <c r="B47" s="117" t="str">
        <f aca="false">IF(الموظفون!$B47="","",الموظفون!$B47)</f>
        <v/>
      </c>
      <c r="C47" s="117" t="str">
        <f aca="false">IF($B47="","",الموظفون!$C47)</f>
        <v/>
      </c>
      <c r="D47" s="117" t="str">
        <f aca="false">IF($B47="","",الموظفون!$F47)</f>
        <v/>
      </c>
      <c r="E47" s="117" t="str">
        <f aca="false">IF($B47="","",الموظفون!$E47)</f>
        <v/>
      </c>
      <c r="F47" s="117" t="str">
        <f aca="false">IF($B47="","",IF(AK47=0,IF(AND(الموظفون!$AE47&lt;&gt;"",الموظفون!$AE47&lt;$E$3),"✖ منتهي الخدمة","⏳ لم يباشر"),IF(S47&gt;0,"✈ راتب إجازة مقدم",IF(J47=0,"⛔ بدون راتب هذا الشهر",IF(I47&gt;0,"✈ خصم "&amp;ROUND(I47,2)&amp;" يوم بدون أجر",IF(AL47&gt;0,"🌴 إجازة سنوية "&amp;ROUND(AL47,2)&amp;" يوم",IF(H47&gt;0,"⚠ غياب "&amp;ROUND(H47,2)&amp;" يوم","✔ على رأس العمل")))))))</f>
        <v/>
      </c>
      <c r="G47" s="156" t="str">
        <f aca="false">IF($B47="","",IF(AK47&gt;=DAY($F$3),cfg_DAYS_M,MIN(AK47,cfg_DAYS_M)))</f>
        <v/>
      </c>
      <c r="H47" s="156" t="str">
        <f aca="false">IF($B47="","",SUMIFS('الحركات الشهرية'!$D$6:$D$1005,'الحركات الشهرية'!$B$6:$B$1005,$B47,'الحركات الشهرية'!$A$6:$A$1005,$C$3))</f>
        <v/>
      </c>
      <c r="I47" s="156" t="str">
        <f aca="false">IF($B47="","",MIN(G47,IF(AND(AK47&gt;0,AN47&gt;=AK47),G47,AN47)+SUMIFS('الحركات الشهرية'!$E$6:$E$1005,'الحركات الشهرية'!$B$6:$B$1005,$B47,'الحركات الشهرية'!$A$6:$A$1005,$C$3)))</f>
        <v/>
      </c>
      <c r="J47" s="156" t="str">
        <f aca="false">IF($B47="","",MAX(0,G47-H47-I47))</f>
        <v/>
      </c>
      <c r="K47" s="116" t="str">
        <f aca="false">IF($B47="","",الموظفون!$L47*$J47/cfg_DAYS_M)</f>
        <v/>
      </c>
      <c r="L47" s="116" t="str">
        <f aca="false">IF($B47="","",الموظفون!$M47*$J47/cfg_DAYS_M)</f>
        <v/>
      </c>
      <c r="M47" s="116" t="str">
        <f aca="false">IF($B47="","",الموظفون!$N47*$J47/cfg_DAYS_M)</f>
        <v/>
      </c>
      <c r="N47" s="116" t="str">
        <f aca="false">IF($B47="","",الموظفون!$O47*$J47/cfg_DAYS_M)</f>
        <v/>
      </c>
      <c r="O47" s="156" t="str">
        <f aca="false">IF($B47="","",SUMIFS('الحركات الشهرية'!$F$6:$F$1005,'الحركات الشهرية'!$B$6:$B$1005,$B47,'الحركات الشهرية'!$A$6:$A$1005,$C$3))</f>
        <v/>
      </c>
      <c r="P47" s="116" t="str">
        <f aca="false">IF($B47="","",O47*(الموظفون!$P47+الموظفون!$L47*cfg_OT_P)/cfg_DAYS_M/cfg_HRS)</f>
        <v/>
      </c>
      <c r="Q47" s="116" t="str">
        <f aca="false">IF($B47="","",SUMIFS('الحركات الشهرية'!$G$6:$G$1005,'الحركات الشهرية'!$B$6:$B$1005,$B47,'الحركات الشهرية'!$A$6:$A$1005,$C$3))</f>
        <v/>
      </c>
      <c r="R47" s="116" t="str">
        <f aca="false">IF($B47="","",SUMIFS('الحركات الشهرية'!$H$6:$H$1005,'الحركات الشهرية'!$B$6:$B$1005,$B47,'الحركات الشهرية'!$A$6:$A$1005,$C$3))</f>
        <v/>
      </c>
      <c r="S47" s="116" t="str">
        <f aca="false">IF($B47="","",SUMIFS('سجل الإجازات والحالات'!$N$6:$N$505,'سجل الإجازات والحالات'!$B$6:$B$505,$B47,'سجل الإجازات والحالات'!$O$6:$O$505,$C$3))</f>
        <v/>
      </c>
      <c r="T47" s="157" t="str">
        <f aca="false">IF($B47="","",SUM(K47:N47)+SUM(P47:S47))</f>
        <v/>
      </c>
      <c r="U47" s="116" t="str">
        <f aca="false">IF($B47="","",الموظفون!$S47*IF(E47="سعودي",cfg_G_SE,cfg_G_NE)*G47/cfg_DAYS_M)</f>
        <v/>
      </c>
      <c r="V47" s="116" t="str">
        <f aca="false">IF($B47="","",SUMIFS('الحركات الشهرية'!$I$6:$I$1005,'الحركات الشهرية'!$B$6:$B$1005,$B47,'الحركات الشهرية'!$A$6:$A$1005,$C$3))</f>
        <v/>
      </c>
      <c r="W47" s="116" t="str">
        <f aca="false">IF($B47="","",SUMIFS('الحركات الشهرية'!$J$6:$J$1005,'الحركات الشهرية'!$B$6:$B$1005,$B47,'الحركات الشهرية'!$A$6:$A$1005,$C$3))</f>
        <v/>
      </c>
      <c r="X47" s="116" t="str">
        <f aca="false">IF($B47="","",SUM(U47:W47))</f>
        <v/>
      </c>
      <c r="Y47" s="158" t="str">
        <f aca="false">IF($B47="","",T47-X47)</f>
        <v/>
      </c>
      <c r="Z47" s="116" t="str">
        <f aca="false">IF($B47="","",الموظفون!$S47*IF(E47="سعودي",cfg_G_SR,cfg_G_NR)*G47/cfg_DAYS_M)</f>
        <v/>
      </c>
      <c r="AA47" s="116" t="str">
        <f aca="false">IF($B47="","",الموظفون!$Q47*(cfg_EOS_R1*(MIN(AH47,cfg_EOS_TH)-MIN(AI47,cfg_EOS_TH))+cfg_EOS_R2*(MAX(AH47-cfg_EOS_TH,0)-MAX(AI47-cfg_EOS_TH,0))))</f>
        <v/>
      </c>
      <c r="AB47" s="116" t="str">
        <f aca="false">IF($B47="","",IF(الموظفون!$T47&lt;&gt;"",الموظفون!$T47,IF(AH47&gt;=cfg_LV_TH,cfg_LV_D2,cfg_LV_D1))/cfg_DAYS_Y*AJ47*الموظفون!$R47/cfg_DAYS_M)</f>
        <v/>
      </c>
      <c r="AC47" s="116" t="str">
        <f aca="false">IF($B47="","",IF(AND(الموظفون!$U47="نعم",N(الموظفون!$W47)&gt;0),الموظفون!$V47/الموظفون!$W47*12/cfg_DAYS_Y*AJ47,0))</f>
        <v/>
      </c>
      <c r="AD47" s="116" t="str">
        <f aca="false">IF($B47="","",(IF(الموظفون!$X47&lt;&gt;"",الموظفون!$X47,IF(الموظفون!$E47="غير سعودي",cfg_IQ,0))+IF(الموظفون!$Y47&lt;&gt;"",الموظفون!$Y47,IF(الموظفون!$E47="غير سعودي",cfg_WP,0)))/12*G47/cfg_DAYS_M)</f>
        <v/>
      </c>
      <c r="AE47" s="116" t="str">
        <f aca="false">IF($B47="","",IF(الموظفون!$Z47&lt;&gt;"",الموظفون!$Z47,cfg_MED)/12*G47/cfg_DAYS_M)</f>
        <v/>
      </c>
      <c r="AF47" s="116" t="str">
        <f aca="false">IF($B47="","",N(الموظفون!$AA47)/12*G47/cfg_DAYS_M)</f>
        <v/>
      </c>
      <c r="AG47" s="159" t="str">
        <f aca="false">IF($B47="","",T47+SUM(Z47:AF47))</f>
        <v/>
      </c>
      <c r="AH47" s="160" t="str">
        <f aca="false">IF($B47="","",MAX(0,IF(OR(الموظفون!$AE47="",الموظفون!$AE47&gt;$F$3),$F$3,الموظفون!$AE47)-الموظفون!$H47+1-SUMIFS('سجل الإجازات والحالات'!$AK$6:$AK$505,'سجل الإجازات والحالات'!$B$6:$B$505,$B47))/cfg_DAYS_Y)</f>
        <v/>
      </c>
      <c r="AI47" s="160" t="str">
        <f aca="false">IF($B47="","",MAX(0,IF(OR(الموظفون!$AE47="",الموظفون!$AE47&gt;($E$3-1)),($E$3-1),الموظفون!$AE47)-الموظفون!$H47+1-SUMIFS('سجل الإجازات والحالات'!$AJ$6:$AJ$505,'سجل الإجازات والحالات'!$B$6:$B$505,$B47))/cfg_DAYS_Y)</f>
        <v/>
      </c>
      <c r="AJ47" s="133" t="str">
        <f aca="false">IF($B47="","",MAX(0,AK47-(SUMIFS('سجل الإجازات والحالات'!$AK$6:$AK$505,'سجل الإجازات والحالات'!$B$6:$B$505,$B47)-SUMIFS('سجل الإجازات والحالات'!$AJ$6:$AJ$505,'سجل الإجازات والحالات'!$B$6:$B$505,$B47))))</f>
        <v/>
      </c>
      <c r="AK47" s="133" t="str">
        <f aca="false">IF($B47="","",MAX(0,IF(OR(الموظفون!$AE47="",الموظفون!$AE47&gt;$F$3),$F$3,الموظفون!$AE47)-MAX($E$3,الموظفون!$H47)+1))</f>
        <v/>
      </c>
      <c r="AL47" s="156" t="str">
        <f aca="false">IF($B47="","",SUMIFS('سجل الإجازات والحالات'!$AW$6:$AW$505,'سجل الإجازات والحالات'!$B$6:$B$505,$B47)+SUMIFS('الحركات الشهرية'!$K$6:$K$1005,'الحركات الشهرية'!$B$6:$B$1005,$B47,'الحركات الشهرية'!$A$6:$A$1005,$C$3))</f>
        <v/>
      </c>
      <c r="AM47" s="116" t="str">
        <f aca="false">IF($B47="","",AL47*الموظفون!$R47/cfg_DAYS_M+S47)</f>
        <v/>
      </c>
      <c r="AN47" s="156" t="str">
        <f aca="false">IF($B47="","",SUMIFS('سجل الإجازات والحالات'!$Y$6:$Y$505,'سجل الإجازات والحالات'!$B$6:$B$505,$B47))</f>
        <v/>
      </c>
    </row>
    <row r="48" customFormat="false" ht="15" hidden="false" customHeight="false" outlineLevel="0" collapsed="false">
      <c r="A48" s="106" t="str">
        <f aca="false">IF($B48="","",الموظفون!$A48)</f>
        <v/>
      </c>
      <c r="B48" s="114" t="str">
        <f aca="false">IF(الموظفون!$B48="","",الموظفون!$B48)</f>
        <v/>
      </c>
      <c r="C48" s="114" t="str">
        <f aca="false">IF($B48="","",الموظفون!$C48)</f>
        <v/>
      </c>
      <c r="D48" s="114" t="str">
        <f aca="false">IF($B48="","",الموظفون!$F48)</f>
        <v/>
      </c>
      <c r="E48" s="114" t="str">
        <f aca="false">IF($B48="","",الموظفون!$E48)</f>
        <v/>
      </c>
      <c r="F48" s="114" t="str">
        <f aca="false">IF($B48="","",IF(AK48=0,IF(AND(الموظفون!$AE48&lt;&gt;"",الموظفون!$AE48&lt;$E$3),"✖ منتهي الخدمة","⏳ لم يباشر"),IF(S48&gt;0,"✈ راتب إجازة مقدم",IF(J48=0,"⛔ بدون راتب هذا الشهر",IF(I48&gt;0,"✈ خصم "&amp;ROUND(I48,2)&amp;" يوم بدون أجر",IF(AL48&gt;0,"🌴 إجازة سنوية "&amp;ROUND(AL48,2)&amp;" يوم",IF(H48&gt;0,"⚠ غياب "&amp;ROUND(H48,2)&amp;" يوم","✔ على رأس العمل")))))))</f>
        <v/>
      </c>
      <c r="G48" s="151" t="str">
        <f aca="false">IF($B48="","",IF(AK48&gt;=DAY($F$3),cfg_DAYS_M,MIN(AK48,cfg_DAYS_M)))</f>
        <v/>
      </c>
      <c r="H48" s="151" t="str">
        <f aca="false">IF($B48="","",SUMIFS('الحركات الشهرية'!$D$6:$D$1005,'الحركات الشهرية'!$B$6:$B$1005,$B48,'الحركات الشهرية'!$A$6:$A$1005,$C$3))</f>
        <v/>
      </c>
      <c r="I48" s="151" t="str">
        <f aca="false">IF($B48="","",MIN(G48,IF(AND(AK48&gt;0,AN48&gt;=AK48),G48,AN48)+SUMIFS('الحركات الشهرية'!$E$6:$E$1005,'الحركات الشهرية'!$B$6:$B$1005,$B48,'الحركات الشهرية'!$A$6:$A$1005,$C$3)))</f>
        <v/>
      </c>
      <c r="J48" s="151" t="str">
        <f aca="false">IF($B48="","",MAX(0,G48-H48-I48))</f>
        <v/>
      </c>
      <c r="K48" s="111" t="str">
        <f aca="false">IF($B48="","",الموظفون!$L48*$J48/cfg_DAYS_M)</f>
        <v/>
      </c>
      <c r="L48" s="111" t="str">
        <f aca="false">IF($B48="","",الموظفون!$M48*$J48/cfg_DAYS_M)</f>
        <v/>
      </c>
      <c r="M48" s="111" t="str">
        <f aca="false">IF($B48="","",الموظفون!$N48*$J48/cfg_DAYS_M)</f>
        <v/>
      </c>
      <c r="N48" s="111" t="str">
        <f aca="false">IF($B48="","",الموظفون!$O48*$J48/cfg_DAYS_M)</f>
        <v/>
      </c>
      <c r="O48" s="151" t="str">
        <f aca="false">IF($B48="","",SUMIFS('الحركات الشهرية'!$F$6:$F$1005,'الحركات الشهرية'!$B$6:$B$1005,$B48,'الحركات الشهرية'!$A$6:$A$1005,$C$3))</f>
        <v/>
      </c>
      <c r="P48" s="111" t="str">
        <f aca="false">IF($B48="","",O48*(الموظفون!$P48+الموظفون!$L48*cfg_OT_P)/cfg_DAYS_M/cfg_HRS)</f>
        <v/>
      </c>
      <c r="Q48" s="111" t="str">
        <f aca="false">IF($B48="","",SUMIFS('الحركات الشهرية'!$G$6:$G$1005,'الحركات الشهرية'!$B$6:$B$1005,$B48,'الحركات الشهرية'!$A$6:$A$1005,$C$3))</f>
        <v/>
      </c>
      <c r="R48" s="111" t="str">
        <f aca="false">IF($B48="","",SUMIFS('الحركات الشهرية'!$H$6:$H$1005,'الحركات الشهرية'!$B$6:$B$1005,$B48,'الحركات الشهرية'!$A$6:$A$1005,$C$3))</f>
        <v/>
      </c>
      <c r="S48" s="111" t="str">
        <f aca="false">IF($B48="","",SUMIFS('سجل الإجازات والحالات'!$N$6:$N$505,'سجل الإجازات والحالات'!$B$6:$B$505,$B48,'سجل الإجازات والحالات'!$O$6:$O$505,$C$3))</f>
        <v/>
      </c>
      <c r="T48" s="152" t="str">
        <f aca="false">IF($B48="","",SUM(K48:N48)+SUM(P48:S48))</f>
        <v/>
      </c>
      <c r="U48" s="111" t="str">
        <f aca="false">IF($B48="","",الموظفون!$S48*IF(E48="سعودي",cfg_G_SE,cfg_G_NE)*G48/cfg_DAYS_M)</f>
        <v/>
      </c>
      <c r="V48" s="111" t="str">
        <f aca="false">IF($B48="","",SUMIFS('الحركات الشهرية'!$I$6:$I$1005,'الحركات الشهرية'!$B$6:$B$1005,$B48,'الحركات الشهرية'!$A$6:$A$1005,$C$3))</f>
        <v/>
      </c>
      <c r="W48" s="111" t="str">
        <f aca="false">IF($B48="","",SUMIFS('الحركات الشهرية'!$J$6:$J$1005,'الحركات الشهرية'!$B$6:$B$1005,$B48,'الحركات الشهرية'!$A$6:$A$1005,$C$3))</f>
        <v/>
      </c>
      <c r="X48" s="111" t="str">
        <f aca="false">IF($B48="","",SUM(U48:W48))</f>
        <v/>
      </c>
      <c r="Y48" s="153" t="str">
        <f aca="false">IF($B48="","",T48-X48)</f>
        <v/>
      </c>
      <c r="Z48" s="111" t="str">
        <f aca="false">IF($B48="","",الموظفون!$S48*IF(E48="سعودي",cfg_G_SR,cfg_G_NR)*G48/cfg_DAYS_M)</f>
        <v/>
      </c>
      <c r="AA48" s="111" t="str">
        <f aca="false">IF($B48="","",الموظفون!$Q48*(cfg_EOS_R1*(MIN(AH48,cfg_EOS_TH)-MIN(AI48,cfg_EOS_TH))+cfg_EOS_R2*(MAX(AH48-cfg_EOS_TH,0)-MAX(AI48-cfg_EOS_TH,0))))</f>
        <v/>
      </c>
      <c r="AB48" s="111" t="str">
        <f aca="false">IF($B48="","",IF(الموظفون!$T48&lt;&gt;"",الموظفون!$T48,IF(AH48&gt;=cfg_LV_TH,cfg_LV_D2,cfg_LV_D1))/cfg_DAYS_Y*AJ48*الموظفون!$R48/cfg_DAYS_M)</f>
        <v/>
      </c>
      <c r="AC48" s="111" t="str">
        <f aca="false">IF($B48="","",IF(AND(الموظفون!$U48="نعم",N(الموظفون!$W48)&gt;0),الموظفون!$V48/الموظفون!$W48*12/cfg_DAYS_Y*AJ48,0))</f>
        <v/>
      </c>
      <c r="AD48" s="111" t="str">
        <f aca="false">IF($B48="","",(IF(الموظفون!$X48&lt;&gt;"",الموظفون!$X48,IF(الموظفون!$E48="غير سعودي",cfg_IQ,0))+IF(الموظفون!$Y48&lt;&gt;"",الموظفون!$Y48,IF(الموظفون!$E48="غير سعودي",cfg_WP,0)))/12*G48/cfg_DAYS_M)</f>
        <v/>
      </c>
      <c r="AE48" s="111" t="str">
        <f aca="false">IF($B48="","",IF(الموظفون!$Z48&lt;&gt;"",الموظفون!$Z48,cfg_MED)/12*G48/cfg_DAYS_M)</f>
        <v/>
      </c>
      <c r="AF48" s="111" t="str">
        <f aca="false">IF($B48="","",N(الموظفون!$AA48)/12*G48/cfg_DAYS_M)</f>
        <v/>
      </c>
      <c r="AG48" s="154" t="str">
        <f aca="false">IF($B48="","",T48+SUM(Z48:AF48))</f>
        <v/>
      </c>
      <c r="AH48" s="155" t="str">
        <f aca="false">IF($B48="","",MAX(0,IF(OR(الموظفون!$AE48="",الموظفون!$AE48&gt;$F$3),$F$3,الموظفون!$AE48)-الموظفون!$H48+1-SUMIFS('سجل الإجازات والحالات'!$AK$6:$AK$505,'سجل الإجازات والحالات'!$B$6:$B$505,$B48))/cfg_DAYS_Y)</f>
        <v/>
      </c>
      <c r="AI48" s="155" t="str">
        <f aca="false">IF($B48="","",MAX(0,IF(OR(الموظفون!$AE48="",الموظفون!$AE48&gt;($E$3-1)),($E$3-1),الموظفون!$AE48)-الموظفون!$H48+1-SUMIFS('سجل الإجازات والحالات'!$AJ$6:$AJ$505,'سجل الإجازات والحالات'!$B$6:$B$505,$B48))/cfg_DAYS_Y)</f>
        <v/>
      </c>
      <c r="AJ48" s="65" t="str">
        <f aca="false">IF($B48="","",MAX(0,AK48-(SUMIFS('سجل الإجازات والحالات'!$AK$6:$AK$505,'سجل الإجازات والحالات'!$B$6:$B$505,$B48)-SUMIFS('سجل الإجازات والحالات'!$AJ$6:$AJ$505,'سجل الإجازات والحالات'!$B$6:$B$505,$B48))))</f>
        <v/>
      </c>
      <c r="AK48" s="65" t="str">
        <f aca="false">IF($B48="","",MAX(0,IF(OR(الموظفون!$AE48="",الموظفون!$AE48&gt;$F$3),$F$3,الموظفون!$AE48)-MAX($E$3,الموظفون!$H48)+1))</f>
        <v/>
      </c>
      <c r="AL48" s="151" t="str">
        <f aca="false">IF($B48="","",SUMIFS('سجل الإجازات والحالات'!$AW$6:$AW$505,'سجل الإجازات والحالات'!$B$6:$B$505,$B48)+SUMIFS('الحركات الشهرية'!$K$6:$K$1005,'الحركات الشهرية'!$B$6:$B$1005,$B48,'الحركات الشهرية'!$A$6:$A$1005,$C$3))</f>
        <v/>
      </c>
      <c r="AM48" s="111" t="str">
        <f aca="false">IF($B48="","",AL48*الموظفون!$R48/cfg_DAYS_M+S48)</f>
        <v/>
      </c>
      <c r="AN48" s="151" t="str">
        <f aca="false">IF($B48="","",SUMIFS('سجل الإجازات والحالات'!$Y$6:$Y$505,'سجل الإجازات والحالات'!$B$6:$B$505,$B48))</f>
        <v/>
      </c>
    </row>
    <row r="49" customFormat="false" ht="15" hidden="false" customHeight="false" outlineLevel="0" collapsed="false">
      <c r="A49" s="115" t="str">
        <f aca="false">IF($B49="","",الموظفون!$A49)</f>
        <v/>
      </c>
      <c r="B49" s="117" t="str">
        <f aca="false">IF(الموظفون!$B49="","",الموظفون!$B49)</f>
        <v/>
      </c>
      <c r="C49" s="117" t="str">
        <f aca="false">IF($B49="","",الموظفون!$C49)</f>
        <v/>
      </c>
      <c r="D49" s="117" t="str">
        <f aca="false">IF($B49="","",الموظفون!$F49)</f>
        <v/>
      </c>
      <c r="E49" s="117" t="str">
        <f aca="false">IF($B49="","",الموظفون!$E49)</f>
        <v/>
      </c>
      <c r="F49" s="117" t="str">
        <f aca="false">IF($B49="","",IF(AK49=0,IF(AND(الموظفون!$AE49&lt;&gt;"",الموظفون!$AE49&lt;$E$3),"✖ منتهي الخدمة","⏳ لم يباشر"),IF(S49&gt;0,"✈ راتب إجازة مقدم",IF(J49=0,"⛔ بدون راتب هذا الشهر",IF(I49&gt;0,"✈ خصم "&amp;ROUND(I49,2)&amp;" يوم بدون أجر",IF(AL49&gt;0,"🌴 إجازة سنوية "&amp;ROUND(AL49,2)&amp;" يوم",IF(H49&gt;0,"⚠ غياب "&amp;ROUND(H49,2)&amp;" يوم","✔ على رأس العمل")))))))</f>
        <v/>
      </c>
      <c r="G49" s="156" t="str">
        <f aca="false">IF($B49="","",IF(AK49&gt;=DAY($F$3),cfg_DAYS_M,MIN(AK49,cfg_DAYS_M)))</f>
        <v/>
      </c>
      <c r="H49" s="156" t="str">
        <f aca="false">IF($B49="","",SUMIFS('الحركات الشهرية'!$D$6:$D$1005,'الحركات الشهرية'!$B$6:$B$1005,$B49,'الحركات الشهرية'!$A$6:$A$1005,$C$3))</f>
        <v/>
      </c>
      <c r="I49" s="156" t="str">
        <f aca="false">IF($B49="","",MIN(G49,IF(AND(AK49&gt;0,AN49&gt;=AK49),G49,AN49)+SUMIFS('الحركات الشهرية'!$E$6:$E$1005,'الحركات الشهرية'!$B$6:$B$1005,$B49,'الحركات الشهرية'!$A$6:$A$1005,$C$3)))</f>
        <v/>
      </c>
      <c r="J49" s="156" t="str">
        <f aca="false">IF($B49="","",MAX(0,G49-H49-I49))</f>
        <v/>
      </c>
      <c r="K49" s="116" t="str">
        <f aca="false">IF($B49="","",الموظفون!$L49*$J49/cfg_DAYS_M)</f>
        <v/>
      </c>
      <c r="L49" s="116" t="str">
        <f aca="false">IF($B49="","",الموظفون!$M49*$J49/cfg_DAYS_M)</f>
        <v/>
      </c>
      <c r="M49" s="116" t="str">
        <f aca="false">IF($B49="","",الموظفون!$N49*$J49/cfg_DAYS_M)</f>
        <v/>
      </c>
      <c r="N49" s="116" t="str">
        <f aca="false">IF($B49="","",الموظفون!$O49*$J49/cfg_DAYS_M)</f>
        <v/>
      </c>
      <c r="O49" s="156" t="str">
        <f aca="false">IF($B49="","",SUMIFS('الحركات الشهرية'!$F$6:$F$1005,'الحركات الشهرية'!$B$6:$B$1005,$B49,'الحركات الشهرية'!$A$6:$A$1005,$C$3))</f>
        <v/>
      </c>
      <c r="P49" s="116" t="str">
        <f aca="false">IF($B49="","",O49*(الموظفون!$P49+الموظفون!$L49*cfg_OT_P)/cfg_DAYS_M/cfg_HRS)</f>
        <v/>
      </c>
      <c r="Q49" s="116" t="str">
        <f aca="false">IF($B49="","",SUMIFS('الحركات الشهرية'!$G$6:$G$1005,'الحركات الشهرية'!$B$6:$B$1005,$B49,'الحركات الشهرية'!$A$6:$A$1005,$C$3))</f>
        <v/>
      </c>
      <c r="R49" s="116" t="str">
        <f aca="false">IF($B49="","",SUMIFS('الحركات الشهرية'!$H$6:$H$1005,'الحركات الشهرية'!$B$6:$B$1005,$B49,'الحركات الشهرية'!$A$6:$A$1005,$C$3))</f>
        <v/>
      </c>
      <c r="S49" s="116" t="str">
        <f aca="false">IF($B49="","",SUMIFS('سجل الإجازات والحالات'!$N$6:$N$505,'سجل الإجازات والحالات'!$B$6:$B$505,$B49,'سجل الإجازات والحالات'!$O$6:$O$505,$C$3))</f>
        <v/>
      </c>
      <c r="T49" s="157" t="str">
        <f aca="false">IF($B49="","",SUM(K49:N49)+SUM(P49:S49))</f>
        <v/>
      </c>
      <c r="U49" s="116" t="str">
        <f aca="false">IF($B49="","",الموظفون!$S49*IF(E49="سعودي",cfg_G_SE,cfg_G_NE)*G49/cfg_DAYS_M)</f>
        <v/>
      </c>
      <c r="V49" s="116" t="str">
        <f aca="false">IF($B49="","",SUMIFS('الحركات الشهرية'!$I$6:$I$1005,'الحركات الشهرية'!$B$6:$B$1005,$B49,'الحركات الشهرية'!$A$6:$A$1005,$C$3))</f>
        <v/>
      </c>
      <c r="W49" s="116" t="str">
        <f aca="false">IF($B49="","",SUMIFS('الحركات الشهرية'!$J$6:$J$1005,'الحركات الشهرية'!$B$6:$B$1005,$B49,'الحركات الشهرية'!$A$6:$A$1005,$C$3))</f>
        <v/>
      </c>
      <c r="X49" s="116" t="str">
        <f aca="false">IF($B49="","",SUM(U49:W49))</f>
        <v/>
      </c>
      <c r="Y49" s="158" t="str">
        <f aca="false">IF($B49="","",T49-X49)</f>
        <v/>
      </c>
      <c r="Z49" s="116" t="str">
        <f aca="false">IF($B49="","",الموظفون!$S49*IF(E49="سعودي",cfg_G_SR,cfg_G_NR)*G49/cfg_DAYS_M)</f>
        <v/>
      </c>
      <c r="AA49" s="116" t="str">
        <f aca="false">IF($B49="","",الموظفون!$Q49*(cfg_EOS_R1*(MIN(AH49,cfg_EOS_TH)-MIN(AI49,cfg_EOS_TH))+cfg_EOS_R2*(MAX(AH49-cfg_EOS_TH,0)-MAX(AI49-cfg_EOS_TH,0))))</f>
        <v/>
      </c>
      <c r="AB49" s="116" t="str">
        <f aca="false">IF($B49="","",IF(الموظفون!$T49&lt;&gt;"",الموظفون!$T49,IF(AH49&gt;=cfg_LV_TH,cfg_LV_D2,cfg_LV_D1))/cfg_DAYS_Y*AJ49*الموظفون!$R49/cfg_DAYS_M)</f>
        <v/>
      </c>
      <c r="AC49" s="116" t="str">
        <f aca="false">IF($B49="","",IF(AND(الموظفون!$U49="نعم",N(الموظفون!$W49)&gt;0),الموظفون!$V49/الموظفون!$W49*12/cfg_DAYS_Y*AJ49,0))</f>
        <v/>
      </c>
      <c r="AD49" s="116" t="str">
        <f aca="false">IF($B49="","",(IF(الموظفون!$X49&lt;&gt;"",الموظفون!$X49,IF(الموظفون!$E49="غير سعودي",cfg_IQ,0))+IF(الموظفون!$Y49&lt;&gt;"",الموظفون!$Y49,IF(الموظفون!$E49="غير سعودي",cfg_WP,0)))/12*G49/cfg_DAYS_M)</f>
        <v/>
      </c>
      <c r="AE49" s="116" t="str">
        <f aca="false">IF($B49="","",IF(الموظفون!$Z49&lt;&gt;"",الموظفون!$Z49,cfg_MED)/12*G49/cfg_DAYS_M)</f>
        <v/>
      </c>
      <c r="AF49" s="116" t="str">
        <f aca="false">IF($B49="","",N(الموظفون!$AA49)/12*G49/cfg_DAYS_M)</f>
        <v/>
      </c>
      <c r="AG49" s="159" t="str">
        <f aca="false">IF($B49="","",T49+SUM(Z49:AF49))</f>
        <v/>
      </c>
      <c r="AH49" s="160" t="str">
        <f aca="false">IF($B49="","",MAX(0,IF(OR(الموظفون!$AE49="",الموظفون!$AE49&gt;$F$3),$F$3,الموظفون!$AE49)-الموظفون!$H49+1-SUMIFS('سجل الإجازات والحالات'!$AK$6:$AK$505,'سجل الإجازات والحالات'!$B$6:$B$505,$B49))/cfg_DAYS_Y)</f>
        <v/>
      </c>
      <c r="AI49" s="160" t="str">
        <f aca="false">IF($B49="","",MAX(0,IF(OR(الموظفون!$AE49="",الموظفون!$AE49&gt;($E$3-1)),($E$3-1),الموظفون!$AE49)-الموظفون!$H49+1-SUMIFS('سجل الإجازات والحالات'!$AJ$6:$AJ$505,'سجل الإجازات والحالات'!$B$6:$B$505,$B49))/cfg_DAYS_Y)</f>
        <v/>
      </c>
      <c r="AJ49" s="133" t="str">
        <f aca="false">IF($B49="","",MAX(0,AK49-(SUMIFS('سجل الإجازات والحالات'!$AK$6:$AK$505,'سجل الإجازات والحالات'!$B$6:$B$505,$B49)-SUMIFS('سجل الإجازات والحالات'!$AJ$6:$AJ$505,'سجل الإجازات والحالات'!$B$6:$B$505,$B49))))</f>
        <v/>
      </c>
      <c r="AK49" s="133" t="str">
        <f aca="false">IF($B49="","",MAX(0,IF(OR(الموظفون!$AE49="",الموظفون!$AE49&gt;$F$3),$F$3,الموظفون!$AE49)-MAX($E$3,الموظفون!$H49)+1))</f>
        <v/>
      </c>
      <c r="AL49" s="156" t="str">
        <f aca="false">IF($B49="","",SUMIFS('سجل الإجازات والحالات'!$AW$6:$AW$505,'سجل الإجازات والحالات'!$B$6:$B$505,$B49)+SUMIFS('الحركات الشهرية'!$K$6:$K$1005,'الحركات الشهرية'!$B$6:$B$1005,$B49,'الحركات الشهرية'!$A$6:$A$1005,$C$3))</f>
        <v/>
      </c>
      <c r="AM49" s="116" t="str">
        <f aca="false">IF($B49="","",AL49*الموظفون!$R49/cfg_DAYS_M+S49)</f>
        <v/>
      </c>
      <c r="AN49" s="156" t="str">
        <f aca="false">IF($B49="","",SUMIFS('سجل الإجازات والحالات'!$Y$6:$Y$505,'سجل الإجازات والحالات'!$B$6:$B$505,$B49))</f>
        <v/>
      </c>
    </row>
    <row r="50" customFormat="false" ht="15" hidden="false" customHeight="false" outlineLevel="0" collapsed="false">
      <c r="A50" s="106" t="str">
        <f aca="false">IF($B50="","",الموظفون!$A50)</f>
        <v/>
      </c>
      <c r="B50" s="114" t="str">
        <f aca="false">IF(الموظفون!$B50="","",الموظفون!$B50)</f>
        <v/>
      </c>
      <c r="C50" s="114" t="str">
        <f aca="false">IF($B50="","",الموظفون!$C50)</f>
        <v/>
      </c>
      <c r="D50" s="114" t="str">
        <f aca="false">IF($B50="","",الموظفون!$F50)</f>
        <v/>
      </c>
      <c r="E50" s="114" t="str">
        <f aca="false">IF($B50="","",الموظفون!$E50)</f>
        <v/>
      </c>
      <c r="F50" s="114" t="str">
        <f aca="false">IF($B50="","",IF(AK50=0,IF(AND(الموظفون!$AE50&lt;&gt;"",الموظفون!$AE50&lt;$E$3),"✖ منتهي الخدمة","⏳ لم يباشر"),IF(S50&gt;0,"✈ راتب إجازة مقدم",IF(J50=0,"⛔ بدون راتب هذا الشهر",IF(I50&gt;0,"✈ خصم "&amp;ROUND(I50,2)&amp;" يوم بدون أجر",IF(AL50&gt;0,"🌴 إجازة سنوية "&amp;ROUND(AL50,2)&amp;" يوم",IF(H50&gt;0,"⚠ غياب "&amp;ROUND(H50,2)&amp;" يوم","✔ على رأس العمل")))))))</f>
        <v/>
      </c>
      <c r="G50" s="151" t="str">
        <f aca="false">IF($B50="","",IF(AK50&gt;=DAY($F$3),cfg_DAYS_M,MIN(AK50,cfg_DAYS_M)))</f>
        <v/>
      </c>
      <c r="H50" s="151" t="str">
        <f aca="false">IF($B50="","",SUMIFS('الحركات الشهرية'!$D$6:$D$1005,'الحركات الشهرية'!$B$6:$B$1005,$B50,'الحركات الشهرية'!$A$6:$A$1005,$C$3))</f>
        <v/>
      </c>
      <c r="I50" s="151" t="str">
        <f aca="false">IF($B50="","",MIN(G50,IF(AND(AK50&gt;0,AN50&gt;=AK50),G50,AN50)+SUMIFS('الحركات الشهرية'!$E$6:$E$1005,'الحركات الشهرية'!$B$6:$B$1005,$B50,'الحركات الشهرية'!$A$6:$A$1005,$C$3)))</f>
        <v/>
      </c>
      <c r="J50" s="151" t="str">
        <f aca="false">IF($B50="","",MAX(0,G50-H50-I50))</f>
        <v/>
      </c>
      <c r="K50" s="111" t="str">
        <f aca="false">IF($B50="","",الموظفون!$L50*$J50/cfg_DAYS_M)</f>
        <v/>
      </c>
      <c r="L50" s="111" t="str">
        <f aca="false">IF($B50="","",الموظفون!$M50*$J50/cfg_DAYS_M)</f>
        <v/>
      </c>
      <c r="M50" s="111" t="str">
        <f aca="false">IF($B50="","",الموظفون!$N50*$J50/cfg_DAYS_M)</f>
        <v/>
      </c>
      <c r="N50" s="111" t="str">
        <f aca="false">IF($B50="","",الموظفون!$O50*$J50/cfg_DAYS_M)</f>
        <v/>
      </c>
      <c r="O50" s="151" t="str">
        <f aca="false">IF($B50="","",SUMIFS('الحركات الشهرية'!$F$6:$F$1005,'الحركات الشهرية'!$B$6:$B$1005,$B50,'الحركات الشهرية'!$A$6:$A$1005,$C$3))</f>
        <v/>
      </c>
      <c r="P50" s="111" t="str">
        <f aca="false">IF($B50="","",O50*(الموظفون!$P50+الموظفون!$L50*cfg_OT_P)/cfg_DAYS_M/cfg_HRS)</f>
        <v/>
      </c>
      <c r="Q50" s="111" t="str">
        <f aca="false">IF($B50="","",SUMIFS('الحركات الشهرية'!$G$6:$G$1005,'الحركات الشهرية'!$B$6:$B$1005,$B50,'الحركات الشهرية'!$A$6:$A$1005,$C$3))</f>
        <v/>
      </c>
      <c r="R50" s="111" t="str">
        <f aca="false">IF($B50="","",SUMIFS('الحركات الشهرية'!$H$6:$H$1005,'الحركات الشهرية'!$B$6:$B$1005,$B50,'الحركات الشهرية'!$A$6:$A$1005,$C$3))</f>
        <v/>
      </c>
      <c r="S50" s="111" t="str">
        <f aca="false">IF($B50="","",SUMIFS('سجل الإجازات والحالات'!$N$6:$N$505,'سجل الإجازات والحالات'!$B$6:$B$505,$B50,'سجل الإجازات والحالات'!$O$6:$O$505,$C$3))</f>
        <v/>
      </c>
      <c r="T50" s="152" t="str">
        <f aca="false">IF($B50="","",SUM(K50:N50)+SUM(P50:S50))</f>
        <v/>
      </c>
      <c r="U50" s="111" t="str">
        <f aca="false">IF($B50="","",الموظفون!$S50*IF(E50="سعودي",cfg_G_SE,cfg_G_NE)*G50/cfg_DAYS_M)</f>
        <v/>
      </c>
      <c r="V50" s="111" t="str">
        <f aca="false">IF($B50="","",SUMIFS('الحركات الشهرية'!$I$6:$I$1005,'الحركات الشهرية'!$B$6:$B$1005,$B50,'الحركات الشهرية'!$A$6:$A$1005,$C$3))</f>
        <v/>
      </c>
      <c r="W50" s="111" t="str">
        <f aca="false">IF($B50="","",SUMIFS('الحركات الشهرية'!$J$6:$J$1005,'الحركات الشهرية'!$B$6:$B$1005,$B50,'الحركات الشهرية'!$A$6:$A$1005,$C$3))</f>
        <v/>
      </c>
      <c r="X50" s="111" t="str">
        <f aca="false">IF($B50="","",SUM(U50:W50))</f>
        <v/>
      </c>
      <c r="Y50" s="153" t="str">
        <f aca="false">IF($B50="","",T50-X50)</f>
        <v/>
      </c>
      <c r="Z50" s="111" t="str">
        <f aca="false">IF($B50="","",الموظفون!$S50*IF(E50="سعودي",cfg_G_SR,cfg_G_NR)*G50/cfg_DAYS_M)</f>
        <v/>
      </c>
      <c r="AA50" s="111" t="str">
        <f aca="false">IF($B50="","",الموظفون!$Q50*(cfg_EOS_R1*(MIN(AH50,cfg_EOS_TH)-MIN(AI50,cfg_EOS_TH))+cfg_EOS_R2*(MAX(AH50-cfg_EOS_TH,0)-MAX(AI50-cfg_EOS_TH,0))))</f>
        <v/>
      </c>
      <c r="AB50" s="111" t="str">
        <f aca="false">IF($B50="","",IF(الموظفون!$T50&lt;&gt;"",الموظفون!$T50,IF(AH50&gt;=cfg_LV_TH,cfg_LV_D2,cfg_LV_D1))/cfg_DAYS_Y*AJ50*الموظفون!$R50/cfg_DAYS_M)</f>
        <v/>
      </c>
      <c r="AC50" s="111" t="str">
        <f aca="false">IF($B50="","",IF(AND(الموظفون!$U50="نعم",N(الموظفون!$W50)&gt;0),الموظفون!$V50/الموظفون!$W50*12/cfg_DAYS_Y*AJ50,0))</f>
        <v/>
      </c>
      <c r="AD50" s="111" t="str">
        <f aca="false">IF($B50="","",(IF(الموظفون!$X50&lt;&gt;"",الموظفون!$X50,IF(الموظفون!$E50="غير سعودي",cfg_IQ,0))+IF(الموظفون!$Y50&lt;&gt;"",الموظفون!$Y50,IF(الموظفون!$E50="غير سعودي",cfg_WP,0)))/12*G50/cfg_DAYS_M)</f>
        <v/>
      </c>
      <c r="AE50" s="111" t="str">
        <f aca="false">IF($B50="","",IF(الموظفون!$Z50&lt;&gt;"",الموظفون!$Z50,cfg_MED)/12*G50/cfg_DAYS_M)</f>
        <v/>
      </c>
      <c r="AF50" s="111" t="str">
        <f aca="false">IF($B50="","",N(الموظفون!$AA50)/12*G50/cfg_DAYS_M)</f>
        <v/>
      </c>
      <c r="AG50" s="154" t="str">
        <f aca="false">IF($B50="","",T50+SUM(Z50:AF50))</f>
        <v/>
      </c>
      <c r="AH50" s="155" t="str">
        <f aca="false">IF($B50="","",MAX(0,IF(OR(الموظفون!$AE50="",الموظفون!$AE50&gt;$F$3),$F$3,الموظفون!$AE50)-الموظفون!$H50+1-SUMIFS('سجل الإجازات والحالات'!$AK$6:$AK$505,'سجل الإجازات والحالات'!$B$6:$B$505,$B50))/cfg_DAYS_Y)</f>
        <v/>
      </c>
      <c r="AI50" s="155" t="str">
        <f aca="false">IF($B50="","",MAX(0,IF(OR(الموظفون!$AE50="",الموظفون!$AE50&gt;($E$3-1)),($E$3-1),الموظفون!$AE50)-الموظفون!$H50+1-SUMIFS('سجل الإجازات والحالات'!$AJ$6:$AJ$505,'سجل الإجازات والحالات'!$B$6:$B$505,$B50))/cfg_DAYS_Y)</f>
        <v/>
      </c>
      <c r="AJ50" s="65" t="str">
        <f aca="false">IF($B50="","",MAX(0,AK50-(SUMIFS('سجل الإجازات والحالات'!$AK$6:$AK$505,'سجل الإجازات والحالات'!$B$6:$B$505,$B50)-SUMIFS('سجل الإجازات والحالات'!$AJ$6:$AJ$505,'سجل الإجازات والحالات'!$B$6:$B$505,$B50))))</f>
        <v/>
      </c>
      <c r="AK50" s="65" t="str">
        <f aca="false">IF($B50="","",MAX(0,IF(OR(الموظفون!$AE50="",الموظفون!$AE50&gt;$F$3),$F$3,الموظفون!$AE50)-MAX($E$3,الموظفون!$H50)+1))</f>
        <v/>
      </c>
      <c r="AL50" s="151" t="str">
        <f aca="false">IF($B50="","",SUMIFS('سجل الإجازات والحالات'!$AW$6:$AW$505,'سجل الإجازات والحالات'!$B$6:$B$505,$B50)+SUMIFS('الحركات الشهرية'!$K$6:$K$1005,'الحركات الشهرية'!$B$6:$B$1005,$B50,'الحركات الشهرية'!$A$6:$A$1005,$C$3))</f>
        <v/>
      </c>
      <c r="AM50" s="111" t="str">
        <f aca="false">IF($B50="","",AL50*الموظفون!$R50/cfg_DAYS_M+S50)</f>
        <v/>
      </c>
      <c r="AN50" s="151" t="str">
        <f aca="false">IF($B50="","",SUMIFS('سجل الإجازات والحالات'!$Y$6:$Y$505,'سجل الإجازات والحالات'!$B$6:$B$505,$B50))</f>
        <v/>
      </c>
    </row>
    <row r="51" customFormat="false" ht="15" hidden="false" customHeight="false" outlineLevel="0" collapsed="false">
      <c r="A51" s="115" t="str">
        <f aca="false">IF($B51="","",الموظفون!$A51)</f>
        <v/>
      </c>
      <c r="B51" s="117" t="str">
        <f aca="false">IF(الموظفون!$B51="","",الموظفون!$B51)</f>
        <v/>
      </c>
      <c r="C51" s="117" t="str">
        <f aca="false">IF($B51="","",الموظفون!$C51)</f>
        <v/>
      </c>
      <c r="D51" s="117" t="str">
        <f aca="false">IF($B51="","",الموظفون!$F51)</f>
        <v/>
      </c>
      <c r="E51" s="117" t="str">
        <f aca="false">IF($B51="","",الموظفون!$E51)</f>
        <v/>
      </c>
      <c r="F51" s="117" t="str">
        <f aca="false">IF($B51="","",IF(AK51=0,IF(AND(الموظفون!$AE51&lt;&gt;"",الموظفون!$AE51&lt;$E$3),"✖ منتهي الخدمة","⏳ لم يباشر"),IF(S51&gt;0,"✈ راتب إجازة مقدم",IF(J51=0,"⛔ بدون راتب هذا الشهر",IF(I51&gt;0,"✈ خصم "&amp;ROUND(I51,2)&amp;" يوم بدون أجر",IF(AL51&gt;0,"🌴 إجازة سنوية "&amp;ROUND(AL51,2)&amp;" يوم",IF(H51&gt;0,"⚠ غياب "&amp;ROUND(H51,2)&amp;" يوم","✔ على رأس العمل")))))))</f>
        <v/>
      </c>
      <c r="G51" s="156" t="str">
        <f aca="false">IF($B51="","",IF(AK51&gt;=DAY($F$3),cfg_DAYS_M,MIN(AK51,cfg_DAYS_M)))</f>
        <v/>
      </c>
      <c r="H51" s="156" t="str">
        <f aca="false">IF($B51="","",SUMIFS('الحركات الشهرية'!$D$6:$D$1005,'الحركات الشهرية'!$B$6:$B$1005,$B51,'الحركات الشهرية'!$A$6:$A$1005,$C$3))</f>
        <v/>
      </c>
      <c r="I51" s="156" t="str">
        <f aca="false">IF($B51="","",MIN(G51,IF(AND(AK51&gt;0,AN51&gt;=AK51),G51,AN51)+SUMIFS('الحركات الشهرية'!$E$6:$E$1005,'الحركات الشهرية'!$B$6:$B$1005,$B51,'الحركات الشهرية'!$A$6:$A$1005,$C$3)))</f>
        <v/>
      </c>
      <c r="J51" s="156" t="str">
        <f aca="false">IF($B51="","",MAX(0,G51-H51-I51))</f>
        <v/>
      </c>
      <c r="K51" s="116" t="str">
        <f aca="false">IF($B51="","",الموظفون!$L51*$J51/cfg_DAYS_M)</f>
        <v/>
      </c>
      <c r="L51" s="116" t="str">
        <f aca="false">IF($B51="","",الموظفون!$M51*$J51/cfg_DAYS_M)</f>
        <v/>
      </c>
      <c r="M51" s="116" t="str">
        <f aca="false">IF($B51="","",الموظفون!$N51*$J51/cfg_DAYS_M)</f>
        <v/>
      </c>
      <c r="N51" s="116" t="str">
        <f aca="false">IF($B51="","",الموظفون!$O51*$J51/cfg_DAYS_M)</f>
        <v/>
      </c>
      <c r="O51" s="156" t="str">
        <f aca="false">IF($B51="","",SUMIFS('الحركات الشهرية'!$F$6:$F$1005,'الحركات الشهرية'!$B$6:$B$1005,$B51,'الحركات الشهرية'!$A$6:$A$1005,$C$3))</f>
        <v/>
      </c>
      <c r="P51" s="116" t="str">
        <f aca="false">IF($B51="","",O51*(الموظفون!$P51+الموظفون!$L51*cfg_OT_P)/cfg_DAYS_M/cfg_HRS)</f>
        <v/>
      </c>
      <c r="Q51" s="116" t="str">
        <f aca="false">IF($B51="","",SUMIFS('الحركات الشهرية'!$G$6:$G$1005,'الحركات الشهرية'!$B$6:$B$1005,$B51,'الحركات الشهرية'!$A$6:$A$1005,$C$3))</f>
        <v/>
      </c>
      <c r="R51" s="116" t="str">
        <f aca="false">IF($B51="","",SUMIFS('الحركات الشهرية'!$H$6:$H$1005,'الحركات الشهرية'!$B$6:$B$1005,$B51,'الحركات الشهرية'!$A$6:$A$1005,$C$3))</f>
        <v/>
      </c>
      <c r="S51" s="116" t="str">
        <f aca="false">IF($B51="","",SUMIFS('سجل الإجازات والحالات'!$N$6:$N$505,'سجل الإجازات والحالات'!$B$6:$B$505,$B51,'سجل الإجازات والحالات'!$O$6:$O$505,$C$3))</f>
        <v/>
      </c>
      <c r="T51" s="157" t="str">
        <f aca="false">IF($B51="","",SUM(K51:N51)+SUM(P51:S51))</f>
        <v/>
      </c>
      <c r="U51" s="116" t="str">
        <f aca="false">IF($B51="","",الموظفون!$S51*IF(E51="سعودي",cfg_G_SE,cfg_G_NE)*G51/cfg_DAYS_M)</f>
        <v/>
      </c>
      <c r="V51" s="116" t="str">
        <f aca="false">IF($B51="","",SUMIFS('الحركات الشهرية'!$I$6:$I$1005,'الحركات الشهرية'!$B$6:$B$1005,$B51,'الحركات الشهرية'!$A$6:$A$1005,$C$3))</f>
        <v/>
      </c>
      <c r="W51" s="116" t="str">
        <f aca="false">IF($B51="","",SUMIFS('الحركات الشهرية'!$J$6:$J$1005,'الحركات الشهرية'!$B$6:$B$1005,$B51,'الحركات الشهرية'!$A$6:$A$1005,$C$3))</f>
        <v/>
      </c>
      <c r="X51" s="116" t="str">
        <f aca="false">IF($B51="","",SUM(U51:W51))</f>
        <v/>
      </c>
      <c r="Y51" s="158" t="str">
        <f aca="false">IF($B51="","",T51-X51)</f>
        <v/>
      </c>
      <c r="Z51" s="116" t="str">
        <f aca="false">IF($B51="","",الموظفون!$S51*IF(E51="سعودي",cfg_G_SR,cfg_G_NR)*G51/cfg_DAYS_M)</f>
        <v/>
      </c>
      <c r="AA51" s="116" t="str">
        <f aca="false">IF($B51="","",الموظفون!$Q51*(cfg_EOS_R1*(MIN(AH51,cfg_EOS_TH)-MIN(AI51,cfg_EOS_TH))+cfg_EOS_R2*(MAX(AH51-cfg_EOS_TH,0)-MAX(AI51-cfg_EOS_TH,0))))</f>
        <v/>
      </c>
      <c r="AB51" s="116" t="str">
        <f aca="false">IF($B51="","",IF(الموظفون!$T51&lt;&gt;"",الموظفون!$T51,IF(AH51&gt;=cfg_LV_TH,cfg_LV_D2,cfg_LV_D1))/cfg_DAYS_Y*AJ51*الموظفون!$R51/cfg_DAYS_M)</f>
        <v/>
      </c>
      <c r="AC51" s="116" t="str">
        <f aca="false">IF($B51="","",IF(AND(الموظفون!$U51="نعم",N(الموظفون!$W51)&gt;0),الموظفون!$V51/الموظفون!$W51*12/cfg_DAYS_Y*AJ51,0))</f>
        <v/>
      </c>
      <c r="AD51" s="116" t="str">
        <f aca="false">IF($B51="","",(IF(الموظفون!$X51&lt;&gt;"",الموظفون!$X51,IF(الموظفون!$E51="غير سعودي",cfg_IQ,0))+IF(الموظفون!$Y51&lt;&gt;"",الموظفون!$Y51,IF(الموظفون!$E51="غير سعودي",cfg_WP,0)))/12*G51/cfg_DAYS_M)</f>
        <v/>
      </c>
      <c r="AE51" s="116" t="str">
        <f aca="false">IF($B51="","",IF(الموظفون!$Z51&lt;&gt;"",الموظفون!$Z51,cfg_MED)/12*G51/cfg_DAYS_M)</f>
        <v/>
      </c>
      <c r="AF51" s="116" t="str">
        <f aca="false">IF($B51="","",N(الموظفون!$AA51)/12*G51/cfg_DAYS_M)</f>
        <v/>
      </c>
      <c r="AG51" s="159" t="str">
        <f aca="false">IF($B51="","",T51+SUM(Z51:AF51))</f>
        <v/>
      </c>
      <c r="AH51" s="160" t="str">
        <f aca="false">IF($B51="","",MAX(0,IF(OR(الموظفون!$AE51="",الموظفون!$AE51&gt;$F$3),$F$3,الموظفون!$AE51)-الموظفون!$H51+1-SUMIFS('سجل الإجازات والحالات'!$AK$6:$AK$505,'سجل الإجازات والحالات'!$B$6:$B$505,$B51))/cfg_DAYS_Y)</f>
        <v/>
      </c>
      <c r="AI51" s="160" t="str">
        <f aca="false">IF($B51="","",MAX(0,IF(OR(الموظفون!$AE51="",الموظفون!$AE51&gt;($E$3-1)),($E$3-1),الموظفون!$AE51)-الموظفون!$H51+1-SUMIFS('سجل الإجازات والحالات'!$AJ$6:$AJ$505,'سجل الإجازات والحالات'!$B$6:$B$505,$B51))/cfg_DAYS_Y)</f>
        <v/>
      </c>
      <c r="AJ51" s="133" t="str">
        <f aca="false">IF($B51="","",MAX(0,AK51-(SUMIFS('سجل الإجازات والحالات'!$AK$6:$AK$505,'سجل الإجازات والحالات'!$B$6:$B$505,$B51)-SUMIFS('سجل الإجازات والحالات'!$AJ$6:$AJ$505,'سجل الإجازات والحالات'!$B$6:$B$505,$B51))))</f>
        <v/>
      </c>
      <c r="AK51" s="133" t="str">
        <f aca="false">IF($B51="","",MAX(0,IF(OR(الموظفون!$AE51="",الموظفون!$AE51&gt;$F$3),$F$3,الموظفون!$AE51)-MAX($E$3,الموظفون!$H51)+1))</f>
        <v/>
      </c>
      <c r="AL51" s="156" t="str">
        <f aca="false">IF($B51="","",SUMIFS('سجل الإجازات والحالات'!$AW$6:$AW$505,'سجل الإجازات والحالات'!$B$6:$B$505,$B51)+SUMIFS('الحركات الشهرية'!$K$6:$K$1005,'الحركات الشهرية'!$B$6:$B$1005,$B51,'الحركات الشهرية'!$A$6:$A$1005,$C$3))</f>
        <v/>
      </c>
      <c r="AM51" s="116" t="str">
        <f aca="false">IF($B51="","",AL51*الموظفون!$R51/cfg_DAYS_M+S51)</f>
        <v/>
      </c>
      <c r="AN51" s="156" t="str">
        <f aca="false">IF($B51="","",SUMIFS('سجل الإجازات والحالات'!$Y$6:$Y$505,'سجل الإجازات والحالات'!$B$6:$B$505,$B51))</f>
        <v/>
      </c>
    </row>
    <row r="52" customFormat="false" ht="15" hidden="false" customHeight="false" outlineLevel="0" collapsed="false">
      <c r="A52" s="106" t="str">
        <f aca="false">IF($B52="","",الموظفون!$A52)</f>
        <v/>
      </c>
      <c r="B52" s="114" t="str">
        <f aca="false">IF(الموظفون!$B52="","",الموظفون!$B52)</f>
        <v/>
      </c>
      <c r="C52" s="114" t="str">
        <f aca="false">IF($B52="","",الموظفون!$C52)</f>
        <v/>
      </c>
      <c r="D52" s="114" t="str">
        <f aca="false">IF($B52="","",الموظفون!$F52)</f>
        <v/>
      </c>
      <c r="E52" s="114" t="str">
        <f aca="false">IF($B52="","",الموظفون!$E52)</f>
        <v/>
      </c>
      <c r="F52" s="114" t="str">
        <f aca="false">IF($B52="","",IF(AK52=0,IF(AND(الموظفون!$AE52&lt;&gt;"",الموظفون!$AE52&lt;$E$3),"✖ منتهي الخدمة","⏳ لم يباشر"),IF(S52&gt;0,"✈ راتب إجازة مقدم",IF(J52=0,"⛔ بدون راتب هذا الشهر",IF(I52&gt;0,"✈ خصم "&amp;ROUND(I52,2)&amp;" يوم بدون أجر",IF(AL52&gt;0,"🌴 إجازة سنوية "&amp;ROUND(AL52,2)&amp;" يوم",IF(H52&gt;0,"⚠ غياب "&amp;ROUND(H52,2)&amp;" يوم","✔ على رأس العمل")))))))</f>
        <v/>
      </c>
      <c r="G52" s="151" t="str">
        <f aca="false">IF($B52="","",IF(AK52&gt;=DAY($F$3),cfg_DAYS_M,MIN(AK52,cfg_DAYS_M)))</f>
        <v/>
      </c>
      <c r="H52" s="151" t="str">
        <f aca="false">IF($B52="","",SUMIFS('الحركات الشهرية'!$D$6:$D$1005,'الحركات الشهرية'!$B$6:$B$1005,$B52,'الحركات الشهرية'!$A$6:$A$1005,$C$3))</f>
        <v/>
      </c>
      <c r="I52" s="151" t="str">
        <f aca="false">IF($B52="","",MIN(G52,IF(AND(AK52&gt;0,AN52&gt;=AK52),G52,AN52)+SUMIFS('الحركات الشهرية'!$E$6:$E$1005,'الحركات الشهرية'!$B$6:$B$1005,$B52,'الحركات الشهرية'!$A$6:$A$1005,$C$3)))</f>
        <v/>
      </c>
      <c r="J52" s="151" t="str">
        <f aca="false">IF($B52="","",MAX(0,G52-H52-I52))</f>
        <v/>
      </c>
      <c r="K52" s="111" t="str">
        <f aca="false">IF($B52="","",الموظفون!$L52*$J52/cfg_DAYS_M)</f>
        <v/>
      </c>
      <c r="L52" s="111" t="str">
        <f aca="false">IF($B52="","",الموظفون!$M52*$J52/cfg_DAYS_M)</f>
        <v/>
      </c>
      <c r="M52" s="111" t="str">
        <f aca="false">IF($B52="","",الموظفون!$N52*$J52/cfg_DAYS_M)</f>
        <v/>
      </c>
      <c r="N52" s="111" t="str">
        <f aca="false">IF($B52="","",الموظفون!$O52*$J52/cfg_DAYS_M)</f>
        <v/>
      </c>
      <c r="O52" s="151" t="str">
        <f aca="false">IF($B52="","",SUMIFS('الحركات الشهرية'!$F$6:$F$1005,'الحركات الشهرية'!$B$6:$B$1005,$B52,'الحركات الشهرية'!$A$6:$A$1005,$C$3))</f>
        <v/>
      </c>
      <c r="P52" s="111" t="str">
        <f aca="false">IF($B52="","",O52*(الموظفون!$P52+الموظفون!$L52*cfg_OT_P)/cfg_DAYS_M/cfg_HRS)</f>
        <v/>
      </c>
      <c r="Q52" s="111" t="str">
        <f aca="false">IF($B52="","",SUMIFS('الحركات الشهرية'!$G$6:$G$1005,'الحركات الشهرية'!$B$6:$B$1005,$B52,'الحركات الشهرية'!$A$6:$A$1005,$C$3))</f>
        <v/>
      </c>
      <c r="R52" s="111" t="str">
        <f aca="false">IF($B52="","",SUMIFS('الحركات الشهرية'!$H$6:$H$1005,'الحركات الشهرية'!$B$6:$B$1005,$B52,'الحركات الشهرية'!$A$6:$A$1005,$C$3))</f>
        <v/>
      </c>
      <c r="S52" s="111" t="str">
        <f aca="false">IF($B52="","",SUMIFS('سجل الإجازات والحالات'!$N$6:$N$505,'سجل الإجازات والحالات'!$B$6:$B$505,$B52,'سجل الإجازات والحالات'!$O$6:$O$505,$C$3))</f>
        <v/>
      </c>
      <c r="T52" s="152" t="str">
        <f aca="false">IF($B52="","",SUM(K52:N52)+SUM(P52:S52))</f>
        <v/>
      </c>
      <c r="U52" s="111" t="str">
        <f aca="false">IF($B52="","",الموظفون!$S52*IF(E52="سعودي",cfg_G_SE,cfg_G_NE)*G52/cfg_DAYS_M)</f>
        <v/>
      </c>
      <c r="V52" s="111" t="str">
        <f aca="false">IF($B52="","",SUMIFS('الحركات الشهرية'!$I$6:$I$1005,'الحركات الشهرية'!$B$6:$B$1005,$B52,'الحركات الشهرية'!$A$6:$A$1005,$C$3))</f>
        <v/>
      </c>
      <c r="W52" s="111" t="str">
        <f aca="false">IF($B52="","",SUMIFS('الحركات الشهرية'!$J$6:$J$1005,'الحركات الشهرية'!$B$6:$B$1005,$B52,'الحركات الشهرية'!$A$6:$A$1005,$C$3))</f>
        <v/>
      </c>
      <c r="X52" s="111" t="str">
        <f aca="false">IF($B52="","",SUM(U52:W52))</f>
        <v/>
      </c>
      <c r="Y52" s="153" t="str">
        <f aca="false">IF($B52="","",T52-X52)</f>
        <v/>
      </c>
      <c r="Z52" s="111" t="str">
        <f aca="false">IF($B52="","",الموظفون!$S52*IF(E52="سعودي",cfg_G_SR,cfg_G_NR)*G52/cfg_DAYS_M)</f>
        <v/>
      </c>
      <c r="AA52" s="111" t="str">
        <f aca="false">IF($B52="","",الموظفون!$Q52*(cfg_EOS_R1*(MIN(AH52,cfg_EOS_TH)-MIN(AI52,cfg_EOS_TH))+cfg_EOS_R2*(MAX(AH52-cfg_EOS_TH,0)-MAX(AI52-cfg_EOS_TH,0))))</f>
        <v/>
      </c>
      <c r="AB52" s="111" t="str">
        <f aca="false">IF($B52="","",IF(الموظفون!$T52&lt;&gt;"",الموظفون!$T52,IF(AH52&gt;=cfg_LV_TH,cfg_LV_D2,cfg_LV_D1))/cfg_DAYS_Y*AJ52*الموظفون!$R52/cfg_DAYS_M)</f>
        <v/>
      </c>
      <c r="AC52" s="111" t="str">
        <f aca="false">IF($B52="","",IF(AND(الموظفون!$U52="نعم",N(الموظفون!$W52)&gt;0),الموظفون!$V52/الموظفون!$W52*12/cfg_DAYS_Y*AJ52,0))</f>
        <v/>
      </c>
      <c r="AD52" s="111" t="str">
        <f aca="false">IF($B52="","",(IF(الموظفون!$X52&lt;&gt;"",الموظفون!$X52,IF(الموظفون!$E52="غير سعودي",cfg_IQ,0))+IF(الموظفون!$Y52&lt;&gt;"",الموظفون!$Y52,IF(الموظفون!$E52="غير سعودي",cfg_WP,0)))/12*G52/cfg_DAYS_M)</f>
        <v/>
      </c>
      <c r="AE52" s="111" t="str">
        <f aca="false">IF($B52="","",IF(الموظفون!$Z52&lt;&gt;"",الموظفون!$Z52,cfg_MED)/12*G52/cfg_DAYS_M)</f>
        <v/>
      </c>
      <c r="AF52" s="111" t="str">
        <f aca="false">IF($B52="","",N(الموظفون!$AA52)/12*G52/cfg_DAYS_M)</f>
        <v/>
      </c>
      <c r="AG52" s="154" t="str">
        <f aca="false">IF($B52="","",T52+SUM(Z52:AF52))</f>
        <v/>
      </c>
      <c r="AH52" s="155" t="str">
        <f aca="false">IF($B52="","",MAX(0,IF(OR(الموظفون!$AE52="",الموظفون!$AE52&gt;$F$3),$F$3,الموظفون!$AE52)-الموظفون!$H52+1-SUMIFS('سجل الإجازات والحالات'!$AK$6:$AK$505,'سجل الإجازات والحالات'!$B$6:$B$505,$B52))/cfg_DAYS_Y)</f>
        <v/>
      </c>
      <c r="AI52" s="155" t="str">
        <f aca="false">IF($B52="","",MAX(0,IF(OR(الموظفون!$AE52="",الموظفون!$AE52&gt;($E$3-1)),($E$3-1),الموظفون!$AE52)-الموظفون!$H52+1-SUMIFS('سجل الإجازات والحالات'!$AJ$6:$AJ$505,'سجل الإجازات والحالات'!$B$6:$B$505,$B52))/cfg_DAYS_Y)</f>
        <v/>
      </c>
      <c r="AJ52" s="65" t="str">
        <f aca="false">IF($B52="","",MAX(0,AK52-(SUMIFS('سجل الإجازات والحالات'!$AK$6:$AK$505,'سجل الإجازات والحالات'!$B$6:$B$505,$B52)-SUMIFS('سجل الإجازات والحالات'!$AJ$6:$AJ$505,'سجل الإجازات والحالات'!$B$6:$B$505,$B52))))</f>
        <v/>
      </c>
      <c r="AK52" s="65" t="str">
        <f aca="false">IF($B52="","",MAX(0,IF(OR(الموظفون!$AE52="",الموظفون!$AE52&gt;$F$3),$F$3,الموظفون!$AE52)-MAX($E$3,الموظفون!$H52)+1))</f>
        <v/>
      </c>
      <c r="AL52" s="151" t="str">
        <f aca="false">IF($B52="","",SUMIFS('سجل الإجازات والحالات'!$AW$6:$AW$505,'سجل الإجازات والحالات'!$B$6:$B$505,$B52)+SUMIFS('الحركات الشهرية'!$K$6:$K$1005,'الحركات الشهرية'!$B$6:$B$1005,$B52,'الحركات الشهرية'!$A$6:$A$1005,$C$3))</f>
        <v/>
      </c>
      <c r="AM52" s="111" t="str">
        <f aca="false">IF($B52="","",AL52*الموظفون!$R52/cfg_DAYS_M+S52)</f>
        <v/>
      </c>
      <c r="AN52" s="151" t="str">
        <f aca="false">IF($B52="","",SUMIFS('سجل الإجازات والحالات'!$Y$6:$Y$505,'سجل الإجازات والحالات'!$B$6:$B$505,$B52))</f>
        <v/>
      </c>
    </row>
    <row r="53" customFormat="false" ht="15" hidden="false" customHeight="false" outlineLevel="0" collapsed="false">
      <c r="A53" s="115" t="str">
        <f aca="false">IF($B53="","",الموظفون!$A53)</f>
        <v/>
      </c>
      <c r="B53" s="117" t="str">
        <f aca="false">IF(الموظفون!$B53="","",الموظفون!$B53)</f>
        <v/>
      </c>
      <c r="C53" s="117" t="str">
        <f aca="false">IF($B53="","",الموظفون!$C53)</f>
        <v/>
      </c>
      <c r="D53" s="117" t="str">
        <f aca="false">IF($B53="","",الموظفون!$F53)</f>
        <v/>
      </c>
      <c r="E53" s="117" t="str">
        <f aca="false">IF($B53="","",الموظفون!$E53)</f>
        <v/>
      </c>
      <c r="F53" s="117" t="str">
        <f aca="false">IF($B53="","",IF(AK53=0,IF(AND(الموظفون!$AE53&lt;&gt;"",الموظفون!$AE53&lt;$E$3),"✖ منتهي الخدمة","⏳ لم يباشر"),IF(S53&gt;0,"✈ راتب إجازة مقدم",IF(J53=0,"⛔ بدون راتب هذا الشهر",IF(I53&gt;0,"✈ خصم "&amp;ROUND(I53,2)&amp;" يوم بدون أجر",IF(AL53&gt;0,"🌴 إجازة سنوية "&amp;ROUND(AL53,2)&amp;" يوم",IF(H53&gt;0,"⚠ غياب "&amp;ROUND(H53,2)&amp;" يوم","✔ على رأس العمل")))))))</f>
        <v/>
      </c>
      <c r="G53" s="156" t="str">
        <f aca="false">IF($B53="","",IF(AK53&gt;=DAY($F$3),cfg_DAYS_M,MIN(AK53,cfg_DAYS_M)))</f>
        <v/>
      </c>
      <c r="H53" s="156" t="str">
        <f aca="false">IF($B53="","",SUMIFS('الحركات الشهرية'!$D$6:$D$1005,'الحركات الشهرية'!$B$6:$B$1005,$B53,'الحركات الشهرية'!$A$6:$A$1005,$C$3))</f>
        <v/>
      </c>
      <c r="I53" s="156" t="str">
        <f aca="false">IF($B53="","",MIN(G53,IF(AND(AK53&gt;0,AN53&gt;=AK53),G53,AN53)+SUMIFS('الحركات الشهرية'!$E$6:$E$1005,'الحركات الشهرية'!$B$6:$B$1005,$B53,'الحركات الشهرية'!$A$6:$A$1005,$C$3)))</f>
        <v/>
      </c>
      <c r="J53" s="156" t="str">
        <f aca="false">IF($B53="","",MAX(0,G53-H53-I53))</f>
        <v/>
      </c>
      <c r="K53" s="116" t="str">
        <f aca="false">IF($B53="","",الموظفون!$L53*$J53/cfg_DAYS_M)</f>
        <v/>
      </c>
      <c r="L53" s="116" t="str">
        <f aca="false">IF($B53="","",الموظفون!$M53*$J53/cfg_DAYS_M)</f>
        <v/>
      </c>
      <c r="M53" s="116" t="str">
        <f aca="false">IF($B53="","",الموظفون!$N53*$J53/cfg_DAYS_M)</f>
        <v/>
      </c>
      <c r="N53" s="116" t="str">
        <f aca="false">IF($B53="","",الموظفون!$O53*$J53/cfg_DAYS_M)</f>
        <v/>
      </c>
      <c r="O53" s="156" t="str">
        <f aca="false">IF($B53="","",SUMIFS('الحركات الشهرية'!$F$6:$F$1005,'الحركات الشهرية'!$B$6:$B$1005,$B53,'الحركات الشهرية'!$A$6:$A$1005,$C$3))</f>
        <v/>
      </c>
      <c r="P53" s="116" t="str">
        <f aca="false">IF($B53="","",O53*(الموظفون!$P53+الموظفون!$L53*cfg_OT_P)/cfg_DAYS_M/cfg_HRS)</f>
        <v/>
      </c>
      <c r="Q53" s="116" t="str">
        <f aca="false">IF($B53="","",SUMIFS('الحركات الشهرية'!$G$6:$G$1005,'الحركات الشهرية'!$B$6:$B$1005,$B53,'الحركات الشهرية'!$A$6:$A$1005,$C$3))</f>
        <v/>
      </c>
      <c r="R53" s="116" t="str">
        <f aca="false">IF($B53="","",SUMIFS('الحركات الشهرية'!$H$6:$H$1005,'الحركات الشهرية'!$B$6:$B$1005,$B53,'الحركات الشهرية'!$A$6:$A$1005,$C$3))</f>
        <v/>
      </c>
      <c r="S53" s="116" t="str">
        <f aca="false">IF($B53="","",SUMIFS('سجل الإجازات والحالات'!$N$6:$N$505,'سجل الإجازات والحالات'!$B$6:$B$505,$B53,'سجل الإجازات والحالات'!$O$6:$O$505,$C$3))</f>
        <v/>
      </c>
      <c r="T53" s="157" t="str">
        <f aca="false">IF($B53="","",SUM(K53:N53)+SUM(P53:S53))</f>
        <v/>
      </c>
      <c r="U53" s="116" t="str">
        <f aca="false">IF($B53="","",الموظفون!$S53*IF(E53="سعودي",cfg_G_SE,cfg_G_NE)*G53/cfg_DAYS_M)</f>
        <v/>
      </c>
      <c r="V53" s="116" t="str">
        <f aca="false">IF($B53="","",SUMIFS('الحركات الشهرية'!$I$6:$I$1005,'الحركات الشهرية'!$B$6:$B$1005,$B53,'الحركات الشهرية'!$A$6:$A$1005,$C$3))</f>
        <v/>
      </c>
      <c r="W53" s="116" t="str">
        <f aca="false">IF($B53="","",SUMIFS('الحركات الشهرية'!$J$6:$J$1005,'الحركات الشهرية'!$B$6:$B$1005,$B53,'الحركات الشهرية'!$A$6:$A$1005,$C$3))</f>
        <v/>
      </c>
      <c r="X53" s="116" t="str">
        <f aca="false">IF($B53="","",SUM(U53:W53))</f>
        <v/>
      </c>
      <c r="Y53" s="158" t="str">
        <f aca="false">IF($B53="","",T53-X53)</f>
        <v/>
      </c>
      <c r="Z53" s="116" t="str">
        <f aca="false">IF($B53="","",الموظفون!$S53*IF(E53="سعودي",cfg_G_SR,cfg_G_NR)*G53/cfg_DAYS_M)</f>
        <v/>
      </c>
      <c r="AA53" s="116" t="str">
        <f aca="false">IF($B53="","",الموظفون!$Q53*(cfg_EOS_R1*(MIN(AH53,cfg_EOS_TH)-MIN(AI53,cfg_EOS_TH))+cfg_EOS_R2*(MAX(AH53-cfg_EOS_TH,0)-MAX(AI53-cfg_EOS_TH,0))))</f>
        <v/>
      </c>
      <c r="AB53" s="116" t="str">
        <f aca="false">IF($B53="","",IF(الموظفون!$T53&lt;&gt;"",الموظفون!$T53,IF(AH53&gt;=cfg_LV_TH,cfg_LV_D2,cfg_LV_D1))/cfg_DAYS_Y*AJ53*الموظفون!$R53/cfg_DAYS_M)</f>
        <v/>
      </c>
      <c r="AC53" s="116" t="str">
        <f aca="false">IF($B53="","",IF(AND(الموظفون!$U53="نعم",N(الموظفون!$W53)&gt;0),الموظفون!$V53/الموظفون!$W53*12/cfg_DAYS_Y*AJ53,0))</f>
        <v/>
      </c>
      <c r="AD53" s="116" t="str">
        <f aca="false">IF($B53="","",(IF(الموظفون!$X53&lt;&gt;"",الموظفون!$X53,IF(الموظفون!$E53="غير سعودي",cfg_IQ,0))+IF(الموظفون!$Y53&lt;&gt;"",الموظفون!$Y53,IF(الموظفون!$E53="غير سعودي",cfg_WP,0)))/12*G53/cfg_DAYS_M)</f>
        <v/>
      </c>
      <c r="AE53" s="116" t="str">
        <f aca="false">IF($B53="","",IF(الموظفون!$Z53&lt;&gt;"",الموظفون!$Z53,cfg_MED)/12*G53/cfg_DAYS_M)</f>
        <v/>
      </c>
      <c r="AF53" s="116" t="str">
        <f aca="false">IF($B53="","",N(الموظفون!$AA53)/12*G53/cfg_DAYS_M)</f>
        <v/>
      </c>
      <c r="AG53" s="159" t="str">
        <f aca="false">IF($B53="","",T53+SUM(Z53:AF53))</f>
        <v/>
      </c>
      <c r="AH53" s="160" t="str">
        <f aca="false">IF($B53="","",MAX(0,IF(OR(الموظفون!$AE53="",الموظفون!$AE53&gt;$F$3),$F$3,الموظفون!$AE53)-الموظفون!$H53+1-SUMIFS('سجل الإجازات والحالات'!$AK$6:$AK$505,'سجل الإجازات والحالات'!$B$6:$B$505,$B53))/cfg_DAYS_Y)</f>
        <v/>
      </c>
      <c r="AI53" s="160" t="str">
        <f aca="false">IF($B53="","",MAX(0,IF(OR(الموظفون!$AE53="",الموظفون!$AE53&gt;($E$3-1)),($E$3-1),الموظفون!$AE53)-الموظفون!$H53+1-SUMIFS('سجل الإجازات والحالات'!$AJ$6:$AJ$505,'سجل الإجازات والحالات'!$B$6:$B$505,$B53))/cfg_DAYS_Y)</f>
        <v/>
      </c>
      <c r="AJ53" s="133" t="str">
        <f aca="false">IF($B53="","",MAX(0,AK53-(SUMIFS('سجل الإجازات والحالات'!$AK$6:$AK$505,'سجل الإجازات والحالات'!$B$6:$B$505,$B53)-SUMIFS('سجل الإجازات والحالات'!$AJ$6:$AJ$505,'سجل الإجازات والحالات'!$B$6:$B$505,$B53))))</f>
        <v/>
      </c>
      <c r="AK53" s="133" t="str">
        <f aca="false">IF($B53="","",MAX(0,IF(OR(الموظفون!$AE53="",الموظفون!$AE53&gt;$F$3),$F$3,الموظفون!$AE53)-MAX($E$3,الموظفون!$H53)+1))</f>
        <v/>
      </c>
      <c r="AL53" s="156" t="str">
        <f aca="false">IF($B53="","",SUMIFS('سجل الإجازات والحالات'!$AW$6:$AW$505,'سجل الإجازات والحالات'!$B$6:$B$505,$B53)+SUMIFS('الحركات الشهرية'!$K$6:$K$1005,'الحركات الشهرية'!$B$6:$B$1005,$B53,'الحركات الشهرية'!$A$6:$A$1005,$C$3))</f>
        <v/>
      </c>
      <c r="AM53" s="116" t="str">
        <f aca="false">IF($B53="","",AL53*الموظفون!$R53/cfg_DAYS_M+S53)</f>
        <v/>
      </c>
      <c r="AN53" s="156" t="str">
        <f aca="false">IF($B53="","",SUMIFS('سجل الإجازات والحالات'!$Y$6:$Y$505,'سجل الإجازات والحالات'!$B$6:$B$505,$B53))</f>
        <v/>
      </c>
    </row>
    <row r="54" customFormat="false" ht="15" hidden="false" customHeight="false" outlineLevel="0" collapsed="false">
      <c r="A54" s="106" t="str">
        <f aca="false">IF($B54="","",الموظفون!$A54)</f>
        <v/>
      </c>
      <c r="B54" s="114" t="str">
        <f aca="false">IF(الموظفون!$B54="","",الموظفون!$B54)</f>
        <v/>
      </c>
      <c r="C54" s="114" t="str">
        <f aca="false">IF($B54="","",الموظفون!$C54)</f>
        <v/>
      </c>
      <c r="D54" s="114" t="str">
        <f aca="false">IF($B54="","",الموظفون!$F54)</f>
        <v/>
      </c>
      <c r="E54" s="114" t="str">
        <f aca="false">IF($B54="","",الموظفون!$E54)</f>
        <v/>
      </c>
      <c r="F54" s="114" t="str">
        <f aca="false">IF($B54="","",IF(AK54=0,IF(AND(الموظفون!$AE54&lt;&gt;"",الموظفون!$AE54&lt;$E$3),"✖ منتهي الخدمة","⏳ لم يباشر"),IF(S54&gt;0,"✈ راتب إجازة مقدم",IF(J54=0,"⛔ بدون راتب هذا الشهر",IF(I54&gt;0,"✈ خصم "&amp;ROUND(I54,2)&amp;" يوم بدون أجر",IF(AL54&gt;0,"🌴 إجازة سنوية "&amp;ROUND(AL54,2)&amp;" يوم",IF(H54&gt;0,"⚠ غياب "&amp;ROUND(H54,2)&amp;" يوم","✔ على رأس العمل")))))))</f>
        <v/>
      </c>
      <c r="G54" s="151" t="str">
        <f aca="false">IF($B54="","",IF(AK54&gt;=DAY($F$3),cfg_DAYS_M,MIN(AK54,cfg_DAYS_M)))</f>
        <v/>
      </c>
      <c r="H54" s="151" t="str">
        <f aca="false">IF($B54="","",SUMIFS('الحركات الشهرية'!$D$6:$D$1005,'الحركات الشهرية'!$B$6:$B$1005,$B54,'الحركات الشهرية'!$A$6:$A$1005,$C$3))</f>
        <v/>
      </c>
      <c r="I54" s="151" t="str">
        <f aca="false">IF($B54="","",MIN(G54,IF(AND(AK54&gt;0,AN54&gt;=AK54),G54,AN54)+SUMIFS('الحركات الشهرية'!$E$6:$E$1005,'الحركات الشهرية'!$B$6:$B$1005,$B54,'الحركات الشهرية'!$A$6:$A$1005,$C$3)))</f>
        <v/>
      </c>
      <c r="J54" s="151" t="str">
        <f aca="false">IF($B54="","",MAX(0,G54-H54-I54))</f>
        <v/>
      </c>
      <c r="K54" s="111" t="str">
        <f aca="false">IF($B54="","",الموظفون!$L54*$J54/cfg_DAYS_M)</f>
        <v/>
      </c>
      <c r="L54" s="111" t="str">
        <f aca="false">IF($B54="","",الموظفون!$M54*$J54/cfg_DAYS_M)</f>
        <v/>
      </c>
      <c r="M54" s="111" t="str">
        <f aca="false">IF($B54="","",الموظفون!$N54*$J54/cfg_DAYS_M)</f>
        <v/>
      </c>
      <c r="N54" s="111" t="str">
        <f aca="false">IF($B54="","",الموظفون!$O54*$J54/cfg_DAYS_M)</f>
        <v/>
      </c>
      <c r="O54" s="151" t="str">
        <f aca="false">IF($B54="","",SUMIFS('الحركات الشهرية'!$F$6:$F$1005,'الحركات الشهرية'!$B$6:$B$1005,$B54,'الحركات الشهرية'!$A$6:$A$1005,$C$3))</f>
        <v/>
      </c>
      <c r="P54" s="111" t="str">
        <f aca="false">IF($B54="","",O54*(الموظفون!$P54+الموظفون!$L54*cfg_OT_P)/cfg_DAYS_M/cfg_HRS)</f>
        <v/>
      </c>
      <c r="Q54" s="111" t="str">
        <f aca="false">IF($B54="","",SUMIFS('الحركات الشهرية'!$G$6:$G$1005,'الحركات الشهرية'!$B$6:$B$1005,$B54,'الحركات الشهرية'!$A$6:$A$1005,$C$3))</f>
        <v/>
      </c>
      <c r="R54" s="111" t="str">
        <f aca="false">IF($B54="","",SUMIFS('الحركات الشهرية'!$H$6:$H$1005,'الحركات الشهرية'!$B$6:$B$1005,$B54,'الحركات الشهرية'!$A$6:$A$1005,$C$3))</f>
        <v/>
      </c>
      <c r="S54" s="111" t="str">
        <f aca="false">IF($B54="","",SUMIFS('سجل الإجازات والحالات'!$N$6:$N$505,'سجل الإجازات والحالات'!$B$6:$B$505,$B54,'سجل الإجازات والحالات'!$O$6:$O$505,$C$3))</f>
        <v/>
      </c>
      <c r="T54" s="152" t="str">
        <f aca="false">IF($B54="","",SUM(K54:N54)+SUM(P54:S54))</f>
        <v/>
      </c>
      <c r="U54" s="111" t="str">
        <f aca="false">IF($B54="","",الموظفون!$S54*IF(E54="سعودي",cfg_G_SE,cfg_G_NE)*G54/cfg_DAYS_M)</f>
        <v/>
      </c>
      <c r="V54" s="111" t="str">
        <f aca="false">IF($B54="","",SUMIFS('الحركات الشهرية'!$I$6:$I$1005,'الحركات الشهرية'!$B$6:$B$1005,$B54,'الحركات الشهرية'!$A$6:$A$1005,$C$3))</f>
        <v/>
      </c>
      <c r="W54" s="111" t="str">
        <f aca="false">IF($B54="","",SUMIFS('الحركات الشهرية'!$J$6:$J$1005,'الحركات الشهرية'!$B$6:$B$1005,$B54,'الحركات الشهرية'!$A$6:$A$1005,$C$3))</f>
        <v/>
      </c>
      <c r="X54" s="111" t="str">
        <f aca="false">IF($B54="","",SUM(U54:W54))</f>
        <v/>
      </c>
      <c r="Y54" s="153" t="str">
        <f aca="false">IF($B54="","",T54-X54)</f>
        <v/>
      </c>
      <c r="Z54" s="111" t="str">
        <f aca="false">IF($B54="","",الموظفون!$S54*IF(E54="سعودي",cfg_G_SR,cfg_G_NR)*G54/cfg_DAYS_M)</f>
        <v/>
      </c>
      <c r="AA54" s="111" t="str">
        <f aca="false">IF($B54="","",الموظفون!$Q54*(cfg_EOS_R1*(MIN(AH54,cfg_EOS_TH)-MIN(AI54,cfg_EOS_TH))+cfg_EOS_R2*(MAX(AH54-cfg_EOS_TH,0)-MAX(AI54-cfg_EOS_TH,0))))</f>
        <v/>
      </c>
      <c r="AB54" s="111" t="str">
        <f aca="false">IF($B54="","",IF(الموظفون!$T54&lt;&gt;"",الموظفون!$T54,IF(AH54&gt;=cfg_LV_TH,cfg_LV_D2,cfg_LV_D1))/cfg_DAYS_Y*AJ54*الموظفون!$R54/cfg_DAYS_M)</f>
        <v/>
      </c>
      <c r="AC54" s="111" t="str">
        <f aca="false">IF($B54="","",IF(AND(الموظفون!$U54="نعم",N(الموظفون!$W54)&gt;0),الموظفون!$V54/الموظفون!$W54*12/cfg_DAYS_Y*AJ54,0))</f>
        <v/>
      </c>
      <c r="AD54" s="111" t="str">
        <f aca="false">IF($B54="","",(IF(الموظفون!$X54&lt;&gt;"",الموظفون!$X54,IF(الموظفون!$E54="غير سعودي",cfg_IQ,0))+IF(الموظفون!$Y54&lt;&gt;"",الموظفون!$Y54,IF(الموظفون!$E54="غير سعودي",cfg_WP,0)))/12*G54/cfg_DAYS_M)</f>
        <v/>
      </c>
      <c r="AE54" s="111" t="str">
        <f aca="false">IF($B54="","",IF(الموظفون!$Z54&lt;&gt;"",الموظفون!$Z54,cfg_MED)/12*G54/cfg_DAYS_M)</f>
        <v/>
      </c>
      <c r="AF54" s="111" t="str">
        <f aca="false">IF($B54="","",N(الموظفون!$AA54)/12*G54/cfg_DAYS_M)</f>
        <v/>
      </c>
      <c r="AG54" s="154" t="str">
        <f aca="false">IF($B54="","",T54+SUM(Z54:AF54))</f>
        <v/>
      </c>
      <c r="AH54" s="155" t="str">
        <f aca="false">IF($B54="","",MAX(0,IF(OR(الموظفون!$AE54="",الموظفون!$AE54&gt;$F$3),$F$3,الموظفون!$AE54)-الموظفون!$H54+1-SUMIFS('سجل الإجازات والحالات'!$AK$6:$AK$505,'سجل الإجازات والحالات'!$B$6:$B$505,$B54))/cfg_DAYS_Y)</f>
        <v/>
      </c>
      <c r="AI54" s="155" t="str">
        <f aca="false">IF($B54="","",MAX(0,IF(OR(الموظفون!$AE54="",الموظفون!$AE54&gt;($E$3-1)),($E$3-1),الموظفون!$AE54)-الموظفون!$H54+1-SUMIFS('سجل الإجازات والحالات'!$AJ$6:$AJ$505,'سجل الإجازات والحالات'!$B$6:$B$505,$B54))/cfg_DAYS_Y)</f>
        <v/>
      </c>
      <c r="AJ54" s="65" t="str">
        <f aca="false">IF($B54="","",MAX(0,AK54-(SUMIFS('سجل الإجازات والحالات'!$AK$6:$AK$505,'سجل الإجازات والحالات'!$B$6:$B$505,$B54)-SUMIFS('سجل الإجازات والحالات'!$AJ$6:$AJ$505,'سجل الإجازات والحالات'!$B$6:$B$505,$B54))))</f>
        <v/>
      </c>
      <c r="AK54" s="65" t="str">
        <f aca="false">IF($B54="","",MAX(0,IF(OR(الموظفون!$AE54="",الموظفون!$AE54&gt;$F$3),$F$3,الموظفون!$AE54)-MAX($E$3,الموظفون!$H54)+1))</f>
        <v/>
      </c>
      <c r="AL54" s="151" t="str">
        <f aca="false">IF($B54="","",SUMIFS('سجل الإجازات والحالات'!$AW$6:$AW$505,'سجل الإجازات والحالات'!$B$6:$B$505,$B54)+SUMIFS('الحركات الشهرية'!$K$6:$K$1005,'الحركات الشهرية'!$B$6:$B$1005,$B54,'الحركات الشهرية'!$A$6:$A$1005,$C$3))</f>
        <v/>
      </c>
      <c r="AM54" s="111" t="str">
        <f aca="false">IF($B54="","",AL54*الموظفون!$R54/cfg_DAYS_M+S54)</f>
        <v/>
      </c>
      <c r="AN54" s="151" t="str">
        <f aca="false">IF($B54="","",SUMIFS('سجل الإجازات والحالات'!$Y$6:$Y$505,'سجل الإجازات والحالات'!$B$6:$B$505,$B54))</f>
        <v/>
      </c>
    </row>
    <row r="55" customFormat="false" ht="15" hidden="false" customHeight="false" outlineLevel="0" collapsed="false">
      <c r="A55" s="115" t="str">
        <f aca="false">IF($B55="","",الموظفون!$A55)</f>
        <v/>
      </c>
      <c r="B55" s="117" t="str">
        <f aca="false">IF(الموظفون!$B55="","",الموظفون!$B55)</f>
        <v/>
      </c>
      <c r="C55" s="117" t="str">
        <f aca="false">IF($B55="","",الموظفون!$C55)</f>
        <v/>
      </c>
      <c r="D55" s="117" t="str">
        <f aca="false">IF($B55="","",الموظفون!$F55)</f>
        <v/>
      </c>
      <c r="E55" s="117" t="str">
        <f aca="false">IF($B55="","",الموظفون!$E55)</f>
        <v/>
      </c>
      <c r="F55" s="117" t="str">
        <f aca="false">IF($B55="","",IF(AK55=0,IF(AND(الموظفون!$AE55&lt;&gt;"",الموظفون!$AE55&lt;$E$3),"✖ منتهي الخدمة","⏳ لم يباشر"),IF(S55&gt;0,"✈ راتب إجازة مقدم",IF(J55=0,"⛔ بدون راتب هذا الشهر",IF(I55&gt;0,"✈ خصم "&amp;ROUND(I55,2)&amp;" يوم بدون أجر",IF(AL55&gt;0,"🌴 إجازة سنوية "&amp;ROUND(AL55,2)&amp;" يوم",IF(H55&gt;0,"⚠ غياب "&amp;ROUND(H55,2)&amp;" يوم","✔ على رأس العمل")))))))</f>
        <v/>
      </c>
      <c r="G55" s="156" t="str">
        <f aca="false">IF($B55="","",IF(AK55&gt;=DAY($F$3),cfg_DAYS_M,MIN(AK55,cfg_DAYS_M)))</f>
        <v/>
      </c>
      <c r="H55" s="156" t="str">
        <f aca="false">IF($B55="","",SUMIFS('الحركات الشهرية'!$D$6:$D$1005,'الحركات الشهرية'!$B$6:$B$1005,$B55,'الحركات الشهرية'!$A$6:$A$1005,$C$3))</f>
        <v/>
      </c>
      <c r="I55" s="156" t="str">
        <f aca="false">IF($B55="","",MIN(G55,IF(AND(AK55&gt;0,AN55&gt;=AK55),G55,AN55)+SUMIFS('الحركات الشهرية'!$E$6:$E$1005,'الحركات الشهرية'!$B$6:$B$1005,$B55,'الحركات الشهرية'!$A$6:$A$1005,$C$3)))</f>
        <v/>
      </c>
      <c r="J55" s="156" t="str">
        <f aca="false">IF($B55="","",MAX(0,G55-H55-I55))</f>
        <v/>
      </c>
      <c r="K55" s="116" t="str">
        <f aca="false">IF($B55="","",الموظفون!$L55*$J55/cfg_DAYS_M)</f>
        <v/>
      </c>
      <c r="L55" s="116" t="str">
        <f aca="false">IF($B55="","",الموظفون!$M55*$J55/cfg_DAYS_M)</f>
        <v/>
      </c>
      <c r="M55" s="116" t="str">
        <f aca="false">IF($B55="","",الموظفون!$N55*$J55/cfg_DAYS_M)</f>
        <v/>
      </c>
      <c r="N55" s="116" t="str">
        <f aca="false">IF($B55="","",الموظفون!$O55*$J55/cfg_DAYS_M)</f>
        <v/>
      </c>
      <c r="O55" s="156" t="str">
        <f aca="false">IF($B55="","",SUMIFS('الحركات الشهرية'!$F$6:$F$1005,'الحركات الشهرية'!$B$6:$B$1005,$B55,'الحركات الشهرية'!$A$6:$A$1005,$C$3))</f>
        <v/>
      </c>
      <c r="P55" s="116" t="str">
        <f aca="false">IF($B55="","",O55*(الموظفون!$P55+الموظفون!$L55*cfg_OT_P)/cfg_DAYS_M/cfg_HRS)</f>
        <v/>
      </c>
      <c r="Q55" s="116" t="str">
        <f aca="false">IF($B55="","",SUMIFS('الحركات الشهرية'!$G$6:$G$1005,'الحركات الشهرية'!$B$6:$B$1005,$B55,'الحركات الشهرية'!$A$6:$A$1005,$C$3))</f>
        <v/>
      </c>
      <c r="R55" s="116" t="str">
        <f aca="false">IF($B55="","",SUMIFS('الحركات الشهرية'!$H$6:$H$1005,'الحركات الشهرية'!$B$6:$B$1005,$B55,'الحركات الشهرية'!$A$6:$A$1005,$C$3))</f>
        <v/>
      </c>
      <c r="S55" s="116" t="str">
        <f aca="false">IF($B55="","",SUMIFS('سجل الإجازات والحالات'!$N$6:$N$505,'سجل الإجازات والحالات'!$B$6:$B$505,$B55,'سجل الإجازات والحالات'!$O$6:$O$505,$C$3))</f>
        <v/>
      </c>
      <c r="T55" s="157" t="str">
        <f aca="false">IF($B55="","",SUM(K55:N55)+SUM(P55:S55))</f>
        <v/>
      </c>
      <c r="U55" s="116" t="str">
        <f aca="false">IF($B55="","",الموظفون!$S55*IF(E55="سعودي",cfg_G_SE,cfg_G_NE)*G55/cfg_DAYS_M)</f>
        <v/>
      </c>
      <c r="V55" s="116" t="str">
        <f aca="false">IF($B55="","",SUMIFS('الحركات الشهرية'!$I$6:$I$1005,'الحركات الشهرية'!$B$6:$B$1005,$B55,'الحركات الشهرية'!$A$6:$A$1005,$C$3))</f>
        <v/>
      </c>
      <c r="W55" s="116" t="str">
        <f aca="false">IF($B55="","",SUMIFS('الحركات الشهرية'!$J$6:$J$1005,'الحركات الشهرية'!$B$6:$B$1005,$B55,'الحركات الشهرية'!$A$6:$A$1005,$C$3))</f>
        <v/>
      </c>
      <c r="X55" s="116" t="str">
        <f aca="false">IF($B55="","",SUM(U55:W55))</f>
        <v/>
      </c>
      <c r="Y55" s="158" t="str">
        <f aca="false">IF($B55="","",T55-X55)</f>
        <v/>
      </c>
      <c r="Z55" s="116" t="str">
        <f aca="false">IF($B55="","",الموظفون!$S55*IF(E55="سعودي",cfg_G_SR,cfg_G_NR)*G55/cfg_DAYS_M)</f>
        <v/>
      </c>
      <c r="AA55" s="116" t="str">
        <f aca="false">IF($B55="","",الموظفون!$Q55*(cfg_EOS_R1*(MIN(AH55,cfg_EOS_TH)-MIN(AI55,cfg_EOS_TH))+cfg_EOS_R2*(MAX(AH55-cfg_EOS_TH,0)-MAX(AI55-cfg_EOS_TH,0))))</f>
        <v/>
      </c>
      <c r="AB55" s="116" t="str">
        <f aca="false">IF($B55="","",IF(الموظفون!$T55&lt;&gt;"",الموظفون!$T55,IF(AH55&gt;=cfg_LV_TH,cfg_LV_D2,cfg_LV_D1))/cfg_DAYS_Y*AJ55*الموظفون!$R55/cfg_DAYS_M)</f>
        <v/>
      </c>
      <c r="AC55" s="116" t="str">
        <f aca="false">IF($B55="","",IF(AND(الموظفون!$U55="نعم",N(الموظفون!$W55)&gt;0),الموظفون!$V55/الموظفون!$W55*12/cfg_DAYS_Y*AJ55,0))</f>
        <v/>
      </c>
      <c r="AD55" s="116" t="str">
        <f aca="false">IF($B55="","",(IF(الموظفون!$X55&lt;&gt;"",الموظفون!$X55,IF(الموظفون!$E55="غير سعودي",cfg_IQ,0))+IF(الموظفون!$Y55&lt;&gt;"",الموظفون!$Y55,IF(الموظفون!$E55="غير سعودي",cfg_WP,0)))/12*G55/cfg_DAYS_M)</f>
        <v/>
      </c>
      <c r="AE55" s="116" t="str">
        <f aca="false">IF($B55="","",IF(الموظفون!$Z55&lt;&gt;"",الموظفون!$Z55,cfg_MED)/12*G55/cfg_DAYS_M)</f>
        <v/>
      </c>
      <c r="AF55" s="116" t="str">
        <f aca="false">IF($B55="","",N(الموظفون!$AA55)/12*G55/cfg_DAYS_M)</f>
        <v/>
      </c>
      <c r="AG55" s="159" t="str">
        <f aca="false">IF($B55="","",T55+SUM(Z55:AF55))</f>
        <v/>
      </c>
      <c r="AH55" s="160" t="str">
        <f aca="false">IF($B55="","",MAX(0,IF(OR(الموظفون!$AE55="",الموظفون!$AE55&gt;$F$3),$F$3,الموظفون!$AE55)-الموظفون!$H55+1-SUMIFS('سجل الإجازات والحالات'!$AK$6:$AK$505,'سجل الإجازات والحالات'!$B$6:$B$505,$B55))/cfg_DAYS_Y)</f>
        <v/>
      </c>
      <c r="AI55" s="160" t="str">
        <f aca="false">IF($B55="","",MAX(0,IF(OR(الموظفون!$AE55="",الموظفون!$AE55&gt;($E$3-1)),($E$3-1),الموظفون!$AE55)-الموظفون!$H55+1-SUMIFS('سجل الإجازات والحالات'!$AJ$6:$AJ$505,'سجل الإجازات والحالات'!$B$6:$B$505,$B55))/cfg_DAYS_Y)</f>
        <v/>
      </c>
      <c r="AJ55" s="133" t="str">
        <f aca="false">IF($B55="","",MAX(0,AK55-(SUMIFS('سجل الإجازات والحالات'!$AK$6:$AK$505,'سجل الإجازات والحالات'!$B$6:$B$505,$B55)-SUMIFS('سجل الإجازات والحالات'!$AJ$6:$AJ$505,'سجل الإجازات والحالات'!$B$6:$B$505,$B55))))</f>
        <v/>
      </c>
      <c r="AK55" s="133" t="str">
        <f aca="false">IF($B55="","",MAX(0,IF(OR(الموظفون!$AE55="",الموظفون!$AE55&gt;$F$3),$F$3,الموظفون!$AE55)-MAX($E$3,الموظفون!$H55)+1))</f>
        <v/>
      </c>
      <c r="AL55" s="156" t="str">
        <f aca="false">IF($B55="","",SUMIFS('سجل الإجازات والحالات'!$AW$6:$AW$505,'سجل الإجازات والحالات'!$B$6:$B$505,$B55)+SUMIFS('الحركات الشهرية'!$K$6:$K$1005,'الحركات الشهرية'!$B$6:$B$1005,$B55,'الحركات الشهرية'!$A$6:$A$1005,$C$3))</f>
        <v/>
      </c>
      <c r="AM55" s="116" t="str">
        <f aca="false">IF($B55="","",AL55*الموظفون!$R55/cfg_DAYS_M+S55)</f>
        <v/>
      </c>
      <c r="AN55" s="156" t="str">
        <f aca="false">IF($B55="","",SUMIFS('سجل الإجازات والحالات'!$Y$6:$Y$505,'سجل الإجازات والحالات'!$B$6:$B$505,$B55))</f>
        <v/>
      </c>
    </row>
    <row r="56" customFormat="false" ht="15" hidden="false" customHeight="false" outlineLevel="0" collapsed="false">
      <c r="A56" s="106" t="str">
        <f aca="false">IF($B56="","",الموظفون!$A56)</f>
        <v/>
      </c>
      <c r="B56" s="114" t="str">
        <f aca="false">IF(الموظفون!$B56="","",الموظفون!$B56)</f>
        <v/>
      </c>
      <c r="C56" s="114" t="str">
        <f aca="false">IF($B56="","",الموظفون!$C56)</f>
        <v/>
      </c>
      <c r="D56" s="114" t="str">
        <f aca="false">IF($B56="","",الموظفون!$F56)</f>
        <v/>
      </c>
      <c r="E56" s="114" t="str">
        <f aca="false">IF($B56="","",الموظفون!$E56)</f>
        <v/>
      </c>
      <c r="F56" s="114" t="str">
        <f aca="false">IF($B56="","",IF(AK56=0,IF(AND(الموظفون!$AE56&lt;&gt;"",الموظفون!$AE56&lt;$E$3),"✖ منتهي الخدمة","⏳ لم يباشر"),IF(S56&gt;0,"✈ راتب إجازة مقدم",IF(J56=0,"⛔ بدون راتب هذا الشهر",IF(I56&gt;0,"✈ خصم "&amp;ROUND(I56,2)&amp;" يوم بدون أجر",IF(AL56&gt;0,"🌴 إجازة سنوية "&amp;ROUND(AL56,2)&amp;" يوم",IF(H56&gt;0,"⚠ غياب "&amp;ROUND(H56,2)&amp;" يوم","✔ على رأس العمل")))))))</f>
        <v/>
      </c>
      <c r="G56" s="151" t="str">
        <f aca="false">IF($B56="","",IF(AK56&gt;=DAY($F$3),cfg_DAYS_M,MIN(AK56,cfg_DAYS_M)))</f>
        <v/>
      </c>
      <c r="H56" s="151" t="str">
        <f aca="false">IF($B56="","",SUMIFS('الحركات الشهرية'!$D$6:$D$1005,'الحركات الشهرية'!$B$6:$B$1005,$B56,'الحركات الشهرية'!$A$6:$A$1005,$C$3))</f>
        <v/>
      </c>
      <c r="I56" s="151" t="str">
        <f aca="false">IF($B56="","",MIN(G56,IF(AND(AK56&gt;0,AN56&gt;=AK56),G56,AN56)+SUMIFS('الحركات الشهرية'!$E$6:$E$1005,'الحركات الشهرية'!$B$6:$B$1005,$B56,'الحركات الشهرية'!$A$6:$A$1005,$C$3)))</f>
        <v/>
      </c>
      <c r="J56" s="151" t="str">
        <f aca="false">IF($B56="","",MAX(0,G56-H56-I56))</f>
        <v/>
      </c>
      <c r="K56" s="111" t="str">
        <f aca="false">IF($B56="","",الموظفون!$L56*$J56/cfg_DAYS_M)</f>
        <v/>
      </c>
      <c r="L56" s="111" t="str">
        <f aca="false">IF($B56="","",الموظفون!$M56*$J56/cfg_DAYS_M)</f>
        <v/>
      </c>
      <c r="M56" s="111" t="str">
        <f aca="false">IF($B56="","",الموظفون!$N56*$J56/cfg_DAYS_M)</f>
        <v/>
      </c>
      <c r="N56" s="111" t="str">
        <f aca="false">IF($B56="","",الموظفون!$O56*$J56/cfg_DAYS_M)</f>
        <v/>
      </c>
      <c r="O56" s="151" t="str">
        <f aca="false">IF($B56="","",SUMIFS('الحركات الشهرية'!$F$6:$F$1005,'الحركات الشهرية'!$B$6:$B$1005,$B56,'الحركات الشهرية'!$A$6:$A$1005,$C$3))</f>
        <v/>
      </c>
      <c r="P56" s="111" t="str">
        <f aca="false">IF($B56="","",O56*(الموظفون!$P56+الموظفون!$L56*cfg_OT_P)/cfg_DAYS_M/cfg_HRS)</f>
        <v/>
      </c>
      <c r="Q56" s="111" t="str">
        <f aca="false">IF($B56="","",SUMIFS('الحركات الشهرية'!$G$6:$G$1005,'الحركات الشهرية'!$B$6:$B$1005,$B56,'الحركات الشهرية'!$A$6:$A$1005,$C$3))</f>
        <v/>
      </c>
      <c r="R56" s="111" t="str">
        <f aca="false">IF($B56="","",SUMIFS('الحركات الشهرية'!$H$6:$H$1005,'الحركات الشهرية'!$B$6:$B$1005,$B56,'الحركات الشهرية'!$A$6:$A$1005,$C$3))</f>
        <v/>
      </c>
      <c r="S56" s="111" t="str">
        <f aca="false">IF($B56="","",SUMIFS('سجل الإجازات والحالات'!$N$6:$N$505,'سجل الإجازات والحالات'!$B$6:$B$505,$B56,'سجل الإجازات والحالات'!$O$6:$O$505,$C$3))</f>
        <v/>
      </c>
      <c r="T56" s="152" t="str">
        <f aca="false">IF($B56="","",SUM(K56:N56)+SUM(P56:S56))</f>
        <v/>
      </c>
      <c r="U56" s="111" t="str">
        <f aca="false">IF($B56="","",الموظفون!$S56*IF(E56="سعودي",cfg_G_SE,cfg_G_NE)*G56/cfg_DAYS_M)</f>
        <v/>
      </c>
      <c r="V56" s="111" t="str">
        <f aca="false">IF($B56="","",SUMIFS('الحركات الشهرية'!$I$6:$I$1005,'الحركات الشهرية'!$B$6:$B$1005,$B56,'الحركات الشهرية'!$A$6:$A$1005,$C$3))</f>
        <v/>
      </c>
      <c r="W56" s="111" t="str">
        <f aca="false">IF($B56="","",SUMIFS('الحركات الشهرية'!$J$6:$J$1005,'الحركات الشهرية'!$B$6:$B$1005,$B56,'الحركات الشهرية'!$A$6:$A$1005,$C$3))</f>
        <v/>
      </c>
      <c r="X56" s="111" t="str">
        <f aca="false">IF($B56="","",SUM(U56:W56))</f>
        <v/>
      </c>
      <c r="Y56" s="153" t="str">
        <f aca="false">IF($B56="","",T56-X56)</f>
        <v/>
      </c>
      <c r="Z56" s="111" t="str">
        <f aca="false">IF($B56="","",الموظفون!$S56*IF(E56="سعودي",cfg_G_SR,cfg_G_NR)*G56/cfg_DAYS_M)</f>
        <v/>
      </c>
      <c r="AA56" s="111" t="str">
        <f aca="false">IF($B56="","",الموظفون!$Q56*(cfg_EOS_R1*(MIN(AH56,cfg_EOS_TH)-MIN(AI56,cfg_EOS_TH))+cfg_EOS_R2*(MAX(AH56-cfg_EOS_TH,0)-MAX(AI56-cfg_EOS_TH,0))))</f>
        <v/>
      </c>
      <c r="AB56" s="111" t="str">
        <f aca="false">IF($B56="","",IF(الموظفون!$T56&lt;&gt;"",الموظفون!$T56,IF(AH56&gt;=cfg_LV_TH,cfg_LV_D2,cfg_LV_D1))/cfg_DAYS_Y*AJ56*الموظفون!$R56/cfg_DAYS_M)</f>
        <v/>
      </c>
      <c r="AC56" s="111" t="str">
        <f aca="false">IF($B56="","",IF(AND(الموظفون!$U56="نعم",N(الموظفون!$W56)&gt;0),الموظفون!$V56/الموظفون!$W56*12/cfg_DAYS_Y*AJ56,0))</f>
        <v/>
      </c>
      <c r="AD56" s="111" t="str">
        <f aca="false">IF($B56="","",(IF(الموظفون!$X56&lt;&gt;"",الموظفون!$X56,IF(الموظفون!$E56="غير سعودي",cfg_IQ,0))+IF(الموظفون!$Y56&lt;&gt;"",الموظفون!$Y56,IF(الموظفون!$E56="غير سعودي",cfg_WP,0)))/12*G56/cfg_DAYS_M)</f>
        <v/>
      </c>
      <c r="AE56" s="111" t="str">
        <f aca="false">IF($B56="","",IF(الموظفون!$Z56&lt;&gt;"",الموظفون!$Z56,cfg_MED)/12*G56/cfg_DAYS_M)</f>
        <v/>
      </c>
      <c r="AF56" s="111" t="str">
        <f aca="false">IF($B56="","",N(الموظفون!$AA56)/12*G56/cfg_DAYS_M)</f>
        <v/>
      </c>
      <c r="AG56" s="154" t="str">
        <f aca="false">IF($B56="","",T56+SUM(Z56:AF56))</f>
        <v/>
      </c>
      <c r="AH56" s="155" t="str">
        <f aca="false">IF($B56="","",MAX(0,IF(OR(الموظفون!$AE56="",الموظفون!$AE56&gt;$F$3),$F$3,الموظفون!$AE56)-الموظفون!$H56+1-SUMIFS('سجل الإجازات والحالات'!$AK$6:$AK$505,'سجل الإجازات والحالات'!$B$6:$B$505,$B56))/cfg_DAYS_Y)</f>
        <v/>
      </c>
      <c r="AI56" s="155" t="str">
        <f aca="false">IF($B56="","",MAX(0,IF(OR(الموظفون!$AE56="",الموظفون!$AE56&gt;($E$3-1)),($E$3-1),الموظفون!$AE56)-الموظفون!$H56+1-SUMIFS('سجل الإجازات والحالات'!$AJ$6:$AJ$505,'سجل الإجازات والحالات'!$B$6:$B$505,$B56))/cfg_DAYS_Y)</f>
        <v/>
      </c>
      <c r="AJ56" s="65" t="str">
        <f aca="false">IF($B56="","",MAX(0,AK56-(SUMIFS('سجل الإجازات والحالات'!$AK$6:$AK$505,'سجل الإجازات والحالات'!$B$6:$B$505,$B56)-SUMIFS('سجل الإجازات والحالات'!$AJ$6:$AJ$505,'سجل الإجازات والحالات'!$B$6:$B$505,$B56))))</f>
        <v/>
      </c>
      <c r="AK56" s="65" t="str">
        <f aca="false">IF($B56="","",MAX(0,IF(OR(الموظفون!$AE56="",الموظفون!$AE56&gt;$F$3),$F$3,الموظفون!$AE56)-MAX($E$3,الموظفون!$H56)+1))</f>
        <v/>
      </c>
      <c r="AL56" s="151" t="str">
        <f aca="false">IF($B56="","",SUMIFS('سجل الإجازات والحالات'!$AW$6:$AW$505,'سجل الإجازات والحالات'!$B$6:$B$505,$B56)+SUMIFS('الحركات الشهرية'!$K$6:$K$1005,'الحركات الشهرية'!$B$6:$B$1005,$B56,'الحركات الشهرية'!$A$6:$A$1005,$C$3))</f>
        <v/>
      </c>
      <c r="AM56" s="111" t="str">
        <f aca="false">IF($B56="","",AL56*الموظفون!$R56/cfg_DAYS_M+S56)</f>
        <v/>
      </c>
      <c r="AN56" s="151" t="str">
        <f aca="false">IF($B56="","",SUMIFS('سجل الإجازات والحالات'!$Y$6:$Y$505,'سجل الإجازات والحالات'!$B$6:$B$505,$B56))</f>
        <v/>
      </c>
    </row>
    <row r="57" customFormat="false" ht="15" hidden="false" customHeight="false" outlineLevel="0" collapsed="false">
      <c r="A57" s="115" t="str">
        <f aca="false">IF($B57="","",الموظفون!$A57)</f>
        <v/>
      </c>
      <c r="B57" s="117" t="str">
        <f aca="false">IF(الموظفون!$B57="","",الموظفون!$B57)</f>
        <v/>
      </c>
      <c r="C57" s="117" t="str">
        <f aca="false">IF($B57="","",الموظفون!$C57)</f>
        <v/>
      </c>
      <c r="D57" s="117" t="str">
        <f aca="false">IF($B57="","",الموظفون!$F57)</f>
        <v/>
      </c>
      <c r="E57" s="117" t="str">
        <f aca="false">IF($B57="","",الموظفون!$E57)</f>
        <v/>
      </c>
      <c r="F57" s="117" t="str">
        <f aca="false">IF($B57="","",IF(AK57=0,IF(AND(الموظفون!$AE57&lt;&gt;"",الموظفون!$AE57&lt;$E$3),"✖ منتهي الخدمة","⏳ لم يباشر"),IF(S57&gt;0,"✈ راتب إجازة مقدم",IF(J57=0,"⛔ بدون راتب هذا الشهر",IF(I57&gt;0,"✈ خصم "&amp;ROUND(I57,2)&amp;" يوم بدون أجر",IF(AL57&gt;0,"🌴 إجازة سنوية "&amp;ROUND(AL57,2)&amp;" يوم",IF(H57&gt;0,"⚠ غياب "&amp;ROUND(H57,2)&amp;" يوم","✔ على رأس العمل")))))))</f>
        <v/>
      </c>
      <c r="G57" s="156" t="str">
        <f aca="false">IF($B57="","",IF(AK57&gt;=DAY($F$3),cfg_DAYS_M,MIN(AK57,cfg_DAYS_M)))</f>
        <v/>
      </c>
      <c r="H57" s="156" t="str">
        <f aca="false">IF($B57="","",SUMIFS('الحركات الشهرية'!$D$6:$D$1005,'الحركات الشهرية'!$B$6:$B$1005,$B57,'الحركات الشهرية'!$A$6:$A$1005,$C$3))</f>
        <v/>
      </c>
      <c r="I57" s="156" t="str">
        <f aca="false">IF($B57="","",MIN(G57,IF(AND(AK57&gt;0,AN57&gt;=AK57),G57,AN57)+SUMIFS('الحركات الشهرية'!$E$6:$E$1005,'الحركات الشهرية'!$B$6:$B$1005,$B57,'الحركات الشهرية'!$A$6:$A$1005,$C$3)))</f>
        <v/>
      </c>
      <c r="J57" s="156" t="str">
        <f aca="false">IF($B57="","",MAX(0,G57-H57-I57))</f>
        <v/>
      </c>
      <c r="K57" s="116" t="str">
        <f aca="false">IF($B57="","",الموظفون!$L57*$J57/cfg_DAYS_M)</f>
        <v/>
      </c>
      <c r="L57" s="116" t="str">
        <f aca="false">IF($B57="","",الموظفون!$M57*$J57/cfg_DAYS_M)</f>
        <v/>
      </c>
      <c r="M57" s="116" t="str">
        <f aca="false">IF($B57="","",الموظفون!$N57*$J57/cfg_DAYS_M)</f>
        <v/>
      </c>
      <c r="N57" s="116" t="str">
        <f aca="false">IF($B57="","",الموظفون!$O57*$J57/cfg_DAYS_M)</f>
        <v/>
      </c>
      <c r="O57" s="156" t="str">
        <f aca="false">IF($B57="","",SUMIFS('الحركات الشهرية'!$F$6:$F$1005,'الحركات الشهرية'!$B$6:$B$1005,$B57,'الحركات الشهرية'!$A$6:$A$1005,$C$3))</f>
        <v/>
      </c>
      <c r="P57" s="116" t="str">
        <f aca="false">IF($B57="","",O57*(الموظفون!$P57+الموظفون!$L57*cfg_OT_P)/cfg_DAYS_M/cfg_HRS)</f>
        <v/>
      </c>
      <c r="Q57" s="116" t="str">
        <f aca="false">IF($B57="","",SUMIFS('الحركات الشهرية'!$G$6:$G$1005,'الحركات الشهرية'!$B$6:$B$1005,$B57,'الحركات الشهرية'!$A$6:$A$1005,$C$3))</f>
        <v/>
      </c>
      <c r="R57" s="116" t="str">
        <f aca="false">IF($B57="","",SUMIFS('الحركات الشهرية'!$H$6:$H$1005,'الحركات الشهرية'!$B$6:$B$1005,$B57,'الحركات الشهرية'!$A$6:$A$1005,$C$3))</f>
        <v/>
      </c>
      <c r="S57" s="116" t="str">
        <f aca="false">IF($B57="","",SUMIFS('سجل الإجازات والحالات'!$N$6:$N$505,'سجل الإجازات والحالات'!$B$6:$B$505,$B57,'سجل الإجازات والحالات'!$O$6:$O$505,$C$3))</f>
        <v/>
      </c>
      <c r="T57" s="157" t="str">
        <f aca="false">IF($B57="","",SUM(K57:N57)+SUM(P57:S57))</f>
        <v/>
      </c>
      <c r="U57" s="116" t="str">
        <f aca="false">IF($B57="","",الموظفون!$S57*IF(E57="سعودي",cfg_G_SE,cfg_G_NE)*G57/cfg_DAYS_M)</f>
        <v/>
      </c>
      <c r="V57" s="116" t="str">
        <f aca="false">IF($B57="","",SUMIFS('الحركات الشهرية'!$I$6:$I$1005,'الحركات الشهرية'!$B$6:$B$1005,$B57,'الحركات الشهرية'!$A$6:$A$1005,$C$3))</f>
        <v/>
      </c>
      <c r="W57" s="116" t="str">
        <f aca="false">IF($B57="","",SUMIFS('الحركات الشهرية'!$J$6:$J$1005,'الحركات الشهرية'!$B$6:$B$1005,$B57,'الحركات الشهرية'!$A$6:$A$1005,$C$3))</f>
        <v/>
      </c>
      <c r="X57" s="116" t="str">
        <f aca="false">IF($B57="","",SUM(U57:W57))</f>
        <v/>
      </c>
      <c r="Y57" s="158" t="str">
        <f aca="false">IF($B57="","",T57-X57)</f>
        <v/>
      </c>
      <c r="Z57" s="116" t="str">
        <f aca="false">IF($B57="","",الموظفون!$S57*IF(E57="سعودي",cfg_G_SR,cfg_G_NR)*G57/cfg_DAYS_M)</f>
        <v/>
      </c>
      <c r="AA57" s="116" t="str">
        <f aca="false">IF($B57="","",الموظفون!$Q57*(cfg_EOS_R1*(MIN(AH57,cfg_EOS_TH)-MIN(AI57,cfg_EOS_TH))+cfg_EOS_R2*(MAX(AH57-cfg_EOS_TH,0)-MAX(AI57-cfg_EOS_TH,0))))</f>
        <v/>
      </c>
      <c r="AB57" s="116" t="str">
        <f aca="false">IF($B57="","",IF(الموظفون!$T57&lt;&gt;"",الموظفون!$T57,IF(AH57&gt;=cfg_LV_TH,cfg_LV_D2,cfg_LV_D1))/cfg_DAYS_Y*AJ57*الموظفون!$R57/cfg_DAYS_M)</f>
        <v/>
      </c>
      <c r="AC57" s="116" t="str">
        <f aca="false">IF($B57="","",IF(AND(الموظفون!$U57="نعم",N(الموظفون!$W57)&gt;0),الموظفون!$V57/الموظفون!$W57*12/cfg_DAYS_Y*AJ57,0))</f>
        <v/>
      </c>
      <c r="AD57" s="116" t="str">
        <f aca="false">IF($B57="","",(IF(الموظفون!$X57&lt;&gt;"",الموظفون!$X57,IF(الموظفون!$E57="غير سعودي",cfg_IQ,0))+IF(الموظفون!$Y57&lt;&gt;"",الموظفون!$Y57,IF(الموظفون!$E57="غير سعودي",cfg_WP,0)))/12*G57/cfg_DAYS_M)</f>
        <v/>
      </c>
      <c r="AE57" s="116" t="str">
        <f aca="false">IF($B57="","",IF(الموظفون!$Z57&lt;&gt;"",الموظفون!$Z57,cfg_MED)/12*G57/cfg_DAYS_M)</f>
        <v/>
      </c>
      <c r="AF57" s="116" t="str">
        <f aca="false">IF($B57="","",N(الموظفون!$AA57)/12*G57/cfg_DAYS_M)</f>
        <v/>
      </c>
      <c r="AG57" s="159" t="str">
        <f aca="false">IF($B57="","",T57+SUM(Z57:AF57))</f>
        <v/>
      </c>
      <c r="AH57" s="160" t="str">
        <f aca="false">IF($B57="","",MAX(0,IF(OR(الموظفون!$AE57="",الموظفون!$AE57&gt;$F$3),$F$3,الموظفون!$AE57)-الموظفون!$H57+1-SUMIFS('سجل الإجازات والحالات'!$AK$6:$AK$505,'سجل الإجازات والحالات'!$B$6:$B$505,$B57))/cfg_DAYS_Y)</f>
        <v/>
      </c>
      <c r="AI57" s="160" t="str">
        <f aca="false">IF($B57="","",MAX(0,IF(OR(الموظفون!$AE57="",الموظفون!$AE57&gt;($E$3-1)),($E$3-1),الموظفون!$AE57)-الموظفون!$H57+1-SUMIFS('سجل الإجازات والحالات'!$AJ$6:$AJ$505,'سجل الإجازات والحالات'!$B$6:$B$505,$B57))/cfg_DAYS_Y)</f>
        <v/>
      </c>
      <c r="AJ57" s="133" t="str">
        <f aca="false">IF($B57="","",MAX(0,AK57-(SUMIFS('سجل الإجازات والحالات'!$AK$6:$AK$505,'سجل الإجازات والحالات'!$B$6:$B$505,$B57)-SUMIFS('سجل الإجازات والحالات'!$AJ$6:$AJ$505,'سجل الإجازات والحالات'!$B$6:$B$505,$B57))))</f>
        <v/>
      </c>
      <c r="AK57" s="133" t="str">
        <f aca="false">IF($B57="","",MAX(0,IF(OR(الموظفون!$AE57="",الموظفون!$AE57&gt;$F$3),$F$3,الموظفون!$AE57)-MAX($E$3,الموظفون!$H57)+1))</f>
        <v/>
      </c>
      <c r="AL57" s="156" t="str">
        <f aca="false">IF($B57="","",SUMIFS('سجل الإجازات والحالات'!$AW$6:$AW$505,'سجل الإجازات والحالات'!$B$6:$B$505,$B57)+SUMIFS('الحركات الشهرية'!$K$6:$K$1005,'الحركات الشهرية'!$B$6:$B$1005,$B57,'الحركات الشهرية'!$A$6:$A$1005,$C$3))</f>
        <v/>
      </c>
      <c r="AM57" s="116" t="str">
        <f aca="false">IF($B57="","",AL57*الموظفون!$R57/cfg_DAYS_M+S57)</f>
        <v/>
      </c>
      <c r="AN57" s="156" t="str">
        <f aca="false">IF($B57="","",SUMIFS('سجل الإجازات والحالات'!$Y$6:$Y$505,'سجل الإجازات والحالات'!$B$6:$B$505,$B57))</f>
        <v/>
      </c>
    </row>
    <row r="58" customFormat="false" ht="15" hidden="false" customHeight="false" outlineLevel="0" collapsed="false">
      <c r="A58" s="106" t="str">
        <f aca="false">IF($B58="","",الموظفون!$A58)</f>
        <v/>
      </c>
      <c r="B58" s="114" t="str">
        <f aca="false">IF(الموظفون!$B58="","",الموظفون!$B58)</f>
        <v/>
      </c>
      <c r="C58" s="114" t="str">
        <f aca="false">IF($B58="","",الموظفون!$C58)</f>
        <v/>
      </c>
      <c r="D58" s="114" t="str">
        <f aca="false">IF($B58="","",الموظفون!$F58)</f>
        <v/>
      </c>
      <c r="E58" s="114" t="str">
        <f aca="false">IF($B58="","",الموظفون!$E58)</f>
        <v/>
      </c>
      <c r="F58" s="114" t="str">
        <f aca="false">IF($B58="","",IF(AK58=0,IF(AND(الموظفون!$AE58&lt;&gt;"",الموظفون!$AE58&lt;$E$3),"✖ منتهي الخدمة","⏳ لم يباشر"),IF(S58&gt;0,"✈ راتب إجازة مقدم",IF(J58=0,"⛔ بدون راتب هذا الشهر",IF(I58&gt;0,"✈ خصم "&amp;ROUND(I58,2)&amp;" يوم بدون أجر",IF(AL58&gt;0,"🌴 إجازة سنوية "&amp;ROUND(AL58,2)&amp;" يوم",IF(H58&gt;0,"⚠ غياب "&amp;ROUND(H58,2)&amp;" يوم","✔ على رأس العمل")))))))</f>
        <v/>
      </c>
      <c r="G58" s="151" t="str">
        <f aca="false">IF($B58="","",IF(AK58&gt;=DAY($F$3),cfg_DAYS_M,MIN(AK58,cfg_DAYS_M)))</f>
        <v/>
      </c>
      <c r="H58" s="151" t="str">
        <f aca="false">IF($B58="","",SUMIFS('الحركات الشهرية'!$D$6:$D$1005,'الحركات الشهرية'!$B$6:$B$1005,$B58,'الحركات الشهرية'!$A$6:$A$1005,$C$3))</f>
        <v/>
      </c>
      <c r="I58" s="151" t="str">
        <f aca="false">IF($B58="","",MIN(G58,IF(AND(AK58&gt;0,AN58&gt;=AK58),G58,AN58)+SUMIFS('الحركات الشهرية'!$E$6:$E$1005,'الحركات الشهرية'!$B$6:$B$1005,$B58,'الحركات الشهرية'!$A$6:$A$1005,$C$3)))</f>
        <v/>
      </c>
      <c r="J58" s="151" t="str">
        <f aca="false">IF($B58="","",MAX(0,G58-H58-I58))</f>
        <v/>
      </c>
      <c r="K58" s="111" t="str">
        <f aca="false">IF($B58="","",الموظفون!$L58*$J58/cfg_DAYS_M)</f>
        <v/>
      </c>
      <c r="L58" s="111" t="str">
        <f aca="false">IF($B58="","",الموظفون!$M58*$J58/cfg_DAYS_M)</f>
        <v/>
      </c>
      <c r="M58" s="111" t="str">
        <f aca="false">IF($B58="","",الموظفون!$N58*$J58/cfg_DAYS_M)</f>
        <v/>
      </c>
      <c r="N58" s="111" t="str">
        <f aca="false">IF($B58="","",الموظفون!$O58*$J58/cfg_DAYS_M)</f>
        <v/>
      </c>
      <c r="O58" s="151" t="str">
        <f aca="false">IF($B58="","",SUMIFS('الحركات الشهرية'!$F$6:$F$1005,'الحركات الشهرية'!$B$6:$B$1005,$B58,'الحركات الشهرية'!$A$6:$A$1005,$C$3))</f>
        <v/>
      </c>
      <c r="P58" s="111" t="str">
        <f aca="false">IF($B58="","",O58*(الموظفون!$P58+الموظفون!$L58*cfg_OT_P)/cfg_DAYS_M/cfg_HRS)</f>
        <v/>
      </c>
      <c r="Q58" s="111" t="str">
        <f aca="false">IF($B58="","",SUMIFS('الحركات الشهرية'!$G$6:$G$1005,'الحركات الشهرية'!$B$6:$B$1005,$B58,'الحركات الشهرية'!$A$6:$A$1005,$C$3))</f>
        <v/>
      </c>
      <c r="R58" s="111" t="str">
        <f aca="false">IF($B58="","",SUMIFS('الحركات الشهرية'!$H$6:$H$1005,'الحركات الشهرية'!$B$6:$B$1005,$B58,'الحركات الشهرية'!$A$6:$A$1005,$C$3))</f>
        <v/>
      </c>
      <c r="S58" s="111" t="str">
        <f aca="false">IF($B58="","",SUMIFS('سجل الإجازات والحالات'!$N$6:$N$505,'سجل الإجازات والحالات'!$B$6:$B$505,$B58,'سجل الإجازات والحالات'!$O$6:$O$505,$C$3))</f>
        <v/>
      </c>
      <c r="T58" s="152" t="str">
        <f aca="false">IF($B58="","",SUM(K58:N58)+SUM(P58:S58))</f>
        <v/>
      </c>
      <c r="U58" s="111" t="str">
        <f aca="false">IF($B58="","",الموظفون!$S58*IF(E58="سعودي",cfg_G_SE,cfg_G_NE)*G58/cfg_DAYS_M)</f>
        <v/>
      </c>
      <c r="V58" s="111" t="str">
        <f aca="false">IF($B58="","",SUMIFS('الحركات الشهرية'!$I$6:$I$1005,'الحركات الشهرية'!$B$6:$B$1005,$B58,'الحركات الشهرية'!$A$6:$A$1005,$C$3))</f>
        <v/>
      </c>
      <c r="W58" s="111" t="str">
        <f aca="false">IF($B58="","",SUMIFS('الحركات الشهرية'!$J$6:$J$1005,'الحركات الشهرية'!$B$6:$B$1005,$B58,'الحركات الشهرية'!$A$6:$A$1005,$C$3))</f>
        <v/>
      </c>
      <c r="X58" s="111" t="str">
        <f aca="false">IF($B58="","",SUM(U58:W58))</f>
        <v/>
      </c>
      <c r="Y58" s="153" t="str">
        <f aca="false">IF($B58="","",T58-X58)</f>
        <v/>
      </c>
      <c r="Z58" s="111" t="str">
        <f aca="false">IF($B58="","",الموظفون!$S58*IF(E58="سعودي",cfg_G_SR,cfg_G_NR)*G58/cfg_DAYS_M)</f>
        <v/>
      </c>
      <c r="AA58" s="111" t="str">
        <f aca="false">IF($B58="","",الموظفون!$Q58*(cfg_EOS_R1*(MIN(AH58,cfg_EOS_TH)-MIN(AI58,cfg_EOS_TH))+cfg_EOS_R2*(MAX(AH58-cfg_EOS_TH,0)-MAX(AI58-cfg_EOS_TH,0))))</f>
        <v/>
      </c>
      <c r="AB58" s="111" t="str">
        <f aca="false">IF($B58="","",IF(الموظفون!$T58&lt;&gt;"",الموظفون!$T58,IF(AH58&gt;=cfg_LV_TH,cfg_LV_D2,cfg_LV_D1))/cfg_DAYS_Y*AJ58*الموظفون!$R58/cfg_DAYS_M)</f>
        <v/>
      </c>
      <c r="AC58" s="111" t="str">
        <f aca="false">IF($B58="","",IF(AND(الموظفون!$U58="نعم",N(الموظفون!$W58)&gt;0),الموظفون!$V58/الموظفون!$W58*12/cfg_DAYS_Y*AJ58,0))</f>
        <v/>
      </c>
      <c r="AD58" s="111" t="str">
        <f aca="false">IF($B58="","",(IF(الموظفون!$X58&lt;&gt;"",الموظفون!$X58,IF(الموظفون!$E58="غير سعودي",cfg_IQ,0))+IF(الموظفون!$Y58&lt;&gt;"",الموظفون!$Y58,IF(الموظفون!$E58="غير سعودي",cfg_WP,0)))/12*G58/cfg_DAYS_M)</f>
        <v/>
      </c>
      <c r="AE58" s="111" t="str">
        <f aca="false">IF($B58="","",IF(الموظفون!$Z58&lt;&gt;"",الموظفون!$Z58,cfg_MED)/12*G58/cfg_DAYS_M)</f>
        <v/>
      </c>
      <c r="AF58" s="111" t="str">
        <f aca="false">IF($B58="","",N(الموظفون!$AA58)/12*G58/cfg_DAYS_M)</f>
        <v/>
      </c>
      <c r="AG58" s="154" t="str">
        <f aca="false">IF($B58="","",T58+SUM(Z58:AF58))</f>
        <v/>
      </c>
      <c r="AH58" s="155" t="str">
        <f aca="false">IF($B58="","",MAX(0,IF(OR(الموظفون!$AE58="",الموظفون!$AE58&gt;$F$3),$F$3,الموظفون!$AE58)-الموظفون!$H58+1-SUMIFS('سجل الإجازات والحالات'!$AK$6:$AK$505,'سجل الإجازات والحالات'!$B$6:$B$505,$B58))/cfg_DAYS_Y)</f>
        <v/>
      </c>
      <c r="AI58" s="155" t="str">
        <f aca="false">IF($B58="","",MAX(0,IF(OR(الموظفون!$AE58="",الموظفون!$AE58&gt;($E$3-1)),($E$3-1),الموظفون!$AE58)-الموظفون!$H58+1-SUMIFS('سجل الإجازات والحالات'!$AJ$6:$AJ$505,'سجل الإجازات والحالات'!$B$6:$B$505,$B58))/cfg_DAYS_Y)</f>
        <v/>
      </c>
      <c r="AJ58" s="65" t="str">
        <f aca="false">IF($B58="","",MAX(0,AK58-(SUMIFS('سجل الإجازات والحالات'!$AK$6:$AK$505,'سجل الإجازات والحالات'!$B$6:$B$505,$B58)-SUMIFS('سجل الإجازات والحالات'!$AJ$6:$AJ$505,'سجل الإجازات والحالات'!$B$6:$B$505,$B58))))</f>
        <v/>
      </c>
      <c r="AK58" s="65" t="str">
        <f aca="false">IF($B58="","",MAX(0,IF(OR(الموظفون!$AE58="",الموظفون!$AE58&gt;$F$3),$F$3,الموظفون!$AE58)-MAX($E$3,الموظفون!$H58)+1))</f>
        <v/>
      </c>
      <c r="AL58" s="151" t="str">
        <f aca="false">IF($B58="","",SUMIFS('سجل الإجازات والحالات'!$AW$6:$AW$505,'سجل الإجازات والحالات'!$B$6:$B$505,$B58)+SUMIFS('الحركات الشهرية'!$K$6:$K$1005,'الحركات الشهرية'!$B$6:$B$1005,$B58,'الحركات الشهرية'!$A$6:$A$1005,$C$3))</f>
        <v/>
      </c>
      <c r="AM58" s="111" t="str">
        <f aca="false">IF($B58="","",AL58*الموظفون!$R58/cfg_DAYS_M+S58)</f>
        <v/>
      </c>
      <c r="AN58" s="151" t="str">
        <f aca="false">IF($B58="","",SUMIFS('سجل الإجازات والحالات'!$Y$6:$Y$505,'سجل الإجازات والحالات'!$B$6:$B$505,$B58))</f>
        <v/>
      </c>
    </row>
    <row r="59" customFormat="false" ht="15" hidden="false" customHeight="false" outlineLevel="0" collapsed="false">
      <c r="A59" s="115" t="str">
        <f aca="false">IF($B59="","",الموظفون!$A59)</f>
        <v/>
      </c>
      <c r="B59" s="117" t="str">
        <f aca="false">IF(الموظفون!$B59="","",الموظفون!$B59)</f>
        <v/>
      </c>
      <c r="C59" s="117" t="str">
        <f aca="false">IF($B59="","",الموظفون!$C59)</f>
        <v/>
      </c>
      <c r="D59" s="117" t="str">
        <f aca="false">IF($B59="","",الموظفون!$F59)</f>
        <v/>
      </c>
      <c r="E59" s="117" t="str">
        <f aca="false">IF($B59="","",الموظفون!$E59)</f>
        <v/>
      </c>
      <c r="F59" s="117" t="str">
        <f aca="false">IF($B59="","",IF(AK59=0,IF(AND(الموظفون!$AE59&lt;&gt;"",الموظفون!$AE59&lt;$E$3),"✖ منتهي الخدمة","⏳ لم يباشر"),IF(S59&gt;0,"✈ راتب إجازة مقدم",IF(J59=0,"⛔ بدون راتب هذا الشهر",IF(I59&gt;0,"✈ خصم "&amp;ROUND(I59,2)&amp;" يوم بدون أجر",IF(AL59&gt;0,"🌴 إجازة سنوية "&amp;ROUND(AL59,2)&amp;" يوم",IF(H59&gt;0,"⚠ غياب "&amp;ROUND(H59,2)&amp;" يوم","✔ على رأس العمل")))))))</f>
        <v/>
      </c>
      <c r="G59" s="156" t="str">
        <f aca="false">IF($B59="","",IF(AK59&gt;=DAY($F$3),cfg_DAYS_M,MIN(AK59,cfg_DAYS_M)))</f>
        <v/>
      </c>
      <c r="H59" s="156" t="str">
        <f aca="false">IF($B59="","",SUMIFS('الحركات الشهرية'!$D$6:$D$1005,'الحركات الشهرية'!$B$6:$B$1005,$B59,'الحركات الشهرية'!$A$6:$A$1005,$C$3))</f>
        <v/>
      </c>
      <c r="I59" s="156" t="str">
        <f aca="false">IF($B59="","",MIN(G59,IF(AND(AK59&gt;0,AN59&gt;=AK59),G59,AN59)+SUMIFS('الحركات الشهرية'!$E$6:$E$1005,'الحركات الشهرية'!$B$6:$B$1005,$B59,'الحركات الشهرية'!$A$6:$A$1005,$C$3)))</f>
        <v/>
      </c>
      <c r="J59" s="156" t="str">
        <f aca="false">IF($B59="","",MAX(0,G59-H59-I59))</f>
        <v/>
      </c>
      <c r="K59" s="116" t="str">
        <f aca="false">IF($B59="","",الموظفون!$L59*$J59/cfg_DAYS_M)</f>
        <v/>
      </c>
      <c r="L59" s="116" t="str">
        <f aca="false">IF($B59="","",الموظفون!$M59*$J59/cfg_DAYS_M)</f>
        <v/>
      </c>
      <c r="M59" s="116" t="str">
        <f aca="false">IF($B59="","",الموظفون!$N59*$J59/cfg_DAYS_M)</f>
        <v/>
      </c>
      <c r="N59" s="116" t="str">
        <f aca="false">IF($B59="","",الموظفون!$O59*$J59/cfg_DAYS_M)</f>
        <v/>
      </c>
      <c r="O59" s="156" t="str">
        <f aca="false">IF($B59="","",SUMIFS('الحركات الشهرية'!$F$6:$F$1005,'الحركات الشهرية'!$B$6:$B$1005,$B59,'الحركات الشهرية'!$A$6:$A$1005,$C$3))</f>
        <v/>
      </c>
      <c r="P59" s="116" t="str">
        <f aca="false">IF($B59="","",O59*(الموظفون!$P59+الموظفون!$L59*cfg_OT_P)/cfg_DAYS_M/cfg_HRS)</f>
        <v/>
      </c>
      <c r="Q59" s="116" t="str">
        <f aca="false">IF($B59="","",SUMIFS('الحركات الشهرية'!$G$6:$G$1005,'الحركات الشهرية'!$B$6:$B$1005,$B59,'الحركات الشهرية'!$A$6:$A$1005,$C$3))</f>
        <v/>
      </c>
      <c r="R59" s="116" t="str">
        <f aca="false">IF($B59="","",SUMIFS('الحركات الشهرية'!$H$6:$H$1005,'الحركات الشهرية'!$B$6:$B$1005,$B59,'الحركات الشهرية'!$A$6:$A$1005,$C$3))</f>
        <v/>
      </c>
      <c r="S59" s="116" t="str">
        <f aca="false">IF($B59="","",SUMIFS('سجل الإجازات والحالات'!$N$6:$N$505,'سجل الإجازات والحالات'!$B$6:$B$505,$B59,'سجل الإجازات والحالات'!$O$6:$O$505,$C$3))</f>
        <v/>
      </c>
      <c r="T59" s="157" t="str">
        <f aca="false">IF($B59="","",SUM(K59:N59)+SUM(P59:S59))</f>
        <v/>
      </c>
      <c r="U59" s="116" t="str">
        <f aca="false">IF($B59="","",الموظفون!$S59*IF(E59="سعودي",cfg_G_SE,cfg_G_NE)*G59/cfg_DAYS_M)</f>
        <v/>
      </c>
      <c r="V59" s="116" t="str">
        <f aca="false">IF($B59="","",SUMIFS('الحركات الشهرية'!$I$6:$I$1005,'الحركات الشهرية'!$B$6:$B$1005,$B59,'الحركات الشهرية'!$A$6:$A$1005,$C$3))</f>
        <v/>
      </c>
      <c r="W59" s="116" t="str">
        <f aca="false">IF($B59="","",SUMIFS('الحركات الشهرية'!$J$6:$J$1005,'الحركات الشهرية'!$B$6:$B$1005,$B59,'الحركات الشهرية'!$A$6:$A$1005,$C$3))</f>
        <v/>
      </c>
      <c r="X59" s="116" t="str">
        <f aca="false">IF($B59="","",SUM(U59:W59))</f>
        <v/>
      </c>
      <c r="Y59" s="158" t="str">
        <f aca="false">IF($B59="","",T59-X59)</f>
        <v/>
      </c>
      <c r="Z59" s="116" t="str">
        <f aca="false">IF($B59="","",الموظفون!$S59*IF(E59="سعودي",cfg_G_SR,cfg_G_NR)*G59/cfg_DAYS_M)</f>
        <v/>
      </c>
      <c r="AA59" s="116" t="str">
        <f aca="false">IF($B59="","",الموظفون!$Q59*(cfg_EOS_R1*(MIN(AH59,cfg_EOS_TH)-MIN(AI59,cfg_EOS_TH))+cfg_EOS_R2*(MAX(AH59-cfg_EOS_TH,0)-MAX(AI59-cfg_EOS_TH,0))))</f>
        <v/>
      </c>
      <c r="AB59" s="116" t="str">
        <f aca="false">IF($B59="","",IF(الموظفون!$T59&lt;&gt;"",الموظفون!$T59,IF(AH59&gt;=cfg_LV_TH,cfg_LV_D2,cfg_LV_D1))/cfg_DAYS_Y*AJ59*الموظفون!$R59/cfg_DAYS_M)</f>
        <v/>
      </c>
      <c r="AC59" s="116" t="str">
        <f aca="false">IF($B59="","",IF(AND(الموظفون!$U59="نعم",N(الموظفون!$W59)&gt;0),الموظفون!$V59/الموظفون!$W59*12/cfg_DAYS_Y*AJ59,0))</f>
        <v/>
      </c>
      <c r="AD59" s="116" t="str">
        <f aca="false">IF($B59="","",(IF(الموظفون!$X59&lt;&gt;"",الموظفون!$X59,IF(الموظفون!$E59="غير سعودي",cfg_IQ,0))+IF(الموظفون!$Y59&lt;&gt;"",الموظفون!$Y59,IF(الموظفون!$E59="غير سعودي",cfg_WP,0)))/12*G59/cfg_DAYS_M)</f>
        <v/>
      </c>
      <c r="AE59" s="116" t="str">
        <f aca="false">IF($B59="","",IF(الموظفون!$Z59&lt;&gt;"",الموظفون!$Z59,cfg_MED)/12*G59/cfg_DAYS_M)</f>
        <v/>
      </c>
      <c r="AF59" s="116" t="str">
        <f aca="false">IF($B59="","",N(الموظفون!$AA59)/12*G59/cfg_DAYS_M)</f>
        <v/>
      </c>
      <c r="AG59" s="159" t="str">
        <f aca="false">IF($B59="","",T59+SUM(Z59:AF59))</f>
        <v/>
      </c>
      <c r="AH59" s="160" t="str">
        <f aca="false">IF($B59="","",MAX(0,IF(OR(الموظفون!$AE59="",الموظفون!$AE59&gt;$F$3),$F$3,الموظفون!$AE59)-الموظفون!$H59+1-SUMIFS('سجل الإجازات والحالات'!$AK$6:$AK$505,'سجل الإجازات والحالات'!$B$6:$B$505,$B59))/cfg_DAYS_Y)</f>
        <v/>
      </c>
      <c r="AI59" s="160" t="str">
        <f aca="false">IF($B59="","",MAX(0,IF(OR(الموظفون!$AE59="",الموظفون!$AE59&gt;($E$3-1)),($E$3-1),الموظفون!$AE59)-الموظفون!$H59+1-SUMIFS('سجل الإجازات والحالات'!$AJ$6:$AJ$505,'سجل الإجازات والحالات'!$B$6:$B$505,$B59))/cfg_DAYS_Y)</f>
        <v/>
      </c>
      <c r="AJ59" s="133" t="str">
        <f aca="false">IF($B59="","",MAX(0,AK59-(SUMIFS('سجل الإجازات والحالات'!$AK$6:$AK$505,'سجل الإجازات والحالات'!$B$6:$B$505,$B59)-SUMIFS('سجل الإجازات والحالات'!$AJ$6:$AJ$505,'سجل الإجازات والحالات'!$B$6:$B$505,$B59))))</f>
        <v/>
      </c>
      <c r="AK59" s="133" t="str">
        <f aca="false">IF($B59="","",MAX(0,IF(OR(الموظفون!$AE59="",الموظفون!$AE59&gt;$F$3),$F$3,الموظفون!$AE59)-MAX($E$3,الموظفون!$H59)+1))</f>
        <v/>
      </c>
      <c r="AL59" s="156" t="str">
        <f aca="false">IF($B59="","",SUMIFS('سجل الإجازات والحالات'!$AW$6:$AW$505,'سجل الإجازات والحالات'!$B$6:$B$505,$B59)+SUMIFS('الحركات الشهرية'!$K$6:$K$1005,'الحركات الشهرية'!$B$6:$B$1005,$B59,'الحركات الشهرية'!$A$6:$A$1005,$C$3))</f>
        <v/>
      </c>
      <c r="AM59" s="116" t="str">
        <f aca="false">IF($B59="","",AL59*الموظفون!$R59/cfg_DAYS_M+S59)</f>
        <v/>
      </c>
      <c r="AN59" s="156" t="str">
        <f aca="false">IF($B59="","",SUMIFS('سجل الإجازات والحالات'!$Y$6:$Y$505,'سجل الإجازات والحالات'!$B$6:$B$505,$B59))</f>
        <v/>
      </c>
    </row>
    <row r="60" customFormat="false" ht="15" hidden="false" customHeight="false" outlineLevel="0" collapsed="false">
      <c r="A60" s="106" t="str">
        <f aca="false">IF($B60="","",الموظفون!$A60)</f>
        <v/>
      </c>
      <c r="B60" s="114" t="str">
        <f aca="false">IF(الموظفون!$B60="","",الموظفون!$B60)</f>
        <v/>
      </c>
      <c r="C60" s="114" t="str">
        <f aca="false">IF($B60="","",الموظفون!$C60)</f>
        <v/>
      </c>
      <c r="D60" s="114" t="str">
        <f aca="false">IF($B60="","",الموظفون!$F60)</f>
        <v/>
      </c>
      <c r="E60" s="114" t="str">
        <f aca="false">IF($B60="","",الموظفون!$E60)</f>
        <v/>
      </c>
      <c r="F60" s="114" t="str">
        <f aca="false">IF($B60="","",IF(AK60=0,IF(AND(الموظفون!$AE60&lt;&gt;"",الموظفون!$AE60&lt;$E$3),"✖ منتهي الخدمة","⏳ لم يباشر"),IF(S60&gt;0,"✈ راتب إجازة مقدم",IF(J60=0,"⛔ بدون راتب هذا الشهر",IF(I60&gt;0,"✈ خصم "&amp;ROUND(I60,2)&amp;" يوم بدون أجر",IF(AL60&gt;0,"🌴 إجازة سنوية "&amp;ROUND(AL60,2)&amp;" يوم",IF(H60&gt;0,"⚠ غياب "&amp;ROUND(H60,2)&amp;" يوم","✔ على رأس العمل")))))))</f>
        <v/>
      </c>
      <c r="G60" s="151" t="str">
        <f aca="false">IF($B60="","",IF(AK60&gt;=DAY($F$3),cfg_DAYS_M,MIN(AK60,cfg_DAYS_M)))</f>
        <v/>
      </c>
      <c r="H60" s="151" t="str">
        <f aca="false">IF($B60="","",SUMIFS('الحركات الشهرية'!$D$6:$D$1005,'الحركات الشهرية'!$B$6:$B$1005,$B60,'الحركات الشهرية'!$A$6:$A$1005,$C$3))</f>
        <v/>
      </c>
      <c r="I60" s="151" t="str">
        <f aca="false">IF($B60="","",MIN(G60,IF(AND(AK60&gt;0,AN60&gt;=AK60),G60,AN60)+SUMIFS('الحركات الشهرية'!$E$6:$E$1005,'الحركات الشهرية'!$B$6:$B$1005,$B60,'الحركات الشهرية'!$A$6:$A$1005,$C$3)))</f>
        <v/>
      </c>
      <c r="J60" s="151" t="str">
        <f aca="false">IF($B60="","",MAX(0,G60-H60-I60))</f>
        <v/>
      </c>
      <c r="K60" s="111" t="str">
        <f aca="false">IF($B60="","",الموظفون!$L60*$J60/cfg_DAYS_M)</f>
        <v/>
      </c>
      <c r="L60" s="111" t="str">
        <f aca="false">IF($B60="","",الموظفون!$M60*$J60/cfg_DAYS_M)</f>
        <v/>
      </c>
      <c r="M60" s="111" t="str">
        <f aca="false">IF($B60="","",الموظفون!$N60*$J60/cfg_DAYS_M)</f>
        <v/>
      </c>
      <c r="N60" s="111" t="str">
        <f aca="false">IF($B60="","",الموظفون!$O60*$J60/cfg_DAYS_M)</f>
        <v/>
      </c>
      <c r="O60" s="151" t="str">
        <f aca="false">IF($B60="","",SUMIFS('الحركات الشهرية'!$F$6:$F$1005,'الحركات الشهرية'!$B$6:$B$1005,$B60,'الحركات الشهرية'!$A$6:$A$1005,$C$3))</f>
        <v/>
      </c>
      <c r="P60" s="111" t="str">
        <f aca="false">IF($B60="","",O60*(الموظفون!$P60+الموظفون!$L60*cfg_OT_P)/cfg_DAYS_M/cfg_HRS)</f>
        <v/>
      </c>
      <c r="Q60" s="111" t="str">
        <f aca="false">IF($B60="","",SUMIFS('الحركات الشهرية'!$G$6:$G$1005,'الحركات الشهرية'!$B$6:$B$1005,$B60,'الحركات الشهرية'!$A$6:$A$1005,$C$3))</f>
        <v/>
      </c>
      <c r="R60" s="111" t="str">
        <f aca="false">IF($B60="","",SUMIFS('الحركات الشهرية'!$H$6:$H$1005,'الحركات الشهرية'!$B$6:$B$1005,$B60,'الحركات الشهرية'!$A$6:$A$1005,$C$3))</f>
        <v/>
      </c>
      <c r="S60" s="111" t="str">
        <f aca="false">IF($B60="","",SUMIFS('سجل الإجازات والحالات'!$N$6:$N$505,'سجل الإجازات والحالات'!$B$6:$B$505,$B60,'سجل الإجازات والحالات'!$O$6:$O$505,$C$3))</f>
        <v/>
      </c>
      <c r="T60" s="152" t="str">
        <f aca="false">IF($B60="","",SUM(K60:N60)+SUM(P60:S60))</f>
        <v/>
      </c>
      <c r="U60" s="111" t="str">
        <f aca="false">IF($B60="","",الموظفون!$S60*IF(E60="سعودي",cfg_G_SE,cfg_G_NE)*G60/cfg_DAYS_M)</f>
        <v/>
      </c>
      <c r="V60" s="111" t="str">
        <f aca="false">IF($B60="","",SUMIFS('الحركات الشهرية'!$I$6:$I$1005,'الحركات الشهرية'!$B$6:$B$1005,$B60,'الحركات الشهرية'!$A$6:$A$1005,$C$3))</f>
        <v/>
      </c>
      <c r="W60" s="111" t="str">
        <f aca="false">IF($B60="","",SUMIFS('الحركات الشهرية'!$J$6:$J$1005,'الحركات الشهرية'!$B$6:$B$1005,$B60,'الحركات الشهرية'!$A$6:$A$1005,$C$3))</f>
        <v/>
      </c>
      <c r="X60" s="111" t="str">
        <f aca="false">IF($B60="","",SUM(U60:W60))</f>
        <v/>
      </c>
      <c r="Y60" s="153" t="str">
        <f aca="false">IF($B60="","",T60-X60)</f>
        <v/>
      </c>
      <c r="Z60" s="111" t="str">
        <f aca="false">IF($B60="","",الموظفون!$S60*IF(E60="سعودي",cfg_G_SR,cfg_G_NR)*G60/cfg_DAYS_M)</f>
        <v/>
      </c>
      <c r="AA60" s="111" t="str">
        <f aca="false">IF($B60="","",الموظفون!$Q60*(cfg_EOS_R1*(MIN(AH60,cfg_EOS_TH)-MIN(AI60,cfg_EOS_TH))+cfg_EOS_R2*(MAX(AH60-cfg_EOS_TH,0)-MAX(AI60-cfg_EOS_TH,0))))</f>
        <v/>
      </c>
      <c r="AB60" s="111" t="str">
        <f aca="false">IF($B60="","",IF(الموظفون!$T60&lt;&gt;"",الموظفون!$T60,IF(AH60&gt;=cfg_LV_TH,cfg_LV_D2,cfg_LV_D1))/cfg_DAYS_Y*AJ60*الموظفون!$R60/cfg_DAYS_M)</f>
        <v/>
      </c>
      <c r="AC60" s="111" t="str">
        <f aca="false">IF($B60="","",IF(AND(الموظفون!$U60="نعم",N(الموظفون!$W60)&gt;0),الموظفون!$V60/الموظفون!$W60*12/cfg_DAYS_Y*AJ60,0))</f>
        <v/>
      </c>
      <c r="AD60" s="111" t="str">
        <f aca="false">IF($B60="","",(IF(الموظفون!$X60&lt;&gt;"",الموظفون!$X60,IF(الموظفون!$E60="غير سعودي",cfg_IQ,0))+IF(الموظفون!$Y60&lt;&gt;"",الموظفون!$Y60,IF(الموظفون!$E60="غير سعودي",cfg_WP,0)))/12*G60/cfg_DAYS_M)</f>
        <v/>
      </c>
      <c r="AE60" s="111" t="str">
        <f aca="false">IF($B60="","",IF(الموظفون!$Z60&lt;&gt;"",الموظفون!$Z60,cfg_MED)/12*G60/cfg_DAYS_M)</f>
        <v/>
      </c>
      <c r="AF60" s="111" t="str">
        <f aca="false">IF($B60="","",N(الموظفون!$AA60)/12*G60/cfg_DAYS_M)</f>
        <v/>
      </c>
      <c r="AG60" s="154" t="str">
        <f aca="false">IF($B60="","",T60+SUM(Z60:AF60))</f>
        <v/>
      </c>
      <c r="AH60" s="155" t="str">
        <f aca="false">IF($B60="","",MAX(0,IF(OR(الموظفون!$AE60="",الموظفون!$AE60&gt;$F$3),$F$3,الموظفون!$AE60)-الموظفون!$H60+1-SUMIFS('سجل الإجازات والحالات'!$AK$6:$AK$505,'سجل الإجازات والحالات'!$B$6:$B$505,$B60))/cfg_DAYS_Y)</f>
        <v/>
      </c>
      <c r="AI60" s="155" t="str">
        <f aca="false">IF($B60="","",MAX(0,IF(OR(الموظفون!$AE60="",الموظفون!$AE60&gt;($E$3-1)),($E$3-1),الموظفون!$AE60)-الموظفون!$H60+1-SUMIFS('سجل الإجازات والحالات'!$AJ$6:$AJ$505,'سجل الإجازات والحالات'!$B$6:$B$505,$B60))/cfg_DAYS_Y)</f>
        <v/>
      </c>
      <c r="AJ60" s="65" t="str">
        <f aca="false">IF($B60="","",MAX(0,AK60-(SUMIFS('سجل الإجازات والحالات'!$AK$6:$AK$505,'سجل الإجازات والحالات'!$B$6:$B$505,$B60)-SUMIFS('سجل الإجازات والحالات'!$AJ$6:$AJ$505,'سجل الإجازات والحالات'!$B$6:$B$505,$B60))))</f>
        <v/>
      </c>
      <c r="AK60" s="65" t="str">
        <f aca="false">IF($B60="","",MAX(0,IF(OR(الموظفون!$AE60="",الموظفون!$AE60&gt;$F$3),$F$3,الموظفون!$AE60)-MAX($E$3,الموظفون!$H60)+1))</f>
        <v/>
      </c>
      <c r="AL60" s="151" t="str">
        <f aca="false">IF($B60="","",SUMIFS('سجل الإجازات والحالات'!$AW$6:$AW$505,'سجل الإجازات والحالات'!$B$6:$B$505,$B60)+SUMIFS('الحركات الشهرية'!$K$6:$K$1005,'الحركات الشهرية'!$B$6:$B$1005,$B60,'الحركات الشهرية'!$A$6:$A$1005,$C$3))</f>
        <v/>
      </c>
      <c r="AM60" s="111" t="str">
        <f aca="false">IF($B60="","",AL60*الموظفون!$R60/cfg_DAYS_M+S60)</f>
        <v/>
      </c>
      <c r="AN60" s="151" t="str">
        <f aca="false">IF($B60="","",SUMIFS('سجل الإجازات والحالات'!$Y$6:$Y$505,'سجل الإجازات والحالات'!$B$6:$B$505,$B60))</f>
        <v/>
      </c>
    </row>
    <row r="61" customFormat="false" ht="15" hidden="false" customHeight="false" outlineLevel="0" collapsed="false">
      <c r="A61" s="115" t="str">
        <f aca="false">IF($B61="","",الموظفون!$A61)</f>
        <v/>
      </c>
      <c r="B61" s="117" t="str">
        <f aca="false">IF(الموظفون!$B61="","",الموظفون!$B61)</f>
        <v/>
      </c>
      <c r="C61" s="117" t="str">
        <f aca="false">IF($B61="","",الموظفون!$C61)</f>
        <v/>
      </c>
      <c r="D61" s="117" t="str">
        <f aca="false">IF($B61="","",الموظفون!$F61)</f>
        <v/>
      </c>
      <c r="E61" s="117" t="str">
        <f aca="false">IF($B61="","",الموظفون!$E61)</f>
        <v/>
      </c>
      <c r="F61" s="117" t="str">
        <f aca="false">IF($B61="","",IF(AK61=0,IF(AND(الموظفون!$AE61&lt;&gt;"",الموظفون!$AE61&lt;$E$3),"✖ منتهي الخدمة","⏳ لم يباشر"),IF(S61&gt;0,"✈ راتب إجازة مقدم",IF(J61=0,"⛔ بدون راتب هذا الشهر",IF(I61&gt;0,"✈ خصم "&amp;ROUND(I61,2)&amp;" يوم بدون أجر",IF(AL61&gt;0,"🌴 إجازة سنوية "&amp;ROUND(AL61,2)&amp;" يوم",IF(H61&gt;0,"⚠ غياب "&amp;ROUND(H61,2)&amp;" يوم","✔ على رأس العمل")))))))</f>
        <v/>
      </c>
      <c r="G61" s="156" t="str">
        <f aca="false">IF($B61="","",IF(AK61&gt;=DAY($F$3),cfg_DAYS_M,MIN(AK61,cfg_DAYS_M)))</f>
        <v/>
      </c>
      <c r="H61" s="156" t="str">
        <f aca="false">IF($B61="","",SUMIFS('الحركات الشهرية'!$D$6:$D$1005,'الحركات الشهرية'!$B$6:$B$1005,$B61,'الحركات الشهرية'!$A$6:$A$1005,$C$3))</f>
        <v/>
      </c>
      <c r="I61" s="156" t="str">
        <f aca="false">IF($B61="","",MIN(G61,IF(AND(AK61&gt;0,AN61&gt;=AK61),G61,AN61)+SUMIFS('الحركات الشهرية'!$E$6:$E$1005,'الحركات الشهرية'!$B$6:$B$1005,$B61,'الحركات الشهرية'!$A$6:$A$1005,$C$3)))</f>
        <v/>
      </c>
      <c r="J61" s="156" t="str">
        <f aca="false">IF($B61="","",MAX(0,G61-H61-I61))</f>
        <v/>
      </c>
      <c r="K61" s="116" t="str">
        <f aca="false">IF($B61="","",الموظفون!$L61*$J61/cfg_DAYS_M)</f>
        <v/>
      </c>
      <c r="L61" s="116" t="str">
        <f aca="false">IF($B61="","",الموظفون!$M61*$J61/cfg_DAYS_M)</f>
        <v/>
      </c>
      <c r="M61" s="116" t="str">
        <f aca="false">IF($B61="","",الموظفون!$N61*$J61/cfg_DAYS_M)</f>
        <v/>
      </c>
      <c r="N61" s="116" t="str">
        <f aca="false">IF($B61="","",الموظفون!$O61*$J61/cfg_DAYS_M)</f>
        <v/>
      </c>
      <c r="O61" s="156" t="str">
        <f aca="false">IF($B61="","",SUMIFS('الحركات الشهرية'!$F$6:$F$1005,'الحركات الشهرية'!$B$6:$B$1005,$B61,'الحركات الشهرية'!$A$6:$A$1005,$C$3))</f>
        <v/>
      </c>
      <c r="P61" s="116" t="str">
        <f aca="false">IF($B61="","",O61*(الموظفون!$P61+الموظفون!$L61*cfg_OT_P)/cfg_DAYS_M/cfg_HRS)</f>
        <v/>
      </c>
      <c r="Q61" s="116" t="str">
        <f aca="false">IF($B61="","",SUMIFS('الحركات الشهرية'!$G$6:$G$1005,'الحركات الشهرية'!$B$6:$B$1005,$B61,'الحركات الشهرية'!$A$6:$A$1005,$C$3))</f>
        <v/>
      </c>
      <c r="R61" s="116" t="str">
        <f aca="false">IF($B61="","",SUMIFS('الحركات الشهرية'!$H$6:$H$1005,'الحركات الشهرية'!$B$6:$B$1005,$B61,'الحركات الشهرية'!$A$6:$A$1005,$C$3))</f>
        <v/>
      </c>
      <c r="S61" s="116" t="str">
        <f aca="false">IF($B61="","",SUMIFS('سجل الإجازات والحالات'!$N$6:$N$505,'سجل الإجازات والحالات'!$B$6:$B$505,$B61,'سجل الإجازات والحالات'!$O$6:$O$505,$C$3))</f>
        <v/>
      </c>
      <c r="T61" s="157" t="str">
        <f aca="false">IF($B61="","",SUM(K61:N61)+SUM(P61:S61))</f>
        <v/>
      </c>
      <c r="U61" s="116" t="str">
        <f aca="false">IF($B61="","",الموظفون!$S61*IF(E61="سعودي",cfg_G_SE,cfg_G_NE)*G61/cfg_DAYS_M)</f>
        <v/>
      </c>
      <c r="V61" s="116" t="str">
        <f aca="false">IF($B61="","",SUMIFS('الحركات الشهرية'!$I$6:$I$1005,'الحركات الشهرية'!$B$6:$B$1005,$B61,'الحركات الشهرية'!$A$6:$A$1005,$C$3))</f>
        <v/>
      </c>
      <c r="W61" s="116" t="str">
        <f aca="false">IF($B61="","",SUMIFS('الحركات الشهرية'!$J$6:$J$1005,'الحركات الشهرية'!$B$6:$B$1005,$B61,'الحركات الشهرية'!$A$6:$A$1005,$C$3))</f>
        <v/>
      </c>
      <c r="X61" s="116" t="str">
        <f aca="false">IF($B61="","",SUM(U61:W61))</f>
        <v/>
      </c>
      <c r="Y61" s="158" t="str">
        <f aca="false">IF($B61="","",T61-X61)</f>
        <v/>
      </c>
      <c r="Z61" s="116" t="str">
        <f aca="false">IF($B61="","",الموظفون!$S61*IF(E61="سعودي",cfg_G_SR,cfg_G_NR)*G61/cfg_DAYS_M)</f>
        <v/>
      </c>
      <c r="AA61" s="116" t="str">
        <f aca="false">IF($B61="","",الموظفون!$Q61*(cfg_EOS_R1*(MIN(AH61,cfg_EOS_TH)-MIN(AI61,cfg_EOS_TH))+cfg_EOS_R2*(MAX(AH61-cfg_EOS_TH,0)-MAX(AI61-cfg_EOS_TH,0))))</f>
        <v/>
      </c>
      <c r="AB61" s="116" t="str">
        <f aca="false">IF($B61="","",IF(الموظفون!$T61&lt;&gt;"",الموظفون!$T61,IF(AH61&gt;=cfg_LV_TH,cfg_LV_D2,cfg_LV_D1))/cfg_DAYS_Y*AJ61*الموظفون!$R61/cfg_DAYS_M)</f>
        <v/>
      </c>
      <c r="AC61" s="116" t="str">
        <f aca="false">IF($B61="","",IF(AND(الموظفون!$U61="نعم",N(الموظفون!$W61)&gt;0),الموظفون!$V61/الموظفون!$W61*12/cfg_DAYS_Y*AJ61,0))</f>
        <v/>
      </c>
      <c r="AD61" s="116" t="str">
        <f aca="false">IF($B61="","",(IF(الموظفون!$X61&lt;&gt;"",الموظفون!$X61,IF(الموظفون!$E61="غير سعودي",cfg_IQ,0))+IF(الموظفون!$Y61&lt;&gt;"",الموظفون!$Y61,IF(الموظفون!$E61="غير سعودي",cfg_WP,0)))/12*G61/cfg_DAYS_M)</f>
        <v/>
      </c>
      <c r="AE61" s="116" t="str">
        <f aca="false">IF($B61="","",IF(الموظفون!$Z61&lt;&gt;"",الموظفون!$Z61,cfg_MED)/12*G61/cfg_DAYS_M)</f>
        <v/>
      </c>
      <c r="AF61" s="116" t="str">
        <f aca="false">IF($B61="","",N(الموظفون!$AA61)/12*G61/cfg_DAYS_M)</f>
        <v/>
      </c>
      <c r="AG61" s="159" t="str">
        <f aca="false">IF($B61="","",T61+SUM(Z61:AF61))</f>
        <v/>
      </c>
      <c r="AH61" s="160" t="str">
        <f aca="false">IF($B61="","",MAX(0,IF(OR(الموظفون!$AE61="",الموظفون!$AE61&gt;$F$3),$F$3,الموظفون!$AE61)-الموظفون!$H61+1-SUMIFS('سجل الإجازات والحالات'!$AK$6:$AK$505,'سجل الإجازات والحالات'!$B$6:$B$505,$B61))/cfg_DAYS_Y)</f>
        <v/>
      </c>
      <c r="AI61" s="160" t="str">
        <f aca="false">IF($B61="","",MAX(0,IF(OR(الموظفون!$AE61="",الموظفون!$AE61&gt;($E$3-1)),($E$3-1),الموظفون!$AE61)-الموظفون!$H61+1-SUMIFS('سجل الإجازات والحالات'!$AJ$6:$AJ$505,'سجل الإجازات والحالات'!$B$6:$B$505,$B61))/cfg_DAYS_Y)</f>
        <v/>
      </c>
      <c r="AJ61" s="133" t="str">
        <f aca="false">IF($B61="","",MAX(0,AK61-(SUMIFS('سجل الإجازات والحالات'!$AK$6:$AK$505,'سجل الإجازات والحالات'!$B$6:$B$505,$B61)-SUMIFS('سجل الإجازات والحالات'!$AJ$6:$AJ$505,'سجل الإجازات والحالات'!$B$6:$B$505,$B61))))</f>
        <v/>
      </c>
      <c r="AK61" s="133" t="str">
        <f aca="false">IF($B61="","",MAX(0,IF(OR(الموظفون!$AE61="",الموظفون!$AE61&gt;$F$3),$F$3,الموظفون!$AE61)-MAX($E$3,الموظفون!$H61)+1))</f>
        <v/>
      </c>
      <c r="AL61" s="156" t="str">
        <f aca="false">IF($B61="","",SUMIFS('سجل الإجازات والحالات'!$AW$6:$AW$505,'سجل الإجازات والحالات'!$B$6:$B$505,$B61)+SUMIFS('الحركات الشهرية'!$K$6:$K$1005,'الحركات الشهرية'!$B$6:$B$1005,$B61,'الحركات الشهرية'!$A$6:$A$1005,$C$3))</f>
        <v/>
      </c>
      <c r="AM61" s="116" t="str">
        <f aca="false">IF($B61="","",AL61*الموظفون!$R61/cfg_DAYS_M+S61)</f>
        <v/>
      </c>
      <c r="AN61" s="156" t="str">
        <f aca="false">IF($B61="","",SUMIFS('سجل الإجازات والحالات'!$Y$6:$Y$505,'سجل الإجازات والحالات'!$B$6:$B$505,$B61))</f>
        <v/>
      </c>
    </row>
    <row r="62" customFormat="false" ht="15" hidden="false" customHeight="false" outlineLevel="0" collapsed="false">
      <c r="A62" s="106" t="str">
        <f aca="false">IF($B62="","",الموظفون!$A62)</f>
        <v/>
      </c>
      <c r="B62" s="114" t="str">
        <f aca="false">IF(الموظفون!$B62="","",الموظفون!$B62)</f>
        <v/>
      </c>
      <c r="C62" s="114" t="str">
        <f aca="false">IF($B62="","",الموظفون!$C62)</f>
        <v/>
      </c>
      <c r="D62" s="114" t="str">
        <f aca="false">IF($B62="","",الموظفون!$F62)</f>
        <v/>
      </c>
      <c r="E62" s="114" t="str">
        <f aca="false">IF($B62="","",الموظفون!$E62)</f>
        <v/>
      </c>
      <c r="F62" s="114" t="str">
        <f aca="false">IF($B62="","",IF(AK62=0,IF(AND(الموظفون!$AE62&lt;&gt;"",الموظفون!$AE62&lt;$E$3),"✖ منتهي الخدمة","⏳ لم يباشر"),IF(S62&gt;0,"✈ راتب إجازة مقدم",IF(J62=0,"⛔ بدون راتب هذا الشهر",IF(I62&gt;0,"✈ خصم "&amp;ROUND(I62,2)&amp;" يوم بدون أجر",IF(AL62&gt;0,"🌴 إجازة سنوية "&amp;ROUND(AL62,2)&amp;" يوم",IF(H62&gt;0,"⚠ غياب "&amp;ROUND(H62,2)&amp;" يوم","✔ على رأس العمل")))))))</f>
        <v/>
      </c>
      <c r="G62" s="151" t="str">
        <f aca="false">IF($B62="","",IF(AK62&gt;=DAY($F$3),cfg_DAYS_M,MIN(AK62,cfg_DAYS_M)))</f>
        <v/>
      </c>
      <c r="H62" s="151" t="str">
        <f aca="false">IF($B62="","",SUMIFS('الحركات الشهرية'!$D$6:$D$1005,'الحركات الشهرية'!$B$6:$B$1005,$B62,'الحركات الشهرية'!$A$6:$A$1005,$C$3))</f>
        <v/>
      </c>
      <c r="I62" s="151" t="str">
        <f aca="false">IF($B62="","",MIN(G62,IF(AND(AK62&gt;0,AN62&gt;=AK62),G62,AN62)+SUMIFS('الحركات الشهرية'!$E$6:$E$1005,'الحركات الشهرية'!$B$6:$B$1005,$B62,'الحركات الشهرية'!$A$6:$A$1005,$C$3)))</f>
        <v/>
      </c>
      <c r="J62" s="151" t="str">
        <f aca="false">IF($B62="","",MAX(0,G62-H62-I62))</f>
        <v/>
      </c>
      <c r="K62" s="111" t="str">
        <f aca="false">IF($B62="","",الموظفون!$L62*$J62/cfg_DAYS_M)</f>
        <v/>
      </c>
      <c r="L62" s="111" t="str">
        <f aca="false">IF($B62="","",الموظفون!$M62*$J62/cfg_DAYS_M)</f>
        <v/>
      </c>
      <c r="M62" s="111" t="str">
        <f aca="false">IF($B62="","",الموظفون!$N62*$J62/cfg_DAYS_M)</f>
        <v/>
      </c>
      <c r="N62" s="111" t="str">
        <f aca="false">IF($B62="","",الموظفون!$O62*$J62/cfg_DAYS_M)</f>
        <v/>
      </c>
      <c r="O62" s="151" t="str">
        <f aca="false">IF($B62="","",SUMIFS('الحركات الشهرية'!$F$6:$F$1005,'الحركات الشهرية'!$B$6:$B$1005,$B62,'الحركات الشهرية'!$A$6:$A$1005,$C$3))</f>
        <v/>
      </c>
      <c r="P62" s="111" t="str">
        <f aca="false">IF($B62="","",O62*(الموظفون!$P62+الموظفون!$L62*cfg_OT_P)/cfg_DAYS_M/cfg_HRS)</f>
        <v/>
      </c>
      <c r="Q62" s="111" t="str">
        <f aca="false">IF($B62="","",SUMIFS('الحركات الشهرية'!$G$6:$G$1005,'الحركات الشهرية'!$B$6:$B$1005,$B62,'الحركات الشهرية'!$A$6:$A$1005,$C$3))</f>
        <v/>
      </c>
      <c r="R62" s="111" t="str">
        <f aca="false">IF($B62="","",SUMIFS('الحركات الشهرية'!$H$6:$H$1005,'الحركات الشهرية'!$B$6:$B$1005,$B62,'الحركات الشهرية'!$A$6:$A$1005,$C$3))</f>
        <v/>
      </c>
      <c r="S62" s="111" t="str">
        <f aca="false">IF($B62="","",SUMIFS('سجل الإجازات والحالات'!$N$6:$N$505,'سجل الإجازات والحالات'!$B$6:$B$505,$B62,'سجل الإجازات والحالات'!$O$6:$O$505,$C$3))</f>
        <v/>
      </c>
      <c r="T62" s="152" t="str">
        <f aca="false">IF($B62="","",SUM(K62:N62)+SUM(P62:S62))</f>
        <v/>
      </c>
      <c r="U62" s="111" t="str">
        <f aca="false">IF($B62="","",الموظفون!$S62*IF(E62="سعودي",cfg_G_SE,cfg_G_NE)*G62/cfg_DAYS_M)</f>
        <v/>
      </c>
      <c r="V62" s="111" t="str">
        <f aca="false">IF($B62="","",SUMIFS('الحركات الشهرية'!$I$6:$I$1005,'الحركات الشهرية'!$B$6:$B$1005,$B62,'الحركات الشهرية'!$A$6:$A$1005,$C$3))</f>
        <v/>
      </c>
      <c r="W62" s="111" t="str">
        <f aca="false">IF($B62="","",SUMIFS('الحركات الشهرية'!$J$6:$J$1005,'الحركات الشهرية'!$B$6:$B$1005,$B62,'الحركات الشهرية'!$A$6:$A$1005,$C$3))</f>
        <v/>
      </c>
      <c r="X62" s="111" t="str">
        <f aca="false">IF($B62="","",SUM(U62:W62))</f>
        <v/>
      </c>
      <c r="Y62" s="153" t="str">
        <f aca="false">IF($B62="","",T62-X62)</f>
        <v/>
      </c>
      <c r="Z62" s="111" t="str">
        <f aca="false">IF($B62="","",الموظفون!$S62*IF(E62="سعودي",cfg_G_SR,cfg_G_NR)*G62/cfg_DAYS_M)</f>
        <v/>
      </c>
      <c r="AA62" s="111" t="str">
        <f aca="false">IF($B62="","",الموظفون!$Q62*(cfg_EOS_R1*(MIN(AH62,cfg_EOS_TH)-MIN(AI62,cfg_EOS_TH))+cfg_EOS_R2*(MAX(AH62-cfg_EOS_TH,0)-MAX(AI62-cfg_EOS_TH,0))))</f>
        <v/>
      </c>
      <c r="AB62" s="111" t="str">
        <f aca="false">IF($B62="","",IF(الموظفون!$T62&lt;&gt;"",الموظفون!$T62,IF(AH62&gt;=cfg_LV_TH,cfg_LV_D2,cfg_LV_D1))/cfg_DAYS_Y*AJ62*الموظفون!$R62/cfg_DAYS_M)</f>
        <v/>
      </c>
      <c r="AC62" s="111" t="str">
        <f aca="false">IF($B62="","",IF(AND(الموظفون!$U62="نعم",N(الموظفون!$W62)&gt;0),الموظفون!$V62/الموظفون!$W62*12/cfg_DAYS_Y*AJ62,0))</f>
        <v/>
      </c>
      <c r="AD62" s="111" t="str">
        <f aca="false">IF($B62="","",(IF(الموظفون!$X62&lt;&gt;"",الموظفون!$X62,IF(الموظفون!$E62="غير سعودي",cfg_IQ,0))+IF(الموظفون!$Y62&lt;&gt;"",الموظفون!$Y62,IF(الموظفون!$E62="غير سعودي",cfg_WP,0)))/12*G62/cfg_DAYS_M)</f>
        <v/>
      </c>
      <c r="AE62" s="111" t="str">
        <f aca="false">IF($B62="","",IF(الموظفون!$Z62&lt;&gt;"",الموظفون!$Z62,cfg_MED)/12*G62/cfg_DAYS_M)</f>
        <v/>
      </c>
      <c r="AF62" s="111" t="str">
        <f aca="false">IF($B62="","",N(الموظفون!$AA62)/12*G62/cfg_DAYS_M)</f>
        <v/>
      </c>
      <c r="AG62" s="154" t="str">
        <f aca="false">IF($B62="","",T62+SUM(Z62:AF62))</f>
        <v/>
      </c>
      <c r="AH62" s="155" t="str">
        <f aca="false">IF($B62="","",MAX(0,IF(OR(الموظفون!$AE62="",الموظفون!$AE62&gt;$F$3),$F$3,الموظفون!$AE62)-الموظفون!$H62+1-SUMIFS('سجل الإجازات والحالات'!$AK$6:$AK$505,'سجل الإجازات والحالات'!$B$6:$B$505,$B62))/cfg_DAYS_Y)</f>
        <v/>
      </c>
      <c r="AI62" s="155" t="str">
        <f aca="false">IF($B62="","",MAX(0,IF(OR(الموظفون!$AE62="",الموظفون!$AE62&gt;($E$3-1)),($E$3-1),الموظفون!$AE62)-الموظفون!$H62+1-SUMIFS('سجل الإجازات والحالات'!$AJ$6:$AJ$505,'سجل الإجازات والحالات'!$B$6:$B$505,$B62))/cfg_DAYS_Y)</f>
        <v/>
      </c>
      <c r="AJ62" s="65" t="str">
        <f aca="false">IF($B62="","",MAX(0,AK62-(SUMIFS('سجل الإجازات والحالات'!$AK$6:$AK$505,'سجل الإجازات والحالات'!$B$6:$B$505,$B62)-SUMIFS('سجل الإجازات والحالات'!$AJ$6:$AJ$505,'سجل الإجازات والحالات'!$B$6:$B$505,$B62))))</f>
        <v/>
      </c>
      <c r="AK62" s="65" t="str">
        <f aca="false">IF($B62="","",MAX(0,IF(OR(الموظفون!$AE62="",الموظفون!$AE62&gt;$F$3),$F$3,الموظفون!$AE62)-MAX($E$3,الموظفون!$H62)+1))</f>
        <v/>
      </c>
      <c r="AL62" s="151" t="str">
        <f aca="false">IF($B62="","",SUMIFS('سجل الإجازات والحالات'!$AW$6:$AW$505,'سجل الإجازات والحالات'!$B$6:$B$505,$B62)+SUMIFS('الحركات الشهرية'!$K$6:$K$1005,'الحركات الشهرية'!$B$6:$B$1005,$B62,'الحركات الشهرية'!$A$6:$A$1005,$C$3))</f>
        <v/>
      </c>
      <c r="AM62" s="111" t="str">
        <f aca="false">IF($B62="","",AL62*الموظفون!$R62/cfg_DAYS_M+S62)</f>
        <v/>
      </c>
      <c r="AN62" s="151" t="str">
        <f aca="false">IF($B62="","",SUMIFS('سجل الإجازات والحالات'!$Y$6:$Y$505,'سجل الإجازات والحالات'!$B$6:$B$505,$B62))</f>
        <v/>
      </c>
    </row>
    <row r="63" customFormat="false" ht="15" hidden="false" customHeight="false" outlineLevel="0" collapsed="false">
      <c r="A63" s="115" t="str">
        <f aca="false">IF($B63="","",الموظفون!$A63)</f>
        <v/>
      </c>
      <c r="B63" s="117" t="str">
        <f aca="false">IF(الموظفون!$B63="","",الموظفون!$B63)</f>
        <v/>
      </c>
      <c r="C63" s="117" t="str">
        <f aca="false">IF($B63="","",الموظفون!$C63)</f>
        <v/>
      </c>
      <c r="D63" s="117" t="str">
        <f aca="false">IF($B63="","",الموظفون!$F63)</f>
        <v/>
      </c>
      <c r="E63" s="117" t="str">
        <f aca="false">IF($B63="","",الموظفون!$E63)</f>
        <v/>
      </c>
      <c r="F63" s="117" t="str">
        <f aca="false">IF($B63="","",IF(AK63=0,IF(AND(الموظفون!$AE63&lt;&gt;"",الموظفون!$AE63&lt;$E$3),"✖ منتهي الخدمة","⏳ لم يباشر"),IF(S63&gt;0,"✈ راتب إجازة مقدم",IF(J63=0,"⛔ بدون راتب هذا الشهر",IF(I63&gt;0,"✈ خصم "&amp;ROUND(I63,2)&amp;" يوم بدون أجر",IF(AL63&gt;0,"🌴 إجازة سنوية "&amp;ROUND(AL63,2)&amp;" يوم",IF(H63&gt;0,"⚠ غياب "&amp;ROUND(H63,2)&amp;" يوم","✔ على رأس العمل")))))))</f>
        <v/>
      </c>
      <c r="G63" s="156" t="str">
        <f aca="false">IF($B63="","",IF(AK63&gt;=DAY($F$3),cfg_DAYS_M,MIN(AK63,cfg_DAYS_M)))</f>
        <v/>
      </c>
      <c r="H63" s="156" t="str">
        <f aca="false">IF($B63="","",SUMIFS('الحركات الشهرية'!$D$6:$D$1005,'الحركات الشهرية'!$B$6:$B$1005,$B63,'الحركات الشهرية'!$A$6:$A$1005,$C$3))</f>
        <v/>
      </c>
      <c r="I63" s="156" t="str">
        <f aca="false">IF($B63="","",MIN(G63,IF(AND(AK63&gt;0,AN63&gt;=AK63),G63,AN63)+SUMIFS('الحركات الشهرية'!$E$6:$E$1005,'الحركات الشهرية'!$B$6:$B$1005,$B63,'الحركات الشهرية'!$A$6:$A$1005,$C$3)))</f>
        <v/>
      </c>
      <c r="J63" s="156" t="str">
        <f aca="false">IF($B63="","",MAX(0,G63-H63-I63))</f>
        <v/>
      </c>
      <c r="K63" s="116" t="str">
        <f aca="false">IF($B63="","",الموظفون!$L63*$J63/cfg_DAYS_M)</f>
        <v/>
      </c>
      <c r="L63" s="116" t="str">
        <f aca="false">IF($B63="","",الموظفون!$M63*$J63/cfg_DAYS_M)</f>
        <v/>
      </c>
      <c r="M63" s="116" t="str">
        <f aca="false">IF($B63="","",الموظفون!$N63*$J63/cfg_DAYS_M)</f>
        <v/>
      </c>
      <c r="N63" s="116" t="str">
        <f aca="false">IF($B63="","",الموظفون!$O63*$J63/cfg_DAYS_M)</f>
        <v/>
      </c>
      <c r="O63" s="156" t="str">
        <f aca="false">IF($B63="","",SUMIFS('الحركات الشهرية'!$F$6:$F$1005,'الحركات الشهرية'!$B$6:$B$1005,$B63,'الحركات الشهرية'!$A$6:$A$1005,$C$3))</f>
        <v/>
      </c>
      <c r="P63" s="116" t="str">
        <f aca="false">IF($B63="","",O63*(الموظفون!$P63+الموظفون!$L63*cfg_OT_P)/cfg_DAYS_M/cfg_HRS)</f>
        <v/>
      </c>
      <c r="Q63" s="116" t="str">
        <f aca="false">IF($B63="","",SUMIFS('الحركات الشهرية'!$G$6:$G$1005,'الحركات الشهرية'!$B$6:$B$1005,$B63,'الحركات الشهرية'!$A$6:$A$1005,$C$3))</f>
        <v/>
      </c>
      <c r="R63" s="116" t="str">
        <f aca="false">IF($B63="","",SUMIFS('الحركات الشهرية'!$H$6:$H$1005,'الحركات الشهرية'!$B$6:$B$1005,$B63,'الحركات الشهرية'!$A$6:$A$1005,$C$3))</f>
        <v/>
      </c>
      <c r="S63" s="116" t="str">
        <f aca="false">IF($B63="","",SUMIFS('سجل الإجازات والحالات'!$N$6:$N$505,'سجل الإجازات والحالات'!$B$6:$B$505,$B63,'سجل الإجازات والحالات'!$O$6:$O$505,$C$3))</f>
        <v/>
      </c>
      <c r="T63" s="157" t="str">
        <f aca="false">IF($B63="","",SUM(K63:N63)+SUM(P63:S63))</f>
        <v/>
      </c>
      <c r="U63" s="116" t="str">
        <f aca="false">IF($B63="","",الموظفون!$S63*IF(E63="سعودي",cfg_G_SE,cfg_G_NE)*G63/cfg_DAYS_M)</f>
        <v/>
      </c>
      <c r="V63" s="116" t="str">
        <f aca="false">IF($B63="","",SUMIFS('الحركات الشهرية'!$I$6:$I$1005,'الحركات الشهرية'!$B$6:$B$1005,$B63,'الحركات الشهرية'!$A$6:$A$1005,$C$3))</f>
        <v/>
      </c>
      <c r="W63" s="116" t="str">
        <f aca="false">IF($B63="","",SUMIFS('الحركات الشهرية'!$J$6:$J$1005,'الحركات الشهرية'!$B$6:$B$1005,$B63,'الحركات الشهرية'!$A$6:$A$1005,$C$3))</f>
        <v/>
      </c>
      <c r="X63" s="116" t="str">
        <f aca="false">IF($B63="","",SUM(U63:W63))</f>
        <v/>
      </c>
      <c r="Y63" s="158" t="str">
        <f aca="false">IF($B63="","",T63-X63)</f>
        <v/>
      </c>
      <c r="Z63" s="116" t="str">
        <f aca="false">IF($B63="","",الموظفون!$S63*IF(E63="سعودي",cfg_G_SR,cfg_G_NR)*G63/cfg_DAYS_M)</f>
        <v/>
      </c>
      <c r="AA63" s="116" t="str">
        <f aca="false">IF($B63="","",الموظفون!$Q63*(cfg_EOS_R1*(MIN(AH63,cfg_EOS_TH)-MIN(AI63,cfg_EOS_TH))+cfg_EOS_R2*(MAX(AH63-cfg_EOS_TH,0)-MAX(AI63-cfg_EOS_TH,0))))</f>
        <v/>
      </c>
      <c r="AB63" s="116" t="str">
        <f aca="false">IF($B63="","",IF(الموظفون!$T63&lt;&gt;"",الموظفون!$T63,IF(AH63&gt;=cfg_LV_TH,cfg_LV_D2,cfg_LV_D1))/cfg_DAYS_Y*AJ63*الموظفون!$R63/cfg_DAYS_M)</f>
        <v/>
      </c>
      <c r="AC63" s="116" t="str">
        <f aca="false">IF($B63="","",IF(AND(الموظفون!$U63="نعم",N(الموظفون!$W63)&gt;0),الموظفون!$V63/الموظفون!$W63*12/cfg_DAYS_Y*AJ63,0))</f>
        <v/>
      </c>
      <c r="AD63" s="116" t="str">
        <f aca="false">IF($B63="","",(IF(الموظفون!$X63&lt;&gt;"",الموظفون!$X63,IF(الموظفون!$E63="غير سعودي",cfg_IQ,0))+IF(الموظفون!$Y63&lt;&gt;"",الموظفون!$Y63,IF(الموظفون!$E63="غير سعودي",cfg_WP,0)))/12*G63/cfg_DAYS_M)</f>
        <v/>
      </c>
      <c r="AE63" s="116" t="str">
        <f aca="false">IF($B63="","",IF(الموظفون!$Z63&lt;&gt;"",الموظفون!$Z63,cfg_MED)/12*G63/cfg_DAYS_M)</f>
        <v/>
      </c>
      <c r="AF63" s="116" t="str">
        <f aca="false">IF($B63="","",N(الموظفون!$AA63)/12*G63/cfg_DAYS_M)</f>
        <v/>
      </c>
      <c r="AG63" s="159" t="str">
        <f aca="false">IF($B63="","",T63+SUM(Z63:AF63))</f>
        <v/>
      </c>
      <c r="AH63" s="160" t="str">
        <f aca="false">IF($B63="","",MAX(0,IF(OR(الموظفون!$AE63="",الموظفون!$AE63&gt;$F$3),$F$3,الموظفون!$AE63)-الموظفون!$H63+1-SUMIFS('سجل الإجازات والحالات'!$AK$6:$AK$505,'سجل الإجازات والحالات'!$B$6:$B$505,$B63))/cfg_DAYS_Y)</f>
        <v/>
      </c>
      <c r="AI63" s="160" t="str">
        <f aca="false">IF($B63="","",MAX(0,IF(OR(الموظفون!$AE63="",الموظفون!$AE63&gt;($E$3-1)),($E$3-1),الموظفون!$AE63)-الموظفون!$H63+1-SUMIFS('سجل الإجازات والحالات'!$AJ$6:$AJ$505,'سجل الإجازات والحالات'!$B$6:$B$505,$B63))/cfg_DAYS_Y)</f>
        <v/>
      </c>
      <c r="AJ63" s="133" t="str">
        <f aca="false">IF($B63="","",MAX(0,AK63-(SUMIFS('سجل الإجازات والحالات'!$AK$6:$AK$505,'سجل الإجازات والحالات'!$B$6:$B$505,$B63)-SUMIFS('سجل الإجازات والحالات'!$AJ$6:$AJ$505,'سجل الإجازات والحالات'!$B$6:$B$505,$B63))))</f>
        <v/>
      </c>
      <c r="AK63" s="133" t="str">
        <f aca="false">IF($B63="","",MAX(0,IF(OR(الموظفون!$AE63="",الموظفون!$AE63&gt;$F$3),$F$3,الموظفون!$AE63)-MAX($E$3,الموظفون!$H63)+1))</f>
        <v/>
      </c>
      <c r="AL63" s="156" t="str">
        <f aca="false">IF($B63="","",SUMIFS('سجل الإجازات والحالات'!$AW$6:$AW$505,'سجل الإجازات والحالات'!$B$6:$B$505,$B63)+SUMIFS('الحركات الشهرية'!$K$6:$K$1005,'الحركات الشهرية'!$B$6:$B$1005,$B63,'الحركات الشهرية'!$A$6:$A$1005,$C$3))</f>
        <v/>
      </c>
      <c r="AM63" s="116" t="str">
        <f aca="false">IF($B63="","",AL63*الموظفون!$R63/cfg_DAYS_M+S63)</f>
        <v/>
      </c>
      <c r="AN63" s="156" t="str">
        <f aca="false">IF($B63="","",SUMIFS('سجل الإجازات والحالات'!$Y$6:$Y$505,'سجل الإجازات والحالات'!$B$6:$B$505,$B63))</f>
        <v/>
      </c>
    </row>
    <row r="64" customFormat="false" ht="15" hidden="false" customHeight="false" outlineLevel="0" collapsed="false">
      <c r="A64" s="106" t="str">
        <f aca="false">IF($B64="","",الموظفون!$A64)</f>
        <v/>
      </c>
      <c r="B64" s="114" t="str">
        <f aca="false">IF(الموظفون!$B64="","",الموظفون!$B64)</f>
        <v/>
      </c>
      <c r="C64" s="114" t="str">
        <f aca="false">IF($B64="","",الموظفون!$C64)</f>
        <v/>
      </c>
      <c r="D64" s="114" t="str">
        <f aca="false">IF($B64="","",الموظفون!$F64)</f>
        <v/>
      </c>
      <c r="E64" s="114" t="str">
        <f aca="false">IF($B64="","",الموظفون!$E64)</f>
        <v/>
      </c>
      <c r="F64" s="114" t="str">
        <f aca="false">IF($B64="","",IF(AK64=0,IF(AND(الموظفون!$AE64&lt;&gt;"",الموظفون!$AE64&lt;$E$3),"✖ منتهي الخدمة","⏳ لم يباشر"),IF(S64&gt;0,"✈ راتب إجازة مقدم",IF(J64=0,"⛔ بدون راتب هذا الشهر",IF(I64&gt;0,"✈ خصم "&amp;ROUND(I64,2)&amp;" يوم بدون أجر",IF(AL64&gt;0,"🌴 إجازة سنوية "&amp;ROUND(AL64,2)&amp;" يوم",IF(H64&gt;0,"⚠ غياب "&amp;ROUND(H64,2)&amp;" يوم","✔ على رأس العمل")))))))</f>
        <v/>
      </c>
      <c r="G64" s="151" t="str">
        <f aca="false">IF($B64="","",IF(AK64&gt;=DAY($F$3),cfg_DAYS_M,MIN(AK64,cfg_DAYS_M)))</f>
        <v/>
      </c>
      <c r="H64" s="151" t="str">
        <f aca="false">IF($B64="","",SUMIFS('الحركات الشهرية'!$D$6:$D$1005,'الحركات الشهرية'!$B$6:$B$1005,$B64,'الحركات الشهرية'!$A$6:$A$1005,$C$3))</f>
        <v/>
      </c>
      <c r="I64" s="151" t="str">
        <f aca="false">IF($B64="","",MIN(G64,IF(AND(AK64&gt;0,AN64&gt;=AK64),G64,AN64)+SUMIFS('الحركات الشهرية'!$E$6:$E$1005,'الحركات الشهرية'!$B$6:$B$1005,$B64,'الحركات الشهرية'!$A$6:$A$1005,$C$3)))</f>
        <v/>
      </c>
      <c r="J64" s="151" t="str">
        <f aca="false">IF($B64="","",MAX(0,G64-H64-I64))</f>
        <v/>
      </c>
      <c r="K64" s="111" t="str">
        <f aca="false">IF($B64="","",الموظفون!$L64*$J64/cfg_DAYS_M)</f>
        <v/>
      </c>
      <c r="L64" s="111" t="str">
        <f aca="false">IF($B64="","",الموظفون!$M64*$J64/cfg_DAYS_M)</f>
        <v/>
      </c>
      <c r="M64" s="111" t="str">
        <f aca="false">IF($B64="","",الموظفون!$N64*$J64/cfg_DAYS_M)</f>
        <v/>
      </c>
      <c r="N64" s="111" t="str">
        <f aca="false">IF($B64="","",الموظفون!$O64*$J64/cfg_DAYS_M)</f>
        <v/>
      </c>
      <c r="O64" s="151" t="str">
        <f aca="false">IF($B64="","",SUMIFS('الحركات الشهرية'!$F$6:$F$1005,'الحركات الشهرية'!$B$6:$B$1005,$B64,'الحركات الشهرية'!$A$6:$A$1005,$C$3))</f>
        <v/>
      </c>
      <c r="P64" s="111" t="str">
        <f aca="false">IF($B64="","",O64*(الموظفون!$P64+الموظفون!$L64*cfg_OT_P)/cfg_DAYS_M/cfg_HRS)</f>
        <v/>
      </c>
      <c r="Q64" s="111" t="str">
        <f aca="false">IF($B64="","",SUMIFS('الحركات الشهرية'!$G$6:$G$1005,'الحركات الشهرية'!$B$6:$B$1005,$B64,'الحركات الشهرية'!$A$6:$A$1005,$C$3))</f>
        <v/>
      </c>
      <c r="R64" s="111" t="str">
        <f aca="false">IF($B64="","",SUMIFS('الحركات الشهرية'!$H$6:$H$1005,'الحركات الشهرية'!$B$6:$B$1005,$B64,'الحركات الشهرية'!$A$6:$A$1005,$C$3))</f>
        <v/>
      </c>
      <c r="S64" s="111" t="str">
        <f aca="false">IF($B64="","",SUMIFS('سجل الإجازات والحالات'!$N$6:$N$505,'سجل الإجازات والحالات'!$B$6:$B$505,$B64,'سجل الإجازات والحالات'!$O$6:$O$505,$C$3))</f>
        <v/>
      </c>
      <c r="T64" s="152" t="str">
        <f aca="false">IF($B64="","",SUM(K64:N64)+SUM(P64:S64))</f>
        <v/>
      </c>
      <c r="U64" s="111" t="str">
        <f aca="false">IF($B64="","",الموظفون!$S64*IF(E64="سعودي",cfg_G_SE,cfg_G_NE)*G64/cfg_DAYS_M)</f>
        <v/>
      </c>
      <c r="V64" s="111" t="str">
        <f aca="false">IF($B64="","",SUMIFS('الحركات الشهرية'!$I$6:$I$1005,'الحركات الشهرية'!$B$6:$B$1005,$B64,'الحركات الشهرية'!$A$6:$A$1005,$C$3))</f>
        <v/>
      </c>
      <c r="W64" s="111" t="str">
        <f aca="false">IF($B64="","",SUMIFS('الحركات الشهرية'!$J$6:$J$1005,'الحركات الشهرية'!$B$6:$B$1005,$B64,'الحركات الشهرية'!$A$6:$A$1005,$C$3))</f>
        <v/>
      </c>
      <c r="X64" s="111" t="str">
        <f aca="false">IF($B64="","",SUM(U64:W64))</f>
        <v/>
      </c>
      <c r="Y64" s="153" t="str">
        <f aca="false">IF($B64="","",T64-X64)</f>
        <v/>
      </c>
      <c r="Z64" s="111" t="str">
        <f aca="false">IF($B64="","",الموظفون!$S64*IF(E64="سعودي",cfg_G_SR,cfg_G_NR)*G64/cfg_DAYS_M)</f>
        <v/>
      </c>
      <c r="AA64" s="111" t="str">
        <f aca="false">IF($B64="","",الموظفون!$Q64*(cfg_EOS_R1*(MIN(AH64,cfg_EOS_TH)-MIN(AI64,cfg_EOS_TH))+cfg_EOS_R2*(MAX(AH64-cfg_EOS_TH,0)-MAX(AI64-cfg_EOS_TH,0))))</f>
        <v/>
      </c>
      <c r="AB64" s="111" t="str">
        <f aca="false">IF($B64="","",IF(الموظفون!$T64&lt;&gt;"",الموظفون!$T64,IF(AH64&gt;=cfg_LV_TH,cfg_LV_D2,cfg_LV_D1))/cfg_DAYS_Y*AJ64*الموظفون!$R64/cfg_DAYS_M)</f>
        <v/>
      </c>
      <c r="AC64" s="111" t="str">
        <f aca="false">IF($B64="","",IF(AND(الموظفون!$U64="نعم",N(الموظفون!$W64)&gt;0),الموظفون!$V64/الموظفون!$W64*12/cfg_DAYS_Y*AJ64,0))</f>
        <v/>
      </c>
      <c r="AD64" s="111" t="str">
        <f aca="false">IF($B64="","",(IF(الموظفون!$X64&lt;&gt;"",الموظفون!$X64,IF(الموظفون!$E64="غير سعودي",cfg_IQ,0))+IF(الموظفون!$Y64&lt;&gt;"",الموظفون!$Y64,IF(الموظفون!$E64="غير سعودي",cfg_WP,0)))/12*G64/cfg_DAYS_M)</f>
        <v/>
      </c>
      <c r="AE64" s="111" t="str">
        <f aca="false">IF($B64="","",IF(الموظفون!$Z64&lt;&gt;"",الموظفون!$Z64,cfg_MED)/12*G64/cfg_DAYS_M)</f>
        <v/>
      </c>
      <c r="AF64" s="111" t="str">
        <f aca="false">IF($B64="","",N(الموظفون!$AA64)/12*G64/cfg_DAYS_M)</f>
        <v/>
      </c>
      <c r="AG64" s="154" t="str">
        <f aca="false">IF($B64="","",T64+SUM(Z64:AF64))</f>
        <v/>
      </c>
      <c r="AH64" s="155" t="str">
        <f aca="false">IF($B64="","",MAX(0,IF(OR(الموظفون!$AE64="",الموظفون!$AE64&gt;$F$3),$F$3,الموظفون!$AE64)-الموظفون!$H64+1-SUMIFS('سجل الإجازات والحالات'!$AK$6:$AK$505,'سجل الإجازات والحالات'!$B$6:$B$505,$B64))/cfg_DAYS_Y)</f>
        <v/>
      </c>
      <c r="AI64" s="155" t="str">
        <f aca="false">IF($B64="","",MAX(0,IF(OR(الموظفون!$AE64="",الموظفون!$AE64&gt;($E$3-1)),($E$3-1),الموظفون!$AE64)-الموظفون!$H64+1-SUMIFS('سجل الإجازات والحالات'!$AJ$6:$AJ$505,'سجل الإجازات والحالات'!$B$6:$B$505,$B64))/cfg_DAYS_Y)</f>
        <v/>
      </c>
      <c r="AJ64" s="65" t="str">
        <f aca="false">IF($B64="","",MAX(0,AK64-(SUMIFS('سجل الإجازات والحالات'!$AK$6:$AK$505,'سجل الإجازات والحالات'!$B$6:$B$505,$B64)-SUMIFS('سجل الإجازات والحالات'!$AJ$6:$AJ$505,'سجل الإجازات والحالات'!$B$6:$B$505,$B64))))</f>
        <v/>
      </c>
      <c r="AK64" s="65" t="str">
        <f aca="false">IF($B64="","",MAX(0,IF(OR(الموظفون!$AE64="",الموظفون!$AE64&gt;$F$3),$F$3,الموظفون!$AE64)-MAX($E$3,الموظفون!$H64)+1))</f>
        <v/>
      </c>
      <c r="AL64" s="151" t="str">
        <f aca="false">IF($B64="","",SUMIFS('سجل الإجازات والحالات'!$AW$6:$AW$505,'سجل الإجازات والحالات'!$B$6:$B$505,$B64)+SUMIFS('الحركات الشهرية'!$K$6:$K$1005,'الحركات الشهرية'!$B$6:$B$1005,$B64,'الحركات الشهرية'!$A$6:$A$1005,$C$3))</f>
        <v/>
      </c>
      <c r="AM64" s="111" t="str">
        <f aca="false">IF($B64="","",AL64*الموظفون!$R64/cfg_DAYS_M+S64)</f>
        <v/>
      </c>
      <c r="AN64" s="151" t="str">
        <f aca="false">IF($B64="","",SUMIFS('سجل الإجازات والحالات'!$Y$6:$Y$505,'سجل الإجازات والحالات'!$B$6:$B$505,$B64))</f>
        <v/>
      </c>
    </row>
    <row r="65" customFormat="false" ht="15" hidden="false" customHeight="false" outlineLevel="0" collapsed="false">
      <c r="A65" s="115" t="str">
        <f aca="false">IF($B65="","",الموظفون!$A65)</f>
        <v/>
      </c>
      <c r="B65" s="117" t="str">
        <f aca="false">IF(الموظفون!$B65="","",الموظفون!$B65)</f>
        <v/>
      </c>
      <c r="C65" s="117" t="str">
        <f aca="false">IF($B65="","",الموظفون!$C65)</f>
        <v/>
      </c>
      <c r="D65" s="117" t="str">
        <f aca="false">IF($B65="","",الموظفون!$F65)</f>
        <v/>
      </c>
      <c r="E65" s="117" t="str">
        <f aca="false">IF($B65="","",الموظفون!$E65)</f>
        <v/>
      </c>
      <c r="F65" s="117" t="str">
        <f aca="false">IF($B65="","",IF(AK65=0,IF(AND(الموظفون!$AE65&lt;&gt;"",الموظفون!$AE65&lt;$E$3),"✖ منتهي الخدمة","⏳ لم يباشر"),IF(S65&gt;0,"✈ راتب إجازة مقدم",IF(J65=0,"⛔ بدون راتب هذا الشهر",IF(I65&gt;0,"✈ خصم "&amp;ROUND(I65,2)&amp;" يوم بدون أجر",IF(AL65&gt;0,"🌴 إجازة سنوية "&amp;ROUND(AL65,2)&amp;" يوم",IF(H65&gt;0,"⚠ غياب "&amp;ROUND(H65,2)&amp;" يوم","✔ على رأس العمل")))))))</f>
        <v/>
      </c>
      <c r="G65" s="156" t="str">
        <f aca="false">IF($B65="","",IF(AK65&gt;=DAY($F$3),cfg_DAYS_M,MIN(AK65,cfg_DAYS_M)))</f>
        <v/>
      </c>
      <c r="H65" s="156" t="str">
        <f aca="false">IF($B65="","",SUMIFS('الحركات الشهرية'!$D$6:$D$1005,'الحركات الشهرية'!$B$6:$B$1005,$B65,'الحركات الشهرية'!$A$6:$A$1005,$C$3))</f>
        <v/>
      </c>
      <c r="I65" s="156" t="str">
        <f aca="false">IF($B65="","",MIN(G65,IF(AND(AK65&gt;0,AN65&gt;=AK65),G65,AN65)+SUMIFS('الحركات الشهرية'!$E$6:$E$1005,'الحركات الشهرية'!$B$6:$B$1005,$B65,'الحركات الشهرية'!$A$6:$A$1005,$C$3)))</f>
        <v/>
      </c>
      <c r="J65" s="156" t="str">
        <f aca="false">IF($B65="","",MAX(0,G65-H65-I65))</f>
        <v/>
      </c>
      <c r="K65" s="116" t="str">
        <f aca="false">IF($B65="","",الموظفون!$L65*$J65/cfg_DAYS_M)</f>
        <v/>
      </c>
      <c r="L65" s="116" t="str">
        <f aca="false">IF($B65="","",الموظفون!$M65*$J65/cfg_DAYS_M)</f>
        <v/>
      </c>
      <c r="M65" s="116" t="str">
        <f aca="false">IF($B65="","",الموظفون!$N65*$J65/cfg_DAYS_M)</f>
        <v/>
      </c>
      <c r="N65" s="116" t="str">
        <f aca="false">IF($B65="","",الموظفون!$O65*$J65/cfg_DAYS_M)</f>
        <v/>
      </c>
      <c r="O65" s="156" t="str">
        <f aca="false">IF($B65="","",SUMIFS('الحركات الشهرية'!$F$6:$F$1005,'الحركات الشهرية'!$B$6:$B$1005,$B65,'الحركات الشهرية'!$A$6:$A$1005,$C$3))</f>
        <v/>
      </c>
      <c r="P65" s="116" t="str">
        <f aca="false">IF($B65="","",O65*(الموظفون!$P65+الموظفون!$L65*cfg_OT_P)/cfg_DAYS_M/cfg_HRS)</f>
        <v/>
      </c>
      <c r="Q65" s="116" t="str">
        <f aca="false">IF($B65="","",SUMIFS('الحركات الشهرية'!$G$6:$G$1005,'الحركات الشهرية'!$B$6:$B$1005,$B65,'الحركات الشهرية'!$A$6:$A$1005,$C$3))</f>
        <v/>
      </c>
      <c r="R65" s="116" t="str">
        <f aca="false">IF($B65="","",SUMIFS('الحركات الشهرية'!$H$6:$H$1005,'الحركات الشهرية'!$B$6:$B$1005,$B65,'الحركات الشهرية'!$A$6:$A$1005,$C$3))</f>
        <v/>
      </c>
      <c r="S65" s="116" t="str">
        <f aca="false">IF($B65="","",SUMIFS('سجل الإجازات والحالات'!$N$6:$N$505,'سجل الإجازات والحالات'!$B$6:$B$505,$B65,'سجل الإجازات والحالات'!$O$6:$O$505,$C$3))</f>
        <v/>
      </c>
      <c r="T65" s="157" t="str">
        <f aca="false">IF($B65="","",SUM(K65:N65)+SUM(P65:S65))</f>
        <v/>
      </c>
      <c r="U65" s="116" t="str">
        <f aca="false">IF($B65="","",الموظفون!$S65*IF(E65="سعودي",cfg_G_SE,cfg_G_NE)*G65/cfg_DAYS_M)</f>
        <v/>
      </c>
      <c r="V65" s="116" t="str">
        <f aca="false">IF($B65="","",SUMIFS('الحركات الشهرية'!$I$6:$I$1005,'الحركات الشهرية'!$B$6:$B$1005,$B65,'الحركات الشهرية'!$A$6:$A$1005,$C$3))</f>
        <v/>
      </c>
      <c r="W65" s="116" t="str">
        <f aca="false">IF($B65="","",SUMIFS('الحركات الشهرية'!$J$6:$J$1005,'الحركات الشهرية'!$B$6:$B$1005,$B65,'الحركات الشهرية'!$A$6:$A$1005,$C$3))</f>
        <v/>
      </c>
      <c r="X65" s="116" t="str">
        <f aca="false">IF($B65="","",SUM(U65:W65))</f>
        <v/>
      </c>
      <c r="Y65" s="158" t="str">
        <f aca="false">IF($B65="","",T65-X65)</f>
        <v/>
      </c>
      <c r="Z65" s="116" t="str">
        <f aca="false">IF($B65="","",الموظفون!$S65*IF(E65="سعودي",cfg_G_SR,cfg_G_NR)*G65/cfg_DAYS_M)</f>
        <v/>
      </c>
      <c r="AA65" s="116" t="str">
        <f aca="false">IF($B65="","",الموظفون!$Q65*(cfg_EOS_R1*(MIN(AH65,cfg_EOS_TH)-MIN(AI65,cfg_EOS_TH))+cfg_EOS_R2*(MAX(AH65-cfg_EOS_TH,0)-MAX(AI65-cfg_EOS_TH,0))))</f>
        <v/>
      </c>
      <c r="AB65" s="116" t="str">
        <f aca="false">IF($B65="","",IF(الموظفون!$T65&lt;&gt;"",الموظفون!$T65,IF(AH65&gt;=cfg_LV_TH,cfg_LV_D2,cfg_LV_D1))/cfg_DAYS_Y*AJ65*الموظفون!$R65/cfg_DAYS_M)</f>
        <v/>
      </c>
      <c r="AC65" s="116" t="str">
        <f aca="false">IF($B65="","",IF(AND(الموظفون!$U65="نعم",N(الموظفون!$W65)&gt;0),الموظفون!$V65/الموظفون!$W65*12/cfg_DAYS_Y*AJ65,0))</f>
        <v/>
      </c>
      <c r="AD65" s="116" t="str">
        <f aca="false">IF($B65="","",(IF(الموظفون!$X65&lt;&gt;"",الموظفون!$X65,IF(الموظفون!$E65="غير سعودي",cfg_IQ,0))+IF(الموظفون!$Y65&lt;&gt;"",الموظفون!$Y65,IF(الموظفون!$E65="غير سعودي",cfg_WP,0)))/12*G65/cfg_DAYS_M)</f>
        <v/>
      </c>
      <c r="AE65" s="116" t="str">
        <f aca="false">IF($B65="","",IF(الموظفون!$Z65&lt;&gt;"",الموظفون!$Z65,cfg_MED)/12*G65/cfg_DAYS_M)</f>
        <v/>
      </c>
      <c r="AF65" s="116" t="str">
        <f aca="false">IF($B65="","",N(الموظفون!$AA65)/12*G65/cfg_DAYS_M)</f>
        <v/>
      </c>
      <c r="AG65" s="159" t="str">
        <f aca="false">IF($B65="","",T65+SUM(Z65:AF65))</f>
        <v/>
      </c>
      <c r="AH65" s="160" t="str">
        <f aca="false">IF($B65="","",MAX(0,IF(OR(الموظفون!$AE65="",الموظفون!$AE65&gt;$F$3),$F$3,الموظفون!$AE65)-الموظفون!$H65+1-SUMIFS('سجل الإجازات والحالات'!$AK$6:$AK$505,'سجل الإجازات والحالات'!$B$6:$B$505,$B65))/cfg_DAYS_Y)</f>
        <v/>
      </c>
      <c r="AI65" s="160" t="str">
        <f aca="false">IF($B65="","",MAX(0,IF(OR(الموظفون!$AE65="",الموظفون!$AE65&gt;($E$3-1)),($E$3-1),الموظفون!$AE65)-الموظفون!$H65+1-SUMIFS('سجل الإجازات والحالات'!$AJ$6:$AJ$505,'سجل الإجازات والحالات'!$B$6:$B$505,$B65))/cfg_DAYS_Y)</f>
        <v/>
      </c>
      <c r="AJ65" s="133" t="str">
        <f aca="false">IF($B65="","",MAX(0,AK65-(SUMIFS('سجل الإجازات والحالات'!$AK$6:$AK$505,'سجل الإجازات والحالات'!$B$6:$B$505,$B65)-SUMIFS('سجل الإجازات والحالات'!$AJ$6:$AJ$505,'سجل الإجازات والحالات'!$B$6:$B$505,$B65))))</f>
        <v/>
      </c>
      <c r="AK65" s="133" t="str">
        <f aca="false">IF($B65="","",MAX(0,IF(OR(الموظفون!$AE65="",الموظفون!$AE65&gt;$F$3),$F$3,الموظفون!$AE65)-MAX($E$3,الموظفون!$H65)+1))</f>
        <v/>
      </c>
      <c r="AL65" s="156" t="str">
        <f aca="false">IF($B65="","",SUMIFS('سجل الإجازات والحالات'!$AW$6:$AW$505,'سجل الإجازات والحالات'!$B$6:$B$505,$B65)+SUMIFS('الحركات الشهرية'!$K$6:$K$1005,'الحركات الشهرية'!$B$6:$B$1005,$B65,'الحركات الشهرية'!$A$6:$A$1005,$C$3))</f>
        <v/>
      </c>
      <c r="AM65" s="116" t="str">
        <f aca="false">IF($B65="","",AL65*الموظفون!$R65/cfg_DAYS_M+S65)</f>
        <v/>
      </c>
      <c r="AN65" s="156" t="str">
        <f aca="false">IF($B65="","",SUMIFS('سجل الإجازات والحالات'!$Y$6:$Y$505,'سجل الإجازات والحالات'!$B$6:$B$505,$B65))</f>
        <v/>
      </c>
    </row>
    <row r="66" customFormat="false" ht="15" hidden="false" customHeight="false" outlineLevel="0" collapsed="false">
      <c r="A66" s="106" t="str">
        <f aca="false">IF($B66="","",الموظفون!$A66)</f>
        <v/>
      </c>
      <c r="B66" s="114" t="str">
        <f aca="false">IF(الموظفون!$B66="","",الموظفون!$B66)</f>
        <v/>
      </c>
      <c r="C66" s="114" t="str">
        <f aca="false">IF($B66="","",الموظفون!$C66)</f>
        <v/>
      </c>
      <c r="D66" s="114" t="str">
        <f aca="false">IF($B66="","",الموظفون!$F66)</f>
        <v/>
      </c>
      <c r="E66" s="114" t="str">
        <f aca="false">IF($B66="","",الموظفون!$E66)</f>
        <v/>
      </c>
      <c r="F66" s="114" t="str">
        <f aca="false">IF($B66="","",IF(AK66=0,IF(AND(الموظفون!$AE66&lt;&gt;"",الموظفون!$AE66&lt;$E$3),"✖ منتهي الخدمة","⏳ لم يباشر"),IF(S66&gt;0,"✈ راتب إجازة مقدم",IF(J66=0,"⛔ بدون راتب هذا الشهر",IF(I66&gt;0,"✈ خصم "&amp;ROUND(I66,2)&amp;" يوم بدون أجر",IF(AL66&gt;0,"🌴 إجازة سنوية "&amp;ROUND(AL66,2)&amp;" يوم",IF(H66&gt;0,"⚠ غياب "&amp;ROUND(H66,2)&amp;" يوم","✔ على رأس العمل")))))))</f>
        <v/>
      </c>
      <c r="G66" s="151" t="str">
        <f aca="false">IF($B66="","",IF(AK66&gt;=DAY($F$3),cfg_DAYS_M,MIN(AK66,cfg_DAYS_M)))</f>
        <v/>
      </c>
      <c r="H66" s="151" t="str">
        <f aca="false">IF($B66="","",SUMIFS('الحركات الشهرية'!$D$6:$D$1005,'الحركات الشهرية'!$B$6:$B$1005,$B66,'الحركات الشهرية'!$A$6:$A$1005,$C$3))</f>
        <v/>
      </c>
      <c r="I66" s="151" t="str">
        <f aca="false">IF($B66="","",MIN(G66,IF(AND(AK66&gt;0,AN66&gt;=AK66),G66,AN66)+SUMIFS('الحركات الشهرية'!$E$6:$E$1005,'الحركات الشهرية'!$B$6:$B$1005,$B66,'الحركات الشهرية'!$A$6:$A$1005,$C$3)))</f>
        <v/>
      </c>
      <c r="J66" s="151" t="str">
        <f aca="false">IF($B66="","",MAX(0,G66-H66-I66))</f>
        <v/>
      </c>
      <c r="K66" s="111" t="str">
        <f aca="false">IF($B66="","",الموظفون!$L66*$J66/cfg_DAYS_M)</f>
        <v/>
      </c>
      <c r="L66" s="111" t="str">
        <f aca="false">IF($B66="","",الموظفون!$M66*$J66/cfg_DAYS_M)</f>
        <v/>
      </c>
      <c r="M66" s="111" t="str">
        <f aca="false">IF($B66="","",الموظفون!$N66*$J66/cfg_DAYS_M)</f>
        <v/>
      </c>
      <c r="N66" s="111" t="str">
        <f aca="false">IF($B66="","",الموظفون!$O66*$J66/cfg_DAYS_M)</f>
        <v/>
      </c>
      <c r="O66" s="151" t="str">
        <f aca="false">IF($B66="","",SUMIFS('الحركات الشهرية'!$F$6:$F$1005,'الحركات الشهرية'!$B$6:$B$1005,$B66,'الحركات الشهرية'!$A$6:$A$1005,$C$3))</f>
        <v/>
      </c>
      <c r="P66" s="111" t="str">
        <f aca="false">IF($B66="","",O66*(الموظفون!$P66+الموظفون!$L66*cfg_OT_P)/cfg_DAYS_M/cfg_HRS)</f>
        <v/>
      </c>
      <c r="Q66" s="111" t="str">
        <f aca="false">IF($B66="","",SUMIFS('الحركات الشهرية'!$G$6:$G$1005,'الحركات الشهرية'!$B$6:$B$1005,$B66,'الحركات الشهرية'!$A$6:$A$1005,$C$3))</f>
        <v/>
      </c>
      <c r="R66" s="111" t="str">
        <f aca="false">IF($B66="","",SUMIFS('الحركات الشهرية'!$H$6:$H$1005,'الحركات الشهرية'!$B$6:$B$1005,$B66,'الحركات الشهرية'!$A$6:$A$1005,$C$3))</f>
        <v/>
      </c>
      <c r="S66" s="111" t="str">
        <f aca="false">IF($B66="","",SUMIFS('سجل الإجازات والحالات'!$N$6:$N$505,'سجل الإجازات والحالات'!$B$6:$B$505,$B66,'سجل الإجازات والحالات'!$O$6:$O$505,$C$3))</f>
        <v/>
      </c>
      <c r="T66" s="152" t="str">
        <f aca="false">IF($B66="","",SUM(K66:N66)+SUM(P66:S66))</f>
        <v/>
      </c>
      <c r="U66" s="111" t="str">
        <f aca="false">IF($B66="","",الموظفون!$S66*IF(E66="سعودي",cfg_G_SE,cfg_G_NE)*G66/cfg_DAYS_M)</f>
        <v/>
      </c>
      <c r="V66" s="111" t="str">
        <f aca="false">IF($B66="","",SUMIFS('الحركات الشهرية'!$I$6:$I$1005,'الحركات الشهرية'!$B$6:$B$1005,$B66,'الحركات الشهرية'!$A$6:$A$1005,$C$3))</f>
        <v/>
      </c>
      <c r="W66" s="111" t="str">
        <f aca="false">IF($B66="","",SUMIFS('الحركات الشهرية'!$J$6:$J$1005,'الحركات الشهرية'!$B$6:$B$1005,$B66,'الحركات الشهرية'!$A$6:$A$1005,$C$3))</f>
        <v/>
      </c>
      <c r="X66" s="111" t="str">
        <f aca="false">IF($B66="","",SUM(U66:W66))</f>
        <v/>
      </c>
      <c r="Y66" s="153" t="str">
        <f aca="false">IF($B66="","",T66-X66)</f>
        <v/>
      </c>
      <c r="Z66" s="111" t="str">
        <f aca="false">IF($B66="","",الموظفون!$S66*IF(E66="سعودي",cfg_G_SR,cfg_G_NR)*G66/cfg_DAYS_M)</f>
        <v/>
      </c>
      <c r="AA66" s="111" t="str">
        <f aca="false">IF($B66="","",الموظفون!$Q66*(cfg_EOS_R1*(MIN(AH66,cfg_EOS_TH)-MIN(AI66,cfg_EOS_TH))+cfg_EOS_R2*(MAX(AH66-cfg_EOS_TH,0)-MAX(AI66-cfg_EOS_TH,0))))</f>
        <v/>
      </c>
      <c r="AB66" s="111" t="str">
        <f aca="false">IF($B66="","",IF(الموظفون!$T66&lt;&gt;"",الموظفون!$T66,IF(AH66&gt;=cfg_LV_TH,cfg_LV_D2,cfg_LV_D1))/cfg_DAYS_Y*AJ66*الموظفون!$R66/cfg_DAYS_M)</f>
        <v/>
      </c>
      <c r="AC66" s="111" t="str">
        <f aca="false">IF($B66="","",IF(AND(الموظفون!$U66="نعم",N(الموظفون!$W66)&gt;0),الموظفون!$V66/الموظفون!$W66*12/cfg_DAYS_Y*AJ66,0))</f>
        <v/>
      </c>
      <c r="AD66" s="111" t="str">
        <f aca="false">IF($B66="","",(IF(الموظفون!$X66&lt;&gt;"",الموظفون!$X66,IF(الموظفون!$E66="غير سعودي",cfg_IQ,0))+IF(الموظفون!$Y66&lt;&gt;"",الموظفون!$Y66,IF(الموظفون!$E66="غير سعودي",cfg_WP,0)))/12*G66/cfg_DAYS_M)</f>
        <v/>
      </c>
      <c r="AE66" s="111" t="str">
        <f aca="false">IF($B66="","",IF(الموظفون!$Z66&lt;&gt;"",الموظفون!$Z66,cfg_MED)/12*G66/cfg_DAYS_M)</f>
        <v/>
      </c>
      <c r="AF66" s="111" t="str">
        <f aca="false">IF($B66="","",N(الموظفون!$AA66)/12*G66/cfg_DAYS_M)</f>
        <v/>
      </c>
      <c r="AG66" s="154" t="str">
        <f aca="false">IF($B66="","",T66+SUM(Z66:AF66))</f>
        <v/>
      </c>
      <c r="AH66" s="155" t="str">
        <f aca="false">IF($B66="","",MAX(0,IF(OR(الموظفون!$AE66="",الموظفون!$AE66&gt;$F$3),$F$3,الموظفون!$AE66)-الموظفون!$H66+1-SUMIFS('سجل الإجازات والحالات'!$AK$6:$AK$505,'سجل الإجازات والحالات'!$B$6:$B$505,$B66))/cfg_DAYS_Y)</f>
        <v/>
      </c>
      <c r="AI66" s="155" t="str">
        <f aca="false">IF($B66="","",MAX(0,IF(OR(الموظفون!$AE66="",الموظفون!$AE66&gt;($E$3-1)),($E$3-1),الموظفون!$AE66)-الموظفون!$H66+1-SUMIFS('سجل الإجازات والحالات'!$AJ$6:$AJ$505,'سجل الإجازات والحالات'!$B$6:$B$505,$B66))/cfg_DAYS_Y)</f>
        <v/>
      </c>
      <c r="AJ66" s="65" t="str">
        <f aca="false">IF($B66="","",MAX(0,AK66-(SUMIFS('سجل الإجازات والحالات'!$AK$6:$AK$505,'سجل الإجازات والحالات'!$B$6:$B$505,$B66)-SUMIFS('سجل الإجازات والحالات'!$AJ$6:$AJ$505,'سجل الإجازات والحالات'!$B$6:$B$505,$B66))))</f>
        <v/>
      </c>
      <c r="AK66" s="65" t="str">
        <f aca="false">IF($B66="","",MAX(0,IF(OR(الموظفون!$AE66="",الموظفون!$AE66&gt;$F$3),$F$3,الموظفون!$AE66)-MAX($E$3,الموظفون!$H66)+1))</f>
        <v/>
      </c>
      <c r="AL66" s="151" t="str">
        <f aca="false">IF($B66="","",SUMIFS('سجل الإجازات والحالات'!$AW$6:$AW$505,'سجل الإجازات والحالات'!$B$6:$B$505,$B66)+SUMIFS('الحركات الشهرية'!$K$6:$K$1005,'الحركات الشهرية'!$B$6:$B$1005,$B66,'الحركات الشهرية'!$A$6:$A$1005,$C$3))</f>
        <v/>
      </c>
      <c r="AM66" s="111" t="str">
        <f aca="false">IF($B66="","",AL66*الموظفون!$R66/cfg_DAYS_M+S66)</f>
        <v/>
      </c>
      <c r="AN66" s="151" t="str">
        <f aca="false">IF($B66="","",SUMIFS('سجل الإجازات والحالات'!$Y$6:$Y$505,'سجل الإجازات والحالات'!$B$6:$B$505,$B66))</f>
        <v/>
      </c>
    </row>
    <row r="67" customFormat="false" ht="15" hidden="false" customHeight="false" outlineLevel="0" collapsed="false">
      <c r="A67" s="115" t="str">
        <f aca="false">IF($B67="","",الموظفون!$A67)</f>
        <v/>
      </c>
      <c r="B67" s="117" t="str">
        <f aca="false">IF(الموظفون!$B67="","",الموظفون!$B67)</f>
        <v/>
      </c>
      <c r="C67" s="117" t="str">
        <f aca="false">IF($B67="","",الموظفون!$C67)</f>
        <v/>
      </c>
      <c r="D67" s="117" t="str">
        <f aca="false">IF($B67="","",الموظفون!$F67)</f>
        <v/>
      </c>
      <c r="E67" s="117" t="str">
        <f aca="false">IF($B67="","",الموظفون!$E67)</f>
        <v/>
      </c>
      <c r="F67" s="117" t="str">
        <f aca="false">IF($B67="","",IF(AK67=0,IF(AND(الموظفون!$AE67&lt;&gt;"",الموظفون!$AE67&lt;$E$3),"✖ منتهي الخدمة","⏳ لم يباشر"),IF(S67&gt;0,"✈ راتب إجازة مقدم",IF(J67=0,"⛔ بدون راتب هذا الشهر",IF(I67&gt;0,"✈ خصم "&amp;ROUND(I67,2)&amp;" يوم بدون أجر",IF(AL67&gt;0,"🌴 إجازة سنوية "&amp;ROUND(AL67,2)&amp;" يوم",IF(H67&gt;0,"⚠ غياب "&amp;ROUND(H67,2)&amp;" يوم","✔ على رأس العمل")))))))</f>
        <v/>
      </c>
      <c r="G67" s="156" t="str">
        <f aca="false">IF($B67="","",IF(AK67&gt;=DAY($F$3),cfg_DAYS_M,MIN(AK67,cfg_DAYS_M)))</f>
        <v/>
      </c>
      <c r="H67" s="156" t="str">
        <f aca="false">IF($B67="","",SUMIFS('الحركات الشهرية'!$D$6:$D$1005,'الحركات الشهرية'!$B$6:$B$1005,$B67,'الحركات الشهرية'!$A$6:$A$1005,$C$3))</f>
        <v/>
      </c>
      <c r="I67" s="156" t="str">
        <f aca="false">IF($B67="","",MIN(G67,IF(AND(AK67&gt;0,AN67&gt;=AK67),G67,AN67)+SUMIFS('الحركات الشهرية'!$E$6:$E$1005,'الحركات الشهرية'!$B$6:$B$1005,$B67,'الحركات الشهرية'!$A$6:$A$1005,$C$3)))</f>
        <v/>
      </c>
      <c r="J67" s="156" t="str">
        <f aca="false">IF($B67="","",MAX(0,G67-H67-I67))</f>
        <v/>
      </c>
      <c r="K67" s="116" t="str">
        <f aca="false">IF($B67="","",الموظفون!$L67*$J67/cfg_DAYS_M)</f>
        <v/>
      </c>
      <c r="L67" s="116" t="str">
        <f aca="false">IF($B67="","",الموظفون!$M67*$J67/cfg_DAYS_M)</f>
        <v/>
      </c>
      <c r="M67" s="116" t="str">
        <f aca="false">IF($B67="","",الموظفون!$N67*$J67/cfg_DAYS_M)</f>
        <v/>
      </c>
      <c r="N67" s="116" t="str">
        <f aca="false">IF($B67="","",الموظفون!$O67*$J67/cfg_DAYS_M)</f>
        <v/>
      </c>
      <c r="O67" s="156" t="str">
        <f aca="false">IF($B67="","",SUMIFS('الحركات الشهرية'!$F$6:$F$1005,'الحركات الشهرية'!$B$6:$B$1005,$B67,'الحركات الشهرية'!$A$6:$A$1005,$C$3))</f>
        <v/>
      </c>
      <c r="P67" s="116" t="str">
        <f aca="false">IF($B67="","",O67*(الموظفون!$P67+الموظفون!$L67*cfg_OT_P)/cfg_DAYS_M/cfg_HRS)</f>
        <v/>
      </c>
      <c r="Q67" s="116" t="str">
        <f aca="false">IF($B67="","",SUMIFS('الحركات الشهرية'!$G$6:$G$1005,'الحركات الشهرية'!$B$6:$B$1005,$B67,'الحركات الشهرية'!$A$6:$A$1005,$C$3))</f>
        <v/>
      </c>
      <c r="R67" s="116" t="str">
        <f aca="false">IF($B67="","",SUMIFS('الحركات الشهرية'!$H$6:$H$1005,'الحركات الشهرية'!$B$6:$B$1005,$B67,'الحركات الشهرية'!$A$6:$A$1005,$C$3))</f>
        <v/>
      </c>
      <c r="S67" s="116" t="str">
        <f aca="false">IF($B67="","",SUMIFS('سجل الإجازات والحالات'!$N$6:$N$505,'سجل الإجازات والحالات'!$B$6:$B$505,$B67,'سجل الإجازات والحالات'!$O$6:$O$505,$C$3))</f>
        <v/>
      </c>
      <c r="T67" s="157" t="str">
        <f aca="false">IF($B67="","",SUM(K67:N67)+SUM(P67:S67))</f>
        <v/>
      </c>
      <c r="U67" s="116" t="str">
        <f aca="false">IF($B67="","",الموظفون!$S67*IF(E67="سعودي",cfg_G_SE,cfg_G_NE)*G67/cfg_DAYS_M)</f>
        <v/>
      </c>
      <c r="V67" s="116" t="str">
        <f aca="false">IF($B67="","",SUMIFS('الحركات الشهرية'!$I$6:$I$1005,'الحركات الشهرية'!$B$6:$B$1005,$B67,'الحركات الشهرية'!$A$6:$A$1005,$C$3))</f>
        <v/>
      </c>
      <c r="W67" s="116" t="str">
        <f aca="false">IF($B67="","",SUMIFS('الحركات الشهرية'!$J$6:$J$1005,'الحركات الشهرية'!$B$6:$B$1005,$B67,'الحركات الشهرية'!$A$6:$A$1005,$C$3))</f>
        <v/>
      </c>
      <c r="X67" s="116" t="str">
        <f aca="false">IF($B67="","",SUM(U67:W67))</f>
        <v/>
      </c>
      <c r="Y67" s="158" t="str">
        <f aca="false">IF($B67="","",T67-X67)</f>
        <v/>
      </c>
      <c r="Z67" s="116" t="str">
        <f aca="false">IF($B67="","",الموظفون!$S67*IF(E67="سعودي",cfg_G_SR,cfg_G_NR)*G67/cfg_DAYS_M)</f>
        <v/>
      </c>
      <c r="AA67" s="116" t="str">
        <f aca="false">IF($B67="","",الموظفون!$Q67*(cfg_EOS_R1*(MIN(AH67,cfg_EOS_TH)-MIN(AI67,cfg_EOS_TH))+cfg_EOS_R2*(MAX(AH67-cfg_EOS_TH,0)-MAX(AI67-cfg_EOS_TH,0))))</f>
        <v/>
      </c>
      <c r="AB67" s="116" t="str">
        <f aca="false">IF($B67="","",IF(الموظفون!$T67&lt;&gt;"",الموظفون!$T67,IF(AH67&gt;=cfg_LV_TH,cfg_LV_D2,cfg_LV_D1))/cfg_DAYS_Y*AJ67*الموظفون!$R67/cfg_DAYS_M)</f>
        <v/>
      </c>
      <c r="AC67" s="116" t="str">
        <f aca="false">IF($B67="","",IF(AND(الموظفون!$U67="نعم",N(الموظفون!$W67)&gt;0),الموظفون!$V67/الموظفون!$W67*12/cfg_DAYS_Y*AJ67,0))</f>
        <v/>
      </c>
      <c r="AD67" s="116" t="str">
        <f aca="false">IF($B67="","",(IF(الموظفون!$X67&lt;&gt;"",الموظفون!$X67,IF(الموظفون!$E67="غير سعودي",cfg_IQ,0))+IF(الموظفون!$Y67&lt;&gt;"",الموظفون!$Y67,IF(الموظفون!$E67="غير سعودي",cfg_WP,0)))/12*G67/cfg_DAYS_M)</f>
        <v/>
      </c>
      <c r="AE67" s="116" t="str">
        <f aca="false">IF($B67="","",IF(الموظفون!$Z67&lt;&gt;"",الموظفون!$Z67,cfg_MED)/12*G67/cfg_DAYS_M)</f>
        <v/>
      </c>
      <c r="AF67" s="116" t="str">
        <f aca="false">IF($B67="","",N(الموظفون!$AA67)/12*G67/cfg_DAYS_M)</f>
        <v/>
      </c>
      <c r="AG67" s="159" t="str">
        <f aca="false">IF($B67="","",T67+SUM(Z67:AF67))</f>
        <v/>
      </c>
      <c r="AH67" s="160" t="str">
        <f aca="false">IF($B67="","",MAX(0,IF(OR(الموظفون!$AE67="",الموظفون!$AE67&gt;$F$3),$F$3,الموظفون!$AE67)-الموظفون!$H67+1-SUMIFS('سجل الإجازات والحالات'!$AK$6:$AK$505,'سجل الإجازات والحالات'!$B$6:$B$505,$B67))/cfg_DAYS_Y)</f>
        <v/>
      </c>
      <c r="AI67" s="160" t="str">
        <f aca="false">IF($B67="","",MAX(0,IF(OR(الموظفون!$AE67="",الموظفون!$AE67&gt;($E$3-1)),($E$3-1),الموظفون!$AE67)-الموظفون!$H67+1-SUMIFS('سجل الإجازات والحالات'!$AJ$6:$AJ$505,'سجل الإجازات والحالات'!$B$6:$B$505,$B67))/cfg_DAYS_Y)</f>
        <v/>
      </c>
      <c r="AJ67" s="133" t="str">
        <f aca="false">IF($B67="","",MAX(0,AK67-(SUMIFS('سجل الإجازات والحالات'!$AK$6:$AK$505,'سجل الإجازات والحالات'!$B$6:$B$505,$B67)-SUMIFS('سجل الإجازات والحالات'!$AJ$6:$AJ$505,'سجل الإجازات والحالات'!$B$6:$B$505,$B67))))</f>
        <v/>
      </c>
      <c r="AK67" s="133" t="str">
        <f aca="false">IF($B67="","",MAX(0,IF(OR(الموظفون!$AE67="",الموظفون!$AE67&gt;$F$3),$F$3,الموظفون!$AE67)-MAX($E$3,الموظفون!$H67)+1))</f>
        <v/>
      </c>
      <c r="AL67" s="156" t="str">
        <f aca="false">IF($B67="","",SUMIFS('سجل الإجازات والحالات'!$AW$6:$AW$505,'سجل الإجازات والحالات'!$B$6:$B$505,$B67)+SUMIFS('الحركات الشهرية'!$K$6:$K$1005,'الحركات الشهرية'!$B$6:$B$1005,$B67,'الحركات الشهرية'!$A$6:$A$1005,$C$3))</f>
        <v/>
      </c>
      <c r="AM67" s="116" t="str">
        <f aca="false">IF($B67="","",AL67*الموظفون!$R67/cfg_DAYS_M+S67)</f>
        <v/>
      </c>
      <c r="AN67" s="156" t="str">
        <f aca="false">IF($B67="","",SUMIFS('سجل الإجازات والحالات'!$Y$6:$Y$505,'سجل الإجازات والحالات'!$B$6:$B$505,$B67))</f>
        <v/>
      </c>
    </row>
    <row r="68" customFormat="false" ht="15" hidden="false" customHeight="false" outlineLevel="0" collapsed="false">
      <c r="A68" s="106" t="str">
        <f aca="false">IF($B68="","",الموظفون!$A68)</f>
        <v/>
      </c>
      <c r="B68" s="114" t="str">
        <f aca="false">IF(الموظفون!$B68="","",الموظفون!$B68)</f>
        <v/>
      </c>
      <c r="C68" s="114" t="str">
        <f aca="false">IF($B68="","",الموظفون!$C68)</f>
        <v/>
      </c>
      <c r="D68" s="114" t="str">
        <f aca="false">IF($B68="","",الموظفون!$F68)</f>
        <v/>
      </c>
      <c r="E68" s="114" t="str">
        <f aca="false">IF($B68="","",الموظفون!$E68)</f>
        <v/>
      </c>
      <c r="F68" s="114" t="str">
        <f aca="false">IF($B68="","",IF(AK68=0,IF(AND(الموظفون!$AE68&lt;&gt;"",الموظفون!$AE68&lt;$E$3),"✖ منتهي الخدمة","⏳ لم يباشر"),IF(S68&gt;0,"✈ راتب إجازة مقدم",IF(J68=0,"⛔ بدون راتب هذا الشهر",IF(I68&gt;0,"✈ خصم "&amp;ROUND(I68,2)&amp;" يوم بدون أجر",IF(AL68&gt;0,"🌴 إجازة سنوية "&amp;ROUND(AL68,2)&amp;" يوم",IF(H68&gt;0,"⚠ غياب "&amp;ROUND(H68,2)&amp;" يوم","✔ على رأس العمل")))))))</f>
        <v/>
      </c>
      <c r="G68" s="151" t="str">
        <f aca="false">IF($B68="","",IF(AK68&gt;=DAY($F$3),cfg_DAYS_M,MIN(AK68,cfg_DAYS_M)))</f>
        <v/>
      </c>
      <c r="H68" s="151" t="str">
        <f aca="false">IF($B68="","",SUMIFS('الحركات الشهرية'!$D$6:$D$1005,'الحركات الشهرية'!$B$6:$B$1005,$B68,'الحركات الشهرية'!$A$6:$A$1005,$C$3))</f>
        <v/>
      </c>
      <c r="I68" s="151" t="str">
        <f aca="false">IF($B68="","",MIN(G68,IF(AND(AK68&gt;0,AN68&gt;=AK68),G68,AN68)+SUMIFS('الحركات الشهرية'!$E$6:$E$1005,'الحركات الشهرية'!$B$6:$B$1005,$B68,'الحركات الشهرية'!$A$6:$A$1005,$C$3)))</f>
        <v/>
      </c>
      <c r="J68" s="151" t="str">
        <f aca="false">IF($B68="","",MAX(0,G68-H68-I68))</f>
        <v/>
      </c>
      <c r="K68" s="111" t="str">
        <f aca="false">IF($B68="","",الموظفون!$L68*$J68/cfg_DAYS_M)</f>
        <v/>
      </c>
      <c r="L68" s="111" t="str">
        <f aca="false">IF($B68="","",الموظفون!$M68*$J68/cfg_DAYS_M)</f>
        <v/>
      </c>
      <c r="M68" s="111" t="str">
        <f aca="false">IF($B68="","",الموظفون!$N68*$J68/cfg_DAYS_M)</f>
        <v/>
      </c>
      <c r="N68" s="111" t="str">
        <f aca="false">IF($B68="","",الموظفون!$O68*$J68/cfg_DAYS_M)</f>
        <v/>
      </c>
      <c r="O68" s="151" t="str">
        <f aca="false">IF($B68="","",SUMIFS('الحركات الشهرية'!$F$6:$F$1005,'الحركات الشهرية'!$B$6:$B$1005,$B68,'الحركات الشهرية'!$A$6:$A$1005,$C$3))</f>
        <v/>
      </c>
      <c r="P68" s="111" t="str">
        <f aca="false">IF($B68="","",O68*(الموظفون!$P68+الموظفون!$L68*cfg_OT_P)/cfg_DAYS_M/cfg_HRS)</f>
        <v/>
      </c>
      <c r="Q68" s="111" t="str">
        <f aca="false">IF($B68="","",SUMIFS('الحركات الشهرية'!$G$6:$G$1005,'الحركات الشهرية'!$B$6:$B$1005,$B68,'الحركات الشهرية'!$A$6:$A$1005,$C$3))</f>
        <v/>
      </c>
      <c r="R68" s="111" t="str">
        <f aca="false">IF($B68="","",SUMIFS('الحركات الشهرية'!$H$6:$H$1005,'الحركات الشهرية'!$B$6:$B$1005,$B68,'الحركات الشهرية'!$A$6:$A$1005,$C$3))</f>
        <v/>
      </c>
      <c r="S68" s="111" t="str">
        <f aca="false">IF($B68="","",SUMIFS('سجل الإجازات والحالات'!$N$6:$N$505,'سجل الإجازات والحالات'!$B$6:$B$505,$B68,'سجل الإجازات والحالات'!$O$6:$O$505,$C$3))</f>
        <v/>
      </c>
      <c r="T68" s="152" t="str">
        <f aca="false">IF($B68="","",SUM(K68:N68)+SUM(P68:S68))</f>
        <v/>
      </c>
      <c r="U68" s="111" t="str">
        <f aca="false">IF($B68="","",الموظفون!$S68*IF(E68="سعودي",cfg_G_SE,cfg_G_NE)*G68/cfg_DAYS_M)</f>
        <v/>
      </c>
      <c r="V68" s="111" t="str">
        <f aca="false">IF($B68="","",SUMIFS('الحركات الشهرية'!$I$6:$I$1005,'الحركات الشهرية'!$B$6:$B$1005,$B68,'الحركات الشهرية'!$A$6:$A$1005,$C$3))</f>
        <v/>
      </c>
      <c r="W68" s="111" t="str">
        <f aca="false">IF($B68="","",SUMIFS('الحركات الشهرية'!$J$6:$J$1005,'الحركات الشهرية'!$B$6:$B$1005,$B68,'الحركات الشهرية'!$A$6:$A$1005,$C$3))</f>
        <v/>
      </c>
      <c r="X68" s="111" t="str">
        <f aca="false">IF($B68="","",SUM(U68:W68))</f>
        <v/>
      </c>
      <c r="Y68" s="153" t="str">
        <f aca="false">IF($B68="","",T68-X68)</f>
        <v/>
      </c>
      <c r="Z68" s="111" t="str">
        <f aca="false">IF($B68="","",الموظفون!$S68*IF(E68="سعودي",cfg_G_SR,cfg_G_NR)*G68/cfg_DAYS_M)</f>
        <v/>
      </c>
      <c r="AA68" s="111" t="str">
        <f aca="false">IF($B68="","",الموظفون!$Q68*(cfg_EOS_R1*(MIN(AH68,cfg_EOS_TH)-MIN(AI68,cfg_EOS_TH))+cfg_EOS_R2*(MAX(AH68-cfg_EOS_TH,0)-MAX(AI68-cfg_EOS_TH,0))))</f>
        <v/>
      </c>
      <c r="AB68" s="111" t="str">
        <f aca="false">IF($B68="","",IF(الموظفون!$T68&lt;&gt;"",الموظفون!$T68,IF(AH68&gt;=cfg_LV_TH,cfg_LV_D2,cfg_LV_D1))/cfg_DAYS_Y*AJ68*الموظفون!$R68/cfg_DAYS_M)</f>
        <v/>
      </c>
      <c r="AC68" s="111" t="str">
        <f aca="false">IF($B68="","",IF(AND(الموظفون!$U68="نعم",N(الموظفون!$W68)&gt;0),الموظفون!$V68/الموظفون!$W68*12/cfg_DAYS_Y*AJ68,0))</f>
        <v/>
      </c>
      <c r="AD68" s="111" t="str">
        <f aca="false">IF($B68="","",(IF(الموظفون!$X68&lt;&gt;"",الموظفون!$X68,IF(الموظفون!$E68="غير سعودي",cfg_IQ,0))+IF(الموظفون!$Y68&lt;&gt;"",الموظفون!$Y68,IF(الموظفون!$E68="غير سعودي",cfg_WP,0)))/12*G68/cfg_DAYS_M)</f>
        <v/>
      </c>
      <c r="AE68" s="111" t="str">
        <f aca="false">IF($B68="","",IF(الموظفون!$Z68&lt;&gt;"",الموظفون!$Z68,cfg_MED)/12*G68/cfg_DAYS_M)</f>
        <v/>
      </c>
      <c r="AF68" s="111" t="str">
        <f aca="false">IF($B68="","",N(الموظفون!$AA68)/12*G68/cfg_DAYS_M)</f>
        <v/>
      </c>
      <c r="AG68" s="154" t="str">
        <f aca="false">IF($B68="","",T68+SUM(Z68:AF68))</f>
        <v/>
      </c>
      <c r="AH68" s="155" t="str">
        <f aca="false">IF($B68="","",MAX(0,IF(OR(الموظفون!$AE68="",الموظفون!$AE68&gt;$F$3),$F$3,الموظفون!$AE68)-الموظفون!$H68+1-SUMIFS('سجل الإجازات والحالات'!$AK$6:$AK$505,'سجل الإجازات والحالات'!$B$6:$B$505,$B68))/cfg_DAYS_Y)</f>
        <v/>
      </c>
      <c r="AI68" s="155" t="str">
        <f aca="false">IF($B68="","",MAX(0,IF(OR(الموظفون!$AE68="",الموظفون!$AE68&gt;($E$3-1)),($E$3-1),الموظفون!$AE68)-الموظفون!$H68+1-SUMIFS('سجل الإجازات والحالات'!$AJ$6:$AJ$505,'سجل الإجازات والحالات'!$B$6:$B$505,$B68))/cfg_DAYS_Y)</f>
        <v/>
      </c>
      <c r="AJ68" s="65" t="str">
        <f aca="false">IF($B68="","",MAX(0,AK68-(SUMIFS('سجل الإجازات والحالات'!$AK$6:$AK$505,'سجل الإجازات والحالات'!$B$6:$B$505,$B68)-SUMIFS('سجل الإجازات والحالات'!$AJ$6:$AJ$505,'سجل الإجازات والحالات'!$B$6:$B$505,$B68))))</f>
        <v/>
      </c>
      <c r="AK68" s="65" t="str">
        <f aca="false">IF($B68="","",MAX(0,IF(OR(الموظفون!$AE68="",الموظفون!$AE68&gt;$F$3),$F$3,الموظفون!$AE68)-MAX($E$3,الموظفون!$H68)+1))</f>
        <v/>
      </c>
      <c r="AL68" s="151" t="str">
        <f aca="false">IF($B68="","",SUMIFS('سجل الإجازات والحالات'!$AW$6:$AW$505,'سجل الإجازات والحالات'!$B$6:$B$505,$B68)+SUMIFS('الحركات الشهرية'!$K$6:$K$1005,'الحركات الشهرية'!$B$6:$B$1005,$B68,'الحركات الشهرية'!$A$6:$A$1005,$C$3))</f>
        <v/>
      </c>
      <c r="AM68" s="111" t="str">
        <f aca="false">IF($B68="","",AL68*الموظفون!$R68/cfg_DAYS_M+S68)</f>
        <v/>
      </c>
      <c r="AN68" s="151" t="str">
        <f aca="false">IF($B68="","",SUMIFS('سجل الإجازات والحالات'!$Y$6:$Y$505,'سجل الإجازات والحالات'!$B$6:$B$505,$B68))</f>
        <v/>
      </c>
    </row>
    <row r="69" customFormat="false" ht="15" hidden="false" customHeight="false" outlineLevel="0" collapsed="false">
      <c r="A69" s="115" t="str">
        <f aca="false">IF($B69="","",الموظفون!$A69)</f>
        <v/>
      </c>
      <c r="B69" s="117" t="str">
        <f aca="false">IF(الموظفون!$B69="","",الموظفون!$B69)</f>
        <v/>
      </c>
      <c r="C69" s="117" t="str">
        <f aca="false">IF($B69="","",الموظفون!$C69)</f>
        <v/>
      </c>
      <c r="D69" s="117" t="str">
        <f aca="false">IF($B69="","",الموظفون!$F69)</f>
        <v/>
      </c>
      <c r="E69" s="117" t="str">
        <f aca="false">IF($B69="","",الموظفون!$E69)</f>
        <v/>
      </c>
      <c r="F69" s="117" t="str">
        <f aca="false">IF($B69="","",IF(AK69=0,IF(AND(الموظفون!$AE69&lt;&gt;"",الموظفون!$AE69&lt;$E$3),"✖ منتهي الخدمة","⏳ لم يباشر"),IF(S69&gt;0,"✈ راتب إجازة مقدم",IF(J69=0,"⛔ بدون راتب هذا الشهر",IF(I69&gt;0,"✈ خصم "&amp;ROUND(I69,2)&amp;" يوم بدون أجر",IF(AL69&gt;0,"🌴 إجازة سنوية "&amp;ROUND(AL69,2)&amp;" يوم",IF(H69&gt;0,"⚠ غياب "&amp;ROUND(H69,2)&amp;" يوم","✔ على رأس العمل")))))))</f>
        <v/>
      </c>
      <c r="G69" s="156" t="str">
        <f aca="false">IF($B69="","",IF(AK69&gt;=DAY($F$3),cfg_DAYS_M,MIN(AK69,cfg_DAYS_M)))</f>
        <v/>
      </c>
      <c r="H69" s="156" t="str">
        <f aca="false">IF($B69="","",SUMIFS('الحركات الشهرية'!$D$6:$D$1005,'الحركات الشهرية'!$B$6:$B$1005,$B69,'الحركات الشهرية'!$A$6:$A$1005,$C$3))</f>
        <v/>
      </c>
      <c r="I69" s="156" t="str">
        <f aca="false">IF($B69="","",MIN(G69,IF(AND(AK69&gt;0,AN69&gt;=AK69),G69,AN69)+SUMIFS('الحركات الشهرية'!$E$6:$E$1005,'الحركات الشهرية'!$B$6:$B$1005,$B69,'الحركات الشهرية'!$A$6:$A$1005,$C$3)))</f>
        <v/>
      </c>
      <c r="J69" s="156" t="str">
        <f aca="false">IF($B69="","",MAX(0,G69-H69-I69))</f>
        <v/>
      </c>
      <c r="K69" s="116" t="str">
        <f aca="false">IF($B69="","",الموظفون!$L69*$J69/cfg_DAYS_M)</f>
        <v/>
      </c>
      <c r="L69" s="116" t="str">
        <f aca="false">IF($B69="","",الموظفون!$M69*$J69/cfg_DAYS_M)</f>
        <v/>
      </c>
      <c r="M69" s="116" t="str">
        <f aca="false">IF($B69="","",الموظفون!$N69*$J69/cfg_DAYS_M)</f>
        <v/>
      </c>
      <c r="N69" s="116" t="str">
        <f aca="false">IF($B69="","",الموظفون!$O69*$J69/cfg_DAYS_M)</f>
        <v/>
      </c>
      <c r="O69" s="156" t="str">
        <f aca="false">IF($B69="","",SUMIFS('الحركات الشهرية'!$F$6:$F$1005,'الحركات الشهرية'!$B$6:$B$1005,$B69,'الحركات الشهرية'!$A$6:$A$1005,$C$3))</f>
        <v/>
      </c>
      <c r="P69" s="116" t="str">
        <f aca="false">IF($B69="","",O69*(الموظفون!$P69+الموظفون!$L69*cfg_OT_P)/cfg_DAYS_M/cfg_HRS)</f>
        <v/>
      </c>
      <c r="Q69" s="116" t="str">
        <f aca="false">IF($B69="","",SUMIFS('الحركات الشهرية'!$G$6:$G$1005,'الحركات الشهرية'!$B$6:$B$1005,$B69,'الحركات الشهرية'!$A$6:$A$1005,$C$3))</f>
        <v/>
      </c>
      <c r="R69" s="116" t="str">
        <f aca="false">IF($B69="","",SUMIFS('الحركات الشهرية'!$H$6:$H$1005,'الحركات الشهرية'!$B$6:$B$1005,$B69,'الحركات الشهرية'!$A$6:$A$1005,$C$3))</f>
        <v/>
      </c>
      <c r="S69" s="116" t="str">
        <f aca="false">IF($B69="","",SUMIFS('سجل الإجازات والحالات'!$N$6:$N$505,'سجل الإجازات والحالات'!$B$6:$B$505,$B69,'سجل الإجازات والحالات'!$O$6:$O$505,$C$3))</f>
        <v/>
      </c>
      <c r="T69" s="157" t="str">
        <f aca="false">IF($B69="","",SUM(K69:N69)+SUM(P69:S69))</f>
        <v/>
      </c>
      <c r="U69" s="116" t="str">
        <f aca="false">IF($B69="","",الموظفون!$S69*IF(E69="سعودي",cfg_G_SE,cfg_G_NE)*G69/cfg_DAYS_M)</f>
        <v/>
      </c>
      <c r="V69" s="116" t="str">
        <f aca="false">IF($B69="","",SUMIFS('الحركات الشهرية'!$I$6:$I$1005,'الحركات الشهرية'!$B$6:$B$1005,$B69,'الحركات الشهرية'!$A$6:$A$1005,$C$3))</f>
        <v/>
      </c>
      <c r="W69" s="116" t="str">
        <f aca="false">IF($B69="","",SUMIFS('الحركات الشهرية'!$J$6:$J$1005,'الحركات الشهرية'!$B$6:$B$1005,$B69,'الحركات الشهرية'!$A$6:$A$1005,$C$3))</f>
        <v/>
      </c>
      <c r="X69" s="116" t="str">
        <f aca="false">IF($B69="","",SUM(U69:W69))</f>
        <v/>
      </c>
      <c r="Y69" s="158" t="str">
        <f aca="false">IF($B69="","",T69-X69)</f>
        <v/>
      </c>
      <c r="Z69" s="116" t="str">
        <f aca="false">IF($B69="","",الموظفون!$S69*IF(E69="سعودي",cfg_G_SR,cfg_G_NR)*G69/cfg_DAYS_M)</f>
        <v/>
      </c>
      <c r="AA69" s="116" t="str">
        <f aca="false">IF($B69="","",الموظفون!$Q69*(cfg_EOS_R1*(MIN(AH69,cfg_EOS_TH)-MIN(AI69,cfg_EOS_TH))+cfg_EOS_R2*(MAX(AH69-cfg_EOS_TH,0)-MAX(AI69-cfg_EOS_TH,0))))</f>
        <v/>
      </c>
      <c r="AB69" s="116" t="str">
        <f aca="false">IF($B69="","",IF(الموظفون!$T69&lt;&gt;"",الموظفون!$T69,IF(AH69&gt;=cfg_LV_TH,cfg_LV_D2,cfg_LV_D1))/cfg_DAYS_Y*AJ69*الموظفون!$R69/cfg_DAYS_M)</f>
        <v/>
      </c>
      <c r="AC69" s="116" t="str">
        <f aca="false">IF($B69="","",IF(AND(الموظفون!$U69="نعم",N(الموظفون!$W69)&gt;0),الموظفون!$V69/الموظفون!$W69*12/cfg_DAYS_Y*AJ69,0))</f>
        <v/>
      </c>
      <c r="AD69" s="116" t="str">
        <f aca="false">IF($B69="","",(IF(الموظفون!$X69&lt;&gt;"",الموظفون!$X69,IF(الموظفون!$E69="غير سعودي",cfg_IQ,0))+IF(الموظفون!$Y69&lt;&gt;"",الموظفون!$Y69,IF(الموظفون!$E69="غير سعودي",cfg_WP,0)))/12*G69/cfg_DAYS_M)</f>
        <v/>
      </c>
      <c r="AE69" s="116" t="str">
        <f aca="false">IF($B69="","",IF(الموظفون!$Z69&lt;&gt;"",الموظفون!$Z69,cfg_MED)/12*G69/cfg_DAYS_M)</f>
        <v/>
      </c>
      <c r="AF69" s="116" t="str">
        <f aca="false">IF($B69="","",N(الموظفون!$AA69)/12*G69/cfg_DAYS_M)</f>
        <v/>
      </c>
      <c r="AG69" s="159" t="str">
        <f aca="false">IF($B69="","",T69+SUM(Z69:AF69))</f>
        <v/>
      </c>
      <c r="AH69" s="160" t="str">
        <f aca="false">IF($B69="","",MAX(0,IF(OR(الموظفون!$AE69="",الموظفون!$AE69&gt;$F$3),$F$3,الموظفون!$AE69)-الموظفون!$H69+1-SUMIFS('سجل الإجازات والحالات'!$AK$6:$AK$505,'سجل الإجازات والحالات'!$B$6:$B$505,$B69))/cfg_DAYS_Y)</f>
        <v/>
      </c>
      <c r="AI69" s="160" t="str">
        <f aca="false">IF($B69="","",MAX(0,IF(OR(الموظفون!$AE69="",الموظفون!$AE69&gt;($E$3-1)),($E$3-1),الموظفون!$AE69)-الموظفون!$H69+1-SUMIFS('سجل الإجازات والحالات'!$AJ$6:$AJ$505,'سجل الإجازات والحالات'!$B$6:$B$505,$B69))/cfg_DAYS_Y)</f>
        <v/>
      </c>
      <c r="AJ69" s="133" t="str">
        <f aca="false">IF($B69="","",MAX(0,AK69-(SUMIFS('سجل الإجازات والحالات'!$AK$6:$AK$505,'سجل الإجازات والحالات'!$B$6:$B$505,$B69)-SUMIFS('سجل الإجازات والحالات'!$AJ$6:$AJ$505,'سجل الإجازات والحالات'!$B$6:$B$505,$B69))))</f>
        <v/>
      </c>
      <c r="AK69" s="133" t="str">
        <f aca="false">IF($B69="","",MAX(0,IF(OR(الموظفون!$AE69="",الموظفون!$AE69&gt;$F$3),$F$3,الموظفون!$AE69)-MAX($E$3,الموظفون!$H69)+1))</f>
        <v/>
      </c>
      <c r="AL69" s="156" t="str">
        <f aca="false">IF($B69="","",SUMIFS('سجل الإجازات والحالات'!$AW$6:$AW$505,'سجل الإجازات والحالات'!$B$6:$B$505,$B69)+SUMIFS('الحركات الشهرية'!$K$6:$K$1005,'الحركات الشهرية'!$B$6:$B$1005,$B69,'الحركات الشهرية'!$A$6:$A$1005,$C$3))</f>
        <v/>
      </c>
      <c r="AM69" s="116" t="str">
        <f aca="false">IF($B69="","",AL69*الموظفون!$R69/cfg_DAYS_M+S69)</f>
        <v/>
      </c>
      <c r="AN69" s="156" t="str">
        <f aca="false">IF($B69="","",SUMIFS('سجل الإجازات والحالات'!$Y$6:$Y$505,'سجل الإجازات والحالات'!$B$6:$B$505,$B69))</f>
        <v/>
      </c>
    </row>
    <row r="70" customFormat="false" ht="15" hidden="false" customHeight="false" outlineLevel="0" collapsed="false">
      <c r="A70" s="106" t="str">
        <f aca="false">IF($B70="","",الموظفون!$A70)</f>
        <v/>
      </c>
      <c r="B70" s="114" t="str">
        <f aca="false">IF(الموظفون!$B70="","",الموظفون!$B70)</f>
        <v/>
      </c>
      <c r="C70" s="114" t="str">
        <f aca="false">IF($B70="","",الموظفون!$C70)</f>
        <v/>
      </c>
      <c r="D70" s="114" t="str">
        <f aca="false">IF($B70="","",الموظفون!$F70)</f>
        <v/>
      </c>
      <c r="E70" s="114" t="str">
        <f aca="false">IF($B70="","",الموظفون!$E70)</f>
        <v/>
      </c>
      <c r="F70" s="114" t="str">
        <f aca="false">IF($B70="","",IF(AK70=0,IF(AND(الموظفون!$AE70&lt;&gt;"",الموظفون!$AE70&lt;$E$3),"✖ منتهي الخدمة","⏳ لم يباشر"),IF(S70&gt;0,"✈ راتب إجازة مقدم",IF(J70=0,"⛔ بدون راتب هذا الشهر",IF(I70&gt;0,"✈ خصم "&amp;ROUND(I70,2)&amp;" يوم بدون أجر",IF(AL70&gt;0,"🌴 إجازة سنوية "&amp;ROUND(AL70,2)&amp;" يوم",IF(H70&gt;0,"⚠ غياب "&amp;ROUND(H70,2)&amp;" يوم","✔ على رأس العمل")))))))</f>
        <v/>
      </c>
      <c r="G70" s="151" t="str">
        <f aca="false">IF($B70="","",IF(AK70&gt;=DAY($F$3),cfg_DAYS_M,MIN(AK70,cfg_DAYS_M)))</f>
        <v/>
      </c>
      <c r="H70" s="151" t="str">
        <f aca="false">IF($B70="","",SUMIFS('الحركات الشهرية'!$D$6:$D$1005,'الحركات الشهرية'!$B$6:$B$1005,$B70,'الحركات الشهرية'!$A$6:$A$1005,$C$3))</f>
        <v/>
      </c>
      <c r="I70" s="151" t="str">
        <f aca="false">IF($B70="","",MIN(G70,IF(AND(AK70&gt;0,AN70&gt;=AK70),G70,AN70)+SUMIFS('الحركات الشهرية'!$E$6:$E$1005,'الحركات الشهرية'!$B$6:$B$1005,$B70,'الحركات الشهرية'!$A$6:$A$1005,$C$3)))</f>
        <v/>
      </c>
      <c r="J70" s="151" t="str">
        <f aca="false">IF($B70="","",MAX(0,G70-H70-I70))</f>
        <v/>
      </c>
      <c r="K70" s="111" t="str">
        <f aca="false">IF($B70="","",الموظفون!$L70*$J70/cfg_DAYS_M)</f>
        <v/>
      </c>
      <c r="L70" s="111" t="str">
        <f aca="false">IF($B70="","",الموظفون!$M70*$J70/cfg_DAYS_M)</f>
        <v/>
      </c>
      <c r="M70" s="111" t="str">
        <f aca="false">IF($B70="","",الموظفون!$N70*$J70/cfg_DAYS_M)</f>
        <v/>
      </c>
      <c r="N70" s="111" t="str">
        <f aca="false">IF($B70="","",الموظفون!$O70*$J70/cfg_DAYS_M)</f>
        <v/>
      </c>
      <c r="O70" s="151" t="str">
        <f aca="false">IF($B70="","",SUMIFS('الحركات الشهرية'!$F$6:$F$1005,'الحركات الشهرية'!$B$6:$B$1005,$B70,'الحركات الشهرية'!$A$6:$A$1005,$C$3))</f>
        <v/>
      </c>
      <c r="P70" s="111" t="str">
        <f aca="false">IF($B70="","",O70*(الموظفون!$P70+الموظفون!$L70*cfg_OT_P)/cfg_DAYS_M/cfg_HRS)</f>
        <v/>
      </c>
      <c r="Q70" s="111" t="str">
        <f aca="false">IF($B70="","",SUMIFS('الحركات الشهرية'!$G$6:$G$1005,'الحركات الشهرية'!$B$6:$B$1005,$B70,'الحركات الشهرية'!$A$6:$A$1005,$C$3))</f>
        <v/>
      </c>
      <c r="R70" s="111" t="str">
        <f aca="false">IF($B70="","",SUMIFS('الحركات الشهرية'!$H$6:$H$1005,'الحركات الشهرية'!$B$6:$B$1005,$B70,'الحركات الشهرية'!$A$6:$A$1005,$C$3))</f>
        <v/>
      </c>
      <c r="S70" s="111" t="str">
        <f aca="false">IF($B70="","",SUMIFS('سجل الإجازات والحالات'!$N$6:$N$505,'سجل الإجازات والحالات'!$B$6:$B$505,$B70,'سجل الإجازات والحالات'!$O$6:$O$505,$C$3))</f>
        <v/>
      </c>
      <c r="T70" s="152" t="str">
        <f aca="false">IF($B70="","",SUM(K70:N70)+SUM(P70:S70))</f>
        <v/>
      </c>
      <c r="U70" s="111" t="str">
        <f aca="false">IF($B70="","",الموظفون!$S70*IF(E70="سعودي",cfg_G_SE,cfg_G_NE)*G70/cfg_DAYS_M)</f>
        <v/>
      </c>
      <c r="V70" s="111" t="str">
        <f aca="false">IF($B70="","",SUMIFS('الحركات الشهرية'!$I$6:$I$1005,'الحركات الشهرية'!$B$6:$B$1005,$B70,'الحركات الشهرية'!$A$6:$A$1005,$C$3))</f>
        <v/>
      </c>
      <c r="W70" s="111" t="str">
        <f aca="false">IF($B70="","",SUMIFS('الحركات الشهرية'!$J$6:$J$1005,'الحركات الشهرية'!$B$6:$B$1005,$B70,'الحركات الشهرية'!$A$6:$A$1005,$C$3))</f>
        <v/>
      </c>
      <c r="X70" s="111" t="str">
        <f aca="false">IF($B70="","",SUM(U70:W70))</f>
        <v/>
      </c>
      <c r="Y70" s="153" t="str">
        <f aca="false">IF($B70="","",T70-X70)</f>
        <v/>
      </c>
      <c r="Z70" s="111" t="str">
        <f aca="false">IF($B70="","",الموظفون!$S70*IF(E70="سعودي",cfg_G_SR,cfg_G_NR)*G70/cfg_DAYS_M)</f>
        <v/>
      </c>
      <c r="AA70" s="111" t="str">
        <f aca="false">IF($B70="","",الموظفون!$Q70*(cfg_EOS_R1*(MIN(AH70,cfg_EOS_TH)-MIN(AI70,cfg_EOS_TH))+cfg_EOS_R2*(MAX(AH70-cfg_EOS_TH,0)-MAX(AI70-cfg_EOS_TH,0))))</f>
        <v/>
      </c>
      <c r="AB70" s="111" t="str">
        <f aca="false">IF($B70="","",IF(الموظفون!$T70&lt;&gt;"",الموظفون!$T70,IF(AH70&gt;=cfg_LV_TH,cfg_LV_D2,cfg_LV_D1))/cfg_DAYS_Y*AJ70*الموظفون!$R70/cfg_DAYS_M)</f>
        <v/>
      </c>
      <c r="AC70" s="111" t="str">
        <f aca="false">IF($B70="","",IF(AND(الموظفون!$U70="نعم",N(الموظفون!$W70)&gt;0),الموظفون!$V70/الموظفون!$W70*12/cfg_DAYS_Y*AJ70,0))</f>
        <v/>
      </c>
      <c r="AD70" s="111" t="str">
        <f aca="false">IF($B70="","",(IF(الموظفون!$X70&lt;&gt;"",الموظفون!$X70,IF(الموظفون!$E70="غير سعودي",cfg_IQ,0))+IF(الموظفون!$Y70&lt;&gt;"",الموظفون!$Y70,IF(الموظفون!$E70="غير سعودي",cfg_WP,0)))/12*G70/cfg_DAYS_M)</f>
        <v/>
      </c>
      <c r="AE70" s="111" t="str">
        <f aca="false">IF($B70="","",IF(الموظفون!$Z70&lt;&gt;"",الموظفون!$Z70,cfg_MED)/12*G70/cfg_DAYS_M)</f>
        <v/>
      </c>
      <c r="AF70" s="111" t="str">
        <f aca="false">IF($B70="","",N(الموظفون!$AA70)/12*G70/cfg_DAYS_M)</f>
        <v/>
      </c>
      <c r="AG70" s="154" t="str">
        <f aca="false">IF($B70="","",T70+SUM(Z70:AF70))</f>
        <v/>
      </c>
      <c r="AH70" s="155" t="str">
        <f aca="false">IF($B70="","",MAX(0,IF(OR(الموظفون!$AE70="",الموظفون!$AE70&gt;$F$3),$F$3,الموظفون!$AE70)-الموظفون!$H70+1-SUMIFS('سجل الإجازات والحالات'!$AK$6:$AK$505,'سجل الإجازات والحالات'!$B$6:$B$505,$B70))/cfg_DAYS_Y)</f>
        <v/>
      </c>
      <c r="AI70" s="155" t="str">
        <f aca="false">IF($B70="","",MAX(0,IF(OR(الموظفون!$AE70="",الموظفون!$AE70&gt;($E$3-1)),($E$3-1),الموظفون!$AE70)-الموظفون!$H70+1-SUMIFS('سجل الإجازات والحالات'!$AJ$6:$AJ$505,'سجل الإجازات والحالات'!$B$6:$B$505,$B70))/cfg_DAYS_Y)</f>
        <v/>
      </c>
      <c r="AJ70" s="65" t="str">
        <f aca="false">IF($B70="","",MAX(0,AK70-(SUMIFS('سجل الإجازات والحالات'!$AK$6:$AK$505,'سجل الإجازات والحالات'!$B$6:$B$505,$B70)-SUMIFS('سجل الإجازات والحالات'!$AJ$6:$AJ$505,'سجل الإجازات والحالات'!$B$6:$B$505,$B70))))</f>
        <v/>
      </c>
      <c r="AK70" s="65" t="str">
        <f aca="false">IF($B70="","",MAX(0,IF(OR(الموظفون!$AE70="",الموظفون!$AE70&gt;$F$3),$F$3,الموظفون!$AE70)-MAX($E$3,الموظفون!$H70)+1))</f>
        <v/>
      </c>
      <c r="AL70" s="151" t="str">
        <f aca="false">IF($B70="","",SUMIFS('سجل الإجازات والحالات'!$AW$6:$AW$505,'سجل الإجازات والحالات'!$B$6:$B$505,$B70)+SUMIFS('الحركات الشهرية'!$K$6:$K$1005,'الحركات الشهرية'!$B$6:$B$1005,$B70,'الحركات الشهرية'!$A$6:$A$1005,$C$3))</f>
        <v/>
      </c>
      <c r="AM70" s="111" t="str">
        <f aca="false">IF($B70="","",AL70*الموظفون!$R70/cfg_DAYS_M+S70)</f>
        <v/>
      </c>
      <c r="AN70" s="151" t="str">
        <f aca="false">IF($B70="","",SUMIFS('سجل الإجازات والحالات'!$Y$6:$Y$505,'سجل الإجازات والحالات'!$B$6:$B$505,$B70))</f>
        <v/>
      </c>
    </row>
    <row r="71" customFormat="false" ht="15" hidden="false" customHeight="false" outlineLevel="0" collapsed="false">
      <c r="A71" s="115" t="str">
        <f aca="false">IF($B71="","",الموظفون!$A71)</f>
        <v/>
      </c>
      <c r="B71" s="117" t="str">
        <f aca="false">IF(الموظفون!$B71="","",الموظفون!$B71)</f>
        <v/>
      </c>
      <c r="C71" s="117" t="str">
        <f aca="false">IF($B71="","",الموظفون!$C71)</f>
        <v/>
      </c>
      <c r="D71" s="117" t="str">
        <f aca="false">IF($B71="","",الموظفون!$F71)</f>
        <v/>
      </c>
      <c r="E71" s="117" t="str">
        <f aca="false">IF($B71="","",الموظفون!$E71)</f>
        <v/>
      </c>
      <c r="F71" s="117" t="str">
        <f aca="false">IF($B71="","",IF(AK71=0,IF(AND(الموظفون!$AE71&lt;&gt;"",الموظفون!$AE71&lt;$E$3),"✖ منتهي الخدمة","⏳ لم يباشر"),IF(S71&gt;0,"✈ راتب إجازة مقدم",IF(J71=0,"⛔ بدون راتب هذا الشهر",IF(I71&gt;0,"✈ خصم "&amp;ROUND(I71,2)&amp;" يوم بدون أجر",IF(AL71&gt;0,"🌴 إجازة سنوية "&amp;ROUND(AL71,2)&amp;" يوم",IF(H71&gt;0,"⚠ غياب "&amp;ROUND(H71,2)&amp;" يوم","✔ على رأس العمل")))))))</f>
        <v/>
      </c>
      <c r="G71" s="156" t="str">
        <f aca="false">IF($B71="","",IF(AK71&gt;=DAY($F$3),cfg_DAYS_M,MIN(AK71,cfg_DAYS_M)))</f>
        <v/>
      </c>
      <c r="H71" s="156" t="str">
        <f aca="false">IF($B71="","",SUMIFS('الحركات الشهرية'!$D$6:$D$1005,'الحركات الشهرية'!$B$6:$B$1005,$B71,'الحركات الشهرية'!$A$6:$A$1005,$C$3))</f>
        <v/>
      </c>
      <c r="I71" s="156" t="str">
        <f aca="false">IF($B71="","",MIN(G71,IF(AND(AK71&gt;0,AN71&gt;=AK71),G71,AN71)+SUMIFS('الحركات الشهرية'!$E$6:$E$1005,'الحركات الشهرية'!$B$6:$B$1005,$B71,'الحركات الشهرية'!$A$6:$A$1005,$C$3)))</f>
        <v/>
      </c>
      <c r="J71" s="156" t="str">
        <f aca="false">IF($B71="","",MAX(0,G71-H71-I71))</f>
        <v/>
      </c>
      <c r="K71" s="116" t="str">
        <f aca="false">IF($B71="","",الموظفون!$L71*$J71/cfg_DAYS_M)</f>
        <v/>
      </c>
      <c r="L71" s="116" t="str">
        <f aca="false">IF($B71="","",الموظفون!$M71*$J71/cfg_DAYS_M)</f>
        <v/>
      </c>
      <c r="M71" s="116" t="str">
        <f aca="false">IF($B71="","",الموظفون!$N71*$J71/cfg_DAYS_M)</f>
        <v/>
      </c>
      <c r="N71" s="116" t="str">
        <f aca="false">IF($B71="","",الموظفون!$O71*$J71/cfg_DAYS_M)</f>
        <v/>
      </c>
      <c r="O71" s="156" t="str">
        <f aca="false">IF($B71="","",SUMIFS('الحركات الشهرية'!$F$6:$F$1005,'الحركات الشهرية'!$B$6:$B$1005,$B71,'الحركات الشهرية'!$A$6:$A$1005,$C$3))</f>
        <v/>
      </c>
      <c r="P71" s="116" t="str">
        <f aca="false">IF($B71="","",O71*(الموظفون!$P71+الموظفون!$L71*cfg_OT_P)/cfg_DAYS_M/cfg_HRS)</f>
        <v/>
      </c>
      <c r="Q71" s="116" t="str">
        <f aca="false">IF($B71="","",SUMIFS('الحركات الشهرية'!$G$6:$G$1005,'الحركات الشهرية'!$B$6:$B$1005,$B71,'الحركات الشهرية'!$A$6:$A$1005,$C$3))</f>
        <v/>
      </c>
      <c r="R71" s="116" t="str">
        <f aca="false">IF($B71="","",SUMIFS('الحركات الشهرية'!$H$6:$H$1005,'الحركات الشهرية'!$B$6:$B$1005,$B71,'الحركات الشهرية'!$A$6:$A$1005,$C$3))</f>
        <v/>
      </c>
      <c r="S71" s="116" t="str">
        <f aca="false">IF($B71="","",SUMIFS('سجل الإجازات والحالات'!$N$6:$N$505,'سجل الإجازات والحالات'!$B$6:$B$505,$B71,'سجل الإجازات والحالات'!$O$6:$O$505,$C$3))</f>
        <v/>
      </c>
      <c r="T71" s="157" t="str">
        <f aca="false">IF($B71="","",SUM(K71:N71)+SUM(P71:S71))</f>
        <v/>
      </c>
      <c r="U71" s="116" t="str">
        <f aca="false">IF($B71="","",الموظفون!$S71*IF(E71="سعودي",cfg_G_SE,cfg_G_NE)*G71/cfg_DAYS_M)</f>
        <v/>
      </c>
      <c r="V71" s="116" t="str">
        <f aca="false">IF($B71="","",SUMIFS('الحركات الشهرية'!$I$6:$I$1005,'الحركات الشهرية'!$B$6:$B$1005,$B71,'الحركات الشهرية'!$A$6:$A$1005,$C$3))</f>
        <v/>
      </c>
      <c r="W71" s="116" t="str">
        <f aca="false">IF($B71="","",SUMIFS('الحركات الشهرية'!$J$6:$J$1005,'الحركات الشهرية'!$B$6:$B$1005,$B71,'الحركات الشهرية'!$A$6:$A$1005,$C$3))</f>
        <v/>
      </c>
      <c r="X71" s="116" t="str">
        <f aca="false">IF($B71="","",SUM(U71:W71))</f>
        <v/>
      </c>
      <c r="Y71" s="158" t="str">
        <f aca="false">IF($B71="","",T71-X71)</f>
        <v/>
      </c>
      <c r="Z71" s="116" t="str">
        <f aca="false">IF($B71="","",الموظفون!$S71*IF(E71="سعودي",cfg_G_SR,cfg_G_NR)*G71/cfg_DAYS_M)</f>
        <v/>
      </c>
      <c r="AA71" s="116" t="str">
        <f aca="false">IF($B71="","",الموظفون!$Q71*(cfg_EOS_R1*(MIN(AH71,cfg_EOS_TH)-MIN(AI71,cfg_EOS_TH))+cfg_EOS_R2*(MAX(AH71-cfg_EOS_TH,0)-MAX(AI71-cfg_EOS_TH,0))))</f>
        <v/>
      </c>
      <c r="AB71" s="116" t="str">
        <f aca="false">IF($B71="","",IF(الموظفون!$T71&lt;&gt;"",الموظفون!$T71,IF(AH71&gt;=cfg_LV_TH,cfg_LV_D2,cfg_LV_D1))/cfg_DAYS_Y*AJ71*الموظفون!$R71/cfg_DAYS_M)</f>
        <v/>
      </c>
      <c r="AC71" s="116" t="str">
        <f aca="false">IF($B71="","",IF(AND(الموظفون!$U71="نعم",N(الموظفون!$W71)&gt;0),الموظفون!$V71/الموظفون!$W71*12/cfg_DAYS_Y*AJ71,0))</f>
        <v/>
      </c>
      <c r="AD71" s="116" t="str">
        <f aca="false">IF($B71="","",(IF(الموظفون!$X71&lt;&gt;"",الموظفون!$X71,IF(الموظفون!$E71="غير سعودي",cfg_IQ,0))+IF(الموظفون!$Y71&lt;&gt;"",الموظفون!$Y71,IF(الموظفون!$E71="غير سعودي",cfg_WP,0)))/12*G71/cfg_DAYS_M)</f>
        <v/>
      </c>
      <c r="AE71" s="116" t="str">
        <f aca="false">IF($B71="","",IF(الموظفون!$Z71&lt;&gt;"",الموظفون!$Z71,cfg_MED)/12*G71/cfg_DAYS_M)</f>
        <v/>
      </c>
      <c r="AF71" s="116" t="str">
        <f aca="false">IF($B71="","",N(الموظفون!$AA71)/12*G71/cfg_DAYS_M)</f>
        <v/>
      </c>
      <c r="AG71" s="159" t="str">
        <f aca="false">IF($B71="","",T71+SUM(Z71:AF71))</f>
        <v/>
      </c>
      <c r="AH71" s="160" t="str">
        <f aca="false">IF($B71="","",MAX(0,IF(OR(الموظفون!$AE71="",الموظفون!$AE71&gt;$F$3),$F$3,الموظفون!$AE71)-الموظفون!$H71+1-SUMIFS('سجل الإجازات والحالات'!$AK$6:$AK$505,'سجل الإجازات والحالات'!$B$6:$B$505,$B71))/cfg_DAYS_Y)</f>
        <v/>
      </c>
      <c r="AI71" s="160" t="str">
        <f aca="false">IF($B71="","",MAX(0,IF(OR(الموظفون!$AE71="",الموظفون!$AE71&gt;($E$3-1)),($E$3-1),الموظفون!$AE71)-الموظفون!$H71+1-SUMIFS('سجل الإجازات والحالات'!$AJ$6:$AJ$505,'سجل الإجازات والحالات'!$B$6:$B$505,$B71))/cfg_DAYS_Y)</f>
        <v/>
      </c>
      <c r="AJ71" s="133" t="str">
        <f aca="false">IF($B71="","",MAX(0,AK71-(SUMIFS('سجل الإجازات والحالات'!$AK$6:$AK$505,'سجل الإجازات والحالات'!$B$6:$B$505,$B71)-SUMIFS('سجل الإجازات والحالات'!$AJ$6:$AJ$505,'سجل الإجازات والحالات'!$B$6:$B$505,$B71))))</f>
        <v/>
      </c>
      <c r="AK71" s="133" t="str">
        <f aca="false">IF($B71="","",MAX(0,IF(OR(الموظفون!$AE71="",الموظفون!$AE71&gt;$F$3),$F$3,الموظفون!$AE71)-MAX($E$3,الموظفون!$H71)+1))</f>
        <v/>
      </c>
      <c r="AL71" s="156" t="str">
        <f aca="false">IF($B71="","",SUMIFS('سجل الإجازات والحالات'!$AW$6:$AW$505,'سجل الإجازات والحالات'!$B$6:$B$505,$B71)+SUMIFS('الحركات الشهرية'!$K$6:$K$1005,'الحركات الشهرية'!$B$6:$B$1005,$B71,'الحركات الشهرية'!$A$6:$A$1005,$C$3))</f>
        <v/>
      </c>
      <c r="AM71" s="116" t="str">
        <f aca="false">IF($B71="","",AL71*الموظفون!$R71/cfg_DAYS_M+S71)</f>
        <v/>
      </c>
      <c r="AN71" s="156" t="str">
        <f aca="false">IF($B71="","",SUMIFS('سجل الإجازات والحالات'!$Y$6:$Y$505,'سجل الإجازات والحالات'!$B$6:$B$505,$B71))</f>
        <v/>
      </c>
    </row>
    <row r="72" customFormat="false" ht="15" hidden="false" customHeight="false" outlineLevel="0" collapsed="false">
      <c r="A72" s="106" t="str">
        <f aca="false">IF($B72="","",الموظفون!$A72)</f>
        <v/>
      </c>
      <c r="B72" s="114" t="str">
        <f aca="false">IF(الموظفون!$B72="","",الموظفون!$B72)</f>
        <v/>
      </c>
      <c r="C72" s="114" t="str">
        <f aca="false">IF($B72="","",الموظفون!$C72)</f>
        <v/>
      </c>
      <c r="D72" s="114" t="str">
        <f aca="false">IF($B72="","",الموظفون!$F72)</f>
        <v/>
      </c>
      <c r="E72" s="114" t="str">
        <f aca="false">IF($B72="","",الموظفون!$E72)</f>
        <v/>
      </c>
      <c r="F72" s="114" t="str">
        <f aca="false">IF($B72="","",IF(AK72=0,IF(AND(الموظفون!$AE72&lt;&gt;"",الموظفون!$AE72&lt;$E$3),"✖ منتهي الخدمة","⏳ لم يباشر"),IF(S72&gt;0,"✈ راتب إجازة مقدم",IF(J72=0,"⛔ بدون راتب هذا الشهر",IF(I72&gt;0,"✈ خصم "&amp;ROUND(I72,2)&amp;" يوم بدون أجر",IF(AL72&gt;0,"🌴 إجازة سنوية "&amp;ROUND(AL72,2)&amp;" يوم",IF(H72&gt;0,"⚠ غياب "&amp;ROUND(H72,2)&amp;" يوم","✔ على رأس العمل")))))))</f>
        <v/>
      </c>
      <c r="G72" s="151" t="str">
        <f aca="false">IF($B72="","",IF(AK72&gt;=DAY($F$3),cfg_DAYS_M,MIN(AK72,cfg_DAYS_M)))</f>
        <v/>
      </c>
      <c r="H72" s="151" t="str">
        <f aca="false">IF($B72="","",SUMIFS('الحركات الشهرية'!$D$6:$D$1005,'الحركات الشهرية'!$B$6:$B$1005,$B72,'الحركات الشهرية'!$A$6:$A$1005,$C$3))</f>
        <v/>
      </c>
      <c r="I72" s="151" t="str">
        <f aca="false">IF($B72="","",MIN(G72,IF(AND(AK72&gt;0,AN72&gt;=AK72),G72,AN72)+SUMIFS('الحركات الشهرية'!$E$6:$E$1005,'الحركات الشهرية'!$B$6:$B$1005,$B72,'الحركات الشهرية'!$A$6:$A$1005,$C$3)))</f>
        <v/>
      </c>
      <c r="J72" s="151" t="str">
        <f aca="false">IF($B72="","",MAX(0,G72-H72-I72))</f>
        <v/>
      </c>
      <c r="K72" s="111" t="str">
        <f aca="false">IF($B72="","",الموظفون!$L72*$J72/cfg_DAYS_M)</f>
        <v/>
      </c>
      <c r="L72" s="111" t="str">
        <f aca="false">IF($B72="","",الموظفون!$M72*$J72/cfg_DAYS_M)</f>
        <v/>
      </c>
      <c r="M72" s="111" t="str">
        <f aca="false">IF($B72="","",الموظفون!$N72*$J72/cfg_DAYS_M)</f>
        <v/>
      </c>
      <c r="N72" s="111" t="str">
        <f aca="false">IF($B72="","",الموظفون!$O72*$J72/cfg_DAYS_M)</f>
        <v/>
      </c>
      <c r="O72" s="151" t="str">
        <f aca="false">IF($B72="","",SUMIFS('الحركات الشهرية'!$F$6:$F$1005,'الحركات الشهرية'!$B$6:$B$1005,$B72,'الحركات الشهرية'!$A$6:$A$1005,$C$3))</f>
        <v/>
      </c>
      <c r="P72" s="111" t="str">
        <f aca="false">IF($B72="","",O72*(الموظفون!$P72+الموظفون!$L72*cfg_OT_P)/cfg_DAYS_M/cfg_HRS)</f>
        <v/>
      </c>
      <c r="Q72" s="111" t="str">
        <f aca="false">IF($B72="","",SUMIFS('الحركات الشهرية'!$G$6:$G$1005,'الحركات الشهرية'!$B$6:$B$1005,$B72,'الحركات الشهرية'!$A$6:$A$1005,$C$3))</f>
        <v/>
      </c>
      <c r="R72" s="111" t="str">
        <f aca="false">IF($B72="","",SUMIFS('الحركات الشهرية'!$H$6:$H$1005,'الحركات الشهرية'!$B$6:$B$1005,$B72,'الحركات الشهرية'!$A$6:$A$1005,$C$3))</f>
        <v/>
      </c>
      <c r="S72" s="111" t="str">
        <f aca="false">IF($B72="","",SUMIFS('سجل الإجازات والحالات'!$N$6:$N$505,'سجل الإجازات والحالات'!$B$6:$B$505,$B72,'سجل الإجازات والحالات'!$O$6:$O$505,$C$3))</f>
        <v/>
      </c>
      <c r="T72" s="152" t="str">
        <f aca="false">IF($B72="","",SUM(K72:N72)+SUM(P72:S72))</f>
        <v/>
      </c>
      <c r="U72" s="111" t="str">
        <f aca="false">IF($B72="","",الموظفون!$S72*IF(E72="سعودي",cfg_G_SE,cfg_G_NE)*G72/cfg_DAYS_M)</f>
        <v/>
      </c>
      <c r="V72" s="111" t="str">
        <f aca="false">IF($B72="","",SUMIFS('الحركات الشهرية'!$I$6:$I$1005,'الحركات الشهرية'!$B$6:$B$1005,$B72,'الحركات الشهرية'!$A$6:$A$1005,$C$3))</f>
        <v/>
      </c>
      <c r="W72" s="111" t="str">
        <f aca="false">IF($B72="","",SUMIFS('الحركات الشهرية'!$J$6:$J$1005,'الحركات الشهرية'!$B$6:$B$1005,$B72,'الحركات الشهرية'!$A$6:$A$1005,$C$3))</f>
        <v/>
      </c>
      <c r="X72" s="111" t="str">
        <f aca="false">IF($B72="","",SUM(U72:W72))</f>
        <v/>
      </c>
      <c r="Y72" s="153" t="str">
        <f aca="false">IF($B72="","",T72-X72)</f>
        <v/>
      </c>
      <c r="Z72" s="111" t="str">
        <f aca="false">IF($B72="","",الموظفون!$S72*IF(E72="سعودي",cfg_G_SR,cfg_G_NR)*G72/cfg_DAYS_M)</f>
        <v/>
      </c>
      <c r="AA72" s="111" t="str">
        <f aca="false">IF($B72="","",الموظفون!$Q72*(cfg_EOS_R1*(MIN(AH72,cfg_EOS_TH)-MIN(AI72,cfg_EOS_TH))+cfg_EOS_R2*(MAX(AH72-cfg_EOS_TH,0)-MAX(AI72-cfg_EOS_TH,0))))</f>
        <v/>
      </c>
      <c r="AB72" s="111" t="str">
        <f aca="false">IF($B72="","",IF(الموظفون!$T72&lt;&gt;"",الموظفون!$T72,IF(AH72&gt;=cfg_LV_TH,cfg_LV_D2,cfg_LV_D1))/cfg_DAYS_Y*AJ72*الموظفون!$R72/cfg_DAYS_M)</f>
        <v/>
      </c>
      <c r="AC72" s="111" t="str">
        <f aca="false">IF($B72="","",IF(AND(الموظفون!$U72="نعم",N(الموظفون!$W72)&gt;0),الموظفون!$V72/الموظفون!$W72*12/cfg_DAYS_Y*AJ72,0))</f>
        <v/>
      </c>
      <c r="AD72" s="111" t="str">
        <f aca="false">IF($B72="","",(IF(الموظفون!$X72&lt;&gt;"",الموظفون!$X72,IF(الموظفون!$E72="غير سعودي",cfg_IQ,0))+IF(الموظفون!$Y72&lt;&gt;"",الموظفون!$Y72,IF(الموظفون!$E72="غير سعودي",cfg_WP,0)))/12*G72/cfg_DAYS_M)</f>
        <v/>
      </c>
      <c r="AE72" s="111" t="str">
        <f aca="false">IF($B72="","",IF(الموظفون!$Z72&lt;&gt;"",الموظفون!$Z72,cfg_MED)/12*G72/cfg_DAYS_M)</f>
        <v/>
      </c>
      <c r="AF72" s="111" t="str">
        <f aca="false">IF($B72="","",N(الموظفون!$AA72)/12*G72/cfg_DAYS_M)</f>
        <v/>
      </c>
      <c r="AG72" s="154" t="str">
        <f aca="false">IF($B72="","",T72+SUM(Z72:AF72))</f>
        <v/>
      </c>
      <c r="AH72" s="155" t="str">
        <f aca="false">IF($B72="","",MAX(0,IF(OR(الموظفون!$AE72="",الموظفون!$AE72&gt;$F$3),$F$3,الموظفون!$AE72)-الموظفون!$H72+1-SUMIFS('سجل الإجازات والحالات'!$AK$6:$AK$505,'سجل الإجازات والحالات'!$B$6:$B$505,$B72))/cfg_DAYS_Y)</f>
        <v/>
      </c>
      <c r="AI72" s="155" t="str">
        <f aca="false">IF($B72="","",MAX(0,IF(OR(الموظفون!$AE72="",الموظفون!$AE72&gt;($E$3-1)),($E$3-1),الموظفون!$AE72)-الموظفون!$H72+1-SUMIFS('سجل الإجازات والحالات'!$AJ$6:$AJ$505,'سجل الإجازات والحالات'!$B$6:$B$505,$B72))/cfg_DAYS_Y)</f>
        <v/>
      </c>
      <c r="AJ72" s="65" t="str">
        <f aca="false">IF($B72="","",MAX(0,AK72-(SUMIFS('سجل الإجازات والحالات'!$AK$6:$AK$505,'سجل الإجازات والحالات'!$B$6:$B$505,$B72)-SUMIFS('سجل الإجازات والحالات'!$AJ$6:$AJ$505,'سجل الإجازات والحالات'!$B$6:$B$505,$B72))))</f>
        <v/>
      </c>
      <c r="AK72" s="65" t="str">
        <f aca="false">IF($B72="","",MAX(0,IF(OR(الموظفون!$AE72="",الموظفون!$AE72&gt;$F$3),$F$3,الموظفون!$AE72)-MAX($E$3,الموظفون!$H72)+1))</f>
        <v/>
      </c>
      <c r="AL72" s="151" t="str">
        <f aca="false">IF($B72="","",SUMIFS('سجل الإجازات والحالات'!$AW$6:$AW$505,'سجل الإجازات والحالات'!$B$6:$B$505,$B72)+SUMIFS('الحركات الشهرية'!$K$6:$K$1005,'الحركات الشهرية'!$B$6:$B$1005,$B72,'الحركات الشهرية'!$A$6:$A$1005,$C$3))</f>
        <v/>
      </c>
      <c r="AM72" s="111" t="str">
        <f aca="false">IF($B72="","",AL72*الموظفون!$R72/cfg_DAYS_M+S72)</f>
        <v/>
      </c>
      <c r="AN72" s="151" t="str">
        <f aca="false">IF($B72="","",SUMIFS('سجل الإجازات والحالات'!$Y$6:$Y$505,'سجل الإجازات والحالات'!$B$6:$B$505,$B72))</f>
        <v/>
      </c>
    </row>
    <row r="73" customFormat="false" ht="15" hidden="false" customHeight="false" outlineLevel="0" collapsed="false">
      <c r="A73" s="115" t="str">
        <f aca="false">IF($B73="","",الموظفون!$A73)</f>
        <v/>
      </c>
      <c r="B73" s="117" t="str">
        <f aca="false">IF(الموظفون!$B73="","",الموظفون!$B73)</f>
        <v/>
      </c>
      <c r="C73" s="117" t="str">
        <f aca="false">IF($B73="","",الموظفون!$C73)</f>
        <v/>
      </c>
      <c r="D73" s="117" t="str">
        <f aca="false">IF($B73="","",الموظفون!$F73)</f>
        <v/>
      </c>
      <c r="E73" s="117" t="str">
        <f aca="false">IF($B73="","",الموظفون!$E73)</f>
        <v/>
      </c>
      <c r="F73" s="117" t="str">
        <f aca="false">IF($B73="","",IF(AK73=0,IF(AND(الموظفون!$AE73&lt;&gt;"",الموظفون!$AE73&lt;$E$3),"✖ منتهي الخدمة","⏳ لم يباشر"),IF(S73&gt;0,"✈ راتب إجازة مقدم",IF(J73=0,"⛔ بدون راتب هذا الشهر",IF(I73&gt;0,"✈ خصم "&amp;ROUND(I73,2)&amp;" يوم بدون أجر",IF(AL73&gt;0,"🌴 إجازة سنوية "&amp;ROUND(AL73,2)&amp;" يوم",IF(H73&gt;0,"⚠ غياب "&amp;ROUND(H73,2)&amp;" يوم","✔ على رأس العمل")))))))</f>
        <v/>
      </c>
      <c r="G73" s="156" t="str">
        <f aca="false">IF($B73="","",IF(AK73&gt;=DAY($F$3),cfg_DAYS_M,MIN(AK73,cfg_DAYS_M)))</f>
        <v/>
      </c>
      <c r="H73" s="156" t="str">
        <f aca="false">IF($B73="","",SUMIFS('الحركات الشهرية'!$D$6:$D$1005,'الحركات الشهرية'!$B$6:$B$1005,$B73,'الحركات الشهرية'!$A$6:$A$1005,$C$3))</f>
        <v/>
      </c>
      <c r="I73" s="156" t="str">
        <f aca="false">IF($B73="","",MIN(G73,IF(AND(AK73&gt;0,AN73&gt;=AK73),G73,AN73)+SUMIFS('الحركات الشهرية'!$E$6:$E$1005,'الحركات الشهرية'!$B$6:$B$1005,$B73,'الحركات الشهرية'!$A$6:$A$1005,$C$3)))</f>
        <v/>
      </c>
      <c r="J73" s="156" t="str">
        <f aca="false">IF($B73="","",MAX(0,G73-H73-I73))</f>
        <v/>
      </c>
      <c r="K73" s="116" t="str">
        <f aca="false">IF($B73="","",الموظفون!$L73*$J73/cfg_DAYS_M)</f>
        <v/>
      </c>
      <c r="L73" s="116" t="str">
        <f aca="false">IF($B73="","",الموظفون!$M73*$J73/cfg_DAYS_M)</f>
        <v/>
      </c>
      <c r="M73" s="116" t="str">
        <f aca="false">IF($B73="","",الموظفون!$N73*$J73/cfg_DAYS_M)</f>
        <v/>
      </c>
      <c r="N73" s="116" t="str">
        <f aca="false">IF($B73="","",الموظفون!$O73*$J73/cfg_DAYS_M)</f>
        <v/>
      </c>
      <c r="O73" s="156" t="str">
        <f aca="false">IF($B73="","",SUMIFS('الحركات الشهرية'!$F$6:$F$1005,'الحركات الشهرية'!$B$6:$B$1005,$B73,'الحركات الشهرية'!$A$6:$A$1005,$C$3))</f>
        <v/>
      </c>
      <c r="P73" s="116" t="str">
        <f aca="false">IF($B73="","",O73*(الموظفون!$P73+الموظفون!$L73*cfg_OT_P)/cfg_DAYS_M/cfg_HRS)</f>
        <v/>
      </c>
      <c r="Q73" s="116" t="str">
        <f aca="false">IF($B73="","",SUMIFS('الحركات الشهرية'!$G$6:$G$1005,'الحركات الشهرية'!$B$6:$B$1005,$B73,'الحركات الشهرية'!$A$6:$A$1005,$C$3))</f>
        <v/>
      </c>
      <c r="R73" s="116" t="str">
        <f aca="false">IF($B73="","",SUMIFS('الحركات الشهرية'!$H$6:$H$1005,'الحركات الشهرية'!$B$6:$B$1005,$B73,'الحركات الشهرية'!$A$6:$A$1005,$C$3))</f>
        <v/>
      </c>
      <c r="S73" s="116" t="str">
        <f aca="false">IF($B73="","",SUMIFS('سجل الإجازات والحالات'!$N$6:$N$505,'سجل الإجازات والحالات'!$B$6:$B$505,$B73,'سجل الإجازات والحالات'!$O$6:$O$505,$C$3))</f>
        <v/>
      </c>
      <c r="T73" s="157" t="str">
        <f aca="false">IF($B73="","",SUM(K73:N73)+SUM(P73:S73))</f>
        <v/>
      </c>
      <c r="U73" s="116" t="str">
        <f aca="false">IF($B73="","",الموظفون!$S73*IF(E73="سعودي",cfg_G_SE,cfg_G_NE)*G73/cfg_DAYS_M)</f>
        <v/>
      </c>
      <c r="V73" s="116" t="str">
        <f aca="false">IF($B73="","",SUMIFS('الحركات الشهرية'!$I$6:$I$1005,'الحركات الشهرية'!$B$6:$B$1005,$B73,'الحركات الشهرية'!$A$6:$A$1005,$C$3))</f>
        <v/>
      </c>
      <c r="W73" s="116" t="str">
        <f aca="false">IF($B73="","",SUMIFS('الحركات الشهرية'!$J$6:$J$1005,'الحركات الشهرية'!$B$6:$B$1005,$B73,'الحركات الشهرية'!$A$6:$A$1005,$C$3))</f>
        <v/>
      </c>
      <c r="X73" s="116" t="str">
        <f aca="false">IF($B73="","",SUM(U73:W73))</f>
        <v/>
      </c>
      <c r="Y73" s="158" t="str">
        <f aca="false">IF($B73="","",T73-X73)</f>
        <v/>
      </c>
      <c r="Z73" s="116" t="str">
        <f aca="false">IF($B73="","",الموظفون!$S73*IF(E73="سعودي",cfg_G_SR,cfg_G_NR)*G73/cfg_DAYS_M)</f>
        <v/>
      </c>
      <c r="AA73" s="116" t="str">
        <f aca="false">IF($B73="","",الموظفون!$Q73*(cfg_EOS_R1*(MIN(AH73,cfg_EOS_TH)-MIN(AI73,cfg_EOS_TH))+cfg_EOS_R2*(MAX(AH73-cfg_EOS_TH,0)-MAX(AI73-cfg_EOS_TH,0))))</f>
        <v/>
      </c>
      <c r="AB73" s="116" t="str">
        <f aca="false">IF($B73="","",IF(الموظفون!$T73&lt;&gt;"",الموظفون!$T73,IF(AH73&gt;=cfg_LV_TH,cfg_LV_D2,cfg_LV_D1))/cfg_DAYS_Y*AJ73*الموظفون!$R73/cfg_DAYS_M)</f>
        <v/>
      </c>
      <c r="AC73" s="116" t="str">
        <f aca="false">IF($B73="","",IF(AND(الموظفون!$U73="نعم",N(الموظفون!$W73)&gt;0),الموظفون!$V73/الموظفون!$W73*12/cfg_DAYS_Y*AJ73,0))</f>
        <v/>
      </c>
      <c r="AD73" s="116" t="str">
        <f aca="false">IF($B73="","",(IF(الموظفون!$X73&lt;&gt;"",الموظفون!$X73,IF(الموظفون!$E73="غير سعودي",cfg_IQ,0))+IF(الموظفون!$Y73&lt;&gt;"",الموظفون!$Y73,IF(الموظفون!$E73="غير سعودي",cfg_WP,0)))/12*G73/cfg_DAYS_M)</f>
        <v/>
      </c>
      <c r="AE73" s="116" t="str">
        <f aca="false">IF($B73="","",IF(الموظفون!$Z73&lt;&gt;"",الموظفون!$Z73,cfg_MED)/12*G73/cfg_DAYS_M)</f>
        <v/>
      </c>
      <c r="AF73" s="116" t="str">
        <f aca="false">IF($B73="","",N(الموظفون!$AA73)/12*G73/cfg_DAYS_M)</f>
        <v/>
      </c>
      <c r="AG73" s="159" t="str">
        <f aca="false">IF($B73="","",T73+SUM(Z73:AF73))</f>
        <v/>
      </c>
      <c r="AH73" s="160" t="str">
        <f aca="false">IF($B73="","",MAX(0,IF(OR(الموظفون!$AE73="",الموظفون!$AE73&gt;$F$3),$F$3,الموظفون!$AE73)-الموظفون!$H73+1-SUMIFS('سجل الإجازات والحالات'!$AK$6:$AK$505,'سجل الإجازات والحالات'!$B$6:$B$505,$B73))/cfg_DAYS_Y)</f>
        <v/>
      </c>
      <c r="AI73" s="160" t="str">
        <f aca="false">IF($B73="","",MAX(0,IF(OR(الموظفون!$AE73="",الموظفون!$AE73&gt;($E$3-1)),($E$3-1),الموظفون!$AE73)-الموظفون!$H73+1-SUMIFS('سجل الإجازات والحالات'!$AJ$6:$AJ$505,'سجل الإجازات والحالات'!$B$6:$B$505,$B73))/cfg_DAYS_Y)</f>
        <v/>
      </c>
      <c r="AJ73" s="133" t="str">
        <f aca="false">IF($B73="","",MAX(0,AK73-(SUMIFS('سجل الإجازات والحالات'!$AK$6:$AK$505,'سجل الإجازات والحالات'!$B$6:$B$505,$B73)-SUMIFS('سجل الإجازات والحالات'!$AJ$6:$AJ$505,'سجل الإجازات والحالات'!$B$6:$B$505,$B73))))</f>
        <v/>
      </c>
      <c r="AK73" s="133" t="str">
        <f aca="false">IF($B73="","",MAX(0,IF(OR(الموظفون!$AE73="",الموظفون!$AE73&gt;$F$3),$F$3,الموظفون!$AE73)-MAX($E$3,الموظفون!$H73)+1))</f>
        <v/>
      </c>
      <c r="AL73" s="156" t="str">
        <f aca="false">IF($B73="","",SUMIFS('سجل الإجازات والحالات'!$AW$6:$AW$505,'سجل الإجازات والحالات'!$B$6:$B$505,$B73)+SUMIFS('الحركات الشهرية'!$K$6:$K$1005,'الحركات الشهرية'!$B$6:$B$1005,$B73,'الحركات الشهرية'!$A$6:$A$1005,$C$3))</f>
        <v/>
      </c>
      <c r="AM73" s="116" t="str">
        <f aca="false">IF($B73="","",AL73*الموظفون!$R73/cfg_DAYS_M+S73)</f>
        <v/>
      </c>
      <c r="AN73" s="156" t="str">
        <f aca="false">IF($B73="","",SUMIFS('سجل الإجازات والحالات'!$Y$6:$Y$505,'سجل الإجازات والحالات'!$B$6:$B$505,$B73))</f>
        <v/>
      </c>
    </row>
    <row r="74" customFormat="false" ht="15" hidden="false" customHeight="false" outlineLevel="0" collapsed="false">
      <c r="A74" s="106" t="str">
        <f aca="false">IF($B74="","",الموظفون!$A74)</f>
        <v/>
      </c>
      <c r="B74" s="114" t="str">
        <f aca="false">IF(الموظفون!$B74="","",الموظفون!$B74)</f>
        <v/>
      </c>
      <c r="C74" s="114" t="str">
        <f aca="false">IF($B74="","",الموظفون!$C74)</f>
        <v/>
      </c>
      <c r="D74" s="114" t="str">
        <f aca="false">IF($B74="","",الموظفون!$F74)</f>
        <v/>
      </c>
      <c r="E74" s="114" t="str">
        <f aca="false">IF($B74="","",الموظفون!$E74)</f>
        <v/>
      </c>
      <c r="F74" s="114" t="str">
        <f aca="false">IF($B74="","",IF(AK74=0,IF(AND(الموظفون!$AE74&lt;&gt;"",الموظفون!$AE74&lt;$E$3),"✖ منتهي الخدمة","⏳ لم يباشر"),IF(S74&gt;0,"✈ راتب إجازة مقدم",IF(J74=0,"⛔ بدون راتب هذا الشهر",IF(I74&gt;0,"✈ خصم "&amp;ROUND(I74,2)&amp;" يوم بدون أجر",IF(AL74&gt;0,"🌴 إجازة سنوية "&amp;ROUND(AL74,2)&amp;" يوم",IF(H74&gt;0,"⚠ غياب "&amp;ROUND(H74,2)&amp;" يوم","✔ على رأس العمل")))))))</f>
        <v/>
      </c>
      <c r="G74" s="151" t="str">
        <f aca="false">IF($B74="","",IF(AK74&gt;=DAY($F$3),cfg_DAYS_M,MIN(AK74,cfg_DAYS_M)))</f>
        <v/>
      </c>
      <c r="H74" s="151" t="str">
        <f aca="false">IF($B74="","",SUMIFS('الحركات الشهرية'!$D$6:$D$1005,'الحركات الشهرية'!$B$6:$B$1005,$B74,'الحركات الشهرية'!$A$6:$A$1005,$C$3))</f>
        <v/>
      </c>
      <c r="I74" s="151" t="str">
        <f aca="false">IF($B74="","",MIN(G74,IF(AND(AK74&gt;0,AN74&gt;=AK74),G74,AN74)+SUMIFS('الحركات الشهرية'!$E$6:$E$1005,'الحركات الشهرية'!$B$6:$B$1005,$B74,'الحركات الشهرية'!$A$6:$A$1005,$C$3)))</f>
        <v/>
      </c>
      <c r="J74" s="151" t="str">
        <f aca="false">IF($B74="","",MAX(0,G74-H74-I74))</f>
        <v/>
      </c>
      <c r="K74" s="111" t="str">
        <f aca="false">IF($B74="","",الموظفون!$L74*$J74/cfg_DAYS_M)</f>
        <v/>
      </c>
      <c r="L74" s="111" t="str">
        <f aca="false">IF($B74="","",الموظفون!$M74*$J74/cfg_DAYS_M)</f>
        <v/>
      </c>
      <c r="M74" s="111" t="str">
        <f aca="false">IF($B74="","",الموظفون!$N74*$J74/cfg_DAYS_M)</f>
        <v/>
      </c>
      <c r="N74" s="111" t="str">
        <f aca="false">IF($B74="","",الموظفون!$O74*$J74/cfg_DAYS_M)</f>
        <v/>
      </c>
      <c r="O74" s="151" t="str">
        <f aca="false">IF($B74="","",SUMIFS('الحركات الشهرية'!$F$6:$F$1005,'الحركات الشهرية'!$B$6:$B$1005,$B74,'الحركات الشهرية'!$A$6:$A$1005,$C$3))</f>
        <v/>
      </c>
      <c r="P74" s="111" t="str">
        <f aca="false">IF($B74="","",O74*(الموظفون!$P74+الموظفون!$L74*cfg_OT_P)/cfg_DAYS_M/cfg_HRS)</f>
        <v/>
      </c>
      <c r="Q74" s="111" t="str">
        <f aca="false">IF($B74="","",SUMIFS('الحركات الشهرية'!$G$6:$G$1005,'الحركات الشهرية'!$B$6:$B$1005,$B74,'الحركات الشهرية'!$A$6:$A$1005,$C$3))</f>
        <v/>
      </c>
      <c r="R74" s="111" t="str">
        <f aca="false">IF($B74="","",SUMIFS('الحركات الشهرية'!$H$6:$H$1005,'الحركات الشهرية'!$B$6:$B$1005,$B74,'الحركات الشهرية'!$A$6:$A$1005,$C$3))</f>
        <v/>
      </c>
      <c r="S74" s="111" t="str">
        <f aca="false">IF($B74="","",SUMIFS('سجل الإجازات والحالات'!$N$6:$N$505,'سجل الإجازات والحالات'!$B$6:$B$505,$B74,'سجل الإجازات والحالات'!$O$6:$O$505,$C$3))</f>
        <v/>
      </c>
      <c r="T74" s="152" t="str">
        <f aca="false">IF($B74="","",SUM(K74:N74)+SUM(P74:S74))</f>
        <v/>
      </c>
      <c r="U74" s="111" t="str">
        <f aca="false">IF($B74="","",الموظفون!$S74*IF(E74="سعودي",cfg_G_SE,cfg_G_NE)*G74/cfg_DAYS_M)</f>
        <v/>
      </c>
      <c r="V74" s="111" t="str">
        <f aca="false">IF($B74="","",SUMIFS('الحركات الشهرية'!$I$6:$I$1005,'الحركات الشهرية'!$B$6:$B$1005,$B74,'الحركات الشهرية'!$A$6:$A$1005,$C$3))</f>
        <v/>
      </c>
      <c r="W74" s="111" t="str">
        <f aca="false">IF($B74="","",SUMIFS('الحركات الشهرية'!$J$6:$J$1005,'الحركات الشهرية'!$B$6:$B$1005,$B74,'الحركات الشهرية'!$A$6:$A$1005,$C$3))</f>
        <v/>
      </c>
      <c r="X74" s="111" t="str">
        <f aca="false">IF($B74="","",SUM(U74:W74))</f>
        <v/>
      </c>
      <c r="Y74" s="153" t="str">
        <f aca="false">IF($B74="","",T74-X74)</f>
        <v/>
      </c>
      <c r="Z74" s="111" t="str">
        <f aca="false">IF($B74="","",الموظفون!$S74*IF(E74="سعودي",cfg_G_SR,cfg_G_NR)*G74/cfg_DAYS_M)</f>
        <v/>
      </c>
      <c r="AA74" s="111" t="str">
        <f aca="false">IF($B74="","",الموظفون!$Q74*(cfg_EOS_R1*(MIN(AH74,cfg_EOS_TH)-MIN(AI74,cfg_EOS_TH))+cfg_EOS_R2*(MAX(AH74-cfg_EOS_TH,0)-MAX(AI74-cfg_EOS_TH,0))))</f>
        <v/>
      </c>
      <c r="AB74" s="111" t="str">
        <f aca="false">IF($B74="","",IF(الموظفون!$T74&lt;&gt;"",الموظفون!$T74,IF(AH74&gt;=cfg_LV_TH,cfg_LV_D2,cfg_LV_D1))/cfg_DAYS_Y*AJ74*الموظفون!$R74/cfg_DAYS_M)</f>
        <v/>
      </c>
      <c r="AC74" s="111" t="str">
        <f aca="false">IF($B74="","",IF(AND(الموظفون!$U74="نعم",N(الموظفون!$W74)&gt;0),الموظفون!$V74/الموظفون!$W74*12/cfg_DAYS_Y*AJ74,0))</f>
        <v/>
      </c>
      <c r="AD74" s="111" t="str">
        <f aca="false">IF($B74="","",(IF(الموظفون!$X74&lt;&gt;"",الموظفون!$X74,IF(الموظفون!$E74="غير سعودي",cfg_IQ,0))+IF(الموظفون!$Y74&lt;&gt;"",الموظفون!$Y74,IF(الموظفون!$E74="غير سعودي",cfg_WP,0)))/12*G74/cfg_DAYS_M)</f>
        <v/>
      </c>
      <c r="AE74" s="111" t="str">
        <f aca="false">IF($B74="","",IF(الموظفون!$Z74&lt;&gt;"",الموظفون!$Z74,cfg_MED)/12*G74/cfg_DAYS_M)</f>
        <v/>
      </c>
      <c r="AF74" s="111" t="str">
        <f aca="false">IF($B74="","",N(الموظفون!$AA74)/12*G74/cfg_DAYS_M)</f>
        <v/>
      </c>
      <c r="AG74" s="154" t="str">
        <f aca="false">IF($B74="","",T74+SUM(Z74:AF74))</f>
        <v/>
      </c>
      <c r="AH74" s="155" t="str">
        <f aca="false">IF($B74="","",MAX(0,IF(OR(الموظفون!$AE74="",الموظفون!$AE74&gt;$F$3),$F$3,الموظفون!$AE74)-الموظفون!$H74+1-SUMIFS('سجل الإجازات والحالات'!$AK$6:$AK$505,'سجل الإجازات والحالات'!$B$6:$B$505,$B74))/cfg_DAYS_Y)</f>
        <v/>
      </c>
      <c r="AI74" s="155" t="str">
        <f aca="false">IF($B74="","",MAX(0,IF(OR(الموظفون!$AE74="",الموظفون!$AE74&gt;($E$3-1)),($E$3-1),الموظفون!$AE74)-الموظفون!$H74+1-SUMIFS('سجل الإجازات والحالات'!$AJ$6:$AJ$505,'سجل الإجازات والحالات'!$B$6:$B$505,$B74))/cfg_DAYS_Y)</f>
        <v/>
      </c>
      <c r="AJ74" s="65" t="str">
        <f aca="false">IF($B74="","",MAX(0,AK74-(SUMIFS('سجل الإجازات والحالات'!$AK$6:$AK$505,'سجل الإجازات والحالات'!$B$6:$B$505,$B74)-SUMIFS('سجل الإجازات والحالات'!$AJ$6:$AJ$505,'سجل الإجازات والحالات'!$B$6:$B$505,$B74))))</f>
        <v/>
      </c>
      <c r="AK74" s="65" t="str">
        <f aca="false">IF($B74="","",MAX(0,IF(OR(الموظفون!$AE74="",الموظفون!$AE74&gt;$F$3),$F$3,الموظفون!$AE74)-MAX($E$3,الموظفون!$H74)+1))</f>
        <v/>
      </c>
      <c r="AL74" s="151" t="str">
        <f aca="false">IF($B74="","",SUMIFS('سجل الإجازات والحالات'!$AW$6:$AW$505,'سجل الإجازات والحالات'!$B$6:$B$505,$B74)+SUMIFS('الحركات الشهرية'!$K$6:$K$1005,'الحركات الشهرية'!$B$6:$B$1005,$B74,'الحركات الشهرية'!$A$6:$A$1005,$C$3))</f>
        <v/>
      </c>
      <c r="AM74" s="111" t="str">
        <f aca="false">IF($B74="","",AL74*الموظفون!$R74/cfg_DAYS_M+S74)</f>
        <v/>
      </c>
      <c r="AN74" s="151" t="str">
        <f aca="false">IF($B74="","",SUMIFS('سجل الإجازات والحالات'!$Y$6:$Y$505,'سجل الإجازات والحالات'!$B$6:$B$505,$B74))</f>
        <v/>
      </c>
    </row>
    <row r="75" customFormat="false" ht="15" hidden="false" customHeight="false" outlineLevel="0" collapsed="false">
      <c r="A75" s="115" t="str">
        <f aca="false">IF($B75="","",الموظفون!$A75)</f>
        <v/>
      </c>
      <c r="B75" s="117" t="str">
        <f aca="false">IF(الموظفون!$B75="","",الموظفون!$B75)</f>
        <v/>
      </c>
      <c r="C75" s="117" t="str">
        <f aca="false">IF($B75="","",الموظفون!$C75)</f>
        <v/>
      </c>
      <c r="D75" s="117" t="str">
        <f aca="false">IF($B75="","",الموظفون!$F75)</f>
        <v/>
      </c>
      <c r="E75" s="117" t="str">
        <f aca="false">IF($B75="","",الموظفون!$E75)</f>
        <v/>
      </c>
      <c r="F75" s="117" t="str">
        <f aca="false">IF($B75="","",IF(AK75=0,IF(AND(الموظفون!$AE75&lt;&gt;"",الموظفون!$AE75&lt;$E$3),"✖ منتهي الخدمة","⏳ لم يباشر"),IF(S75&gt;0,"✈ راتب إجازة مقدم",IF(J75=0,"⛔ بدون راتب هذا الشهر",IF(I75&gt;0,"✈ خصم "&amp;ROUND(I75,2)&amp;" يوم بدون أجر",IF(AL75&gt;0,"🌴 إجازة سنوية "&amp;ROUND(AL75,2)&amp;" يوم",IF(H75&gt;0,"⚠ غياب "&amp;ROUND(H75,2)&amp;" يوم","✔ على رأس العمل")))))))</f>
        <v/>
      </c>
      <c r="G75" s="156" t="str">
        <f aca="false">IF($B75="","",IF(AK75&gt;=DAY($F$3),cfg_DAYS_M,MIN(AK75,cfg_DAYS_M)))</f>
        <v/>
      </c>
      <c r="H75" s="156" t="str">
        <f aca="false">IF($B75="","",SUMIFS('الحركات الشهرية'!$D$6:$D$1005,'الحركات الشهرية'!$B$6:$B$1005,$B75,'الحركات الشهرية'!$A$6:$A$1005,$C$3))</f>
        <v/>
      </c>
      <c r="I75" s="156" t="str">
        <f aca="false">IF($B75="","",MIN(G75,IF(AND(AK75&gt;0,AN75&gt;=AK75),G75,AN75)+SUMIFS('الحركات الشهرية'!$E$6:$E$1005,'الحركات الشهرية'!$B$6:$B$1005,$B75,'الحركات الشهرية'!$A$6:$A$1005,$C$3)))</f>
        <v/>
      </c>
      <c r="J75" s="156" t="str">
        <f aca="false">IF($B75="","",MAX(0,G75-H75-I75))</f>
        <v/>
      </c>
      <c r="K75" s="116" t="str">
        <f aca="false">IF($B75="","",الموظفون!$L75*$J75/cfg_DAYS_M)</f>
        <v/>
      </c>
      <c r="L75" s="116" t="str">
        <f aca="false">IF($B75="","",الموظفون!$M75*$J75/cfg_DAYS_M)</f>
        <v/>
      </c>
      <c r="M75" s="116" t="str">
        <f aca="false">IF($B75="","",الموظفون!$N75*$J75/cfg_DAYS_M)</f>
        <v/>
      </c>
      <c r="N75" s="116" t="str">
        <f aca="false">IF($B75="","",الموظفون!$O75*$J75/cfg_DAYS_M)</f>
        <v/>
      </c>
      <c r="O75" s="156" t="str">
        <f aca="false">IF($B75="","",SUMIFS('الحركات الشهرية'!$F$6:$F$1005,'الحركات الشهرية'!$B$6:$B$1005,$B75,'الحركات الشهرية'!$A$6:$A$1005,$C$3))</f>
        <v/>
      </c>
      <c r="P75" s="116" t="str">
        <f aca="false">IF($B75="","",O75*(الموظفون!$P75+الموظفون!$L75*cfg_OT_P)/cfg_DAYS_M/cfg_HRS)</f>
        <v/>
      </c>
      <c r="Q75" s="116" t="str">
        <f aca="false">IF($B75="","",SUMIFS('الحركات الشهرية'!$G$6:$G$1005,'الحركات الشهرية'!$B$6:$B$1005,$B75,'الحركات الشهرية'!$A$6:$A$1005,$C$3))</f>
        <v/>
      </c>
      <c r="R75" s="116" t="str">
        <f aca="false">IF($B75="","",SUMIFS('الحركات الشهرية'!$H$6:$H$1005,'الحركات الشهرية'!$B$6:$B$1005,$B75,'الحركات الشهرية'!$A$6:$A$1005,$C$3))</f>
        <v/>
      </c>
      <c r="S75" s="116" t="str">
        <f aca="false">IF($B75="","",SUMIFS('سجل الإجازات والحالات'!$N$6:$N$505,'سجل الإجازات والحالات'!$B$6:$B$505,$B75,'سجل الإجازات والحالات'!$O$6:$O$505,$C$3))</f>
        <v/>
      </c>
      <c r="T75" s="157" t="str">
        <f aca="false">IF($B75="","",SUM(K75:N75)+SUM(P75:S75))</f>
        <v/>
      </c>
      <c r="U75" s="116" t="str">
        <f aca="false">IF($B75="","",الموظفون!$S75*IF(E75="سعودي",cfg_G_SE,cfg_G_NE)*G75/cfg_DAYS_M)</f>
        <v/>
      </c>
      <c r="V75" s="116" t="str">
        <f aca="false">IF($B75="","",SUMIFS('الحركات الشهرية'!$I$6:$I$1005,'الحركات الشهرية'!$B$6:$B$1005,$B75,'الحركات الشهرية'!$A$6:$A$1005,$C$3))</f>
        <v/>
      </c>
      <c r="W75" s="116" t="str">
        <f aca="false">IF($B75="","",SUMIFS('الحركات الشهرية'!$J$6:$J$1005,'الحركات الشهرية'!$B$6:$B$1005,$B75,'الحركات الشهرية'!$A$6:$A$1005,$C$3))</f>
        <v/>
      </c>
      <c r="X75" s="116" t="str">
        <f aca="false">IF($B75="","",SUM(U75:W75))</f>
        <v/>
      </c>
      <c r="Y75" s="158" t="str">
        <f aca="false">IF($B75="","",T75-X75)</f>
        <v/>
      </c>
      <c r="Z75" s="116" t="str">
        <f aca="false">IF($B75="","",الموظفون!$S75*IF(E75="سعودي",cfg_G_SR,cfg_G_NR)*G75/cfg_DAYS_M)</f>
        <v/>
      </c>
      <c r="AA75" s="116" t="str">
        <f aca="false">IF($B75="","",الموظفون!$Q75*(cfg_EOS_R1*(MIN(AH75,cfg_EOS_TH)-MIN(AI75,cfg_EOS_TH))+cfg_EOS_R2*(MAX(AH75-cfg_EOS_TH,0)-MAX(AI75-cfg_EOS_TH,0))))</f>
        <v/>
      </c>
      <c r="AB75" s="116" t="str">
        <f aca="false">IF($B75="","",IF(الموظفون!$T75&lt;&gt;"",الموظفون!$T75,IF(AH75&gt;=cfg_LV_TH,cfg_LV_D2,cfg_LV_D1))/cfg_DAYS_Y*AJ75*الموظفون!$R75/cfg_DAYS_M)</f>
        <v/>
      </c>
      <c r="AC75" s="116" t="str">
        <f aca="false">IF($B75="","",IF(AND(الموظفون!$U75="نعم",N(الموظفون!$W75)&gt;0),الموظفون!$V75/الموظفون!$W75*12/cfg_DAYS_Y*AJ75,0))</f>
        <v/>
      </c>
      <c r="AD75" s="116" t="str">
        <f aca="false">IF($B75="","",(IF(الموظفون!$X75&lt;&gt;"",الموظفون!$X75,IF(الموظفون!$E75="غير سعودي",cfg_IQ,0))+IF(الموظفون!$Y75&lt;&gt;"",الموظفون!$Y75,IF(الموظفون!$E75="غير سعودي",cfg_WP,0)))/12*G75/cfg_DAYS_M)</f>
        <v/>
      </c>
      <c r="AE75" s="116" t="str">
        <f aca="false">IF($B75="","",IF(الموظفون!$Z75&lt;&gt;"",الموظفون!$Z75,cfg_MED)/12*G75/cfg_DAYS_M)</f>
        <v/>
      </c>
      <c r="AF75" s="116" t="str">
        <f aca="false">IF($B75="","",N(الموظفون!$AA75)/12*G75/cfg_DAYS_M)</f>
        <v/>
      </c>
      <c r="AG75" s="159" t="str">
        <f aca="false">IF($B75="","",T75+SUM(Z75:AF75))</f>
        <v/>
      </c>
      <c r="AH75" s="160" t="str">
        <f aca="false">IF($B75="","",MAX(0,IF(OR(الموظفون!$AE75="",الموظفون!$AE75&gt;$F$3),$F$3,الموظفون!$AE75)-الموظفون!$H75+1-SUMIFS('سجل الإجازات والحالات'!$AK$6:$AK$505,'سجل الإجازات والحالات'!$B$6:$B$505,$B75))/cfg_DAYS_Y)</f>
        <v/>
      </c>
      <c r="AI75" s="160" t="str">
        <f aca="false">IF($B75="","",MAX(0,IF(OR(الموظفون!$AE75="",الموظفون!$AE75&gt;($E$3-1)),($E$3-1),الموظفون!$AE75)-الموظفون!$H75+1-SUMIFS('سجل الإجازات والحالات'!$AJ$6:$AJ$505,'سجل الإجازات والحالات'!$B$6:$B$505,$B75))/cfg_DAYS_Y)</f>
        <v/>
      </c>
      <c r="AJ75" s="133" t="str">
        <f aca="false">IF($B75="","",MAX(0,AK75-(SUMIFS('سجل الإجازات والحالات'!$AK$6:$AK$505,'سجل الإجازات والحالات'!$B$6:$B$505,$B75)-SUMIFS('سجل الإجازات والحالات'!$AJ$6:$AJ$505,'سجل الإجازات والحالات'!$B$6:$B$505,$B75))))</f>
        <v/>
      </c>
      <c r="AK75" s="133" t="str">
        <f aca="false">IF($B75="","",MAX(0,IF(OR(الموظفون!$AE75="",الموظفون!$AE75&gt;$F$3),$F$3,الموظفون!$AE75)-MAX($E$3,الموظفون!$H75)+1))</f>
        <v/>
      </c>
      <c r="AL75" s="156" t="str">
        <f aca="false">IF($B75="","",SUMIFS('سجل الإجازات والحالات'!$AW$6:$AW$505,'سجل الإجازات والحالات'!$B$6:$B$505,$B75)+SUMIFS('الحركات الشهرية'!$K$6:$K$1005,'الحركات الشهرية'!$B$6:$B$1005,$B75,'الحركات الشهرية'!$A$6:$A$1005,$C$3))</f>
        <v/>
      </c>
      <c r="AM75" s="116" t="str">
        <f aca="false">IF($B75="","",AL75*الموظفون!$R75/cfg_DAYS_M+S75)</f>
        <v/>
      </c>
      <c r="AN75" s="156" t="str">
        <f aca="false">IF($B75="","",SUMIFS('سجل الإجازات والحالات'!$Y$6:$Y$505,'سجل الإجازات والحالات'!$B$6:$B$505,$B75))</f>
        <v/>
      </c>
    </row>
    <row r="76" customFormat="false" ht="15" hidden="false" customHeight="false" outlineLevel="0" collapsed="false">
      <c r="A76" s="106" t="str">
        <f aca="false">IF($B76="","",الموظفون!$A76)</f>
        <v/>
      </c>
      <c r="B76" s="114" t="str">
        <f aca="false">IF(الموظفون!$B76="","",الموظفون!$B76)</f>
        <v/>
      </c>
      <c r="C76" s="114" t="str">
        <f aca="false">IF($B76="","",الموظفون!$C76)</f>
        <v/>
      </c>
      <c r="D76" s="114" t="str">
        <f aca="false">IF($B76="","",الموظفون!$F76)</f>
        <v/>
      </c>
      <c r="E76" s="114" t="str">
        <f aca="false">IF($B76="","",الموظفون!$E76)</f>
        <v/>
      </c>
      <c r="F76" s="114" t="str">
        <f aca="false">IF($B76="","",IF(AK76=0,IF(AND(الموظفون!$AE76&lt;&gt;"",الموظفون!$AE76&lt;$E$3),"✖ منتهي الخدمة","⏳ لم يباشر"),IF(S76&gt;0,"✈ راتب إجازة مقدم",IF(J76=0,"⛔ بدون راتب هذا الشهر",IF(I76&gt;0,"✈ خصم "&amp;ROUND(I76,2)&amp;" يوم بدون أجر",IF(AL76&gt;0,"🌴 إجازة سنوية "&amp;ROUND(AL76,2)&amp;" يوم",IF(H76&gt;0,"⚠ غياب "&amp;ROUND(H76,2)&amp;" يوم","✔ على رأس العمل")))))))</f>
        <v/>
      </c>
      <c r="G76" s="151" t="str">
        <f aca="false">IF($B76="","",IF(AK76&gt;=DAY($F$3),cfg_DAYS_M,MIN(AK76,cfg_DAYS_M)))</f>
        <v/>
      </c>
      <c r="H76" s="151" t="str">
        <f aca="false">IF($B76="","",SUMIFS('الحركات الشهرية'!$D$6:$D$1005,'الحركات الشهرية'!$B$6:$B$1005,$B76,'الحركات الشهرية'!$A$6:$A$1005,$C$3))</f>
        <v/>
      </c>
      <c r="I76" s="151" t="str">
        <f aca="false">IF($B76="","",MIN(G76,IF(AND(AK76&gt;0,AN76&gt;=AK76),G76,AN76)+SUMIFS('الحركات الشهرية'!$E$6:$E$1005,'الحركات الشهرية'!$B$6:$B$1005,$B76,'الحركات الشهرية'!$A$6:$A$1005,$C$3)))</f>
        <v/>
      </c>
      <c r="J76" s="151" t="str">
        <f aca="false">IF($B76="","",MAX(0,G76-H76-I76))</f>
        <v/>
      </c>
      <c r="K76" s="111" t="str">
        <f aca="false">IF($B76="","",الموظفون!$L76*$J76/cfg_DAYS_M)</f>
        <v/>
      </c>
      <c r="L76" s="111" t="str">
        <f aca="false">IF($B76="","",الموظفون!$M76*$J76/cfg_DAYS_M)</f>
        <v/>
      </c>
      <c r="M76" s="111" t="str">
        <f aca="false">IF($B76="","",الموظفون!$N76*$J76/cfg_DAYS_M)</f>
        <v/>
      </c>
      <c r="N76" s="111" t="str">
        <f aca="false">IF($B76="","",الموظفون!$O76*$J76/cfg_DAYS_M)</f>
        <v/>
      </c>
      <c r="O76" s="151" t="str">
        <f aca="false">IF($B76="","",SUMIFS('الحركات الشهرية'!$F$6:$F$1005,'الحركات الشهرية'!$B$6:$B$1005,$B76,'الحركات الشهرية'!$A$6:$A$1005,$C$3))</f>
        <v/>
      </c>
      <c r="P76" s="111" t="str">
        <f aca="false">IF($B76="","",O76*(الموظفون!$P76+الموظفون!$L76*cfg_OT_P)/cfg_DAYS_M/cfg_HRS)</f>
        <v/>
      </c>
      <c r="Q76" s="111" t="str">
        <f aca="false">IF($B76="","",SUMIFS('الحركات الشهرية'!$G$6:$G$1005,'الحركات الشهرية'!$B$6:$B$1005,$B76,'الحركات الشهرية'!$A$6:$A$1005,$C$3))</f>
        <v/>
      </c>
      <c r="R76" s="111" t="str">
        <f aca="false">IF($B76="","",SUMIFS('الحركات الشهرية'!$H$6:$H$1005,'الحركات الشهرية'!$B$6:$B$1005,$B76,'الحركات الشهرية'!$A$6:$A$1005,$C$3))</f>
        <v/>
      </c>
      <c r="S76" s="111" t="str">
        <f aca="false">IF($B76="","",SUMIFS('سجل الإجازات والحالات'!$N$6:$N$505,'سجل الإجازات والحالات'!$B$6:$B$505,$B76,'سجل الإجازات والحالات'!$O$6:$O$505,$C$3))</f>
        <v/>
      </c>
      <c r="T76" s="152" t="str">
        <f aca="false">IF($B76="","",SUM(K76:N76)+SUM(P76:S76))</f>
        <v/>
      </c>
      <c r="U76" s="111" t="str">
        <f aca="false">IF($B76="","",الموظفون!$S76*IF(E76="سعودي",cfg_G_SE,cfg_G_NE)*G76/cfg_DAYS_M)</f>
        <v/>
      </c>
      <c r="V76" s="111" t="str">
        <f aca="false">IF($B76="","",SUMIFS('الحركات الشهرية'!$I$6:$I$1005,'الحركات الشهرية'!$B$6:$B$1005,$B76,'الحركات الشهرية'!$A$6:$A$1005,$C$3))</f>
        <v/>
      </c>
      <c r="W76" s="111" t="str">
        <f aca="false">IF($B76="","",SUMIFS('الحركات الشهرية'!$J$6:$J$1005,'الحركات الشهرية'!$B$6:$B$1005,$B76,'الحركات الشهرية'!$A$6:$A$1005,$C$3))</f>
        <v/>
      </c>
      <c r="X76" s="111" t="str">
        <f aca="false">IF($B76="","",SUM(U76:W76))</f>
        <v/>
      </c>
      <c r="Y76" s="153" t="str">
        <f aca="false">IF($B76="","",T76-X76)</f>
        <v/>
      </c>
      <c r="Z76" s="111" t="str">
        <f aca="false">IF($B76="","",الموظفون!$S76*IF(E76="سعودي",cfg_G_SR,cfg_G_NR)*G76/cfg_DAYS_M)</f>
        <v/>
      </c>
      <c r="AA76" s="111" t="str">
        <f aca="false">IF($B76="","",الموظفون!$Q76*(cfg_EOS_R1*(MIN(AH76,cfg_EOS_TH)-MIN(AI76,cfg_EOS_TH))+cfg_EOS_R2*(MAX(AH76-cfg_EOS_TH,0)-MAX(AI76-cfg_EOS_TH,0))))</f>
        <v/>
      </c>
      <c r="AB76" s="111" t="str">
        <f aca="false">IF($B76="","",IF(الموظفون!$T76&lt;&gt;"",الموظفون!$T76,IF(AH76&gt;=cfg_LV_TH,cfg_LV_D2,cfg_LV_D1))/cfg_DAYS_Y*AJ76*الموظفون!$R76/cfg_DAYS_M)</f>
        <v/>
      </c>
      <c r="AC76" s="111" t="str">
        <f aca="false">IF($B76="","",IF(AND(الموظفون!$U76="نعم",N(الموظفون!$W76)&gt;0),الموظفون!$V76/الموظفون!$W76*12/cfg_DAYS_Y*AJ76,0))</f>
        <v/>
      </c>
      <c r="AD76" s="111" t="str">
        <f aca="false">IF($B76="","",(IF(الموظفون!$X76&lt;&gt;"",الموظفون!$X76,IF(الموظفون!$E76="غير سعودي",cfg_IQ,0))+IF(الموظفون!$Y76&lt;&gt;"",الموظفون!$Y76,IF(الموظفون!$E76="غير سعودي",cfg_WP,0)))/12*G76/cfg_DAYS_M)</f>
        <v/>
      </c>
      <c r="AE76" s="111" t="str">
        <f aca="false">IF($B76="","",IF(الموظفون!$Z76&lt;&gt;"",الموظفون!$Z76,cfg_MED)/12*G76/cfg_DAYS_M)</f>
        <v/>
      </c>
      <c r="AF76" s="111" t="str">
        <f aca="false">IF($B76="","",N(الموظفون!$AA76)/12*G76/cfg_DAYS_M)</f>
        <v/>
      </c>
      <c r="AG76" s="154" t="str">
        <f aca="false">IF($B76="","",T76+SUM(Z76:AF76))</f>
        <v/>
      </c>
      <c r="AH76" s="155" t="str">
        <f aca="false">IF($B76="","",MAX(0,IF(OR(الموظفون!$AE76="",الموظفون!$AE76&gt;$F$3),$F$3,الموظفون!$AE76)-الموظفون!$H76+1-SUMIFS('سجل الإجازات والحالات'!$AK$6:$AK$505,'سجل الإجازات والحالات'!$B$6:$B$505,$B76))/cfg_DAYS_Y)</f>
        <v/>
      </c>
      <c r="AI76" s="155" t="str">
        <f aca="false">IF($B76="","",MAX(0,IF(OR(الموظفون!$AE76="",الموظفون!$AE76&gt;($E$3-1)),($E$3-1),الموظفون!$AE76)-الموظفون!$H76+1-SUMIFS('سجل الإجازات والحالات'!$AJ$6:$AJ$505,'سجل الإجازات والحالات'!$B$6:$B$505,$B76))/cfg_DAYS_Y)</f>
        <v/>
      </c>
      <c r="AJ76" s="65" t="str">
        <f aca="false">IF($B76="","",MAX(0,AK76-(SUMIFS('سجل الإجازات والحالات'!$AK$6:$AK$505,'سجل الإجازات والحالات'!$B$6:$B$505,$B76)-SUMIFS('سجل الإجازات والحالات'!$AJ$6:$AJ$505,'سجل الإجازات والحالات'!$B$6:$B$505,$B76))))</f>
        <v/>
      </c>
      <c r="AK76" s="65" t="str">
        <f aca="false">IF($B76="","",MAX(0,IF(OR(الموظفون!$AE76="",الموظفون!$AE76&gt;$F$3),$F$3,الموظفون!$AE76)-MAX($E$3,الموظفون!$H76)+1))</f>
        <v/>
      </c>
      <c r="AL76" s="151" t="str">
        <f aca="false">IF($B76="","",SUMIFS('سجل الإجازات والحالات'!$AW$6:$AW$505,'سجل الإجازات والحالات'!$B$6:$B$505,$B76)+SUMIFS('الحركات الشهرية'!$K$6:$K$1005,'الحركات الشهرية'!$B$6:$B$1005,$B76,'الحركات الشهرية'!$A$6:$A$1005,$C$3))</f>
        <v/>
      </c>
      <c r="AM76" s="111" t="str">
        <f aca="false">IF($B76="","",AL76*الموظفون!$R76/cfg_DAYS_M+S76)</f>
        <v/>
      </c>
      <c r="AN76" s="151" t="str">
        <f aca="false">IF($B76="","",SUMIFS('سجل الإجازات والحالات'!$Y$6:$Y$505,'سجل الإجازات والحالات'!$B$6:$B$505,$B76))</f>
        <v/>
      </c>
    </row>
    <row r="77" customFormat="false" ht="15" hidden="false" customHeight="false" outlineLevel="0" collapsed="false">
      <c r="A77" s="115" t="str">
        <f aca="false">IF($B77="","",الموظفون!$A77)</f>
        <v/>
      </c>
      <c r="B77" s="117" t="str">
        <f aca="false">IF(الموظفون!$B77="","",الموظفون!$B77)</f>
        <v/>
      </c>
      <c r="C77" s="117" t="str">
        <f aca="false">IF($B77="","",الموظفون!$C77)</f>
        <v/>
      </c>
      <c r="D77" s="117" t="str">
        <f aca="false">IF($B77="","",الموظفون!$F77)</f>
        <v/>
      </c>
      <c r="E77" s="117" t="str">
        <f aca="false">IF($B77="","",الموظفون!$E77)</f>
        <v/>
      </c>
      <c r="F77" s="117" t="str">
        <f aca="false">IF($B77="","",IF(AK77=0,IF(AND(الموظفون!$AE77&lt;&gt;"",الموظفون!$AE77&lt;$E$3),"✖ منتهي الخدمة","⏳ لم يباشر"),IF(S77&gt;0,"✈ راتب إجازة مقدم",IF(J77=0,"⛔ بدون راتب هذا الشهر",IF(I77&gt;0,"✈ خصم "&amp;ROUND(I77,2)&amp;" يوم بدون أجر",IF(AL77&gt;0,"🌴 إجازة سنوية "&amp;ROUND(AL77,2)&amp;" يوم",IF(H77&gt;0,"⚠ غياب "&amp;ROUND(H77,2)&amp;" يوم","✔ على رأس العمل")))))))</f>
        <v/>
      </c>
      <c r="G77" s="156" t="str">
        <f aca="false">IF($B77="","",IF(AK77&gt;=DAY($F$3),cfg_DAYS_M,MIN(AK77,cfg_DAYS_M)))</f>
        <v/>
      </c>
      <c r="H77" s="156" t="str">
        <f aca="false">IF($B77="","",SUMIFS('الحركات الشهرية'!$D$6:$D$1005,'الحركات الشهرية'!$B$6:$B$1005,$B77,'الحركات الشهرية'!$A$6:$A$1005,$C$3))</f>
        <v/>
      </c>
      <c r="I77" s="156" t="str">
        <f aca="false">IF($B77="","",MIN(G77,IF(AND(AK77&gt;0,AN77&gt;=AK77),G77,AN77)+SUMIFS('الحركات الشهرية'!$E$6:$E$1005,'الحركات الشهرية'!$B$6:$B$1005,$B77,'الحركات الشهرية'!$A$6:$A$1005,$C$3)))</f>
        <v/>
      </c>
      <c r="J77" s="156" t="str">
        <f aca="false">IF($B77="","",MAX(0,G77-H77-I77))</f>
        <v/>
      </c>
      <c r="K77" s="116" t="str">
        <f aca="false">IF($B77="","",الموظفون!$L77*$J77/cfg_DAYS_M)</f>
        <v/>
      </c>
      <c r="L77" s="116" t="str">
        <f aca="false">IF($B77="","",الموظفون!$M77*$J77/cfg_DAYS_M)</f>
        <v/>
      </c>
      <c r="M77" s="116" t="str">
        <f aca="false">IF($B77="","",الموظفون!$N77*$J77/cfg_DAYS_M)</f>
        <v/>
      </c>
      <c r="N77" s="116" t="str">
        <f aca="false">IF($B77="","",الموظفون!$O77*$J77/cfg_DAYS_M)</f>
        <v/>
      </c>
      <c r="O77" s="156" t="str">
        <f aca="false">IF($B77="","",SUMIFS('الحركات الشهرية'!$F$6:$F$1005,'الحركات الشهرية'!$B$6:$B$1005,$B77,'الحركات الشهرية'!$A$6:$A$1005,$C$3))</f>
        <v/>
      </c>
      <c r="P77" s="116" t="str">
        <f aca="false">IF($B77="","",O77*(الموظفون!$P77+الموظفون!$L77*cfg_OT_P)/cfg_DAYS_M/cfg_HRS)</f>
        <v/>
      </c>
      <c r="Q77" s="116" t="str">
        <f aca="false">IF($B77="","",SUMIFS('الحركات الشهرية'!$G$6:$G$1005,'الحركات الشهرية'!$B$6:$B$1005,$B77,'الحركات الشهرية'!$A$6:$A$1005,$C$3))</f>
        <v/>
      </c>
      <c r="R77" s="116" t="str">
        <f aca="false">IF($B77="","",SUMIFS('الحركات الشهرية'!$H$6:$H$1005,'الحركات الشهرية'!$B$6:$B$1005,$B77,'الحركات الشهرية'!$A$6:$A$1005,$C$3))</f>
        <v/>
      </c>
      <c r="S77" s="116" t="str">
        <f aca="false">IF($B77="","",SUMIFS('سجل الإجازات والحالات'!$N$6:$N$505,'سجل الإجازات والحالات'!$B$6:$B$505,$B77,'سجل الإجازات والحالات'!$O$6:$O$505,$C$3))</f>
        <v/>
      </c>
      <c r="T77" s="157" t="str">
        <f aca="false">IF($B77="","",SUM(K77:N77)+SUM(P77:S77))</f>
        <v/>
      </c>
      <c r="U77" s="116" t="str">
        <f aca="false">IF($B77="","",الموظفون!$S77*IF(E77="سعودي",cfg_G_SE,cfg_G_NE)*G77/cfg_DAYS_M)</f>
        <v/>
      </c>
      <c r="V77" s="116" t="str">
        <f aca="false">IF($B77="","",SUMIFS('الحركات الشهرية'!$I$6:$I$1005,'الحركات الشهرية'!$B$6:$B$1005,$B77,'الحركات الشهرية'!$A$6:$A$1005,$C$3))</f>
        <v/>
      </c>
      <c r="W77" s="116" t="str">
        <f aca="false">IF($B77="","",SUMIFS('الحركات الشهرية'!$J$6:$J$1005,'الحركات الشهرية'!$B$6:$B$1005,$B77,'الحركات الشهرية'!$A$6:$A$1005,$C$3))</f>
        <v/>
      </c>
      <c r="X77" s="116" t="str">
        <f aca="false">IF($B77="","",SUM(U77:W77))</f>
        <v/>
      </c>
      <c r="Y77" s="158" t="str">
        <f aca="false">IF($B77="","",T77-X77)</f>
        <v/>
      </c>
      <c r="Z77" s="116" t="str">
        <f aca="false">IF($B77="","",الموظفون!$S77*IF(E77="سعودي",cfg_G_SR,cfg_G_NR)*G77/cfg_DAYS_M)</f>
        <v/>
      </c>
      <c r="AA77" s="116" t="str">
        <f aca="false">IF($B77="","",الموظفون!$Q77*(cfg_EOS_R1*(MIN(AH77,cfg_EOS_TH)-MIN(AI77,cfg_EOS_TH))+cfg_EOS_R2*(MAX(AH77-cfg_EOS_TH,0)-MAX(AI77-cfg_EOS_TH,0))))</f>
        <v/>
      </c>
      <c r="AB77" s="116" t="str">
        <f aca="false">IF($B77="","",IF(الموظفون!$T77&lt;&gt;"",الموظفون!$T77,IF(AH77&gt;=cfg_LV_TH,cfg_LV_D2,cfg_LV_D1))/cfg_DAYS_Y*AJ77*الموظفون!$R77/cfg_DAYS_M)</f>
        <v/>
      </c>
      <c r="AC77" s="116" t="str">
        <f aca="false">IF($B77="","",IF(AND(الموظفون!$U77="نعم",N(الموظفون!$W77)&gt;0),الموظفون!$V77/الموظفون!$W77*12/cfg_DAYS_Y*AJ77,0))</f>
        <v/>
      </c>
      <c r="AD77" s="116" t="str">
        <f aca="false">IF($B77="","",(IF(الموظفون!$X77&lt;&gt;"",الموظفون!$X77,IF(الموظفون!$E77="غير سعودي",cfg_IQ,0))+IF(الموظفون!$Y77&lt;&gt;"",الموظفون!$Y77,IF(الموظفون!$E77="غير سعودي",cfg_WP,0)))/12*G77/cfg_DAYS_M)</f>
        <v/>
      </c>
      <c r="AE77" s="116" t="str">
        <f aca="false">IF($B77="","",IF(الموظفون!$Z77&lt;&gt;"",الموظفون!$Z77,cfg_MED)/12*G77/cfg_DAYS_M)</f>
        <v/>
      </c>
      <c r="AF77" s="116" t="str">
        <f aca="false">IF($B77="","",N(الموظفون!$AA77)/12*G77/cfg_DAYS_M)</f>
        <v/>
      </c>
      <c r="AG77" s="159" t="str">
        <f aca="false">IF($B77="","",T77+SUM(Z77:AF77))</f>
        <v/>
      </c>
      <c r="AH77" s="160" t="str">
        <f aca="false">IF($B77="","",MAX(0,IF(OR(الموظفون!$AE77="",الموظفون!$AE77&gt;$F$3),$F$3,الموظفون!$AE77)-الموظفون!$H77+1-SUMIFS('سجل الإجازات والحالات'!$AK$6:$AK$505,'سجل الإجازات والحالات'!$B$6:$B$505,$B77))/cfg_DAYS_Y)</f>
        <v/>
      </c>
      <c r="AI77" s="160" t="str">
        <f aca="false">IF($B77="","",MAX(0,IF(OR(الموظفون!$AE77="",الموظفون!$AE77&gt;($E$3-1)),($E$3-1),الموظفون!$AE77)-الموظفون!$H77+1-SUMIFS('سجل الإجازات والحالات'!$AJ$6:$AJ$505,'سجل الإجازات والحالات'!$B$6:$B$505,$B77))/cfg_DAYS_Y)</f>
        <v/>
      </c>
      <c r="AJ77" s="133" t="str">
        <f aca="false">IF($B77="","",MAX(0,AK77-(SUMIFS('سجل الإجازات والحالات'!$AK$6:$AK$505,'سجل الإجازات والحالات'!$B$6:$B$505,$B77)-SUMIFS('سجل الإجازات والحالات'!$AJ$6:$AJ$505,'سجل الإجازات والحالات'!$B$6:$B$505,$B77))))</f>
        <v/>
      </c>
      <c r="AK77" s="133" t="str">
        <f aca="false">IF($B77="","",MAX(0,IF(OR(الموظفون!$AE77="",الموظفون!$AE77&gt;$F$3),$F$3,الموظفون!$AE77)-MAX($E$3,الموظفون!$H77)+1))</f>
        <v/>
      </c>
      <c r="AL77" s="156" t="str">
        <f aca="false">IF($B77="","",SUMIFS('سجل الإجازات والحالات'!$AW$6:$AW$505,'سجل الإجازات والحالات'!$B$6:$B$505,$B77)+SUMIFS('الحركات الشهرية'!$K$6:$K$1005,'الحركات الشهرية'!$B$6:$B$1005,$B77,'الحركات الشهرية'!$A$6:$A$1005,$C$3))</f>
        <v/>
      </c>
      <c r="AM77" s="116" t="str">
        <f aca="false">IF($B77="","",AL77*الموظفون!$R77/cfg_DAYS_M+S77)</f>
        <v/>
      </c>
      <c r="AN77" s="156" t="str">
        <f aca="false">IF($B77="","",SUMIFS('سجل الإجازات والحالات'!$Y$6:$Y$505,'سجل الإجازات والحالات'!$B$6:$B$505,$B77))</f>
        <v/>
      </c>
    </row>
    <row r="78" customFormat="false" ht="15" hidden="false" customHeight="false" outlineLevel="0" collapsed="false">
      <c r="A78" s="106" t="str">
        <f aca="false">IF($B78="","",الموظفون!$A78)</f>
        <v/>
      </c>
      <c r="B78" s="114" t="str">
        <f aca="false">IF(الموظفون!$B78="","",الموظفون!$B78)</f>
        <v/>
      </c>
      <c r="C78" s="114" t="str">
        <f aca="false">IF($B78="","",الموظفون!$C78)</f>
        <v/>
      </c>
      <c r="D78" s="114" t="str">
        <f aca="false">IF($B78="","",الموظفون!$F78)</f>
        <v/>
      </c>
      <c r="E78" s="114" t="str">
        <f aca="false">IF($B78="","",الموظفون!$E78)</f>
        <v/>
      </c>
      <c r="F78" s="114" t="str">
        <f aca="false">IF($B78="","",IF(AK78=0,IF(AND(الموظفون!$AE78&lt;&gt;"",الموظفون!$AE78&lt;$E$3),"✖ منتهي الخدمة","⏳ لم يباشر"),IF(S78&gt;0,"✈ راتب إجازة مقدم",IF(J78=0,"⛔ بدون راتب هذا الشهر",IF(I78&gt;0,"✈ خصم "&amp;ROUND(I78,2)&amp;" يوم بدون أجر",IF(AL78&gt;0,"🌴 إجازة سنوية "&amp;ROUND(AL78,2)&amp;" يوم",IF(H78&gt;0,"⚠ غياب "&amp;ROUND(H78,2)&amp;" يوم","✔ على رأس العمل")))))))</f>
        <v/>
      </c>
      <c r="G78" s="151" t="str">
        <f aca="false">IF($B78="","",IF(AK78&gt;=DAY($F$3),cfg_DAYS_M,MIN(AK78,cfg_DAYS_M)))</f>
        <v/>
      </c>
      <c r="H78" s="151" t="str">
        <f aca="false">IF($B78="","",SUMIFS('الحركات الشهرية'!$D$6:$D$1005,'الحركات الشهرية'!$B$6:$B$1005,$B78,'الحركات الشهرية'!$A$6:$A$1005,$C$3))</f>
        <v/>
      </c>
      <c r="I78" s="151" t="str">
        <f aca="false">IF($B78="","",MIN(G78,IF(AND(AK78&gt;0,AN78&gt;=AK78),G78,AN78)+SUMIFS('الحركات الشهرية'!$E$6:$E$1005,'الحركات الشهرية'!$B$6:$B$1005,$B78,'الحركات الشهرية'!$A$6:$A$1005,$C$3)))</f>
        <v/>
      </c>
      <c r="J78" s="151" t="str">
        <f aca="false">IF($B78="","",MAX(0,G78-H78-I78))</f>
        <v/>
      </c>
      <c r="K78" s="111" t="str">
        <f aca="false">IF($B78="","",الموظفون!$L78*$J78/cfg_DAYS_M)</f>
        <v/>
      </c>
      <c r="L78" s="111" t="str">
        <f aca="false">IF($B78="","",الموظفون!$M78*$J78/cfg_DAYS_M)</f>
        <v/>
      </c>
      <c r="M78" s="111" t="str">
        <f aca="false">IF($B78="","",الموظفون!$N78*$J78/cfg_DAYS_M)</f>
        <v/>
      </c>
      <c r="N78" s="111" t="str">
        <f aca="false">IF($B78="","",الموظفون!$O78*$J78/cfg_DAYS_M)</f>
        <v/>
      </c>
      <c r="O78" s="151" t="str">
        <f aca="false">IF($B78="","",SUMIFS('الحركات الشهرية'!$F$6:$F$1005,'الحركات الشهرية'!$B$6:$B$1005,$B78,'الحركات الشهرية'!$A$6:$A$1005,$C$3))</f>
        <v/>
      </c>
      <c r="P78" s="111" t="str">
        <f aca="false">IF($B78="","",O78*(الموظفون!$P78+الموظفون!$L78*cfg_OT_P)/cfg_DAYS_M/cfg_HRS)</f>
        <v/>
      </c>
      <c r="Q78" s="111" t="str">
        <f aca="false">IF($B78="","",SUMIFS('الحركات الشهرية'!$G$6:$G$1005,'الحركات الشهرية'!$B$6:$B$1005,$B78,'الحركات الشهرية'!$A$6:$A$1005,$C$3))</f>
        <v/>
      </c>
      <c r="R78" s="111" t="str">
        <f aca="false">IF($B78="","",SUMIFS('الحركات الشهرية'!$H$6:$H$1005,'الحركات الشهرية'!$B$6:$B$1005,$B78,'الحركات الشهرية'!$A$6:$A$1005,$C$3))</f>
        <v/>
      </c>
      <c r="S78" s="111" t="str">
        <f aca="false">IF($B78="","",SUMIFS('سجل الإجازات والحالات'!$N$6:$N$505,'سجل الإجازات والحالات'!$B$6:$B$505,$B78,'سجل الإجازات والحالات'!$O$6:$O$505,$C$3))</f>
        <v/>
      </c>
      <c r="T78" s="152" t="str">
        <f aca="false">IF($B78="","",SUM(K78:N78)+SUM(P78:S78))</f>
        <v/>
      </c>
      <c r="U78" s="111" t="str">
        <f aca="false">IF($B78="","",الموظفون!$S78*IF(E78="سعودي",cfg_G_SE,cfg_G_NE)*G78/cfg_DAYS_M)</f>
        <v/>
      </c>
      <c r="V78" s="111" t="str">
        <f aca="false">IF($B78="","",SUMIFS('الحركات الشهرية'!$I$6:$I$1005,'الحركات الشهرية'!$B$6:$B$1005,$B78,'الحركات الشهرية'!$A$6:$A$1005,$C$3))</f>
        <v/>
      </c>
      <c r="W78" s="111" t="str">
        <f aca="false">IF($B78="","",SUMIFS('الحركات الشهرية'!$J$6:$J$1005,'الحركات الشهرية'!$B$6:$B$1005,$B78,'الحركات الشهرية'!$A$6:$A$1005,$C$3))</f>
        <v/>
      </c>
      <c r="X78" s="111" t="str">
        <f aca="false">IF($B78="","",SUM(U78:W78))</f>
        <v/>
      </c>
      <c r="Y78" s="153" t="str">
        <f aca="false">IF($B78="","",T78-X78)</f>
        <v/>
      </c>
      <c r="Z78" s="111" t="str">
        <f aca="false">IF($B78="","",الموظفون!$S78*IF(E78="سعودي",cfg_G_SR,cfg_G_NR)*G78/cfg_DAYS_M)</f>
        <v/>
      </c>
      <c r="AA78" s="111" t="str">
        <f aca="false">IF($B78="","",الموظفون!$Q78*(cfg_EOS_R1*(MIN(AH78,cfg_EOS_TH)-MIN(AI78,cfg_EOS_TH))+cfg_EOS_R2*(MAX(AH78-cfg_EOS_TH,0)-MAX(AI78-cfg_EOS_TH,0))))</f>
        <v/>
      </c>
      <c r="AB78" s="111" t="str">
        <f aca="false">IF($B78="","",IF(الموظفون!$T78&lt;&gt;"",الموظفون!$T78,IF(AH78&gt;=cfg_LV_TH,cfg_LV_D2,cfg_LV_D1))/cfg_DAYS_Y*AJ78*الموظفون!$R78/cfg_DAYS_M)</f>
        <v/>
      </c>
      <c r="AC78" s="111" t="str">
        <f aca="false">IF($B78="","",IF(AND(الموظفون!$U78="نعم",N(الموظفون!$W78)&gt;0),الموظفون!$V78/الموظفون!$W78*12/cfg_DAYS_Y*AJ78,0))</f>
        <v/>
      </c>
      <c r="AD78" s="111" t="str">
        <f aca="false">IF($B78="","",(IF(الموظفون!$X78&lt;&gt;"",الموظفون!$X78,IF(الموظفون!$E78="غير سعودي",cfg_IQ,0))+IF(الموظفون!$Y78&lt;&gt;"",الموظفون!$Y78,IF(الموظفون!$E78="غير سعودي",cfg_WP,0)))/12*G78/cfg_DAYS_M)</f>
        <v/>
      </c>
      <c r="AE78" s="111" t="str">
        <f aca="false">IF($B78="","",IF(الموظفون!$Z78&lt;&gt;"",الموظفون!$Z78,cfg_MED)/12*G78/cfg_DAYS_M)</f>
        <v/>
      </c>
      <c r="AF78" s="111" t="str">
        <f aca="false">IF($B78="","",N(الموظفون!$AA78)/12*G78/cfg_DAYS_M)</f>
        <v/>
      </c>
      <c r="AG78" s="154" t="str">
        <f aca="false">IF($B78="","",T78+SUM(Z78:AF78))</f>
        <v/>
      </c>
      <c r="AH78" s="155" t="str">
        <f aca="false">IF($B78="","",MAX(0,IF(OR(الموظفون!$AE78="",الموظفون!$AE78&gt;$F$3),$F$3,الموظفون!$AE78)-الموظفون!$H78+1-SUMIFS('سجل الإجازات والحالات'!$AK$6:$AK$505,'سجل الإجازات والحالات'!$B$6:$B$505,$B78))/cfg_DAYS_Y)</f>
        <v/>
      </c>
      <c r="AI78" s="155" t="str">
        <f aca="false">IF($B78="","",MAX(0,IF(OR(الموظفون!$AE78="",الموظفون!$AE78&gt;($E$3-1)),($E$3-1),الموظفون!$AE78)-الموظفون!$H78+1-SUMIFS('سجل الإجازات والحالات'!$AJ$6:$AJ$505,'سجل الإجازات والحالات'!$B$6:$B$505,$B78))/cfg_DAYS_Y)</f>
        <v/>
      </c>
      <c r="AJ78" s="65" t="str">
        <f aca="false">IF($B78="","",MAX(0,AK78-(SUMIFS('سجل الإجازات والحالات'!$AK$6:$AK$505,'سجل الإجازات والحالات'!$B$6:$B$505,$B78)-SUMIFS('سجل الإجازات والحالات'!$AJ$6:$AJ$505,'سجل الإجازات والحالات'!$B$6:$B$505,$B78))))</f>
        <v/>
      </c>
      <c r="AK78" s="65" t="str">
        <f aca="false">IF($B78="","",MAX(0,IF(OR(الموظفون!$AE78="",الموظفون!$AE78&gt;$F$3),$F$3,الموظفون!$AE78)-MAX($E$3,الموظفون!$H78)+1))</f>
        <v/>
      </c>
      <c r="AL78" s="151" t="str">
        <f aca="false">IF($B78="","",SUMIFS('سجل الإجازات والحالات'!$AW$6:$AW$505,'سجل الإجازات والحالات'!$B$6:$B$505,$B78)+SUMIFS('الحركات الشهرية'!$K$6:$K$1005,'الحركات الشهرية'!$B$6:$B$1005,$B78,'الحركات الشهرية'!$A$6:$A$1005,$C$3))</f>
        <v/>
      </c>
      <c r="AM78" s="111" t="str">
        <f aca="false">IF($B78="","",AL78*الموظفون!$R78/cfg_DAYS_M+S78)</f>
        <v/>
      </c>
      <c r="AN78" s="151" t="str">
        <f aca="false">IF($B78="","",SUMIFS('سجل الإجازات والحالات'!$Y$6:$Y$505,'سجل الإجازات والحالات'!$B$6:$B$505,$B78))</f>
        <v/>
      </c>
    </row>
    <row r="79" customFormat="false" ht="15" hidden="false" customHeight="false" outlineLevel="0" collapsed="false">
      <c r="A79" s="115" t="str">
        <f aca="false">IF($B79="","",الموظفون!$A79)</f>
        <v/>
      </c>
      <c r="B79" s="117" t="str">
        <f aca="false">IF(الموظفون!$B79="","",الموظفون!$B79)</f>
        <v/>
      </c>
      <c r="C79" s="117" t="str">
        <f aca="false">IF($B79="","",الموظفون!$C79)</f>
        <v/>
      </c>
      <c r="D79" s="117" t="str">
        <f aca="false">IF($B79="","",الموظفون!$F79)</f>
        <v/>
      </c>
      <c r="E79" s="117" t="str">
        <f aca="false">IF($B79="","",الموظفون!$E79)</f>
        <v/>
      </c>
      <c r="F79" s="117" t="str">
        <f aca="false">IF($B79="","",IF(AK79=0,IF(AND(الموظفون!$AE79&lt;&gt;"",الموظفون!$AE79&lt;$E$3),"✖ منتهي الخدمة","⏳ لم يباشر"),IF(S79&gt;0,"✈ راتب إجازة مقدم",IF(J79=0,"⛔ بدون راتب هذا الشهر",IF(I79&gt;0,"✈ خصم "&amp;ROUND(I79,2)&amp;" يوم بدون أجر",IF(AL79&gt;0,"🌴 إجازة سنوية "&amp;ROUND(AL79,2)&amp;" يوم",IF(H79&gt;0,"⚠ غياب "&amp;ROUND(H79,2)&amp;" يوم","✔ على رأس العمل")))))))</f>
        <v/>
      </c>
      <c r="G79" s="156" t="str">
        <f aca="false">IF($B79="","",IF(AK79&gt;=DAY($F$3),cfg_DAYS_M,MIN(AK79,cfg_DAYS_M)))</f>
        <v/>
      </c>
      <c r="H79" s="156" t="str">
        <f aca="false">IF($B79="","",SUMIFS('الحركات الشهرية'!$D$6:$D$1005,'الحركات الشهرية'!$B$6:$B$1005,$B79,'الحركات الشهرية'!$A$6:$A$1005,$C$3))</f>
        <v/>
      </c>
      <c r="I79" s="156" t="str">
        <f aca="false">IF($B79="","",MIN(G79,IF(AND(AK79&gt;0,AN79&gt;=AK79),G79,AN79)+SUMIFS('الحركات الشهرية'!$E$6:$E$1005,'الحركات الشهرية'!$B$6:$B$1005,$B79,'الحركات الشهرية'!$A$6:$A$1005,$C$3)))</f>
        <v/>
      </c>
      <c r="J79" s="156" t="str">
        <f aca="false">IF($B79="","",MAX(0,G79-H79-I79))</f>
        <v/>
      </c>
      <c r="K79" s="116" t="str">
        <f aca="false">IF($B79="","",الموظفون!$L79*$J79/cfg_DAYS_M)</f>
        <v/>
      </c>
      <c r="L79" s="116" t="str">
        <f aca="false">IF($B79="","",الموظفون!$M79*$J79/cfg_DAYS_M)</f>
        <v/>
      </c>
      <c r="M79" s="116" t="str">
        <f aca="false">IF($B79="","",الموظفون!$N79*$J79/cfg_DAYS_M)</f>
        <v/>
      </c>
      <c r="N79" s="116" t="str">
        <f aca="false">IF($B79="","",الموظفون!$O79*$J79/cfg_DAYS_M)</f>
        <v/>
      </c>
      <c r="O79" s="156" t="str">
        <f aca="false">IF($B79="","",SUMIFS('الحركات الشهرية'!$F$6:$F$1005,'الحركات الشهرية'!$B$6:$B$1005,$B79,'الحركات الشهرية'!$A$6:$A$1005,$C$3))</f>
        <v/>
      </c>
      <c r="P79" s="116" t="str">
        <f aca="false">IF($B79="","",O79*(الموظفون!$P79+الموظفون!$L79*cfg_OT_P)/cfg_DAYS_M/cfg_HRS)</f>
        <v/>
      </c>
      <c r="Q79" s="116" t="str">
        <f aca="false">IF($B79="","",SUMIFS('الحركات الشهرية'!$G$6:$G$1005,'الحركات الشهرية'!$B$6:$B$1005,$B79,'الحركات الشهرية'!$A$6:$A$1005,$C$3))</f>
        <v/>
      </c>
      <c r="R79" s="116" t="str">
        <f aca="false">IF($B79="","",SUMIFS('الحركات الشهرية'!$H$6:$H$1005,'الحركات الشهرية'!$B$6:$B$1005,$B79,'الحركات الشهرية'!$A$6:$A$1005,$C$3))</f>
        <v/>
      </c>
      <c r="S79" s="116" t="str">
        <f aca="false">IF($B79="","",SUMIFS('سجل الإجازات والحالات'!$N$6:$N$505,'سجل الإجازات والحالات'!$B$6:$B$505,$B79,'سجل الإجازات والحالات'!$O$6:$O$505,$C$3))</f>
        <v/>
      </c>
      <c r="T79" s="157" t="str">
        <f aca="false">IF($B79="","",SUM(K79:N79)+SUM(P79:S79))</f>
        <v/>
      </c>
      <c r="U79" s="116" t="str">
        <f aca="false">IF($B79="","",الموظفون!$S79*IF(E79="سعودي",cfg_G_SE,cfg_G_NE)*G79/cfg_DAYS_M)</f>
        <v/>
      </c>
      <c r="V79" s="116" t="str">
        <f aca="false">IF($B79="","",SUMIFS('الحركات الشهرية'!$I$6:$I$1005,'الحركات الشهرية'!$B$6:$B$1005,$B79,'الحركات الشهرية'!$A$6:$A$1005,$C$3))</f>
        <v/>
      </c>
      <c r="W79" s="116" t="str">
        <f aca="false">IF($B79="","",SUMIFS('الحركات الشهرية'!$J$6:$J$1005,'الحركات الشهرية'!$B$6:$B$1005,$B79,'الحركات الشهرية'!$A$6:$A$1005,$C$3))</f>
        <v/>
      </c>
      <c r="X79" s="116" t="str">
        <f aca="false">IF($B79="","",SUM(U79:W79))</f>
        <v/>
      </c>
      <c r="Y79" s="158" t="str">
        <f aca="false">IF($B79="","",T79-X79)</f>
        <v/>
      </c>
      <c r="Z79" s="116" t="str">
        <f aca="false">IF($B79="","",الموظفون!$S79*IF(E79="سعودي",cfg_G_SR,cfg_G_NR)*G79/cfg_DAYS_M)</f>
        <v/>
      </c>
      <c r="AA79" s="116" t="str">
        <f aca="false">IF($B79="","",الموظفون!$Q79*(cfg_EOS_R1*(MIN(AH79,cfg_EOS_TH)-MIN(AI79,cfg_EOS_TH))+cfg_EOS_R2*(MAX(AH79-cfg_EOS_TH,0)-MAX(AI79-cfg_EOS_TH,0))))</f>
        <v/>
      </c>
      <c r="AB79" s="116" t="str">
        <f aca="false">IF($B79="","",IF(الموظفون!$T79&lt;&gt;"",الموظفون!$T79,IF(AH79&gt;=cfg_LV_TH,cfg_LV_D2,cfg_LV_D1))/cfg_DAYS_Y*AJ79*الموظفون!$R79/cfg_DAYS_M)</f>
        <v/>
      </c>
      <c r="AC79" s="116" t="str">
        <f aca="false">IF($B79="","",IF(AND(الموظفون!$U79="نعم",N(الموظفون!$W79)&gt;0),الموظفون!$V79/الموظفون!$W79*12/cfg_DAYS_Y*AJ79,0))</f>
        <v/>
      </c>
      <c r="AD79" s="116" t="str">
        <f aca="false">IF($B79="","",(IF(الموظفون!$X79&lt;&gt;"",الموظفون!$X79,IF(الموظفون!$E79="غير سعودي",cfg_IQ,0))+IF(الموظفون!$Y79&lt;&gt;"",الموظفون!$Y79,IF(الموظفون!$E79="غير سعودي",cfg_WP,0)))/12*G79/cfg_DAYS_M)</f>
        <v/>
      </c>
      <c r="AE79" s="116" t="str">
        <f aca="false">IF($B79="","",IF(الموظفون!$Z79&lt;&gt;"",الموظفون!$Z79,cfg_MED)/12*G79/cfg_DAYS_M)</f>
        <v/>
      </c>
      <c r="AF79" s="116" t="str">
        <f aca="false">IF($B79="","",N(الموظفون!$AA79)/12*G79/cfg_DAYS_M)</f>
        <v/>
      </c>
      <c r="AG79" s="159" t="str">
        <f aca="false">IF($B79="","",T79+SUM(Z79:AF79))</f>
        <v/>
      </c>
      <c r="AH79" s="160" t="str">
        <f aca="false">IF($B79="","",MAX(0,IF(OR(الموظفون!$AE79="",الموظفون!$AE79&gt;$F$3),$F$3,الموظفون!$AE79)-الموظفون!$H79+1-SUMIFS('سجل الإجازات والحالات'!$AK$6:$AK$505,'سجل الإجازات والحالات'!$B$6:$B$505,$B79))/cfg_DAYS_Y)</f>
        <v/>
      </c>
      <c r="AI79" s="160" t="str">
        <f aca="false">IF($B79="","",MAX(0,IF(OR(الموظفون!$AE79="",الموظفون!$AE79&gt;($E$3-1)),($E$3-1),الموظفون!$AE79)-الموظفون!$H79+1-SUMIFS('سجل الإجازات والحالات'!$AJ$6:$AJ$505,'سجل الإجازات والحالات'!$B$6:$B$505,$B79))/cfg_DAYS_Y)</f>
        <v/>
      </c>
      <c r="AJ79" s="133" t="str">
        <f aca="false">IF($B79="","",MAX(0,AK79-(SUMIFS('سجل الإجازات والحالات'!$AK$6:$AK$505,'سجل الإجازات والحالات'!$B$6:$B$505,$B79)-SUMIFS('سجل الإجازات والحالات'!$AJ$6:$AJ$505,'سجل الإجازات والحالات'!$B$6:$B$505,$B79))))</f>
        <v/>
      </c>
      <c r="AK79" s="133" t="str">
        <f aca="false">IF($B79="","",MAX(0,IF(OR(الموظفون!$AE79="",الموظفون!$AE79&gt;$F$3),$F$3,الموظفون!$AE79)-MAX($E$3,الموظفون!$H79)+1))</f>
        <v/>
      </c>
      <c r="AL79" s="156" t="str">
        <f aca="false">IF($B79="","",SUMIFS('سجل الإجازات والحالات'!$AW$6:$AW$505,'سجل الإجازات والحالات'!$B$6:$B$505,$B79)+SUMIFS('الحركات الشهرية'!$K$6:$K$1005,'الحركات الشهرية'!$B$6:$B$1005,$B79,'الحركات الشهرية'!$A$6:$A$1005,$C$3))</f>
        <v/>
      </c>
      <c r="AM79" s="116" t="str">
        <f aca="false">IF($B79="","",AL79*الموظفون!$R79/cfg_DAYS_M+S79)</f>
        <v/>
      </c>
      <c r="AN79" s="156" t="str">
        <f aca="false">IF($B79="","",SUMIFS('سجل الإجازات والحالات'!$Y$6:$Y$505,'سجل الإجازات والحالات'!$B$6:$B$505,$B79))</f>
        <v/>
      </c>
    </row>
    <row r="80" customFormat="false" ht="15" hidden="false" customHeight="false" outlineLevel="0" collapsed="false">
      <c r="A80" s="106" t="str">
        <f aca="false">IF($B80="","",الموظفون!$A80)</f>
        <v/>
      </c>
      <c r="B80" s="114" t="str">
        <f aca="false">IF(الموظفون!$B80="","",الموظفون!$B80)</f>
        <v/>
      </c>
      <c r="C80" s="114" t="str">
        <f aca="false">IF($B80="","",الموظفون!$C80)</f>
        <v/>
      </c>
      <c r="D80" s="114" t="str">
        <f aca="false">IF($B80="","",الموظفون!$F80)</f>
        <v/>
      </c>
      <c r="E80" s="114" t="str">
        <f aca="false">IF($B80="","",الموظفون!$E80)</f>
        <v/>
      </c>
      <c r="F80" s="114" t="str">
        <f aca="false">IF($B80="","",IF(AK80=0,IF(AND(الموظفون!$AE80&lt;&gt;"",الموظفون!$AE80&lt;$E$3),"✖ منتهي الخدمة","⏳ لم يباشر"),IF(S80&gt;0,"✈ راتب إجازة مقدم",IF(J80=0,"⛔ بدون راتب هذا الشهر",IF(I80&gt;0,"✈ خصم "&amp;ROUND(I80,2)&amp;" يوم بدون أجر",IF(AL80&gt;0,"🌴 إجازة سنوية "&amp;ROUND(AL80,2)&amp;" يوم",IF(H80&gt;0,"⚠ غياب "&amp;ROUND(H80,2)&amp;" يوم","✔ على رأس العمل")))))))</f>
        <v/>
      </c>
      <c r="G80" s="151" t="str">
        <f aca="false">IF($B80="","",IF(AK80&gt;=DAY($F$3),cfg_DAYS_M,MIN(AK80,cfg_DAYS_M)))</f>
        <v/>
      </c>
      <c r="H80" s="151" t="str">
        <f aca="false">IF($B80="","",SUMIFS('الحركات الشهرية'!$D$6:$D$1005,'الحركات الشهرية'!$B$6:$B$1005,$B80,'الحركات الشهرية'!$A$6:$A$1005,$C$3))</f>
        <v/>
      </c>
      <c r="I80" s="151" t="str">
        <f aca="false">IF($B80="","",MIN(G80,IF(AND(AK80&gt;0,AN80&gt;=AK80),G80,AN80)+SUMIFS('الحركات الشهرية'!$E$6:$E$1005,'الحركات الشهرية'!$B$6:$B$1005,$B80,'الحركات الشهرية'!$A$6:$A$1005,$C$3)))</f>
        <v/>
      </c>
      <c r="J80" s="151" t="str">
        <f aca="false">IF($B80="","",MAX(0,G80-H80-I80))</f>
        <v/>
      </c>
      <c r="K80" s="111" t="str">
        <f aca="false">IF($B80="","",الموظفون!$L80*$J80/cfg_DAYS_M)</f>
        <v/>
      </c>
      <c r="L80" s="111" t="str">
        <f aca="false">IF($B80="","",الموظفون!$M80*$J80/cfg_DAYS_M)</f>
        <v/>
      </c>
      <c r="M80" s="111" t="str">
        <f aca="false">IF($B80="","",الموظفون!$N80*$J80/cfg_DAYS_M)</f>
        <v/>
      </c>
      <c r="N80" s="111" t="str">
        <f aca="false">IF($B80="","",الموظفون!$O80*$J80/cfg_DAYS_M)</f>
        <v/>
      </c>
      <c r="O80" s="151" t="str">
        <f aca="false">IF($B80="","",SUMIFS('الحركات الشهرية'!$F$6:$F$1005,'الحركات الشهرية'!$B$6:$B$1005,$B80,'الحركات الشهرية'!$A$6:$A$1005,$C$3))</f>
        <v/>
      </c>
      <c r="P80" s="111" t="str">
        <f aca="false">IF($B80="","",O80*(الموظفون!$P80+الموظفون!$L80*cfg_OT_P)/cfg_DAYS_M/cfg_HRS)</f>
        <v/>
      </c>
      <c r="Q80" s="111" t="str">
        <f aca="false">IF($B80="","",SUMIFS('الحركات الشهرية'!$G$6:$G$1005,'الحركات الشهرية'!$B$6:$B$1005,$B80,'الحركات الشهرية'!$A$6:$A$1005,$C$3))</f>
        <v/>
      </c>
      <c r="R80" s="111" t="str">
        <f aca="false">IF($B80="","",SUMIFS('الحركات الشهرية'!$H$6:$H$1005,'الحركات الشهرية'!$B$6:$B$1005,$B80,'الحركات الشهرية'!$A$6:$A$1005,$C$3))</f>
        <v/>
      </c>
      <c r="S80" s="111" t="str">
        <f aca="false">IF($B80="","",SUMIFS('سجل الإجازات والحالات'!$N$6:$N$505,'سجل الإجازات والحالات'!$B$6:$B$505,$B80,'سجل الإجازات والحالات'!$O$6:$O$505,$C$3))</f>
        <v/>
      </c>
      <c r="T80" s="152" t="str">
        <f aca="false">IF($B80="","",SUM(K80:N80)+SUM(P80:S80))</f>
        <v/>
      </c>
      <c r="U80" s="111" t="str">
        <f aca="false">IF($B80="","",الموظفون!$S80*IF(E80="سعودي",cfg_G_SE,cfg_G_NE)*G80/cfg_DAYS_M)</f>
        <v/>
      </c>
      <c r="V80" s="111" t="str">
        <f aca="false">IF($B80="","",SUMIFS('الحركات الشهرية'!$I$6:$I$1005,'الحركات الشهرية'!$B$6:$B$1005,$B80,'الحركات الشهرية'!$A$6:$A$1005,$C$3))</f>
        <v/>
      </c>
      <c r="W80" s="111" t="str">
        <f aca="false">IF($B80="","",SUMIFS('الحركات الشهرية'!$J$6:$J$1005,'الحركات الشهرية'!$B$6:$B$1005,$B80,'الحركات الشهرية'!$A$6:$A$1005,$C$3))</f>
        <v/>
      </c>
      <c r="X80" s="111" t="str">
        <f aca="false">IF($B80="","",SUM(U80:W80))</f>
        <v/>
      </c>
      <c r="Y80" s="153" t="str">
        <f aca="false">IF($B80="","",T80-X80)</f>
        <v/>
      </c>
      <c r="Z80" s="111" t="str">
        <f aca="false">IF($B80="","",الموظفون!$S80*IF(E80="سعودي",cfg_G_SR,cfg_G_NR)*G80/cfg_DAYS_M)</f>
        <v/>
      </c>
      <c r="AA80" s="111" t="str">
        <f aca="false">IF($B80="","",الموظفون!$Q80*(cfg_EOS_R1*(MIN(AH80,cfg_EOS_TH)-MIN(AI80,cfg_EOS_TH))+cfg_EOS_R2*(MAX(AH80-cfg_EOS_TH,0)-MAX(AI80-cfg_EOS_TH,0))))</f>
        <v/>
      </c>
      <c r="AB80" s="111" t="str">
        <f aca="false">IF($B80="","",IF(الموظفون!$T80&lt;&gt;"",الموظفون!$T80,IF(AH80&gt;=cfg_LV_TH,cfg_LV_D2,cfg_LV_D1))/cfg_DAYS_Y*AJ80*الموظفون!$R80/cfg_DAYS_M)</f>
        <v/>
      </c>
      <c r="AC80" s="111" t="str">
        <f aca="false">IF($B80="","",IF(AND(الموظفون!$U80="نعم",N(الموظفون!$W80)&gt;0),الموظفون!$V80/الموظفون!$W80*12/cfg_DAYS_Y*AJ80,0))</f>
        <v/>
      </c>
      <c r="AD80" s="111" t="str">
        <f aca="false">IF($B80="","",(IF(الموظفون!$X80&lt;&gt;"",الموظفون!$X80,IF(الموظفون!$E80="غير سعودي",cfg_IQ,0))+IF(الموظفون!$Y80&lt;&gt;"",الموظفون!$Y80,IF(الموظفون!$E80="غير سعودي",cfg_WP,0)))/12*G80/cfg_DAYS_M)</f>
        <v/>
      </c>
      <c r="AE80" s="111" t="str">
        <f aca="false">IF($B80="","",IF(الموظفون!$Z80&lt;&gt;"",الموظفون!$Z80,cfg_MED)/12*G80/cfg_DAYS_M)</f>
        <v/>
      </c>
      <c r="AF80" s="111" t="str">
        <f aca="false">IF($B80="","",N(الموظفون!$AA80)/12*G80/cfg_DAYS_M)</f>
        <v/>
      </c>
      <c r="AG80" s="154" t="str">
        <f aca="false">IF($B80="","",T80+SUM(Z80:AF80))</f>
        <v/>
      </c>
      <c r="AH80" s="155" t="str">
        <f aca="false">IF($B80="","",MAX(0,IF(OR(الموظفون!$AE80="",الموظفون!$AE80&gt;$F$3),$F$3,الموظفون!$AE80)-الموظفون!$H80+1-SUMIFS('سجل الإجازات والحالات'!$AK$6:$AK$505,'سجل الإجازات والحالات'!$B$6:$B$505,$B80))/cfg_DAYS_Y)</f>
        <v/>
      </c>
      <c r="AI80" s="155" t="str">
        <f aca="false">IF($B80="","",MAX(0,IF(OR(الموظفون!$AE80="",الموظفون!$AE80&gt;($E$3-1)),($E$3-1),الموظفون!$AE80)-الموظفون!$H80+1-SUMIFS('سجل الإجازات والحالات'!$AJ$6:$AJ$505,'سجل الإجازات والحالات'!$B$6:$B$505,$B80))/cfg_DAYS_Y)</f>
        <v/>
      </c>
      <c r="AJ80" s="65" t="str">
        <f aca="false">IF($B80="","",MAX(0,AK80-(SUMIFS('سجل الإجازات والحالات'!$AK$6:$AK$505,'سجل الإجازات والحالات'!$B$6:$B$505,$B80)-SUMIFS('سجل الإجازات والحالات'!$AJ$6:$AJ$505,'سجل الإجازات والحالات'!$B$6:$B$505,$B80))))</f>
        <v/>
      </c>
      <c r="AK80" s="65" t="str">
        <f aca="false">IF($B80="","",MAX(0,IF(OR(الموظفون!$AE80="",الموظفون!$AE80&gt;$F$3),$F$3,الموظفون!$AE80)-MAX($E$3,الموظفون!$H80)+1))</f>
        <v/>
      </c>
      <c r="AL80" s="151" t="str">
        <f aca="false">IF($B80="","",SUMIFS('سجل الإجازات والحالات'!$AW$6:$AW$505,'سجل الإجازات والحالات'!$B$6:$B$505,$B80)+SUMIFS('الحركات الشهرية'!$K$6:$K$1005,'الحركات الشهرية'!$B$6:$B$1005,$B80,'الحركات الشهرية'!$A$6:$A$1005,$C$3))</f>
        <v/>
      </c>
      <c r="AM80" s="111" t="str">
        <f aca="false">IF($B80="","",AL80*الموظفون!$R80/cfg_DAYS_M+S80)</f>
        <v/>
      </c>
      <c r="AN80" s="151" t="str">
        <f aca="false">IF($B80="","",SUMIFS('سجل الإجازات والحالات'!$Y$6:$Y$505,'سجل الإجازات والحالات'!$B$6:$B$505,$B80))</f>
        <v/>
      </c>
    </row>
    <row r="81" customFormat="false" ht="15" hidden="false" customHeight="false" outlineLevel="0" collapsed="false">
      <c r="A81" s="115" t="str">
        <f aca="false">IF($B81="","",الموظفون!$A81)</f>
        <v/>
      </c>
      <c r="B81" s="117" t="str">
        <f aca="false">IF(الموظفون!$B81="","",الموظفون!$B81)</f>
        <v/>
      </c>
      <c r="C81" s="117" t="str">
        <f aca="false">IF($B81="","",الموظفون!$C81)</f>
        <v/>
      </c>
      <c r="D81" s="117" t="str">
        <f aca="false">IF($B81="","",الموظفون!$F81)</f>
        <v/>
      </c>
      <c r="E81" s="117" t="str">
        <f aca="false">IF($B81="","",الموظفون!$E81)</f>
        <v/>
      </c>
      <c r="F81" s="117" t="str">
        <f aca="false">IF($B81="","",IF(AK81=0,IF(AND(الموظفون!$AE81&lt;&gt;"",الموظفون!$AE81&lt;$E$3),"✖ منتهي الخدمة","⏳ لم يباشر"),IF(S81&gt;0,"✈ راتب إجازة مقدم",IF(J81=0,"⛔ بدون راتب هذا الشهر",IF(I81&gt;0,"✈ خصم "&amp;ROUND(I81,2)&amp;" يوم بدون أجر",IF(AL81&gt;0,"🌴 إجازة سنوية "&amp;ROUND(AL81,2)&amp;" يوم",IF(H81&gt;0,"⚠ غياب "&amp;ROUND(H81,2)&amp;" يوم","✔ على رأس العمل")))))))</f>
        <v/>
      </c>
      <c r="G81" s="156" t="str">
        <f aca="false">IF($B81="","",IF(AK81&gt;=DAY($F$3),cfg_DAYS_M,MIN(AK81,cfg_DAYS_M)))</f>
        <v/>
      </c>
      <c r="H81" s="156" t="str">
        <f aca="false">IF($B81="","",SUMIFS('الحركات الشهرية'!$D$6:$D$1005,'الحركات الشهرية'!$B$6:$B$1005,$B81,'الحركات الشهرية'!$A$6:$A$1005,$C$3))</f>
        <v/>
      </c>
      <c r="I81" s="156" t="str">
        <f aca="false">IF($B81="","",MIN(G81,IF(AND(AK81&gt;0,AN81&gt;=AK81),G81,AN81)+SUMIFS('الحركات الشهرية'!$E$6:$E$1005,'الحركات الشهرية'!$B$6:$B$1005,$B81,'الحركات الشهرية'!$A$6:$A$1005,$C$3)))</f>
        <v/>
      </c>
      <c r="J81" s="156" t="str">
        <f aca="false">IF($B81="","",MAX(0,G81-H81-I81))</f>
        <v/>
      </c>
      <c r="K81" s="116" t="str">
        <f aca="false">IF($B81="","",الموظفون!$L81*$J81/cfg_DAYS_M)</f>
        <v/>
      </c>
      <c r="L81" s="116" t="str">
        <f aca="false">IF($B81="","",الموظفون!$M81*$J81/cfg_DAYS_M)</f>
        <v/>
      </c>
      <c r="M81" s="116" t="str">
        <f aca="false">IF($B81="","",الموظفون!$N81*$J81/cfg_DAYS_M)</f>
        <v/>
      </c>
      <c r="N81" s="116" t="str">
        <f aca="false">IF($B81="","",الموظفون!$O81*$J81/cfg_DAYS_M)</f>
        <v/>
      </c>
      <c r="O81" s="156" t="str">
        <f aca="false">IF($B81="","",SUMIFS('الحركات الشهرية'!$F$6:$F$1005,'الحركات الشهرية'!$B$6:$B$1005,$B81,'الحركات الشهرية'!$A$6:$A$1005,$C$3))</f>
        <v/>
      </c>
      <c r="P81" s="116" t="str">
        <f aca="false">IF($B81="","",O81*(الموظفون!$P81+الموظفون!$L81*cfg_OT_P)/cfg_DAYS_M/cfg_HRS)</f>
        <v/>
      </c>
      <c r="Q81" s="116" t="str">
        <f aca="false">IF($B81="","",SUMIFS('الحركات الشهرية'!$G$6:$G$1005,'الحركات الشهرية'!$B$6:$B$1005,$B81,'الحركات الشهرية'!$A$6:$A$1005,$C$3))</f>
        <v/>
      </c>
      <c r="R81" s="116" t="str">
        <f aca="false">IF($B81="","",SUMIFS('الحركات الشهرية'!$H$6:$H$1005,'الحركات الشهرية'!$B$6:$B$1005,$B81,'الحركات الشهرية'!$A$6:$A$1005,$C$3))</f>
        <v/>
      </c>
      <c r="S81" s="116" t="str">
        <f aca="false">IF($B81="","",SUMIFS('سجل الإجازات والحالات'!$N$6:$N$505,'سجل الإجازات والحالات'!$B$6:$B$505,$B81,'سجل الإجازات والحالات'!$O$6:$O$505,$C$3))</f>
        <v/>
      </c>
      <c r="T81" s="157" t="str">
        <f aca="false">IF($B81="","",SUM(K81:N81)+SUM(P81:S81))</f>
        <v/>
      </c>
      <c r="U81" s="116" t="str">
        <f aca="false">IF($B81="","",الموظفون!$S81*IF(E81="سعودي",cfg_G_SE,cfg_G_NE)*G81/cfg_DAYS_M)</f>
        <v/>
      </c>
      <c r="V81" s="116" t="str">
        <f aca="false">IF($B81="","",SUMIFS('الحركات الشهرية'!$I$6:$I$1005,'الحركات الشهرية'!$B$6:$B$1005,$B81,'الحركات الشهرية'!$A$6:$A$1005,$C$3))</f>
        <v/>
      </c>
      <c r="W81" s="116" t="str">
        <f aca="false">IF($B81="","",SUMIFS('الحركات الشهرية'!$J$6:$J$1005,'الحركات الشهرية'!$B$6:$B$1005,$B81,'الحركات الشهرية'!$A$6:$A$1005,$C$3))</f>
        <v/>
      </c>
      <c r="X81" s="116" t="str">
        <f aca="false">IF($B81="","",SUM(U81:W81))</f>
        <v/>
      </c>
      <c r="Y81" s="158" t="str">
        <f aca="false">IF($B81="","",T81-X81)</f>
        <v/>
      </c>
      <c r="Z81" s="116" t="str">
        <f aca="false">IF($B81="","",الموظفون!$S81*IF(E81="سعودي",cfg_G_SR,cfg_G_NR)*G81/cfg_DAYS_M)</f>
        <v/>
      </c>
      <c r="AA81" s="116" t="str">
        <f aca="false">IF($B81="","",الموظفون!$Q81*(cfg_EOS_R1*(MIN(AH81,cfg_EOS_TH)-MIN(AI81,cfg_EOS_TH))+cfg_EOS_R2*(MAX(AH81-cfg_EOS_TH,0)-MAX(AI81-cfg_EOS_TH,0))))</f>
        <v/>
      </c>
      <c r="AB81" s="116" t="str">
        <f aca="false">IF($B81="","",IF(الموظفون!$T81&lt;&gt;"",الموظفون!$T81,IF(AH81&gt;=cfg_LV_TH,cfg_LV_D2,cfg_LV_D1))/cfg_DAYS_Y*AJ81*الموظفون!$R81/cfg_DAYS_M)</f>
        <v/>
      </c>
      <c r="AC81" s="116" t="str">
        <f aca="false">IF($B81="","",IF(AND(الموظفون!$U81="نعم",N(الموظفون!$W81)&gt;0),الموظفون!$V81/الموظفون!$W81*12/cfg_DAYS_Y*AJ81,0))</f>
        <v/>
      </c>
      <c r="AD81" s="116" t="str">
        <f aca="false">IF($B81="","",(IF(الموظفون!$X81&lt;&gt;"",الموظفون!$X81,IF(الموظفون!$E81="غير سعودي",cfg_IQ,0))+IF(الموظفون!$Y81&lt;&gt;"",الموظفون!$Y81,IF(الموظفون!$E81="غير سعودي",cfg_WP,0)))/12*G81/cfg_DAYS_M)</f>
        <v/>
      </c>
      <c r="AE81" s="116" t="str">
        <f aca="false">IF($B81="","",IF(الموظفون!$Z81&lt;&gt;"",الموظفون!$Z81,cfg_MED)/12*G81/cfg_DAYS_M)</f>
        <v/>
      </c>
      <c r="AF81" s="116" t="str">
        <f aca="false">IF($B81="","",N(الموظفون!$AA81)/12*G81/cfg_DAYS_M)</f>
        <v/>
      </c>
      <c r="AG81" s="159" t="str">
        <f aca="false">IF($B81="","",T81+SUM(Z81:AF81))</f>
        <v/>
      </c>
      <c r="AH81" s="160" t="str">
        <f aca="false">IF($B81="","",MAX(0,IF(OR(الموظفون!$AE81="",الموظفون!$AE81&gt;$F$3),$F$3,الموظفون!$AE81)-الموظفون!$H81+1-SUMIFS('سجل الإجازات والحالات'!$AK$6:$AK$505,'سجل الإجازات والحالات'!$B$6:$B$505,$B81))/cfg_DAYS_Y)</f>
        <v/>
      </c>
      <c r="AI81" s="160" t="str">
        <f aca="false">IF($B81="","",MAX(0,IF(OR(الموظفون!$AE81="",الموظفون!$AE81&gt;($E$3-1)),($E$3-1),الموظفون!$AE81)-الموظفون!$H81+1-SUMIFS('سجل الإجازات والحالات'!$AJ$6:$AJ$505,'سجل الإجازات والحالات'!$B$6:$B$505,$B81))/cfg_DAYS_Y)</f>
        <v/>
      </c>
      <c r="AJ81" s="133" t="str">
        <f aca="false">IF($B81="","",MAX(0,AK81-(SUMIFS('سجل الإجازات والحالات'!$AK$6:$AK$505,'سجل الإجازات والحالات'!$B$6:$B$505,$B81)-SUMIFS('سجل الإجازات والحالات'!$AJ$6:$AJ$505,'سجل الإجازات والحالات'!$B$6:$B$505,$B81))))</f>
        <v/>
      </c>
      <c r="AK81" s="133" t="str">
        <f aca="false">IF($B81="","",MAX(0,IF(OR(الموظفون!$AE81="",الموظفون!$AE81&gt;$F$3),$F$3,الموظفون!$AE81)-MAX($E$3,الموظفون!$H81)+1))</f>
        <v/>
      </c>
      <c r="AL81" s="156" t="str">
        <f aca="false">IF($B81="","",SUMIFS('سجل الإجازات والحالات'!$AW$6:$AW$505,'سجل الإجازات والحالات'!$B$6:$B$505,$B81)+SUMIFS('الحركات الشهرية'!$K$6:$K$1005,'الحركات الشهرية'!$B$6:$B$1005,$B81,'الحركات الشهرية'!$A$6:$A$1005,$C$3))</f>
        <v/>
      </c>
      <c r="AM81" s="116" t="str">
        <f aca="false">IF($B81="","",AL81*الموظفون!$R81/cfg_DAYS_M+S81)</f>
        <v/>
      </c>
      <c r="AN81" s="156" t="str">
        <f aca="false">IF($B81="","",SUMIFS('سجل الإجازات والحالات'!$Y$6:$Y$505,'سجل الإجازات والحالات'!$B$6:$B$505,$B81))</f>
        <v/>
      </c>
    </row>
    <row r="82" customFormat="false" ht="15" hidden="false" customHeight="false" outlineLevel="0" collapsed="false">
      <c r="A82" s="106" t="str">
        <f aca="false">IF($B82="","",الموظفون!$A82)</f>
        <v/>
      </c>
      <c r="B82" s="114" t="str">
        <f aca="false">IF(الموظفون!$B82="","",الموظفون!$B82)</f>
        <v/>
      </c>
      <c r="C82" s="114" t="str">
        <f aca="false">IF($B82="","",الموظفون!$C82)</f>
        <v/>
      </c>
      <c r="D82" s="114" t="str">
        <f aca="false">IF($B82="","",الموظفون!$F82)</f>
        <v/>
      </c>
      <c r="E82" s="114" t="str">
        <f aca="false">IF($B82="","",الموظفون!$E82)</f>
        <v/>
      </c>
      <c r="F82" s="114" t="str">
        <f aca="false">IF($B82="","",IF(AK82=0,IF(AND(الموظفون!$AE82&lt;&gt;"",الموظفون!$AE82&lt;$E$3),"✖ منتهي الخدمة","⏳ لم يباشر"),IF(S82&gt;0,"✈ راتب إجازة مقدم",IF(J82=0,"⛔ بدون راتب هذا الشهر",IF(I82&gt;0,"✈ خصم "&amp;ROUND(I82,2)&amp;" يوم بدون أجر",IF(AL82&gt;0,"🌴 إجازة سنوية "&amp;ROUND(AL82,2)&amp;" يوم",IF(H82&gt;0,"⚠ غياب "&amp;ROUND(H82,2)&amp;" يوم","✔ على رأس العمل")))))))</f>
        <v/>
      </c>
      <c r="G82" s="151" t="str">
        <f aca="false">IF($B82="","",IF(AK82&gt;=DAY($F$3),cfg_DAYS_M,MIN(AK82,cfg_DAYS_M)))</f>
        <v/>
      </c>
      <c r="H82" s="151" t="str">
        <f aca="false">IF($B82="","",SUMIFS('الحركات الشهرية'!$D$6:$D$1005,'الحركات الشهرية'!$B$6:$B$1005,$B82,'الحركات الشهرية'!$A$6:$A$1005,$C$3))</f>
        <v/>
      </c>
      <c r="I82" s="151" t="str">
        <f aca="false">IF($B82="","",MIN(G82,IF(AND(AK82&gt;0,AN82&gt;=AK82),G82,AN82)+SUMIFS('الحركات الشهرية'!$E$6:$E$1005,'الحركات الشهرية'!$B$6:$B$1005,$B82,'الحركات الشهرية'!$A$6:$A$1005,$C$3)))</f>
        <v/>
      </c>
      <c r="J82" s="151" t="str">
        <f aca="false">IF($B82="","",MAX(0,G82-H82-I82))</f>
        <v/>
      </c>
      <c r="K82" s="111" t="str">
        <f aca="false">IF($B82="","",الموظفون!$L82*$J82/cfg_DAYS_M)</f>
        <v/>
      </c>
      <c r="L82" s="111" t="str">
        <f aca="false">IF($B82="","",الموظفون!$M82*$J82/cfg_DAYS_M)</f>
        <v/>
      </c>
      <c r="M82" s="111" t="str">
        <f aca="false">IF($B82="","",الموظفون!$N82*$J82/cfg_DAYS_M)</f>
        <v/>
      </c>
      <c r="N82" s="111" t="str">
        <f aca="false">IF($B82="","",الموظفون!$O82*$J82/cfg_DAYS_M)</f>
        <v/>
      </c>
      <c r="O82" s="151" t="str">
        <f aca="false">IF($B82="","",SUMIFS('الحركات الشهرية'!$F$6:$F$1005,'الحركات الشهرية'!$B$6:$B$1005,$B82,'الحركات الشهرية'!$A$6:$A$1005,$C$3))</f>
        <v/>
      </c>
      <c r="P82" s="111" t="str">
        <f aca="false">IF($B82="","",O82*(الموظفون!$P82+الموظفون!$L82*cfg_OT_P)/cfg_DAYS_M/cfg_HRS)</f>
        <v/>
      </c>
      <c r="Q82" s="111" t="str">
        <f aca="false">IF($B82="","",SUMIFS('الحركات الشهرية'!$G$6:$G$1005,'الحركات الشهرية'!$B$6:$B$1005,$B82,'الحركات الشهرية'!$A$6:$A$1005,$C$3))</f>
        <v/>
      </c>
      <c r="R82" s="111" t="str">
        <f aca="false">IF($B82="","",SUMIFS('الحركات الشهرية'!$H$6:$H$1005,'الحركات الشهرية'!$B$6:$B$1005,$B82,'الحركات الشهرية'!$A$6:$A$1005,$C$3))</f>
        <v/>
      </c>
      <c r="S82" s="111" t="str">
        <f aca="false">IF($B82="","",SUMIFS('سجل الإجازات والحالات'!$N$6:$N$505,'سجل الإجازات والحالات'!$B$6:$B$505,$B82,'سجل الإجازات والحالات'!$O$6:$O$505,$C$3))</f>
        <v/>
      </c>
      <c r="T82" s="152" t="str">
        <f aca="false">IF($B82="","",SUM(K82:N82)+SUM(P82:S82))</f>
        <v/>
      </c>
      <c r="U82" s="111" t="str">
        <f aca="false">IF($B82="","",الموظفون!$S82*IF(E82="سعودي",cfg_G_SE,cfg_G_NE)*G82/cfg_DAYS_M)</f>
        <v/>
      </c>
      <c r="V82" s="111" t="str">
        <f aca="false">IF($B82="","",SUMIFS('الحركات الشهرية'!$I$6:$I$1005,'الحركات الشهرية'!$B$6:$B$1005,$B82,'الحركات الشهرية'!$A$6:$A$1005,$C$3))</f>
        <v/>
      </c>
      <c r="W82" s="111" t="str">
        <f aca="false">IF($B82="","",SUMIFS('الحركات الشهرية'!$J$6:$J$1005,'الحركات الشهرية'!$B$6:$B$1005,$B82,'الحركات الشهرية'!$A$6:$A$1005,$C$3))</f>
        <v/>
      </c>
      <c r="X82" s="111" t="str">
        <f aca="false">IF($B82="","",SUM(U82:W82))</f>
        <v/>
      </c>
      <c r="Y82" s="153" t="str">
        <f aca="false">IF($B82="","",T82-X82)</f>
        <v/>
      </c>
      <c r="Z82" s="111" t="str">
        <f aca="false">IF($B82="","",الموظفون!$S82*IF(E82="سعودي",cfg_G_SR,cfg_G_NR)*G82/cfg_DAYS_M)</f>
        <v/>
      </c>
      <c r="AA82" s="111" t="str">
        <f aca="false">IF($B82="","",الموظفون!$Q82*(cfg_EOS_R1*(MIN(AH82,cfg_EOS_TH)-MIN(AI82,cfg_EOS_TH))+cfg_EOS_R2*(MAX(AH82-cfg_EOS_TH,0)-MAX(AI82-cfg_EOS_TH,0))))</f>
        <v/>
      </c>
      <c r="AB82" s="111" t="str">
        <f aca="false">IF($B82="","",IF(الموظفون!$T82&lt;&gt;"",الموظفون!$T82,IF(AH82&gt;=cfg_LV_TH,cfg_LV_D2,cfg_LV_D1))/cfg_DAYS_Y*AJ82*الموظفون!$R82/cfg_DAYS_M)</f>
        <v/>
      </c>
      <c r="AC82" s="111" t="str">
        <f aca="false">IF($B82="","",IF(AND(الموظفون!$U82="نعم",N(الموظفون!$W82)&gt;0),الموظفون!$V82/الموظفون!$W82*12/cfg_DAYS_Y*AJ82,0))</f>
        <v/>
      </c>
      <c r="AD82" s="111" t="str">
        <f aca="false">IF($B82="","",(IF(الموظفون!$X82&lt;&gt;"",الموظفون!$X82,IF(الموظفون!$E82="غير سعودي",cfg_IQ,0))+IF(الموظفون!$Y82&lt;&gt;"",الموظفون!$Y82,IF(الموظفون!$E82="غير سعودي",cfg_WP,0)))/12*G82/cfg_DAYS_M)</f>
        <v/>
      </c>
      <c r="AE82" s="111" t="str">
        <f aca="false">IF($B82="","",IF(الموظفون!$Z82&lt;&gt;"",الموظفون!$Z82,cfg_MED)/12*G82/cfg_DAYS_M)</f>
        <v/>
      </c>
      <c r="AF82" s="111" t="str">
        <f aca="false">IF($B82="","",N(الموظفون!$AA82)/12*G82/cfg_DAYS_M)</f>
        <v/>
      </c>
      <c r="AG82" s="154" t="str">
        <f aca="false">IF($B82="","",T82+SUM(Z82:AF82))</f>
        <v/>
      </c>
      <c r="AH82" s="155" t="str">
        <f aca="false">IF($B82="","",MAX(0,IF(OR(الموظفون!$AE82="",الموظفون!$AE82&gt;$F$3),$F$3,الموظفون!$AE82)-الموظفون!$H82+1-SUMIFS('سجل الإجازات والحالات'!$AK$6:$AK$505,'سجل الإجازات والحالات'!$B$6:$B$505,$B82))/cfg_DAYS_Y)</f>
        <v/>
      </c>
      <c r="AI82" s="155" t="str">
        <f aca="false">IF($B82="","",MAX(0,IF(OR(الموظفون!$AE82="",الموظفون!$AE82&gt;($E$3-1)),($E$3-1),الموظفون!$AE82)-الموظفون!$H82+1-SUMIFS('سجل الإجازات والحالات'!$AJ$6:$AJ$505,'سجل الإجازات والحالات'!$B$6:$B$505,$B82))/cfg_DAYS_Y)</f>
        <v/>
      </c>
      <c r="AJ82" s="65" t="str">
        <f aca="false">IF($B82="","",MAX(0,AK82-(SUMIFS('سجل الإجازات والحالات'!$AK$6:$AK$505,'سجل الإجازات والحالات'!$B$6:$B$505,$B82)-SUMIFS('سجل الإجازات والحالات'!$AJ$6:$AJ$505,'سجل الإجازات والحالات'!$B$6:$B$505,$B82))))</f>
        <v/>
      </c>
      <c r="AK82" s="65" t="str">
        <f aca="false">IF($B82="","",MAX(0,IF(OR(الموظفون!$AE82="",الموظفون!$AE82&gt;$F$3),$F$3,الموظفون!$AE82)-MAX($E$3,الموظفون!$H82)+1))</f>
        <v/>
      </c>
      <c r="AL82" s="151" t="str">
        <f aca="false">IF($B82="","",SUMIFS('سجل الإجازات والحالات'!$AW$6:$AW$505,'سجل الإجازات والحالات'!$B$6:$B$505,$B82)+SUMIFS('الحركات الشهرية'!$K$6:$K$1005,'الحركات الشهرية'!$B$6:$B$1005,$B82,'الحركات الشهرية'!$A$6:$A$1005,$C$3))</f>
        <v/>
      </c>
      <c r="AM82" s="111" t="str">
        <f aca="false">IF($B82="","",AL82*الموظفون!$R82/cfg_DAYS_M+S82)</f>
        <v/>
      </c>
      <c r="AN82" s="151" t="str">
        <f aca="false">IF($B82="","",SUMIFS('سجل الإجازات والحالات'!$Y$6:$Y$505,'سجل الإجازات والحالات'!$B$6:$B$505,$B82))</f>
        <v/>
      </c>
    </row>
    <row r="83" customFormat="false" ht="15" hidden="false" customHeight="false" outlineLevel="0" collapsed="false">
      <c r="A83" s="115" t="str">
        <f aca="false">IF($B83="","",الموظفون!$A83)</f>
        <v/>
      </c>
      <c r="B83" s="117" t="str">
        <f aca="false">IF(الموظفون!$B83="","",الموظفون!$B83)</f>
        <v/>
      </c>
      <c r="C83" s="117" t="str">
        <f aca="false">IF($B83="","",الموظفون!$C83)</f>
        <v/>
      </c>
      <c r="D83" s="117" t="str">
        <f aca="false">IF($B83="","",الموظفون!$F83)</f>
        <v/>
      </c>
      <c r="E83" s="117" t="str">
        <f aca="false">IF($B83="","",الموظفون!$E83)</f>
        <v/>
      </c>
      <c r="F83" s="117" t="str">
        <f aca="false">IF($B83="","",IF(AK83=0,IF(AND(الموظفون!$AE83&lt;&gt;"",الموظفون!$AE83&lt;$E$3),"✖ منتهي الخدمة","⏳ لم يباشر"),IF(S83&gt;0,"✈ راتب إجازة مقدم",IF(J83=0,"⛔ بدون راتب هذا الشهر",IF(I83&gt;0,"✈ خصم "&amp;ROUND(I83,2)&amp;" يوم بدون أجر",IF(AL83&gt;0,"🌴 إجازة سنوية "&amp;ROUND(AL83,2)&amp;" يوم",IF(H83&gt;0,"⚠ غياب "&amp;ROUND(H83,2)&amp;" يوم","✔ على رأس العمل")))))))</f>
        <v/>
      </c>
      <c r="G83" s="156" t="str">
        <f aca="false">IF($B83="","",IF(AK83&gt;=DAY($F$3),cfg_DAYS_M,MIN(AK83,cfg_DAYS_M)))</f>
        <v/>
      </c>
      <c r="H83" s="156" t="str">
        <f aca="false">IF($B83="","",SUMIFS('الحركات الشهرية'!$D$6:$D$1005,'الحركات الشهرية'!$B$6:$B$1005,$B83,'الحركات الشهرية'!$A$6:$A$1005,$C$3))</f>
        <v/>
      </c>
      <c r="I83" s="156" t="str">
        <f aca="false">IF($B83="","",MIN(G83,IF(AND(AK83&gt;0,AN83&gt;=AK83),G83,AN83)+SUMIFS('الحركات الشهرية'!$E$6:$E$1005,'الحركات الشهرية'!$B$6:$B$1005,$B83,'الحركات الشهرية'!$A$6:$A$1005,$C$3)))</f>
        <v/>
      </c>
      <c r="J83" s="156" t="str">
        <f aca="false">IF($B83="","",MAX(0,G83-H83-I83))</f>
        <v/>
      </c>
      <c r="K83" s="116" t="str">
        <f aca="false">IF($B83="","",الموظفون!$L83*$J83/cfg_DAYS_M)</f>
        <v/>
      </c>
      <c r="L83" s="116" t="str">
        <f aca="false">IF($B83="","",الموظفون!$M83*$J83/cfg_DAYS_M)</f>
        <v/>
      </c>
      <c r="M83" s="116" t="str">
        <f aca="false">IF($B83="","",الموظفون!$N83*$J83/cfg_DAYS_M)</f>
        <v/>
      </c>
      <c r="N83" s="116" t="str">
        <f aca="false">IF($B83="","",الموظفون!$O83*$J83/cfg_DAYS_M)</f>
        <v/>
      </c>
      <c r="O83" s="156" t="str">
        <f aca="false">IF($B83="","",SUMIFS('الحركات الشهرية'!$F$6:$F$1005,'الحركات الشهرية'!$B$6:$B$1005,$B83,'الحركات الشهرية'!$A$6:$A$1005,$C$3))</f>
        <v/>
      </c>
      <c r="P83" s="116" t="str">
        <f aca="false">IF($B83="","",O83*(الموظفون!$P83+الموظفون!$L83*cfg_OT_P)/cfg_DAYS_M/cfg_HRS)</f>
        <v/>
      </c>
      <c r="Q83" s="116" t="str">
        <f aca="false">IF($B83="","",SUMIFS('الحركات الشهرية'!$G$6:$G$1005,'الحركات الشهرية'!$B$6:$B$1005,$B83,'الحركات الشهرية'!$A$6:$A$1005,$C$3))</f>
        <v/>
      </c>
      <c r="R83" s="116" t="str">
        <f aca="false">IF($B83="","",SUMIFS('الحركات الشهرية'!$H$6:$H$1005,'الحركات الشهرية'!$B$6:$B$1005,$B83,'الحركات الشهرية'!$A$6:$A$1005,$C$3))</f>
        <v/>
      </c>
      <c r="S83" s="116" t="str">
        <f aca="false">IF($B83="","",SUMIFS('سجل الإجازات والحالات'!$N$6:$N$505,'سجل الإجازات والحالات'!$B$6:$B$505,$B83,'سجل الإجازات والحالات'!$O$6:$O$505,$C$3))</f>
        <v/>
      </c>
      <c r="T83" s="157" t="str">
        <f aca="false">IF($B83="","",SUM(K83:N83)+SUM(P83:S83))</f>
        <v/>
      </c>
      <c r="U83" s="116" t="str">
        <f aca="false">IF($B83="","",الموظفون!$S83*IF(E83="سعودي",cfg_G_SE,cfg_G_NE)*G83/cfg_DAYS_M)</f>
        <v/>
      </c>
      <c r="V83" s="116" t="str">
        <f aca="false">IF($B83="","",SUMIFS('الحركات الشهرية'!$I$6:$I$1005,'الحركات الشهرية'!$B$6:$B$1005,$B83,'الحركات الشهرية'!$A$6:$A$1005,$C$3))</f>
        <v/>
      </c>
      <c r="W83" s="116" t="str">
        <f aca="false">IF($B83="","",SUMIFS('الحركات الشهرية'!$J$6:$J$1005,'الحركات الشهرية'!$B$6:$B$1005,$B83,'الحركات الشهرية'!$A$6:$A$1005,$C$3))</f>
        <v/>
      </c>
      <c r="X83" s="116" t="str">
        <f aca="false">IF($B83="","",SUM(U83:W83))</f>
        <v/>
      </c>
      <c r="Y83" s="158" t="str">
        <f aca="false">IF($B83="","",T83-X83)</f>
        <v/>
      </c>
      <c r="Z83" s="116" t="str">
        <f aca="false">IF($B83="","",الموظفون!$S83*IF(E83="سعودي",cfg_G_SR,cfg_G_NR)*G83/cfg_DAYS_M)</f>
        <v/>
      </c>
      <c r="AA83" s="116" t="str">
        <f aca="false">IF($B83="","",الموظفون!$Q83*(cfg_EOS_R1*(MIN(AH83,cfg_EOS_TH)-MIN(AI83,cfg_EOS_TH))+cfg_EOS_R2*(MAX(AH83-cfg_EOS_TH,0)-MAX(AI83-cfg_EOS_TH,0))))</f>
        <v/>
      </c>
      <c r="AB83" s="116" t="str">
        <f aca="false">IF($B83="","",IF(الموظفون!$T83&lt;&gt;"",الموظفون!$T83,IF(AH83&gt;=cfg_LV_TH,cfg_LV_D2,cfg_LV_D1))/cfg_DAYS_Y*AJ83*الموظفون!$R83/cfg_DAYS_M)</f>
        <v/>
      </c>
      <c r="AC83" s="116" t="str">
        <f aca="false">IF($B83="","",IF(AND(الموظفون!$U83="نعم",N(الموظفون!$W83)&gt;0),الموظفون!$V83/الموظفون!$W83*12/cfg_DAYS_Y*AJ83,0))</f>
        <v/>
      </c>
      <c r="AD83" s="116" t="str">
        <f aca="false">IF($B83="","",(IF(الموظفون!$X83&lt;&gt;"",الموظفون!$X83,IF(الموظفون!$E83="غير سعودي",cfg_IQ,0))+IF(الموظفون!$Y83&lt;&gt;"",الموظفون!$Y83,IF(الموظفون!$E83="غير سعودي",cfg_WP,0)))/12*G83/cfg_DAYS_M)</f>
        <v/>
      </c>
      <c r="AE83" s="116" t="str">
        <f aca="false">IF($B83="","",IF(الموظفون!$Z83&lt;&gt;"",الموظفون!$Z83,cfg_MED)/12*G83/cfg_DAYS_M)</f>
        <v/>
      </c>
      <c r="AF83" s="116" t="str">
        <f aca="false">IF($B83="","",N(الموظفون!$AA83)/12*G83/cfg_DAYS_M)</f>
        <v/>
      </c>
      <c r="AG83" s="159" t="str">
        <f aca="false">IF($B83="","",T83+SUM(Z83:AF83))</f>
        <v/>
      </c>
      <c r="AH83" s="160" t="str">
        <f aca="false">IF($B83="","",MAX(0,IF(OR(الموظفون!$AE83="",الموظفون!$AE83&gt;$F$3),$F$3,الموظفون!$AE83)-الموظفون!$H83+1-SUMIFS('سجل الإجازات والحالات'!$AK$6:$AK$505,'سجل الإجازات والحالات'!$B$6:$B$505,$B83))/cfg_DAYS_Y)</f>
        <v/>
      </c>
      <c r="AI83" s="160" t="str">
        <f aca="false">IF($B83="","",MAX(0,IF(OR(الموظفون!$AE83="",الموظفون!$AE83&gt;($E$3-1)),($E$3-1),الموظفون!$AE83)-الموظفون!$H83+1-SUMIFS('سجل الإجازات والحالات'!$AJ$6:$AJ$505,'سجل الإجازات والحالات'!$B$6:$B$505,$B83))/cfg_DAYS_Y)</f>
        <v/>
      </c>
      <c r="AJ83" s="133" t="str">
        <f aca="false">IF($B83="","",MAX(0,AK83-(SUMIFS('سجل الإجازات والحالات'!$AK$6:$AK$505,'سجل الإجازات والحالات'!$B$6:$B$505,$B83)-SUMIFS('سجل الإجازات والحالات'!$AJ$6:$AJ$505,'سجل الإجازات والحالات'!$B$6:$B$505,$B83))))</f>
        <v/>
      </c>
      <c r="AK83" s="133" t="str">
        <f aca="false">IF($B83="","",MAX(0,IF(OR(الموظفون!$AE83="",الموظفون!$AE83&gt;$F$3),$F$3,الموظفون!$AE83)-MAX($E$3,الموظفون!$H83)+1))</f>
        <v/>
      </c>
      <c r="AL83" s="156" t="str">
        <f aca="false">IF($B83="","",SUMIFS('سجل الإجازات والحالات'!$AW$6:$AW$505,'سجل الإجازات والحالات'!$B$6:$B$505,$B83)+SUMIFS('الحركات الشهرية'!$K$6:$K$1005,'الحركات الشهرية'!$B$6:$B$1005,$B83,'الحركات الشهرية'!$A$6:$A$1005,$C$3))</f>
        <v/>
      </c>
      <c r="AM83" s="116" t="str">
        <f aca="false">IF($B83="","",AL83*الموظفون!$R83/cfg_DAYS_M+S83)</f>
        <v/>
      </c>
      <c r="AN83" s="156" t="str">
        <f aca="false">IF($B83="","",SUMIFS('سجل الإجازات والحالات'!$Y$6:$Y$505,'سجل الإجازات والحالات'!$B$6:$B$505,$B83))</f>
        <v/>
      </c>
    </row>
    <row r="84" customFormat="false" ht="15" hidden="false" customHeight="false" outlineLevel="0" collapsed="false">
      <c r="A84" s="106" t="str">
        <f aca="false">IF($B84="","",الموظفون!$A84)</f>
        <v/>
      </c>
      <c r="B84" s="114" t="str">
        <f aca="false">IF(الموظفون!$B84="","",الموظفون!$B84)</f>
        <v/>
      </c>
      <c r="C84" s="114" t="str">
        <f aca="false">IF($B84="","",الموظفون!$C84)</f>
        <v/>
      </c>
      <c r="D84" s="114" t="str">
        <f aca="false">IF($B84="","",الموظفون!$F84)</f>
        <v/>
      </c>
      <c r="E84" s="114" t="str">
        <f aca="false">IF($B84="","",الموظفون!$E84)</f>
        <v/>
      </c>
      <c r="F84" s="114" t="str">
        <f aca="false">IF($B84="","",IF(AK84=0,IF(AND(الموظفون!$AE84&lt;&gt;"",الموظفون!$AE84&lt;$E$3),"✖ منتهي الخدمة","⏳ لم يباشر"),IF(S84&gt;0,"✈ راتب إجازة مقدم",IF(J84=0,"⛔ بدون راتب هذا الشهر",IF(I84&gt;0,"✈ خصم "&amp;ROUND(I84,2)&amp;" يوم بدون أجر",IF(AL84&gt;0,"🌴 إجازة سنوية "&amp;ROUND(AL84,2)&amp;" يوم",IF(H84&gt;0,"⚠ غياب "&amp;ROUND(H84,2)&amp;" يوم","✔ على رأس العمل")))))))</f>
        <v/>
      </c>
      <c r="G84" s="151" t="str">
        <f aca="false">IF($B84="","",IF(AK84&gt;=DAY($F$3),cfg_DAYS_M,MIN(AK84,cfg_DAYS_M)))</f>
        <v/>
      </c>
      <c r="H84" s="151" t="str">
        <f aca="false">IF($B84="","",SUMIFS('الحركات الشهرية'!$D$6:$D$1005,'الحركات الشهرية'!$B$6:$B$1005,$B84,'الحركات الشهرية'!$A$6:$A$1005,$C$3))</f>
        <v/>
      </c>
      <c r="I84" s="151" t="str">
        <f aca="false">IF($B84="","",MIN(G84,IF(AND(AK84&gt;0,AN84&gt;=AK84),G84,AN84)+SUMIFS('الحركات الشهرية'!$E$6:$E$1005,'الحركات الشهرية'!$B$6:$B$1005,$B84,'الحركات الشهرية'!$A$6:$A$1005,$C$3)))</f>
        <v/>
      </c>
      <c r="J84" s="151" t="str">
        <f aca="false">IF($B84="","",MAX(0,G84-H84-I84))</f>
        <v/>
      </c>
      <c r="K84" s="111" t="str">
        <f aca="false">IF($B84="","",الموظفون!$L84*$J84/cfg_DAYS_M)</f>
        <v/>
      </c>
      <c r="L84" s="111" t="str">
        <f aca="false">IF($B84="","",الموظفون!$M84*$J84/cfg_DAYS_M)</f>
        <v/>
      </c>
      <c r="M84" s="111" t="str">
        <f aca="false">IF($B84="","",الموظفون!$N84*$J84/cfg_DAYS_M)</f>
        <v/>
      </c>
      <c r="N84" s="111" t="str">
        <f aca="false">IF($B84="","",الموظفون!$O84*$J84/cfg_DAYS_M)</f>
        <v/>
      </c>
      <c r="O84" s="151" t="str">
        <f aca="false">IF($B84="","",SUMIFS('الحركات الشهرية'!$F$6:$F$1005,'الحركات الشهرية'!$B$6:$B$1005,$B84,'الحركات الشهرية'!$A$6:$A$1005,$C$3))</f>
        <v/>
      </c>
      <c r="P84" s="111" t="str">
        <f aca="false">IF($B84="","",O84*(الموظفون!$P84+الموظفون!$L84*cfg_OT_P)/cfg_DAYS_M/cfg_HRS)</f>
        <v/>
      </c>
      <c r="Q84" s="111" t="str">
        <f aca="false">IF($B84="","",SUMIFS('الحركات الشهرية'!$G$6:$G$1005,'الحركات الشهرية'!$B$6:$B$1005,$B84,'الحركات الشهرية'!$A$6:$A$1005,$C$3))</f>
        <v/>
      </c>
      <c r="R84" s="111" t="str">
        <f aca="false">IF($B84="","",SUMIFS('الحركات الشهرية'!$H$6:$H$1005,'الحركات الشهرية'!$B$6:$B$1005,$B84,'الحركات الشهرية'!$A$6:$A$1005,$C$3))</f>
        <v/>
      </c>
      <c r="S84" s="111" t="str">
        <f aca="false">IF($B84="","",SUMIFS('سجل الإجازات والحالات'!$N$6:$N$505,'سجل الإجازات والحالات'!$B$6:$B$505,$B84,'سجل الإجازات والحالات'!$O$6:$O$505,$C$3))</f>
        <v/>
      </c>
      <c r="T84" s="152" t="str">
        <f aca="false">IF($B84="","",SUM(K84:N84)+SUM(P84:S84))</f>
        <v/>
      </c>
      <c r="U84" s="111" t="str">
        <f aca="false">IF($B84="","",الموظفون!$S84*IF(E84="سعودي",cfg_G_SE,cfg_G_NE)*G84/cfg_DAYS_M)</f>
        <v/>
      </c>
      <c r="V84" s="111" t="str">
        <f aca="false">IF($B84="","",SUMIFS('الحركات الشهرية'!$I$6:$I$1005,'الحركات الشهرية'!$B$6:$B$1005,$B84,'الحركات الشهرية'!$A$6:$A$1005,$C$3))</f>
        <v/>
      </c>
      <c r="W84" s="111" t="str">
        <f aca="false">IF($B84="","",SUMIFS('الحركات الشهرية'!$J$6:$J$1005,'الحركات الشهرية'!$B$6:$B$1005,$B84,'الحركات الشهرية'!$A$6:$A$1005,$C$3))</f>
        <v/>
      </c>
      <c r="X84" s="111" t="str">
        <f aca="false">IF($B84="","",SUM(U84:W84))</f>
        <v/>
      </c>
      <c r="Y84" s="153" t="str">
        <f aca="false">IF($B84="","",T84-X84)</f>
        <v/>
      </c>
      <c r="Z84" s="111" t="str">
        <f aca="false">IF($B84="","",الموظفون!$S84*IF(E84="سعودي",cfg_G_SR,cfg_G_NR)*G84/cfg_DAYS_M)</f>
        <v/>
      </c>
      <c r="AA84" s="111" t="str">
        <f aca="false">IF($B84="","",الموظفون!$Q84*(cfg_EOS_R1*(MIN(AH84,cfg_EOS_TH)-MIN(AI84,cfg_EOS_TH))+cfg_EOS_R2*(MAX(AH84-cfg_EOS_TH,0)-MAX(AI84-cfg_EOS_TH,0))))</f>
        <v/>
      </c>
      <c r="AB84" s="111" t="str">
        <f aca="false">IF($B84="","",IF(الموظفون!$T84&lt;&gt;"",الموظفون!$T84,IF(AH84&gt;=cfg_LV_TH,cfg_LV_D2,cfg_LV_D1))/cfg_DAYS_Y*AJ84*الموظفون!$R84/cfg_DAYS_M)</f>
        <v/>
      </c>
      <c r="AC84" s="111" t="str">
        <f aca="false">IF($B84="","",IF(AND(الموظفون!$U84="نعم",N(الموظفون!$W84)&gt;0),الموظفون!$V84/الموظفون!$W84*12/cfg_DAYS_Y*AJ84,0))</f>
        <v/>
      </c>
      <c r="AD84" s="111" t="str">
        <f aca="false">IF($B84="","",(IF(الموظفون!$X84&lt;&gt;"",الموظفون!$X84,IF(الموظفون!$E84="غير سعودي",cfg_IQ,0))+IF(الموظفون!$Y84&lt;&gt;"",الموظفون!$Y84,IF(الموظفون!$E84="غير سعودي",cfg_WP,0)))/12*G84/cfg_DAYS_M)</f>
        <v/>
      </c>
      <c r="AE84" s="111" t="str">
        <f aca="false">IF($B84="","",IF(الموظفون!$Z84&lt;&gt;"",الموظفون!$Z84,cfg_MED)/12*G84/cfg_DAYS_M)</f>
        <v/>
      </c>
      <c r="AF84" s="111" t="str">
        <f aca="false">IF($B84="","",N(الموظفون!$AA84)/12*G84/cfg_DAYS_M)</f>
        <v/>
      </c>
      <c r="AG84" s="154" t="str">
        <f aca="false">IF($B84="","",T84+SUM(Z84:AF84))</f>
        <v/>
      </c>
      <c r="AH84" s="155" t="str">
        <f aca="false">IF($B84="","",MAX(0,IF(OR(الموظفون!$AE84="",الموظفون!$AE84&gt;$F$3),$F$3,الموظفون!$AE84)-الموظفون!$H84+1-SUMIFS('سجل الإجازات والحالات'!$AK$6:$AK$505,'سجل الإجازات والحالات'!$B$6:$B$505,$B84))/cfg_DAYS_Y)</f>
        <v/>
      </c>
      <c r="AI84" s="155" t="str">
        <f aca="false">IF($B84="","",MAX(0,IF(OR(الموظفون!$AE84="",الموظفون!$AE84&gt;($E$3-1)),($E$3-1),الموظفون!$AE84)-الموظفون!$H84+1-SUMIFS('سجل الإجازات والحالات'!$AJ$6:$AJ$505,'سجل الإجازات والحالات'!$B$6:$B$505,$B84))/cfg_DAYS_Y)</f>
        <v/>
      </c>
      <c r="AJ84" s="65" t="str">
        <f aca="false">IF($B84="","",MAX(0,AK84-(SUMIFS('سجل الإجازات والحالات'!$AK$6:$AK$505,'سجل الإجازات والحالات'!$B$6:$B$505,$B84)-SUMIFS('سجل الإجازات والحالات'!$AJ$6:$AJ$505,'سجل الإجازات والحالات'!$B$6:$B$505,$B84))))</f>
        <v/>
      </c>
      <c r="AK84" s="65" t="str">
        <f aca="false">IF($B84="","",MAX(0,IF(OR(الموظفون!$AE84="",الموظفون!$AE84&gt;$F$3),$F$3,الموظفون!$AE84)-MAX($E$3,الموظفون!$H84)+1))</f>
        <v/>
      </c>
      <c r="AL84" s="151" t="str">
        <f aca="false">IF($B84="","",SUMIFS('سجل الإجازات والحالات'!$AW$6:$AW$505,'سجل الإجازات والحالات'!$B$6:$B$505,$B84)+SUMIFS('الحركات الشهرية'!$K$6:$K$1005,'الحركات الشهرية'!$B$6:$B$1005,$B84,'الحركات الشهرية'!$A$6:$A$1005,$C$3))</f>
        <v/>
      </c>
      <c r="AM84" s="111" t="str">
        <f aca="false">IF($B84="","",AL84*الموظفون!$R84/cfg_DAYS_M+S84)</f>
        <v/>
      </c>
      <c r="AN84" s="151" t="str">
        <f aca="false">IF($B84="","",SUMIFS('سجل الإجازات والحالات'!$Y$6:$Y$505,'سجل الإجازات والحالات'!$B$6:$B$505,$B84))</f>
        <v/>
      </c>
    </row>
    <row r="85" customFormat="false" ht="15" hidden="false" customHeight="false" outlineLevel="0" collapsed="false">
      <c r="A85" s="115" t="str">
        <f aca="false">IF($B85="","",الموظفون!$A85)</f>
        <v/>
      </c>
      <c r="B85" s="117" t="str">
        <f aca="false">IF(الموظفون!$B85="","",الموظفون!$B85)</f>
        <v/>
      </c>
      <c r="C85" s="117" t="str">
        <f aca="false">IF($B85="","",الموظفون!$C85)</f>
        <v/>
      </c>
      <c r="D85" s="117" t="str">
        <f aca="false">IF($B85="","",الموظفون!$F85)</f>
        <v/>
      </c>
      <c r="E85" s="117" t="str">
        <f aca="false">IF($B85="","",الموظفون!$E85)</f>
        <v/>
      </c>
      <c r="F85" s="117" t="str">
        <f aca="false">IF($B85="","",IF(AK85=0,IF(AND(الموظفون!$AE85&lt;&gt;"",الموظفون!$AE85&lt;$E$3),"✖ منتهي الخدمة","⏳ لم يباشر"),IF(S85&gt;0,"✈ راتب إجازة مقدم",IF(J85=0,"⛔ بدون راتب هذا الشهر",IF(I85&gt;0,"✈ خصم "&amp;ROUND(I85,2)&amp;" يوم بدون أجر",IF(AL85&gt;0,"🌴 إجازة سنوية "&amp;ROUND(AL85,2)&amp;" يوم",IF(H85&gt;0,"⚠ غياب "&amp;ROUND(H85,2)&amp;" يوم","✔ على رأس العمل")))))))</f>
        <v/>
      </c>
      <c r="G85" s="156" t="str">
        <f aca="false">IF($B85="","",IF(AK85&gt;=DAY($F$3),cfg_DAYS_M,MIN(AK85,cfg_DAYS_M)))</f>
        <v/>
      </c>
      <c r="H85" s="156" t="str">
        <f aca="false">IF($B85="","",SUMIFS('الحركات الشهرية'!$D$6:$D$1005,'الحركات الشهرية'!$B$6:$B$1005,$B85,'الحركات الشهرية'!$A$6:$A$1005,$C$3))</f>
        <v/>
      </c>
      <c r="I85" s="156" t="str">
        <f aca="false">IF($B85="","",MIN(G85,IF(AND(AK85&gt;0,AN85&gt;=AK85),G85,AN85)+SUMIFS('الحركات الشهرية'!$E$6:$E$1005,'الحركات الشهرية'!$B$6:$B$1005,$B85,'الحركات الشهرية'!$A$6:$A$1005,$C$3)))</f>
        <v/>
      </c>
      <c r="J85" s="156" t="str">
        <f aca="false">IF($B85="","",MAX(0,G85-H85-I85))</f>
        <v/>
      </c>
      <c r="K85" s="116" t="str">
        <f aca="false">IF($B85="","",الموظفون!$L85*$J85/cfg_DAYS_M)</f>
        <v/>
      </c>
      <c r="L85" s="116" t="str">
        <f aca="false">IF($B85="","",الموظفون!$M85*$J85/cfg_DAYS_M)</f>
        <v/>
      </c>
      <c r="M85" s="116" t="str">
        <f aca="false">IF($B85="","",الموظفون!$N85*$J85/cfg_DAYS_M)</f>
        <v/>
      </c>
      <c r="N85" s="116" t="str">
        <f aca="false">IF($B85="","",الموظفون!$O85*$J85/cfg_DAYS_M)</f>
        <v/>
      </c>
      <c r="O85" s="156" t="str">
        <f aca="false">IF($B85="","",SUMIFS('الحركات الشهرية'!$F$6:$F$1005,'الحركات الشهرية'!$B$6:$B$1005,$B85,'الحركات الشهرية'!$A$6:$A$1005,$C$3))</f>
        <v/>
      </c>
      <c r="P85" s="116" t="str">
        <f aca="false">IF($B85="","",O85*(الموظفون!$P85+الموظفون!$L85*cfg_OT_P)/cfg_DAYS_M/cfg_HRS)</f>
        <v/>
      </c>
      <c r="Q85" s="116" t="str">
        <f aca="false">IF($B85="","",SUMIFS('الحركات الشهرية'!$G$6:$G$1005,'الحركات الشهرية'!$B$6:$B$1005,$B85,'الحركات الشهرية'!$A$6:$A$1005,$C$3))</f>
        <v/>
      </c>
      <c r="R85" s="116" t="str">
        <f aca="false">IF($B85="","",SUMIFS('الحركات الشهرية'!$H$6:$H$1005,'الحركات الشهرية'!$B$6:$B$1005,$B85,'الحركات الشهرية'!$A$6:$A$1005,$C$3))</f>
        <v/>
      </c>
      <c r="S85" s="116" t="str">
        <f aca="false">IF($B85="","",SUMIFS('سجل الإجازات والحالات'!$N$6:$N$505,'سجل الإجازات والحالات'!$B$6:$B$505,$B85,'سجل الإجازات والحالات'!$O$6:$O$505,$C$3))</f>
        <v/>
      </c>
      <c r="T85" s="157" t="str">
        <f aca="false">IF($B85="","",SUM(K85:N85)+SUM(P85:S85))</f>
        <v/>
      </c>
      <c r="U85" s="116" t="str">
        <f aca="false">IF($B85="","",الموظفون!$S85*IF(E85="سعودي",cfg_G_SE,cfg_G_NE)*G85/cfg_DAYS_M)</f>
        <v/>
      </c>
      <c r="V85" s="116" t="str">
        <f aca="false">IF($B85="","",SUMIFS('الحركات الشهرية'!$I$6:$I$1005,'الحركات الشهرية'!$B$6:$B$1005,$B85,'الحركات الشهرية'!$A$6:$A$1005,$C$3))</f>
        <v/>
      </c>
      <c r="W85" s="116" t="str">
        <f aca="false">IF($B85="","",SUMIFS('الحركات الشهرية'!$J$6:$J$1005,'الحركات الشهرية'!$B$6:$B$1005,$B85,'الحركات الشهرية'!$A$6:$A$1005,$C$3))</f>
        <v/>
      </c>
      <c r="X85" s="116" t="str">
        <f aca="false">IF($B85="","",SUM(U85:W85))</f>
        <v/>
      </c>
      <c r="Y85" s="158" t="str">
        <f aca="false">IF($B85="","",T85-X85)</f>
        <v/>
      </c>
      <c r="Z85" s="116" t="str">
        <f aca="false">IF($B85="","",الموظفون!$S85*IF(E85="سعودي",cfg_G_SR,cfg_G_NR)*G85/cfg_DAYS_M)</f>
        <v/>
      </c>
      <c r="AA85" s="116" t="str">
        <f aca="false">IF($B85="","",الموظفون!$Q85*(cfg_EOS_R1*(MIN(AH85,cfg_EOS_TH)-MIN(AI85,cfg_EOS_TH))+cfg_EOS_R2*(MAX(AH85-cfg_EOS_TH,0)-MAX(AI85-cfg_EOS_TH,0))))</f>
        <v/>
      </c>
      <c r="AB85" s="116" t="str">
        <f aca="false">IF($B85="","",IF(الموظفون!$T85&lt;&gt;"",الموظفون!$T85,IF(AH85&gt;=cfg_LV_TH,cfg_LV_D2,cfg_LV_D1))/cfg_DAYS_Y*AJ85*الموظفون!$R85/cfg_DAYS_M)</f>
        <v/>
      </c>
      <c r="AC85" s="116" t="str">
        <f aca="false">IF($B85="","",IF(AND(الموظفون!$U85="نعم",N(الموظفون!$W85)&gt;0),الموظفون!$V85/الموظفون!$W85*12/cfg_DAYS_Y*AJ85,0))</f>
        <v/>
      </c>
      <c r="AD85" s="116" t="str">
        <f aca="false">IF($B85="","",(IF(الموظفون!$X85&lt;&gt;"",الموظفون!$X85,IF(الموظفون!$E85="غير سعودي",cfg_IQ,0))+IF(الموظفون!$Y85&lt;&gt;"",الموظفون!$Y85,IF(الموظفون!$E85="غير سعودي",cfg_WP,0)))/12*G85/cfg_DAYS_M)</f>
        <v/>
      </c>
      <c r="AE85" s="116" t="str">
        <f aca="false">IF($B85="","",IF(الموظفون!$Z85&lt;&gt;"",الموظفون!$Z85,cfg_MED)/12*G85/cfg_DAYS_M)</f>
        <v/>
      </c>
      <c r="AF85" s="116" t="str">
        <f aca="false">IF($B85="","",N(الموظفون!$AA85)/12*G85/cfg_DAYS_M)</f>
        <v/>
      </c>
      <c r="AG85" s="159" t="str">
        <f aca="false">IF($B85="","",T85+SUM(Z85:AF85))</f>
        <v/>
      </c>
      <c r="AH85" s="160" t="str">
        <f aca="false">IF($B85="","",MAX(0,IF(OR(الموظفون!$AE85="",الموظفون!$AE85&gt;$F$3),$F$3,الموظفون!$AE85)-الموظفون!$H85+1-SUMIFS('سجل الإجازات والحالات'!$AK$6:$AK$505,'سجل الإجازات والحالات'!$B$6:$B$505,$B85))/cfg_DAYS_Y)</f>
        <v/>
      </c>
      <c r="AI85" s="160" t="str">
        <f aca="false">IF($B85="","",MAX(0,IF(OR(الموظفون!$AE85="",الموظفون!$AE85&gt;($E$3-1)),($E$3-1),الموظفون!$AE85)-الموظفون!$H85+1-SUMIFS('سجل الإجازات والحالات'!$AJ$6:$AJ$505,'سجل الإجازات والحالات'!$B$6:$B$505,$B85))/cfg_DAYS_Y)</f>
        <v/>
      </c>
      <c r="AJ85" s="133" t="str">
        <f aca="false">IF($B85="","",MAX(0,AK85-(SUMIFS('سجل الإجازات والحالات'!$AK$6:$AK$505,'سجل الإجازات والحالات'!$B$6:$B$505,$B85)-SUMIFS('سجل الإجازات والحالات'!$AJ$6:$AJ$505,'سجل الإجازات والحالات'!$B$6:$B$505,$B85))))</f>
        <v/>
      </c>
      <c r="AK85" s="133" t="str">
        <f aca="false">IF($B85="","",MAX(0,IF(OR(الموظفون!$AE85="",الموظفون!$AE85&gt;$F$3),$F$3,الموظفون!$AE85)-MAX($E$3,الموظفون!$H85)+1))</f>
        <v/>
      </c>
      <c r="AL85" s="156" t="str">
        <f aca="false">IF($B85="","",SUMIFS('سجل الإجازات والحالات'!$AW$6:$AW$505,'سجل الإجازات والحالات'!$B$6:$B$505,$B85)+SUMIFS('الحركات الشهرية'!$K$6:$K$1005,'الحركات الشهرية'!$B$6:$B$1005,$B85,'الحركات الشهرية'!$A$6:$A$1005,$C$3))</f>
        <v/>
      </c>
      <c r="AM85" s="116" t="str">
        <f aca="false">IF($B85="","",AL85*الموظفون!$R85/cfg_DAYS_M+S85)</f>
        <v/>
      </c>
      <c r="AN85" s="156" t="str">
        <f aca="false">IF($B85="","",SUMIFS('سجل الإجازات والحالات'!$Y$6:$Y$505,'سجل الإجازات والحالات'!$B$6:$B$505,$B85))</f>
        <v/>
      </c>
    </row>
    <row r="86" customFormat="false" ht="15" hidden="false" customHeight="false" outlineLevel="0" collapsed="false">
      <c r="A86" s="106" t="str">
        <f aca="false">IF($B86="","",الموظفون!$A86)</f>
        <v/>
      </c>
      <c r="B86" s="114" t="str">
        <f aca="false">IF(الموظفون!$B86="","",الموظفون!$B86)</f>
        <v/>
      </c>
      <c r="C86" s="114" t="str">
        <f aca="false">IF($B86="","",الموظفون!$C86)</f>
        <v/>
      </c>
      <c r="D86" s="114" t="str">
        <f aca="false">IF($B86="","",الموظفون!$F86)</f>
        <v/>
      </c>
      <c r="E86" s="114" t="str">
        <f aca="false">IF($B86="","",الموظفون!$E86)</f>
        <v/>
      </c>
      <c r="F86" s="114" t="str">
        <f aca="false">IF($B86="","",IF(AK86=0,IF(AND(الموظفون!$AE86&lt;&gt;"",الموظفون!$AE86&lt;$E$3),"✖ منتهي الخدمة","⏳ لم يباشر"),IF(S86&gt;0,"✈ راتب إجازة مقدم",IF(J86=0,"⛔ بدون راتب هذا الشهر",IF(I86&gt;0,"✈ خصم "&amp;ROUND(I86,2)&amp;" يوم بدون أجر",IF(AL86&gt;0,"🌴 إجازة سنوية "&amp;ROUND(AL86,2)&amp;" يوم",IF(H86&gt;0,"⚠ غياب "&amp;ROUND(H86,2)&amp;" يوم","✔ على رأس العمل")))))))</f>
        <v/>
      </c>
      <c r="G86" s="151" t="str">
        <f aca="false">IF($B86="","",IF(AK86&gt;=DAY($F$3),cfg_DAYS_M,MIN(AK86,cfg_DAYS_M)))</f>
        <v/>
      </c>
      <c r="H86" s="151" t="str">
        <f aca="false">IF($B86="","",SUMIFS('الحركات الشهرية'!$D$6:$D$1005,'الحركات الشهرية'!$B$6:$B$1005,$B86,'الحركات الشهرية'!$A$6:$A$1005,$C$3))</f>
        <v/>
      </c>
      <c r="I86" s="151" t="str">
        <f aca="false">IF($B86="","",MIN(G86,IF(AND(AK86&gt;0,AN86&gt;=AK86),G86,AN86)+SUMIFS('الحركات الشهرية'!$E$6:$E$1005,'الحركات الشهرية'!$B$6:$B$1005,$B86,'الحركات الشهرية'!$A$6:$A$1005,$C$3)))</f>
        <v/>
      </c>
      <c r="J86" s="151" t="str">
        <f aca="false">IF($B86="","",MAX(0,G86-H86-I86))</f>
        <v/>
      </c>
      <c r="K86" s="111" t="str">
        <f aca="false">IF($B86="","",الموظفون!$L86*$J86/cfg_DAYS_M)</f>
        <v/>
      </c>
      <c r="L86" s="111" t="str">
        <f aca="false">IF($B86="","",الموظفون!$M86*$J86/cfg_DAYS_M)</f>
        <v/>
      </c>
      <c r="M86" s="111" t="str">
        <f aca="false">IF($B86="","",الموظفون!$N86*$J86/cfg_DAYS_M)</f>
        <v/>
      </c>
      <c r="N86" s="111" t="str">
        <f aca="false">IF($B86="","",الموظفون!$O86*$J86/cfg_DAYS_M)</f>
        <v/>
      </c>
      <c r="O86" s="151" t="str">
        <f aca="false">IF($B86="","",SUMIFS('الحركات الشهرية'!$F$6:$F$1005,'الحركات الشهرية'!$B$6:$B$1005,$B86,'الحركات الشهرية'!$A$6:$A$1005,$C$3))</f>
        <v/>
      </c>
      <c r="P86" s="111" t="str">
        <f aca="false">IF($B86="","",O86*(الموظفون!$P86+الموظفون!$L86*cfg_OT_P)/cfg_DAYS_M/cfg_HRS)</f>
        <v/>
      </c>
      <c r="Q86" s="111" t="str">
        <f aca="false">IF($B86="","",SUMIFS('الحركات الشهرية'!$G$6:$G$1005,'الحركات الشهرية'!$B$6:$B$1005,$B86,'الحركات الشهرية'!$A$6:$A$1005,$C$3))</f>
        <v/>
      </c>
      <c r="R86" s="111" t="str">
        <f aca="false">IF($B86="","",SUMIFS('الحركات الشهرية'!$H$6:$H$1005,'الحركات الشهرية'!$B$6:$B$1005,$B86,'الحركات الشهرية'!$A$6:$A$1005,$C$3))</f>
        <v/>
      </c>
      <c r="S86" s="111" t="str">
        <f aca="false">IF($B86="","",SUMIFS('سجل الإجازات والحالات'!$N$6:$N$505,'سجل الإجازات والحالات'!$B$6:$B$505,$B86,'سجل الإجازات والحالات'!$O$6:$O$505,$C$3))</f>
        <v/>
      </c>
      <c r="T86" s="152" t="str">
        <f aca="false">IF($B86="","",SUM(K86:N86)+SUM(P86:S86))</f>
        <v/>
      </c>
      <c r="U86" s="111" t="str">
        <f aca="false">IF($B86="","",الموظفون!$S86*IF(E86="سعودي",cfg_G_SE,cfg_G_NE)*G86/cfg_DAYS_M)</f>
        <v/>
      </c>
      <c r="V86" s="111" t="str">
        <f aca="false">IF($B86="","",SUMIFS('الحركات الشهرية'!$I$6:$I$1005,'الحركات الشهرية'!$B$6:$B$1005,$B86,'الحركات الشهرية'!$A$6:$A$1005,$C$3))</f>
        <v/>
      </c>
      <c r="W86" s="111" t="str">
        <f aca="false">IF($B86="","",SUMIFS('الحركات الشهرية'!$J$6:$J$1005,'الحركات الشهرية'!$B$6:$B$1005,$B86,'الحركات الشهرية'!$A$6:$A$1005,$C$3))</f>
        <v/>
      </c>
      <c r="X86" s="111" t="str">
        <f aca="false">IF($B86="","",SUM(U86:W86))</f>
        <v/>
      </c>
      <c r="Y86" s="153" t="str">
        <f aca="false">IF($B86="","",T86-X86)</f>
        <v/>
      </c>
      <c r="Z86" s="111" t="str">
        <f aca="false">IF($B86="","",الموظفون!$S86*IF(E86="سعودي",cfg_G_SR,cfg_G_NR)*G86/cfg_DAYS_M)</f>
        <v/>
      </c>
      <c r="AA86" s="111" t="str">
        <f aca="false">IF($B86="","",الموظفون!$Q86*(cfg_EOS_R1*(MIN(AH86,cfg_EOS_TH)-MIN(AI86,cfg_EOS_TH))+cfg_EOS_R2*(MAX(AH86-cfg_EOS_TH,0)-MAX(AI86-cfg_EOS_TH,0))))</f>
        <v/>
      </c>
      <c r="AB86" s="111" t="str">
        <f aca="false">IF($B86="","",IF(الموظفون!$T86&lt;&gt;"",الموظفون!$T86,IF(AH86&gt;=cfg_LV_TH,cfg_LV_D2,cfg_LV_D1))/cfg_DAYS_Y*AJ86*الموظفون!$R86/cfg_DAYS_M)</f>
        <v/>
      </c>
      <c r="AC86" s="111" t="str">
        <f aca="false">IF($B86="","",IF(AND(الموظفون!$U86="نعم",N(الموظفون!$W86)&gt;0),الموظفون!$V86/الموظفون!$W86*12/cfg_DAYS_Y*AJ86,0))</f>
        <v/>
      </c>
      <c r="AD86" s="111" t="str">
        <f aca="false">IF($B86="","",(IF(الموظفون!$X86&lt;&gt;"",الموظفون!$X86,IF(الموظفون!$E86="غير سعودي",cfg_IQ,0))+IF(الموظفون!$Y86&lt;&gt;"",الموظفون!$Y86,IF(الموظفون!$E86="غير سعودي",cfg_WP,0)))/12*G86/cfg_DAYS_M)</f>
        <v/>
      </c>
      <c r="AE86" s="111" t="str">
        <f aca="false">IF($B86="","",IF(الموظفون!$Z86&lt;&gt;"",الموظفون!$Z86,cfg_MED)/12*G86/cfg_DAYS_M)</f>
        <v/>
      </c>
      <c r="AF86" s="111" t="str">
        <f aca="false">IF($B86="","",N(الموظفون!$AA86)/12*G86/cfg_DAYS_M)</f>
        <v/>
      </c>
      <c r="AG86" s="154" t="str">
        <f aca="false">IF($B86="","",T86+SUM(Z86:AF86))</f>
        <v/>
      </c>
      <c r="AH86" s="155" t="str">
        <f aca="false">IF($B86="","",MAX(0,IF(OR(الموظفون!$AE86="",الموظفون!$AE86&gt;$F$3),$F$3,الموظفون!$AE86)-الموظفون!$H86+1-SUMIFS('سجل الإجازات والحالات'!$AK$6:$AK$505,'سجل الإجازات والحالات'!$B$6:$B$505,$B86))/cfg_DAYS_Y)</f>
        <v/>
      </c>
      <c r="AI86" s="155" t="str">
        <f aca="false">IF($B86="","",MAX(0,IF(OR(الموظفون!$AE86="",الموظفون!$AE86&gt;($E$3-1)),($E$3-1),الموظفون!$AE86)-الموظفون!$H86+1-SUMIFS('سجل الإجازات والحالات'!$AJ$6:$AJ$505,'سجل الإجازات والحالات'!$B$6:$B$505,$B86))/cfg_DAYS_Y)</f>
        <v/>
      </c>
      <c r="AJ86" s="65" t="str">
        <f aca="false">IF($B86="","",MAX(0,AK86-(SUMIFS('سجل الإجازات والحالات'!$AK$6:$AK$505,'سجل الإجازات والحالات'!$B$6:$B$505,$B86)-SUMIFS('سجل الإجازات والحالات'!$AJ$6:$AJ$505,'سجل الإجازات والحالات'!$B$6:$B$505,$B86))))</f>
        <v/>
      </c>
      <c r="AK86" s="65" t="str">
        <f aca="false">IF($B86="","",MAX(0,IF(OR(الموظفون!$AE86="",الموظفون!$AE86&gt;$F$3),$F$3,الموظفون!$AE86)-MAX($E$3,الموظفون!$H86)+1))</f>
        <v/>
      </c>
      <c r="AL86" s="151" t="str">
        <f aca="false">IF($B86="","",SUMIFS('سجل الإجازات والحالات'!$AW$6:$AW$505,'سجل الإجازات والحالات'!$B$6:$B$505,$B86)+SUMIFS('الحركات الشهرية'!$K$6:$K$1005,'الحركات الشهرية'!$B$6:$B$1005,$B86,'الحركات الشهرية'!$A$6:$A$1005,$C$3))</f>
        <v/>
      </c>
      <c r="AM86" s="111" t="str">
        <f aca="false">IF($B86="","",AL86*الموظفون!$R86/cfg_DAYS_M+S86)</f>
        <v/>
      </c>
      <c r="AN86" s="151" t="str">
        <f aca="false">IF($B86="","",SUMIFS('سجل الإجازات والحالات'!$Y$6:$Y$505,'سجل الإجازات والحالات'!$B$6:$B$505,$B86))</f>
        <v/>
      </c>
    </row>
    <row r="87" customFormat="false" ht="15" hidden="false" customHeight="false" outlineLevel="0" collapsed="false">
      <c r="A87" s="115" t="str">
        <f aca="false">IF($B87="","",الموظفون!$A87)</f>
        <v/>
      </c>
      <c r="B87" s="117" t="str">
        <f aca="false">IF(الموظفون!$B87="","",الموظفون!$B87)</f>
        <v/>
      </c>
      <c r="C87" s="117" t="str">
        <f aca="false">IF($B87="","",الموظفون!$C87)</f>
        <v/>
      </c>
      <c r="D87" s="117" t="str">
        <f aca="false">IF($B87="","",الموظفون!$F87)</f>
        <v/>
      </c>
      <c r="E87" s="117" t="str">
        <f aca="false">IF($B87="","",الموظفون!$E87)</f>
        <v/>
      </c>
      <c r="F87" s="117" t="str">
        <f aca="false">IF($B87="","",IF(AK87=0,IF(AND(الموظفون!$AE87&lt;&gt;"",الموظفون!$AE87&lt;$E$3),"✖ منتهي الخدمة","⏳ لم يباشر"),IF(S87&gt;0,"✈ راتب إجازة مقدم",IF(J87=0,"⛔ بدون راتب هذا الشهر",IF(I87&gt;0,"✈ خصم "&amp;ROUND(I87,2)&amp;" يوم بدون أجر",IF(AL87&gt;0,"🌴 إجازة سنوية "&amp;ROUND(AL87,2)&amp;" يوم",IF(H87&gt;0,"⚠ غياب "&amp;ROUND(H87,2)&amp;" يوم","✔ على رأس العمل")))))))</f>
        <v/>
      </c>
      <c r="G87" s="156" t="str">
        <f aca="false">IF($B87="","",IF(AK87&gt;=DAY($F$3),cfg_DAYS_M,MIN(AK87,cfg_DAYS_M)))</f>
        <v/>
      </c>
      <c r="H87" s="156" t="str">
        <f aca="false">IF($B87="","",SUMIFS('الحركات الشهرية'!$D$6:$D$1005,'الحركات الشهرية'!$B$6:$B$1005,$B87,'الحركات الشهرية'!$A$6:$A$1005,$C$3))</f>
        <v/>
      </c>
      <c r="I87" s="156" t="str">
        <f aca="false">IF($B87="","",MIN(G87,IF(AND(AK87&gt;0,AN87&gt;=AK87),G87,AN87)+SUMIFS('الحركات الشهرية'!$E$6:$E$1005,'الحركات الشهرية'!$B$6:$B$1005,$B87,'الحركات الشهرية'!$A$6:$A$1005,$C$3)))</f>
        <v/>
      </c>
      <c r="J87" s="156" t="str">
        <f aca="false">IF($B87="","",MAX(0,G87-H87-I87))</f>
        <v/>
      </c>
      <c r="K87" s="116" t="str">
        <f aca="false">IF($B87="","",الموظفون!$L87*$J87/cfg_DAYS_M)</f>
        <v/>
      </c>
      <c r="L87" s="116" t="str">
        <f aca="false">IF($B87="","",الموظفون!$M87*$J87/cfg_DAYS_M)</f>
        <v/>
      </c>
      <c r="M87" s="116" t="str">
        <f aca="false">IF($B87="","",الموظفون!$N87*$J87/cfg_DAYS_M)</f>
        <v/>
      </c>
      <c r="N87" s="116" t="str">
        <f aca="false">IF($B87="","",الموظفون!$O87*$J87/cfg_DAYS_M)</f>
        <v/>
      </c>
      <c r="O87" s="156" t="str">
        <f aca="false">IF($B87="","",SUMIFS('الحركات الشهرية'!$F$6:$F$1005,'الحركات الشهرية'!$B$6:$B$1005,$B87,'الحركات الشهرية'!$A$6:$A$1005,$C$3))</f>
        <v/>
      </c>
      <c r="P87" s="116" t="str">
        <f aca="false">IF($B87="","",O87*(الموظفون!$P87+الموظفون!$L87*cfg_OT_P)/cfg_DAYS_M/cfg_HRS)</f>
        <v/>
      </c>
      <c r="Q87" s="116" t="str">
        <f aca="false">IF($B87="","",SUMIFS('الحركات الشهرية'!$G$6:$G$1005,'الحركات الشهرية'!$B$6:$B$1005,$B87,'الحركات الشهرية'!$A$6:$A$1005,$C$3))</f>
        <v/>
      </c>
      <c r="R87" s="116" t="str">
        <f aca="false">IF($B87="","",SUMIFS('الحركات الشهرية'!$H$6:$H$1005,'الحركات الشهرية'!$B$6:$B$1005,$B87,'الحركات الشهرية'!$A$6:$A$1005,$C$3))</f>
        <v/>
      </c>
      <c r="S87" s="116" t="str">
        <f aca="false">IF($B87="","",SUMIFS('سجل الإجازات والحالات'!$N$6:$N$505,'سجل الإجازات والحالات'!$B$6:$B$505,$B87,'سجل الإجازات والحالات'!$O$6:$O$505,$C$3))</f>
        <v/>
      </c>
      <c r="T87" s="157" t="str">
        <f aca="false">IF($B87="","",SUM(K87:N87)+SUM(P87:S87))</f>
        <v/>
      </c>
      <c r="U87" s="116" t="str">
        <f aca="false">IF($B87="","",الموظفون!$S87*IF(E87="سعودي",cfg_G_SE,cfg_G_NE)*G87/cfg_DAYS_M)</f>
        <v/>
      </c>
      <c r="V87" s="116" t="str">
        <f aca="false">IF($B87="","",SUMIFS('الحركات الشهرية'!$I$6:$I$1005,'الحركات الشهرية'!$B$6:$B$1005,$B87,'الحركات الشهرية'!$A$6:$A$1005,$C$3))</f>
        <v/>
      </c>
      <c r="W87" s="116" t="str">
        <f aca="false">IF($B87="","",SUMIFS('الحركات الشهرية'!$J$6:$J$1005,'الحركات الشهرية'!$B$6:$B$1005,$B87,'الحركات الشهرية'!$A$6:$A$1005,$C$3))</f>
        <v/>
      </c>
      <c r="X87" s="116" t="str">
        <f aca="false">IF($B87="","",SUM(U87:W87))</f>
        <v/>
      </c>
      <c r="Y87" s="158" t="str">
        <f aca="false">IF($B87="","",T87-X87)</f>
        <v/>
      </c>
      <c r="Z87" s="116" t="str">
        <f aca="false">IF($B87="","",الموظفون!$S87*IF(E87="سعودي",cfg_G_SR,cfg_G_NR)*G87/cfg_DAYS_M)</f>
        <v/>
      </c>
      <c r="AA87" s="116" t="str">
        <f aca="false">IF($B87="","",الموظفون!$Q87*(cfg_EOS_R1*(MIN(AH87,cfg_EOS_TH)-MIN(AI87,cfg_EOS_TH))+cfg_EOS_R2*(MAX(AH87-cfg_EOS_TH,0)-MAX(AI87-cfg_EOS_TH,0))))</f>
        <v/>
      </c>
      <c r="AB87" s="116" t="str">
        <f aca="false">IF($B87="","",IF(الموظفون!$T87&lt;&gt;"",الموظفون!$T87,IF(AH87&gt;=cfg_LV_TH,cfg_LV_D2,cfg_LV_D1))/cfg_DAYS_Y*AJ87*الموظفون!$R87/cfg_DAYS_M)</f>
        <v/>
      </c>
      <c r="AC87" s="116" t="str">
        <f aca="false">IF($B87="","",IF(AND(الموظفون!$U87="نعم",N(الموظفون!$W87)&gt;0),الموظفون!$V87/الموظفون!$W87*12/cfg_DAYS_Y*AJ87,0))</f>
        <v/>
      </c>
      <c r="AD87" s="116" t="str">
        <f aca="false">IF($B87="","",(IF(الموظفون!$X87&lt;&gt;"",الموظفون!$X87,IF(الموظفون!$E87="غير سعودي",cfg_IQ,0))+IF(الموظفون!$Y87&lt;&gt;"",الموظفون!$Y87,IF(الموظفون!$E87="غير سعودي",cfg_WP,0)))/12*G87/cfg_DAYS_M)</f>
        <v/>
      </c>
      <c r="AE87" s="116" t="str">
        <f aca="false">IF($B87="","",IF(الموظفون!$Z87&lt;&gt;"",الموظفون!$Z87,cfg_MED)/12*G87/cfg_DAYS_M)</f>
        <v/>
      </c>
      <c r="AF87" s="116" t="str">
        <f aca="false">IF($B87="","",N(الموظفون!$AA87)/12*G87/cfg_DAYS_M)</f>
        <v/>
      </c>
      <c r="AG87" s="159" t="str">
        <f aca="false">IF($B87="","",T87+SUM(Z87:AF87))</f>
        <v/>
      </c>
      <c r="AH87" s="160" t="str">
        <f aca="false">IF($B87="","",MAX(0,IF(OR(الموظفون!$AE87="",الموظفون!$AE87&gt;$F$3),$F$3,الموظفون!$AE87)-الموظفون!$H87+1-SUMIFS('سجل الإجازات والحالات'!$AK$6:$AK$505,'سجل الإجازات والحالات'!$B$6:$B$505,$B87))/cfg_DAYS_Y)</f>
        <v/>
      </c>
      <c r="AI87" s="160" t="str">
        <f aca="false">IF($B87="","",MAX(0,IF(OR(الموظفون!$AE87="",الموظفون!$AE87&gt;($E$3-1)),($E$3-1),الموظفون!$AE87)-الموظفون!$H87+1-SUMIFS('سجل الإجازات والحالات'!$AJ$6:$AJ$505,'سجل الإجازات والحالات'!$B$6:$B$505,$B87))/cfg_DAYS_Y)</f>
        <v/>
      </c>
      <c r="AJ87" s="133" t="str">
        <f aca="false">IF($B87="","",MAX(0,AK87-(SUMIFS('سجل الإجازات والحالات'!$AK$6:$AK$505,'سجل الإجازات والحالات'!$B$6:$B$505,$B87)-SUMIFS('سجل الإجازات والحالات'!$AJ$6:$AJ$505,'سجل الإجازات والحالات'!$B$6:$B$505,$B87))))</f>
        <v/>
      </c>
      <c r="AK87" s="133" t="str">
        <f aca="false">IF($B87="","",MAX(0,IF(OR(الموظفون!$AE87="",الموظفون!$AE87&gt;$F$3),$F$3,الموظفون!$AE87)-MAX($E$3,الموظفون!$H87)+1))</f>
        <v/>
      </c>
      <c r="AL87" s="156" t="str">
        <f aca="false">IF($B87="","",SUMIFS('سجل الإجازات والحالات'!$AW$6:$AW$505,'سجل الإجازات والحالات'!$B$6:$B$505,$B87)+SUMIFS('الحركات الشهرية'!$K$6:$K$1005,'الحركات الشهرية'!$B$6:$B$1005,$B87,'الحركات الشهرية'!$A$6:$A$1005,$C$3))</f>
        <v/>
      </c>
      <c r="AM87" s="116" t="str">
        <f aca="false">IF($B87="","",AL87*الموظفون!$R87/cfg_DAYS_M+S87)</f>
        <v/>
      </c>
      <c r="AN87" s="156" t="str">
        <f aca="false">IF($B87="","",SUMIFS('سجل الإجازات والحالات'!$Y$6:$Y$505,'سجل الإجازات والحالات'!$B$6:$B$505,$B87))</f>
        <v/>
      </c>
    </row>
    <row r="88" customFormat="false" ht="15" hidden="false" customHeight="false" outlineLevel="0" collapsed="false">
      <c r="A88" s="106" t="str">
        <f aca="false">IF($B88="","",الموظفون!$A88)</f>
        <v/>
      </c>
      <c r="B88" s="114" t="str">
        <f aca="false">IF(الموظفون!$B88="","",الموظفون!$B88)</f>
        <v/>
      </c>
      <c r="C88" s="114" t="str">
        <f aca="false">IF($B88="","",الموظفون!$C88)</f>
        <v/>
      </c>
      <c r="D88" s="114" t="str">
        <f aca="false">IF($B88="","",الموظفون!$F88)</f>
        <v/>
      </c>
      <c r="E88" s="114" t="str">
        <f aca="false">IF($B88="","",الموظفون!$E88)</f>
        <v/>
      </c>
      <c r="F88" s="114" t="str">
        <f aca="false">IF($B88="","",IF(AK88=0,IF(AND(الموظفون!$AE88&lt;&gt;"",الموظفون!$AE88&lt;$E$3),"✖ منتهي الخدمة","⏳ لم يباشر"),IF(S88&gt;0,"✈ راتب إجازة مقدم",IF(J88=0,"⛔ بدون راتب هذا الشهر",IF(I88&gt;0,"✈ خصم "&amp;ROUND(I88,2)&amp;" يوم بدون أجر",IF(AL88&gt;0,"🌴 إجازة سنوية "&amp;ROUND(AL88,2)&amp;" يوم",IF(H88&gt;0,"⚠ غياب "&amp;ROUND(H88,2)&amp;" يوم","✔ على رأس العمل")))))))</f>
        <v/>
      </c>
      <c r="G88" s="151" t="str">
        <f aca="false">IF($B88="","",IF(AK88&gt;=DAY($F$3),cfg_DAYS_M,MIN(AK88,cfg_DAYS_M)))</f>
        <v/>
      </c>
      <c r="H88" s="151" t="str">
        <f aca="false">IF($B88="","",SUMIFS('الحركات الشهرية'!$D$6:$D$1005,'الحركات الشهرية'!$B$6:$B$1005,$B88,'الحركات الشهرية'!$A$6:$A$1005,$C$3))</f>
        <v/>
      </c>
      <c r="I88" s="151" t="str">
        <f aca="false">IF($B88="","",MIN(G88,IF(AND(AK88&gt;0,AN88&gt;=AK88),G88,AN88)+SUMIFS('الحركات الشهرية'!$E$6:$E$1005,'الحركات الشهرية'!$B$6:$B$1005,$B88,'الحركات الشهرية'!$A$6:$A$1005,$C$3)))</f>
        <v/>
      </c>
      <c r="J88" s="151" t="str">
        <f aca="false">IF($B88="","",MAX(0,G88-H88-I88))</f>
        <v/>
      </c>
      <c r="K88" s="111" t="str">
        <f aca="false">IF($B88="","",الموظفون!$L88*$J88/cfg_DAYS_M)</f>
        <v/>
      </c>
      <c r="L88" s="111" t="str">
        <f aca="false">IF($B88="","",الموظفون!$M88*$J88/cfg_DAYS_M)</f>
        <v/>
      </c>
      <c r="M88" s="111" t="str">
        <f aca="false">IF($B88="","",الموظفون!$N88*$J88/cfg_DAYS_M)</f>
        <v/>
      </c>
      <c r="N88" s="111" t="str">
        <f aca="false">IF($B88="","",الموظفون!$O88*$J88/cfg_DAYS_M)</f>
        <v/>
      </c>
      <c r="O88" s="151" t="str">
        <f aca="false">IF($B88="","",SUMIFS('الحركات الشهرية'!$F$6:$F$1005,'الحركات الشهرية'!$B$6:$B$1005,$B88,'الحركات الشهرية'!$A$6:$A$1005,$C$3))</f>
        <v/>
      </c>
      <c r="P88" s="111" t="str">
        <f aca="false">IF($B88="","",O88*(الموظفون!$P88+الموظفون!$L88*cfg_OT_P)/cfg_DAYS_M/cfg_HRS)</f>
        <v/>
      </c>
      <c r="Q88" s="111" t="str">
        <f aca="false">IF($B88="","",SUMIFS('الحركات الشهرية'!$G$6:$G$1005,'الحركات الشهرية'!$B$6:$B$1005,$B88,'الحركات الشهرية'!$A$6:$A$1005,$C$3))</f>
        <v/>
      </c>
      <c r="R88" s="111" t="str">
        <f aca="false">IF($B88="","",SUMIFS('الحركات الشهرية'!$H$6:$H$1005,'الحركات الشهرية'!$B$6:$B$1005,$B88,'الحركات الشهرية'!$A$6:$A$1005,$C$3))</f>
        <v/>
      </c>
      <c r="S88" s="111" t="str">
        <f aca="false">IF($B88="","",SUMIFS('سجل الإجازات والحالات'!$N$6:$N$505,'سجل الإجازات والحالات'!$B$6:$B$505,$B88,'سجل الإجازات والحالات'!$O$6:$O$505,$C$3))</f>
        <v/>
      </c>
      <c r="T88" s="152" t="str">
        <f aca="false">IF($B88="","",SUM(K88:N88)+SUM(P88:S88))</f>
        <v/>
      </c>
      <c r="U88" s="111" t="str">
        <f aca="false">IF($B88="","",الموظفون!$S88*IF(E88="سعودي",cfg_G_SE,cfg_G_NE)*G88/cfg_DAYS_M)</f>
        <v/>
      </c>
      <c r="V88" s="111" t="str">
        <f aca="false">IF($B88="","",SUMIFS('الحركات الشهرية'!$I$6:$I$1005,'الحركات الشهرية'!$B$6:$B$1005,$B88,'الحركات الشهرية'!$A$6:$A$1005,$C$3))</f>
        <v/>
      </c>
      <c r="W88" s="111" t="str">
        <f aca="false">IF($B88="","",SUMIFS('الحركات الشهرية'!$J$6:$J$1005,'الحركات الشهرية'!$B$6:$B$1005,$B88,'الحركات الشهرية'!$A$6:$A$1005,$C$3))</f>
        <v/>
      </c>
      <c r="X88" s="111" t="str">
        <f aca="false">IF($B88="","",SUM(U88:W88))</f>
        <v/>
      </c>
      <c r="Y88" s="153" t="str">
        <f aca="false">IF($B88="","",T88-X88)</f>
        <v/>
      </c>
      <c r="Z88" s="111" t="str">
        <f aca="false">IF($B88="","",الموظفون!$S88*IF(E88="سعودي",cfg_G_SR,cfg_G_NR)*G88/cfg_DAYS_M)</f>
        <v/>
      </c>
      <c r="AA88" s="111" t="str">
        <f aca="false">IF($B88="","",الموظفون!$Q88*(cfg_EOS_R1*(MIN(AH88,cfg_EOS_TH)-MIN(AI88,cfg_EOS_TH))+cfg_EOS_R2*(MAX(AH88-cfg_EOS_TH,0)-MAX(AI88-cfg_EOS_TH,0))))</f>
        <v/>
      </c>
      <c r="AB88" s="111" t="str">
        <f aca="false">IF($B88="","",IF(الموظفون!$T88&lt;&gt;"",الموظفون!$T88,IF(AH88&gt;=cfg_LV_TH,cfg_LV_D2,cfg_LV_D1))/cfg_DAYS_Y*AJ88*الموظفون!$R88/cfg_DAYS_M)</f>
        <v/>
      </c>
      <c r="AC88" s="111" t="str">
        <f aca="false">IF($B88="","",IF(AND(الموظفون!$U88="نعم",N(الموظفون!$W88)&gt;0),الموظفون!$V88/الموظفون!$W88*12/cfg_DAYS_Y*AJ88,0))</f>
        <v/>
      </c>
      <c r="AD88" s="111" t="str">
        <f aca="false">IF($B88="","",(IF(الموظفون!$X88&lt;&gt;"",الموظفون!$X88,IF(الموظفون!$E88="غير سعودي",cfg_IQ,0))+IF(الموظفون!$Y88&lt;&gt;"",الموظفون!$Y88,IF(الموظفون!$E88="غير سعودي",cfg_WP,0)))/12*G88/cfg_DAYS_M)</f>
        <v/>
      </c>
      <c r="AE88" s="111" t="str">
        <f aca="false">IF($B88="","",IF(الموظفون!$Z88&lt;&gt;"",الموظفون!$Z88,cfg_MED)/12*G88/cfg_DAYS_M)</f>
        <v/>
      </c>
      <c r="AF88" s="111" t="str">
        <f aca="false">IF($B88="","",N(الموظفون!$AA88)/12*G88/cfg_DAYS_M)</f>
        <v/>
      </c>
      <c r="AG88" s="154" t="str">
        <f aca="false">IF($B88="","",T88+SUM(Z88:AF88))</f>
        <v/>
      </c>
      <c r="AH88" s="155" t="str">
        <f aca="false">IF($B88="","",MAX(0,IF(OR(الموظفون!$AE88="",الموظفون!$AE88&gt;$F$3),$F$3,الموظفون!$AE88)-الموظفون!$H88+1-SUMIFS('سجل الإجازات والحالات'!$AK$6:$AK$505,'سجل الإجازات والحالات'!$B$6:$B$505,$B88))/cfg_DAYS_Y)</f>
        <v/>
      </c>
      <c r="AI88" s="155" t="str">
        <f aca="false">IF($B88="","",MAX(0,IF(OR(الموظفون!$AE88="",الموظفون!$AE88&gt;($E$3-1)),($E$3-1),الموظفون!$AE88)-الموظفون!$H88+1-SUMIFS('سجل الإجازات والحالات'!$AJ$6:$AJ$505,'سجل الإجازات والحالات'!$B$6:$B$505,$B88))/cfg_DAYS_Y)</f>
        <v/>
      </c>
      <c r="AJ88" s="65" t="str">
        <f aca="false">IF($B88="","",MAX(0,AK88-(SUMIFS('سجل الإجازات والحالات'!$AK$6:$AK$505,'سجل الإجازات والحالات'!$B$6:$B$505,$B88)-SUMIFS('سجل الإجازات والحالات'!$AJ$6:$AJ$505,'سجل الإجازات والحالات'!$B$6:$B$505,$B88))))</f>
        <v/>
      </c>
      <c r="AK88" s="65" t="str">
        <f aca="false">IF($B88="","",MAX(0,IF(OR(الموظفون!$AE88="",الموظفون!$AE88&gt;$F$3),$F$3,الموظفون!$AE88)-MAX($E$3,الموظفون!$H88)+1))</f>
        <v/>
      </c>
      <c r="AL88" s="151" t="str">
        <f aca="false">IF($B88="","",SUMIFS('سجل الإجازات والحالات'!$AW$6:$AW$505,'سجل الإجازات والحالات'!$B$6:$B$505,$B88)+SUMIFS('الحركات الشهرية'!$K$6:$K$1005,'الحركات الشهرية'!$B$6:$B$1005,$B88,'الحركات الشهرية'!$A$6:$A$1005,$C$3))</f>
        <v/>
      </c>
      <c r="AM88" s="111" t="str">
        <f aca="false">IF($B88="","",AL88*الموظفون!$R88/cfg_DAYS_M+S88)</f>
        <v/>
      </c>
      <c r="AN88" s="151" t="str">
        <f aca="false">IF($B88="","",SUMIFS('سجل الإجازات والحالات'!$Y$6:$Y$505,'سجل الإجازات والحالات'!$B$6:$B$505,$B88))</f>
        <v/>
      </c>
    </row>
    <row r="89" customFormat="false" ht="15" hidden="false" customHeight="false" outlineLevel="0" collapsed="false">
      <c r="A89" s="115" t="str">
        <f aca="false">IF($B89="","",الموظفون!$A89)</f>
        <v/>
      </c>
      <c r="B89" s="117" t="str">
        <f aca="false">IF(الموظفون!$B89="","",الموظفون!$B89)</f>
        <v/>
      </c>
      <c r="C89" s="117" t="str">
        <f aca="false">IF($B89="","",الموظفون!$C89)</f>
        <v/>
      </c>
      <c r="D89" s="117" t="str">
        <f aca="false">IF($B89="","",الموظفون!$F89)</f>
        <v/>
      </c>
      <c r="E89" s="117" t="str">
        <f aca="false">IF($B89="","",الموظفون!$E89)</f>
        <v/>
      </c>
      <c r="F89" s="117" t="str">
        <f aca="false">IF($B89="","",IF(AK89=0,IF(AND(الموظفون!$AE89&lt;&gt;"",الموظفون!$AE89&lt;$E$3),"✖ منتهي الخدمة","⏳ لم يباشر"),IF(S89&gt;0,"✈ راتب إجازة مقدم",IF(J89=0,"⛔ بدون راتب هذا الشهر",IF(I89&gt;0,"✈ خصم "&amp;ROUND(I89,2)&amp;" يوم بدون أجر",IF(AL89&gt;0,"🌴 إجازة سنوية "&amp;ROUND(AL89,2)&amp;" يوم",IF(H89&gt;0,"⚠ غياب "&amp;ROUND(H89,2)&amp;" يوم","✔ على رأس العمل")))))))</f>
        <v/>
      </c>
      <c r="G89" s="156" t="str">
        <f aca="false">IF($B89="","",IF(AK89&gt;=DAY($F$3),cfg_DAYS_M,MIN(AK89,cfg_DAYS_M)))</f>
        <v/>
      </c>
      <c r="H89" s="156" t="str">
        <f aca="false">IF($B89="","",SUMIFS('الحركات الشهرية'!$D$6:$D$1005,'الحركات الشهرية'!$B$6:$B$1005,$B89,'الحركات الشهرية'!$A$6:$A$1005,$C$3))</f>
        <v/>
      </c>
      <c r="I89" s="156" t="str">
        <f aca="false">IF($B89="","",MIN(G89,IF(AND(AK89&gt;0,AN89&gt;=AK89),G89,AN89)+SUMIFS('الحركات الشهرية'!$E$6:$E$1005,'الحركات الشهرية'!$B$6:$B$1005,$B89,'الحركات الشهرية'!$A$6:$A$1005,$C$3)))</f>
        <v/>
      </c>
      <c r="J89" s="156" t="str">
        <f aca="false">IF($B89="","",MAX(0,G89-H89-I89))</f>
        <v/>
      </c>
      <c r="K89" s="116" t="str">
        <f aca="false">IF($B89="","",الموظفون!$L89*$J89/cfg_DAYS_M)</f>
        <v/>
      </c>
      <c r="L89" s="116" t="str">
        <f aca="false">IF($B89="","",الموظفون!$M89*$J89/cfg_DAYS_M)</f>
        <v/>
      </c>
      <c r="M89" s="116" t="str">
        <f aca="false">IF($B89="","",الموظفون!$N89*$J89/cfg_DAYS_M)</f>
        <v/>
      </c>
      <c r="N89" s="116" t="str">
        <f aca="false">IF($B89="","",الموظفون!$O89*$J89/cfg_DAYS_M)</f>
        <v/>
      </c>
      <c r="O89" s="156" t="str">
        <f aca="false">IF($B89="","",SUMIFS('الحركات الشهرية'!$F$6:$F$1005,'الحركات الشهرية'!$B$6:$B$1005,$B89,'الحركات الشهرية'!$A$6:$A$1005,$C$3))</f>
        <v/>
      </c>
      <c r="P89" s="116" t="str">
        <f aca="false">IF($B89="","",O89*(الموظفون!$P89+الموظفون!$L89*cfg_OT_P)/cfg_DAYS_M/cfg_HRS)</f>
        <v/>
      </c>
      <c r="Q89" s="116" t="str">
        <f aca="false">IF($B89="","",SUMIFS('الحركات الشهرية'!$G$6:$G$1005,'الحركات الشهرية'!$B$6:$B$1005,$B89,'الحركات الشهرية'!$A$6:$A$1005,$C$3))</f>
        <v/>
      </c>
      <c r="R89" s="116" t="str">
        <f aca="false">IF($B89="","",SUMIFS('الحركات الشهرية'!$H$6:$H$1005,'الحركات الشهرية'!$B$6:$B$1005,$B89,'الحركات الشهرية'!$A$6:$A$1005,$C$3))</f>
        <v/>
      </c>
      <c r="S89" s="116" t="str">
        <f aca="false">IF($B89="","",SUMIFS('سجل الإجازات والحالات'!$N$6:$N$505,'سجل الإجازات والحالات'!$B$6:$B$505,$B89,'سجل الإجازات والحالات'!$O$6:$O$505,$C$3))</f>
        <v/>
      </c>
      <c r="T89" s="157" t="str">
        <f aca="false">IF($B89="","",SUM(K89:N89)+SUM(P89:S89))</f>
        <v/>
      </c>
      <c r="U89" s="116" t="str">
        <f aca="false">IF($B89="","",الموظفون!$S89*IF(E89="سعودي",cfg_G_SE,cfg_G_NE)*G89/cfg_DAYS_M)</f>
        <v/>
      </c>
      <c r="V89" s="116" t="str">
        <f aca="false">IF($B89="","",SUMIFS('الحركات الشهرية'!$I$6:$I$1005,'الحركات الشهرية'!$B$6:$B$1005,$B89,'الحركات الشهرية'!$A$6:$A$1005,$C$3))</f>
        <v/>
      </c>
      <c r="W89" s="116" t="str">
        <f aca="false">IF($B89="","",SUMIFS('الحركات الشهرية'!$J$6:$J$1005,'الحركات الشهرية'!$B$6:$B$1005,$B89,'الحركات الشهرية'!$A$6:$A$1005,$C$3))</f>
        <v/>
      </c>
      <c r="X89" s="116" t="str">
        <f aca="false">IF($B89="","",SUM(U89:W89))</f>
        <v/>
      </c>
      <c r="Y89" s="158" t="str">
        <f aca="false">IF($B89="","",T89-X89)</f>
        <v/>
      </c>
      <c r="Z89" s="116" t="str">
        <f aca="false">IF($B89="","",الموظفون!$S89*IF(E89="سعودي",cfg_G_SR,cfg_G_NR)*G89/cfg_DAYS_M)</f>
        <v/>
      </c>
      <c r="AA89" s="116" t="str">
        <f aca="false">IF($B89="","",الموظفون!$Q89*(cfg_EOS_R1*(MIN(AH89,cfg_EOS_TH)-MIN(AI89,cfg_EOS_TH))+cfg_EOS_R2*(MAX(AH89-cfg_EOS_TH,0)-MAX(AI89-cfg_EOS_TH,0))))</f>
        <v/>
      </c>
      <c r="AB89" s="116" t="str">
        <f aca="false">IF($B89="","",IF(الموظفون!$T89&lt;&gt;"",الموظفون!$T89,IF(AH89&gt;=cfg_LV_TH,cfg_LV_D2,cfg_LV_D1))/cfg_DAYS_Y*AJ89*الموظفون!$R89/cfg_DAYS_M)</f>
        <v/>
      </c>
      <c r="AC89" s="116" t="str">
        <f aca="false">IF($B89="","",IF(AND(الموظفون!$U89="نعم",N(الموظفون!$W89)&gt;0),الموظفون!$V89/الموظفون!$W89*12/cfg_DAYS_Y*AJ89,0))</f>
        <v/>
      </c>
      <c r="AD89" s="116" t="str">
        <f aca="false">IF($B89="","",(IF(الموظفون!$X89&lt;&gt;"",الموظفون!$X89,IF(الموظفون!$E89="غير سعودي",cfg_IQ,0))+IF(الموظفون!$Y89&lt;&gt;"",الموظفون!$Y89,IF(الموظفون!$E89="غير سعودي",cfg_WP,0)))/12*G89/cfg_DAYS_M)</f>
        <v/>
      </c>
      <c r="AE89" s="116" t="str">
        <f aca="false">IF($B89="","",IF(الموظفون!$Z89&lt;&gt;"",الموظفون!$Z89,cfg_MED)/12*G89/cfg_DAYS_M)</f>
        <v/>
      </c>
      <c r="AF89" s="116" t="str">
        <f aca="false">IF($B89="","",N(الموظفون!$AA89)/12*G89/cfg_DAYS_M)</f>
        <v/>
      </c>
      <c r="AG89" s="159" t="str">
        <f aca="false">IF($B89="","",T89+SUM(Z89:AF89))</f>
        <v/>
      </c>
      <c r="AH89" s="160" t="str">
        <f aca="false">IF($B89="","",MAX(0,IF(OR(الموظفون!$AE89="",الموظفون!$AE89&gt;$F$3),$F$3,الموظفون!$AE89)-الموظفون!$H89+1-SUMIFS('سجل الإجازات والحالات'!$AK$6:$AK$505,'سجل الإجازات والحالات'!$B$6:$B$505,$B89))/cfg_DAYS_Y)</f>
        <v/>
      </c>
      <c r="AI89" s="160" t="str">
        <f aca="false">IF($B89="","",MAX(0,IF(OR(الموظفون!$AE89="",الموظفون!$AE89&gt;($E$3-1)),($E$3-1),الموظفون!$AE89)-الموظفون!$H89+1-SUMIFS('سجل الإجازات والحالات'!$AJ$6:$AJ$505,'سجل الإجازات والحالات'!$B$6:$B$505,$B89))/cfg_DAYS_Y)</f>
        <v/>
      </c>
      <c r="AJ89" s="133" t="str">
        <f aca="false">IF($B89="","",MAX(0,AK89-(SUMIFS('سجل الإجازات والحالات'!$AK$6:$AK$505,'سجل الإجازات والحالات'!$B$6:$B$505,$B89)-SUMIFS('سجل الإجازات والحالات'!$AJ$6:$AJ$505,'سجل الإجازات والحالات'!$B$6:$B$505,$B89))))</f>
        <v/>
      </c>
      <c r="AK89" s="133" t="str">
        <f aca="false">IF($B89="","",MAX(0,IF(OR(الموظفون!$AE89="",الموظفون!$AE89&gt;$F$3),$F$3,الموظفون!$AE89)-MAX($E$3,الموظفون!$H89)+1))</f>
        <v/>
      </c>
      <c r="AL89" s="156" t="str">
        <f aca="false">IF($B89="","",SUMIFS('سجل الإجازات والحالات'!$AW$6:$AW$505,'سجل الإجازات والحالات'!$B$6:$B$505,$B89)+SUMIFS('الحركات الشهرية'!$K$6:$K$1005,'الحركات الشهرية'!$B$6:$B$1005,$B89,'الحركات الشهرية'!$A$6:$A$1005,$C$3))</f>
        <v/>
      </c>
      <c r="AM89" s="116" t="str">
        <f aca="false">IF($B89="","",AL89*الموظفون!$R89/cfg_DAYS_M+S89)</f>
        <v/>
      </c>
      <c r="AN89" s="156" t="str">
        <f aca="false">IF($B89="","",SUMIFS('سجل الإجازات والحالات'!$Y$6:$Y$505,'سجل الإجازات والحالات'!$B$6:$B$505,$B89))</f>
        <v/>
      </c>
    </row>
    <row r="90" customFormat="false" ht="15" hidden="false" customHeight="false" outlineLevel="0" collapsed="false">
      <c r="A90" s="106" t="str">
        <f aca="false">IF($B90="","",الموظفون!$A90)</f>
        <v/>
      </c>
      <c r="B90" s="114" t="str">
        <f aca="false">IF(الموظفون!$B90="","",الموظفون!$B90)</f>
        <v/>
      </c>
      <c r="C90" s="114" t="str">
        <f aca="false">IF($B90="","",الموظفون!$C90)</f>
        <v/>
      </c>
      <c r="D90" s="114" t="str">
        <f aca="false">IF($B90="","",الموظفون!$F90)</f>
        <v/>
      </c>
      <c r="E90" s="114" t="str">
        <f aca="false">IF($B90="","",الموظفون!$E90)</f>
        <v/>
      </c>
      <c r="F90" s="114" t="str">
        <f aca="false">IF($B90="","",IF(AK90=0,IF(AND(الموظفون!$AE90&lt;&gt;"",الموظفون!$AE90&lt;$E$3),"✖ منتهي الخدمة","⏳ لم يباشر"),IF(S90&gt;0,"✈ راتب إجازة مقدم",IF(J90=0,"⛔ بدون راتب هذا الشهر",IF(I90&gt;0,"✈ خصم "&amp;ROUND(I90,2)&amp;" يوم بدون أجر",IF(AL90&gt;0,"🌴 إجازة سنوية "&amp;ROUND(AL90,2)&amp;" يوم",IF(H90&gt;0,"⚠ غياب "&amp;ROUND(H90,2)&amp;" يوم","✔ على رأس العمل")))))))</f>
        <v/>
      </c>
      <c r="G90" s="151" t="str">
        <f aca="false">IF($B90="","",IF(AK90&gt;=DAY($F$3),cfg_DAYS_M,MIN(AK90,cfg_DAYS_M)))</f>
        <v/>
      </c>
      <c r="H90" s="151" t="str">
        <f aca="false">IF($B90="","",SUMIFS('الحركات الشهرية'!$D$6:$D$1005,'الحركات الشهرية'!$B$6:$B$1005,$B90,'الحركات الشهرية'!$A$6:$A$1005,$C$3))</f>
        <v/>
      </c>
      <c r="I90" s="151" t="str">
        <f aca="false">IF($B90="","",MIN(G90,IF(AND(AK90&gt;0,AN90&gt;=AK90),G90,AN90)+SUMIFS('الحركات الشهرية'!$E$6:$E$1005,'الحركات الشهرية'!$B$6:$B$1005,$B90,'الحركات الشهرية'!$A$6:$A$1005,$C$3)))</f>
        <v/>
      </c>
      <c r="J90" s="151" t="str">
        <f aca="false">IF($B90="","",MAX(0,G90-H90-I90))</f>
        <v/>
      </c>
      <c r="K90" s="111" t="str">
        <f aca="false">IF($B90="","",الموظفون!$L90*$J90/cfg_DAYS_M)</f>
        <v/>
      </c>
      <c r="L90" s="111" t="str">
        <f aca="false">IF($B90="","",الموظفون!$M90*$J90/cfg_DAYS_M)</f>
        <v/>
      </c>
      <c r="M90" s="111" t="str">
        <f aca="false">IF($B90="","",الموظفون!$N90*$J90/cfg_DAYS_M)</f>
        <v/>
      </c>
      <c r="N90" s="111" t="str">
        <f aca="false">IF($B90="","",الموظفون!$O90*$J90/cfg_DAYS_M)</f>
        <v/>
      </c>
      <c r="O90" s="151" t="str">
        <f aca="false">IF($B90="","",SUMIFS('الحركات الشهرية'!$F$6:$F$1005,'الحركات الشهرية'!$B$6:$B$1005,$B90,'الحركات الشهرية'!$A$6:$A$1005,$C$3))</f>
        <v/>
      </c>
      <c r="P90" s="111" t="str">
        <f aca="false">IF($B90="","",O90*(الموظفون!$P90+الموظفون!$L90*cfg_OT_P)/cfg_DAYS_M/cfg_HRS)</f>
        <v/>
      </c>
      <c r="Q90" s="111" t="str">
        <f aca="false">IF($B90="","",SUMIFS('الحركات الشهرية'!$G$6:$G$1005,'الحركات الشهرية'!$B$6:$B$1005,$B90,'الحركات الشهرية'!$A$6:$A$1005,$C$3))</f>
        <v/>
      </c>
      <c r="R90" s="111" t="str">
        <f aca="false">IF($B90="","",SUMIFS('الحركات الشهرية'!$H$6:$H$1005,'الحركات الشهرية'!$B$6:$B$1005,$B90,'الحركات الشهرية'!$A$6:$A$1005,$C$3))</f>
        <v/>
      </c>
      <c r="S90" s="111" t="str">
        <f aca="false">IF($B90="","",SUMIFS('سجل الإجازات والحالات'!$N$6:$N$505,'سجل الإجازات والحالات'!$B$6:$B$505,$B90,'سجل الإجازات والحالات'!$O$6:$O$505,$C$3))</f>
        <v/>
      </c>
      <c r="T90" s="152" t="str">
        <f aca="false">IF($B90="","",SUM(K90:N90)+SUM(P90:S90))</f>
        <v/>
      </c>
      <c r="U90" s="111" t="str">
        <f aca="false">IF($B90="","",الموظفون!$S90*IF(E90="سعودي",cfg_G_SE,cfg_G_NE)*G90/cfg_DAYS_M)</f>
        <v/>
      </c>
      <c r="V90" s="111" t="str">
        <f aca="false">IF($B90="","",SUMIFS('الحركات الشهرية'!$I$6:$I$1005,'الحركات الشهرية'!$B$6:$B$1005,$B90,'الحركات الشهرية'!$A$6:$A$1005,$C$3))</f>
        <v/>
      </c>
      <c r="W90" s="111" t="str">
        <f aca="false">IF($B90="","",SUMIFS('الحركات الشهرية'!$J$6:$J$1005,'الحركات الشهرية'!$B$6:$B$1005,$B90,'الحركات الشهرية'!$A$6:$A$1005,$C$3))</f>
        <v/>
      </c>
      <c r="X90" s="111" t="str">
        <f aca="false">IF($B90="","",SUM(U90:W90))</f>
        <v/>
      </c>
      <c r="Y90" s="153" t="str">
        <f aca="false">IF($B90="","",T90-X90)</f>
        <v/>
      </c>
      <c r="Z90" s="111" t="str">
        <f aca="false">IF($B90="","",الموظفون!$S90*IF(E90="سعودي",cfg_G_SR,cfg_G_NR)*G90/cfg_DAYS_M)</f>
        <v/>
      </c>
      <c r="AA90" s="111" t="str">
        <f aca="false">IF($B90="","",الموظفون!$Q90*(cfg_EOS_R1*(MIN(AH90,cfg_EOS_TH)-MIN(AI90,cfg_EOS_TH))+cfg_EOS_R2*(MAX(AH90-cfg_EOS_TH,0)-MAX(AI90-cfg_EOS_TH,0))))</f>
        <v/>
      </c>
      <c r="AB90" s="111" t="str">
        <f aca="false">IF($B90="","",IF(الموظفون!$T90&lt;&gt;"",الموظفون!$T90,IF(AH90&gt;=cfg_LV_TH,cfg_LV_D2,cfg_LV_D1))/cfg_DAYS_Y*AJ90*الموظفون!$R90/cfg_DAYS_M)</f>
        <v/>
      </c>
      <c r="AC90" s="111" t="str">
        <f aca="false">IF($B90="","",IF(AND(الموظفون!$U90="نعم",N(الموظفون!$W90)&gt;0),الموظفون!$V90/الموظفون!$W90*12/cfg_DAYS_Y*AJ90,0))</f>
        <v/>
      </c>
      <c r="AD90" s="111" t="str">
        <f aca="false">IF($B90="","",(IF(الموظفون!$X90&lt;&gt;"",الموظفون!$X90,IF(الموظفون!$E90="غير سعودي",cfg_IQ,0))+IF(الموظفون!$Y90&lt;&gt;"",الموظفون!$Y90,IF(الموظفون!$E90="غير سعودي",cfg_WP,0)))/12*G90/cfg_DAYS_M)</f>
        <v/>
      </c>
      <c r="AE90" s="111" t="str">
        <f aca="false">IF($B90="","",IF(الموظفون!$Z90&lt;&gt;"",الموظفون!$Z90,cfg_MED)/12*G90/cfg_DAYS_M)</f>
        <v/>
      </c>
      <c r="AF90" s="111" t="str">
        <f aca="false">IF($B90="","",N(الموظفون!$AA90)/12*G90/cfg_DAYS_M)</f>
        <v/>
      </c>
      <c r="AG90" s="154" t="str">
        <f aca="false">IF($B90="","",T90+SUM(Z90:AF90))</f>
        <v/>
      </c>
      <c r="AH90" s="155" t="str">
        <f aca="false">IF($B90="","",MAX(0,IF(OR(الموظفون!$AE90="",الموظفون!$AE90&gt;$F$3),$F$3,الموظفون!$AE90)-الموظفون!$H90+1-SUMIFS('سجل الإجازات والحالات'!$AK$6:$AK$505,'سجل الإجازات والحالات'!$B$6:$B$505,$B90))/cfg_DAYS_Y)</f>
        <v/>
      </c>
      <c r="AI90" s="155" t="str">
        <f aca="false">IF($B90="","",MAX(0,IF(OR(الموظفون!$AE90="",الموظفون!$AE90&gt;($E$3-1)),($E$3-1),الموظفون!$AE90)-الموظفون!$H90+1-SUMIFS('سجل الإجازات والحالات'!$AJ$6:$AJ$505,'سجل الإجازات والحالات'!$B$6:$B$505,$B90))/cfg_DAYS_Y)</f>
        <v/>
      </c>
      <c r="AJ90" s="65" t="str">
        <f aca="false">IF($B90="","",MAX(0,AK90-(SUMIFS('سجل الإجازات والحالات'!$AK$6:$AK$505,'سجل الإجازات والحالات'!$B$6:$B$505,$B90)-SUMIFS('سجل الإجازات والحالات'!$AJ$6:$AJ$505,'سجل الإجازات والحالات'!$B$6:$B$505,$B90))))</f>
        <v/>
      </c>
      <c r="AK90" s="65" t="str">
        <f aca="false">IF($B90="","",MAX(0,IF(OR(الموظفون!$AE90="",الموظفون!$AE90&gt;$F$3),$F$3,الموظفون!$AE90)-MAX($E$3,الموظفون!$H90)+1))</f>
        <v/>
      </c>
      <c r="AL90" s="151" t="str">
        <f aca="false">IF($B90="","",SUMIFS('سجل الإجازات والحالات'!$AW$6:$AW$505,'سجل الإجازات والحالات'!$B$6:$B$505,$B90)+SUMIFS('الحركات الشهرية'!$K$6:$K$1005,'الحركات الشهرية'!$B$6:$B$1005,$B90,'الحركات الشهرية'!$A$6:$A$1005,$C$3))</f>
        <v/>
      </c>
      <c r="AM90" s="111" t="str">
        <f aca="false">IF($B90="","",AL90*الموظفون!$R90/cfg_DAYS_M+S90)</f>
        <v/>
      </c>
      <c r="AN90" s="151" t="str">
        <f aca="false">IF($B90="","",SUMIFS('سجل الإجازات والحالات'!$Y$6:$Y$505,'سجل الإجازات والحالات'!$B$6:$B$505,$B90))</f>
        <v/>
      </c>
    </row>
    <row r="91" customFormat="false" ht="15" hidden="false" customHeight="false" outlineLevel="0" collapsed="false">
      <c r="A91" s="115" t="str">
        <f aca="false">IF($B91="","",الموظفون!$A91)</f>
        <v/>
      </c>
      <c r="B91" s="117" t="str">
        <f aca="false">IF(الموظفون!$B91="","",الموظفون!$B91)</f>
        <v/>
      </c>
      <c r="C91" s="117" t="str">
        <f aca="false">IF($B91="","",الموظفون!$C91)</f>
        <v/>
      </c>
      <c r="D91" s="117" t="str">
        <f aca="false">IF($B91="","",الموظفون!$F91)</f>
        <v/>
      </c>
      <c r="E91" s="117" t="str">
        <f aca="false">IF($B91="","",الموظفون!$E91)</f>
        <v/>
      </c>
      <c r="F91" s="117" t="str">
        <f aca="false">IF($B91="","",IF(AK91=0,IF(AND(الموظفون!$AE91&lt;&gt;"",الموظفون!$AE91&lt;$E$3),"✖ منتهي الخدمة","⏳ لم يباشر"),IF(S91&gt;0,"✈ راتب إجازة مقدم",IF(J91=0,"⛔ بدون راتب هذا الشهر",IF(I91&gt;0,"✈ خصم "&amp;ROUND(I91,2)&amp;" يوم بدون أجر",IF(AL91&gt;0,"🌴 إجازة سنوية "&amp;ROUND(AL91,2)&amp;" يوم",IF(H91&gt;0,"⚠ غياب "&amp;ROUND(H91,2)&amp;" يوم","✔ على رأس العمل")))))))</f>
        <v/>
      </c>
      <c r="G91" s="156" t="str">
        <f aca="false">IF($B91="","",IF(AK91&gt;=DAY($F$3),cfg_DAYS_M,MIN(AK91,cfg_DAYS_M)))</f>
        <v/>
      </c>
      <c r="H91" s="156" t="str">
        <f aca="false">IF($B91="","",SUMIFS('الحركات الشهرية'!$D$6:$D$1005,'الحركات الشهرية'!$B$6:$B$1005,$B91,'الحركات الشهرية'!$A$6:$A$1005,$C$3))</f>
        <v/>
      </c>
      <c r="I91" s="156" t="str">
        <f aca="false">IF($B91="","",MIN(G91,IF(AND(AK91&gt;0,AN91&gt;=AK91),G91,AN91)+SUMIFS('الحركات الشهرية'!$E$6:$E$1005,'الحركات الشهرية'!$B$6:$B$1005,$B91,'الحركات الشهرية'!$A$6:$A$1005,$C$3)))</f>
        <v/>
      </c>
      <c r="J91" s="156" t="str">
        <f aca="false">IF($B91="","",MAX(0,G91-H91-I91))</f>
        <v/>
      </c>
      <c r="K91" s="116" t="str">
        <f aca="false">IF($B91="","",الموظفون!$L91*$J91/cfg_DAYS_M)</f>
        <v/>
      </c>
      <c r="L91" s="116" t="str">
        <f aca="false">IF($B91="","",الموظفون!$M91*$J91/cfg_DAYS_M)</f>
        <v/>
      </c>
      <c r="M91" s="116" t="str">
        <f aca="false">IF($B91="","",الموظفون!$N91*$J91/cfg_DAYS_M)</f>
        <v/>
      </c>
      <c r="N91" s="116" t="str">
        <f aca="false">IF($B91="","",الموظفون!$O91*$J91/cfg_DAYS_M)</f>
        <v/>
      </c>
      <c r="O91" s="156" t="str">
        <f aca="false">IF($B91="","",SUMIFS('الحركات الشهرية'!$F$6:$F$1005,'الحركات الشهرية'!$B$6:$B$1005,$B91,'الحركات الشهرية'!$A$6:$A$1005,$C$3))</f>
        <v/>
      </c>
      <c r="P91" s="116" t="str">
        <f aca="false">IF($B91="","",O91*(الموظفون!$P91+الموظفون!$L91*cfg_OT_P)/cfg_DAYS_M/cfg_HRS)</f>
        <v/>
      </c>
      <c r="Q91" s="116" t="str">
        <f aca="false">IF($B91="","",SUMIFS('الحركات الشهرية'!$G$6:$G$1005,'الحركات الشهرية'!$B$6:$B$1005,$B91,'الحركات الشهرية'!$A$6:$A$1005,$C$3))</f>
        <v/>
      </c>
      <c r="R91" s="116" t="str">
        <f aca="false">IF($B91="","",SUMIFS('الحركات الشهرية'!$H$6:$H$1005,'الحركات الشهرية'!$B$6:$B$1005,$B91,'الحركات الشهرية'!$A$6:$A$1005,$C$3))</f>
        <v/>
      </c>
      <c r="S91" s="116" t="str">
        <f aca="false">IF($B91="","",SUMIFS('سجل الإجازات والحالات'!$N$6:$N$505,'سجل الإجازات والحالات'!$B$6:$B$505,$B91,'سجل الإجازات والحالات'!$O$6:$O$505,$C$3))</f>
        <v/>
      </c>
      <c r="T91" s="157" t="str">
        <f aca="false">IF($B91="","",SUM(K91:N91)+SUM(P91:S91))</f>
        <v/>
      </c>
      <c r="U91" s="116" t="str">
        <f aca="false">IF($B91="","",الموظفون!$S91*IF(E91="سعودي",cfg_G_SE,cfg_G_NE)*G91/cfg_DAYS_M)</f>
        <v/>
      </c>
      <c r="V91" s="116" t="str">
        <f aca="false">IF($B91="","",SUMIFS('الحركات الشهرية'!$I$6:$I$1005,'الحركات الشهرية'!$B$6:$B$1005,$B91,'الحركات الشهرية'!$A$6:$A$1005,$C$3))</f>
        <v/>
      </c>
      <c r="W91" s="116" t="str">
        <f aca="false">IF($B91="","",SUMIFS('الحركات الشهرية'!$J$6:$J$1005,'الحركات الشهرية'!$B$6:$B$1005,$B91,'الحركات الشهرية'!$A$6:$A$1005,$C$3))</f>
        <v/>
      </c>
      <c r="X91" s="116" t="str">
        <f aca="false">IF($B91="","",SUM(U91:W91))</f>
        <v/>
      </c>
      <c r="Y91" s="158" t="str">
        <f aca="false">IF($B91="","",T91-X91)</f>
        <v/>
      </c>
      <c r="Z91" s="116" t="str">
        <f aca="false">IF($B91="","",الموظفون!$S91*IF(E91="سعودي",cfg_G_SR,cfg_G_NR)*G91/cfg_DAYS_M)</f>
        <v/>
      </c>
      <c r="AA91" s="116" t="str">
        <f aca="false">IF($B91="","",الموظفون!$Q91*(cfg_EOS_R1*(MIN(AH91,cfg_EOS_TH)-MIN(AI91,cfg_EOS_TH))+cfg_EOS_R2*(MAX(AH91-cfg_EOS_TH,0)-MAX(AI91-cfg_EOS_TH,0))))</f>
        <v/>
      </c>
      <c r="AB91" s="116" t="str">
        <f aca="false">IF($B91="","",IF(الموظفون!$T91&lt;&gt;"",الموظفون!$T91,IF(AH91&gt;=cfg_LV_TH,cfg_LV_D2,cfg_LV_D1))/cfg_DAYS_Y*AJ91*الموظفون!$R91/cfg_DAYS_M)</f>
        <v/>
      </c>
      <c r="AC91" s="116" t="str">
        <f aca="false">IF($B91="","",IF(AND(الموظفون!$U91="نعم",N(الموظفون!$W91)&gt;0),الموظفون!$V91/الموظفون!$W91*12/cfg_DAYS_Y*AJ91,0))</f>
        <v/>
      </c>
      <c r="AD91" s="116" t="str">
        <f aca="false">IF($B91="","",(IF(الموظفون!$X91&lt;&gt;"",الموظفون!$X91,IF(الموظفون!$E91="غير سعودي",cfg_IQ,0))+IF(الموظفون!$Y91&lt;&gt;"",الموظفون!$Y91,IF(الموظفون!$E91="غير سعودي",cfg_WP,0)))/12*G91/cfg_DAYS_M)</f>
        <v/>
      </c>
      <c r="AE91" s="116" t="str">
        <f aca="false">IF($B91="","",IF(الموظفون!$Z91&lt;&gt;"",الموظفون!$Z91,cfg_MED)/12*G91/cfg_DAYS_M)</f>
        <v/>
      </c>
      <c r="AF91" s="116" t="str">
        <f aca="false">IF($B91="","",N(الموظفون!$AA91)/12*G91/cfg_DAYS_M)</f>
        <v/>
      </c>
      <c r="AG91" s="159" t="str">
        <f aca="false">IF($B91="","",T91+SUM(Z91:AF91))</f>
        <v/>
      </c>
      <c r="AH91" s="160" t="str">
        <f aca="false">IF($B91="","",MAX(0,IF(OR(الموظفون!$AE91="",الموظفون!$AE91&gt;$F$3),$F$3,الموظفون!$AE91)-الموظفون!$H91+1-SUMIFS('سجل الإجازات والحالات'!$AK$6:$AK$505,'سجل الإجازات والحالات'!$B$6:$B$505,$B91))/cfg_DAYS_Y)</f>
        <v/>
      </c>
      <c r="AI91" s="160" t="str">
        <f aca="false">IF($B91="","",MAX(0,IF(OR(الموظفون!$AE91="",الموظفون!$AE91&gt;($E$3-1)),($E$3-1),الموظفون!$AE91)-الموظفون!$H91+1-SUMIFS('سجل الإجازات والحالات'!$AJ$6:$AJ$505,'سجل الإجازات والحالات'!$B$6:$B$505,$B91))/cfg_DAYS_Y)</f>
        <v/>
      </c>
      <c r="AJ91" s="133" t="str">
        <f aca="false">IF($B91="","",MAX(0,AK91-(SUMIFS('سجل الإجازات والحالات'!$AK$6:$AK$505,'سجل الإجازات والحالات'!$B$6:$B$505,$B91)-SUMIFS('سجل الإجازات والحالات'!$AJ$6:$AJ$505,'سجل الإجازات والحالات'!$B$6:$B$505,$B91))))</f>
        <v/>
      </c>
      <c r="AK91" s="133" t="str">
        <f aca="false">IF($B91="","",MAX(0,IF(OR(الموظفون!$AE91="",الموظفون!$AE91&gt;$F$3),$F$3,الموظفون!$AE91)-MAX($E$3,الموظفون!$H91)+1))</f>
        <v/>
      </c>
      <c r="AL91" s="156" t="str">
        <f aca="false">IF($B91="","",SUMIFS('سجل الإجازات والحالات'!$AW$6:$AW$505,'سجل الإجازات والحالات'!$B$6:$B$505,$B91)+SUMIFS('الحركات الشهرية'!$K$6:$K$1005,'الحركات الشهرية'!$B$6:$B$1005,$B91,'الحركات الشهرية'!$A$6:$A$1005,$C$3))</f>
        <v/>
      </c>
      <c r="AM91" s="116" t="str">
        <f aca="false">IF($B91="","",AL91*الموظفون!$R91/cfg_DAYS_M+S91)</f>
        <v/>
      </c>
      <c r="AN91" s="156" t="str">
        <f aca="false">IF($B91="","",SUMIFS('سجل الإجازات والحالات'!$Y$6:$Y$505,'سجل الإجازات والحالات'!$B$6:$B$505,$B91))</f>
        <v/>
      </c>
    </row>
    <row r="92" customFormat="false" ht="15" hidden="false" customHeight="false" outlineLevel="0" collapsed="false">
      <c r="A92" s="106" t="str">
        <f aca="false">IF($B92="","",الموظفون!$A92)</f>
        <v/>
      </c>
      <c r="B92" s="114" t="str">
        <f aca="false">IF(الموظفون!$B92="","",الموظفون!$B92)</f>
        <v/>
      </c>
      <c r="C92" s="114" t="str">
        <f aca="false">IF($B92="","",الموظفون!$C92)</f>
        <v/>
      </c>
      <c r="D92" s="114" t="str">
        <f aca="false">IF($B92="","",الموظفون!$F92)</f>
        <v/>
      </c>
      <c r="E92" s="114" t="str">
        <f aca="false">IF($B92="","",الموظفون!$E92)</f>
        <v/>
      </c>
      <c r="F92" s="114" t="str">
        <f aca="false">IF($B92="","",IF(AK92=0,IF(AND(الموظفون!$AE92&lt;&gt;"",الموظفون!$AE92&lt;$E$3),"✖ منتهي الخدمة","⏳ لم يباشر"),IF(S92&gt;0,"✈ راتب إجازة مقدم",IF(J92=0,"⛔ بدون راتب هذا الشهر",IF(I92&gt;0,"✈ خصم "&amp;ROUND(I92,2)&amp;" يوم بدون أجر",IF(AL92&gt;0,"🌴 إجازة سنوية "&amp;ROUND(AL92,2)&amp;" يوم",IF(H92&gt;0,"⚠ غياب "&amp;ROUND(H92,2)&amp;" يوم","✔ على رأس العمل")))))))</f>
        <v/>
      </c>
      <c r="G92" s="151" t="str">
        <f aca="false">IF($B92="","",IF(AK92&gt;=DAY($F$3),cfg_DAYS_M,MIN(AK92,cfg_DAYS_M)))</f>
        <v/>
      </c>
      <c r="H92" s="151" t="str">
        <f aca="false">IF($B92="","",SUMIFS('الحركات الشهرية'!$D$6:$D$1005,'الحركات الشهرية'!$B$6:$B$1005,$B92,'الحركات الشهرية'!$A$6:$A$1005,$C$3))</f>
        <v/>
      </c>
      <c r="I92" s="151" t="str">
        <f aca="false">IF($B92="","",MIN(G92,IF(AND(AK92&gt;0,AN92&gt;=AK92),G92,AN92)+SUMIFS('الحركات الشهرية'!$E$6:$E$1005,'الحركات الشهرية'!$B$6:$B$1005,$B92,'الحركات الشهرية'!$A$6:$A$1005,$C$3)))</f>
        <v/>
      </c>
      <c r="J92" s="151" t="str">
        <f aca="false">IF($B92="","",MAX(0,G92-H92-I92))</f>
        <v/>
      </c>
      <c r="K92" s="111" t="str">
        <f aca="false">IF($B92="","",الموظفون!$L92*$J92/cfg_DAYS_M)</f>
        <v/>
      </c>
      <c r="L92" s="111" t="str">
        <f aca="false">IF($B92="","",الموظفون!$M92*$J92/cfg_DAYS_M)</f>
        <v/>
      </c>
      <c r="M92" s="111" t="str">
        <f aca="false">IF($B92="","",الموظفون!$N92*$J92/cfg_DAYS_M)</f>
        <v/>
      </c>
      <c r="N92" s="111" t="str">
        <f aca="false">IF($B92="","",الموظفون!$O92*$J92/cfg_DAYS_M)</f>
        <v/>
      </c>
      <c r="O92" s="151" t="str">
        <f aca="false">IF($B92="","",SUMIFS('الحركات الشهرية'!$F$6:$F$1005,'الحركات الشهرية'!$B$6:$B$1005,$B92,'الحركات الشهرية'!$A$6:$A$1005,$C$3))</f>
        <v/>
      </c>
      <c r="P92" s="111" t="str">
        <f aca="false">IF($B92="","",O92*(الموظفون!$P92+الموظفون!$L92*cfg_OT_P)/cfg_DAYS_M/cfg_HRS)</f>
        <v/>
      </c>
      <c r="Q92" s="111" t="str">
        <f aca="false">IF($B92="","",SUMIFS('الحركات الشهرية'!$G$6:$G$1005,'الحركات الشهرية'!$B$6:$B$1005,$B92,'الحركات الشهرية'!$A$6:$A$1005,$C$3))</f>
        <v/>
      </c>
      <c r="R92" s="111" t="str">
        <f aca="false">IF($B92="","",SUMIFS('الحركات الشهرية'!$H$6:$H$1005,'الحركات الشهرية'!$B$6:$B$1005,$B92,'الحركات الشهرية'!$A$6:$A$1005,$C$3))</f>
        <v/>
      </c>
      <c r="S92" s="111" t="str">
        <f aca="false">IF($B92="","",SUMIFS('سجل الإجازات والحالات'!$N$6:$N$505,'سجل الإجازات والحالات'!$B$6:$B$505,$B92,'سجل الإجازات والحالات'!$O$6:$O$505,$C$3))</f>
        <v/>
      </c>
      <c r="T92" s="152" t="str">
        <f aca="false">IF($B92="","",SUM(K92:N92)+SUM(P92:S92))</f>
        <v/>
      </c>
      <c r="U92" s="111" t="str">
        <f aca="false">IF($B92="","",الموظفون!$S92*IF(E92="سعودي",cfg_G_SE,cfg_G_NE)*G92/cfg_DAYS_M)</f>
        <v/>
      </c>
      <c r="V92" s="111" t="str">
        <f aca="false">IF($B92="","",SUMIFS('الحركات الشهرية'!$I$6:$I$1005,'الحركات الشهرية'!$B$6:$B$1005,$B92,'الحركات الشهرية'!$A$6:$A$1005,$C$3))</f>
        <v/>
      </c>
      <c r="W92" s="111" t="str">
        <f aca="false">IF($B92="","",SUMIFS('الحركات الشهرية'!$J$6:$J$1005,'الحركات الشهرية'!$B$6:$B$1005,$B92,'الحركات الشهرية'!$A$6:$A$1005,$C$3))</f>
        <v/>
      </c>
      <c r="X92" s="111" t="str">
        <f aca="false">IF($B92="","",SUM(U92:W92))</f>
        <v/>
      </c>
      <c r="Y92" s="153" t="str">
        <f aca="false">IF($B92="","",T92-X92)</f>
        <v/>
      </c>
      <c r="Z92" s="111" t="str">
        <f aca="false">IF($B92="","",الموظفون!$S92*IF(E92="سعودي",cfg_G_SR,cfg_G_NR)*G92/cfg_DAYS_M)</f>
        <v/>
      </c>
      <c r="AA92" s="111" t="str">
        <f aca="false">IF($B92="","",الموظفون!$Q92*(cfg_EOS_R1*(MIN(AH92,cfg_EOS_TH)-MIN(AI92,cfg_EOS_TH))+cfg_EOS_R2*(MAX(AH92-cfg_EOS_TH,0)-MAX(AI92-cfg_EOS_TH,0))))</f>
        <v/>
      </c>
      <c r="AB92" s="111" t="str">
        <f aca="false">IF($B92="","",IF(الموظفون!$T92&lt;&gt;"",الموظفون!$T92,IF(AH92&gt;=cfg_LV_TH,cfg_LV_D2,cfg_LV_D1))/cfg_DAYS_Y*AJ92*الموظفون!$R92/cfg_DAYS_M)</f>
        <v/>
      </c>
      <c r="AC92" s="111" t="str">
        <f aca="false">IF($B92="","",IF(AND(الموظفون!$U92="نعم",N(الموظفون!$W92)&gt;0),الموظفون!$V92/الموظفون!$W92*12/cfg_DAYS_Y*AJ92,0))</f>
        <v/>
      </c>
      <c r="AD92" s="111" t="str">
        <f aca="false">IF($B92="","",(IF(الموظفون!$X92&lt;&gt;"",الموظفون!$X92,IF(الموظفون!$E92="غير سعودي",cfg_IQ,0))+IF(الموظفون!$Y92&lt;&gt;"",الموظفون!$Y92,IF(الموظفون!$E92="غير سعودي",cfg_WP,0)))/12*G92/cfg_DAYS_M)</f>
        <v/>
      </c>
      <c r="AE92" s="111" t="str">
        <f aca="false">IF($B92="","",IF(الموظفون!$Z92&lt;&gt;"",الموظفون!$Z92,cfg_MED)/12*G92/cfg_DAYS_M)</f>
        <v/>
      </c>
      <c r="AF92" s="111" t="str">
        <f aca="false">IF($B92="","",N(الموظفون!$AA92)/12*G92/cfg_DAYS_M)</f>
        <v/>
      </c>
      <c r="AG92" s="154" t="str">
        <f aca="false">IF($B92="","",T92+SUM(Z92:AF92))</f>
        <v/>
      </c>
      <c r="AH92" s="155" t="str">
        <f aca="false">IF($B92="","",MAX(0,IF(OR(الموظفون!$AE92="",الموظفون!$AE92&gt;$F$3),$F$3,الموظفون!$AE92)-الموظفون!$H92+1-SUMIFS('سجل الإجازات والحالات'!$AK$6:$AK$505,'سجل الإجازات والحالات'!$B$6:$B$505,$B92))/cfg_DAYS_Y)</f>
        <v/>
      </c>
      <c r="AI92" s="155" t="str">
        <f aca="false">IF($B92="","",MAX(0,IF(OR(الموظفون!$AE92="",الموظفون!$AE92&gt;($E$3-1)),($E$3-1),الموظفون!$AE92)-الموظفون!$H92+1-SUMIFS('سجل الإجازات والحالات'!$AJ$6:$AJ$505,'سجل الإجازات والحالات'!$B$6:$B$505,$B92))/cfg_DAYS_Y)</f>
        <v/>
      </c>
      <c r="AJ92" s="65" t="str">
        <f aca="false">IF($B92="","",MAX(0,AK92-(SUMIFS('سجل الإجازات والحالات'!$AK$6:$AK$505,'سجل الإجازات والحالات'!$B$6:$B$505,$B92)-SUMIFS('سجل الإجازات والحالات'!$AJ$6:$AJ$505,'سجل الإجازات والحالات'!$B$6:$B$505,$B92))))</f>
        <v/>
      </c>
      <c r="AK92" s="65" t="str">
        <f aca="false">IF($B92="","",MAX(0,IF(OR(الموظفون!$AE92="",الموظفون!$AE92&gt;$F$3),$F$3,الموظفون!$AE92)-MAX($E$3,الموظفون!$H92)+1))</f>
        <v/>
      </c>
      <c r="AL92" s="151" t="str">
        <f aca="false">IF($B92="","",SUMIFS('سجل الإجازات والحالات'!$AW$6:$AW$505,'سجل الإجازات والحالات'!$B$6:$B$505,$B92)+SUMIFS('الحركات الشهرية'!$K$6:$K$1005,'الحركات الشهرية'!$B$6:$B$1005,$B92,'الحركات الشهرية'!$A$6:$A$1005,$C$3))</f>
        <v/>
      </c>
      <c r="AM92" s="111" t="str">
        <f aca="false">IF($B92="","",AL92*الموظفون!$R92/cfg_DAYS_M+S92)</f>
        <v/>
      </c>
      <c r="AN92" s="151" t="str">
        <f aca="false">IF($B92="","",SUMIFS('سجل الإجازات والحالات'!$Y$6:$Y$505,'سجل الإجازات والحالات'!$B$6:$B$505,$B92))</f>
        <v/>
      </c>
    </row>
    <row r="93" customFormat="false" ht="15" hidden="false" customHeight="false" outlineLevel="0" collapsed="false">
      <c r="A93" s="115" t="str">
        <f aca="false">IF($B93="","",الموظفون!$A93)</f>
        <v/>
      </c>
      <c r="B93" s="117" t="str">
        <f aca="false">IF(الموظفون!$B93="","",الموظفون!$B93)</f>
        <v/>
      </c>
      <c r="C93" s="117" t="str">
        <f aca="false">IF($B93="","",الموظفون!$C93)</f>
        <v/>
      </c>
      <c r="D93" s="117" t="str">
        <f aca="false">IF($B93="","",الموظفون!$F93)</f>
        <v/>
      </c>
      <c r="E93" s="117" t="str">
        <f aca="false">IF($B93="","",الموظفون!$E93)</f>
        <v/>
      </c>
      <c r="F93" s="117" t="str">
        <f aca="false">IF($B93="","",IF(AK93=0,IF(AND(الموظفون!$AE93&lt;&gt;"",الموظفون!$AE93&lt;$E$3),"✖ منتهي الخدمة","⏳ لم يباشر"),IF(S93&gt;0,"✈ راتب إجازة مقدم",IF(J93=0,"⛔ بدون راتب هذا الشهر",IF(I93&gt;0,"✈ خصم "&amp;ROUND(I93,2)&amp;" يوم بدون أجر",IF(AL93&gt;0,"🌴 إجازة سنوية "&amp;ROUND(AL93,2)&amp;" يوم",IF(H93&gt;0,"⚠ غياب "&amp;ROUND(H93,2)&amp;" يوم","✔ على رأس العمل")))))))</f>
        <v/>
      </c>
      <c r="G93" s="156" t="str">
        <f aca="false">IF($B93="","",IF(AK93&gt;=DAY($F$3),cfg_DAYS_M,MIN(AK93,cfg_DAYS_M)))</f>
        <v/>
      </c>
      <c r="H93" s="156" t="str">
        <f aca="false">IF($B93="","",SUMIFS('الحركات الشهرية'!$D$6:$D$1005,'الحركات الشهرية'!$B$6:$B$1005,$B93,'الحركات الشهرية'!$A$6:$A$1005,$C$3))</f>
        <v/>
      </c>
      <c r="I93" s="156" t="str">
        <f aca="false">IF($B93="","",MIN(G93,IF(AND(AK93&gt;0,AN93&gt;=AK93),G93,AN93)+SUMIFS('الحركات الشهرية'!$E$6:$E$1005,'الحركات الشهرية'!$B$6:$B$1005,$B93,'الحركات الشهرية'!$A$6:$A$1005,$C$3)))</f>
        <v/>
      </c>
      <c r="J93" s="156" t="str">
        <f aca="false">IF($B93="","",MAX(0,G93-H93-I93))</f>
        <v/>
      </c>
      <c r="K93" s="116" t="str">
        <f aca="false">IF($B93="","",الموظفون!$L93*$J93/cfg_DAYS_M)</f>
        <v/>
      </c>
      <c r="L93" s="116" t="str">
        <f aca="false">IF($B93="","",الموظفون!$M93*$J93/cfg_DAYS_M)</f>
        <v/>
      </c>
      <c r="M93" s="116" t="str">
        <f aca="false">IF($B93="","",الموظفون!$N93*$J93/cfg_DAYS_M)</f>
        <v/>
      </c>
      <c r="N93" s="116" t="str">
        <f aca="false">IF($B93="","",الموظفون!$O93*$J93/cfg_DAYS_M)</f>
        <v/>
      </c>
      <c r="O93" s="156" t="str">
        <f aca="false">IF($B93="","",SUMIFS('الحركات الشهرية'!$F$6:$F$1005,'الحركات الشهرية'!$B$6:$B$1005,$B93,'الحركات الشهرية'!$A$6:$A$1005,$C$3))</f>
        <v/>
      </c>
      <c r="P93" s="116" t="str">
        <f aca="false">IF($B93="","",O93*(الموظفون!$P93+الموظفون!$L93*cfg_OT_P)/cfg_DAYS_M/cfg_HRS)</f>
        <v/>
      </c>
      <c r="Q93" s="116" t="str">
        <f aca="false">IF($B93="","",SUMIFS('الحركات الشهرية'!$G$6:$G$1005,'الحركات الشهرية'!$B$6:$B$1005,$B93,'الحركات الشهرية'!$A$6:$A$1005,$C$3))</f>
        <v/>
      </c>
      <c r="R93" s="116" t="str">
        <f aca="false">IF($B93="","",SUMIFS('الحركات الشهرية'!$H$6:$H$1005,'الحركات الشهرية'!$B$6:$B$1005,$B93,'الحركات الشهرية'!$A$6:$A$1005,$C$3))</f>
        <v/>
      </c>
      <c r="S93" s="116" t="str">
        <f aca="false">IF($B93="","",SUMIFS('سجل الإجازات والحالات'!$N$6:$N$505,'سجل الإجازات والحالات'!$B$6:$B$505,$B93,'سجل الإجازات والحالات'!$O$6:$O$505,$C$3))</f>
        <v/>
      </c>
      <c r="T93" s="157" t="str">
        <f aca="false">IF($B93="","",SUM(K93:N93)+SUM(P93:S93))</f>
        <v/>
      </c>
      <c r="U93" s="116" t="str">
        <f aca="false">IF($B93="","",الموظفون!$S93*IF(E93="سعودي",cfg_G_SE,cfg_G_NE)*G93/cfg_DAYS_M)</f>
        <v/>
      </c>
      <c r="V93" s="116" t="str">
        <f aca="false">IF($B93="","",SUMIFS('الحركات الشهرية'!$I$6:$I$1005,'الحركات الشهرية'!$B$6:$B$1005,$B93,'الحركات الشهرية'!$A$6:$A$1005,$C$3))</f>
        <v/>
      </c>
      <c r="W93" s="116" t="str">
        <f aca="false">IF($B93="","",SUMIFS('الحركات الشهرية'!$J$6:$J$1005,'الحركات الشهرية'!$B$6:$B$1005,$B93,'الحركات الشهرية'!$A$6:$A$1005,$C$3))</f>
        <v/>
      </c>
      <c r="X93" s="116" t="str">
        <f aca="false">IF($B93="","",SUM(U93:W93))</f>
        <v/>
      </c>
      <c r="Y93" s="158" t="str">
        <f aca="false">IF($B93="","",T93-X93)</f>
        <v/>
      </c>
      <c r="Z93" s="116" t="str">
        <f aca="false">IF($B93="","",الموظفون!$S93*IF(E93="سعودي",cfg_G_SR,cfg_G_NR)*G93/cfg_DAYS_M)</f>
        <v/>
      </c>
      <c r="AA93" s="116" t="str">
        <f aca="false">IF($B93="","",الموظفون!$Q93*(cfg_EOS_R1*(MIN(AH93,cfg_EOS_TH)-MIN(AI93,cfg_EOS_TH))+cfg_EOS_R2*(MAX(AH93-cfg_EOS_TH,0)-MAX(AI93-cfg_EOS_TH,0))))</f>
        <v/>
      </c>
      <c r="AB93" s="116" t="str">
        <f aca="false">IF($B93="","",IF(الموظفون!$T93&lt;&gt;"",الموظفون!$T93,IF(AH93&gt;=cfg_LV_TH,cfg_LV_D2,cfg_LV_D1))/cfg_DAYS_Y*AJ93*الموظفون!$R93/cfg_DAYS_M)</f>
        <v/>
      </c>
      <c r="AC93" s="116" t="str">
        <f aca="false">IF($B93="","",IF(AND(الموظفون!$U93="نعم",N(الموظفون!$W93)&gt;0),الموظفون!$V93/الموظفون!$W93*12/cfg_DAYS_Y*AJ93,0))</f>
        <v/>
      </c>
      <c r="AD93" s="116" t="str">
        <f aca="false">IF($B93="","",(IF(الموظفون!$X93&lt;&gt;"",الموظفون!$X93,IF(الموظفون!$E93="غير سعودي",cfg_IQ,0))+IF(الموظفون!$Y93&lt;&gt;"",الموظفون!$Y93,IF(الموظفون!$E93="غير سعودي",cfg_WP,0)))/12*G93/cfg_DAYS_M)</f>
        <v/>
      </c>
      <c r="AE93" s="116" t="str">
        <f aca="false">IF($B93="","",IF(الموظفون!$Z93&lt;&gt;"",الموظفون!$Z93,cfg_MED)/12*G93/cfg_DAYS_M)</f>
        <v/>
      </c>
      <c r="AF93" s="116" t="str">
        <f aca="false">IF($B93="","",N(الموظفون!$AA93)/12*G93/cfg_DAYS_M)</f>
        <v/>
      </c>
      <c r="AG93" s="159" t="str">
        <f aca="false">IF($B93="","",T93+SUM(Z93:AF93))</f>
        <v/>
      </c>
      <c r="AH93" s="160" t="str">
        <f aca="false">IF($B93="","",MAX(0,IF(OR(الموظفون!$AE93="",الموظفون!$AE93&gt;$F$3),$F$3,الموظفون!$AE93)-الموظفون!$H93+1-SUMIFS('سجل الإجازات والحالات'!$AK$6:$AK$505,'سجل الإجازات والحالات'!$B$6:$B$505,$B93))/cfg_DAYS_Y)</f>
        <v/>
      </c>
      <c r="AI93" s="160" t="str">
        <f aca="false">IF($B93="","",MAX(0,IF(OR(الموظفون!$AE93="",الموظفون!$AE93&gt;($E$3-1)),($E$3-1),الموظفون!$AE93)-الموظفون!$H93+1-SUMIFS('سجل الإجازات والحالات'!$AJ$6:$AJ$505,'سجل الإجازات والحالات'!$B$6:$B$505,$B93))/cfg_DAYS_Y)</f>
        <v/>
      </c>
      <c r="AJ93" s="133" t="str">
        <f aca="false">IF($B93="","",MAX(0,AK93-(SUMIFS('سجل الإجازات والحالات'!$AK$6:$AK$505,'سجل الإجازات والحالات'!$B$6:$B$505,$B93)-SUMIFS('سجل الإجازات والحالات'!$AJ$6:$AJ$505,'سجل الإجازات والحالات'!$B$6:$B$505,$B93))))</f>
        <v/>
      </c>
      <c r="AK93" s="133" t="str">
        <f aca="false">IF($B93="","",MAX(0,IF(OR(الموظفون!$AE93="",الموظفون!$AE93&gt;$F$3),$F$3,الموظفون!$AE93)-MAX($E$3,الموظفون!$H93)+1))</f>
        <v/>
      </c>
      <c r="AL93" s="156" t="str">
        <f aca="false">IF($B93="","",SUMIFS('سجل الإجازات والحالات'!$AW$6:$AW$505,'سجل الإجازات والحالات'!$B$6:$B$505,$B93)+SUMIFS('الحركات الشهرية'!$K$6:$K$1005,'الحركات الشهرية'!$B$6:$B$1005,$B93,'الحركات الشهرية'!$A$6:$A$1005,$C$3))</f>
        <v/>
      </c>
      <c r="AM93" s="116" t="str">
        <f aca="false">IF($B93="","",AL93*الموظفون!$R93/cfg_DAYS_M+S93)</f>
        <v/>
      </c>
      <c r="AN93" s="156" t="str">
        <f aca="false">IF($B93="","",SUMIFS('سجل الإجازات والحالات'!$Y$6:$Y$505,'سجل الإجازات والحالات'!$B$6:$B$505,$B93))</f>
        <v/>
      </c>
    </row>
    <row r="94" customFormat="false" ht="15" hidden="false" customHeight="false" outlineLevel="0" collapsed="false">
      <c r="A94" s="106" t="str">
        <f aca="false">IF($B94="","",الموظفون!$A94)</f>
        <v/>
      </c>
      <c r="B94" s="114" t="str">
        <f aca="false">IF(الموظفون!$B94="","",الموظفون!$B94)</f>
        <v/>
      </c>
      <c r="C94" s="114" t="str">
        <f aca="false">IF($B94="","",الموظفون!$C94)</f>
        <v/>
      </c>
      <c r="D94" s="114" t="str">
        <f aca="false">IF($B94="","",الموظفون!$F94)</f>
        <v/>
      </c>
      <c r="E94" s="114" t="str">
        <f aca="false">IF($B94="","",الموظفون!$E94)</f>
        <v/>
      </c>
      <c r="F94" s="114" t="str">
        <f aca="false">IF($B94="","",IF(AK94=0,IF(AND(الموظفون!$AE94&lt;&gt;"",الموظفون!$AE94&lt;$E$3),"✖ منتهي الخدمة","⏳ لم يباشر"),IF(S94&gt;0,"✈ راتب إجازة مقدم",IF(J94=0,"⛔ بدون راتب هذا الشهر",IF(I94&gt;0,"✈ خصم "&amp;ROUND(I94,2)&amp;" يوم بدون أجر",IF(AL94&gt;0,"🌴 إجازة سنوية "&amp;ROUND(AL94,2)&amp;" يوم",IF(H94&gt;0,"⚠ غياب "&amp;ROUND(H94,2)&amp;" يوم","✔ على رأس العمل")))))))</f>
        <v/>
      </c>
      <c r="G94" s="151" t="str">
        <f aca="false">IF($B94="","",IF(AK94&gt;=DAY($F$3),cfg_DAYS_M,MIN(AK94,cfg_DAYS_M)))</f>
        <v/>
      </c>
      <c r="H94" s="151" t="str">
        <f aca="false">IF($B94="","",SUMIFS('الحركات الشهرية'!$D$6:$D$1005,'الحركات الشهرية'!$B$6:$B$1005,$B94,'الحركات الشهرية'!$A$6:$A$1005,$C$3))</f>
        <v/>
      </c>
      <c r="I94" s="151" t="str">
        <f aca="false">IF($B94="","",MIN(G94,IF(AND(AK94&gt;0,AN94&gt;=AK94),G94,AN94)+SUMIFS('الحركات الشهرية'!$E$6:$E$1005,'الحركات الشهرية'!$B$6:$B$1005,$B94,'الحركات الشهرية'!$A$6:$A$1005,$C$3)))</f>
        <v/>
      </c>
      <c r="J94" s="151" t="str">
        <f aca="false">IF($B94="","",MAX(0,G94-H94-I94))</f>
        <v/>
      </c>
      <c r="K94" s="111" t="str">
        <f aca="false">IF($B94="","",الموظفون!$L94*$J94/cfg_DAYS_M)</f>
        <v/>
      </c>
      <c r="L94" s="111" t="str">
        <f aca="false">IF($B94="","",الموظفون!$M94*$J94/cfg_DAYS_M)</f>
        <v/>
      </c>
      <c r="M94" s="111" t="str">
        <f aca="false">IF($B94="","",الموظفون!$N94*$J94/cfg_DAYS_M)</f>
        <v/>
      </c>
      <c r="N94" s="111" t="str">
        <f aca="false">IF($B94="","",الموظفون!$O94*$J94/cfg_DAYS_M)</f>
        <v/>
      </c>
      <c r="O94" s="151" t="str">
        <f aca="false">IF($B94="","",SUMIFS('الحركات الشهرية'!$F$6:$F$1005,'الحركات الشهرية'!$B$6:$B$1005,$B94,'الحركات الشهرية'!$A$6:$A$1005,$C$3))</f>
        <v/>
      </c>
      <c r="P94" s="111" t="str">
        <f aca="false">IF($B94="","",O94*(الموظفون!$P94+الموظفون!$L94*cfg_OT_P)/cfg_DAYS_M/cfg_HRS)</f>
        <v/>
      </c>
      <c r="Q94" s="111" t="str">
        <f aca="false">IF($B94="","",SUMIFS('الحركات الشهرية'!$G$6:$G$1005,'الحركات الشهرية'!$B$6:$B$1005,$B94,'الحركات الشهرية'!$A$6:$A$1005,$C$3))</f>
        <v/>
      </c>
      <c r="R94" s="111" t="str">
        <f aca="false">IF($B94="","",SUMIFS('الحركات الشهرية'!$H$6:$H$1005,'الحركات الشهرية'!$B$6:$B$1005,$B94,'الحركات الشهرية'!$A$6:$A$1005,$C$3))</f>
        <v/>
      </c>
      <c r="S94" s="111" t="str">
        <f aca="false">IF($B94="","",SUMIFS('سجل الإجازات والحالات'!$N$6:$N$505,'سجل الإجازات والحالات'!$B$6:$B$505,$B94,'سجل الإجازات والحالات'!$O$6:$O$505,$C$3))</f>
        <v/>
      </c>
      <c r="T94" s="152" t="str">
        <f aca="false">IF($B94="","",SUM(K94:N94)+SUM(P94:S94))</f>
        <v/>
      </c>
      <c r="U94" s="111" t="str">
        <f aca="false">IF($B94="","",الموظفون!$S94*IF(E94="سعودي",cfg_G_SE,cfg_G_NE)*G94/cfg_DAYS_M)</f>
        <v/>
      </c>
      <c r="V94" s="111" t="str">
        <f aca="false">IF($B94="","",SUMIFS('الحركات الشهرية'!$I$6:$I$1005,'الحركات الشهرية'!$B$6:$B$1005,$B94,'الحركات الشهرية'!$A$6:$A$1005,$C$3))</f>
        <v/>
      </c>
      <c r="W94" s="111" t="str">
        <f aca="false">IF($B94="","",SUMIFS('الحركات الشهرية'!$J$6:$J$1005,'الحركات الشهرية'!$B$6:$B$1005,$B94,'الحركات الشهرية'!$A$6:$A$1005,$C$3))</f>
        <v/>
      </c>
      <c r="X94" s="111" t="str">
        <f aca="false">IF($B94="","",SUM(U94:W94))</f>
        <v/>
      </c>
      <c r="Y94" s="153" t="str">
        <f aca="false">IF($B94="","",T94-X94)</f>
        <v/>
      </c>
      <c r="Z94" s="111" t="str">
        <f aca="false">IF($B94="","",الموظفون!$S94*IF(E94="سعودي",cfg_G_SR,cfg_G_NR)*G94/cfg_DAYS_M)</f>
        <v/>
      </c>
      <c r="AA94" s="111" t="str">
        <f aca="false">IF($B94="","",الموظفون!$Q94*(cfg_EOS_R1*(MIN(AH94,cfg_EOS_TH)-MIN(AI94,cfg_EOS_TH))+cfg_EOS_R2*(MAX(AH94-cfg_EOS_TH,0)-MAX(AI94-cfg_EOS_TH,0))))</f>
        <v/>
      </c>
      <c r="AB94" s="111" t="str">
        <f aca="false">IF($B94="","",IF(الموظفون!$T94&lt;&gt;"",الموظفون!$T94,IF(AH94&gt;=cfg_LV_TH,cfg_LV_D2,cfg_LV_D1))/cfg_DAYS_Y*AJ94*الموظفون!$R94/cfg_DAYS_M)</f>
        <v/>
      </c>
      <c r="AC94" s="111" t="str">
        <f aca="false">IF($B94="","",IF(AND(الموظفون!$U94="نعم",N(الموظفون!$W94)&gt;0),الموظفون!$V94/الموظفون!$W94*12/cfg_DAYS_Y*AJ94,0))</f>
        <v/>
      </c>
      <c r="AD94" s="111" t="str">
        <f aca="false">IF($B94="","",(IF(الموظفون!$X94&lt;&gt;"",الموظفون!$X94,IF(الموظفون!$E94="غير سعودي",cfg_IQ,0))+IF(الموظفون!$Y94&lt;&gt;"",الموظفون!$Y94,IF(الموظفون!$E94="غير سعودي",cfg_WP,0)))/12*G94/cfg_DAYS_M)</f>
        <v/>
      </c>
      <c r="AE94" s="111" t="str">
        <f aca="false">IF($B94="","",IF(الموظفون!$Z94&lt;&gt;"",الموظفون!$Z94,cfg_MED)/12*G94/cfg_DAYS_M)</f>
        <v/>
      </c>
      <c r="AF94" s="111" t="str">
        <f aca="false">IF($B94="","",N(الموظفون!$AA94)/12*G94/cfg_DAYS_M)</f>
        <v/>
      </c>
      <c r="AG94" s="154" t="str">
        <f aca="false">IF($B94="","",T94+SUM(Z94:AF94))</f>
        <v/>
      </c>
      <c r="AH94" s="155" t="str">
        <f aca="false">IF($B94="","",MAX(0,IF(OR(الموظفون!$AE94="",الموظفون!$AE94&gt;$F$3),$F$3,الموظفون!$AE94)-الموظفون!$H94+1-SUMIFS('سجل الإجازات والحالات'!$AK$6:$AK$505,'سجل الإجازات والحالات'!$B$6:$B$505,$B94))/cfg_DAYS_Y)</f>
        <v/>
      </c>
      <c r="AI94" s="155" t="str">
        <f aca="false">IF($B94="","",MAX(0,IF(OR(الموظفون!$AE94="",الموظفون!$AE94&gt;($E$3-1)),($E$3-1),الموظفون!$AE94)-الموظفون!$H94+1-SUMIFS('سجل الإجازات والحالات'!$AJ$6:$AJ$505,'سجل الإجازات والحالات'!$B$6:$B$505,$B94))/cfg_DAYS_Y)</f>
        <v/>
      </c>
      <c r="AJ94" s="65" t="str">
        <f aca="false">IF($B94="","",MAX(0,AK94-(SUMIFS('سجل الإجازات والحالات'!$AK$6:$AK$505,'سجل الإجازات والحالات'!$B$6:$B$505,$B94)-SUMIFS('سجل الإجازات والحالات'!$AJ$6:$AJ$505,'سجل الإجازات والحالات'!$B$6:$B$505,$B94))))</f>
        <v/>
      </c>
      <c r="AK94" s="65" t="str">
        <f aca="false">IF($B94="","",MAX(0,IF(OR(الموظفون!$AE94="",الموظفون!$AE94&gt;$F$3),$F$3,الموظفون!$AE94)-MAX($E$3,الموظفون!$H94)+1))</f>
        <v/>
      </c>
      <c r="AL94" s="151" t="str">
        <f aca="false">IF($B94="","",SUMIFS('سجل الإجازات والحالات'!$AW$6:$AW$505,'سجل الإجازات والحالات'!$B$6:$B$505,$B94)+SUMIFS('الحركات الشهرية'!$K$6:$K$1005,'الحركات الشهرية'!$B$6:$B$1005,$B94,'الحركات الشهرية'!$A$6:$A$1005,$C$3))</f>
        <v/>
      </c>
      <c r="AM94" s="111" t="str">
        <f aca="false">IF($B94="","",AL94*الموظفون!$R94/cfg_DAYS_M+S94)</f>
        <v/>
      </c>
      <c r="AN94" s="151" t="str">
        <f aca="false">IF($B94="","",SUMIFS('سجل الإجازات والحالات'!$Y$6:$Y$505,'سجل الإجازات والحالات'!$B$6:$B$505,$B94))</f>
        <v/>
      </c>
    </row>
    <row r="95" customFormat="false" ht="15" hidden="false" customHeight="false" outlineLevel="0" collapsed="false">
      <c r="A95" s="115" t="str">
        <f aca="false">IF($B95="","",الموظفون!$A95)</f>
        <v/>
      </c>
      <c r="B95" s="117" t="str">
        <f aca="false">IF(الموظفون!$B95="","",الموظفون!$B95)</f>
        <v/>
      </c>
      <c r="C95" s="117" t="str">
        <f aca="false">IF($B95="","",الموظفون!$C95)</f>
        <v/>
      </c>
      <c r="D95" s="117" t="str">
        <f aca="false">IF($B95="","",الموظفون!$F95)</f>
        <v/>
      </c>
      <c r="E95" s="117" t="str">
        <f aca="false">IF($B95="","",الموظفون!$E95)</f>
        <v/>
      </c>
      <c r="F95" s="117" t="str">
        <f aca="false">IF($B95="","",IF(AK95=0,IF(AND(الموظفون!$AE95&lt;&gt;"",الموظفون!$AE95&lt;$E$3),"✖ منتهي الخدمة","⏳ لم يباشر"),IF(S95&gt;0,"✈ راتب إجازة مقدم",IF(J95=0,"⛔ بدون راتب هذا الشهر",IF(I95&gt;0,"✈ خصم "&amp;ROUND(I95,2)&amp;" يوم بدون أجر",IF(AL95&gt;0,"🌴 إجازة سنوية "&amp;ROUND(AL95,2)&amp;" يوم",IF(H95&gt;0,"⚠ غياب "&amp;ROUND(H95,2)&amp;" يوم","✔ على رأس العمل")))))))</f>
        <v/>
      </c>
      <c r="G95" s="156" t="str">
        <f aca="false">IF($B95="","",IF(AK95&gt;=DAY($F$3),cfg_DAYS_M,MIN(AK95,cfg_DAYS_M)))</f>
        <v/>
      </c>
      <c r="H95" s="156" t="str">
        <f aca="false">IF($B95="","",SUMIFS('الحركات الشهرية'!$D$6:$D$1005,'الحركات الشهرية'!$B$6:$B$1005,$B95,'الحركات الشهرية'!$A$6:$A$1005,$C$3))</f>
        <v/>
      </c>
      <c r="I95" s="156" t="str">
        <f aca="false">IF($B95="","",MIN(G95,IF(AND(AK95&gt;0,AN95&gt;=AK95),G95,AN95)+SUMIFS('الحركات الشهرية'!$E$6:$E$1005,'الحركات الشهرية'!$B$6:$B$1005,$B95,'الحركات الشهرية'!$A$6:$A$1005,$C$3)))</f>
        <v/>
      </c>
      <c r="J95" s="156" t="str">
        <f aca="false">IF($B95="","",MAX(0,G95-H95-I95))</f>
        <v/>
      </c>
      <c r="K95" s="116" t="str">
        <f aca="false">IF($B95="","",الموظفون!$L95*$J95/cfg_DAYS_M)</f>
        <v/>
      </c>
      <c r="L95" s="116" t="str">
        <f aca="false">IF($B95="","",الموظفون!$M95*$J95/cfg_DAYS_M)</f>
        <v/>
      </c>
      <c r="M95" s="116" t="str">
        <f aca="false">IF($B95="","",الموظفون!$N95*$J95/cfg_DAYS_M)</f>
        <v/>
      </c>
      <c r="N95" s="116" t="str">
        <f aca="false">IF($B95="","",الموظفون!$O95*$J95/cfg_DAYS_M)</f>
        <v/>
      </c>
      <c r="O95" s="156" t="str">
        <f aca="false">IF($B95="","",SUMIFS('الحركات الشهرية'!$F$6:$F$1005,'الحركات الشهرية'!$B$6:$B$1005,$B95,'الحركات الشهرية'!$A$6:$A$1005,$C$3))</f>
        <v/>
      </c>
      <c r="P95" s="116" t="str">
        <f aca="false">IF($B95="","",O95*(الموظفون!$P95+الموظفون!$L95*cfg_OT_P)/cfg_DAYS_M/cfg_HRS)</f>
        <v/>
      </c>
      <c r="Q95" s="116" t="str">
        <f aca="false">IF($B95="","",SUMIFS('الحركات الشهرية'!$G$6:$G$1005,'الحركات الشهرية'!$B$6:$B$1005,$B95,'الحركات الشهرية'!$A$6:$A$1005,$C$3))</f>
        <v/>
      </c>
      <c r="R95" s="116" t="str">
        <f aca="false">IF($B95="","",SUMIFS('الحركات الشهرية'!$H$6:$H$1005,'الحركات الشهرية'!$B$6:$B$1005,$B95,'الحركات الشهرية'!$A$6:$A$1005,$C$3))</f>
        <v/>
      </c>
      <c r="S95" s="116" t="str">
        <f aca="false">IF($B95="","",SUMIFS('سجل الإجازات والحالات'!$N$6:$N$505,'سجل الإجازات والحالات'!$B$6:$B$505,$B95,'سجل الإجازات والحالات'!$O$6:$O$505,$C$3))</f>
        <v/>
      </c>
      <c r="T95" s="157" t="str">
        <f aca="false">IF($B95="","",SUM(K95:N95)+SUM(P95:S95))</f>
        <v/>
      </c>
      <c r="U95" s="116" t="str">
        <f aca="false">IF($B95="","",الموظفون!$S95*IF(E95="سعودي",cfg_G_SE,cfg_G_NE)*G95/cfg_DAYS_M)</f>
        <v/>
      </c>
      <c r="V95" s="116" t="str">
        <f aca="false">IF($B95="","",SUMIFS('الحركات الشهرية'!$I$6:$I$1005,'الحركات الشهرية'!$B$6:$B$1005,$B95,'الحركات الشهرية'!$A$6:$A$1005,$C$3))</f>
        <v/>
      </c>
      <c r="W95" s="116" t="str">
        <f aca="false">IF($B95="","",SUMIFS('الحركات الشهرية'!$J$6:$J$1005,'الحركات الشهرية'!$B$6:$B$1005,$B95,'الحركات الشهرية'!$A$6:$A$1005,$C$3))</f>
        <v/>
      </c>
      <c r="X95" s="116" t="str">
        <f aca="false">IF($B95="","",SUM(U95:W95))</f>
        <v/>
      </c>
      <c r="Y95" s="158" t="str">
        <f aca="false">IF($B95="","",T95-X95)</f>
        <v/>
      </c>
      <c r="Z95" s="116" t="str">
        <f aca="false">IF($B95="","",الموظفون!$S95*IF(E95="سعودي",cfg_G_SR,cfg_G_NR)*G95/cfg_DAYS_M)</f>
        <v/>
      </c>
      <c r="AA95" s="116" t="str">
        <f aca="false">IF($B95="","",الموظفون!$Q95*(cfg_EOS_R1*(MIN(AH95,cfg_EOS_TH)-MIN(AI95,cfg_EOS_TH))+cfg_EOS_R2*(MAX(AH95-cfg_EOS_TH,0)-MAX(AI95-cfg_EOS_TH,0))))</f>
        <v/>
      </c>
      <c r="AB95" s="116" t="str">
        <f aca="false">IF($B95="","",IF(الموظفون!$T95&lt;&gt;"",الموظفون!$T95,IF(AH95&gt;=cfg_LV_TH,cfg_LV_D2,cfg_LV_D1))/cfg_DAYS_Y*AJ95*الموظفون!$R95/cfg_DAYS_M)</f>
        <v/>
      </c>
      <c r="AC95" s="116" t="str">
        <f aca="false">IF($B95="","",IF(AND(الموظفون!$U95="نعم",N(الموظفون!$W95)&gt;0),الموظفون!$V95/الموظفون!$W95*12/cfg_DAYS_Y*AJ95,0))</f>
        <v/>
      </c>
      <c r="AD95" s="116" t="str">
        <f aca="false">IF($B95="","",(IF(الموظفون!$X95&lt;&gt;"",الموظفون!$X95,IF(الموظفون!$E95="غير سعودي",cfg_IQ,0))+IF(الموظفون!$Y95&lt;&gt;"",الموظفون!$Y95,IF(الموظفون!$E95="غير سعودي",cfg_WP,0)))/12*G95/cfg_DAYS_M)</f>
        <v/>
      </c>
      <c r="AE95" s="116" t="str">
        <f aca="false">IF($B95="","",IF(الموظفون!$Z95&lt;&gt;"",الموظفون!$Z95,cfg_MED)/12*G95/cfg_DAYS_M)</f>
        <v/>
      </c>
      <c r="AF95" s="116" t="str">
        <f aca="false">IF($B95="","",N(الموظفون!$AA95)/12*G95/cfg_DAYS_M)</f>
        <v/>
      </c>
      <c r="AG95" s="159" t="str">
        <f aca="false">IF($B95="","",T95+SUM(Z95:AF95))</f>
        <v/>
      </c>
      <c r="AH95" s="160" t="str">
        <f aca="false">IF($B95="","",MAX(0,IF(OR(الموظفون!$AE95="",الموظفون!$AE95&gt;$F$3),$F$3,الموظفون!$AE95)-الموظفون!$H95+1-SUMIFS('سجل الإجازات والحالات'!$AK$6:$AK$505,'سجل الإجازات والحالات'!$B$6:$B$505,$B95))/cfg_DAYS_Y)</f>
        <v/>
      </c>
      <c r="AI95" s="160" t="str">
        <f aca="false">IF($B95="","",MAX(0,IF(OR(الموظفون!$AE95="",الموظفون!$AE95&gt;($E$3-1)),($E$3-1),الموظفون!$AE95)-الموظفون!$H95+1-SUMIFS('سجل الإجازات والحالات'!$AJ$6:$AJ$505,'سجل الإجازات والحالات'!$B$6:$B$505,$B95))/cfg_DAYS_Y)</f>
        <v/>
      </c>
      <c r="AJ95" s="133" t="str">
        <f aca="false">IF($B95="","",MAX(0,AK95-(SUMIFS('سجل الإجازات والحالات'!$AK$6:$AK$505,'سجل الإجازات والحالات'!$B$6:$B$505,$B95)-SUMIFS('سجل الإجازات والحالات'!$AJ$6:$AJ$505,'سجل الإجازات والحالات'!$B$6:$B$505,$B95))))</f>
        <v/>
      </c>
      <c r="AK95" s="133" t="str">
        <f aca="false">IF($B95="","",MAX(0,IF(OR(الموظفون!$AE95="",الموظفون!$AE95&gt;$F$3),$F$3,الموظفون!$AE95)-MAX($E$3,الموظفون!$H95)+1))</f>
        <v/>
      </c>
      <c r="AL95" s="156" t="str">
        <f aca="false">IF($B95="","",SUMIFS('سجل الإجازات والحالات'!$AW$6:$AW$505,'سجل الإجازات والحالات'!$B$6:$B$505,$B95)+SUMIFS('الحركات الشهرية'!$K$6:$K$1005,'الحركات الشهرية'!$B$6:$B$1005,$B95,'الحركات الشهرية'!$A$6:$A$1005,$C$3))</f>
        <v/>
      </c>
      <c r="AM95" s="116" t="str">
        <f aca="false">IF($B95="","",AL95*الموظفون!$R95/cfg_DAYS_M+S95)</f>
        <v/>
      </c>
      <c r="AN95" s="156" t="str">
        <f aca="false">IF($B95="","",SUMIFS('سجل الإجازات والحالات'!$Y$6:$Y$505,'سجل الإجازات والحالات'!$B$6:$B$505,$B95))</f>
        <v/>
      </c>
    </row>
    <row r="96" customFormat="false" ht="15" hidden="false" customHeight="false" outlineLevel="0" collapsed="false">
      <c r="A96" s="106" t="str">
        <f aca="false">IF($B96="","",الموظفون!$A96)</f>
        <v/>
      </c>
      <c r="B96" s="114" t="str">
        <f aca="false">IF(الموظفون!$B96="","",الموظفون!$B96)</f>
        <v/>
      </c>
      <c r="C96" s="114" t="str">
        <f aca="false">IF($B96="","",الموظفون!$C96)</f>
        <v/>
      </c>
      <c r="D96" s="114" t="str">
        <f aca="false">IF($B96="","",الموظفون!$F96)</f>
        <v/>
      </c>
      <c r="E96" s="114" t="str">
        <f aca="false">IF($B96="","",الموظفون!$E96)</f>
        <v/>
      </c>
      <c r="F96" s="114" t="str">
        <f aca="false">IF($B96="","",IF(AK96=0,IF(AND(الموظفون!$AE96&lt;&gt;"",الموظفون!$AE96&lt;$E$3),"✖ منتهي الخدمة","⏳ لم يباشر"),IF(S96&gt;0,"✈ راتب إجازة مقدم",IF(J96=0,"⛔ بدون راتب هذا الشهر",IF(I96&gt;0,"✈ خصم "&amp;ROUND(I96,2)&amp;" يوم بدون أجر",IF(AL96&gt;0,"🌴 إجازة سنوية "&amp;ROUND(AL96,2)&amp;" يوم",IF(H96&gt;0,"⚠ غياب "&amp;ROUND(H96,2)&amp;" يوم","✔ على رأس العمل")))))))</f>
        <v/>
      </c>
      <c r="G96" s="151" t="str">
        <f aca="false">IF($B96="","",IF(AK96&gt;=DAY($F$3),cfg_DAYS_M,MIN(AK96,cfg_DAYS_M)))</f>
        <v/>
      </c>
      <c r="H96" s="151" t="str">
        <f aca="false">IF($B96="","",SUMIFS('الحركات الشهرية'!$D$6:$D$1005,'الحركات الشهرية'!$B$6:$B$1005,$B96,'الحركات الشهرية'!$A$6:$A$1005,$C$3))</f>
        <v/>
      </c>
      <c r="I96" s="151" t="str">
        <f aca="false">IF($B96="","",MIN(G96,IF(AND(AK96&gt;0,AN96&gt;=AK96),G96,AN96)+SUMIFS('الحركات الشهرية'!$E$6:$E$1005,'الحركات الشهرية'!$B$6:$B$1005,$B96,'الحركات الشهرية'!$A$6:$A$1005,$C$3)))</f>
        <v/>
      </c>
      <c r="J96" s="151" t="str">
        <f aca="false">IF($B96="","",MAX(0,G96-H96-I96))</f>
        <v/>
      </c>
      <c r="K96" s="111" t="str">
        <f aca="false">IF($B96="","",الموظفون!$L96*$J96/cfg_DAYS_M)</f>
        <v/>
      </c>
      <c r="L96" s="111" t="str">
        <f aca="false">IF($B96="","",الموظفون!$M96*$J96/cfg_DAYS_M)</f>
        <v/>
      </c>
      <c r="M96" s="111" t="str">
        <f aca="false">IF($B96="","",الموظفون!$N96*$J96/cfg_DAYS_M)</f>
        <v/>
      </c>
      <c r="N96" s="111" t="str">
        <f aca="false">IF($B96="","",الموظفون!$O96*$J96/cfg_DAYS_M)</f>
        <v/>
      </c>
      <c r="O96" s="151" t="str">
        <f aca="false">IF($B96="","",SUMIFS('الحركات الشهرية'!$F$6:$F$1005,'الحركات الشهرية'!$B$6:$B$1005,$B96,'الحركات الشهرية'!$A$6:$A$1005,$C$3))</f>
        <v/>
      </c>
      <c r="P96" s="111" t="str">
        <f aca="false">IF($B96="","",O96*(الموظفون!$P96+الموظفون!$L96*cfg_OT_P)/cfg_DAYS_M/cfg_HRS)</f>
        <v/>
      </c>
      <c r="Q96" s="111" t="str">
        <f aca="false">IF($B96="","",SUMIFS('الحركات الشهرية'!$G$6:$G$1005,'الحركات الشهرية'!$B$6:$B$1005,$B96,'الحركات الشهرية'!$A$6:$A$1005,$C$3))</f>
        <v/>
      </c>
      <c r="R96" s="111" t="str">
        <f aca="false">IF($B96="","",SUMIFS('الحركات الشهرية'!$H$6:$H$1005,'الحركات الشهرية'!$B$6:$B$1005,$B96,'الحركات الشهرية'!$A$6:$A$1005,$C$3))</f>
        <v/>
      </c>
      <c r="S96" s="111" t="str">
        <f aca="false">IF($B96="","",SUMIFS('سجل الإجازات والحالات'!$N$6:$N$505,'سجل الإجازات والحالات'!$B$6:$B$505,$B96,'سجل الإجازات والحالات'!$O$6:$O$505,$C$3))</f>
        <v/>
      </c>
      <c r="T96" s="152" t="str">
        <f aca="false">IF($B96="","",SUM(K96:N96)+SUM(P96:S96))</f>
        <v/>
      </c>
      <c r="U96" s="111" t="str">
        <f aca="false">IF($B96="","",الموظفون!$S96*IF(E96="سعودي",cfg_G_SE,cfg_G_NE)*G96/cfg_DAYS_M)</f>
        <v/>
      </c>
      <c r="V96" s="111" t="str">
        <f aca="false">IF($B96="","",SUMIFS('الحركات الشهرية'!$I$6:$I$1005,'الحركات الشهرية'!$B$6:$B$1005,$B96,'الحركات الشهرية'!$A$6:$A$1005,$C$3))</f>
        <v/>
      </c>
      <c r="W96" s="111" t="str">
        <f aca="false">IF($B96="","",SUMIFS('الحركات الشهرية'!$J$6:$J$1005,'الحركات الشهرية'!$B$6:$B$1005,$B96,'الحركات الشهرية'!$A$6:$A$1005,$C$3))</f>
        <v/>
      </c>
      <c r="X96" s="111" t="str">
        <f aca="false">IF($B96="","",SUM(U96:W96))</f>
        <v/>
      </c>
      <c r="Y96" s="153" t="str">
        <f aca="false">IF($B96="","",T96-X96)</f>
        <v/>
      </c>
      <c r="Z96" s="111" t="str">
        <f aca="false">IF($B96="","",الموظفون!$S96*IF(E96="سعودي",cfg_G_SR,cfg_G_NR)*G96/cfg_DAYS_M)</f>
        <v/>
      </c>
      <c r="AA96" s="111" t="str">
        <f aca="false">IF($B96="","",الموظفون!$Q96*(cfg_EOS_R1*(MIN(AH96,cfg_EOS_TH)-MIN(AI96,cfg_EOS_TH))+cfg_EOS_R2*(MAX(AH96-cfg_EOS_TH,0)-MAX(AI96-cfg_EOS_TH,0))))</f>
        <v/>
      </c>
      <c r="AB96" s="111" t="str">
        <f aca="false">IF($B96="","",IF(الموظفون!$T96&lt;&gt;"",الموظفون!$T96,IF(AH96&gt;=cfg_LV_TH,cfg_LV_D2,cfg_LV_D1))/cfg_DAYS_Y*AJ96*الموظفون!$R96/cfg_DAYS_M)</f>
        <v/>
      </c>
      <c r="AC96" s="111" t="str">
        <f aca="false">IF($B96="","",IF(AND(الموظفون!$U96="نعم",N(الموظفون!$W96)&gt;0),الموظفون!$V96/الموظفون!$W96*12/cfg_DAYS_Y*AJ96,0))</f>
        <v/>
      </c>
      <c r="AD96" s="111" t="str">
        <f aca="false">IF($B96="","",(IF(الموظفون!$X96&lt;&gt;"",الموظفون!$X96,IF(الموظفون!$E96="غير سعودي",cfg_IQ,0))+IF(الموظفون!$Y96&lt;&gt;"",الموظفون!$Y96,IF(الموظفون!$E96="غير سعودي",cfg_WP,0)))/12*G96/cfg_DAYS_M)</f>
        <v/>
      </c>
      <c r="AE96" s="111" t="str">
        <f aca="false">IF($B96="","",IF(الموظفون!$Z96&lt;&gt;"",الموظفون!$Z96,cfg_MED)/12*G96/cfg_DAYS_M)</f>
        <v/>
      </c>
      <c r="AF96" s="111" t="str">
        <f aca="false">IF($B96="","",N(الموظفون!$AA96)/12*G96/cfg_DAYS_M)</f>
        <v/>
      </c>
      <c r="AG96" s="154" t="str">
        <f aca="false">IF($B96="","",T96+SUM(Z96:AF96))</f>
        <v/>
      </c>
      <c r="AH96" s="155" t="str">
        <f aca="false">IF($B96="","",MAX(0,IF(OR(الموظفون!$AE96="",الموظفون!$AE96&gt;$F$3),$F$3,الموظفون!$AE96)-الموظفون!$H96+1-SUMIFS('سجل الإجازات والحالات'!$AK$6:$AK$505,'سجل الإجازات والحالات'!$B$6:$B$505,$B96))/cfg_DAYS_Y)</f>
        <v/>
      </c>
      <c r="AI96" s="155" t="str">
        <f aca="false">IF($B96="","",MAX(0,IF(OR(الموظفون!$AE96="",الموظفون!$AE96&gt;($E$3-1)),($E$3-1),الموظفون!$AE96)-الموظفون!$H96+1-SUMIFS('سجل الإجازات والحالات'!$AJ$6:$AJ$505,'سجل الإجازات والحالات'!$B$6:$B$505,$B96))/cfg_DAYS_Y)</f>
        <v/>
      </c>
      <c r="AJ96" s="65" t="str">
        <f aca="false">IF($B96="","",MAX(0,AK96-(SUMIFS('سجل الإجازات والحالات'!$AK$6:$AK$505,'سجل الإجازات والحالات'!$B$6:$B$505,$B96)-SUMIFS('سجل الإجازات والحالات'!$AJ$6:$AJ$505,'سجل الإجازات والحالات'!$B$6:$B$505,$B96))))</f>
        <v/>
      </c>
      <c r="AK96" s="65" t="str">
        <f aca="false">IF($B96="","",MAX(0,IF(OR(الموظفون!$AE96="",الموظفون!$AE96&gt;$F$3),$F$3,الموظفون!$AE96)-MAX($E$3,الموظفون!$H96)+1))</f>
        <v/>
      </c>
      <c r="AL96" s="151" t="str">
        <f aca="false">IF($B96="","",SUMIFS('سجل الإجازات والحالات'!$AW$6:$AW$505,'سجل الإجازات والحالات'!$B$6:$B$505,$B96)+SUMIFS('الحركات الشهرية'!$K$6:$K$1005,'الحركات الشهرية'!$B$6:$B$1005,$B96,'الحركات الشهرية'!$A$6:$A$1005,$C$3))</f>
        <v/>
      </c>
      <c r="AM96" s="111" t="str">
        <f aca="false">IF($B96="","",AL96*الموظفون!$R96/cfg_DAYS_M+S96)</f>
        <v/>
      </c>
      <c r="AN96" s="151" t="str">
        <f aca="false">IF($B96="","",SUMIFS('سجل الإجازات والحالات'!$Y$6:$Y$505,'سجل الإجازات والحالات'!$B$6:$B$505,$B96))</f>
        <v/>
      </c>
    </row>
    <row r="97" customFormat="false" ht="15" hidden="false" customHeight="false" outlineLevel="0" collapsed="false">
      <c r="A97" s="115" t="str">
        <f aca="false">IF($B97="","",الموظفون!$A97)</f>
        <v/>
      </c>
      <c r="B97" s="117" t="str">
        <f aca="false">IF(الموظفون!$B97="","",الموظفون!$B97)</f>
        <v/>
      </c>
      <c r="C97" s="117" t="str">
        <f aca="false">IF($B97="","",الموظفون!$C97)</f>
        <v/>
      </c>
      <c r="D97" s="117" t="str">
        <f aca="false">IF($B97="","",الموظفون!$F97)</f>
        <v/>
      </c>
      <c r="E97" s="117" t="str">
        <f aca="false">IF($B97="","",الموظفون!$E97)</f>
        <v/>
      </c>
      <c r="F97" s="117" t="str">
        <f aca="false">IF($B97="","",IF(AK97=0,IF(AND(الموظفون!$AE97&lt;&gt;"",الموظفون!$AE97&lt;$E$3),"✖ منتهي الخدمة","⏳ لم يباشر"),IF(S97&gt;0,"✈ راتب إجازة مقدم",IF(J97=0,"⛔ بدون راتب هذا الشهر",IF(I97&gt;0,"✈ خصم "&amp;ROUND(I97,2)&amp;" يوم بدون أجر",IF(AL97&gt;0,"🌴 إجازة سنوية "&amp;ROUND(AL97,2)&amp;" يوم",IF(H97&gt;0,"⚠ غياب "&amp;ROUND(H97,2)&amp;" يوم","✔ على رأس العمل")))))))</f>
        <v/>
      </c>
      <c r="G97" s="156" t="str">
        <f aca="false">IF($B97="","",IF(AK97&gt;=DAY($F$3),cfg_DAYS_M,MIN(AK97,cfg_DAYS_M)))</f>
        <v/>
      </c>
      <c r="H97" s="156" t="str">
        <f aca="false">IF($B97="","",SUMIFS('الحركات الشهرية'!$D$6:$D$1005,'الحركات الشهرية'!$B$6:$B$1005,$B97,'الحركات الشهرية'!$A$6:$A$1005,$C$3))</f>
        <v/>
      </c>
      <c r="I97" s="156" t="str">
        <f aca="false">IF($B97="","",MIN(G97,IF(AND(AK97&gt;0,AN97&gt;=AK97),G97,AN97)+SUMIFS('الحركات الشهرية'!$E$6:$E$1005,'الحركات الشهرية'!$B$6:$B$1005,$B97,'الحركات الشهرية'!$A$6:$A$1005,$C$3)))</f>
        <v/>
      </c>
      <c r="J97" s="156" t="str">
        <f aca="false">IF($B97="","",MAX(0,G97-H97-I97))</f>
        <v/>
      </c>
      <c r="K97" s="116" t="str">
        <f aca="false">IF($B97="","",الموظفون!$L97*$J97/cfg_DAYS_M)</f>
        <v/>
      </c>
      <c r="L97" s="116" t="str">
        <f aca="false">IF($B97="","",الموظفون!$M97*$J97/cfg_DAYS_M)</f>
        <v/>
      </c>
      <c r="M97" s="116" t="str">
        <f aca="false">IF($B97="","",الموظفون!$N97*$J97/cfg_DAYS_M)</f>
        <v/>
      </c>
      <c r="N97" s="116" t="str">
        <f aca="false">IF($B97="","",الموظفون!$O97*$J97/cfg_DAYS_M)</f>
        <v/>
      </c>
      <c r="O97" s="156" t="str">
        <f aca="false">IF($B97="","",SUMIFS('الحركات الشهرية'!$F$6:$F$1005,'الحركات الشهرية'!$B$6:$B$1005,$B97,'الحركات الشهرية'!$A$6:$A$1005,$C$3))</f>
        <v/>
      </c>
      <c r="P97" s="116" t="str">
        <f aca="false">IF($B97="","",O97*(الموظفون!$P97+الموظفون!$L97*cfg_OT_P)/cfg_DAYS_M/cfg_HRS)</f>
        <v/>
      </c>
      <c r="Q97" s="116" t="str">
        <f aca="false">IF($B97="","",SUMIFS('الحركات الشهرية'!$G$6:$G$1005,'الحركات الشهرية'!$B$6:$B$1005,$B97,'الحركات الشهرية'!$A$6:$A$1005,$C$3))</f>
        <v/>
      </c>
      <c r="R97" s="116" t="str">
        <f aca="false">IF($B97="","",SUMIFS('الحركات الشهرية'!$H$6:$H$1005,'الحركات الشهرية'!$B$6:$B$1005,$B97,'الحركات الشهرية'!$A$6:$A$1005,$C$3))</f>
        <v/>
      </c>
      <c r="S97" s="116" t="str">
        <f aca="false">IF($B97="","",SUMIFS('سجل الإجازات والحالات'!$N$6:$N$505,'سجل الإجازات والحالات'!$B$6:$B$505,$B97,'سجل الإجازات والحالات'!$O$6:$O$505,$C$3))</f>
        <v/>
      </c>
      <c r="T97" s="157" t="str">
        <f aca="false">IF($B97="","",SUM(K97:N97)+SUM(P97:S97))</f>
        <v/>
      </c>
      <c r="U97" s="116" t="str">
        <f aca="false">IF($B97="","",الموظفون!$S97*IF(E97="سعودي",cfg_G_SE,cfg_G_NE)*G97/cfg_DAYS_M)</f>
        <v/>
      </c>
      <c r="V97" s="116" t="str">
        <f aca="false">IF($B97="","",SUMIFS('الحركات الشهرية'!$I$6:$I$1005,'الحركات الشهرية'!$B$6:$B$1005,$B97,'الحركات الشهرية'!$A$6:$A$1005,$C$3))</f>
        <v/>
      </c>
      <c r="W97" s="116" t="str">
        <f aca="false">IF($B97="","",SUMIFS('الحركات الشهرية'!$J$6:$J$1005,'الحركات الشهرية'!$B$6:$B$1005,$B97,'الحركات الشهرية'!$A$6:$A$1005,$C$3))</f>
        <v/>
      </c>
      <c r="X97" s="116" t="str">
        <f aca="false">IF($B97="","",SUM(U97:W97))</f>
        <v/>
      </c>
      <c r="Y97" s="158" t="str">
        <f aca="false">IF($B97="","",T97-X97)</f>
        <v/>
      </c>
      <c r="Z97" s="116" t="str">
        <f aca="false">IF($B97="","",الموظفون!$S97*IF(E97="سعودي",cfg_G_SR,cfg_G_NR)*G97/cfg_DAYS_M)</f>
        <v/>
      </c>
      <c r="AA97" s="116" t="str">
        <f aca="false">IF($B97="","",الموظفون!$Q97*(cfg_EOS_R1*(MIN(AH97,cfg_EOS_TH)-MIN(AI97,cfg_EOS_TH))+cfg_EOS_R2*(MAX(AH97-cfg_EOS_TH,0)-MAX(AI97-cfg_EOS_TH,0))))</f>
        <v/>
      </c>
      <c r="AB97" s="116" t="str">
        <f aca="false">IF($B97="","",IF(الموظفون!$T97&lt;&gt;"",الموظفون!$T97,IF(AH97&gt;=cfg_LV_TH,cfg_LV_D2,cfg_LV_D1))/cfg_DAYS_Y*AJ97*الموظفون!$R97/cfg_DAYS_M)</f>
        <v/>
      </c>
      <c r="AC97" s="116" t="str">
        <f aca="false">IF($B97="","",IF(AND(الموظفون!$U97="نعم",N(الموظفون!$W97)&gt;0),الموظفون!$V97/الموظفون!$W97*12/cfg_DAYS_Y*AJ97,0))</f>
        <v/>
      </c>
      <c r="AD97" s="116" t="str">
        <f aca="false">IF($B97="","",(IF(الموظفون!$X97&lt;&gt;"",الموظفون!$X97,IF(الموظفون!$E97="غير سعودي",cfg_IQ,0))+IF(الموظفون!$Y97&lt;&gt;"",الموظفون!$Y97,IF(الموظفون!$E97="غير سعودي",cfg_WP,0)))/12*G97/cfg_DAYS_M)</f>
        <v/>
      </c>
      <c r="AE97" s="116" t="str">
        <f aca="false">IF($B97="","",IF(الموظفون!$Z97&lt;&gt;"",الموظفون!$Z97,cfg_MED)/12*G97/cfg_DAYS_M)</f>
        <v/>
      </c>
      <c r="AF97" s="116" t="str">
        <f aca="false">IF($B97="","",N(الموظفون!$AA97)/12*G97/cfg_DAYS_M)</f>
        <v/>
      </c>
      <c r="AG97" s="159" t="str">
        <f aca="false">IF($B97="","",T97+SUM(Z97:AF97))</f>
        <v/>
      </c>
      <c r="AH97" s="160" t="str">
        <f aca="false">IF($B97="","",MAX(0,IF(OR(الموظفون!$AE97="",الموظفون!$AE97&gt;$F$3),$F$3,الموظفون!$AE97)-الموظفون!$H97+1-SUMIFS('سجل الإجازات والحالات'!$AK$6:$AK$505,'سجل الإجازات والحالات'!$B$6:$B$505,$B97))/cfg_DAYS_Y)</f>
        <v/>
      </c>
      <c r="AI97" s="160" t="str">
        <f aca="false">IF($B97="","",MAX(0,IF(OR(الموظفون!$AE97="",الموظفون!$AE97&gt;($E$3-1)),($E$3-1),الموظفون!$AE97)-الموظفون!$H97+1-SUMIFS('سجل الإجازات والحالات'!$AJ$6:$AJ$505,'سجل الإجازات والحالات'!$B$6:$B$505,$B97))/cfg_DAYS_Y)</f>
        <v/>
      </c>
      <c r="AJ97" s="133" t="str">
        <f aca="false">IF($B97="","",MAX(0,AK97-(SUMIFS('سجل الإجازات والحالات'!$AK$6:$AK$505,'سجل الإجازات والحالات'!$B$6:$B$505,$B97)-SUMIFS('سجل الإجازات والحالات'!$AJ$6:$AJ$505,'سجل الإجازات والحالات'!$B$6:$B$505,$B97))))</f>
        <v/>
      </c>
      <c r="AK97" s="133" t="str">
        <f aca="false">IF($B97="","",MAX(0,IF(OR(الموظفون!$AE97="",الموظفون!$AE97&gt;$F$3),$F$3,الموظفون!$AE97)-MAX($E$3,الموظفون!$H97)+1))</f>
        <v/>
      </c>
      <c r="AL97" s="156" t="str">
        <f aca="false">IF($B97="","",SUMIFS('سجل الإجازات والحالات'!$AW$6:$AW$505,'سجل الإجازات والحالات'!$B$6:$B$505,$B97)+SUMIFS('الحركات الشهرية'!$K$6:$K$1005,'الحركات الشهرية'!$B$6:$B$1005,$B97,'الحركات الشهرية'!$A$6:$A$1005,$C$3))</f>
        <v/>
      </c>
      <c r="AM97" s="116" t="str">
        <f aca="false">IF($B97="","",AL97*الموظفون!$R97/cfg_DAYS_M+S97)</f>
        <v/>
      </c>
      <c r="AN97" s="156" t="str">
        <f aca="false">IF($B97="","",SUMIFS('سجل الإجازات والحالات'!$Y$6:$Y$505,'سجل الإجازات والحالات'!$B$6:$B$505,$B97))</f>
        <v/>
      </c>
    </row>
    <row r="98" customFormat="false" ht="15" hidden="false" customHeight="false" outlineLevel="0" collapsed="false">
      <c r="A98" s="106" t="str">
        <f aca="false">IF($B98="","",الموظفون!$A98)</f>
        <v/>
      </c>
      <c r="B98" s="114" t="str">
        <f aca="false">IF(الموظفون!$B98="","",الموظفون!$B98)</f>
        <v/>
      </c>
      <c r="C98" s="114" t="str">
        <f aca="false">IF($B98="","",الموظفون!$C98)</f>
        <v/>
      </c>
      <c r="D98" s="114" t="str">
        <f aca="false">IF($B98="","",الموظفون!$F98)</f>
        <v/>
      </c>
      <c r="E98" s="114" t="str">
        <f aca="false">IF($B98="","",الموظفون!$E98)</f>
        <v/>
      </c>
      <c r="F98" s="114" t="str">
        <f aca="false">IF($B98="","",IF(AK98=0,IF(AND(الموظفون!$AE98&lt;&gt;"",الموظفون!$AE98&lt;$E$3),"✖ منتهي الخدمة","⏳ لم يباشر"),IF(S98&gt;0,"✈ راتب إجازة مقدم",IF(J98=0,"⛔ بدون راتب هذا الشهر",IF(I98&gt;0,"✈ خصم "&amp;ROUND(I98,2)&amp;" يوم بدون أجر",IF(AL98&gt;0,"🌴 إجازة سنوية "&amp;ROUND(AL98,2)&amp;" يوم",IF(H98&gt;0,"⚠ غياب "&amp;ROUND(H98,2)&amp;" يوم","✔ على رأس العمل")))))))</f>
        <v/>
      </c>
      <c r="G98" s="151" t="str">
        <f aca="false">IF($B98="","",IF(AK98&gt;=DAY($F$3),cfg_DAYS_M,MIN(AK98,cfg_DAYS_M)))</f>
        <v/>
      </c>
      <c r="H98" s="151" t="str">
        <f aca="false">IF($B98="","",SUMIFS('الحركات الشهرية'!$D$6:$D$1005,'الحركات الشهرية'!$B$6:$B$1005,$B98,'الحركات الشهرية'!$A$6:$A$1005,$C$3))</f>
        <v/>
      </c>
      <c r="I98" s="151" t="str">
        <f aca="false">IF($B98="","",MIN(G98,IF(AND(AK98&gt;0,AN98&gt;=AK98),G98,AN98)+SUMIFS('الحركات الشهرية'!$E$6:$E$1005,'الحركات الشهرية'!$B$6:$B$1005,$B98,'الحركات الشهرية'!$A$6:$A$1005,$C$3)))</f>
        <v/>
      </c>
      <c r="J98" s="151" t="str">
        <f aca="false">IF($B98="","",MAX(0,G98-H98-I98))</f>
        <v/>
      </c>
      <c r="K98" s="111" t="str">
        <f aca="false">IF($B98="","",الموظفون!$L98*$J98/cfg_DAYS_M)</f>
        <v/>
      </c>
      <c r="L98" s="111" t="str">
        <f aca="false">IF($B98="","",الموظفون!$M98*$J98/cfg_DAYS_M)</f>
        <v/>
      </c>
      <c r="M98" s="111" t="str">
        <f aca="false">IF($B98="","",الموظفون!$N98*$J98/cfg_DAYS_M)</f>
        <v/>
      </c>
      <c r="N98" s="111" t="str">
        <f aca="false">IF($B98="","",الموظفون!$O98*$J98/cfg_DAYS_M)</f>
        <v/>
      </c>
      <c r="O98" s="151" t="str">
        <f aca="false">IF($B98="","",SUMIFS('الحركات الشهرية'!$F$6:$F$1005,'الحركات الشهرية'!$B$6:$B$1005,$B98,'الحركات الشهرية'!$A$6:$A$1005,$C$3))</f>
        <v/>
      </c>
      <c r="P98" s="111" t="str">
        <f aca="false">IF($B98="","",O98*(الموظفون!$P98+الموظفون!$L98*cfg_OT_P)/cfg_DAYS_M/cfg_HRS)</f>
        <v/>
      </c>
      <c r="Q98" s="111" t="str">
        <f aca="false">IF($B98="","",SUMIFS('الحركات الشهرية'!$G$6:$G$1005,'الحركات الشهرية'!$B$6:$B$1005,$B98,'الحركات الشهرية'!$A$6:$A$1005,$C$3))</f>
        <v/>
      </c>
      <c r="R98" s="111" t="str">
        <f aca="false">IF($B98="","",SUMIFS('الحركات الشهرية'!$H$6:$H$1005,'الحركات الشهرية'!$B$6:$B$1005,$B98,'الحركات الشهرية'!$A$6:$A$1005,$C$3))</f>
        <v/>
      </c>
      <c r="S98" s="111" t="str">
        <f aca="false">IF($B98="","",SUMIFS('سجل الإجازات والحالات'!$N$6:$N$505,'سجل الإجازات والحالات'!$B$6:$B$505,$B98,'سجل الإجازات والحالات'!$O$6:$O$505,$C$3))</f>
        <v/>
      </c>
      <c r="T98" s="152" t="str">
        <f aca="false">IF($B98="","",SUM(K98:N98)+SUM(P98:S98))</f>
        <v/>
      </c>
      <c r="U98" s="111" t="str">
        <f aca="false">IF($B98="","",الموظفون!$S98*IF(E98="سعودي",cfg_G_SE,cfg_G_NE)*G98/cfg_DAYS_M)</f>
        <v/>
      </c>
      <c r="V98" s="111" t="str">
        <f aca="false">IF($B98="","",SUMIFS('الحركات الشهرية'!$I$6:$I$1005,'الحركات الشهرية'!$B$6:$B$1005,$B98,'الحركات الشهرية'!$A$6:$A$1005,$C$3))</f>
        <v/>
      </c>
      <c r="W98" s="111" t="str">
        <f aca="false">IF($B98="","",SUMIFS('الحركات الشهرية'!$J$6:$J$1005,'الحركات الشهرية'!$B$6:$B$1005,$B98,'الحركات الشهرية'!$A$6:$A$1005,$C$3))</f>
        <v/>
      </c>
      <c r="X98" s="111" t="str">
        <f aca="false">IF($B98="","",SUM(U98:W98))</f>
        <v/>
      </c>
      <c r="Y98" s="153" t="str">
        <f aca="false">IF($B98="","",T98-X98)</f>
        <v/>
      </c>
      <c r="Z98" s="111" t="str">
        <f aca="false">IF($B98="","",الموظفون!$S98*IF(E98="سعودي",cfg_G_SR,cfg_G_NR)*G98/cfg_DAYS_M)</f>
        <v/>
      </c>
      <c r="AA98" s="111" t="str">
        <f aca="false">IF($B98="","",الموظفون!$Q98*(cfg_EOS_R1*(MIN(AH98,cfg_EOS_TH)-MIN(AI98,cfg_EOS_TH))+cfg_EOS_R2*(MAX(AH98-cfg_EOS_TH,0)-MAX(AI98-cfg_EOS_TH,0))))</f>
        <v/>
      </c>
      <c r="AB98" s="111" t="str">
        <f aca="false">IF($B98="","",IF(الموظفون!$T98&lt;&gt;"",الموظفون!$T98,IF(AH98&gt;=cfg_LV_TH,cfg_LV_D2,cfg_LV_D1))/cfg_DAYS_Y*AJ98*الموظفون!$R98/cfg_DAYS_M)</f>
        <v/>
      </c>
      <c r="AC98" s="111" t="str">
        <f aca="false">IF($B98="","",IF(AND(الموظفون!$U98="نعم",N(الموظفون!$W98)&gt;0),الموظفون!$V98/الموظفون!$W98*12/cfg_DAYS_Y*AJ98,0))</f>
        <v/>
      </c>
      <c r="AD98" s="111" t="str">
        <f aca="false">IF($B98="","",(IF(الموظفون!$X98&lt;&gt;"",الموظفون!$X98,IF(الموظفون!$E98="غير سعودي",cfg_IQ,0))+IF(الموظفون!$Y98&lt;&gt;"",الموظفون!$Y98,IF(الموظفون!$E98="غير سعودي",cfg_WP,0)))/12*G98/cfg_DAYS_M)</f>
        <v/>
      </c>
      <c r="AE98" s="111" t="str">
        <f aca="false">IF($B98="","",IF(الموظفون!$Z98&lt;&gt;"",الموظفون!$Z98,cfg_MED)/12*G98/cfg_DAYS_M)</f>
        <v/>
      </c>
      <c r="AF98" s="111" t="str">
        <f aca="false">IF($B98="","",N(الموظفون!$AA98)/12*G98/cfg_DAYS_M)</f>
        <v/>
      </c>
      <c r="AG98" s="154" t="str">
        <f aca="false">IF($B98="","",T98+SUM(Z98:AF98))</f>
        <v/>
      </c>
      <c r="AH98" s="155" t="str">
        <f aca="false">IF($B98="","",MAX(0,IF(OR(الموظفون!$AE98="",الموظفون!$AE98&gt;$F$3),$F$3,الموظفون!$AE98)-الموظفون!$H98+1-SUMIFS('سجل الإجازات والحالات'!$AK$6:$AK$505,'سجل الإجازات والحالات'!$B$6:$B$505,$B98))/cfg_DAYS_Y)</f>
        <v/>
      </c>
      <c r="AI98" s="155" t="str">
        <f aca="false">IF($B98="","",MAX(0,IF(OR(الموظفون!$AE98="",الموظفون!$AE98&gt;($E$3-1)),($E$3-1),الموظفون!$AE98)-الموظفون!$H98+1-SUMIFS('سجل الإجازات والحالات'!$AJ$6:$AJ$505,'سجل الإجازات والحالات'!$B$6:$B$505,$B98))/cfg_DAYS_Y)</f>
        <v/>
      </c>
      <c r="AJ98" s="65" t="str">
        <f aca="false">IF($B98="","",MAX(0,AK98-(SUMIFS('سجل الإجازات والحالات'!$AK$6:$AK$505,'سجل الإجازات والحالات'!$B$6:$B$505,$B98)-SUMIFS('سجل الإجازات والحالات'!$AJ$6:$AJ$505,'سجل الإجازات والحالات'!$B$6:$B$505,$B98))))</f>
        <v/>
      </c>
      <c r="AK98" s="65" t="str">
        <f aca="false">IF($B98="","",MAX(0,IF(OR(الموظفون!$AE98="",الموظفون!$AE98&gt;$F$3),$F$3,الموظفون!$AE98)-MAX($E$3,الموظفون!$H98)+1))</f>
        <v/>
      </c>
      <c r="AL98" s="151" t="str">
        <f aca="false">IF($B98="","",SUMIFS('سجل الإجازات والحالات'!$AW$6:$AW$505,'سجل الإجازات والحالات'!$B$6:$B$505,$B98)+SUMIFS('الحركات الشهرية'!$K$6:$K$1005,'الحركات الشهرية'!$B$6:$B$1005,$B98,'الحركات الشهرية'!$A$6:$A$1005,$C$3))</f>
        <v/>
      </c>
      <c r="AM98" s="111" t="str">
        <f aca="false">IF($B98="","",AL98*الموظفون!$R98/cfg_DAYS_M+S98)</f>
        <v/>
      </c>
      <c r="AN98" s="151" t="str">
        <f aca="false">IF($B98="","",SUMIFS('سجل الإجازات والحالات'!$Y$6:$Y$505,'سجل الإجازات والحالات'!$B$6:$B$505,$B98))</f>
        <v/>
      </c>
    </row>
    <row r="99" customFormat="false" ht="15" hidden="false" customHeight="false" outlineLevel="0" collapsed="false">
      <c r="A99" s="115" t="str">
        <f aca="false">IF($B99="","",الموظفون!$A99)</f>
        <v/>
      </c>
      <c r="B99" s="117" t="str">
        <f aca="false">IF(الموظفون!$B99="","",الموظفون!$B99)</f>
        <v/>
      </c>
      <c r="C99" s="117" t="str">
        <f aca="false">IF($B99="","",الموظفون!$C99)</f>
        <v/>
      </c>
      <c r="D99" s="117" t="str">
        <f aca="false">IF($B99="","",الموظفون!$F99)</f>
        <v/>
      </c>
      <c r="E99" s="117" t="str">
        <f aca="false">IF($B99="","",الموظفون!$E99)</f>
        <v/>
      </c>
      <c r="F99" s="117" t="str">
        <f aca="false">IF($B99="","",IF(AK99=0,IF(AND(الموظفون!$AE99&lt;&gt;"",الموظفون!$AE99&lt;$E$3),"✖ منتهي الخدمة","⏳ لم يباشر"),IF(S99&gt;0,"✈ راتب إجازة مقدم",IF(J99=0,"⛔ بدون راتب هذا الشهر",IF(I99&gt;0,"✈ خصم "&amp;ROUND(I99,2)&amp;" يوم بدون أجر",IF(AL99&gt;0,"🌴 إجازة سنوية "&amp;ROUND(AL99,2)&amp;" يوم",IF(H99&gt;0,"⚠ غياب "&amp;ROUND(H99,2)&amp;" يوم","✔ على رأس العمل")))))))</f>
        <v/>
      </c>
      <c r="G99" s="156" t="str">
        <f aca="false">IF($B99="","",IF(AK99&gt;=DAY($F$3),cfg_DAYS_M,MIN(AK99,cfg_DAYS_M)))</f>
        <v/>
      </c>
      <c r="H99" s="156" t="str">
        <f aca="false">IF($B99="","",SUMIFS('الحركات الشهرية'!$D$6:$D$1005,'الحركات الشهرية'!$B$6:$B$1005,$B99,'الحركات الشهرية'!$A$6:$A$1005,$C$3))</f>
        <v/>
      </c>
      <c r="I99" s="156" t="str">
        <f aca="false">IF($B99="","",MIN(G99,IF(AND(AK99&gt;0,AN99&gt;=AK99),G99,AN99)+SUMIFS('الحركات الشهرية'!$E$6:$E$1005,'الحركات الشهرية'!$B$6:$B$1005,$B99,'الحركات الشهرية'!$A$6:$A$1005,$C$3)))</f>
        <v/>
      </c>
      <c r="J99" s="156" t="str">
        <f aca="false">IF($B99="","",MAX(0,G99-H99-I99))</f>
        <v/>
      </c>
      <c r="K99" s="116" t="str">
        <f aca="false">IF($B99="","",الموظفون!$L99*$J99/cfg_DAYS_M)</f>
        <v/>
      </c>
      <c r="L99" s="116" t="str">
        <f aca="false">IF($B99="","",الموظفون!$M99*$J99/cfg_DAYS_M)</f>
        <v/>
      </c>
      <c r="M99" s="116" t="str">
        <f aca="false">IF($B99="","",الموظفون!$N99*$J99/cfg_DAYS_M)</f>
        <v/>
      </c>
      <c r="N99" s="116" t="str">
        <f aca="false">IF($B99="","",الموظفون!$O99*$J99/cfg_DAYS_M)</f>
        <v/>
      </c>
      <c r="O99" s="156" t="str">
        <f aca="false">IF($B99="","",SUMIFS('الحركات الشهرية'!$F$6:$F$1005,'الحركات الشهرية'!$B$6:$B$1005,$B99,'الحركات الشهرية'!$A$6:$A$1005,$C$3))</f>
        <v/>
      </c>
      <c r="P99" s="116" t="str">
        <f aca="false">IF($B99="","",O99*(الموظفون!$P99+الموظفون!$L99*cfg_OT_P)/cfg_DAYS_M/cfg_HRS)</f>
        <v/>
      </c>
      <c r="Q99" s="116" t="str">
        <f aca="false">IF($B99="","",SUMIFS('الحركات الشهرية'!$G$6:$G$1005,'الحركات الشهرية'!$B$6:$B$1005,$B99,'الحركات الشهرية'!$A$6:$A$1005,$C$3))</f>
        <v/>
      </c>
      <c r="R99" s="116" t="str">
        <f aca="false">IF($B99="","",SUMIFS('الحركات الشهرية'!$H$6:$H$1005,'الحركات الشهرية'!$B$6:$B$1005,$B99,'الحركات الشهرية'!$A$6:$A$1005,$C$3))</f>
        <v/>
      </c>
      <c r="S99" s="116" t="str">
        <f aca="false">IF($B99="","",SUMIFS('سجل الإجازات والحالات'!$N$6:$N$505,'سجل الإجازات والحالات'!$B$6:$B$505,$B99,'سجل الإجازات والحالات'!$O$6:$O$505,$C$3))</f>
        <v/>
      </c>
      <c r="T99" s="157" t="str">
        <f aca="false">IF($B99="","",SUM(K99:N99)+SUM(P99:S99))</f>
        <v/>
      </c>
      <c r="U99" s="116" t="str">
        <f aca="false">IF($B99="","",الموظفون!$S99*IF(E99="سعودي",cfg_G_SE,cfg_G_NE)*G99/cfg_DAYS_M)</f>
        <v/>
      </c>
      <c r="V99" s="116" t="str">
        <f aca="false">IF($B99="","",SUMIFS('الحركات الشهرية'!$I$6:$I$1005,'الحركات الشهرية'!$B$6:$B$1005,$B99,'الحركات الشهرية'!$A$6:$A$1005,$C$3))</f>
        <v/>
      </c>
      <c r="W99" s="116" t="str">
        <f aca="false">IF($B99="","",SUMIFS('الحركات الشهرية'!$J$6:$J$1005,'الحركات الشهرية'!$B$6:$B$1005,$B99,'الحركات الشهرية'!$A$6:$A$1005,$C$3))</f>
        <v/>
      </c>
      <c r="X99" s="116" t="str">
        <f aca="false">IF($B99="","",SUM(U99:W99))</f>
        <v/>
      </c>
      <c r="Y99" s="158" t="str">
        <f aca="false">IF($B99="","",T99-X99)</f>
        <v/>
      </c>
      <c r="Z99" s="116" t="str">
        <f aca="false">IF($B99="","",الموظفون!$S99*IF(E99="سعودي",cfg_G_SR,cfg_G_NR)*G99/cfg_DAYS_M)</f>
        <v/>
      </c>
      <c r="AA99" s="116" t="str">
        <f aca="false">IF($B99="","",الموظفون!$Q99*(cfg_EOS_R1*(MIN(AH99,cfg_EOS_TH)-MIN(AI99,cfg_EOS_TH))+cfg_EOS_R2*(MAX(AH99-cfg_EOS_TH,0)-MAX(AI99-cfg_EOS_TH,0))))</f>
        <v/>
      </c>
      <c r="AB99" s="116" t="str">
        <f aca="false">IF($B99="","",IF(الموظفون!$T99&lt;&gt;"",الموظفون!$T99,IF(AH99&gt;=cfg_LV_TH,cfg_LV_D2,cfg_LV_D1))/cfg_DAYS_Y*AJ99*الموظفون!$R99/cfg_DAYS_M)</f>
        <v/>
      </c>
      <c r="AC99" s="116" t="str">
        <f aca="false">IF($B99="","",IF(AND(الموظفون!$U99="نعم",N(الموظفون!$W99)&gt;0),الموظفون!$V99/الموظفون!$W99*12/cfg_DAYS_Y*AJ99,0))</f>
        <v/>
      </c>
      <c r="AD99" s="116" t="str">
        <f aca="false">IF($B99="","",(IF(الموظفون!$X99&lt;&gt;"",الموظفون!$X99,IF(الموظفون!$E99="غير سعودي",cfg_IQ,0))+IF(الموظفون!$Y99&lt;&gt;"",الموظفون!$Y99,IF(الموظفون!$E99="غير سعودي",cfg_WP,0)))/12*G99/cfg_DAYS_M)</f>
        <v/>
      </c>
      <c r="AE99" s="116" t="str">
        <f aca="false">IF($B99="","",IF(الموظفون!$Z99&lt;&gt;"",الموظفون!$Z99,cfg_MED)/12*G99/cfg_DAYS_M)</f>
        <v/>
      </c>
      <c r="AF99" s="116" t="str">
        <f aca="false">IF($B99="","",N(الموظفون!$AA99)/12*G99/cfg_DAYS_M)</f>
        <v/>
      </c>
      <c r="AG99" s="159" t="str">
        <f aca="false">IF($B99="","",T99+SUM(Z99:AF99))</f>
        <v/>
      </c>
      <c r="AH99" s="160" t="str">
        <f aca="false">IF($B99="","",MAX(0,IF(OR(الموظفون!$AE99="",الموظفون!$AE99&gt;$F$3),$F$3,الموظفون!$AE99)-الموظفون!$H99+1-SUMIFS('سجل الإجازات والحالات'!$AK$6:$AK$505,'سجل الإجازات والحالات'!$B$6:$B$505,$B99))/cfg_DAYS_Y)</f>
        <v/>
      </c>
      <c r="AI99" s="160" t="str">
        <f aca="false">IF($B99="","",MAX(0,IF(OR(الموظفون!$AE99="",الموظفون!$AE99&gt;($E$3-1)),($E$3-1),الموظفون!$AE99)-الموظفون!$H99+1-SUMIFS('سجل الإجازات والحالات'!$AJ$6:$AJ$505,'سجل الإجازات والحالات'!$B$6:$B$505,$B99))/cfg_DAYS_Y)</f>
        <v/>
      </c>
      <c r="AJ99" s="133" t="str">
        <f aca="false">IF($B99="","",MAX(0,AK99-(SUMIFS('سجل الإجازات والحالات'!$AK$6:$AK$505,'سجل الإجازات والحالات'!$B$6:$B$505,$B99)-SUMIFS('سجل الإجازات والحالات'!$AJ$6:$AJ$505,'سجل الإجازات والحالات'!$B$6:$B$505,$B99))))</f>
        <v/>
      </c>
      <c r="AK99" s="133" t="str">
        <f aca="false">IF($B99="","",MAX(0,IF(OR(الموظفون!$AE99="",الموظفون!$AE99&gt;$F$3),$F$3,الموظفون!$AE99)-MAX($E$3,الموظفون!$H99)+1))</f>
        <v/>
      </c>
      <c r="AL99" s="156" t="str">
        <f aca="false">IF($B99="","",SUMIFS('سجل الإجازات والحالات'!$AW$6:$AW$505,'سجل الإجازات والحالات'!$B$6:$B$505,$B99)+SUMIFS('الحركات الشهرية'!$K$6:$K$1005,'الحركات الشهرية'!$B$6:$B$1005,$B99,'الحركات الشهرية'!$A$6:$A$1005,$C$3))</f>
        <v/>
      </c>
      <c r="AM99" s="116" t="str">
        <f aca="false">IF($B99="","",AL99*الموظفون!$R99/cfg_DAYS_M+S99)</f>
        <v/>
      </c>
      <c r="AN99" s="156" t="str">
        <f aca="false">IF($B99="","",SUMIFS('سجل الإجازات والحالات'!$Y$6:$Y$505,'سجل الإجازات والحالات'!$B$6:$B$505,$B99))</f>
        <v/>
      </c>
    </row>
    <row r="100" customFormat="false" ht="15" hidden="false" customHeight="false" outlineLevel="0" collapsed="false">
      <c r="A100" s="106" t="str">
        <f aca="false">IF($B100="","",الموظفون!$A100)</f>
        <v/>
      </c>
      <c r="B100" s="114" t="str">
        <f aca="false">IF(الموظفون!$B100="","",الموظفون!$B100)</f>
        <v/>
      </c>
      <c r="C100" s="114" t="str">
        <f aca="false">IF($B100="","",الموظفون!$C100)</f>
        <v/>
      </c>
      <c r="D100" s="114" t="str">
        <f aca="false">IF($B100="","",الموظفون!$F100)</f>
        <v/>
      </c>
      <c r="E100" s="114" t="str">
        <f aca="false">IF($B100="","",الموظفون!$E100)</f>
        <v/>
      </c>
      <c r="F100" s="114" t="str">
        <f aca="false">IF($B100="","",IF(AK100=0,IF(AND(الموظفون!$AE100&lt;&gt;"",الموظفون!$AE100&lt;$E$3),"✖ منتهي الخدمة","⏳ لم يباشر"),IF(S100&gt;0,"✈ راتب إجازة مقدم",IF(J100=0,"⛔ بدون راتب هذا الشهر",IF(I100&gt;0,"✈ خصم "&amp;ROUND(I100,2)&amp;" يوم بدون أجر",IF(AL100&gt;0,"🌴 إجازة سنوية "&amp;ROUND(AL100,2)&amp;" يوم",IF(H100&gt;0,"⚠ غياب "&amp;ROUND(H100,2)&amp;" يوم","✔ على رأس العمل")))))))</f>
        <v/>
      </c>
      <c r="G100" s="151" t="str">
        <f aca="false">IF($B100="","",IF(AK100&gt;=DAY($F$3),cfg_DAYS_M,MIN(AK100,cfg_DAYS_M)))</f>
        <v/>
      </c>
      <c r="H100" s="151" t="str">
        <f aca="false">IF($B100="","",SUMIFS('الحركات الشهرية'!$D$6:$D$1005,'الحركات الشهرية'!$B$6:$B$1005,$B100,'الحركات الشهرية'!$A$6:$A$1005,$C$3))</f>
        <v/>
      </c>
      <c r="I100" s="151" t="str">
        <f aca="false">IF($B100="","",MIN(G100,IF(AND(AK100&gt;0,AN100&gt;=AK100),G100,AN100)+SUMIFS('الحركات الشهرية'!$E$6:$E$1005,'الحركات الشهرية'!$B$6:$B$1005,$B100,'الحركات الشهرية'!$A$6:$A$1005,$C$3)))</f>
        <v/>
      </c>
      <c r="J100" s="151" t="str">
        <f aca="false">IF($B100="","",MAX(0,G100-H100-I100))</f>
        <v/>
      </c>
      <c r="K100" s="111" t="str">
        <f aca="false">IF($B100="","",الموظفون!$L100*$J100/cfg_DAYS_M)</f>
        <v/>
      </c>
      <c r="L100" s="111" t="str">
        <f aca="false">IF($B100="","",الموظفون!$M100*$J100/cfg_DAYS_M)</f>
        <v/>
      </c>
      <c r="M100" s="111" t="str">
        <f aca="false">IF($B100="","",الموظفون!$N100*$J100/cfg_DAYS_M)</f>
        <v/>
      </c>
      <c r="N100" s="111" t="str">
        <f aca="false">IF($B100="","",الموظفون!$O100*$J100/cfg_DAYS_M)</f>
        <v/>
      </c>
      <c r="O100" s="151" t="str">
        <f aca="false">IF($B100="","",SUMIFS('الحركات الشهرية'!$F$6:$F$1005,'الحركات الشهرية'!$B$6:$B$1005,$B100,'الحركات الشهرية'!$A$6:$A$1005,$C$3))</f>
        <v/>
      </c>
      <c r="P100" s="111" t="str">
        <f aca="false">IF($B100="","",O100*(الموظفون!$P100+الموظفون!$L100*cfg_OT_P)/cfg_DAYS_M/cfg_HRS)</f>
        <v/>
      </c>
      <c r="Q100" s="111" t="str">
        <f aca="false">IF($B100="","",SUMIFS('الحركات الشهرية'!$G$6:$G$1005,'الحركات الشهرية'!$B$6:$B$1005,$B100,'الحركات الشهرية'!$A$6:$A$1005,$C$3))</f>
        <v/>
      </c>
      <c r="R100" s="111" t="str">
        <f aca="false">IF($B100="","",SUMIFS('الحركات الشهرية'!$H$6:$H$1005,'الحركات الشهرية'!$B$6:$B$1005,$B100,'الحركات الشهرية'!$A$6:$A$1005,$C$3))</f>
        <v/>
      </c>
      <c r="S100" s="111" t="str">
        <f aca="false">IF($B100="","",SUMIFS('سجل الإجازات والحالات'!$N$6:$N$505,'سجل الإجازات والحالات'!$B$6:$B$505,$B100,'سجل الإجازات والحالات'!$O$6:$O$505,$C$3))</f>
        <v/>
      </c>
      <c r="T100" s="152" t="str">
        <f aca="false">IF($B100="","",SUM(K100:N100)+SUM(P100:S100))</f>
        <v/>
      </c>
      <c r="U100" s="111" t="str">
        <f aca="false">IF($B100="","",الموظفون!$S100*IF(E100="سعودي",cfg_G_SE,cfg_G_NE)*G100/cfg_DAYS_M)</f>
        <v/>
      </c>
      <c r="V100" s="111" t="str">
        <f aca="false">IF($B100="","",SUMIFS('الحركات الشهرية'!$I$6:$I$1005,'الحركات الشهرية'!$B$6:$B$1005,$B100,'الحركات الشهرية'!$A$6:$A$1005,$C$3))</f>
        <v/>
      </c>
      <c r="W100" s="111" t="str">
        <f aca="false">IF($B100="","",SUMIFS('الحركات الشهرية'!$J$6:$J$1005,'الحركات الشهرية'!$B$6:$B$1005,$B100,'الحركات الشهرية'!$A$6:$A$1005,$C$3))</f>
        <v/>
      </c>
      <c r="X100" s="111" t="str">
        <f aca="false">IF($B100="","",SUM(U100:W100))</f>
        <v/>
      </c>
      <c r="Y100" s="153" t="str">
        <f aca="false">IF($B100="","",T100-X100)</f>
        <v/>
      </c>
      <c r="Z100" s="111" t="str">
        <f aca="false">IF($B100="","",الموظفون!$S100*IF(E100="سعودي",cfg_G_SR,cfg_G_NR)*G100/cfg_DAYS_M)</f>
        <v/>
      </c>
      <c r="AA100" s="111" t="str">
        <f aca="false">IF($B100="","",الموظفون!$Q100*(cfg_EOS_R1*(MIN(AH100,cfg_EOS_TH)-MIN(AI100,cfg_EOS_TH))+cfg_EOS_R2*(MAX(AH100-cfg_EOS_TH,0)-MAX(AI100-cfg_EOS_TH,0))))</f>
        <v/>
      </c>
      <c r="AB100" s="111" t="str">
        <f aca="false">IF($B100="","",IF(الموظفون!$T100&lt;&gt;"",الموظفون!$T100,IF(AH100&gt;=cfg_LV_TH,cfg_LV_D2,cfg_LV_D1))/cfg_DAYS_Y*AJ100*الموظفون!$R100/cfg_DAYS_M)</f>
        <v/>
      </c>
      <c r="AC100" s="111" t="str">
        <f aca="false">IF($B100="","",IF(AND(الموظفون!$U100="نعم",N(الموظفون!$W100)&gt;0),الموظفون!$V100/الموظفون!$W100*12/cfg_DAYS_Y*AJ100,0))</f>
        <v/>
      </c>
      <c r="AD100" s="111" t="str">
        <f aca="false">IF($B100="","",(IF(الموظفون!$X100&lt;&gt;"",الموظفون!$X100,IF(الموظفون!$E100="غير سعودي",cfg_IQ,0))+IF(الموظفون!$Y100&lt;&gt;"",الموظفون!$Y100,IF(الموظفون!$E100="غير سعودي",cfg_WP,0)))/12*G100/cfg_DAYS_M)</f>
        <v/>
      </c>
      <c r="AE100" s="111" t="str">
        <f aca="false">IF($B100="","",IF(الموظفون!$Z100&lt;&gt;"",الموظفون!$Z100,cfg_MED)/12*G100/cfg_DAYS_M)</f>
        <v/>
      </c>
      <c r="AF100" s="111" t="str">
        <f aca="false">IF($B100="","",N(الموظفون!$AA100)/12*G100/cfg_DAYS_M)</f>
        <v/>
      </c>
      <c r="AG100" s="154" t="str">
        <f aca="false">IF($B100="","",T100+SUM(Z100:AF100))</f>
        <v/>
      </c>
      <c r="AH100" s="155" t="str">
        <f aca="false">IF($B100="","",MAX(0,IF(OR(الموظفون!$AE100="",الموظفون!$AE100&gt;$F$3),$F$3,الموظفون!$AE100)-الموظفون!$H100+1-SUMIFS('سجل الإجازات والحالات'!$AK$6:$AK$505,'سجل الإجازات والحالات'!$B$6:$B$505,$B100))/cfg_DAYS_Y)</f>
        <v/>
      </c>
      <c r="AI100" s="155" t="str">
        <f aca="false">IF($B100="","",MAX(0,IF(OR(الموظفون!$AE100="",الموظفون!$AE100&gt;($E$3-1)),($E$3-1),الموظفون!$AE100)-الموظفون!$H100+1-SUMIFS('سجل الإجازات والحالات'!$AJ$6:$AJ$505,'سجل الإجازات والحالات'!$B$6:$B$505,$B100))/cfg_DAYS_Y)</f>
        <v/>
      </c>
      <c r="AJ100" s="65" t="str">
        <f aca="false">IF($B100="","",MAX(0,AK100-(SUMIFS('سجل الإجازات والحالات'!$AK$6:$AK$505,'سجل الإجازات والحالات'!$B$6:$B$505,$B100)-SUMIFS('سجل الإجازات والحالات'!$AJ$6:$AJ$505,'سجل الإجازات والحالات'!$B$6:$B$505,$B100))))</f>
        <v/>
      </c>
      <c r="AK100" s="65" t="str">
        <f aca="false">IF($B100="","",MAX(0,IF(OR(الموظفون!$AE100="",الموظفون!$AE100&gt;$F$3),$F$3,الموظفون!$AE100)-MAX($E$3,الموظفون!$H100)+1))</f>
        <v/>
      </c>
      <c r="AL100" s="151" t="str">
        <f aca="false">IF($B100="","",SUMIFS('سجل الإجازات والحالات'!$AW$6:$AW$505,'سجل الإجازات والحالات'!$B$6:$B$505,$B100)+SUMIFS('الحركات الشهرية'!$K$6:$K$1005,'الحركات الشهرية'!$B$6:$B$1005,$B100,'الحركات الشهرية'!$A$6:$A$1005,$C$3))</f>
        <v/>
      </c>
      <c r="AM100" s="111" t="str">
        <f aca="false">IF($B100="","",AL100*الموظفون!$R100/cfg_DAYS_M+S100)</f>
        <v/>
      </c>
      <c r="AN100" s="151" t="str">
        <f aca="false">IF($B100="","",SUMIFS('سجل الإجازات والحالات'!$Y$6:$Y$505,'سجل الإجازات والحالات'!$B$6:$B$505,$B100))</f>
        <v/>
      </c>
    </row>
    <row r="101" customFormat="false" ht="15" hidden="false" customHeight="false" outlineLevel="0" collapsed="false">
      <c r="A101" s="115" t="str">
        <f aca="false">IF($B101="","",الموظفون!$A101)</f>
        <v/>
      </c>
      <c r="B101" s="117" t="str">
        <f aca="false">IF(الموظفون!$B101="","",الموظفون!$B101)</f>
        <v/>
      </c>
      <c r="C101" s="117" t="str">
        <f aca="false">IF($B101="","",الموظفون!$C101)</f>
        <v/>
      </c>
      <c r="D101" s="117" t="str">
        <f aca="false">IF($B101="","",الموظفون!$F101)</f>
        <v/>
      </c>
      <c r="E101" s="117" t="str">
        <f aca="false">IF($B101="","",الموظفون!$E101)</f>
        <v/>
      </c>
      <c r="F101" s="117" t="str">
        <f aca="false">IF($B101="","",IF(AK101=0,IF(AND(الموظفون!$AE101&lt;&gt;"",الموظفون!$AE101&lt;$E$3),"✖ منتهي الخدمة","⏳ لم يباشر"),IF(S101&gt;0,"✈ راتب إجازة مقدم",IF(J101=0,"⛔ بدون راتب هذا الشهر",IF(I101&gt;0,"✈ خصم "&amp;ROUND(I101,2)&amp;" يوم بدون أجر",IF(AL101&gt;0,"🌴 إجازة سنوية "&amp;ROUND(AL101,2)&amp;" يوم",IF(H101&gt;0,"⚠ غياب "&amp;ROUND(H101,2)&amp;" يوم","✔ على رأس العمل")))))))</f>
        <v/>
      </c>
      <c r="G101" s="156" t="str">
        <f aca="false">IF($B101="","",IF(AK101&gt;=DAY($F$3),cfg_DAYS_M,MIN(AK101,cfg_DAYS_M)))</f>
        <v/>
      </c>
      <c r="H101" s="156" t="str">
        <f aca="false">IF($B101="","",SUMIFS('الحركات الشهرية'!$D$6:$D$1005,'الحركات الشهرية'!$B$6:$B$1005,$B101,'الحركات الشهرية'!$A$6:$A$1005,$C$3))</f>
        <v/>
      </c>
      <c r="I101" s="156" t="str">
        <f aca="false">IF($B101="","",MIN(G101,IF(AND(AK101&gt;0,AN101&gt;=AK101),G101,AN101)+SUMIFS('الحركات الشهرية'!$E$6:$E$1005,'الحركات الشهرية'!$B$6:$B$1005,$B101,'الحركات الشهرية'!$A$6:$A$1005,$C$3)))</f>
        <v/>
      </c>
      <c r="J101" s="156" t="str">
        <f aca="false">IF($B101="","",MAX(0,G101-H101-I101))</f>
        <v/>
      </c>
      <c r="K101" s="116" t="str">
        <f aca="false">IF($B101="","",الموظفون!$L101*$J101/cfg_DAYS_M)</f>
        <v/>
      </c>
      <c r="L101" s="116" t="str">
        <f aca="false">IF($B101="","",الموظفون!$M101*$J101/cfg_DAYS_M)</f>
        <v/>
      </c>
      <c r="M101" s="116" t="str">
        <f aca="false">IF($B101="","",الموظفون!$N101*$J101/cfg_DAYS_M)</f>
        <v/>
      </c>
      <c r="N101" s="116" t="str">
        <f aca="false">IF($B101="","",الموظفون!$O101*$J101/cfg_DAYS_M)</f>
        <v/>
      </c>
      <c r="O101" s="156" t="str">
        <f aca="false">IF($B101="","",SUMIFS('الحركات الشهرية'!$F$6:$F$1005,'الحركات الشهرية'!$B$6:$B$1005,$B101,'الحركات الشهرية'!$A$6:$A$1005,$C$3))</f>
        <v/>
      </c>
      <c r="P101" s="116" t="str">
        <f aca="false">IF($B101="","",O101*(الموظفون!$P101+الموظفون!$L101*cfg_OT_P)/cfg_DAYS_M/cfg_HRS)</f>
        <v/>
      </c>
      <c r="Q101" s="116" t="str">
        <f aca="false">IF($B101="","",SUMIFS('الحركات الشهرية'!$G$6:$G$1005,'الحركات الشهرية'!$B$6:$B$1005,$B101,'الحركات الشهرية'!$A$6:$A$1005,$C$3))</f>
        <v/>
      </c>
      <c r="R101" s="116" t="str">
        <f aca="false">IF($B101="","",SUMIFS('الحركات الشهرية'!$H$6:$H$1005,'الحركات الشهرية'!$B$6:$B$1005,$B101,'الحركات الشهرية'!$A$6:$A$1005,$C$3))</f>
        <v/>
      </c>
      <c r="S101" s="116" t="str">
        <f aca="false">IF($B101="","",SUMIFS('سجل الإجازات والحالات'!$N$6:$N$505,'سجل الإجازات والحالات'!$B$6:$B$505,$B101,'سجل الإجازات والحالات'!$O$6:$O$505,$C$3))</f>
        <v/>
      </c>
      <c r="T101" s="157" t="str">
        <f aca="false">IF($B101="","",SUM(K101:N101)+SUM(P101:S101))</f>
        <v/>
      </c>
      <c r="U101" s="116" t="str">
        <f aca="false">IF($B101="","",الموظفون!$S101*IF(E101="سعودي",cfg_G_SE,cfg_G_NE)*G101/cfg_DAYS_M)</f>
        <v/>
      </c>
      <c r="V101" s="116" t="str">
        <f aca="false">IF($B101="","",SUMIFS('الحركات الشهرية'!$I$6:$I$1005,'الحركات الشهرية'!$B$6:$B$1005,$B101,'الحركات الشهرية'!$A$6:$A$1005,$C$3))</f>
        <v/>
      </c>
      <c r="W101" s="116" t="str">
        <f aca="false">IF($B101="","",SUMIFS('الحركات الشهرية'!$J$6:$J$1005,'الحركات الشهرية'!$B$6:$B$1005,$B101,'الحركات الشهرية'!$A$6:$A$1005,$C$3))</f>
        <v/>
      </c>
      <c r="X101" s="116" t="str">
        <f aca="false">IF($B101="","",SUM(U101:W101))</f>
        <v/>
      </c>
      <c r="Y101" s="158" t="str">
        <f aca="false">IF($B101="","",T101-X101)</f>
        <v/>
      </c>
      <c r="Z101" s="116" t="str">
        <f aca="false">IF($B101="","",الموظفون!$S101*IF(E101="سعودي",cfg_G_SR,cfg_G_NR)*G101/cfg_DAYS_M)</f>
        <v/>
      </c>
      <c r="AA101" s="116" t="str">
        <f aca="false">IF($B101="","",الموظفون!$Q101*(cfg_EOS_R1*(MIN(AH101,cfg_EOS_TH)-MIN(AI101,cfg_EOS_TH))+cfg_EOS_R2*(MAX(AH101-cfg_EOS_TH,0)-MAX(AI101-cfg_EOS_TH,0))))</f>
        <v/>
      </c>
      <c r="AB101" s="116" t="str">
        <f aca="false">IF($B101="","",IF(الموظفون!$T101&lt;&gt;"",الموظفون!$T101,IF(AH101&gt;=cfg_LV_TH,cfg_LV_D2,cfg_LV_D1))/cfg_DAYS_Y*AJ101*الموظفون!$R101/cfg_DAYS_M)</f>
        <v/>
      </c>
      <c r="AC101" s="116" t="str">
        <f aca="false">IF($B101="","",IF(AND(الموظفون!$U101="نعم",N(الموظفون!$W101)&gt;0),الموظفون!$V101/الموظفون!$W101*12/cfg_DAYS_Y*AJ101,0))</f>
        <v/>
      </c>
      <c r="AD101" s="116" t="str">
        <f aca="false">IF($B101="","",(IF(الموظفون!$X101&lt;&gt;"",الموظفون!$X101,IF(الموظفون!$E101="غير سعودي",cfg_IQ,0))+IF(الموظفون!$Y101&lt;&gt;"",الموظفون!$Y101,IF(الموظفون!$E101="غير سعودي",cfg_WP,0)))/12*G101/cfg_DAYS_M)</f>
        <v/>
      </c>
      <c r="AE101" s="116" t="str">
        <f aca="false">IF($B101="","",IF(الموظفون!$Z101&lt;&gt;"",الموظفون!$Z101,cfg_MED)/12*G101/cfg_DAYS_M)</f>
        <v/>
      </c>
      <c r="AF101" s="116" t="str">
        <f aca="false">IF($B101="","",N(الموظفون!$AA101)/12*G101/cfg_DAYS_M)</f>
        <v/>
      </c>
      <c r="AG101" s="159" t="str">
        <f aca="false">IF($B101="","",T101+SUM(Z101:AF101))</f>
        <v/>
      </c>
      <c r="AH101" s="160" t="str">
        <f aca="false">IF($B101="","",MAX(0,IF(OR(الموظفون!$AE101="",الموظفون!$AE101&gt;$F$3),$F$3,الموظفون!$AE101)-الموظفون!$H101+1-SUMIFS('سجل الإجازات والحالات'!$AK$6:$AK$505,'سجل الإجازات والحالات'!$B$6:$B$505,$B101))/cfg_DAYS_Y)</f>
        <v/>
      </c>
      <c r="AI101" s="160" t="str">
        <f aca="false">IF($B101="","",MAX(0,IF(OR(الموظفون!$AE101="",الموظفون!$AE101&gt;($E$3-1)),($E$3-1),الموظفون!$AE101)-الموظفون!$H101+1-SUMIFS('سجل الإجازات والحالات'!$AJ$6:$AJ$505,'سجل الإجازات والحالات'!$B$6:$B$505,$B101))/cfg_DAYS_Y)</f>
        <v/>
      </c>
      <c r="AJ101" s="133" t="str">
        <f aca="false">IF($B101="","",MAX(0,AK101-(SUMIFS('سجل الإجازات والحالات'!$AK$6:$AK$505,'سجل الإجازات والحالات'!$B$6:$B$505,$B101)-SUMIFS('سجل الإجازات والحالات'!$AJ$6:$AJ$505,'سجل الإجازات والحالات'!$B$6:$B$505,$B101))))</f>
        <v/>
      </c>
      <c r="AK101" s="133" t="str">
        <f aca="false">IF($B101="","",MAX(0,IF(OR(الموظفون!$AE101="",الموظفون!$AE101&gt;$F$3),$F$3,الموظفون!$AE101)-MAX($E$3,الموظفون!$H101)+1))</f>
        <v/>
      </c>
      <c r="AL101" s="156" t="str">
        <f aca="false">IF($B101="","",SUMIFS('سجل الإجازات والحالات'!$AW$6:$AW$505,'سجل الإجازات والحالات'!$B$6:$B$505,$B101)+SUMIFS('الحركات الشهرية'!$K$6:$K$1005,'الحركات الشهرية'!$B$6:$B$1005,$B101,'الحركات الشهرية'!$A$6:$A$1005,$C$3))</f>
        <v/>
      </c>
      <c r="AM101" s="116" t="str">
        <f aca="false">IF($B101="","",AL101*الموظفون!$R101/cfg_DAYS_M+S101)</f>
        <v/>
      </c>
      <c r="AN101" s="156" t="str">
        <f aca="false">IF($B101="","",SUMIFS('سجل الإجازات والحالات'!$Y$6:$Y$505,'سجل الإجازات والحالات'!$B$6:$B$505,$B101))</f>
        <v/>
      </c>
    </row>
    <row r="102" customFormat="false" ht="15" hidden="false" customHeight="false" outlineLevel="0" collapsed="false">
      <c r="A102" s="106" t="str">
        <f aca="false">IF($B102="","",الموظفون!$A102)</f>
        <v/>
      </c>
      <c r="B102" s="114" t="str">
        <f aca="false">IF(الموظفون!$B102="","",الموظفون!$B102)</f>
        <v/>
      </c>
      <c r="C102" s="114" t="str">
        <f aca="false">IF($B102="","",الموظفون!$C102)</f>
        <v/>
      </c>
      <c r="D102" s="114" t="str">
        <f aca="false">IF($B102="","",الموظفون!$F102)</f>
        <v/>
      </c>
      <c r="E102" s="114" t="str">
        <f aca="false">IF($B102="","",الموظفون!$E102)</f>
        <v/>
      </c>
      <c r="F102" s="114" t="str">
        <f aca="false">IF($B102="","",IF(AK102=0,IF(AND(الموظفون!$AE102&lt;&gt;"",الموظفون!$AE102&lt;$E$3),"✖ منتهي الخدمة","⏳ لم يباشر"),IF(S102&gt;0,"✈ راتب إجازة مقدم",IF(J102=0,"⛔ بدون راتب هذا الشهر",IF(I102&gt;0,"✈ خصم "&amp;ROUND(I102,2)&amp;" يوم بدون أجر",IF(AL102&gt;0,"🌴 إجازة سنوية "&amp;ROUND(AL102,2)&amp;" يوم",IF(H102&gt;0,"⚠ غياب "&amp;ROUND(H102,2)&amp;" يوم","✔ على رأس العمل")))))))</f>
        <v/>
      </c>
      <c r="G102" s="151" t="str">
        <f aca="false">IF($B102="","",IF(AK102&gt;=DAY($F$3),cfg_DAYS_M,MIN(AK102,cfg_DAYS_M)))</f>
        <v/>
      </c>
      <c r="H102" s="151" t="str">
        <f aca="false">IF($B102="","",SUMIFS('الحركات الشهرية'!$D$6:$D$1005,'الحركات الشهرية'!$B$6:$B$1005,$B102,'الحركات الشهرية'!$A$6:$A$1005,$C$3))</f>
        <v/>
      </c>
      <c r="I102" s="151" t="str">
        <f aca="false">IF($B102="","",MIN(G102,IF(AND(AK102&gt;0,AN102&gt;=AK102),G102,AN102)+SUMIFS('الحركات الشهرية'!$E$6:$E$1005,'الحركات الشهرية'!$B$6:$B$1005,$B102,'الحركات الشهرية'!$A$6:$A$1005,$C$3)))</f>
        <v/>
      </c>
      <c r="J102" s="151" t="str">
        <f aca="false">IF($B102="","",MAX(0,G102-H102-I102))</f>
        <v/>
      </c>
      <c r="K102" s="111" t="str">
        <f aca="false">IF($B102="","",الموظفون!$L102*$J102/cfg_DAYS_M)</f>
        <v/>
      </c>
      <c r="L102" s="111" t="str">
        <f aca="false">IF($B102="","",الموظفون!$M102*$J102/cfg_DAYS_M)</f>
        <v/>
      </c>
      <c r="M102" s="111" t="str">
        <f aca="false">IF($B102="","",الموظفون!$N102*$J102/cfg_DAYS_M)</f>
        <v/>
      </c>
      <c r="N102" s="111" t="str">
        <f aca="false">IF($B102="","",الموظفون!$O102*$J102/cfg_DAYS_M)</f>
        <v/>
      </c>
      <c r="O102" s="151" t="str">
        <f aca="false">IF($B102="","",SUMIFS('الحركات الشهرية'!$F$6:$F$1005,'الحركات الشهرية'!$B$6:$B$1005,$B102,'الحركات الشهرية'!$A$6:$A$1005,$C$3))</f>
        <v/>
      </c>
      <c r="P102" s="111" t="str">
        <f aca="false">IF($B102="","",O102*(الموظفون!$P102+الموظفون!$L102*cfg_OT_P)/cfg_DAYS_M/cfg_HRS)</f>
        <v/>
      </c>
      <c r="Q102" s="111" t="str">
        <f aca="false">IF($B102="","",SUMIFS('الحركات الشهرية'!$G$6:$G$1005,'الحركات الشهرية'!$B$6:$B$1005,$B102,'الحركات الشهرية'!$A$6:$A$1005,$C$3))</f>
        <v/>
      </c>
      <c r="R102" s="111" t="str">
        <f aca="false">IF($B102="","",SUMIFS('الحركات الشهرية'!$H$6:$H$1005,'الحركات الشهرية'!$B$6:$B$1005,$B102,'الحركات الشهرية'!$A$6:$A$1005,$C$3))</f>
        <v/>
      </c>
      <c r="S102" s="111" t="str">
        <f aca="false">IF($B102="","",SUMIFS('سجل الإجازات والحالات'!$N$6:$N$505,'سجل الإجازات والحالات'!$B$6:$B$505,$B102,'سجل الإجازات والحالات'!$O$6:$O$505,$C$3))</f>
        <v/>
      </c>
      <c r="T102" s="152" t="str">
        <f aca="false">IF($B102="","",SUM(K102:N102)+SUM(P102:S102))</f>
        <v/>
      </c>
      <c r="U102" s="111" t="str">
        <f aca="false">IF($B102="","",الموظفون!$S102*IF(E102="سعودي",cfg_G_SE,cfg_G_NE)*G102/cfg_DAYS_M)</f>
        <v/>
      </c>
      <c r="V102" s="111" t="str">
        <f aca="false">IF($B102="","",SUMIFS('الحركات الشهرية'!$I$6:$I$1005,'الحركات الشهرية'!$B$6:$B$1005,$B102,'الحركات الشهرية'!$A$6:$A$1005,$C$3))</f>
        <v/>
      </c>
      <c r="W102" s="111" t="str">
        <f aca="false">IF($B102="","",SUMIFS('الحركات الشهرية'!$J$6:$J$1005,'الحركات الشهرية'!$B$6:$B$1005,$B102,'الحركات الشهرية'!$A$6:$A$1005,$C$3))</f>
        <v/>
      </c>
      <c r="X102" s="111" t="str">
        <f aca="false">IF($B102="","",SUM(U102:W102))</f>
        <v/>
      </c>
      <c r="Y102" s="153" t="str">
        <f aca="false">IF($B102="","",T102-X102)</f>
        <v/>
      </c>
      <c r="Z102" s="111" t="str">
        <f aca="false">IF($B102="","",الموظفون!$S102*IF(E102="سعودي",cfg_G_SR,cfg_G_NR)*G102/cfg_DAYS_M)</f>
        <v/>
      </c>
      <c r="AA102" s="111" t="str">
        <f aca="false">IF($B102="","",الموظفون!$Q102*(cfg_EOS_R1*(MIN(AH102,cfg_EOS_TH)-MIN(AI102,cfg_EOS_TH))+cfg_EOS_R2*(MAX(AH102-cfg_EOS_TH,0)-MAX(AI102-cfg_EOS_TH,0))))</f>
        <v/>
      </c>
      <c r="AB102" s="111" t="str">
        <f aca="false">IF($B102="","",IF(الموظفون!$T102&lt;&gt;"",الموظفون!$T102,IF(AH102&gt;=cfg_LV_TH,cfg_LV_D2,cfg_LV_D1))/cfg_DAYS_Y*AJ102*الموظفون!$R102/cfg_DAYS_M)</f>
        <v/>
      </c>
      <c r="AC102" s="111" t="str">
        <f aca="false">IF($B102="","",IF(AND(الموظفون!$U102="نعم",N(الموظفون!$W102)&gt;0),الموظفون!$V102/الموظفون!$W102*12/cfg_DAYS_Y*AJ102,0))</f>
        <v/>
      </c>
      <c r="AD102" s="111" t="str">
        <f aca="false">IF($B102="","",(IF(الموظفون!$X102&lt;&gt;"",الموظفون!$X102,IF(الموظفون!$E102="غير سعودي",cfg_IQ,0))+IF(الموظفون!$Y102&lt;&gt;"",الموظفون!$Y102,IF(الموظفون!$E102="غير سعودي",cfg_WP,0)))/12*G102/cfg_DAYS_M)</f>
        <v/>
      </c>
      <c r="AE102" s="111" t="str">
        <f aca="false">IF($B102="","",IF(الموظفون!$Z102&lt;&gt;"",الموظفون!$Z102,cfg_MED)/12*G102/cfg_DAYS_M)</f>
        <v/>
      </c>
      <c r="AF102" s="111" t="str">
        <f aca="false">IF($B102="","",N(الموظفون!$AA102)/12*G102/cfg_DAYS_M)</f>
        <v/>
      </c>
      <c r="AG102" s="154" t="str">
        <f aca="false">IF($B102="","",T102+SUM(Z102:AF102))</f>
        <v/>
      </c>
      <c r="AH102" s="155" t="str">
        <f aca="false">IF($B102="","",MAX(0,IF(OR(الموظفون!$AE102="",الموظفون!$AE102&gt;$F$3),$F$3,الموظفون!$AE102)-الموظفون!$H102+1-SUMIFS('سجل الإجازات والحالات'!$AK$6:$AK$505,'سجل الإجازات والحالات'!$B$6:$B$505,$B102))/cfg_DAYS_Y)</f>
        <v/>
      </c>
      <c r="AI102" s="155" t="str">
        <f aca="false">IF($B102="","",MAX(0,IF(OR(الموظفون!$AE102="",الموظفون!$AE102&gt;($E$3-1)),($E$3-1),الموظفون!$AE102)-الموظفون!$H102+1-SUMIFS('سجل الإجازات والحالات'!$AJ$6:$AJ$505,'سجل الإجازات والحالات'!$B$6:$B$505,$B102))/cfg_DAYS_Y)</f>
        <v/>
      </c>
      <c r="AJ102" s="65" t="str">
        <f aca="false">IF($B102="","",MAX(0,AK102-(SUMIFS('سجل الإجازات والحالات'!$AK$6:$AK$505,'سجل الإجازات والحالات'!$B$6:$B$505,$B102)-SUMIFS('سجل الإجازات والحالات'!$AJ$6:$AJ$505,'سجل الإجازات والحالات'!$B$6:$B$505,$B102))))</f>
        <v/>
      </c>
      <c r="AK102" s="65" t="str">
        <f aca="false">IF($B102="","",MAX(0,IF(OR(الموظفون!$AE102="",الموظفون!$AE102&gt;$F$3),$F$3,الموظفون!$AE102)-MAX($E$3,الموظفون!$H102)+1))</f>
        <v/>
      </c>
      <c r="AL102" s="151" t="str">
        <f aca="false">IF($B102="","",SUMIFS('سجل الإجازات والحالات'!$AW$6:$AW$505,'سجل الإجازات والحالات'!$B$6:$B$505,$B102)+SUMIFS('الحركات الشهرية'!$K$6:$K$1005,'الحركات الشهرية'!$B$6:$B$1005,$B102,'الحركات الشهرية'!$A$6:$A$1005,$C$3))</f>
        <v/>
      </c>
      <c r="AM102" s="111" t="str">
        <f aca="false">IF($B102="","",AL102*الموظفون!$R102/cfg_DAYS_M+S102)</f>
        <v/>
      </c>
      <c r="AN102" s="151" t="str">
        <f aca="false">IF($B102="","",SUMIFS('سجل الإجازات والحالات'!$Y$6:$Y$505,'سجل الإجازات والحالات'!$B$6:$B$505,$B102))</f>
        <v/>
      </c>
    </row>
    <row r="103" customFormat="false" ht="15" hidden="false" customHeight="false" outlineLevel="0" collapsed="false">
      <c r="A103" s="115" t="str">
        <f aca="false">IF($B103="","",الموظفون!$A103)</f>
        <v/>
      </c>
      <c r="B103" s="117" t="str">
        <f aca="false">IF(الموظفون!$B103="","",الموظفون!$B103)</f>
        <v/>
      </c>
      <c r="C103" s="117" t="str">
        <f aca="false">IF($B103="","",الموظفون!$C103)</f>
        <v/>
      </c>
      <c r="D103" s="117" t="str">
        <f aca="false">IF($B103="","",الموظفون!$F103)</f>
        <v/>
      </c>
      <c r="E103" s="117" t="str">
        <f aca="false">IF($B103="","",الموظفون!$E103)</f>
        <v/>
      </c>
      <c r="F103" s="117" t="str">
        <f aca="false">IF($B103="","",IF(AK103=0,IF(AND(الموظفون!$AE103&lt;&gt;"",الموظفون!$AE103&lt;$E$3),"✖ منتهي الخدمة","⏳ لم يباشر"),IF(S103&gt;0,"✈ راتب إجازة مقدم",IF(J103=0,"⛔ بدون راتب هذا الشهر",IF(I103&gt;0,"✈ خصم "&amp;ROUND(I103,2)&amp;" يوم بدون أجر",IF(AL103&gt;0,"🌴 إجازة سنوية "&amp;ROUND(AL103,2)&amp;" يوم",IF(H103&gt;0,"⚠ غياب "&amp;ROUND(H103,2)&amp;" يوم","✔ على رأس العمل")))))))</f>
        <v/>
      </c>
      <c r="G103" s="156" t="str">
        <f aca="false">IF($B103="","",IF(AK103&gt;=DAY($F$3),cfg_DAYS_M,MIN(AK103,cfg_DAYS_M)))</f>
        <v/>
      </c>
      <c r="H103" s="156" t="str">
        <f aca="false">IF($B103="","",SUMIFS('الحركات الشهرية'!$D$6:$D$1005,'الحركات الشهرية'!$B$6:$B$1005,$B103,'الحركات الشهرية'!$A$6:$A$1005,$C$3))</f>
        <v/>
      </c>
      <c r="I103" s="156" t="str">
        <f aca="false">IF($B103="","",MIN(G103,IF(AND(AK103&gt;0,AN103&gt;=AK103),G103,AN103)+SUMIFS('الحركات الشهرية'!$E$6:$E$1005,'الحركات الشهرية'!$B$6:$B$1005,$B103,'الحركات الشهرية'!$A$6:$A$1005,$C$3)))</f>
        <v/>
      </c>
      <c r="J103" s="156" t="str">
        <f aca="false">IF($B103="","",MAX(0,G103-H103-I103))</f>
        <v/>
      </c>
      <c r="K103" s="116" t="str">
        <f aca="false">IF($B103="","",الموظفون!$L103*$J103/cfg_DAYS_M)</f>
        <v/>
      </c>
      <c r="L103" s="116" t="str">
        <f aca="false">IF($B103="","",الموظفون!$M103*$J103/cfg_DAYS_M)</f>
        <v/>
      </c>
      <c r="M103" s="116" t="str">
        <f aca="false">IF($B103="","",الموظفون!$N103*$J103/cfg_DAYS_M)</f>
        <v/>
      </c>
      <c r="N103" s="116" t="str">
        <f aca="false">IF($B103="","",الموظفون!$O103*$J103/cfg_DAYS_M)</f>
        <v/>
      </c>
      <c r="O103" s="156" t="str">
        <f aca="false">IF($B103="","",SUMIFS('الحركات الشهرية'!$F$6:$F$1005,'الحركات الشهرية'!$B$6:$B$1005,$B103,'الحركات الشهرية'!$A$6:$A$1005,$C$3))</f>
        <v/>
      </c>
      <c r="P103" s="116" t="str">
        <f aca="false">IF($B103="","",O103*(الموظفون!$P103+الموظفون!$L103*cfg_OT_P)/cfg_DAYS_M/cfg_HRS)</f>
        <v/>
      </c>
      <c r="Q103" s="116" t="str">
        <f aca="false">IF($B103="","",SUMIFS('الحركات الشهرية'!$G$6:$G$1005,'الحركات الشهرية'!$B$6:$B$1005,$B103,'الحركات الشهرية'!$A$6:$A$1005,$C$3))</f>
        <v/>
      </c>
      <c r="R103" s="116" t="str">
        <f aca="false">IF($B103="","",SUMIFS('الحركات الشهرية'!$H$6:$H$1005,'الحركات الشهرية'!$B$6:$B$1005,$B103,'الحركات الشهرية'!$A$6:$A$1005,$C$3))</f>
        <v/>
      </c>
      <c r="S103" s="116" t="str">
        <f aca="false">IF($B103="","",SUMIFS('سجل الإجازات والحالات'!$N$6:$N$505,'سجل الإجازات والحالات'!$B$6:$B$505,$B103,'سجل الإجازات والحالات'!$O$6:$O$505,$C$3))</f>
        <v/>
      </c>
      <c r="T103" s="157" t="str">
        <f aca="false">IF($B103="","",SUM(K103:N103)+SUM(P103:S103))</f>
        <v/>
      </c>
      <c r="U103" s="116" t="str">
        <f aca="false">IF($B103="","",الموظفون!$S103*IF(E103="سعودي",cfg_G_SE,cfg_G_NE)*G103/cfg_DAYS_M)</f>
        <v/>
      </c>
      <c r="V103" s="116" t="str">
        <f aca="false">IF($B103="","",SUMIFS('الحركات الشهرية'!$I$6:$I$1005,'الحركات الشهرية'!$B$6:$B$1005,$B103,'الحركات الشهرية'!$A$6:$A$1005,$C$3))</f>
        <v/>
      </c>
      <c r="W103" s="116" t="str">
        <f aca="false">IF($B103="","",SUMIFS('الحركات الشهرية'!$J$6:$J$1005,'الحركات الشهرية'!$B$6:$B$1005,$B103,'الحركات الشهرية'!$A$6:$A$1005,$C$3))</f>
        <v/>
      </c>
      <c r="X103" s="116" t="str">
        <f aca="false">IF($B103="","",SUM(U103:W103))</f>
        <v/>
      </c>
      <c r="Y103" s="158" t="str">
        <f aca="false">IF($B103="","",T103-X103)</f>
        <v/>
      </c>
      <c r="Z103" s="116" t="str">
        <f aca="false">IF($B103="","",الموظفون!$S103*IF(E103="سعودي",cfg_G_SR,cfg_G_NR)*G103/cfg_DAYS_M)</f>
        <v/>
      </c>
      <c r="AA103" s="116" t="str">
        <f aca="false">IF($B103="","",الموظفون!$Q103*(cfg_EOS_R1*(MIN(AH103,cfg_EOS_TH)-MIN(AI103,cfg_EOS_TH))+cfg_EOS_R2*(MAX(AH103-cfg_EOS_TH,0)-MAX(AI103-cfg_EOS_TH,0))))</f>
        <v/>
      </c>
      <c r="AB103" s="116" t="str">
        <f aca="false">IF($B103="","",IF(الموظفون!$T103&lt;&gt;"",الموظفون!$T103,IF(AH103&gt;=cfg_LV_TH,cfg_LV_D2,cfg_LV_D1))/cfg_DAYS_Y*AJ103*الموظفون!$R103/cfg_DAYS_M)</f>
        <v/>
      </c>
      <c r="AC103" s="116" t="str">
        <f aca="false">IF($B103="","",IF(AND(الموظفون!$U103="نعم",N(الموظفون!$W103)&gt;0),الموظفون!$V103/الموظفون!$W103*12/cfg_DAYS_Y*AJ103,0))</f>
        <v/>
      </c>
      <c r="AD103" s="116" t="str">
        <f aca="false">IF($B103="","",(IF(الموظفون!$X103&lt;&gt;"",الموظفون!$X103,IF(الموظفون!$E103="غير سعودي",cfg_IQ,0))+IF(الموظفون!$Y103&lt;&gt;"",الموظفون!$Y103,IF(الموظفون!$E103="غير سعودي",cfg_WP,0)))/12*G103/cfg_DAYS_M)</f>
        <v/>
      </c>
      <c r="AE103" s="116" t="str">
        <f aca="false">IF($B103="","",IF(الموظفون!$Z103&lt;&gt;"",الموظفون!$Z103,cfg_MED)/12*G103/cfg_DAYS_M)</f>
        <v/>
      </c>
      <c r="AF103" s="116" t="str">
        <f aca="false">IF($B103="","",N(الموظفون!$AA103)/12*G103/cfg_DAYS_M)</f>
        <v/>
      </c>
      <c r="AG103" s="159" t="str">
        <f aca="false">IF($B103="","",T103+SUM(Z103:AF103))</f>
        <v/>
      </c>
      <c r="AH103" s="160" t="str">
        <f aca="false">IF($B103="","",MAX(0,IF(OR(الموظفون!$AE103="",الموظفون!$AE103&gt;$F$3),$F$3,الموظفون!$AE103)-الموظفون!$H103+1-SUMIFS('سجل الإجازات والحالات'!$AK$6:$AK$505,'سجل الإجازات والحالات'!$B$6:$B$505,$B103))/cfg_DAYS_Y)</f>
        <v/>
      </c>
      <c r="AI103" s="160" t="str">
        <f aca="false">IF($B103="","",MAX(0,IF(OR(الموظفون!$AE103="",الموظفون!$AE103&gt;($E$3-1)),($E$3-1),الموظفون!$AE103)-الموظفون!$H103+1-SUMIFS('سجل الإجازات والحالات'!$AJ$6:$AJ$505,'سجل الإجازات والحالات'!$B$6:$B$505,$B103))/cfg_DAYS_Y)</f>
        <v/>
      </c>
      <c r="AJ103" s="133" t="str">
        <f aca="false">IF($B103="","",MAX(0,AK103-(SUMIFS('سجل الإجازات والحالات'!$AK$6:$AK$505,'سجل الإجازات والحالات'!$B$6:$B$505,$B103)-SUMIFS('سجل الإجازات والحالات'!$AJ$6:$AJ$505,'سجل الإجازات والحالات'!$B$6:$B$505,$B103))))</f>
        <v/>
      </c>
      <c r="AK103" s="133" t="str">
        <f aca="false">IF($B103="","",MAX(0,IF(OR(الموظفون!$AE103="",الموظفون!$AE103&gt;$F$3),$F$3,الموظفون!$AE103)-MAX($E$3,الموظفون!$H103)+1))</f>
        <v/>
      </c>
      <c r="AL103" s="156" t="str">
        <f aca="false">IF($B103="","",SUMIFS('سجل الإجازات والحالات'!$AW$6:$AW$505,'سجل الإجازات والحالات'!$B$6:$B$505,$B103)+SUMIFS('الحركات الشهرية'!$K$6:$K$1005,'الحركات الشهرية'!$B$6:$B$1005,$B103,'الحركات الشهرية'!$A$6:$A$1005,$C$3))</f>
        <v/>
      </c>
      <c r="AM103" s="116" t="str">
        <f aca="false">IF($B103="","",AL103*الموظفون!$R103/cfg_DAYS_M+S103)</f>
        <v/>
      </c>
      <c r="AN103" s="156" t="str">
        <f aca="false">IF($B103="","",SUMIFS('سجل الإجازات والحالات'!$Y$6:$Y$505,'سجل الإجازات والحالات'!$B$6:$B$505,$B103))</f>
        <v/>
      </c>
    </row>
    <row r="104" customFormat="false" ht="15" hidden="false" customHeight="false" outlineLevel="0" collapsed="false">
      <c r="A104" s="106" t="str">
        <f aca="false">IF($B104="","",الموظفون!$A104)</f>
        <v/>
      </c>
      <c r="B104" s="114" t="str">
        <f aca="false">IF(الموظفون!$B104="","",الموظفون!$B104)</f>
        <v/>
      </c>
      <c r="C104" s="114" t="str">
        <f aca="false">IF($B104="","",الموظفون!$C104)</f>
        <v/>
      </c>
      <c r="D104" s="114" t="str">
        <f aca="false">IF($B104="","",الموظفون!$F104)</f>
        <v/>
      </c>
      <c r="E104" s="114" t="str">
        <f aca="false">IF($B104="","",الموظفون!$E104)</f>
        <v/>
      </c>
      <c r="F104" s="114" t="str">
        <f aca="false">IF($B104="","",IF(AK104=0,IF(AND(الموظفون!$AE104&lt;&gt;"",الموظفون!$AE104&lt;$E$3),"✖ منتهي الخدمة","⏳ لم يباشر"),IF(S104&gt;0,"✈ راتب إجازة مقدم",IF(J104=0,"⛔ بدون راتب هذا الشهر",IF(I104&gt;0,"✈ خصم "&amp;ROUND(I104,2)&amp;" يوم بدون أجر",IF(AL104&gt;0,"🌴 إجازة سنوية "&amp;ROUND(AL104,2)&amp;" يوم",IF(H104&gt;0,"⚠ غياب "&amp;ROUND(H104,2)&amp;" يوم","✔ على رأس العمل")))))))</f>
        <v/>
      </c>
      <c r="G104" s="151" t="str">
        <f aca="false">IF($B104="","",IF(AK104&gt;=DAY($F$3),cfg_DAYS_M,MIN(AK104,cfg_DAYS_M)))</f>
        <v/>
      </c>
      <c r="H104" s="151" t="str">
        <f aca="false">IF($B104="","",SUMIFS('الحركات الشهرية'!$D$6:$D$1005,'الحركات الشهرية'!$B$6:$B$1005,$B104,'الحركات الشهرية'!$A$6:$A$1005,$C$3))</f>
        <v/>
      </c>
      <c r="I104" s="151" t="str">
        <f aca="false">IF($B104="","",MIN(G104,IF(AND(AK104&gt;0,AN104&gt;=AK104),G104,AN104)+SUMIFS('الحركات الشهرية'!$E$6:$E$1005,'الحركات الشهرية'!$B$6:$B$1005,$B104,'الحركات الشهرية'!$A$6:$A$1005,$C$3)))</f>
        <v/>
      </c>
      <c r="J104" s="151" t="str">
        <f aca="false">IF($B104="","",MAX(0,G104-H104-I104))</f>
        <v/>
      </c>
      <c r="K104" s="111" t="str">
        <f aca="false">IF($B104="","",الموظفون!$L104*$J104/cfg_DAYS_M)</f>
        <v/>
      </c>
      <c r="L104" s="111" t="str">
        <f aca="false">IF($B104="","",الموظفون!$M104*$J104/cfg_DAYS_M)</f>
        <v/>
      </c>
      <c r="M104" s="111" t="str">
        <f aca="false">IF($B104="","",الموظفون!$N104*$J104/cfg_DAYS_M)</f>
        <v/>
      </c>
      <c r="N104" s="111" t="str">
        <f aca="false">IF($B104="","",الموظفون!$O104*$J104/cfg_DAYS_M)</f>
        <v/>
      </c>
      <c r="O104" s="151" t="str">
        <f aca="false">IF($B104="","",SUMIFS('الحركات الشهرية'!$F$6:$F$1005,'الحركات الشهرية'!$B$6:$B$1005,$B104,'الحركات الشهرية'!$A$6:$A$1005,$C$3))</f>
        <v/>
      </c>
      <c r="P104" s="111" t="str">
        <f aca="false">IF($B104="","",O104*(الموظفون!$P104+الموظفون!$L104*cfg_OT_P)/cfg_DAYS_M/cfg_HRS)</f>
        <v/>
      </c>
      <c r="Q104" s="111" t="str">
        <f aca="false">IF($B104="","",SUMIFS('الحركات الشهرية'!$G$6:$G$1005,'الحركات الشهرية'!$B$6:$B$1005,$B104,'الحركات الشهرية'!$A$6:$A$1005,$C$3))</f>
        <v/>
      </c>
      <c r="R104" s="111" t="str">
        <f aca="false">IF($B104="","",SUMIFS('الحركات الشهرية'!$H$6:$H$1005,'الحركات الشهرية'!$B$6:$B$1005,$B104,'الحركات الشهرية'!$A$6:$A$1005,$C$3))</f>
        <v/>
      </c>
      <c r="S104" s="111" t="str">
        <f aca="false">IF($B104="","",SUMIFS('سجل الإجازات والحالات'!$N$6:$N$505,'سجل الإجازات والحالات'!$B$6:$B$505,$B104,'سجل الإجازات والحالات'!$O$6:$O$505,$C$3))</f>
        <v/>
      </c>
      <c r="T104" s="152" t="str">
        <f aca="false">IF($B104="","",SUM(K104:N104)+SUM(P104:S104))</f>
        <v/>
      </c>
      <c r="U104" s="111" t="str">
        <f aca="false">IF($B104="","",الموظفون!$S104*IF(E104="سعودي",cfg_G_SE,cfg_G_NE)*G104/cfg_DAYS_M)</f>
        <v/>
      </c>
      <c r="V104" s="111" t="str">
        <f aca="false">IF($B104="","",SUMIFS('الحركات الشهرية'!$I$6:$I$1005,'الحركات الشهرية'!$B$6:$B$1005,$B104,'الحركات الشهرية'!$A$6:$A$1005,$C$3))</f>
        <v/>
      </c>
      <c r="W104" s="111" t="str">
        <f aca="false">IF($B104="","",SUMIFS('الحركات الشهرية'!$J$6:$J$1005,'الحركات الشهرية'!$B$6:$B$1005,$B104,'الحركات الشهرية'!$A$6:$A$1005,$C$3))</f>
        <v/>
      </c>
      <c r="X104" s="111" t="str">
        <f aca="false">IF($B104="","",SUM(U104:W104))</f>
        <v/>
      </c>
      <c r="Y104" s="153" t="str">
        <f aca="false">IF($B104="","",T104-X104)</f>
        <v/>
      </c>
      <c r="Z104" s="111" t="str">
        <f aca="false">IF($B104="","",الموظفون!$S104*IF(E104="سعودي",cfg_G_SR,cfg_G_NR)*G104/cfg_DAYS_M)</f>
        <v/>
      </c>
      <c r="AA104" s="111" t="str">
        <f aca="false">IF($B104="","",الموظفون!$Q104*(cfg_EOS_R1*(MIN(AH104,cfg_EOS_TH)-MIN(AI104,cfg_EOS_TH))+cfg_EOS_R2*(MAX(AH104-cfg_EOS_TH,0)-MAX(AI104-cfg_EOS_TH,0))))</f>
        <v/>
      </c>
      <c r="AB104" s="111" t="str">
        <f aca="false">IF($B104="","",IF(الموظفون!$T104&lt;&gt;"",الموظفون!$T104,IF(AH104&gt;=cfg_LV_TH,cfg_LV_D2,cfg_LV_D1))/cfg_DAYS_Y*AJ104*الموظفون!$R104/cfg_DAYS_M)</f>
        <v/>
      </c>
      <c r="AC104" s="111" t="str">
        <f aca="false">IF($B104="","",IF(AND(الموظفون!$U104="نعم",N(الموظفون!$W104)&gt;0),الموظفون!$V104/الموظفون!$W104*12/cfg_DAYS_Y*AJ104,0))</f>
        <v/>
      </c>
      <c r="AD104" s="111" t="str">
        <f aca="false">IF($B104="","",(IF(الموظفون!$X104&lt;&gt;"",الموظفون!$X104,IF(الموظفون!$E104="غير سعودي",cfg_IQ,0))+IF(الموظفون!$Y104&lt;&gt;"",الموظفون!$Y104,IF(الموظفون!$E104="غير سعودي",cfg_WP,0)))/12*G104/cfg_DAYS_M)</f>
        <v/>
      </c>
      <c r="AE104" s="111" t="str">
        <f aca="false">IF($B104="","",IF(الموظفون!$Z104&lt;&gt;"",الموظفون!$Z104,cfg_MED)/12*G104/cfg_DAYS_M)</f>
        <v/>
      </c>
      <c r="AF104" s="111" t="str">
        <f aca="false">IF($B104="","",N(الموظفون!$AA104)/12*G104/cfg_DAYS_M)</f>
        <v/>
      </c>
      <c r="AG104" s="154" t="str">
        <f aca="false">IF($B104="","",T104+SUM(Z104:AF104))</f>
        <v/>
      </c>
      <c r="AH104" s="155" t="str">
        <f aca="false">IF($B104="","",MAX(0,IF(OR(الموظفون!$AE104="",الموظفون!$AE104&gt;$F$3),$F$3,الموظفون!$AE104)-الموظفون!$H104+1-SUMIFS('سجل الإجازات والحالات'!$AK$6:$AK$505,'سجل الإجازات والحالات'!$B$6:$B$505,$B104))/cfg_DAYS_Y)</f>
        <v/>
      </c>
      <c r="AI104" s="155" t="str">
        <f aca="false">IF($B104="","",MAX(0,IF(OR(الموظفون!$AE104="",الموظفون!$AE104&gt;($E$3-1)),($E$3-1),الموظفون!$AE104)-الموظفون!$H104+1-SUMIFS('سجل الإجازات والحالات'!$AJ$6:$AJ$505,'سجل الإجازات والحالات'!$B$6:$B$505,$B104))/cfg_DAYS_Y)</f>
        <v/>
      </c>
      <c r="AJ104" s="65" t="str">
        <f aca="false">IF($B104="","",MAX(0,AK104-(SUMIFS('سجل الإجازات والحالات'!$AK$6:$AK$505,'سجل الإجازات والحالات'!$B$6:$B$505,$B104)-SUMIFS('سجل الإجازات والحالات'!$AJ$6:$AJ$505,'سجل الإجازات والحالات'!$B$6:$B$505,$B104))))</f>
        <v/>
      </c>
      <c r="AK104" s="65" t="str">
        <f aca="false">IF($B104="","",MAX(0,IF(OR(الموظفون!$AE104="",الموظفون!$AE104&gt;$F$3),$F$3,الموظفون!$AE104)-MAX($E$3,الموظفون!$H104)+1))</f>
        <v/>
      </c>
      <c r="AL104" s="151" t="str">
        <f aca="false">IF($B104="","",SUMIFS('سجل الإجازات والحالات'!$AW$6:$AW$505,'سجل الإجازات والحالات'!$B$6:$B$505,$B104)+SUMIFS('الحركات الشهرية'!$K$6:$K$1005,'الحركات الشهرية'!$B$6:$B$1005,$B104,'الحركات الشهرية'!$A$6:$A$1005,$C$3))</f>
        <v/>
      </c>
      <c r="AM104" s="111" t="str">
        <f aca="false">IF($B104="","",AL104*الموظفون!$R104/cfg_DAYS_M+S104)</f>
        <v/>
      </c>
      <c r="AN104" s="151" t="str">
        <f aca="false">IF($B104="","",SUMIFS('سجل الإجازات والحالات'!$Y$6:$Y$505,'سجل الإجازات والحالات'!$B$6:$B$505,$B104))</f>
        <v/>
      </c>
    </row>
    <row r="105" customFormat="false" ht="15" hidden="false" customHeight="false" outlineLevel="0" collapsed="false">
      <c r="A105" s="115" t="str">
        <f aca="false">IF($B105="","",الموظفون!$A105)</f>
        <v/>
      </c>
      <c r="B105" s="117" t="str">
        <f aca="false">IF(الموظفون!$B105="","",الموظفون!$B105)</f>
        <v/>
      </c>
      <c r="C105" s="117" t="str">
        <f aca="false">IF($B105="","",الموظفون!$C105)</f>
        <v/>
      </c>
      <c r="D105" s="117" t="str">
        <f aca="false">IF($B105="","",الموظفون!$F105)</f>
        <v/>
      </c>
      <c r="E105" s="117" t="str">
        <f aca="false">IF($B105="","",الموظفون!$E105)</f>
        <v/>
      </c>
      <c r="F105" s="117" t="str">
        <f aca="false">IF($B105="","",IF(AK105=0,IF(AND(الموظفون!$AE105&lt;&gt;"",الموظفون!$AE105&lt;$E$3),"✖ منتهي الخدمة","⏳ لم يباشر"),IF(S105&gt;0,"✈ راتب إجازة مقدم",IF(J105=0,"⛔ بدون راتب هذا الشهر",IF(I105&gt;0,"✈ خصم "&amp;ROUND(I105,2)&amp;" يوم بدون أجر",IF(AL105&gt;0,"🌴 إجازة سنوية "&amp;ROUND(AL105,2)&amp;" يوم",IF(H105&gt;0,"⚠ غياب "&amp;ROUND(H105,2)&amp;" يوم","✔ على رأس العمل")))))))</f>
        <v/>
      </c>
      <c r="G105" s="156" t="str">
        <f aca="false">IF($B105="","",IF(AK105&gt;=DAY($F$3),cfg_DAYS_M,MIN(AK105,cfg_DAYS_M)))</f>
        <v/>
      </c>
      <c r="H105" s="156" t="str">
        <f aca="false">IF($B105="","",SUMIFS('الحركات الشهرية'!$D$6:$D$1005,'الحركات الشهرية'!$B$6:$B$1005,$B105,'الحركات الشهرية'!$A$6:$A$1005,$C$3))</f>
        <v/>
      </c>
      <c r="I105" s="156" t="str">
        <f aca="false">IF($B105="","",MIN(G105,IF(AND(AK105&gt;0,AN105&gt;=AK105),G105,AN105)+SUMIFS('الحركات الشهرية'!$E$6:$E$1005,'الحركات الشهرية'!$B$6:$B$1005,$B105,'الحركات الشهرية'!$A$6:$A$1005,$C$3)))</f>
        <v/>
      </c>
      <c r="J105" s="156" t="str">
        <f aca="false">IF($B105="","",MAX(0,G105-H105-I105))</f>
        <v/>
      </c>
      <c r="K105" s="116" t="str">
        <f aca="false">IF($B105="","",الموظفون!$L105*$J105/cfg_DAYS_M)</f>
        <v/>
      </c>
      <c r="L105" s="116" t="str">
        <f aca="false">IF($B105="","",الموظفون!$M105*$J105/cfg_DAYS_M)</f>
        <v/>
      </c>
      <c r="M105" s="116" t="str">
        <f aca="false">IF($B105="","",الموظفون!$N105*$J105/cfg_DAYS_M)</f>
        <v/>
      </c>
      <c r="N105" s="116" t="str">
        <f aca="false">IF($B105="","",الموظفون!$O105*$J105/cfg_DAYS_M)</f>
        <v/>
      </c>
      <c r="O105" s="156" t="str">
        <f aca="false">IF($B105="","",SUMIFS('الحركات الشهرية'!$F$6:$F$1005,'الحركات الشهرية'!$B$6:$B$1005,$B105,'الحركات الشهرية'!$A$6:$A$1005,$C$3))</f>
        <v/>
      </c>
      <c r="P105" s="116" t="str">
        <f aca="false">IF($B105="","",O105*(الموظفون!$P105+الموظفون!$L105*cfg_OT_P)/cfg_DAYS_M/cfg_HRS)</f>
        <v/>
      </c>
      <c r="Q105" s="116" t="str">
        <f aca="false">IF($B105="","",SUMIFS('الحركات الشهرية'!$G$6:$G$1005,'الحركات الشهرية'!$B$6:$B$1005,$B105,'الحركات الشهرية'!$A$6:$A$1005,$C$3))</f>
        <v/>
      </c>
      <c r="R105" s="116" t="str">
        <f aca="false">IF($B105="","",SUMIFS('الحركات الشهرية'!$H$6:$H$1005,'الحركات الشهرية'!$B$6:$B$1005,$B105,'الحركات الشهرية'!$A$6:$A$1005,$C$3))</f>
        <v/>
      </c>
      <c r="S105" s="116" t="str">
        <f aca="false">IF($B105="","",SUMIFS('سجل الإجازات والحالات'!$N$6:$N$505,'سجل الإجازات والحالات'!$B$6:$B$505,$B105,'سجل الإجازات والحالات'!$O$6:$O$505,$C$3))</f>
        <v/>
      </c>
      <c r="T105" s="157" t="str">
        <f aca="false">IF($B105="","",SUM(K105:N105)+SUM(P105:S105))</f>
        <v/>
      </c>
      <c r="U105" s="116" t="str">
        <f aca="false">IF($B105="","",الموظفون!$S105*IF(E105="سعودي",cfg_G_SE,cfg_G_NE)*G105/cfg_DAYS_M)</f>
        <v/>
      </c>
      <c r="V105" s="116" t="str">
        <f aca="false">IF($B105="","",SUMIFS('الحركات الشهرية'!$I$6:$I$1005,'الحركات الشهرية'!$B$6:$B$1005,$B105,'الحركات الشهرية'!$A$6:$A$1005,$C$3))</f>
        <v/>
      </c>
      <c r="W105" s="116" t="str">
        <f aca="false">IF($B105="","",SUMIFS('الحركات الشهرية'!$J$6:$J$1005,'الحركات الشهرية'!$B$6:$B$1005,$B105,'الحركات الشهرية'!$A$6:$A$1005,$C$3))</f>
        <v/>
      </c>
      <c r="X105" s="116" t="str">
        <f aca="false">IF($B105="","",SUM(U105:W105))</f>
        <v/>
      </c>
      <c r="Y105" s="158" t="str">
        <f aca="false">IF($B105="","",T105-X105)</f>
        <v/>
      </c>
      <c r="Z105" s="116" t="str">
        <f aca="false">IF($B105="","",الموظفون!$S105*IF(E105="سعودي",cfg_G_SR,cfg_G_NR)*G105/cfg_DAYS_M)</f>
        <v/>
      </c>
      <c r="AA105" s="116" t="str">
        <f aca="false">IF($B105="","",الموظفون!$Q105*(cfg_EOS_R1*(MIN(AH105,cfg_EOS_TH)-MIN(AI105,cfg_EOS_TH))+cfg_EOS_R2*(MAX(AH105-cfg_EOS_TH,0)-MAX(AI105-cfg_EOS_TH,0))))</f>
        <v/>
      </c>
      <c r="AB105" s="116" t="str">
        <f aca="false">IF($B105="","",IF(الموظفون!$T105&lt;&gt;"",الموظفون!$T105,IF(AH105&gt;=cfg_LV_TH,cfg_LV_D2,cfg_LV_D1))/cfg_DAYS_Y*AJ105*الموظفون!$R105/cfg_DAYS_M)</f>
        <v/>
      </c>
      <c r="AC105" s="116" t="str">
        <f aca="false">IF($B105="","",IF(AND(الموظفون!$U105="نعم",N(الموظفون!$W105)&gt;0),الموظفون!$V105/الموظفون!$W105*12/cfg_DAYS_Y*AJ105,0))</f>
        <v/>
      </c>
      <c r="AD105" s="116" t="str">
        <f aca="false">IF($B105="","",(IF(الموظفون!$X105&lt;&gt;"",الموظفون!$X105,IF(الموظفون!$E105="غير سعودي",cfg_IQ,0))+IF(الموظفون!$Y105&lt;&gt;"",الموظفون!$Y105,IF(الموظفون!$E105="غير سعودي",cfg_WP,0)))/12*G105/cfg_DAYS_M)</f>
        <v/>
      </c>
      <c r="AE105" s="116" t="str">
        <f aca="false">IF($B105="","",IF(الموظفون!$Z105&lt;&gt;"",الموظفون!$Z105,cfg_MED)/12*G105/cfg_DAYS_M)</f>
        <v/>
      </c>
      <c r="AF105" s="116" t="str">
        <f aca="false">IF($B105="","",N(الموظفون!$AA105)/12*G105/cfg_DAYS_M)</f>
        <v/>
      </c>
      <c r="AG105" s="159" t="str">
        <f aca="false">IF($B105="","",T105+SUM(Z105:AF105))</f>
        <v/>
      </c>
      <c r="AH105" s="160" t="str">
        <f aca="false">IF($B105="","",MAX(0,IF(OR(الموظفون!$AE105="",الموظفون!$AE105&gt;$F$3),$F$3,الموظفون!$AE105)-الموظفون!$H105+1-SUMIFS('سجل الإجازات والحالات'!$AK$6:$AK$505,'سجل الإجازات والحالات'!$B$6:$B$505,$B105))/cfg_DAYS_Y)</f>
        <v/>
      </c>
      <c r="AI105" s="160" t="str">
        <f aca="false">IF($B105="","",MAX(0,IF(OR(الموظفون!$AE105="",الموظفون!$AE105&gt;($E$3-1)),($E$3-1),الموظفون!$AE105)-الموظفون!$H105+1-SUMIFS('سجل الإجازات والحالات'!$AJ$6:$AJ$505,'سجل الإجازات والحالات'!$B$6:$B$505,$B105))/cfg_DAYS_Y)</f>
        <v/>
      </c>
      <c r="AJ105" s="133" t="str">
        <f aca="false">IF($B105="","",MAX(0,AK105-(SUMIFS('سجل الإجازات والحالات'!$AK$6:$AK$505,'سجل الإجازات والحالات'!$B$6:$B$505,$B105)-SUMIFS('سجل الإجازات والحالات'!$AJ$6:$AJ$505,'سجل الإجازات والحالات'!$B$6:$B$505,$B105))))</f>
        <v/>
      </c>
      <c r="AK105" s="133" t="str">
        <f aca="false">IF($B105="","",MAX(0,IF(OR(الموظفون!$AE105="",الموظفون!$AE105&gt;$F$3),$F$3,الموظفون!$AE105)-MAX($E$3,الموظفون!$H105)+1))</f>
        <v/>
      </c>
      <c r="AL105" s="156" t="str">
        <f aca="false">IF($B105="","",SUMIFS('سجل الإجازات والحالات'!$AW$6:$AW$505,'سجل الإجازات والحالات'!$B$6:$B$505,$B105)+SUMIFS('الحركات الشهرية'!$K$6:$K$1005,'الحركات الشهرية'!$B$6:$B$1005,$B105,'الحركات الشهرية'!$A$6:$A$1005,$C$3))</f>
        <v/>
      </c>
      <c r="AM105" s="116" t="str">
        <f aca="false">IF($B105="","",AL105*الموظفون!$R105/cfg_DAYS_M+S105)</f>
        <v/>
      </c>
      <c r="AN105" s="156" t="str">
        <f aca="false">IF($B105="","",SUMIFS('سجل الإجازات والحالات'!$Y$6:$Y$505,'سجل الإجازات والحالات'!$B$6:$B$505,$B105))</f>
        <v/>
      </c>
    </row>
    <row r="106" customFormat="false" ht="24" hidden="false" customHeight="true" outlineLevel="0" collapsed="false">
      <c r="A106" s="124"/>
      <c r="B106" s="125" t="str">
        <f aca="false">COUNTIF(G6:G105,"&gt;0")&amp;" موظف"</f>
        <v>12 موظف</v>
      </c>
      <c r="C106" s="124" t="s">
        <v>161</v>
      </c>
      <c r="D106" s="124"/>
      <c r="E106" s="124"/>
      <c r="F106" s="125" t="str">
        <f aca="false">COUNTIFS(G6:G105,"&gt;0",J6:J105,0)&amp;" بدون راتب"</f>
        <v>0 بدون راتب</v>
      </c>
      <c r="G106" s="124"/>
      <c r="H106" s="161" t="n">
        <f aca="false">SUM(H6:H105)</f>
        <v>2</v>
      </c>
      <c r="I106" s="161" t="n">
        <f aca="false">SUM(I6:I105)</f>
        <v>0</v>
      </c>
      <c r="J106" s="161" t="n">
        <f aca="false">SUM(J6:J105)</f>
        <v>344</v>
      </c>
      <c r="K106" s="125" t="n">
        <f aca="false">SUM(K6:K105)</f>
        <v>136500</v>
      </c>
      <c r="L106" s="125" t="n">
        <f aca="false">SUM(L6:L105)</f>
        <v>34125</v>
      </c>
      <c r="M106" s="125" t="n">
        <f aca="false">SUM(M6:M105)</f>
        <v>13650</v>
      </c>
      <c r="N106" s="125" t="n">
        <f aca="false">SUM(N6:N105)</f>
        <v>10200</v>
      </c>
      <c r="O106" s="161" t="n">
        <f aca="false">SUM(O6:O105)</f>
        <v>0</v>
      </c>
      <c r="P106" s="125" t="n">
        <f aca="false">SUM(P6:P105)</f>
        <v>0</v>
      </c>
      <c r="Q106" s="125" t="n">
        <f aca="false">SUM(Q6:Q105)</f>
        <v>0</v>
      </c>
      <c r="R106" s="125" t="n">
        <f aca="false">SUM(R6:R105)</f>
        <v>0</v>
      </c>
      <c r="S106" s="125" t="n">
        <f aca="false">SUM(S6:S105)</f>
        <v>0</v>
      </c>
      <c r="T106" s="125" t="n">
        <f aca="false">SUM(T6:T105)</f>
        <v>194475</v>
      </c>
      <c r="U106" s="125" t="n">
        <f aca="false">SUM(U6:U105)</f>
        <v>11858.4375</v>
      </c>
      <c r="V106" s="125" t="n">
        <f aca="false">SUM(V6:V105)</f>
        <v>1000</v>
      </c>
      <c r="W106" s="125" t="n">
        <f aca="false">SUM(W6:W105)</f>
        <v>0</v>
      </c>
      <c r="X106" s="125" t="n">
        <f aca="false">SUM(X6:X105)</f>
        <v>12858.4375</v>
      </c>
      <c r="Y106" s="125" t="n">
        <f aca="false">SUM(Y6:Y105)</f>
        <v>181616.5625</v>
      </c>
      <c r="Z106" s="125" t="n">
        <f aca="false">SUM(Z6:Z105)</f>
        <v>15290.9375</v>
      </c>
      <c r="AA106" s="125" t="n">
        <f aca="false">SUM(AA6:AA105)</f>
        <v>13886.506849315</v>
      </c>
      <c r="AB106" s="125" t="n">
        <f aca="false">SUM(AB6:AB105)</f>
        <v>14425.7671232877</v>
      </c>
      <c r="AC106" s="125" t="n">
        <f aca="false">SUM(AC6:AC105)</f>
        <v>928.767123287671</v>
      </c>
      <c r="AD106" s="125" t="n">
        <f aca="false">SUM(AD6:AD105)</f>
        <v>4270.83333333333</v>
      </c>
      <c r="AE106" s="125" t="n">
        <f aca="false">SUM(AE6:AE105)</f>
        <v>2706.66666666667</v>
      </c>
      <c r="AF106" s="125" t="n">
        <f aca="false">SUM(AF6:AF105)</f>
        <v>400</v>
      </c>
      <c r="AG106" s="125" t="n">
        <f aca="false">SUM(AG6:AG105)</f>
        <v>246384.47859589</v>
      </c>
      <c r="AH106" s="124"/>
      <c r="AI106" s="124"/>
      <c r="AJ106" s="124"/>
      <c r="AK106" s="124"/>
      <c r="AL106" s="161" t="n">
        <f aca="false">SUM(AL6:AL105)</f>
        <v>0</v>
      </c>
      <c r="AM106" s="125" t="n">
        <f aca="false">SUM(AM6:AM105)</f>
        <v>0</v>
      </c>
      <c r="AN106" s="124"/>
    </row>
    <row r="107" customFormat="false" ht="48" hidden="false" customHeight="true" outlineLevel="0" collapsed="false">
      <c r="A107" s="24" t="s">
        <v>505</v>
      </c>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row>
  </sheetData>
  <sheetProtection sheet="true" password="ffa5" objects="true" scenarios="true"/>
  <autoFilter ref="A5:AN105"/>
  <mergeCells count="6">
    <mergeCell ref="A1:AG1"/>
    <mergeCell ref="A2:AG2"/>
    <mergeCell ref="G3:H3"/>
    <mergeCell ref="J3:K3"/>
    <mergeCell ref="L3:M3"/>
    <mergeCell ref="A107:AN107"/>
  </mergeCells>
  <conditionalFormatting sqref="G3">
    <cfRule type="expression" priority="2" aboveAverage="0" equalAverage="0" bottom="0" percent="0" rank="0" text="" dxfId="0">
      <formula>ISNUMBER(SEARCH("✔",G3))</formula>
    </cfRule>
    <cfRule type="expression" priority="3" aboveAverage="0" equalAverage="0" bottom="0" percent="0" rank="0" text="" dxfId="1">
      <formula>ISNUMBER(SEARCH("✖",G3))</formula>
    </cfRule>
    <cfRule type="expression" priority="4" aboveAverage="0" equalAverage="0" bottom="0" percent="0" rank="0" text="" dxfId="2">
      <formula>ISNUMBER(SEARCH("⚠",G3))</formula>
    </cfRule>
    <cfRule type="expression" priority="5" aboveAverage="0" equalAverage="0" bottom="0" percent="0" rank="0" text="" dxfId="3">
      <formula>ISNUMBER(SEARCH("✈",G3))</formula>
    </cfRule>
    <cfRule type="expression" priority="6" aboveAverage="0" equalAverage="0" bottom="0" percent="0" rank="0" text="" dxfId="1">
      <formula>ISNUMBER(SEARCH("⛔",G3))</formula>
    </cfRule>
    <cfRule type="expression" priority="7" aboveAverage="0" equalAverage="0" bottom="0" percent="0" rank="0" text="" dxfId="0">
      <formula>ISNUMBER(SEARCH("🌴",G3))</formula>
    </cfRule>
    <cfRule type="expression" priority="8" aboveAverage="0" equalAverage="0" bottom="0" percent="0" rank="0" text="" dxfId="4">
      <formula>ISNUMBER(SEARCH("⏳",G3))</formula>
    </cfRule>
  </conditionalFormatting>
  <conditionalFormatting sqref="F6:F105">
    <cfRule type="expression" priority="9" aboveAverage="0" equalAverage="0" bottom="0" percent="0" rank="0" text="" dxfId="0">
      <formula>ISNUMBER(SEARCH("✔",F6))</formula>
    </cfRule>
    <cfRule type="expression" priority="10" aboveAverage="0" equalAverage="0" bottom="0" percent="0" rank="0" text="" dxfId="1">
      <formula>ISNUMBER(SEARCH("✖",F6))</formula>
    </cfRule>
    <cfRule type="expression" priority="11" aboveAverage="0" equalAverage="0" bottom="0" percent="0" rank="0" text="" dxfId="2">
      <formula>ISNUMBER(SEARCH("⚠",F6))</formula>
    </cfRule>
    <cfRule type="expression" priority="12" aboveAverage="0" equalAverage="0" bottom="0" percent="0" rank="0" text="" dxfId="3">
      <formula>ISNUMBER(SEARCH("✈",F6))</formula>
    </cfRule>
    <cfRule type="expression" priority="13" aboveAverage="0" equalAverage="0" bottom="0" percent="0" rank="0" text="" dxfId="1">
      <formula>ISNUMBER(SEARCH("⛔",F6))</formula>
    </cfRule>
    <cfRule type="expression" priority="14" aboveAverage="0" equalAverage="0" bottom="0" percent="0" rank="0" text="" dxfId="0">
      <formula>ISNUMBER(SEARCH("🌴",F6))</formula>
    </cfRule>
    <cfRule type="expression" priority="15" aboveAverage="0" equalAverage="0" bottom="0" percent="0" rank="0" text="" dxfId="4">
      <formula>ISNUMBER(SEARCH("⏳",F6))</formula>
    </cfRule>
  </conditionalFormatting>
  <conditionalFormatting sqref="G6:AN105">
    <cfRule type="expression" priority="16" aboveAverage="0" equalAverage="0" bottom="0" percent="0" rank="0" text="" dxfId="31">
      <formula>AND($B6&lt;&gt;"",$J6=0)</formula>
    </cfRule>
  </conditionalFormatting>
  <conditionalFormatting sqref="Y6:Y105">
    <cfRule type="expression" priority="17" aboveAverage="0" equalAverage="0" bottom="0" percent="0" rank="0" text="" dxfId="1">
      <formula>AND(ISNUMBER(Y6),Y6&lt;0)</formula>
    </cfRule>
  </conditionalFormatting>
  <hyperlinks>
    <hyperlink ref="A2" r:id="rId1" display="https://accopro.net/"/>
    <hyperlink ref="J3" location="'مسير مارس'!A1" display="◀ الشهر السابق"/>
    <hyperlink ref="L3" location="'مسير مايو'!A1" display="الشهر التالي ▶"/>
    <hyperlink ref="O3" location="'الرئيسية'!A1" display="🏠 الرئيسية"/>
    <hyperlink ref="P3" location="'لوحة التحكم'!A1" display="📊 لوحة التحكم"/>
    <hyperlink ref="R3" location="'الموظفون'!A1" display="👥 الموظفون"/>
    <hyperlink ref="S3" location="'سجل الإجازات والحالات'!A1" display="🌴 سجل الإجازات"/>
    <hyperlink ref="U3" location="'الحركات الشهرية'!A1" display="✍ الحركات"/>
    <hyperlink ref="W3" location="'الملخص الشهري'!A1" display="📅 الملخص الشهري"/>
    <hyperlink ref="Y3" location="'قيود الرواتب'!A1" display="🧾 القيود"/>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&amp;Cنسخة تجريبية — النسخة الكاملة: accopro.net</oddHeader>
    <oddFooter>&amp;CAccoPro — https://accopro.net</oddFoot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N107"/>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24"/>
    <col collapsed="false" customWidth="true" hidden="false" outlineLevel="0" max="4" min="4" style="0" width="14"/>
    <col collapsed="false" customWidth="true" hidden="false" outlineLevel="0" max="5" min="5" style="0" width="10"/>
    <col collapsed="false" customWidth="true" hidden="false" outlineLevel="0" max="6" min="6" style="0" width="20"/>
    <col collapsed="false" customWidth="true" hidden="false" outlineLevel="0" max="8" min="7" style="0" width="8"/>
    <col collapsed="false" customWidth="true" hidden="false" outlineLevel="0" max="9" min="9" style="0" width="9"/>
    <col collapsed="false" customWidth="true" hidden="false" outlineLevel="0" max="10" min="10" style="0" width="8"/>
    <col collapsed="false" customWidth="true" hidden="false" outlineLevel="0" max="11" min="11" style="0" width="12"/>
    <col collapsed="false" customWidth="true" hidden="false" outlineLevel="0" max="12" min="12" style="0" width="11"/>
    <col collapsed="false" customWidth="true" hidden="false" outlineLevel="0" max="14" min="13" style="0" width="10"/>
    <col collapsed="false" customWidth="true" hidden="false" outlineLevel="0" max="15" min="15" style="0" width="7"/>
    <col collapsed="false" customWidth="true" hidden="false" outlineLevel="0" max="19" min="16" style="0" width="11"/>
    <col collapsed="false" customWidth="true" hidden="false" outlineLevel="0" max="20" min="20" style="0" width="13"/>
    <col collapsed="false" customWidth="true" hidden="false" outlineLevel="0" max="21" min="21" style="0" width="11"/>
    <col collapsed="false" customWidth="true" hidden="false" outlineLevel="0" max="23" min="22" style="0" width="10"/>
    <col collapsed="false" customWidth="true" hidden="false" outlineLevel="0" max="24" min="24" style="0" width="12"/>
    <col collapsed="false" customWidth="true" hidden="false" outlineLevel="0" max="25" min="25" style="0" width="13"/>
    <col collapsed="false" customWidth="true" hidden="false" outlineLevel="0" max="26" min="26" style="0" width="11"/>
    <col collapsed="false" customWidth="true" hidden="false" outlineLevel="0" max="27" min="27" style="0" width="12"/>
    <col collapsed="false" customWidth="true" hidden="false" outlineLevel="0" max="29" min="28" style="0" width="11"/>
    <col collapsed="false" customWidth="true" hidden="false" outlineLevel="0" max="30" min="30" style="0" width="12"/>
    <col collapsed="false" customWidth="true" hidden="false" outlineLevel="0" max="31" min="31" style="0" width="11"/>
    <col collapsed="false" customWidth="true" hidden="false" outlineLevel="0" max="32" min="32" style="0" width="10"/>
    <col collapsed="false" customWidth="true" hidden="false" outlineLevel="0" max="33" min="33" style="0" width="14"/>
    <col collapsed="false" customWidth="true" hidden="true" outlineLevel="0" max="38" min="34" style="0" width="9"/>
    <col collapsed="false" customWidth="true" hidden="true" outlineLevel="0" max="39" min="39" style="0" width="11"/>
    <col collapsed="false" customWidth="true" hidden="true" outlineLevel="0" max="40" min="40" style="0" width="9"/>
  </cols>
  <sheetData>
    <row r="1" customFormat="false" ht="37.5" hidden="false" customHeight="true" outlineLevel="0" collapsed="false">
      <c r="A1" s="136" t="str">
        <f aca="false">"💵 مسير رواتب شهر مايو "&amp;cfg_FY&amp;"   🔒 نسخة تجريبية"</f>
        <v>💵 مسير رواتب شهر مايو 2026   🔒 نسخة تجريبية</v>
      </c>
      <c r="B1" s="136"/>
      <c r="C1" s="136"/>
      <c r="D1" s="136"/>
      <c r="E1" s="136"/>
      <c r="F1" s="136"/>
      <c r="G1" s="136"/>
      <c r="H1" s="136"/>
      <c r="I1" s="136"/>
      <c r="J1" s="136"/>
      <c r="K1" s="136"/>
      <c r="L1" s="136"/>
      <c r="M1" s="136"/>
      <c r="N1" s="136"/>
      <c r="O1" s="136"/>
      <c r="P1" s="136"/>
      <c r="Q1" s="136"/>
      <c r="R1" s="136"/>
      <c r="S1" s="136"/>
      <c r="T1" s="136"/>
      <c r="U1" s="136"/>
      <c r="V1" s="136"/>
      <c r="W1" s="136"/>
      <c r="X1" s="136"/>
      <c r="Y1" s="136"/>
      <c r="Z1" s="136"/>
      <c r="AA1" s="136"/>
      <c r="AB1" s="136"/>
      <c r="AC1" s="136"/>
      <c r="AD1" s="136"/>
      <c r="AE1" s="136"/>
      <c r="AF1" s="136"/>
      <c r="AG1" s="136"/>
    </row>
    <row r="2" customFormat="false" ht="19.5" hidden="false" customHeight="true" outlineLevel="0" collapsed="false">
      <c r="A2" s="2" t="str">
        <f aca="false">"🛒 نسخة تجريبية — للنسخة الكاملة اضغط هنا ← accopro.net   |   "&amp;cfg_CO&amp;"   |   السنة المالية "&amp;cfg_FY&amp;"   |   شهر التقرير: "&amp;INDEX(L_MONTH,cfg_VAL_M)&amp;"   |   المبالغ بـ "&amp;cfg_CUR</f>
        <v>🛒 نسخة تجريبية — للنسخة الكاملة اضغط هنا ← accopro.net   |   شركة النخبة للتجارة والمقاولات   |   السنة المالية 2026   |   شهر التقرير: سبتمبر   |   المبالغ بـ ريال سعودي</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row>
    <row r="3" customFormat="false" ht="25.5" hidden="false" customHeight="true" outlineLevel="0" collapsed="false">
      <c r="B3" s="137" t="s">
        <v>163</v>
      </c>
      <c r="C3" s="138" t="n">
        <v>5</v>
      </c>
      <c r="D3" s="137" t="s">
        <v>472</v>
      </c>
      <c r="E3" s="139" t="n">
        <f aca="false">DATE(cfg_FY,C3,1)</f>
        <v>46143</v>
      </c>
      <c r="F3" s="139" t="n">
        <f aca="false">EOMONTH(E3,0)</f>
        <v>46173</v>
      </c>
      <c r="G3" s="140" t="str">
        <f aca="false">IF(C3&lt;=cfg_VAL_M,"✔ فعلي","⚠ متوقع")</f>
        <v>✔ فعلي</v>
      </c>
      <c r="H3" s="140"/>
      <c r="J3" s="141" t="s">
        <v>506</v>
      </c>
      <c r="K3" s="141"/>
      <c r="L3" s="141" t="s">
        <v>473</v>
      </c>
      <c r="M3" s="141"/>
      <c r="O3" s="31" t="s">
        <v>114</v>
      </c>
      <c r="P3" s="12" t="s">
        <v>172</v>
      </c>
      <c r="R3" s="32" t="s">
        <v>116</v>
      </c>
      <c r="S3" s="33" t="s">
        <v>117</v>
      </c>
      <c r="U3" s="32" t="s">
        <v>118</v>
      </c>
      <c r="W3" s="32" t="s">
        <v>39</v>
      </c>
      <c r="Y3" s="32" t="s">
        <v>173</v>
      </c>
    </row>
    <row r="4" customFormat="false" ht="7.5" hidden="false" customHeight="true" outlineLevel="0" collapsed="false"/>
    <row r="5" customFormat="false" ht="51.75" hidden="false" customHeight="true" outlineLevel="0" collapsed="false">
      <c r="A5" s="142" t="s">
        <v>308</v>
      </c>
      <c r="B5" s="142" t="s">
        <v>309</v>
      </c>
      <c r="C5" s="142" t="s">
        <v>310</v>
      </c>
      <c r="D5" s="142" t="s">
        <v>156</v>
      </c>
      <c r="E5" s="142" t="s">
        <v>142</v>
      </c>
      <c r="F5" s="142" t="s">
        <v>474</v>
      </c>
      <c r="G5" s="143" t="s">
        <v>475</v>
      </c>
      <c r="H5" s="143" t="s">
        <v>476</v>
      </c>
      <c r="I5" s="143" t="s">
        <v>477</v>
      </c>
      <c r="J5" s="143" t="s">
        <v>478</v>
      </c>
      <c r="K5" s="144" t="s">
        <v>479</v>
      </c>
      <c r="L5" s="144" t="s">
        <v>480</v>
      </c>
      <c r="M5" s="144" t="s">
        <v>481</v>
      </c>
      <c r="N5" s="144" t="s">
        <v>482</v>
      </c>
      <c r="O5" s="144" t="s">
        <v>483</v>
      </c>
      <c r="P5" s="144" t="s">
        <v>484</v>
      </c>
      <c r="Q5" s="144" t="s">
        <v>451</v>
      </c>
      <c r="R5" s="144" t="s">
        <v>485</v>
      </c>
      <c r="S5" s="144" t="s">
        <v>486</v>
      </c>
      <c r="T5" s="144" t="s">
        <v>127</v>
      </c>
      <c r="U5" s="145" t="s">
        <v>487</v>
      </c>
      <c r="V5" s="145" t="s">
        <v>453</v>
      </c>
      <c r="W5" s="145" t="s">
        <v>454</v>
      </c>
      <c r="X5" s="145" t="s">
        <v>488</v>
      </c>
      <c r="Y5" s="146" t="s">
        <v>489</v>
      </c>
      <c r="Z5" s="147" t="s">
        <v>490</v>
      </c>
      <c r="AA5" s="147" t="s">
        <v>491</v>
      </c>
      <c r="AB5" s="147" t="s">
        <v>492</v>
      </c>
      <c r="AC5" s="147" t="s">
        <v>493</v>
      </c>
      <c r="AD5" s="148" t="s">
        <v>494</v>
      </c>
      <c r="AE5" s="148" t="s">
        <v>495</v>
      </c>
      <c r="AF5" s="148" t="s">
        <v>496</v>
      </c>
      <c r="AG5" s="149" t="s">
        <v>497</v>
      </c>
      <c r="AH5" s="150" t="s">
        <v>498</v>
      </c>
      <c r="AI5" s="150" t="s">
        <v>499</v>
      </c>
      <c r="AJ5" s="150" t="s">
        <v>500</v>
      </c>
      <c r="AK5" s="150" t="s">
        <v>501</v>
      </c>
      <c r="AL5" s="150" t="s">
        <v>502</v>
      </c>
      <c r="AM5" s="150" t="s">
        <v>503</v>
      </c>
      <c r="AN5" s="150" t="s">
        <v>504</v>
      </c>
    </row>
    <row r="6" customFormat="false" ht="15" hidden="false" customHeight="false" outlineLevel="0" collapsed="false">
      <c r="A6" s="106" t="n">
        <f aca="false">IF($B6="","",الموظفون!$A6)</f>
        <v>1</v>
      </c>
      <c r="B6" s="114" t="str">
        <f aca="false">IF(الموظفون!$B6="","",الموظفون!$B6)</f>
        <v>E001</v>
      </c>
      <c r="C6" s="114" t="str">
        <f aca="false">IF($B6="","",الموظفون!$C6)</f>
        <v>عبدالله محمد العتيبي</v>
      </c>
      <c r="D6" s="114" t="str">
        <f aca="false">IF($B6="","",الموظفون!$F6)</f>
        <v>الإدارة العليا</v>
      </c>
      <c r="E6" s="114" t="str">
        <f aca="false">IF($B6="","",الموظفون!$E6)</f>
        <v>سعودي</v>
      </c>
      <c r="F6" s="114" t="str">
        <f aca="false">IF($B6="","",IF(AK6=0,IF(AND(الموظفون!$AE6&lt;&gt;"",الموظفون!$AE6&lt;$E$3),"✖ منتهي الخدمة","⏳ لم يباشر"),IF(S6&gt;0,"✈ راتب إجازة مقدم",IF(J6=0,"⛔ بدون راتب هذا الشهر",IF(I6&gt;0,"✈ خصم "&amp;ROUND(I6,2)&amp;" يوم بدون أجر",IF(AL6&gt;0,"🌴 إجازة سنوية "&amp;ROUND(AL6,2)&amp;" يوم",IF(H6&gt;0,"⚠ غياب "&amp;ROUND(H6,2)&amp;" يوم","✔ على رأس العمل")))))))</f>
        <v>✔ على رأس العمل</v>
      </c>
      <c r="G6" s="151" t="n">
        <f aca="false">IF($B6="","",IF(AK6&gt;=DAY($F$3),cfg_DAYS_M,MIN(AK6,cfg_DAYS_M)))</f>
        <v>30</v>
      </c>
      <c r="H6" s="151" t="n">
        <f aca="false">IF($B6="","",SUMIFS('الحركات الشهرية'!$D$6:$D$1005,'الحركات الشهرية'!$B$6:$B$1005,$B6,'الحركات الشهرية'!$A$6:$A$1005,$C$3))</f>
        <v>0</v>
      </c>
      <c r="I6" s="151" t="n">
        <f aca="false">IF($B6="","",MIN(G6,IF(AND(AK6&gt;0,AN6&gt;=AK6),G6,AN6)+SUMIFS('الحركات الشهرية'!$E$6:$E$1005,'الحركات الشهرية'!$B$6:$B$1005,$B6,'الحركات الشهرية'!$A$6:$A$1005,$C$3)))</f>
        <v>0</v>
      </c>
      <c r="J6" s="151" t="n">
        <f aca="false">IF($B6="","",MAX(0,G6-H6-I6))</f>
        <v>30</v>
      </c>
      <c r="K6" s="111" t="n">
        <f aca="false">IF($B6="","",الموظفون!$L6*$J6/cfg_DAYS_M)</f>
        <v>28000</v>
      </c>
      <c r="L6" s="111" t="n">
        <f aca="false">IF($B6="","",الموظفون!$M6*$J6/cfg_DAYS_M)</f>
        <v>7000</v>
      </c>
      <c r="M6" s="111" t="n">
        <f aca="false">IF($B6="","",الموظفون!$N6*$J6/cfg_DAYS_M)</f>
        <v>2800</v>
      </c>
      <c r="N6" s="111" t="n">
        <f aca="false">IF($B6="","",الموظفون!$O6*$J6/cfg_DAYS_M)</f>
        <v>3000</v>
      </c>
      <c r="O6" s="151" t="n">
        <f aca="false">IF($B6="","",SUMIFS('الحركات الشهرية'!$F$6:$F$1005,'الحركات الشهرية'!$B$6:$B$1005,$B6,'الحركات الشهرية'!$A$6:$A$1005,$C$3))</f>
        <v>0</v>
      </c>
      <c r="P6" s="111" t="n">
        <f aca="false">IF($B6="","",O6*(الموظفون!$P6+الموظفون!$L6*cfg_OT_P)/cfg_DAYS_M/cfg_HRS)</f>
        <v>0</v>
      </c>
      <c r="Q6" s="111" t="n">
        <f aca="false">IF($B6="","",SUMIFS('الحركات الشهرية'!$G$6:$G$1005,'الحركات الشهرية'!$B$6:$B$1005,$B6,'الحركات الشهرية'!$A$6:$A$1005,$C$3))</f>
        <v>0</v>
      </c>
      <c r="R6" s="111" t="n">
        <f aca="false">IF($B6="","",SUMIFS('الحركات الشهرية'!$H$6:$H$1005,'الحركات الشهرية'!$B$6:$B$1005,$B6,'الحركات الشهرية'!$A$6:$A$1005,$C$3))</f>
        <v>0</v>
      </c>
      <c r="S6" s="111" t="n">
        <f aca="false">IF($B6="","",SUMIFS('سجل الإجازات والحالات'!$N$6:$N$505,'سجل الإجازات والحالات'!$B$6:$B$505,$B6,'سجل الإجازات والحالات'!$O$6:$O$505,$C$3))</f>
        <v>0</v>
      </c>
      <c r="T6" s="152" t="n">
        <f aca="false">IF($B6="","",SUM(K6:N6)+SUM(P6:S6))</f>
        <v>40800</v>
      </c>
      <c r="U6" s="111" t="n">
        <f aca="false">IF($B6="","",الموظفون!$S6*IF(E6="سعودي",cfg_G_SE,cfg_G_NE)*G6/cfg_DAYS_M)</f>
        <v>3412.5</v>
      </c>
      <c r="V6" s="111" t="n">
        <f aca="false">IF($B6="","",SUMIFS('الحركات الشهرية'!$I$6:$I$1005,'الحركات الشهرية'!$B$6:$B$1005,$B6,'الحركات الشهرية'!$A$6:$A$1005,$C$3))</f>
        <v>0</v>
      </c>
      <c r="W6" s="111" t="n">
        <f aca="false">IF($B6="","",SUMIFS('الحركات الشهرية'!$J$6:$J$1005,'الحركات الشهرية'!$B$6:$B$1005,$B6,'الحركات الشهرية'!$A$6:$A$1005,$C$3))</f>
        <v>0</v>
      </c>
      <c r="X6" s="111" t="n">
        <f aca="false">IF($B6="","",SUM(U6:W6))</f>
        <v>3412.5</v>
      </c>
      <c r="Y6" s="153" t="n">
        <f aca="false">IF($B6="","",T6-X6)</f>
        <v>37387.5</v>
      </c>
      <c r="Z6" s="111" t="n">
        <f aca="false">IF($B6="","",الموظفون!$S6*IF(E6="سعودي",cfg_G_SR,cfg_G_NR)*G6/cfg_DAYS_M)</f>
        <v>4112.5</v>
      </c>
      <c r="AA6" s="111" t="n">
        <f aca="false">IF($B6="","",الموظفون!$Q6*(cfg_EOS_R1*(MIN(AH6,cfg_EOS_TH)-MIN(AI6,cfg_EOS_TH))+cfg_EOS_R2*(MAX(AH6-cfg_EOS_TH,0)-MAX(AI6-cfg_EOS_TH,0))))</f>
        <v>3210.41095890413</v>
      </c>
      <c r="AB6" s="111" t="n">
        <f aca="false">IF($B6="","",IF(الموظفون!$T6&lt;&gt;"",الموظفون!$T6,IF(AH6&gt;=cfg_LV_TH,cfg_LV_D2,cfg_LV_D1))/cfg_DAYS_Y*AJ6*الموظفون!$R6/cfg_DAYS_M)</f>
        <v>3210.41095890411</v>
      </c>
      <c r="AC6" s="111" t="n">
        <f aca="false">IF($B6="","",IF(AND(الموظفون!$U6="نعم",N(الموظفون!$W6)&gt;0),الموظفون!$V6/الموظفون!$W6*12/cfg_DAYS_Y*AJ6,0))</f>
        <v>0</v>
      </c>
      <c r="AD6" s="111" t="n">
        <f aca="false">IF($B6="","",(IF(الموظفون!$X6&lt;&gt;"",الموظفون!$X6,IF(الموظفون!$E6="غير سعودي",cfg_IQ,0))+IF(الموظفون!$Y6&lt;&gt;"",الموظفون!$Y6,IF(الموظفون!$E6="غير سعودي",cfg_WP,0)))/12*G6/cfg_DAYS_M)</f>
        <v>0</v>
      </c>
      <c r="AE6" s="111" t="n">
        <f aca="false">IF($B6="","",IF(الموظفون!$Z6&lt;&gt;"",الموظفون!$Z6,cfg_MED)/12*G6/cfg_DAYS_M)</f>
        <v>400</v>
      </c>
      <c r="AF6" s="111" t="n">
        <f aca="false">IF($B6="","",N(الموظفون!$AA6)/12*G6/cfg_DAYS_M)</f>
        <v>0</v>
      </c>
      <c r="AG6" s="154" t="n">
        <f aca="false">IF($B6="","",T6+SUM(Z6:AF6))</f>
        <v>51733.3219178082</v>
      </c>
      <c r="AH6" s="155" t="n">
        <f aca="false">IF($B6="","",MAX(0,IF(OR(الموظفون!$AE6="",الموظفون!$AE6&gt;$F$3),$F$3,الموظفون!$AE6)-الموظفون!$H6+1-SUMIFS('سجل الإجازات والحالات'!$AL$6:$AL$505,'سجل الإجازات والحالات'!$B$6:$B$505,$B6))/cfg_DAYS_Y)</f>
        <v>14.386301369863</v>
      </c>
      <c r="AI6" s="155" t="n">
        <f aca="false">IF($B6="","",MAX(0,IF(OR(الموظفون!$AE6="",الموظفون!$AE6&gt;($E$3-1)),($E$3-1),الموظفون!$AE6)-الموظفون!$H6+1-SUMIFS('سجل الإجازات والحالات'!$AK$6:$AK$505,'سجل الإجازات والحالات'!$B$6:$B$505,$B6))/cfg_DAYS_Y)</f>
        <v>14.3013698630137</v>
      </c>
      <c r="AJ6" s="65" t="n">
        <f aca="false">IF($B6="","",MAX(0,AK6-(SUMIFS('سجل الإجازات والحالات'!$AL$6:$AL$505,'سجل الإجازات والحالات'!$B$6:$B$505,$B6)-SUMIFS('سجل الإجازات والحالات'!$AK$6:$AK$505,'سجل الإجازات والحالات'!$B$6:$B$505,$B6))))</f>
        <v>31</v>
      </c>
      <c r="AK6" s="65" t="n">
        <f aca="false">IF($B6="","",MAX(0,IF(OR(الموظفون!$AE6="",الموظفون!$AE6&gt;$F$3),$F$3,الموظفون!$AE6)-MAX($E$3,الموظفون!$H6)+1))</f>
        <v>31</v>
      </c>
      <c r="AL6" s="151" t="n">
        <f aca="false">IF($B6="","",SUMIFS('سجل الإجازات والحالات'!$AX$6:$AX$505,'سجل الإجازات والحالات'!$B$6:$B$505,$B6)+SUMIFS('الحركات الشهرية'!$K$6:$K$1005,'الحركات الشهرية'!$B$6:$B$1005,$B6,'الحركات الشهرية'!$A$6:$A$1005,$C$3))</f>
        <v>0</v>
      </c>
      <c r="AM6" s="111" t="n">
        <f aca="false">IF($B6="","",AL6*الموظفون!$R6/cfg_DAYS_M+S6)</f>
        <v>0</v>
      </c>
      <c r="AN6" s="151" t="n">
        <f aca="false">IF($B6="","",SUMIFS('سجل الإجازات والحالات'!$Z$6:$Z$505,'سجل الإجازات والحالات'!$B$6:$B$505,$B6))</f>
        <v>0</v>
      </c>
    </row>
    <row r="7" customFormat="false" ht="15" hidden="false" customHeight="false" outlineLevel="0" collapsed="false">
      <c r="A7" s="115" t="n">
        <f aca="false">IF($B7="","",الموظفون!$A7)</f>
        <v>2</v>
      </c>
      <c r="B7" s="117" t="str">
        <f aca="false">IF(الموظفون!$B7="","",الموظفون!$B7)</f>
        <v>E002</v>
      </c>
      <c r="C7" s="117" t="str">
        <f aca="false">IF($B7="","",الموظفون!$C7)</f>
        <v>أحمد سعيد القحطاني</v>
      </c>
      <c r="D7" s="117" t="str">
        <f aca="false">IF($B7="","",الموظفون!$F7)</f>
        <v>المالية</v>
      </c>
      <c r="E7" s="117" t="str">
        <f aca="false">IF($B7="","",الموظفون!$E7)</f>
        <v>سعودي</v>
      </c>
      <c r="F7" s="117" t="str">
        <f aca="false">IF($B7="","",IF(AK7=0,IF(AND(الموظفون!$AE7&lt;&gt;"",الموظفون!$AE7&lt;$E$3),"✖ منتهي الخدمة","⏳ لم يباشر"),IF(S7&gt;0,"✈ راتب إجازة مقدم",IF(J7=0,"⛔ بدون راتب هذا الشهر",IF(I7&gt;0,"✈ خصم "&amp;ROUND(I7,2)&amp;" يوم بدون أجر",IF(AL7&gt;0,"🌴 إجازة سنوية "&amp;ROUND(AL7,2)&amp;" يوم",IF(H7&gt;0,"⚠ غياب "&amp;ROUND(H7,2)&amp;" يوم","✔ على رأس العمل")))))))</f>
        <v>✔ على رأس العمل</v>
      </c>
      <c r="G7" s="156" t="n">
        <f aca="false">IF($B7="","",IF(AK7&gt;=DAY($F$3),cfg_DAYS_M,MIN(AK7,cfg_DAYS_M)))</f>
        <v>30</v>
      </c>
      <c r="H7" s="156" t="n">
        <f aca="false">IF($B7="","",SUMIFS('الحركات الشهرية'!$D$6:$D$1005,'الحركات الشهرية'!$B$6:$B$1005,$B7,'الحركات الشهرية'!$A$6:$A$1005,$C$3))</f>
        <v>0</v>
      </c>
      <c r="I7" s="156" t="n">
        <f aca="false">IF($B7="","",MIN(G7,IF(AND(AK7&gt;0,AN7&gt;=AK7),G7,AN7)+SUMIFS('الحركات الشهرية'!$E$6:$E$1005,'الحركات الشهرية'!$B$6:$B$1005,$B7,'الحركات الشهرية'!$A$6:$A$1005,$C$3)))</f>
        <v>0</v>
      </c>
      <c r="J7" s="156" t="n">
        <f aca="false">IF($B7="","",MAX(0,G7-H7-I7))</f>
        <v>30</v>
      </c>
      <c r="K7" s="116" t="n">
        <f aca="false">IF($B7="","",الموظفون!$L7*$J7/cfg_DAYS_M)</f>
        <v>18000</v>
      </c>
      <c r="L7" s="116" t="n">
        <f aca="false">IF($B7="","",الموظفون!$M7*$J7/cfg_DAYS_M)</f>
        <v>4500</v>
      </c>
      <c r="M7" s="116" t="n">
        <f aca="false">IF($B7="","",الموظفون!$N7*$J7/cfg_DAYS_M)</f>
        <v>1800</v>
      </c>
      <c r="N7" s="116" t="n">
        <f aca="false">IF($B7="","",الموظفون!$O7*$J7/cfg_DAYS_M)</f>
        <v>1000</v>
      </c>
      <c r="O7" s="156" t="n">
        <f aca="false">IF($B7="","",SUMIFS('الحركات الشهرية'!$F$6:$F$1005,'الحركات الشهرية'!$B$6:$B$1005,$B7,'الحركات الشهرية'!$A$6:$A$1005,$C$3))</f>
        <v>0</v>
      </c>
      <c r="P7" s="116" t="n">
        <f aca="false">IF($B7="","",O7*(الموظفون!$P7+الموظفون!$L7*cfg_OT_P)/cfg_DAYS_M/cfg_HRS)</f>
        <v>0</v>
      </c>
      <c r="Q7" s="116" t="n">
        <f aca="false">IF($B7="","",SUMIFS('الحركات الشهرية'!$G$6:$G$1005,'الحركات الشهرية'!$B$6:$B$1005,$B7,'الحركات الشهرية'!$A$6:$A$1005,$C$3))</f>
        <v>0</v>
      </c>
      <c r="R7" s="116" t="n">
        <f aca="false">IF($B7="","",SUMIFS('الحركات الشهرية'!$H$6:$H$1005,'الحركات الشهرية'!$B$6:$B$1005,$B7,'الحركات الشهرية'!$A$6:$A$1005,$C$3))</f>
        <v>0</v>
      </c>
      <c r="S7" s="116" t="n">
        <f aca="false">IF($B7="","",SUMIFS('سجل الإجازات والحالات'!$N$6:$N$505,'سجل الإجازات والحالات'!$B$6:$B$505,$B7,'سجل الإجازات والحالات'!$O$6:$O$505,$C$3))</f>
        <v>0</v>
      </c>
      <c r="T7" s="157" t="n">
        <f aca="false">IF($B7="","",SUM(K7:N7)+SUM(P7:S7))</f>
        <v>25300</v>
      </c>
      <c r="U7" s="116" t="n">
        <f aca="false">IF($B7="","",الموظفون!$S7*IF(E7="سعودي",cfg_G_SE,cfg_G_NE)*G7/cfg_DAYS_M)</f>
        <v>2193.75</v>
      </c>
      <c r="V7" s="116" t="n">
        <f aca="false">IF($B7="","",SUMIFS('الحركات الشهرية'!$I$6:$I$1005,'الحركات الشهرية'!$B$6:$B$1005,$B7,'الحركات الشهرية'!$A$6:$A$1005,$C$3))</f>
        <v>0</v>
      </c>
      <c r="W7" s="116" t="n">
        <f aca="false">IF($B7="","",SUMIFS('الحركات الشهرية'!$J$6:$J$1005,'الحركات الشهرية'!$B$6:$B$1005,$B7,'الحركات الشهرية'!$A$6:$A$1005,$C$3))</f>
        <v>0</v>
      </c>
      <c r="X7" s="116" t="n">
        <f aca="false">IF($B7="","",SUM(U7:W7))</f>
        <v>2193.75</v>
      </c>
      <c r="Y7" s="158" t="n">
        <f aca="false">IF($B7="","",T7-X7)</f>
        <v>23106.25</v>
      </c>
      <c r="Z7" s="116" t="n">
        <f aca="false">IF($B7="","",الموظفون!$S7*IF(E7="سعودي",cfg_G_SR,cfg_G_NR)*G7/cfg_DAYS_M)</f>
        <v>2643.75</v>
      </c>
      <c r="AA7" s="116" t="n">
        <f aca="false">IF($B7="","",الموظفون!$Q7*(cfg_EOS_R1*(MIN(AH7,cfg_EOS_TH)-MIN(AI7,cfg_EOS_TH))+cfg_EOS_R2*(MAX(AH7-cfg_EOS_TH,0)-MAX(AI7-cfg_EOS_TH,0))))</f>
        <v>2063.83561643837</v>
      </c>
      <c r="AB7" s="116" t="n">
        <f aca="false">IF($B7="","",IF(الموظفون!$T7&lt;&gt;"",الموظفون!$T7,IF(AH7&gt;=cfg_LV_TH,cfg_LV_D2,cfg_LV_D1))/cfg_DAYS_Y*AJ7*الموظفون!$R7/cfg_DAYS_M)</f>
        <v>2063.83561643836</v>
      </c>
      <c r="AC7" s="116" t="n">
        <f aca="false">IF($B7="","",IF(AND(الموظفون!$U7="نعم",N(الموظفون!$W7)&gt;0),الموظفون!$V7/الموظفون!$W7*12/cfg_DAYS_Y*AJ7,0))</f>
        <v>0</v>
      </c>
      <c r="AD7" s="116" t="n">
        <f aca="false">IF($B7="","",(IF(الموظفون!$X7&lt;&gt;"",الموظفون!$X7,IF(الموظفون!$E7="غير سعودي",cfg_IQ,0))+IF(الموظفون!$Y7&lt;&gt;"",الموظفون!$Y7,IF(الموظفون!$E7="غير سعودي",cfg_WP,0)))/12*G7/cfg_DAYS_M)</f>
        <v>0</v>
      </c>
      <c r="AE7" s="116" t="n">
        <f aca="false">IF($B7="","",IF(الموظفون!$Z7&lt;&gt;"",الموظفون!$Z7,cfg_MED)/12*G7/cfg_DAYS_M)</f>
        <v>300</v>
      </c>
      <c r="AF7" s="116" t="n">
        <f aca="false">IF($B7="","",N(الموظفون!$AA7)/12*G7/cfg_DAYS_M)</f>
        <v>0</v>
      </c>
      <c r="AG7" s="159" t="n">
        <f aca="false">IF($B7="","",T7+SUM(Z7:AF7))</f>
        <v>32371.4212328767</v>
      </c>
      <c r="AH7" s="160" t="n">
        <f aca="false">IF($B7="","",MAX(0,IF(OR(الموظفون!$AE7="",الموظفون!$AE7&gt;$F$3),$F$3,الموظفون!$AE7)-الموظفون!$H7+1-SUMIFS('سجل الإجازات والحالات'!$AL$6:$AL$505,'سجل الإجازات والحالات'!$B$6:$B$505,$B7))/cfg_DAYS_Y)</f>
        <v>10.0054794520548</v>
      </c>
      <c r="AI7" s="160" t="n">
        <f aca="false">IF($B7="","",MAX(0,IF(OR(الموظفون!$AE7="",الموظفون!$AE7&gt;($E$3-1)),($E$3-1),الموظفون!$AE7)-الموظفون!$H7+1-SUMIFS('سجل الإجازات والحالات'!$AK$6:$AK$505,'سجل الإجازات والحالات'!$B$6:$B$505,$B7))/cfg_DAYS_Y)</f>
        <v>9.92054794520548</v>
      </c>
      <c r="AJ7" s="133" t="n">
        <f aca="false">IF($B7="","",MAX(0,AK7-(SUMIFS('سجل الإجازات والحالات'!$AL$6:$AL$505,'سجل الإجازات والحالات'!$B$6:$B$505,$B7)-SUMIFS('سجل الإجازات والحالات'!$AK$6:$AK$505,'سجل الإجازات والحالات'!$B$6:$B$505,$B7))))</f>
        <v>31</v>
      </c>
      <c r="AK7" s="133" t="n">
        <f aca="false">IF($B7="","",MAX(0,IF(OR(الموظفون!$AE7="",الموظفون!$AE7&gt;$F$3),$F$3,الموظفون!$AE7)-MAX($E$3,الموظفون!$H7)+1))</f>
        <v>31</v>
      </c>
      <c r="AL7" s="156" t="n">
        <f aca="false">IF($B7="","",SUMIFS('سجل الإجازات والحالات'!$AX$6:$AX$505,'سجل الإجازات والحالات'!$B$6:$B$505,$B7)+SUMIFS('الحركات الشهرية'!$K$6:$K$1005,'الحركات الشهرية'!$B$6:$B$1005,$B7,'الحركات الشهرية'!$A$6:$A$1005,$C$3))</f>
        <v>0</v>
      </c>
      <c r="AM7" s="116" t="n">
        <f aca="false">IF($B7="","",AL7*الموظفون!$R7/cfg_DAYS_M+S7)</f>
        <v>0</v>
      </c>
      <c r="AN7" s="156" t="n">
        <f aca="false">IF($B7="","",SUMIFS('سجل الإجازات والحالات'!$Z$6:$Z$505,'سجل الإجازات والحالات'!$B$6:$B$505,$B7))</f>
        <v>0</v>
      </c>
    </row>
    <row r="8" customFormat="false" ht="15" hidden="false" customHeight="false" outlineLevel="0" collapsed="false">
      <c r="A8" s="106" t="n">
        <f aca="false">IF($B8="","",الموظفون!$A8)</f>
        <v>3</v>
      </c>
      <c r="B8" s="114" t="str">
        <f aca="false">IF(الموظفون!$B8="","",الموظفون!$B8)</f>
        <v>E003</v>
      </c>
      <c r="C8" s="114" t="str">
        <f aca="false">IF($B8="","",الموظفون!$C8)</f>
        <v>محمد علي حسن</v>
      </c>
      <c r="D8" s="114" t="str">
        <f aca="false">IF($B8="","",الموظفون!$F8)</f>
        <v>المالية</v>
      </c>
      <c r="E8" s="114" t="str">
        <f aca="false">IF($B8="","",الموظفون!$E8)</f>
        <v>غير سعودي</v>
      </c>
      <c r="F8" s="114" t="str">
        <f aca="false">IF($B8="","",IF(AK8=0,IF(AND(الموظفون!$AE8&lt;&gt;"",الموظفون!$AE8&lt;$E$3),"✖ منتهي الخدمة","⏳ لم يباشر"),IF(S8&gt;0,"✈ راتب إجازة مقدم",IF(J8=0,"⛔ بدون راتب هذا الشهر",IF(I8&gt;0,"✈ خصم "&amp;ROUND(I8,2)&amp;" يوم بدون أجر",IF(AL8&gt;0,"🌴 إجازة سنوية "&amp;ROUND(AL8,2)&amp;" يوم",IF(H8&gt;0,"⚠ غياب "&amp;ROUND(H8,2)&amp;" يوم","✔ على رأس العمل")))))))</f>
        <v>✔ على رأس العمل</v>
      </c>
      <c r="G8" s="151" t="n">
        <f aca="false">IF($B8="","",IF(AK8&gt;=DAY($F$3),cfg_DAYS_M,MIN(AK8,cfg_DAYS_M)))</f>
        <v>30</v>
      </c>
      <c r="H8" s="151" t="n">
        <f aca="false">IF($B8="","",SUMIFS('الحركات الشهرية'!$D$6:$D$1005,'الحركات الشهرية'!$B$6:$B$1005,$B8,'الحركات الشهرية'!$A$6:$A$1005,$C$3))</f>
        <v>0</v>
      </c>
      <c r="I8" s="151" t="n">
        <f aca="false">IF($B8="","",MIN(G8,IF(AND(AK8&gt;0,AN8&gt;=AK8),G8,AN8)+SUMIFS('الحركات الشهرية'!$E$6:$E$1005,'الحركات الشهرية'!$B$6:$B$1005,$B8,'الحركات الشهرية'!$A$6:$A$1005,$C$3)))</f>
        <v>0</v>
      </c>
      <c r="J8" s="151" t="n">
        <f aca="false">IF($B8="","",MAX(0,G8-H8-I8))</f>
        <v>30</v>
      </c>
      <c r="K8" s="111" t="n">
        <f aca="false">IF($B8="","",الموظفون!$L8*$J8/cfg_DAYS_M)</f>
        <v>8500</v>
      </c>
      <c r="L8" s="111" t="n">
        <f aca="false">IF($B8="","",الموظفون!$M8*$J8/cfg_DAYS_M)</f>
        <v>2125</v>
      </c>
      <c r="M8" s="111" t="n">
        <f aca="false">IF($B8="","",الموظفون!$N8*$J8/cfg_DAYS_M)</f>
        <v>850</v>
      </c>
      <c r="N8" s="111" t="n">
        <f aca="false">IF($B8="","",الموظفون!$O8*$J8/cfg_DAYS_M)</f>
        <v>500</v>
      </c>
      <c r="O8" s="151" t="n">
        <f aca="false">IF($B8="","",SUMIFS('الحركات الشهرية'!$F$6:$F$1005,'الحركات الشهرية'!$B$6:$B$1005,$B8,'الحركات الشهرية'!$A$6:$A$1005,$C$3))</f>
        <v>0</v>
      </c>
      <c r="P8" s="111" t="n">
        <f aca="false">IF($B8="","",O8*(الموظفون!$P8+الموظفون!$L8*cfg_OT_P)/cfg_DAYS_M/cfg_HRS)</f>
        <v>0</v>
      </c>
      <c r="Q8" s="111" t="n">
        <f aca="false">IF($B8="","",SUMIFS('الحركات الشهرية'!$G$6:$G$1005,'الحركات الشهرية'!$B$6:$B$1005,$B8,'الحركات الشهرية'!$A$6:$A$1005,$C$3))</f>
        <v>0</v>
      </c>
      <c r="R8" s="111" t="n">
        <f aca="false">IF($B8="","",SUMIFS('الحركات الشهرية'!$H$6:$H$1005,'الحركات الشهرية'!$B$6:$B$1005,$B8,'الحركات الشهرية'!$A$6:$A$1005,$C$3))</f>
        <v>0</v>
      </c>
      <c r="S8" s="111" t="n">
        <f aca="false">IF($B8="","",SUMIFS('سجل الإجازات والحالات'!$N$6:$N$505,'سجل الإجازات والحالات'!$B$6:$B$505,$B8,'سجل الإجازات والحالات'!$O$6:$O$505,$C$3))</f>
        <v>0</v>
      </c>
      <c r="T8" s="152" t="n">
        <f aca="false">IF($B8="","",SUM(K8:N8)+SUM(P8:S8))</f>
        <v>11975</v>
      </c>
      <c r="U8" s="111" t="n">
        <f aca="false">IF($B8="","",الموظفون!$S8*IF(E8="سعودي",cfg_G_SE,cfg_G_NE)*G8/cfg_DAYS_M)</f>
        <v>0</v>
      </c>
      <c r="V8" s="111" t="n">
        <f aca="false">IF($B8="","",SUMIFS('الحركات الشهرية'!$I$6:$I$1005,'الحركات الشهرية'!$B$6:$B$1005,$B8,'الحركات الشهرية'!$A$6:$A$1005,$C$3))</f>
        <v>1000</v>
      </c>
      <c r="W8" s="111" t="n">
        <f aca="false">IF($B8="","",SUMIFS('الحركات الشهرية'!$J$6:$J$1005,'الحركات الشهرية'!$B$6:$B$1005,$B8,'الحركات الشهرية'!$A$6:$A$1005,$C$3))</f>
        <v>0</v>
      </c>
      <c r="X8" s="111" t="n">
        <f aca="false">IF($B8="","",SUM(U8:W8))</f>
        <v>1000</v>
      </c>
      <c r="Y8" s="153" t="n">
        <f aca="false">IF($B8="","",T8-X8)</f>
        <v>10975</v>
      </c>
      <c r="Z8" s="111" t="n">
        <f aca="false">IF($B8="","",الموظفون!$S8*IF(E8="سعودي",cfg_G_SR,cfg_G_NR)*G8/cfg_DAYS_M)</f>
        <v>212.5</v>
      </c>
      <c r="AA8" s="111" t="n">
        <f aca="false">IF($B8="","",الموظفون!$Q8*(cfg_EOS_R1*(MIN(AH8,cfg_EOS_TH)-MIN(AI8,cfg_EOS_TH))+cfg_EOS_R2*(MAX(AH8-cfg_EOS_TH,0)-MAX(AI8-cfg_EOS_TH,0))))</f>
        <v>974.589041095885</v>
      </c>
      <c r="AB8" s="111" t="n">
        <f aca="false">IF($B8="","",IF(الموظفون!$T8&lt;&gt;"",الموظفون!$T8,IF(AH8&gt;=cfg_LV_TH,cfg_LV_D2,cfg_LV_D1))/cfg_DAYS_Y*AJ8*الموظفون!$R8/cfg_DAYS_M)</f>
        <v>974.589041095891</v>
      </c>
      <c r="AC8" s="111" t="n">
        <f aca="false">IF($B8="","",IF(AND(الموظفون!$U8="نعم",N(الموظفون!$W8)&gt;0),الموظفون!$V8/الموظفون!$W8*12/cfg_DAYS_Y*AJ8,0))</f>
        <v>135.890410958904</v>
      </c>
      <c r="AD8" s="111" t="n">
        <f aca="false">IF($B8="","",(IF(الموظفون!$X8&lt;&gt;"",الموظفون!$X8,IF(الموظفون!$E8="غير سعودي",cfg_IQ,0))+IF(الموظفون!$Y8&lt;&gt;"",الموظفون!$Y8,IF(الموظفون!$E8="غير سعودي",cfg_WP,0)))/12*G8/cfg_DAYS_M)</f>
        <v>854.166666666667</v>
      </c>
      <c r="AE8" s="111" t="n">
        <f aca="false">IF($B8="","",IF(الموظفون!$Z8&lt;&gt;"",الموظفون!$Z8,cfg_MED)/12*G8/cfg_DAYS_M)</f>
        <v>200</v>
      </c>
      <c r="AF8" s="111" t="n">
        <f aca="false">IF($B8="","",N(الموظفون!$AA8)/12*G8/cfg_DAYS_M)</f>
        <v>0</v>
      </c>
      <c r="AG8" s="154" t="n">
        <f aca="false">IF($B8="","",T8+SUM(Z8:AF8))</f>
        <v>15326.7351598173</v>
      </c>
      <c r="AH8" s="155" t="n">
        <f aca="false">IF($B8="","",MAX(0,IF(OR(الموظفون!$AE8="",الموظفون!$AE8&gt;$F$3),$F$3,الموظفون!$AE8)-الموظفون!$H8+1-SUMIFS('سجل الإجازات والحالات'!$AL$6:$AL$505,'سجل الإجازات والحالات'!$B$6:$B$505,$B8))/cfg_DAYS_Y)</f>
        <v>7.72876712328767</v>
      </c>
      <c r="AI8" s="155" t="n">
        <f aca="false">IF($B8="","",MAX(0,IF(OR(الموظفون!$AE8="",الموظفون!$AE8&gt;($E$3-1)),($E$3-1),الموظفون!$AE8)-الموظفون!$H8+1-SUMIFS('سجل الإجازات والحالات'!$AK$6:$AK$505,'سجل الإجازات والحالات'!$B$6:$B$505,$B8))/cfg_DAYS_Y)</f>
        <v>7.64383561643836</v>
      </c>
      <c r="AJ8" s="65" t="n">
        <f aca="false">IF($B8="","",MAX(0,AK8-(SUMIFS('سجل الإجازات والحالات'!$AL$6:$AL$505,'سجل الإجازات والحالات'!$B$6:$B$505,$B8)-SUMIFS('سجل الإجازات والحالات'!$AK$6:$AK$505,'سجل الإجازات والحالات'!$B$6:$B$505,$B8))))</f>
        <v>31</v>
      </c>
      <c r="AK8" s="65" t="n">
        <f aca="false">IF($B8="","",MAX(0,IF(OR(الموظفون!$AE8="",الموظفون!$AE8&gt;$F$3),$F$3,الموظفون!$AE8)-MAX($E$3,الموظفون!$H8)+1))</f>
        <v>31</v>
      </c>
      <c r="AL8" s="151" t="n">
        <f aca="false">IF($B8="","",SUMIFS('سجل الإجازات والحالات'!$AX$6:$AX$505,'سجل الإجازات والحالات'!$B$6:$B$505,$B8)+SUMIFS('الحركات الشهرية'!$K$6:$K$1005,'الحركات الشهرية'!$B$6:$B$1005,$B8,'الحركات الشهرية'!$A$6:$A$1005,$C$3))</f>
        <v>0</v>
      </c>
      <c r="AM8" s="111" t="n">
        <f aca="false">IF($B8="","",AL8*الموظفون!$R8/cfg_DAYS_M+S8)</f>
        <v>0</v>
      </c>
      <c r="AN8" s="151" t="n">
        <f aca="false">IF($B8="","",SUMIFS('سجل الإجازات والحالات'!$Z$6:$Z$505,'سجل الإجازات والحالات'!$B$6:$B$505,$B8))</f>
        <v>0</v>
      </c>
    </row>
    <row r="9" customFormat="false" ht="15" hidden="false" customHeight="false" outlineLevel="0" collapsed="false">
      <c r="A9" s="115" t="n">
        <f aca="false">IF($B9="","",الموظفون!$A9)</f>
        <v>4</v>
      </c>
      <c r="B9" s="117" t="str">
        <f aca="false">IF(الموظفون!$B9="","",الموظفون!$B9)</f>
        <v>E004</v>
      </c>
      <c r="C9" s="117" t="str">
        <f aca="false">IF($B9="","",الموظفون!$C9)</f>
        <v>نورة خالد الدوسري</v>
      </c>
      <c r="D9" s="117" t="str">
        <f aca="false">IF($B9="","",الموظفون!$F9)</f>
        <v>الموارد البشرية</v>
      </c>
      <c r="E9" s="117" t="str">
        <f aca="false">IF($B9="","",الموظفون!$E9)</f>
        <v>سعودي</v>
      </c>
      <c r="F9" s="117" t="str">
        <f aca="false">IF($B9="","",IF(AK9=0,IF(AND(الموظفون!$AE9&lt;&gt;"",الموظفون!$AE9&lt;$E$3),"✖ منتهي الخدمة","⏳ لم يباشر"),IF(S9&gt;0,"✈ راتب إجازة مقدم",IF(J9=0,"⛔ بدون راتب هذا الشهر",IF(I9&gt;0,"✈ خصم "&amp;ROUND(I9,2)&amp;" يوم بدون أجر",IF(AL9&gt;0,"🌴 إجازة سنوية "&amp;ROUND(AL9,2)&amp;" يوم",IF(H9&gt;0,"⚠ غياب "&amp;ROUND(H9,2)&amp;" يوم","✔ على رأس العمل")))))))</f>
        <v>✔ على رأس العمل</v>
      </c>
      <c r="G9" s="156" t="n">
        <f aca="false">IF($B9="","",IF(AK9&gt;=DAY($F$3),cfg_DAYS_M,MIN(AK9,cfg_DAYS_M)))</f>
        <v>30</v>
      </c>
      <c r="H9" s="156" t="n">
        <f aca="false">IF($B9="","",SUMIFS('الحركات الشهرية'!$D$6:$D$1005,'الحركات الشهرية'!$B$6:$B$1005,$B9,'الحركات الشهرية'!$A$6:$A$1005,$C$3))</f>
        <v>0</v>
      </c>
      <c r="I9" s="156" t="n">
        <f aca="false">IF($B9="","",MIN(G9,IF(AND(AK9&gt;0,AN9&gt;=AK9),G9,AN9)+SUMIFS('الحركات الشهرية'!$E$6:$E$1005,'الحركات الشهرية'!$B$6:$B$1005,$B9,'الحركات الشهرية'!$A$6:$A$1005,$C$3)))</f>
        <v>0</v>
      </c>
      <c r="J9" s="156" t="n">
        <f aca="false">IF($B9="","",MAX(0,G9-H9-I9))</f>
        <v>30</v>
      </c>
      <c r="K9" s="116" t="n">
        <f aca="false">IF($B9="","",الموظفون!$L9*$J9/cfg_DAYS_M)</f>
        <v>14000</v>
      </c>
      <c r="L9" s="116" t="n">
        <f aca="false">IF($B9="","",الموظفون!$M9*$J9/cfg_DAYS_M)</f>
        <v>3500</v>
      </c>
      <c r="M9" s="116" t="n">
        <f aca="false">IF($B9="","",الموظفون!$N9*$J9/cfg_DAYS_M)</f>
        <v>1400</v>
      </c>
      <c r="N9" s="116" t="n">
        <f aca="false">IF($B9="","",الموظفون!$O9*$J9/cfg_DAYS_M)</f>
        <v>0</v>
      </c>
      <c r="O9" s="156" t="n">
        <f aca="false">IF($B9="","",SUMIFS('الحركات الشهرية'!$F$6:$F$1005,'الحركات الشهرية'!$B$6:$B$1005,$B9,'الحركات الشهرية'!$A$6:$A$1005,$C$3))</f>
        <v>0</v>
      </c>
      <c r="P9" s="116" t="n">
        <f aca="false">IF($B9="","",O9*(الموظفون!$P9+الموظفون!$L9*cfg_OT_P)/cfg_DAYS_M/cfg_HRS)</f>
        <v>0</v>
      </c>
      <c r="Q9" s="116" t="n">
        <f aca="false">IF($B9="","",SUMIFS('الحركات الشهرية'!$G$6:$G$1005,'الحركات الشهرية'!$B$6:$B$1005,$B9,'الحركات الشهرية'!$A$6:$A$1005,$C$3))</f>
        <v>0</v>
      </c>
      <c r="R9" s="116" t="n">
        <f aca="false">IF($B9="","",SUMIFS('الحركات الشهرية'!$H$6:$H$1005,'الحركات الشهرية'!$B$6:$B$1005,$B9,'الحركات الشهرية'!$A$6:$A$1005,$C$3))</f>
        <v>0</v>
      </c>
      <c r="S9" s="116" t="n">
        <f aca="false">IF($B9="","",SUMIFS('سجل الإجازات والحالات'!$N$6:$N$505,'سجل الإجازات والحالات'!$B$6:$B$505,$B9,'سجل الإجازات والحالات'!$O$6:$O$505,$C$3))</f>
        <v>0</v>
      </c>
      <c r="T9" s="157" t="n">
        <f aca="false">IF($B9="","",SUM(K9:N9)+SUM(P9:S9))</f>
        <v>18900</v>
      </c>
      <c r="U9" s="116" t="n">
        <f aca="false">IF($B9="","",الموظفون!$S9*IF(E9="سعودي",cfg_G_SE,cfg_G_NE)*G9/cfg_DAYS_M)</f>
        <v>1706.25</v>
      </c>
      <c r="V9" s="116" t="n">
        <f aca="false">IF($B9="","",SUMIFS('الحركات الشهرية'!$I$6:$I$1005,'الحركات الشهرية'!$B$6:$B$1005,$B9,'الحركات الشهرية'!$A$6:$A$1005,$C$3))</f>
        <v>0</v>
      </c>
      <c r="W9" s="116" t="n">
        <f aca="false">IF($B9="","",SUMIFS('الحركات الشهرية'!$J$6:$J$1005,'الحركات الشهرية'!$B$6:$B$1005,$B9,'الحركات الشهرية'!$A$6:$A$1005,$C$3))</f>
        <v>0</v>
      </c>
      <c r="X9" s="116" t="n">
        <f aca="false">IF($B9="","",SUM(U9:W9))</f>
        <v>1706.25</v>
      </c>
      <c r="Y9" s="158" t="n">
        <f aca="false">IF($B9="","",T9-X9)</f>
        <v>17193.75</v>
      </c>
      <c r="Z9" s="116" t="n">
        <f aca="false">IF($B9="","",الموظفون!$S9*IF(E9="سعودي",cfg_G_SR,cfg_G_NR)*G9/cfg_DAYS_M)</f>
        <v>2056.25</v>
      </c>
      <c r="AA9" s="116" t="n">
        <f aca="false">IF($B9="","",الموظفون!$Q9*(cfg_EOS_R1*(MIN(AH9,cfg_EOS_TH)-MIN(AI9,cfg_EOS_TH))+cfg_EOS_R2*(MAX(AH9-cfg_EOS_TH,0)-MAX(AI9-cfg_EOS_TH,0))))</f>
        <v>1605.20547945205</v>
      </c>
      <c r="AB9" s="116" t="n">
        <f aca="false">IF($B9="","",IF(الموظفون!$T9&lt;&gt;"",الموظفون!$T9,IF(AH9&gt;=cfg_LV_TH,cfg_LV_D2,cfg_LV_D1))/cfg_DAYS_Y*AJ9*الموظفون!$R9/cfg_DAYS_M)</f>
        <v>1605.20547945205</v>
      </c>
      <c r="AC9" s="116" t="n">
        <f aca="false">IF($B9="","",IF(AND(الموظفون!$U9="نعم",N(الموظفون!$W9)&gt;0),الموظفون!$V9/الموظفون!$W9*12/cfg_DAYS_Y*AJ9,0))</f>
        <v>0</v>
      </c>
      <c r="AD9" s="116" t="n">
        <f aca="false">IF($B9="","",(IF(الموظفون!$X9&lt;&gt;"",الموظفون!$X9,IF(الموظفون!$E9="غير سعودي",cfg_IQ,0))+IF(الموظفون!$Y9&lt;&gt;"",الموظفون!$Y9,IF(الموظفون!$E9="غير سعودي",cfg_WP,0)))/12*G9/cfg_DAYS_M)</f>
        <v>0</v>
      </c>
      <c r="AE9" s="116" t="n">
        <f aca="false">IF($B9="","",IF(الموظفون!$Z9&lt;&gt;"",الموظفون!$Z9,cfg_MED)/12*G9/cfg_DAYS_M)</f>
        <v>300</v>
      </c>
      <c r="AF9" s="116" t="n">
        <f aca="false">IF($B9="","",N(الموظفون!$AA9)/12*G9/cfg_DAYS_M)</f>
        <v>0</v>
      </c>
      <c r="AG9" s="159" t="n">
        <f aca="false">IF($B9="","",T9+SUM(Z9:AF9))</f>
        <v>24466.6609589041</v>
      </c>
      <c r="AH9" s="160" t="n">
        <f aca="false">IF($B9="","",MAX(0,IF(OR(الموظفون!$AE9="",الموظفون!$AE9&gt;$F$3),$F$3,الموظفون!$AE9)-الموظفون!$H9+1-SUMIFS('سجل الإجازات والحالات'!$AL$6:$AL$505,'سجل الإجازات والحالات'!$B$6:$B$505,$B9))/cfg_DAYS_Y)</f>
        <v>7.33424657534247</v>
      </c>
      <c r="AI9" s="160" t="n">
        <f aca="false">IF($B9="","",MAX(0,IF(OR(الموظفون!$AE9="",الموظفون!$AE9&gt;($E$3-1)),($E$3-1),الموظفون!$AE9)-الموظفون!$H9+1-SUMIFS('سجل الإجازات والحالات'!$AK$6:$AK$505,'سجل الإجازات والحالات'!$B$6:$B$505,$B9))/cfg_DAYS_Y)</f>
        <v>7.24931506849315</v>
      </c>
      <c r="AJ9" s="133" t="n">
        <f aca="false">IF($B9="","",MAX(0,AK9-(SUMIFS('سجل الإجازات والحالات'!$AL$6:$AL$505,'سجل الإجازات والحالات'!$B$6:$B$505,$B9)-SUMIFS('سجل الإجازات والحالات'!$AK$6:$AK$505,'سجل الإجازات والحالات'!$B$6:$B$505,$B9))))</f>
        <v>31</v>
      </c>
      <c r="AK9" s="133" t="n">
        <f aca="false">IF($B9="","",MAX(0,IF(OR(الموظفون!$AE9="",الموظفون!$AE9&gt;$F$3),$F$3,الموظفون!$AE9)-MAX($E$3,الموظفون!$H9)+1))</f>
        <v>31</v>
      </c>
      <c r="AL9" s="156" t="n">
        <f aca="false">IF($B9="","",SUMIFS('سجل الإجازات والحالات'!$AX$6:$AX$505,'سجل الإجازات والحالات'!$B$6:$B$505,$B9)+SUMIFS('الحركات الشهرية'!$K$6:$K$1005,'الحركات الشهرية'!$B$6:$B$1005,$B9,'الحركات الشهرية'!$A$6:$A$1005,$C$3))</f>
        <v>0</v>
      </c>
      <c r="AM9" s="116" t="n">
        <f aca="false">IF($B9="","",AL9*الموظفون!$R9/cfg_DAYS_M+S9)</f>
        <v>0</v>
      </c>
      <c r="AN9" s="156" t="n">
        <f aca="false">IF($B9="","",SUMIFS('سجل الإجازات والحالات'!$Z$6:$Z$505,'سجل الإجازات والحالات'!$B$6:$B$505,$B9))</f>
        <v>0</v>
      </c>
    </row>
    <row r="10" customFormat="false" ht="15" hidden="false" customHeight="false" outlineLevel="0" collapsed="false">
      <c r="A10" s="106" t="n">
        <f aca="false">IF($B10="","",الموظفون!$A10)</f>
        <v>5</v>
      </c>
      <c r="B10" s="114" t="str">
        <f aca="false">IF(الموظفون!$B10="","",الموظفون!$B10)</f>
        <v>E005</v>
      </c>
      <c r="C10" s="114" t="str">
        <f aca="false">IF($B10="","",الموظفون!$C10)</f>
        <v>راجيش كومار</v>
      </c>
      <c r="D10" s="114" t="str">
        <f aca="false">IF($B10="","",الموظفون!$F10)</f>
        <v>تقنية المعلومات</v>
      </c>
      <c r="E10" s="114" t="str">
        <f aca="false">IF($B10="","",الموظفون!$E10)</f>
        <v>غير سعودي</v>
      </c>
      <c r="F10" s="114" t="str">
        <f aca="false">IF($B10="","",IF(AK10=0,IF(AND(الموظفون!$AE10&lt;&gt;"",الموظفون!$AE10&lt;$E$3),"✖ منتهي الخدمة","⏳ لم يباشر"),IF(S10&gt;0,"✈ راتب إجازة مقدم",IF(J10=0,"⛔ بدون راتب هذا الشهر",IF(I10&gt;0,"✈ خصم "&amp;ROUND(I10,2)&amp;" يوم بدون أجر",IF(AL10&gt;0,"🌴 إجازة سنوية "&amp;ROUND(AL10,2)&amp;" يوم",IF(H10&gt;0,"⚠ غياب "&amp;ROUND(H10,2)&amp;" يوم","✔ على رأس العمل")))))))</f>
        <v>✔ على رأس العمل</v>
      </c>
      <c r="G10" s="151" t="n">
        <f aca="false">IF($B10="","",IF(AK10&gt;=DAY($F$3),cfg_DAYS_M,MIN(AK10,cfg_DAYS_M)))</f>
        <v>30</v>
      </c>
      <c r="H10" s="151" t="n">
        <f aca="false">IF($B10="","",SUMIFS('الحركات الشهرية'!$D$6:$D$1005,'الحركات الشهرية'!$B$6:$B$1005,$B10,'الحركات الشهرية'!$A$6:$A$1005,$C$3))</f>
        <v>0</v>
      </c>
      <c r="I10" s="151" t="n">
        <f aca="false">IF($B10="","",MIN(G10,IF(AND(AK10&gt;0,AN10&gt;=AK10),G10,AN10)+SUMIFS('الحركات الشهرية'!$E$6:$E$1005,'الحركات الشهرية'!$B$6:$B$1005,$B10,'الحركات الشهرية'!$A$6:$A$1005,$C$3)))</f>
        <v>0</v>
      </c>
      <c r="J10" s="151" t="n">
        <f aca="false">IF($B10="","",MAX(0,G10-H10-I10))</f>
        <v>30</v>
      </c>
      <c r="K10" s="111" t="n">
        <f aca="false">IF($B10="","",الموظفون!$L10*$J10/cfg_DAYS_M)</f>
        <v>9000</v>
      </c>
      <c r="L10" s="111" t="n">
        <f aca="false">IF($B10="","",الموظفون!$M10*$J10/cfg_DAYS_M)</f>
        <v>2250</v>
      </c>
      <c r="M10" s="111" t="n">
        <f aca="false">IF($B10="","",الموظفون!$N10*$J10/cfg_DAYS_M)</f>
        <v>900</v>
      </c>
      <c r="N10" s="111" t="n">
        <f aca="false">IF($B10="","",الموظفون!$O10*$J10/cfg_DAYS_M)</f>
        <v>700</v>
      </c>
      <c r="O10" s="151" t="n">
        <f aca="false">IF($B10="","",SUMIFS('الحركات الشهرية'!$F$6:$F$1005,'الحركات الشهرية'!$B$6:$B$1005,$B10,'الحركات الشهرية'!$A$6:$A$1005,$C$3))</f>
        <v>16</v>
      </c>
      <c r="P10" s="111" t="n">
        <f aca="false">IF($B10="","",O10*(الموظفون!$P10+الموظفون!$L10*cfg_OT_P)/cfg_DAYS_M/cfg_HRS)</f>
        <v>1156.66666666667</v>
      </c>
      <c r="Q10" s="111" t="n">
        <f aca="false">IF($B10="","",SUMIFS('الحركات الشهرية'!$G$6:$G$1005,'الحركات الشهرية'!$B$6:$B$1005,$B10,'الحركات الشهرية'!$A$6:$A$1005,$C$3))</f>
        <v>0</v>
      </c>
      <c r="R10" s="111" t="n">
        <f aca="false">IF($B10="","",SUMIFS('الحركات الشهرية'!$H$6:$H$1005,'الحركات الشهرية'!$B$6:$B$1005,$B10,'الحركات الشهرية'!$A$6:$A$1005,$C$3))</f>
        <v>0</v>
      </c>
      <c r="S10" s="111" t="n">
        <f aca="false">IF($B10="","",SUMIFS('سجل الإجازات والحالات'!$N$6:$N$505,'سجل الإجازات والحالات'!$B$6:$B$505,$B10,'سجل الإجازات والحالات'!$O$6:$O$505,$C$3))</f>
        <v>0</v>
      </c>
      <c r="T10" s="152" t="n">
        <f aca="false">IF($B10="","",SUM(K10:N10)+SUM(P10:S10))</f>
        <v>14006.6666666667</v>
      </c>
      <c r="U10" s="111" t="n">
        <f aca="false">IF($B10="","",الموظفون!$S10*IF(E10="سعودي",cfg_G_SE,cfg_G_NE)*G10/cfg_DAYS_M)</f>
        <v>0</v>
      </c>
      <c r="V10" s="111" t="n">
        <f aca="false">IF($B10="","",SUMIFS('الحركات الشهرية'!$I$6:$I$1005,'الحركات الشهرية'!$B$6:$B$1005,$B10,'الحركات الشهرية'!$A$6:$A$1005,$C$3))</f>
        <v>0</v>
      </c>
      <c r="W10" s="111" t="n">
        <f aca="false">IF($B10="","",SUMIFS('الحركات الشهرية'!$J$6:$J$1005,'الحركات الشهرية'!$B$6:$B$1005,$B10,'الحركات الشهرية'!$A$6:$A$1005,$C$3))</f>
        <v>0</v>
      </c>
      <c r="X10" s="111" t="n">
        <f aca="false">IF($B10="","",SUM(U10:W10))</f>
        <v>0</v>
      </c>
      <c r="Y10" s="153" t="n">
        <f aca="false">IF($B10="","",T10-X10)</f>
        <v>14006.6666666667</v>
      </c>
      <c r="Z10" s="111" t="n">
        <f aca="false">IF($B10="","",الموظفون!$S10*IF(E10="سعودي",cfg_G_SR,cfg_G_NR)*G10/cfg_DAYS_M)</f>
        <v>225</v>
      </c>
      <c r="AA10" s="111" t="n">
        <f aca="false">IF($B10="","",الموظفون!$Q10*(cfg_EOS_R1*(MIN(AH10,cfg_EOS_TH)-MIN(AI10,cfg_EOS_TH))+cfg_EOS_R2*(MAX(AH10-cfg_EOS_TH,0)-MAX(AI10-cfg_EOS_TH,0))))</f>
        <v>1031.91780821917</v>
      </c>
      <c r="AB10" s="111" t="n">
        <f aca="false">IF($B10="","",IF(الموظفون!$T10&lt;&gt;"",الموظفون!$T10,IF(AH10&gt;=cfg_LV_TH,cfg_LV_D2,cfg_LV_D1))/cfg_DAYS_Y*AJ10*الموظفون!$R10/cfg_DAYS_M)</f>
        <v>1031.91780821918</v>
      </c>
      <c r="AC10" s="111" t="n">
        <f aca="false">IF($B10="","",IF(AND(الموظفون!$U10="نعم",N(الموظفون!$W10)&gt;0),الموظفون!$V10/الموظفون!$W10*12/cfg_DAYS_Y*AJ10,0))</f>
        <v>237.808219178082</v>
      </c>
      <c r="AD10" s="111" t="n">
        <f aca="false">IF($B10="","",(IF(الموظفون!$X10&lt;&gt;"",الموظفون!$X10,IF(الموظفون!$E10="غير سعودي",cfg_IQ,0))+IF(الموظفون!$Y10&lt;&gt;"",الموظفون!$Y10,IF(الموظفون!$E10="غير سعودي",cfg_WP,0)))/12*G10/cfg_DAYS_M)</f>
        <v>854.166666666667</v>
      </c>
      <c r="AE10" s="111" t="n">
        <f aca="false">IF($B10="","",IF(الموظفون!$Z10&lt;&gt;"",الموظفون!$Z10,cfg_MED)/12*G10/cfg_DAYS_M)</f>
        <v>200</v>
      </c>
      <c r="AF10" s="111" t="n">
        <f aca="false">IF($B10="","",N(الموظفون!$AA10)/12*G10/cfg_DAYS_M)</f>
        <v>0</v>
      </c>
      <c r="AG10" s="154" t="n">
        <f aca="false">IF($B10="","",T10+SUM(Z10:AF10))</f>
        <v>17587.4771689498</v>
      </c>
      <c r="AH10" s="155" t="n">
        <f aca="false">IF($B10="","",MAX(0,IF(OR(الموظفون!$AE10="",الموظفون!$AE10&gt;$F$3),$F$3,الموظفون!$AE10)-الموظفون!$H10+1-SUMIFS('سجل الإجازات والحالات'!$AL$6:$AL$505,'سجل الإجازات والحالات'!$B$6:$B$505,$B10))/cfg_DAYS_Y)</f>
        <v>6.13972602739726</v>
      </c>
      <c r="AI10" s="155" t="n">
        <f aca="false">IF($B10="","",MAX(0,IF(OR(الموظفون!$AE10="",الموظفون!$AE10&gt;($E$3-1)),($E$3-1),الموظفون!$AE10)-الموظفون!$H10+1-SUMIFS('سجل الإجازات والحالات'!$AK$6:$AK$505,'سجل الإجازات والحالات'!$B$6:$B$505,$B10))/cfg_DAYS_Y)</f>
        <v>6.05479452054795</v>
      </c>
      <c r="AJ10" s="65" t="n">
        <f aca="false">IF($B10="","",MAX(0,AK10-(SUMIFS('سجل الإجازات والحالات'!$AL$6:$AL$505,'سجل الإجازات والحالات'!$B$6:$B$505,$B10)-SUMIFS('سجل الإجازات والحالات'!$AK$6:$AK$505,'سجل الإجازات والحالات'!$B$6:$B$505,$B10))))</f>
        <v>31</v>
      </c>
      <c r="AK10" s="65" t="n">
        <f aca="false">IF($B10="","",MAX(0,IF(OR(الموظفون!$AE10="",الموظفون!$AE10&gt;$F$3),$F$3,الموظفون!$AE10)-MAX($E$3,الموظفون!$H10)+1))</f>
        <v>31</v>
      </c>
      <c r="AL10" s="151" t="n">
        <f aca="false">IF($B10="","",SUMIFS('سجل الإجازات والحالات'!$AX$6:$AX$505,'سجل الإجازات والحالات'!$B$6:$B$505,$B10)+SUMIFS('الحركات الشهرية'!$K$6:$K$1005,'الحركات الشهرية'!$B$6:$B$1005,$B10,'الحركات الشهرية'!$A$6:$A$1005,$C$3))</f>
        <v>0</v>
      </c>
      <c r="AM10" s="111" t="n">
        <f aca="false">IF($B10="","",AL10*الموظفون!$R10/cfg_DAYS_M+S10)</f>
        <v>0</v>
      </c>
      <c r="AN10" s="151" t="n">
        <f aca="false">IF($B10="","",SUMIFS('سجل الإجازات والحالات'!$Z$6:$Z$505,'سجل الإجازات والحالات'!$B$6:$B$505,$B10))</f>
        <v>0</v>
      </c>
    </row>
    <row r="11" customFormat="false" ht="15" hidden="false" customHeight="false" outlineLevel="0" collapsed="false">
      <c r="A11" s="115" t="n">
        <f aca="false">IF($B11="","",الموظفون!$A11)</f>
        <v>6</v>
      </c>
      <c r="B11" s="117" t="str">
        <f aca="false">IF(الموظفون!$B11="","",الموظفون!$B11)</f>
        <v>E006</v>
      </c>
      <c r="C11" s="117" t="str">
        <f aca="false">IF($B11="","",الموظفون!$C11)</f>
        <v>فهد ناصر الشمري</v>
      </c>
      <c r="D11" s="117" t="str">
        <f aca="false">IF($B11="","",الموظفون!$F11)</f>
        <v>المبيعات</v>
      </c>
      <c r="E11" s="117" t="str">
        <f aca="false">IF($B11="","",الموظفون!$E11)</f>
        <v>سعودي</v>
      </c>
      <c r="F11" s="117" t="str">
        <f aca="false">IF($B11="","",IF(AK11=0,IF(AND(الموظفون!$AE11&lt;&gt;"",الموظفون!$AE11&lt;$E$3),"✖ منتهي الخدمة","⏳ لم يباشر"),IF(S11&gt;0,"✈ راتب إجازة مقدم",IF(J11=0,"⛔ بدون راتب هذا الشهر",IF(I11&gt;0,"✈ خصم "&amp;ROUND(I11,2)&amp;" يوم بدون أجر",IF(AL11&gt;0,"🌴 إجازة سنوية "&amp;ROUND(AL11,2)&amp;" يوم",IF(H11&gt;0,"⚠ غياب "&amp;ROUND(H11,2)&amp;" يوم","✔ على رأس العمل")))))))</f>
        <v>✔ على رأس العمل</v>
      </c>
      <c r="G11" s="156" t="n">
        <f aca="false">IF($B11="","",IF(AK11&gt;=DAY($F$3),cfg_DAYS_M,MIN(AK11,cfg_DAYS_M)))</f>
        <v>30</v>
      </c>
      <c r="H11" s="156" t="n">
        <f aca="false">IF($B11="","",SUMIFS('الحركات الشهرية'!$D$6:$D$1005,'الحركات الشهرية'!$B$6:$B$1005,$B11,'الحركات الشهرية'!$A$6:$A$1005,$C$3))</f>
        <v>0</v>
      </c>
      <c r="I11" s="156" t="n">
        <f aca="false">IF($B11="","",MIN(G11,IF(AND(AK11&gt;0,AN11&gt;=AK11),G11,AN11)+SUMIFS('الحركات الشهرية'!$E$6:$E$1005,'الحركات الشهرية'!$B$6:$B$1005,$B11,'الحركات الشهرية'!$A$6:$A$1005,$C$3)))</f>
        <v>0</v>
      </c>
      <c r="J11" s="156" t="n">
        <f aca="false">IF($B11="","",MAX(0,G11-H11-I11))</f>
        <v>30</v>
      </c>
      <c r="K11" s="116" t="n">
        <f aca="false">IF($B11="","",الموظفون!$L11*$J11/cfg_DAYS_M)</f>
        <v>13000</v>
      </c>
      <c r="L11" s="116" t="n">
        <f aca="false">IF($B11="","",الموظفون!$M11*$J11/cfg_DAYS_M)</f>
        <v>3250</v>
      </c>
      <c r="M11" s="116" t="n">
        <f aca="false">IF($B11="","",الموظفون!$N11*$J11/cfg_DAYS_M)</f>
        <v>1300</v>
      </c>
      <c r="N11" s="116" t="n">
        <f aca="false">IF($B11="","",الموظفون!$O11*$J11/cfg_DAYS_M)</f>
        <v>2500</v>
      </c>
      <c r="O11" s="156" t="n">
        <f aca="false">IF($B11="","",SUMIFS('الحركات الشهرية'!$F$6:$F$1005,'الحركات الشهرية'!$B$6:$B$1005,$B11,'الحركات الشهرية'!$A$6:$A$1005,$C$3))</f>
        <v>0</v>
      </c>
      <c r="P11" s="116" t="n">
        <f aca="false">IF($B11="","",O11*(الموظفون!$P11+الموظفون!$L11*cfg_OT_P)/cfg_DAYS_M/cfg_HRS)</f>
        <v>0</v>
      </c>
      <c r="Q11" s="116" t="n">
        <f aca="false">IF($B11="","",SUMIFS('الحركات الشهرية'!$G$6:$G$1005,'الحركات الشهرية'!$B$6:$B$1005,$B11,'الحركات الشهرية'!$A$6:$A$1005,$C$3))</f>
        <v>0</v>
      </c>
      <c r="R11" s="116" t="n">
        <f aca="false">IF($B11="","",SUMIFS('الحركات الشهرية'!$H$6:$H$1005,'الحركات الشهرية'!$B$6:$B$1005,$B11,'الحركات الشهرية'!$A$6:$A$1005,$C$3))</f>
        <v>0</v>
      </c>
      <c r="S11" s="116" t="n">
        <f aca="false">IF($B11="","",SUMIFS('سجل الإجازات والحالات'!$N$6:$N$505,'سجل الإجازات والحالات'!$B$6:$B$505,$B11,'سجل الإجازات والحالات'!$O$6:$O$505,$C$3))</f>
        <v>0</v>
      </c>
      <c r="T11" s="157" t="n">
        <f aca="false">IF($B11="","",SUM(K11:N11)+SUM(P11:S11))</f>
        <v>20050</v>
      </c>
      <c r="U11" s="116" t="n">
        <f aca="false">IF($B11="","",الموظفون!$S11*IF(E11="سعودي",cfg_G_SE,cfg_G_NE)*G11/cfg_DAYS_M)</f>
        <v>1584.375</v>
      </c>
      <c r="V11" s="116" t="n">
        <f aca="false">IF($B11="","",SUMIFS('الحركات الشهرية'!$I$6:$I$1005,'الحركات الشهرية'!$B$6:$B$1005,$B11,'الحركات الشهرية'!$A$6:$A$1005,$C$3))</f>
        <v>0</v>
      </c>
      <c r="W11" s="116" t="n">
        <f aca="false">IF($B11="","",SUMIFS('الحركات الشهرية'!$J$6:$J$1005,'الحركات الشهرية'!$B$6:$B$1005,$B11,'الحركات الشهرية'!$A$6:$A$1005,$C$3))</f>
        <v>0</v>
      </c>
      <c r="X11" s="116" t="n">
        <f aca="false">IF($B11="","",SUM(U11:W11))</f>
        <v>1584.375</v>
      </c>
      <c r="Y11" s="158" t="n">
        <f aca="false">IF($B11="","",T11-X11)</f>
        <v>18465.625</v>
      </c>
      <c r="Z11" s="116" t="n">
        <f aca="false">IF($B11="","",الموظفون!$S11*IF(E11="سعودي",cfg_G_SR,cfg_G_NR)*G11/cfg_DAYS_M)</f>
        <v>1909.375</v>
      </c>
      <c r="AA11" s="116" t="n">
        <f aca="false">IF($B11="","",الموظفون!$Q11*(cfg_EOS_R1*(MIN(AH11,cfg_EOS_TH)-MIN(AI11,cfg_EOS_TH))+cfg_EOS_R2*(MAX(AH11-cfg_EOS_TH,0)-MAX(AI11-cfg_EOS_TH,0))))</f>
        <v>1490.54794520549</v>
      </c>
      <c r="AB11" s="116" t="n">
        <f aca="false">IF($B11="","",IF(الموظفون!$T11&lt;&gt;"",الموظفون!$T11,IF(AH11&gt;=cfg_LV_TH,cfg_LV_D2,cfg_LV_D1))/cfg_DAYS_Y*AJ11*الموظفون!$R11/cfg_DAYS_M)</f>
        <v>1490.54794520548</v>
      </c>
      <c r="AC11" s="116" t="n">
        <f aca="false">IF($B11="","",IF(AND(الموظفون!$U11="نعم",N(الموظفون!$W11)&gt;0),الموظفون!$V11/الموظفون!$W11*12/cfg_DAYS_Y*AJ11,0))</f>
        <v>0</v>
      </c>
      <c r="AD11" s="116" t="n">
        <f aca="false">IF($B11="","",(IF(الموظفون!$X11&lt;&gt;"",الموظفون!$X11,IF(الموظفون!$E11="غير سعودي",cfg_IQ,0))+IF(الموظفون!$Y11&lt;&gt;"",الموظفون!$Y11,IF(الموظفون!$E11="غير سعودي",cfg_WP,0)))/12*G11/cfg_DAYS_M)</f>
        <v>0</v>
      </c>
      <c r="AE11" s="116" t="n">
        <f aca="false">IF($B11="","",IF(الموظفون!$Z11&lt;&gt;"",الموظفون!$Z11,cfg_MED)/12*G11/cfg_DAYS_M)</f>
        <v>300</v>
      </c>
      <c r="AF11" s="116" t="n">
        <f aca="false">IF($B11="","",N(الموظفون!$AA11)/12*G11/cfg_DAYS_M)</f>
        <v>0</v>
      </c>
      <c r="AG11" s="159" t="n">
        <f aca="false">IF($B11="","",T11+SUM(Z11:AF11))</f>
        <v>25240.470890411</v>
      </c>
      <c r="AH11" s="160" t="n">
        <f aca="false">IF($B11="","",MAX(0,IF(OR(الموظفون!$AE11="",الموظفون!$AE11&gt;$F$3),$F$3,الموظفون!$AE11)-الموظفون!$H11+1-SUMIFS('سجل الإجازات والحالات'!$AL$6:$AL$505,'سجل الإجازات والحالات'!$B$6:$B$505,$B11))/cfg_DAYS_Y)</f>
        <v>8.57534246575342</v>
      </c>
      <c r="AI11" s="160" t="n">
        <f aca="false">IF($B11="","",MAX(0,IF(OR(الموظفون!$AE11="",الموظفون!$AE11&gt;($E$3-1)),($E$3-1),الموظفون!$AE11)-الموظفون!$H11+1-SUMIFS('سجل الإجازات والحالات'!$AK$6:$AK$505,'سجل الإجازات والحالات'!$B$6:$B$505,$B11))/cfg_DAYS_Y)</f>
        <v>8.49041095890411</v>
      </c>
      <c r="AJ11" s="133" t="n">
        <f aca="false">IF($B11="","",MAX(0,AK11-(SUMIFS('سجل الإجازات والحالات'!$AL$6:$AL$505,'سجل الإجازات والحالات'!$B$6:$B$505,$B11)-SUMIFS('سجل الإجازات والحالات'!$AK$6:$AK$505,'سجل الإجازات والحالات'!$B$6:$B$505,$B11))))</f>
        <v>31</v>
      </c>
      <c r="AK11" s="133" t="n">
        <f aca="false">IF($B11="","",MAX(0,IF(OR(الموظفون!$AE11="",الموظفون!$AE11&gt;$F$3),$F$3,الموظفون!$AE11)-MAX($E$3,الموظفون!$H11)+1))</f>
        <v>31</v>
      </c>
      <c r="AL11" s="156" t="n">
        <f aca="false">IF($B11="","",SUMIFS('سجل الإجازات والحالات'!$AX$6:$AX$505,'سجل الإجازات والحالات'!$B$6:$B$505,$B11)+SUMIFS('الحركات الشهرية'!$K$6:$K$1005,'الحركات الشهرية'!$B$6:$B$1005,$B11,'الحركات الشهرية'!$A$6:$A$1005,$C$3))</f>
        <v>0</v>
      </c>
      <c r="AM11" s="116" t="n">
        <f aca="false">IF($B11="","",AL11*الموظفون!$R11/cfg_DAYS_M+S11)</f>
        <v>0</v>
      </c>
      <c r="AN11" s="156" t="n">
        <f aca="false">IF($B11="","",SUMIFS('سجل الإجازات والحالات'!$Z$6:$Z$505,'سجل الإجازات والحالات'!$B$6:$B$505,$B11))</f>
        <v>0</v>
      </c>
    </row>
    <row r="12" customFormat="false" ht="15" hidden="false" customHeight="false" outlineLevel="0" collapsed="false">
      <c r="A12" s="106" t="n">
        <f aca="false">IF($B12="","",الموظفون!$A12)</f>
        <v>7</v>
      </c>
      <c r="B12" s="114" t="str">
        <f aca="false">IF(الموظفون!$B12="","",الموظفون!$B12)</f>
        <v>E007</v>
      </c>
      <c r="C12" s="114" t="str">
        <f aca="false">IF($B12="","",الموظفون!$C12)</f>
        <v>خالد يوسف الأحمد</v>
      </c>
      <c r="D12" s="114" t="str">
        <f aca="false">IF($B12="","",الموظفون!$F12)</f>
        <v>المشاريع</v>
      </c>
      <c r="E12" s="114" t="str">
        <f aca="false">IF($B12="","",الموظفون!$E12)</f>
        <v>غير سعودي</v>
      </c>
      <c r="F12" s="114" t="str">
        <f aca="false">IF($B12="","",IF(AK12=0,IF(AND(الموظفون!$AE12&lt;&gt;"",الموظفون!$AE12&lt;$E$3),"✖ منتهي الخدمة","⏳ لم يباشر"),IF(S12&gt;0,"✈ راتب إجازة مقدم",IF(J12=0,"⛔ بدون راتب هذا الشهر",IF(I12&gt;0,"✈ خصم "&amp;ROUND(I12,2)&amp;" يوم بدون أجر",IF(AL12&gt;0,"🌴 إجازة سنوية "&amp;ROUND(AL12,2)&amp;" يوم",IF(H12&gt;0,"⚠ غياب "&amp;ROUND(H12,2)&amp;" يوم","✔ على رأس العمل")))))))</f>
        <v>✔ على رأس العمل</v>
      </c>
      <c r="G12" s="151" t="n">
        <f aca="false">IF($B12="","",IF(AK12&gt;=DAY($F$3),cfg_DAYS_M,MIN(AK12,cfg_DAYS_M)))</f>
        <v>30</v>
      </c>
      <c r="H12" s="151" t="n">
        <f aca="false">IF($B12="","",SUMIFS('الحركات الشهرية'!$D$6:$D$1005,'الحركات الشهرية'!$B$6:$B$1005,$B12,'الحركات الشهرية'!$A$6:$A$1005,$C$3))</f>
        <v>0</v>
      </c>
      <c r="I12" s="151" t="n">
        <f aca="false">IF($B12="","",MIN(G12,IF(AND(AK12&gt;0,AN12&gt;=AK12),G12,AN12)+SUMIFS('الحركات الشهرية'!$E$6:$E$1005,'الحركات الشهرية'!$B$6:$B$1005,$B12,'الحركات الشهرية'!$A$6:$A$1005,$C$3)))</f>
        <v>0</v>
      </c>
      <c r="J12" s="151" t="n">
        <f aca="false">IF($B12="","",MAX(0,G12-H12-I12))</f>
        <v>30</v>
      </c>
      <c r="K12" s="111" t="n">
        <f aca="false">IF($B12="","",الموظفون!$L12*$J12/cfg_DAYS_M)</f>
        <v>11000</v>
      </c>
      <c r="L12" s="111" t="n">
        <f aca="false">IF($B12="","",الموظفون!$M12*$J12/cfg_DAYS_M)</f>
        <v>2750</v>
      </c>
      <c r="M12" s="111" t="n">
        <f aca="false">IF($B12="","",الموظفون!$N12*$J12/cfg_DAYS_M)</f>
        <v>1100</v>
      </c>
      <c r="N12" s="111" t="n">
        <f aca="false">IF($B12="","",الموظفون!$O12*$J12/cfg_DAYS_M)</f>
        <v>800</v>
      </c>
      <c r="O12" s="151" t="n">
        <f aca="false">IF($B12="","",SUMIFS('الحركات الشهرية'!$F$6:$F$1005,'الحركات الشهرية'!$B$6:$B$1005,$B12,'الحركات الشهرية'!$A$6:$A$1005,$C$3))</f>
        <v>0</v>
      </c>
      <c r="P12" s="111" t="n">
        <f aca="false">IF($B12="","",O12*(الموظفون!$P12+الموظفون!$L12*cfg_OT_P)/cfg_DAYS_M/cfg_HRS)</f>
        <v>0</v>
      </c>
      <c r="Q12" s="111" t="n">
        <f aca="false">IF($B12="","",SUMIFS('الحركات الشهرية'!$G$6:$G$1005,'الحركات الشهرية'!$B$6:$B$1005,$B12,'الحركات الشهرية'!$A$6:$A$1005,$C$3))</f>
        <v>0</v>
      </c>
      <c r="R12" s="111" t="n">
        <f aca="false">IF($B12="","",SUMIFS('الحركات الشهرية'!$H$6:$H$1005,'الحركات الشهرية'!$B$6:$B$1005,$B12,'الحركات الشهرية'!$A$6:$A$1005,$C$3))</f>
        <v>0</v>
      </c>
      <c r="S12" s="111" t="n">
        <f aca="false">IF($B12="","",SUMIFS('سجل الإجازات والحالات'!$N$6:$N$505,'سجل الإجازات والحالات'!$B$6:$B$505,$B12,'سجل الإجازات والحالات'!$O$6:$O$505,$C$3))</f>
        <v>0</v>
      </c>
      <c r="T12" s="152" t="n">
        <f aca="false">IF($B12="","",SUM(K12:N12)+SUM(P12:S12))</f>
        <v>15650</v>
      </c>
      <c r="U12" s="111" t="n">
        <f aca="false">IF($B12="","",الموظفون!$S12*IF(E12="سعودي",cfg_G_SE,cfg_G_NE)*G12/cfg_DAYS_M)</f>
        <v>0</v>
      </c>
      <c r="V12" s="111" t="n">
        <f aca="false">IF($B12="","",SUMIFS('الحركات الشهرية'!$I$6:$I$1005,'الحركات الشهرية'!$B$6:$B$1005,$B12,'الحركات الشهرية'!$A$6:$A$1005,$C$3))</f>
        <v>0</v>
      </c>
      <c r="W12" s="111" t="n">
        <f aca="false">IF($B12="","",SUMIFS('الحركات الشهرية'!$J$6:$J$1005,'الحركات الشهرية'!$B$6:$B$1005,$B12,'الحركات الشهرية'!$A$6:$A$1005,$C$3))</f>
        <v>0</v>
      </c>
      <c r="X12" s="111" t="n">
        <f aca="false">IF($B12="","",SUM(U12:W12))</f>
        <v>0</v>
      </c>
      <c r="Y12" s="153" t="n">
        <f aca="false">IF($B12="","",T12-X12)</f>
        <v>15650</v>
      </c>
      <c r="Z12" s="111" t="n">
        <f aca="false">IF($B12="","",الموظفون!$S12*IF(E12="سعودي",cfg_G_SR,cfg_G_NR)*G12/cfg_DAYS_M)</f>
        <v>275</v>
      </c>
      <c r="AA12" s="111" t="n">
        <f aca="false">IF($B12="","",الموظفون!$Q12*(cfg_EOS_R1*(MIN(AH12,cfg_EOS_TH)-MIN(AI12,cfg_EOS_TH))+cfg_EOS_R2*(MAX(AH12-cfg_EOS_TH,0)-MAX(AI12-cfg_EOS_TH,0))))</f>
        <v>1261.23287671232</v>
      </c>
      <c r="AB12" s="111" t="n">
        <f aca="false">IF($B12="","",IF(الموظفون!$T12&lt;&gt;"",الموظفون!$T12,IF(AH12&gt;=cfg_LV_TH,cfg_LV_D2,cfg_LV_D1))/cfg_DAYS_Y*AJ12*الموظفون!$R12/cfg_DAYS_M)</f>
        <v>1261.23287671233</v>
      </c>
      <c r="AC12" s="111" t="n">
        <f aca="false">IF($B12="","",IF(AND(الموظفون!$U12="نعم",N(الموظفون!$W12)&gt;0),الموظفون!$V12/الموظفون!$W12*12/cfg_DAYS_Y*AJ12,0))</f>
        <v>382.191780821918</v>
      </c>
      <c r="AD12" s="111" t="n">
        <f aca="false">IF($B12="","",(IF(الموظفون!$X12&lt;&gt;"",الموظفون!$X12,IF(الموظفون!$E12="غير سعودي",cfg_IQ,0))+IF(الموظفون!$Y12&lt;&gt;"",الموظفون!$Y12,IF(الموظفون!$E12="غير سعودي",cfg_WP,0)))/12*G12/cfg_DAYS_M)</f>
        <v>854.166666666667</v>
      </c>
      <c r="AE12" s="111" t="n">
        <f aca="false">IF($B12="","",IF(الموظفون!$Z12&lt;&gt;"",الموظفون!$Z12,cfg_MED)/12*G12/cfg_DAYS_M)</f>
        <v>200</v>
      </c>
      <c r="AF12" s="111" t="n">
        <f aca="false">IF($B12="","",N(الموظفون!$AA12)/12*G12/cfg_DAYS_M)</f>
        <v>400</v>
      </c>
      <c r="AG12" s="154" t="n">
        <f aca="false">IF($B12="","",T12+SUM(Z12:AF12))</f>
        <v>20283.8242009132</v>
      </c>
      <c r="AH12" s="155" t="n">
        <f aca="false">IF($B12="","",MAX(0,IF(OR(الموظفون!$AE12="",الموظفون!$AE12&gt;$F$3),$F$3,الموظفون!$AE12)-الموظفون!$H12+1-SUMIFS('سجل الإجازات والحالات'!$AL$6:$AL$505,'سجل الإجازات والحالات'!$B$6:$B$505,$B12))/cfg_DAYS_Y)</f>
        <v>5.36438356164384</v>
      </c>
      <c r="AI12" s="155" t="n">
        <f aca="false">IF($B12="","",MAX(0,IF(OR(الموظفون!$AE12="",الموظفون!$AE12&gt;($E$3-1)),($E$3-1),الموظفون!$AE12)-الموظفون!$H12+1-SUMIFS('سجل الإجازات والحالات'!$AK$6:$AK$505,'سجل الإجازات والحالات'!$B$6:$B$505,$B12))/cfg_DAYS_Y)</f>
        <v>5.27945205479452</v>
      </c>
      <c r="AJ12" s="65" t="n">
        <f aca="false">IF($B12="","",MAX(0,AK12-(SUMIFS('سجل الإجازات والحالات'!$AL$6:$AL$505,'سجل الإجازات والحالات'!$B$6:$B$505,$B12)-SUMIFS('سجل الإجازات والحالات'!$AK$6:$AK$505,'سجل الإجازات والحالات'!$B$6:$B$505,$B12))))</f>
        <v>31</v>
      </c>
      <c r="AK12" s="65" t="n">
        <f aca="false">IF($B12="","",MAX(0,IF(OR(الموظفون!$AE12="",الموظفون!$AE12&gt;$F$3),$F$3,الموظفون!$AE12)-MAX($E$3,الموظفون!$H12)+1))</f>
        <v>31</v>
      </c>
      <c r="AL12" s="151" t="n">
        <f aca="false">IF($B12="","",SUMIFS('سجل الإجازات والحالات'!$AX$6:$AX$505,'سجل الإجازات والحالات'!$B$6:$B$505,$B12)+SUMIFS('الحركات الشهرية'!$K$6:$K$1005,'الحركات الشهرية'!$B$6:$B$1005,$B12,'الحركات الشهرية'!$A$6:$A$1005,$C$3))</f>
        <v>0</v>
      </c>
      <c r="AM12" s="111" t="n">
        <f aca="false">IF($B12="","",AL12*الموظفون!$R12/cfg_DAYS_M+S12)</f>
        <v>0</v>
      </c>
      <c r="AN12" s="151" t="n">
        <f aca="false">IF($B12="","",SUMIFS('سجل الإجازات والحالات'!$Z$6:$Z$505,'سجل الإجازات والحالات'!$B$6:$B$505,$B12))</f>
        <v>0</v>
      </c>
    </row>
    <row r="13" customFormat="false" ht="15" hidden="false" customHeight="false" outlineLevel="0" collapsed="false">
      <c r="A13" s="115" t="n">
        <f aca="false">IF($B13="","",الموظفون!$A13)</f>
        <v>8</v>
      </c>
      <c r="B13" s="117" t="str">
        <f aca="false">IF(الموظفون!$B13="","",الموظفون!$B13)</f>
        <v>E008</v>
      </c>
      <c r="C13" s="117" t="str">
        <f aca="false">IF($B13="","",الموظفون!$C13)</f>
        <v>سارة عبدالرحمن الزهراني</v>
      </c>
      <c r="D13" s="117" t="str">
        <f aca="false">IF($B13="","",الموظفون!$F13)</f>
        <v>المالية</v>
      </c>
      <c r="E13" s="117" t="str">
        <f aca="false">IF($B13="","",الموظفون!$E13)</f>
        <v>سعودي</v>
      </c>
      <c r="F13" s="117" t="str">
        <f aca="false">IF($B13="","",IF(AK13=0,IF(AND(الموظفون!$AE13&lt;&gt;"",الموظفون!$AE13&lt;$E$3),"✖ منتهي الخدمة","⏳ لم يباشر"),IF(S13&gt;0,"✈ راتب إجازة مقدم",IF(J13=0,"⛔ بدون راتب هذا الشهر",IF(I13&gt;0,"✈ خصم "&amp;ROUND(I13,2)&amp;" يوم بدون أجر",IF(AL13&gt;0,"🌴 إجازة سنوية "&amp;ROUND(AL13,2)&amp;" يوم",IF(H13&gt;0,"⚠ غياب "&amp;ROUND(H13,2)&amp;" يوم","✔ على رأس العمل")))))))</f>
        <v>✔ على رأس العمل</v>
      </c>
      <c r="G13" s="156" t="n">
        <f aca="false">IF($B13="","",IF(AK13&gt;=DAY($F$3),cfg_DAYS_M,MIN(AK13,cfg_DAYS_M)))</f>
        <v>30</v>
      </c>
      <c r="H13" s="156" t="n">
        <f aca="false">IF($B13="","",SUMIFS('الحركات الشهرية'!$D$6:$D$1005,'الحركات الشهرية'!$B$6:$B$1005,$B13,'الحركات الشهرية'!$A$6:$A$1005,$C$3))</f>
        <v>0</v>
      </c>
      <c r="I13" s="156" t="n">
        <f aca="false">IF($B13="","",MIN(G13,IF(AND(AK13&gt;0,AN13&gt;=AK13),G13,AN13)+SUMIFS('الحركات الشهرية'!$E$6:$E$1005,'الحركات الشهرية'!$B$6:$B$1005,$B13,'الحركات الشهرية'!$A$6:$A$1005,$C$3)))</f>
        <v>0</v>
      </c>
      <c r="J13" s="156" t="n">
        <f aca="false">IF($B13="","",MAX(0,G13-H13-I13))</f>
        <v>30</v>
      </c>
      <c r="K13" s="116" t="n">
        <f aca="false">IF($B13="","",الموظفون!$L13*$J13/cfg_DAYS_M)</f>
        <v>7500</v>
      </c>
      <c r="L13" s="116" t="n">
        <f aca="false">IF($B13="","",الموظفون!$M13*$J13/cfg_DAYS_M)</f>
        <v>1875</v>
      </c>
      <c r="M13" s="116" t="n">
        <f aca="false">IF($B13="","",الموظفون!$N13*$J13/cfg_DAYS_M)</f>
        <v>750</v>
      </c>
      <c r="N13" s="116" t="n">
        <f aca="false">IF($B13="","",الموظفون!$O13*$J13/cfg_DAYS_M)</f>
        <v>0</v>
      </c>
      <c r="O13" s="156" t="n">
        <f aca="false">IF($B13="","",SUMIFS('الحركات الشهرية'!$F$6:$F$1005,'الحركات الشهرية'!$B$6:$B$1005,$B13,'الحركات الشهرية'!$A$6:$A$1005,$C$3))</f>
        <v>0</v>
      </c>
      <c r="P13" s="116" t="n">
        <f aca="false">IF($B13="","",O13*(الموظفون!$P13+الموظفون!$L13*cfg_OT_P)/cfg_DAYS_M/cfg_HRS)</f>
        <v>0</v>
      </c>
      <c r="Q13" s="116" t="n">
        <f aca="false">IF($B13="","",SUMIFS('الحركات الشهرية'!$G$6:$G$1005,'الحركات الشهرية'!$B$6:$B$1005,$B13,'الحركات الشهرية'!$A$6:$A$1005,$C$3))</f>
        <v>0</v>
      </c>
      <c r="R13" s="116" t="n">
        <f aca="false">IF($B13="","",SUMIFS('الحركات الشهرية'!$H$6:$H$1005,'الحركات الشهرية'!$B$6:$B$1005,$B13,'الحركات الشهرية'!$A$6:$A$1005,$C$3))</f>
        <v>0</v>
      </c>
      <c r="S13" s="116" t="n">
        <f aca="false">IF($B13="","",SUMIFS('سجل الإجازات والحالات'!$N$6:$N$505,'سجل الإجازات والحالات'!$B$6:$B$505,$B13,'سجل الإجازات والحالات'!$O$6:$O$505,$C$3))</f>
        <v>0</v>
      </c>
      <c r="T13" s="157" t="n">
        <f aca="false">IF($B13="","",SUM(K13:N13)+SUM(P13:S13))</f>
        <v>10125</v>
      </c>
      <c r="U13" s="116" t="n">
        <f aca="false">IF($B13="","",الموظفون!$S13*IF(E13="سعودي",cfg_G_SE,cfg_G_NE)*G13/cfg_DAYS_M)</f>
        <v>914.0625</v>
      </c>
      <c r="V13" s="116" t="n">
        <f aca="false">IF($B13="","",SUMIFS('الحركات الشهرية'!$I$6:$I$1005,'الحركات الشهرية'!$B$6:$B$1005,$B13,'الحركات الشهرية'!$A$6:$A$1005,$C$3))</f>
        <v>0</v>
      </c>
      <c r="W13" s="116" t="n">
        <f aca="false">IF($B13="","",SUMIFS('الحركات الشهرية'!$J$6:$J$1005,'الحركات الشهرية'!$B$6:$B$1005,$B13,'الحركات الشهرية'!$A$6:$A$1005,$C$3))</f>
        <v>0</v>
      </c>
      <c r="X13" s="116" t="n">
        <f aca="false">IF($B13="","",SUM(U13:W13))</f>
        <v>914.0625</v>
      </c>
      <c r="Y13" s="158" t="n">
        <f aca="false">IF($B13="","",T13-X13)</f>
        <v>9210.9375</v>
      </c>
      <c r="Z13" s="116" t="n">
        <f aca="false">IF($B13="","",الموظفون!$S13*IF(E13="سعودي",cfg_G_SR,cfg_G_NR)*G13/cfg_DAYS_M)</f>
        <v>1101.5625</v>
      </c>
      <c r="AA13" s="116" t="n">
        <f aca="false">IF($B13="","",الموظفون!$Q13*(cfg_EOS_R1*(MIN(AH13,cfg_EOS_TH)-MIN(AI13,cfg_EOS_TH))+cfg_EOS_R2*(MAX(AH13-cfg_EOS_TH,0)-MAX(AI13-cfg_EOS_TH,0))))</f>
        <v>429.965753424657</v>
      </c>
      <c r="AB13" s="116" t="n">
        <f aca="false">IF($B13="","",IF(الموظفون!$T13&lt;&gt;"",الموظفون!$T13,IF(AH13&gt;=cfg_LV_TH,cfg_LV_D2,cfg_LV_D1))/cfg_DAYS_Y*AJ13*الموظفون!$R13/cfg_DAYS_M)</f>
        <v>601.952054794521</v>
      </c>
      <c r="AC13" s="116" t="n">
        <f aca="false">IF($B13="","",IF(AND(الموظفون!$U13="نعم",N(الموظفون!$W13)&gt;0),الموظفون!$V13/الموظفون!$W13*12/cfg_DAYS_Y*AJ13,0))</f>
        <v>0</v>
      </c>
      <c r="AD13" s="116" t="n">
        <f aca="false">IF($B13="","",(IF(الموظفون!$X13&lt;&gt;"",الموظفون!$X13,IF(الموظفون!$E13="غير سعودي",cfg_IQ,0))+IF(الموظفون!$Y13&lt;&gt;"",الموظفون!$Y13,IF(الموظفون!$E13="غير سعودي",cfg_WP,0)))/12*G13/cfg_DAYS_M)</f>
        <v>0</v>
      </c>
      <c r="AE13" s="116" t="n">
        <f aca="false">IF($B13="","",IF(الموظفون!$Z13&lt;&gt;"",الموظفون!$Z13,cfg_MED)/12*G13/cfg_DAYS_M)</f>
        <v>200</v>
      </c>
      <c r="AF13" s="116" t="n">
        <f aca="false">IF($B13="","",N(الموظفون!$AA13)/12*G13/cfg_DAYS_M)</f>
        <v>0</v>
      </c>
      <c r="AG13" s="159" t="n">
        <f aca="false">IF($B13="","",T13+SUM(Z13:AF13))</f>
        <v>12458.4803082192</v>
      </c>
      <c r="AH13" s="160" t="n">
        <f aca="false">IF($B13="","",MAX(0,IF(OR(الموظفون!$AE13="",الموظفون!$AE13&gt;$F$3),$F$3,الموظفون!$AE13)-الموظفون!$H13+1-SUMIFS('سجل الإجازات والحالات'!$AL$6:$AL$505,'سجل الإجازات والحالات'!$B$6:$B$505,$B13))/cfg_DAYS_Y)</f>
        <v>3.25479452054795</v>
      </c>
      <c r="AI13" s="160" t="n">
        <f aca="false">IF($B13="","",MAX(0,IF(OR(الموظفون!$AE13="",الموظفون!$AE13&gt;($E$3-1)),($E$3-1),الموظفون!$AE13)-الموظفون!$H13+1-SUMIFS('سجل الإجازات والحالات'!$AK$6:$AK$505,'سجل الإجازات والحالات'!$B$6:$B$505,$B13))/cfg_DAYS_Y)</f>
        <v>3.16986301369863</v>
      </c>
      <c r="AJ13" s="133" t="n">
        <f aca="false">IF($B13="","",MAX(0,AK13-(SUMIFS('سجل الإجازات والحالات'!$AL$6:$AL$505,'سجل الإجازات والحالات'!$B$6:$B$505,$B13)-SUMIFS('سجل الإجازات والحالات'!$AK$6:$AK$505,'سجل الإجازات والحالات'!$B$6:$B$505,$B13))))</f>
        <v>31</v>
      </c>
      <c r="AK13" s="133" t="n">
        <f aca="false">IF($B13="","",MAX(0,IF(OR(الموظفون!$AE13="",الموظفون!$AE13&gt;$F$3),$F$3,الموظفون!$AE13)-MAX($E$3,الموظفون!$H13)+1))</f>
        <v>31</v>
      </c>
      <c r="AL13" s="156" t="n">
        <f aca="false">IF($B13="","",SUMIFS('سجل الإجازات والحالات'!$AX$6:$AX$505,'سجل الإجازات والحالات'!$B$6:$B$505,$B13)+SUMIFS('الحركات الشهرية'!$K$6:$K$1005,'الحركات الشهرية'!$B$6:$B$1005,$B13,'الحركات الشهرية'!$A$6:$A$1005,$C$3))</f>
        <v>0</v>
      </c>
      <c r="AM13" s="116" t="n">
        <f aca="false">IF($B13="","",AL13*الموظفون!$R13/cfg_DAYS_M+S13)</f>
        <v>0</v>
      </c>
      <c r="AN13" s="156" t="n">
        <f aca="false">IF($B13="","",SUMIFS('سجل الإجازات والحالات'!$Z$6:$Z$505,'سجل الإجازات والحالات'!$B$6:$B$505,$B13))</f>
        <v>0</v>
      </c>
    </row>
    <row r="14" customFormat="false" ht="15" hidden="false" customHeight="false" outlineLevel="0" collapsed="false">
      <c r="A14" s="106" t="n">
        <f aca="false">IF($B14="","",الموظفون!$A14)</f>
        <v>9</v>
      </c>
      <c r="B14" s="114" t="str">
        <f aca="false">IF(الموظفون!$B14="","",الموظفون!$B14)</f>
        <v>E009</v>
      </c>
      <c r="C14" s="114" t="str">
        <f aca="false">IF($B14="","",الموظفون!$C14)</f>
        <v>محمد رفيق</v>
      </c>
      <c r="D14" s="114" t="str">
        <f aca="false">IF($B14="","",الموظفون!$F14)</f>
        <v>العمليات</v>
      </c>
      <c r="E14" s="114" t="str">
        <f aca="false">IF($B14="","",الموظفون!$E14)</f>
        <v>غير سعودي</v>
      </c>
      <c r="F14" s="114" t="str">
        <f aca="false">IF($B14="","",IF(AK14=0,IF(AND(الموظفون!$AE14&lt;&gt;"",الموظفون!$AE14&lt;$E$3),"✖ منتهي الخدمة","⏳ لم يباشر"),IF(S14&gt;0,"✈ راتب إجازة مقدم",IF(J14=0,"⛔ بدون راتب هذا الشهر",IF(I14&gt;0,"✈ خصم "&amp;ROUND(I14,2)&amp;" يوم بدون أجر",IF(AL14&gt;0,"🌴 إجازة سنوية "&amp;ROUND(AL14,2)&amp;" يوم",IF(H14&gt;0,"⚠ غياب "&amp;ROUND(H14,2)&amp;" يوم","✔ على رأس العمل")))))))</f>
        <v>✔ على رأس العمل</v>
      </c>
      <c r="G14" s="151" t="n">
        <f aca="false">IF($B14="","",IF(AK14&gt;=DAY($F$3),cfg_DAYS_M,MIN(AK14,cfg_DAYS_M)))</f>
        <v>30</v>
      </c>
      <c r="H14" s="151" t="n">
        <f aca="false">IF($B14="","",SUMIFS('الحركات الشهرية'!$D$6:$D$1005,'الحركات الشهرية'!$B$6:$B$1005,$B14,'الحركات الشهرية'!$A$6:$A$1005,$C$3))</f>
        <v>0</v>
      </c>
      <c r="I14" s="151" t="n">
        <f aca="false">IF($B14="","",MIN(G14,IF(AND(AK14&gt;0,AN14&gt;=AK14),G14,AN14)+SUMIFS('الحركات الشهرية'!$E$6:$E$1005,'الحركات الشهرية'!$B$6:$B$1005,$B14,'الحركات الشهرية'!$A$6:$A$1005,$C$3)))</f>
        <v>0</v>
      </c>
      <c r="J14" s="151" t="n">
        <f aca="false">IF($B14="","",MAX(0,G14-H14-I14))</f>
        <v>30</v>
      </c>
      <c r="K14" s="111" t="n">
        <f aca="false">IF($B14="","",الموظفون!$L14*$J14/cfg_DAYS_M)</f>
        <v>6500</v>
      </c>
      <c r="L14" s="111" t="n">
        <f aca="false">IF($B14="","",الموظفون!$M14*$J14/cfg_DAYS_M)</f>
        <v>1625</v>
      </c>
      <c r="M14" s="111" t="n">
        <f aca="false">IF($B14="","",الموظفون!$N14*$J14/cfg_DAYS_M)</f>
        <v>650</v>
      </c>
      <c r="N14" s="111" t="n">
        <f aca="false">IF($B14="","",الموظفون!$O14*$J14/cfg_DAYS_M)</f>
        <v>300</v>
      </c>
      <c r="O14" s="151" t="n">
        <f aca="false">IF($B14="","",SUMIFS('الحركات الشهرية'!$F$6:$F$1005,'الحركات الشهرية'!$B$6:$B$1005,$B14,'الحركات الشهرية'!$A$6:$A$1005,$C$3))</f>
        <v>0</v>
      </c>
      <c r="P14" s="111" t="n">
        <f aca="false">IF($B14="","",O14*(الموظفون!$P14+الموظفون!$L14*cfg_OT_P)/cfg_DAYS_M/cfg_HRS)</f>
        <v>0</v>
      </c>
      <c r="Q14" s="111" t="n">
        <f aca="false">IF($B14="","",SUMIFS('الحركات الشهرية'!$G$6:$G$1005,'الحركات الشهرية'!$B$6:$B$1005,$B14,'الحركات الشهرية'!$A$6:$A$1005,$C$3))</f>
        <v>0</v>
      </c>
      <c r="R14" s="111" t="n">
        <f aca="false">IF($B14="","",SUMIFS('الحركات الشهرية'!$H$6:$H$1005,'الحركات الشهرية'!$B$6:$B$1005,$B14,'الحركات الشهرية'!$A$6:$A$1005,$C$3))</f>
        <v>0</v>
      </c>
      <c r="S14" s="111" t="n">
        <f aca="false">IF($B14="","",SUMIFS('سجل الإجازات والحالات'!$N$6:$N$505,'سجل الإجازات والحالات'!$B$6:$B$505,$B14,'سجل الإجازات والحالات'!$O$6:$O$505,$C$3))</f>
        <v>0</v>
      </c>
      <c r="T14" s="152" t="n">
        <f aca="false">IF($B14="","",SUM(K14:N14)+SUM(P14:S14))</f>
        <v>9075</v>
      </c>
      <c r="U14" s="111" t="n">
        <f aca="false">IF($B14="","",الموظفون!$S14*IF(E14="سعودي",cfg_G_SE,cfg_G_NE)*G14/cfg_DAYS_M)</f>
        <v>0</v>
      </c>
      <c r="V14" s="111" t="n">
        <f aca="false">IF($B14="","",SUMIFS('الحركات الشهرية'!$I$6:$I$1005,'الحركات الشهرية'!$B$6:$B$1005,$B14,'الحركات الشهرية'!$A$6:$A$1005,$C$3))</f>
        <v>0</v>
      </c>
      <c r="W14" s="111" t="n">
        <f aca="false">IF($B14="","",SUMIFS('الحركات الشهرية'!$J$6:$J$1005,'الحركات الشهرية'!$B$6:$B$1005,$B14,'الحركات الشهرية'!$A$6:$A$1005,$C$3))</f>
        <v>0</v>
      </c>
      <c r="X14" s="111" t="n">
        <f aca="false">IF($B14="","",SUM(U14:W14))</f>
        <v>0</v>
      </c>
      <c r="Y14" s="153" t="n">
        <f aca="false">IF($B14="","",T14-X14)</f>
        <v>9075</v>
      </c>
      <c r="Z14" s="111" t="n">
        <f aca="false">IF($B14="","",الموظفون!$S14*IF(E14="سعودي",cfg_G_SR,cfg_G_NR)*G14/cfg_DAYS_M)</f>
        <v>162.5</v>
      </c>
      <c r="AA14" s="111" t="n">
        <f aca="false">IF($B14="","",الموظفون!$Q14*(cfg_EOS_R1*(MIN(AH14,cfg_EOS_TH)-MIN(AI14,cfg_EOS_TH))+cfg_EOS_R2*(MAX(AH14-cfg_EOS_TH,0)-MAX(AI14-cfg_EOS_TH,0))))</f>
        <v>745.273972602744</v>
      </c>
      <c r="AB14" s="111" t="n">
        <f aca="false">IF($B14="","",IF(الموظفون!$T14&lt;&gt;"",الموظفون!$T14,IF(AH14&gt;=cfg_LV_TH,cfg_LV_D2,cfg_LV_D1))/cfg_DAYS_Y*AJ14*الموظفون!$R14/cfg_DAYS_M)</f>
        <v>745.27397260274</v>
      </c>
      <c r="AC14" s="111" t="n">
        <f aca="false">IF($B14="","",IF(AND(الموظفون!$U14="نعم",N(الموظفون!$W14)&gt;0),الموظفون!$V14/الموظفون!$W14*12/cfg_DAYS_Y*AJ14,0))</f>
        <v>93.4246575342466</v>
      </c>
      <c r="AD14" s="111" t="n">
        <f aca="false">IF($B14="","",(IF(الموظفون!$X14&lt;&gt;"",الموظفون!$X14,IF(الموظفون!$E14="غير سعودي",cfg_IQ,0))+IF(الموظفون!$Y14&lt;&gt;"",الموظفون!$Y14,IF(الموظفون!$E14="غير سعودي",cfg_WP,0)))/12*G14/cfg_DAYS_M)</f>
        <v>854.166666666667</v>
      </c>
      <c r="AE14" s="111" t="n">
        <f aca="false">IF($B14="","",IF(الموظفون!$Z14&lt;&gt;"",الموظفون!$Z14,cfg_MED)/12*G14/cfg_DAYS_M)</f>
        <v>150</v>
      </c>
      <c r="AF14" s="111" t="n">
        <f aca="false">IF($B14="","",N(الموظفون!$AA14)/12*G14/cfg_DAYS_M)</f>
        <v>0</v>
      </c>
      <c r="AG14" s="154" t="n">
        <f aca="false">IF($B14="","",T14+SUM(Z14:AF14))</f>
        <v>11825.6392694064</v>
      </c>
      <c r="AH14" s="155" t="n">
        <f aca="false">IF($B14="","",MAX(0,IF(OR(الموظفون!$AE14="",الموظفون!$AE14&gt;$F$3),$F$3,الموظفون!$AE14)-الموظفون!$H14+1-SUMIFS('سجل الإجازات والحالات'!$AL$6:$AL$505,'سجل الإجازات والحالات'!$B$6:$B$505,$B14))/cfg_DAYS_Y)</f>
        <v>11.7945205479452</v>
      </c>
      <c r="AI14" s="155" t="n">
        <f aca="false">IF($B14="","",MAX(0,IF(OR(الموظفون!$AE14="",الموظفون!$AE14&gt;($E$3-1)),($E$3-1),الموظفون!$AE14)-الموظفون!$H14+1-SUMIFS('سجل الإجازات والحالات'!$AK$6:$AK$505,'سجل الإجازات والحالات'!$B$6:$B$505,$B14))/cfg_DAYS_Y)</f>
        <v>11.7095890410959</v>
      </c>
      <c r="AJ14" s="65" t="n">
        <f aca="false">IF($B14="","",MAX(0,AK14-(SUMIFS('سجل الإجازات والحالات'!$AL$6:$AL$505,'سجل الإجازات والحالات'!$B$6:$B$505,$B14)-SUMIFS('سجل الإجازات والحالات'!$AK$6:$AK$505,'سجل الإجازات والحالات'!$B$6:$B$505,$B14))))</f>
        <v>31</v>
      </c>
      <c r="AK14" s="65" t="n">
        <f aca="false">IF($B14="","",MAX(0,IF(OR(الموظفون!$AE14="",الموظفون!$AE14&gt;$F$3),$F$3,الموظفون!$AE14)-MAX($E$3,الموظفون!$H14)+1))</f>
        <v>31</v>
      </c>
      <c r="AL14" s="151" t="n">
        <f aca="false">IF($B14="","",SUMIFS('سجل الإجازات والحالات'!$AX$6:$AX$505,'سجل الإجازات والحالات'!$B$6:$B$505,$B14)+SUMIFS('الحركات الشهرية'!$K$6:$K$1005,'الحركات الشهرية'!$B$6:$B$1005,$B14,'الحركات الشهرية'!$A$6:$A$1005,$C$3))</f>
        <v>0</v>
      </c>
      <c r="AM14" s="111" t="n">
        <f aca="false">IF($B14="","",AL14*الموظفون!$R14/cfg_DAYS_M+S14)</f>
        <v>0</v>
      </c>
      <c r="AN14" s="151" t="n">
        <f aca="false">IF($B14="","",SUMIFS('سجل الإجازات والحالات'!$Z$6:$Z$505,'سجل الإجازات والحالات'!$B$6:$B$505,$B14))</f>
        <v>0</v>
      </c>
    </row>
    <row r="15" customFormat="false" ht="15" hidden="false" customHeight="false" outlineLevel="0" collapsed="false">
      <c r="A15" s="115" t="n">
        <f aca="false">IF($B15="","",الموظفون!$A15)</f>
        <v>10</v>
      </c>
      <c r="B15" s="117" t="str">
        <f aca="false">IF(الموظفون!$B15="","",الموظفون!$B15)</f>
        <v>E010</v>
      </c>
      <c r="C15" s="117" t="str">
        <f aca="false">IF($B15="","",الموظفون!$C15)</f>
        <v>ريم سلطان المطيري</v>
      </c>
      <c r="D15" s="117" t="str">
        <f aca="false">IF($B15="","",الموظفون!$F15)</f>
        <v>المبيعات</v>
      </c>
      <c r="E15" s="117" t="str">
        <f aca="false">IF($B15="","",الموظفون!$E15)</f>
        <v>سعودي</v>
      </c>
      <c r="F15" s="117" t="str">
        <f aca="false">IF($B15="","",IF(AK15=0,IF(AND(الموظفون!$AE15&lt;&gt;"",الموظفون!$AE15&lt;$E$3),"✖ منتهي الخدمة","⏳ لم يباشر"),IF(S15&gt;0,"✈ راتب إجازة مقدم",IF(J15=0,"⛔ بدون راتب هذا الشهر",IF(I15&gt;0,"✈ خصم "&amp;ROUND(I15,2)&amp;" يوم بدون أجر",IF(AL15&gt;0,"🌴 إجازة سنوية "&amp;ROUND(AL15,2)&amp;" يوم",IF(H15&gt;0,"⚠ غياب "&amp;ROUND(H15,2)&amp;" يوم","✔ على رأس العمل")))))))</f>
        <v>✔ على رأس العمل</v>
      </c>
      <c r="G15" s="156" t="n">
        <f aca="false">IF($B15="","",IF(AK15&gt;=DAY($F$3),cfg_DAYS_M,MIN(AK15,cfg_DAYS_M)))</f>
        <v>30</v>
      </c>
      <c r="H15" s="156" t="n">
        <f aca="false">IF($B15="","",SUMIFS('الحركات الشهرية'!$D$6:$D$1005,'الحركات الشهرية'!$B$6:$B$1005,$B15,'الحركات الشهرية'!$A$6:$A$1005,$C$3))</f>
        <v>0</v>
      </c>
      <c r="I15" s="156" t="n">
        <f aca="false">IF($B15="","",MIN(G15,IF(AND(AK15&gt;0,AN15&gt;=AK15),G15,AN15)+SUMIFS('الحركات الشهرية'!$E$6:$E$1005,'الحركات الشهرية'!$B$6:$B$1005,$B15,'الحركات الشهرية'!$A$6:$A$1005,$C$3)))</f>
        <v>0</v>
      </c>
      <c r="J15" s="156" t="n">
        <f aca="false">IF($B15="","",MAX(0,G15-H15-I15))</f>
        <v>30</v>
      </c>
      <c r="K15" s="116" t="n">
        <f aca="false">IF($B15="","",الموظفون!$L15*$J15/cfg_DAYS_M)</f>
        <v>9000</v>
      </c>
      <c r="L15" s="116" t="n">
        <f aca="false">IF($B15="","",الموظفون!$M15*$J15/cfg_DAYS_M)</f>
        <v>2250</v>
      </c>
      <c r="M15" s="116" t="n">
        <f aca="false">IF($B15="","",الموظفون!$N15*$J15/cfg_DAYS_M)</f>
        <v>900</v>
      </c>
      <c r="N15" s="116" t="n">
        <f aca="false">IF($B15="","",الموظفون!$O15*$J15/cfg_DAYS_M)</f>
        <v>0</v>
      </c>
      <c r="O15" s="156" t="n">
        <f aca="false">IF($B15="","",SUMIFS('الحركات الشهرية'!$F$6:$F$1005,'الحركات الشهرية'!$B$6:$B$1005,$B15,'الحركات الشهرية'!$A$6:$A$1005,$C$3))</f>
        <v>0</v>
      </c>
      <c r="P15" s="116" t="n">
        <f aca="false">IF($B15="","",O15*(الموظفون!$P15+الموظفون!$L15*cfg_OT_P)/cfg_DAYS_M/cfg_HRS)</f>
        <v>0</v>
      </c>
      <c r="Q15" s="116" t="n">
        <f aca="false">IF($B15="","",SUMIFS('الحركات الشهرية'!$G$6:$G$1005,'الحركات الشهرية'!$B$6:$B$1005,$B15,'الحركات الشهرية'!$A$6:$A$1005,$C$3))</f>
        <v>0</v>
      </c>
      <c r="R15" s="116" t="n">
        <f aca="false">IF($B15="","",SUMIFS('الحركات الشهرية'!$H$6:$H$1005,'الحركات الشهرية'!$B$6:$B$1005,$B15,'الحركات الشهرية'!$A$6:$A$1005,$C$3))</f>
        <v>0</v>
      </c>
      <c r="S15" s="116" t="n">
        <f aca="false">IF($B15="","",SUMIFS('سجل الإجازات والحالات'!$N$6:$N$505,'سجل الإجازات والحالات'!$B$6:$B$505,$B15,'سجل الإجازات والحالات'!$O$6:$O$505,$C$3))</f>
        <v>0</v>
      </c>
      <c r="T15" s="157" t="n">
        <f aca="false">IF($B15="","",SUM(K15:N15)+SUM(P15:S15))</f>
        <v>12150</v>
      </c>
      <c r="U15" s="116" t="n">
        <f aca="false">IF($B15="","",الموظفون!$S15*IF(E15="سعودي",cfg_G_SE,cfg_G_NE)*G15/cfg_DAYS_M)</f>
        <v>1096.875</v>
      </c>
      <c r="V15" s="116" t="n">
        <f aca="false">IF($B15="","",SUMIFS('الحركات الشهرية'!$I$6:$I$1005,'الحركات الشهرية'!$B$6:$B$1005,$B15,'الحركات الشهرية'!$A$6:$A$1005,$C$3))</f>
        <v>0</v>
      </c>
      <c r="W15" s="116" t="n">
        <f aca="false">IF($B15="","",SUMIFS('الحركات الشهرية'!$J$6:$J$1005,'الحركات الشهرية'!$B$6:$B$1005,$B15,'الحركات الشهرية'!$A$6:$A$1005,$C$3))</f>
        <v>0</v>
      </c>
      <c r="X15" s="116" t="n">
        <f aca="false">IF($B15="","",SUM(U15:W15))</f>
        <v>1096.875</v>
      </c>
      <c r="Y15" s="158" t="n">
        <f aca="false">IF($B15="","",T15-X15)</f>
        <v>11053.125</v>
      </c>
      <c r="Z15" s="116" t="n">
        <f aca="false">IF($B15="","",الموظفون!$S15*IF(E15="سعودي",cfg_G_SR,cfg_G_NR)*G15/cfg_DAYS_M)</f>
        <v>1321.875</v>
      </c>
      <c r="AA15" s="116" t="n">
        <f aca="false">IF($B15="","",الموظفون!$Q15*(cfg_EOS_R1*(MIN(AH15,cfg_EOS_TH)-MIN(AI15,cfg_EOS_TH))+cfg_EOS_R2*(MAX(AH15-cfg_EOS_TH,0)-MAX(AI15-cfg_EOS_TH,0))))</f>
        <v>515.958904109589</v>
      </c>
      <c r="AB15" s="116" t="n">
        <f aca="false">IF($B15="","",IF(الموظفون!$T15&lt;&gt;"",الموظفون!$T15,IF(AH15&gt;=cfg_LV_TH,cfg_LV_D2,cfg_LV_D1))/cfg_DAYS_Y*AJ15*الموظفون!$R15/cfg_DAYS_M)</f>
        <v>722.342465753425</v>
      </c>
      <c r="AC15" s="116" t="n">
        <f aca="false">IF($B15="","",IF(AND(الموظفون!$U15="نعم",N(الموظفون!$W15)&gt;0),الموظفون!$V15/الموظفون!$W15*12/cfg_DAYS_Y*AJ15,0))</f>
        <v>0</v>
      </c>
      <c r="AD15" s="116" t="n">
        <f aca="false">IF($B15="","",(IF(الموظفون!$X15&lt;&gt;"",الموظفون!$X15,IF(الموظفون!$E15="غير سعودي",cfg_IQ,0))+IF(الموظفون!$Y15&lt;&gt;"",الموظفون!$Y15,IF(الموظفون!$E15="غير سعودي",cfg_WP,0)))/12*G15/cfg_DAYS_M)</f>
        <v>0</v>
      </c>
      <c r="AE15" s="116" t="n">
        <f aca="false">IF($B15="","",IF(الموظفون!$Z15&lt;&gt;"",الموظفون!$Z15,cfg_MED)/12*G15/cfg_DAYS_M)</f>
        <v>200</v>
      </c>
      <c r="AF15" s="116" t="n">
        <f aca="false">IF($B15="","",N(الموظفون!$AA15)/12*G15/cfg_DAYS_M)</f>
        <v>0</v>
      </c>
      <c r="AG15" s="159" t="n">
        <f aca="false">IF($B15="","",T15+SUM(Z15:AF15))</f>
        <v>14910.176369863</v>
      </c>
      <c r="AH15" s="160" t="n">
        <f aca="false">IF($B15="","",MAX(0,IF(OR(الموظفون!$AE15="",الموظفون!$AE15&gt;$F$3),$F$3,الموظفون!$AE15)-الموظفون!$H15+1-SUMIFS('سجل الإجازات والحالات'!$AL$6:$AL$505,'سجل الإجازات والحالات'!$B$6:$B$505,$B15))/cfg_DAYS_Y)</f>
        <v>0.128767123287671</v>
      </c>
      <c r="AI15" s="160" t="n">
        <f aca="false">IF($B15="","",MAX(0,IF(OR(الموظفون!$AE15="",الموظفون!$AE15&gt;($E$3-1)),($E$3-1),الموظفون!$AE15)-الموظفون!$H15+1-SUMIFS('سجل الإجازات والحالات'!$AK$6:$AK$505,'سجل الإجازات والحالات'!$B$6:$B$505,$B15))/cfg_DAYS_Y)</f>
        <v>0.0438356164383562</v>
      </c>
      <c r="AJ15" s="133" t="n">
        <f aca="false">IF($B15="","",MAX(0,AK15-(SUMIFS('سجل الإجازات والحالات'!$AL$6:$AL$505,'سجل الإجازات والحالات'!$B$6:$B$505,$B15)-SUMIFS('سجل الإجازات والحالات'!$AK$6:$AK$505,'سجل الإجازات والحالات'!$B$6:$B$505,$B15))))</f>
        <v>31</v>
      </c>
      <c r="AK15" s="133" t="n">
        <f aca="false">IF($B15="","",MAX(0,IF(OR(الموظفون!$AE15="",الموظفون!$AE15&gt;$F$3),$F$3,الموظفون!$AE15)-MAX($E$3,الموظفون!$H15)+1))</f>
        <v>31</v>
      </c>
      <c r="AL15" s="156" t="n">
        <f aca="false">IF($B15="","",SUMIFS('سجل الإجازات والحالات'!$AX$6:$AX$505,'سجل الإجازات والحالات'!$B$6:$B$505,$B15)+SUMIFS('الحركات الشهرية'!$K$6:$K$1005,'الحركات الشهرية'!$B$6:$B$1005,$B15,'الحركات الشهرية'!$A$6:$A$1005,$C$3))</f>
        <v>0</v>
      </c>
      <c r="AM15" s="116" t="n">
        <f aca="false">IF($B15="","",AL15*الموظفون!$R15/cfg_DAYS_M+S15)</f>
        <v>0</v>
      </c>
      <c r="AN15" s="156" t="n">
        <f aca="false">IF($B15="","",SUMIFS('سجل الإجازات والحالات'!$Z$6:$Z$505,'سجل الإجازات والحالات'!$B$6:$B$505,$B15))</f>
        <v>0</v>
      </c>
    </row>
    <row r="16" customFormat="false" ht="15" hidden="false" customHeight="false" outlineLevel="0" collapsed="false">
      <c r="A16" s="106" t="n">
        <f aca="false">IF($B16="","",الموظفون!$A16)</f>
        <v>11</v>
      </c>
      <c r="B16" s="114" t="str">
        <f aca="false">IF(الموظفون!$B16="","",الموظفون!$B16)</f>
        <v>E011</v>
      </c>
      <c r="C16" s="114" t="str">
        <f aca="false">IF($B16="","",الموظفون!$C16)</f>
        <v>جون ماتيو</v>
      </c>
      <c r="D16" s="114" t="str">
        <f aca="false">IF($B16="","",الموظفون!$F16)</f>
        <v>العمليات</v>
      </c>
      <c r="E16" s="114" t="str">
        <f aca="false">IF($B16="","",الموظفون!$E16)</f>
        <v>غير سعودي</v>
      </c>
      <c r="F16" s="114" t="str">
        <f aca="false">IF($B16="","",IF(AK16=0,IF(AND(الموظفون!$AE16&lt;&gt;"",الموظفون!$AE16&lt;$E$3),"✖ منتهي الخدمة","⏳ لم يباشر"),IF(S16&gt;0,"✈ راتب إجازة مقدم",IF(J16=0,"⛔ بدون راتب هذا الشهر",IF(I16&gt;0,"✈ خصم "&amp;ROUND(I16,2)&amp;" يوم بدون أجر",IF(AL16&gt;0,"🌴 إجازة سنوية "&amp;ROUND(AL16,2)&amp;" يوم",IF(H16&gt;0,"⚠ غياب "&amp;ROUND(H16,2)&amp;" يوم","✔ على رأس العمل")))))))</f>
        <v>✔ على رأس العمل</v>
      </c>
      <c r="G16" s="151" t="n">
        <f aca="false">IF($B16="","",IF(AK16&gt;=DAY($F$3),cfg_DAYS_M,MIN(AK16,cfg_DAYS_M)))</f>
        <v>30</v>
      </c>
      <c r="H16" s="151" t="n">
        <f aca="false">IF($B16="","",SUMIFS('الحركات الشهرية'!$D$6:$D$1005,'الحركات الشهرية'!$B$6:$B$1005,$B16,'الحركات الشهرية'!$A$6:$A$1005,$C$3))</f>
        <v>0</v>
      </c>
      <c r="I16" s="151" t="n">
        <f aca="false">IF($B16="","",MIN(G16,IF(AND(AK16&gt;0,AN16&gt;=AK16),G16,AN16)+SUMIFS('الحركات الشهرية'!$E$6:$E$1005,'الحركات الشهرية'!$B$6:$B$1005,$B16,'الحركات الشهرية'!$A$6:$A$1005,$C$3)))</f>
        <v>0</v>
      </c>
      <c r="J16" s="151" t="n">
        <f aca="false">IF($B16="","",MAX(0,G16-H16-I16))</f>
        <v>30</v>
      </c>
      <c r="K16" s="111" t="n">
        <f aca="false">IF($B16="","",الموظفون!$L16*$J16/cfg_DAYS_M)</f>
        <v>5000</v>
      </c>
      <c r="L16" s="111" t="n">
        <f aca="false">IF($B16="","",الموظفون!$M16*$J16/cfg_DAYS_M)</f>
        <v>1250</v>
      </c>
      <c r="M16" s="111" t="n">
        <f aca="false">IF($B16="","",الموظفون!$N16*$J16/cfg_DAYS_M)</f>
        <v>500</v>
      </c>
      <c r="N16" s="111" t="n">
        <f aca="false">IF($B16="","",الموظفون!$O16*$J16/cfg_DAYS_M)</f>
        <v>0</v>
      </c>
      <c r="O16" s="151" t="n">
        <f aca="false">IF($B16="","",SUMIFS('الحركات الشهرية'!$F$6:$F$1005,'الحركات الشهرية'!$B$6:$B$1005,$B16,'الحركات الشهرية'!$A$6:$A$1005,$C$3))</f>
        <v>0</v>
      </c>
      <c r="P16" s="111" t="n">
        <f aca="false">IF($B16="","",O16*(الموظفون!$P16+الموظفون!$L16*cfg_OT_P)/cfg_DAYS_M/cfg_HRS)</f>
        <v>0</v>
      </c>
      <c r="Q16" s="111" t="n">
        <f aca="false">IF($B16="","",SUMIFS('الحركات الشهرية'!$G$6:$G$1005,'الحركات الشهرية'!$B$6:$B$1005,$B16,'الحركات الشهرية'!$A$6:$A$1005,$C$3))</f>
        <v>0</v>
      </c>
      <c r="R16" s="111" t="n">
        <f aca="false">IF($B16="","",SUMIFS('الحركات الشهرية'!$H$6:$H$1005,'الحركات الشهرية'!$B$6:$B$1005,$B16,'الحركات الشهرية'!$A$6:$A$1005,$C$3))</f>
        <v>0</v>
      </c>
      <c r="S16" s="111" t="n">
        <f aca="false">IF($B16="","",SUMIFS('سجل الإجازات والحالات'!$N$6:$N$505,'سجل الإجازات والحالات'!$B$6:$B$505,$B16,'سجل الإجازات والحالات'!$O$6:$O$505,$C$3))</f>
        <v>0</v>
      </c>
      <c r="T16" s="152" t="n">
        <f aca="false">IF($B16="","",SUM(K16:N16)+SUM(P16:S16))</f>
        <v>6750</v>
      </c>
      <c r="U16" s="111" t="n">
        <f aca="false">IF($B16="","",الموظفون!$S16*IF(E16="سعودي",cfg_G_SE,cfg_G_NE)*G16/cfg_DAYS_M)</f>
        <v>0</v>
      </c>
      <c r="V16" s="111" t="n">
        <f aca="false">IF($B16="","",SUMIFS('الحركات الشهرية'!$I$6:$I$1005,'الحركات الشهرية'!$B$6:$B$1005,$B16,'الحركات الشهرية'!$A$6:$A$1005,$C$3))</f>
        <v>0</v>
      </c>
      <c r="W16" s="111" t="n">
        <f aca="false">IF($B16="","",SUMIFS('الحركات الشهرية'!$J$6:$J$1005,'الحركات الشهرية'!$B$6:$B$1005,$B16,'الحركات الشهرية'!$A$6:$A$1005,$C$3))</f>
        <v>0</v>
      </c>
      <c r="X16" s="111" t="n">
        <f aca="false">IF($B16="","",SUM(U16:W16))</f>
        <v>0</v>
      </c>
      <c r="Y16" s="153" t="n">
        <f aca="false">IF($B16="","",T16-X16)</f>
        <v>6750</v>
      </c>
      <c r="Z16" s="111" t="n">
        <f aca="false">IF($B16="","",الموظفون!$S16*IF(E16="سعودي",cfg_G_SR,cfg_G_NR)*G16/cfg_DAYS_M)</f>
        <v>125</v>
      </c>
      <c r="AA16" s="111" t="n">
        <f aca="false">IF($B16="","",الموظفون!$Q16*(cfg_EOS_R1*(MIN(AH16,cfg_EOS_TH)-MIN(AI16,cfg_EOS_TH))+cfg_EOS_R2*(MAX(AH16-cfg_EOS_TH,0)-MAX(AI16-cfg_EOS_TH,0))))</f>
        <v>573.287671232874</v>
      </c>
      <c r="AB16" s="111" t="n">
        <f aca="false">IF($B16="","",IF(الموظفون!$T16&lt;&gt;"",الموظفون!$T16,IF(AH16&gt;=cfg_LV_TH,cfg_LV_D2,cfg_LV_D1))/cfg_DAYS_Y*AJ16*الموظفون!$R16/cfg_DAYS_M)</f>
        <v>573.287671232877</v>
      </c>
      <c r="AC16" s="111" t="n">
        <f aca="false">IF($B16="","",IF(AND(الموظفون!$U16="نعم",N(الموظفون!$W16)&gt;0),الموظفون!$V16/الموظفون!$W16*12/cfg_DAYS_Y*AJ16,0))</f>
        <v>110.41095890411</v>
      </c>
      <c r="AD16" s="111" t="n">
        <f aca="false">IF($B16="","",(IF(الموظفون!$X16&lt;&gt;"",الموظفون!$X16,IF(الموظفون!$E16="غير سعودي",cfg_IQ,0))+IF(الموظفون!$Y16&lt;&gt;"",الموظفون!$Y16,IF(الموظفون!$E16="غير سعودي",cfg_WP,0)))/12*G16/cfg_DAYS_M)</f>
        <v>854.166666666667</v>
      </c>
      <c r="AE16" s="111" t="n">
        <f aca="false">IF($B16="","",IF(الموظفون!$Z16&lt;&gt;"",الموظفون!$Z16,cfg_MED)/12*G16/cfg_DAYS_M)</f>
        <v>150</v>
      </c>
      <c r="AF16" s="111" t="n">
        <f aca="false">IF($B16="","",N(الموظفون!$AA16)/12*G16/cfg_DAYS_M)</f>
        <v>0</v>
      </c>
      <c r="AG16" s="154" t="n">
        <f aca="false">IF($B16="","",T16+SUM(Z16:AF16))</f>
        <v>9136.15296803653</v>
      </c>
      <c r="AH16" s="155" t="n">
        <f aca="false">IF($B16="","",MAX(0,IF(OR(الموظفون!$AE16="",الموظفون!$AE16&gt;$F$3),$F$3,الموظفون!$AE16)-الموظفون!$H16+1-SUMIFS('سجل الإجازات والحالات'!$AL$6:$AL$505,'سجل الإجازات والحالات'!$B$6:$B$505,$B16))/cfg_DAYS_Y)</f>
        <v>7.25753424657534</v>
      </c>
      <c r="AI16" s="155" t="n">
        <f aca="false">IF($B16="","",MAX(0,IF(OR(الموظفون!$AE16="",الموظفون!$AE16&gt;($E$3-1)),($E$3-1),الموظفون!$AE16)-الموظفون!$H16+1-SUMIFS('سجل الإجازات والحالات'!$AK$6:$AK$505,'سجل الإجازات والحالات'!$B$6:$B$505,$B16))/cfg_DAYS_Y)</f>
        <v>7.17260273972603</v>
      </c>
      <c r="AJ16" s="65" t="n">
        <f aca="false">IF($B16="","",MAX(0,AK16-(SUMIFS('سجل الإجازات والحالات'!$AL$6:$AL$505,'سجل الإجازات والحالات'!$B$6:$B$505,$B16)-SUMIFS('سجل الإجازات والحالات'!$AK$6:$AK$505,'سجل الإجازات والحالات'!$B$6:$B$505,$B16))))</f>
        <v>31</v>
      </c>
      <c r="AK16" s="65" t="n">
        <f aca="false">IF($B16="","",MAX(0,IF(OR(الموظفون!$AE16="",الموظفون!$AE16&gt;$F$3),$F$3,الموظفون!$AE16)-MAX($E$3,الموظفون!$H16)+1))</f>
        <v>31</v>
      </c>
      <c r="AL16" s="151" t="n">
        <f aca="false">IF($B16="","",SUMIFS('سجل الإجازات والحالات'!$AX$6:$AX$505,'سجل الإجازات والحالات'!$B$6:$B$505,$B16)+SUMIFS('الحركات الشهرية'!$K$6:$K$1005,'الحركات الشهرية'!$B$6:$B$1005,$B16,'الحركات الشهرية'!$A$6:$A$1005,$C$3))</f>
        <v>0</v>
      </c>
      <c r="AM16" s="111" t="n">
        <f aca="false">IF($B16="","",AL16*الموظفون!$R16/cfg_DAYS_M+S16)</f>
        <v>0</v>
      </c>
      <c r="AN16" s="151" t="n">
        <f aca="false">IF($B16="","",SUMIFS('سجل الإجازات والحالات'!$Z$6:$Z$505,'سجل الإجازات والحالات'!$B$6:$B$505,$B16))</f>
        <v>0</v>
      </c>
    </row>
    <row r="17" customFormat="false" ht="15" hidden="false" customHeight="false" outlineLevel="0" collapsed="false">
      <c r="A17" s="115" t="n">
        <f aca="false">IF($B17="","",الموظفون!$A17)</f>
        <v>12</v>
      </c>
      <c r="B17" s="117" t="str">
        <f aca="false">IF(الموظفون!$B17="","",الموظفون!$B17)</f>
        <v>E012</v>
      </c>
      <c r="C17" s="117" t="str">
        <f aca="false">IF($B17="","",الموظفون!$C17)</f>
        <v>عمر حسين البيشي</v>
      </c>
      <c r="D17" s="117" t="str">
        <f aca="false">IF($B17="","",الموظفون!$F17)</f>
        <v>تقنية المعلومات</v>
      </c>
      <c r="E17" s="117" t="str">
        <f aca="false">IF($B17="","",الموظفون!$E17)</f>
        <v>سعودي</v>
      </c>
      <c r="F17" s="117" t="str">
        <f aca="false">IF($B17="","",IF(AK17=0,IF(AND(الموظفون!$AE17&lt;&gt;"",الموظفون!$AE17&lt;$E$3),"✖ منتهي الخدمة","⏳ لم يباشر"),IF(S17&gt;0,"✈ راتب إجازة مقدم",IF(J17=0,"⛔ بدون راتب هذا الشهر",IF(I17&gt;0,"✈ خصم "&amp;ROUND(I17,2)&amp;" يوم بدون أجر",IF(AL17&gt;0,"🌴 إجازة سنوية "&amp;ROUND(AL17,2)&amp;" يوم",IF(H17&gt;0,"⚠ غياب "&amp;ROUND(H17,2)&amp;" يوم","✔ على رأس العمل")))))))</f>
        <v>✔ على رأس العمل</v>
      </c>
      <c r="G17" s="156" t="n">
        <f aca="false">IF($B17="","",IF(AK17&gt;=DAY($F$3),cfg_DAYS_M,MIN(AK17,cfg_DAYS_M)))</f>
        <v>30</v>
      </c>
      <c r="H17" s="156" t="n">
        <f aca="false">IF($B17="","",SUMIFS('الحركات الشهرية'!$D$6:$D$1005,'الحركات الشهرية'!$B$6:$B$1005,$B17,'الحركات الشهرية'!$A$6:$A$1005,$C$3))</f>
        <v>0</v>
      </c>
      <c r="I17" s="156" t="n">
        <f aca="false">IF($B17="","",MIN(G17,IF(AND(AK17&gt;0,AN17&gt;=AK17),G17,AN17)+SUMIFS('الحركات الشهرية'!$E$6:$E$1005,'الحركات الشهرية'!$B$6:$B$1005,$B17,'الحركات الشهرية'!$A$6:$A$1005,$C$3)))</f>
        <v>0</v>
      </c>
      <c r="J17" s="156" t="n">
        <f aca="false">IF($B17="","",MAX(0,G17-H17-I17))</f>
        <v>30</v>
      </c>
      <c r="K17" s="116" t="n">
        <f aca="false">IF($B17="","",الموظفون!$L17*$J17/cfg_DAYS_M)</f>
        <v>12000</v>
      </c>
      <c r="L17" s="116" t="n">
        <f aca="false">IF($B17="","",الموظفون!$M17*$J17/cfg_DAYS_M)</f>
        <v>3000</v>
      </c>
      <c r="M17" s="116" t="n">
        <f aca="false">IF($B17="","",الموظفون!$N17*$J17/cfg_DAYS_M)</f>
        <v>1200</v>
      </c>
      <c r="N17" s="116" t="n">
        <f aca="false">IF($B17="","",الموظفون!$O17*$J17/cfg_DAYS_M)</f>
        <v>1500</v>
      </c>
      <c r="O17" s="156" t="n">
        <f aca="false">IF($B17="","",SUMIFS('الحركات الشهرية'!$F$6:$F$1005,'الحركات الشهرية'!$B$6:$B$1005,$B17,'الحركات الشهرية'!$A$6:$A$1005,$C$3))</f>
        <v>0</v>
      </c>
      <c r="P17" s="116" t="n">
        <f aca="false">IF($B17="","",O17*(الموظفون!$P17+الموظفون!$L17*cfg_OT_P)/cfg_DAYS_M/cfg_HRS)</f>
        <v>0</v>
      </c>
      <c r="Q17" s="116" t="n">
        <f aca="false">IF($B17="","",SUMIFS('الحركات الشهرية'!$G$6:$G$1005,'الحركات الشهرية'!$B$6:$B$1005,$B17,'الحركات الشهرية'!$A$6:$A$1005,$C$3))</f>
        <v>0</v>
      </c>
      <c r="R17" s="116" t="n">
        <f aca="false">IF($B17="","",SUMIFS('الحركات الشهرية'!$H$6:$H$1005,'الحركات الشهرية'!$B$6:$B$1005,$B17,'الحركات الشهرية'!$A$6:$A$1005,$C$3))</f>
        <v>0</v>
      </c>
      <c r="S17" s="116" t="n">
        <f aca="false">IF($B17="","",SUMIFS('سجل الإجازات والحالات'!$N$6:$N$505,'سجل الإجازات والحالات'!$B$6:$B$505,$B17,'سجل الإجازات والحالات'!$O$6:$O$505,$C$3))</f>
        <v>0</v>
      </c>
      <c r="T17" s="157" t="n">
        <f aca="false">IF($B17="","",SUM(K17:N17)+SUM(P17:S17))</f>
        <v>17700</v>
      </c>
      <c r="U17" s="116" t="n">
        <f aca="false">IF($B17="","",الموظفون!$S17*IF(E17="سعودي",cfg_G_SE,cfg_G_NE)*G17/cfg_DAYS_M)</f>
        <v>1462.5</v>
      </c>
      <c r="V17" s="116" t="n">
        <f aca="false">IF($B17="","",SUMIFS('الحركات الشهرية'!$I$6:$I$1005,'الحركات الشهرية'!$B$6:$B$1005,$B17,'الحركات الشهرية'!$A$6:$A$1005,$C$3))</f>
        <v>0</v>
      </c>
      <c r="W17" s="116" t="n">
        <f aca="false">IF($B17="","",SUMIFS('الحركات الشهرية'!$J$6:$J$1005,'الحركات الشهرية'!$B$6:$B$1005,$B17,'الحركات الشهرية'!$A$6:$A$1005,$C$3))</f>
        <v>0</v>
      </c>
      <c r="X17" s="116" t="n">
        <f aca="false">IF($B17="","",SUM(U17:W17))</f>
        <v>1462.5</v>
      </c>
      <c r="Y17" s="158" t="n">
        <f aca="false">IF($B17="","",T17-X17)</f>
        <v>16237.5</v>
      </c>
      <c r="Z17" s="116" t="n">
        <f aca="false">IF($B17="","",الموظفون!$S17*IF(E17="سعودي",cfg_G_SR,cfg_G_NR)*G17/cfg_DAYS_M)</f>
        <v>1762.5</v>
      </c>
      <c r="AA17" s="116" t="n">
        <f aca="false">IF($B17="","",الموظفون!$Q17*(cfg_EOS_R1*(MIN(AH17,cfg_EOS_TH)-MIN(AI17,cfg_EOS_TH))+cfg_EOS_R2*(MAX(AH17-cfg_EOS_TH,0)-MAX(AI17-cfg_EOS_TH,0))))</f>
        <v>687.945205479452</v>
      </c>
      <c r="AB17" s="116" t="n">
        <f aca="false">IF($B17="","",IF(الموظفون!$T17&lt;&gt;"",الموظفون!$T17,IF(AH17&gt;=cfg_LV_TH,cfg_LV_D2,cfg_LV_D1))/cfg_DAYS_Y*AJ17*الموظفون!$R17/cfg_DAYS_M)</f>
        <v>963.123287671233</v>
      </c>
      <c r="AC17" s="116" t="n">
        <f aca="false">IF($B17="","",IF(AND(الموظفون!$U17="نعم",N(الموظفون!$W17)&gt;0),الموظفون!$V17/الموظفون!$W17*12/cfg_DAYS_Y*AJ17,0))</f>
        <v>0</v>
      </c>
      <c r="AD17" s="116" t="n">
        <f aca="false">IF($B17="","",(IF(الموظفون!$X17&lt;&gt;"",الموظفون!$X17,IF(الموظفون!$E17="غير سعودي",cfg_IQ,0))+IF(الموظفون!$Y17&lt;&gt;"",الموظفون!$Y17,IF(الموظفون!$E17="غير سعودي",cfg_WP,0)))/12*G17/cfg_DAYS_M)</f>
        <v>0</v>
      </c>
      <c r="AE17" s="116" t="n">
        <f aca="false">IF($B17="","",IF(الموظفون!$Z17&lt;&gt;"",الموظفون!$Z17,cfg_MED)/12*G17/cfg_DAYS_M)</f>
        <v>200</v>
      </c>
      <c r="AF17" s="116" t="n">
        <f aca="false">IF($B17="","",N(الموظفون!$AA17)/12*G17/cfg_DAYS_M)</f>
        <v>0</v>
      </c>
      <c r="AG17" s="159" t="n">
        <f aca="false">IF($B17="","",T17+SUM(Z17:AF17))</f>
        <v>21313.5684931507</v>
      </c>
      <c r="AH17" s="160" t="n">
        <f aca="false">IF($B17="","",MAX(0,IF(OR(الموظفون!$AE17="",الموظفون!$AE17&gt;$F$3),$F$3,الموظفون!$AE17)-الموظفون!$H17+1-SUMIFS('سجل الإجازات والحالات'!$AL$6:$AL$505,'سجل الإجازات والحالات'!$B$6:$B$505,$B17))/cfg_DAYS_Y)</f>
        <v>3.8958904109589</v>
      </c>
      <c r="AI17" s="160" t="n">
        <f aca="false">IF($B17="","",MAX(0,IF(OR(الموظفون!$AE17="",الموظفون!$AE17&gt;($E$3-1)),($E$3-1),الموظفون!$AE17)-الموظفون!$H17+1-SUMIFS('سجل الإجازات والحالات'!$AK$6:$AK$505,'سجل الإجازات والحالات'!$B$6:$B$505,$B17))/cfg_DAYS_Y)</f>
        <v>3.81095890410959</v>
      </c>
      <c r="AJ17" s="133" t="n">
        <f aca="false">IF($B17="","",MAX(0,AK17-(SUMIFS('سجل الإجازات والحالات'!$AL$6:$AL$505,'سجل الإجازات والحالات'!$B$6:$B$505,$B17)-SUMIFS('سجل الإجازات والحالات'!$AK$6:$AK$505,'سجل الإجازات والحالات'!$B$6:$B$505,$B17))))</f>
        <v>31</v>
      </c>
      <c r="AK17" s="133" t="n">
        <f aca="false">IF($B17="","",MAX(0,IF(OR(الموظفون!$AE17="",الموظفون!$AE17&gt;$F$3),$F$3,الموظفون!$AE17)-MAX($E$3,الموظفون!$H17)+1))</f>
        <v>31</v>
      </c>
      <c r="AL17" s="156" t="n">
        <f aca="false">IF($B17="","",SUMIFS('سجل الإجازات والحالات'!$AX$6:$AX$505,'سجل الإجازات والحالات'!$B$6:$B$505,$B17)+SUMIFS('الحركات الشهرية'!$K$6:$K$1005,'الحركات الشهرية'!$B$6:$B$1005,$B17,'الحركات الشهرية'!$A$6:$A$1005,$C$3))</f>
        <v>0</v>
      </c>
      <c r="AM17" s="116" t="n">
        <f aca="false">IF($B17="","",AL17*الموظفون!$R17/cfg_DAYS_M+S17)</f>
        <v>0</v>
      </c>
      <c r="AN17" s="156" t="n">
        <f aca="false">IF($B17="","",SUMIFS('سجل الإجازات والحالات'!$Z$6:$Z$505,'سجل الإجازات والحالات'!$B$6:$B$505,$B17))</f>
        <v>0</v>
      </c>
    </row>
    <row r="18" customFormat="false" ht="15" hidden="false" customHeight="false" outlineLevel="0" collapsed="false">
      <c r="A18" s="106" t="str">
        <f aca="false">IF($B18="","",الموظفون!$A18)</f>
        <v/>
      </c>
      <c r="B18" s="114" t="str">
        <f aca="false">IF(الموظفون!$B18="","",الموظفون!$B18)</f>
        <v/>
      </c>
      <c r="C18" s="114" t="str">
        <f aca="false">IF($B18="","",الموظفون!$C18)</f>
        <v/>
      </c>
      <c r="D18" s="114" t="str">
        <f aca="false">IF($B18="","",الموظفون!$F18)</f>
        <v/>
      </c>
      <c r="E18" s="114" t="str">
        <f aca="false">IF($B18="","",الموظفون!$E18)</f>
        <v/>
      </c>
      <c r="F18" s="114" t="str">
        <f aca="false">IF($B18="","",IF(AK18=0,IF(AND(الموظفون!$AE18&lt;&gt;"",الموظفون!$AE18&lt;$E$3),"✖ منتهي الخدمة","⏳ لم يباشر"),IF(S18&gt;0,"✈ راتب إجازة مقدم",IF(J18=0,"⛔ بدون راتب هذا الشهر",IF(I18&gt;0,"✈ خصم "&amp;ROUND(I18,2)&amp;" يوم بدون أجر",IF(AL18&gt;0,"🌴 إجازة سنوية "&amp;ROUND(AL18,2)&amp;" يوم",IF(H18&gt;0,"⚠ غياب "&amp;ROUND(H18,2)&amp;" يوم","✔ على رأس العمل")))))))</f>
        <v/>
      </c>
      <c r="G18" s="151" t="str">
        <f aca="false">IF($B18="","",IF(AK18&gt;=DAY($F$3),cfg_DAYS_M,MIN(AK18,cfg_DAYS_M)))</f>
        <v/>
      </c>
      <c r="H18" s="151" t="str">
        <f aca="false">IF($B18="","",SUMIFS('الحركات الشهرية'!$D$6:$D$1005,'الحركات الشهرية'!$B$6:$B$1005,$B18,'الحركات الشهرية'!$A$6:$A$1005,$C$3))</f>
        <v/>
      </c>
      <c r="I18" s="151" t="str">
        <f aca="false">IF($B18="","",MIN(G18,IF(AND(AK18&gt;0,AN18&gt;=AK18),G18,AN18)+SUMIFS('الحركات الشهرية'!$E$6:$E$1005,'الحركات الشهرية'!$B$6:$B$1005,$B18,'الحركات الشهرية'!$A$6:$A$1005,$C$3)))</f>
        <v/>
      </c>
      <c r="J18" s="151" t="str">
        <f aca="false">IF($B18="","",MAX(0,G18-H18-I18))</f>
        <v/>
      </c>
      <c r="K18" s="111" t="str">
        <f aca="false">IF($B18="","",الموظفون!$L18*$J18/cfg_DAYS_M)</f>
        <v/>
      </c>
      <c r="L18" s="111" t="str">
        <f aca="false">IF($B18="","",الموظفون!$M18*$J18/cfg_DAYS_M)</f>
        <v/>
      </c>
      <c r="M18" s="111" t="str">
        <f aca="false">IF($B18="","",الموظفون!$N18*$J18/cfg_DAYS_M)</f>
        <v/>
      </c>
      <c r="N18" s="111" t="str">
        <f aca="false">IF($B18="","",الموظفون!$O18*$J18/cfg_DAYS_M)</f>
        <v/>
      </c>
      <c r="O18" s="151" t="str">
        <f aca="false">IF($B18="","",SUMIFS('الحركات الشهرية'!$F$6:$F$1005,'الحركات الشهرية'!$B$6:$B$1005,$B18,'الحركات الشهرية'!$A$6:$A$1005,$C$3))</f>
        <v/>
      </c>
      <c r="P18" s="111" t="str">
        <f aca="false">IF($B18="","",O18*(الموظفون!$P18+الموظفون!$L18*cfg_OT_P)/cfg_DAYS_M/cfg_HRS)</f>
        <v/>
      </c>
      <c r="Q18" s="111" t="str">
        <f aca="false">IF($B18="","",SUMIFS('الحركات الشهرية'!$G$6:$G$1005,'الحركات الشهرية'!$B$6:$B$1005,$B18,'الحركات الشهرية'!$A$6:$A$1005,$C$3))</f>
        <v/>
      </c>
      <c r="R18" s="111" t="str">
        <f aca="false">IF($B18="","",SUMIFS('الحركات الشهرية'!$H$6:$H$1005,'الحركات الشهرية'!$B$6:$B$1005,$B18,'الحركات الشهرية'!$A$6:$A$1005,$C$3))</f>
        <v/>
      </c>
      <c r="S18" s="111" t="str">
        <f aca="false">IF($B18="","",SUMIFS('سجل الإجازات والحالات'!$N$6:$N$505,'سجل الإجازات والحالات'!$B$6:$B$505,$B18,'سجل الإجازات والحالات'!$O$6:$O$505,$C$3))</f>
        <v/>
      </c>
      <c r="T18" s="152" t="str">
        <f aca="false">IF($B18="","",SUM(K18:N18)+SUM(P18:S18))</f>
        <v/>
      </c>
      <c r="U18" s="111" t="str">
        <f aca="false">IF($B18="","",الموظفون!$S18*IF(E18="سعودي",cfg_G_SE,cfg_G_NE)*G18/cfg_DAYS_M)</f>
        <v/>
      </c>
      <c r="V18" s="111" t="str">
        <f aca="false">IF($B18="","",SUMIFS('الحركات الشهرية'!$I$6:$I$1005,'الحركات الشهرية'!$B$6:$B$1005,$B18,'الحركات الشهرية'!$A$6:$A$1005,$C$3))</f>
        <v/>
      </c>
      <c r="W18" s="111" t="str">
        <f aca="false">IF($B18="","",SUMIFS('الحركات الشهرية'!$J$6:$J$1005,'الحركات الشهرية'!$B$6:$B$1005,$B18,'الحركات الشهرية'!$A$6:$A$1005,$C$3))</f>
        <v/>
      </c>
      <c r="X18" s="111" t="str">
        <f aca="false">IF($B18="","",SUM(U18:W18))</f>
        <v/>
      </c>
      <c r="Y18" s="153" t="str">
        <f aca="false">IF($B18="","",T18-X18)</f>
        <v/>
      </c>
      <c r="Z18" s="111" t="str">
        <f aca="false">IF($B18="","",الموظفون!$S18*IF(E18="سعودي",cfg_G_SR,cfg_G_NR)*G18/cfg_DAYS_M)</f>
        <v/>
      </c>
      <c r="AA18" s="111" t="str">
        <f aca="false">IF($B18="","",الموظفون!$Q18*(cfg_EOS_R1*(MIN(AH18,cfg_EOS_TH)-MIN(AI18,cfg_EOS_TH))+cfg_EOS_R2*(MAX(AH18-cfg_EOS_TH,0)-MAX(AI18-cfg_EOS_TH,0))))</f>
        <v/>
      </c>
      <c r="AB18" s="111" t="str">
        <f aca="false">IF($B18="","",IF(الموظفون!$T18&lt;&gt;"",الموظفون!$T18,IF(AH18&gt;=cfg_LV_TH,cfg_LV_D2,cfg_LV_D1))/cfg_DAYS_Y*AJ18*الموظفون!$R18/cfg_DAYS_M)</f>
        <v/>
      </c>
      <c r="AC18" s="111" t="str">
        <f aca="false">IF($B18="","",IF(AND(الموظفون!$U18="نعم",N(الموظفون!$W18)&gt;0),الموظفون!$V18/الموظفون!$W18*12/cfg_DAYS_Y*AJ18,0))</f>
        <v/>
      </c>
      <c r="AD18" s="111" t="str">
        <f aca="false">IF($B18="","",(IF(الموظفون!$X18&lt;&gt;"",الموظفون!$X18,IF(الموظفون!$E18="غير سعودي",cfg_IQ,0))+IF(الموظفون!$Y18&lt;&gt;"",الموظفون!$Y18,IF(الموظفون!$E18="غير سعودي",cfg_WP,0)))/12*G18/cfg_DAYS_M)</f>
        <v/>
      </c>
      <c r="AE18" s="111" t="str">
        <f aca="false">IF($B18="","",IF(الموظفون!$Z18&lt;&gt;"",الموظفون!$Z18,cfg_MED)/12*G18/cfg_DAYS_M)</f>
        <v/>
      </c>
      <c r="AF18" s="111" t="str">
        <f aca="false">IF($B18="","",N(الموظفون!$AA18)/12*G18/cfg_DAYS_M)</f>
        <v/>
      </c>
      <c r="AG18" s="154" t="str">
        <f aca="false">IF($B18="","",T18+SUM(Z18:AF18))</f>
        <v/>
      </c>
      <c r="AH18" s="155" t="str">
        <f aca="false">IF($B18="","",MAX(0,IF(OR(الموظفون!$AE18="",الموظفون!$AE18&gt;$F$3),$F$3,الموظفون!$AE18)-الموظفون!$H18+1-SUMIFS('سجل الإجازات والحالات'!$AL$6:$AL$505,'سجل الإجازات والحالات'!$B$6:$B$505,$B18))/cfg_DAYS_Y)</f>
        <v/>
      </c>
      <c r="AI18" s="155" t="str">
        <f aca="false">IF($B18="","",MAX(0,IF(OR(الموظفون!$AE18="",الموظفون!$AE18&gt;($E$3-1)),($E$3-1),الموظفون!$AE18)-الموظفون!$H18+1-SUMIFS('سجل الإجازات والحالات'!$AK$6:$AK$505,'سجل الإجازات والحالات'!$B$6:$B$505,$B18))/cfg_DAYS_Y)</f>
        <v/>
      </c>
      <c r="AJ18" s="65" t="str">
        <f aca="false">IF($B18="","",MAX(0,AK18-(SUMIFS('سجل الإجازات والحالات'!$AL$6:$AL$505,'سجل الإجازات والحالات'!$B$6:$B$505,$B18)-SUMIFS('سجل الإجازات والحالات'!$AK$6:$AK$505,'سجل الإجازات والحالات'!$B$6:$B$505,$B18))))</f>
        <v/>
      </c>
      <c r="AK18" s="65" t="str">
        <f aca="false">IF($B18="","",MAX(0,IF(OR(الموظفون!$AE18="",الموظفون!$AE18&gt;$F$3),$F$3,الموظفون!$AE18)-MAX($E$3,الموظفون!$H18)+1))</f>
        <v/>
      </c>
      <c r="AL18" s="151" t="str">
        <f aca="false">IF($B18="","",SUMIFS('سجل الإجازات والحالات'!$AX$6:$AX$505,'سجل الإجازات والحالات'!$B$6:$B$505,$B18)+SUMIFS('الحركات الشهرية'!$K$6:$K$1005,'الحركات الشهرية'!$B$6:$B$1005,$B18,'الحركات الشهرية'!$A$6:$A$1005,$C$3))</f>
        <v/>
      </c>
      <c r="AM18" s="111" t="str">
        <f aca="false">IF($B18="","",AL18*الموظفون!$R18/cfg_DAYS_M+S18)</f>
        <v/>
      </c>
      <c r="AN18" s="151" t="str">
        <f aca="false">IF($B18="","",SUMIFS('سجل الإجازات والحالات'!$Z$6:$Z$505,'سجل الإجازات والحالات'!$B$6:$B$505,$B18))</f>
        <v/>
      </c>
    </row>
    <row r="19" customFormat="false" ht="15" hidden="false" customHeight="false" outlineLevel="0" collapsed="false">
      <c r="A19" s="115" t="str">
        <f aca="false">IF($B19="","",الموظفون!$A19)</f>
        <v/>
      </c>
      <c r="B19" s="117" t="str">
        <f aca="false">IF(الموظفون!$B19="","",الموظفون!$B19)</f>
        <v/>
      </c>
      <c r="C19" s="117" t="str">
        <f aca="false">IF($B19="","",الموظفون!$C19)</f>
        <v/>
      </c>
      <c r="D19" s="117" t="str">
        <f aca="false">IF($B19="","",الموظفون!$F19)</f>
        <v/>
      </c>
      <c r="E19" s="117" t="str">
        <f aca="false">IF($B19="","",الموظفون!$E19)</f>
        <v/>
      </c>
      <c r="F19" s="117" t="str">
        <f aca="false">IF($B19="","",IF(AK19=0,IF(AND(الموظفون!$AE19&lt;&gt;"",الموظفون!$AE19&lt;$E$3),"✖ منتهي الخدمة","⏳ لم يباشر"),IF(S19&gt;0,"✈ راتب إجازة مقدم",IF(J19=0,"⛔ بدون راتب هذا الشهر",IF(I19&gt;0,"✈ خصم "&amp;ROUND(I19,2)&amp;" يوم بدون أجر",IF(AL19&gt;0,"🌴 إجازة سنوية "&amp;ROUND(AL19,2)&amp;" يوم",IF(H19&gt;0,"⚠ غياب "&amp;ROUND(H19,2)&amp;" يوم","✔ على رأس العمل")))))))</f>
        <v/>
      </c>
      <c r="G19" s="156" t="str">
        <f aca="false">IF($B19="","",IF(AK19&gt;=DAY($F$3),cfg_DAYS_M,MIN(AK19,cfg_DAYS_M)))</f>
        <v/>
      </c>
      <c r="H19" s="156" t="str">
        <f aca="false">IF($B19="","",SUMIFS('الحركات الشهرية'!$D$6:$D$1005,'الحركات الشهرية'!$B$6:$B$1005,$B19,'الحركات الشهرية'!$A$6:$A$1005,$C$3))</f>
        <v/>
      </c>
      <c r="I19" s="156" t="str">
        <f aca="false">IF($B19="","",MIN(G19,IF(AND(AK19&gt;0,AN19&gt;=AK19),G19,AN19)+SUMIFS('الحركات الشهرية'!$E$6:$E$1005,'الحركات الشهرية'!$B$6:$B$1005,$B19,'الحركات الشهرية'!$A$6:$A$1005,$C$3)))</f>
        <v/>
      </c>
      <c r="J19" s="156" t="str">
        <f aca="false">IF($B19="","",MAX(0,G19-H19-I19))</f>
        <v/>
      </c>
      <c r="K19" s="116" t="str">
        <f aca="false">IF($B19="","",الموظفون!$L19*$J19/cfg_DAYS_M)</f>
        <v/>
      </c>
      <c r="L19" s="116" t="str">
        <f aca="false">IF($B19="","",الموظفون!$M19*$J19/cfg_DAYS_M)</f>
        <v/>
      </c>
      <c r="M19" s="116" t="str">
        <f aca="false">IF($B19="","",الموظفون!$N19*$J19/cfg_DAYS_M)</f>
        <v/>
      </c>
      <c r="N19" s="116" t="str">
        <f aca="false">IF($B19="","",الموظفون!$O19*$J19/cfg_DAYS_M)</f>
        <v/>
      </c>
      <c r="O19" s="156" t="str">
        <f aca="false">IF($B19="","",SUMIFS('الحركات الشهرية'!$F$6:$F$1005,'الحركات الشهرية'!$B$6:$B$1005,$B19,'الحركات الشهرية'!$A$6:$A$1005,$C$3))</f>
        <v/>
      </c>
      <c r="P19" s="116" t="str">
        <f aca="false">IF($B19="","",O19*(الموظفون!$P19+الموظفون!$L19*cfg_OT_P)/cfg_DAYS_M/cfg_HRS)</f>
        <v/>
      </c>
      <c r="Q19" s="116" t="str">
        <f aca="false">IF($B19="","",SUMIFS('الحركات الشهرية'!$G$6:$G$1005,'الحركات الشهرية'!$B$6:$B$1005,$B19,'الحركات الشهرية'!$A$6:$A$1005,$C$3))</f>
        <v/>
      </c>
      <c r="R19" s="116" t="str">
        <f aca="false">IF($B19="","",SUMIFS('الحركات الشهرية'!$H$6:$H$1005,'الحركات الشهرية'!$B$6:$B$1005,$B19,'الحركات الشهرية'!$A$6:$A$1005,$C$3))</f>
        <v/>
      </c>
      <c r="S19" s="116" t="str">
        <f aca="false">IF($B19="","",SUMIFS('سجل الإجازات والحالات'!$N$6:$N$505,'سجل الإجازات والحالات'!$B$6:$B$505,$B19,'سجل الإجازات والحالات'!$O$6:$O$505,$C$3))</f>
        <v/>
      </c>
      <c r="T19" s="157" t="str">
        <f aca="false">IF($B19="","",SUM(K19:N19)+SUM(P19:S19))</f>
        <v/>
      </c>
      <c r="U19" s="116" t="str">
        <f aca="false">IF($B19="","",الموظفون!$S19*IF(E19="سعودي",cfg_G_SE,cfg_G_NE)*G19/cfg_DAYS_M)</f>
        <v/>
      </c>
      <c r="V19" s="116" t="str">
        <f aca="false">IF($B19="","",SUMIFS('الحركات الشهرية'!$I$6:$I$1005,'الحركات الشهرية'!$B$6:$B$1005,$B19,'الحركات الشهرية'!$A$6:$A$1005,$C$3))</f>
        <v/>
      </c>
      <c r="W19" s="116" t="str">
        <f aca="false">IF($B19="","",SUMIFS('الحركات الشهرية'!$J$6:$J$1005,'الحركات الشهرية'!$B$6:$B$1005,$B19,'الحركات الشهرية'!$A$6:$A$1005,$C$3))</f>
        <v/>
      </c>
      <c r="X19" s="116" t="str">
        <f aca="false">IF($B19="","",SUM(U19:W19))</f>
        <v/>
      </c>
      <c r="Y19" s="158" t="str">
        <f aca="false">IF($B19="","",T19-X19)</f>
        <v/>
      </c>
      <c r="Z19" s="116" t="str">
        <f aca="false">IF($B19="","",الموظفون!$S19*IF(E19="سعودي",cfg_G_SR,cfg_G_NR)*G19/cfg_DAYS_M)</f>
        <v/>
      </c>
      <c r="AA19" s="116" t="str">
        <f aca="false">IF($B19="","",الموظفون!$Q19*(cfg_EOS_R1*(MIN(AH19,cfg_EOS_TH)-MIN(AI19,cfg_EOS_TH))+cfg_EOS_R2*(MAX(AH19-cfg_EOS_TH,0)-MAX(AI19-cfg_EOS_TH,0))))</f>
        <v/>
      </c>
      <c r="AB19" s="116" t="str">
        <f aca="false">IF($B19="","",IF(الموظفون!$T19&lt;&gt;"",الموظفون!$T19,IF(AH19&gt;=cfg_LV_TH,cfg_LV_D2,cfg_LV_D1))/cfg_DAYS_Y*AJ19*الموظفون!$R19/cfg_DAYS_M)</f>
        <v/>
      </c>
      <c r="AC19" s="116" t="str">
        <f aca="false">IF($B19="","",IF(AND(الموظفون!$U19="نعم",N(الموظفون!$W19)&gt;0),الموظفون!$V19/الموظفون!$W19*12/cfg_DAYS_Y*AJ19,0))</f>
        <v/>
      </c>
      <c r="AD19" s="116" t="str">
        <f aca="false">IF($B19="","",(IF(الموظفون!$X19&lt;&gt;"",الموظفون!$X19,IF(الموظفون!$E19="غير سعودي",cfg_IQ,0))+IF(الموظفون!$Y19&lt;&gt;"",الموظفون!$Y19,IF(الموظفون!$E19="غير سعودي",cfg_WP,0)))/12*G19/cfg_DAYS_M)</f>
        <v/>
      </c>
      <c r="AE19" s="116" t="str">
        <f aca="false">IF($B19="","",IF(الموظفون!$Z19&lt;&gt;"",الموظفون!$Z19,cfg_MED)/12*G19/cfg_DAYS_M)</f>
        <v/>
      </c>
      <c r="AF19" s="116" t="str">
        <f aca="false">IF($B19="","",N(الموظفون!$AA19)/12*G19/cfg_DAYS_M)</f>
        <v/>
      </c>
      <c r="AG19" s="159" t="str">
        <f aca="false">IF($B19="","",T19+SUM(Z19:AF19))</f>
        <v/>
      </c>
      <c r="AH19" s="160" t="str">
        <f aca="false">IF($B19="","",MAX(0,IF(OR(الموظفون!$AE19="",الموظفون!$AE19&gt;$F$3),$F$3,الموظفون!$AE19)-الموظفون!$H19+1-SUMIFS('سجل الإجازات والحالات'!$AL$6:$AL$505,'سجل الإجازات والحالات'!$B$6:$B$505,$B19))/cfg_DAYS_Y)</f>
        <v/>
      </c>
      <c r="AI19" s="160" t="str">
        <f aca="false">IF($B19="","",MAX(0,IF(OR(الموظفون!$AE19="",الموظفون!$AE19&gt;($E$3-1)),($E$3-1),الموظفون!$AE19)-الموظفون!$H19+1-SUMIFS('سجل الإجازات والحالات'!$AK$6:$AK$505,'سجل الإجازات والحالات'!$B$6:$B$505,$B19))/cfg_DAYS_Y)</f>
        <v/>
      </c>
      <c r="AJ19" s="133" t="str">
        <f aca="false">IF($B19="","",MAX(0,AK19-(SUMIFS('سجل الإجازات والحالات'!$AL$6:$AL$505,'سجل الإجازات والحالات'!$B$6:$B$505,$B19)-SUMIFS('سجل الإجازات والحالات'!$AK$6:$AK$505,'سجل الإجازات والحالات'!$B$6:$B$505,$B19))))</f>
        <v/>
      </c>
      <c r="AK19" s="133" t="str">
        <f aca="false">IF($B19="","",MAX(0,IF(OR(الموظفون!$AE19="",الموظفون!$AE19&gt;$F$3),$F$3,الموظفون!$AE19)-MAX($E$3,الموظفون!$H19)+1))</f>
        <v/>
      </c>
      <c r="AL19" s="156" t="str">
        <f aca="false">IF($B19="","",SUMIFS('سجل الإجازات والحالات'!$AX$6:$AX$505,'سجل الإجازات والحالات'!$B$6:$B$505,$B19)+SUMIFS('الحركات الشهرية'!$K$6:$K$1005,'الحركات الشهرية'!$B$6:$B$1005,$B19,'الحركات الشهرية'!$A$6:$A$1005,$C$3))</f>
        <v/>
      </c>
      <c r="AM19" s="116" t="str">
        <f aca="false">IF($B19="","",AL19*الموظفون!$R19/cfg_DAYS_M+S19)</f>
        <v/>
      </c>
      <c r="AN19" s="156" t="str">
        <f aca="false">IF($B19="","",SUMIFS('سجل الإجازات والحالات'!$Z$6:$Z$505,'سجل الإجازات والحالات'!$B$6:$B$505,$B19))</f>
        <v/>
      </c>
    </row>
    <row r="20" customFormat="false" ht="15" hidden="false" customHeight="false" outlineLevel="0" collapsed="false">
      <c r="A20" s="106" t="str">
        <f aca="false">IF($B20="","",الموظفون!$A20)</f>
        <v/>
      </c>
      <c r="B20" s="114" t="str">
        <f aca="false">IF(الموظفون!$B20="","",الموظفون!$B20)</f>
        <v/>
      </c>
      <c r="C20" s="114" t="str">
        <f aca="false">IF($B20="","",الموظفون!$C20)</f>
        <v/>
      </c>
      <c r="D20" s="114" t="str">
        <f aca="false">IF($B20="","",الموظفون!$F20)</f>
        <v/>
      </c>
      <c r="E20" s="114" t="str">
        <f aca="false">IF($B20="","",الموظفون!$E20)</f>
        <v/>
      </c>
      <c r="F20" s="114" t="str">
        <f aca="false">IF($B20="","",IF(AK20=0,IF(AND(الموظفون!$AE20&lt;&gt;"",الموظفون!$AE20&lt;$E$3),"✖ منتهي الخدمة","⏳ لم يباشر"),IF(S20&gt;0,"✈ راتب إجازة مقدم",IF(J20=0,"⛔ بدون راتب هذا الشهر",IF(I20&gt;0,"✈ خصم "&amp;ROUND(I20,2)&amp;" يوم بدون أجر",IF(AL20&gt;0,"🌴 إجازة سنوية "&amp;ROUND(AL20,2)&amp;" يوم",IF(H20&gt;0,"⚠ غياب "&amp;ROUND(H20,2)&amp;" يوم","✔ على رأس العمل")))))))</f>
        <v/>
      </c>
      <c r="G20" s="151" t="str">
        <f aca="false">IF($B20="","",IF(AK20&gt;=DAY($F$3),cfg_DAYS_M,MIN(AK20,cfg_DAYS_M)))</f>
        <v/>
      </c>
      <c r="H20" s="151" t="str">
        <f aca="false">IF($B20="","",SUMIFS('الحركات الشهرية'!$D$6:$D$1005,'الحركات الشهرية'!$B$6:$B$1005,$B20,'الحركات الشهرية'!$A$6:$A$1005,$C$3))</f>
        <v/>
      </c>
      <c r="I20" s="151" t="str">
        <f aca="false">IF($B20="","",MIN(G20,IF(AND(AK20&gt;0,AN20&gt;=AK20),G20,AN20)+SUMIFS('الحركات الشهرية'!$E$6:$E$1005,'الحركات الشهرية'!$B$6:$B$1005,$B20,'الحركات الشهرية'!$A$6:$A$1005,$C$3)))</f>
        <v/>
      </c>
      <c r="J20" s="151" t="str">
        <f aca="false">IF($B20="","",MAX(0,G20-H20-I20))</f>
        <v/>
      </c>
      <c r="K20" s="111" t="str">
        <f aca="false">IF($B20="","",الموظفون!$L20*$J20/cfg_DAYS_M)</f>
        <v/>
      </c>
      <c r="L20" s="111" t="str">
        <f aca="false">IF($B20="","",الموظفون!$M20*$J20/cfg_DAYS_M)</f>
        <v/>
      </c>
      <c r="M20" s="111" t="str">
        <f aca="false">IF($B20="","",الموظفون!$N20*$J20/cfg_DAYS_M)</f>
        <v/>
      </c>
      <c r="N20" s="111" t="str">
        <f aca="false">IF($B20="","",الموظفون!$O20*$J20/cfg_DAYS_M)</f>
        <v/>
      </c>
      <c r="O20" s="151" t="str">
        <f aca="false">IF($B20="","",SUMIFS('الحركات الشهرية'!$F$6:$F$1005,'الحركات الشهرية'!$B$6:$B$1005,$B20,'الحركات الشهرية'!$A$6:$A$1005,$C$3))</f>
        <v/>
      </c>
      <c r="P20" s="111" t="str">
        <f aca="false">IF($B20="","",O20*(الموظفون!$P20+الموظفون!$L20*cfg_OT_P)/cfg_DAYS_M/cfg_HRS)</f>
        <v/>
      </c>
      <c r="Q20" s="111" t="str">
        <f aca="false">IF($B20="","",SUMIFS('الحركات الشهرية'!$G$6:$G$1005,'الحركات الشهرية'!$B$6:$B$1005,$B20,'الحركات الشهرية'!$A$6:$A$1005,$C$3))</f>
        <v/>
      </c>
      <c r="R20" s="111" t="str">
        <f aca="false">IF($B20="","",SUMIFS('الحركات الشهرية'!$H$6:$H$1005,'الحركات الشهرية'!$B$6:$B$1005,$B20,'الحركات الشهرية'!$A$6:$A$1005,$C$3))</f>
        <v/>
      </c>
      <c r="S20" s="111" t="str">
        <f aca="false">IF($B20="","",SUMIFS('سجل الإجازات والحالات'!$N$6:$N$505,'سجل الإجازات والحالات'!$B$6:$B$505,$B20,'سجل الإجازات والحالات'!$O$6:$O$505,$C$3))</f>
        <v/>
      </c>
      <c r="T20" s="152" t="str">
        <f aca="false">IF($B20="","",SUM(K20:N20)+SUM(P20:S20))</f>
        <v/>
      </c>
      <c r="U20" s="111" t="str">
        <f aca="false">IF($B20="","",الموظفون!$S20*IF(E20="سعودي",cfg_G_SE,cfg_G_NE)*G20/cfg_DAYS_M)</f>
        <v/>
      </c>
      <c r="V20" s="111" t="str">
        <f aca="false">IF($B20="","",SUMIFS('الحركات الشهرية'!$I$6:$I$1005,'الحركات الشهرية'!$B$6:$B$1005,$B20,'الحركات الشهرية'!$A$6:$A$1005,$C$3))</f>
        <v/>
      </c>
      <c r="W20" s="111" t="str">
        <f aca="false">IF($B20="","",SUMIFS('الحركات الشهرية'!$J$6:$J$1005,'الحركات الشهرية'!$B$6:$B$1005,$B20,'الحركات الشهرية'!$A$6:$A$1005,$C$3))</f>
        <v/>
      </c>
      <c r="X20" s="111" t="str">
        <f aca="false">IF($B20="","",SUM(U20:W20))</f>
        <v/>
      </c>
      <c r="Y20" s="153" t="str">
        <f aca="false">IF($B20="","",T20-X20)</f>
        <v/>
      </c>
      <c r="Z20" s="111" t="str">
        <f aca="false">IF($B20="","",الموظفون!$S20*IF(E20="سعودي",cfg_G_SR,cfg_G_NR)*G20/cfg_DAYS_M)</f>
        <v/>
      </c>
      <c r="AA20" s="111" t="str">
        <f aca="false">IF($B20="","",الموظفون!$Q20*(cfg_EOS_R1*(MIN(AH20,cfg_EOS_TH)-MIN(AI20,cfg_EOS_TH))+cfg_EOS_R2*(MAX(AH20-cfg_EOS_TH,0)-MAX(AI20-cfg_EOS_TH,0))))</f>
        <v/>
      </c>
      <c r="AB20" s="111" t="str">
        <f aca="false">IF($B20="","",IF(الموظفون!$T20&lt;&gt;"",الموظفون!$T20,IF(AH20&gt;=cfg_LV_TH,cfg_LV_D2,cfg_LV_D1))/cfg_DAYS_Y*AJ20*الموظفون!$R20/cfg_DAYS_M)</f>
        <v/>
      </c>
      <c r="AC20" s="111" t="str">
        <f aca="false">IF($B20="","",IF(AND(الموظفون!$U20="نعم",N(الموظفون!$W20)&gt;0),الموظفون!$V20/الموظفون!$W20*12/cfg_DAYS_Y*AJ20,0))</f>
        <v/>
      </c>
      <c r="AD20" s="111" t="str">
        <f aca="false">IF($B20="","",(IF(الموظفون!$X20&lt;&gt;"",الموظفون!$X20,IF(الموظفون!$E20="غير سعودي",cfg_IQ,0))+IF(الموظفون!$Y20&lt;&gt;"",الموظفون!$Y20,IF(الموظفون!$E20="غير سعودي",cfg_WP,0)))/12*G20/cfg_DAYS_M)</f>
        <v/>
      </c>
      <c r="AE20" s="111" t="str">
        <f aca="false">IF($B20="","",IF(الموظفون!$Z20&lt;&gt;"",الموظفون!$Z20,cfg_MED)/12*G20/cfg_DAYS_M)</f>
        <v/>
      </c>
      <c r="AF20" s="111" t="str">
        <f aca="false">IF($B20="","",N(الموظفون!$AA20)/12*G20/cfg_DAYS_M)</f>
        <v/>
      </c>
      <c r="AG20" s="154" t="str">
        <f aca="false">IF($B20="","",T20+SUM(Z20:AF20))</f>
        <v/>
      </c>
      <c r="AH20" s="155" t="str">
        <f aca="false">IF($B20="","",MAX(0,IF(OR(الموظفون!$AE20="",الموظفون!$AE20&gt;$F$3),$F$3,الموظفون!$AE20)-الموظفون!$H20+1-SUMIFS('سجل الإجازات والحالات'!$AL$6:$AL$505,'سجل الإجازات والحالات'!$B$6:$B$505,$B20))/cfg_DAYS_Y)</f>
        <v/>
      </c>
      <c r="AI20" s="155" t="str">
        <f aca="false">IF($B20="","",MAX(0,IF(OR(الموظفون!$AE20="",الموظفون!$AE20&gt;($E$3-1)),($E$3-1),الموظفون!$AE20)-الموظفون!$H20+1-SUMIFS('سجل الإجازات والحالات'!$AK$6:$AK$505,'سجل الإجازات والحالات'!$B$6:$B$505,$B20))/cfg_DAYS_Y)</f>
        <v/>
      </c>
      <c r="AJ20" s="65" t="str">
        <f aca="false">IF($B20="","",MAX(0,AK20-(SUMIFS('سجل الإجازات والحالات'!$AL$6:$AL$505,'سجل الإجازات والحالات'!$B$6:$B$505,$B20)-SUMIFS('سجل الإجازات والحالات'!$AK$6:$AK$505,'سجل الإجازات والحالات'!$B$6:$B$505,$B20))))</f>
        <v/>
      </c>
      <c r="AK20" s="65" t="str">
        <f aca="false">IF($B20="","",MAX(0,IF(OR(الموظفون!$AE20="",الموظفون!$AE20&gt;$F$3),$F$3,الموظفون!$AE20)-MAX($E$3,الموظفون!$H20)+1))</f>
        <v/>
      </c>
      <c r="AL20" s="151" t="str">
        <f aca="false">IF($B20="","",SUMIFS('سجل الإجازات والحالات'!$AX$6:$AX$505,'سجل الإجازات والحالات'!$B$6:$B$505,$B20)+SUMIFS('الحركات الشهرية'!$K$6:$K$1005,'الحركات الشهرية'!$B$6:$B$1005,$B20,'الحركات الشهرية'!$A$6:$A$1005,$C$3))</f>
        <v/>
      </c>
      <c r="AM20" s="111" t="str">
        <f aca="false">IF($B20="","",AL20*الموظفون!$R20/cfg_DAYS_M+S20)</f>
        <v/>
      </c>
      <c r="AN20" s="151" t="str">
        <f aca="false">IF($B20="","",SUMIFS('سجل الإجازات والحالات'!$Z$6:$Z$505,'سجل الإجازات والحالات'!$B$6:$B$505,$B20))</f>
        <v/>
      </c>
    </row>
    <row r="21" customFormat="false" ht="15" hidden="false" customHeight="false" outlineLevel="0" collapsed="false">
      <c r="A21" s="115" t="str">
        <f aca="false">IF($B21="","",الموظفون!$A21)</f>
        <v/>
      </c>
      <c r="B21" s="117" t="str">
        <f aca="false">IF(الموظفون!$B21="","",الموظفون!$B21)</f>
        <v/>
      </c>
      <c r="C21" s="117" t="str">
        <f aca="false">IF($B21="","",الموظفون!$C21)</f>
        <v/>
      </c>
      <c r="D21" s="117" t="str">
        <f aca="false">IF($B21="","",الموظفون!$F21)</f>
        <v/>
      </c>
      <c r="E21" s="117" t="str">
        <f aca="false">IF($B21="","",الموظفون!$E21)</f>
        <v/>
      </c>
      <c r="F21" s="117" t="str">
        <f aca="false">IF($B21="","",IF(AK21=0,IF(AND(الموظفون!$AE21&lt;&gt;"",الموظفون!$AE21&lt;$E$3),"✖ منتهي الخدمة","⏳ لم يباشر"),IF(S21&gt;0,"✈ راتب إجازة مقدم",IF(J21=0,"⛔ بدون راتب هذا الشهر",IF(I21&gt;0,"✈ خصم "&amp;ROUND(I21,2)&amp;" يوم بدون أجر",IF(AL21&gt;0,"🌴 إجازة سنوية "&amp;ROUND(AL21,2)&amp;" يوم",IF(H21&gt;0,"⚠ غياب "&amp;ROUND(H21,2)&amp;" يوم","✔ على رأس العمل")))))))</f>
        <v/>
      </c>
      <c r="G21" s="156" t="str">
        <f aca="false">IF($B21="","",IF(AK21&gt;=DAY($F$3),cfg_DAYS_M,MIN(AK21,cfg_DAYS_M)))</f>
        <v/>
      </c>
      <c r="H21" s="156" t="str">
        <f aca="false">IF($B21="","",SUMIFS('الحركات الشهرية'!$D$6:$D$1005,'الحركات الشهرية'!$B$6:$B$1005,$B21,'الحركات الشهرية'!$A$6:$A$1005,$C$3))</f>
        <v/>
      </c>
      <c r="I21" s="156" t="str">
        <f aca="false">IF($B21="","",MIN(G21,IF(AND(AK21&gt;0,AN21&gt;=AK21),G21,AN21)+SUMIFS('الحركات الشهرية'!$E$6:$E$1005,'الحركات الشهرية'!$B$6:$B$1005,$B21,'الحركات الشهرية'!$A$6:$A$1005,$C$3)))</f>
        <v/>
      </c>
      <c r="J21" s="156" t="str">
        <f aca="false">IF($B21="","",MAX(0,G21-H21-I21))</f>
        <v/>
      </c>
      <c r="K21" s="116" t="str">
        <f aca="false">IF($B21="","",الموظفون!$L21*$J21/cfg_DAYS_M)</f>
        <v/>
      </c>
      <c r="L21" s="116" t="str">
        <f aca="false">IF($B21="","",الموظفون!$M21*$J21/cfg_DAYS_M)</f>
        <v/>
      </c>
      <c r="M21" s="116" t="str">
        <f aca="false">IF($B21="","",الموظفون!$N21*$J21/cfg_DAYS_M)</f>
        <v/>
      </c>
      <c r="N21" s="116" t="str">
        <f aca="false">IF($B21="","",الموظفون!$O21*$J21/cfg_DAYS_M)</f>
        <v/>
      </c>
      <c r="O21" s="156" t="str">
        <f aca="false">IF($B21="","",SUMIFS('الحركات الشهرية'!$F$6:$F$1005,'الحركات الشهرية'!$B$6:$B$1005,$B21,'الحركات الشهرية'!$A$6:$A$1005,$C$3))</f>
        <v/>
      </c>
      <c r="P21" s="116" t="str">
        <f aca="false">IF($B21="","",O21*(الموظفون!$P21+الموظفون!$L21*cfg_OT_P)/cfg_DAYS_M/cfg_HRS)</f>
        <v/>
      </c>
      <c r="Q21" s="116" t="str">
        <f aca="false">IF($B21="","",SUMIFS('الحركات الشهرية'!$G$6:$G$1005,'الحركات الشهرية'!$B$6:$B$1005,$B21,'الحركات الشهرية'!$A$6:$A$1005,$C$3))</f>
        <v/>
      </c>
      <c r="R21" s="116" t="str">
        <f aca="false">IF($B21="","",SUMIFS('الحركات الشهرية'!$H$6:$H$1005,'الحركات الشهرية'!$B$6:$B$1005,$B21,'الحركات الشهرية'!$A$6:$A$1005,$C$3))</f>
        <v/>
      </c>
      <c r="S21" s="116" t="str">
        <f aca="false">IF($B21="","",SUMIFS('سجل الإجازات والحالات'!$N$6:$N$505,'سجل الإجازات والحالات'!$B$6:$B$505,$B21,'سجل الإجازات والحالات'!$O$6:$O$505,$C$3))</f>
        <v/>
      </c>
      <c r="T21" s="157" t="str">
        <f aca="false">IF($B21="","",SUM(K21:N21)+SUM(P21:S21))</f>
        <v/>
      </c>
      <c r="U21" s="116" t="str">
        <f aca="false">IF($B21="","",الموظفون!$S21*IF(E21="سعودي",cfg_G_SE,cfg_G_NE)*G21/cfg_DAYS_M)</f>
        <v/>
      </c>
      <c r="V21" s="116" t="str">
        <f aca="false">IF($B21="","",SUMIFS('الحركات الشهرية'!$I$6:$I$1005,'الحركات الشهرية'!$B$6:$B$1005,$B21,'الحركات الشهرية'!$A$6:$A$1005,$C$3))</f>
        <v/>
      </c>
      <c r="W21" s="116" t="str">
        <f aca="false">IF($B21="","",SUMIFS('الحركات الشهرية'!$J$6:$J$1005,'الحركات الشهرية'!$B$6:$B$1005,$B21,'الحركات الشهرية'!$A$6:$A$1005,$C$3))</f>
        <v/>
      </c>
      <c r="X21" s="116" t="str">
        <f aca="false">IF($B21="","",SUM(U21:W21))</f>
        <v/>
      </c>
      <c r="Y21" s="158" t="str">
        <f aca="false">IF($B21="","",T21-X21)</f>
        <v/>
      </c>
      <c r="Z21" s="116" t="str">
        <f aca="false">IF($B21="","",الموظفون!$S21*IF(E21="سعودي",cfg_G_SR,cfg_G_NR)*G21/cfg_DAYS_M)</f>
        <v/>
      </c>
      <c r="AA21" s="116" t="str">
        <f aca="false">IF($B21="","",الموظفون!$Q21*(cfg_EOS_R1*(MIN(AH21,cfg_EOS_TH)-MIN(AI21,cfg_EOS_TH))+cfg_EOS_R2*(MAX(AH21-cfg_EOS_TH,0)-MAX(AI21-cfg_EOS_TH,0))))</f>
        <v/>
      </c>
      <c r="AB21" s="116" t="str">
        <f aca="false">IF($B21="","",IF(الموظفون!$T21&lt;&gt;"",الموظفون!$T21,IF(AH21&gt;=cfg_LV_TH,cfg_LV_D2,cfg_LV_D1))/cfg_DAYS_Y*AJ21*الموظفون!$R21/cfg_DAYS_M)</f>
        <v/>
      </c>
      <c r="AC21" s="116" t="str">
        <f aca="false">IF($B21="","",IF(AND(الموظفون!$U21="نعم",N(الموظفون!$W21)&gt;0),الموظفون!$V21/الموظفون!$W21*12/cfg_DAYS_Y*AJ21,0))</f>
        <v/>
      </c>
      <c r="AD21" s="116" t="str">
        <f aca="false">IF($B21="","",(IF(الموظفون!$X21&lt;&gt;"",الموظفون!$X21,IF(الموظفون!$E21="غير سعودي",cfg_IQ,0))+IF(الموظفون!$Y21&lt;&gt;"",الموظفون!$Y21,IF(الموظفون!$E21="غير سعودي",cfg_WP,0)))/12*G21/cfg_DAYS_M)</f>
        <v/>
      </c>
      <c r="AE21" s="116" t="str">
        <f aca="false">IF($B21="","",IF(الموظفون!$Z21&lt;&gt;"",الموظفون!$Z21,cfg_MED)/12*G21/cfg_DAYS_M)</f>
        <v/>
      </c>
      <c r="AF21" s="116" t="str">
        <f aca="false">IF($B21="","",N(الموظفون!$AA21)/12*G21/cfg_DAYS_M)</f>
        <v/>
      </c>
      <c r="AG21" s="159" t="str">
        <f aca="false">IF($B21="","",T21+SUM(Z21:AF21))</f>
        <v/>
      </c>
      <c r="AH21" s="160" t="str">
        <f aca="false">IF($B21="","",MAX(0,IF(OR(الموظفون!$AE21="",الموظفون!$AE21&gt;$F$3),$F$3,الموظفون!$AE21)-الموظفون!$H21+1-SUMIFS('سجل الإجازات والحالات'!$AL$6:$AL$505,'سجل الإجازات والحالات'!$B$6:$B$505,$B21))/cfg_DAYS_Y)</f>
        <v/>
      </c>
      <c r="AI21" s="160" t="str">
        <f aca="false">IF($B21="","",MAX(0,IF(OR(الموظفون!$AE21="",الموظفون!$AE21&gt;($E$3-1)),($E$3-1),الموظفون!$AE21)-الموظفون!$H21+1-SUMIFS('سجل الإجازات والحالات'!$AK$6:$AK$505,'سجل الإجازات والحالات'!$B$6:$B$505,$B21))/cfg_DAYS_Y)</f>
        <v/>
      </c>
      <c r="AJ21" s="133" t="str">
        <f aca="false">IF($B21="","",MAX(0,AK21-(SUMIFS('سجل الإجازات والحالات'!$AL$6:$AL$505,'سجل الإجازات والحالات'!$B$6:$B$505,$B21)-SUMIFS('سجل الإجازات والحالات'!$AK$6:$AK$505,'سجل الإجازات والحالات'!$B$6:$B$505,$B21))))</f>
        <v/>
      </c>
      <c r="AK21" s="133" t="str">
        <f aca="false">IF($B21="","",MAX(0,IF(OR(الموظفون!$AE21="",الموظفون!$AE21&gt;$F$3),$F$3,الموظفون!$AE21)-MAX($E$3,الموظفون!$H21)+1))</f>
        <v/>
      </c>
      <c r="AL21" s="156" t="str">
        <f aca="false">IF($B21="","",SUMIFS('سجل الإجازات والحالات'!$AX$6:$AX$505,'سجل الإجازات والحالات'!$B$6:$B$505,$B21)+SUMIFS('الحركات الشهرية'!$K$6:$K$1005,'الحركات الشهرية'!$B$6:$B$1005,$B21,'الحركات الشهرية'!$A$6:$A$1005,$C$3))</f>
        <v/>
      </c>
      <c r="AM21" s="116" t="str">
        <f aca="false">IF($B21="","",AL21*الموظفون!$R21/cfg_DAYS_M+S21)</f>
        <v/>
      </c>
      <c r="AN21" s="156" t="str">
        <f aca="false">IF($B21="","",SUMIFS('سجل الإجازات والحالات'!$Z$6:$Z$505,'سجل الإجازات والحالات'!$B$6:$B$505,$B21))</f>
        <v/>
      </c>
    </row>
    <row r="22" customFormat="false" ht="15" hidden="false" customHeight="false" outlineLevel="0" collapsed="false">
      <c r="A22" s="106" t="str">
        <f aca="false">IF($B22="","",الموظفون!$A22)</f>
        <v/>
      </c>
      <c r="B22" s="114" t="str">
        <f aca="false">IF(الموظفون!$B22="","",الموظفون!$B22)</f>
        <v/>
      </c>
      <c r="C22" s="114" t="str">
        <f aca="false">IF($B22="","",الموظفون!$C22)</f>
        <v/>
      </c>
      <c r="D22" s="114" t="str">
        <f aca="false">IF($B22="","",الموظفون!$F22)</f>
        <v/>
      </c>
      <c r="E22" s="114" t="str">
        <f aca="false">IF($B22="","",الموظفون!$E22)</f>
        <v/>
      </c>
      <c r="F22" s="114" t="str">
        <f aca="false">IF($B22="","",IF(AK22=0,IF(AND(الموظفون!$AE22&lt;&gt;"",الموظفون!$AE22&lt;$E$3),"✖ منتهي الخدمة","⏳ لم يباشر"),IF(S22&gt;0,"✈ راتب إجازة مقدم",IF(J22=0,"⛔ بدون راتب هذا الشهر",IF(I22&gt;0,"✈ خصم "&amp;ROUND(I22,2)&amp;" يوم بدون أجر",IF(AL22&gt;0,"🌴 إجازة سنوية "&amp;ROUND(AL22,2)&amp;" يوم",IF(H22&gt;0,"⚠ غياب "&amp;ROUND(H22,2)&amp;" يوم","✔ على رأس العمل")))))))</f>
        <v/>
      </c>
      <c r="G22" s="151" t="str">
        <f aca="false">IF($B22="","",IF(AK22&gt;=DAY($F$3),cfg_DAYS_M,MIN(AK22,cfg_DAYS_M)))</f>
        <v/>
      </c>
      <c r="H22" s="151" t="str">
        <f aca="false">IF($B22="","",SUMIFS('الحركات الشهرية'!$D$6:$D$1005,'الحركات الشهرية'!$B$6:$B$1005,$B22,'الحركات الشهرية'!$A$6:$A$1005,$C$3))</f>
        <v/>
      </c>
      <c r="I22" s="151" t="str">
        <f aca="false">IF($B22="","",MIN(G22,IF(AND(AK22&gt;0,AN22&gt;=AK22),G22,AN22)+SUMIFS('الحركات الشهرية'!$E$6:$E$1005,'الحركات الشهرية'!$B$6:$B$1005,$B22,'الحركات الشهرية'!$A$6:$A$1005,$C$3)))</f>
        <v/>
      </c>
      <c r="J22" s="151" t="str">
        <f aca="false">IF($B22="","",MAX(0,G22-H22-I22))</f>
        <v/>
      </c>
      <c r="K22" s="111" t="str">
        <f aca="false">IF($B22="","",الموظفون!$L22*$J22/cfg_DAYS_M)</f>
        <v/>
      </c>
      <c r="L22" s="111" t="str">
        <f aca="false">IF($B22="","",الموظفون!$M22*$J22/cfg_DAYS_M)</f>
        <v/>
      </c>
      <c r="M22" s="111" t="str">
        <f aca="false">IF($B22="","",الموظفون!$N22*$J22/cfg_DAYS_M)</f>
        <v/>
      </c>
      <c r="N22" s="111" t="str">
        <f aca="false">IF($B22="","",الموظفون!$O22*$J22/cfg_DAYS_M)</f>
        <v/>
      </c>
      <c r="O22" s="151" t="str">
        <f aca="false">IF($B22="","",SUMIFS('الحركات الشهرية'!$F$6:$F$1005,'الحركات الشهرية'!$B$6:$B$1005,$B22,'الحركات الشهرية'!$A$6:$A$1005,$C$3))</f>
        <v/>
      </c>
      <c r="P22" s="111" t="str">
        <f aca="false">IF($B22="","",O22*(الموظفون!$P22+الموظفون!$L22*cfg_OT_P)/cfg_DAYS_M/cfg_HRS)</f>
        <v/>
      </c>
      <c r="Q22" s="111" t="str">
        <f aca="false">IF($B22="","",SUMIFS('الحركات الشهرية'!$G$6:$G$1005,'الحركات الشهرية'!$B$6:$B$1005,$B22,'الحركات الشهرية'!$A$6:$A$1005,$C$3))</f>
        <v/>
      </c>
      <c r="R22" s="111" t="str">
        <f aca="false">IF($B22="","",SUMIFS('الحركات الشهرية'!$H$6:$H$1005,'الحركات الشهرية'!$B$6:$B$1005,$B22,'الحركات الشهرية'!$A$6:$A$1005,$C$3))</f>
        <v/>
      </c>
      <c r="S22" s="111" t="str">
        <f aca="false">IF($B22="","",SUMIFS('سجل الإجازات والحالات'!$N$6:$N$505,'سجل الإجازات والحالات'!$B$6:$B$505,$B22,'سجل الإجازات والحالات'!$O$6:$O$505,$C$3))</f>
        <v/>
      </c>
      <c r="T22" s="152" t="str">
        <f aca="false">IF($B22="","",SUM(K22:N22)+SUM(P22:S22))</f>
        <v/>
      </c>
      <c r="U22" s="111" t="str">
        <f aca="false">IF($B22="","",الموظفون!$S22*IF(E22="سعودي",cfg_G_SE,cfg_G_NE)*G22/cfg_DAYS_M)</f>
        <v/>
      </c>
      <c r="V22" s="111" t="str">
        <f aca="false">IF($B22="","",SUMIFS('الحركات الشهرية'!$I$6:$I$1005,'الحركات الشهرية'!$B$6:$B$1005,$B22,'الحركات الشهرية'!$A$6:$A$1005,$C$3))</f>
        <v/>
      </c>
      <c r="W22" s="111" t="str">
        <f aca="false">IF($B22="","",SUMIFS('الحركات الشهرية'!$J$6:$J$1005,'الحركات الشهرية'!$B$6:$B$1005,$B22,'الحركات الشهرية'!$A$6:$A$1005,$C$3))</f>
        <v/>
      </c>
      <c r="X22" s="111" t="str">
        <f aca="false">IF($B22="","",SUM(U22:W22))</f>
        <v/>
      </c>
      <c r="Y22" s="153" t="str">
        <f aca="false">IF($B22="","",T22-X22)</f>
        <v/>
      </c>
      <c r="Z22" s="111" t="str">
        <f aca="false">IF($B22="","",الموظفون!$S22*IF(E22="سعودي",cfg_G_SR,cfg_G_NR)*G22/cfg_DAYS_M)</f>
        <v/>
      </c>
      <c r="AA22" s="111" t="str">
        <f aca="false">IF($B22="","",الموظفون!$Q22*(cfg_EOS_R1*(MIN(AH22,cfg_EOS_TH)-MIN(AI22,cfg_EOS_TH))+cfg_EOS_R2*(MAX(AH22-cfg_EOS_TH,0)-MAX(AI22-cfg_EOS_TH,0))))</f>
        <v/>
      </c>
      <c r="AB22" s="111" t="str">
        <f aca="false">IF($B22="","",IF(الموظفون!$T22&lt;&gt;"",الموظفون!$T22,IF(AH22&gt;=cfg_LV_TH,cfg_LV_D2,cfg_LV_D1))/cfg_DAYS_Y*AJ22*الموظفون!$R22/cfg_DAYS_M)</f>
        <v/>
      </c>
      <c r="AC22" s="111" t="str">
        <f aca="false">IF($B22="","",IF(AND(الموظفون!$U22="نعم",N(الموظفون!$W22)&gt;0),الموظفون!$V22/الموظفون!$W22*12/cfg_DAYS_Y*AJ22,0))</f>
        <v/>
      </c>
      <c r="AD22" s="111" t="str">
        <f aca="false">IF($B22="","",(IF(الموظفون!$X22&lt;&gt;"",الموظفون!$X22,IF(الموظفون!$E22="غير سعودي",cfg_IQ,0))+IF(الموظفون!$Y22&lt;&gt;"",الموظفون!$Y22,IF(الموظفون!$E22="غير سعودي",cfg_WP,0)))/12*G22/cfg_DAYS_M)</f>
        <v/>
      </c>
      <c r="AE22" s="111" t="str">
        <f aca="false">IF($B22="","",IF(الموظفون!$Z22&lt;&gt;"",الموظفون!$Z22,cfg_MED)/12*G22/cfg_DAYS_M)</f>
        <v/>
      </c>
      <c r="AF22" s="111" t="str">
        <f aca="false">IF($B22="","",N(الموظفون!$AA22)/12*G22/cfg_DAYS_M)</f>
        <v/>
      </c>
      <c r="AG22" s="154" t="str">
        <f aca="false">IF($B22="","",T22+SUM(Z22:AF22))</f>
        <v/>
      </c>
      <c r="AH22" s="155" t="str">
        <f aca="false">IF($B22="","",MAX(0,IF(OR(الموظفون!$AE22="",الموظفون!$AE22&gt;$F$3),$F$3,الموظفون!$AE22)-الموظفون!$H22+1-SUMIFS('سجل الإجازات والحالات'!$AL$6:$AL$505,'سجل الإجازات والحالات'!$B$6:$B$505,$B22))/cfg_DAYS_Y)</f>
        <v/>
      </c>
      <c r="AI22" s="155" t="str">
        <f aca="false">IF($B22="","",MAX(0,IF(OR(الموظفون!$AE22="",الموظفون!$AE22&gt;($E$3-1)),($E$3-1),الموظفون!$AE22)-الموظفون!$H22+1-SUMIFS('سجل الإجازات والحالات'!$AK$6:$AK$505,'سجل الإجازات والحالات'!$B$6:$B$505,$B22))/cfg_DAYS_Y)</f>
        <v/>
      </c>
      <c r="AJ22" s="65" t="str">
        <f aca="false">IF($B22="","",MAX(0,AK22-(SUMIFS('سجل الإجازات والحالات'!$AL$6:$AL$505,'سجل الإجازات والحالات'!$B$6:$B$505,$B22)-SUMIFS('سجل الإجازات والحالات'!$AK$6:$AK$505,'سجل الإجازات والحالات'!$B$6:$B$505,$B22))))</f>
        <v/>
      </c>
      <c r="AK22" s="65" t="str">
        <f aca="false">IF($B22="","",MAX(0,IF(OR(الموظفون!$AE22="",الموظفون!$AE22&gt;$F$3),$F$3,الموظفون!$AE22)-MAX($E$3,الموظفون!$H22)+1))</f>
        <v/>
      </c>
      <c r="AL22" s="151" t="str">
        <f aca="false">IF($B22="","",SUMIFS('سجل الإجازات والحالات'!$AX$6:$AX$505,'سجل الإجازات والحالات'!$B$6:$B$505,$B22)+SUMIFS('الحركات الشهرية'!$K$6:$K$1005,'الحركات الشهرية'!$B$6:$B$1005,$B22,'الحركات الشهرية'!$A$6:$A$1005,$C$3))</f>
        <v/>
      </c>
      <c r="AM22" s="111" t="str">
        <f aca="false">IF($B22="","",AL22*الموظفون!$R22/cfg_DAYS_M+S22)</f>
        <v/>
      </c>
      <c r="AN22" s="151" t="str">
        <f aca="false">IF($B22="","",SUMIFS('سجل الإجازات والحالات'!$Z$6:$Z$505,'سجل الإجازات والحالات'!$B$6:$B$505,$B22))</f>
        <v/>
      </c>
    </row>
    <row r="23" customFormat="false" ht="15" hidden="false" customHeight="false" outlineLevel="0" collapsed="false">
      <c r="A23" s="115" t="str">
        <f aca="false">IF($B23="","",الموظفون!$A23)</f>
        <v/>
      </c>
      <c r="B23" s="117" t="str">
        <f aca="false">IF(الموظفون!$B23="","",الموظفون!$B23)</f>
        <v/>
      </c>
      <c r="C23" s="117" t="str">
        <f aca="false">IF($B23="","",الموظفون!$C23)</f>
        <v/>
      </c>
      <c r="D23" s="117" t="str">
        <f aca="false">IF($B23="","",الموظفون!$F23)</f>
        <v/>
      </c>
      <c r="E23" s="117" t="str">
        <f aca="false">IF($B23="","",الموظفون!$E23)</f>
        <v/>
      </c>
      <c r="F23" s="117" t="str">
        <f aca="false">IF($B23="","",IF(AK23=0,IF(AND(الموظفون!$AE23&lt;&gt;"",الموظفون!$AE23&lt;$E$3),"✖ منتهي الخدمة","⏳ لم يباشر"),IF(S23&gt;0,"✈ راتب إجازة مقدم",IF(J23=0,"⛔ بدون راتب هذا الشهر",IF(I23&gt;0,"✈ خصم "&amp;ROUND(I23,2)&amp;" يوم بدون أجر",IF(AL23&gt;0,"🌴 إجازة سنوية "&amp;ROUND(AL23,2)&amp;" يوم",IF(H23&gt;0,"⚠ غياب "&amp;ROUND(H23,2)&amp;" يوم","✔ على رأس العمل")))))))</f>
        <v/>
      </c>
      <c r="G23" s="156" t="str">
        <f aca="false">IF($B23="","",IF(AK23&gt;=DAY($F$3),cfg_DAYS_M,MIN(AK23,cfg_DAYS_M)))</f>
        <v/>
      </c>
      <c r="H23" s="156" t="str">
        <f aca="false">IF($B23="","",SUMIFS('الحركات الشهرية'!$D$6:$D$1005,'الحركات الشهرية'!$B$6:$B$1005,$B23,'الحركات الشهرية'!$A$6:$A$1005,$C$3))</f>
        <v/>
      </c>
      <c r="I23" s="156" t="str">
        <f aca="false">IF($B23="","",MIN(G23,IF(AND(AK23&gt;0,AN23&gt;=AK23),G23,AN23)+SUMIFS('الحركات الشهرية'!$E$6:$E$1005,'الحركات الشهرية'!$B$6:$B$1005,$B23,'الحركات الشهرية'!$A$6:$A$1005,$C$3)))</f>
        <v/>
      </c>
      <c r="J23" s="156" t="str">
        <f aca="false">IF($B23="","",MAX(0,G23-H23-I23))</f>
        <v/>
      </c>
      <c r="K23" s="116" t="str">
        <f aca="false">IF($B23="","",الموظفون!$L23*$J23/cfg_DAYS_M)</f>
        <v/>
      </c>
      <c r="L23" s="116" t="str">
        <f aca="false">IF($B23="","",الموظفون!$M23*$J23/cfg_DAYS_M)</f>
        <v/>
      </c>
      <c r="M23" s="116" t="str">
        <f aca="false">IF($B23="","",الموظفون!$N23*$J23/cfg_DAYS_M)</f>
        <v/>
      </c>
      <c r="N23" s="116" t="str">
        <f aca="false">IF($B23="","",الموظفون!$O23*$J23/cfg_DAYS_M)</f>
        <v/>
      </c>
      <c r="O23" s="156" t="str">
        <f aca="false">IF($B23="","",SUMIFS('الحركات الشهرية'!$F$6:$F$1005,'الحركات الشهرية'!$B$6:$B$1005,$B23,'الحركات الشهرية'!$A$6:$A$1005,$C$3))</f>
        <v/>
      </c>
      <c r="P23" s="116" t="str">
        <f aca="false">IF($B23="","",O23*(الموظفون!$P23+الموظفون!$L23*cfg_OT_P)/cfg_DAYS_M/cfg_HRS)</f>
        <v/>
      </c>
      <c r="Q23" s="116" t="str">
        <f aca="false">IF($B23="","",SUMIFS('الحركات الشهرية'!$G$6:$G$1005,'الحركات الشهرية'!$B$6:$B$1005,$B23,'الحركات الشهرية'!$A$6:$A$1005,$C$3))</f>
        <v/>
      </c>
      <c r="R23" s="116" t="str">
        <f aca="false">IF($B23="","",SUMIFS('الحركات الشهرية'!$H$6:$H$1005,'الحركات الشهرية'!$B$6:$B$1005,$B23,'الحركات الشهرية'!$A$6:$A$1005,$C$3))</f>
        <v/>
      </c>
      <c r="S23" s="116" t="str">
        <f aca="false">IF($B23="","",SUMIFS('سجل الإجازات والحالات'!$N$6:$N$505,'سجل الإجازات والحالات'!$B$6:$B$505,$B23,'سجل الإجازات والحالات'!$O$6:$O$505,$C$3))</f>
        <v/>
      </c>
      <c r="T23" s="157" t="str">
        <f aca="false">IF($B23="","",SUM(K23:N23)+SUM(P23:S23))</f>
        <v/>
      </c>
      <c r="U23" s="116" t="str">
        <f aca="false">IF($B23="","",الموظفون!$S23*IF(E23="سعودي",cfg_G_SE,cfg_G_NE)*G23/cfg_DAYS_M)</f>
        <v/>
      </c>
      <c r="V23" s="116" t="str">
        <f aca="false">IF($B23="","",SUMIFS('الحركات الشهرية'!$I$6:$I$1005,'الحركات الشهرية'!$B$6:$B$1005,$B23,'الحركات الشهرية'!$A$6:$A$1005,$C$3))</f>
        <v/>
      </c>
      <c r="W23" s="116" t="str">
        <f aca="false">IF($B23="","",SUMIFS('الحركات الشهرية'!$J$6:$J$1005,'الحركات الشهرية'!$B$6:$B$1005,$B23,'الحركات الشهرية'!$A$6:$A$1005,$C$3))</f>
        <v/>
      </c>
      <c r="X23" s="116" t="str">
        <f aca="false">IF($B23="","",SUM(U23:W23))</f>
        <v/>
      </c>
      <c r="Y23" s="158" t="str">
        <f aca="false">IF($B23="","",T23-X23)</f>
        <v/>
      </c>
      <c r="Z23" s="116" t="str">
        <f aca="false">IF($B23="","",الموظفون!$S23*IF(E23="سعودي",cfg_G_SR,cfg_G_NR)*G23/cfg_DAYS_M)</f>
        <v/>
      </c>
      <c r="AA23" s="116" t="str">
        <f aca="false">IF($B23="","",الموظفون!$Q23*(cfg_EOS_R1*(MIN(AH23,cfg_EOS_TH)-MIN(AI23,cfg_EOS_TH))+cfg_EOS_R2*(MAX(AH23-cfg_EOS_TH,0)-MAX(AI23-cfg_EOS_TH,0))))</f>
        <v/>
      </c>
      <c r="AB23" s="116" t="str">
        <f aca="false">IF($B23="","",IF(الموظفون!$T23&lt;&gt;"",الموظفون!$T23,IF(AH23&gt;=cfg_LV_TH,cfg_LV_D2,cfg_LV_D1))/cfg_DAYS_Y*AJ23*الموظفون!$R23/cfg_DAYS_M)</f>
        <v/>
      </c>
      <c r="AC23" s="116" t="str">
        <f aca="false">IF($B23="","",IF(AND(الموظفون!$U23="نعم",N(الموظفون!$W23)&gt;0),الموظفون!$V23/الموظفون!$W23*12/cfg_DAYS_Y*AJ23,0))</f>
        <v/>
      </c>
      <c r="AD23" s="116" t="str">
        <f aca="false">IF($B23="","",(IF(الموظفون!$X23&lt;&gt;"",الموظفون!$X23,IF(الموظفون!$E23="غير سعودي",cfg_IQ,0))+IF(الموظفون!$Y23&lt;&gt;"",الموظفون!$Y23,IF(الموظفون!$E23="غير سعودي",cfg_WP,0)))/12*G23/cfg_DAYS_M)</f>
        <v/>
      </c>
      <c r="AE23" s="116" t="str">
        <f aca="false">IF($B23="","",IF(الموظفون!$Z23&lt;&gt;"",الموظفون!$Z23,cfg_MED)/12*G23/cfg_DAYS_M)</f>
        <v/>
      </c>
      <c r="AF23" s="116" t="str">
        <f aca="false">IF($B23="","",N(الموظفون!$AA23)/12*G23/cfg_DAYS_M)</f>
        <v/>
      </c>
      <c r="AG23" s="159" t="str">
        <f aca="false">IF($B23="","",T23+SUM(Z23:AF23))</f>
        <v/>
      </c>
      <c r="AH23" s="160" t="str">
        <f aca="false">IF($B23="","",MAX(0,IF(OR(الموظفون!$AE23="",الموظفون!$AE23&gt;$F$3),$F$3,الموظفون!$AE23)-الموظفون!$H23+1-SUMIFS('سجل الإجازات والحالات'!$AL$6:$AL$505,'سجل الإجازات والحالات'!$B$6:$B$505,$B23))/cfg_DAYS_Y)</f>
        <v/>
      </c>
      <c r="AI23" s="160" t="str">
        <f aca="false">IF($B23="","",MAX(0,IF(OR(الموظفون!$AE23="",الموظفون!$AE23&gt;($E$3-1)),($E$3-1),الموظفون!$AE23)-الموظفون!$H23+1-SUMIFS('سجل الإجازات والحالات'!$AK$6:$AK$505,'سجل الإجازات والحالات'!$B$6:$B$505,$B23))/cfg_DAYS_Y)</f>
        <v/>
      </c>
      <c r="AJ23" s="133" t="str">
        <f aca="false">IF($B23="","",MAX(0,AK23-(SUMIFS('سجل الإجازات والحالات'!$AL$6:$AL$505,'سجل الإجازات والحالات'!$B$6:$B$505,$B23)-SUMIFS('سجل الإجازات والحالات'!$AK$6:$AK$505,'سجل الإجازات والحالات'!$B$6:$B$505,$B23))))</f>
        <v/>
      </c>
      <c r="AK23" s="133" t="str">
        <f aca="false">IF($B23="","",MAX(0,IF(OR(الموظفون!$AE23="",الموظفون!$AE23&gt;$F$3),$F$3,الموظفون!$AE23)-MAX($E$3,الموظفون!$H23)+1))</f>
        <v/>
      </c>
      <c r="AL23" s="156" t="str">
        <f aca="false">IF($B23="","",SUMIFS('سجل الإجازات والحالات'!$AX$6:$AX$505,'سجل الإجازات والحالات'!$B$6:$B$505,$B23)+SUMIFS('الحركات الشهرية'!$K$6:$K$1005,'الحركات الشهرية'!$B$6:$B$1005,$B23,'الحركات الشهرية'!$A$6:$A$1005,$C$3))</f>
        <v/>
      </c>
      <c r="AM23" s="116" t="str">
        <f aca="false">IF($B23="","",AL23*الموظفون!$R23/cfg_DAYS_M+S23)</f>
        <v/>
      </c>
      <c r="AN23" s="156" t="str">
        <f aca="false">IF($B23="","",SUMIFS('سجل الإجازات والحالات'!$Z$6:$Z$505,'سجل الإجازات والحالات'!$B$6:$B$505,$B23))</f>
        <v/>
      </c>
    </row>
    <row r="24" customFormat="false" ht="15" hidden="false" customHeight="false" outlineLevel="0" collapsed="false">
      <c r="A24" s="106" t="str">
        <f aca="false">IF($B24="","",الموظفون!$A24)</f>
        <v/>
      </c>
      <c r="B24" s="114" t="str">
        <f aca="false">IF(الموظفون!$B24="","",الموظفون!$B24)</f>
        <v/>
      </c>
      <c r="C24" s="114" t="str">
        <f aca="false">IF($B24="","",الموظفون!$C24)</f>
        <v/>
      </c>
      <c r="D24" s="114" t="str">
        <f aca="false">IF($B24="","",الموظفون!$F24)</f>
        <v/>
      </c>
      <c r="E24" s="114" t="str">
        <f aca="false">IF($B24="","",الموظفون!$E24)</f>
        <v/>
      </c>
      <c r="F24" s="114" t="str">
        <f aca="false">IF($B24="","",IF(AK24=0,IF(AND(الموظفون!$AE24&lt;&gt;"",الموظفون!$AE24&lt;$E$3),"✖ منتهي الخدمة","⏳ لم يباشر"),IF(S24&gt;0,"✈ راتب إجازة مقدم",IF(J24=0,"⛔ بدون راتب هذا الشهر",IF(I24&gt;0,"✈ خصم "&amp;ROUND(I24,2)&amp;" يوم بدون أجر",IF(AL24&gt;0,"🌴 إجازة سنوية "&amp;ROUND(AL24,2)&amp;" يوم",IF(H24&gt;0,"⚠ غياب "&amp;ROUND(H24,2)&amp;" يوم","✔ على رأس العمل")))))))</f>
        <v/>
      </c>
      <c r="G24" s="151" t="str">
        <f aca="false">IF($B24="","",IF(AK24&gt;=DAY($F$3),cfg_DAYS_M,MIN(AK24,cfg_DAYS_M)))</f>
        <v/>
      </c>
      <c r="H24" s="151" t="str">
        <f aca="false">IF($B24="","",SUMIFS('الحركات الشهرية'!$D$6:$D$1005,'الحركات الشهرية'!$B$6:$B$1005,$B24,'الحركات الشهرية'!$A$6:$A$1005,$C$3))</f>
        <v/>
      </c>
      <c r="I24" s="151" t="str">
        <f aca="false">IF($B24="","",MIN(G24,IF(AND(AK24&gt;0,AN24&gt;=AK24),G24,AN24)+SUMIFS('الحركات الشهرية'!$E$6:$E$1005,'الحركات الشهرية'!$B$6:$B$1005,$B24,'الحركات الشهرية'!$A$6:$A$1005,$C$3)))</f>
        <v/>
      </c>
      <c r="J24" s="151" t="str">
        <f aca="false">IF($B24="","",MAX(0,G24-H24-I24))</f>
        <v/>
      </c>
      <c r="K24" s="111" t="str">
        <f aca="false">IF($B24="","",الموظفون!$L24*$J24/cfg_DAYS_M)</f>
        <v/>
      </c>
      <c r="L24" s="111" t="str">
        <f aca="false">IF($B24="","",الموظفون!$M24*$J24/cfg_DAYS_M)</f>
        <v/>
      </c>
      <c r="M24" s="111" t="str">
        <f aca="false">IF($B24="","",الموظفون!$N24*$J24/cfg_DAYS_M)</f>
        <v/>
      </c>
      <c r="N24" s="111" t="str">
        <f aca="false">IF($B24="","",الموظفون!$O24*$J24/cfg_DAYS_M)</f>
        <v/>
      </c>
      <c r="O24" s="151" t="str">
        <f aca="false">IF($B24="","",SUMIFS('الحركات الشهرية'!$F$6:$F$1005,'الحركات الشهرية'!$B$6:$B$1005,$B24,'الحركات الشهرية'!$A$6:$A$1005,$C$3))</f>
        <v/>
      </c>
      <c r="P24" s="111" t="str">
        <f aca="false">IF($B24="","",O24*(الموظفون!$P24+الموظفون!$L24*cfg_OT_P)/cfg_DAYS_M/cfg_HRS)</f>
        <v/>
      </c>
      <c r="Q24" s="111" t="str">
        <f aca="false">IF($B24="","",SUMIFS('الحركات الشهرية'!$G$6:$G$1005,'الحركات الشهرية'!$B$6:$B$1005,$B24,'الحركات الشهرية'!$A$6:$A$1005,$C$3))</f>
        <v/>
      </c>
      <c r="R24" s="111" t="str">
        <f aca="false">IF($B24="","",SUMIFS('الحركات الشهرية'!$H$6:$H$1005,'الحركات الشهرية'!$B$6:$B$1005,$B24,'الحركات الشهرية'!$A$6:$A$1005,$C$3))</f>
        <v/>
      </c>
      <c r="S24" s="111" t="str">
        <f aca="false">IF($B24="","",SUMIFS('سجل الإجازات والحالات'!$N$6:$N$505,'سجل الإجازات والحالات'!$B$6:$B$505,$B24,'سجل الإجازات والحالات'!$O$6:$O$505,$C$3))</f>
        <v/>
      </c>
      <c r="T24" s="152" t="str">
        <f aca="false">IF($B24="","",SUM(K24:N24)+SUM(P24:S24))</f>
        <v/>
      </c>
      <c r="U24" s="111" t="str">
        <f aca="false">IF($B24="","",الموظفون!$S24*IF(E24="سعودي",cfg_G_SE,cfg_G_NE)*G24/cfg_DAYS_M)</f>
        <v/>
      </c>
      <c r="V24" s="111" t="str">
        <f aca="false">IF($B24="","",SUMIFS('الحركات الشهرية'!$I$6:$I$1005,'الحركات الشهرية'!$B$6:$B$1005,$B24,'الحركات الشهرية'!$A$6:$A$1005,$C$3))</f>
        <v/>
      </c>
      <c r="W24" s="111" t="str">
        <f aca="false">IF($B24="","",SUMIFS('الحركات الشهرية'!$J$6:$J$1005,'الحركات الشهرية'!$B$6:$B$1005,$B24,'الحركات الشهرية'!$A$6:$A$1005,$C$3))</f>
        <v/>
      </c>
      <c r="X24" s="111" t="str">
        <f aca="false">IF($B24="","",SUM(U24:W24))</f>
        <v/>
      </c>
      <c r="Y24" s="153" t="str">
        <f aca="false">IF($B24="","",T24-X24)</f>
        <v/>
      </c>
      <c r="Z24" s="111" t="str">
        <f aca="false">IF($B24="","",الموظفون!$S24*IF(E24="سعودي",cfg_G_SR,cfg_G_NR)*G24/cfg_DAYS_M)</f>
        <v/>
      </c>
      <c r="AA24" s="111" t="str">
        <f aca="false">IF($B24="","",الموظفون!$Q24*(cfg_EOS_R1*(MIN(AH24,cfg_EOS_TH)-MIN(AI24,cfg_EOS_TH))+cfg_EOS_R2*(MAX(AH24-cfg_EOS_TH,0)-MAX(AI24-cfg_EOS_TH,0))))</f>
        <v/>
      </c>
      <c r="AB24" s="111" t="str">
        <f aca="false">IF($B24="","",IF(الموظفون!$T24&lt;&gt;"",الموظفون!$T24,IF(AH24&gt;=cfg_LV_TH,cfg_LV_D2,cfg_LV_D1))/cfg_DAYS_Y*AJ24*الموظفون!$R24/cfg_DAYS_M)</f>
        <v/>
      </c>
      <c r="AC24" s="111" t="str">
        <f aca="false">IF($B24="","",IF(AND(الموظفون!$U24="نعم",N(الموظفون!$W24)&gt;0),الموظفون!$V24/الموظفون!$W24*12/cfg_DAYS_Y*AJ24,0))</f>
        <v/>
      </c>
      <c r="AD24" s="111" t="str">
        <f aca="false">IF($B24="","",(IF(الموظفون!$X24&lt;&gt;"",الموظفون!$X24,IF(الموظفون!$E24="غير سعودي",cfg_IQ,0))+IF(الموظفون!$Y24&lt;&gt;"",الموظفون!$Y24,IF(الموظفون!$E24="غير سعودي",cfg_WP,0)))/12*G24/cfg_DAYS_M)</f>
        <v/>
      </c>
      <c r="AE24" s="111" t="str">
        <f aca="false">IF($B24="","",IF(الموظفون!$Z24&lt;&gt;"",الموظفون!$Z24,cfg_MED)/12*G24/cfg_DAYS_M)</f>
        <v/>
      </c>
      <c r="AF24" s="111" t="str">
        <f aca="false">IF($B24="","",N(الموظفون!$AA24)/12*G24/cfg_DAYS_M)</f>
        <v/>
      </c>
      <c r="AG24" s="154" t="str">
        <f aca="false">IF($B24="","",T24+SUM(Z24:AF24))</f>
        <v/>
      </c>
      <c r="AH24" s="155" t="str">
        <f aca="false">IF($B24="","",MAX(0,IF(OR(الموظفون!$AE24="",الموظفون!$AE24&gt;$F$3),$F$3,الموظفون!$AE24)-الموظفون!$H24+1-SUMIFS('سجل الإجازات والحالات'!$AL$6:$AL$505,'سجل الإجازات والحالات'!$B$6:$B$505,$B24))/cfg_DAYS_Y)</f>
        <v/>
      </c>
      <c r="AI24" s="155" t="str">
        <f aca="false">IF($B24="","",MAX(0,IF(OR(الموظفون!$AE24="",الموظفون!$AE24&gt;($E$3-1)),($E$3-1),الموظفون!$AE24)-الموظفون!$H24+1-SUMIFS('سجل الإجازات والحالات'!$AK$6:$AK$505,'سجل الإجازات والحالات'!$B$6:$B$505,$B24))/cfg_DAYS_Y)</f>
        <v/>
      </c>
      <c r="AJ24" s="65" t="str">
        <f aca="false">IF($B24="","",MAX(0,AK24-(SUMIFS('سجل الإجازات والحالات'!$AL$6:$AL$505,'سجل الإجازات والحالات'!$B$6:$B$505,$B24)-SUMIFS('سجل الإجازات والحالات'!$AK$6:$AK$505,'سجل الإجازات والحالات'!$B$6:$B$505,$B24))))</f>
        <v/>
      </c>
      <c r="AK24" s="65" t="str">
        <f aca="false">IF($B24="","",MAX(0,IF(OR(الموظفون!$AE24="",الموظفون!$AE24&gt;$F$3),$F$3,الموظفون!$AE24)-MAX($E$3,الموظفون!$H24)+1))</f>
        <v/>
      </c>
      <c r="AL24" s="151" t="str">
        <f aca="false">IF($B24="","",SUMIFS('سجل الإجازات والحالات'!$AX$6:$AX$505,'سجل الإجازات والحالات'!$B$6:$B$505,$B24)+SUMIFS('الحركات الشهرية'!$K$6:$K$1005,'الحركات الشهرية'!$B$6:$B$1005,$B24,'الحركات الشهرية'!$A$6:$A$1005,$C$3))</f>
        <v/>
      </c>
      <c r="AM24" s="111" t="str">
        <f aca="false">IF($B24="","",AL24*الموظفون!$R24/cfg_DAYS_M+S24)</f>
        <v/>
      </c>
      <c r="AN24" s="151" t="str">
        <f aca="false">IF($B24="","",SUMIFS('سجل الإجازات والحالات'!$Z$6:$Z$505,'سجل الإجازات والحالات'!$B$6:$B$505,$B24))</f>
        <v/>
      </c>
    </row>
    <row r="25" customFormat="false" ht="15" hidden="false" customHeight="false" outlineLevel="0" collapsed="false">
      <c r="A25" s="115" t="str">
        <f aca="false">IF($B25="","",الموظفون!$A25)</f>
        <v/>
      </c>
      <c r="B25" s="117" t="str">
        <f aca="false">IF(الموظفون!$B25="","",الموظفون!$B25)</f>
        <v/>
      </c>
      <c r="C25" s="117" t="str">
        <f aca="false">IF($B25="","",الموظفون!$C25)</f>
        <v/>
      </c>
      <c r="D25" s="117" t="str">
        <f aca="false">IF($B25="","",الموظفون!$F25)</f>
        <v/>
      </c>
      <c r="E25" s="117" t="str">
        <f aca="false">IF($B25="","",الموظفون!$E25)</f>
        <v/>
      </c>
      <c r="F25" s="117" t="str">
        <f aca="false">IF($B25="","",IF(AK25=0,IF(AND(الموظفون!$AE25&lt;&gt;"",الموظفون!$AE25&lt;$E$3),"✖ منتهي الخدمة","⏳ لم يباشر"),IF(S25&gt;0,"✈ راتب إجازة مقدم",IF(J25=0,"⛔ بدون راتب هذا الشهر",IF(I25&gt;0,"✈ خصم "&amp;ROUND(I25,2)&amp;" يوم بدون أجر",IF(AL25&gt;0,"🌴 إجازة سنوية "&amp;ROUND(AL25,2)&amp;" يوم",IF(H25&gt;0,"⚠ غياب "&amp;ROUND(H25,2)&amp;" يوم","✔ على رأس العمل")))))))</f>
        <v/>
      </c>
      <c r="G25" s="156" t="str">
        <f aca="false">IF($B25="","",IF(AK25&gt;=DAY($F$3),cfg_DAYS_M,MIN(AK25,cfg_DAYS_M)))</f>
        <v/>
      </c>
      <c r="H25" s="156" t="str">
        <f aca="false">IF($B25="","",SUMIFS('الحركات الشهرية'!$D$6:$D$1005,'الحركات الشهرية'!$B$6:$B$1005,$B25,'الحركات الشهرية'!$A$6:$A$1005,$C$3))</f>
        <v/>
      </c>
      <c r="I25" s="156" t="str">
        <f aca="false">IF($B25="","",MIN(G25,IF(AND(AK25&gt;0,AN25&gt;=AK25),G25,AN25)+SUMIFS('الحركات الشهرية'!$E$6:$E$1005,'الحركات الشهرية'!$B$6:$B$1005,$B25,'الحركات الشهرية'!$A$6:$A$1005,$C$3)))</f>
        <v/>
      </c>
      <c r="J25" s="156" t="str">
        <f aca="false">IF($B25="","",MAX(0,G25-H25-I25))</f>
        <v/>
      </c>
      <c r="K25" s="116" t="str">
        <f aca="false">IF($B25="","",الموظفون!$L25*$J25/cfg_DAYS_M)</f>
        <v/>
      </c>
      <c r="L25" s="116" t="str">
        <f aca="false">IF($B25="","",الموظفون!$M25*$J25/cfg_DAYS_M)</f>
        <v/>
      </c>
      <c r="M25" s="116" t="str">
        <f aca="false">IF($B25="","",الموظفون!$N25*$J25/cfg_DAYS_M)</f>
        <v/>
      </c>
      <c r="N25" s="116" t="str">
        <f aca="false">IF($B25="","",الموظفون!$O25*$J25/cfg_DAYS_M)</f>
        <v/>
      </c>
      <c r="O25" s="156" t="str">
        <f aca="false">IF($B25="","",SUMIFS('الحركات الشهرية'!$F$6:$F$1005,'الحركات الشهرية'!$B$6:$B$1005,$B25,'الحركات الشهرية'!$A$6:$A$1005,$C$3))</f>
        <v/>
      </c>
      <c r="P25" s="116" t="str">
        <f aca="false">IF($B25="","",O25*(الموظفون!$P25+الموظفون!$L25*cfg_OT_P)/cfg_DAYS_M/cfg_HRS)</f>
        <v/>
      </c>
      <c r="Q25" s="116" t="str">
        <f aca="false">IF($B25="","",SUMIFS('الحركات الشهرية'!$G$6:$G$1005,'الحركات الشهرية'!$B$6:$B$1005,$B25,'الحركات الشهرية'!$A$6:$A$1005,$C$3))</f>
        <v/>
      </c>
      <c r="R25" s="116" t="str">
        <f aca="false">IF($B25="","",SUMIFS('الحركات الشهرية'!$H$6:$H$1005,'الحركات الشهرية'!$B$6:$B$1005,$B25,'الحركات الشهرية'!$A$6:$A$1005,$C$3))</f>
        <v/>
      </c>
      <c r="S25" s="116" t="str">
        <f aca="false">IF($B25="","",SUMIFS('سجل الإجازات والحالات'!$N$6:$N$505,'سجل الإجازات والحالات'!$B$6:$B$505,$B25,'سجل الإجازات والحالات'!$O$6:$O$505,$C$3))</f>
        <v/>
      </c>
      <c r="T25" s="157" t="str">
        <f aca="false">IF($B25="","",SUM(K25:N25)+SUM(P25:S25))</f>
        <v/>
      </c>
      <c r="U25" s="116" t="str">
        <f aca="false">IF($B25="","",الموظفون!$S25*IF(E25="سعودي",cfg_G_SE,cfg_G_NE)*G25/cfg_DAYS_M)</f>
        <v/>
      </c>
      <c r="V25" s="116" t="str">
        <f aca="false">IF($B25="","",SUMIFS('الحركات الشهرية'!$I$6:$I$1005,'الحركات الشهرية'!$B$6:$B$1005,$B25,'الحركات الشهرية'!$A$6:$A$1005,$C$3))</f>
        <v/>
      </c>
      <c r="W25" s="116" t="str">
        <f aca="false">IF($B25="","",SUMIFS('الحركات الشهرية'!$J$6:$J$1005,'الحركات الشهرية'!$B$6:$B$1005,$B25,'الحركات الشهرية'!$A$6:$A$1005,$C$3))</f>
        <v/>
      </c>
      <c r="X25" s="116" t="str">
        <f aca="false">IF($B25="","",SUM(U25:W25))</f>
        <v/>
      </c>
      <c r="Y25" s="158" t="str">
        <f aca="false">IF($B25="","",T25-X25)</f>
        <v/>
      </c>
      <c r="Z25" s="116" t="str">
        <f aca="false">IF($B25="","",الموظفون!$S25*IF(E25="سعودي",cfg_G_SR,cfg_G_NR)*G25/cfg_DAYS_M)</f>
        <v/>
      </c>
      <c r="AA25" s="116" t="str">
        <f aca="false">IF($B25="","",الموظفون!$Q25*(cfg_EOS_R1*(MIN(AH25,cfg_EOS_TH)-MIN(AI25,cfg_EOS_TH))+cfg_EOS_R2*(MAX(AH25-cfg_EOS_TH,0)-MAX(AI25-cfg_EOS_TH,0))))</f>
        <v/>
      </c>
      <c r="AB25" s="116" t="str">
        <f aca="false">IF($B25="","",IF(الموظفون!$T25&lt;&gt;"",الموظفون!$T25,IF(AH25&gt;=cfg_LV_TH,cfg_LV_D2,cfg_LV_D1))/cfg_DAYS_Y*AJ25*الموظفون!$R25/cfg_DAYS_M)</f>
        <v/>
      </c>
      <c r="AC25" s="116" t="str">
        <f aca="false">IF($B25="","",IF(AND(الموظفون!$U25="نعم",N(الموظفون!$W25)&gt;0),الموظفون!$V25/الموظفون!$W25*12/cfg_DAYS_Y*AJ25,0))</f>
        <v/>
      </c>
      <c r="AD25" s="116" t="str">
        <f aca="false">IF($B25="","",(IF(الموظفون!$X25&lt;&gt;"",الموظفون!$X25,IF(الموظفون!$E25="غير سعودي",cfg_IQ,0))+IF(الموظفون!$Y25&lt;&gt;"",الموظفون!$Y25,IF(الموظفون!$E25="غير سعودي",cfg_WP,0)))/12*G25/cfg_DAYS_M)</f>
        <v/>
      </c>
      <c r="AE25" s="116" t="str">
        <f aca="false">IF($B25="","",IF(الموظفون!$Z25&lt;&gt;"",الموظفون!$Z25,cfg_MED)/12*G25/cfg_DAYS_M)</f>
        <v/>
      </c>
      <c r="AF25" s="116" t="str">
        <f aca="false">IF($B25="","",N(الموظفون!$AA25)/12*G25/cfg_DAYS_M)</f>
        <v/>
      </c>
      <c r="AG25" s="159" t="str">
        <f aca="false">IF($B25="","",T25+SUM(Z25:AF25))</f>
        <v/>
      </c>
      <c r="AH25" s="160" t="str">
        <f aca="false">IF($B25="","",MAX(0,IF(OR(الموظفون!$AE25="",الموظفون!$AE25&gt;$F$3),$F$3,الموظفون!$AE25)-الموظفون!$H25+1-SUMIFS('سجل الإجازات والحالات'!$AL$6:$AL$505,'سجل الإجازات والحالات'!$B$6:$B$505,$B25))/cfg_DAYS_Y)</f>
        <v/>
      </c>
      <c r="AI25" s="160" t="str">
        <f aca="false">IF($B25="","",MAX(0,IF(OR(الموظفون!$AE25="",الموظفون!$AE25&gt;($E$3-1)),($E$3-1),الموظفون!$AE25)-الموظفون!$H25+1-SUMIFS('سجل الإجازات والحالات'!$AK$6:$AK$505,'سجل الإجازات والحالات'!$B$6:$B$505,$B25))/cfg_DAYS_Y)</f>
        <v/>
      </c>
      <c r="AJ25" s="133" t="str">
        <f aca="false">IF($B25="","",MAX(0,AK25-(SUMIFS('سجل الإجازات والحالات'!$AL$6:$AL$505,'سجل الإجازات والحالات'!$B$6:$B$505,$B25)-SUMIFS('سجل الإجازات والحالات'!$AK$6:$AK$505,'سجل الإجازات والحالات'!$B$6:$B$505,$B25))))</f>
        <v/>
      </c>
      <c r="AK25" s="133" t="str">
        <f aca="false">IF($B25="","",MAX(0,IF(OR(الموظفون!$AE25="",الموظفون!$AE25&gt;$F$3),$F$3,الموظفون!$AE25)-MAX($E$3,الموظفون!$H25)+1))</f>
        <v/>
      </c>
      <c r="AL25" s="156" t="str">
        <f aca="false">IF($B25="","",SUMIFS('سجل الإجازات والحالات'!$AX$6:$AX$505,'سجل الإجازات والحالات'!$B$6:$B$505,$B25)+SUMIFS('الحركات الشهرية'!$K$6:$K$1005,'الحركات الشهرية'!$B$6:$B$1005,$B25,'الحركات الشهرية'!$A$6:$A$1005,$C$3))</f>
        <v/>
      </c>
      <c r="AM25" s="116" t="str">
        <f aca="false">IF($B25="","",AL25*الموظفون!$R25/cfg_DAYS_M+S25)</f>
        <v/>
      </c>
      <c r="AN25" s="156" t="str">
        <f aca="false">IF($B25="","",SUMIFS('سجل الإجازات والحالات'!$Z$6:$Z$505,'سجل الإجازات والحالات'!$B$6:$B$505,$B25))</f>
        <v/>
      </c>
    </row>
    <row r="26" customFormat="false" ht="15" hidden="false" customHeight="false" outlineLevel="0" collapsed="false">
      <c r="A26" s="106" t="str">
        <f aca="false">IF($B26="","",الموظفون!$A26)</f>
        <v/>
      </c>
      <c r="B26" s="114" t="str">
        <f aca="false">IF(الموظفون!$B26="","",الموظفون!$B26)</f>
        <v/>
      </c>
      <c r="C26" s="114" t="str">
        <f aca="false">IF($B26="","",الموظفون!$C26)</f>
        <v/>
      </c>
      <c r="D26" s="114" t="str">
        <f aca="false">IF($B26="","",الموظفون!$F26)</f>
        <v/>
      </c>
      <c r="E26" s="114" t="str">
        <f aca="false">IF($B26="","",الموظفون!$E26)</f>
        <v/>
      </c>
      <c r="F26" s="114" t="str">
        <f aca="false">IF($B26="","",IF(AK26=0,IF(AND(الموظفون!$AE26&lt;&gt;"",الموظفون!$AE26&lt;$E$3),"✖ منتهي الخدمة","⏳ لم يباشر"),IF(S26&gt;0,"✈ راتب إجازة مقدم",IF(J26=0,"⛔ بدون راتب هذا الشهر",IF(I26&gt;0,"✈ خصم "&amp;ROUND(I26,2)&amp;" يوم بدون أجر",IF(AL26&gt;0,"🌴 إجازة سنوية "&amp;ROUND(AL26,2)&amp;" يوم",IF(H26&gt;0,"⚠ غياب "&amp;ROUND(H26,2)&amp;" يوم","✔ على رأس العمل")))))))</f>
        <v/>
      </c>
      <c r="G26" s="151" t="str">
        <f aca="false">IF($B26="","",IF(AK26&gt;=DAY($F$3),cfg_DAYS_M,MIN(AK26,cfg_DAYS_M)))</f>
        <v/>
      </c>
      <c r="H26" s="151" t="str">
        <f aca="false">IF($B26="","",SUMIFS('الحركات الشهرية'!$D$6:$D$1005,'الحركات الشهرية'!$B$6:$B$1005,$B26,'الحركات الشهرية'!$A$6:$A$1005,$C$3))</f>
        <v/>
      </c>
      <c r="I26" s="151" t="str">
        <f aca="false">IF($B26="","",MIN(G26,IF(AND(AK26&gt;0,AN26&gt;=AK26),G26,AN26)+SUMIFS('الحركات الشهرية'!$E$6:$E$1005,'الحركات الشهرية'!$B$6:$B$1005,$B26,'الحركات الشهرية'!$A$6:$A$1005,$C$3)))</f>
        <v/>
      </c>
      <c r="J26" s="151" t="str">
        <f aca="false">IF($B26="","",MAX(0,G26-H26-I26))</f>
        <v/>
      </c>
      <c r="K26" s="111" t="str">
        <f aca="false">IF($B26="","",الموظفون!$L26*$J26/cfg_DAYS_M)</f>
        <v/>
      </c>
      <c r="L26" s="111" t="str">
        <f aca="false">IF($B26="","",الموظفون!$M26*$J26/cfg_DAYS_M)</f>
        <v/>
      </c>
      <c r="M26" s="111" t="str">
        <f aca="false">IF($B26="","",الموظفون!$N26*$J26/cfg_DAYS_M)</f>
        <v/>
      </c>
      <c r="N26" s="111" t="str">
        <f aca="false">IF($B26="","",الموظفون!$O26*$J26/cfg_DAYS_M)</f>
        <v/>
      </c>
      <c r="O26" s="151" t="str">
        <f aca="false">IF($B26="","",SUMIFS('الحركات الشهرية'!$F$6:$F$1005,'الحركات الشهرية'!$B$6:$B$1005,$B26,'الحركات الشهرية'!$A$6:$A$1005,$C$3))</f>
        <v/>
      </c>
      <c r="P26" s="111" t="str">
        <f aca="false">IF($B26="","",O26*(الموظفون!$P26+الموظفون!$L26*cfg_OT_P)/cfg_DAYS_M/cfg_HRS)</f>
        <v/>
      </c>
      <c r="Q26" s="111" t="str">
        <f aca="false">IF($B26="","",SUMIFS('الحركات الشهرية'!$G$6:$G$1005,'الحركات الشهرية'!$B$6:$B$1005,$B26,'الحركات الشهرية'!$A$6:$A$1005,$C$3))</f>
        <v/>
      </c>
      <c r="R26" s="111" t="str">
        <f aca="false">IF($B26="","",SUMIFS('الحركات الشهرية'!$H$6:$H$1005,'الحركات الشهرية'!$B$6:$B$1005,$B26,'الحركات الشهرية'!$A$6:$A$1005,$C$3))</f>
        <v/>
      </c>
      <c r="S26" s="111" t="str">
        <f aca="false">IF($B26="","",SUMIFS('سجل الإجازات والحالات'!$N$6:$N$505,'سجل الإجازات والحالات'!$B$6:$B$505,$B26,'سجل الإجازات والحالات'!$O$6:$O$505,$C$3))</f>
        <v/>
      </c>
      <c r="T26" s="152" t="str">
        <f aca="false">IF($B26="","",SUM(K26:N26)+SUM(P26:S26))</f>
        <v/>
      </c>
      <c r="U26" s="111" t="str">
        <f aca="false">IF($B26="","",الموظفون!$S26*IF(E26="سعودي",cfg_G_SE,cfg_G_NE)*G26/cfg_DAYS_M)</f>
        <v/>
      </c>
      <c r="V26" s="111" t="str">
        <f aca="false">IF($B26="","",SUMIFS('الحركات الشهرية'!$I$6:$I$1005,'الحركات الشهرية'!$B$6:$B$1005,$B26,'الحركات الشهرية'!$A$6:$A$1005,$C$3))</f>
        <v/>
      </c>
      <c r="W26" s="111" t="str">
        <f aca="false">IF($B26="","",SUMIFS('الحركات الشهرية'!$J$6:$J$1005,'الحركات الشهرية'!$B$6:$B$1005,$B26,'الحركات الشهرية'!$A$6:$A$1005,$C$3))</f>
        <v/>
      </c>
      <c r="X26" s="111" t="str">
        <f aca="false">IF($B26="","",SUM(U26:W26))</f>
        <v/>
      </c>
      <c r="Y26" s="153" t="str">
        <f aca="false">IF($B26="","",T26-X26)</f>
        <v/>
      </c>
      <c r="Z26" s="111" t="str">
        <f aca="false">IF($B26="","",الموظفون!$S26*IF(E26="سعودي",cfg_G_SR,cfg_G_NR)*G26/cfg_DAYS_M)</f>
        <v/>
      </c>
      <c r="AA26" s="111" t="str">
        <f aca="false">IF($B26="","",الموظفون!$Q26*(cfg_EOS_R1*(MIN(AH26,cfg_EOS_TH)-MIN(AI26,cfg_EOS_TH))+cfg_EOS_R2*(MAX(AH26-cfg_EOS_TH,0)-MAX(AI26-cfg_EOS_TH,0))))</f>
        <v/>
      </c>
      <c r="AB26" s="111" t="str">
        <f aca="false">IF($B26="","",IF(الموظفون!$T26&lt;&gt;"",الموظفون!$T26,IF(AH26&gt;=cfg_LV_TH,cfg_LV_D2,cfg_LV_D1))/cfg_DAYS_Y*AJ26*الموظفون!$R26/cfg_DAYS_M)</f>
        <v/>
      </c>
      <c r="AC26" s="111" t="str">
        <f aca="false">IF($B26="","",IF(AND(الموظفون!$U26="نعم",N(الموظفون!$W26)&gt;0),الموظفون!$V26/الموظفون!$W26*12/cfg_DAYS_Y*AJ26,0))</f>
        <v/>
      </c>
      <c r="AD26" s="111" t="str">
        <f aca="false">IF($B26="","",(IF(الموظفون!$X26&lt;&gt;"",الموظفون!$X26,IF(الموظفون!$E26="غير سعودي",cfg_IQ,0))+IF(الموظفون!$Y26&lt;&gt;"",الموظفون!$Y26,IF(الموظفون!$E26="غير سعودي",cfg_WP,0)))/12*G26/cfg_DAYS_M)</f>
        <v/>
      </c>
      <c r="AE26" s="111" t="str">
        <f aca="false">IF($B26="","",IF(الموظفون!$Z26&lt;&gt;"",الموظفون!$Z26,cfg_MED)/12*G26/cfg_DAYS_M)</f>
        <v/>
      </c>
      <c r="AF26" s="111" t="str">
        <f aca="false">IF($B26="","",N(الموظفون!$AA26)/12*G26/cfg_DAYS_M)</f>
        <v/>
      </c>
      <c r="AG26" s="154" t="str">
        <f aca="false">IF($B26="","",T26+SUM(Z26:AF26))</f>
        <v/>
      </c>
      <c r="AH26" s="155" t="str">
        <f aca="false">IF($B26="","",MAX(0,IF(OR(الموظفون!$AE26="",الموظفون!$AE26&gt;$F$3),$F$3,الموظفون!$AE26)-الموظفون!$H26+1-SUMIFS('سجل الإجازات والحالات'!$AL$6:$AL$505,'سجل الإجازات والحالات'!$B$6:$B$505,$B26))/cfg_DAYS_Y)</f>
        <v/>
      </c>
      <c r="AI26" s="155" t="str">
        <f aca="false">IF($B26="","",MAX(0,IF(OR(الموظفون!$AE26="",الموظفون!$AE26&gt;($E$3-1)),($E$3-1),الموظفون!$AE26)-الموظفون!$H26+1-SUMIFS('سجل الإجازات والحالات'!$AK$6:$AK$505,'سجل الإجازات والحالات'!$B$6:$B$505,$B26))/cfg_DAYS_Y)</f>
        <v/>
      </c>
      <c r="AJ26" s="65" t="str">
        <f aca="false">IF($B26="","",MAX(0,AK26-(SUMIFS('سجل الإجازات والحالات'!$AL$6:$AL$505,'سجل الإجازات والحالات'!$B$6:$B$505,$B26)-SUMIFS('سجل الإجازات والحالات'!$AK$6:$AK$505,'سجل الإجازات والحالات'!$B$6:$B$505,$B26))))</f>
        <v/>
      </c>
      <c r="AK26" s="65" t="str">
        <f aca="false">IF($B26="","",MAX(0,IF(OR(الموظفون!$AE26="",الموظفون!$AE26&gt;$F$3),$F$3,الموظفون!$AE26)-MAX($E$3,الموظفون!$H26)+1))</f>
        <v/>
      </c>
      <c r="AL26" s="151" t="str">
        <f aca="false">IF($B26="","",SUMIFS('سجل الإجازات والحالات'!$AX$6:$AX$505,'سجل الإجازات والحالات'!$B$6:$B$505,$B26)+SUMIFS('الحركات الشهرية'!$K$6:$K$1005,'الحركات الشهرية'!$B$6:$B$1005,$B26,'الحركات الشهرية'!$A$6:$A$1005,$C$3))</f>
        <v/>
      </c>
      <c r="AM26" s="111" t="str">
        <f aca="false">IF($B26="","",AL26*الموظفون!$R26/cfg_DAYS_M+S26)</f>
        <v/>
      </c>
      <c r="AN26" s="151" t="str">
        <f aca="false">IF($B26="","",SUMIFS('سجل الإجازات والحالات'!$Z$6:$Z$505,'سجل الإجازات والحالات'!$B$6:$B$505,$B26))</f>
        <v/>
      </c>
    </row>
    <row r="27" customFormat="false" ht="15" hidden="false" customHeight="false" outlineLevel="0" collapsed="false">
      <c r="A27" s="115" t="str">
        <f aca="false">IF($B27="","",الموظفون!$A27)</f>
        <v/>
      </c>
      <c r="B27" s="117" t="str">
        <f aca="false">IF(الموظفون!$B27="","",الموظفون!$B27)</f>
        <v/>
      </c>
      <c r="C27" s="117" t="str">
        <f aca="false">IF($B27="","",الموظفون!$C27)</f>
        <v/>
      </c>
      <c r="D27" s="117" t="str">
        <f aca="false">IF($B27="","",الموظفون!$F27)</f>
        <v/>
      </c>
      <c r="E27" s="117" t="str">
        <f aca="false">IF($B27="","",الموظفون!$E27)</f>
        <v/>
      </c>
      <c r="F27" s="117" t="str">
        <f aca="false">IF($B27="","",IF(AK27=0,IF(AND(الموظفون!$AE27&lt;&gt;"",الموظفون!$AE27&lt;$E$3),"✖ منتهي الخدمة","⏳ لم يباشر"),IF(S27&gt;0,"✈ راتب إجازة مقدم",IF(J27=0,"⛔ بدون راتب هذا الشهر",IF(I27&gt;0,"✈ خصم "&amp;ROUND(I27,2)&amp;" يوم بدون أجر",IF(AL27&gt;0,"🌴 إجازة سنوية "&amp;ROUND(AL27,2)&amp;" يوم",IF(H27&gt;0,"⚠ غياب "&amp;ROUND(H27,2)&amp;" يوم","✔ على رأس العمل")))))))</f>
        <v/>
      </c>
      <c r="G27" s="156" t="str">
        <f aca="false">IF($B27="","",IF(AK27&gt;=DAY($F$3),cfg_DAYS_M,MIN(AK27,cfg_DAYS_M)))</f>
        <v/>
      </c>
      <c r="H27" s="156" t="str">
        <f aca="false">IF($B27="","",SUMIFS('الحركات الشهرية'!$D$6:$D$1005,'الحركات الشهرية'!$B$6:$B$1005,$B27,'الحركات الشهرية'!$A$6:$A$1005,$C$3))</f>
        <v/>
      </c>
      <c r="I27" s="156" t="str">
        <f aca="false">IF($B27="","",MIN(G27,IF(AND(AK27&gt;0,AN27&gt;=AK27),G27,AN27)+SUMIFS('الحركات الشهرية'!$E$6:$E$1005,'الحركات الشهرية'!$B$6:$B$1005,$B27,'الحركات الشهرية'!$A$6:$A$1005,$C$3)))</f>
        <v/>
      </c>
      <c r="J27" s="156" t="str">
        <f aca="false">IF($B27="","",MAX(0,G27-H27-I27))</f>
        <v/>
      </c>
      <c r="K27" s="116" t="str">
        <f aca="false">IF($B27="","",الموظفون!$L27*$J27/cfg_DAYS_M)</f>
        <v/>
      </c>
      <c r="L27" s="116" t="str">
        <f aca="false">IF($B27="","",الموظفون!$M27*$J27/cfg_DAYS_M)</f>
        <v/>
      </c>
      <c r="M27" s="116" t="str">
        <f aca="false">IF($B27="","",الموظفون!$N27*$J27/cfg_DAYS_M)</f>
        <v/>
      </c>
      <c r="N27" s="116" t="str">
        <f aca="false">IF($B27="","",الموظفون!$O27*$J27/cfg_DAYS_M)</f>
        <v/>
      </c>
      <c r="O27" s="156" t="str">
        <f aca="false">IF($B27="","",SUMIFS('الحركات الشهرية'!$F$6:$F$1005,'الحركات الشهرية'!$B$6:$B$1005,$B27,'الحركات الشهرية'!$A$6:$A$1005,$C$3))</f>
        <v/>
      </c>
      <c r="P27" s="116" t="str">
        <f aca="false">IF($B27="","",O27*(الموظفون!$P27+الموظفون!$L27*cfg_OT_P)/cfg_DAYS_M/cfg_HRS)</f>
        <v/>
      </c>
      <c r="Q27" s="116" t="str">
        <f aca="false">IF($B27="","",SUMIFS('الحركات الشهرية'!$G$6:$G$1005,'الحركات الشهرية'!$B$6:$B$1005,$B27,'الحركات الشهرية'!$A$6:$A$1005,$C$3))</f>
        <v/>
      </c>
      <c r="R27" s="116" t="str">
        <f aca="false">IF($B27="","",SUMIFS('الحركات الشهرية'!$H$6:$H$1005,'الحركات الشهرية'!$B$6:$B$1005,$B27,'الحركات الشهرية'!$A$6:$A$1005,$C$3))</f>
        <v/>
      </c>
      <c r="S27" s="116" t="str">
        <f aca="false">IF($B27="","",SUMIFS('سجل الإجازات والحالات'!$N$6:$N$505,'سجل الإجازات والحالات'!$B$6:$B$505,$B27,'سجل الإجازات والحالات'!$O$6:$O$505,$C$3))</f>
        <v/>
      </c>
      <c r="T27" s="157" t="str">
        <f aca="false">IF($B27="","",SUM(K27:N27)+SUM(P27:S27))</f>
        <v/>
      </c>
      <c r="U27" s="116" t="str">
        <f aca="false">IF($B27="","",الموظفون!$S27*IF(E27="سعودي",cfg_G_SE,cfg_G_NE)*G27/cfg_DAYS_M)</f>
        <v/>
      </c>
      <c r="V27" s="116" t="str">
        <f aca="false">IF($B27="","",SUMIFS('الحركات الشهرية'!$I$6:$I$1005,'الحركات الشهرية'!$B$6:$B$1005,$B27,'الحركات الشهرية'!$A$6:$A$1005,$C$3))</f>
        <v/>
      </c>
      <c r="W27" s="116" t="str">
        <f aca="false">IF($B27="","",SUMIFS('الحركات الشهرية'!$J$6:$J$1005,'الحركات الشهرية'!$B$6:$B$1005,$B27,'الحركات الشهرية'!$A$6:$A$1005,$C$3))</f>
        <v/>
      </c>
      <c r="X27" s="116" t="str">
        <f aca="false">IF($B27="","",SUM(U27:W27))</f>
        <v/>
      </c>
      <c r="Y27" s="158" t="str">
        <f aca="false">IF($B27="","",T27-X27)</f>
        <v/>
      </c>
      <c r="Z27" s="116" t="str">
        <f aca="false">IF($B27="","",الموظفون!$S27*IF(E27="سعودي",cfg_G_SR,cfg_G_NR)*G27/cfg_DAYS_M)</f>
        <v/>
      </c>
      <c r="AA27" s="116" t="str">
        <f aca="false">IF($B27="","",الموظفون!$Q27*(cfg_EOS_R1*(MIN(AH27,cfg_EOS_TH)-MIN(AI27,cfg_EOS_TH))+cfg_EOS_R2*(MAX(AH27-cfg_EOS_TH,0)-MAX(AI27-cfg_EOS_TH,0))))</f>
        <v/>
      </c>
      <c r="AB27" s="116" t="str">
        <f aca="false">IF($B27="","",IF(الموظفون!$T27&lt;&gt;"",الموظفون!$T27,IF(AH27&gt;=cfg_LV_TH,cfg_LV_D2,cfg_LV_D1))/cfg_DAYS_Y*AJ27*الموظفون!$R27/cfg_DAYS_M)</f>
        <v/>
      </c>
      <c r="AC27" s="116" t="str">
        <f aca="false">IF($B27="","",IF(AND(الموظفون!$U27="نعم",N(الموظفون!$W27)&gt;0),الموظفون!$V27/الموظفون!$W27*12/cfg_DAYS_Y*AJ27,0))</f>
        <v/>
      </c>
      <c r="AD27" s="116" t="str">
        <f aca="false">IF($B27="","",(IF(الموظفون!$X27&lt;&gt;"",الموظفون!$X27,IF(الموظفون!$E27="غير سعودي",cfg_IQ,0))+IF(الموظفون!$Y27&lt;&gt;"",الموظفون!$Y27,IF(الموظفون!$E27="غير سعودي",cfg_WP,0)))/12*G27/cfg_DAYS_M)</f>
        <v/>
      </c>
      <c r="AE27" s="116" t="str">
        <f aca="false">IF($B27="","",IF(الموظفون!$Z27&lt;&gt;"",الموظفون!$Z27,cfg_MED)/12*G27/cfg_DAYS_M)</f>
        <v/>
      </c>
      <c r="AF27" s="116" t="str">
        <f aca="false">IF($B27="","",N(الموظفون!$AA27)/12*G27/cfg_DAYS_M)</f>
        <v/>
      </c>
      <c r="AG27" s="159" t="str">
        <f aca="false">IF($B27="","",T27+SUM(Z27:AF27))</f>
        <v/>
      </c>
      <c r="AH27" s="160" t="str">
        <f aca="false">IF($B27="","",MAX(0,IF(OR(الموظفون!$AE27="",الموظفون!$AE27&gt;$F$3),$F$3,الموظفون!$AE27)-الموظفون!$H27+1-SUMIFS('سجل الإجازات والحالات'!$AL$6:$AL$505,'سجل الإجازات والحالات'!$B$6:$B$505,$B27))/cfg_DAYS_Y)</f>
        <v/>
      </c>
      <c r="AI27" s="160" t="str">
        <f aca="false">IF($B27="","",MAX(0,IF(OR(الموظفون!$AE27="",الموظفون!$AE27&gt;($E$3-1)),($E$3-1),الموظفون!$AE27)-الموظفون!$H27+1-SUMIFS('سجل الإجازات والحالات'!$AK$6:$AK$505,'سجل الإجازات والحالات'!$B$6:$B$505,$B27))/cfg_DAYS_Y)</f>
        <v/>
      </c>
      <c r="AJ27" s="133" t="str">
        <f aca="false">IF($B27="","",MAX(0,AK27-(SUMIFS('سجل الإجازات والحالات'!$AL$6:$AL$505,'سجل الإجازات والحالات'!$B$6:$B$505,$B27)-SUMIFS('سجل الإجازات والحالات'!$AK$6:$AK$505,'سجل الإجازات والحالات'!$B$6:$B$505,$B27))))</f>
        <v/>
      </c>
      <c r="AK27" s="133" t="str">
        <f aca="false">IF($B27="","",MAX(0,IF(OR(الموظفون!$AE27="",الموظفون!$AE27&gt;$F$3),$F$3,الموظفون!$AE27)-MAX($E$3,الموظفون!$H27)+1))</f>
        <v/>
      </c>
      <c r="AL27" s="156" t="str">
        <f aca="false">IF($B27="","",SUMIFS('سجل الإجازات والحالات'!$AX$6:$AX$505,'سجل الإجازات والحالات'!$B$6:$B$505,$B27)+SUMIFS('الحركات الشهرية'!$K$6:$K$1005,'الحركات الشهرية'!$B$6:$B$1005,$B27,'الحركات الشهرية'!$A$6:$A$1005,$C$3))</f>
        <v/>
      </c>
      <c r="AM27" s="116" t="str">
        <f aca="false">IF($B27="","",AL27*الموظفون!$R27/cfg_DAYS_M+S27)</f>
        <v/>
      </c>
      <c r="AN27" s="156" t="str">
        <f aca="false">IF($B27="","",SUMIFS('سجل الإجازات والحالات'!$Z$6:$Z$505,'سجل الإجازات والحالات'!$B$6:$B$505,$B27))</f>
        <v/>
      </c>
    </row>
    <row r="28" customFormat="false" ht="15" hidden="false" customHeight="false" outlineLevel="0" collapsed="false">
      <c r="A28" s="106" t="str">
        <f aca="false">IF($B28="","",الموظفون!$A28)</f>
        <v/>
      </c>
      <c r="B28" s="114" t="str">
        <f aca="false">IF(الموظفون!$B28="","",الموظفون!$B28)</f>
        <v/>
      </c>
      <c r="C28" s="114" t="str">
        <f aca="false">IF($B28="","",الموظفون!$C28)</f>
        <v/>
      </c>
      <c r="D28" s="114" t="str">
        <f aca="false">IF($B28="","",الموظفون!$F28)</f>
        <v/>
      </c>
      <c r="E28" s="114" t="str">
        <f aca="false">IF($B28="","",الموظفون!$E28)</f>
        <v/>
      </c>
      <c r="F28" s="114" t="str">
        <f aca="false">IF($B28="","",IF(AK28=0,IF(AND(الموظفون!$AE28&lt;&gt;"",الموظفون!$AE28&lt;$E$3),"✖ منتهي الخدمة","⏳ لم يباشر"),IF(S28&gt;0,"✈ راتب إجازة مقدم",IF(J28=0,"⛔ بدون راتب هذا الشهر",IF(I28&gt;0,"✈ خصم "&amp;ROUND(I28,2)&amp;" يوم بدون أجر",IF(AL28&gt;0,"🌴 إجازة سنوية "&amp;ROUND(AL28,2)&amp;" يوم",IF(H28&gt;0,"⚠ غياب "&amp;ROUND(H28,2)&amp;" يوم","✔ على رأس العمل")))))))</f>
        <v/>
      </c>
      <c r="G28" s="151" t="str">
        <f aca="false">IF($B28="","",IF(AK28&gt;=DAY($F$3),cfg_DAYS_M,MIN(AK28,cfg_DAYS_M)))</f>
        <v/>
      </c>
      <c r="H28" s="151" t="str">
        <f aca="false">IF($B28="","",SUMIFS('الحركات الشهرية'!$D$6:$D$1005,'الحركات الشهرية'!$B$6:$B$1005,$B28,'الحركات الشهرية'!$A$6:$A$1005,$C$3))</f>
        <v/>
      </c>
      <c r="I28" s="151" t="str">
        <f aca="false">IF($B28="","",MIN(G28,IF(AND(AK28&gt;0,AN28&gt;=AK28),G28,AN28)+SUMIFS('الحركات الشهرية'!$E$6:$E$1005,'الحركات الشهرية'!$B$6:$B$1005,$B28,'الحركات الشهرية'!$A$6:$A$1005,$C$3)))</f>
        <v/>
      </c>
      <c r="J28" s="151" t="str">
        <f aca="false">IF($B28="","",MAX(0,G28-H28-I28))</f>
        <v/>
      </c>
      <c r="K28" s="111" t="str">
        <f aca="false">IF($B28="","",الموظفون!$L28*$J28/cfg_DAYS_M)</f>
        <v/>
      </c>
      <c r="L28" s="111" t="str">
        <f aca="false">IF($B28="","",الموظفون!$M28*$J28/cfg_DAYS_M)</f>
        <v/>
      </c>
      <c r="M28" s="111" t="str">
        <f aca="false">IF($B28="","",الموظفون!$N28*$J28/cfg_DAYS_M)</f>
        <v/>
      </c>
      <c r="N28" s="111" t="str">
        <f aca="false">IF($B28="","",الموظفون!$O28*$J28/cfg_DAYS_M)</f>
        <v/>
      </c>
      <c r="O28" s="151" t="str">
        <f aca="false">IF($B28="","",SUMIFS('الحركات الشهرية'!$F$6:$F$1005,'الحركات الشهرية'!$B$6:$B$1005,$B28,'الحركات الشهرية'!$A$6:$A$1005,$C$3))</f>
        <v/>
      </c>
      <c r="P28" s="111" t="str">
        <f aca="false">IF($B28="","",O28*(الموظفون!$P28+الموظفون!$L28*cfg_OT_P)/cfg_DAYS_M/cfg_HRS)</f>
        <v/>
      </c>
      <c r="Q28" s="111" t="str">
        <f aca="false">IF($B28="","",SUMIFS('الحركات الشهرية'!$G$6:$G$1005,'الحركات الشهرية'!$B$6:$B$1005,$B28,'الحركات الشهرية'!$A$6:$A$1005,$C$3))</f>
        <v/>
      </c>
      <c r="R28" s="111" t="str">
        <f aca="false">IF($B28="","",SUMIFS('الحركات الشهرية'!$H$6:$H$1005,'الحركات الشهرية'!$B$6:$B$1005,$B28,'الحركات الشهرية'!$A$6:$A$1005,$C$3))</f>
        <v/>
      </c>
      <c r="S28" s="111" t="str">
        <f aca="false">IF($B28="","",SUMIFS('سجل الإجازات والحالات'!$N$6:$N$505,'سجل الإجازات والحالات'!$B$6:$B$505,$B28,'سجل الإجازات والحالات'!$O$6:$O$505,$C$3))</f>
        <v/>
      </c>
      <c r="T28" s="152" t="str">
        <f aca="false">IF($B28="","",SUM(K28:N28)+SUM(P28:S28))</f>
        <v/>
      </c>
      <c r="U28" s="111" t="str">
        <f aca="false">IF($B28="","",الموظفون!$S28*IF(E28="سعودي",cfg_G_SE,cfg_G_NE)*G28/cfg_DAYS_M)</f>
        <v/>
      </c>
      <c r="V28" s="111" t="str">
        <f aca="false">IF($B28="","",SUMIFS('الحركات الشهرية'!$I$6:$I$1005,'الحركات الشهرية'!$B$6:$B$1005,$B28,'الحركات الشهرية'!$A$6:$A$1005,$C$3))</f>
        <v/>
      </c>
      <c r="W28" s="111" t="str">
        <f aca="false">IF($B28="","",SUMIFS('الحركات الشهرية'!$J$6:$J$1005,'الحركات الشهرية'!$B$6:$B$1005,$B28,'الحركات الشهرية'!$A$6:$A$1005,$C$3))</f>
        <v/>
      </c>
      <c r="X28" s="111" t="str">
        <f aca="false">IF($B28="","",SUM(U28:W28))</f>
        <v/>
      </c>
      <c r="Y28" s="153" t="str">
        <f aca="false">IF($B28="","",T28-X28)</f>
        <v/>
      </c>
      <c r="Z28" s="111" t="str">
        <f aca="false">IF($B28="","",الموظفون!$S28*IF(E28="سعودي",cfg_G_SR,cfg_G_NR)*G28/cfg_DAYS_M)</f>
        <v/>
      </c>
      <c r="AA28" s="111" t="str">
        <f aca="false">IF($B28="","",الموظفون!$Q28*(cfg_EOS_R1*(MIN(AH28,cfg_EOS_TH)-MIN(AI28,cfg_EOS_TH))+cfg_EOS_R2*(MAX(AH28-cfg_EOS_TH,0)-MAX(AI28-cfg_EOS_TH,0))))</f>
        <v/>
      </c>
      <c r="AB28" s="111" t="str">
        <f aca="false">IF($B28="","",IF(الموظفون!$T28&lt;&gt;"",الموظفون!$T28,IF(AH28&gt;=cfg_LV_TH,cfg_LV_D2,cfg_LV_D1))/cfg_DAYS_Y*AJ28*الموظفون!$R28/cfg_DAYS_M)</f>
        <v/>
      </c>
      <c r="AC28" s="111" t="str">
        <f aca="false">IF($B28="","",IF(AND(الموظفون!$U28="نعم",N(الموظفون!$W28)&gt;0),الموظفون!$V28/الموظفون!$W28*12/cfg_DAYS_Y*AJ28,0))</f>
        <v/>
      </c>
      <c r="AD28" s="111" t="str">
        <f aca="false">IF($B28="","",(IF(الموظفون!$X28&lt;&gt;"",الموظفون!$X28,IF(الموظفون!$E28="غير سعودي",cfg_IQ,0))+IF(الموظفون!$Y28&lt;&gt;"",الموظفون!$Y28,IF(الموظفون!$E28="غير سعودي",cfg_WP,0)))/12*G28/cfg_DAYS_M)</f>
        <v/>
      </c>
      <c r="AE28" s="111" t="str">
        <f aca="false">IF($B28="","",IF(الموظفون!$Z28&lt;&gt;"",الموظفون!$Z28,cfg_MED)/12*G28/cfg_DAYS_M)</f>
        <v/>
      </c>
      <c r="AF28" s="111" t="str">
        <f aca="false">IF($B28="","",N(الموظفون!$AA28)/12*G28/cfg_DAYS_M)</f>
        <v/>
      </c>
      <c r="AG28" s="154" t="str">
        <f aca="false">IF($B28="","",T28+SUM(Z28:AF28))</f>
        <v/>
      </c>
      <c r="AH28" s="155" t="str">
        <f aca="false">IF($B28="","",MAX(0,IF(OR(الموظفون!$AE28="",الموظفون!$AE28&gt;$F$3),$F$3,الموظفون!$AE28)-الموظفون!$H28+1-SUMIFS('سجل الإجازات والحالات'!$AL$6:$AL$505,'سجل الإجازات والحالات'!$B$6:$B$505,$B28))/cfg_DAYS_Y)</f>
        <v/>
      </c>
      <c r="AI28" s="155" t="str">
        <f aca="false">IF($B28="","",MAX(0,IF(OR(الموظفون!$AE28="",الموظفون!$AE28&gt;($E$3-1)),($E$3-1),الموظفون!$AE28)-الموظفون!$H28+1-SUMIFS('سجل الإجازات والحالات'!$AK$6:$AK$505,'سجل الإجازات والحالات'!$B$6:$B$505,$B28))/cfg_DAYS_Y)</f>
        <v/>
      </c>
      <c r="AJ28" s="65" t="str">
        <f aca="false">IF($B28="","",MAX(0,AK28-(SUMIFS('سجل الإجازات والحالات'!$AL$6:$AL$505,'سجل الإجازات والحالات'!$B$6:$B$505,$B28)-SUMIFS('سجل الإجازات والحالات'!$AK$6:$AK$505,'سجل الإجازات والحالات'!$B$6:$B$505,$B28))))</f>
        <v/>
      </c>
      <c r="AK28" s="65" t="str">
        <f aca="false">IF($B28="","",MAX(0,IF(OR(الموظفون!$AE28="",الموظفون!$AE28&gt;$F$3),$F$3,الموظفون!$AE28)-MAX($E$3,الموظفون!$H28)+1))</f>
        <v/>
      </c>
      <c r="AL28" s="151" t="str">
        <f aca="false">IF($B28="","",SUMIFS('سجل الإجازات والحالات'!$AX$6:$AX$505,'سجل الإجازات والحالات'!$B$6:$B$505,$B28)+SUMIFS('الحركات الشهرية'!$K$6:$K$1005,'الحركات الشهرية'!$B$6:$B$1005,$B28,'الحركات الشهرية'!$A$6:$A$1005,$C$3))</f>
        <v/>
      </c>
      <c r="AM28" s="111" t="str">
        <f aca="false">IF($B28="","",AL28*الموظفون!$R28/cfg_DAYS_M+S28)</f>
        <v/>
      </c>
      <c r="AN28" s="151" t="str">
        <f aca="false">IF($B28="","",SUMIFS('سجل الإجازات والحالات'!$Z$6:$Z$505,'سجل الإجازات والحالات'!$B$6:$B$505,$B28))</f>
        <v/>
      </c>
    </row>
    <row r="29" customFormat="false" ht="15" hidden="false" customHeight="false" outlineLevel="0" collapsed="false">
      <c r="A29" s="115" t="str">
        <f aca="false">IF($B29="","",الموظفون!$A29)</f>
        <v/>
      </c>
      <c r="B29" s="117" t="str">
        <f aca="false">IF(الموظفون!$B29="","",الموظفون!$B29)</f>
        <v/>
      </c>
      <c r="C29" s="117" t="str">
        <f aca="false">IF($B29="","",الموظفون!$C29)</f>
        <v/>
      </c>
      <c r="D29" s="117" t="str">
        <f aca="false">IF($B29="","",الموظفون!$F29)</f>
        <v/>
      </c>
      <c r="E29" s="117" t="str">
        <f aca="false">IF($B29="","",الموظفون!$E29)</f>
        <v/>
      </c>
      <c r="F29" s="117" t="str">
        <f aca="false">IF($B29="","",IF(AK29=0,IF(AND(الموظفون!$AE29&lt;&gt;"",الموظفون!$AE29&lt;$E$3),"✖ منتهي الخدمة","⏳ لم يباشر"),IF(S29&gt;0,"✈ راتب إجازة مقدم",IF(J29=0,"⛔ بدون راتب هذا الشهر",IF(I29&gt;0,"✈ خصم "&amp;ROUND(I29,2)&amp;" يوم بدون أجر",IF(AL29&gt;0,"🌴 إجازة سنوية "&amp;ROUND(AL29,2)&amp;" يوم",IF(H29&gt;0,"⚠ غياب "&amp;ROUND(H29,2)&amp;" يوم","✔ على رأس العمل")))))))</f>
        <v/>
      </c>
      <c r="G29" s="156" t="str">
        <f aca="false">IF($B29="","",IF(AK29&gt;=DAY($F$3),cfg_DAYS_M,MIN(AK29,cfg_DAYS_M)))</f>
        <v/>
      </c>
      <c r="H29" s="156" t="str">
        <f aca="false">IF($B29="","",SUMIFS('الحركات الشهرية'!$D$6:$D$1005,'الحركات الشهرية'!$B$6:$B$1005,$B29,'الحركات الشهرية'!$A$6:$A$1005,$C$3))</f>
        <v/>
      </c>
      <c r="I29" s="156" t="str">
        <f aca="false">IF($B29="","",MIN(G29,IF(AND(AK29&gt;0,AN29&gt;=AK29),G29,AN29)+SUMIFS('الحركات الشهرية'!$E$6:$E$1005,'الحركات الشهرية'!$B$6:$B$1005,$B29,'الحركات الشهرية'!$A$6:$A$1005,$C$3)))</f>
        <v/>
      </c>
      <c r="J29" s="156" t="str">
        <f aca="false">IF($B29="","",MAX(0,G29-H29-I29))</f>
        <v/>
      </c>
      <c r="K29" s="116" t="str">
        <f aca="false">IF($B29="","",الموظفون!$L29*$J29/cfg_DAYS_M)</f>
        <v/>
      </c>
      <c r="L29" s="116" t="str">
        <f aca="false">IF($B29="","",الموظفون!$M29*$J29/cfg_DAYS_M)</f>
        <v/>
      </c>
      <c r="M29" s="116" t="str">
        <f aca="false">IF($B29="","",الموظفون!$N29*$J29/cfg_DAYS_M)</f>
        <v/>
      </c>
      <c r="N29" s="116" t="str">
        <f aca="false">IF($B29="","",الموظفون!$O29*$J29/cfg_DAYS_M)</f>
        <v/>
      </c>
      <c r="O29" s="156" t="str">
        <f aca="false">IF($B29="","",SUMIFS('الحركات الشهرية'!$F$6:$F$1005,'الحركات الشهرية'!$B$6:$B$1005,$B29,'الحركات الشهرية'!$A$6:$A$1005,$C$3))</f>
        <v/>
      </c>
      <c r="P29" s="116" t="str">
        <f aca="false">IF($B29="","",O29*(الموظفون!$P29+الموظفون!$L29*cfg_OT_P)/cfg_DAYS_M/cfg_HRS)</f>
        <v/>
      </c>
      <c r="Q29" s="116" t="str">
        <f aca="false">IF($B29="","",SUMIFS('الحركات الشهرية'!$G$6:$G$1005,'الحركات الشهرية'!$B$6:$B$1005,$B29,'الحركات الشهرية'!$A$6:$A$1005,$C$3))</f>
        <v/>
      </c>
      <c r="R29" s="116" t="str">
        <f aca="false">IF($B29="","",SUMIFS('الحركات الشهرية'!$H$6:$H$1005,'الحركات الشهرية'!$B$6:$B$1005,$B29,'الحركات الشهرية'!$A$6:$A$1005,$C$3))</f>
        <v/>
      </c>
      <c r="S29" s="116" t="str">
        <f aca="false">IF($B29="","",SUMIFS('سجل الإجازات والحالات'!$N$6:$N$505,'سجل الإجازات والحالات'!$B$6:$B$505,$B29,'سجل الإجازات والحالات'!$O$6:$O$505,$C$3))</f>
        <v/>
      </c>
      <c r="T29" s="157" t="str">
        <f aca="false">IF($B29="","",SUM(K29:N29)+SUM(P29:S29))</f>
        <v/>
      </c>
      <c r="U29" s="116" t="str">
        <f aca="false">IF($B29="","",الموظفون!$S29*IF(E29="سعودي",cfg_G_SE,cfg_G_NE)*G29/cfg_DAYS_M)</f>
        <v/>
      </c>
      <c r="V29" s="116" t="str">
        <f aca="false">IF($B29="","",SUMIFS('الحركات الشهرية'!$I$6:$I$1005,'الحركات الشهرية'!$B$6:$B$1005,$B29,'الحركات الشهرية'!$A$6:$A$1005,$C$3))</f>
        <v/>
      </c>
      <c r="W29" s="116" t="str">
        <f aca="false">IF($B29="","",SUMIFS('الحركات الشهرية'!$J$6:$J$1005,'الحركات الشهرية'!$B$6:$B$1005,$B29,'الحركات الشهرية'!$A$6:$A$1005,$C$3))</f>
        <v/>
      </c>
      <c r="X29" s="116" t="str">
        <f aca="false">IF($B29="","",SUM(U29:W29))</f>
        <v/>
      </c>
      <c r="Y29" s="158" t="str">
        <f aca="false">IF($B29="","",T29-X29)</f>
        <v/>
      </c>
      <c r="Z29" s="116" t="str">
        <f aca="false">IF($B29="","",الموظفون!$S29*IF(E29="سعودي",cfg_G_SR,cfg_G_NR)*G29/cfg_DAYS_M)</f>
        <v/>
      </c>
      <c r="AA29" s="116" t="str">
        <f aca="false">IF($B29="","",الموظفون!$Q29*(cfg_EOS_R1*(MIN(AH29,cfg_EOS_TH)-MIN(AI29,cfg_EOS_TH))+cfg_EOS_R2*(MAX(AH29-cfg_EOS_TH,0)-MAX(AI29-cfg_EOS_TH,0))))</f>
        <v/>
      </c>
      <c r="AB29" s="116" t="str">
        <f aca="false">IF($B29="","",IF(الموظفون!$T29&lt;&gt;"",الموظفون!$T29,IF(AH29&gt;=cfg_LV_TH,cfg_LV_D2,cfg_LV_D1))/cfg_DAYS_Y*AJ29*الموظفون!$R29/cfg_DAYS_M)</f>
        <v/>
      </c>
      <c r="AC29" s="116" t="str">
        <f aca="false">IF($B29="","",IF(AND(الموظفون!$U29="نعم",N(الموظفون!$W29)&gt;0),الموظفون!$V29/الموظفون!$W29*12/cfg_DAYS_Y*AJ29,0))</f>
        <v/>
      </c>
      <c r="AD29" s="116" t="str">
        <f aca="false">IF($B29="","",(IF(الموظفون!$X29&lt;&gt;"",الموظفون!$X29,IF(الموظفون!$E29="غير سعودي",cfg_IQ,0))+IF(الموظفون!$Y29&lt;&gt;"",الموظفون!$Y29,IF(الموظفون!$E29="غير سعودي",cfg_WP,0)))/12*G29/cfg_DAYS_M)</f>
        <v/>
      </c>
      <c r="AE29" s="116" t="str">
        <f aca="false">IF($B29="","",IF(الموظفون!$Z29&lt;&gt;"",الموظفون!$Z29,cfg_MED)/12*G29/cfg_DAYS_M)</f>
        <v/>
      </c>
      <c r="AF29" s="116" t="str">
        <f aca="false">IF($B29="","",N(الموظفون!$AA29)/12*G29/cfg_DAYS_M)</f>
        <v/>
      </c>
      <c r="AG29" s="159" t="str">
        <f aca="false">IF($B29="","",T29+SUM(Z29:AF29))</f>
        <v/>
      </c>
      <c r="AH29" s="160" t="str">
        <f aca="false">IF($B29="","",MAX(0,IF(OR(الموظفون!$AE29="",الموظفون!$AE29&gt;$F$3),$F$3,الموظفون!$AE29)-الموظفون!$H29+1-SUMIFS('سجل الإجازات والحالات'!$AL$6:$AL$505,'سجل الإجازات والحالات'!$B$6:$B$505,$B29))/cfg_DAYS_Y)</f>
        <v/>
      </c>
      <c r="AI29" s="160" t="str">
        <f aca="false">IF($B29="","",MAX(0,IF(OR(الموظفون!$AE29="",الموظفون!$AE29&gt;($E$3-1)),($E$3-1),الموظفون!$AE29)-الموظفون!$H29+1-SUMIFS('سجل الإجازات والحالات'!$AK$6:$AK$505,'سجل الإجازات والحالات'!$B$6:$B$505,$B29))/cfg_DAYS_Y)</f>
        <v/>
      </c>
      <c r="AJ29" s="133" t="str">
        <f aca="false">IF($B29="","",MAX(0,AK29-(SUMIFS('سجل الإجازات والحالات'!$AL$6:$AL$505,'سجل الإجازات والحالات'!$B$6:$B$505,$B29)-SUMIFS('سجل الإجازات والحالات'!$AK$6:$AK$505,'سجل الإجازات والحالات'!$B$6:$B$505,$B29))))</f>
        <v/>
      </c>
      <c r="AK29" s="133" t="str">
        <f aca="false">IF($B29="","",MAX(0,IF(OR(الموظفون!$AE29="",الموظفون!$AE29&gt;$F$3),$F$3,الموظفون!$AE29)-MAX($E$3,الموظفون!$H29)+1))</f>
        <v/>
      </c>
      <c r="AL29" s="156" t="str">
        <f aca="false">IF($B29="","",SUMIFS('سجل الإجازات والحالات'!$AX$6:$AX$505,'سجل الإجازات والحالات'!$B$6:$B$505,$B29)+SUMIFS('الحركات الشهرية'!$K$6:$K$1005,'الحركات الشهرية'!$B$6:$B$1005,$B29,'الحركات الشهرية'!$A$6:$A$1005,$C$3))</f>
        <v/>
      </c>
      <c r="AM29" s="116" t="str">
        <f aca="false">IF($B29="","",AL29*الموظفون!$R29/cfg_DAYS_M+S29)</f>
        <v/>
      </c>
      <c r="AN29" s="156" t="str">
        <f aca="false">IF($B29="","",SUMIFS('سجل الإجازات والحالات'!$Z$6:$Z$505,'سجل الإجازات والحالات'!$B$6:$B$505,$B29))</f>
        <v/>
      </c>
    </row>
    <row r="30" customFormat="false" ht="15" hidden="false" customHeight="false" outlineLevel="0" collapsed="false">
      <c r="A30" s="106" t="str">
        <f aca="false">IF($B30="","",الموظفون!$A30)</f>
        <v/>
      </c>
      <c r="B30" s="114" t="str">
        <f aca="false">IF(الموظفون!$B30="","",الموظفون!$B30)</f>
        <v/>
      </c>
      <c r="C30" s="114" t="str">
        <f aca="false">IF($B30="","",الموظفون!$C30)</f>
        <v/>
      </c>
      <c r="D30" s="114" t="str">
        <f aca="false">IF($B30="","",الموظفون!$F30)</f>
        <v/>
      </c>
      <c r="E30" s="114" t="str">
        <f aca="false">IF($B30="","",الموظفون!$E30)</f>
        <v/>
      </c>
      <c r="F30" s="114" t="str">
        <f aca="false">IF($B30="","",IF(AK30=0,IF(AND(الموظفون!$AE30&lt;&gt;"",الموظفون!$AE30&lt;$E$3),"✖ منتهي الخدمة","⏳ لم يباشر"),IF(S30&gt;0,"✈ راتب إجازة مقدم",IF(J30=0,"⛔ بدون راتب هذا الشهر",IF(I30&gt;0,"✈ خصم "&amp;ROUND(I30,2)&amp;" يوم بدون أجر",IF(AL30&gt;0,"🌴 إجازة سنوية "&amp;ROUND(AL30,2)&amp;" يوم",IF(H30&gt;0,"⚠ غياب "&amp;ROUND(H30,2)&amp;" يوم","✔ على رأس العمل")))))))</f>
        <v/>
      </c>
      <c r="G30" s="151" t="str">
        <f aca="false">IF($B30="","",IF(AK30&gt;=DAY($F$3),cfg_DAYS_M,MIN(AK30,cfg_DAYS_M)))</f>
        <v/>
      </c>
      <c r="H30" s="151" t="str">
        <f aca="false">IF($B30="","",SUMIFS('الحركات الشهرية'!$D$6:$D$1005,'الحركات الشهرية'!$B$6:$B$1005,$B30,'الحركات الشهرية'!$A$6:$A$1005,$C$3))</f>
        <v/>
      </c>
      <c r="I30" s="151" t="str">
        <f aca="false">IF($B30="","",MIN(G30,IF(AND(AK30&gt;0,AN30&gt;=AK30),G30,AN30)+SUMIFS('الحركات الشهرية'!$E$6:$E$1005,'الحركات الشهرية'!$B$6:$B$1005,$B30,'الحركات الشهرية'!$A$6:$A$1005,$C$3)))</f>
        <v/>
      </c>
      <c r="J30" s="151" t="str">
        <f aca="false">IF($B30="","",MAX(0,G30-H30-I30))</f>
        <v/>
      </c>
      <c r="K30" s="111" t="str">
        <f aca="false">IF($B30="","",الموظفون!$L30*$J30/cfg_DAYS_M)</f>
        <v/>
      </c>
      <c r="L30" s="111" t="str">
        <f aca="false">IF($B30="","",الموظفون!$M30*$J30/cfg_DAYS_M)</f>
        <v/>
      </c>
      <c r="M30" s="111" t="str">
        <f aca="false">IF($B30="","",الموظفون!$N30*$J30/cfg_DAYS_M)</f>
        <v/>
      </c>
      <c r="N30" s="111" t="str">
        <f aca="false">IF($B30="","",الموظفون!$O30*$J30/cfg_DAYS_M)</f>
        <v/>
      </c>
      <c r="O30" s="151" t="str">
        <f aca="false">IF($B30="","",SUMIFS('الحركات الشهرية'!$F$6:$F$1005,'الحركات الشهرية'!$B$6:$B$1005,$B30,'الحركات الشهرية'!$A$6:$A$1005,$C$3))</f>
        <v/>
      </c>
      <c r="P30" s="111" t="str">
        <f aca="false">IF($B30="","",O30*(الموظفون!$P30+الموظفون!$L30*cfg_OT_P)/cfg_DAYS_M/cfg_HRS)</f>
        <v/>
      </c>
      <c r="Q30" s="111" t="str">
        <f aca="false">IF($B30="","",SUMIFS('الحركات الشهرية'!$G$6:$G$1005,'الحركات الشهرية'!$B$6:$B$1005,$B30,'الحركات الشهرية'!$A$6:$A$1005,$C$3))</f>
        <v/>
      </c>
      <c r="R30" s="111" t="str">
        <f aca="false">IF($B30="","",SUMIFS('الحركات الشهرية'!$H$6:$H$1005,'الحركات الشهرية'!$B$6:$B$1005,$B30,'الحركات الشهرية'!$A$6:$A$1005,$C$3))</f>
        <v/>
      </c>
      <c r="S30" s="111" t="str">
        <f aca="false">IF($B30="","",SUMIFS('سجل الإجازات والحالات'!$N$6:$N$505,'سجل الإجازات والحالات'!$B$6:$B$505,$B30,'سجل الإجازات والحالات'!$O$6:$O$505,$C$3))</f>
        <v/>
      </c>
      <c r="T30" s="152" t="str">
        <f aca="false">IF($B30="","",SUM(K30:N30)+SUM(P30:S30))</f>
        <v/>
      </c>
      <c r="U30" s="111" t="str">
        <f aca="false">IF($B30="","",الموظفون!$S30*IF(E30="سعودي",cfg_G_SE,cfg_G_NE)*G30/cfg_DAYS_M)</f>
        <v/>
      </c>
      <c r="V30" s="111" t="str">
        <f aca="false">IF($B30="","",SUMIFS('الحركات الشهرية'!$I$6:$I$1005,'الحركات الشهرية'!$B$6:$B$1005,$B30,'الحركات الشهرية'!$A$6:$A$1005,$C$3))</f>
        <v/>
      </c>
      <c r="W30" s="111" t="str">
        <f aca="false">IF($B30="","",SUMIFS('الحركات الشهرية'!$J$6:$J$1005,'الحركات الشهرية'!$B$6:$B$1005,$B30,'الحركات الشهرية'!$A$6:$A$1005,$C$3))</f>
        <v/>
      </c>
      <c r="X30" s="111" t="str">
        <f aca="false">IF($B30="","",SUM(U30:W30))</f>
        <v/>
      </c>
      <c r="Y30" s="153" t="str">
        <f aca="false">IF($B30="","",T30-X30)</f>
        <v/>
      </c>
      <c r="Z30" s="111" t="str">
        <f aca="false">IF($B30="","",الموظفون!$S30*IF(E30="سعودي",cfg_G_SR,cfg_G_NR)*G30/cfg_DAYS_M)</f>
        <v/>
      </c>
      <c r="AA30" s="111" t="str">
        <f aca="false">IF($B30="","",الموظفون!$Q30*(cfg_EOS_R1*(MIN(AH30,cfg_EOS_TH)-MIN(AI30,cfg_EOS_TH))+cfg_EOS_R2*(MAX(AH30-cfg_EOS_TH,0)-MAX(AI30-cfg_EOS_TH,0))))</f>
        <v/>
      </c>
      <c r="AB30" s="111" t="str">
        <f aca="false">IF($B30="","",IF(الموظفون!$T30&lt;&gt;"",الموظفون!$T30,IF(AH30&gt;=cfg_LV_TH,cfg_LV_D2,cfg_LV_D1))/cfg_DAYS_Y*AJ30*الموظفون!$R30/cfg_DAYS_M)</f>
        <v/>
      </c>
      <c r="AC30" s="111" t="str">
        <f aca="false">IF($B30="","",IF(AND(الموظفون!$U30="نعم",N(الموظفون!$W30)&gt;0),الموظفون!$V30/الموظفون!$W30*12/cfg_DAYS_Y*AJ30,0))</f>
        <v/>
      </c>
      <c r="AD30" s="111" t="str">
        <f aca="false">IF($B30="","",(IF(الموظفون!$X30&lt;&gt;"",الموظفون!$X30,IF(الموظفون!$E30="غير سعودي",cfg_IQ,0))+IF(الموظفون!$Y30&lt;&gt;"",الموظفون!$Y30,IF(الموظفون!$E30="غير سعودي",cfg_WP,0)))/12*G30/cfg_DAYS_M)</f>
        <v/>
      </c>
      <c r="AE30" s="111" t="str">
        <f aca="false">IF($B30="","",IF(الموظفون!$Z30&lt;&gt;"",الموظفون!$Z30,cfg_MED)/12*G30/cfg_DAYS_M)</f>
        <v/>
      </c>
      <c r="AF30" s="111" t="str">
        <f aca="false">IF($B30="","",N(الموظفون!$AA30)/12*G30/cfg_DAYS_M)</f>
        <v/>
      </c>
      <c r="AG30" s="154" t="str">
        <f aca="false">IF($B30="","",T30+SUM(Z30:AF30))</f>
        <v/>
      </c>
      <c r="AH30" s="155" t="str">
        <f aca="false">IF($B30="","",MAX(0,IF(OR(الموظفون!$AE30="",الموظفون!$AE30&gt;$F$3),$F$3,الموظفون!$AE30)-الموظفون!$H30+1-SUMIFS('سجل الإجازات والحالات'!$AL$6:$AL$505,'سجل الإجازات والحالات'!$B$6:$B$505,$B30))/cfg_DAYS_Y)</f>
        <v/>
      </c>
      <c r="AI30" s="155" t="str">
        <f aca="false">IF($B30="","",MAX(0,IF(OR(الموظفون!$AE30="",الموظفون!$AE30&gt;($E$3-1)),($E$3-1),الموظفون!$AE30)-الموظفون!$H30+1-SUMIFS('سجل الإجازات والحالات'!$AK$6:$AK$505,'سجل الإجازات والحالات'!$B$6:$B$505,$B30))/cfg_DAYS_Y)</f>
        <v/>
      </c>
      <c r="AJ30" s="65" t="str">
        <f aca="false">IF($B30="","",MAX(0,AK30-(SUMIFS('سجل الإجازات والحالات'!$AL$6:$AL$505,'سجل الإجازات والحالات'!$B$6:$B$505,$B30)-SUMIFS('سجل الإجازات والحالات'!$AK$6:$AK$505,'سجل الإجازات والحالات'!$B$6:$B$505,$B30))))</f>
        <v/>
      </c>
      <c r="AK30" s="65" t="str">
        <f aca="false">IF($B30="","",MAX(0,IF(OR(الموظفون!$AE30="",الموظفون!$AE30&gt;$F$3),$F$3,الموظفون!$AE30)-MAX($E$3,الموظفون!$H30)+1))</f>
        <v/>
      </c>
      <c r="AL30" s="151" t="str">
        <f aca="false">IF($B30="","",SUMIFS('سجل الإجازات والحالات'!$AX$6:$AX$505,'سجل الإجازات والحالات'!$B$6:$B$505,$B30)+SUMIFS('الحركات الشهرية'!$K$6:$K$1005,'الحركات الشهرية'!$B$6:$B$1005,$B30,'الحركات الشهرية'!$A$6:$A$1005,$C$3))</f>
        <v/>
      </c>
      <c r="AM30" s="111" t="str">
        <f aca="false">IF($B30="","",AL30*الموظفون!$R30/cfg_DAYS_M+S30)</f>
        <v/>
      </c>
      <c r="AN30" s="151" t="str">
        <f aca="false">IF($B30="","",SUMIFS('سجل الإجازات والحالات'!$Z$6:$Z$505,'سجل الإجازات والحالات'!$B$6:$B$505,$B30))</f>
        <v/>
      </c>
    </row>
    <row r="31" customFormat="false" ht="15" hidden="false" customHeight="false" outlineLevel="0" collapsed="false">
      <c r="A31" s="115" t="str">
        <f aca="false">IF($B31="","",الموظفون!$A31)</f>
        <v/>
      </c>
      <c r="B31" s="117" t="str">
        <f aca="false">IF(الموظفون!$B31="","",الموظفون!$B31)</f>
        <v/>
      </c>
      <c r="C31" s="117" t="str">
        <f aca="false">IF($B31="","",الموظفون!$C31)</f>
        <v/>
      </c>
      <c r="D31" s="117" t="str">
        <f aca="false">IF($B31="","",الموظفون!$F31)</f>
        <v/>
      </c>
      <c r="E31" s="117" t="str">
        <f aca="false">IF($B31="","",الموظفون!$E31)</f>
        <v/>
      </c>
      <c r="F31" s="117" t="str">
        <f aca="false">IF($B31="","",IF(AK31=0,IF(AND(الموظفون!$AE31&lt;&gt;"",الموظفون!$AE31&lt;$E$3),"✖ منتهي الخدمة","⏳ لم يباشر"),IF(S31&gt;0,"✈ راتب إجازة مقدم",IF(J31=0,"⛔ بدون راتب هذا الشهر",IF(I31&gt;0,"✈ خصم "&amp;ROUND(I31,2)&amp;" يوم بدون أجر",IF(AL31&gt;0,"🌴 إجازة سنوية "&amp;ROUND(AL31,2)&amp;" يوم",IF(H31&gt;0,"⚠ غياب "&amp;ROUND(H31,2)&amp;" يوم","✔ على رأس العمل")))))))</f>
        <v/>
      </c>
      <c r="G31" s="156" t="str">
        <f aca="false">IF($B31="","",IF(AK31&gt;=DAY($F$3),cfg_DAYS_M,MIN(AK31,cfg_DAYS_M)))</f>
        <v/>
      </c>
      <c r="H31" s="156" t="str">
        <f aca="false">IF($B31="","",SUMIFS('الحركات الشهرية'!$D$6:$D$1005,'الحركات الشهرية'!$B$6:$B$1005,$B31,'الحركات الشهرية'!$A$6:$A$1005,$C$3))</f>
        <v/>
      </c>
      <c r="I31" s="156" t="str">
        <f aca="false">IF($B31="","",MIN(G31,IF(AND(AK31&gt;0,AN31&gt;=AK31),G31,AN31)+SUMIFS('الحركات الشهرية'!$E$6:$E$1005,'الحركات الشهرية'!$B$6:$B$1005,$B31,'الحركات الشهرية'!$A$6:$A$1005,$C$3)))</f>
        <v/>
      </c>
      <c r="J31" s="156" t="str">
        <f aca="false">IF($B31="","",MAX(0,G31-H31-I31))</f>
        <v/>
      </c>
      <c r="K31" s="116" t="str">
        <f aca="false">IF($B31="","",الموظفون!$L31*$J31/cfg_DAYS_M)</f>
        <v/>
      </c>
      <c r="L31" s="116" t="str">
        <f aca="false">IF($B31="","",الموظفون!$M31*$J31/cfg_DAYS_M)</f>
        <v/>
      </c>
      <c r="M31" s="116" t="str">
        <f aca="false">IF($B31="","",الموظفون!$N31*$J31/cfg_DAYS_M)</f>
        <v/>
      </c>
      <c r="N31" s="116" t="str">
        <f aca="false">IF($B31="","",الموظفون!$O31*$J31/cfg_DAYS_M)</f>
        <v/>
      </c>
      <c r="O31" s="156" t="str">
        <f aca="false">IF($B31="","",SUMIFS('الحركات الشهرية'!$F$6:$F$1005,'الحركات الشهرية'!$B$6:$B$1005,$B31,'الحركات الشهرية'!$A$6:$A$1005,$C$3))</f>
        <v/>
      </c>
      <c r="P31" s="116" t="str">
        <f aca="false">IF($B31="","",O31*(الموظفون!$P31+الموظفون!$L31*cfg_OT_P)/cfg_DAYS_M/cfg_HRS)</f>
        <v/>
      </c>
      <c r="Q31" s="116" t="str">
        <f aca="false">IF($B31="","",SUMIFS('الحركات الشهرية'!$G$6:$G$1005,'الحركات الشهرية'!$B$6:$B$1005,$B31,'الحركات الشهرية'!$A$6:$A$1005,$C$3))</f>
        <v/>
      </c>
      <c r="R31" s="116" t="str">
        <f aca="false">IF($B31="","",SUMIFS('الحركات الشهرية'!$H$6:$H$1005,'الحركات الشهرية'!$B$6:$B$1005,$B31,'الحركات الشهرية'!$A$6:$A$1005,$C$3))</f>
        <v/>
      </c>
      <c r="S31" s="116" t="str">
        <f aca="false">IF($B31="","",SUMIFS('سجل الإجازات والحالات'!$N$6:$N$505,'سجل الإجازات والحالات'!$B$6:$B$505,$B31,'سجل الإجازات والحالات'!$O$6:$O$505,$C$3))</f>
        <v/>
      </c>
      <c r="T31" s="157" t="str">
        <f aca="false">IF($B31="","",SUM(K31:N31)+SUM(P31:S31))</f>
        <v/>
      </c>
      <c r="U31" s="116" t="str">
        <f aca="false">IF($B31="","",الموظفون!$S31*IF(E31="سعودي",cfg_G_SE,cfg_G_NE)*G31/cfg_DAYS_M)</f>
        <v/>
      </c>
      <c r="V31" s="116" t="str">
        <f aca="false">IF($B31="","",SUMIFS('الحركات الشهرية'!$I$6:$I$1005,'الحركات الشهرية'!$B$6:$B$1005,$B31,'الحركات الشهرية'!$A$6:$A$1005,$C$3))</f>
        <v/>
      </c>
      <c r="W31" s="116" t="str">
        <f aca="false">IF($B31="","",SUMIFS('الحركات الشهرية'!$J$6:$J$1005,'الحركات الشهرية'!$B$6:$B$1005,$B31,'الحركات الشهرية'!$A$6:$A$1005,$C$3))</f>
        <v/>
      </c>
      <c r="X31" s="116" t="str">
        <f aca="false">IF($B31="","",SUM(U31:W31))</f>
        <v/>
      </c>
      <c r="Y31" s="158" t="str">
        <f aca="false">IF($B31="","",T31-X31)</f>
        <v/>
      </c>
      <c r="Z31" s="116" t="str">
        <f aca="false">IF($B31="","",الموظفون!$S31*IF(E31="سعودي",cfg_G_SR,cfg_G_NR)*G31/cfg_DAYS_M)</f>
        <v/>
      </c>
      <c r="AA31" s="116" t="str">
        <f aca="false">IF($B31="","",الموظفون!$Q31*(cfg_EOS_R1*(MIN(AH31,cfg_EOS_TH)-MIN(AI31,cfg_EOS_TH))+cfg_EOS_R2*(MAX(AH31-cfg_EOS_TH,0)-MAX(AI31-cfg_EOS_TH,0))))</f>
        <v/>
      </c>
      <c r="AB31" s="116" t="str">
        <f aca="false">IF($B31="","",IF(الموظفون!$T31&lt;&gt;"",الموظفون!$T31,IF(AH31&gt;=cfg_LV_TH,cfg_LV_D2,cfg_LV_D1))/cfg_DAYS_Y*AJ31*الموظفون!$R31/cfg_DAYS_M)</f>
        <v/>
      </c>
      <c r="AC31" s="116" t="str">
        <f aca="false">IF($B31="","",IF(AND(الموظفون!$U31="نعم",N(الموظفون!$W31)&gt;0),الموظفون!$V31/الموظفون!$W31*12/cfg_DAYS_Y*AJ31,0))</f>
        <v/>
      </c>
      <c r="AD31" s="116" t="str">
        <f aca="false">IF($B31="","",(IF(الموظفون!$X31&lt;&gt;"",الموظفون!$X31,IF(الموظفون!$E31="غير سعودي",cfg_IQ,0))+IF(الموظفون!$Y31&lt;&gt;"",الموظفون!$Y31,IF(الموظفون!$E31="غير سعودي",cfg_WP,0)))/12*G31/cfg_DAYS_M)</f>
        <v/>
      </c>
      <c r="AE31" s="116" t="str">
        <f aca="false">IF($B31="","",IF(الموظفون!$Z31&lt;&gt;"",الموظفون!$Z31,cfg_MED)/12*G31/cfg_DAYS_M)</f>
        <v/>
      </c>
      <c r="AF31" s="116" t="str">
        <f aca="false">IF($B31="","",N(الموظفون!$AA31)/12*G31/cfg_DAYS_M)</f>
        <v/>
      </c>
      <c r="AG31" s="159" t="str">
        <f aca="false">IF($B31="","",T31+SUM(Z31:AF31))</f>
        <v/>
      </c>
      <c r="AH31" s="160" t="str">
        <f aca="false">IF($B31="","",MAX(0,IF(OR(الموظفون!$AE31="",الموظفون!$AE31&gt;$F$3),$F$3,الموظفون!$AE31)-الموظفون!$H31+1-SUMIFS('سجل الإجازات والحالات'!$AL$6:$AL$505,'سجل الإجازات والحالات'!$B$6:$B$505,$B31))/cfg_DAYS_Y)</f>
        <v/>
      </c>
      <c r="AI31" s="160" t="str">
        <f aca="false">IF($B31="","",MAX(0,IF(OR(الموظفون!$AE31="",الموظفون!$AE31&gt;($E$3-1)),($E$3-1),الموظفون!$AE31)-الموظفون!$H31+1-SUMIFS('سجل الإجازات والحالات'!$AK$6:$AK$505,'سجل الإجازات والحالات'!$B$6:$B$505,$B31))/cfg_DAYS_Y)</f>
        <v/>
      </c>
      <c r="AJ31" s="133" t="str">
        <f aca="false">IF($B31="","",MAX(0,AK31-(SUMIFS('سجل الإجازات والحالات'!$AL$6:$AL$505,'سجل الإجازات والحالات'!$B$6:$B$505,$B31)-SUMIFS('سجل الإجازات والحالات'!$AK$6:$AK$505,'سجل الإجازات والحالات'!$B$6:$B$505,$B31))))</f>
        <v/>
      </c>
      <c r="AK31" s="133" t="str">
        <f aca="false">IF($B31="","",MAX(0,IF(OR(الموظفون!$AE31="",الموظفون!$AE31&gt;$F$3),$F$3,الموظفون!$AE31)-MAX($E$3,الموظفون!$H31)+1))</f>
        <v/>
      </c>
      <c r="AL31" s="156" t="str">
        <f aca="false">IF($B31="","",SUMIFS('سجل الإجازات والحالات'!$AX$6:$AX$505,'سجل الإجازات والحالات'!$B$6:$B$505,$B31)+SUMIFS('الحركات الشهرية'!$K$6:$K$1005,'الحركات الشهرية'!$B$6:$B$1005,$B31,'الحركات الشهرية'!$A$6:$A$1005,$C$3))</f>
        <v/>
      </c>
      <c r="AM31" s="116" t="str">
        <f aca="false">IF($B31="","",AL31*الموظفون!$R31/cfg_DAYS_M+S31)</f>
        <v/>
      </c>
      <c r="AN31" s="156" t="str">
        <f aca="false">IF($B31="","",SUMIFS('سجل الإجازات والحالات'!$Z$6:$Z$505,'سجل الإجازات والحالات'!$B$6:$B$505,$B31))</f>
        <v/>
      </c>
    </row>
    <row r="32" customFormat="false" ht="15" hidden="false" customHeight="false" outlineLevel="0" collapsed="false">
      <c r="A32" s="106" t="str">
        <f aca="false">IF($B32="","",الموظفون!$A32)</f>
        <v/>
      </c>
      <c r="B32" s="114" t="str">
        <f aca="false">IF(الموظفون!$B32="","",الموظفون!$B32)</f>
        <v/>
      </c>
      <c r="C32" s="114" t="str">
        <f aca="false">IF($B32="","",الموظفون!$C32)</f>
        <v/>
      </c>
      <c r="D32" s="114" t="str">
        <f aca="false">IF($B32="","",الموظفون!$F32)</f>
        <v/>
      </c>
      <c r="E32" s="114" t="str">
        <f aca="false">IF($B32="","",الموظفون!$E32)</f>
        <v/>
      </c>
      <c r="F32" s="114" t="str">
        <f aca="false">IF($B32="","",IF(AK32=0,IF(AND(الموظفون!$AE32&lt;&gt;"",الموظفون!$AE32&lt;$E$3),"✖ منتهي الخدمة","⏳ لم يباشر"),IF(S32&gt;0,"✈ راتب إجازة مقدم",IF(J32=0,"⛔ بدون راتب هذا الشهر",IF(I32&gt;0,"✈ خصم "&amp;ROUND(I32,2)&amp;" يوم بدون أجر",IF(AL32&gt;0,"🌴 إجازة سنوية "&amp;ROUND(AL32,2)&amp;" يوم",IF(H32&gt;0,"⚠ غياب "&amp;ROUND(H32,2)&amp;" يوم","✔ على رأس العمل")))))))</f>
        <v/>
      </c>
      <c r="G32" s="151" t="str">
        <f aca="false">IF($B32="","",IF(AK32&gt;=DAY($F$3),cfg_DAYS_M,MIN(AK32,cfg_DAYS_M)))</f>
        <v/>
      </c>
      <c r="H32" s="151" t="str">
        <f aca="false">IF($B32="","",SUMIFS('الحركات الشهرية'!$D$6:$D$1005,'الحركات الشهرية'!$B$6:$B$1005,$B32,'الحركات الشهرية'!$A$6:$A$1005,$C$3))</f>
        <v/>
      </c>
      <c r="I32" s="151" t="str">
        <f aca="false">IF($B32="","",MIN(G32,IF(AND(AK32&gt;0,AN32&gt;=AK32),G32,AN32)+SUMIFS('الحركات الشهرية'!$E$6:$E$1005,'الحركات الشهرية'!$B$6:$B$1005,$B32,'الحركات الشهرية'!$A$6:$A$1005,$C$3)))</f>
        <v/>
      </c>
      <c r="J32" s="151" t="str">
        <f aca="false">IF($B32="","",MAX(0,G32-H32-I32))</f>
        <v/>
      </c>
      <c r="K32" s="111" t="str">
        <f aca="false">IF($B32="","",الموظفون!$L32*$J32/cfg_DAYS_M)</f>
        <v/>
      </c>
      <c r="L32" s="111" t="str">
        <f aca="false">IF($B32="","",الموظفون!$M32*$J32/cfg_DAYS_M)</f>
        <v/>
      </c>
      <c r="M32" s="111" t="str">
        <f aca="false">IF($B32="","",الموظفون!$N32*$J32/cfg_DAYS_M)</f>
        <v/>
      </c>
      <c r="N32" s="111" t="str">
        <f aca="false">IF($B32="","",الموظفون!$O32*$J32/cfg_DAYS_M)</f>
        <v/>
      </c>
      <c r="O32" s="151" t="str">
        <f aca="false">IF($B32="","",SUMIFS('الحركات الشهرية'!$F$6:$F$1005,'الحركات الشهرية'!$B$6:$B$1005,$B32,'الحركات الشهرية'!$A$6:$A$1005,$C$3))</f>
        <v/>
      </c>
      <c r="P32" s="111" t="str">
        <f aca="false">IF($B32="","",O32*(الموظفون!$P32+الموظفون!$L32*cfg_OT_P)/cfg_DAYS_M/cfg_HRS)</f>
        <v/>
      </c>
      <c r="Q32" s="111" t="str">
        <f aca="false">IF($B32="","",SUMIFS('الحركات الشهرية'!$G$6:$G$1005,'الحركات الشهرية'!$B$6:$B$1005,$B32,'الحركات الشهرية'!$A$6:$A$1005,$C$3))</f>
        <v/>
      </c>
      <c r="R32" s="111" t="str">
        <f aca="false">IF($B32="","",SUMIFS('الحركات الشهرية'!$H$6:$H$1005,'الحركات الشهرية'!$B$6:$B$1005,$B32,'الحركات الشهرية'!$A$6:$A$1005,$C$3))</f>
        <v/>
      </c>
      <c r="S32" s="111" t="str">
        <f aca="false">IF($B32="","",SUMIFS('سجل الإجازات والحالات'!$N$6:$N$505,'سجل الإجازات والحالات'!$B$6:$B$505,$B32,'سجل الإجازات والحالات'!$O$6:$O$505,$C$3))</f>
        <v/>
      </c>
      <c r="T32" s="152" t="str">
        <f aca="false">IF($B32="","",SUM(K32:N32)+SUM(P32:S32))</f>
        <v/>
      </c>
      <c r="U32" s="111" t="str">
        <f aca="false">IF($B32="","",الموظفون!$S32*IF(E32="سعودي",cfg_G_SE,cfg_G_NE)*G32/cfg_DAYS_M)</f>
        <v/>
      </c>
      <c r="V32" s="111" t="str">
        <f aca="false">IF($B32="","",SUMIFS('الحركات الشهرية'!$I$6:$I$1005,'الحركات الشهرية'!$B$6:$B$1005,$B32,'الحركات الشهرية'!$A$6:$A$1005,$C$3))</f>
        <v/>
      </c>
      <c r="W32" s="111" t="str">
        <f aca="false">IF($B32="","",SUMIFS('الحركات الشهرية'!$J$6:$J$1005,'الحركات الشهرية'!$B$6:$B$1005,$B32,'الحركات الشهرية'!$A$6:$A$1005,$C$3))</f>
        <v/>
      </c>
      <c r="X32" s="111" t="str">
        <f aca="false">IF($B32="","",SUM(U32:W32))</f>
        <v/>
      </c>
      <c r="Y32" s="153" t="str">
        <f aca="false">IF($B32="","",T32-X32)</f>
        <v/>
      </c>
      <c r="Z32" s="111" t="str">
        <f aca="false">IF($B32="","",الموظفون!$S32*IF(E32="سعودي",cfg_G_SR,cfg_G_NR)*G32/cfg_DAYS_M)</f>
        <v/>
      </c>
      <c r="AA32" s="111" t="str">
        <f aca="false">IF($B32="","",الموظفون!$Q32*(cfg_EOS_R1*(MIN(AH32,cfg_EOS_TH)-MIN(AI32,cfg_EOS_TH))+cfg_EOS_R2*(MAX(AH32-cfg_EOS_TH,0)-MAX(AI32-cfg_EOS_TH,0))))</f>
        <v/>
      </c>
      <c r="AB32" s="111" t="str">
        <f aca="false">IF($B32="","",IF(الموظفون!$T32&lt;&gt;"",الموظفون!$T32,IF(AH32&gt;=cfg_LV_TH,cfg_LV_D2,cfg_LV_D1))/cfg_DAYS_Y*AJ32*الموظفون!$R32/cfg_DAYS_M)</f>
        <v/>
      </c>
      <c r="AC32" s="111" t="str">
        <f aca="false">IF($B32="","",IF(AND(الموظفون!$U32="نعم",N(الموظفون!$W32)&gt;0),الموظفون!$V32/الموظفون!$W32*12/cfg_DAYS_Y*AJ32,0))</f>
        <v/>
      </c>
      <c r="AD32" s="111" t="str">
        <f aca="false">IF($B32="","",(IF(الموظفون!$X32&lt;&gt;"",الموظفون!$X32,IF(الموظفون!$E32="غير سعودي",cfg_IQ,0))+IF(الموظفون!$Y32&lt;&gt;"",الموظفون!$Y32,IF(الموظفون!$E32="غير سعودي",cfg_WP,0)))/12*G32/cfg_DAYS_M)</f>
        <v/>
      </c>
      <c r="AE32" s="111" t="str">
        <f aca="false">IF($B32="","",IF(الموظفون!$Z32&lt;&gt;"",الموظفون!$Z32,cfg_MED)/12*G32/cfg_DAYS_M)</f>
        <v/>
      </c>
      <c r="AF32" s="111" t="str">
        <f aca="false">IF($B32="","",N(الموظفون!$AA32)/12*G32/cfg_DAYS_M)</f>
        <v/>
      </c>
      <c r="AG32" s="154" t="str">
        <f aca="false">IF($B32="","",T32+SUM(Z32:AF32))</f>
        <v/>
      </c>
      <c r="AH32" s="155" t="str">
        <f aca="false">IF($B32="","",MAX(0,IF(OR(الموظفون!$AE32="",الموظفون!$AE32&gt;$F$3),$F$3,الموظفون!$AE32)-الموظفون!$H32+1-SUMIFS('سجل الإجازات والحالات'!$AL$6:$AL$505,'سجل الإجازات والحالات'!$B$6:$B$505,$B32))/cfg_DAYS_Y)</f>
        <v/>
      </c>
      <c r="AI32" s="155" t="str">
        <f aca="false">IF($B32="","",MAX(0,IF(OR(الموظفون!$AE32="",الموظفون!$AE32&gt;($E$3-1)),($E$3-1),الموظفون!$AE32)-الموظفون!$H32+1-SUMIFS('سجل الإجازات والحالات'!$AK$6:$AK$505,'سجل الإجازات والحالات'!$B$6:$B$505,$B32))/cfg_DAYS_Y)</f>
        <v/>
      </c>
      <c r="AJ32" s="65" t="str">
        <f aca="false">IF($B32="","",MAX(0,AK32-(SUMIFS('سجل الإجازات والحالات'!$AL$6:$AL$505,'سجل الإجازات والحالات'!$B$6:$B$505,$B32)-SUMIFS('سجل الإجازات والحالات'!$AK$6:$AK$505,'سجل الإجازات والحالات'!$B$6:$B$505,$B32))))</f>
        <v/>
      </c>
      <c r="AK32" s="65" t="str">
        <f aca="false">IF($B32="","",MAX(0,IF(OR(الموظفون!$AE32="",الموظفون!$AE32&gt;$F$3),$F$3,الموظفون!$AE32)-MAX($E$3,الموظفون!$H32)+1))</f>
        <v/>
      </c>
      <c r="AL32" s="151" t="str">
        <f aca="false">IF($B32="","",SUMIFS('سجل الإجازات والحالات'!$AX$6:$AX$505,'سجل الإجازات والحالات'!$B$6:$B$505,$B32)+SUMIFS('الحركات الشهرية'!$K$6:$K$1005,'الحركات الشهرية'!$B$6:$B$1005,$B32,'الحركات الشهرية'!$A$6:$A$1005,$C$3))</f>
        <v/>
      </c>
      <c r="AM32" s="111" t="str">
        <f aca="false">IF($B32="","",AL32*الموظفون!$R32/cfg_DAYS_M+S32)</f>
        <v/>
      </c>
      <c r="AN32" s="151" t="str">
        <f aca="false">IF($B32="","",SUMIFS('سجل الإجازات والحالات'!$Z$6:$Z$505,'سجل الإجازات والحالات'!$B$6:$B$505,$B32))</f>
        <v/>
      </c>
    </row>
    <row r="33" customFormat="false" ht="15" hidden="false" customHeight="false" outlineLevel="0" collapsed="false">
      <c r="A33" s="115" t="str">
        <f aca="false">IF($B33="","",الموظفون!$A33)</f>
        <v/>
      </c>
      <c r="B33" s="117" t="str">
        <f aca="false">IF(الموظفون!$B33="","",الموظفون!$B33)</f>
        <v/>
      </c>
      <c r="C33" s="117" t="str">
        <f aca="false">IF($B33="","",الموظفون!$C33)</f>
        <v/>
      </c>
      <c r="D33" s="117" t="str">
        <f aca="false">IF($B33="","",الموظفون!$F33)</f>
        <v/>
      </c>
      <c r="E33" s="117" t="str">
        <f aca="false">IF($B33="","",الموظفون!$E33)</f>
        <v/>
      </c>
      <c r="F33" s="117" t="str">
        <f aca="false">IF($B33="","",IF(AK33=0,IF(AND(الموظفون!$AE33&lt;&gt;"",الموظفون!$AE33&lt;$E$3),"✖ منتهي الخدمة","⏳ لم يباشر"),IF(S33&gt;0,"✈ راتب إجازة مقدم",IF(J33=0,"⛔ بدون راتب هذا الشهر",IF(I33&gt;0,"✈ خصم "&amp;ROUND(I33,2)&amp;" يوم بدون أجر",IF(AL33&gt;0,"🌴 إجازة سنوية "&amp;ROUND(AL33,2)&amp;" يوم",IF(H33&gt;0,"⚠ غياب "&amp;ROUND(H33,2)&amp;" يوم","✔ على رأس العمل")))))))</f>
        <v/>
      </c>
      <c r="G33" s="156" t="str">
        <f aca="false">IF($B33="","",IF(AK33&gt;=DAY($F$3),cfg_DAYS_M,MIN(AK33,cfg_DAYS_M)))</f>
        <v/>
      </c>
      <c r="H33" s="156" t="str">
        <f aca="false">IF($B33="","",SUMIFS('الحركات الشهرية'!$D$6:$D$1005,'الحركات الشهرية'!$B$6:$B$1005,$B33,'الحركات الشهرية'!$A$6:$A$1005,$C$3))</f>
        <v/>
      </c>
      <c r="I33" s="156" t="str">
        <f aca="false">IF($B33="","",MIN(G33,IF(AND(AK33&gt;0,AN33&gt;=AK33),G33,AN33)+SUMIFS('الحركات الشهرية'!$E$6:$E$1005,'الحركات الشهرية'!$B$6:$B$1005,$B33,'الحركات الشهرية'!$A$6:$A$1005,$C$3)))</f>
        <v/>
      </c>
      <c r="J33" s="156" t="str">
        <f aca="false">IF($B33="","",MAX(0,G33-H33-I33))</f>
        <v/>
      </c>
      <c r="K33" s="116" t="str">
        <f aca="false">IF($B33="","",الموظفون!$L33*$J33/cfg_DAYS_M)</f>
        <v/>
      </c>
      <c r="L33" s="116" t="str">
        <f aca="false">IF($B33="","",الموظفون!$M33*$J33/cfg_DAYS_M)</f>
        <v/>
      </c>
      <c r="M33" s="116" t="str">
        <f aca="false">IF($B33="","",الموظفون!$N33*$J33/cfg_DAYS_M)</f>
        <v/>
      </c>
      <c r="N33" s="116" t="str">
        <f aca="false">IF($B33="","",الموظفون!$O33*$J33/cfg_DAYS_M)</f>
        <v/>
      </c>
      <c r="O33" s="156" t="str">
        <f aca="false">IF($B33="","",SUMIFS('الحركات الشهرية'!$F$6:$F$1005,'الحركات الشهرية'!$B$6:$B$1005,$B33,'الحركات الشهرية'!$A$6:$A$1005,$C$3))</f>
        <v/>
      </c>
      <c r="P33" s="116" t="str">
        <f aca="false">IF($B33="","",O33*(الموظفون!$P33+الموظفون!$L33*cfg_OT_P)/cfg_DAYS_M/cfg_HRS)</f>
        <v/>
      </c>
      <c r="Q33" s="116" t="str">
        <f aca="false">IF($B33="","",SUMIFS('الحركات الشهرية'!$G$6:$G$1005,'الحركات الشهرية'!$B$6:$B$1005,$B33,'الحركات الشهرية'!$A$6:$A$1005,$C$3))</f>
        <v/>
      </c>
      <c r="R33" s="116" t="str">
        <f aca="false">IF($B33="","",SUMIFS('الحركات الشهرية'!$H$6:$H$1005,'الحركات الشهرية'!$B$6:$B$1005,$B33,'الحركات الشهرية'!$A$6:$A$1005,$C$3))</f>
        <v/>
      </c>
      <c r="S33" s="116" t="str">
        <f aca="false">IF($B33="","",SUMIFS('سجل الإجازات والحالات'!$N$6:$N$505,'سجل الإجازات والحالات'!$B$6:$B$505,$B33,'سجل الإجازات والحالات'!$O$6:$O$505,$C$3))</f>
        <v/>
      </c>
      <c r="T33" s="157" t="str">
        <f aca="false">IF($B33="","",SUM(K33:N33)+SUM(P33:S33))</f>
        <v/>
      </c>
      <c r="U33" s="116" t="str">
        <f aca="false">IF($B33="","",الموظفون!$S33*IF(E33="سعودي",cfg_G_SE,cfg_G_NE)*G33/cfg_DAYS_M)</f>
        <v/>
      </c>
      <c r="V33" s="116" t="str">
        <f aca="false">IF($B33="","",SUMIFS('الحركات الشهرية'!$I$6:$I$1005,'الحركات الشهرية'!$B$6:$B$1005,$B33,'الحركات الشهرية'!$A$6:$A$1005,$C$3))</f>
        <v/>
      </c>
      <c r="W33" s="116" t="str">
        <f aca="false">IF($B33="","",SUMIFS('الحركات الشهرية'!$J$6:$J$1005,'الحركات الشهرية'!$B$6:$B$1005,$B33,'الحركات الشهرية'!$A$6:$A$1005,$C$3))</f>
        <v/>
      </c>
      <c r="X33" s="116" t="str">
        <f aca="false">IF($B33="","",SUM(U33:W33))</f>
        <v/>
      </c>
      <c r="Y33" s="158" t="str">
        <f aca="false">IF($B33="","",T33-X33)</f>
        <v/>
      </c>
      <c r="Z33" s="116" t="str">
        <f aca="false">IF($B33="","",الموظفون!$S33*IF(E33="سعودي",cfg_G_SR,cfg_G_NR)*G33/cfg_DAYS_M)</f>
        <v/>
      </c>
      <c r="AA33" s="116" t="str">
        <f aca="false">IF($B33="","",الموظفون!$Q33*(cfg_EOS_R1*(MIN(AH33,cfg_EOS_TH)-MIN(AI33,cfg_EOS_TH))+cfg_EOS_R2*(MAX(AH33-cfg_EOS_TH,0)-MAX(AI33-cfg_EOS_TH,0))))</f>
        <v/>
      </c>
      <c r="AB33" s="116" t="str">
        <f aca="false">IF($B33="","",IF(الموظفون!$T33&lt;&gt;"",الموظفون!$T33,IF(AH33&gt;=cfg_LV_TH,cfg_LV_D2,cfg_LV_D1))/cfg_DAYS_Y*AJ33*الموظفون!$R33/cfg_DAYS_M)</f>
        <v/>
      </c>
      <c r="AC33" s="116" t="str">
        <f aca="false">IF($B33="","",IF(AND(الموظفون!$U33="نعم",N(الموظفون!$W33)&gt;0),الموظفون!$V33/الموظفون!$W33*12/cfg_DAYS_Y*AJ33,0))</f>
        <v/>
      </c>
      <c r="AD33" s="116" t="str">
        <f aca="false">IF($B33="","",(IF(الموظفون!$X33&lt;&gt;"",الموظفون!$X33,IF(الموظفون!$E33="غير سعودي",cfg_IQ,0))+IF(الموظفون!$Y33&lt;&gt;"",الموظفون!$Y33,IF(الموظفون!$E33="غير سعودي",cfg_WP,0)))/12*G33/cfg_DAYS_M)</f>
        <v/>
      </c>
      <c r="AE33" s="116" t="str">
        <f aca="false">IF($B33="","",IF(الموظفون!$Z33&lt;&gt;"",الموظفون!$Z33,cfg_MED)/12*G33/cfg_DAYS_M)</f>
        <v/>
      </c>
      <c r="AF33" s="116" t="str">
        <f aca="false">IF($B33="","",N(الموظفون!$AA33)/12*G33/cfg_DAYS_M)</f>
        <v/>
      </c>
      <c r="AG33" s="159" t="str">
        <f aca="false">IF($B33="","",T33+SUM(Z33:AF33))</f>
        <v/>
      </c>
      <c r="AH33" s="160" t="str">
        <f aca="false">IF($B33="","",MAX(0,IF(OR(الموظفون!$AE33="",الموظفون!$AE33&gt;$F$3),$F$3,الموظفون!$AE33)-الموظفون!$H33+1-SUMIFS('سجل الإجازات والحالات'!$AL$6:$AL$505,'سجل الإجازات والحالات'!$B$6:$B$505,$B33))/cfg_DAYS_Y)</f>
        <v/>
      </c>
      <c r="AI33" s="160" t="str">
        <f aca="false">IF($B33="","",MAX(0,IF(OR(الموظفون!$AE33="",الموظفون!$AE33&gt;($E$3-1)),($E$3-1),الموظفون!$AE33)-الموظفون!$H33+1-SUMIFS('سجل الإجازات والحالات'!$AK$6:$AK$505,'سجل الإجازات والحالات'!$B$6:$B$505,$B33))/cfg_DAYS_Y)</f>
        <v/>
      </c>
      <c r="AJ33" s="133" t="str">
        <f aca="false">IF($B33="","",MAX(0,AK33-(SUMIFS('سجل الإجازات والحالات'!$AL$6:$AL$505,'سجل الإجازات والحالات'!$B$6:$B$505,$B33)-SUMIFS('سجل الإجازات والحالات'!$AK$6:$AK$505,'سجل الإجازات والحالات'!$B$6:$B$505,$B33))))</f>
        <v/>
      </c>
      <c r="AK33" s="133" t="str">
        <f aca="false">IF($B33="","",MAX(0,IF(OR(الموظفون!$AE33="",الموظفون!$AE33&gt;$F$3),$F$3,الموظفون!$AE33)-MAX($E$3,الموظفون!$H33)+1))</f>
        <v/>
      </c>
      <c r="AL33" s="156" t="str">
        <f aca="false">IF($B33="","",SUMIFS('سجل الإجازات والحالات'!$AX$6:$AX$505,'سجل الإجازات والحالات'!$B$6:$B$505,$B33)+SUMIFS('الحركات الشهرية'!$K$6:$K$1005,'الحركات الشهرية'!$B$6:$B$1005,$B33,'الحركات الشهرية'!$A$6:$A$1005,$C$3))</f>
        <v/>
      </c>
      <c r="AM33" s="116" t="str">
        <f aca="false">IF($B33="","",AL33*الموظفون!$R33/cfg_DAYS_M+S33)</f>
        <v/>
      </c>
      <c r="AN33" s="156" t="str">
        <f aca="false">IF($B33="","",SUMIFS('سجل الإجازات والحالات'!$Z$6:$Z$505,'سجل الإجازات والحالات'!$B$6:$B$505,$B33))</f>
        <v/>
      </c>
    </row>
    <row r="34" customFormat="false" ht="15" hidden="false" customHeight="false" outlineLevel="0" collapsed="false">
      <c r="A34" s="106" t="str">
        <f aca="false">IF($B34="","",الموظفون!$A34)</f>
        <v/>
      </c>
      <c r="B34" s="114" t="str">
        <f aca="false">IF(الموظفون!$B34="","",الموظفون!$B34)</f>
        <v/>
      </c>
      <c r="C34" s="114" t="str">
        <f aca="false">IF($B34="","",الموظفون!$C34)</f>
        <v/>
      </c>
      <c r="D34" s="114" t="str">
        <f aca="false">IF($B34="","",الموظفون!$F34)</f>
        <v/>
      </c>
      <c r="E34" s="114" t="str">
        <f aca="false">IF($B34="","",الموظفون!$E34)</f>
        <v/>
      </c>
      <c r="F34" s="114" t="str">
        <f aca="false">IF($B34="","",IF(AK34=0,IF(AND(الموظفون!$AE34&lt;&gt;"",الموظفون!$AE34&lt;$E$3),"✖ منتهي الخدمة","⏳ لم يباشر"),IF(S34&gt;0,"✈ راتب إجازة مقدم",IF(J34=0,"⛔ بدون راتب هذا الشهر",IF(I34&gt;0,"✈ خصم "&amp;ROUND(I34,2)&amp;" يوم بدون أجر",IF(AL34&gt;0,"🌴 إجازة سنوية "&amp;ROUND(AL34,2)&amp;" يوم",IF(H34&gt;0,"⚠ غياب "&amp;ROUND(H34,2)&amp;" يوم","✔ على رأس العمل")))))))</f>
        <v/>
      </c>
      <c r="G34" s="151" t="str">
        <f aca="false">IF($B34="","",IF(AK34&gt;=DAY($F$3),cfg_DAYS_M,MIN(AK34,cfg_DAYS_M)))</f>
        <v/>
      </c>
      <c r="H34" s="151" t="str">
        <f aca="false">IF($B34="","",SUMIFS('الحركات الشهرية'!$D$6:$D$1005,'الحركات الشهرية'!$B$6:$B$1005,$B34,'الحركات الشهرية'!$A$6:$A$1005,$C$3))</f>
        <v/>
      </c>
      <c r="I34" s="151" t="str">
        <f aca="false">IF($B34="","",MIN(G34,IF(AND(AK34&gt;0,AN34&gt;=AK34),G34,AN34)+SUMIFS('الحركات الشهرية'!$E$6:$E$1005,'الحركات الشهرية'!$B$6:$B$1005,$B34,'الحركات الشهرية'!$A$6:$A$1005,$C$3)))</f>
        <v/>
      </c>
      <c r="J34" s="151" t="str">
        <f aca="false">IF($B34="","",MAX(0,G34-H34-I34))</f>
        <v/>
      </c>
      <c r="K34" s="111" t="str">
        <f aca="false">IF($B34="","",الموظفون!$L34*$J34/cfg_DAYS_M)</f>
        <v/>
      </c>
      <c r="L34" s="111" t="str">
        <f aca="false">IF($B34="","",الموظفون!$M34*$J34/cfg_DAYS_M)</f>
        <v/>
      </c>
      <c r="M34" s="111" t="str">
        <f aca="false">IF($B34="","",الموظفون!$N34*$J34/cfg_DAYS_M)</f>
        <v/>
      </c>
      <c r="N34" s="111" t="str">
        <f aca="false">IF($B34="","",الموظفون!$O34*$J34/cfg_DAYS_M)</f>
        <v/>
      </c>
      <c r="O34" s="151" t="str">
        <f aca="false">IF($B34="","",SUMIFS('الحركات الشهرية'!$F$6:$F$1005,'الحركات الشهرية'!$B$6:$B$1005,$B34,'الحركات الشهرية'!$A$6:$A$1005,$C$3))</f>
        <v/>
      </c>
      <c r="P34" s="111" t="str">
        <f aca="false">IF($B34="","",O34*(الموظفون!$P34+الموظفون!$L34*cfg_OT_P)/cfg_DAYS_M/cfg_HRS)</f>
        <v/>
      </c>
      <c r="Q34" s="111" t="str">
        <f aca="false">IF($B34="","",SUMIFS('الحركات الشهرية'!$G$6:$G$1005,'الحركات الشهرية'!$B$6:$B$1005,$B34,'الحركات الشهرية'!$A$6:$A$1005,$C$3))</f>
        <v/>
      </c>
      <c r="R34" s="111" t="str">
        <f aca="false">IF($B34="","",SUMIFS('الحركات الشهرية'!$H$6:$H$1005,'الحركات الشهرية'!$B$6:$B$1005,$B34,'الحركات الشهرية'!$A$6:$A$1005,$C$3))</f>
        <v/>
      </c>
      <c r="S34" s="111" t="str">
        <f aca="false">IF($B34="","",SUMIFS('سجل الإجازات والحالات'!$N$6:$N$505,'سجل الإجازات والحالات'!$B$6:$B$505,$B34,'سجل الإجازات والحالات'!$O$6:$O$505,$C$3))</f>
        <v/>
      </c>
      <c r="T34" s="152" t="str">
        <f aca="false">IF($B34="","",SUM(K34:N34)+SUM(P34:S34))</f>
        <v/>
      </c>
      <c r="U34" s="111" t="str">
        <f aca="false">IF($B34="","",الموظفون!$S34*IF(E34="سعودي",cfg_G_SE,cfg_G_NE)*G34/cfg_DAYS_M)</f>
        <v/>
      </c>
      <c r="V34" s="111" t="str">
        <f aca="false">IF($B34="","",SUMIFS('الحركات الشهرية'!$I$6:$I$1005,'الحركات الشهرية'!$B$6:$B$1005,$B34,'الحركات الشهرية'!$A$6:$A$1005,$C$3))</f>
        <v/>
      </c>
      <c r="W34" s="111" t="str">
        <f aca="false">IF($B34="","",SUMIFS('الحركات الشهرية'!$J$6:$J$1005,'الحركات الشهرية'!$B$6:$B$1005,$B34,'الحركات الشهرية'!$A$6:$A$1005,$C$3))</f>
        <v/>
      </c>
      <c r="X34" s="111" t="str">
        <f aca="false">IF($B34="","",SUM(U34:W34))</f>
        <v/>
      </c>
      <c r="Y34" s="153" t="str">
        <f aca="false">IF($B34="","",T34-X34)</f>
        <v/>
      </c>
      <c r="Z34" s="111" t="str">
        <f aca="false">IF($B34="","",الموظفون!$S34*IF(E34="سعودي",cfg_G_SR,cfg_G_NR)*G34/cfg_DAYS_M)</f>
        <v/>
      </c>
      <c r="AA34" s="111" t="str">
        <f aca="false">IF($B34="","",الموظفون!$Q34*(cfg_EOS_R1*(MIN(AH34,cfg_EOS_TH)-MIN(AI34,cfg_EOS_TH))+cfg_EOS_R2*(MAX(AH34-cfg_EOS_TH,0)-MAX(AI34-cfg_EOS_TH,0))))</f>
        <v/>
      </c>
      <c r="AB34" s="111" t="str">
        <f aca="false">IF($B34="","",IF(الموظفون!$T34&lt;&gt;"",الموظفون!$T34,IF(AH34&gt;=cfg_LV_TH,cfg_LV_D2,cfg_LV_D1))/cfg_DAYS_Y*AJ34*الموظفون!$R34/cfg_DAYS_M)</f>
        <v/>
      </c>
      <c r="AC34" s="111" t="str">
        <f aca="false">IF($B34="","",IF(AND(الموظفون!$U34="نعم",N(الموظفون!$W34)&gt;0),الموظفون!$V34/الموظفون!$W34*12/cfg_DAYS_Y*AJ34,0))</f>
        <v/>
      </c>
      <c r="AD34" s="111" t="str">
        <f aca="false">IF($B34="","",(IF(الموظفون!$X34&lt;&gt;"",الموظفون!$X34,IF(الموظفون!$E34="غير سعودي",cfg_IQ,0))+IF(الموظفون!$Y34&lt;&gt;"",الموظفون!$Y34,IF(الموظفون!$E34="غير سعودي",cfg_WP,0)))/12*G34/cfg_DAYS_M)</f>
        <v/>
      </c>
      <c r="AE34" s="111" t="str">
        <f aca="false">IF($B34="","",IF(الموظفون!$Z34&lt;&gt;"",الموظفون!$Z34,cfg_MED)/12*G34/cfg_DAYS_M)</f>
        <v/>
      </c>
      <c r="AF34" s="111" t="str">
        <f aca="false">IF($B34="","",N(الموظفون!$AA34)/12*G34/cfg_DAYS_M)</f>
        <v/>
      </c>
      <c r="AG34" s="154" t="str">
        <f aca="false">IF($B34="","",T34+SUM(Z34:AF34))</f>
        <v/>
      </c>
      <c r="AH34" s="155" t="str">
        <f aca="false">IF($B34="","",MAX(0,IF(OR(الموظفون!$AE34="",الموظفون!$AE34&gt;$F$3),$F$3,الموظفون!$AE34)-الموظفون!$H34+1-SUMIFS('سجل الإجازات والحالات'!$AL$6:$AL$505,'سجل الإجازات والحالات'!$B$6:$B$505,$B34))/cfg_DAYS_Y)</f>
        <v/>
      </c>
      <c r="AI34" s="155" t="str">
        <f aca="false">IF($B34="","",MAX(0,IF(OR(الموظفون!$AE34="",الموظفون!$AE34&gt;($E$3-1)),($E$3-1),الموظفون!$AE34)-الموظفون!$H34+1-SUMIFS('سجل الإجازات والحالات'!$AK$6:$AK$505,'سجل الإجازات والحالات'!$B$6:$B$505,$B34))/cfg_DAYS_Y)</f>
        <v/>
      </c>
      <c r="AJ34" s="65" t="str">
        <f aca="false">IF($B34="","",MAX(0,AK34-(SUMIFS('سجل الإجازات والحالات'!$AL$6:$AL$505,'سجل الإجازات والحالات'!$B$6:$B$505,$B34)-SUMIFS('سجل الإجازات والحالات'!$AK$6:$AK$505,'سجل الإجازات والحالات'!$B$6:$B$505,$B34))))</f>
        <v/>
      </c>
      <c r="AK34" s="65" t="str">
        <f aca="false">IF($B34="","",MAX(0,IF(OR(الموظفون!$AE34="",الموظفون!$AE34&gt;$F$3),$F$3,الموظفون!$AE34)-MAX($E$3,الموظفون!$H34)+1))</f>
        <v/>
      </c>
      <c r="AL34" s="151" t="str">
        <f aca="false">IF($B34="","",SUMIFS('سجل الإجازات والحالات'!$AX$6:$AX$505,'سجل الإجازات والحالات'!$B$6:$B$505,$B34)+SUMIFS('الحركات الشهرية'!$K$6:$K$1005,'الحركات الشهرية'!$B$6:$B$1005,$B34,'الحركات الشهرية'!$A$6:$A$1005,$C$3))</f>
        <v/>
      </c>
      <c r="AM34" s="111" t="str">
        <f aca="false">IF($B34="","",AL34*الموظفون!$R34/cfg_DAYS_M+S34)</f>
        <v/>
      </c>
      <c r="AN34" s="151" t="str">
        <f aca="false">IF($B34="","",SUMIFS('سجل الإجازات والحالات'!$Z$6:$Z$505,'سجل الإجازات والحالات'!$B$6:$B$505,$B34))</f>
        <v/>
      </c>
    </row>
    <row r="35" customFormat="false" ht="15" hidden="false" customHeight="false" outlineLevel="0" collapsed="false">
      <c r="A35" s="115" t="str">
        <f aca="false">IF($B35="","",الموظفون!$A35)</f>
        <v/>
      </c>
      <c r="B35" s="117" t="str">
        <f aca="false">IF(الموظفون!$B35="","",الموظفون!$B35)</f>
        <v/>
      </c>
      <c r="C35" s="117" t="str">
        <f aca="false">IF($B35="","",الموظفون!$C35)</f>
        <v/>
      </c>
      <c r="D35" s="117" t="str">
        <f aca="false">IF($B35="","",الموظفون!$F35)</f>
        <v/>
      </c>
      <c r="E35" s="117" t="str">
        <f aca="false">IF($B35="","",الموظفون!$E35)</f>
        <v/>
      </c>
      <c r="F35" s="117" t="str">
        <f aca="false">IF($B35="","",IF(AK35=0,IF(AND(الموظفون!$AE35&lt;&gt;"",الموظفون!$AE35&lt;$E$3),"✖ منتهي الخدمة","⏳ لم يباشر"),IF(S35&gt;0,"✈ راتب إجازة مقدم",IF(J35=0,"⛔ بدون راتب هذا الشهر",IF(I35&gt;0,"✈ خصم "&amp;ROUND(I35,2)&amp;" يوم بدون أجر",IF(AL35&gt;0,"🌴 إجازة سنوية "&amp;ROUND(AL35,2)&amp;" يوم",IF(H35&gt;0,"⚠ غياب "&amp;ROUND(H35,2)&amp;" يوم","✔ على رأس العمل")))))))</f>
        <v/>
      </c>
      <c r="G35" s="156" t="str">
        <f aca="false">IF($B35="","",IF(AK35&gt;=DAY($F$3),cfg_DAYS_M,MIN(AK35,cfg_DAYS_M)))</f>
        <v/>
      </c>
      <c r="H35" s="156" t="str">
        <f aca="false">IF($B35="","",SUMIFS('الحركات الشهرية'!$D$6:$D$1005,'الحركات الشهرية'!$B$6:$B$1005,$B35,'الحركات الشهرية'!$A$6:$A$1005,$C$3))</f>
        <v/>
      </c>
      <c r="I35" s="156" t="str">
        <f aca="false">IF($B35="","",MIN(G35,IF(AND(AK35&gt;0,AN35&gt;=AK35),G35,AN35)+SUMIFS('الحركات الشهرية'!$E$6:$E$1005,'الحركات الشهرية'!$B$6:$B$1005,$B35,'الحركات الشهرية'!$A$6:$A$1005,$C$3)))</f>
        <v/>
      </c>
      <c r="J35" s="156" t="str">
        <f aca="false">IF($B35="","",MAX(0,G35-H35-I35))</f>
        <v/>
      </c>
      <c r="K35" s="116" t="str">
        <f aca="false">IF($B35="","",الموظفون!$L35*$J35/cfg_DAYS_M)</f>
        <v/>
      </c>
      <c r="L35" s="116" t="str">
        <f aca="false">IF($B35="","",الموظفون!$M35*$J35/cfg_DAYS_M)</f>
        <v/>
      </c>
      <c r="M35" s="116" t="str">
        <f aca="false">IF($B35="","",الموظفون!$N35*$J35/cfg_DAYS_M)</f>
        <v/>
      </c>
      <c r="N35" s="116" t="str">
        <f aca="false">IF($B35="","",الموظفون!$O35*$J35/cfg_DAYS_M)</f>
        <v/>
      </c>
      <c r="O35" s="156" t="str">
        <f aca="false">IF($B35="","",SUMIFS('الحركات الشهرية'!$F$6:$F$1005,'الحركات الشهرية'!$B$6:$B$1005,$B35,'الحركات الشهرية'!$A$6:$A$1005,$C$3))</f>
        <v/>
      </c>
      <c r="P35" s="116" t="str">
        <f aca="false">IF($B35="","",O35*(الموظفون!$P35+الموظفون!$L35*cfg_OT_P)/cfg_DAYS_M/cfg_HRS)</f>
        <v/>
      </c>
      <c r="Q35" s="116" t="str">
        <f aca="false">IF($B35="","",SUMIFS('الحركات الشهرية'!$G$6:$G$1005,'الحركات الشهرية'!$B$6:$B$1005,$B35,'الحركات الشهرية'!$A$6:$A$1005,$C$3))</f>
        <v/>
      </c>
      <c r="R35" s="116" t="str">
        <f aca="false">IF($B35="","",SUMIFS('الحركات الشهرية'!$H$6:$H$1005,'الحركات الشهرية'!$B$6:$B$1005,$B35,'الحركات الشهرية'!$A$6:$A$1005,$C$3))</f>
        <v/>
      </c>
      <c r="S35" s="116" t="str">
        <f aca="false">IF($B35="","",SUMIFS('سجل الإجازات والحالات'!$N$6:$N$505,'سجل الإجازات والحالات'!$B$6:$B$505,$B35,'سجل الإجازات والحالات'!$O$6:$O$505,$C$3))</f>
        <v/>
      </c>
      <c r="T35" s="157" t="str">
        <f aca="false">IF($B35="","",SUM(K35:N35)+SUM(P35:S35))</f>
        <v/>
      </c>
      <c r="U35" s="116" t="str">
        <f aca="false">IF($B35="","",الموظفون!$S35*IF(E35="سعودي",cfg_G_SE,cfg_G_NE)*G35/cfg_DAYS_M)</f>
        <v/>
      </c>
      <c r="V35" s="116" t="str">
        <f aca="false">IF($B35="","",SUMIFS('الحركات الشهرية'!$I$6:$I$1005,'الحركات الشهرية'!$B$6:$B$1005,$B35,'الحركات الشهرية'!$A$6:$A$1005,$C$3))</f>
        <v/>
      </c>
      <c r="W35" s="116" t="str">
        <f aca="false">IF($B35="","",SUMIFS('الحركات الشهرية'!$J$6:$J$1005,'الحركات الشهرية'!$B$6:$B$1005,$B35,'الحركات الشهرية'!$A$6:$A$1005,$C$3))</f>
        <v/>
      </c>
      <c r="X35" s="116" t="str">
        <f aca="false">IF($B35="","",SUM(U35:W35))</f>
        <v/>
      </c>
      <c r="Y35" s="158" t="str">
        <f aca="false">IF($B35="","",T35-X35)</f>
        <v/>
      </c>
      <c r="Z35" s="116" t="str">
        <f aca="false">IF($B35="","",الموظفون!$S35*IF(E35="سعودي",cfg_G_SR,cfg_G_NR)*G35/cfg_DAYS_M)</f>
        <v/>
      </c>
      <c r="AA35" s="116" t="str">
        <f aca="false">IF($B35="","",الموظفون!$Q35*(cfg_EOS_R1*(MIN(AH35,cfg_EOS_TH)-MIN(AI35,cfg_EOS_TH))+cfg_EOS_R2*(MAX(AH35-cfg_EOS_TH,0)-MAX(AI35-cfg_EOS_TH,0))))</f>
        <v/>
      </c>
      <c r="AB35" s="116" t="str">
        <f aca="false">IF($B35="","",IF(الموظفون!$T35&lt;&gt;"",الموظفون!$T35,IF(AH35&gt;=cfg_LV_TH,cfg_LV_D2,cfg_LV_D1))/cfg_DAYS_Y*AJ35*الموظفون!$R35/cfg_DAYS_M)</f>
        <v/>
      </c>
      <c r="AC35" s="116" t="str">
        <f aca="false">IF($B35="","",IF(AND(الموظفون!$U35="نعم",N(الموظفون!$W35)&gt;0),الموظفون!$V35/الموظفون!$W35*12/cfg_DAYS_Y*AJ35,0))</f>
        <v/>
      </c>
      <c r="AD35" s="116" t="str">
        <f aca="false">IF($B35="","",(IF(الموظفون!$X35&lt;&gt;"",الموظفون!$X35,IF(الموظفون!$E35="غير سعودي",cfg_IQ,0))+IF(الموظفون!$Y35&lt;&gt;"",الموظفون!$Y35,IF(الموظفون!$E35="غير سعودي",cfg_WP,0)))/12*G35/cfg_DAYS_M)</f>
        <v/>
      </c>
      <c r="AE35" s="116" t="str">
        <f aca="false">IF($B35="","",IF(الموظفون!$Z35&lt;&gt;"",الموظفون!$Z35,cfg_MED)/12*G35/cfg_DAYS_M)</f>
        <v/>
      </c>
      <c r="AF35" s="116" t="str">
        <f aca="false">IF($B35="","",N(الموظفون!$AA35)/12*G35/cfg_DAYS_M)</f>
        <v/>
      </c>
      <c r="AG35" s="159" t="str">
        <f aca="false">IF($B35="","",T35+SUM(Z35:AF35))</f>
        <v/>
      </c>
      <c r="AH35" s="160" t="str">
        <f aca="false">IF($B35="","",MAX(0,IF(OR(الموظفون!$AE35="",الموظفون!$AE35&gt;$F$3),$F$3,الموظفون!$AE35)-الموظفون!$H35+1-SUMIFS('سجل الإجازات والحالات'!$AL$6:$AL$505,'سجل الإجازات والحالات'!$B$6:$B$505,$B35))/cfg_DAYS_Y)</f>
        <v/>
      </c>
      <c r="AI35" s="160" t="str">
        <f aca="false">IF($B35="","",MAX(0,IF(OR(الموظفون!$AE35="",الموظفون!$AE35&gt;($E$3-1)),($E$3-1),الموظفون!$AE35)-الموظفون!$H35+1-SUMIFS('سجل الإجازات والحالات'!$AK$6:$AK$505,'سجل الإجازات والحالات'!$B$6:$B$505,$B35))/cfg_DAYS_Y)</f>
        <v/>
      </c>
      <c r="AJ35" s="133" t="str">
        <f aca="false">IF($B35="","",MAX(0,AK35-(SUMIFS('سجل الإجازات والحالات'!$AL$6:$AL$505,'سجل الإجازات والحالات'!$B$6:$B$505,$B35)-SUMIFS('سجل الإجازات والحالات'!$AK$6:$AK$505,'سجل الإجازات والحالات'!$B$6:$B$505,$B35))))</f>
        <v/>
      </c>
      <c r="AK35" s="133" t="str">
        <f aca="false">IF($B35="","",MAX(0,IF(OR(الموظفون!$AE35="",الموظفون!$AE35&gt;$F$3),$F$3,الموظفون!$AE35)-MAX($E$3,الموظفون!$H35)+1))</f>
        <v/>
      </c>
      <c r="AL35" s="156" t="str">
        <f aca="false">IF($B35="","",SUMIFS('سجل الإجازات والحالات'!$AX$6:$AX$505,'سجل الإجازات والحالات'!$B$6:$B$505,$B35)+SUMIFS('الحركات الشهرية'!$K$6:$K$1005,'الحركات الشهرية'!$B$6:$B$1005,$B35,'الحركات الشهرية'!$A$6:$A$1005,$C$3))</f>
        <v/>
      </c>
      <c r="AM35" s="116" t="str">
        <f aca="false">IF($B35="","",AL35*الموظفون!$R35/cfg_DAYS_M+S35)</f>
        <v/>
      </c>
      <c r="AN35" s="156" t="str">
        <f aca="false">IF($B35="","",SUMIFS('سجل الإجازات والحالات'!$Z$6:$Z$505,'سجل الإجازات والحالات'!$B$6:$B$505,$B35))</f>
        <v/>
      </c>
    </row>
    <row r="36" customFormat="false" ht="15" hidden="false" customHeight="false" outlineLevel="0" collapsed="false">
      <c r="A36" s="106" t="str">
        <f aca="false">IF($B36="","",الموظفون!$A36)</f>
        <v/>
      </c>
      <c r="B36" s="114" t="str">
        <f aca="false">IF(الموظفون!$B36="","",الموظفون!$B36)</f>
        <v/>
      </c>
      <c r="C36" s="114" t="str">
        <f aca="false">IF($B36="","",الموظفون!$C36)</f>
        <v/>
      </c>
      <c r="D36" s="114" t="str">
        <f aca="false">IF($B36="","",الموظفون!$F36)</f>
        <v/>
      </c>
      <c r="E36" s="114" t="str">
        <f aca="false">IF($B36="","",الموظفون!$E36)</f>
        <v/>
      </c>
      <c r="F36" s="114" t="str">
        <f aca="false">IF($B36="","",IF(AK36=0,IF(AND(الموظفون!$AE36&lt;&gt;"",الموظفون!$AE36&lt;$E$3),"✖ منتهي الخدمة","⏳ لم يباشر"),IF(S36&gt;0,"✈ راتب إجازة مقدم",IF(J36=0,"⛔ بدون راتب هذا الشهر",IF(I36&gt;0,"✈ خصم "&amp;ROUND(I36,2)&amp;" يوم بدون أجر",IF(AL36&gt;0,"🌴 إجازة سنوية "&amp;ROUND(AL36,2)&amp;" يوم",IF(H36&gt;0,"⚠ غياب "&amp;ROUND(H36,2)&amp;" يوم","✔ على رأس العمل")))))))</f>
        <v/>
      </c>
      <c r="G36" s="151" t="str">
        <f aca="false">IF($B36="","",IF(AK36&gt;=DAY($F$3),cfg_DAYS_M,MIN(AK36,cfg_DAYS_M)))</f>
        <v/>
      </c>
      <c r="H36" s="151" t="str">
        <f aca="false">IF($B36="","",SUMIFS('الحركات الشهرية'!$D$6:$D$1005,'الحركات الشهرية'!$B$6:$B$1005,$B36,'الحركات الشهرية'!$A$6:$A$1005,$C$3))</f>
        <v/>
      </c>
      <c r="I36" s="151" t="str">
        <f aca="false">IF($B36="","",MIN(G36,IF(AND(AK36&gt;0,AN36&gt;=AK36),G36,AN36)+SUMIFS('الحركات الشهرية'!$E$6:$E$1005,'الحركات الشهرية'!$B$6:$B$1005,$B36,'الحركات الشهرية'!$A$6:$A$1005,$C$3)))</f>
        <v/>
      </c>
      <c r="J36" s="151" t="str">
        <f aca="false">IF($B36="","",MAX(0,G36-H36-I36))</f>
        <v/>
      </c>
      <c r="K36" s="111" t="str">
        <f aca="false">IF($B36="","",الموظفون!$L36*$J36/cfg_DAYS_M)</f>
        <v/>
      </c>
      <c r="L36" s="111" t="str">
        <f aca="false">IF($B36="","",الموظفون!$M36*$J36/cfg_DAYS_M)</f>
        <v/>
      </c>
      <c r="M36" s="111" t="str">
        <f aca="false">IF($B36="","",الموظفون!$N36*$J36/cfg_DAYS_M)</f>
        <v/>
      </c>
      <c r="N36" s="111" t="str">
        <f aca="false">IF($B36="","",الموظفون!$O36*$J36/cfg_DAYS_M)</f>
        <v/>
      </c>
      <c r="O36" s="151" t="str">
        <f aca="false">IF($B36="","",SUMIFS('الحركات الشهرية'!$F$6:$F$1005,'الحركات الشهرية'!$B$6:$B$1005,$B36,'الحركات الشهرية'!$A$6:$A$1005,$C$3))</f>
        <v/>
      </c>
      <c r="P36" s="111" t="str">
        <f aca="false">IF($B36="","",O36*(الموظفون!$P36+الموظفون!$L36*cfg_OT_P)/cfg_DAYS_M/cfg_HRS)</f>
        <v/>
      </c>
      <c r="Q36" s="111" t="str">
        <f aca="false">IF($B36="","",SUMIFS('الحركات الشهرية'!$G$6:$G$1005,'الحركات الشهرية'!$B$6:$B$1005,$B36,'الحركات الشهرية'!$A$6:$A$1005,$C$3))</f>
        <v/>
      </c>
      <c r="R36" s="111" t="str">
        <f aca="false">IF($B36="","",SUMIFS('الحركات الشهرية'!$H$6:$H$1005,'الحركات الشهرية'!$B$6:$B$1005,$B36,'الحركات الشهرية'!$A$6:$A$1005,$C$3))</f>
        <v/>
      </c>
      <c r="S36" s="111" t="str">
        <f aca="false">IF($B36="","",SUMIFS('سجل الإجازات والحالات'!$N$6:$N$505,'سجل الإجازات والحالات'!$B$6:$B$505,$B36,'سجل الإجازات والحالات'!$O$6:$O$505,$C$3))</f>
        <v/>
      </c>
      <c r="T36" s="152" t="str">
        <f aca="false">IF($B36="","",SUM(K36:N36)+SUM(P36:S36))</f>
        <v/>
      </c>
      <c r="U36" s="111" t="str">
        <f aca="false">IF($B36="","",الموظفون!$S36*IF(E36="سعودي",cfg_G_SE,cfg_G_NE)*G36/cfg_DAYS_M)</f>
        <v/>
      </c>
      <c r="V36" s="111" t="str">
        <f aca="false">IF($B36="","",SUMIFS('الحركات الشهرية'!$I$6:$I$1005,'الحركات الشهرية'!$B$6:$B$1005,$B36,'الحركات الشهرية'!$A$6:$A$1005,$C$3))</f>
        <v/>
      </c>
      <c r="W36" s="111" t="str">
        <f aca="false">IF($B36="","",SUMIFS('الحركات الشهرية'!$J$6:$J$1005,'الحركات الشهرية'!$B$6:$B$1005,$B36,'الحركات الشهرية'!$A$6:$A$1005,$C$3))</f>
        <v/>
      </c>
      <c r="X36" s="111" t="str">
        <f aca="false">IF($B36="","",SUM(U36:W36))</f>
        <v/>
      </c>
      <c r="Y36" s="153" t="str">
        <f aca="false">IF($B36="","",T36-X36)</f>
        <v/>
      </c>
      <c r="Z36" s="111" t="str">
        <f aca="false">IF($B36="","",الموظفون!$S36*IF(E36="سعودي",cfg_G_SR,cfg_G_NR)*G36/cfg_DAYS_M)</f>
        <v/>
      </c>
      <c r="AA36" s="111" t="str">
        <f aca="false">IF($B36="","",الموظفون!$Q36*(cfg_EOS_R1*(MIN(AH36,cfg_EOS_TH)-MIN(AI36,cfg_EOS_TH))+cfg_EOS_R2*(MAX(AH36-cfg_EOS_TH,0)-MAX(AI36-cfg_EOS_TH,0))))</f>
        <v/>
      </c>
      <c r="AB36" s="111" t="str">
        <f aca="false">IF($B36="","",IF(الموظفون!$T36&lt;&gt;"",الموظفون!$T36,IF(AH36&gt;=cfg_LV_TH,cfg_LV_D2,cfg_LV_D1))/cfg_DAYS_Y*AJ36*الموظفون!$R36/cfg_DAYS_M)</f>
        <v/>
      </c>
      <c r="AC36" s="111" t="str">
        <f aca="false">IF($B36="","",IF(AND(الموظفون!$U36="نعم",N(الموظفون!$W36)&gt;0),الموظفون!$V36/الموظفون!$W36*12/cfg_DAYS_Y*AJ36,0))</f>
        <v/>
      </c>
      <c r="AD36" s="111" t="str">
        <f aca="false">IF($B36="","",(IF(الموظفون!$X36&lt;&gt;"",الموظفون!$X36,IF(الموظفون!$E36="غير سعودي",cfg_IQ,0))+IF(الموظفون!$Y36&lt;&gt;"",الموظفون!$Y36,IF(الموظفون!$E36="غير سعودي",cfg_WP,0)))/12*G36/cfg_DAYS_M)</f>
        <v/>
      </c>
      <c r="AE36" s="111" t="str">
        <f aca="false">IF($B36="","",IF(الموظفون!$Z36&lt;&gt;"",الموظفون!$Z36,cfg_MED)/12*G36/cfg_DAYS_M)</f>
        <v/>
      </c>
      <c r="AF36" s="111" t="str">
        <f aca="false">IF($B36="","",N(الموظفون!$AA36)/12*G36/cfg_DAYS_M)</f>
        <v/>
      </c>
      <c r="AG36" s="154" t="str">
        <f aca="false">IF($B36="","",T36+SUM(Z36:AF36))</f>
        <v/>
      </c>
      <c r="AH36" s="155" t="str">
        <f aca="false">IF($B36="","",MAX(0,IF(OR(الموظفون!$AE36="",الموظفون!$AE36&gt;$F$3),$F$3,الموظفون!$AE36)-الموظفون!$H36+1-SUMIFS('سجل الإجازات والحالات'!$AL$6:$AL$505,'سجل الإجازات والحالات'!$B$6:$B$505,$B36))/cfg_DAYS_Y)</f>
        <v/>
      </c>
      <c r="AI36" s="155" t="str">
        <f aca="false">IF($B36="","",MAX(0,IF(OR(الموظفون!$AE36="",الموظفون!$AE36&gt;($E$3-1)),($E$3-1),الموظفون!$AE36)-الموظفون!$H36+1-SUMIFS('سجل الإجازات والحالات'!$AK$6:$AK$505,'سجل الإجازات والحالات'!$B$6:$B$505,$B36))/cfg_DAYS_Y)</f>
        <v/>
      </c>
      <c r="AJ36" s="65" t="str">
        <f aca="false">IF($B36="","",MAX(0,AK36-(SUMIFS('سجل الإجازات والحالات'!$AL$6:$AL$505,'سجل الإجازات والحالات'!$B$6:$B$505,$B36)-SUMIFS('سجل الإجازات والحالات'!$AK$6:$AK$505,'سجل الإجازات والحالات'!$B$6:$B$505,$B36))))</f>
        <v/>
      </c>
      <c r="AK36" s="65" t="str">
        <f aca="false">IF($B36="","",MAX(0,IF(OR(الموظفون!$AE36="",الموظفون!$AE36&gt;$F$3),$F$3,الموظفون!$AE36)-MAX($E$3,الموظفون!$H36)+1))</f>
        <v/>
      </c>
      <c r="AL36" s="151" t="str">
        <f aca="false">IF($B36="","",SUMIFS('سجل الإجازات والحالات'!$AX$6:$AX$505,'سجل الإجازات والحالات'!$B$6:$B$505,$B36)+SUMIFS('الحركات الشهرية'!$K$6:$K$1005,'الحركات الشهرية'!$B$6:$B$1005,$B36,'الحركات الشهرية'!$A$6:$A$1005,$C$3))</f>
        <v/>
      </c>
      <c r="AM36" s="111" t="str">
        <f aca="false">IF($B36="","",AL36*الموظفون!$R36/cfg_DAYS_M+S36)</f>
        <v/>
      </c>
      <c r="AN36" s="151" t="str">
        <f aca="false">IF($B36="","",SUMIFS('سجل الإجازات والحالات'!$Z$6:$Z$505,'سجل الإجازات والحالات'!$B$6:$B$505,$B36))</f>
        <v/>
      </c>
    </row>
    <row r="37" customFormat="false" ht="15" hidden="false" customHeight="false" outlineLevel="0" collapsed="false">
      <c r="A37" s="115" t="str">
        <f aca="false">IF($B37="","",الموظفون!$A37)</f>
        <v/>
      </c>
      <c r="B37" s="117" t="str">
        <f aca="false">IF(الموظفون!$B37="","",الموظفون!$B37)</f>
        <v/>
      </c>
      <c r="C37" s="117" t="str">
        <f aca="false">IF($B37="","",الموظفون!$C37)</f>
        <v/>
      </c>
      <c r="D37" s="117" t="str">
        <f aca="false">IF($B37="","",الموظفون!$F37)</f>
        <v/>
      </c>
      <c r="E37" s="117" t="str">
        <f aca="false">IF($B37="","",الموظفون!$E37)</f>
        <v/>
      </c>
      <c r="F37" s="117" t="str">
        <f aca="false">IF($B37="","",IF(AK37=0,IF(AND(الموظفون!$AE37&lt;&gt;"",الموظفون!$AE37&lt;$E$3),"✖ منتهي الخدمة","⏳ لم يباشر"),IF(S37&gt;0,"✈ راتب إجازة مقدم",IF(J37=0,"⛔ بدون راتب هذا الشهر",IF(I37&gt;0,"✈ خصم "&amp;ROUND(I37,2)&amp;" يوم بدون أجر",IF(AL37&gt;0,"🌴 إجازة سنوية "&amp;ROUND(AL37,2)&amp;" يوم",IF(H37&gt;0,"⚠ غياب "&amp;ROUND(H37,2)&amp;" يوم","✔ على رأس العمل")))))))</f>
        <v/>
      </c>
      <c r="G37" s="156" t="str">
        <f aca="false">IF($B37="","",IF(AK37&gt;=DAY($F$3),cfg_DAYS_M,MIN(AK37,cfg_DAYS_M)))</f>
        <v/>
      </c>
      <c r="H37" s="156" t="str">
        <f aca="false">IF($B37="","",SUMIFS('الحركات الشهرية'!$D$6:$D$1005,'الحركات الشهرية'!$B$6:$B$1005,$B37,'الحركات الشهرية'!$A$6:$A$1005,$C$3))</f>
        <v/>
      </c>
      <c r="I37" s="156" t="str">
        <f aca="false">IF($B37="","",MIN(G37,IF(AND(AK37&gt;0,AN37&gt;=AK37),G37,AN37)+SUMIFS('الحركات الشهرية'!$E$6:$E$1005,'الحركات الشهرية'!$B$6:$B$1005,$B37,'الحركات الشهرية'!$A$6:$A$1005,$C$3)))</f>
        <v/>
      </c>
      <c r="J37" s="156" t="str">
        <f aca="false">IF($B37="","",MAX(0,G37-H37-I37))</f>
        <v/>
      </c>
      <c r="K37" s="116" t="str">
        <f aca="false">IF($B37="","",الموظفون!$L37*$J37/cfg_DAYS_M)</f>
        <v/>
      </c>
      <c r="L37" s="116" t="str">
        <f aca="false">IF($B37="","",الموظفون!$M37*$J37/cfg_DAYS_M)</f>
        <v/>
      </c>
      <c r="M37" s="116" t="str">
        <f aca="false">IF($B37="","",الموظفون!$N37*$J37/cfg_DAYS_M)</f>
        <v/>
      </c>
      <c r="N37" s="116" t="str">
        <f aca="false">IF($B37="","",الموظفون!$O37*$J37/cfg_DAYS_M)</f>
        <v/>
      </c>
      <c r="O37" s="156" t="str">
        <f aca="false">IF($B37="","",SUMIFS('الحركات الشهرية'!$F$6:$F$1005,'الحركات الشهرية'!$B$6:$B$1005,$B37,'الحركات الشهرية'!$A$6:$A$1005,$C$3))</f>
        <v/>
      </c>
      <c r="P37" s="116" t="str">
        <f aca="false">IF($B37="","",O37*(الموظفون!$P37+الموظفون!$L37*cfg_OT_P)/cfg_DAYS_M/cfg_HRS)</f>
        <v/>
      </c>
      <c r="Q37" s="116" t="str">
        <f aca="false">IF($B37="","",SUMIFS('الحركات الشهرية'!$G$6:$G$1005,'الحركات الشهرية'!$B$6:$B$1005,$B37,'الحركات الشهرية'!$A$6:$A$1005,$C$3))</f>
        <v/>
      </c>
      <c r="R37" s="116" t="str">
        <f aca="false">IF($B37="","",SUMIFS('الحركات الشهرية'!$H$6:$H$1005,'الحركات الشهرية'!$B$6:$B$1005,$B37,'الحركات الشهرية'!$A$6:$A$1005,$C$3))</f>
        <v/>
      </c>
      <c r="S37" s="116" t="str">
        <f aca="false">IF($B37="","",SUMIFS('سجل الإجازات والحالات'!$N$6:$N$505,'سجل الإجازات والحالات'!$B$6:$B$505,$B37,'سجل الإجازات والحالات'!$O$6:$O$505,$C$3))</f>
        <v/>
      </c>
      <c r="T37" s="157" t="str">
        <f aca="false">IF($B37="","",SUM(K37:N37)+SUM(P37:S37))</f>
        <v/>
      </c>
      <c r="U37" s="116" t="str">
        <f aca="false">IF($B37="","",الموظفون!$S37*IF(E37="سعودي",cfg_G_SE,cfg_G_NE)*G37/cfg_DAYS_M)</f>
        <v/>
      </c>
      <c r="V37" s="116" t="str">
        <f aca="false">IF($B37="","",SUMIFS('الحركات الشهرية'!$I$6:$I$1005,'الحركات الشهرية'!$B$6:$B$1005,$B37,'الحركات الشهرية'!$A$6:$A$1005,$C$3))</f>
        <v/>
      </c>
      <c r="W37" s="116" t="str">
        <f aca="false">IF($B37="","",SUMIFS('الحركات الشهرية'!$J$6:$J$1005,'الحركات الشهرية'!$B$6:$B$1005,$B37,'الحركات الشهرية'!$A$6:$A$1005,$C$3))</f>
        <v/>
      </c>
      <c r="X37" s="116" t="str">
        <f aca="false">IF($B37="","",SUM(U37:W37))</f>
        <v/>
      </c>
      <c r="Y37" s="158" t="str">
        <f aca="false">IF($B37="","",T37-X37)</f>
        <v/>
      </c>
      <c r="Z37" s="116" t="str">
        <f aca="false">IF($B37="","",الموظفون!$S37*IF(E37="سعودي",cfg_G_SR,cfg_G_NR)*G37/cfg_DAYS_M)</f>
        <v/>
      </c>
      <c r="AA37" s="116" t="str">
        <f aca="false">IF($B37="","",الموظفون!$Q37*(cfg_EOS_R1*(MIN(AH37,cfg_EOS_TH)-MIN(AI37,cfg_EOS_TH))+cfg_EOS_R2*(MAX(AH37-cfg_EOS_TH,0)-MAX(AI37-cfg_EOS_TH,0))))</f>
        <v/>
      </c>
      <c r="AB37" s="116" t="str">
        <f aca="false">IF($B37="","",IF(الموظفون!$T37&lt;&gt;"",الموظفون!$T37,IF(AH37&gt;=cfg_LV_TH,cfg_LV_D2,cfg_LV_D1))/cfg_DAYS_Y*AJ37*الموظفون!$R37/cfg_DAYS_M)</f>
        <v/>
      </c>
      <c r="AC37" s="116" t="str">
        <f aca="false">IF($B37="","",IF(AND(الموظفون!$U37="نعم",N(الموظفون!$W37)&gt;0),الموظفون!$V37/الموظفون!$W37*12/cfg_DAYS_Y*AJ37,0))</f>
        <v/>
      </c>
      <c r="AD37" s="116" t="str">
        <f aca="false">IF($B37="","",(IF(الموظفون!$X37&lt;&gt;"",الموظفون!$X37,IF(الموظفون!$E37="غير سعودي",cfg_IQ,0))+IF(الموظفون!$Y37&lt;&gt;"",الموظفون!$Y37,IF(الموظفون!$E37="غير سعودي",cfg_WP,0)))/12*G37/cfg_DAYS_M)</f>
        <v/>
      </c>
      <c r="AE37" s="116" t="str">
        <f aca="false">IF($B37="","",IF(الموظفون!$Z37&lt;&gt;"",الموظفون!$Z37,cfg_MED)/12*G37/cfg_DAYS_M)</f>
        <v/>
      </c>
      <c r="AF37" s="116" t="str">
        <f aca="false">IF($B37="","",N(الموظفون!$AA37)/12*G37/cfg_DAYS_M)</f>
        <v/>
      </c>
      <c r="AG37" s="159" t="str">
        <f aca="false">IF($B37="","",T37+SUM(Z37:AF37))</f>
        <v/>
      </c>
      <c r="AH37" s="160" t="str">
        <f aca="false">IF($B37="","",MAX(0,IF(OR(الموظفون!$AE37="",الموظفون!$AE37&gt;$F$3),$F$3,الموظفون!$AE37)-الموظفون!$H37+1-SUMIFS('سجل الإجازات والحالات'!$AL$6:$AL$505,'سجل الإجازات والحالات'!$B$6:$B$505,$B37))/cfg_DAYS_Y)</f>
        <v/>
      </c>
      <c r="AI37" s="160" t="str">
        <f aca="false">IF($B37="","",MAX(0,IF(OR(الموظفون!$AE37="",الموظفون!$AE37&gt;($E$3-1)),($E$3-1),الموظفون!$AE37)-الموظفون!$H37+1-SUMIFS('سجل الإجازات والحالات'!$AK$6:$AK$505,'سجل الإجازات والحالات'!$B$6:$B$505,$B37))/cfg_DAYS_Y)</f>
        <v/>
      </c>
      <c r="AJ37" s="133" t="str">
        <f aca="false">IF($B37="","",MAX(0,AK37-(SUMIFS('سجل الإجازات والحالات'!$AL$6:$AL$505,'سجل الإجازات والحالات'!$B$6:$B$505,$B37)-SUMIFS('سجل الإجازات والحالات'!$AK$6:$AK$505,'سجل الإجازات والحالات'!$B$6:$B$505,$B37))))</f>
        <v/>
      </c>
      <c r="AK37" s="133" t="str">
        <f aca="false">IF($B37="","",MAX(0,IF(OR(الموظفون!$AE37="",الموظفون!$AE37&gt;$F$3),$F$3,الموظفون!$AE37)-MAX($E$3,الموظفون!$H37)+1))</f>
        <v/>
      </c>
      <c r="AL37" s="156" t="str">
        <f aca="false">IF($B37="","",SUMIFS('سجل الإجازات والحالات'!$AX$6:$AX$505,'سجل الإجازات والحالات'!$B$6:$B$505,$B37)+SUMIFS('الحركات الشهرية'!$K$6:$K$1005,'الحركات الشهرية'!$B$6:$B$1005,$B37,'الحركات الشهرية'!$A$6:$A$1005,$C$3))</f>
        <v/>
      </c>
      <c r="AM37" s="116" t="str">
        <f aca="false">IF($B37="","",AL37*الموظفون!$R37/cfg_DAYS_M+S37)</f>
        <v/>
      </c>
      <c r="AN37" s="156" t="str">
        <f aca="false">IF($B37="","",SUMIFS('سجل الإجازات والحالات'!$Z$6:$Z$505,'سجل الإجازات والحالات'!$B$6:$B$505,$B37))</f>
        <v/>
      </c>
    </row>
    <row r="38" customFormat="false" ht="15" hidden="false" customHeight="false" outlineLevel="0" collapsed="false">
      <c r="A38" s="106" t="str">
        <f aca="false">IF($B38="","",الموظفون!$A38)</f>
        <v/>
      </c>
      <c r="B38" s="114" t="str">
        <f aca="false">IF(الموظفون!$B38="","",الموظفون!$B38)</f>
        <v/>
      </c>
      <c r="C38" s="114" t="str">
        <f aca="false">IF($B38="","",الموظفون!$C38)</f>
        <v/>
      </c>
      <c r="D38" s="114" t="str">
        <f aca="false">IF($B38="","",الموظفون!$F38)</f>
        <v/>
      </c>
      <c r="E38" s="114" t="str">
        <f aca="false">IF($B38="","",الموظفون!$E38)</f>
        <v/>
      </c>
      <c r="F38" s="114" t="str">
        <f aca="false">IF($B38="","",IF(AK38=0,IF(AND(الموظفون!$AE38&lt;&gt;"",الموظفون!$AE38&lt;$E$3),"✖ منتهي الخدمة","⏳ لم يباشر"),IF(S38&gt;0,"✈ راتب إجازة مقدم",IF(J38=0,"⛔ بدون راتب هذا الشهر",IF(I38&gt;0,"✈ خصم "&amp;ROUND(I38,2)&amp;" يوم بدون أجر",IF(AL38&gt;0,"🌴 إجازة سنوية "&amp;ROUND(AL38,2)&amp;" يوم",IF(H38&gt;0,"⚠ غياب "&amp;ROUND(H38,2)&amp;" يوم","✔ على رأس العمل")))))))</f>
        <v/>
      </c>
      <c r="G38" s="151" t="str">
        <f aca="false">IF($B38="","",IF(AK38&gt;=DAY($F$3),cfg_DAYS_M,MIN(AK38,cfg_DAYS_M)))</f>
        <v/>
      </c>
      <c r="H38" s="151" t="str">
        <f aca="false">IF($B38="","",SUMIFS('الحركات الشهرية'!$D$6:$D$1005,'الحركات الشهرية'!$B$6:$B$1005,$B38,'الحركات الشهرية'!$A$6:$A$1005,$C$3))</f>
        <v/>
      </c>
      <c r="I38" s="151" t="str">
        <f aca="false">IF($B38="","",MIN(G38,IF(AND(AK38&gt;0,AN38&gt;=AK38),G38,AN38)+SUMIFS('الحركات الشهرية'!$E$6:$E$1005,'الحركات الشهرية'!$B$6:$B$1005,$B38,'الحركات الشهرية'!$A$6:$A$1005,$C$3)))</f>
        <v/>
      </c>
      <c r="J38" s="151" t="str">
        <f aca="false">IF($B38="","",MAX(0,G38-H38-I38))</f>
        <v/>
      </c>
      <c r="K38" s="111" t="str">
        <f aca="false">IF($B38="","",الموظفون!$L38*$J38/cfg_DAYS_M)</f>
        <v/>
      </c>
      <c r="L38" s="111" t="str">
        <f aca="false">IF($B38="","",الموظفون!$M38*$J38/cfg_DAYS_M)</f>
        <v/>
      </c>
      <c r="M38" s="111" t="str">
        <f aca="false">IF($B38="","",الموظفون!$N38*$J38/cfg_DAYS_M)</f>
        <v/>
      </c>
      <c r="N38" s="111" t="str">
        <f aca="false">IF($B38="","",الموظفون!$O38*$J38/cfg_DAYS_M)</f>
        <v/>
      </c>
      <c r="O38" s="151" t="str">
        <f aca="false">IF($B38="","",SUMIFS('الحركات الشهرية'!$F$6:$F$1005,'الحركات الشهرية'!$B$6:$B$1005,$B38,'الحركات الشهرية'!$A$6:$A$1005,$C$3))</f>
        <v/>
      </c>
      <c r="P38" s="111" t="str">
        <f aca="false">IF($B38="","",O38*(الموظفون!$P38+الموظفون!$L38*cfg_OT_P)/cfg_DAYS_M/cfg_HRS)</f>
        <v/>
      </c>
      <c r="Q38" s="111" t="str">
        <f aca="false">IF($B38="","",SUMIFS('الحركات الشهرية'!$G$6:$G$1005,'الحركات الشهرية'!$B$6:$B$1005,$B38,'الحركات الشهرية'!$A$6:$A$1005,$C$3))</f>
        <v/>
      </c>
      <c r="R38" s="111" t="str">
        <f aca="false">IF($B38="","",SUMIFS('الحركات الشهرية'!$H$6:$H$1005,'الحركات الشهرية'!$B$6:$B$1005,$B38,'الحركات الشهرية'!$A$6:$A$1005,$C$3))</f>
        <v/>
      </c>
      <c r="S38" s="111" t="str">
        <f aca="false">IF($B38="","",SUMIFS('سجل الإجازات والحالات'!$N$6:$N$505,'سجل الإجازات والحالات'!$B$6:$B$505,$B38,'سجل الإجازات والحالات'!$O$6:$O$505,$C$3))</f>
        <v/>
      </c>
      <c r="T38" s="152" t="str">
        <f aca="false">IF($B38="","",SUM(K38:N38)+SUM(P38:S38))</f>
        <v/>
      </c>
      <c r="U38" s="111" t="str">
        <f aca="false">IF($B38="","",الموظفون!$S38*IF(E38="سعودي",cfg_G_SE,cfg_G_NE)*G38/cfg_DAYS_M)</f>
        <v/>
      </c>
      <c r="V38" s="111" t="str">
        <f aca="false">IF($B38="","",SUMIFS('الحركات الشهرية'!$I$6:$I$1005,'الحركات الشهرية'!$B$6:$B$1005,$B38,'الحركات الشهرية'!$A$6:$A$1005,$C$3))</f>
        <v/>
      </c>
      <c r="W38" s="111" t="str">
        <f aca="false">IF($B38="","",SUMIFS('الحركات الشهرية'!$J$6:$J$1005,'الحركات الشهرية'!$B$6:$B$1005,$B38,'الحركات الشهرية'!$A$6:$A$1005,$C$3))</f>
        <v/>
      </c>
      <c r="X38" s="111" t="str">
        <f aca="false">IF($B38="","",SUM(U38:W38))</f>
        <v/>
      </c>
      <c r="Y38" s="153" t="str">
        <f aca="false">IF($B38="","",T38-X38)</f>
        <v/>
      </c>
      <c r="Z38" s="111" t="str">
        <f aca="false">IF($B38="","",الموظفون!$S38*IF(E38="سعودي",cfg_G_SR,cfg_G_NR)*G38/cfg_DAYS_M)</f>
        <v/>
      </c>
      <c r="AA38" s="111" t="str">
        <f aca="false">IF($B38="","",الموظفون!$Q38*(cfg_EOS_R1*(MIN(AH38,cfg_EOS_TH)-MIN(AI38,cfg_EOS_TH))+cfg_EOS_R2*(MAX(AH38-cfg_EOS_TH,0)-MAX(AI38-cfg_EOS_TH,0))))</f>
        <v/>
      </c>
      <c r="AB38" s="111" t="str">
        <f aca="false">IF($B38="","",IF(الموظفون!$T38&lt;&gt;"",الموظفون!$T38,IF(AH38&gt;=cfg_LV_TH,cfg_LV_D2,cfg_LV_D1))/cfg_DAYS_Y*AJ38*الموظفون!$R38/cfg_DAYS_M)</f>
        <v/>
      </c>
      <c r="AC38" s="111" t="str">
        <f aca="false">IF($B38="","",IF(AND(الموظفون!$U38="نعم",N(الموظفون!$W38)&gt;0),الموظفون!$V38/الموظفون!$W38*12/cfg_DAYS_Y*AJ38,0))</f>
        <v/>
      </c>
      <c r="AD38" s="111" t="str">
        <f aca="false">IF($B38="","",(IF(الموظفون!$X38&lt;&gt;"",الموظفون!$X38,IF(الموظفون!$E38="غير سعودي",cfg_IQ,0))+IF(الموظفون!$Y38&lt;&gt;"",الموظفون!$Y38,IF(الموظفون!$E38="غير سعودي",cfg_WP,0)))/12*G38/cfg_DAYS_M)</f>
        <v/>
      </c>
      <c r="AE38" s="111" t="str">
        <f aca="false">IF($B38="","",IF(الموظفون!$Z38&lt;&gt;"",الموظفون!$Z38,cfg_MED)/12*G38/cfg_DAYS_M)</f>
        <v/>
      </c>
      <c r="AF38" s="111" t="str">
        <f aca="false">IF($B38="","",N(الموظفون!$AA38)/12*G38/cfg_DAYS_M)</f>
        <v/>
      </c>
      <c r="AG38" s="154" t="str">
        <f aca="false">IF($B38="","",T38+SUM(Z38:AF38))</f>
        <v/>
      </c>
      <c r="AH38" s="155" t="str">
        <f aca="false">IF($B38="","",MAX(0,IF(OR(الموظفون!$AE38="",الموظفون!$AE38&gt;$F$3),$F$3,الموظفون!$AE38)-الموظفون!$H38+1-SUMIFS('سجل الإجازات والحالات'!$AL$6:$AL$505,'سجل الإجازات والحالات'!$B$6:$B$505,$B38))/cfg_DAYS_Y)</f>
        <v/>
      </c>
      <c r="AI38" s="155" t="str">
        <f aca="false">IF($B38="","",MAX(0,IF(OR(الموظفون!$AE38="",الموظفون!$AE38&gt;($E$3-1)),($E$3-1),الموظفون!$AE38)-الموظفون!$H38+1-SUMIFS('سجل الإجازات والحالات'!$AK$6:$AK$505,'سجل الإجازات والحالات'!$B$6:$B$505,$B38))/cfg_DAYS_Y)</f>
        <v/>
      </c>
      <c r="AJ38" s="65" t="str">
        <f aca="false">IF($B38="","",MAX(0,AK38-(SUMIFS('سجل الإجازات والحالات'!$AL$6:$AL$505,'سجل الإجازات والحالات'!$B$6:$B$505,$B38)-SUMIFS('سجل الإجازات والحالات'!$AK$6:$AK$505,'سجل الإجازات والحالات'!$B$6:$B$505,$B38))))</f>
        <v/>
      </c>
      <c r="AK38" s="65" t="str">
        <f aca="false">IF($B38="","",MAX(0,IF(OR(الموظفون!$AE38="",الموظفون!$AE38&gt;$F$3),$F$3,الموظفون!$AE38)-MAX($E$3,الموظفون!$H38)+1))</f>
        <v/>
      </c>
      <c r="AL38" s="151" t="str">
        <f aca="false">IF($B38="","",SUMIFS('سجل الإجازات والحالات'!$AX$6:$AX$505,'سجل الإجازات والحالات'!$B$6:$B$505,$B38)+SUMIFS('الحركات الشهرية'!$K$6:$K$1005,'الحركات الشهرية'!$B$6:$B$1005,$B38,'الحركات الشهرية'!$A$6:$A$1005,$C$3))</f>
        <v/>
      </c>
      <c r="AM38" s="111" t="str">
        <f aca="false">IF($B38="","",AL38*الموظفون!$R38/cfg_DAYS_M+S38)</f>
        <v/>
      </c>
      <c r="AN38" s="151" t="str">
        <f aca="false">IF($B38="","",SUMIFS('سجل الإجازات والحالات'!$Z$6:$Z$505,'سجل الإجازات والحالات'!$B$6:$B$505,$B38))</f>
        <v/>
      </c>
    </row>
    <row r="39" customFormat="false" ht="15" hidden="false" customHeight="false" outlineLevel="0" collapsed="false">
      <c r="A39" s="115" t="str">
        <f aca="false">IF($B39="","",الموظفون!$A39)</f>
        <v/>
      </c>
      <c r="B39" s="117" t="str">
        <f aca="false">IF(الموظفون!$B39="","",الموظفون!$B39)</f>
        <v/>
      </c>
      <c r="C39" s="117" t="str">
        <f aca="false">IF($B39="","",الموظفون!$C39)</f>
        <v/>
      </c>
      <c r="D39" s="117" t="str">
        <f aca="false">IF($B39="","",الموظفون!$F39)</f>
        <v/>
      </c>
      <c r="E39" s="117" t="str">
        <f aca="false">IF($B39="","",الموظفون!$E39)</f>
        <v/>
      </c>
      <c r="F39" s="117" t="str">
        <f aca="false">IF($B39="","",IF(AK39=0,IF(AND(الموظفون!$AE39&lt;&gt;"",الموظفون!$AE39&lt;$E$3),"✖ منتهي الخدمة","⏳ لم يباشر"),IF(S39&gt;0,"✈ راتب إجازة مقدم",IF(J39=0,"⛔ بدون راتب هذا الشهر",IF(I39&gt;0,"✈ خصم "&amp;ROUND(I39,2)&amp;" يوم بدون أجر",IF(AL39&gt;0,"🌴 إجازة سنوية "&amp;ROUND(AL39,2)&amp;" يوم",IF(H39&gt;0,"⚠ غياب "&amp;ROUND(H39,2)&amp;" يوم","✔ على رأس العمل")))))))</f>
        <v/>
      </c>
      <c r="G39" s="156" t="str">
        <f aca="false">IF($B39="","",IF(AK39&gt;=DAY($F$3),cfg_DAYS_M,MIN(AK39,cfg_DAYS_M)))</f>
        <v/>
      </c>
      <c r="H39" s="156" t="str">
        <f aca="false">IF($B39="","",SUMIFS('الحركات الشهرية'!$D$6:$D$1005,'الحركات الشهرية'!$B$6:$B$1005,$B39,'الحركات الشهرية'!$A$6:$A$1005,$C$3))</f>
        <v/>
      </c>
      <c r="I39" s="156" t="str">
        <f aca="false">IF($B39="","",MIN(G39,IF(AND(AK39&gt;0,AN39&gt;=AK39),G39,AN39)+SUMIFS('الحركات الشهرية'!$E$6:$E$1005,'الحركات الشهرية'!$B$6:$B$1005,$B39,'الحركات الشهرية'!$A$6:$A$1005,$C$3)))</f>
        <v/>
      </c>
      <c r="J39" s="156" t="str">
        <f aca="false">IF($B39="","",MAX(0,G39-H39-I39))</f>
        <v/>
      </c>
      <c r="K39" s="116" t="str">
        <f aca="false">IF($B39="","",الموظفون!$L39*$J39/cfg_DAYS_M)</f>
        <v/>
      </c>
      <c r="L39" s="116" t="str">
        <f aca="false">IF($B39="","",الموظفون!$M39*$J39/cfg_DAYS_M)</f>
        <v/>
      </c>
      <c r="M39" s="116" t="str">
        <f aca="false">IF($B39="","",الموظفون!$N39*$J39/cfg_DAYS_M)</f>
        <v/>
      </c>
      <c r="N39" s="116" t="str">
        <f aca="false">IF($B39="","",الموظفون!$O39*$J39/cfg_DAYS_M)</f>
        <v/>
      </c>
      <c r="O39" s="156" t="str">
        <f aca="false">IF($B39="","",SUMIFS('الحركات الشهرية'!$F$6:$F$1005,'الحركات الشهرية'!$B$6:$B$1005,$B39,'الحركات الشهرية'!$A$6:$A$1005,$C$3))</f>
        <v/>
      </c>
      <c r="P39" s="116" t="str">
        <f aca="false">IF($B39="","",O39*(الموظفون!$P39+الموظفون!$L39*cfg_OT_P)/cfg_DAYS_M/cfg_HRS)</f>
        <v/>
      </c>
      <c r="Q39" s="116" t="str">
        <f aca="false">IF($B39="","",SUMIFS('الحركات الشهرية'!$G$6:$G$1005,'الحركات الشهرية'!$B$6:$B$1005,$B39,'الحركات الشهرية'!$A$6:$A$1005,$C$3))</f>
        <v/>
      </c>
      <c r="R39" s="116" t="str">
        <f aca="false">IF($B39="","",SUMIFS('الحركات الشهرية'!$H$6:$H$1005,'الحركات الشهرية'!$B$6:$B$1005,$B39,'الحركات الشهرية'!$A$6:$A$1005,$C$3))</f>
        <v/>
      </c>
      <c r="S39" s="116" t="str">
        <f aca="false">IF($B39="","",SUMIFS('سجل الإجازات والحالات'!$N$6:$N$505,'سجل الإجازات والحالات'!$B$6:$B$505,$B39,'سجل الإجازات والحالات'!$O$6:$O$505,$C$3))</f>
        <v/>
      </c>
      <c r="T39" s="157" t="str">
        <f aca="false">IF($B39="","",SUM(K39:N39)+SUM(P39:S39))</f>
        <v/>
      </c>
      <c r="U39" s="116" t="str">
        <f aca="false">IF($B39="","",الموظفون!$S39*IF(E39="سعودي",cfg_G_SE,cfg_G_NE)*G39/cfg_DAYS_M)</f>
        <v/>
      </c>
      <c r="V39" s="116" t="str">
        <f aca="false">IF($B39="","",SUMIFS('الحركات الشهرية'!$I$6:$I$1005,'الحركات الشهرية'!$B$6:$B$1005,$B39,'الحركات الشهرية'!$A$6:$A$1005,$C$3))</f>
        <v/>
      </c>
      <c r="W39" s="116" t="str">
        <f aca="false">IF($B39="","",SUMIFS('الحركات الشهرية'!$J$6:$J$1005,'الحركات الشهرية'!$B$6:$B$1005,$B39,'الحركات الشهرية'!$A$6:$A$1005,$C$3))</f>
        <v/>
      </c>
      <c r="X39" s="116" t="str">
        <f aca="false">IF($B39="","",SUM(U39:W39))</f>
        <v/>
      </c>
      <c r="Y39" s="158" t="str">
        <f aca="false">IF($B39="","",T39-X39)</f>
        <v/>
      </c>
      <c r="Z39" s="116" t="str">
        <f aca="false">IF($B39="","",الموظفون!$S39*IF(E39="سعودي",cfg_G_SR,cfg_G_NR)*G39/cfg_DAYS_M)</f>
        <v/>
      </c>
      <c r="AA39" s="116" t="str">
        <f aca="false">IF($B39="","",الموظفون!$Q39*(cfg_EOS_R1*(MIN(AH39,cfg_EOS_TH)-MIN(AI39,cfg_EOS_TH))+cfg_EOS_R2*(MAX(AH39-cfg_EOS_TH,0)-MAX(AI39-cfg_EOS_TH,0))))</f>
        <v/>
      </c>
      <c r="AB39" s="116" t="str">
        <f aca="false">IF($B39="","",IF(الموظفون!$T39&lt;&gt;"",الموظفون!$T39,IF(AH39&gt;=cfg_LV_TH,cfg_LV_D2,cfg_LV_D1))/cfg_DAYS_Y*AJ39*الموظفون!$R39/cfg_DAYS_M)</f>
        <v/>
      </c>
      <c r="AC39" s="116" t="str">
        <f aca="false">IF($B39="","",IF(AND(الموظفون!$U39="نعم",N(الموظفون!$W39)&gt;0),الموظفون!$V39/الموظفون!$W39*12/cfg_DAYS_Y*AJ39,0))</f>
        <v/>
      </c>
      <c r="AD39" s="116" t="str">
        <f aca="false">IF($B39="","",(IF(الموظفون!$X39&lt;&gt;"",الموظفون!$X39,IF(الموظفون!$E39="غير سعودي",cfg_IQ,0))+IF(الموظفون!$Y39&lt;&gt;"",الموظفون!$Y39,IF(الموظفون!$E39="غير سعودي",cfg_WP,0)))/12*G39/cfg_DAYS_M)</f>
        <v/>
      </c>
      <c r="AE39" s="116" t="str">
        <f aca="false">IF($B39="","",IF(الموظفون!$Z39&lt;&gt;"",الموظفون!$Z39,cfg_MED)/12*G39/cfg_DAYS_M)</f>
        <v/>
      </c>
      <c r="AF39" s="116" t="str">
        <f aca="false">IF($B39="","",N(الموظفون!$AA39)/12*G39/cfg_DAYS_M)</f>
        <v/>
      </c>
      <c r="AG39" s="159" t="str">
        <f aca="false">IF($B39="","",T39+SUM(Z39:AF39))</f>
        <v/>
      </c>
      <c r="AH39" s="160" t="str">
        <f aca="false">IF($B39="","",MAX(0,IF(OR(الموظفون!$AE39="",الموظفون!$AE39&gt;$F$3),$F$3,الموظفون!$AE39)-الموظفون!$H39+1-SUMIFS('سجل الإجازات والحالات'!$AL$6:$AL$505,'سجل الإجازات والحالات'!$B$6:$B$505,$B39))/cfg_DAYS_Y)</f>
        <v/>
      </c>
      <c r="AI39" s="160" t="str">
        <f aca="false">IF($B39="","",MAX(0,IF(OR(الموظفون!$AE39="",الموظفون!$AE39&gt;($E$3-1)),($E$3-1),الموظفون!$AE39)-الموظفون!$H39+1-SUMIFS('سجل الإجازات والحالات'!$AK$6:$AK$505,'سجل الإجازات والحالات'!$B$6:$B$505,$B39))/cfg_DAYS_Y)</f>
        <v/>
      </c>
      <c r="AJ39" s="133" t="str">
        <f aca="false">IF($B39="","",MAX(0,AK39-(SUMIFS('سجل الإجازات والحالات'!$AL$6:$AL$505,'سجل الإجازات والحالات'!$B$6:$B$505,$B39)-SUMIFS('سجل الإجازات والحالات'!$AK$6:$AK$505,'سجل الإجازات والحالات'!$B$6:$B$505,$B39))))</f>
        <v/>
      </c>
      <c r="AK39" s="133" t="str">
        <f aca="false">IF($B39="","",MAX(0,IF(OR(الموظفون!$AE39="",الموظفون!$AE39&gt;$F$3),$F$3,الموظفون!$AE39)-MAX($E$3,الموظفون!$H39)+1))</f>
        <v/>
      </c>
      <c r="AL39" s="156" t="str">
        <f aca="false">IF($B39="","",SUMIFS('سجل الإجازات والحالات'!$AX$6:$AX$505,'سجل الإجازات والحالات'!$B$6:$B$505,$B39)+SUMIFS('الحركات الشهرية'!$K$6:$K$1005,'الحركات الشهرية'!$B$6:$B$1005,$B39,'الحركات الشهرية'!$A$6:$A$1005,$C$3))</f>
        <v/>
      </c>
      <c r="AM39" s="116" t="str">
        <f aca="false">IF($B39="","",AL39*الموظفون!$R39/cfg_DAYS_M+S39)</f>
        <v/>
      </c>
      <c r="AN39" s="156" t="str">
        <f aca="false">IF($B39="","",SUMIFS('سجل الإجازات والحالات'!$Z$6:$Z$505,'سجل الإجازات والحالات'!$B$6:$B$505,$B39))</f>
        <v/>
      </c>
    </row>
    <row r="40" customFormat="false" ht="15" hidden="false" customHeight="false" outlineLevel="0" collapsed="false">
      <c r="A40" s="106" t="str">
        <f aca="false">IF($B40="","",الموظفون!$A40)</f>
        <v/>
      </c>
      <c r="B40" s="114" t="str">
        <f aca="false">IF(الموظفون!$B40="","",الموظفون!$B40)</f>
        <v/>
      </c>
      <c r="C40" s="114" t="str">
        <f aca="false">IF($B40="","",الموظفون!$C40)</f>
        <v/>
      </c>
      <c r="D40" s="114" t="str">
        <f aca="false">IF($B40="","",الموظفون!$F40)</f>
        <v/>
      </c>
      <c r="E40" s="114" t="str">
        <f aca="false">IF($B40="","",الموظفون!$E40)</f>
        <v/>
      </c>
      <c r="F40" s="114" t="str">
        <f aca="false">IF($B40="","",IF(AK40=0,IF(AND(الموظفون!$AE40&lt;&gt;"",الموظفون!$AE40&lt;$E$3),"✖ منتهي الخدمة","⏳ لم يباشر"),IF(S40&gt;0,"✈ راتب إجازة مقدم",IF(J40=0,"⛔ بدون راتب هذا الشهر",IF(I40&gt;0,"✈ خصم "&amp;ROUND(I40,2)&amp;" يوم بدون أجر",IF(AL40&gt;0,"🌴 إجازة سنوية "&amp;ROUND(AL40,2)&amp;" يوم",IF(H40&gt;0,"⚠ غياب "&amp;ROUND(H40,2)&amp;" يوم","✔ على رأس العمل")))))))</f>
        <v/>
      </c>
      <c r="G40" s="151" t="str">
        <f aca="false">IF($B40="","",IF(AK40&gt;=DAY($F$3),cfg_DAYS_M,MIN(AK40,cfg_DAYS_M)))</f>
        <v/>
      </c>
      <c r="H40" s="151" t="str">
        <f aca="false">IF($B40="","",SUMIFS('الحركات الشهرية'!$D$6:$D$1005,'الحركات الشهرية'!$B$6:$B$1005,$B40,'الحركات الشهرية'!$A$6:$A$1005,$C$3))</f>
        <v/>
      </c>
      <c r="I40" s="151" t="str">
        <f aca="false">IF($B40="","",MIN(G40,IF(AND(AK40&gt;0,AN40&gt;=AK40),G40,AN40)+SUMIFS('الحركات الشهرية'!$E$6:$E$1005,'الحركات الشهرية'!$B$6:$B$1005,$B40,'الحركات الشهرية'!$A$6:$A$1005,$C$3)))</f>
        <v/>
      </c>
      <c r="J40" s="151" t="str">
        <f aca="false">IF($B40="","",MAX(0,G40-H40-I40))</f>
        <v/>
      </c>
      <c r="K40" s="111" t="str">
        <f aca="false">IF($B40="","",الموظفون!$L40*$J40/cfg_DAYS_M)</f>
        <v/>
      </c>
      <c r="L40" s="111" t="str">
        <f aca="false">IF($B40="","",الموظفون!$M40*$J40/cfg_DAYS_M)</f>
        <v/>
      </c>
      <c r="M40" s="111" t="str">
        <f aca="false">IF($B40="","",الموظفون!$N40*$J40/cfg_DAYS_M)</f>
        <v/>
      </c>
      <c r="N40" s="111" t="str">
        <f aca="false">IF($B40="","",الموظفون!$O40*$J40/cfg_DAYS_M)</f>
        <v/>
      </c>
      <c r="O40" s="151" t="str">
        <f aca="false">IF($B40="","",SUMIFS('الحركات الشهرية'!$F$6:$F$1005,'الحركات الشهرية'!$B$6:$B$1005,$B40,'الحركات الشهرية'!$A$6:$A$1005,$C$3))</f>
        <v/>
      </c>
      <c r="P40" s="111" t="str">
        <f aca="false">IF($B40="","",O40*(الموظفون!$P40+الموظفون!$L40*cfg_OT_P)/cfg_DAYS_M/cfg_HRS)</f>
        <v/>
      </c>
      <c r="Q40" s="111" t="str">
        <f aca="false">IF($B40="","",SUMIFS('الحركات الشهرية'!$G$6:$G$1005,'الحركات الشهرية'!$B$6:$B$1005,$B40,'الحركات الشهرية'!$A$6:$A$1005,$C$3))</f>
        <v/>
      </c>
      <c r="R40" s="111" t="str">
        <f aca="false">IF($B40="","",SUMIFS('الحركات الشهرية'!$H$6:$H$1005,'الحركات الشهرية'!$B$6:$B$1005,$B40,'الحركات الشهرية'!$A$6:$A$1005,$C$3))</f>
        <v/>
      </c>
      <c r="S40" s="111" t="str">
        <f aca="false">IF($B40="","",SUMIFS('سجل الإجازات والحالات'!$N$6:$N$505,'سجل الإجازات والحالات'!$B$6:$B$505,$B40,'سجل الإجازات والحالات'!$O$6:$O$505,$C$3))</f>
        <v/>
      </c>
      <c r="T40" s="152" t="str">
        <f aca="false">IF($B40="","",SUM(K40:N40)+SUM(P40:S40))</f>
        <v/>
      </c>
      <c r="U40" s="111" t="str">
        <f aca="false">IF($B40="","",الموظفون!$S40*IF(E40="سعودي",cfg_G_SE,cfg_G_NE)*G40/cfg_DAYS_M)</f>
        <v/>
      </c>
      <c r="V40" s="111" t="str">
        <f aca="false">IF($B40="","",SUMIFS('الحركات الشهرية'!$I$6:$I$1005,'الحركات الشهرية'!$B$6:$B$1005,$B40,'الحركات الشهرية'!$A$6:$A$1005,$C$3))</f>
        <v/>
      </c>
      <c r="W40" s="111" t="str">
        <f aca="false">IF($B40="","",SUMIFS('الحركات الشهرية'!$J$6:$J$1005,'الحركات الشهرية'!$B$6:$B$1005,$B40,'الحركات الشهرية'!$A$6:$A$1005,$C$3))</f>
        <v/>
      </c>
      <c r="X40" s="111" t="str">
        <f aca="false">IF($B40="","",SUM(U40:W40))</f>
        <v/>
      </c>
      <c r="Y40" s="153" t="str">
        <f aca="false">IF($B40="","",T40-X40)</f>
        <v/>
      </c>
      <c r="Z40" s="111" t="str">
        <f aca="false">IF($B40="","",الموظفون!$S40*IF(E40="سعودي",cfg_G_SR,cfg_G_NR)*G40/cfg_DAYS_M)</f>
        <v/>
      </c>
      <c r="AA40" s="111" t="str">
        <f aca="false">IF($B40="","",الموظفون!$Q40*(cfg_EOS_R1*(MIN(AH40,cfg_EOS_TH)-MIN(AI40,cfg_EOS_TH))+cfg_EOS_R2*(MAX(AH40-cfg_EOS_TH,0)-MAX(AI40-cfg_EOS_TH,0))))</f>
        <v/>
      </c>
      <c r="AB40" s="111" t="str">
        <f aca="false">IF($B40="","",IF(الموظفون!$T40&lt;&gt;"",الموظفون!$T40,IF(AH40&gt;=cfg_LV_TH,cfg_LV_D2,cfg_LV_D1))/cfg_DAYS_Y*AJ40*الموظفون!$R40/cfg_DAYS_M)</f>
        <v/>
      </c>
      <c r="AC40" s="111" t="str">
        <f aca="false">IF($B40="","",IF(AND(الموظفون!$U40="نعم",N(الموظفون!$W40)&gt;0),الموظفون!$V40/الموظفون!$W40*12/cfg_DAYS_Y*AJ40,0))</f>
        <v/>
      </c>
      <c r="AD40" s="111" t="str">
        <f aca="false">IF($B40="","",(IF(الموظفون!$X40&lt;&gt;"",الموظفون!$X40,IF(الموظفون!$E40="غير سعودي",cfg_IQ,0))+IF(الموظفون!$Y40&lt;&gt;"",الموظفون!$Y40,IF(الموظفون!$E40="غير سعودي",cfg_WP,0)))/12*G40/cfg_DAYS_M)</f>
        <v/>
      </c>
      <c r="AE40" s="111" t="str">
        <f aca="false">IF($B40="","",IF(الموظفون!$Z40&lt;&gt;"",الموظفون!$Z40,cfg_MED)/12*G40/cfg_DAYS_M)</f>
        <v/>
      </c>
      <c r="AF40" s="111" t="str">
        <f aca="false">IF($B40="","",N(الموظفون!$AA40)/12*G40/cfg_DAYS_M)</f>
        <v/>
      </c>
      <c r="AG40" s="154" t="str">
        <f aca="false">IF($B40="","",T40+SUM(Z40:AF40))</f>
        <v/>
      </c>
      <c r="AH40" s="155" t="str">
        <f aca="false">IF($B40="","",MAX(0,IF(OR(الموظفون!$AE40="",الموظفون!$AE40&gt;$F$3),$F$3,الموظفون!$AE40)-الموظفون!$H40+1-SUMIFS('سجل الإجازات والحالات'!$AL$6:$AL$505,'سجل الإجازات والحالات'!$B$6:$B$505,$B40))/cfg_DAYS_Y)</f>
        <v/>
      </c>
      <c r="AI40" s="155" t="str">
        <f aca="false">IF($B40="","",MAX(0,IF(OR(الموظفون!$AE40="",الموظفون!$AE40&gt;($E$3-1)),($E$3-1),الموظفون!$AE40)-الموظفون!$H40+1-SUMIFS('سجل الإجازات والحالات'!$AK$6:$AK$505,'سجل الإجازات والحالات'!$B$6:$B$505,$B40))/cfg_DAYS_Y)</f>
        <v/>
      </c>
      <c r="AJ40" s="65" t="str">
        <f aca="false">IF($B40="","",MAX(0,AK40-(SUMIFS('سجل الإجازات والحالات'!$AL$6:$AL$505,'سجل الإجازات والحالات'!$B$6:$B$505,$B40)-SUMIFS('سجل الإجازات والحالات'!$AK$6:$AK$505,'سجل الإجازات والحالات'!$B$6:$B$505,$B40))))</f>
        <v/>
      </c>
      <c r="AK40" s="65" t="str">
        <f aca="false">IF($B40="","",MAX(0,IF(OR(الموظفون!$AE40="",الموظفون!$AE40&gt;$F$3),$F$3,الموظفون!$AE40)-MAX($E$3,الموظفون!$H40)+1))</f>
        <v/>
      </c>
      <c r="AL40" s="151" t="str">
        <f aca="false">IF($B40="","",SUMIFS('سجل الإجازات والحالات'!$AX$6:$AX$505,'سجل الإجازات والحالات'!$B$6:$B$505,$B40)+SUMIFS('الحركات الشهرية'!$K$6:$K$1005,'الحركات الشهرية'!$B$6:$B$1005,$B40,'الحركات الشهرية'!$A$6:$A$1005,$C$3))</f>
        <v/>
      </c>
      <c r="AM40" s="111" t="str">
        <f aca="false">IF($B40="","",AL40*الموظفون!$R40/cfg_DAYS_M+S40)</f>
        <v/>
      </c>
      <c r="AN40" s="151" t="str">
        <f aca="false">IF($B40="","",SUMIFS('سجل الإجازات والحالات'!$Z$6:$Z$505,'سجل الإجازات والحالات'!$B$6:$B$505,$B40))</f>
        <v/>
      </c>
    </row>
    <row r="41" customFormat="false" ht="15" hidden="false" customHeight="false" outlineLevel="0" collapsed="false">
      <c r="A41" s="115" t="str">
        <f aca="false">IF($B41="","",الموظفون!$A41)</f>
        <v/>
      </c>
      <c r="B41" s="117" t="str">
        <f aca="false">IF(الموظفون!$B41="","",الموظفون!$B41)</f>
        <v/>
      </c>
      <c r="C41" s="117" t="str">
        <f aca="false">IF($B41="","",الموظفون!$C41)</f>
        <v/>
      </c>
      <c r="D41" s="117" t="str">
        <f aca="false">IF($B41="","",الموظفون!$F41)</f>
        <v/>
      </c>
      <c r="E41" s="117" t="str">
        <f aca="false">IF($B41="","",الموظفون!$E41)</f>
        <v/>
      </c>
      <c r="F41" s="117" t="str">
        <f aca="false">IF($B41="","",IF(AK41=0,IF(AND(الموظفون!$AE41&lt;&gt;"",الموظفون!$AE41&lt;$E$3),"✖ منتهي الخدمة","⏳ لم يباشر"),IF(S41&gt;0,"✈ راتب إجازة مقدم",IF(J41=0,"⛔ بدون راتب هذا الشهر",IF(I41&gt;0,"✈ خصم "&amp;ROUND(I41,2)&amp;" يوم بدون أجر",IF(AL41&gt;0,"🌴 إجازة سنوية "&amp;ROUND(AL41,2)&amp;" يوم",IF(H41&gt;0,"⚠ غياب "&amp;ROUND(H41,2)&amp;" يوم","✔ على رأس العمل")))))))</f>
        <v/>
      </c>
      <c r="G41" s="156" t="str">
        <f aca="false">IF($B41="","",IF(AK41&gt;=DAY($F$3),cfg_DAYS_M,MIN(AK41,cfg_DAYS_M)))</f>
        <v/>
      </c>
      <c r="H41" s="156" t="str">
        <f aca="false">IF($B41="","",SUMIFS('الحركات الشهرية'!$D$6:$D$1005,'الحركات الشهرية'!$B$6:$B$1005,$B41,'الحركات الشهرية'!$A$6:$A$1005,$C$3))</f>
        <v/>
      </c>
      <c r="I41" s="156" t="str">
        <f aca="false">IF($B41="","",MIN(G41,IF(AND(AK41&gt;0,AN41&gt;=AK41),G41,AN41)+SUMIFS('الحركات الشهرية'!$E$6:$E$1005,'الحركات الشهرية'!$B$6:$B$1005,$B41,'الحركات الشهرية'!$A$6:$A$1005,$C$3)))</f>
        <v/>
      </c>
      <c r="J41" s="156" t="str">
        <f aca="false">IF($B41="","",MAX(0,G41-H41-I41))</f>
        <v/>
      </c>
      <c r="K41" s="116" t="str">
        <f aca="false">IF($B41="","",الموظفون!$L41*$J41/cfg_DAYS_M)</f>
        <v/>
      </c>
      <c r="L41" s="116" t="str">
        <f aca="false">IF($B41="","",الموظفون!$M41*$J41/cfg_DAYS_M)</f>
        <v/>
      </c>
      <c r="M41" s="116" t="str">
        <f aca="false">IF($B41="","",الموظفون!$N41*$J41/cfg_DAYS_M)</f>
        <v/>
      </c>
      <c r="N41" s="116" t="str">
        <f aca="false">IF($B41="","",الموظفون!$O41*$J41/cfg_DAYS_M)</f>
        <v/>
      </c>
      <c r="O41" s="156" t="str">
        <f aca="false">IF($B41="","",SUMIFS('الحركات الشهرية'!$F$6:$F$1005,'الحركات الشهرية'!$B$6:$B$1005,$B41,'الحركات الشهرية'!$A$6:$A$1005,$C$3))</f>
        <v/>
      </c>
      <c r="P41" s="116" t="str">
        <f aca="false">IF($B41="","",O41*(الموظفون!$P41+الموظفون!$L41*cfg_OT_P)/cfg_DAYS_M/cfg_HRS)</f>
        <v/>
      </c>
      <c r="Q41" s="116" t="str">
        <f aca="false">IF($B41="","",SUMIFS('الحركات الشهرية'!$G$6:$G$1005,'الحركات الشهرية'!$B$6:$B$1005,$B41,'الحركات الشهرية'!$A$6:$A$1005,$C$3))</f>
        <v/>
      </c>
      <c r="R41" s="116" t="str">
        <f aca="false">IF($B41="","",SUMIFS('الحركات الشهرية'!$H$6:$H$1005,'الحركات الشهرية'!$B$6:$B$1005,$B41,'الحركات الشهرية'!$A$6:$A$1005,$C$3))</f>
        <v/>
      </c>
      <c r="S41" s="116" t="str">
        <f aca="false">IF($B41="","",SUMIFS('سجل الإجازات والحالات'!$N$6:$N$505,'سجل الإجازات والحالات'!$B$6:$B$505,$B41,'سجل الإجازات والحالات'!$O$6:$O$505,$C$3))</f>
        <v/>
      </c>
      <c r="T41" s="157" t="str">
        <f aca="false">IF($B41="","",SUM(K41:N41)+SUM(P41:S41))</f>
        <v/>
      </c>
      <c r="U41" s="116" t="str">
        <f aca="false">IF($B41="","",الموظفون!$S41*IF(E41="سعودي",cfg_G_SE,cfg_G_NE)*G41/cfg_DAYS_M)</f>
        <v/>
      </c>
      <c r="V41" s="116" t="str">
        <f aca="false">IF($B41="","",SUMIFS('الحركات الشهرية'!$I$6:$I$1005,'الحركات الشهرية'!$B$6:$B$1005,$B41,'الحركات الشهرية'!$A$6:$A$1005,$C$3))</f>
        <v/>
      </c>
      <c r="W41" s="116" t="str">
        <f aca="false">IF($B41="","",SUMIFS('الحركات الشهرية'!$J$6:$J$1005,'الحركات الشهرية'!$B$6:$B$1005,$B41,'الحركات الشهرية'!$A$6:$A$1005,$C$3))</f>
        <v/>
      </c>
      <c r="X41" s="116" t="str">
        <f aca="false">IF($B41="","",SUM(U41:W41))</f>
        <v/>
      </c>
      <c r="Y41" s="158" t="str">
        <f aca="false">IF($B41="","",T41-X41)</f>
        <v/>
      </c>
      <c r="Z41" s="116" t="str">
        <f aca="false">IF($B41="","",الموظفون!$S41*IF(E41="سعودي",cfg_G_SR,cfg_G_NR)*G41/cfg_DAYS_M)</f>
        <v/>
      </c>
      <c r="AA41" s="116" t="str">
        <f aca="false">IF($B41="","",الموظفون!$Q41*(cfg_EOS_R1*(MIN(AH41,cfg_EOS_TH)-MIN(AI41,cfg_EOS_TH))+cfg_EOS_R2*(MAX(AH41-cfg_EOS_TH,0)-MAX(AI41-cfg_EOS_TH,0))))</f>
        <v/>
      </c>
      <c r="AB41" s="116" t="str">
        <f aca="false">IF($B41="","",IF(الموظفون!$T41&lt;&gt;"",الموظفون!$T41,IF(AH41&gt;=cfg_LV_TH,cfg_LV_D2,cfg_LV_D1))/cfg_DAYS_Y*AJ41*الموظفون!$R41/cfg_DAYS_M)</f>
        <v/>
      </c>
      <c r="AC41" s="116" t="str">
        <f aca="false">IF($B41="","",IF(AND(الموظفون!$U41="نعم",N(الموظفون!$W41)&gt;0),الموظفون!$V41/الموظفون!$W41*12/cfg_DAYS_Y*AJ41,0))</f>
        <v/>
      </c>
      <c r="AD41" s="116" t="str">
        <f aca="false">IF($B41="","",(IF(الموظفون!$X41&lt;&gt;"",الموظفون!$X41,IF(الموظفون!$E41="غير سعودي",cfg_IQ,0))+IF(الموظفون!$Y41&lt;&gt;"",الموظفون!$Y41,IF(الموظفون!$E41="غير سعودي",cfg_WP,0)))/12*G41/cfg_DAYS_M)</f>
        <v/>
      </c>
      <c r="AE41" s="116" t="str">
        <f aca="false">IF($B41="","",IF(الموظفون!$Z41&lt;&gt;"",الموظفون!$Z41,cfg_MED)/12*G41/cfg_DAYS_M)</f>
        <v/>
      </c>
      <c r="AF41" s="116" t="str">
        <f aca="false">IF($B41="","",N(الموظفون!$AA41)/12*G41/cfg_DAYS_M)</f>
        <v/>
      </c>
      <c r="AG41" s="159" t="str">
        <f aca="false">IF($B41="","",T41+SUM(Z41:AF41))</f>
        <v/>
      </c>
      <c r="AH41" s="160" t="str">
        <f aca="false">IF($B41="","",MAX(0,IF(OR(الموظفون!$AE41="",الموظفون!$AE41&gt;$F$3),$F$3,الموظفون!$AE41)-الموظفون!$H41+1-SUMIFS('سجل الإجازات والحالات'!$AL$6:$AL$505,'سجل الإجازات والحالات'!$B$6:$B$505,$B41))/cfg_DAYS_Y)</f>
        <v/>
      </c>
      <c r="AI41" s="160" t="str">
        <f aca="false">IF($B41="","",MAX(0,IF(OR(الموظفون!$AE41="",الموظفون!$AE41&gt;($E$3-1)),($E$3-1),الموظفون!$AE41)-الموظفون!$H41+1-SUMIFS('سجل الإجازات والحالات'!$AK$6:$AK$505,'سجل الإجازات والحالات'!$B$6:$B$505,$B41))/cfg_DAYS_Y)</f>
        <v/>
      </c>
      <c r="AJ41" s="133" t="str">
        <f aca="false">IF($B41="","",MAX(0,AK41-(SUMIFS('سجل الإجازات والحالات'!$AL$6:$AL$505,'سجل الإجازات والحالات'!$B$6:$B$505,$B41)-SUMIFS('سجل الإجازات والحالات'!$AK$6:$AK$505,'سجل الإجازات والحالات'!$B$6:$B$505,$B41))))</f>
        <v/>
      </c>
      <c r="AK41" s="133" t="str">
        <f aca="false">IF($B41="","",MAX(0,IF(OR(الموظفون!$AE41="",الموظفون!$AE41&gt;$F$3),$F$3,الموظفون!$AE41)-MAX($E$3,الموظفون!$H41)+1))</f>
        <v/>
      </c>
      <c r="AL41" s="156" t="str">
        <f aca="false">IF($B41="","",SUMIFS('سجل الإجازات والحالات'!$AX$6:$AX$505,'سجل الإجازات والحالات'!$B$6:$B$505,$B41)+SUMIFS('الحركات الشهرية'!$K$6:$K$1005,'الحركات الشهرية'!$B$6:$B$1005,$B41,'الحركات الشهرية'!$A$6:$A$1005,$C$3))</f>
        <v/>
      </c>
      <c r="AM41" s="116" t="str">
        <f aca="false">IF($B41="","",AL41*الموظفون!$R41/cfg_DAYS_M+S41)</f>
        <v/>
      </c>
      <c r="AN41" s="156" t="str">
        <f aca="false">IF($B41="","",SUMIFS('سجل الإجازات والحالات'!$Z$6:$Z$505,'سجل الإجازات والحالات'!$B$6:$B$505,$B41))</f>
        <v/>
      </c>
    </row>
    <row r="42" customFormat="false" ht="15" hidden="false" customHeight="false" outlineLevel="0" collapsed="false">
      <c r="A42" s="106" t="str">
        <f aca="false">IF($B42="","",الموظفون!$A42)</f>
        <v/>
      </c>
      <c r="B42" s="114" t="str">
        <f aca="false">IF(الموظفون!$B42="","",الموظفون!$B42)</f>
        <v/>
      </c>
      <c r="C42" s="114" t="str">
        <f aca="false">IF($B42="","",الموظفون!$C42)</f>
        <v/>
      </c>
      <c r="D42" s="114" t="str">
        <f aca="false">IF($B42="","",الموظفون!$F42)</f>
        <v/>
      </c>
      <c r="E42" s="114" t="str">
        <f aca="false">IF($B42="","",الموظفون!$E42)</f>
        <v/>
      </c>
      <c r="F42" s="114" t="str">
        <f aca="false">IF($B42="","",IF(AK42=0,IF(AND(الموظفون!$AE42&lt;&gt;"",الموظفون!$AE42&lt;$E$3),"✖ منتهي الخدمة","⏳ لم يباشر"),IF(S42&gt;0,"✈ راتب إجازة مقدم",IF(J42=0,"⛔ بدون راتب هذا الشهر",IF(I42&gt;0,"✈ خصم "&amp;ROUND(I42,2)&amp;" يوم بدون أجر",IF(AL42&gt;0,"🌴 إجازة سنوية "&amp;ROUND(AL42,2)&amp;" يوم",IF(H42&gt;0,"⚠ غياب "&amp;ROUND(H42,2)&amp;" يوم","✔ على رأس العمل")))))))</f>
        <v/>
      </c>
      <c r="G42" s="151" t="str">
        <f aca="false">IF($B42="","",IF(AK42&gt;=DAY($F$3),cfg_DAYS_M,MIN(AK42,cfg_DAYS_M)))</f>
        <v/>
      </c>
      <c r="H42" s="151" t="str">
        <f aca="false">IF($B42="","",SUMIFS('الحركات الشهرية'!$D$6:$D$1005,'الحركات الشهرية'!$B$6:$B$1005,$B42,'الحركات الشهرية'!$A$6:$A$1005,$C$3))</f>
        <v/>
      </c>
      <c r="I42" s="151" t="str">
        <f aca="false">IF($B42="","",MIN(G42,IF(AND(AK42&gt;0,AN42&gt;=AK42),G42,AN42)+SUMIFS('الحركات الشهرية'!$E$6:$E$1005,'الحركات الشهرية'!$B$6:$B$1005,$B42,'الحركات الشهرية'!$A$6:$A$1005,$C$3)))</f>
        <v/>
      </c>
      <c r="J42" s="151" t="str">
        <f aca="false">IF($B42="","",MAX(0,G42-H42-I42))</f>
        <v/>
      </c>
      <c r="K42" s="111" t="str">
        <f aca="false">IF($B42="","",الموظفون!$L42*$J42/cfg_DAYS_M)</f>
        <v/>
      </c>
      <c r="L42" s="111" t="str">
        <f aca="false">IF($B42="","",الموظفون!$M42*$J42/cfg_DAYS_M)</f>
        <v/>
      </c>
      <c r="M42" s="111" t="str">
        <f aca="false">IF($B42="","",الموظفون!$N42*$J42/cfg_DAYS_M)</f>
        <v/>
      </c>
      <c r="N42" s="111" t="str">
        <f aca="false">IF($B42="","",الموظفون!$O42*$J42/cfg_DAYS_M)</f>
        <v/>
      </c>
      <c r="O42" s="151" t="str">
        <f aca="false">IF($B42="","",SUMIFS('الحركات الشهرية'!$F$6:$F$1005,'الحركات الشهرية'!$B$6:$B$1005,$B42,'الحركات الشهرية'!$A$6:$A$1005,$C$3))</f>
        <v/>
      </c>
      <c r="P42" s="111" t="str">
        <f aca="false">IF($B42="","",O42*(الموظفون!$P42+الموظفون!$L42*cfg_OT_P)/cfg_DAYS_M/cfg_HRS)</f>
        <v/>
      </c>
      <c r="Q42" s="111" t="str">
        <f aca="false">IF($B42="","",SUMIFS('الحركات الشهرية'!$G$6:$G$1005,'الحركات الشهرية'!$B$6:$B$1005,$B42,'الحركات الشهرية'!$A$6:$A$1005,$C$3))</f>
        <v/>
      </c>
      <c r="R42" s="111" t="str">
        <f aca="false">IF($B42="","",SUMIFS('الحركات الشهرية'!$H$6:$H$1005,'الحركات الشهرية'!$B$6:$B$1005,$B42,'الحركات الشهرية'!$A$6:$A$1005,$C$3))</f>
        <v/>
      </c>
      <c r="S42" s="111" t="str">
        <f aca="false">IF($B42="","",SUMIFS('سجل الإجازات والحالات'!$N$6:$N$505,'سجل الإجازات والحالات'!$B$6:$B$505,$B42,'سجل الإجازات والحالات'!$O$6:$O$505,$C$3))</f>
        <v/>
      </c>
      <c r="T42" s="152" t="str">
        <f aca="false">IF($B42="","",SUM(K42:N42)+SUM(P42:S42))</f>
        <v/>
      </c>
      <c r="U42" s="111" t="str">
        <f aca="false">IF($B42="","",الموظفون!$S42*IF(E42="سعودي",cfg_G_SE,cfg_G_NE)*G42/cfg_DAYS_M)</f>
        <v/>
      </c>
      <c r="V42" s="111" t="str">
        <f aca="false">IF($B42="","",SUMIFS('الحركات الشهرية'!$I$6:$I$1005,'الحركات الشهرية'!$B$6:$B$1005,$B42,'الحركات الشهرية'!$A$6:$A$1005,$C$3))</f>
        <v/>
      </c>
      <c r="W42" s="111" t="str">
        <f aca="false">IF($B42="","",SUMIFS('الحركات الشهرية'!$J$6:$J$1005,'الحركات الشهرية'!$B$6:$B$1005,$B42,'الحركات الشهرية'!$A$6:$A$1005,$C$3))</f>
        <v/>
      </c>
      <c r="X42" s="111" t="str">
        <f aca="false">IF($B42="","",SUM(U42:W42))</f>
        <v/>
      </c>
      <c r="Y42" s="153" t="str">
        <f aca="false">IF($B42="","",T42-X42)</f>
        <v/>
      </c>
      <c r="Z42" s="111" t="str">
        <f aca="false">IF($B42="","",الموظفون!$S42*IF(E42="سعودي",cfg_G_SR,cfg_G_NR)*G42/cfg_DAYS_M)</f>
        <v/>
      </c>
      <c r="AA42" s="111" t="str">
        <f aca="false">IF($B42="","",الموظفون!$Q42*(cfg_EOS_R1*(MIN(AH42,cfg_EOS_TH)-MIN(AI42,cfg_EOS_TH))+cfg_EOS_R2*(MAX(AH42-cfg_EOS_TH,0)-MAX(AI42-cfg_EOS_TH,0))))</f>
        <v/>
      </c>
      <c r="AB42" s="111" t="str">
        <f aca="false">IF($B42="","",IF(الموظفون!$T42&lt;&gt;"",الموظفون!$T42,IF(AH42&gt;=cfg_LV_TH,cfg_LV_D2,cfg_LV_D1))/cfg_DAYS_Y*AJ42*الموظفون!$R42/cfg_DAYS_M)</f>
        <v/>
      </c>
      <c r="AC42" s="111" t="str">
        <f aca="false">IF($B42="","",IF(AND(الموظفون!$U42="نعم",N(الموظفون!$W42)&gt;0),الموظفون!$V42/الموظفون!$W42*12/cfg_DAYS_Y*AJ42,0))</f>
        <v/>
      </c>
      <c r="AD42" s="111" t="str">
        <f aca="false">IF($B42="","",(IF(الموظفون!$X42&lt;&gt;"",الموظفون!$X42,IF(الموظفون!$E42="غير سعودي",cfg_IQ,0))+IF(الموظفون!$Y42&lt;&gt;"",الموظفون!$Y42,IF(الموظفون!$E42="غير سعودي",cfg_WP,0)))/12*G42/cfg_DAYS_M)</f>
        <v/>
      </c>
      <c r="AE42" s="111" t="str">
        <f aca="false">IF($B42="","",IF(الموظفون!$Z42&lt;&gt;"",الموظفون!$Z42,cfg_MED)/12*G42/cfg_DAYS_M)</f>
        <v/>
      </c>
      <c r="AF42" s="111" t="str">
        <f aca="false">IF($B42="","",N(الموظفون!$AA42)/12*G42/cfg_DAYS_M)</f>
        <v/>
      </c>
      <c r="AG42" s="154" t="str">
        <f aca="false">IF($B42="","",T42+SUM(Z42:AF42))</f>
        <v/>
      </c>
      <c r="AH42" s="155" t="str">
        <f aca="false">IF($B42="","",MAX(0,IF(OR(الموظفون!$AE42="",الموظفون!$AE42&gt;$F$3),$F$3,الموظفون!$AE42)-الموظفون!$H42+1-SUMIFS('سجل الإجازات والحالات'!$AL$6:$AL$505,'سجل الإجازات والحالات'!$B$6:$B$505,$B42))/cfg_DAYS_Y)</f>
        <v/>
      </c>
      <c r="AI42" s="155" t="str">
        <f aca="false">IF($B42="","",MAX(0,IF(OR(الموظفون!$AE42="",الموظفون!$AE42&gt;($E$3-1)),($E$3-1),الموظفون!$AE42)-الموظفون!$H42+1-SUMIFS('سجل الإجازات والحالات'!$AK$6:$AK$505,'سجل الإجازات والحالات'!$B$6:$B$505,$B42))/cfg_DAYS_Y)</f>
        <v/>
      </c>
      <c r="AJ42" s="65" t="str">
        <f aca="false">IF($B42="","",MAX(0,AK42-(SUMIFS('سجل الإجازات والحالات'!$AL$6:$AL$505,'سجل الإجازات والحالات'!$B$6:$B$505,$B42)-SUMIFS('سجل الإجازات والحالات'!$AK$6:$AK$505,'سجل الإجازات والحالات'!$B$6:$B$505,$B42))))</f>
        <v/>
      </c>
      <c r="AK42" s="65" t="str">
        <f aca="false">IF($B42="","",MAX(0,IF(OR(الموظفون!$AE42="",الموظفون!$AE42&gt;$F$3),$F$3,الموظفون!$AE42)-MAX($E$3,الموظفون!$H42)+1))</f>
        <v/>
      </c>
      <c r="AL42" s="151" t="str">
        <f aca="false">IF($B42="","",SUMIFS('سجل الإجازات والحالات'!$AX$6:$AX$505,'سجل الإجازات والحالات'!$B$6:$B$505,$B42)+SUMIFS('الحركات الشهرية'!$K$6:$K$1005,'الحركات الشهرية'!$B$6:$B$1005,$B42,'الحركات الشهرية'!$A$6:$A$1005,$C$3))</f>
        <v/>
      </c>
      <c r="AM42" s="111" t="str">
        <f aca="false">IF($B42="","",AL42*الموظفون!$R42/cfg_DAYS_M+S42)</f>
        <v/>
      </c>
      <c r="AN42" s="151" t="str">
        <f aca="false">IF($B42="","",SUMIFS('سجل الإجازات والحالات'!$Z$6:$Z$505,'سجل الإجازات والحالات'!$B$6:$B$505,$B42))</f>
        <v/>
      </c>
    </row>
    <row r="43" customFormat="false" ht="15" hidden="false" customHeight="false" outlineLevel="0" collapsed="false">
      <c r="A43" s="115" t="str">
        <f aca="false">IF($B43="","",الموظفون!$A43)</f>
        <v/>
      </c>
      <c r="B43" s="117" t="str">
        <f aca="false">IF(الموظفون!$B43="","",الموظفون!$B43)</f>
        <v/>
      </c>
      <c r="C43" s="117" t="str">
        <f aca="false">IF($B43="","",الموظفون!$C43)</f>
        <v/>
      </c>
      <c r="D43" s="117" t="str">
        <f aca="false">IF($B43="","",الموظفون!$F43)</f>
        <v/>
      </c>
      <c r="E43" s="117" t="str">
        <f aca="false">IF($B43="","",الموظفون!$E43)</f>
        <v/>
      </c>
      <c r="F43" s="117" t="str">
        <f aca="false">IF($B43="","",IF(AK43=0,IF(AND(الموظفون!$AE43&lt;&gt;"",الموظفون!$AE43&lt;$E$3),"✖ منتهي الخدمة","⏳ لم يباشر"),IF(S43&gt;0,"✈ راتب إجازة مقدم",IF(J43=0,"⛔ بدون راتب هذا الشهر",IF(I43&gt;0,"✈ خصم "&amp;ROUND(I43,2)&amp;" يوم بدون أجر",IF(AL43&gt;0,"🌴 إجازة سنوية "&amp;ROUND(AL43,2)&amp;" يوم",IF(H43&gt;0,"⚠ غياب "&amp;ROUND(H43,2)&amp;" يوم","✔ على رأس العمل")))))))</f>
        <v/>
      </c>
      <c r="G43" s="156" t="str">
        <f aca="false">IF($B43="","",IF(AK43&gt;=DAY($F$3),cfg_DAYS_M,MIN(AK43,cfg_DAYS_M)))</f>
        <v/>
      </c>
      <c r="H43" s="156" t="str">
        <f aca="false">IF($B43="","",SUMIFS('الحركات الشهرية'!$D$6:$D$1005,'الحركات الشهرية'!$B$6:$B$1005,$B43,'الحركات الشهرية'!$A$6:$A$1005,$C$3))</f>
        <v/>
      </c>
      <c r="I43" s="156" t="str">
        <f aca="false">IF($B43="","",MIN(G43,IF(AND(AK43&gt;0,AN43&gt;=AK43),G43,AN43)+SUMIFS('الحركات الشهرية'!$E$6:$E$1005,'الحركات الشهرية'!$B$6:$B$1005,$B43,'الحركات الشهرية'!$A$6:$A$1005,$C$3)))</f>
        <v/>
      </c>
      <c r="J43" s="156" t="str">
        <f aca="false">IF($B43="","",MAX(0,G43-H43-I43))</f>
        <v/>
      </c>
      <c r="K43" s="116" t="str">
        <f aca="false">IF($B43="","",الموظفون!$L43*$J43/cfg_DAYS_M)</f>
        <v/>
      </c>
      <c r="L43" s="116" t="str">
        <f aca="false">IF($B43="","",الموظفون!$M43*$J43/cfg_DAYS_M)</f>
        <v/>
      </c>
      <c r="M43" s="116" t="str">
        <f aca="false">IF($B43="","",الموظفون!$N43*$J43/cfg_DAYS_M)</f>
        <v/>
      </c>
      <c r="N43" s="116" t="str">
        <f aca="false">IF($B43="","",الموظفون!$O43*$J43/cfg_DAYS_M)</f>
        <v/>
      </c>
      <c r="O43" s="156" t="str">
        <f aca="false">IF($B43="","",SUMIFS('الحركات الشهرية'!$F$6:$F$1005,'الحركات الشهرية'!$B$6:$B$1005,$B43,'الحركات الشهرية'!$A$6:$A$1005,$C$3))</f>
        <v/>
      </c>
      <c r="P43" s="116" t="str">
        <f aca="false">IF($B43="","",O43*(الموظفون!$P43+الموظفون!$L43*cfg_OT_P)/cfg_DAYS_M/cfg_HRS)</f>
        <v/>
      </c>
      <c r="Q43" s="116" t="str">
        <f aca="false">IF($B43="","",SUMIFS('الحركات الشهرية'!$G$6:$G$1005,'الحركات الشهرية'!$B$6:$B$1005,$B43,'الحركات الشهرية'!$A$6:$A$1005,$C$3))</f>
        <v/>
      </c>
      <c r="R43" s="116" t="str">
        <f aca="false">IF($B43="","",SUMIFS('الحركات الشهرية'!$H$6:$H$1005,'الحركات الشهرية'!$B$6:$B$1005,$B43,'الحركات الشهرية'!$A$6:$A$1005,$C$3))</f>
        <v/>
      </c>
      <c r="S43" s="116" t="str">
        <f aca="false">IF($B43="","",SUMIFS('سجل الإجازات والحالات'!$N$6:$N$505,'سجل الإجازات والحالات'!$B$6:$B$505,$B43,'سجل الإجازات والحالات'!$O$6:$O$505,$C$3))</f>
        <v/>
      </c>
      <c r="T43" s="157" t="str">
        <f aca="false">IF($B43="","",SUM(K43:N43)+SUM(P43:S43))</f>
        <v/>
      </c>
      <c r="U43" s="116" t="str">
        <f aca="false">IF($B43="","",الموظفون!$S43*IF(E43="سعودي",cfg_G_SE,cfg_G_NE)*G43/cfg_DAYS_M)</f>
        <v/>
      </c>
      <c r="V43" s="116" t="str">
        <f aca="false">IF($B43="","",SUMIFS('الحركات الشهرية'!$I$6:$I$1005,'الحركات الشهرية'!$B$6:$B$1005,$B43,'الحركات الشهرية'!$A$6:$A$1005,$C$3))</f>
        <v/>
      </c>
      <c r="W43" s="116" t="str">
        <f aca="false">IF($B43="","",SUMIFS('الحركات الشهرية'!$J$6:$J$1005,'الحركات الشهرية'!$B$6:$B$1005,$B43,'الحركات الشهرية'!$A$6:$A$1005,$C$3))</f>
        <v/>
      </c>
      <c r="X43" s="116" t="str">
        <f aca="false">IF($B43="","",SUM(U43:W43))</f>
        <v/>
      </c>
      <c r="Y43" s="158" t="str">
        <f aca="false">IF($B43="","",T43-X43)</f>
        <v/>
      </c>
      <c r="Z43" s="116" t="str">
        <f aca="false">IF($B43="","",الموظفون!$S43*IF(E43="سعودي",cfg_G_SR,cfg_G_NR)*G43/cfg_DAYS_M)</f>
        <v/>
      </c>
      <c r="AA43" s="116" t="str">
        <f aca="false">IF($B43="","",الموظفون!$Q43*(cfg_EOS_R1*(MIN(AH43,cfg_EOS_TH)-MIN(AI43,cfg_EOS_TH))+cfg_EOS_R2*(MAX(AH43-cfg_EOS_TH,0)-MAX(AI43-cfg_EOS_TH,0))))</f>
        <v/>
      </c>
      <c r="AB43" s="116" t="str">
        <f aca="false">IF($B43="","",IF(الموظفون!$T43&lt;&gt;"",الموظفون!$T43,IF(AH43&gt;=cfg_LV_TH,cfg_LV_D2,cfg_LV_D1))/cfg_DAYS_Y*AJ43*الموظفون!$R43/cfg_DAYS_M)</f>
        <v/>
      </c>
      <c r="AC43" s="116" t="str">
        <f aca="false">IF($B43="","",IF(AND(الموظفون!$U43="نعم",N(الموظفون!$W43)&gt;0),الموظفون!$V43/الموظفون!$W43*12/cfg_DAYS_Y*AJ43,0))</f>
        <v/>
      </c>
      <c r="AD43" s="116" t="str">
        <f aca="false">IF($B43="","",(IF(الموظفون!$X43&lt;&gt;"",الموظفون!$X43,IF(الموظفون!$E43="غير سعودي",cfg_IQ,0))+IF(الموظفون!$Y43&lt;&gt;"",الموظفون!$Y43,IF(الموظفون!$E43="غير سعودي",cfg_WP,0)))/12*G43/cfg_DAYS_M)</f>
        <v/>
      </c>
      <c r="AE43" s="116" t="str">
        <f aca="false">IF($B43="","",IF(الموظفون!$Z43&lt;&gt;"",الموظفون!$Z43,cfg_MED)/12*G43/cfg_DAYS_M)</f>
        <v/>
      </c>
      <c r="AF43" s="116" t="str">
        <f aca="false">IF($B43="","",N(الموظفون!$AA43)/12*G43/cfg_DAYS_M)</f>
        <v/>
      </c>
      <c r="AG43" s="159" t="str">
        <f aca="false">IF($B43="","",T43+SUM(Z43:AF43))</f>
        <v/>
      </c>
      <c r="AH43" s="160" t="str">
        <f aca="false">IF($B43="","",MAX(0,IF(OR(الموظفون!$AE43="",الموظفون!$AE43&gt;$F$3),$F$3,الموظفون!$AE43)-الموظفون!$H43+1-SUMIFS('سجل الإجازات والحالات'!$AL$6:$AL$505,'سجل الإجازات والحالات'!$B$6:$B$505,$B43))/cfg_DAYS_Y)</f>
        <v/>
      </c>
      <c r="AI43" s="160" t="str">
        <f aca="false">IF($B43="","",MAX(0,IF(OR(الموظفون!$AE43="",الموظفون!$AE43&gt;($E$3-1)),($E$3-1),الموظفون!$AE43)-الموظفون!$H43+1-SUMIFS('سجل الإجازات والحالات'!$AK$6:$AK$505,'سجل الإجازات والحالات'!$B$6:$B$505,$B43))/cfg_DAYS_Y)</f>
        <v/>
      </c>
      <c r="AJ43" s="133" t="str">
        <f aca="false">IF($B43="","",MAX(0,AK43-(SUMIFS('سجل الإجازات والحالات'!$AL$6:$AL$505,'سجل الإجازات والحالات'!$B$6:$B$505,$B43)-SUMIFS('سجل الإجازات والحالات'!$AK$6:$AK$505,'سجل الإجازات والحالات'!$B$6:$B$505,$B43))))</f>
        <v/>
      </c>
      <c r="AK43" s="133" t="str">
        <f aca="false">IF($B43="","",MAX(0,IF(OR(الموظفون!$AE43="",الموظفون!$AE43&gt;$F$3),$F$3,الموظفون!$AE43)-MAX($E$3,الموظفون!$H43)+1))</f>
        <v/>
      </c>
      <c r="AL43" s="156" t="str">
        <f aca="false">IF($B43="","",SUMIFS('سجل الإجازات والحالات'!$AX$6:$AX$505,'سجل الإجازات والحالات'!$B$6:$B$505,$B43)+SUMIFS('الحركات الشهرية'!$K$6:$K$1005,'الحركات الشهرية'!$B$6:$B$1005,$B43,'الحركات الشهرية'!$A$6:$A$1005,$C$3))</f>
        <v/>
      </c>
      <c r="AM43" s="116" t="str">
        <f aca="false">IF($B43="","",AL43*الموظفون!$R43/cfg_DAYS_M+S43)</f>
        <v/>
      </c>
      <c r="AN43" s="156" t="str">
        <f aca="false">IF($B43="","",SUMIFS('سجل الإجازات والحالات'!$Z$6:$Z$505,'سجل الإجازات والحالات'!$B$6:$B$505,$B43))</f>
        <v/>
      </c>
    </row>
    <row r="44" customFormat="false" ht="15" hidden="false" customHeight="false" outlineLevel="0" collapsed="false">
      <c r="A44" s="106" t="str">
        <f aca="false">IF($B44="","",الموظفون!$A44)</f>
        <v/>
      </c>
      <c r="B44" s="114" t="str">
        <f aca="false">IF(الموظفون!$B44="","",الموظفون!$B44)</f>
        <v/>
      </c>
      <c r="C44" s="114" t="str">
        <f aca="false">IF($B44="","",الموظفون!$C44)</f>
        <v/>
      </c>
      <c r="D44" s="114" t="str">
        <f aca="false">IF($B44="","",الموظفون!$F44)</f>
        <v/>
      </c>
      <c r="E44" s="114" t="str">
        <f aca="false">IF($B44="","",الموظفون!$E44)</f>
        <v/>
      </c>
      <c r="F44" s="114" t="str">
        <f aca="false">IF($B44="","",IF(AK44=0,IF(AND(الموظفون!$AE44&lt;&gt;"",الموظفون!$AE44&lt;$E$3),"✖ منتهي الخدمة","⏳ لم يباشر"),IF(S44&gt;0,"✈ راتب إجازة مقدم",IF(J44=0,"⛔ بدون راتب هذا الشهر",IF(I44&gt;0,"✈ خصم "&amp;ROUND(I44,2)&amp;" يوم بدون أجر",IF(AL44&gt;0,"🌴 إجازة سنوية "&amp;ROUND(AL44,2)&amp;" يوم",IF(H44&gt;0,"⚠ غياب "&amp;ROUND(H44,2)&amp;" يوم","✔ على رأس العمل")))))))</f>
        <v/>
      </c>
      <c r="G44" s="151" t="str">
        <f aca="false">IF($B44="","",IF(AK44&gt;=DAY($F$3),cfg_DAYS_M,MIN(AK44,cfg_DAYS_M)))</f>
        <v/>
      </c>
      <c r="H44" s="151" t="str">
        <f aca="false">IF($B44="","",SUMIFS('الحركات الشهرية'!$D$6:$D$1005,'الحركات الشهرية'!$B$6:$B$1005,$B44,'الحركات الشهرية'!$A$6:$A$1005,$C$3))</f>
        <v/>
      </c>
      <c r="I44" s="151" t="str">
        <f aca="false">IF($B44="","",MIN(G44,IF(AND(AK44&gt;0,AN44&gt;=AK44),G44,AN44)+SUMIFS('الحركات الشهرية'!$E$6:$E$1005,'الحركات الشهرية'!$B$6:$B$1005,$B44,'الحركات الشهرية'!$A$6:$A$1005,$C$3)))</f>
        <v/>
      </c>
      <c r="J44" s="151" t="str">
        <f aca="false">IF($B44="","",MAX(0,G44-H44-I44))</f>
        <v/>
      </c>
      <c r="K44" s="111" t="str">
        <f aca="false">IF($B44="","",الموظفون!$L44*$J44/cfg_DAYS_M)</f>
        <v/>
      </c>
      <c r="L44" s="111" t="str">
        <f aca="false">IF($B44="","",الموظفون!$M44*$J44/cfg_DAYS_M)</f>
        <v/>
      </c>
      <c r="M44" s="111" t="str">
        <f aca="false">IF($B44="","",الموظفون!$N44*$J44/cfg_DAYS_M)</f>
        <v/>
      </c>
      <c r="N44" s="111" t="str">
        <f aca="false">IF($B44="","",الموظفون!$O44*$J44/cfg_DAYS_M)</f>
        <v/>
      </c>
      <c r="O44" s="151" t="str">
        <f aca="false">IF($B44="","",SUMIFS('الحركات الشهرية'!$F$6:$F$1005,'الحركات الشهرية'!$B$6:$B$1005,$B44,'الحركات الشهرية'!$A$6:$A$1005,$C$3))</f>
        <v/>
      </c>
      <c r="P44" s="111" t="str">
        <f aca="false">IF($B44="","",O44*(الموظفون!$P44+الموظفون!$L44*cfg_OT_P)/cfg_DAYS_M/cfg_HRS)</f>
        <v/>
      </c>
      <c r="Q44" s="111" t="str">
        <f aca="false">IF($B44="","",SUMIFS('الحركات الشهرية'!$G$6:$G$1005,'الحركات الشهرية'!$B$6:$B$1005,$B44,'الحركات الشهرية'!$A$6:$A$1005,$C$3))</f>
        <v/>
      </c>
      <c r="R44" s="111" t="str">
        <f aca="false">IF($B44="","",SUMIFS('الحركات الشهرية'!$H$6:$H$1005,'الحركات الشهرية'!$B$6:$B$1005,$B44,'الحركات الشهرية'!$A$6:$A$1005,$C$3))</f>
        <v/>
      </c>
      <c r="S44" s="111" t="str">
        <f aca="false">IF($B44="","",SUMIFS('سجل الإجازات والحالات'!$N$6:$N$505,'سجل الإجازات والحالات'!$B$6:$B$505,$B44,'سجل الإجازات والحالات'!$O$6:$O$505,$C$3))</f>
        <v/>
      </c>
      <c r="T44" s="152" t="str">
        <f aca="false">IF($B44="","",SUM(K44:N44)+SUM(P44:S44))</f>
        <v/>
      </c>
      <c r="U44" s="111" t="str">
        <f aca="false">IF($B44="","",الموظفون!$S44*IF(E44="سعودي",cfg_G_SE,cfg_G_NE)*G44/cfg_DAYS_M)</f>
        <v/>
      </c>
      <c r="V44" s="111" t="str">
        <f aca="false">IF($B44="","",SUMIFS('الحركات الشهرية'!$I$6:$I$1005,'الحركات الشهرية'!$B$6:$B$1005,$B44,'الحركات الشهرية'!$A$6:$A$1005,$C$3))</f>
        <v/>
      </c>
      <c r="W44" s="111" t="str">
        <f aca="false">IF($B44="","",SUMIFS('الحركات الشهرية'!$J$6:$J$1005,'الحركات الشهرية'!$B$6:$B$1005,$B44,'الحركات الشهرية'!$A$6:$A$1005,$C$3))</f>
        <v/>
      </c>
      <c r="X44" s="111" t="str">
        <f aca="false">IF($B44="","",SUM(U44:W44))</f>
        <v/>
      </c>
      <c r="Y44" s="153" t="str">
        <f aca="false">IF($B44="","",T44-X44)</f>
        <v/>
      </c>
      <c r="Z44" s="111" t="str">
        <f aca="false">IF($B44="","",الموظفون!$S44*IF(E44="سعودي",cfg_G_SR,cfg_G_NR)*G44/cfg_DAYS_M)</f>
        <v/>
      </c>
      <c r="AA44" s="111" t="str">
        <f aca="false">IF($B44="","",الموظفون!$Q44*(cfg_EOS_R1*(MIN(AH44,cfg_EOS_TH)-MIN(AI44,cfg_EOS_TH))+cfg_EOS_R2*(MAX(AH44-cfg_EOS_TH,0)-MAX(AI44-cfg_EOS_TH,0))))</f>
        <v/>
      </c>
      <c r="AB44" s="111" t="str">
        <f aca="false">IF($B44="","",IF(الموظفون!$T44&lt;&gt;"",الموظفون!$T44,IF(AH44&gt;=cfg_LV_TH,cfg_LV_D2,cfg_LV_D1))/cfg_DAYS_Y*AJ44*الموظفون!$R44/cfg_DAYS_M)</f>
        <v/>
      </c>
      <c r="AC44" s="111" t="str">
        <f aca="false">IF($B44="","",IF(AND(الموظفون!$U44="نعم",N(الموظفون!$W44)&gt;0),الموظفون!$V44/الموظفون!$W44*12/cfg_DAYS_Y*AJ44,0))</f>
        <v/>
      </c>
      <c r="AD44" s="111" t="str">
        <f aca="false">IF($B44="","",(IF(الموظفون!$X44&lt;&gt;"",الموظفون!$X44,IF(الموظفون!$E44="غير سعودي",cfg_IQ,0))+IF(الموظفون!$Y44&lt;&gt;"",الموظفون!$Y44,IF(الموظفون!$E44="غير سعودي",cfg_WP,0)))/12*G44/cfg_DAYS_M)</f>
        <v/>
      </c>
      <c r="AE44" s="111" t="str">
        <f aca="false">IF($B44="","",IF(الموظفون!$Z44&lt;&gt;"",الموظفون!$Z44,cfg_MED)/12*G44/cfg_DAYS_M)</f>
        <v/>
      </c>
      <c r="AF44" s="111" t="str">
        <f aca="false">IF($B44="","",N(الموظفون!$AA44)/12*G44/cfg_DAYS_M)</f>
        <v/>
      </c>
      <c r="AG44" s="154" t="str">
        <f aca="false">IF($B44="","",T44+SUM(Z44:AF44))</f>
        <v/>
      </c>
      <c r="AH44" s="155" t="str">
        <f aca="false">IF($B44="","",MAX(0,IF(OR(الموظفون!$AE44="",الموظفون!$AE44&gt;$F$3),$F$3,الموظفون!$AE44)-الموظفون!$H44+1-SUMIFS('سجل الإجازات والحالات'!$AL$6:$AL$505,'سجل الإجازات والحالات'!$B$6:$B$505,$B44))/cfg_DAYS_Y)</f>
        <v/>
      </c>
      <c r="AI44" s="155" t="str">
        <f aca="false">IF($B44="","",MAX(0,IF(OR(الموظفون!$AE44="",الموظفون!$AE44&gt;($E$3-1)),($E$3-1),الموظفون!$AE44)-الموظفون!$H44+1-SUMIFS('سجل الإجازات والحالات'!$AK$6:$AK$505,'سجل الإجازات والحالات'!$B$6:$B$505,$B44))/cfg_DAYS_Y)</f>
        <v/>
      </c>
      <c r="AJ44" s="65" t="str">
        <f aca="false">IF($B44="","",MAX(0,AK44-(SUMIFS('سجل الإجازات والحالات'!$AL$6:$AL$505,'سجل الإجازات والحالات'!$B$6:$B$505,$B44)-SUMIFS('سجل الإجازات والحالات'!$AK$6:$AK$505,'سجل الإجازات والحالات'!$B$6:$B$505,$B44))))</f>
        <v/>
      </c>
      <c r="AK44" s="65" t="str">
        <f aca="false">IF($B44="","",MAX(0,IF(OR(الموظفون!$AE44="",الموظفون!$AE44&gt;$F$3),$F$3,الموظفون!$AE44)-MAX($E$3,الموظفون!$H44)+1))</f>
        <v/>
      </c>
      <c r="AL44" s="151" t="str">
        <f aca="false">IF($B44="","",SUMIFS('سجل الإجازات والحالات'!$AX$6:$AX$505,'سجل الإجازات والحالات'!$B$6:$B$505,$B44)+SUMIFS('الحركات الشهرية'!$K$6:$K$1005,'الحركات الشهرية'!$B$6:$B$1005,$B44,'الحركات الشهرية'!$A$6:$A$1005,$C$3))</f>
        <v/>
      </c>
      <c r="AM44" s="111" t="str">
        <f aca="false">IF($B44="","",AL44*الموظفون!$R44/cfg_DAYS_M+S44)</f>
        <v/>
      </c>
      <c r="AN44" s="151" t="str">
        <f aca="false">IF($B44="","",SUMIFS('سجل الإجازات والحالات'!$Z$6:$Z$505,'سجل الإجازات والحالات'!$B$6:$B$505,$B44))</f>
        <v/>
      </c>
    </row>
    <row r="45" customFormat="false" ht="15" hidden="false" customHeight="false" outlineLevel="0" collapsed="false">
      <c r="A45" s="115" t="str">
        <f aca="false">IF($B45="","",الموظفون!$A45)</f>
        <v/>
      </c>
      <c r="B45" s="117" t="str">
        <f aca="false">IF(الموظفون!$B45="","",الموظفون!$B45)</f>
        <v/>
      </c>
      <c r="C45" s="117" t="str">
        <f aca="false">IF($B45="","",الموظفون!$C45)</f>
        <v/>
      </c>
      <c r="D45" s="117" t="str">
        <f aca="false">IF($B45="","",الموظفون!$F45)</f>
        <v/>
      </c>
      <c r="E45" s="117" t="str">
        <f aca="false">IF($B45="","",الموظفون!$E45)</f>
        <v/>
      </c>
      <c r="F45" s="117" t="str">
        <f aca="false">IF($B45="","",IF(AK45=0,IF(AND(الموظفون!$AE45&lt;&gt;"",الموظفون!$AE45&lt;$E$3),"✖ منتهي الخدمة","⏳ لم يباشر"),IF(S45&gt;0,"✈ راتب إجازة مقدم",IF(J45=0,"⛔ بدون راتب هذا الشهر",IF(I45&gt;0,"✈ خصم "&amp;ROUND(I45,2)&amp;" يوم بدون أجر",IF(AL45&gt;0,"🌴 إجازة سنوية "&amp;ROUND(AL45,2)&amp;" يوم",IF(H45&gt;0,"⚠ غياب "&amp;ROUND(H45,2)&amp;" يوم","✔ على رأس العمل")))))))</f>
        <v/>
      </c>
      <c r="G45" s="156" t="str">
        <f aca="false">IF($B45="","",IF(AK45&gt;=DAY($F$3),cfg_DAYS_M,MIN(AK45,cfg_DAYS_M)))</f>
        <v/>
      </c>
      <c r="H45" s="156" t="str">
        <f aca="false">IF($B45="","",SUMIFS('الحركات الشهرية'!$D$6:$D$1005,'الحركات الشهرية'!$B$6:$B$1005,$B45,'الحركات الشهرية'!$A$6:$A$1005,$C$3))</f>
        <v/>
      </c>
      <c r="I45" s="156" t="str">
        <f aca="false">IF($B45="","",MIN(G45,IF(AND(AK45&gt;0,AN45&gt;=AK45),G45,AN45)+SUMIFS('الحركات الشهرية'!$E$6:$E$1005,'الحركات الشهرية'!$B$6:$B$1005,$B45,'الحركات الشهرية'!$A$6:$A$1005,$C$3)))</f>
        <v/>
      </c>
      <c r="J45" s="156" t="str">
        <f aca="false">IF($B45="","",MAX(0,G45-H45-I45))</f>
        <v/>
      </c>
      <c r="K45" s="116" t="str">
        <f aca="false">IF($B45="","",الموظفون!$L45*$J45/cfg_DAYS_M)</f>
        <v/>
      </c>
      <c r="L45" s="116" t="str">
        <f aca="false">IF($B45="","",الموظفون!$M45*$J45/cfg_DAYS_M)</f>
        <v/>
      </c>
      <c r="M45" s="116" t="str">
        <f aca="false">IF($B45="","",الموظفون!$N45*$J45/cfg_DAYS_M)</f>
        <v/>
      </c>
      <c r="N45" s="116" t="str">
        <f aca="false">IF($B45="","",الموظفون!$O45*$J45/cfg_DAYS_M)</f>
        <v/>
      </c>
      <c r="O45" s="156" t="str">
        <f aca="false">IF($B45="","",SUMIFS('الحركات الشهرية'!$F$6:$F$1005,'الحركات الشهرية'!$B$6:$B$1005,$B45,'الحركات الشهرية'!$A$6:$A$1005,$C$3))</f>
        <v/>
      </c>
      <c r="P45" s="116" t="str">
        <f aca="false">IF($B45="","",O45*(الموظفون!$P45+الموظفون!$L45*cfg_OT_P)/cfg_DAYS_M/cfg_HRS)</f>
        <v/>
      </c>
      <c r="Q45" s="116" t="str">
        <f aca="false">IF($B45="","",SUMIFS('الحركات الشهرية'!$G$6:$G$1005,'الحركات الشهرية'!$B$6:$B$1005,$B45,'الحركات الشهرية'!$A$6:$A$1005,$C$3))</f>
        <v/>
      </c>
      <c r="R45" s="116" t="str">
        <f aca="false">IF($B45="","",SUMIFS('الحركات الشهرية'!$H$6:$H$1005,'الحركات الشهرية'!$B$6:$B$1005,$B45,'الحركات الشهرية'!$A$6:$A$1005,$C$3))</f>
        <v/>
      </c>
      <c r="S45" s="116" t="str">
        <f aca="false">IF($B45="","",SUMIFS('سجل الإجازات والحالات'!$N$6:$N$505,'سجل الإجازات والحالات'!$B$6:$B$505,$B45,'سجل الإجازات والحالات'!$O$6:$O$505,$C$3))</f>
        <v/>
      </c>
      <c r="T45" s="157" t="str">
        <f aca="false">IF($B45="","",SUM(K45:N45)+SUM(P45:S45))</f>
        <v/>
      </c>
      <c r="U45" s="116" t="str">
        <f aca="false">IF($B45="","",الموظفون!$S45*IF(E45="سعودي",cfg_G_SE,cfg_G_NE)*G45/cfg_DAYS_M)</f>
        <v/>
      </c>
      <c r="V45" s="116" t="str">
        <f aca="false">IF($B45="","",SUMIFS('الحركات الشهرية'!$I$6:$I$1005,'الحركات الشهرية'!$B$6:$B$1005,$B45,'الحركات الشهرية'!$A$6:$A$1005,$C$3))</f>
        <v/>
      </c>
      <c r="W45" s="116" t="str">
        <f aca="false">IF($B45="","",SUMIFS('الحركات الشهرية'!$J$6:$J$1005,'الحركات الشهرية'!$B$6:$B$1005,$B45,'الحركات الشهرية'!$A$6:$A$1005,$C$3))</f>
        <v/>
      </c>
      <c r="X45" s="116" t="str">
        <f aca="false">IF($B45="","",SUM(U45:W45))</f>
        <v/>
      </c>
      <c r="Y45" s="158" t="str">
        <f aca="false">IF($B45="","",T45-X45)</f>
        <v/>
      </c>
      <c r="Z45" s="116" t="str">
        <f aca="false">IF($B45="","",الموظفون!$S45*IF(E45="سعودي",cfg_G_SR,cfg_G_NR)*G45/cfg_DAYS_M)</f>
        <v/>
      </c>
      <c r="AA45" s="116" t="str">
        <f aca="false">IF($B45="","",الموظفون!$Q45*(cfg_EOS_R1*(MIN(AH45,cfg_EOS_TH)-MIN(AI45,cfg_EOS_TH))+cfg_EOS_R2*(MAX(AH45-cfg_EOS_TH,0)-MAX(AI45-cfg_EOS_TH,0))))</f>
        <v/>
      </c>
      <c r="AB45" s="116" t="str">
        <f aca="false">IF($B45="","",IF(الموظفون!$T45&lt;&gt;"",الموظفون!$T45,IF(AH45&gt;=cfg_LV_TH,cfg_LV_D2,cfg_LV_D1))/cfg_DAYS_Y*AJ45*الموظفون!$R45/cfg_DAYS_M)</f>
        <v/>
      </c>
      <c r="AC45" s="116" t="str">
        <f aca="false">IF($B45="","",IF(AND(الموظفون!$U45="نعم",N(الموظفون!$W45)&gt;0),الموظفون!$V45/الموظفون!$W45*12/cfg_DAYS_Y*AJ45,0))</f>
        <v/>
      </c>
      <c r="AD45" s="116" t="str">
        <f aca="false">IF($B45="","",(IF(الموظفون!$X45&lt;&gt;"",الموظفون!$X45,IF(الموظفون!$E45="غير سعودي",cfg_IQ,0))+IF(الموظفون!$Y45&lt;&gt;"",الموظفون!$Y45,IF(الموظفون!$E45="غير سعودي",cfg_WP,0)))/12*G45/cfg_DAYS_M)</f>
        <v/>
      </c>
      <c r="AE45" s="116" t="str">
        <f aca="false">IF($B45="","",IF(الموظفون!$Z45&lt;&gt;"",الموظفون!$Z45,cfg_MED)/12*G45/cfg_DAYS_M)</f>
        <v/>
      </c>
      <c r="AF45" s="116" t="str">
        <f aca="false">IF($B45="","",N(الموظفون!$AA45)/12*G45/cfg_DAYS_M)</f>
        <v/>
      </c>
      <c r="AG45" s="159" t="str">
        <f aca="false">IF($B45="","",T45+SUM(Z45:AF45))</f>
        <v/>
      </c>
      <c r="AH45" s="160" t="str">
        <f aca="false">IF($B45="","",MAX(0,IF(OR(الموظفون!$AE45="",الموظفون!$AE45&gt;$F$3),$F$3,الموظفون!$AE45)-الموظفون!$H45+1-SUMIFS('سجل الإجازات والحالات'!$AL$6:$AL$505,'سجل الإجازات والحالات'!$B$6:$B$505,$B45))/cfg_DAYS_Y)</f>
        <v/>
      </c>
      <c r="AI45" s="160" t="str">
        <f aca="false">IF($B45="","",MAX(0,IF(OR(الموظفون!$AE45="",الموظفون!$AE45&gt;($E$3-1)),($E$3-1),الموظفون!$AE45)-الموظفون!$H45+1-SUMIFS('سجل الإجازات والحالات'!$AK$6:$AK$505,'سجل الإجازات والحالات'!$B$6:$B$505,$B45))/cfg_DAYS_Y)</f>
        <v/>
      </c>
      <c r="AJ45" s="133" t="str">
        <f aca="false">IF($B45="","",MAX(0,AK45-(SUMIFS('سجل الإجازات والحالات'!$AL$6:$AL$505,'سجل الإجازات والحالات'!$B$6:$B$505,$B45)-SUMIFS('سجل الإجازات والحالات'!$AK$6:$AK$505,'سجل الإجازات والحالات'!$B$6:$B$505,$B45))))</f>
        <v/>
      </c>
      <c r="AK45" s="133" t="str">
        <f aca="false">IF($B45="","",MAX(0,IF(OR(الموظفون!$AE45="",الموظفون!$AE45&gt;$F$3),$F$3,الموظفون!$AE45)-MAX($E$3,الموظفون!$H45)+1))</f>
        <v/>
      </c>
      <c r="AL45" s="156" t="str">
        <f aca="false">IF($B45="","",SUMIFS('سجل الإجازات والحالات'!$AX$6:$AX$505,'سجل الإجازات والحالات'!$B$6:$B$505,$B45)+SUMIFS('الحركات الشهرية'!$K$6:$K$1005,'الحركات الشهرية'!$B$6:$B$1005,$B45,'الحركات الشهرية'!$A$6:$A$1005,$C$3))</f>
        <v/>
      </c>
      <c r="AM45" s="116" t="str">
        <f aca="false">IF($B45="","",AL45*الموظفون!$R45/cfg_DAYS_M+S45)</f>
        <v/>
      </c>
      <c r="AN45" s="156" t="str">
        <f aca="false">IF($B45="","",SUMIFS('سجل الإجازات والحالات'!$Z$6:$Z$505,'سجل الإجازات والحالات'!$B$6:$B$505,$B45))</f>
        <v/>
      </c>
    </row>
    <row r="46" customFormat="false" ht="15" hidden="false" customHeight="false" outlineLevel="0" collapsed="false">
      <c r="A46" s="106" t="str">
        <f aca="false">IF($B46="","",الموظفون!$A46)</f>
        <v/>
      </c>
      <c r="B46" s="114" t="str">
        <f aca="false">IF(الموظفون!$B46="","",الموظفون!$B46)</f>
        <v/>
      </c>
      <c r="C46" s="114" t="str">
        <f aca="false">IF($B46="","",الموظفون!$C46)</f>
        <v/>
      </c>
      <c r="D46" s="114" t="str">
        <f aca="false">IF($B46="","",الموظفون!$F46)</f>
        <v/>
      </c>
      <c r="E46" s="114" t="str">
        <f aca="false">IF($B46="","",الموظفون!$E46)</f>
        <v/>
      </c>
      <c r="F46" s="114" t="str">
        <f aca="false">IF($B46="","",IF(AK46=0,IF(AND(الموظفون!$AE46&lt;&gt;"",الموظفون!$AE46&lt;$E$3),"✖ منتهي الخدمة","⏳ لم يباشر"),IF(S46&gt;0,"✈ راتب إجازة مقدم",IF(J46=0,"⛔ بدون راتب هذا الشهر",IF(I46&gt;0,"✈ خصم "&amp;ROUND(I46,2)&amp;" يوم بدون أجر",IF(AL46&gt;0,"🌴 إجازة سنوية "&amp;ROUND(AL46,2)&amp;" يوم",IF(H46&gt;0,"⚠ غياب "&amp;ROUND(H46,2)&amp;" يوم","✔ على رأس العمل")))))))</f>
        <v/>
      </c>
      <c r="G46" s="151" t="str">
        <f aca="false">IF($B46="","",IF(AK46&gt;=DAY($F$3),cfg_DAYS_M,MIN(AK46,cfg_DAYS_M)))</f>
        <v/>
      </c>
      <c r="H46" s="151" t="str">
        <f aca="false">IF($B46="","",SUMIFS('الحركات الشهرية'!$D$6:$D$1005,'الحركات الشهرية'!$B$6:$B$1005,$B46,'الحركات الشهرية'!$A$6:$A$1005,$C$3))</f>
        <v/>
      </c>
      <c r="I46" s="151" t="str">
        <f aca="false">IF($B46="","",MIN(G46,IF(AND(AK46&gt;0,AN46&gt;=AK46),G46,AN46)+SUMIFS('الحركات الشهرية'!$E$6:$E$1005,'الحركات الشهرية'!$B$6:$B$1005,$B46,'الحركات الشهرية'!$A$6:$A$1005,$C$3)))</f>
        <v/>
      </c>
      <c r="J46" s="151" t="str">
        <f aca="false">IF($B46="","",MAX(0,G46-H46-I46))</f>
        <v/>
      </c>
      <c r="K46" s="111" t="str">
        <f aca="false">IF($B46="","",الموظفون!$L46*$J46/cfg_DAYS_M)</f>
        <v/>
      </c>
      <c r="L46" s="111" t="str">
        <f aca="false">IF($B46="","",الموظفون!$M46*$J46/cfg_DAYS_M)</f>
        <v/>
      </c>
      <c r="M46" s="111" t="str">
        <f aca="false">IF($B46="","",الموظفون!$N46*$J46/cfg_DAYS_M)</f>
        <v/>
      </c>
      <c r="N46" s="111" t="str">
        <f aca="false">IF($B46="","",الموظفون!$O46*$J46/cfg_DAYS_M)</f>
        <v/>
      </c>
      <c r="O46" s="151" t="str">
        <f aca="false">IF($B46="","",SUMIFS('الحركات الشهرية'!$F$6:$F$1005,'الحركات الشهرية'!$B$6:$B$1005,$B46,'الحركات الشهرية'!$A$6:$A$1005,$C$3))</f>
        <v/>
      </c>
      <c r="P46" s="111" t="str">
        <f aca="false">IF($B46="","",O46*(الموظفون!$P46+الموظفون!$L46*cfg_OT_P)/cfg_DAYS_M/cfg_HRS)</f>
        <v/>
      </c>
      <c r="Q46" s="111" t="str">
        <f aca="false">IF($B46="","",SUMIFS('الحركات الشهرية'!$G$6:$G$1005,'الحركات الشهرية'!$B$6:$B$1005,$B46,'الحركات الشهرية'!$A$6:$A$1005,$C$3))</f>
        <v/>
      </c>
      <c r="R46" s="111" t="str">
        <f aca="false">IF($B46="","",SUMIFS('الحركات الشهرية'!$H$6:$H$1005,'الحركات الشهرية'!$B$6:$B$1005,$B46,'الحركات الشهرية'!$A$6:$A$1005,$C$3))</f>
        <v/>
      </c>
      <c r="S46" s="111" t="str">
        <f aca="false">IF($B46="","",SUMIFS('سجل الإجازات والحالات'!$N$6:$N$505,'سجل الإجازات والحالات'!$B$6:$B$505,$B46,'سجل الإجازات والحالات'!$O$6:$O$505,$C$3))</f>
        <v/>
      </c>
      <c r="T46" s="152" t="str">
        <f aca="false">IF($B46="","",SUM(K46:N46)+SUM(P46:S46))</f>
        <v/>
      </c>
      <c r="U46" s="111" t="str">
        <f aca="false">IF($B46="","",الموظفون!$S46*IF(E46="سعودي",cfg_G_SE,cfg_G_NE)*G46/cfg_DAYS_M)</f>
        <v/>
      </c>
      <c r="V46" s="111" t="str">
        <f aca="false">IF($B46="","",SUMIFS('الحركات الشهرية'!$I$6:$I$1005,'الحركات الشهرية'!$B$6:$B$1005,$B46,'الحركات الشهرية'!$A$6:$A$1005,$C$3))</f>
        <v/>
      </c>
      <c r="W46" s="111" t="str">
        <f aca="false">IF($B46="","",SUMIFS('الحركات الشهرية'!$J$6:$J$1005,'الحركات الشهرية'!$B$6:$B$1005,$B46,'الحركات الشهرية'!$A$6:$A$1005,$C$3))</f>
        <v/>
      </c>
      <c r="X46" s="111" t="str">
        <f aca="false">IF($B46="","",SUM(U46:W46))</f>
        <v/>
      </c>
      <c r="Y46" s="153" t="str">
        <f aca="false">IF($B46="","",T46-X46)</f>
        <v/>
      </c>
      <c r="Z46" s="111" t="str">
        <f aca="false">IF($B46="","",الموظفون!$S46*IF(E46="سعودي",cfg_G_SR,cfg_G_NR)*G46/cfg_DAYS_M)</f>
        <v/>
      </c>
      <c r="AA46" s="111" t="str">
        <f aca="false">IF($B46="","",الموظفون!$Q46*(cfg_EOS_R1*(MIN(AH46,cfg_EOS_TH)-MIN(AI46,cfg_EOS_TH))+cfg_EOS_R2*(MAX(AH46-cfg_EOS_TH,0)-MAX(AI46-cfg_EOS_TH,0))))</f>
        <v/>
      </c>
      <c r="AB46" s="111" t="str">
        <f aca="false">IF($B46="","",IF(الموظفون!$T46&lt;&gt;"",الموظفون!$T46,IF(AH46&gt;=cfg_LV_TH,cfg_LV_D2,cfg_LV_D1))/cfg_DAYS_Y*AJ46*الموظفون!$R46/cfg_DAYS_M)</f>
        <v/>
      </c>
      <c r="AC46" s="111" t="str">
        <f aca="false">IF($B46="","",IF(AND(الموظفون!$U46="نعم",N(الموظفون!$W46)&gt;0),الموظفون!$V46/الموظفون!$W46*12/cfg_DAYS_Y*AJ46,0))</f>
        <v/>
      </c>
      <c r="AD46" s="111" t="str">
        <f aca="false">IF($B46="","",(IF(الموظفون!$X46&lt;&gt;"",الموظفون!$X46,IF(الموظفون!$E46="غير سعودي",cfg_IQ,0))+IF(الموظفون!$Y46&lt;&gt;"",الموظفون!$Y46,IF(الموظفون!$E46="غير سعودي",cfg_WP,0)))/12*G46/cfg_DAYS_M)</f>
        <v/>
      </c>
      <c r="AE46" s="111" t="str">
        <f aca="false">IF($B46="","",IF(الموظفون!$Z46&lt;&gt;"",الموظفون!$Z46,cfg_MED)/12*G46/cfg_DAYS_M)</f>
        <v/>
      </c>
      <c r="AF46" s="111" t="str">
        <f aca="false">IF($B46="","",N(الموظفون!$AA46)/12*G46/cfg_DAYS_M)</f>
        <v/>
      </c>
      <c r="AG46" s="154" t="str">
        <f aca="false">IF($B46="","",T46+SUM(Z46:AF46))</f>
        <v/>
      </c>
      <c r="AH46" s="155" t="str">
        <f aca="false">IF($B46="","",MAX(0,IF(OR(الموظفون!$AE46="",الموظفون!$AE46&gt;$F$3),$F$3,الموظفون!$AE46)-الموظفون!$H46+1-SUMIFS('سجل الإجازات والحالات'!$AL$6:$AL$505,'سجل الإجازات والحالات'!$B$6:$B$505,$B46))/cfg_DAYS_Y)</f>
        <v/>
      </c>
      <c r="AI46" s="155" t="str">
        <f aca="false">IF($B46="","",MAX(0,IF(OR(الموظفون!$AE46="",الموظفون!$AE46&gt;($E$3-1)),($E$3-1),الموظفون!$AE46)-الموظفون!$H46+1-SUMIFS('سجل الإجازات والحالات'!$AK$6:$AK$505,'سجل الإجازات والحالات'!$B$6:$B$505,$B46))/cfg_DAYS_Y)</f>
        <v/>
      </c>
      <c r="AJ46" s="65" t="str">
        <f aca="false">IF($B46="","",MAX(0,AK46-(SUMIFS('سجل الإجازات والحالات'!$AL$6:$AL$505,'سجل الإجازات والحالات'!$B$6:$B$505,$B46)-SUMIFS('سجل الإجازات والحالات'!$AK$6:$AK$505,'سجل الإجازات والحالات'!$B$6:$B$505,$B46))))</f>
        <v/>
      </c>
      <c r="AK46" s="65" t="str">
        <f aca="false">IF($B46="","",MAX(0,IF(OR(الموظفون!$AE46="",الموظفون!$AE46&gt;$F$3),$F$3,الموظفون!$AE46)-MAX($E$3,الموظفون!$H46)+1))</f>
        <v/>
      </c>
      <c r="AL46" s="151" t="str">
        <f aca="false">IF($B46="","",SUMIFS('سجل الإجازات والحالات'!$AX$6:$AX$505,'سجل الإجازات والحالات'!$B$6:$B$505,$B46)+SUMIFS('الحركات الشهرية'!$K$6:$K$1005,'الحركات الشهرية'!$B$6:$B$1005,$B46,'الحركات الشهرية'!$A$6:$A$1005,$C$3))</f>
        <v/>
      </c>
      <c r="AM46" s="111" t="str">
        <f aca="false">IF($B46="","",AL46*الموظفون!$R46/cfg_DAYS_M+S46)</f>
        <v/>
      </c>
      <c r="AN46" s="151" t="str">
        <f aca="false">IF($B46="","",SUMIFS('سجل الإجازات والحالات'!$Z$6:$Z$505,'سجل الإجازات والحالات'!$B$6:$B$505,$B46))</f>
        <v/>
      </c>
    </row>
    <row r="47" customFormat="false" ht="15" hidden="false" customHeight="false" outlineLevel="0" collapsed="false">
      <c r="A47" s="115" t="str">
        <f aca="false">IF($B47="","",الموظفون!$A47)</f>
        <v/>
      </c>
      <c r="B47" s="117" t="str">
        <f aca="false">IF(الموظفون!$B47="","",الموظفون!$B47)</f>
        <v/>
      </c>
      <c r="C47" s="117" t="str">
        <f aca="false">IF($B47="","",الموظفون!$C47)</f>
        <v/>
      </c>
      <c r="D47" s="117" t="str">
        <f aca="false">IF($B47="","",الموظفون!$F47)</f>
        <v/>
      </c>
      <c r="E47" s="117" t="str">
        <f aca="false">IF($B47="","",الموظفون!$E47)</f>
        <v/>
      </c>
      <c r="F47" s="117" t="str">
        <f aca="false">IF($B47="","",IF(AK47=0,IF(AND(الموظفون!$AE47&lt;&gt;"",الموظفون!$AE47&lt;$E$3),"✖ منتهي الخدمة","⏳ لم يباشر"),IF(S47&gt;0,"✈ راتب إجازة مقدم",IF(J47=0,"⛔ بدون راتب هذا الشهر",IF(I47&gt;0,"✈ خصم "&amp;ROUND(I47,2)&amp;" يوم بدون أجر",IF(AL47&gt;0,"🌴 إجازة سنوية "&amp;ROUND(AL47,2)&amp;" يوم",IF(H47&gt;0,"⚠ غياب "&amp;ROUND(H47,2)&amp;" يوم","✔ على رأس العمل")))))))</f>
        <v/>
      </c>
      <c r="G47" s="156" t="str">
        <f aca="false">IF($B47="","",IF(AK47&gt;=DAY($F$3),cfg_DAYS_M,MIN(AK47,cfg_DAYS_M)))</f>
        <v/>
      </c>
      <c r="H47" s="156" t="str">
        <f aca="false">IF($B47="","",SUMIFS('الحركات الشهرية'!$D$6:$D$1005,'الحركات الشهرية'!$B$6:$B$1005,$B47,'الحركات الشهرية'!$A$6:$A$1005,$C$3))</f>
        <v/>
      </c>
      <c r="I47" s="156" t="str">
        <f aca="false">IF($B47="","",MIN(G47,IF(AND(AK47&gt;0,AN47&gt;=AK47),G47,AN47)+SUMIFS('الحركات الشهرية'!$E$6:$E$1005,'الحركات الشهرية'!$B$6:$B$1005,$B47,'الحركات الشهرية'!$A$6:$A$1005,$C$3)))</f>
        <v/>
      </c>
      <c r="J47" s="156" t="str">
        <f aca="false">IF($B47="","",MAX(0,G47-H47-I47))</f>
        <v/>
      </c>
      <c r="K47" s="116" t="str">
        <f aca="false">IF($B47="","",الموظفون!$L47*$J47/cfg_DAYS_M)</f>
        <v/>
      </c>
      <c r="L47" s="116" t="str">
        <f aca="false">IF($B47="","",الموظفون!$M47*$J47/cfg_DAYS_M)</f>
        <v/>
      </c>
      <c r="M47" s="116" t="str">
        <f aca="false">IF($B47="","",الموظفون!$N47*$J47/cfg_DAYS_M)</f>
        <v/>
      </c>
      <c r="N47" s="116" t="str">
        <f aca="false">IF($B47="","",الموظفون!$O47*$J47/cfg_DAYS_M)</f>
        <v/>
      </c>
      <c r="O47" s="156" t="str">
        <f aca="false">IF($B47="","",SUMIFS('الحركات الشهرية'!$F$6:$F$1005,'الحركات الشهرية'!$B$6:$B$1005,$B47,'الحركات الشهرية'!$A$6:$A$1005,$C$3))</f>
        <v/>
      </c>
      <c r="P47" s="116" t="str">
        <f aca="false">IF($B47="","",O47*(الموظفون!$P47+الموظفون!$L47*cfg_OT_P)/cfg_DAYS_M/cfg_HRS)</f>
        <v/>
      </c>
      <c r="Q47" s="116" t="str">
        <f aca="false">IF($B47="","",SUMIFS('الحركات الشهرية'!$G$6:$G$1005,'الحركات الشهرية'!$B$6:$B$1005,$B47,'الحركات الشهرية'!$A$6:$A$1005,$C$3))</f>
        <v/>
      </c>
      <c r="R47" s="116" t="str">
        <f aca="false">IF($B47="","",SUMIFS('الحركات الشهرية'!$H$6:$H$1005,'الحركات الشهرية'!$B$6:$B$1005,$B47,'الحركات الشهرية'!$A$6:$A$1005,$C$3))</f>
        <v/>
      </c>
      <c r="S47" s="116" t="str">
        <f aca="false">IF($B47="","",SUMIFS('سجل الإجازات والحالات'!$N$6:$N$505,'سجل الإجازات والحالات'!$B$6:$B$505,$B47,'سجل الإجازات والحالات'!$O$6:$O$505,$C$3))</f>
        <v/>
      </c>
      <c r="T47" s="157" t="str">
        <f aca="false">IF($B47="","",SUM(K47:N47)+SUM(P47:S47))</f>
        <v/>
      </c>
      <c r="U47" s="116" t="str">
        <f aca="false">IF($B47="","",الموظفون!$S47*IF(E47="سعودي",cfg_G_SE,cfg_G_NE)*G47/cfg_DAYS_M)</f>
        <v/>
      </c>
      <c r="V47" s="116" t="str">
        <f aca="false">IF($B47="","",SUMIFS('الحركات الشهرية'!$I$6:$I$1005,'الحركات الشهرية'!$B$6:$B$1005,$B47,'الحركات الشهرية'!$A$6:$A$1005,$C$3))</f>
        <v/>
      </c>
      <c r="W47" s="116" t="str">
        <f aca="false">IF($B47="","",SUMIFS('الحركات الشهرية'!$J$6:$J$1005,'الحركات الشهرية'!$B$6:$B$1005,$B47,'الحركات الشهرية'!$A$6:$A$1005,$C$3))</f>
        <v/>
      </c>
      <c r="X47" s="116" t="str">
        <f aca="false">IF($B47="","",SUM(U47:W47))</f>
        <v/>
      </c>
      <c r="Y47" s="158" t="str">
        <f aca="false">IF($B47="","",T47-X47)</f>
        <v/>
      </c>
      <c r="Z47" s="116" t="str">
        <f aca="false">IF($B47="","",الموظفون!$S47*IF(E47="سعودي",cfg_G_SR,cfg_G_NR)*G47/cfg_DAYS_M)</f>
        <v/>
      </c>
      <c r="AA47" s="116" t="str">
        <f aca="false">IF($B47="","",الموظفون!$Q47*(cfg_EOS_R1*(MIN(AH47,cfg_EOS_TH)-MIN(AI47,cfg_EOS_TH))+cfg_EOS_R2*(MAX(AH47-cfg_EOS_TH,0)-MAX(AI47-cfg_EOS_TH,0))))</f>
        <v/>
      </c>
      <c r="AB47" s="116" t="str">
        <f aca="false">IF($B47="","",IF(الموظفون!$T47&lt;&gt;"",الموظفون!$T47,IF(AH47&gt;=cfg_LV_TH,cfg_LV_D2,cfg_LV_D1))/cfg_DAYS_Y*AJ47*الموظفون!$R47/cfg_DAYS_M)</f>
        <v/>
      </c>
      <c r="AC47" s="116" t="str">
        <f aca="false">IF($B47="","",IF(AND(الموظفون!$U47="نعم",N(الموظفون!$W47)&gt;0),الموظفون!$V47/الموظفون!$W47*12/cfg_DAYS_Y*AJ47,0))</f>
        <v/>
      </c>
      <c r="AD47" s="116" t="str">
        <f aca="false">IF($B47="","",(IF(الموظفون!$X47&lt;&gt;"",الموظفون!$X47,IF(الموظفون!$E47="غير سعودي",cfg_IQ,0))+IF(الموظفون!$Y47&lt;&gt;"",الموظفون!$Y47,IF(الموظفون!$E47="غير سعودي",cfg_WP,0)))/12*G47/cfg_DAYS_M)</f>
        <v/>
      </c>
      <c r="AE47" s="116" t="str">
        <f aca="false">IF($B47="","",IF(الموظفون!$Z47&lt;&gt;"",الموظفون!$Z47,cfg_MED)/12*G47/cfg_DAYS_M)</f>
        <v/>
      </c>
      <c r="AF47" s="116" t="str">
        <f aca="false">IF($B47="","",N(الموظفون!$AA47)/12*G47/cfg_DAYS_M)</f>
        <v/>
      </c>
      <c r="AG47" s="159" t="str">
        <f aca="false">IF($B47="","",T47+SUM(Z47:AF47))</f>
        <v/>
      </c>
      <c r="AH47" s="160" t="str">
        <f aca="false">IF($B47="","",MAX(0,IF(OR(الموظفون!$AE47="",الموظفون!$AE47&gt;$F$3),$F$3,الموظفون!$AE47)-الموظفون!$H47+1-SUMIFS('سجل الإجازات والحالات'!$AL$6:$AL$505,'سجل الإجازات والحالات'!$B$6:$B$505,$B47))/cfg_DAYS_Y)</f>
        <v/>
      </c>
      <c r="AI47" s="160" t="str">
        <f aca="false">IF($B47="","",MAX(0,IF(OR(الموظفون!$AE47="",الموظفون!$AE47&gt;($E$3-1)),($E$3-1),الموظفون!$AE47)-الموظفون!$H47+1-SUMIFS('سجل الإجازات والحالات'!$AK$6:$AK$505,'سجل الإجازات والحالات'!$B$6:$B$505,$B47))/cfg_DAYS_Y)</f>
        <v/>
      </c>
      <c r="AJ47" s="133" t="str">
        <f aca="false">IF($B47="","",MAX(0,AK47-(SUMIFS('سجل الإجازات والحالات'!$AL$6:$AL$505,'سجل الإجازات والحالات'!$B$6:$B$505,$B47)-SUMIFS('سجل الإجازات والحالات'!$AK$6:$AK$505,'سجل الإجازات والحالات'!$B$6:$B$505,$B47))))</f>
        <v/>
      </c>
      <c r="AK47" s="133" t="str">
        <f aca="false">IF($B47="","",MAX(0,IF(OR(الموظفون!$AE47="",الموظفون!$AE47&gt;$F$3),$F$3,الموظفون!$AE47)-MAX($E$3,الموظفون!$H47)+1))</f>
        <v/>
      </c>
      <c r="AL47" s="156" t="str">
        <f aca="false">IF($B47="","",SUMIFS('سجل الإجازات والحالات'!$AX$6:$AX$505,'سجل الإجازات والحالات'!$B$6:$B$505,$B47)+SUMIFS('الحركات الشهرية'!$K$6:$K$1005,'الحركات الشهرية'!$B$6:$B$1005,$B47,'الحركات الشهرية'!$A$6:$A$1005,$C$3))</f>
        <v/>
      </c>
      <c r="AM47" s="116" t="str">
        <f aca="false">IF($B47="","",AL47*الموظفون!$R47/cfg_DAYS_M+S47)</f>
        <v/>
      </c>
      <c r="AN47" s="156" t="str">
        <f aca="false">IF($B47="","",SUMIFS('سجل الإجازات والحالات'!$Z$6:$Z$505,'سجل الإجازات والحالات'!$B$6:$B$505,$B47))</f>
        <v/>
      </c>
    </row>
    <row r="48" customFormat="false" ht="15" hidden="false" customHeight="false" outlineLevel="0" collapsed="false">
      <c r="A48" s="106" t="str">
        <f aca="false">IF($B48="","",الموظفون!$A48)</f>
        <v/>
      </c>
      <c r="B48" s="114" t="str">
        <f aca="false">IF(الموظفون!$B48="","",الموظفون!$B48)</f>
        <v/>
      </c>
      <c r="C48" s="114" t="str">
        <f aca="false">IF($B48="","",الموظفون!$C48)</f>
        <v/>
      </c>
      <c r="D48" s="114" t="str">
        <f aca="false">IF($B48="","",الموظفون!$F48)</f>
        <v/>
      </c>
      <c r="E48" s="114" t="str">
        <f aca="false">IF($B48="","",الموظفون!$E48)</f>
        <v/>
      </c>
      <c r="F48" s="114" t="str">
        <f aca="false">IF($B48="","",IF(AK48=0,IF(AND(الموظفون!$AE48&lt;&gt;"",الموظفون!$AE48&lt;$E$3),"✖ منتهي الخدمة","⏳ لم يباشر"),IF(S48&gt;0,"✈ راتب إجازة مقدم",IF(J48=0,"⛔ بدون راتب هذا الشهر",IF(I48&gt;0,"✈ خصم "&amp;ROUND(I48,2)&amp;" يوم بدون أجر",IF(AL48&gt;0,"🌴 إجازة سنوية "&amp;ROUND(AL48,2)&amp;" يوم",IF(H48&gt;0,"⚠ غياب "&amp;ROUND(H48,2)&amp;" يوم","✔ على رأس العمل")))))))</f>
        <v/>
      </c>
      <c r="G48" s="151" t="str">
        <f aca="false">IF($B48="","",IF(AK48&gt;=DAY($F$3),cfg_DAYS_M,MIN(AK48,cfg_DAYS_M)))</f>
        <v/>
      </c>
      <c r="H48" s="151" t="str">
        <f aca="false">IF($B48="","",SUMIFS('الحركات الشهرية'!$D$6:$D$1005,'الحركات الشهرية'!$B$6:$B$1005,$B48,'الحركات الشهرية'!$A$6:$A$1005,$C$3))</f>
        <v/>
      </c>
      <c r="I48" s="151" t="str">
        <f aca="false">IF($B48="","",MIN(G48,IF(AND(AK48&gt;0,AN48&gt;=AK48),G48,AN48)+SUMIFS('الحركات الشهرية'!$E$6:$E$1005,'الحركات الشهرية'!$B$6:$B$1005,$B48,'الحركات الشهرية'!$A$6:$A$1005,$C$3)))</f>
        <v/>
      </c>
      <c r="J48" s="151" t="str">
        <f aca="false">IF($B48="","",MAX(0,G48-H48-I48))</f>
        <v/>
      </c>
      <c r="K48" s="111" t="str">
        <f aca="false">IF($B48="","",الموظفون!$L48*$J48/cfg_DAYS_M)</f>
        <v/>
      </c>
      <c r="L48" s="111" t="str">
        <f aca="false">IF($B48="","",الموظفون!$M48*$J48/cfg_DAYS_M)</f>
        <v/>
      </c>
      <c r="M48" s="111" t="str">
        <f aca="false">IF($B48="","",الموظفون!$N48*$J48/cfg_DAYS_M)</f>
        <v/>
      </c>
      <c r="N48" s="111" t="str">
        <f aca="false">IF($B48="","",الموظفون!$O48*$J48/cfg_DAYS_M)</f>
        <v/>
      </c>
      <c r="O48" s="151" t="str">
        <f aca="false">IF($B48="","",SUMIFS('الحركات الشهرية'!$F$6:$F$1005,'الحركات الشهرية'!$B$6:$B$1005,$B48,'الحركات الشهرية'!$A$6:$A$1005,$C$3))</f>
        <v/>
      </c>
      <c r="P48" s="111" t="str">
        <f aca="false">IF($B48="","",O48*(الموظفون!$P48+الموظفون!$L48*cfg_OT_P)/cfg_DAYS_M/cfg_HRS)</f>
        <v/>
      </c>
      <c r="Q48" s="111" t="str">
        <f aca="false">IF($B48="","",SUMIFS('الحركات الشهرية'!$G$6:$G$1005,'الحركات الشهرية'!$B$6:$B$1005,$B48,'الحركات الشهرية'!$A$6:$A$1005,$C$3))</f>
        <v/>
      </c>
      <c r="R48" s="111" t="str">
        <f aca="false">IF($B48="","",SUMIFS('الحركات الشهرية'!$H$6:$H$1005,'الحركات الشهرية'!$B$6:$B$1005,$B48,'الحركات الشهرية'!$A$6:$A$1005,$C$3))</f>
        <v/>
      </c>
      <c r="S48" s="111" t="str">
        <f aca="false">IF($B48="","",SUMIFS('سجل الإجازات والحالات'!$N$6:$N$505,'سجل الإجازات والحالات'!$B$6:$B$505,$B48,'سجل الإجازات والحالات'!$O$6:$O$505,$C$3))</f>
        <v/>
      </c>
      <c r="T48" s="152" t="str">
        <f aca="false">IF($B48="","",SUM(K48:N48)+SUM(P48:S48))</f>
        <v/>
      </c>
      <c r="U48" s="111" t="str">
        <f aca="false">IF($B48="","",الموظفون!$S48*IF(E48="سعودي",cfg_G_SE,cfg_G_NE)*G48/cfg_DAYS_M)</f>
        <v/>
      </c>
      <c r="V48" s="111" t="str">
        <f aca="false">IF($B48="","",SUMIFS('الحركات الشهرية'!$I$6:$I$1005,'الحركات الشهرية'!$B$6:$B$1005,$B48,'الحركات الشهرية'!$A$6:$A$1005,$C$3))</f>
        <v/>
      </c>
      <c r="W48" s="111" t="str">
        <f aca="false">IF($B48="","",SUMIFS('الحركات الشهرية'!$J$6:$J$1005,'الحركات الشهرية'!$B$6:$B$1005,$B48,'الحركات الشهرية'!$A$6:$A$1005,$C$3))</f>
        <v/>
      </c>
      <c r="X48" s="111" t="str">
        <f aca="false">IF($B48="","",SUM(U48:W48))</f>
        <v/>
      </c>
      <c r="Y48" s="153" t="str">
        <f aca="false">IF($B48="","",T48-X48)</f>
        <v/>
      </c>
      <c r="Z48" s="111" t="str">
        <f aca="false">IF($B48="","",الموظفون!$S48*IF(E48="سعودي",cfg_G_SR,cfg_G_NR)*G48/cfg_DAYS_M)</f>
        <v/>
      </c>
      <c r="AA48" s="111" t="str">
        <f aca="false">IF($B48="","",الموظفون!$Q48*(cfg_EOS_R1*(MIN(AH48,cfg_EOS_TH)-MIN(AI48,cfg_EOS_TH))+cfg_EOS_R2*(MAX(AH48-cfg_EOS_TH,0)-MAX(AI48-cfg_EOS_TH,0))))</f>
        <v/>
      </c>
      <c r="AB48" s="111" t="str">
        <f aca="false">IF($B48="","",IF(الموظفون!$T48&lt;&gt;"",الموظفون!$T48,IF(AH48&gt;=cfg_LV_TH,cfg_LV_D2,cfg_LV_D1))/cfg_DAYS_Y*AJ48*الموظفون!$R48/cfg_DAYS_M)</f>
        <v/>
      </c>
      <c r="AC48" s="111" t="str">
        <f aca="false">IF($B48="","",IF(AND(الموظفون!$U48="نعم",N(الموظفون!$W48)&gt;0),الموظفون!$V48/الموظفون!$W48*12/cfg_DAYS_Y*AJ48,0))</f>
        <v/>
      </c>
      <c r="AD48" s="111" t="str">
        <f aca="false">IF($B48="","",(IF(الموظفون!$X48&lt;&gt;"",الموظفون!$X48,IF(الموظفون!$E48="غير سعودي",cfg_IQ,0))+IF(الموظفون!$Y48&lt;&gt;"",الموظفون!$Y48,IF(الموظفون!$E48="غير سعودي",cfg_WP,0)))/12*G48/cfg_DAYS_M)</f>
        <v/>
      </c>
      <c r="AE48" s="111" t="str">
        <f aca="false">IF($B48="","",IF(الموظفون!$Z48&lt;&gt;"",الموظفون!$Z48,cfg_MED)/12*G48/cfg_DAYS_M)</f>
        <v/>
      </c>
      <c r="AF48" s="111" t="str">
        <f aca="false">IF($B48="","",N(الموظفون!$AA48)/12*G48/cfg_DAYS_M)</f>
        <v/>
      </c>
      <c r="AG48" s="154" t="str">
        <f aca="false">IF($B48="","",T48+SUM(Z48:AF48))</f>
        <v/>
      </c>
      <c r="AH48" s="155" t="str">
        <f aca="false">IF($B48="","",MAX(0,IF(OR(الموظفون!$AE48="",الموظفون!$AE48&gt;$F$3),$F$3,الموظفون!$AE48)-الموظفون!$H48+1-SUMIFS('سجل الإجازات والحالات'!$AL$6:$AL$505,'سجل الإجازات والحالات'!$B$6:$B$505,$B48))/cfg_DAYS_Y)</f>
        <v/>
      </c>
      <c r="AI48" s="155" t="str">
        <f aca="false">IF($B48="","",MAX(0,IF(OR(الموظفون!$AE48="",الموظفون!$AE48&gt;($E$3-1)),($E$3-1),الموظفون!$AE48)-الموظفون!$H48+1-SUMIFS('سجل الإجازات والحالات'!$AK$6:$AK$505,'سجل الإجازات والحالات'!$B$6:$B$505,$B48))/cfg_DAYS_Y)</f>
        <v/>
      </c>
      <c r="AJ48" s="65" t="str">
        <f aca="false">IF($B48="","",MAX(0,AK48-(SUMIFS('سجل الإجازات والحالات'!$AL$6:$AL$505,'سجل الإجازات والحالات'!$B$6:$B$505,$B48)-SUMIFS('سجل الإجازات والحالات'!$AK$6:$AK$505,'سجل الإجازات والحالات'!$B$6:$B$505,$B48))))</f>
        <v/>
      </c>
      <c r="AK48" s="65" t="str">
        <f aca="false">IF($B48="","",MAX(0,IF(OR(الموظفون!$AE48="",الموظفون!$AE48&gt;$F$3),$F$3,الموظفون!$AE48)-MAX($E$3,الموظفون!$H48)+1))</f>
        <v/>
      </c>
      <c r="AL48" s="151" t="str">
        <f aca="false">IF($B48="","",SUMIFS('سجل الإجازات والحالات'!$AX$6:$AX$505,'سجل الإجازات والحالات'!$B$6:$B$505,$B48)+SUMIFS('الحركات الشهرية'!$K$6:$K$1005,'الحركات الشهرية'!$B$6:$B$1005,$B48,'الحركات الشهرية'!$A$6:$A$1005,$C$3))</f>
        <v/>
      </c>
      <c r="AM48" s="111" t="str">
        <f aca="false">IF($B48="","",AL48*الموظفون!$R48/cfg_DAYS_M+S48)</f>
        <v/>
      </c>
      <c r="AN48" s="151" t="str">
        <f aca="false">IF($B48="","",SUMIFS('سجل الإجازات والحالات'!$Z$6:$Z$505,'سجل الإجازات والحالات'!$B$6:$B$505,$B48))</f>
        <v/>
      </c>
    </row>
    <row r="49" customFormat="false" ht="15" hidden="false" customHeight="false" outlineLevel="0" collapsed="false">
      <c r="A49" s="115" t="str">
        <f aca="false">IF($B49="","",الموظفون!$A49)</f>
        <v/>
      </c>
      <c r="B49" s="117" t="str">
        <f aca="false">IF(الموظفون!$B49="","",الموظفون!$B49)</f>
        <v/>
      </c>
      <c r="C49" s="117" t="str">
        <f aca="false">IF($B49="","",الموظفون!$C49)</f>
        <v/>
      </c>
      <c r="D49" s="117" t="str">
        <f aca="false">IF($B49="","",الموظفون!$F49)</f>
        <v/>
      </c>
      <c r="E49" s="117" t="str">
        <f aca="false">IF($B49="","",الموظفون!$E49)</f>
        <v/>
      </c>
      <c r="F49" s="117" t="str">
        <f aca="false">IF($B49="","",IF(AK49=0,IF(AND(الموظفون!$AE49&lt;&gt;"",الموظفون!$AE49&lt;$E$3),"✖ منتهي الخدمة","⏳ لم يباشر"),IF(S49&gt;0,"✈ راتب إجازة مقدم",IF(J49=0,"⛔ بدون راتب هذا الشهر",IF(I49&gt;0,"✈ خصم "&amp;ROUND(I49,2)&amp;" يوم بدون أجر",IF(AL49&gt;0,"🌴 إجازة سنوية "&amp;ROUND(AL49,2)&amp;" يوم",IF(H49&gt;0,"⚠ غياب "&amp;ROUND(H49,2)&amp;" يوم","✔ على رأس العمل")))))))</f>
        <v/>
      </c>
      <c r="G49" s="156" t="str">
        <f aca="false">IF($B49="","",IF(AK49&gt;=DAY($F$3),cfg_DAYS_M,MIN(AK49,cfg_DAYS_M)))</f>
        <v/>
      </c>
      <c r="H49" s="156" t="str">
        <f aca="false">IF($B49="","",SUMIFS('الحركات الشهرية'!$D$6:$D$1005,'الحركات الشهرية'!$B$6:$B$1005,$B49,'الحركات الشهرية'!$A$6:$A$1005,$C$3))</f>
        <v/>
      </c>
      <c r="I49" s="156" t="str">
        <f aca="false">IF($B49="","",MIN(G49,IF(AND(AK49&gt;0,AN49&gt;=AK49),G49,AN49)+SUMIFS('الحركات الشهرية'!$E$6:$E$1005,'الحركات الشهرية'!$B$6:$B$1005,$B49,'الحركات الشهرية'!$A$6:$A$1005,$C$3)))</f>
        <v/>
      </c>
      <c r="J49" s="156" t="str">
        <f aca="false">IF($B49="","",MAX(0,G49-H49-I49))</f>
        <v/>
      </c>
      <c r="K49" s="116" t="str">
        <f aca="false">IF($B49="","",الموظفون!$L49*$J49/cfg_DAYS_M)</f>
        <v/>
      </c>
      <c r="L49" s="116" t="str">
        <f aca="false">IF($B49="","",الموظفون!$M49*$J49/cfg_DAYS_M)</f>
        <v/>
      </c>
      <c r="M49" s="116" t="str">
        <f aca="false">IF($B49="","",الموظفون!$N49*$J49/cfg_DAYS_M)</f>
        <v/>
      </c>
      <c r="N49" s="116" t="str">
        <f aca="false">IF($B49="","",الموظفون!$O49*$J49/cfg_DAYS_M)</f>
        <v/>
      </c>
      <c r="O49" s="156" t="str">
        <f aca="false">IF($B49="","",SUMIFS('الحركات الشهرية'!$F$6:$F$1005,'الحركات الشهرية'!$B$6:$B$1005,$B49,'الحركات الشهرية'!$A$6:$A$1005,$C$3))</f>
        <v/>
      </c>
      <c r="P49" s="116" t="str">
        <f aca="false">IF($B49="","",O49*(الموظفون!$P49+الموظفون!$L49*cfg_OT_P)/cfg_DAYS_M/cfg_HRS)</f>
        <v/>
      </c>
      <c r="Q49" s="116" t="str">
        <f aca="false">IF($B49="","",SUMIFS('الحركات الشهرية'!$G$6:$G$1005,'الحركات الشهرية'!$B$6:$B$1005,$B49,'الحركات الشهرية'!$A$6:$A$1005,$C$3))</f>
        <v/>
      </c>
      <c r="R49" s="116" t="str">
        <f aca="false">IF($B49="","",SUMIFS('الحركات الشهرية'!$H$6:$H$1005,'الحركات الشهرية'!$B$6:$B$1005,$B49,'الحركات الشهرية'!$A$6:$A$1005,$C$3))</f>
        <v/>
      </c>
      <c r="S49" s="116" t="str">
        <f aca="false">IF($B49="","",SUMIFS('سجل الإجازات والحالات'!$N$6:$N$505,'سجل الإجازات والحالات'!$B$6:$B$505,$B49,'سجل الإجازات والحالات'!$O$6:$O$505,$C$3))</f>
        <v/>
      </c>
      <c r="T49" s="157" t="str">
        <f aca="false">IF($B49="","",SUM(K49:N49)+SUM(P49:S49))</f>
        <v/>
      </c>
      <c r="U49" s="116" t="str">
        <f aca="false">IF($B49="","",الموظفون!$S49*IF(E49="سعودي",cfg_G_SE,cfg_G_NE)*G49/cfg_DAYS_M)</f>
        <v/>
      </c>
      <c r="V49" s="116" t="str">
        <f aca="false">IF($B49="","",SUMIFS('الحركات الشهرية'!$I$6:$I$1005,'الحركات الشهرية'!$B$6:$B$1005,$B49,'الحركات الشهرية'!$A$6:$A$1005,$C$3))</f>
        <v/>
      </c>
      <c r="W49" s="116" t="str">
        <f aca="false">IF($B49="","",SUMIFS('الحركات الشهرية'!$J$6:$J$1005,'الحركات الشهرية'!$B$6:$B$1005,$B49,'الحركات الشهرية'!$A$6:$A$1005,$C$3))</f>
        <v/>
      </c>
      <c r="X49" s="116" t="str">
        <f aca="false">IF($B49="","",SUM(U49:W49))</f>
        <v/>
      </c>
      <c r="Y49" s="158" t="str">
        <f aca="false">IF($B49="","",T49-X49)</f>
        <v/>
      </c>
      <c r="Z49" s="116" t="str">
        <f aca="false">IF($B49="","",الموظفون!$S49*IF(E49="سعودي",cfg_G_SR,cfg_G_NR)*G49/cfg_DAYS_M)</f>
        <v/>
      </c>
      <c r="AA49" s="116" t="str">
        <f aca="false">IF($B49="","",الموظفون!$Q49*(cfg_EOS_R1*(MIN(AH49,cfg_EOS_TH)-MIN(AI49,cfg_EOS_TH))+cfg_EOS_R2*(MAX(AH49-cfg_EOS_TH,0)-MAX(AI49-cfg_EOS_TH,0))))</f>
        <v/>
      </c>
      <c r="AB49" s="116" t="str">
        <f aca="false">IF($B49="","",IF(الموظفون!$T49&lt;&gt;"",الموظفون!$T49,IF(AH49&gt;=cfg_LV_TH,cfg_LV_D2,cfg_LV_D1))/cfg_DAYS_Y*AJ49*الموظفون!$R49/cfg_DAYS_M)</f>
        <v/>
      </c>
      <c r="AC49" s="116" t="str">
        <f aca="false">IF($B49="","",IF(AND(الموظفون!$U49="نعم",N(الموظفون!$W49)&gt;0),الموظفون!$V49/الموظفون!$W49*12/cfg_DAYS_Y*AJ49,0))</f>
        <v/>
      </c>
      <c r="AD49" s="116" t="str">
        <f aca="false">IF($B49="","",(IF(الموظفون!$X49&lt;&gt;"",الموظفون!$X49,IF(الموظفون!$E49="غير سعودي",cfg_IQ,0))+IF(الموظفون!$Y49&lt;&gt;"",الموظفون!$Y49,IF(الموظفون!$E49="غير سعودي",cfg_WP,0)))/12*G49/cfg_DAYS_M)</f>
        <v/>
      </c>
      <c r="AE49" s="116" t="str">
        <f aca="false">IF($B49="","",IF(الموظفون!$Z49&lt;&gt;"",الموظفون!$Z49,cfg_MED)/12*G49/cfg_DAYS_M)</f>
        <v/>
      </c>
      <c r="AF49" s="116" t="str">
        <f aca="false">IF($B49="","",N(الموظفون!$AA49)/12*G49/cfg_DAYS_M)</f>
        <v/>
      </c>
      <c r="AG49" s="159" t="str">
        <f aca="false">IF($B49="","",T49+SUM(Z49:AF49))</f>
        <v/>
      </c>
      <c r="AH49" s="160" t="str">
        <f aca="false">IF($B49="","",MAX(0,IF(OR(الموظفون!$AE49="",الموظفون!$AE49&gt;$F$3),$F$3,الموظفون!$AE49)-الموظفون!$H49+1-SUMIFS('سجل الإجازات والحالات'!$AL$6:$AL$505,'سجل الإجازات والحالات'!$B$6:$B$505,$B49))/cfg_DAYS_Y)</f>
        <v/>
      </c>
      <c r="AI49" s="160" t="str">
        <f aca="false">IF($B49="","",MAX(0,IF(OR(الموظفون!$AE49="",الموظفون!$AE49&gt;($E$3-1)),($E$3-1),الموظفون!$AE49)-الموظفون!$H49+1-SUMIFS('سجل الإجازات والحالات'!$AK$6:$AK$505,'سجل الإجازات والحالات'!$B$6:$B$505,$B49))/cfg_DAYS_Y)</f>
        <v/>
      </c>
      <c r="AJ49" s="133" t="str">
        <f aca="false">IF($B49="","",MAX(0,AK49-(SUMIFS('سجل الإجازات والحالات'!$AL$6:$AL$505,'سجل الإجازات والحالات'!$B$6:$B$505,$B49)-SUMIFS('سجل الإجازات والحالات'!$AK$6:$AK$505,'سجل الإجازات والحالات'!$B$6:$B$505,$B49))))</f>
        <v/>
      </c>
      <c r="AK49" s="133" t="str">
        <f aca="false">IF($B49="","",MAX(0,IF(OR(الموظفون!$AE49="",الموظفون!$AE49&gt;$F$3),$F$3,الموظفون!$AE49)-MAX($E$3,الموظفون!$H49)+1))</f>
        <v/>
      </c>
      <c r="AL49" s="156" t="str">
        <f aca="false">IF($B49="","",SUMIFS('سجل الإجازات والحالات'!$AX$6:$AX$505,'سجل الإجازات والحالات'!$B$6:$B$505,$B49)+SUMIFS('الحركات الشهرية'!$K$6:$K$1005,'الحركات الشهرية'!$B$6:$B$1005,$B49,'الحركات الشهرية'!$A$6:$A$1005,$C$3))</f>
        <v/>
      </c>
      <c r="AM49" s="116" t="str">
        <f aca="false">IF($B49="","",AL49*الموظفون!$R49/cfg_DAYS_M+S49)</f>
        <v/>
      </c>
      <c r="AN49" s="156" t="str">
        <f aca="false">IF($B49="","",SUMIFS('سجل الإجازات والحالات'!$Z$6:$Z$505,'سجل الإجازات والحالات'!$B$6:$B$505,$B49))</f>
        <v/>
      </c>
    </row>
    <row r="50" customFormat="false" ht="15" hidden="false" customHeight="false" outlineLevel="0" collapsed="false">
      <c r="A50" s="106" t="str">
        <f aca="false">IF($B50="","",الموظفون!$A50)</f>
        <v/>
      </c>
      <c r="B50" s="114" t="str">
        <f aca="false">IF(الموظفون!$B50="","",الموظفون!$B50)</f>
        <v/>
      </c>
      <c r="C50" s="114" t="str">
        <f aca="false">IF($B50="","",الموظفون!$C50)</f>
        <v/>
      </c>
      <c r="D50" s="114" t="str">
        <f aca="false">IF($B50="","",الموظفون!$F50)</f>
        <v/>
      </c>
      <c r="E50" s="114" t="str">
        <f aca="false">IF($B50="","",الموظفون!$E50)</f>
        <v/>
      </c>
      <c r="F50" s="114" t="str">
        <f aca="false">IF($B50="","",IF(AK50=0,IF(AND(الموظفون!$AE50&lt;&gt;"",الموظفون!$AE50&lt;$E$3),"✖ منتهي الخدمة","⏳ لم يباشر"),IF(S50&gt;0,"✈ راتب إجازة مقدم",IF(J50=0,"⛔ بدون راتب هذا الشهر",IF(I50&gt;0,"✈ خصم "&amp;ROUND(I50,2)&amp;" يوم بدون أجر",IF(AL50&gt;0,"🌴 إجازة سنوية "&amp;ROUND(AL50,2)&amp;" يوم",IF(H50&gt;0,"⚠ غياب "&amp;ROUND(H50,2)&amp;" يوم","✔ على رأس العمل")))))))</f>
        <v/>
      </c>
      <c r="G50" s="151" t="str">
        <f aca="false">IF($B50="","",IF(AK50&gt;=DAY($F$3),cfg_DAYS_M,MIN(AK50,cfg_DAYS_M)))</f>
        <v/>
      </c>
      <c r="H50" s="151" t="str">
        <f aca="false">IF($B50="","",SUMIFS('الحركات الشهرية'!$D$6:$D$1005,'الحركات الشهرية'!$B$6:$B$1005,$B50,'الحركات الشهرية'!$A$6:$A$1005,$C$3))</f>
        <v/>
      </c>
      <c r="I50" s="151" t="str">
        <f aca="false">IF($B50="","",MIN(G50,IF(AND(AK50&gt;0,AN50&gt;=AK50),G50,AN50)+SUMIFS('الحركات الشهرية'!$E$6:$E$1005,'الحركات الشهرية'!$B$6:$B$1005,$B50,'الحركات الشهرية'!$A$6:$A$1005,$C$3)))</f>
        <v/>
      </c>
      <c r="J50" s="151" t="str">
        <f aca="false">IF($B50="","",MAX(0,G50-H50-I50))</f>
        <v/>
      </c>
      <c r="K50" s="111" t="str">
        <f aca="false">IF($B50="","",الموظفون!$L50*$J50/cfg_DAYS_M)</f>
        <v/>
      </c>
      <c r="L50" s="111" t="str">
        <f aca="false">IF($B50="","",الموظفون!$M50*$J50/cfg_DAYS_M)</f>
        <v/>
      </c>
      <c r="M50" s="111" t="str">
        <f aca="false">IF($B50="","",الموظفون!$N50*$J50/cfg_DAYS_M)</f>
        <v/>
      </c>
      <c r="N50" s="111" t="str">
        <f aca="false">IF($B50="","",الموظفون!$O50*$J50/cfg_DAYS_M)</f>
        <v/>
      </c>
      <c r="O50" s="151" t="str">
        <f aca="false">IF($B50="","",SUMIFS('الحركات الشهرية'!$F$6:$F$1005,'الحركات الشهرية'!$B$6:$B$1005,$B50,'الحركات الشهرية'!$A$6:$A$1005,$C$3))</f>
        <v/>
      </c>
      <c r="P50" s="111" t="str">
        <f aca="false">IF($B50="","",O50*(الموظفون!$P50+الموظفون!$L50*cfg_OT_P)/cfg_DAYS_M/cfg_HRS)</f>
        <v/>
      </c>
      <c r="Q50" s="111" t="str">
        <f aca="false">IF($B50="","",SUMIFS('الحركات الشهرية'!$G$6:$G$1005,'الحركات الشهرية'!$B$6:$B$1005,$B50,'الحركات الشهرية'!$A$6:$A$1005,$C$3))</f>
        <v/>
      </c>
      <c r="R50" s="111" t="str">
        <f aca="false">IF($B50="","",SUMIFS('الحركات الشهرية'!$H$6:$H$1005,'الحركات الشهرية'!$B$6:$B$1005,$B50,'الحركات الشهرية'!$A$6:$A$1005,$C$3))</f>
        <v/>
      </c>
      <c r="S50" s="111" t="str">
        <f aca="false">IF($B50="","",SUMIFS('سجل الإجازات والحالات'!$N$6:$N$505,'سجل الإجازات والحالات'!$B$6:$B$505,$B50,'سجل الإجازات والحالات'!$O$6:$O$505,$C$3))</f>
        <v/>
      </c>
      <c r="T50" s="152" t="str">
        <f aca="false">IF($B50="","",SUM(K50:N50)+SUM(P50:S50))</f>
        <v/>
      </c>
      <c r="U50" s="111" t="str">
        <f aca="false">IF($B50="","",الموظفون!$S50*IF(E50="سعودي",cfg_G_SE,cfg_G_NE)*G50/cfg_DAYS_M)</f>
        <v/>
      </c>
      <c r="V50" s="111" t="str">
        <f aca="false">IF($B50="","",SUMIFS('الحركات الشهرية'!$I$6:$I$1005,'الحركات الشهرية'!$B$6:$B$1005,$B50,'الحركات الشهرية'!$A$6:$A$1005,$C$3))</f>
        <v/>
      </c>
      <c r="W50" s="111" t="str">
        <f aca="false">IF($B50="","",SUMIFS('الحركات الشهرية'!$J$6:$J$1005,'الحركات الشهرية'!$B$6:$B$1005,$B50,'الحركات الشهرية'!$A$6:$A$1005,$C$3))</f>
        <v/>
      </c>
      <c r="X50" s="111" t="str">
        <f aca="false">IF($B50="","",SUM(U50:W50))</f>
        <v/>
      </c>
      <c r="Y50" s="153" t="str">
        <f aca="false">IF($B50="","",T50-X50)</f>
        <v/>
      </c>
      <c r="Z50" s="111" t="str">
        <f aca="false">IF($B50="","",الموظفون!$S50*IF(E50="سعودي",cfg_G_SR,cfg_G_NR)*G50/cfg_DAYS_M)</f>
        <v/>
      </c>
      <c r="AA50" s="111" t="str">
        <f aca="false">IF($B50="","",الموظفون!$Q50*(cfg_EOS_R1*(MIN(AH50,cfg_EOS_TH)-MIN(AI50,cfg_EOS_TH))+cfg_EOS_R2*(MAX(AH50-cfg_EOS_TH,0)-MAX(AI50-cfg_EOS_TH,0))))</f>
        <v/>
      </c>
      <c r="AB50" s="111" t="str">
        <f aca="false">IF($B50="","",IF(الموظفون!$T50&lt;&gt;"",الموظفون!$T50,IF(AH50&gt;=cfg_LV_TH,cfg_LV_D2,cfg_LV_D1))/cfg_DAYS_Y*AJ50*الموظفون!$R50/cfg_DAYS_M)</f>
        <v/>
      </c>
      <c r="AC50" s="111" t="str">
        <f aca="false">IF($B50="","",IF(AND(الموظفون!$U50="نعم",N(الموظفون!$W50)&gt;0),الموظفون!$V50/الموظفون!$W50*12/cfg_DAYS_Y*AJ50,0))</f>
        <v/>
      </c>
      <c r="AD50" s="111" t="str">
        <f aca="false">IF($B50="","",(IF(الموظفون!$X50&lt;&gt;"",الموظفون!$X50,IF(الموظفون!$E50="غير سعودي",cfg_IQ,0))+IF(الموظفون!$Y50&lt;&gt;"",الموظفون!$Y50,IF(الموظفون!$E50="غير سعودي",cfg_WP,0)))/12*G50/cfg_DAYS_M)</f>
        <v/>
      </c>
      <c r="AE50" s="111" t="str">
        <f aca="false">IF($B50="","",IF(الموظفون!$Z50&lt;&gt;"",الموظفون!$Z50,cfg_MED)/12*G50/cfg_DAYS_M)</f>
        <v/>
      </c>
      <c r="AF50" s="111" t="str">
        <f aca="false">IF($B50="","",N(الموظفون!$AA50)/12*G50/cfg_DAYS_M)</f>
        <v/>
      </c>
      <c r="AG50" s="154" t="str">
        <f aca="false">IF($B50="","",T50+SUM(Z50:AF50))</f>
        <v/>
      </c>
      <c r="AH50" s="155" t="str">
        <f aca="false">IF($B50="","",MAX(0,IF(OR(الموظفون!$AE50="",الموظفون!$AE50&gt;$F$3),$F$3,الموظفون!$AE50)-الموظفون!$H50+1-SUMIFS('سجل الإجازات والحالات'!$AL$6:$AL$505,'سجل الإجازات والحالات'!$B$6:$B$505,$B50))/cfg_DAYS_Y)</f>
        <v/>
      </c>
      <c r="AI50" s="155" t="str">
        <f aca="false">IF($B50="","",MAX(0,IF(OR(الموظفون!$AE50="",الموظفون!$AE50&gt;($E$3-1)),($E$3-1),الموظفون!$AE50)-الموظفون!$H50+1-SUMIFS('سجل الإجازات والحالات'!$AK$6:$AK$505,'سجل الإجازات والحالات'!$B$6:$B$505,$B50))/cfg_DAYS_Y)</f>
        <v/>
      </c>
      <c r="AJ50" s="65" t="str">
        <f aca="false">IF($B50="","",MAX(0,AK50-(SUMIFS('سجل الإجازات والحالات'!$AL$6:$AL$505,'سجل الإجازات والحالات'!$B$6:$B$505,$B50)-SUMIFS('سجل الإجازات والحالات'!$AK$6:$AK$505,'سجل الإجازات والحالات'!$B$6:$B$505,$B50))))</f>
        <v/>
      </c>
      <c r="AK50" s="65" t="str">
        <f aca="false">IF($B50="","",MAX(0,IF(OR(الموظفون!$AE50="",الموظفون!$AE50&gt;$F$3),$F$3,الموظفون!$AE50)-MAX($E$3,الموظفون!$H50)+1))</f>
        <v/>
      </c>
      <c r="AL50" s="151" t="str">
        <f aca="false">IF($B50="","",SUMIFS('سجل الإجازات والحالات'!$AX$6:$AX$505,'سجل الإجازات والحالات'!$B$6:$B$505,$B50)+SUMIFS('الحركات الشهرية'!$K$6:$K$1005,'الحركات الشهرية'!$B$6:$B$1005,$B50,'الحركات الشهرية'!$A$6:$A$1005,$C$3))</f>
        <v/>
      </c>
      <c r="AM50" s="111" t="str">
        <f aca="false">IF($B50="","",AL50*الموظفون!$R50/cfg_DAYS_M+S50)</f>
        <v/>
      </c>
      <c r="AN50" s="151" t="str">
        <f aca="false">IF($B50="","",SUMIFS('سجل الإجازات والحالات'!$Z$6:$Z$505,'سجل الإجازات والحالات'!$B$6:$B$505,$B50))</f>
        <v/>
      </c>
    </row>
    <row r="51" customFormat="false" ht="15" hidden="false" customHeight="false" outlineLevel="0" collapsed="false">
      <c r="A51" s="115" t="str">
        <f aca="false">IF($B51="","",الموظفون!$A51)</f>
        <v/>
      </c>
      <c r="B51" s="117" t="str">
        <f aca="false">IF(الموظفون!$B51="","",الموظفون!$B51)</f>
        <v/>
      </c>
      <c r="C51" s="117" t="str">
        <f aca="false">IF($B51="","",الموظفون!$C51)</f>
        <v/>
      </c>
      <c r="D51" s="117" t="str">
        <f aca="false">IF($B51="","",الموظفون!$F51)</f>
        <v/>
      </c>
      <c r="E51" s="117" t="str">
        <f aca="false">IF($B51="","",الموظفون!$E51)</f>
        <v/>
      </c>
      <c r="F51" s="117" t="str">
        <f aca="false">IF($B51="","",IF(AK51=0,IF(AND(الموظفون!$AE51&lt;&gt;"",الموظفون!$AE51&lt;$E$3),"✖ منتهي الخدمة","⏳ لم يباشر"),IF(S51&gt;0,"✈ راتب إجازة مقدم",IF(J51=0,"⛔ بدون راتب هذا الشهر",IF(I51&gt;0,"✈ خصم "&amp;ROUND(I51,2)&amp;" يوم بدون أجر",IF(AL51&gt;0,"🌴 إجازة سنوية "&amp;ROUND(AL51,2)&amp;" يوم",IF(H51&gt;0,"⚠ غياب "&amp;ROUND(H51,2)&amp;" يوم","✔ على رأس العمل")))))))</f>
        <v/>
      </c>
      <c r="G51" s="156" t="str">
        <f aca="false">IF($B51="","",IF(AK51&gt;=DAY($F$3),cfg_DAYS_M,MIN(AK51,cfg_DAYS_M)))</f>
        <v/>
      </c>
      <c r="H51" s="156" t="str">
        <f aca="false">IF($B51="","",SUMIFS('الحركات الشهرية'!$D$6:$D$1005,'الحركات الشهرية'!$B$6:$B$1005,$B51,'الحركات الشهرية'!$A$6:$A$1005,$C$3))</f>
        <v/>
      </c>
      <c r="I51" s="156" t="str">
        <f aca="false">IF($B51="","",MIN(G51,IF(AND(AK51&gt;0,AN51&gt;=AK51),G51,AN51)+SUMIFS('الحركات الشهرية'!$E$6:$E$1005,'الحركات الشهرية'!$B$6:$B$1005,$B51,'الحركات الشهرية'!$A$6:$A$1005,$C$3)))</f>
        <v/>
      </c>
      <c r="J51" s="156" t="str">
        <f aca="false">IF($B51="","",MAX(0,G51-H51-I51))</f>
        <v/>
      </c>
      <c r="K51" s="116" t="str">
        <f aca="false">IF($B51="","",الموظفون!$L51*$J51/cfg_DAYS_M)</f>
        <v/>
      </c>
      <c r="L51" s="116" t="str">
        <f aca="false">IF($B51="","",الموظفون!$M51*$J51/cfg_DAYS_M)</f>
        <v/>
      </c>
      <c r="M51" s="116" t="str">
        <f aca="false">IF($B51="","",الموظفون!$N51*$J51/cfg_DAYS_M)</f>
        <v/>
      </c>
      <c r="N51" s="116" t="str">
        <f aca="false">IF($B51="","",الموظفون!$O51*$J51/cfg_DAYS_M)</f>
        <v/>
      </c>
      <c r="O51" s="156" t="str">
        <f aca="false">IF($B51="","",SUMIFS('الحركات الشهرية'!$F$6:$F$1005,'الحركات الشهرية'!$B$6:$B$1005,$B51,'الحركات الشهرية'!$A$6:$A$1005,$C$3))</f>
        <v/>
      </c>
      <c r="P51" s="116" t="str">
        <f aca="false">IF($B51="","",O51*(الموظفون!$P51+الموظفون!$L51*cfg_OT_P)/cfg_DAYS_M/cfg_HRS)</f>
        <v/>
      </c>
      <c r="Q51" s="116" t="str">
        <f aca="false">IF($B51="","",SUMIFS('الحركات الشهرية'!$G$6:$G$1005,'الحركات الشهرية'!$B$6:$B$1005,$B51,'الحركات الشهرية'!$A$6:$A$1005,$C$3))</f>
        <v/>
      </c>
      <c r="R51" s="116" t="str">
        <f aca="false">IF($B51="","",SUMIFS('الحركات الشهرية'!$H$6:$H$1005,'الحركات الشهرية'!$B$6:$B$1005,$B51,'الحركات الشهرية'!$A$6:$A$1005,$C$3))</f>
        <v/>
      </c>
      <c r="S51" s="116" t="str">
        <f aca="false">IF($B51="","",SUMIFS('سجل الإجازات والحالات'!$N$6:$N$505,'سجل الإجازات والحالات'!$B$6:$B$505,$B51,'سجل الإجازات والحالات'!$O$6:$O$505,$C$3))</f>
        <v/>
      </c>
      <c r="T51" s="157" t="str">
        <f aca="false">IF($B51="","",SUM(K51:N51)+SUM(P51:S51))</f>
        <v/>
      </c>
      <c r="U51" s="116" t="str">
        <f aca="false">IF($B51="","",الموظفون!$S51*IF(E51="سعودي",cfg_G_SE,cfg_G_NE)*G51/cfg_DAYS_M)</f>
        <v/>
      </c>
      <c r="V51" s="116" t="str">
        <f aca="false">IF($B51="","",SUMIFS('الحركات الشهرية'!$I$6:$I$1005,'الحركات الشهرية'!$B$6:$B$1005,$B51,'الحركات الشهرية'!$A$6:$A$1005,$C$3))</f>
        <v/>
      </c>
      <c r="W51" s="116" t="str">
        <f aca="false">IF($B51="","",SUMIFS('الحركات الشهرية'!$J$6:$J$1005,'الحركات الشهرية'!$B$6:$B$1005,$B51,'الحركات الشهرية'!$A$6:$A$1005,$C$3))</f>
        <v/>
      </c>
      <c r="X51" s="116" t="str">
        <f aca="false">IF($B51="","",SUM(U51:W51))</f>
        <v/>
      </c>
      <c r="Y51" s="158" t="str">
        <f aca="false">IF($B51="","",T51-X51)</f>
        <v/>
      </c>
      <c r="Z51" s="116" t="str">
        <f aca="false">IF($B51="","",الموظفون!$S51*IF(E51="سعودي",cfg_G_SR,cfg_G_NR)*G51/cfg_DAYS_M)</f>
        <v/>
      </c>
      <c r="AA51" s="116" t="str">
        <f aca="false">IF($B51="","",الموظفون!$Q51*(cfg_EOS_R1*(MIN(AH51,cfg_EOS_TH)-MIN(AI51,cfg_EOS_TH))+cfg_EOS_R2*(MAX(AH51-cfg_EOS_TH,0)-MAX(AI51-cfg_EOS_TH,0))))</f>
        <v/>
      </c>
      <c r="AB51" s="116" t="str">
        <f aca="false">IF($B51="","",IF(الموظفون!$T51&lt;&gt;"",الموظفون!$T51,IF(AH51&gt;=cfg_LV_TH,cfg_LV_D2,cfg_LV_D1))/cfg_DAYS_Y*AJ51*الموظفون!$R51/cfg_DAYS_M)</f>
        <v/>
      </c>
      <c r="AC51" s="116" t="str">
        <f aca="false">IF($B51="","",IF(AND(الموظفون!$U51="نعم",N(الموظفون!$W51)&gt;0),الموظفون!$V51/الموظفون!$W51*12/cfg_DAYS_Y*AJ51,0))</f>
        <v/>
      </c>
      <c r="AD51" s="116" t="str">
        <f aca="false">IF($B51="","",(IF(الموظفون!$X51&lt;&gt;"",الموظفون!$X51,IF(الموظفون!$E51="غير سعودي",cfg_IQ,0))+IF(الموظفون!$Y51&lt;&gt;"",الموظفون!$Y51,IF(الموظفون!$E51="غير سعودي",cfg_WP,0)))/12*G51/cfg_DAYS_M)</f>
        <v/>
      </c>
      <c r="AE51" s="116" t="str">
        <f aca="false">IF($B51="","",IF(الموظفون!$Z51&lt;&gt;"",الموظفون!$Z51,cfg_MED)/12*G51/cfg_DAYS_M)</f>
        <v/>
      </c>
      <c r="AF51" s="116" t="str">
        <f aca="false">IF($B51="","",N(الموظفون!$AA51)/12*G51/cfg_DAYS_M)</f>
        <v/>
      </c>
      <c r="AG51" s="159" t="str">
        <f aca="false">IF($B51="","",T51+SUM(Z51:AF51))</f>
        <v/>
      </c>
      <c r="AH51" s="160" t="str">
        <f aca="false">IF($B51="","",MAX(0,IF(OR(الموظفون!$AE51="",الموظفون!$AE51&gt;$F$3),$F$3,الموظفون!$AE51)-الموظفون!$H51+1-SUMIFS('سجل الإجازات والحالات'!$AL$6:$AL$505,'سجل الإجازات والحالات'!$B$6:$B$505,$B51))/cfg_DAYS_Y)</f>
        <v/>
      </c>
      <c r="AI51" s="160" t="str">
        <f aca="false">IF($B51="","",MAX(0,IF(OR(الموظفون!$AE51="",الموظفون!$AE51&gt;($E$3-1)),($E$3-1),الموظفون!$AE51)-الموظفون!$H51+1-SUMIFS('سجل الإجازات والحالات'!$AK$6:$AK$505,'سجل الإجازات والحالات'!$B$6:$B$505,$B51))/cfg_DAYS_Y)</f>
        <v/>
      </c>
      <c r="AJ51" s="133" t="str">
        <f aca="false">IF($B51="","",MAX(0,AK51-(SUMIFS('سجل الإجازات والحالات'!$AL$6:$AL$505,'سجل الإجازات والحالات'!$B$6:$B$505,$B51)-SUMIFS('سجل الإجازات والحالات'!$AK$6:$AK$505,'سجل الإجازات والحالات'!$B$6:$B$505,$B51))))</f>
        <v/>
      </c>
      <c r="AK51" s="133" t="str">
        <f aca="false">IF($B51="","",MAX(0,IF(OR(الموظفون!$AE51="",الموظفون!$AE51&gt;$F$3),$F$3,الموظفون!$AE51)-MAX($E$3,الموظفون!$H51)+1))</f>
        <v/>
      </c>
      <c r="AL51" s="156" t="str">
        <f aca="false">IF($B51="","",SUMIFS('سجل الإجازات والحالات'!$AX$6:$AX$505,'سجل الإجازات والحالات'!$B$6:$B$505,$B51)+SUMIFS('الحركات الشهرية'!$K$6:$K$1005,'الحركات الشهرية'!$B$6:$B$1005,$B51,'الحركات الشهرية'!$A$6:$A$1005,$C$3))</f>
        <v/>
      </c>
      <c r="AM51" s="116" t="str">
        <f aca="false">IF($B51="","",AL51*الموظفون!$R51/cfg_DAYS_M+S51)</f>
        <v/>
      </c>
      <c r="AN51" s="156" t="str">
        <f aca="false">IF($B51="","",SUMIFS('سجل الإجازات والحالات'!$Z$6:$Z$505,'سجل الإجازات والحالات'!$B$6:$B$505,$B51))</f>
        <v/>
      </c>
    </row>
    <row r="52" customFormat="false" ht="15" hidden="false" customHeight="false" outlineLevel="0" collapsed="false">
      <c r="A52" s="106" t="str">
        <f aca="false">IF($B52="","",الموظفون!$A52)</f>
        <v/>
      </c>
      <c r="B52" s="114" t="str">
        <f aca="false">IF(الموظفون!$B52="","",الموظفون!$B52)</f>
        <v/>
      </c>
      <c r="C52" s="114" t="str">
        <f aca="false">IF($B52="","",الموظفون!$C52)</f>
        <v/>
      </c>
      <c r="D52" s="114" t="str">
        <f aca="false">IF($B52="","",الموظفون!$F52)</f>
        <v/>
      </c>
      <c r="E52" s="114" t="str">
        <f aca="false">IF($B52="","",الموظفون!$E52)</f>
        <v/>
      </c>
      <c r="F52" s="114" t="str">
        <f aca="false">IF($B52="","",IF(AK52=0,IF(AND(الموظفون!$AE52&lt;&gt;"",الموظفون!$AE52&lt;$E$3),"✖ منتهي الخدمة","⏳ لم يباشر"),IF(S52&gt;0,"✈ راتب إجازة مقدم",IF(J52=0,"⛔ بدون راتب هذا الشهر",IF(I52&gt;0,"✈ خصم "&amp;ROUND(I52,2)&amp;" يوم بدون أجر",IF(AL52&gt;0,"🌴 إجازة سنوية "&amp;ROUND(AL52,2)&amp;" يوم",IF(H52&gt;0,"⚠ غياب "&amp;ROUND(H52,2)&amp;" يوم","✔ على رأس العمل")))))))</f>
        <v/>
      </c>
      <c r="G52" s="151" t="str">
        <f aca="false">IF($B52="","",IF(AK52&gt;=DAY($F$3),cfg_DAYS_M,MIN(AK52,cfg_DAYS_M)))</f>
        <v/>
      </c>
      <c r="H52" s="151" t="str">
        <f aca="false">IF($B52="","",SUMIFS('الحركات الشهرية'!$D$6:$D$1005,'الحركات الشهرية'!$B$6:$B$1005,$B52,'الحركات الشهرية'!$A$6:$A$1005,$C$3))</f>
        <v/>
      </c>
      <c r="I52" s="151" t="str">
        <f aca="false">IF($B52="","",MIN(G52,IF(AND(AK52&gt;0,AN52&gt;=AK52),G52,AN52)+SUMIFS('الحركات الشهرية'!$E$6:$E$1005,'الحركات الشهرية'!$B$6:$B$1005,$B52,'الحركات الشهرية'!$A$6:$A$1005,$C$3)))</f>
        <v/>
      </c>
      <c r="J52" s="151" t="str">
        <f aca="false">IF($B52="","",MAX(0,G52-H52-I52))</f>
        <v/>
      </c>
      <c r="K52" s="111" t="str">
        <f aca="false">IF($B52="","",الموظفون!$L52*$J52/cfg_DAYS_M)</f>
        <v/>
      </c>
      <c r="L52" s="111" t="str">
        <f aca="false">IF($B52="","",الموظفون!$M52*$J52/cfg_DAYS_M)</f>
        <v/>
      </c>
      <c r="M52" s="111" t="str">
        <f aca="false">IF($B52="","",الموظفون!$N52*$J52/cfg_DAYS_M)</f>
        <v/>
      </c>
      <c r="N52" s="111" t="str">
        <f aca="false">IF($B52="","",الموظفون!$O52*$J52/cfg_DAYS_M)</f>
        <v/>
      </c>
      <c r="O52" s="151" t="str">
        <f aca="false">IF($B52="","",SUMIFS('الحركات الشهرية'!$F$6:$F$1005,'الحركات الشهرية'!$B$6:$B$1005,$B52,'الحركات الشهرية'!$A$6:$A$1005,$C$3))</f>
        <v/>
      </c>
      <c r="P52" s="111" t="str">
        <f aca="false">IF($B52="","",O52*(الموظفون!$P52+الموظفون!$L52*cfg_OT_P)/cfg_DAYS_M/cfg_HRS)</f>
        <v/>
      </c>
      <c r="Q52" s="111" t="str">
        <f aca="false">IF($B52="","",SUMIFS('الحركات الشهرية'!$G$6:$G$1005,'الحركات الشهرية'!$B$6:$B$1005,$B52,'الحركات الشهرية'!$A$6:$A$1005,$C$3))</f>
        <v/>
      </c>
      <c r="R52" s="111" t="str">
        <f aca="false">IF($B52="","",SUMIFS('الحركات الشهرية'!$H$6:$H$1005,'الحركات الشهرية'!$B$6:$B$1005,$B52,'الحركات الشهرية'!$A$6:$A$1005,$C$3))</f>
        <v/>
      </c>
      <c r="S52" s="111" t="str">
        <f aca="false">IF($B52="","",SUMIFS('سجل الإجازات والحالات'!$N$6:$N$505,'سجل الإجازات والحالات'!$B$6:$B$505,$B52,'سجل الإجازات والحالات'!$O$6:$O$505,$C$3))</f>
        <v/>
      </c>
      <c r="T52" s="152" t="str">
        <f aca="false">IF($B52="","",SUM(K52:N52)+SUM(P52:S52))</f>
        <v/>
      </c>
      <c r="U52" s="111" t="str">
        <f aca="false">IF($B52="","",الموظفون!$S52*IF(E52="سعودي",cfg_G_SE,cfg_G_NE)*G52/cfg_DAYS_M)</f>
        <v/>
      </c>
      <c r="V52" s="111" t="str">
        <f aca="false">IF($B52="","",SUMIFS('الحركات الشهرية'!$I$6:$I$1005,'الحركات الشهرية'!$B$6:$B$1005,$B52,'الحركات الشهرية'!$A$6:$A$1005,$C$3))</f>
        <v/>
      </c>
      <c r="W52" s="111" t="str">
        <f aca="false">IF($B52="","",SUMIFS('الحركات الشهرية'!$J$6:$J$1005,'الحركات الشهرية'!$B$6:$B$1005,$B52,'الحركات الشهرية'!$A$6:$A$1005,$C$3))</f>
        <v/>
      </c>
      <c r="X52" s="111" t="str">
        <f aca="false">IF($B52="","",SUM(U52:W52))</f>
        <v/>
      </c>
      <c r="Y52" s="153" t="str">
        <f aca="false">IF($B52="","",T52-X52)</f>
        <v/>
      </c>
      <c r="Z52" s="111" t="str">
        <f aca="false">IF($B52="","",الموظفون!$S52*IF(E52="سعودي",cfg_G_SR,cfg_G_NR)*G52/cfg_DAYS_M)</f>
        <v/>
      </c>
      <c r="AA52" s="111" t="str">
        <f aca="false">IF($B52="","",الموظفون!$Q52*(cfg_EOS_R1*(MIN(AH52,cfg_EOS_TH)-MIN(AI52,cfg_EOS_TH))+cfg_EOS_R2*(MAX(AH52-cfg_EOS_TH,0)-MAX(AI52-cfg_EOS_TH,0))))</f>
        <v/>
      </c>
      <c r="AB52" s="111" t="str">
        <f aca="false">IF($B52="","",IF(الموظفون!$T52&lt;&gt;"",الموظفون!$T52,IF(AH52&gt;=cfg_LV_TH,cfg_LV_D2,cfg_LV_D1))/cfg_DAYS_Y*AJ52*الموظفون!$R52/cfg_DAYS_M)</f>
        <v/>
      </c>
      <c r="AC52" s="111" t="str">
        <f aca="false">IF($B52="","",IF(AND(الموظفون!$U52="نعم",N(الموظفون!$W52)&gt;0),الموظفون!$V52/الموظفون!$W52*12/cfg_DAYS_Y*AJ52,0))</f>
        <v/>
      </c>
      <c r="AD52" s="111" t="str">
        <f aca="false">IF($B52="","",(IF(الموظفون!$X52&lt;&gt;"",الموظفون!$X52,IF(الموظفون!$E52="غير سعودي",cfg_IQ,0))+IF(الموظفون!$Y52&lt;&gt;"",الموظفون!$Y52,IF(الموظفون!$E52="غير سعودي",cfg_WP,0)))/12*G52/cfg_DAYS_M)</f>
        <v/>
      </c>
      <c r="AE52" s="111" t="str">
        <f aca="false">IF($B52="","",IF(الموظفون!$Z52&lt;&gt;"",الموظفون!$Z52,cfg_MED)/12*G52/cfg_DAYS_M)</f>
        <v/>
      </c>
      <c r="AF52" s="111" t="str">
        <f aca="false">IF($B52="","",N(الموظفون!$AA52)/12*G52/cfg_DAYS_M)</f>
        <v/>
      </c>
      <c r="AG52" s="154" t="str">
        <f aca="false">IF($B52="","",T52+SUM(Z52:AF52))</f>
        <v/>
      </c>
      <c r="AH52" s="155" t="str">
        <f aca="false">IF($B52="","",MAX(0,IF(OR(الموظفون!$AE52="",الموظفون!$AE52&gt;$F$3),$F$3,الموظفون!$AE52)-الموظفون!$H52+1-SUMIFS('سجل الإجازات والحالات'!$AL$6:$AL$505,'سجل الإجازات والحالات'!$B$6:$B$505,$B52))/cfg_DAYS_Y)</f>
        <v/>
      </c>
      <c r="AI52" s="155" t="str">
        <f aca="false">IF($B52="","",MAX(0,IF(OR(الموظفون!$AE52="",الموظفون!$AE52&gt;($E$3-1)),($E$3-1),الموظفون!$AE52)-الموظفون!$H52+1-SUMIFS('سجل الإجازات والحالات'!$AK$6:$AK$505,'سجل الإجازات والحالات'!$B$6:$B$505,$B52))/cfg_DAYS_Y)</f>
        <v/>
      </c>
      <c r="AJ52" s="65" t="str">
        <f aca="false">IF($B52="","",MAX(0,AK52-(SUMIFS('سجل الإجازات والحالات'!$AL$6:$AL$505,'سجل الإجازات والحالات'!$B$6:$B$505,$B52)-SUMIFS('سجل الإجازات والحالات'!$AK$6:$AK$505,'سجل الإجازات والحالات'!$B$6:$B$505,$B52))))</f>
        <v/>
      </c>
      <c r="AK52" s="65" t="str">
        <f aca="false">IF($B52="","",MAX(0,IF(OR(الموظفون!$AE52="",الموظفون!$AE52&gt;$F$3),$F$3,الموظفون!$AE52)-MAX($E$3,الموظفون!$H52)+1))</f>
        <v/>
      </c>
      <c r="AL52" s="151" t="str">
        <f aca="false">IF($B52="","",SUMIFS('سجل الإجازات والحالات'!$AX$6:$AX$505,'سجل الإجازات والحالات'!$B$6:$B$505,$B52)+SUMIFS('الحركات الشهرية'!$K$6:$K$1005,'الحركات الشهرية'!$B$6:$B$1005,$B52,'الحركات الشهرية'!$A$6:$A$1005,$C$3))</f>
        <v/>
      </c>
      <c r="AM52" s="111" t="str">
        <f aca="false">IF($B52="","",AL52*الموظفون!$R52/cfg_DAYS_M+S52)</f>
        <v/>
      </c>
      <c r="AN52" s="151" t="str">
        <f aca="false">IF($B52="","",SUMIFS('سجل الإجازات والحالات'!$Z$6:$Z$505,'سجل الإجازات والحالات'!$B$6:$B$505,$B52))</f>
        <v/>
      </c>
    </row>
    <row r="53" customFormat="false" ht="15" hidden="false" customHeight="false" outlineLevel="0" collapsed="false">
      <c r="A53" s="115" t="str">
        <f aca="false">IF($B53="","",الموظفون!$A53)</f>
        <v/>
      </c>
      <c r="B53" s="117" t="str">
        <f aca="false">IF(الموظفون!$B53="","",الموظفون!$B53)</f>
        <v/>
      </c>
      <c r="C53" s="117" t="str">
        <f aca="false">IF($B53="","",الموظفون!$C53)</f>
        <v/>
      </c>
      <c r="D53" s="117" t="str">
        <f aca="false">IF($B53="","",الموظفون!$F53)</f>
        <v/>
      </c>
      <c r="E53" s="117" t="str">
        <f aca="false">IF($B53="","",الموظفون!$E53)</f>
        <v/>
      </c>
      <c r="F53" s="117" t="str">
        <f aca="false">IF($B53="","",IF(AK53=0,IF(AND(الموظفون!$AE53&lt;&gt;"",الموظفون!$AE53&lt;$E$3),"✖ منتهي الخدمة","⏳ لم يباشر"),IF(S53&gt;0,"✈ راتب إجازة مقدم",IF(J53=0,"⛔ بدون راتب هذا الشهر",IF(I53&gt;0,"✈ خصم "&amp;ROUND(I53,2)&amp;" يوم بدون أجر",IF(AL53&gt;0,"🌴 إجازة سنوية "&amp;ROUND(AL53,2)&amp;" يوم",IF(H53&gt;0,"⚠ غياب "&amp;ROUND(H53,2)&amp;" يوم","✔ على رأس العمل")))))))</f>
        <v/>
      </c>
      <c r="G53" s="156" t="str">
        <f aca="false">IF($B53="","",IF(AK53&gt;=DAY($F$3),cfg_DAYS_M,MIN(AK53,cfg_DAYS_M)))</f>
        <v/>
      </c>
      <c r="H53" s="156" t="str">
        <f aca="false">IF($B53="","",SUMIFS('الحركات الشهرية'!$D$6:$D$1005,'الحركات الشهرية'!$B$6:$B$1005,$B53,'الحركات الشهرية'!$A$6:$A$1005,$C$3))</f>
        <v/>
      </c>
      <c r="I53" s="156" t="str">
        <f aca="false">IF($B53="","",MIN(G53,IF(AND(AK53&gt;0,AN53&gt;=AK53),G53,AN53)+SUMIFS('الحركات الشهرية'!$E$6:$E$1005,'الحركات الشهرية'!$B$6:$B$1005,$B53,'الحركات الشهرية'!$A$6:$A$1005,$C$3)))</f>
        <v/>
      </c>
      <c r="J53" s="156" t="str">
        <f aca="false">IF($B53="","",MAX(0,G53-H53-I53))</f>
        <v/>
      </c>
      <c r="K53" s="116" t="str">
        <f aca="false">IF($B53="","",الموظفون!$L53*$J53/cfg_DAYS_M)</f>
        <v/>
      </c>
      <c r="L53" s="116" t="str">
        <f aca="false">IF($B53="","",الموظفون!$M53*$J53/cfg_DAYS_M)</f>
        <v/>
      </c>
      <c r="M53" s="116" t="str">
        <f aca="false">IF($B53="","",الموظفون!$N53*$J53/cfg_DAYS_M)</f>
        <v/>
      </c>
      <c r="N53" s="116" t="str">
        <f aca="false">IF($B53="","",الموظفون!$O53*$J53/cfg_DAYS_M)</f>
        <v/>
      </c>
      <c r="O53" s="156" t="str">
        <f aca="false">IF($B53="","",SUMIFS('الحركات الشهرية'!$F$6:$F$1005,'الحركات الشهرية'!$B$6:$B$1005,$B53,'الحركات الشهرية'!$A$6:$A$1005,$C$3))</f>
        <v/>
      </c>
      <c r="P53" s="116" t="str">
        <f aca="false">IF($B53="","",O53*(الموظفون!$P53+الموظفون!$L53*cfg_OT_P)/cfg_DAYS_M/cfg_HRS)</f>
        <v/>
      </c>
      <c r="Q53" s="116" t="str">
        <f aca="false">IF($B53="","",SUMIFS('الحركات الشهرية'!$G$6:$G$1005,'الحركات الشهرية'!$B$6:$B$1005,$B53,'الحركات الشهرية'!$A$6:$A$1005,$C$3))</f>
        <v/>
      </c>
      <c r="R53" s="116" t="str">
        <f aca="false">IF($B53="","",SUMIFS('الحركات الشهرية'!$H$6:$H$1005,'الحركات الشهرية'!$B$6:$B$1005,$B53,'الحركات الشهرية'!$A$6:$A$1005,$C$3))</f>
        <v/>
      </c>
      <c r="S53" s="116" t="str">
        <f aca="false">IF($B53="","",SUMIFS('سجل الإجازات والحالات'!$N$6:$N$505,'سجل الإجازات والحالات'!$B$6:$B$505,$B53,'سجل الإجازات والحالات'!$O$6:$O$505,$C$3))</f>
        <v/>
      </c>
      <c r="T53" s="157" t="str">
        <f aca="false">IF($B53="","",SUM(K53:N53)+SUM(P53:S53))</f>
        <v/>
      </c>
      <c r="U53" s="116" t="str">
        <f aca="false">IF($B53="","",الموظفون!$S53*IF(E53="سعودي",cfg_G_SE,cfg_G_NE)*G53/cfg_DAYS_M)</f>
        <v/>
      </c>
      <c r="V53" s="116" t="str">
        <f aca="false">IF($B53="","",SUMIFS('الحركات الشهرية'!$I$6:$I$1005,'الحركات الشهرية'!$B$6:$B$1005,$B53,'الحركات الشهرية'!$A$6:$A$1005,$C$3))</f>
        <v/>
      </c>
      <c r="W53" s="116" t="str">
        <f aca="false">IF($B53="","",SUMIFS('الحركات الشهرية'!$J$6:$J$1005,'الحركات الشهرية'!$B$6:$B$1005,$B53,'الحركات الشهرية'!$A$6:$A$1005,$C$3))</f>
        <v/>
      </c>
      <c r="X53" s="116" t="str">
        <f aca="false">IF($B53="","",SUM(U53:W53))</f>
        <v/>
      </c>
      <c r="Y53" s="158" t="str">
        <f aca="false">IF($B53="","",T53-X53)</f>
        <v/>
      </c>
      <c r="Z53" s="116" t="str">
        <f aca="false">IF($B53="","",الموظفون!$S53*IF(E53="سعودي",cfg_G_SR,cfg_G_NR)*G53/cfg_DAYS_M)</f>
        <v/>
      </c>
      <c r="AA53" s="116" t="str">
        <f aca="false">IF($B53="","",الموظفون!$Q53*(cfg_EOS_R1*(MIN(AH53,cfg_EOS_TH)-MIN(AI53,cfg_EOS_TH))+cfg_EOS_R2*(MAX(AH53-cfg_EOS_TH,0)-MAX(AI53-cfg_EOS_TH,0))))</f>
        <v/>
      </c>
      <c r="AB53" s="116" t="str">
        <f aca="false">IF($B53="","",IF(الموظفون!$T53&lt;&gt;"",الموظفون!$T53,IF(AH53&gt;=cfg_LV_TH,cfg_LV_D2,cfg_LV_D1))/cfg_DAYS_Y*AJ53*الموظفون!$R53/cfg_DAYS_M)</f>
        <v/>
      </c>
      <c r="AC53" s="116" t="str">
        <f aca="false">IF($B53="","",IF(AND(الموظفون!$U53="نعم",N(الموظفون!$W53)&gt;0),الموظفون!$V53/الموظفون!$W53*12/cfg_DAYS_Y*AJ53,0))</f>
        <v/>
      </c>
      <c r="AD53" s="116" t="str">
        <f aca="false">IF($B53="","",(IF(الموظفون!$X53&lt;&gt;"",الموظفون!$X53,IF(الموظفون!$E53="غير سعودي",cfg_IQ,0))+IF(الموظفون!$Y53&lt;&gt;"",الموظفون!$Y53,IF(الموظفون!$E53="غير سعودي",cfg_WP,0)))/12*G53/cfg_DAYS_M)</f>
        <v/>
      </c>
      <c r="AE53" s="116" t="str">
        <f aca="false">IF($B53="","",IF(الموظفون!$Z53&lt;&gt;"",الموظفون!$Z53,cfg_MED)/12*G53/cfg_DAYS_M)</f>
        <v/>
      </c>
      <c r="AF53" s="116" t="str">
        <f aca="false">IF($B53="","",N(الموظفون!$AA53)/12*G53/cfg_DAYS_M)</f>
        <v/>
      </c>
      <c r="AG53" s="159" t="str">
        <f aca="false">IF($B53="","",T53+SUM(Z53:AF53))</f>
        <v/>
      </c>
      <c r="AH53" s="160" t="str">
        <f aca="false">IF($B53="","",MAX(0,IF(OR(الموظفون!$AE53="",الموظفون!$AE53&gt;$F$3),$F$3,الموظفون!$AE53)-الموظفون!$H53+1-SUMIFS('سجل الإجازات والحالات'!$AL$6:$AL$505,'سجل الإجازات والحالات'!$B$6:$B$505,$B53))/cfg_DAYS_Y)</f>
        <v/>
      </c>
      <c r="AI53" s="160" t="str">
        <f aca="false">IF($B53="","",MAX(0,IF(OR(الموظفون!$AE53="",الموظفون!$AE53&gt;($E$3-1)),($E$3-1),الموظفون!$AE53)-الموظفون!$H53+1-SUMIFS('سجل الإجازات والحالات'!$AK$6:$AK$505,'سجل الإجازات والحالات'!$B$6:$B$505,$B53))/cfg_DAYS_Y)</f>
        <v/>
      </c>
      <c r="AJ53" s="133" t="str">
        <f aca="false">IF($B53="","",MAX(0,AK53-(SUMIFS('سجل الإجازات والحالات'!$AL$6:$AL$505,'سجل الإجازات والحالات'!$B$6:$B$505,$B53)-SUMIFS('سجل الإجازات والحالات'!$AK$6:$AK$505,'سجل الإجازات والحالات'!$B$6:$B$505,$B53))))</f>
        <v/>
      </c>
      <c r="AK53" s="133" t="str">
        <f aca="false">IF($B53="","",MAX(0,IF(OR(الموظفون!$AE53="",الموظفون!$AE53&gt;$F$3),$F$3,الموظفون!$AE53)-MAX($E$3,الموظفون!$H53)+1))</f>
        <v/>
      </c>
      <c r="AL53" s="156" t="str">
        <f aca="false">IF($B53="","",SUMIFS('سجل الإجازات والحالات'!$AX$6:$AX$505,'سجل الإجازات والحالات'!$B$6:$B$505,$B53)+SUMIFS('الحركات الشهرية'!$K$6:$K$1005,'الحركات الشهرية'!$B$6:$B$1005,$B53,'الحركات الشهرية'!$A$6:$A$1005,$C$3))</f>
        <v/>
      </c>
      <c r="AM53" s="116" t="str">
        <f aca="false">IF($B53="","",AL53*الموظفون!$R53/cfg_DAYS_M+S53)</f>
        <v/>
      </c>
      <c r="AN53" s="156" t="str">
        <f aca="false">IF($B53="","",SUMIFS('سجل الإجازات والحالات'!$Z$6:$Z$505,'سجل الإجازات والحالات'!$B$6:$B$505,$B53))</f>
        <v/>
      </c>
    </row>
    <row r="54" customFormat="false" ht="15" hidden="false" customHeight="false" outlineLevel="0" collapsed="false">
      <c r="A54" s="106" t="str">
        <f aca="false">IF($B54="","",الموظفون!$A54)</f>
        <v/>
      </c>
      <c r="B54" s="114" t="str">
        <f aca="false">IF(الموظفون!$B54="","",الموظفون!$B54)</f>
        <v/>
      </c>
      <c r="C54" s="114" t="str">
        <f aca="false">IF($B54="","",الموظفون!$C54)</f>
        <v/>
      </c>
      <c r="D54" s="114" t="str">
        <f aca="false">IF($B54="","",الموظفون!$F54)</f>
        <v/>
      </c>
      <c r="E54" s="114" t="str">
        <f aca="false">IF($B54="","",الموظفون!$E54)</f>
        <v/>
      </c>
      <c r="F54" s="114" t="str">
        <f aca="false">IF($B54="","",IF(AK54=0,IF(AND(الموظفون!$AE54&lt;&gt;"",الموظفون!$AE54&lt;$E$3),"✖ منتهي الخدمة","⏳ لم يباشر"),IF(S54&gt;0,"✈ راتب إجازة مقدم",IF(J54=0,"⛔ بدون راتب هذا الشهر",IF(I54&gt;0,"✈ خصم "&amp;ROUND(I54,2)&amp;" يوم بدون أجر",IF(AL54&gt;0,"🌴 إجازة سنوية "&amp;ROUND(AL54,2)&amp;" يوم",IF(H54&gt;0,"⚠ غياب "&amp;ROUND(H54,2)&amp;" يوم","✔ على رأس العمل")))))))</f>
        <v/>
      </c>
      <c r="G54" s="151" t="str">
        <f aca="false">IF($B54="","",IF(AK54&gt;=DAY($F$3),cfg_DAYS_M,MIN(AK54,cfg_DAYS_M)))</f>
        <v/>
      </c>
      <c r="H54" s="151" t="str">
        <f aca="false">IF($B54="","",SUMIFS('الحركات الشهرية'!$D$6:$D$1005,'الحركات الشهرية'!$B$6:$B$1005,$B54,'الحركات الشهرية'!$A$6:$A$1005,$C$3))</f>
        <v/>
      </c>
      <c r="I54" s="151" t="str">
        <f aca="false">IF($B54="","",MIN(G54,IF(AND(AK54&gt;0,AN54&gt;=AK54),G54,AN54)+SUMIFS('الحركات الشهرية'!$E$6:$E$1005,'الحركات الشهرية'!$B$6:$B$1005,$B54,'الحركات الشهرية'!$A$6:$A$1005,$C$3)))</f>
        <v/>
      </c>
      <c r="J54" s="151" t="str">
        <f aca="false">IF($B54="","",MAX(0,G54-H54-I54))</f>
        <v/>
      </c>
      <c r="K54" s="111" t="str">
        <f aca="false">IF($B54="","",الموظفون!$L54*$J54/cfg_DAYS_M)</f>
        <v/>
      </c>
      <c r="L54" s="111" t="str">
        <f aca="false">IF($B54="","",الموظفون!$M54*$J54/cfg_DAYS_M)</f>
        <v/>
      </c>
      <c r="M54" s="111" t="str">
        <f aca="false">IF($B54="","",الموظفون!$N54*$J54/cfg_DAYS_M)</f>
        <v/>
      </c>
      <c r="N54" s="111" t="str">
        <f aca="false">IF($B54="","",الموظفون!$O54*$J54/cfg_DAYS_M)</f>
        <v/>
      </c>
      <c r="O54" s="151" t="str">
        <f aca="false">IF($B54="","",SUMIFS('الحركات الشهرية'!$F$6:$F$1005,'الحركات الشهرية'!$B$6:$B$1005,$B54,'الحركات الشهرية'!$A$6:$A$1005,$C$3))</f>
        <v/>
      </c>
      <c r="P54" s="111" t="str">
        <f aca="false">IF($B54="","",O54*(الموظفون!$P54+الموظفون!$L54*cfg_OT_P)/cfg_DAYS_M/cfg_HRS)</f>
        <v/>
      </c>
      <c r="Q54" s="111" t="str">
        <f aca="false">IF($B54="","",SUMIFS('الحركات الشهرية'!$G$6:$G$1005,'الحركات الشهرية'!$B$6:$B$1005,$B54,'الحركات الشهرية'!$A$6:$A$1005,$C$3))</f>
        <v/>
      </c>
      <c r="R54" s="111" t="str">
        <f aca="false">IF($B54="","",SUMIFS('الحركات الشهرية'!$H$6:$H$1005,'الحركات الشهرية'!$B$6:$B$1005,$B54,'الحركات الشهرية'!$A$6:$A$1005,$C$3))</f>
        <v/>
      </c>
      <c r="S54" s="111" t="str">
        <f aca="false">IF($B54="","",SUMIFS('سجل الإجازات والحالات'!$N$6:$N$505,'سجل الإجازات والحالات'!$B$6:$B$505,$B54,'سجل الإجازات والحالات'!$O$6:$O$505,$C$3))</f>
        <v/>
      </c>
      <c r="T54" s="152" t="str">
        <f aca="false">IF($B54="","",SUM(K54:N54)+SUM(P54:S54))</f>
        <v/>
      </c>
      <c r="U54" s="111" t="str">
        <f aca="false">IF($B54="","",الموظفون!$S54*IF(E54="سعودي",cfg_G_SE,cfg_G_NE)*G54/cfg_DAYS_M)</f>
        <v/>
      </c>
      <c r="V54" s="111" t="str">
        <f aca="false">IF($B54="","",SUMIFS('الحركات الشهرية'!$I$6:$I$1005,'الحركات الشهرية'!$B$6:$B$1005,$B54,'الحركات الشهرية'!$A$6:$A$1005,$C$3))</f>
        <v/>
      </c>
      <c r="W54" s="111" t="str">
        <f aca="false">IF($B54="","",SUMIFS('الحركات الشهرية'!$J$6:$J$1005,'الحركات الشهرية'!$B$6:$B$1005,$B54,'الحركات الشهرية'!$A$6:$A$1005,$C$3))</f>
        <v/>
      </c>
      <c r="X54" s="111" t="str">
        <f aca="false">IF($B54="","",SUM(U54:W54))</f>
        <v/>
      </c>
      <c r="Y54" s="153" t="str">
        <f aca="false">IF($B54="","",T54-X54)</f>
        <v/>
      </c>
      <c r="Z54" s="111" t="str">
        <f aca="false">IF($B54="","",الموظفون!$S54*IF(E54="سعودي",cfg_G_SR,cfg_G_NR)*G54/cfg_DAYS_M)</f>
        <v/>
      </c>
      <c r="AA54" s="111" t="str">
        <f aca="false">IF($B54="","",الموظفون!$Q54*(cfg_EOS_R1*(MIN(AH54,cfg_EOS_TH)-MIN(AI54,cfg_EOS_TH))+cfg_EOS_R2*(MAX(AH54-cfg_EOS_TH,0)-MAX(AI54-cfg_EOS_TH,0))))</f>
        <v/>
      </c>
      <c r="AB54" s="111" t="str">
        <f aca="false">IF($B54="","",IF(الموظفون!$T54&lt;&gt;"",الموظفون!$T54,IF(AH54&gt;=cfg_LV_TH,cfg_LV_D2,cfg_LV_D1))/cfg_DAYS_Y*AJ54*الموظفون!$R54/cfg_DAYS_M)</f>
        <v/>
      </c>
      <c r="AC54" s="111" t="str">
        <f aca="false">IF($B54="","",IF(AND(الموظفون!$U54="نعم",N(الموظفون!$W54)&gt;0),الموظفون!$V54/الموظفون!$W54*12/cfg_DAYS_Y*AJ54,0))</f>
        <v/>
      </c>
      <c r="AD54" s="111" t="str">
        <f aca="false">IF($B54="","",(IF(الموظفون!$X54&lt;&gt;"",الموظفون!$X54,IF(الموظفون!$E54="غير سعودي",cfg_IQ,0))+IF(الموظفون!$Y54&lt;&gt;"",الموظفون!$Y54,IF(الموظفون!$E54="غير سعودي",cfg_WP,0)))/12*G54/cfg_DAYS_M)</f>
        <v/>
      </c>
      <c r="AE54" s="111" t="str">
        <f aca="false">IF($B54="","",IF(الموظفون!$Z54&lt;&gt;"",الموظفون!$Z54,cfg_MED)/12*G54/cfg_DAYS_M)</f>
        <v/>
      </c>
      <c r="AF54" s="111" t="str">
        <f aca="false">IF($B54="","",N(الموظفون!$AA54)/12*G54/cfg_DAYS_M)</f>
        <v/>
      </c>
      <c r="AG54" s="154" t="str">
        <f aca="false">IF($B54="","",T54+SUM(Z54:AF54))</f>
        <v/>
      </c>
      <c r="AH54" s="155" t="str">
        <f aca="false">IF($B54="","",MAX(0,IF(OR(الموظفون!$AE54="",الموظفون!$AE54&gt;$F$3),$F$3,الموظفون!$AE54)-الموظفون!$H54+1-SUMIFS('سجل الإجازات والحالات'!$AL$6:$AL$505,'سجل الإجازات والحالات'!$B$6:$B$505,$B54))/cfg_DAYS_Y)</f>
        <v/>
      </c>
      <c r="AI54" s="155" t="str">
        <f aca="false">IF($B54="","",MAX(0,IF(OR(الموظفون!$AE54="",الموظفون!$AE54&gt;($E$3-1)),($E$3-1),الموظفون!$AE54)-الموظفون!$H54+1-SUMIFS('سجل الإجازات والحالات'!$AK$6:$AK$505,'سجل الإجازات والحالات'!$B$6:$B$505,$B54))/cfg_DAYS_Y)</f>
        <v/>
      </c>
      <c r="AJ54" s="65" t="str">
        <f aca="false">IF($B54="","",MAX(0,AK54-(SUMIFS('سجل الإجازات والحالات'!$AL$6:$AL$505,'سجل الإجازات والحالات'!$B$6:$B$505,$B54)-SUMIFS('سجل الإجازات والحالات'!$AK$6:$AK$505,'سجل الإجازات والحالات'!$B$6:$B$505,$B54))))</f>
        <v/>
      </c>
      <c r="AK54" s="65" t="str">
        <f aca="false">IF($B54="","",MAX(0,IF(OR(الموظفون!$AE54="",الموظفون!$AE54&gt;$F$3),$F$3,الموظفون!$AE54)-MAX($E$3,الموظفون!$H54)+1))</f>
        <v/>
      </c>
      <c r="AL54" s="151" t="str">
        <f aca="false">IF($B54="","",SUMIFS('سجل الإجازات والحالات'!$AX$6:$AX$505,'سجل الإجازات والحالات'!$B$6:$B$505,$B54)+SUMIFS('الحركات الشهرية'!$K$6:$K$1005,'الحركات الشهرية'!$B$6:$B$1005,$B54,'الحركات الشهرية'!$A$6:$A$1005,$C$3))</f>
        <v/>
      </c>
      <c r="AM54" s="111" t="str">
        <f aca="false">IF($B54="","",AL54*الموظفون!$R54/cfg_DAYS_M+S54)</f>
        <v/>
      </c>
      <c r="AN54" s="151" t="str">
        <f aca="false">IF($B54="","",SUMIFS('سجل الإجازات والحالات'!$Z$6:$Z$505,'سجل الإجازات والحالات'!$B$6:$B$505,$B54))</f>
        <v/>
      </c>
    </row>
    <row r="55" customFormat="false" ht="15" hidden="false" customHeight="false" outlineLevel="0" collapsed="false">
      <c r="A55" s="115" t="str">
        <f aca="false">IF($B55="","",الموظفون!$A55)</f>
        <v/>
      </c>
      <c r="B55" s="117" t="str">
        <f aca="false">IF(الموظفون!$B55="","",الموظفون!$B55)</f>
        <v/>
      </c>
      <c r="C55" s="117" t="str">
        <f aca="false">IF($B55="","",الموظفون!$C55)</f>
        <v/>
      </c>
      <c r="D55" s="117" t="str">
        <f aca="false">IF($B55="","",الموظفون!$F55)</f>
        <v/>
      </c>
      <c r="E55" s="117" t="str">
        <f aca="false">IF($B55="","",الموظفون!$E55)</f>
        <v/>
      </c>
      <c r="F55" s="117" t="str">
        <f aca="false">IF($B55="","",IF(AK55=0,IF(AND(الموظفون!$AE55&lt;&gt;"",الموظفون!$AE55&lt;$E$3),"✖ منتهي الخدمة","⏳ لم يباشر"),IF(S55&gt;0,"✈ راتب إجازة مقدم",IF(J55=0,"⛔ بدون راتب هذا الشهر",IF(I55&gt;0,"✈ خصم "&amp;ROUND(I55,2)&amp;" يوم بدون أجر",IF(AL55&gt;0,"🌴 إجازة سنوية "&amp;ROUND(AL55,2)&amp;" يوم",IF(H55&gt;0,"⚠ غياب "&amp;ROUND(H55,2)&amp;" يوم","✔ على رأس العمل")))))))</f>
        <v/>
      </c>
      <c r="G55" s="156" t="str">
        <f aca="false">IF($B55="","",IF(AK55&gt;=DAY($F$3),cfg_DAYS_M,MIN(AK55,cfg_DAYS_M)))</f>
        <v/>
      </c>
      <c r="H55" s="156" t="str">
        <f aca="false">IF($B55="","",SUMIFS('الحركات الشهرية'!$D$6:$D$1005,'الحركات الشهرية'!$B$6:$B$1005,$B55,'الحركات الشهرية'!$A$6:$A$1005,$C$3))</f>
        <v/>
      </c>
      <c r="I55" s="156" t="str">
        <f aca="false">IF($B55="","",MIN(G55,IF(AND(AK55&gt;0,AN55&gt;=AK55),G55,AN55)+SUMIFS('الحركات الشهرية'!$E$6:$E$1005,'الحركات الشهرية'!$B$6:$B$1005,$B55,'الحركات الشهرية'!$A$6:$A$1005,$C$3)))</f>
        <v/>
      </c>
      <c r="J55" s="156" t="str">
        <f aca="false">IF($B55="","",MAX(0,G55-H55-I55))</f>
        <v/>
      </c>
      <c r="K55" s="116" t="str">
        <f aca="false">IF($B55="","",الموظفون!$L55*$J55/cfg_DAYS_M)</f>
        <v/>
      </c>
      <c r="L55" s="116" t="str">
        <f aca="false">IF($B55="","",الموظفون!$M55*$J55/cfg_DAYS_M)</f>
        <v/>
      </c>
      <c r="M55" s="116" t="str">
        <f aca="false">IF($B55="","",الموظفون!$N55*$J55/cfg_DAYS_M)</f>
        <v/>
      </c>
      <c r="N55" s="116" t="str">
        <f aca="false">IF($B55="","",الموظفون!$O55*$J55/cfg_DAYS_M)</f>
        <v/>
      </c>
      <c r="O55" s="156" t="str">
        <f aca="false">IF($B55="","",SUMIFS('الحركات الشهرية'!$F$6:$F$1005,'الحركات الشهرية'!$B$6:$B$1005,$B55,'الحركات الشهرية'!$A$6:$A$1005,$C$3))</f>
        <v/>
      </c>
      <c r="P55" s="116" t="str">
        <f aca="false">IF($B55="","",O55*(الموظفون!$P55+الموظفون!$L55*cfg_OT_P)/cfg_DAYS_M/cfg_HRS)</f>
        <v/>
      </c>
      <c r="Q55" s="116" t="str">
        <f aca="false">IF($B55="","",SUMIFS('الحركات الشهرية'!$G$6:$G$1005,'الحركات الشهرية'!$B$6:$B$1005,$B55,'الحركات الشهرية'!$A$6:$A$1005,$C$3))</f>
        <v/>
      </c>
      <c r="R55" s="116" t="str">
        <f aca="false">IF($B55="","",SUMIFS('الحركات الشهرية'!$H$6:$H$1005,'الحركات الشهرية'!$B$6:$B$1005,$B55,'الحركات الشهرية'!$A$6:$A$1005,$C$3))</f>
        <v/>
      </c>
      <c r="S55" s="116" t="str">
        <f aca="false">IF($B55="","",SUMIFS('سجل الإجازات والحالات'!$N$6:$N$505,'سجل الإجازات والحالات'!$B$6:$B$505,$B55,'سجل الإجازات والحالات'!$O$6:$O$505,$C$3))</f>
        <v/>
      </c>
      <c r="T55" s="157" t="str">
        <f aca="false">IF($B55="","",SUM(K55:N55)+SUM(P55:S55))</f>
        <v/>
      </c>
      <c r="U55" s="116" t="str">
        <f aca="false">IF($B55="","",الموظفون!$S55*IF(E55="سعودي",cfg_G_SE,cfg_G_NE)*G55/cfg_DAYS_M)</f>
        <v/>
      </c>
      <c r="V55" s="116" t="str">
        <f aca="false">IF($B55="","",SUMIFS('الحركات الشهرية'!$I$6:$I$1005,'الحركات الشهرية'!$B$6:$B$1005,$B55,'الحركات الشهرية'!$A$6:$A$1005,$C$3))</f>
        <v/>
      </c>
      <c r="W55" s="116" t="str">
        <f aca="false">IF($B55="","",SUMIFS('الحركات الشهرية'!$J$6:$J$1005,'الحركات الشهرية'!$B$6:$B$1005,$B55,'الحركات الشهرية'!$A$6:$A$1005,$C$3))</f>
        <v/>
      </c>
      <c r="X55" s="116" t="str">
        <f aca="false">IF($B55="","",SUM(U55:W55))</f>
        <v/>
      </c>
      <c r="Y55" s="158" t="str">
        <f aca="false">IF($B55="","",T55-X55)</f>
        <v/>
      </c>
      <c r="Z55" s="116" t="str">
        <f aca="false">IF($B55="","",الموظفون!$S55*IF(E55="سعودي",cfg_G_SR,cfg_G_NR)*G55/cfg_DAYS_M)</f>
        <v/>
      </c>
      <c r="AA55" s="116" t="str">
        <f aca="false">IF($B55="","",الموظفون!$Q55*(cfg_EOS_R1*(MIN(AH55,cfg_EOS_TH)-MIN(AI55,cfg_EOS_TH))+cfg_EOS_R2*(MAX(AH55-cfg_EOS_TH,0)-MAX(AI55-cfg_EOS_TH,0))))</f>
        <v/>
      </c>
      <c r="AB55" s="116" t="str">
        <f aca="false">IF($B55="","",IF(الموظفون!$T55&lt;&gt;"",الموظفون!$T55,IF(AH55&gt;=cfg_LV_TH,cfg_LV_D2,cfg_LV_D1))/cfg_DAYS_Y*AJ55*الموظفون!$R55/cfg_DAYS_M)</f>
        <v/>
      </c>
      <c r="AC55" s="116" t="str">
        <f aca="false">IF($B55="","",IF(AND(الموظفون!$U55="نعم",N(الموظفون!$W55)&gt;0),الموظفون!$V55/الموظفون!$W55*12/cfg_DAYS_Y*AJ55,0))</f>
        <v/>
      </c>
      <c r="AD55" s="116" t="str">
        <f aca="false">IF($B55="","",(IF(الموظفون!$X55&lt;&gt;"",الموظفون!$X55,IF(الموظفون!$E55="غير سعودي",cfg_IQ,0))+IF(الموظفون!$Y55&lt;&gt;"",الموظفون!$Y55,IF(الموظفون!$E55="غير سعودي",cfg_WP,0)))/12*G55/cfg_DAYS_M)</f>
        <v/>
      </c>
      <c r="AE55" s="116" t="str">
        <f aca="false">IF($B55="","",IF(الموظفون!$Z55&lt;&gt;"",الموظفون!$Z55,cfg_MED)/12*G55/cfg_DAYS_M)</f>
        <v/>
      </c>
      <c r="AF55" s="116" t="str">
        <f aca="false">IF($B55="","",N(الموظفون!$AA55)/12*G55/cfg_DAYS_M)</f>
        <v/>
      </c>
      <c r="AG55" s="159" t="str">
        <f aca="false">IF($B55="","",T55+SUM(Z55:AF55))</f>
        <v/>
      </c>
      <c r="AH55" s="160" t="str">
        <f aca="false">IF($B55="","",MAX(0,IF(OR(الموظفون!$AE55="",الموظفون!$AE55&gt;$F$3),$F$3,الموظفون!$AE55)-الموظفون!$H55+1-SUMIFS('سجل الإجازات والحالات'!$AL$6:$AL$505,'سجل الإجازات والحالات'!$B$6:$B$505,$B55))/cfg_DAYS_Y)</f>
        <v/>
      </c>
      <c r="AI55" s="160" t="str">
        <f aca="false">IF($B55="","",MAX(0,IF(OR(الموظفون!$AE55="",الموظفون!$AE55&gt;($E$3-1)),($E$3-1),الموظفون!$AE55)-الموظفون!$H55+1-SUMIFS('سجل الإجازات والحالات'!$AK$6:$AK$505,'سجل الإجازات والحالات'!$B$6:$B$505,$B55))/cfg_DAYS_Y)</f>
        <v/>
      </c>
      <c r="AJ55" s="133" t="str">
        <f aca="false">IF($B55="","",MAX(0,AK55-(SUMIFS('سجل الإجازات والحالات'!$AL$6:$AL$505,'سجل الإجازات والحالات'!$B$6:$B$505,$B55)-SUMIFS('سجل الإجازات والحالات'!$AK$6:$AK$505,'سجل الإجازات والحالات'!$B$6:$B$505,$B55))))</f>
        <v/>
      </c>
      <c r="AK55" s="133" t="str">
        <f aca="false">IF($B55="","",MAX(0,IF(OR(الموظفون!$AE55="",الموظفون!$AE55&gt;$F$3),$F$3,الموظفون!$AE55)-MAX($E$3,الموظفون!$H55)+1))</f>
        <v/>
      </c>
      <c r="AL55" s="156" t="str">
        <f aca="false">IF($B55="","",SUMIFS('سجل الإجازات والحالات'!$AX$6:$AX$505,'سجل الإجازات والحالات'!$B$6:$B$505,$B55)+SUMIFS('الحركات الشهرية'!$K$6:$K$1005,'الحركات الشهرية'!$B$6:$B$1005,$B55,'الحركات الشهرية'!$A$6:$A$1005,$C$3))</f>
        <v/>
      </c>
      <c r="AM55" s="116" t="str">
        <f aca="false">IF($B55="","",AL55*الموظفون!$R55/cfg_DAYS_M+S55)</f>
        <v/>
      </c>
      <c r="AN55" s="156" t="str">
        <f aca="false">IF($B55="","",SUMIFS('سجل الإجازات والحالات'!$Z$6:$Z$505,'سجل الإجازات والحالات'!$B$6:$B$505,$B55))</f>
        <v/>
      </c>
    </row>
    <row r="56" customFormat="false" ht="15" hidden="false" customHeight="false" outlineLevel="0" collapsed="false">
      <c r="A56" s="106" t="str">
        <f aca="false">IF($B56="","",الموظفون!$A56)</f>
        <v/>
      </c>
      <c r="B56" s="114" t="str">
        <f aca="false">IF(الموظفون!$B56="","",الموظفون!$B56)</f>
        <v/>
      </c>
      <c r="C56" s="114" t="str">
        <f aca="false">IF($B56="","",الموظفون!$C56)</f>
        <v/>
      </c>
      <c r="D56" s="114" t="str">
        <f aca="false">IF($B56="","",الموظفون!$F56)</f>
        <v/>
      </c>
      <c r="E56" s="114" t="str">
        <f aca="false">IF($B56="","",الموظفون!$E56)</f>
        <v/>
      </c>
      <c r="F56" s="114" t="str">
        <f aca="false">IF($B56="","",IF(AK56=0,IF(AND(الموظفون!$AE56&lt;&gt;"",الموظفون!$AE56&lt;$E$3),"✖ منتهي الخدمة","⏳ لم يباشر"),IF(S56&gt;0,"✈ راتب إجازة مقدم",IF(J56=0,"⛔ بدون راتب هذا الشهر",IF(I56&gt;0,"✈ خصم "&amp;ROUND(I56,2)&amp;" يوم بدون أجر",IF(AL56&gt;0,"🌴 إجازة سنوية "&amp;ROUND(AL56,2)&amp;" يوم",IF(H56&gt;0,"⚠ غياب "&amp;ROUND(H56,2)&amp;" يوم","✔ على رأس العمل")))))))</f>
        <v/>
      </c>
      <c r="G56" s="151" t="str">
        <f aca="false">IF($B56="","",IF(AK56&gt;=DAY($F$3),cfg_DAYS_M,MIN(AK56,cfg_DAYS_M)))</f>
        <v/>
      </c>
      <c r="H56" s="151" t="str">
        <f aca="false">IF($B56="","",SUMIFS('الحركات الشهرية'!$D$6:$D$1005,'الحركات الشهرية'!$B$6:$B$1005,$B56,'الحركات الشهرية'!$A$6:$A$1005,$C$3))</f>
        <v/>
      </c>
      <c r="I56" s="151" t="str">
        <f aca="false">IF($B56="","",MIN(G56,IF(AND(AK56&gt;0,AN56&gt;=AK56),G56,AN56)+SUMIFS('الحركات الشهرية'!$E$6:$E$1005,'الحركات الشهرية'!$B$6:$B$1005,$B56,'الحركات الشهرية'!$A$6:$A$1005,$C$3)))</f>
        <v/>
      </c>
      <c r="J56" s="151" t="str">
        <f aca="false">IF($B56="","",MAX(0,G56-H56-I56))</f>
        <v/>
      </c>
      <c r="K56" s="111" t="str">
        <f aca="false">IF($B56="","",الموظفون!$L56*$J56/cfg_DAYS_M)</f>
        <v/>
      </c>
      <c r="L56" s="111" t="str">
        <f aca="false">IF($B56="","",الموظفون!$M56*$J56/cfg_DAYS_M)</f>
        <v/>
      </c>
      <c r="M56" s="111" t="str">
        <f aca="false">IF($B56="","",الموظفون!$N56*$J56/cfg_DAYS_M)</f>
        <v/>
      </c>
      <c r="N56" s="111" t="str">
        <f aca="false">IF($B56="","",الموظفون!$O56*$J56/cfg_DAYS_M)</f>
        <v/>
      </c>
      <c r="O56" s="151" t="str">
        <f aca="false">IF($B56="","",SUMIFS('الحركات الشهرية'!$F$6:$F$1005,'الحركات الشهرية'!$B$6:$B$1005,$B56,'الحركات الشهرية'!$A$6:$A$1005,$C$3))</f>
        <v/>
      </c>
      <c r="P56" s="111" t="str">
        <f aca="false">IF($B56="","",O56*(الموظفون!$P56+الموظفون!$L56*cfg_OT_P)/cfg_DAYS_M/cfg_HRS)</f>
        <v/>
      </c>
      <c r="Q56" s="111" t="str">
        <f aca="false">IF($B56="","",SUMIFS('الحركات الشهرية'!$G$6:$G$1005,'الحركات الشهرية'!$B$6:$B$1005,$B56,'الحركات الشهرية'!$A$6:$A$1005,$C$3))</f>
        <v/>
      </c>
      <c r="R56" s="111" t="str">
        <f aca="false">IF($B56="","",SUMIFS('الحركات الشهرية'!$H$6:$H$1005,'الحركات الشهرية'!$B$6:$B$1005,$B56,'الحركات الشهرية'!$A$6:$A$1005,$C$3))</f>
        <v/>
      </c>
      <c r="S56" s="111" t="str">
        <f aca="false">IF($B56="","",SUMIFS('سجل الإجازات والحالات'!$N$6:$N$505,'سجل الإجازات والحالات'!$B$6:$B$505,$B56,'سجل الإجازات والحالات'!$O$6:$O$505,$C$3))</f>
        <v/>
      </c>
      <c r="T56" s="152" t="str">
        <f aca="false">IF($B56="","",SUM(K56:N56)+SUM(P56:S56))</f>
        <v/>
      </c>
      <c r="U56" s="111" t="str">
        <f aca="false">IF($B56="","",الموظفون!$S56*IF(E56="سعودي",cfg_G_SE,cfg_G_NE)*G56/cfg_DAYS_M)</f>
        <v/>
      </c>
      <c r="V56" s="111" t="str">
        <f aca="false">IF($B56="","",SUMIFS('الحركات الشهرية'!$I$6:$I$1005,'الحركات الشهرية'!$B$6:$B$1005,$B56,'الحركات الشهرية'!$A$6:$A$1005,$C$3))</f>
        <v/>
      </c>
      <c r="W56" s="111" t="str">
        <f aca="false">IF($B56="","",SUMIFS('الحركات الشهرية'!$J$6:$J$1005,'الحركات الشهرية'!$B$6:$B$1005,$B56,'الحركات الشهرية'!$A$6:$A$1005,$C$3))</f>
        <v/>
      </c>
      <c r="X56" s="111" t="str">
        <f aca="false">IF($B56="","",SUM(U56:W56))</f>
        <v/>
      </c>
      <c r="Y56" s="153" t="str">
        <f aca="false">IF($B56="","",T56-X56)</f>
        <v/>
      </c>
      <c r="Z56" s="111" t="str">
        <f aca="false">IF($B56="","",الموظفون!$S56*IF(E56="سعودي",cfg_G_SR,cfg_G_NR)*G56/cfg_DAYS_M)</f>
        <v/>
      </c>
      <c r="AA56" s="111" t="str">
        <f aca="false">IF($B56="","",الموظفون!$Q56*(cfg_EOS_R1*(MIN(AH56,cfg_EOS_TH)-MIN(AI56,cfg_EOS_TH))+cfg_EOS_R2*(MAX(AH56-cfg_EOS_TH,0)-MAX(AI56-cfg_EOS_TH,0))))</f>
        <v/>
      </c>
      <c r="AB56" s="111" t="str">
        <f aca="false">IF($B56="","",IF(الموظفون!$T56&lt;&gt;"",الموظفون!$T56,IF(AH56&gt;=cfg_LV_TH,cfg_LV_D2,cfg_LV_D1))/cfg_DAYS_Y*AJ56*الموظفون!$R56/cfg_DAYS_M)</f>
        <v/>
      </c>
      <c r="AC56" s="111" t="str">
        <f aca="false">IF($B56="","",IF(AND(الموظفون!$U56="نعم",N(الموظفون!$W56)&gt;0),الموظفون!$V56/الموظفون!$W56*12/cfg_DAYS_Y*AJ56,0))</f>
        <v/>
      </c>
      <c r="AD56" s="111" t="str">
        <f aca="false">IF($B56="","",(IF(الموظفون!$X56&lt;&gt;"",الموظفون!$X56,IF(الموظفون!$E56="غير سعودي",cfg_IQ,0))+IF(الموظفون!$Y56&lt;&gt;"",الموظفون!$Y56,IF(الموظفون!$E56="غير سعودي",cfg_WP,0)))/12*G56/cfg_DAYS_M)</f>
        <v/>
      </c>
      <c r="AE56" s="111" t="str">
        <f aca="false">IF($B56="","",IF(الموظفون!$Z56&lt;&gt;"",الموظفون!$Z56,cfg_MED)/12*G56/cfg_DAYS_M)</f>
        <v/>
      </c>
      <c r="AF56" s="111" t="str">
        <f aca="false">IF($B56="","",N(الموظفون!$AA56)/12*G56/cfg_DAYS_M)</f>
        <v/>
      </c>
      <c r="AG56" s="154" t="str">
        <f aca="false">IF($B56="","",T56+SUM(Z56:AF56))</f>
        <v/>
      </c>
      <c r="AH56" s="155" t="str">
        <f aca="false">IF($B56="","",MAX(0,IF(OR(الموظفون!$AE56="",الموظفون!$AE56&gt;$F$3),$F$3,الموظفون!$AE56)-الموظفون!$H56+1-SUMIFS('سجل الإجازات والحالات'!$AL$6:$AL$505,'سجل الإجازات والحالات'!$B$6:$B$505,$B56))/cfg_DAYS_Y)</f>
        <v/>
      </c>
      <c r="AI56" s="155" t="str">
        <f aca="false">IF($B56="","",MAX(0,IF(OR(الموظفون!$AE56="",الموظفون!$AE56&gt;($E$3-1)),($E$3-1),الموظفون!$AE56)-الموظفون!$H56+1-SUMIFS('سجل الإجازات والحالات'!$AK$6:$AK$505,'سجل الإجازات والحالات'!$B$6:$B$505,$B56))/cfg_DAYS_Y)</f>
        <v/>
      </c>
      <c r="AJ56" s="65" t="str">
        <f aca="false">IF($B56="","",MAX(0,AK56-(SUMIFS('سجل الإجازات والحالات'!$AL$6:$AL$505,'سجل الإجازات والحالات'!$B$6:$B$505,$B56)-SUMIFS('سجل الإجازات والحالات'!$AK$6:$AK$505,'سجل الإجازات والحالات'!$B$6:$B$505,$B56))))</f>
        <v/>
      </c>
      <c r="AK56" s="65" t="str">
        <f aca="false">IF($B56="","",MAX(0,IF(OR(الموظفون!$AE56="",الموظفون!$AE56&gt;$F$3),$F$3,الموظفون!$AE56)-MAX($E$3,الموظفون!$H56)+1))</f>
        <v/>
      </c>
      <c r="AL56" s="151" t="str">
        <f aca="false">IF($B56="","",SUMIFS('سجل الإجازات والحالات'!$AX$6:$AX$505,'سجل الإجازات والحالات'!$B$6:$B$505,$B56)+SUMIFS('الحركات الشهرية'!$K$6:$K$1005,'الحركات الشهرية'!$B$6:$B$1005,$B56,'الحركات الشهرية'!$A$6:$A$1005,$C$3))</f>
        <v/>
      </c>
      <c r="AM56" s="111" t="str">
        <f aca="false">IF($B56="","",AL56*الموظفون!$R56/cfg_DAYS_M+S56)</f>
        <v/>
      </c>
      <c r="AN56" s="151" t="str">
        <f aca="false">IF($B56="","",SUMIFS('سجل الإجازات والحالات'!$Z$6:$Z$505,'سجل الإجازات والحالات'!$B$6:$B$505,$B56))</f>
        <v/>
      </c>
    </row>
    <row r="57" customFormat="false" ht="15" hidden="false" customHeight="false" outlineLevel="0" collapsed="false">
      <c r="A57" s="115" t="str">
        <f aca="false">IF($B57="","",الموظفون!$A57)</f>
        <v/>
      </c>
      <c r="B57" s="117" t="str">
        <f aca="false">IF(الموظفون!$B57="","",الموظفون!$B57)</f>
        <v/>
      </c>
      <c r="C57" s="117" t="str">
        <f aca="false">IF($B57="","",الموظفون!$C57)</f>
        <v/>
      </c>
      <c r="D57" s="117" t="str">
        <f aca="false">IF($B57="","",الموظفون!$F57)</f>
        <v/>
      </c>
      <c r="E57" s="117" t="str">
        <f aca="false">IF($B57="","",الموظفون!$E57)</f>
        <v/>
      </c>
      <c r="F57" s="117" t="str">
        <f aca="false">IF($B57="","",IF(AK57=0,IF(AND(الموظفون!$AE57&lt;&gt;"",الموظفون!$AE57&lt;$E$3),"✖ منتهي الخدمة","⏳ لم يباشر"),IF(S57&gt;0,"✈ راتب إجازة مقدم",IF(J57=0,"⛔ بدون راتب هذا الشهر",IF(I57&gt;0,"✈ خصم "&amp;ROUND(I57,2)&amp;" يوم بدون أجر",IF(AL57&gt;0,"🌴 إجازة سنوية "&amp;ROUND(AL57,2)&amp;" يوم",IF(H57&gt;0,"⚠ غياب "&amp;ROUND(H57,2)&amp;" يوم","✔ على رأس العمل")))))))</f>
        <v/>
      </c>
      <c r="G57" s="156" t="str">
        <f aca="false">IF($B57="","",IF(AK57&gt;=DAY($F$3),cfg_DAYS_M,MIN(AK57,cfg_DAYS_M)))</f>
        <v/>
      </c>
      <c r="H57" s="156" t="str">
        <f aca="false">IF($B57="","",SUMIFS('الحركات الشهرية'!$D$6:$D$1005,'الحركات الشهرية'!$B$6:$B$1005,$B57,'الحركات الشهرية'!$A$6:$A$1005,$C$3))</f>
        <v/>
      </c>
      <c r="I57" s="156" t="str">
        <f aca="false">IF($B57="","",MIN(G57,IF(AND(AK57&gt;0,AN57&gt;=AK57),G57,AN57)+SUMIFS('الحركات الشهرية'!$E$6:$E$1005,'الحركات الشهرية'!$B$6:$B$1005,$B57,'الحركات الشهرية'!$A$6:$A$1005,$C$3)))</f>
        <v/>
      </c>
      <c r="J57" s="156" t="str">
        <f aca="false">IF($B57="","",MAX(0,G57-H57-I57))</f>
        <v/>
      </c>
      <c r="K57" s="116" t="str">
        <f aca="false">IF($B57="","",الموظفون!$L57*$J57/cfg_DAYS_M)</f>
        <v/>
      </c>
      <c r="L57" s="116" t="str">
        <f aca="false">IF($B57="","",الموظفون!$M57*$J57/cfg_DAYS_M)</f>
        <v/>
      </c>
      <c r="M57" s="116" t="str">
        <f aca="false">IF($B57="","",الموظفون!$N57*$J57/cfg_DAYS_M)</f>
        <v/>
      </c>
      <c r="N57" s="116" t="str">
        <f aca="false">IF($B57="","",الموظفون!$O57*$J57/cfg_DAYS_M)</f>
        <v/>
      </c>
      <c r="O57" s="156" t="str">
        <f aca="false">IF($B57="","",SUMIFS('الحركات الشهرية'!$F$6:$F$1005,'الحركات الشهرية'!$B$6:$B$1005,$B57,'الحركات الشهرية'!$A$6:$A$1005,$C$3))</f>
        <v/>
      </c>
      <c r="P57" s="116" t="str">
        <f aca="false">IF($B57="","",O57*(الموظفون!$P57+الموظفون!$L57*cfg_OT_P)/cfg_DAYS_M/cfg_HRS)</f>
        <v/>
      </c>
      <c r="Q57" s="116" t="str">
        <f aca="false">IF($B57="","",SUMIFS('الحركات الشهرية'!$G$6:$G$1005,'الحركات الشهرية'!$B$6:$B$1005,$B57,'الحركات الشهرية'!$A$6:$A$1005,$C$3))</f>
        <v/>
      </c>
      <c r="R57" s="116" t="str">
        <f aca="false">IF($B57="","",SUMIFS('الحركات الشهرية'!$H$6:$H$1005,'الحركات الشهرية'!$B$6:$B$1005,$B57,'الحركات الشهرية'!$A$6:$A$1005,$C$3))</f>
        <v/>
      </c>
      <c r="S57" s="116" t="str">
        <f aca="false">IF($B57="","",SUMIFS('سجل الإجازات والحالات'!$N$6:$N$505,'سجل الإجازات والحالات'!$B$6:$B$505,$B57,'سجل الإجازات والحالات'!$O$6:$O$505,$C$3))</f>
        <v/>
      </c>
      <c r="T57" s="157" t="str">
        <f aca="false">IF($B57="","",SUM(K57:N57)+SUM(P57:S57))</f>
        <v/>
      </c>
      <c r="U57" s="116" t="str">
        <f aca="false">IF($B57="","",الموظفون!$S57*IF(E57="سعودي",cfg_G_SE,cfg_G_NE)*G57/cfg_DAYS_M)</f>
        <v/>
      </c>
      <c r="V57" s="116" t="str">
        <f aca="false">IF($B57="","",SUMIFS('الحركات الشهرية'!$I$6:$I$1005,'الحركات الشهرية'!$B$6:$B$1005,$B57,'الحركات الشهرية'!$A$6:$A$1005,$C$3))</f>
        <v/>
      </c>
      <c r="W57" s="116" t="str">
        <f aca="false">IF($B57="","",SUMIFS('الحركات الشهرية'!$J$6:$J$1005,'الحركات الشهرية'!$B$6:$B$1005,$B57,'الحركات الشهرية'!$A$6:$A$1005,$C$3))</f>
        <v/>
      </c>
      <c r="X57" s="116" t="str">
        <f aca="false">IF($B57="","",SUM(U57:W57))</f>
        <v/>
      </c>
      <c r="Y57" s="158" t="str">
        <f aca="false">IF($B57="","",T57-X57)</f>
        <v/>
      </c>
      <c r="Z57" s="116" t="str">
        <f aca="false">IF($B57="","",الموظفون!$S57*IF(E57="سعودي",cfg_G_SR,cfg_G_NR)*G57/cfg_DAYS_M)</f>
        <v/>
      </c>
      <c r="AA57" s="116" t="str">
        <f aca="false">IF($B57="","",الموظفون!$Q57*(cfg_EOS_R1*(MIN(AH57,cfg_EOS_TH)-MIN(AI57,cfg_EOS_TH))+cfg_EOS_R2*(MAX(AH57-cfg_EOS_TH,0)-MAX(AI57-cfg_EOS_TH,0))))</f>
        <v/>
      </c>
      <c r="AB57" s="116" t="str">
        <f aca="false">IF($B57="","",IF(الموظفون!$T57&lt;&gt;"",الموظفون!$T57,IF(AH57&gt;=cfg_LV_TH,cfg_LV_D2,cfg_LV_D1))/cfg_DAYS_Y*AJ57*الموظفون!$R57/cfg_DAYS_M)</f>
        <v/>
      </c>
      <c r="AC57" s="116" t="str">
        <f aca="false">IF($B57="","",IF(AND(الموظفون!$U57="نعم",N(الموظفون!$W57)&gt;0),الموظفون!$V57/الموظفون!$W57*12/cfg_DAYS_Y*AJ57,0))</f>
        <v/>
      </c>
      <c r="AD57" s="116" t="str">
        <f aca="false">IF($B57="","",(IF(الموظفون!$X57&lt;&gt;"",الموظفون!$X57,IF(الموظفون!$E57="غير سعودي",cfg_IQ,0))+IF(الموظفون!$Y57&lt;&gt;"",الموظفون!$Y57,IF(الموظفون!$E57="غير سعودي",cfg_WP,0)))/12*G57/cfg_DAYS_M)</f>
        <v/>
      </c>
      <c r="AE57" s="116" t="str">
        <f aca="false">IF($B57="","",IF(الموظفون!$Z57&lt;&gt;"",الموظفون!$Z57,cfg_MED)/12*G57/cfg_DAYS_M)</f>
        <v/>
      </c>
      <c r="AF57" s="116" t="str">
        <f aca="false">IF($B57="","",N(الموظفون!$AA57)/12*G57/cfg_DAYS_M)</f>
        <v/>
      </c>
      <c r="AG57" s="159" t="str">
        <f aca="false">IF($B57="","",T57+SUM(Z57:AF57))</f>
        <v/>
      </c>
      <c r="AH57" s="160" t="str">
        <f aca="false">IF($B57="","",MAX(0,IF(OR(الموظفون!$AE57="",الموظفون!$AE57&gt;$F$3),$F$3,الموظفون!$AE57)-الموظفون!$H57+1-SUMIFS('سجل الإجازات والحالات'!$AL$6:$AL$505,'سجل الإجازات والحالات'!$B$6:$B$505,$B57))/cfg_DAYS_Y)</f>
        <v/>
      </c>
      <c r="AI57" s="160" t="str">
        <f aca="false">IF($B57="","",MAX(0,IF(OR(الموظفون!$AE57="",الموظفون!$AE57&gt;($E$3-1)),($E$3-1),الموظفون!$AE57)-الموظفون!$H57+1-SUMIFS('سجل الإجازات والحالات'!$AK$6:$AK$505,'سجل الإجازات والحالات'!$B$6:$B$505,$B57))/cfg_DAYS_Y)</f>
        <v/>
      </c>
      <c r="AJ57" s="133" t="str">
        <f aca="false">IF($B57="","",MAX(0,AK57-(SUMIFS('سجل الإجازات والحالات'!$AL$6:$AL$505,'سجل الإجازات والحالات'!$B$6:$B$505,$B57)-SUMIFS('سجل الإجازات والحالات'!$AK$6:$AK$505,'سجل الإجازات والحالات'!$B$6:$B$505,$B57))))</f>
        <v/>
      </c>
      <c r="AK57" s="133" t="str">
        <f aca="false">IF($B57="","",MAX(0,IF(OR(الموظفون!$AE57="",الموظفون!$AE57&gt;$F$3),$F$3,الموظفون!$AE57)-MAX($E$3,الموظفون!$H57)+1))</f>
        <v/>
      </c>
      <c r="AL57" s="156" t="str">
        <f aca="false">IF($B57="","",SUMIFS('سجل الإجازات والحالات'!$AX$6:$AX$505,'سجل الإجازات والحالات'!$B$6:$B$505,$B57)+SUMIFS('الحركات الشهرية'!$K$6:$K$1005,'الحركات الشهرية'!$B$6:$B$1005,$B57,'الحركات الشهرية'!$A$6:$A$1005,$C$3))</f>
        <v/>
      </c>
      <c r="AM57" s="116" t="str">
        <f aca="false">IF($B57="","",AL57*الموظفون!$R57/cfg_DAYS_M+S57)</f>
        <v/>
      </c>
      <c r="AN57" s="156" t="str">
        <f aca="false">IF($B57="","",SUMIFS('سجل الإجازات والحالات'!$Z$6:$Z$505,'سجل الإجازات والحالات'!$B$6:$B$505,$B57))</f>
        <v/>
      </c>
    </row>
    <row r="58" customFormat="false" ht="15" hidden="false" customHeight="false" outlineLevel="0" collapsed="false">
      <c r="A58" s="106" t="str">
        <f aca="false">IF($B58="","",الموظفون!$A58)</f>
        <v/>
      </c>
      <c r="B58" s="114" t="str">
        <f aca="false">IF(الموظفون!$B58="","",الموظفون!$B58)</f>
        <v/>
      </c>
      <c r="C58" s="114" t="str">
        <f aca="false">IF($B58="","",الموظفون!$C58)</f>
        <v/>
      </c>
      <c r="D58" s="114" t="str">
        <f aca="false">IF($B58="","",الموظفون!$F58)</f>
        <v/>
      </c>
      <c r="E58" s="114" t="str">
        <f aca="false">IF($B58="","",الموظفون!$E58)</f>
        <v/>
      </c>
      <c r="F58" s="114" t="str">
        <f aca="false">IF($B58="","",IF(AK58=0,IF(AND(الموظفون!$AE58&lt;&gt;"",الموظفون!$AE58&lt;$E$3),"✖ منتهي الخدمة","⏳ لم يباشر"),IF(S58&gt;0,"✈ راتب إجازة مقدم",IF(J58=0,"⛔ بدون راتب هذا الشهر",IF(I58&gt;0,"✈ خصم "&amp;ROUND(I58,2)&amp;" يوم بدون أجر",IF(AL58&gt;0,"🌴 إجازة سنوية "&amp;ROUND(AL58,2)&amp;" يوم",IF(H58&gt;0,"⚠ غياب "&amp;ROUND(H58,2)&amp;" يوم","✔ على رأس العمل")))))))</f>
        <v/>
      </c>
      <c r="G58" s="151" t="str">
        <f aca="false">IF($B58="","",IF(AK58&gt;=DAY($F$3),cfg_DAYS_M,MIN(AK58,cfg_DAYS_M)))</f>
        <v/>
      </c>
      <c r="H58" s="151" t="str">
        <f aca="false">IF($B58="","",SUMIFS('الحركات الشهرية'!$D$6:$D$1005,'الحركات الشهرية'!$B$6:$B$1005,$B58,'الحركات الشهرية'!$A$6:$A$1005,$C$3))</f>
        <v/>
      </c>
      <c r="I58" s="151" t="str">
        <f aca="false">IF($B58="","",MIN(G58,IF(AND(AK58&gt;0,AN58&gt;=AK58),G58,AN58)+SUMIFS('الحركات الشهرية'!$E$6:$E$1005,'الحركات الشهرية'!$B$6:$B$1005,$B58,'الحركات الشهرية'!$A$6:$A$1005,$C$3)))</f>
        <v/>
      </c>
      <c r="J58" s="151" t="str">
        <f aca="false">IF($B58="","",MAX(0,G58-H58-I58))</f>
        <v/>
      </c>
      <c r="K58" s="111" t="str">
        <f aca="false">IF($B58="","",الموظفون!$L58*$J58/cfg_DAYS_M)</f>
        <v/>
      </c>
      <c r="L58" s="111" t="str">
        <f aca="false">IF($B58="","",الموظفون!$M58*$J58/cfg_DAYS_M)</f>
        <v/>
      </c>
      <c r="M58" s="111" t="str">
        <f aca="false">IF($B58="","",الموظفون!$N58*$J58/cfg_DAYS_M)</f>
        <v/>
      </c>
      <c r="N58" s="111" t="str">
        <f aca="false">IF($B58="","",الموظفون!$O58*$J58/cfg_DAYS_M)</f>
        <v/>
      </c>
      <c r="O58" s="151" t="str">
        <f aca="false">IF($B58="","",SUMIFS('الحركات الشهرية'!$F$6:$F$1005,'الحركات الشهرية'!$B$6:$B$1005,$B58,'الحركات الشهرية'!$A$6:$A$1005,$C$3))</f>
        <v/>
      </c>
      <c r="P58" s="111" t="str">
        <f aca="false">IF($B58="","",O58*(الموظفون!$P58+الموظفون!$L58*cfg_OT_P)/cfg_DAYS_M/cfg_HRS)</f>
        <v/>
      </c>
      <c r="Q58" s="111" t="str">
        <f aca="false">IF($B58="","",SUMIFS('الحركات الشهرية'!$G$6:$G$1005,'الحركات الشهرية'!$B$6:$B$1005,$B58,'الحركات الشهرية'!$A$6:$A$1005,$C$3))</f>
        <v/>
      </c>
      <c r="R58" s="111" t="str">
        <f aca="false">IF($B58="","",SUMIFS('الحركات الشهرية'!$H$6:$H$1005,'الحركات الشهرية'!$B$6:$B$1005,$B58,'الحركات الشهرية'!$A$6:$A$1005,$C$3))</f>
        <v/>
      </c>
      <c r="S58" s="111" t="str">
        <f aca="false">IF($B58="","",SUMIFS('سجل الإجازات والحالات'!$N$6:$N$505,'سجل الإجازات والحالات'!$B$6:$B$505,$B58,'سجل الإجازات والحالات'!$O$6:$O$505,$C$3))</f>
        <v/>
      </c>
      <c r="T58" s="152" t="str">
        <f aca="false">IF($B58="","",SUM(K58:N58)+SUM(P58:S58))</f>
        <v/>
      </c>
      <c r="U58" s="111" t="str">
        <f aca="false">IF($B58="","",الموظفون!$S58*IF(E58="سعودي",cfg_G_SE,cfg_G_NE)*G58/cfg_DAYS_M)</f>
        <v/>
      </c>
      <c r="V58" s="111" t="str">
        <f aca="false">IF($B58="","",SUMIFS('الحركات الشهرية'!$I$6:$I$1005,'الحركات الشهرية'!$B$6:$B$1005,$B58,'الحركات الشهرية'!$A$6:$A$1005,$C$3))</f>
        <v/>
      </c>
      <c r="W58" s="111" t="str">
        <f aca="false">IF($B58="","",SUMIFS('الحركات الشهرية'!$J$6:$J$1005,'الحركات الشهرية'!$B$6:$B$1005,$B58,'الحركات الشهرية'!$A$6:$A$1005,$C$3))</f>
        <v/>
      </c>
      <c r="X58" s="111" t="str">
        <f aca="false">IF($B58="","",SUM(U58:W58))</f>
        <v/>
      </c>
      <c r="Y58" s="153" t="str">
        <f aca="false">IF($B58="","",T58-X58)</f>
        <v/>
      </c>
      <c r="Z58" s="111" t="str">
        <f aca="false">IF($B58="","",الموظفون!$S58*IF(E58="سعودي",cfg_G_SR,cfg_G_NR)*G58/cfg_DAYS_M)</f>
        <v/>
      </c>
      <c r="AA58" s="111" t="str">
        <f aca="false">IF($B58="","",الموظفون!$Q58*(cfg_EOS_R1*(MIN(AH58,cfg_EOS_TH)-MIN(AI58,cfg_EOS_TH))+cfg_EOS_R2*(MAX(AH58-cfg_EOS_TH,0)-MAX(AI58-cfg_EOS_TH,0))))</f>
        <v/>
      </c>
      <c r="AB58" s="111" t="str">
        <f aca="false">IF($B58="","",IF(الموظفون!$T58&lt;&gt;"",الموظفون!$T58,IF(AH58&gt;=cfg_LV_TH,cfg_LV_D2,cfg_LV_D1))/cfg_DAYS_Y*AJ58*الموظفون!$R58/cfg_DAYS_M)</f>
        <v/>
      </c>
      <c r="AC58" s="111" t="str">
        <f aca="false">IF($B58="","",IF(AND(الموظفون!$U58="نعم",N(الموظفون!$W58)&gt;0),الموظفون!$V58/الموظفون!$W58*12/cfg_DAYS_Y*AJ58,0))</f>
        <v/>
      </c>
      <c r="AD58" s="111" t="str">
        <f aca="false">IF($B58="","",(IF(الموظفون!$X58&lt;&gt;"",الموظفون!$X58,IF(الموظفون!$E58="غير سعودي",cfg_IQ,0))+IF(الموظفون!$Y58&lt;&gt;"",الموظفون!$Y58,IF(الموظفون!$E58="غير سعودي",cfg_WP,0)))/12*G58/cfg_DAYS_M)</f>
        <v/>
      </c>
      <c r="AE58" s="111" t="str">
        <f aca="false">IF($B58="","",IF(الموظفون!$Z58&lt;&gt;"",الموظفون!$Z58,cfg_MED)/12*G58/cfg_DAYS_M)</f>
        <v/>
      </c>
      <c r="AF58" s="111" t="str">
        <f aca="false">IF($B58="","",N(الموظفون!$AA58)/12*G58/cfg_DAYS_M)</f>
        <v/>
      </c>
      <c r="AG58" s="154" t="str">
        <f aca="false">IF($B58="","",T58+SUM(Z58:AF58))</f>
        <v/>
      </c>
      <c r="AH58" s="155" t="str">
        <f aca="false">IF($B58="","",MAX(0,IF(OR(الموظفون!$AE58="",الموظفون!$AE58&gt;$F$3),$F$3,الموظفون!$AE58)-الموظفون!$H58+1-SUMIFS('سجل الإجازات والحالات'!$AL$6:$AL$505,'سجل الإجازات والحالات'!$B$6:$B$505,$B58))/cfg_DAYS_Y)</f>
        <v/>
      </c>
      <c r="AI58" s="155" t="str">
        <f aca="false">IF($B58="","",MAX(0,IF(OR(الموظفون!$AE58="",الموظفون!$AE58&gt;($E$3-1)),($E$3-1),الموظفون!$AE58)-الموظفون!$H58+1-SUMIFS('سجل الإجازات والحالات'!$AK$6:$AK$505,'سجل الإجازات والحالات'!$B$6:$B$505,$B58))/cfg_DAYS_Y)</f>
        <v/>
      </c>
      <c r="AJ58" s="65" t="str">
        <f aca="false">IF($B58="","",MAX(0,AK58-(SUMIFS('سجل الإجازات والحالات'!$AL$6:$AL$505,'سجل الإجازات والحالات'!$B$6:$B$505,$B58)-SUMIFS('سجل الإجازات والحالات'!$AK$6:$AK$505,'سجل الإجازات والحالات'!$B$6:$B$505,$B58))))</f>
        <v/>
      </c>
      <c r="AK58" s="65" t="str">
        <f aca="false">IF($B58="","",MAX(0,IF(OR(الموظفون!$AE58="",الموظفون!$AE58&gt;$F$3),$F$3,الموظفون!$AE58)-MAX($E$3,الموظفون!$H58)+1))</f>
        <v/>
      </c>
      <c r="AL58" s="151" t="str">
        <f aca="false">IF($B58="","",SUMIFS('سجل الإجازات والحالات'!$AX$6:$AX$505,'سجل الإجازات والحالات'!$B$6:$B$505,$B58)+SUMIFS('الحركات الشهرية'!$K$6:$K$1005,'الحركات الشهرية'!$B$6:$B$1005,$B58,'الحركات الشهرية'!$A$6:$A$1005,$C$3))</f>
        <v/>
      </c>
      <c r="AM58" s="111" t="str">
        <f aca="false">IF($B58="","",AL58*الموظفون!$R58/cfg_DAYS_M+S58)</f>
        <v/>
      </c>
      <c r="AN58" s="151" t="str">
        <f aca="false">IF($B58="","",SUMIFS('سجل الإجازات والحالات'!$Z$6:$Z$505,'سجل الإجازات والحالات'!$B$6:$B$505,$B58))</f>
        <v/>
      </c>
    </row>
    <row r="59" customFormat="false" ht="15" hidden="false" customHeight="false" outlineLevel="0" collapsed="false">
      <c r="A59" s="115" t="str">
        <f aca="false">IF($B59="","",الموظفون!$A59)</f>
        <v/>
      </c>
      <c r="B59" s="117" t="str">
        <f aca="false">IF(الموظفون!$B59="","",الموظفون!$B59)</f>
        <v/>
      </c>
      <c r="C59" s="117" t="str">
        <f aca="false">IF($B59="","",الموظفون!$C59)</f>
        <v/>
      </c>
      <c r="D59" s="117" t="str">
        <f aca="false">IF($B59="","",الموظفون!$F59)</f>
        <v/>
      </c>
      <c r="E59" s="117" t="str">
        <f aca="false">IF($B59="","",الموظفون!$E59)</f>
        <v/>
      </c>
      <c r="F59" s="117" t="str">
        <f aca="false">IF($B59="","",IF(AK59=0,IF(AND(الموظفون!$AE59&lt;&gt;"",الموظفون!$AE59&lt;$E$3),"✖ منتهي الخدمة","⏳ لم يباشر"),IF(S59&gt;0,"✈ راتب إجازة مقدم",IF(J59=0,"⛔ بدون راتب هذا الشهر",IF(I59&gt;0,"✈ خصم "&amp;ROUND(I59,2)&amp;" يوم بدون أجر",IF(AL59&gt;0,"🌴 إجازة سنوية "&amp;ROUND(AL59,2)&amp;" يوم",IF(H59&gt;0,"⚠ غياب "&amp;ROUND(H59,2)&amp;" يوم","✔ على رأس العمل")))))))</f>
        <v/>
      </c>
      <c r="G59" s="156" t="str">
        <f aca="false">IF($B59="","",IF(AK59&gt;=DAY($F$3),cfg_DAYS_M,MIN(AK59,cfg_DAYS_M)))</f>
        <v/>
      </c>
      <c r="H59" s="156" t="str">
        <f aca="false">IF($B59="","",SUMIFS('الحركات الشهرية'!$D$6:$D$1005,'الحركات الشهرية'!$B$6:$B$1005,$B59,'الحركات الشهرية'!$A$6:$A$1005,$C$3))</f>
        <v/>
      </c>
      <c r="I59" s="156" t="str">
        <f aca="false">IF($B59="","",MIN(G59,IF(AND(AK59&gt;0,AN59&gt;=AK59),G59,AN59)+SUMIFS('الحركات الشهرية'!$E$6:$E$1005,'الحركات الشهرية'!$B$6:$B$1005,$B59,'الحركات الشهرية'!$A$6:$A$1005,$C$3)))</f>
        <v/>
      </c>
      <c r="J59" s="156" t="str">
        <f aca="false">IF($B59="","",MAX(0,G59-H59-I59))</f>
        <v/>
      </c>
      <c r="K59" s="116" t="str">
        <f aca="false">IF($B59="","",الموظفون!$L59*$J59/cfg_DAYS_M)</f>
        <v/>
      </c>
      <c r="L59" s="116" t="str">
        <f aca="false">IF($B59="","",الموظفون!$M59*$J59/cfg_DAYS_M)</f>
        <v/>
      </c>
      <c r="M59" s="116" t="str">
        <f aca="false">IF($B59="","",الموظفون!$N59*$J59/cfg_DAYS_M)</f>
        <v/>
      </c>
      <c r="N59" s="116" t="str">
        <f aca="false">IF($B59="","",الموظفون!$O59*$J59/cfg_DAYS_M)</f>
        <v/>
      </c>
      <c r="O59" s="156" t="str">
        <f aca="false">IF($B59="","",SUMIFS('الحركات الشهرية'!$F$6:$F$1005,'الحركات الشهرية'!$B$6:$B$1005,$B59,'الحركات الشهرية'!$A$6:$A$1005,$C$3))</f>
        <v/>
      </c>
      <c r="P59" s="116" t="str">
        <f aca="false">IF($B59="","",O59*(الموظفون!$P59+الموظفون!$L59*cfg_OT_P)/cfg_DAYS_M/cfg_HRS)</f>
        <v/>
      </c>
      <c r="Q59" s="116" t="str">
        <f aca="false">IF($B59="","",SUMIFS('الحركات الشهرية'!$G$6:$G$1005,'الحركات الشهرية'!$B$6:$B$1005,$B59,'الحركات الشهرية'!$A$6:$A$1005,$C$3))</f>
        <v/>
      </c>
      <c r="R59" s="116" t="str">
        <f aca="false">IF($B59="","",SUMIFS('الحركات الشهرية'!$H$6:$H$1005,'الحركات الشهرية'!$B$6:$B$1005,$B59,'الحركات الشهرية'!$A$6:$A$1005,$C$3))</f>
        <v/>
      </c>
      <c r="S59" s="116" t="str">
        <f aca="false">IF($B59="","",SUMIFS('سجل الإجازات والحالات'!$N$6:$N$505,'سجل الإجازات والحالات'!$B$6:$B$505,$B59,'سجل الإجازات والحالات'!$O$6:$O$505,$C$3))</f>
        <v/>
      </c>
      <c r="T59" s="157" t="str">
        <f aca="false">IF($B59="","",SUM(K59:N59)+SUM(P59:S59))</f>
        <v/>
      </c>
      <c r="U59" s="116" t="str">
        <f aca="false">IF($B59="","",الموظفون!$S59*IF(E59="سعودي",cfg_G_SE,cfg_G_NE)*G59/cfg_DAYS_M)</f>
        <v/>
      </c>
      <c r="V59" s="116" t="str">
        <f aca="false">IF($B59="","",SUMIFS('الحركات الشهرية'!$I$6:$I$1005,'الحركات الشهرية'!$B$6:$B$1005,$B59,'الحركات الشهرية'!$A$6:$A$1005,$C$3))</f>
        <v/>
      </c>
      <c r="W59" s="116" t="str">
        <f aca="false">IF($B59="","",SUMIFS('الحركات الشهرية'!$J$6:$J$1005,'الحركات الشهرية'!$B$6:$B$1005,$B59,'الحركات الشهرية'!$A$6:$A$1005,$C$3))</f>
        <v/>
      </c>
      <c r="X59" s="116" t="str">
        <f aca="false">IF($B59="","",SUM(U59:W59))</f>
        <v/>
      </c>
      <c r="Y59" s="158" t="str">
        <f aca="false">IF($B59="","",T59-X59)</f>
        <v/>
      </c>
      <c r="Z59" s="116" t="str">
        <f aca="false">IF($B59="","",الموظفون!$S59*IF(E59="سعودي",cfg_G_SR,cfg_G_NR)*G59/cfg_DAYS_M)</f>
        <v/>
      </c>
      <c r="AA59" s="116" t="str">
        <f aca="false">IF($B59="","",الموظفون!$Q59*(cfg_EOS_R1*(MIN(AH59,cfg_EOS_TH)-MIN(AI59,cfg_EOS_TH))+cfg_EOS_R2*(MAX(AH59-cfg_EOS_TH,0)-MAX(AI59-cfg_EOS_TH,0))))</f>
        <v/>
      </c>
      <c r="AB59" s="116" t="str">
        <f aca="false">IF($B59="","",IF(الموظفون!$T59&lt;&gt;"",الموظفون!$T59,IF(AH59&gt;=cfg_LV_TH,cfg_LV_D2,cfg_LV_D1))/cfg_DAYS_Y*AJ59*الموظفون!$R59/cfg_DAYS_M)</f>
        <v/>
      </c>
      <c r="AC59" s="116" t="str">
        <f aca="false">IF($B59="","",IF(AND(الموظفون!$U59="نعم",N(الموظفون!$W59)&gt;0),الموظفون!$V59/الموظفون!$W59*12/cfg_DAYS_Y*AJ59,0))</f>
        <v/>
      </c>
      <c r="AD59" s="116" t="str">
        <f aca="false">IF($B59="","",(IF(الموظفون!$X59&lt;&gt;"",الموظفون!$X59,IF(الموظفون!$E59="غير سعودي",cfg_IQ,0))+IF(الموظفون!$Y59&lt;&gt;"",الموظفون!$Y59,IF(الموظفون!$E59="غير سعودي",cfg_WP,0)))/12*G59/cfg_DAYS_M)</f>
        <v/>
      </c>
      <c r="AE59" s="116" t="str">
        <f aca="false">IF($B59="","",IF(الموظفون!$Z59&lt;&gt;"",الموظفون!$Z59,cfg_MED)/12*G59/cfg_DAYS_M)</f>
        <v/>
      </c>
      <c r="AF59" s="116" t="str">
        <f aca="false">IF($B59="","",N(الموظفون!$AA59)/12*G59/cfg_DAYS_M)</f>
        <v/>
      </c>
      <c r="AG59" s="159" t="str">
        <f aca="false">IF($B59="","",T59+SUM(Z59:AF59))</f>
        <v/>
      </c>
      <c r="AH59" s="160" t="str">
        <f aca="false">IF($B59="","",MAX(0,IF(OR(الموظفون!$AE59="",الموظفون!$AE59&gt;$F$3),$F$3,الموظفون!$AE59)-الموظفون!$H59+1-SUMIFS('سجل الإجازات والحالات'!$AL$6:$AL$505,'سجل الإجازات والحالات'!$B$6:$B$505,$B59))/cfg_DAYS_Y)</f>
        <v/>
      </c>
      <c r="AI59" s="160" t="str">
        <f aca="false">IF($B59="","",MAX(0,IF(OR(الموظفون!$AE59="",الموظفون!$AE59&gt;($E$3-1)),($E$3-1),الموظفون!$AE59)-الموظفون!$H59+1-SUMIFS('سجل الإجازات والحالات'!$AK$6:$AK$505,'سجل الإجازات والحالات'!$B$6:$B$505,$B59))/cfg_DAYS_Y)</f>
        <v/>
      </c>
      <c r="AJ59" s="133" t="str">
        <f aca="false">IF($B59="","",MAX(0,AK59-(SUMIFS('سجل الإجازات والحالات'!$AL$6:$AL$505,'سجل الإجازات والحالات'!$B$6:$B$505,$B59)-SUMIFS('سجل الإجازات والحالات'!$AK$6:$AK$505,'سجل الإجازات والحالات'!$B$6:$B$505,$B59))))</f>
        <v/>
      </c>
      <c r="AK59" s="133" t="str">
        <f aca="false">IF($B59="","",MAX(0,IF(OR(الموظفون!$AE59="",الموظفون!$AE59&gt;$F$3),$F$3,الموظفون!$AE59)-MAX($E$3,الموظفون!$H59)+1))</f>
        <v/>
      </c>
      <c r="AL59" s="156" t="str">
        <f aca="false">IF($B59="","",SUMIFS('سجل الإجازات والحالات'!$AX$6:$AX$505,'سجل الإجازات والحالات'!$B$6:$B$505,$B59)+SUMIFS('الحركات الشهرية'!$K$6:$K$1005,'الحركات الشهرية'!$B$6:$B$1005,$B59,'الحركات الشهرية'!$A$6:$A$1005,$C$3))</f>
        <v/>
      </c>
      <c r="AM59" s="116" t="str">
        <f aca="false">IF($B59="","",AL59*الموظفون!$R59/cfg_DAYS_M+S59)</f>
        <v/>
      </c>
      <c r="AN59" s="156" t="str">
        <f aca="false">IF($B59="","",SUMIFS('سجل الإجازات والحالات'!$Z$6:$Z$505,'سجل الإجازات والحالات'!$B$6:$B$505,$B59))</f>
        <v/>
      </c>
    </row>
    <row r="60" customFormat="false" ht="15" hidden="false" customHeight="false" outlineLevel="0" collapsed="false">
      <c r="A60" s="106" t="str">
        <f aca="false">IF($B60="","",الموظفون!$A60)</f>
        <v/>
      </c>
      <c r="B60" s="114" t="str">
        <f aca="false">IF(الموظفون!$B60="","",الموظفون!$B60)</f>
        <v/>
      </c>
      <c r="C60" s="114" t="str">
        <f aca="false">IF($B60="","",الموظفون!$C60)</f>
        <v/>
      </c>
      <c r="D60" s="114" t="str">
        <f aca="false">IF($B60="","",الموظفون!$F60)</f>
        <v/>
      </c>
      <c r="E60" s="114" t="str">
        <f aca="false">IF($B60="","",الموظفون!$E60)</f>
        <v/>
      </c>
      <c r="F60" s="114" t="str">
        <f aca="false">IF($B60="","",IF(AK60=0,IF(AND(الموظفون!$AE60&lt;&gt;"",الموظفون!$AE60&lt;$E$3),"✖ منتهي الخدمة","⏳ لم يباشر"),IF(S60&gt;0,"✈ راتب إجازة مقدم",IF(J60=0,"⛔ بدون راتب هذا الشهر",IF(I60&gt;0,"✈ خصم "&amp;ROUND(I60,2)&amp;" يوم بدون أجر",IF(AL60&gt;0,"🌴 إجازة سنوية "&amp;ROUND(AL60,2)&amp;" يوم",IF(H60&gt;0,"⚠ غياب "&amp;ROUND(H60,2)&amp;" يوم","✔ على رأس العمل")))))))</f>
        <v/>
      </c>
      <c r="G60" s="151" t="str">
        <f aca="false">IF($B60="","",IF(AK60&gt;=DAY($F$3),cfg_DAYS_M,MIN(AK60,cfg_DAYS_M)))</f>
        <v/>
      </c>
      <c r="H60" s="151" t="str">
        <f aca="false">IF($B60="","",SUMIFS('الحركات الشهرية'!$D$6:$D$1005,'الحركات الشهرية'!$B$6:$B$1005,$B60,'الحركات الشهرية'!$A$6:$A$1005,$C$3))</f>
        <v/>
      </c>
      <c r="I60" s="151" t="str">
        <f aca="false">IF($B60="","",MIN(G60,IF(AND(AK60&gt;0,AN60&gt;=AK60),G60,AN60)+SUMIFS('الحركات الشهرية'!$E$6:$E$1005,'الحركات الشهرية'!$B$6:$B$1005,$B60,'الحركات الشهرية'!$A$6:$A$1005,$C$3)))</f>
        <v/>
      </c>
      <c r="J60" s="151" t="str">
        <f aca="false">IF($B60="","",MAX(0,G60-H60-I60))</f>
        <v/>
      </c>
      <c r="K60" s="111" t="str">
        <f aca="false">IF($B60="","",الموظفون!$L60*$J60/cfg_DAYS_M)</f>
        <v/>
      </c>
      <c r="L60" s="111" t="str">
        <f aca="false">IF($B60="","",الموظفون!$M60*$J60/cfg_DAYS_M)</f>
        <v/>
      </c>
      <c r="M60" s="111" t="str">
        <f aca="false">IF($B60="","",الموظفون!$N60*$J60/cfg_DAYS_M)</f>
        <v/>
      </c>
      <c r="N60" s="111" t="str">
        <f aca="false">IF($B60="","",الموظفون!$O60*$J60/cfg_DAYS_M)</f>
        <v/>
      </c>
      <c r="O60" s="151" t="str">
        <f aca="false">IF($B60="","",SUMIFS('الحركات الشهرية'!$F$6:$F$1005,'الحركات الشهرية'!$B$6:$B$1005,$B60,'الحركات الشهرية'!$A$6:$A$1005,$C$3))</f>
        <v/>
      </c>
      <c r="P60" s="111" t="str">
        <f aca="false">IF($B60="","",O60*(الموظفون!$P60+الموظفون!$L60*cfg_OT_P)/cfg_DAYS_M/cfg_HRS)</f>
        <v/>
      </c>
      <c r="Q60" s="111" t="str">
        <f aca="false">IF($B60="","",SUMIFS('الحركات الشهرية'!$G$6:$G$1005,'الحركات الشهرية'!$B$6:$B$1005,$B60,'الحركات الشهرية'!$A$6:$A$1005,$C$3))</f>
        <v/>
      </c>
      <c r="R60" s="111" t="str">
        <f aca="false">IF($B60="","",SUMIFS('الحركات الشهرية'!$H$6:$H$1005,'الحركات الشهرية'!$B$6:$B$1005,$B60,'الحركات الشهرية'!$A$6:$A$1005,$C$3))</f>
        <v/>
      </c>
      <c r="S60" s="111" t="str">
        <f aca="false">IF($B60="","",SUMIFS('سجل الإجازات والحالات'!$N$6:$N$505,'سجل الإجازات والحالات'!$B$6:$B$505,$B60,'سجل الإجازات والحالات'!$O$6:$O$505,$C$3))</f>
        <v/>
      </c>
      <c r="T60" s="152" t="str">
        <f aca="false">IF($B60="","",SUM(K60:N60)+SUM(P60:S60))</f>
        <v/>
      </c>
      <c r="U60" s="111" t="str">
        <f aca="false">IF($B60="","",الموظفون!$S60*IF(E60="سعودي",cfg_G_SE,cfg_G_NE)*G60/cfg_DAYS_M)</f>
        <v/>
      </c>
      <c r="V60" s="111" t="str">
        <f aca="false">IF($B60="","",SUMIFS('الحركات الشهرية'!$I$6:$I$1005,'الحركات الشهرية'!$B$6:$B$1005,$B60,'الحركات الشهرية'!$A$6:$A$1005,$C$3))</f>
        <v/>
      </c>
      <c r="W60" s="111" t="str">
        <f aca="false">IF($B60="","",SUMIFS('الحركات الشهرية'!$J$6:$J$1005,'الحركات الشهرية'!$B$6:$B$1005,$B60,'الحركات الشهرية'!$A$6:$A$1005,$C$3))</f>
        <v/>
      </c>
      <c r="X60" s="111" t="str">
        <f aca="false">IF($B60="","",SUM(U60:W60))</f>
        <v/>
      </c>
      <c r="Y60" s="153" t="str">
        <f aca="false">IF($B60="","",T60-X60)</f>
        <v/>
      </c>
      <c r="Z60" s="111" t="str">
        <f aca="false">IF($B60="","",الموظفون!$S60*IF(E60="سعودي",cfg_G_SR,cfg_G_NR)*G60/cfg_DAYS_M)</f>
        <v/>
      </c>
      <c r="AA60" s="111" t="str">
        <f aca="false">IF($B60="","",الموظفون!$Q60*(cfg_EOS_R1*(MIN(AH60,cfg_EOS_TH)-MIN(AI60,cfg_EOS_TH))+cfg_EOS_R2*(MAX(AH60-cfg_EOS_TH,0)-MAX(AI60-cfg_EOS_TH,0))))</f>
        <v/>
      </c>
      <c r="AB60" s="111" t="str">
        <f aca="false">IF($B60="","",IF(الموظفون!$T60&lt;&gt;"",الموظفون!$T60,IF(AH60&gt;=cfg_LV_TH,cfg_LV_D2,cfg_LV_D1))/cfg_DAYS_Y*AJ60*الموظفون!$R60/cfg_DAYS_M)</f>
        <v/>
      </c>
      <c r="AC60" s="111" t="str">
        <f aca="false">IF($B60="","",IF(AND(الموظفون!$U60="نعم",N(الموظفون!$W60)&gt;0),الموظفون!$V60/الموظفون!$W60*12/cfg_DAYS_Y*AJ60,0))</f>
        <v/>
      </c>
      <c r="AD60" s="111" t="str">
        <f aca="false">IF($B60="","",(IF(الموظفون!$X60&lt;&gt;"",الموظفون!$X60,IF(الموظفون!$E60="غير سعودي",cfg_IQ,0))+IF(الموظفون!$Y60&lt;&gt;"",الموظفون!$Y60,IF(الموظفون!$E60="غير سعودي",cfg_WP,0)))/12*G60/cfg_DAYS_M)</f>
        <v/>
      </c>
      <c r="AE60" s="111" t="str">
        <f aca="false">IF($B60="","",IF(الموظفون!$Z60&lt;&gt;"",الموظفون!$Z60,cfg_MED)/12*G60/cfg_DAYS_M)</f>
        <v/>
      </c>
      <c r="AF60" s="111" t="str">
        <f aca="false">IF($B60="","",N(الموظفون!$AA60)/12*G60/cfg_DAYS_M)</f>
        <v/>
      </c>
      <c r="AG60" s="154" t="str">
        <f aca="false">IF($B60="","",T60+SUM(Z60:AF60))</f>
        <v/>
      </c>
      <c r="AH60" s="155" t="str">
        <f aca="false">IF($B60="","",MAX(0,IF(OR(الموظفون!$AE60="",الموظفون!$AE60&gt;$F$3),$F$3,الموظفون!$AE60)-الموظفون!$H60+1-SUMIFS('سجل الإجازات والحالات'!$AL$6:$AL$505,'سجل الإجازات والحالات'!$B$6:$B$505,$B60))/cfg_DAYS_Y)</f>
        <v/>
      </c>
      <c r="AI60" s="155" t="str">
        <f aca="false">IF($B60="","",MAX(0,IF(OR(الموظفون!$AE60="",الموظفون!$AE60&gt;($E$3-1)),($E$3-1),الموظفون!$AE60)-الموظفون!$H60+1-SUMIFS('سجل الإجازات والحالات'!$AK$6:$AK$505,'سجل الإجازات والحالات'!$B$6:$B$505,$B60))/cfg_DAYS_Y)</f>
        <v/>
      </c>
      <c r="AJ60" s="65" t="str">
        <f aca="false">IF($B60="","",MAX(0,AK60-(SUMIFS('سجل الإجازات والحالات'!$AL$6:$AL$505,'سجل الإجازات والحالات'!$B$6:$B$505,$B60)-SUMIFS('سجل الإجازات والحالات'!$AK$6:$AK$505,'سجل الإجازات والحالات'!$B$6:$B$505,$B60))))</f>
        <v/>
      </c>
      <c r="AK60" s="65" t="str">
        <f aca="false">IF($B60="","",MAX(0,IF(OR(الموظفون!$AE60="",الموظفون!$AE60&gt;$F$3),$F$3,الموظفون!$AE60)-MAX($E$3,الموظفون!$H60)+1))</f>
        <v/>
      </c>
      <c r="AL60" s="151" t="str">
        <f aca="false">IF($B60="","",SUMIFS('سجل الإجازات والحالات'!$AX$6:$AX$505,'سجل الإجازات والحالات'!$B$6:$B$505,$B60)+SUMIFS('الحركات الشهرية'!$K$6:$K$1005,'الحركات الشهرية'!$B$6:$B$1005,$B60,'الحركات الشهرية'!$A$6:$A$1005,$C$3))</f>
        <v/>
      </c>
      <c r="AM60" s="111" t="str">
        <f aca="false">IF($B60="","",AL60*الموظفون!$R60/cfg_DAYS_M+S60)</f>
        <v/>
      </c>
      <c r="AN60" s="151" t="str">
        <f aca="false">IF($B60="","",SUMIFS('سجل الإجازات والحالات'!$Z$6:$Z$505,'سجل الإجازات والحالات'!$B$6:$B$505,$B60))</f>
        <v/>
      </c>
    </row>
    <row r="61" customFormat="false" ht="15" hidden="false" customHeight="false" outlineLevel="0" collapsed="false">
      <c r="A61" s="115" t="str">
        <f aca="false">IF($B61="","",الموظفون!$A61)</f>
        <v/>
      </c>
      <c r="B61" s="117" t="str">
        <f aca="false">IF(الموظفون!$B61="","",الموظفون!$B61)</f>
        <v/>
      </c>
      <c r="C61" s="117" t="str">
        <f aca="false">IF($B61="","",الموظفون!$C61)</f>
        <v/>
      </c>
      <c r="D61" s="117" t="str">
        <f aca="false">IF($B61="","",الموظفون!$F61)</f>
        <v/>
      </c>
      <c r="E61" s="117" t="str">
        <f aca="false">IF($B61="","",الموظفون!$E61)</f>
        <v/>
      </c>
      <c r="F61" s="117" t="str">
        <f aca="false">IF($B61="","",IF(AK61=0,IF(AND(الموظفون!$AE61&lt;&gt;"",الموظفون!$AE61&lt;$E$3),"✖ منتهي الخدمة","⏳ لم يباشر"),IF(S61&gt;0,"✈ راتب إجازة مقدم",IF(J61=0,"⛔ بدون راتب هذا الشهر",IF(I61&gt;0,"✈ خصم "&amp;ROUND(I61,2)&amp;" يوم بدون أجر",IF(AL61&gt;0,"🌴 إجازة سنوية "&amp;ROUND(AL61,2)&amp;" يوم",IF(H61&gt;0,"⚠ غياب "&amp;ROUND(H61,2)&amp;" يوم","✔ على رأس العمل")))))))</f>
        <v/>
      </c>
      <c r="G61" s="156" t="str">
        <f aca="false">IF($B61="","",IF(AK61&gt;=DAY($F$3),cfg_DAYS_M,MIN(AK61,cfg_DAYS_M)))</f>
        <v/>
      </c>
      <c r="H61" s="156" t="str">
        <f aca="false">IF($B61="","",SUMIFS('الحركات الشهرية'!$D$6:$D$1005,'الحركات الشهرية'!$B$6:$B$1005,$B61,'الحركات الشهرية'!$A$6:$A$1005,$C$3))</f>
        <v/>
      </c>
      <c r="I61" s="156" t="str">
        <f aca="false">IF($B61="","",MIN(G61,IF(AND(AK61&gt;0,AN61&gt;=AK61),G61,AN61)+SUMIFS('الحركات الشهرية'!$E$6:$E$1005,'الحركات الشهرية'!$B$6:$B$1005,$B61,'الحركات الشهرية'!$A$6:$A$1005,$C$3)))</f>
        <v/>
      </c>
      <c r="J61" s="156" t="str">
        <f aca="false">IF($B61="","",MAX(0,G61-H61-I61))</f>
        <v/>
      </c>
      <c r="K61" s="116" t="str">
        <f aca="false">IF($B61="","",الموظفون!$L61*$J61/cfg_DAYS_M)</f>
        <v/>
      </c>
      <c r="L61" s="116" t="str">
        <f aca="false">IF($B61="","",الموظفون!$M61*$J61/cfg_DAYS_M)</f>
        <v/>
      </c>
      <c r="M61" s="116" t="str">
        <f aca="false">IF($B61="","",الموظفون!$N61*$J61/cfg_DAYS_M)</f>
        <v/>
      </c>
      <c r="N61" s="116" t="str">
        <f aca="false">IF($B61="","",الموظفون!$O61*$J61/cfg_DAYS_M)</f>
        <v/>
      </c>
      <c r="O61" s="156" t="str">
        <f aca="false">IF($B61="","",SUMIFS('الحركات الشهرية'!$F$6:$F$1005,'الحركات الشهرية'!$B$6:$B$1005,$B61,'الحركات الشهرية'!$A$6:$A$1005,$C$3))</f>
        <v/>
      </c>
      <c r="P61" s="116" t="str">
        <f aca="false">IF($B61="","",O61*(الموظفون!$P61+الموظفون!$L61*cfg_OT_P)/cfg_DAYS_M/cfg_HRS)</f>
        <v/>
      </c>
      <c r="Q61" s="116" t="str">
        <f aca="false">IF($B61="","",SUMIFS('الحركات الشهرية'!$G$6:$G$1005,'الحركات الشهرية'!$B$6:$B$1005,$B61,'الحركات الشهرية'!$A$6:$A$1005,$C$3))</f>
        <v/>
      </c>
      <c r="R61" s="116" t="str">
        <f aca="false">IF($B61="","",SUMIFS('الحركات الشهرية'!$H$6:$H$1005,'الحركات الشهرية'!$B$6:$B$1005,$B61,'الحركات الشهرية'!$A$6:$A$1005,$C$3))</f>
        <v/>
      </c>
      <c r="S61" s="116" t="str">
        <f aca="false">IF($B61="","",SUMIFS('سجل الإجازات والحالات'!$N$6:$N$505,'سجل الإجازات والحالات'!$B$6:$B$505,$B61,'سجل الإجازات والحالات'!$O$6:$O$505,$C$3))</f>
        <v/>
      </c>
      <c r="T61" s="157" t="str">
        <f aca="false">IF($B61="","",SUM(K61:N61)+SUM(P61:S61))</f>
        <v/>
      </c>
      <c r="U61" s="116" t="str">
        <f aca="false">IF($B61="","",الموظفون!$S61*IF(E61="سعودي",cfg_G_SE,cfg_G_NE)*G61/cfg_DAYS_M)</f>
        <v/>
      </c>
      <c r="V61" s="116" t="str">
        <f aca="false">IF($B61="","",SUMIFS('الحركات الشهرية'!$I$6:$I$1005,'الحركات الشهرية'!$B$6:$B$1005,$B61,'الحركات الشهرية'!$A$6:$A$1005,$C$3))</f>
        <v/>
      </c>
      <c r="W61" s="116" t="str">
        <f aca="false">IF($B61="","",SUMIFS('الحركات الشهرية'!$J$6:$J$1005,'الحركات الشهرية'!$B$6:$B$1005,$B61,'الحركات الشهرية'!$A$6:$A$1005,$C$3))</f>
        <v/>
      </c>
      <c r="X61" s="116" t="str">
        <f aca="false">IF($B61="","",SUM(U61:W61))</f>
        <v/>
      </c>
      <c r="Y61" s="158" t="str">
        <f aca="false">IF($B61="","",T61-X61)</f>
        <v/>
      </c>
      <c r="Z61" s="116" t="str">
        <f aca="false">IF($B61="","",الموظفون!$S61*IF(E61="سعودي",cfg_G_SR,cfg_G_NR)*G61/cfg_DAYS_M)</f>
        <v/>
      </c>
      <c r="AA61" s="116" t="str">
        <f aca="false">IF($B61="","",الموظفون!$Q61*(cfg_EOS_R1*(MIN(AH61,cfg_EOS_TH)-MIN(AI61,cfg_EOS_TH))+cfg_EOS_R2*(MAX(AH61-cfg_EOS_TH,0)-MAX(AI61-cfg_EOS_TH,0))))</f>
        <v/>
      </c>
      <c r="AB61" s="116" t="str">
        <f aca="false">IF($B61="","",IF(الموظفون!$T61&lt;&gt;"",الموظفون!$T61,IF(AH61&gt;=cfg_LV_TH,cfg_LV_D2,cfg_LV_D1))/cfg_DAYS_Y*AJ61*الموظفون!$R61/cfg_DAYS_M)</f>
        <v/>
      </c>
      <c r="AC61" s="116" t="str">
        <f aca="false">IF($B61="","",IF(AND(الموظفون!$U61="نعم",N(الموظفون!$W61)&gt;0),الموظفون!$V61/الموظفون!$W61*12/cfg_DAYS_Y*AJ61,0))</f>
        <v/>
      </c>
      <c r="AD61" s="116" t="str">
        <f aca="false">IF($B61="","",(IF(الموظفون!$X61&lt;&gt;"",الموظفون!$X61,IF(الموظفون!$E61="غير سعودي",cfg_IQ,0))+IF(الموظفون!$Y61&lt;&gt;"",الموظفون!$Y61,IF(الموظفون!$E61="غير سعودي",cfg_WP,0)))/12*G61/cfg_DAYS_M)</f>
        <v/>
      </c>
      <c r="AE61" s="116" t="str">
        <f aca="false">IF($B61="","",IF(الموظفون!$Z61&lt;&gt;"",الموظفون!$Z61,cfg_MED)/12*G61/cfg_DAYS_M)</f>
        <v/>
      </c>
      <c r="AF61" s="116" t="str">
        <f aca="false">IF($B61="","",N(الموظفون!$AA61)/12*G61/cfg_DAYS_M)</f>
        <v/>
      </c>
      <c r="AG61" s="159" t="str">
        <f aca="false">IF($B61="","",T61+SUM(Z61:AF61))</f>
        <v/>
      </c>
      <c r="AH61" s="160" t="str">
        <f aca="false">IF($B61="","",MAX(0,IF(OR(الموظفون!$AE61="",الموظفون!$AE61&gt;$F$3),$F$3,الموظفون!$AE61)-الموظفون!$H61+1-SUMIFS('سجل الإجازات والحالات'!$AL$6:$AL$505,'سجل الإجازات والحالات'!$B$6:$B$505,$B61))/cfg_DAYS_Y)</f>
        <v/>
      </c>
      <c r="AI61" s="160" t="str">
        <f aca="false">IF($B61="","",MAX(0,IF(OR(الموظفون!$AE61="",الموظفون!$AE61&gt;($E$3-1)),($E$3-1),الموظفون!$AE61)-الموظفون!$H61+1-SUMIFS('سجل الإجازات والحالات'!$AK$6:$AK$505,'سجل الإجازات والحالات'!$B$6:$B$505,$B61))/cfg_DAYS_Y)</f>
        <v/>
      </c>
      <c r="AJ61" s="133" t="str">
        <f aca="false">IF($B61="","",MAX(0,AK61-(SUMIFS('سجل الإجازات والحالات'!$AL$6:$AL$505,'سجل الإجازات والحالات'!$B$6:$B$505,$B61)-SUMIFS('سجل الإجازات والحالات'!$AK$6:$AK$505,'سجل الإجازات والحالات'!$B$6:$B$505,$B61))))</f>
        <v/>
      </c>
      <c r="AK61" s="133" t="str">
        <f aca="false">IF($B61="","",MAX(0,IF(OR(الموظفون!$AE61="",الموظفون!$AE61&gt;$F$3),$F$3,الموظفون!$AE61)-MAX($E$3,الموظفون!$H61)+1))</f>
        <v/>
      </c>
      <c r="AL61" s="156" t="str">
        <f aca="false">IF($B61="","",SUMIFS('سجل الإجازات والحالات'!$AX$6:$AX$505,'سجل الإجازات والحالات'!$B$6:$B$505,$B61)+SUMIFS('الحركات الشهرية'!$K$6:$K$1005,'الحركات الشهرية'!$B$6:$B$1005,$B61,'الحركات الشهرية'!$A$6:$A$1005,$C$3))</f>
        <v/>
      </c>
      <c r="AM61" s="116" t="str">
        <f aca="false">IF($B61="","",AL61*الموظفون!$R61/cfg_DAYS_M+S61)</f>
        <v/>
      </c>
      <c r="AN61" s="156" t="str">
        <f aca="false">IF($B61="","",SUMIFS('سجل الإجازات والحالات'!$Z$6:$Z$505,'سجل الإجازات والحالات'!$B$6:$B$505,$B61))</f>
        <v/>
      </c>
    </row>
    <row r="62" customFormat="false" ht="15" hidden="false" customHeight="false" outlineLevel="0" collapsed="false">
      <c r="A62" s="106" t="str">
        <f aca="false">IF($B62="","",الموظفون!$A62)</f>
        <v/>
      </c>
      <c r="B62" s="114" t="str">
        <f aca="false">IF(الموظفون!$B62="","",الموظفون!$B62)</f>
        <v/>
      </c>
      <c r="C62" s="114" t="str">
        <f aca="false">IF($B62="","",الموظفون!$C62)</f>
        <v/>
      </c>
      <c r="D62" s="114" t="str">
        <f aca="false">IF($B62="","",الموظفون!$F62)</f>
        <v/>
      </c>
      <c r="E62" s="114" t="str">
        <f aca="false">IF($B62="","",الموظفون!$E62)</f>
        <v/>
      </c>
      <c r="F62" s="114" t="str">
        <f aca="false">IF($B62="","",IF(AK62=0,IF(AND(الموظفون!$AE62&lt;&gt;"",الموظفون!$AE62&lt;$E$3),"✖ منتهي الخدمة","⏳ لم يباشر"),IF(S62&gt;0,"✈ راتب إجازة مقدم",IF(J62=0,"⛔ بدون راتب هذا الشهر",IF(I62&gt;0,"✈ خصم "&amp;ROUND(I62,2)&amp;" يوم بدون أجر",IF(AL62&gt;0,"🌴 إجازة سنوية "&amp;ROUND(AL62,2)&amp;" يوم",IF(H62&gt;0,"⚠ غياب "&amp;ROUND(H62,2)&amp;" يوم","✔ على رأس العمل")))))))</f>
        <v/>
      </c>
      <c r="G62" s="151" t="str">
        <f aca="false">IF($B62="","",IF(AK62&gt;=DAY($F$3),cfg_DAYS_M,MIN(AK62,cfg_DAYS_M)))</f>
        <v/>
      </c>
      <c r="H62" s="151" t="str">
        <f aca="false">IF($B62="","",SUMIFS('الحركات الشهرية'!$D$6:$D$1005,'الحركات الشهرية'!$B$6:$B$1005,$B62,'الحركات الشهرية'!$A$6:$A$1005,$C$3))</f>
        <v/>
      </c>
      <c r="I62" s="151" t="str">
        <f aca="false">IF($B62="","",MIN(G62,IF(AND(AK62&gt;0,AN62&gt;=AK62),G62,AN62)+SUMIFS('الحركات الشهرية'!$E$6:$E$1005,'الحركات الشهرية'!$B$6:$B$1005,$B62,'الحركات الشهرية'!$A$6:$A$1005,$C$3)))</f>
        <v/>
      </c>
      <c r="J62" s="151" t="str">
        <f aca="false">IF($B62="","",MAX(0,G62-H62-I62))</f>
        <v/>
      </c>
      <c r="K62" s="111" t="str">
        <f aca="false">IF($B62="","",الموظفون!$L62*$J62/cfg_DAYS_M)</f>
        <v/>
      </c>
      <c r="L62" s="111" t="str">
        <f aca="false">IF($B62="","",الموظفون!$M62*$J62/cfg_DAYS_M)</f>
        <v/>
      </c>
      <c r="M62" s="111" t="str">
        <f aca="false">IF($B62="","",الموظفون!$N62*$J62/cfg_DAYS_M)</f>
        <v/>
      </c>
      <c r="N62" s="111" t="str">
        <f aca="false">IF($B62="","",الموظفون!$O62*$J62/cfg_DAYS_M)</f>
        <v/>
      </c>
      <c r="O62" s="151" t="str">
        <f aca="false">IF($B62="","",SUMIFS('الحركات الشهرية'!$F$6:$F$1005,'الحركات الشهرية'!$B$6:$B$1005,$B62,'الحركات الشهرية'!$A$6:$A$1005,$C$3))</f>
        <v/>
      </c>
      <c r="P62" s="111" t="str">
        <f aca="false">IF($B62="","",O62*(الموظفون!$P62+الموظفون!$L62*cfg_OT_P)/cfg_DAYS_M/cfg_HRS)</f>
        <v/>
      </c>
      <c r="Q62" s="111" t="str">
        <f aca="false">IF($B62="","",SUMIFS('الحركات الشهرية'!$G$6:$G$1005,'الحركات الشهرية'!$B$6:$B$1005,$B62,'الحركات الشهرية'!$A$6:$A$1005,$C$3))</f>
        <v/>
      </c>
      <c r="R62" s="111" t="str">
        <f aca="false">IF($B62="","",SUMIFS('الحركات الشهرية'!$H$6:$H$1005,'الحركات الشهرية'!$B$6:$B$1005,$B62,'الحركات الشهرية'!$A$6:$A$1005,$C$3))</f>
        <v/>
      </c>
      <c r="S62" s="111" t="str">
        <f aca="false">IF($B62="","",SUMIFS('سجل الإجازات والحالات'!$N$6:$N$505,'سجل الإجازات والحالات'!$B$6:$B$505,$B62,'سجل الإجازات والحالات'!$O$6:$O$505,$C$3))</f>
        <v/>
      </c>
      <c r="T62" s="152" t="str">
        <f aca="false">IF($B62="","",SUM(K62:N62)+SUM(P62:S62))</f>
        <v/>
      </c>
      <c r="U62" s="111" t="str">
        <f aca="false">IF($B62="","",الموظفون!$S62*IF(E62="سعودي",cfg_G_SE,cfg_G_NE)*G62/cfg_DAYS_M)</f>
        <v/>
      </c>
      <c r="V62" s="111" t="str">
        <f aca="false">IF($B62="","",SUMIFS('الحركات الشهرية'!$I$6:$I$1005,'الحركات الشهرية'!$B$6:$B$1005,$B62,'الحركات الشهرية'!$A$6:$A$1005,$C$3))</f>
        <v/>
      </c>
      <c r="W62" s="111" t="str">
        <f aca="false">IF($B62="","",SUMIFS('الحركات الشهرية'!$J$6:$J$1005,'الحركات الشهرية'!$B$6:$B$1005,$B62,'الحركات الشهرية'!$A$6:$A$1005,$C$3))</f>
        <v/>
      </c>
      <c r="X62" s="111" t="str">
        <f aca="false">IF($B62="","",SUM(U62:W62))</f>
        <v/>
      </c>
      <c r="Y62" s="153" t="str">
        <f aca="false">IF($B62="","",T62-X62)</f>
        <v/>
      </c>
      <c r="Z62" s="111" t="str">
        <f aca="false">IF($B62="","",الموظفون!$S62*IF(E62="سعودي",cfg_G_SR,cfg_G_NR)*G62/cfg_DAYS_M)</f>
        <v/>
      </c>
      <c r="AA62" s="111" t="str">
        <f aca="false">IF($B62="","",الموظفون!$Q62*(cfg_EOS_R1*(MIN(AH62,cfg_EOS_TH)-MIN(AI62,cfg_EOS_TH))+cfg_EOS_R2*(MAX(AH62-cfg_EOS_TH,0)-MAX(AI62-cfg_EOS_TH,0))))</f>
        <v/>
      </c>
      <c r="AB62" s="111" t="str">
        <f aca="false">IF($B62="","",IF(الموظفون!$T62&lt;&gt;"",الموظفون!$T62,IF(AH62&gt;=cfg_LV_TH,cfg_LV_D2,cfg_LV_D1))/cfg_DAYS_Y*AJ62*الموظفون!$R62/cfg_DAYS_M)</f>
        <v/>
      </c>
      <c r="AC62" s="111" t="str">
        <f aca="false">IF($B62="","",IF(AND(الموظفون!$U62="نعم",N(الموظفون!$W62)&gt;0),الموظفون!$V62/الموظفون!$W62*12/cfg_DAYS_Y*AJ62,0))</f>
        <v/>
      </c>
      <c r="AD62" s="111" t="str">
        <f aca="false">IF($B62="","",(IF(الموظفون!$X62&lt;&gt;"",الموظفون!$X62,IF(الموظفون!$E62="غير سعودي",cfg_IQ,0))+IF(الموظفون!$Y62&lt;&gt;"",الموظفون!$Y62,IF(الموظفون!$E62="غير سعودي",cfg_WP,0)))/12*G62/cfg_DAYS_M)</f>
        <v/>
      </c>
      <c r="AE62" s="111" t="str">
        <f aca="false">IF($B62="","",IF(الموظفون!$Z62&lt;&gt;"",الموظفون!$Z62,cfg_MED)/12*G62/cfg_DAYS_M)</f>
        <v/>
      </c>
      <c r="AF62" s="111" t="str">
        <f aca="false">IF($B62="","",N(الموظفون!$AA62)/12*G62/cfg_DAYS_M)</f>
        <v/>
      </c>
      <c r="AG62" s="154" t="str">
        <f aca="false">IF($B62="","",T62+SUM(Z62:AF62))</f>
        <v/>
      </c>
      <c r="AH62" s="155" t="str">
        <f aca="false">IF($B62="","",MAX(0,IF(OR(الموظفون!$AE62="",الموظفون!$AE62&gt;$F$3),$F$3,الموظفون!$AE62)-الموظفون!$H62+1-SUMIFS('سجل الإجازات والحالات'!$AL$6:$AL$505,'سجل الإجازات والحالات'!$B$6:$B$505,$B62))/cfg_DAYS_Y)</f>
        <v/>
      </c>
      <c r="AI62" s="155" t="str">
        <f aca="false">IF($B62="","",MAX(0,IF(OR(الموظفون!$AE62="",الموظفون!$AE62&gt;($E$3-1)),($E$3-1),الموظفون!$AE62)-الموظفون!$H62+1-SUMIFS('سجل الإجازات والحالات'!$AK$6:$AK$505,'سجل الإجازات والحالات'!$B$6:$B$505,$B62))/cfg_DAYS_Y)</f>
        <v/>
      </c>
      <c r="AJ62" s="65" t="str">
        <f aca="false">IF($B62="","",MAX(0,AK62-(SUMIFS('سجل الإجازات والحالات'!$AL$6:$AL$505,'سجل الإجازات والحالات'!$B$6:$B$505,$B62)-SUMIFS('سجل الإجازات والحالات'!$AK$6:$AK$505,'سجل الإجازات والحالات'!$B$6:$B$505,$B62))))</f>
        <v/>
      </c>
      <c r="AK62" s="65" t="str">
        <f aca="false">IF($B62="","",MAX(0,IF(OR(الموظفون!$AE62="",الموظفون!$AE62&gt;$F$3),$F$3,الموظفون!$AE62)-MAX($E$3,الموظفون!$H62)+1))</f>
        <v/>
      </c>
      <c r="AL62" s="151" t="str">
        <f aca="false">IF($B62="","",SUMIFS('سجل الإجازات والحالات'!$AX$6:$AX$505,'سجل الإجازات والحالات'!$B$6:$B$505,$B62)+SUMIFS('الحركات الشهرية'!$K$6:$K$1005,'الحركات الشهرية'!$B$6:$B$1005,$B62,'الحركات الشهرية'!$A$6:$A$1005,$C$3))</f>
        <v/>
      </c>
      <c r="AM62" s="111" t="str">
        <f aca="false">IF($B62="","",AL62*الموظفون!$R62/cfg_DAYS_M+S62)</f>
        <v/>
      </c>
      <c r="AN62" s="151" t="str">
        <f aca="false">IF($B62="","",SUMIFS('سجل الإجازات والحالات'!$Z$6:$Z$505,'سجل الإجازات والحالات'!$B$6:$B$505,$B62))</f>
        <v/>
      </c>
    </row>
    <row r="63" customFormat="false" ht="15" hidden="false" customHeight="false" outlineLevel="0" collapsed="false">
      <c r="A63" s="115" t="str">
        <f aca="false">IF($B63="","",الموظفون!$A63)</f>
        <v/>
      </c>
      <c r="B63" s="117" t="str">
        <f aca="false">IF(الموظفون!$B63="","",الموظفون!$B63)</f>
        <v/>
      </c>
      <c r="C63" s="117" t="str">
        <f aca="false">IF($B63="","",الموظفون!$C63)</f>
        <v/>
      </c>
      <c r="D63" s="117" t="str">
        <f aca="false">IF($B63="","",الموظفون!$F63)</f>
        <v/>
      </c>
      <c r="E63" s="117" t="str">
        <f aca="false">IF($B63="","",الموظفون!$E63)</f>
        <v/>
      </c>
      <c r="F63" s="117" t="str">
        <f aca="false">IF($B63="","",IF(AK63=0,IF(AND(الموظفون!$AE63&lt;&gt;"",الموظفون!$AE63&lt;$E$3),"✖ منتهي الخدمة","⏳ لم يباشر"),IF(S63&gt;0,"✈ راتب إجازة مقدم",IF(J63=0,"⛔ بدون راتب هذا الشهر",IF(I63&gt;0,"✈ خصم "&amp;ROUND(I63,2)&amp;" يوم بدون أجر",IF(AL63&gt;0,"🌴 إجازة سنوية "&amp;ROUND(AL63,2)&amp;" يوم",IF(H63&gt;0,"⚠ غياب "&amp;ROUND(H63,2)&amp;" يوم","✔ على رأس العمل")))))))</f>
        <v/>
      </c>
      <c r="G63" s="156" t="str">
        <f aca="false">IF($B63="","",IF(AK63&gt;=DAY($F$3),cfg_DAYS_M,MIN(AK63,cfg_DAYS_M)))</f>
        <v/>
      </c>
      <c r="H63" s="156" t="str">
        <f aca="false">IF($B63="","",SUMIFS('الحركات الشهرية'!$D$6:$D$1005,'الحركات الشهرية'!$B$6:$B$1005,$B63,'الحركات الشهرية'!$A$6:$A$1005,$C$3))</f>
        <v/>
      </c>
      <c r="I63" s="156" t="str">
        <f aca="false">IF($B63="","",MIN(G63,IF(AND(AK63&gt;0,AN63&gt;=AK63),G63,AN63)+SUMIFS('الحركات الشهرية'!$E$6:$E$1005,'الحركات الشهرية'!$B$6:$B$1005,$B63,'الحركات الشهرية'!$A$6:$A$1005,$C$3)))</f>
        <v/>
      </c>
      <c r="J63" s="156" t="str">
        <f aca="false">IF($B63="","",MAX(0,G63-H63-I63))</f>
        <v/>
      </c>
      <c r="K63" s="116" t="str">
        <f aca="false">IF($B63="","",الموظفون!$L63*$J63/cfg_DAYS_M)</f>
        <v/>
      </c>
      <c r="L63" s="116" t="str">
        <f aca="false">IF($B63="","",الموظفون!$M63*$J63/cfg_DAYS_M)</f>
        <v/>
      </c>
      <c r="M63" s="116" t="str">
        <f aca="false">IF($B63="","",الموظفون!$N63*$J63/cfg_DAYS_M)</f>
        <v/>
      </c>
      <c r="N63" s="116" t="str">
        <f aca="false">IF($B63="","",الموظفون!$O63*$J63/cfg_DAYS_M)</f>
        <v/>
      </c>
      <c r="O63" s="156" t="str">
        <f aca="false">IF($B63="","",SUMIFS('الحركات الشهرية'!$F$6:$F$1005,'الحركات الشهرية'!$B$6:$B$1005,$B63,'الحركات الشهرية'!$A$6:$A$1005,$C$3))</f>
        <v/>
      </c>
      <c r="P63" s="116" t="str">
        <f aca="false">IF($B63="","",O63*(الموظفون!$P63+الموظفون!$L63*cfg_OT_P)/cfg_DAYS_M/cfg_HRS)</f>
        <v/>
      </c>
      <c r="Q63" s="116" t="str">
        <f aca="false">IF($B63="","",SUMIFS('الحركات الشهرية'!$G$6:$G$1005,'الحركات الشهرية'!$B$6:$B$1005,$B63,'الحركات الشهرية'!$A$6:$A$1005,$C$3))</f>
        <v/>
      </c>
      <c r="R63" s="116" t="str">
        <f aca="false">IF($B63="","",SUMIFS('الحركات الشهرية'!$H$6:$H$1005,'الحركات الشهرية'!$B$6:$B$1005,$B63,'الحركات الشهرية'!$A$6:$A$1005,$C$3))</f>
        <v/>
      </c>
      <c r="S63" s="116" t="str">
        <f aca="false">IF($B63="","",SUMIFS('سجل الإجازات والحالات'!$N$6:$N$505,'سجل الإجازات والحالات'!$B$6:$B$505,$B63,'سجل الإجازات والحالات'!$O$6:$O$505,$C$3))</f>
        <v/>
      </c>
      <c r="T63" s="157" t="str">
        <f aca="false">IF($B63="","",SUM(K63:N63)+SUM(P63:S63))</f>
        <v/>
      </c>
      <c r="U63" s="116" t="str">
        <f aca="false">IF($B63="","",الموظفون!$S63*IF(E63="سعودي",cfg_G_SE,cfg_G_NE)*G63/cfg_DAYS_M)</f>
        <v/>
      </c>
      <c r="V63" s="116" t="str">
        <f aca="false">IF($B63="","",SUMIFS('الحركات الشهرية'!$I$6:$I$1005,'الحركات الشهرية'!$B$6:$B$1005,$B63,'الحركات الشهرية'!$A$6:$A$1005,$C$3))</f>
        <v/>
      </c>
      <c r="W63" s="116" t="str">
        <f aca="false">IF($B63="","",SUMIFS('الحركات الشهرية'!$J$6:$J$1005,'الحركات الشهرية'!$B$6:$B$1005,$B63,'الحركات الشهرية'!$A$6:$A$1005,$C$3))</f>
        <v/>
      </c>
      <c r="X63" s="116" t="str">
        <f aca="false">IF($B63="","",SUM(U63:W63))</f>
        <v/>
      </c>
      <c r="Y63" s="158" t="str">
        <f aca="false">IF($B63="","",T63-X63)</f>
        <v/>
      </c>
      <c r="Z63" s="116" t="str">
        <f aca="false">IF($B63="","",الموظفون!$S63*IF(E63="سعودي",cfg_G_SR,cfg_G_NR)*G63/cfg_DAYS_M)</f>
        <v/>
      </c>
      <c r="AA63" s="116" t="str">
        <f aca="false">IF($B63="","",الموظفون!$Q63*(cfg_EOS_R1*(MIN(AH63,cfg_EOS_TH)-MIN(AI63,cfg_EOS_TH))+cfg_EOS_R2*(MAX(AH63-cfg_EOS_TH,0)-MAX(AI63-cfg_EOS_TH,0))))</f>
        <v/>
      </c>
      <c r="AB63" s="116" t="str">
        <f aca="false">IF($B63="","",IF(الموظفون!$T63&lt;&gt;"",الموظفون!$T63,IF(AH63&gt;=cfg_LV_TH,cfg_LV_D2,cfg_LV_D1))/cfg_DAYS_Y*AJ63*الموظفون!$R63/cfg_DAYS_M)</f>
        <v/>
      </c>
      <c r="AC63" s="116" t="str">
        <f aca="false">IF($B63="","",IF(AND(الموظفون!$U63="نعم",N(الموظفون!$W63)&gt;0),الموظفون!$V63/الموظفون!$W63*12/cfg_DAYS_Y*AJ63,0))</f>
        <v/>
      </c>
      <c r="AD63" s="116" t="str">
        <f aca="false">IF($B63="","",(IF(الموظفون!$X63&lt;&gt;"",الموظفون!$X63,IF(الموظفون!$E63="غير سعودي",cfg_IQ,0))+IF(الموظفون!$Y63&lt;&gt;"",الموظفون!$Y63,IF(الموظفون!$E63="غير سعودي",cfg_WP,0)))/12*G63/cfg_DAYS_M)</f>
        <v/>
      </c>
      <c r="AE63" s="116" t="str">
        <f aca="false">IF($B63="","",IF(الموظفون!$Z63&lt;&gt;"",الموظفون!$Z63,cfg_MED)/12*G63/cfg_DAYS_M)</f>
        <v/>
      </c>
      <c r="AF63" s="116" t="str">
        <f aca="false">IF($B63="","",N(الموظفون!$AA63)/12*G63/cfg_DAYS_M)</f>
        <v/>
      </c>
      <c r="AG63" s="159" t="str">
        <f aca="false">IF($B63="","",T63+SUM(Z63:AF63))</f>
        <v/>
      </c>
      <c r="AH63" s="160" t="str">
        <f aca="false">IF($B63="","",MAX(0,IF(OR(الموظفون!$AE63="",الموظفون!$AE63&gt;$F$3),$F$3,الموظفون!$AE63)-الموظفون!$H63+1-SUMIFS('سجل الإجازات والحالات'!$AL$6:$AL$505,'سجل الإجازات والحالات'!$B$6:$B$505,$B63))/cfg_DAYS_Y)</f>
        <v/>
      </c>
      <c r="AI63" s="160" t="str">
        <f aca="false">IF($B63="","",MAX(0,IF(OR(الموظفون!$AE63="",الموظفون!$AE63&gt;($E$3-1)),($E$3-1),الموظفون!$AE63)-الموظفون!$H63+1-SUMIFS('سجل الإجازات والحالات'!$AK$6:$AK$505,'سجل الإجازات والحالات'!$B$6:$B$505,$B63))/cfg_DAYS_Y)</f>
        <v/>
      </c>
      <c r="AJ63" s="133" t="str">
        <f aca="false">IF($B63="","",MAX(0,AK63-(SUMIFS('سجل الإجازات والحالات'!$AL$6:$AL$505,'سجل الإجازات والحالات'!$B$6:$B$505,$B63)-SUMIFS('سجل الإجازات والحالات'!$AK$6:$AK$505,'سجل الإجازات والحالات'!$B$6:$B$505,$B63))))</f>
        <v/>
      </c>
      <c r="AK63" s="133" t="str">
        <f aca="false">IF($B63="","",MAX(0,IF(OR(الموظفون!$AE63="",الموظفون!$AE63&gt;$F$3),$F$3,الموظفون!$AE63)-MAX($E$3,الموظفون!$H63)+1))</f>
        <v/>
      </c>
      <c r="AL63" s="156" t="str">
        <f aca="false">IF($B63="","",SUMIFS('سجل الإجازات والحالات'!$AX$6:$AX$505,'سجل الإجازات والحالات'!$B$6:$B$505,$B63)+SUMIFS('الحركات الشهرية'!$K$6:$K$1005,'الحركات الشهرية'!$B$6:$B$1005,$B63,'الحركات الشهرية'!$A$6:$A$1005,$C$3))</f>
        <v/>
      </c>
      <c r="AM63" s="116" t="str">
        <f aca="false">IF($B63="","",AL63*الموظفون!$R63/cfg_DAYS_M+S63)</f>
        <v/>
      </c>
      <c r="AN63" s="156" t="str">
        <f aca="false">IF($B63="","",SUMIFS('سجل الإجازات والحالات'!$Z$6:$Z$505,'سجل الإجازات والحالات'!$B$6:$B$505,$B63))</f>
        <v/>
      </c>
    </row>
    <row r="64" customFormat="false" ht="15" hidden="false" customHeight="false" outlineLevel="0" collapsed="false">
      <c r="A64" s="106" t="str">
        <f aca="false">IF($B64="","",الموظفون!$A64)</f>
        <v/>
      </c>
      <c r="B64" s="114" t="str">
        <f aca="false">IF(الموظفون!$B64="","",الموظفون!$B64)</f>
        <v/>
      </c>
      <c r="C64" s="114" t="str">
        <f aca="false">IF($B64="","",الموظفون!$C64)</f>
        <v/>
      </c>
      <c r="D64" s="114" t="str">
        <f aca="false">IF($B64="","",الموظفون!$F64)</f>
        <v/>
      </c>
      <c r="E64" s="114" t="str">
        <f aca="false">IF($B64="","",الموظفون!$E64)</f>
        <v/>
      </c>
      <c r="F64" s="114" t="str">
        <f aca="false">IF($B64="","",IF(AK64=0,IF(AND(الموظفون!$AE64&lt;&gt;"",الموظفون!$AE64&lt;$E$3),"✖ منتهي الخدمة","⏳ لم يباشر"),IF(S64&gt;0,"✈ راتب إجازة مقدم",IF(J64=0,"⛔ بدون راتب هذا الشهر",IF(I64&gt;0,"✈ خصم "&amp;ROUND(I64,2)&amp;" يوم بدون أجر",IF(AL64&gt;0,"🌴 إجازة سنوية "&amp;ROUND(AL64,2)&amp;" يوم",IF(H64&gt;0,"⚠ غياب "&amp;ROUND(H64,2)&amp;" يوم","✔ على رأس العمل")))))))</f>
        <v/>
      </c>
      <c r="G64" s="151" t="str">
        <f aca="false">IF($B64="","",IF(AK64&gt;=DAY($F$3),cfg_DAYS_M,MIN(AK64,cfg_DAYS_M)))</f>
        <v/>
      </c>
      <c r="H64" s="151" t="str">
        <f aca="false">IF($B64="","",SUMIFS('الحركات الشهرية'!$D$6:$D$1005,'الحركات الشهرية'!$B$6:$B$1005,$B64,'الحركات الشهرية'!$A$6:$A$1005,$C$3))</f>
        <v/>
      </c>
      <c r="I64" s="151" t="str">
        <f aca="false">IF($B64="","",MIN(G64,IF(AND(AK64&gt;0,AN64&gt;=AK64),G64,AN64)+SUMIFS('الحركات الشهرية'!$E$6:$E$1005,'الحركات الشهرية'!$B$6:$B$1005,$B64,'الحركات الشهرية'!$A$6:$A$1005,$C$3)))</f>
        <v/>
      </c>
      <c r="J64" s="151" t="str">
        <f aca="false">IF($B64="","",MAX(0,G64-H64-I64))</f>
        <v/>
      </c>
      <c r="K64" s="111" t="str">
        <f aca="false">IF($B64="","",الموظفون!$L64*$J64/cfg_DAYS_M)</f>
        <v/>
      </c>
      <c r="L64" s="111" t="str">
        <f aca="false">IF($B64="","",الموظفون!$M64*$J64/cfg_DAYS_M)</f>
        <v/>
      </c>
      <c r="M64" s="111" t="str">
        <f aca="false">IF($B64="","",الموظفون!$N64*$J64/cfg_DAYS_M)</f>
        <v/>
      </c>
      <c r="N64" s="111" t="str">
        <f aca="false">IF($B64="","",الموظفون!$O64*$J64/cfg_DAYS_M)</f>
        <v/>
      </c>
      <c r="O64" s="151" t="str">
        <f aca="false">IF($B64="","",SUMIFS('الحركات الشهرية'!$F$6:$F$1005,'الحركات الشهرية'!$B$6:$B$1005,$B64,'الحركات الشهرية'!$A$6:$A$1005,$C$3))</f>
        <v/>
      </c>
      <c r="P64" s="111" t="str">
        <f aca="false">IF($B64="","",O64*(الموظفون!$P64+الموظفون!$L64*cfg_OT_P)/cfg_DAYS_M/cfg_HRS)</f>
        <v/>
      </c>
      <c r="Q64" s="111" t="str">
        <f aca="false">IF($B64="","",SUMIFS('الحركات الشهرية'!$G$6:$G$1005,'الحركات الشهرية'!$B$6:$B$1005,$B64,'الحركات الشهرية'!$A$6:$A$1005,$C$3))</f>
        <v/>
      </c>
      <c r="R64" s="111" t="str">
        <f aca="false">IF($B64="","",SUMIFS('الحركات الشهرية'!$H$6:$H$1005,'الحركات الشهرية'!$B$6:$B$1005,$B64,'الحركات الشهرية'!$A$6:$A$1005,$C$3))</f>
        <v/>
      </c>
      <c r="S64" s="111" t="str">
        <f aca="false">IF($B64="","",SUMIFS('سجل الإجازات والحالات'!$N$6:$N$505,'سجل الإجازات والحالات'!$B$6:$B$505,$B64,'سجل الإجازات والحالات'!$O$6:$O$505,$C$3))</f>
        <v/>
      </c>
      <c r="T64" s="152" t="str">
        <f aca="false">IF($B64="","",SUM(K64:N64)+SUM(P64:S64))</f>
        <v/>
      </c>
      <c r="U64" s="111" t="str">
        <f aca="false">IF($B64="","",الموظفون!$S64*IF(E64="سعودي",cfg_G_SE,cfg_G_NE)*G64/cfg_DAYS_M)</f>
        <v/>
      </c>
      <c r="V64" s="111" t="str">
        <f aca="false">IF($B64="","",SUMIFS('الحركات الشهرية'!$I$6:$I$1005,'الحركات الشهرية'!$B$6:$B$1005,$B64,'الحركات الشهرية'!$A$6:$A$1005,$C$3))</f>
        <v/>
      </c>
      <c r="W64" s="111" t="str">
        <f aca="false">IF($B64="","",SUMIFS('الحركات الشهرية'!$J$6:$J$1005,'الحركات الشهرية'!$B$6:$B$1005,$B64,'الحركات الشهرية'!$A$6:$A$1005,$C$3))</f>
        <v/>
      </c>
      <c r="X64" s="111" t="str">
        <f aca="false">IF($B64="","",SUM(U64:W64))</f>
        <v/>
      </c>
      <c r="Y64" s="153" t="str">
        <f aca="false">IF($B64="","",T64-X64)</f>
        <v/>
      </c>
      <c r="Z64" s="111" t="str">
        <f aca="false">IF($B64="","",الموظفون!$S64*IF(E64="سعودي",cfg_G_SR,cfg_G_NR)*G64/cfg_DAYS_M)</f>
        <v/>
      </c>
      <c r="AA64" s="111" t="str">
        <f aca="false">IF($B64="","",الموظفون!$Q64*(cfg_EOS_R1*(MIN(AH64,cfg_EOS_TH)-MIN(AI64,cfg_EOS_TH))+cfg_EOS_R2*(MAX(AH64-cfg_EOS_TH,0)-MAX(AI64-cfg_EOS_TH,0))))</f>
        <v/>
      </c>
      <c r="AB64" s="111" t="str">
        <f aca="false">IF($B64="","",IF(الموظفون!$T64&lt;&gt;"",الموظفون!$T64,IF(AH64&gt;=cfg_LV_TH,cfg_LV_D2,cfg_LV_D1))/cfg_DAYS_Y*AJ64*الموظفون!$R64/cfg_DAYS_M)</f>
        <v/>
      </c>
      <c r="AC64" s="111" t="str">
        <f aca="false">IF($B64="","",IF(AND(الموظفون!$U64="نعم",N(الموظفون!$W64)&gt;0),الموظفون!$V64/الموظفون!$W64*12/cfg_DAYS_Y*AJ64,0))</f>
        <v/>
      </c>
      <c r="AD64" s="111" t="str">
        <f aca="false">IF($B64="","",(IF(الموظفون!$X64&lt;&gt;"",الموظفون!$X64,IF(الموظفون!$E64="غير سعودي",cfg_IQ,0))+IF(الموظفون!$Y64&lt;&gt;"",الموظفون!$Y64,IF(الموظفون!$E64="غير سعودي",cfg_WP,0)))/12*G64/cfg_DAYS_M)</f>
        <v/>
      </c>
      <c r="AE64" s="111" t="str">
        <f aca="false">IF($B64="","",IF(الموظفون!$Z64&lt;&gt;"",الموظفون!$Z64,cfg_MED)/12*G64/cfg_DAYS_M)</f>
        <v/>
      </c>
      <c r="AF64" s="111" t="str">
        <f aca="false">IF($B64="","",N(الموظفون!$AA64)/12*G64/cfg_DAYS_M)</f>
        <v/>
      </c>
      <c r="AG64" s="154" t="str">
        <f aca="false">IF($B64="","",T64+SUM(Z64:AF64))</f>
        <v/>
      </c>
      <c r="AH64" s="155" t="str">
        <f aca="false">IF($B64="","",MAX(0,IF(OR(الموظفون!$AE64="",الموظفون!$AE64&gt;$F$3),$F$3,الموظفون!$AE64)-الموظفون!$H64+1-SUMIFS('سجل الإجازات والحالات'!$AL$6:$AL$505,'سجل الإجازات والحالات'!$B$6:$B$505,$B64))/cfg_DAYS_Y)</f>
        <v/>
      </c>
      <c r="AI64" s="155" t="str">
        <f aca="false">IF($B64="","",MAX(0,IF(OR(الموظفون!$AE64="",الموظفون!$AE64&gt;($E$3-1)),($E$3-1),الموظفون!$AE64)-الموظفون!$H64+1-SUMIFS('سجل الإجازات والحالات'!$AK$6:$AK$505,'سجل الإجازات والحالات'!$B$6:$B$505,$B64))/cfg_DAYS_Y)</f>
        <v/>
      </c>
      <c r="AJ64" s="65" t="str">
        <f aca="false">IF($B64="","",MAX(0,AK64-(SUMIFS('سجل الإجازات والحالات'!$AL$6:$AL$505,'سجل الإجازات والحالات'!$B$6:$B$505,$B64)-SUMIFS('سجل الإجازات والحالات'!$AK$6:$AK$505,'سجل الإجازات والحالات'!$B$6:$B$505,$B64))))</f>
        <v/>
      </c>
      <c r="AK64" s="65" t="str">
        <f aca="false">IF($B64="","",MAX(0,IF(OR(الموظفون!$AE64="",الموظفون!$AE64&gt;$F$3),$F$3,الموظفون!$AE64)-MAX($E$3,الموظفون!$H64)+1))</f>
        <v/>
      </c>
      <c r="AL64" s="151" t="str">
        <f aca="false">IF($B64="","",SUMIFS('سجل الإجازات والحالات'!$AX$6:$AX$505,'سجل الإجازات والحالات'!$B$6:$B$505,$B64)+SUMIFS('الحركات الشهرية'!$K$6:$K$1005,'الحركات الشهرية'!$B$6:$B$1005,$B64,'الحركات الشهرية'!$A$6:$A$1005,$C$3))</f>
        <v/>
      </c>
      <c r="AM64" s="111" t="str">
        <f aca="false">IF($B64="","",AL64*الموظفون!$R64/cfg_DAYS_M+S64)</f>
        <v/>
      </c>
      <c r="AN64" s="151" t="str">
        <f aca="false">IF($B64="","",SUMIFS('سجل الإجازات والحالات'!$Z$6:$Z$505,'سجل الإجازات والحالات'!$B$6:$B$505,$B64))</f>
        <v/>
      </c>
    </row>
    <row r="65" customFormat="false" ht="15" hidden="false" customHeight="false" outlineLevel="0" collapsed="false">
      <c r="A65" s="115" t="str">
        <f aca="false">IF($B65="","",الموظفون!$A65)</f>
        <v/>
      </c>
      <c r="B65" s="117" t="str">
        <f aca="false">IF(الموظفون!$B65="","",الموظفون!$B65)</f>
        <v/>
      </c>
      <c r="C65" s="117" t="str">
        <f aca="false">IF($B65="","",الموظفون!$C65)</f>
        <v/>
      </c>
      <c r="D65" s="117" t="str">
        <f aca="false">IF($B65="","",الموظفون!$F65)</f>
        <v/>
      </c>
      <c r="E65" s="117" t="str">
        <f aca="false">IF($B65="","",الموظفون!$E65)</f>
        <v/>
      </c>
      <c r="F65" s="117" t="str">
        <f aca="false">IF($B65="","",IF(AK65=0,IF(AND(الموظفون!$AE65&lt;&gt;"",الموظفون!$AE65&lt;$E$3),"✖ منتهي الخدمة","⏳ لم يباشر"),IF(S65&gt;0,"✈ راتب إجازة مقدم",IF(J65=0,"⛔ بدون راتب هذا الشهر",IF(I65&gt;0,"✈ خصم "&amp;ROUND(I65,2)&amp;" يوم بدون أجر",IF(AL65&gt;0,"🌴 إجازة سنوية "&amp;ROUND(AL65,2)&amp;" يوم",IF(H65&gt;0,"⚠ غياب "&amp;ROUND(H65,2)&amp;" يوم","✔ على رأس العمل")))))))</f>
        <v/>
      </c>
      <c r="G65" s="156" t="str">
        <f aca="false">IF($B65="","",IF(AK65&gt;=DAY($F$3),cfg_DAYS_M,MIN(AK65,cfg_DAYS_M)))</f>
        <v/>
      </c>
      <c r="H65" s="156" t="str">
        <f aca="false">IF($B65="","",SUMIFS('الحركات الشهرية'!$D$6:$D$1005,'الحركات الشهرية'!$B$6:$B$1005,$B65,'الحركات الشهرية'!$A$6:$A$1005,$C$3))</f>
        <v/>
      </c>
      <c r="I65" s="156" t="str">
        <f aca="false">IF($B65="","",MIN(G65,IF(AND(AK65&gt;0,AN65&gt;=AK65),G65,AN65)+SUMIFS('الحركات الشهرية'!$E$6:$E$1005,'الحركات الشهرية'!$B$6:$B$1005,$B65,'الحركات الشهرية'!$A$6:$A$1005,$C$3)))</f>
        <v/>
      </c>
      <c r="J65" s="156" t="str">
        <f aca="false">IF($B65="","",MAX(0,G65-H65-I65))</f>
        <v/>
      </c>
      <c r="K65" s="116" t="str">
        <f aca="false">IF($B65="","",الموظفون!$L65*$J65/cfg_DAYS_M)</f>
        <v/>
      </c>
      <c r="L65" s="116" t="str">
        <f aca="false">IF($B65="","",الموظفون!$M65*$J65/cfg_DAYS_M)</f>
        <v/>
      </c>
      <c r="M65" s="116" t="str">
        <f aca="false">IF($B65="","",الموظفون!$N65*$J65/cfg_DAYS_M)</f>
        <v/>
      </c>
      <c r="N65" s="116" t="str">
        <f aca="false">IF($B65="","",الموظفون!$O65*$J65/cfg_DAYS_M)</f>
        <v/>
      </c>
      <c r="O65" s="156" t="str">
        <f aca="false">IF($B65="","",SUMIFS('الحركات الشهرية'!$F$6:$F$1005,'الحركات الشهرية'!$B$6:$B$1005,$B65,'الحركات الشهرية'!$A$6:$A$1005,$C$3))</f>
        <v/>
      </c>
      <c r="P65" s="116" t="str">
        <f aca="false">IF($B65="","",O65*(الموظفون!$P65+الموظفون!$L65*cfg_OT_P)/cfg_DAYS_M/cfg_HRS)</f>
        <v/>
      </c>
      <c r="Q65" s="116" t="str">
        <f aca="false">IF($B65="","",SUMIFS('الحركات الشهرية'!$G$6:$G$1005,'الحركات الشهرية'!$B$6:$B$1005,$B65,'الحركات الشهرية'!$A$6:$A$1005,$C$3))</f>
        <v/>
      </c>
      <c r="R65" s="116" t="str">
        <f aca="false">IF($B65="","",SUMIFS('الحركات الشهرية'!$H$6:$H$1005,'الحركات الشهرية'!$B$6:$B$1005,$B65,'الحركات الشهرية'!$A$6:$A$1005,$C$3))</f>
        <v/>
      </c>
      <c r="S65" s="116" t="str">
        <f aca="false">IF($B65="","",SUMIFS('سجل الإجازات والحالات'!$N$6:$N$505,'سجل الإجازات والحالات'!$B$6:$B$505,$B65,'سجل الإجازات والحالات'!$O$6:$O$505,$C$3))</f>
        <v/>
      </c>
      <c r="T65" s="157" t="str">
        <f aca="false">IF($B65="","",SUM(K65:N65)+SUM(P65:S65))</f>
        <v/>
      </c>
      <c r="U65" s="116" t="str">
        <f aca="false">IF($B65="","",الموظفون!$S65*IF(E65="سعودي",cfg_G_SE,cfg_G_NE)*G65/cfg_DAYS_M)</f>
        <v/>
      </c>
      <c r="V65" s="116" t="str">
        <f aca="false">IF($B65="","",SUMIFS('الحركات الشهرية'!$I$6:$I$1005,'الحركات الشهرية'!$B$6:$B$1005,$B65,'الحركات الشهرية'!$A$6:$A$1005,$C$3))</f>
        <v/>
      </c>
      <c r="W65" s="116" t="str">
        <f aca="false">IF($B65="","",SUMIFS('الحركات الشهرية'!$J$6:$J$1005,'الحركات الشهرية'!$B$6:$B$1005,$B65,'الحركات الشهرية'!$A$6:$A$1005,$C$3))</f>
        <v/>
      </c>
      <c r="X65" s="116" t="str">
        <f aca="false">IF($B65="","",SUM(U65:W65))</f>
        <v/>
      </c>
      <c r="Y65" s="158" t="str">
        <f aca="false">IF($B65="","",T65-X65)</f>
        <v/>
      </c>
      <c r="Z65" s="116" t="str">
        <f aca="false">IF($B65="","",الموظفون!$S65*IF(E65="سعودي",cfg_G_SR,cfg_G_NR)*G65/cfg_DAYS_M)</f>
        <v/>
      </c>
      <c r="AA65" s="116" t="str">
        <f aca="false">IF($B65="","",الموظفون!$Q65*(cfg_EOS_R1*(MIN(AH65,cfg_EOS_TH)-MIN(AI65,cfg_EOS_TH))+cfg_EOS_R2*(MAX(AH65-cfg_EOS_TH,0)-MAX(AI65-cfg_EOS_TH,0))))</f>
        <v/>
      </c>
      <c r="AB65" s="116" t="str">
        <f aca="false">IF($B65="","",IF(الموظفون!$T65&lt;&gt;"",الموظفون!$T65,IF(AH65&gt;=cfg_LV_TH,cfg_LV_D2,cfg_LV_D1))/cfg_DAYS_Y*AJ65*الموظفون!$R65/cfg_DAYS_M)</f>
        <v/>
      </c>
      <c r="AC65" s="116" t="str">
        <f aca="false">IF($B65="","",IF(AND(الموظفون!$U65="نعم",N(الموظفون!$W65)&gt;0),الموظفون!$V65/الموظفون!$W65*12/cfg_DAYS_Y*AJ65,0))</f>
        <v/>
      </c>
      <c r="AD65" s="116" t="str">
        <f aca="false">IF($B65="","",(IF(الموظفون!$X65&lt;&gt;"",الموظفون!$X65,IF(الموظفون!$E65="غير سعودي",cfg_IQ,0))+IF(الموظفون!$Y65&lt;&gt;"",الموظفون!$Y65,IF(الموظفون!$E65="غير سعودي",cfg_WP,0)))/12*G65/cfg_DAYS_M)</f>
        <v/>
      </c>
      <c r="AE65" s="116" t="str">
        <f aca="false">IF($B65="","",IF(الموظفون!$Z65&lt;&gt;"",الموظفون!$Z65,cfg_MED)/12*G65/cfg_DAYS_M)</f>
        <v/>
      </c>
      <c r="AF65" s="116" t="str">
        <f aca="false">IF($B65="","",N(الموظفون!$AA65)/12*G65/cfg_DAYS_M)</f>
        <v/>
      </c>
      <c r="AG65" s="159" t="str">
        <f aca="false">IF($B65="","",T65+SUM(Z65:AF65))</f>
        <v/>
      </c>
      <c r="AH65" s="160" t="str">
        <f aca="false">IF($B65="","",MAX(0,IF(OR(الموظفون!$AE65="",الموظفون!$AE65&gt;$F$3),$F$3,الموظفون!$AE65)-الموظفون!$H65+1-SUMIFS('سجل الإجازات والحالات'!$AL$6:$AL$505,'سجل الإجازات والحالات'!$B$6:$B$505,$B65))/cfg_DAYS_Y)</f>
        <v/>
      </c>
      <c r="AI65" s="160" t="str">
        <f aca="false">IF($B65="","",MAX(0,IF(OR(الموظفون!$AE65="",الموظفون!$AE65&gt;($E$3-1)),($E$3-1),الموظفون!$AE65)-الموظفون!$H65+1-SUMIFS('سجل الإجازات والحالات'!$AK$6:$AK$505,'سجل الإجازات والحالات'!$B$6:$B$505,$B65))/cfg_DAYS_Y)</f>
        <v/>
      </c>
      <c r="AJ65" s="133" t="str">
        <f aca="false">IF($B65="","",MAX(0,AK65-(SUMIFS('سجل الإجازات والحالات'!$AL$6:$AL$505,'سجل الإجازات والحالات'!$B$6:$B$505,$B65)-SUMIFS('سجل الإجازات والحالات'!$AK$6:$AK$505,'سجل الإجازات والحالات'!$B$6:$B$505,$B65))))</f>
        <v/>
      </c>
      <c r="AK65" s="133" t="str">
        <f aca="false">IF($B65="","",MAX(0,IF(OR(الموظفون!$AE65="",الموظفون!$AE65&gt;$F$3),$F$3,الموظفون!$AE65)-MAX($E$3,الموظفون!$H65)+1))</f>
        <v/>
      </c>
      <c r="AL65" s="156" t="str">
        <f aca="false">IF($B65="","",SUMIFS('سجل الإجازات والحالات'!$AX$6:$AX$505,'سجل الإجازات والحالات'!$B$6:$B$505,$B65)+SUMIFS('الحركات الشهرية'!$K$6:$K$1005,'الحركات الشهرية'!$B$6:$B$1005,$B65,'الحركات الشهرية'!$A$6:$A$1005,$C$3))</f>
        <v/>
      </c>
      <c r="AM65" s="116" t="str">
        <f aca="false">IF($B65="","",AL65*الموظفون!$R65/cfg_DAYS_M+S65)</f>
        <v/>
      </c>
      <c r="AN65" s="156" t="str">
        <f aca="false">IF($B65="","",SUMIFS('سجل الإجازات والحالات'!$Z$6:$Z$505,'سجل الإجازات والحالات'!$B$6:$B$505,$B65))</f>
        <v/>
      </c>
    </row>
    <row r="66" customFormat="false" ht="15" hidden="false" customHeight="false" outlineLevel="0" collapsed="false">
      <c r="A66" s="106" t="str">
        <f aca="false">IF($B66="","",الموظفون!$A66)</f>
        <v/>
      </c>
      <c r="B66" s="114" t="str">
        <f aca="false">IF(الموظفون!$B66="","",الموظفون!$B66)</f>
        <v/>
      </c>
      <c r="C66" s="114" t="str">
        <f aca="false">IF($B66="","",الموظفون!$C66)</f>
        <v/>
      </c>
      <c r="D66" s="114" t="str">
        <f aca="false">IF($B66="","",الموظفون!$F66)</f>
        <v/>
      </c>
      <c r="E66" s="114" t="str">
        <f aca="false">IF($B66="","",الموظفون!$E66)</f>
        <v/>
      </c>
      <c r="F66" s="114" t="str">
        <f aca="false">IF($B66="","",IF(AK66=0,IF(AND(الموظفون!$AE66&lt;&gt;"",الموظفون!$AE66&lt;$E$3),"✖ منتهي الخدمة","⏳ لم يباشر"),IF(S66&gt;0,"✈ راتب إجازة مقدم",IF(J66=0,"⛔ بدون راتب هذا الشهر",IF(I66&gt;0,"✈ خصم "&amp;ROUND(I66,2)&amp;" يوم بدون أجر",IF(AL66&gt;0,"🌴 إجازة سنوية "&amp;ROUND(AL66,2)&amp;" يوم",IF(H66&gt;0,"⚠ غياب "&amp;ROUND(H66,2)&amp;" يوم","✔ على رأس العمل")))))))</f>
        <v/>
      </c>
      <c r="G66" s="151" t="str">
        <f aca="false">IF($B66="","",IF(AK66&gt;=DAY($F$3),cfg_DAYS_M,MIN(AK66,cfg_DAYS_M)))</f>
        <v/>
      </c>
      <c r="H66" s="151" t="str">
        <f aca="false">IF($B66="","",SUMIFS('الحركات الشهرية'!$D$6:$D$1005,'الحركات الشهرية'!$B$6:$B$1005,$B66,'الحركات الشهرية'!$A$6:$A$1005,$C$3))</f>
        <v/>
      </c>
      <c r="I66" s="151" t="str">
        <f aca="false">IF($B66="","",MIN(G66,IF(AND(AK66&gt;0,AN66&gt;=AK66),G66,AN66)+SUMIFS('الحركات الشهرية'!$E$6:$E$1005,'الحركات الشهرية'!$B$6:$B$1005,$B66,'الحركات الشهرية'!$A$6:$A$1005,$C$3)))</f>
        <v/>
      </c>
      <c r="J66" s="151" t="str">
        <f aca="false">IF($B66="","",MAX(0,G66-H66-I66))</f>
        <v/>
      </c>
      <c r="K66" s="111" t="str">
        <f aca="false">IF($B66="","",الموظفون!$L66*$J66/cfg_DAYS_M)</f>
        <v/>
      </c>
      <c r="L66" s="111" t="str">
        <f aca="false">IF($B66="","",الموظفون!$M66*$J66/cfg_DAYS_M)</f>
        <v/>
      </c>
      <c r="M66" s="111" t="str">
        <f aca="false">IF($B66="","",الموظفون!$N66*$J66/cfg_DAYS_M)</f>
        <v/>
      </c>
      <c r="N66" s="111" t="str">
        <f aca="false">IF($B66="","",الموظفون!$O66*$J66/cfg_DAYS_M)</f>
        <v/>
      </c>
      <c r="O66" s="151" t="str">
        <f aca="false">IF($B66="","",SUMIFS('الحركات الشهرية'!$F$6:$F$1005,'الحركات الشهرية'!$B$6:$B$1005,$B66,'الحركات الشهرية'!$A$6:$A$1005,$C$3))</f>
        <v/>
      </c>
      <c r="P66" s="111" t="str">
        <f aca="false">IF($B66="","",O66*(الموظفون!$P66+الموظفون!$L66*cfg_OT_P)/cfg_DAYS_M/cfg_HRS)</f>
        <v/>
      </c>
      <c r="Q66" s="111" t="str">
        <f aca="false">IF($B66="","",SUMIFS('الحركات الشهرية'!$G$6:$G$1005,'الحركات الشهرية'!$B$6:$B$1005,$B66,'الحركات الشهرية'!$A$6:$A$1005,$C$3))</f>
        <v/>
      </c>
      <c r="R66" s="111" t="str">
        <f aca="false">IF($B66="","",SUMIFS('الحركات الشهرية'!$H$6:$H$1005,'الحركات الشهرية'!$B$6:$B$1005,$B66,'الحركات الشهرية'!$A$6:$A$1005,$C$3))</f>
        <v/>
      </c>
      <c r="S66" s="111" t="str">
        <f aca="false">IF($B66="","",SUMIFS('سجل الإجازات والحالات'!$N$6:$N$505,'سجل الإجازات والحالات'!$B$6:$B$505,$B66,'سجل الإجازات والحالات'!$O$6:$O$505,$C$3))</f>
        <v/>
      </c>
      <c r="T66" s="152" t="str">
        <f aca="false">IF($B66="","",SUM(K66:N66)+SUM(P66:S66))</f>
        <v/>
      </c>
      <c r="U66" s="111" t="str">
        <f aca="false">IF($B66="","",الموظفون!$S66*IF(E66="سعودي",cfg_G_SE,cfg_G_NE)*G66/cfg_DAYS_M)</f>
        <v/>
      </c>
      <c r="V66" s="111" t="str">
        <f aca="false">IF($B66="","",SUMIFS('الحركات الشهرية'!$I$6:$I$1005,'الحركات الشهرية'!$B$6:$B$1005,$B66,'الحركات الشهرية'!$A$6:$A$1005,$C$3))</f>
        <v/>
      </c>
      <c r="W66" s="111" t="str">
        <f aca="false">IF($B66="","",SUMIFS('الحركات الشهرية'!$J$6:$J$1005,'الحركات الشهرية'!$B$6:$B$1005,$B66,'الحركات الشهرية'!$A$6:$A$1005,$C$3))</f>
        <v/>
      </c>
      <c r="X66" s="111" t="str">
        <f aca="false">IF($B66="","",SUM(U66:W66))</f>
        <v/>
      </c>
      <c r="Y66" s="153" t="str">
        <f aca="false">IF($B66="","",T66-X66)</f>
        <v/>
      </c>
      <c r="Z66" s="111" t="str">
        <f aca="false">IF($B66="","",الموظفون!$S66*IF(E66="سعودي",cfg_G_SR,cfg_G_NR)*G66/cfg_DAYS_M)</f>
        <v/>
      </c>
      <c r="AA66" s="111" t="str">
        <f aca="false">IF($B66="","",الموظفون!$Q66*(cfg_EOS_R1*(MIN(AH66,cfg_EOS_TH)-MIN(AI66,cfg_EOS_TH))+cfg_EOS_R2*(MAX(AH66-cfg_EOS_TH,0)-MAX(AI66-cfg_EOS_TH,0))))</f>
        <v/>
      </c>
      <c r="AB66" s="111" t="str">
        <f aca="false">IF($B66="","",IF(الموظفون!$T66&lt;&gt;"",الموظفون!$T66,IF(AH66&gt;=cfg_LV_TH,cfg_LV_D2,cfg_LV_D1))/cfg_DAYS_Y*AJ66*الموظفون!$R66/cfg_DAYS_M)</f>
        <v/>
      </c>
      <c r="AC66" s="111" t="str">
        <f aca="false">IF($B66="","",IF(AND(الموظفون!$U66="نعم",N(الموظفون!$W66)&gt;0),الموظفون!$V66/الموظفون!$W66*12/cfg_DAYS_Y*AJ66,0))</f>
        <v/>
      </c>
      <c r="AD66" s="111" t="str">
        <f aca="false">IF($B66="","",(IF(الموظفون!$X66&lt;&gt;"",الموظفون!$X66,IF(الموظفون!$E66="غير سعودي",cfg_IQ,0))+IF(الموظفون!$Y66&lt;&gt;"",الموظفون!$Y66,IF(الموظفون!$E66="غير سعودي",cfg_WP,0)))/12*G66/cfg_DAYS_M)</f>
        <v/>
      </c>
      <c r="AE66" s="111" t="str">
        <f aca="false">IF($B66="","",IF(الموظفون!$Z66&lt;&gt;"",الموظفون!$Z66,cfg_MED)/12*G66/cfg_DAYS_M)</f>
        <v/>
      </c>
      <c r="AF66" s="111" t="str">
        <f aca="false">IF($B66="","",N(الموظفون!$AA66)/12*G66/cfg_DAYS_M)</f>
        <v/>
      </c>
      <c r="AG66" s="154" t="str">
        <f aca="false">IF($B66="","",T66+SUM(Z66:AF66))</f>
        <v/>
      </c>
      <c r="AH66" s="155" t="str">
        <f aca="false">IF($B66="","",MAX(0,IF(OR(الموظفون!$AE66="",الموظفون!$AE66&gt;$F$3),$F$3,الموظفون!$AE66)-الموظفون!$H66+1-SUMIFS('سجل الإجازات والحالات'!$AL$6:$AL$505,'سجل الإجازات والحالات'!$B$6:$B$505,$B66))/cfg_DAYS_Y)</f>
        <v/>
      </c>
      <c r="AI66" s="155" t="str">
        <f aca="false">IF($B66="","",MAX(0,IF(OR(الموظفون!$AE66="",الموظفون!$AE66&gt;($E$3-1)),($E$3-1),الموظفون!$AE66)-الموظفون!$H66+1-SUMIFS('سجل الإجازات والحالات'!$AK$6:$AK$505,'سجل الإجازات والحالات'!$B$6:$B$505,$B66))/cfg_DAYS_Y)</f>
        <v/>
      </c>
      <c r="AJ66" s="65" t="str">
        <f aca="false">IF($B66="","",MAX(0,AK66-(SUMIFS('سجل الإجازات والحالات'!$AL$6:$AL$505,'سجل الإجازات والحالات'!$B$6:$B$505,$B66)-SUMIFS('سجل الإجازات والحالات'!$AK$6:$AK$505,'سجل الإجازات والحالات'!$B$6:$B$505,$B66))))</f>
        <v/>
      </c>
      <c r="AK66" s="65" t="str">
        <f aca="false">IF($B66="","",MAX(0,IF(OR(الموظفون!$AE66="",الموظفون!$AE66&gt;$F$3),$F$3,الموظفون!$AE66)-MAX($E$3,الموظفون!$H66)+1))</f>
        <v/>
      </c>
      <c r="AL66" s="151" t="str">
        <f aca="false">IF($B66="","",SUMIFS('سجل الإجازات والحالات'!$AX$6:$AX$505,'سجل الإجازات والحالات'!$B$6:$B$505,$B66)+SUMIFS('الحركات الشهرية'!$K$6:$K$1005,'الحركات الشهرية'!$B$6:$B$1005,$B66,'الحركات الشهرية'!$A$6:$A$1005,$C$3))</f>
        <v/>
      </c>
      <c r="AM66" s="111" t="str">
        <f aca="false">IF($B66="","",AL66*الموظفون!$R66/cfg_DAYS_M+S66)</f>
        <v/>
      </c>
      <c r="AN66" s="151" t="str">
        <f aca="false">IF($B66="","",SUMIFS('سجل الإجازات والحالات'!$Z$6:$Z$505,'سجل الإجازات والحالات'!$B$6:$B$505,$B66))</f>
        <v/>
      </c>
    </row>
    <row r="67" customFormat="false" ht="15" hidden="false" customHeight="false" outlineLevel="0" collapsed="false">
      <c r="A67" s="115" t="str">
        <f aca="false">IF($B67="","",الموظفون!$A67)</f>
        <v/>
      </c>
      <c r="B67" s="117" t="str">
        <f aca="false">IF(الموظفون!$B67="","",الموظفون!$B67)</f>
        <v/>
      </c>
      <c r="C67" s="117" t="str">
        <f aca="false">IF($B67="","",الموظفون!$C67)</f>
        <v/>
      </c>
      <c r="D67" s="117" t="str">
        <f aca="false">IF($B67="","",الموظفون!$F67)</f>
        <v/>
      </c>
      <c r="E67" s="117" t="str">
        <f aca="false">IF($B67="","",الموظفون!$E67)</f>
        <v/>
      </c>
      <c r="F67" s="117" t="str">
        <f aca="false">IF($B67="","",IF(AK67=0,IF(AND(الموظفون!$AE67&lt;&gt;"",الموظفون!$AE67&lt;$E$3),"✖ منتهي الخدمة","⏳ لم يباشر"),IF(S67&gt;0,"✈ راتب إجازة مقدم",IF(J67=0,"⛔ بدون راتب هذا الشهر",IF(I67&gt;0,"✈ خصم "&amp;ROUND(I67,2)&amp;" يوم بدون أجر",IF(AL67&gt;0,"🌴 إجازة سنوية "&amp;ROUND(AL67,2)&amp;" يوم",IF(H67&gt;0,"⚠ غياب "&amp;ROUND(H67,2)&amp;" يوم","✔ على رأس العمل")))))))</f>
        <v/>
      </c>
      <c r="G67" s="156" t="str">
        <f aca="false">IF($B67="","",IF(AK67&gt;=DAY($F$3),cfg_DAYS_M,MIN(AK67,cfg_DAYS_M)))</f>
        <v/>
      </c>
      <c r="H67" s="156" t="str">
        <f aca="false">IF($B67="","",SUMIFS('الحركات الشهرية'!$D$6:$D$1005,'الحركات الشهرية'!$B$6:$B$1005,$B67,'الحركات الشهرية'!$A$6:$A$1005,$C$3))</f>
        <v/>
      </c>
      <c r="I67" s="156" t="str">
        <f aca="false">IF($B67="","",MIN(G67,IF(AND(AK67&gt;0,AN67&gt;=AK67),G67,AN67)+SUMIFS('الحركات الشهرية'!$E$6:$E$1005,'الحركات الشهرية'!$B$6:$B$1005,$B67,'الحركات الشهرية'!$A$6:$A$1005,$C$3)))</f>
        <v/>
      </c>
      <c r="J67" s="156" t="str">
        <f aca="false">IF($B67="","",MAX(0,G67-H67-I67))</f>
        <v/>
      </c>
      <c r="K67" s="116" t="str">
        <f aca="false">IF($B67="","",الموظفون!$L67*$J67/cfg_DAYS_M)</f>
        <v/>
      </c>
      <c r="L67" s="116" t="str">
        <f aca="false">IF($B67="","",الموظفون!$M67*$J67/cfg_DAYS_M)</f>
        <v/>
      </c>
      <c r="M67" s="116" t="str">
        <f aca="false">IF($B67="","",الموظفون!$N67*$J67/cfg_DAYS_M)</f>
        <v/>
      </c>
      <c r="N67" s="116" t="str">
        <f aca="false">IF($B67="","",الموظفون!$O67*$J67/cfg_DAYS_M)</f>
        <v/>
      </c>
      <c r="O67" s="156" t="str">
        <f aca="false">IF($B67="","",SUMIFS('الحركات الشهرية'!$F$6:$F$1005,'الحركات الشهرية'!$B$6:$B$1005,$B67,'الحركات الشهرية'!$A$6:$A$1005,$C$3))</f>
        <v/>
      </c>
      <c r="P67" s="116" t="str">
        <f aca="false">IF($B67="","",O67*(الموظفون!$P67+الموظفون!$L67*cfg_OT_P)/cfg_DAYS_M/cfg_HRS)</f>
        <v/>
      </c>
      <c r="Q67" s="116" t="str">
        <f aca="false">IF($B67="","",SUMIFS('الحركات الشهرية'!$G$6:$G$1005,'الحركات الشهرية'!$B$6:$B$1005,$B67,'الحركات الشهرية'!$A$6:$A$1005,$C$3))</f>
        <v/>
      </c>
      <c r="R67" s="116" t="str">
        <f aca="false">IF($B67="","",SUMIFS('الحركات الشهرية'!$H$6:$H$1005,'الحركات الشهرية'!$B$6:$B$1005,$B67,'الحركات الشهرية'!$A$6:$A$1005,$C$3))</f>
        <v/>
      </c>
      <c r="S67" s="116" t="str">
        <f aca="false">IF($B67="","",SUMIFS('سجل الإجازات والحالات'!$N$6:$N$505,'سجل الإجازات والحالات'!$B$6:$B$505,$B67,'سجل الإجازات والحالات'!$O$6:$O$505,$C$3))</f>
        <v/>
      </c>
      <c r="T67" s="157" t="str">
        <f aca="false">IF($B67="","",SUM(K67:N67)+SUM(P67:S67))</f>
        <v/>
      </c>
      <c r="U67" s="116" t="str">
        <f aca="false">IF($B67="","",الموظفون!$S67*IF(E67="سعودي",cfg_G_SE,cfg_G_NE)*G67/cfg_DAYS_M)</f>
        <v/>
      </c>
      <c r="V67" s="116" t="str">
        <f aca="false">IF($B67="","",SUMIFS('الحركات الشهرية'!$I$6:$I$1005,'الحركات الشهرية'!$B$6:$B$1005,$B67,'الحركات الشهرية'!$A$6:$A$1005,$C$3))</f>
        <v/>
      </c>
      <c r="W67" s="116" t="str">
        <f aca="false">IF($B67="","",SUMIFS('الحركات الشهرية'!$J$6:$J$1005,'الحركات الشهرية'!$B$6:$B$1005,$B67,'الحركات الشهرية'!$A$6:$A$1005,$C$3))</f>
        <v/>
      </c>
      <c r="X67" s="116" t="str">
        <f aca="false">IF($B67="","",SUM(U67:W67))</f>
        <v/>
      </c>
      <c r="Y67" s="158" t="str">
        <f aca="false">IF($B67="","",T67-X67)</f>
        <v/>
      </c>
      <c r="Z67" s="116" t="str">
        <f aca="false">IF($B67="","",الموظفون!$S67*IF(E67="سعودي",cfg_G_SR,cfg_G_NR)*G67/cfg_DAYS_M)</f>
        <v/>
      </c>
      <c r="AA67" s="116" t="str">
        <f aca="false">IF($B67="","",الموظفون!$Q67*(cfg_EOS_R1*(MIN(AH67,cfg_EOS_TH)-MIN(AI67,cfg_EOS_TH))+cfg_EOS_R2*(MAX(AH67-cfg_EOS_TH,0)-MAX(AI67-cfg_EOS_TH,0))))</f>
        <v/>
      </c>
      <c r="AB67" s="116" t="str">
        <f aca="false">IF($B67="","",IF(الموظفون!$T67&lt;&gt;"",الموظفون!$T67,IF(AH67&gt;=cfg_LV_TH,cfg_LV_D2,cfg_LV_D1))/cfg_DAYS_Y*AJ67*الموظفون!$R67/cfg_DAYS_M)</f>
        <v/>
      </c>
      <c r="AC67" s="116" t="str">
        <f aca="false">IF($B67="","",IF(AND(الموظفون!$U67="نعم",N(الموظفون!$W67)&gt;0),الموظفون!$V67/الموظفون!$W67*12/cfg_DAYS_Y*AJ67,0))</f>
        <v/>
      </c>
      <c r="AD67" s="116" t="str">
        <f aca="false">IF($B67="","",(IF(الموظفون!$X67&lt;&gt;"",الموظفون!$X67,IF(الموظفون!$E67="غير سعودي",cfg_IQ,0))+IF(الموظفون!$Y67&lt;&gt;"",الموظفون!$Y67,IF(الموظفون!$E67="غير سعودي",cfg_WP,0)))/12*G67/cfg_DAYS_M)</f>
        <v/>
      </c>
      <c r="AE67" s="116" t="str">
        <f aca="false">IF($B67="","",IF(الموظفون!$Z67&lt;&gt;"",الموظفون!$Z67,cfg_MED)/12*G67/cfg_DAYS_M)</f>
        <v/>
      </c>
      <c r="AF67" s="116" t="str">
        <f aca="false">IF($B67="","",N(الموظفون!$AA67)/12*G67/cfg_DAYS_M)</f>
        <v/>
      </c>
      <c r="AG67" s="159" t="str">
        <f aca="false">IF($B67="","",T67+SUM(Z67:AF67))</f>
        <v/>
      </c>
      <c r="AH67" s="160" t="str">
        <f aca="false">IF($B67="","",MAX(0,IF(OR(الموظفون!$AE67="",الموظفون!$AE67&gt;$F$3),$F$3,الموظفون!$AE67)-الموظفون!$H67+1-SUMIFS('سجل الإجازات والحالات'!$AL$6:$AL$505,'سجل الإجازات والحالات'!$B$6:$B$505,$B67))/cfg_DAYS_Y)</f>
        <v/>
      </c>
      <c r="AI67" s="160" t="str">
        <f aca="false">IF($B67="","",MAX(0,IF(OR(الموظفون!$AE67="",الموظفون!$AE67&gt;($E$3-1)),($E$3-1),الموظفون!$AE67)-الموظفون!$H67+1-SUMIFS('سجل الإجازات والحالات'!$AK$6:$AK$505,'سجل الإجازات والحالات'!$B$6:$B$505,$B67))/cfg_DAYS_Y)</f>
        <v/>
      </c>
      <c r="AJ67" s="133" t="str">
        <f aca="false">IF($B67="","",MAX(0,AK67-(SUMIFS('سجل الإجازات والحالات'!$AL$6:$AL$505,'سجل الإجازات والحالات'!$B$6:$B$505,$B67)-SUMIFS('سجل الإجازات والحالات'!$AK$6:$AK$505,'سجل الإجازات والحالات'!$B$6:$B$505,$B67))))</f>
        <v/>
      </c>
      <c r="AK67" s="133" t="str">
        <f aca="false">IF($B67="","",MAX(0,IF(OR(الموظفون!$AE67="",الموظفون!$AE67&gt;$F$3),$F$3,الموظفون!$AE67)-MAX($E$3,الموظفون!$H67)+1))</f>
        <v/>
      </c>
      <c r="AL67" s="156" t="str">
        <f aca="false">IF($B67="","",SUMIFS('سجل الإجازات والحالات'!$AX$6:$AX$505,'سجل الإجازات والحالات'!$B$6:$B$505,$B67)+SUMIFS('الحركات الشهرية'!$K$6:$K$1005,'الحركات الشهرية'!$B$6:$B$1005,$B67,'الحركات الشهرية'!$A$6:$A$1005,$C$3))</f>
        <v/>
      </c>
      <c r="AM67" s="116" t="str">
        <f aca="false">IF($B67="","",AL67*الموظفون!$R67/cfg_DAYS_M+S67)</f>
        <v/>
      </c>
      <c r="AN67" s="156" t="str">
        <f aca="false">IF($B67="","",SUMIFS('سجل الإجازات والحالات'!$Z$6:$Z$505,'سجل الإجازات والحالات'!$B$6:$B$505,$B67))</f>
        <v/>
      </c>
    </row>
    <row r="68" customFormat="false" ht="15" hidden="false" customHeight="false" outlineLevel="0" collapsed="false">
      <c r="A68" s="106" t="str">
        <f aca="false">IF($B68="","",الموظفون!$A68)</f>
        <v/>
      </c>
      <c r="B68" s="114" t="str">
        <f aca="false">IF(الموظفون!$B68="","",الموظفون!$B68)</f>
        <v/>
      </c>
      <c r="C68" s="114" t="str">
        <f aca="false">IF($B68="","",الموظفون!$C68)</f>
        <v/>
      </c>
      <c r="D68" s="114" t="str">
        <f aca="false">IF($B68="","",الموظفون!$F68)</f>
        <v/>
      </c>
      <c r="E68" s="114" t="str">
        <f aca="false">IF($B68="","",الموظفون!$E68)</f>
        <v/>
      </c>
      <c r="F68" s="114" t="str">
        <f aca="false">IF($B68="","",IF(AK68=0,IF(AND(الموظفون!$AE68&lt;&gt;"",الموظفون!$AE68&lt;$E$3),"✖ منتهي الخدمة","⏳ لم يباشر"),IF(S68&gt;0,"✈ راتب إجازة مقدم",IF(J68=0,"⛔ بدون راتب هذا الشهر",IF(I68&gt;0,"✈ خصم "&amp;ROUND(I68,2)&amp;" يوم بدون أجر",IF(AL68&gt;0,"🌴 إجازة سنوية "&amp;ROUND(AL68,2)&amp;" يوم",IF(H68&gt;0,"⚠ غياب "&amp;ROUND(H68,2)&amp;" يوم","✔ على رأس العمل")))))))</f>
        <v/>
      </c>
      <c r="G68" s="151" t="str">
        <f aca="false">IF($B68="","",IF(AK68&gt;=DAY($F$3),cfg_DAYS_M,MIN(AK68,cfg_DAYS_M)))</f>
        <v/>
      </c>
      <c r="H68" s="151" t="str">
        <f aca="false">IF($B68="","",SUMIFS('الحركات الشهرية'!$D$6:$D$1005,'الحركات الشهرية'!$B$6:$B$1005,$B68,'الحركات الشهرية'!$A$6:$A$1005,$C$3))</f>
        <v/>
      </c>
      <c r="I68" s="151" t="str">
        <f aca="false">IF($B68="","",MIN(G68,IF(AND(AK68&gt;0,AN68&gt;=AK68),G68,AN68)+SUMIFS('الحركات الشهرية'!$E$6:$E$1005,'الحركات الشهرية'!$B$6:$B$1005,$B68,'الحركات الشهرية'!$A$6:$A$1005,$C$3)))</f>
        <v/>
      </c>
      <c r="J68" s="151" t="str">
        <f aca="false">IF($B68="","",MAX(0,G68-H68-I68))</f>
        <v/>
      </c>
      <c r="K68" s="111" t="str">
        <f aca="false">IF($B68="","",الموظفون!$L68*$J68/cfg_DAYS_M)</f>
        <v/>
      </c>
      <c r="L68" s="111" t="str">
        <f aca="false">IF($B68="","",الموظفون!$M68*$J68/cfg_DAYS_M)</f>
        <v/>
      </c>
      <c r="M68" s="111" t="str">
        <f aca="false">IF($B68="","",الموظفون!$N68*$J68/cfg_DAYS_M)</f>
        <v/>
      </c>
      <c r="N68" s="111" t="str">
        <f aca="false">IF($B68="","",الموظفون!$O68*$J68/cfg_DAYS_M)</f>
        <v/>
      </c>
      <c r="O68" s="151" t="str">
        <f aca="false">IF($B68="","",SUMIFS('الحركات الشهرية'!$F$6:$F$1005,'الحركات الشهرية'!$B$6:$B$1005,$B68,'الحركات الشهرية'!$A$6:$A$1005,$C$3))</f>
        <v/>
      </c>
      <c r="P68" s="111" t="str">
        <f aca="false">IF($B68="","",O68*(الموظفون!$P68+الموظفون!$L68*cfg_OT_P)/cfg_DAYS_M/cfg_HRS)</f>
        <v/>
      </c>
      <c r="Q68" s="111" t="str">
        <f aca="false">IF($B68="","",SUMIFS('الحركات الشهرية'!$G$6:$G$1005,'الحركات الشهرية'!$B$6:$B$1005,$B68,'الحركات الشهرية'!$A$6:$A$1005,$C$3))</f>
        <v/>
      </c>
      <c r="R68" s="111" t="str">
        <f aca="false">IF($B68="","",SUMIFS('الحركات الشهرية'!$H$6:$H$1005,'الحركات الشهرية'!$B$6:$B$1005,$B68,'الحركات الشهرية'!$A$6:$A$1005,$C$3))</f>
        <v/>
      </c>
      <c r="S68" s="111" t="str">
        <f aca="false">IF($B68="","",SUMIFS('سجل الإجازات والحالات'!$N$6:$N$505,'سجل الإجازات والحالات'!$B$6:$B$505,$B68,'سجل الإجازات والحالات'!$O$6:$O$505,$C$3))</f>
        <v/>
      </c>
      <c r="T68" s="152" t="str">
        <f aca="false">IF($B68="","",SUM(K68:N68)+SUM(P68:S68))</f>
        <v/>
      </c>
      <c r="U68" s="111" t="str">
        <f aca="false">IF($B68="","",الموظفون!$S68*IF(E68="سعودي",cfg_G_SE,cfg_G_NE)*G68/cfg_DAYS_M)</f>
        <v/>
      </c>
      <c r="V68" s="111" t="str">
        <f aca="false">IF($B68="","",SUMIFS('الحركات الشهرية'!$I$6:$I$1005,'الحركات الشهرية'!$B$6:$B$1005,$B68,'الحركات الشهرية'!$A$6:$A$1005,$C$3))</f>
        <v/>
      </c>
      <c r="W68" s="111" t="str">
        <f aca="false">IF($B68="","",SUMIFS('الحركات الشهرية'!$J$6:$J$1005,'الحركات الشهرية'!$B$6:$B$1005,$B68,'الحركات الشهرية'!$A$6:$A$1005,$C$3))</f>
        <v/>
      </c>
      <c r="X68" s="111" t="str">
        <f aca="false">IF($B68="","",SUM(U68:W68))</f>
        <v/>
      </c>
      <c r="Y68" s="153" t="str">
        <f aca="false">IF($B68="","",T68-X68)</f>
        <v/>
      </c>
      <c r="Z68" s="111" t="str">
        <f aca="false">IF($B68="","",الموظفون!$S68*IF(E68="سعودي",cfg_G_SR,cfg_G_NR)*G68/cfg_DAYS_M)</f>
        <v/>
      </c>
      <c r="AA68" s="111" t="str">
        <f aca="false">IF($B68="","",الموظفون!$Q68*(cfg_EOS_R1*(MIN(AH68,cfg_EOS_TH)-MIN(AI68,cfg_EOS_TH))+cfg_EOS_R2*(MAX(AH68-cfg_EOS_TH,0)-MAX(AI68-cfg_EOS_TH,0))))</f>
        <v/>
      </c>
      <c r="AB68" s="111" t="str">
        <f aca="false">IF($B68="","",IF(الموظفون!$T68&lt;&gt;"",الموظفون!$T68,IF(AH68&gt;=cfg_LV_TH,cfg_LV_D2,cfg_LV_D1))/cfg_DAYS_Y*AJ68*الموظفون!$R68/cfg_DAYS_M)</f>
        <v/>
      </c>
      <c r="AC68" s="111" t="str">
        <f aca="false">IF($B68="","",IF(AND(الموظفون!$U68="نعم",N(الموظفون!$W68)&gt;0),الموظفون!$V68/الموظفون!$W68*12/cfg_DAYS_Y*AJ68,0))</f>
        <v/>
      </c>
      <c r="AD68" s="111" t="str">
        <f aca="false">IF($B68="","",(IF(الموظفون!$X68&lt;&gt;"",الموظفون!$X68,IF(الموظفون!$E68="غير سعودي",cfg_IQ,0))+IF(الموظفون!$Y68&lt;&gt;"",الموظفون!$Y68,IF(الموظفون!$E68="غير سعودي",cfg_WP,0)))/12*G68/cfg_DAYS_M)</f>
        <v/>
      </c>
      <c r="AE68" s="111" t="str">
        <f aca="false">IF($B68="","",IF(الموظفون!$Z68&lt;&gt;"",الموظفون!$Z68,cfg_MED)/12*G68/cfg_DAYS_M)</f>
        <v/>
      </c>
      <c r="AF68" s="111" t="str">
        <f aca="false">IF($B68="","",N(الموظفون!$AA68)/12*G68/cfg_DAYS_M)</f>
        <v/>
      </c>
      <c r="AG68" s="154" t="str">
        <f aca="false">IF($B68="","",T68+SUM(Z68:AF68))</f>
        <v/>
      </c>
      <c r="AH68" s="155" t="str">
        <f aca="false">IF($B68="","",MAX(0,IF(OR(الموظفون!$AE68="",الموظفون!$AE68&gt;$F$3),$F$3,الموظفون!$AE68)-الموظفون!$H68+1-SUMIFS('سجل الإجازات والحالات'!$AL$6:$AL$505,'سجل الإجازات والحالات'!$B$6:$B$505,$B68))/cfg_DAYS_Y)</f>
        <v/>
      </c>
      <c r="AI68" s="155" t="str">
        <f aca="false">IF($B68="","",MAX(0,IF(OR(الموظفون!$AE68="",الموظفون!$AE68&gt;($E$3-1)),($E$3-1),الموظفون!$AE68)-الموظفون!$H68+1-SUMIFS('سجل الإجازات والحالات'!$AK$6:$AK$505,'سجل الإجازات والحالات'!$B$6:$B$505,$B68))/cfg_DAYS_Y)</f>
        <v/>
      </c>
      <c r="AJ68" s="65" t="str">
        <f aca="false">IF($B68="","",MAX(0,AK68-(SUMIFS('سجل الإجازات والحالات'!$AL$6:$AL$505,'سجل الإجازات والحالات'!$B$6:$B$505,$B68)-SUMIFS('سجل الإجازات والحالات'!$AK$6:$AK$505,'سجل الإجازات والحالات'!$B$6:$B$505,$B68))))</f>
        <v/>
      </c>
      <c r="AK68" s="65" t="str">
        <f aca="false">IF($B68="","",MAX(0,IF(OR(الموظفون!$AE68="",الموظفون!$AE68&gt;$F$3),$F$3,الموظفون!$AE68)-MAX($E$3,الموظفون!$H68)+1))</f>
        <v/>
      </c>
      <c r="AL68" s="151" t="str">
        <f aca="false">IF($B68="","",SUMIFS('سجل الإجازات والحالات'!$AX$6:$AX$505,'سجل الإجازات والحالات'!$B$6:$B$505,$B68)+SUMIFS('الحركات الشهرية'!$K$6:$K$1005,'الحركات الشهرية'!$B$6:$B$1005,$B68,'الحركات الشهرية'!$A$6:$A$1005,$C$3))</f>
        <v/>
      </c>
      <c r="AM68" s="111" t="str">
        <f aca="false">IF($B68="","",AL68*الموظفون!$R68/cfg_DAYS_M+S68)</f>
        <v/>
      </c>
      <c r="AN68" s="151" t="str">
        <f aca="false">IF($B68="","",SUMIFS('سجل الإجازات والحالات'!$Z$6:$Z$505,'سجل الإجازات والحالات'!$B$6:$B$505,$B68))</f>
        <v/>
      </c>
    </row>
    <row r="69" customFormat="false" ht="15" hidden="false" customHeight="false" outlineLevel="0" collapsed="false">
      <c r="A69" s="115" t="str">
        <f aca="false">IF($B69="","",الموظفون!$A69)</f>
        <v/>
      </c>
      <c r="B69" s="117" t="str">
        <f aca="false">IF(الموظفون!$B69="","",الموظفون!$B69)</f>
        <v/>
      </c>
      <c r="C69" s="117" t="str">
        <f aca="false">IF($B69="","",الموظفون!$C69)</f>
        <v/>
      </c>
      <c r="D69" s="117" t="str">
        <f aca="false">IF($B69="","",الموظفون!$F69)</f>
        <v/>
      </c>
      <c r="E69" s="117" t="str">
        <f aca="false">IF($B69="","",الموظفون!$E69)</f>
        <v/>
      </c>
      <c r="F69" s="117" t="str">
        <f aca="false">IF($B69="","",IF(AK69=0,IF(AND(الموظفون!$AE69&lt;&gt;"",الموظفون!$AE69&lt;$E$3),"✖ منتهي الخدمة","⏳ لم يباشر"),IF(S69&gt;0,"✈ راتب إجازة مقدم",IF(J69=0,"⛔ بدون راتب هذا الشهر",IF(I69&gt;0,"✈ خصم "&amp;ROUND(I69,2)&amp;" يوم بدون أجر",IF(AL69&gt;0,"🌴 إجازة سنوية "&amp;ROUND(AL69,2)&amp;" يوم",IF(H69&gt;0,"⚠ غياب "&amp;ROUND(H69,2)&amp;" يوم","✔ على رأس العمل")))))))</f>
        <v/>
      </c>
      <c r="G69" s="156" t="str">
        <f aca="false">IF($B69="","",IF(AK69&gt;=DAY($F$3),cfg_DAYS_M,MIN(AK69,cfg_DAYS_M)))</f>
        <v/>
      </c>
      <c r="H69" s="156" t="str">
        <f aca="false">IF($B69="","",SUMIFS('الحركات الشهرية'!$D$6:$D$1005,'الحركات الشهرية'!$B$6:$B$1005,$B69,'الحركات الشهرية'!$A$6:$A$1005,$C$3))</f>
        <v/>
      </c>
      <c r="I69" s="156" t="str">
        <f aca="false">IF($B69="","",MIN(G69,IF(AND(AK69&gt;0,AN69&gt;=AK69),G69,AN69)+SUMIFS('الحركات الشهرية'!$E$6:$E$1005,'الحركات الشهرية'!$B$6:$B$1005,$B69,'الحركات الشهرية'!$A$6:$A$1005,$C$3)))</f>
        <v/>
      </c>
      <c r="J69" s="156" t="str">
        <f aca="false">IF($B69="","",MAX(0,G69-H69-I69))</f>
        <v/>
      </c>
      <c r="K69" s="116" t="str">
        <f aca="false">IF($B69="","",الموظفون!$L69*$J69/cfg_DAYS_M)</f>
        <v/>
      </c>
      <c r="L69" s="116" t="str">
        <f aca="false">IF($B69="","",الموظفون!$M69*$J69/cfg_DAYS_M)</f>
        <v/>
      </c>
      <c r="M69" s="116" t="str">
        <f aca="false">IF($B69="","",الموظفون!$N69*$J69/cfg_DAYS_M)</f>
        <v/>
      </c>
      <c r="N69" s="116" t="str">
        <f aca="false">IF($B69="","",الموظفون!$O69*$J69/cfg_DAYS_M)</f>
        <v/>
      </c>
      <c r="O69" s="156" t="str">
        <f aca="false">IF($B69="","",SUMIFS('الحركات الشهرية'!$F$6:$F$1005,'الحركات الشهرية'!$B$6:$B$1005,$B69,'الحركات الشهرية'!$A$6:$A$1005,$C$3))</f>
        <v/>
      </c>
      <c r="P69" s="116" t="str">
        <f aca="false">IF($B69="","",O69*(الموظفون!$P69+الموظفون!$L69*cfg_OT_P)/cfg_DAYS_M/cfg_HRS)</f>
        <v/>
      </c>
      <c r="Q69" s="116" t="str">
        <f aca="false">IF($B69="","",SUMIFS('الحركات الشهرية'!$G$6:$G$1005,'الحركات الشهرية'!$B$6:$B$1005,$B69,'الحركات الشهرية'!$A$6:$A$1005,$C$3))</f>
        <v/>
      </c>
      <c r="R69" s="116" t="str">
        <f aca="false">IF($B69="","",SUMIFS('الحركات الشهرية'!$H$6:$H$1005,'الحركات الشهرية'!$B$6:$B$1005,$B69,'الحركات الشهرية'!$A$6:$A$1005,$C$3))</f>
        <v/>
      </c>
      <c r="S69" s="116" t="str">
        <f aca="false">IF($B69="","",SUMIFS('سجل الإجازات والحالات'!$N$6:$N$505,'سجل الإجازات والحالات'!$B$6:$B$505,$B69,'سجل الإجازات والحالات'!$O$6:$O$505,$C$3))</f>
        <v/>
      </c>
      <c r="T69" s="157" t="str">
        <f aca="false">IF($B69="","",SUM(K69:N69)+SUM(P69:S69))</f>
        <v/>
      </c>
      <c r="U69" s="116" t="str">
        <f aca="false">IF($B69="","",الموظفون!$S69*IF(E69="سعودي",cfg_G_SE,cfg_G_NE)*G69/cfg_DAYS_M)</f>
        <v/>
      </c>
      <c r="V69" s="116" t="str">
        <f aca="false">IF($B69="","",SUMIFS('الحركات الشهرية'!$I$6:$I$1005,'الحركات الشهرية'!$B$6:$B$1005,$B69,'الحركات الشهرية'!$A$6:$A$1005,$C$3))</f>
        <v/>
      </c>
      <c r="W69" s="116" t="str">
        <f aca="false">IF($B69="","",SUMIFS('الحركات الشهرية'!$J$6:$J$1005,'الحركات الشهرية'!$B$6:$B$1005,$B69,'الحركات الشهرية'!$A$6:$A$1005,$C$3))</f>
        <v/>
      </c>
      <c r="X69" s="116" t="str">
        <f aca="false">IF($B69="","",SUM(U69:W69))</f>
        <v/>
      </c>
      <c r="Y69" s="158" t="str">
        <f aca="false">IF($B69="","",T69-X69)</f>
        <v/>
      </c>
      <c r="Z69" s="116" t="str">
        <f aca="false">IF($B69="","",الموظفون!$S69*IF(E69="سعودي",cfg_G_SR,cfg_G_NR)*G69/cfg_DAYS_M)</f>
        <v/>
      </c>
      <c r="AA69" s="116" t="str">
        <f aca="false">IF($B69="","",الموظفون!$Q69*(cfg_EOS_R1*(MIN(AH69,cfg_EOS_TH)-MIN(AI69,cfg_EOS_TH))+cfg_EOS_R2*(MAX(AH69-cfg_EOS_TH,0)-MAX(AI69-cfg_EOS_TH,0))))</f>
        <v/>
      </c>
      <c r="AB69" s="116" t="str">
        <f aca="false">IF($B69="","",IF(الموظفون!$T69&lt;&gt;"",الموظفون!$T69,IF(AH69&gt;=cfg_LV_TH,cfg_LV_D2,cfg_LV_D1))/cfg_DAYS_Y*AJ69*الموظفون!$R69/cfg_DAYS_M)</f>
        <v/>
      </c>
      <c r="AC69" s="116" t="str">
        <f aca="false">IF($B69="","",IF(AND(الموظفون!$U69="نعم",N(الموظفون!$W69)&gt;0),الموظفون!$V69/الموظفون!$W69*12/cfg_DAYS_Y*AJ69,0))</f>
        <v/>
      </c>
      <c r="AD69" s="116" t="str">
        <f aca="false">IF($B69="","",(IF(الموظفون!$X69&lt;&gt;"",الموظفون!$X69,IF(الموظفون!$E69="غير سعودي",cfg_IQ,0))+IF(الموظفون!$Y69&lt;&gt;"",الموظفون!$Y69,IF(الموظفون!$E69="غير سعودي",cfg_WP,0)))/12*G69/cfg_DAYS_M)</f>
        <v/>
      </c>
      <c r="AE69" s="116" t="str">
        <f aca="false">IF($B69="","",IF(الموظفون!$Z69&lt;&gt;"",الموظفون!$Z69,cfg_MED)/12*G69/cfg_DAYS_M)</f>
        <v/>
      </c>
      <c r="AF69" s="116" t="str">
        <f aca="false">IF($B69="","",N(الموظفون!$AA69)/12*G69/cfg_DAYS_M)</f>
        <v/>
      </c>
      <c r="AG69" s="159" t="str">
        <f aca="false">IF($B69="","",T69+SUM(Z69:AF69))</f>
        <v/>
      </c>
      <c r="AH69" s="160" t="str">
        <f aca="false">IF($B69="","",MAX(0,IF(OR(الموظفون!$AE69="",الموظفون!$AE69&gt;$F$3),$F$3,الموظفون!$AE69)-الموظفون!$H69+1-SUMIFS('سجل الإجازات والحالات'!$AL$6:$AL$505,'سجل الإجازات والحالات'!$B$6:$B$505,$B69))/cfg_DAYS_Y)</f>
        <v/>
      </c>
      <c r="AI69" s="160" t="str">
        <f aca="false">IF($B69="","",MAX(0,IF(OR(الموظفون!$AE69="",الموظفون!$AE69&gt;($E$3-1)),($E$3-1),الموظفون!$AE69)-الموظفون!$H69+1-SUMIFS('سجل الإجازات والحالات'!$AK$6:$AK$505,'سجل الإجازات والحالات'!$B$6:$B$505,$B69))/cfg_DAYS_Y)</f>
        <v/>
      </c>
      <c r="AJ69" s="133" t="str">
        <f aca="false">IF($B69="","",MAX(0,AK69-(SUMIFS('سجل الإجازات والحالات'!$AL$6:$AL$505,'سجل الإجازات والحالات'!$B$6:$B$505,$B69)-SUMIFS('سجل الإجازات والحالات'!$AK$6:$AK$505,'سجل الإجازات والحالات'!$B$6:$B$505,$B69))))</f>
        <v/>
      </c>
      <c r="AK69" s="133" t="str">
        <f aca="false">IF($B69="","",MAX(0,IF(OR(الموظفون!$AE69="",الموظفون!$AE69&gt;$F$3),$F$3,الموظفون!$AE69)-MAX($E$3,الموظفون!$H69)+1))</f>
        <v/>
      </c>
      <c r="AL69" s="156" t="str">
        <f aca="false">IF($B69="","",SUMIFS('سجل الإجازات والحالات'!$AX$6:$AX$505,'سجل الإجازات والحالات'!$B$6:$B$505,$B69)+SUMIFS('الحركات الشهرية'!$K$6:$K$1005,'الحركات الشهرية'!$B$6:$B$1005,$B69,'الحركات الشهرية'!$A$6:$A$1005,$C$3))</f>
        <v/>
      </c>
      <c r="AM69" s="116" t="str">
        <f aca="false">IF($B69="","",AL69*الموظفون!$R69/cfg_DAYS_M+S69)</f>
        <v/>
      </c>
      <c r="AN69" s="156" t="str">
        <f aca="false">IF($B69="","",SUMIFS('سجل الإجازات والحالات'!$Z$6:$Z$505,'سجل الإجازات والحالات'!$B$6:$B$505,$B69))</f>
        <v/>
      </c>
    </row>
    <row r="70" customFormat="false" ht="15" hidden="false" customHeight="false" outlineLevel="0" collapsed="false">
      <c r="A70" s="106" t="str">
        <f aca="false">IF($B70="","",الموظفون!$A70)</f>
        <v/>
      </c>
      <c r="B70" s="114" t="str">
        <f aca="false">IF(الموظفون!$B70="","",الموظفون!$B70)</f>
        <v/>
      </c>
      <c r="C70" s="114" t="str">
        <f aca="false">IF($B70="","",الموظفون!$C70)</f>
        <v/>
      </c>
      <c r="D70" s="114" t="str">
        <f aca="false">IF($B70="","",الموظفون!$F70)</f>
        <v/>
      </c>
      <c r="E70" s="114" t="str">
        <f aca="false">IF($B70="","",الموظفون!$E70)</f>
        <v/>
      </c>
      <c r="F70" s="114" t="str">
        <f aca="false">IF($B70="","",IF(AK70=0,IF(AND(الموظفون!$AE70&lt;&gt;"",الموظفون!$AE70&lt;$E$3),"✖ منتهي الخدمة","⏳ لم يباشر"),IF(S70&gt;0,"✈ راتب إجازة مقدم",IF(J70=0,"⛔ بدون راتب هذا الشهر",IF(I70&gt;0,"✈ خصم "&amp;ROUND(I70,2)&amp;" يوم بدون أجر",IF(AL70&gt;0,"🌴 إجازة سنوية "&amp;ROUND(AL70,2)&amp;" يوم",IF(H70&gt;0,"⚠ غياب "&amp;ROUND(H70,2)&amp;" يوم","✔ على رأس العمل")))))))</f>
        <v/>
      </c>
      <c r="G70" s="151" t="str">
        <f aca="false">IF($B70="","",IF(AK70&gt;=DAY($F$3),cfg_DAYS_M,MIN(AK70,cfg_DAYS_M)))</f>
        <v/>
      </c>
      <c r="H70" s="151" t="str">
        <f aca="false">IF($B70="","",SUMIFS('الحركات الشهرية'!$D$6:$D$1005,'الحركات الشهرية'!$B$6:$B$1005,$B70,'الحركات الشهرية'!$A$6:$A$1005,$C$3))</f>
        <v/>
      </c>
      <c r="I70" s="151" t="str">
        <f aca="false">IF($B70="","",MIN(G70,IF(AND(AK70&gt;0,AN70&gt;=AK70),G70,AN70)+SUMIFS('الحركات الشهرية'!$E$6:$E$1005,'الحركات الشهرية'!$B$6:$B$1005,$B70,'الحركات الشهرية'!$A$6:$A$1005,$C$3)))</f>
        <v/>
      </c>
      <c r="J70" s="151" t="str">
        <f aca="false">IF($B70="","",MAX(0,G70-H70-I70))</f>
        <v/>
      </c>
      <c r="K70" s="111" t="str">
        <f aca="false">IF($B70="","",الموظفون!$L70*$J70/cfg_DAYS_M)</f>
        <v/>
      </c>
      <c r="L70" s="111" t="str">
        <f aca="false">IF($B70="","",الموظفون!$M70*$J70/cfg_DAYS_M)</f>
        <v/>
      </c>
      <c r="M70" s="111" t="str">
        <f aca="false">IF($B70="","",الموظفون!$N70*$J70/cfg_DAYS_M)</f>
        <v/>
      </c>
      <c r="N70" s="111" t="str">
        <f aca="false">IF($B70="","",الموظفون!$O70*$J70/cfg_DAYS_M)</f>
        <v/>
      </c>
      <c r="O70" s="151" t="str">
        <f aca="false">IF($B70="","",SUMIFS('الحركات الشهرية'!$F$6:$F$1005,'الحركات الشهرية'!$B$6:$B$1005,$B70,'الحركات الشهرية'!$A$6:$A$1005,$C$3))</f>
        <v/>
      </c>
      <c r="P70" s="111" t="str">
        <f aca="false">IF($B70="","",O70*(الموظفون!$P70+الموظفون!$L70*cfg_OT_P)/cfg_DAYS_M/cfg_HRS)</f>
        <v/>
      </c>
      <c r="Q70" s="111" t="str">
        <f aca="false">IF($B70="","",SUMIFS('الحركات الشهرية'!$G$6:$G$1005,'الحركات الشهرية'!$B$6:$B$1005,$B70,'الحركات الشهرية'!$A$6:$A$1005,$C$3))</f>
        <v/>
      </c>
      <c r="R70" s="111" t="str">
        <f aca="false">IF($B70="","",SUMIFS('الحركات الشهرية'!$H$6:$H$1005,'الحركات الشهرية'!$B$6:$B$1005,$B70,'الحركات الشهرية'!$A$6:$A$1005,$C$3))</f>
        <v/>
      </c>
      <c r="S70" s="111" t="str">
        <f aca="false">IF($B70="","",SUMIFS('سجل الإجازات والحالات'!$N$6:$N$505,'سجل الإجازات والحالات'!$B$6:$B$505,$B70,'سجل الإجازات والحالات'!$O$6:$O$505,$C$3))</f>
        <v/>
      </c>
      <c r="T70" s="152" t="str">
        <f aca="false">IF($B70="","",SUM(K70:N70)+SUM(P70:S70))</f>
        <v/>
      </c>
      <c r="U70" s="111" t="str">
        <f aca="false">IF($B70="","",الموظفون!$S70*IF(E70="سعودي",cfg_G_SE,cfg_G_NE)*G70/cfg_DAYS_M)</f>
        <v/>
      </c>
      <c r="V70" s="111" t="str">
        <f aca="false">IF($B70="","",SUMIFS('الحركات الشهرية'!$I$6:$I$1005,'الحركات الشهرية'!$B$6:$B$1005,$B70,'الحركات الشهرية'!$A$6:$A$1005,$C$3))</f>
        <v/>
      </c>
      <c r="W70" s="111" t="str">
        <f aca="false">IF($B70="","",SUMIFS('الحركات الشهرية'!$J$6:$J$1005,'الحركات الشهرية'!$B$6:$B$1005,$B70,'الحركات الشهرية'!$A$6:$A$1005,$C$3))</f>
        <v/>
      </c>
      <c r="X70" s="111" t="str">
        <f aca="false">IF($B70="","",SUM(U70:W70))</f>
        <v/>
      </c>
      <c r="Y70" s="153" t="str">
        <f aca="false">IF($B70="","",T70-X70)</f>
        <v/>
      </c>
      <c r="Z70" s="111" t="str">
        <f aca="false">IF($B70="","",الموظفون!$S70*IF(E70="سعودي",cfg_G_SR,cfg_G_NR)*G70/cfg_DAYS_M)</f>
        <v/>
      </c>
      <c r="AA70" s="111" t="str">
        <f aca="false">IF($B70="","",الموظفون!$Q70*(cfg_EOS_R1*(MIN(AH70,cfg_EOS_TH)-MIN(AI70,cfg_EOS_TH))+cfg_EOS_R2*(MAX(AH70-cfg_EOS_TH,0)-MAX(AI70-cfg_EOS_TH,0))))</f>
        <v/>
      </c>
      <c r="AB70" s="111" t="str">
        <f aca="false">IF($B70="","",IF(الموظفون!$T70&lt;&gt;"",الموظفون!$T70,IF(AH70&gt;=cfg_LV_TH,cfg_LV_D2,cfg_LV_D1))/cfg_DAYS_Y*AJ70*الموظفون!$R70/cfg_DAYS_M)</f>
        <v/>
      </c>
      <c r="AC70" s="111" t="str">
        <f aca="false">IF($B70="","",IF(AND(الموظفون!$U70="نعم",N(الموظفون!$W70)&gt;0),الموظفون!$V70/الموظفون!$W70*12/cfg_DAYS_Y*AJ70,0))</f>
        <v/>
      </c>
      <c r="AD70" s="111" t="str">
        <f aca="false">IF($B70="","",(IF(الموظفون!$X70&lt;&gt;"",الموظفون!$X70,IF(الموظفون!$E70="غير سعودي",cfg_IQ,0))+IF(الموظفون!$Y70&lt;&gt;"",الموظفون!$Y70,IF(الموظفون!$E70="غير سعودي",cfg_WP,0)))/12*G70/cfg_DAYS_M)</f>
        <v/>
      </c>
      <c r="AE70" s="111" t="str">
        <f aca="false">IF($B70="","",IF(الموظفون!$Z70&lt;&gt;"",الموظفون!$Z70,cfg_MED)/12*G70/cfg_DAYS_M)</f>
        <v/>
      </c>
      <c r="AF70" s="111" t="str">
        <f aca="false">IF($B70="","",N(الموظفون!$AA70)/12*G70/cfg_DAYS_M)</f>
        <v/>
      </c>
      <c r="AG70" s="154" t="str">
        <f aca="false">IF($B70="","",T70+SUM(Z70:AF70))</f>
        <v/>
      </c>
      <c r="AH70" s="155" t="str">
        <f aca="false">IF($B70="","",MAX(0,IF(OR(الموظفون!$AE70="",الموظفون!$AE70&gt;$F$3),$F$3,الموظفون!$AE70)-الموظفون!$H70+1-SUMIFS('سجل الإجازات والحالات'!$AL$6:$AL$505,'سجل الإجازات والحالات'!$B$6:$B$505,$B70))/cfg_DAYS_Y)</f>
        <v/>
      </c>
      <c r="AI70" s="155" t="str">
        <f aca="false">IF($B70="","",MAX(0,IF(OR(الموظفون!$AE70="",الموظفون!$AE70&gt;($E$3-1)),($E$3-1),الموظفون!$AE70)-الموظفون!$H70+1-SUMIFS('سجل الإجازات والحالات'!$AK$6:$AK$505,'سجل الإجازات والحالات'!$B$6:$B$505,$B70))/cfg_DAYS_Y)</f>
        <v/>
      </c>
      <c r="AJ70" s="65" t="str">
        <f aca="false">IF($B70="","",MAX(0,AK70-(SUMIFS('سجل الإجازات والحالات'!$AL$6:$AL$505,'سجل الإجازات والحالات'!$B$6:$B$505,$B70)-SUMIFS('سجل الإجازات والحالات'!$AK$6:$AK$505,'سجل الإجازات والحالات'!$B$6:$B$505,$B70))))</f>
        <v/>
      </c>
      <c r="AK70" s="65" t="str">
        <f aca="false">IF($B70="","",MAX(0,IF(OR(الموظفون!$AE70="",الموظفون!$AE70&gt;$F$3),$F$3,الموظفون!$AE70)-MAX($E$3,الموظفون!$H70)+1))</f>
        <v/>
      </c>
      <c r="AL70" s="151" t="str">
        <f aca="false">IF($B70="","",SUMIFS('سجل الإجازات والحالات'!$AX$6:$AX$505,'سجل الإجازات والحالات'!$B$6:$B$505,$B70)+SUMIFS('الحركات الشهرية'!$K$6:$K$1005,'الحركات الشهرية'!$B$6:$B$1005,$B70,'الحركات الشهرية'!$A$6:$A$1005,$C$3))</f>
        <v/>
      </c>
      <c r="AM70" s="111" t="str">
        <f aca="false">IF($B70="","",AL70*الموظفون!$R70/cfg_DAYS_M+S70)</f>
        <v/>
      </c>
      <c r="AN70" s="151" t="str">
        <f aca="false">IF($B70="","",SUMIFS('سجل الإجازات والحالات'!$Z$6:$Z$505,'سجل الإجازات والحالات'!$B$6:$B$505,$B70))</f>
        <v/>
      </c>
    </row>
    <row r="71" customFormat="false" ht="15" hidden="false" customHeight="false" outlineLevel="0" collapsed="false">
      <c r="A71" s="115" t="str">
        <f aca="false">IF($B71="","",الموظفون!$A71)</f>
        <v/>
      </c>
      <c r="B71" s="117" t="str">
        <f aca="false">IF(الموظفون!$B71="","",الموظفون!$B71)</f>
        <v/>
      </c>
      <c r="C71" s="117" t="str">
        <f aca="false">IF($B71="","",الموظفون!$C71)</f>
        <v/>
      </c>
      <c r="D71" s="117" t="str">
        <f aca="false">IF($B71="","",الموظفون!$F71)</f>
        <v/>
      </c>
      <c r="E71" s="117" t="str">
        <f aca="false">IF($B71="","",الموظفون!$E71)</f>
        <v/>
      </c>
      <c r="F71" s="117" t="str">
        <f aca="false">IF($B71="","",IF(AK71=0,IF(AND(الموظفون!$AE71&lt;&gt;"",الموظفون!$AE71&lt;$E$3),"✖ منتهي الخدمة","⏳ لم يباشر"),IF(S71&gt;0,"✈ راتب إجازة مقدم",IF(J71=0,"⛔ بدون راتب هذا الشهر",IF(I71&gt;0,"✈ خصم "&amp;ROUND(I71,2)&amp;" يوم بدون أجر",IF(AL71&gt;0,"🌴 إجازة سنوية "&amp;ROUND(AL71,2)&amp;" يوم",IF(H71&gt;0,"⚠ غياب "&amp;ROUND(H71,2)&amp;" يوم","✔ على رأس العمل")))))))</f>
        <v/>
      </c>
      <c r="G71" s="156" t="str">
        <f aca="false">IF($B71="","",IF(AK71&gt;=DAY($F$3),cfg_DAYS_M,MIN(AK71,cfg_DAYS_M)))</f>
        <v/>
      </c>
      <c r="H71" s="156" t="str">
        <f aca="false">IF($B71="","",SUMIFS('الحركات الشهرية'!$D$6:$D$1005,'الحركات الشهرية'!$B$6:$B$1005,$B71,'الحركات الشهرية'!$A$6:$A$1005,$C$3))</f>
        <v/>
      </c>
      <c r="I71" s="156" t="str">
        <f aca="false">IF($B71="","",MIN(G71,IF(AND(AK71&gt;0,AN71&gt;=AK71),G71,AN71)+SUMIFS('الحركات الشهرية'!$E$6:$E$1005,'الحركات الشهرية'!$B$6:$B$1005,$B71,'الحركات الشهرية'!$A$6:$A$1005,$C$3)))</f>
        <v/>
      </c>
      <c r="J71" s="156" t="str">
        <f aca="false">IF($B71="","",MAX(0,G71-H71-I71))</f>
        <v/>
      </c>
      <c r="K71" s="116" t="str">
        <f aca="false">IF($B71="","",الموظفون!$L71*$J71/cfg_DAYS_M)</f>
        <v/>
      </c>
      <c r="L71" s="116" t="str">
        <f aca="false">IF($B71="","",الموظفون!$M71*$J71/cfg_DAYS_M)</f>
        <v/>
      </c>
      <c r="M71" s="116" t="str">
        <f aca="false">IF($B71="","",الموظفون!$N71*$J71/cfg_DAYS_M)</f>
        <v/>
      </c>
      <c r="N71" s="116" t="str">
        <f aca="false">IF($B71="","",الموظفون!$O71*$J71/cfg_DAYS_M)</f>
        <v/>
      </c>
      <c r="O71" s="156" t="str">
        <f aca="false">IF($B71="","",SUMIFS('الحركات الشهرية'!$F$6:$F$1005,'الحركات الشهرية'!$B$6:$B$1005,$B71,'الحركات الشهرية'!$A$6:$A$1005,$C$3))</f>
        <v/>
      </c>
      <c r="P71" s="116" t="str">
        <f aca="false">IF($B71="","",O71*(الموظفون!$P71+الموظفون!$L71*cfg_OT_P)/cfg_DAYS_M/cfg_HRS)</f>
        <v/>
      </c>
      <c r="Q71" s="116" t="str">
        <f aca="false">IF($B71="","",SUMIFS('الحركات الشهرية'!$G$6:$G$1005,'الحركات الشهرية'!$B$6:$B$1005,$B71,'الحركات الشهرية'!$A$6:$A$1005,$C$3))</f>
        <v/>
      </c>
      <c r="R71" s="116" t="str">
        <f aca="false">IF($B71="","",SUMIFS('الحركات الشهرية'!$H$6:$H$1005,'الحركات الشهرية'!$B$6:$B$1005,$B71,'الحركات الشهرية'!$A$6:$A$1005,$C$3))</f>
        <v/>
      </c>
      <c r="S71" s="116" t="str">
        <f aca="false">IF($B71="","",SUMIFS('سجل الإجازات والحالات'!$N$6:$N$505,'سجل الإجازات والحالات'!$B$6:$B$505,$B71,'سجل الإجازات والحالات'!$O$6:$O$505,$C$3))</f>
        <v/>
      </c>
      <c r="T71" s="157" t="str">
        <f aca="false">IF($B71="","",SUM(K71:N71)+SUM(P71:S71))</f>
        <v/>
      </c>
      <c r="U71" s="116" t="str">
        <f aca="false">IF($B71="","",الموظفون!$S71*IF(E71="سعودي",cfg_G_SE,cfg_G_NE)*G71/cfg_DAYS_M)</f>
        <v/>
      </c>
      <c r="V71" s="116" t="str">
        <f aca="false">IF($B71="","",SUMIFS('الحركات الشهرية'!$I$6:$I$1005,'الحركات الشهرية'!$B$6:$B$1005,$B71,'الحركات الشهرية'!$A$6:$A$1005,$C$3))</f>
        <v/>
      </c>
      <c r="W71" s="116" t="str">
        <f aca="false">IF($B71="","",SUMIFS('الحركات الشهرية'!$J$6:$J$1005,'الحركات الشهرية'!$B$6:$B$1005,$B71,'الحركات الشهرية'!$A$6:$A$1005,$C$3))</f>
        <v/>
      </c>
      <c r="X71" s="116" t="str">
        <f aca="false">IF($B71="","",SUM(U71:W71))</f>
        <v/>
      </c>
      <c r="Y71" s="158" t="str">
        <f aca="false">IF($B71="","",T71-X71)</f>
        <v/>
      </c>
      <c r="Z71" s="116" t="str">
        <f aca="false">IF($B71="","",الموظفون!$S71*IF(E71="سعودي",cfg_G_SR,cfg_G_NR)*G71/cfg_DAYS_M)</f>
        <v/>
      </c>
      <c r="AA71" s="116" t="str">
        <f aca="false">IF($B71="","",الموظفون!$Q71*(cfg_EOS_R1*(MIN(AH71,cfg_EOS_TH)-MIN(AI71,cfg_EOS_TH))+cfg_EOS_R2*(MAX(AH71-cfg_EOS_TH,0)-MAX(AI71-cfg_EOS_TH,0))))</f>
        <v/>
      </c>
      <c r="AB71" s="116" t="str">
        <f aca="false">IF($B71="","",IF(الموظفون!$T71&lt;&gt;"",الموظفون!$T71,IF(AH71&gt;=cfg_LV_TH,cfg_LV_D2,cfg_LV_D1))/cfg_DAYS_Y*AJ71*الموظفون!$R71/cfg_DAYS_M)</f>
        <v/>
      </c>
      <c r="AC71" s="116" t="str">
        <f aca="false">IF($B71="","",IF(AND(الموظفون!$U71="نعم",N(الموظفون!$W71)&gt;0),الموظفون!$V71/الموظفون!$W71*12/cfg_DAYS_Y*AJ71,0))</f>
        <v/>
      </c>
      <c r="AD71" s="116" t="str">
        <f aca="false">IF($B71="","",(IF(الموظفون!$X71&lt;&gt;"",الموظفون!$X71,IF(الموظفون!$E71="غير سعودي",cfg_IQ,0))+IF(الموظفون!$Y71&lt;&gt;"",الموظفون!$Y71,IF(الموظفون!$E71="غير سعودي",cfg_WP,0)))/12*G71/cfg_DAYS_M)</f>
        <v/>
      </c>
      <c r="AE71" s="116" t="str">
        <f aca="false">IF($B71="","",IF(الموظفون!$Z71&lt;&gt;"",الموظفون!$Z71,cfg_MED)/12*G71/cfg_DAYS_M)</f>
        <v/>
      </c>
      <c r="AF71" s="116" t="str">
        <f aca="false">IF($B71="","",N(الموظفون!$AA71)/12*G71/cfg_DAYS_M)</f>
        <v/>
      </c>
      <c r="AG71" s="159" t="str">
        <f aca="false">IF($B71="","",T71+SUM(Z71:AF71))</f>
        <v/>
      </c>
      <c r="AH71" s="160" t="str">
        <f aca="false">IF($B71="","",MAX(0,IF(OR(الموظفون!$AE71="",الموظفون!$AE71&gt;$F$3),$F$3,الموظفون!$AE71)-الموظفون!$H71+1-SUMIFS('سجل الإجازات والحالات'!$AL$6:$AL$505,'سجل الإجازات والحالات'!$B$6:$B$505,$B71))/cfg_DAYS_Y)</f>
        <v/>
      </c>
      <c r="AI71" s="160" t="str">
        <f aca="false">IF($B71="","",MAX(0,IF(OR(الموظفون!$AE71="",الموظفون!$AE71&gt;($E$3-1)),($E$3-1),الموظفون!$AE71)-الموظفون!$H71+1-SUMIFS('سجل الإجازات والحالات'!$AK$6:$AK$505,'سجل الإجازات والحالات'!$B$6:$B$505,$B71))/cfg_DAYS_Y)</f>
        <v/>
      </c>
      <c r="AJ71" s="133" t="str">
        <f aca="false">IF($B71="","",MAX(0,AK71-(SUMIFS('سجل الإجازات والحالات'!$AL$6:$AL$505,'سجل الإجازات والحالات'!$B$6:$B$505,$B71)-SUMIFS('سجل الإجازات والحالات'!$AK$6:$AK$505,'سجل الإجازات والحالات'!$B$6:$B$505,$B71))))</f>
        <v/>
      </c>
      <c r="AK71" s="133" t="str">
        <f aca="false">IF($B71="","",MAX(0,IF(OR(الموظفون!$AE71="",الموظفون!$AE71&gt;$F$3),$F$3,الموظفون!$AE71)-MAX($E$3,الموظفون!$H71)+1))</f>
        <v/>
      </c>
      <c r="AL71" s="156" t="str">
        <f aca="false">IF($B71="","",SUMIFS('سجل الإجازات والحالات'!$AX$6:$AX$505,'سجل الإجازات والحالات'!$B$6:$B$505,$B71)+SUMIFS('الحركات الشهرية'!$K$6:$K$1005,'الحركات الشهرية'!$B$6:$B$1005,$B71,'الحركات الشهرية'!$A$6:$A$1005,$C$3))</f>
        <v/>
      </c>
      <c r="AM71" s="116" t="str">
        <f aca="false">IF($B71="","",AL71*الموظفون!$R71/cfg_DAYS_M+S71)</f>
        <v/>
      </c>
      <c r="AN71" s="156" t="str">
        <f aca="false">IF($B71="","",SUMIFS('سجل الإجازات والحالات'!$Z$6:$Z$505,'سجل الإجازات والحالات'!$B$6:$B$505,$B71))</f>
        <v/>
      </c>
    </row>
    <row r="72" customFormat="false" ht="15" hidden="false" customHeight="false" outlineLevel="0" collapsed="false">
      <c r="A72" s="106" t="str">
        <f aca="false">IF($B72="","",الموظفون!$A72)</f>
        <v/>
      </c>
      <c r="B72" s="114" t="str">
        <f aca="false">IF(الموظفون!$B72="","",الموظفون!$B72)</f>
        <v/>
      </c>
      <c r="C72" s="114" t="str">
        <f aca="false">IF($B72="","",الموظفون!$C72)</f>
        <v/>
      </c>
      <c r="D72" s="114" t="str">
        <f aca="false">IF($B72="","",الموظفون!$F72)</f>
        <v/>
      </c>
      <c r="E72" s="114" t="str">
        <f aca="false">IF($B72="","",الموظفون!$E72)</f>
        <v/>
      </c>
      <c r="F72" s="114" t="str">
        <f aca="false">IF($B72="","",IF(AK72=0,IF(AND(الموظفون!$AE72&lt;&gt;"",الموظفون!$AE72&lt;$E$3),"✖ منتهي الخدمة","⏳ لم يباشر"),IF(S72&gt;0,"✈ راتب إجازة مقدم",IF(J72=0,"⛔ بدون راتب هذا الشهر",IF(I72&gt;0,"✈ خصم "&amp;ROUND(I72,2)&amp;" يوم بدون أجر",IF(AL72&gt;0,"🌴 إجازة سنوية "&amp;ROUND(AL72,2)&amp;" يوم",IF(H72&gt;0,"⚠ غياب "&amp;ROUND(H72,2)&amp;" يوم","✔ على رأس العمل")))))))</f>
        <v/>
      </c>
      <c r="G72" s="151" t="str">
        <f aca="false">IF($B72="","",IF(AK72&gt;=DAY($F$3),cfg_DAYS_M,MIN(AK72,cfg_DAYS_M)))</f>
        <v/>
      </c>
      <c r="H72" s="151" t="str">
        <f aca="false">IF($B72="","",SUMIFS('الحركات الشهرية'!$D$6:$D$1005,'الحركات الشهرية'!$B$6:$B$1005,$B72,'الحركات الشهرية'!$A$6:$A$1005,$C$3))</f>
        <v/>
      </c>
      <c r="I72" s="151" t="str">
        <f aca="false">IF($B72="","",MIN(G72,IF(AND(AK72&gt;0,AN72&gt;=AK72),G72,AN72)+SUMIFS('الحركات الشهرية'!$E$6:$E$1005,'الحركات الشهرية'!$B$6:$B$1005,$B72,'الحركات الشهرية'!$A$6:$A$1005,$C$3)))</f>
        <v/>
      </c>
      <c r="J72" s="151" t="str">
        <f aca="false">IF($B72="","",MAX(0,G72-H72-I72))</f>
        <v/>
      </c>
      <c r="K72" s="111" t="str">
        <f aca="false">IF($B72="","",الموظفون!$L72*$J72/cfg_DAYS_M)</f>
        <v/>
      </c>
      <c r="L72" s="111" t="str">
        <f aca="false">IF($B72="","",الموظفون!$M72*$J72/cfg_DAYS_M)</f>
        <v/>
      </c>
      <c r="M72" s="111" t="str">
        <f aca="false">IF($B72="","",الموظفون!$N72*$J72/cfg_DAYS_M)</f>
        <v/>
      </c>
      <c r="N72" s="111" t="str">
        <f aca="false">IF($B72="","",الموظفون!$O72*$J72/cfg_DAYS_M)</f>
        <v/>
      </c>
      <c r="O72" s="151" t="str">
        <f aca="false">IF($B72="","",SUMIFS('الحركات الشهرية'!$F$6:$F$1005,'الحركات الشهرية'!$B$6:$B$1005,$B72,'الحركات الشهرية'!$A$6:$A$1005,$C$3))</f>
        <v/>
      </c>
      <c r="P72" s="111" t="str">
        <f aca="false">IF($B72="","",O72*(الموظفون!$P72+الموظفون!$L72*cfg_OT_P)/cfg_DAYS_M/cfg_HRS)</f>
        <v/>
      </c>
      <c r="Q72" s="111" t="str">
        <f aca="false">IF($B72="","",SUMIFS('الحركات الشهرية'!$G$6:$G$1005,'الحركات الشهرية'!$B$6:$B$1005,$B72,'الحركات الشهرية'!$A$6:$A$1005,$C$3))</f>
        <v/>
      </c>
      <c r="R72" s="111" t="str">
        <f aca="false">IF($B72="","",SUMIFS('الحركات الشهرية'!$H$6:$H$1005,'الحركات الشهرية'!$B$6:$B$1005,$B72,'الحركات الشهرية'!$A$6:$A$1005,$C$3))</f>
        <v/>
      </c>
      <c r="S72" s="111" t="str">
        <f aca="false">IF($B72="","",SUMIFS('سجل الإجازات والحالات'!$N$6:$N$505,'سجل الإجازات والحالات'!$B$6:$B$505,$B72,'سجل الإجازات والحالات'!$O$6:$O$505,$C$3))</f>
        <v/>
      </c>
      <c r="T72" s="152" t="str">
        <f aca="false">IF($B72="","",SUM(K72:N72)+SUM(P72:S72))</f>
        <v/>
      </c>
      <c r="U72" s="111" t="str">
        <f aca="false">IF($B72="","",الموظفون!$S72*IF(E72="سعودي",cfg_G_SE,cfg_G_NE)*G72/cfg_DAYS_M)</f>
        <v/>
      </c>
      <c r="V72" s="111" t="str">
        <f aca="false">IF($B72="","",SUMIFS('الحركات الشهرية'!$I$6:$I$1005,'الحركات الشهرية'!$B$6:$B$1005,$B72,'الحركات الشهرية'!$A$6:$A$1005,$C$3))</f>
        <v/>
      </c>
      <c r="W72" s="111" t="str">
        <f aca="false">IF($B72="","",SUMIFS('الحركات الشهرية'!$J$6:$J$1005,'الحركات الشهرية'!$B$6:$B$1005,$B72,'الحركات الشهرية'!$A$6:$A$1005,$C$3))</f>
        <v/>
      </c>
      <c r="X72" s="111" t="str">
        <f aca="false">IF($B72="","",SUM(U72:W72))</f>
        <v/>
      </c>
      <c r="Y72" s="153" t="str">
        <f aca="false">IF($B72="","",T72-X72)</f>
        <v/>
      </c>
      <c r="Z72" s="111" t="str">
        <f aca="false">IF($B72="","",الموظفون!$S72*IF(E72="سعودي",cfg_G_SR,cfg_G_NR)*G72/cfg_DAYS_M)</f>
        <v/>
      </c>
      <c r="AA72" s="111" t="str">
        <f aca="false">IF($B72="","",الموظفون!$Q72*(cfg_EOS_R1*(MIN(AH72,cfg_EOS_TH)-MIN(AI72,cfg_EOS_TH))+cfg_EOS_R2*(MAX(AH72-cfg_EOS_TH,0)-MAX(AI72-cfg_EOS_TH,0))))</f>
        <v/>
      </c>
      <c r="AB72" s="111" t="str">
        <f aca="false">IF($B72="","",IF(الموظفون!$T72&lt;&gt;"",الموظفون!$T72,IF(AH72&gt;=cfg_LV_TH,cfg_LV_D2,cfg_LV_D1))/cfg_DAYS_Y*AJ72*الموظفون!$R72/cfg_DAYS_M)</f>
        <v/>
      </c>
      <c r="AC72" s="111" t="str">
        <f aca="false">IF($B72="","",IF(AND(الموظفون!$U72="نعم",N(الموظفون!$W72)&gt;0),الموظفون!$V72/الموظفون!$W72*12/cfg_DAYS_Y*AJ72,0))</f>
        <v/>
      </c>
      <c r="AD72" s="111" t="str">
        <f aca="false">IF($B72="","",(IF(الموظفون!$X72&lt;&gt;"",الموظفون!$X72,IF(الموظفون!$E72="غير سعودي",cfg_IQ,0))+IF(الموظفون!$Y72&lt;&gt;"",الموظفون!$Y72,IF(الموظفون!$E72="غير سعودي",cfg_WP,0)))/12*G72/cfg_DAYS_M)</f>
        <v/>
      </c>
      <c r="AE72" s="111" t="str">
        <f aca="false">IF($B72="","",IF(الموظفون!$Z72&lt;&gt;"",الموظفون!$Z72,cfg_MED)/12*G72/cfg_DAYS_M)</f>
        <v/>
      </c>
      <c r="AF72" s="111" t="str">
        <f aca="false">IF($B72="","",N(الموظفون!$AA72)/12*G72/cfg_DAYS_M)</f>
        <v/>
      </c>
      <c r="AG72" s="154" t="str">
        <f aca="false">IF($B72="","",T72+SUM(Z72:AF72))</f>
        <v/>
      </c>
      <c r="AH72" s="155" t="str">
        <f aca="false">IF($B72="","",MAX(0,IF(OR(الموظفون!$AE72="",الموظفون!$AE72&gt;$F$3),$F$3,الموظفون!$AE72)-الموظفون!$H72+1-SUMIFS('سجل الإجازات والحالات'!$AL$6:$AL$505,'سجل الإجازات والحالات'!$B$6:$B$505,$B72))/cfg_DAYS_Y)</f>
        <v/>
      </c>
      <c r="AI72" s="155" t="str">
        <f aca="false">IF($B72="","",MAX(0,IF(OR(الموظفون!$AE72="",الموظفون!$AE72&gt;($E$3-1)),($E$3-1),الموظفون!$AE72)-الموظفون!$H72+1-SUMIFS('سجل الإجازات والحالات'!$AK$6:$AK$505,'سجل الإجازات والحالات'!$B$6:$B$505,$B72))/cfg_DAYS_Y)</f>
        <v/>
      </c>
      <c r="AJ72" s="65" t="str">
        <f aca="false">IF($B72="","",MAX(0,AK72-(SUMIFS('سجل الإجازات والحالات'!$AL$6:$AL$505,'سجل الإجازات والحالات'!$B$6:$B$505,$B72)-SUMIFS('سجل الإجازات والحالات'!$AK$6:$AK$505,'سجل الإجازات والحالات'!$B$6:$B$505,$B72))))</f>
        <v/>
      </c>
      <c r="AK72" s="65" t="str">
        <f aca="false">IF($B72="","",MAX(0,IF(OR(الموظفون!$AE72="",الموظفون!$AE72&gt;$F$3),$F$3,الموظفون!$AE72)-MAX($E$3,الموظفون!$H72)+1))</f>
        <v/>
      </c>
      <c r="AL72" s="151" t="str">
        <f aca="false">IF($B72="","",SUMIFS('سجل الإجازات والحالات'!$AX$6:$AX$505,'سجل الإجازات والحالات'!$B$6:$B$505,$B72)+SUMIFS('الحركات الشهرية'!$K$6:$K$1005,'الحركات الشهرية'!$B$6:$B$1005,$B72,'الحركات الشهرية'!$A$6:$A$1005,$C$3))</f>
        <v/>
      </c>
      <c r="AM72" s="111" t="str">
        <f aca="false">IF($B72="","",AL72*الموظفون!$R72/cfg_DAYS_M+S72)</f>
        <v/>
      </c>
      <c r="AN72" s="151" t="str">
        <f aca="false">IF($B72="","",SUMIFS('سجل الإجازات والحالات'!$Z$6:$Z$505,'سجل الإجازات والحالات'!$B$6:$B$505,$B72))</f>
        <v/>
      </c>
    </row>
    <row r="73" customFormat="false" ht="15" hidden="false" customHeight="false" outlineLevel="0" collapsed="false">
      <c r="A73" s="115" t="str">
        <f aca="false">IF($B73="","",الموظفون!$A73)</f>
        <v/>
      </c>
      <c r="B73" s="117" t="str">
        <f aca="false">IF(الموظفون!$B73="","",الموظفون!$B73)</f>
        <v/>
      </c>
      <c r="C73" s="117" t="str">
        <f aca="false">IF($B73="","",الموظفون!$C73)</f>
        <v/>
      </c>
      <c r="D73" s="117" t="str">
        <f aca="false">IF($B73="","",الموظفون!$F73)</f>
        <v/>
      </c>
      <c r="E73" s="117" t="str">
        <f aca="false">IF($B73="","",الموظفون!$E73)</f>
        <v/>
      </c>
      <c r="F73" s="117" t="str">
        <f aca="false">IF($B73="","",IF(AK73=0,IF(AND(الموظفون!$AE73&lt;&gt;"",الموظفون!$AE73&lt;$E$3),"✖ منتهي الخدمة","⏳ لم يباشر"),IF(S73&gt;0,"✈ راتب إجازة مقدم",IF(J73=0,"⛔ بدون راتب هذا الشهر",IF(I73&gt;0,"✈ خصم "&amp;ROUND(I73,2)&amp;" يوم بدون أجر",IF(AL73&gt;0,"🌴 إجازة سنوية "&amp;ROUND(AL73,2)&amp;" يوم",IF(H73&gt;0,"⚠ غياب "&amp;ROUND(H73,2)&amp;" يوم","✔ على رأس العمل")))))))</f>
        <v/>
      </c>
      <c r="G73" s="156" t="str">
        <f aca="false">IF($B73="","",IF(AK73&gt;=DAY($F$3),cfg_DAYS_M,MIN(AK73,cfg_DAYS_M)))</f>
        <v/>
      </c>
      <c r="H73" s="156" t="str">
        <f aca="false">IF($B73="","",SUMIFS('الحركات الشهرية'!$D$6:$D$1005,'الحركات الشهرية'!$B$6:$B$1005,$B73,'الحركات الشهرية'!$A$6:$A$1005,$C$3))</f>
        <v/>
      </c>
      <c r="I73" s="156" t="str">
        <f aca="false">IF($B73="","",MIN(G73,IF(AND(AK73&gt;0,AN73&gt;=AK73),G73,AN73)+SUMIFS('الحركات الشهرية'!$E$6:$E$1005,'الحركات الشهرية'!$B$6:$B$1005,$B73,'الحركات الشهرية'!$A$6:$A$1005,$C$3)))</f>
        <v/>
      </c>
      <c r="J73" s="156" t="str">
        <f aca="false">IF($B73="","",MAX(0,G73-H73-I73))</f>
        <v/>
      </c>
      <c r="K73" s="116" t="str">
        <f aca="false">IF($B73="","",الموظفون!$L73*$J73/cfg_DAYS_M)</f>
        <v/>
      </c>
      <c r="L73" s="116" t="str">
        <f aca="false">IF($B73="","",الموظفون!$M73*$J73/cfg_DAYS_M)</f>
        <v/>
      </c>
      <c r="M73" s="116" t="str">
        <f aca="false">IF($B73="","",الموظفون!$N73*$J73/cfg_DAYS_M)</f>
        <v/>
      </c>
      <c r="N73" s="116" t="str">
        <f aca="false">IF($B73="","",الموظفون!$O73*$J73/cfg_DAYS_M)</f>
        <v/>
      </c>
      <c r="O73" s="156" t="str">
        <f aca="false">IF($B73="","",SUMIFS('الحركات الشهرية'!$F$6:$F$1005,'الحركات الشهرية'!$B$6:$B$1005,$B73,'الحركات الشهرية'!$A$6:$A$1005,$C$3))</f>
        <v/>
      </c>
      <c r="P73" s="116" t="str">
        <f aca="false">IF($B73="","",O73*(الموظفون!$P73+الموظفون!$L73*cfg_OT_P)/cfg_DAYS_M/cfg_HRS)</f>
        <v/>
      </c>
      <c r="Q73" s="116" t="str">
        <f aca="false">IF($B73="","",SUMIFS('الحركات الشهرية'!$G$6:$G$1005,'الحركات الشهرية'!$B$6:$B$1005,$B73,'الحركات الشهرية'!$A$6:$A$1005,$C$3))</f>
        <v/>
      </c>
      <c r="R73" s="116" t="str">
        <f aca="false">IF($B73="","",SUMIFS('الحركات الشهرية'!$H$6:$H$1005,'الحركات الشهرية'!$B$6:$B$1005,$B73,'الحركات الشهرية'!$A$6:$A$1005,$C$3))</f>
        <v/>
      </c>
      <c r="S73" s="116" t="str">
        <f aca="false">IF($B73="","",SUMIFS('سجل الإجازات والحالات'!$N$6:$N$505,'سجل الإجازات والحالات'!$B$6:$B$505,$B73,'سجل الإجازات والحالات'!$O$6:$O$505,$C$3))</f>
        <v/>
      </c>
      <c r="T73" s="157" t="str">
        <f aca="false">IF($B73="","",SUM(K73:N73)+SUM(P73:S73))</f>
        <v/>
      </c>
      <c r="U73" s="116" t="str">
        <f aca="false">IF($B73="","",الموظفون!$S73*IF(E73="سعودي",cfg_G_SE,cfg_G_NE)*G73/cfg_DAYS_M)</f>
        <v/>
      </c>
      <c r="V73" s="116" t="str">
        <f aca="false">IF($B73="","",SUMIFS('الحركات الشهرية'!$I$6:$I$1005,'الحركات الشهرية'!$B$6:$B$1005,$B73,'الحركات الشهرية'!$A$6:$A$1005,$C$3))</f>
        <v/>
      </c>
      <c r="W73" s="116" t="str">
        <f aca="false">IF($B73="","",SUMIFS('الحركات الشهرية'!$J$6:$J$1005,'الحركات الشهرية'!$B$6:$B$1005,$B73,'الحركات الشهرية'!$A$6:$A$1005,$C$3))</f>
        <v/>
      </c>
      <c r="X73" s="116" t="str">
        <f aca="false">IF($B73="","",SUM(U73:W73))</f>
        <v/>
      </c>
      <c r="Y73" s="158" t="str">
        <f aca="false">IF($B73="","",T73-X73)</f>
        <v/>
      </c>
      <c r="Z73" s="116" t="str">
        <f aca="false">IF($B73="","",الموظفون!$S73*IF(E73="سعودي",cfg_G_SR,cfg_G_NR)*G73/cfg_DAYS_M)</f>
        <v/>
      </c>
      <c r="AA73" s="116" t="str">
        <f aca="false">IF($B73="","",الموظفون!$Q73*(cfg_EOS_R1*(MIN(AH73,cfg_EOS_TH)-MIN(AI73,cfg_EOS_TH))+cfg_EOS_R2*(MAX(AH73-cfg_EOS_TH,0)-MAX(AI73-cfg_EOS_TH,0))))</f>
        <v/>
      </c>
      <c r="AB73" s="116" t="str">
        <f aca="false">IF($B73="","",IF(الموظفون!$T73&lt;&gt;"",الموظفون!$T73,IF(AH73&gt;=cfg_LV_TH,cfg_LV_D2,cfg_LV_D1))/cfg_DAYS_Y*AJ73*الموظفون!$R73/cfg_DAYS_M)</f>
        <v/>
      </c>
      <c r="AC73" s="116" t="str">
        <f aca="false">IF($B73="","",IF(AND(الموظفون!$U73="نعم",N(الموظفون!$W73)&gt;0),الموظفون!$V73/الموظفون!$W73*12/cfg_DAYS_Y*AJ73,0))</f>
        <v/>
      </c>
      <c r="AD73" s="116" t="str">
        <f aca="false">IF($B73="","",(IF(الموظفون!$X73&lt;&gt;"",الموظفون!$X73,IF(الموظفون!$E73="غير سعودي",cfg_IQ,0))+IF(الموظفون!$Y73&lt;&gt;"",الموظفون!$Y73,IF(الموظفون!$E73="غير سعودي",cfg_WP,0)))/12*G73/cfg_DAYS_M)</f>
        <v/>
      </c>
      <c r="AE73" s="116" t="str">
        <f aca="false">IF($B73="","",IF(الموظفون!$Z73&lt;&gt;"",الموظفون!$Z73,cfg_MED)/12*G73/cfg_DAYS_M)</f>
        <v/>
      </c>
      <c r="AF73" s="116" t="str">
        <f aca="false">IF($B73="","",N(الموظفون!$AA73)/12*G73/cfg_DAYS_M)</f>
        <v/>
      </c>
      <c r="AG73" s="159" t="str">
        <f aca="false">IF($B73="","",T73+SUM(Z73:AF73))</f>
        <v/>
      </c>
      <c r="AH73" s="160" t="str">
        <f aca="false">IF($B73="","",MAX(0,IF(OR(الموظفون!$AE73="",الموظفون!$AE73&gt;$F$3),$F$3,الموظفون!$AE73)-الموظفون!$H73+1-SUMIFS('سجل الإجازات والحالات'!$AL$6:$AL$505,'سجل الإجازات والحالات'!$B$6:$B$505,$B73))/cfg_DAYS_Y)</f>
        <v/>
      </c>
      <c r="AI73" s="160" t="str">
        <f aca="false">IF($B73="","",MAX(0,IF(OR(الموظفون!$AE73="",الموظفون!$AE73&gt;($E$3-1)),($E$3-1),الموظفون!$AE73)-الموظفون!$H73+1-SUMIFS('سجل الإجازات والحالات'!$AK$6:$AK$505,'سجل الإجازات والحالات'!$B$6:$B$505,$B73))/cfg_DAYS_Y)</f>
        <v/>
      </c>
      <c r="AJ73" s="133" t="str">
        <f aca="false">IF($B73="","",MAX(0,AK73-(SUMIFS('سجل الإجازات والحالات'!$AL$6:$AL$505,'سجل الإجازات والحالات'!$B$6:$B$505,$B73)-SUMIFS('سجل الإجازات والحالات'!$AK$6:$AK$505,'سجل الإجازات والحالات'!$B$6:$B$505,$B73))))</f>
        <v/>
      </c>
      <c r="AK73" s="133" t="str">
        <f aca="false">IF($B73="","",MAX(0,IF(OR(الموظفون!$AE73="",الموظفون!$AE73&gt;$F$3),$F$3,الموظفون!$AE73)-MAX($E$3,الموظفون!$H73)+1))</f>
        <v/>
      </c>
      <c r="AL73" s="156" t="str">
        <f aca="false">IF($B73="","",SUMIFS('سجل الإجازات والحالات'!$AX$6:$AX$505,'سجل الإجازات والحالات'!$B$6:$B$505,$B73)+SUMIFS('الحركات الشهرية'!$K$6:$K$1005,'الحركات الشهرية'!$B$6:$B$1005,$B73,'الحركات الشهرية'!$A$6:$A$1005,$C$3))</f>
        <v/>
      </c>
      <c r="AM73" s="116" t="str">
        <f aca="false">IF($B73="","",AL73*الموظفون!$R73/cfg_DAYS_M+S73)</f>
        <v/>
      </c>
      <c r="AN73" s="156" t="str">
        <f aca="false">IF($B73="","",SUMIFS('سجل الإجازات والحالات'!$Z$6:$Z$505,'سجل الإجازات والحالات'!$B$6:$B$505,$B73))</f>
        <v/>
      </c>
    </row>
    <row r="74" customFormat="false" ht="15" hidden="false" customHeight="false" outlineLevel="0" collapsed="false">
      <c r="A74" s="106" t="str">
        <f aca="false">IF($B74="","",الموظفون!$A74)</f>
        <v/>
      </c>
      <c r="B74" s="114" t="str">
        <f aca="false">IF(الموظفون!$B74="","",الموظفون!$B74)</f>
        <v/>
      </c>
      <c r="C74" s="114" t="str">
        <f aca="false">IF($B74="","",الموظفون!$C74)</f>
        <v/>
      </c>
      <c r="D74" s="114" t="str">
        <f aca="false">IF($B74="","",الموظفون!$F74)</f>
        <v/>
      </c>
      <c r="E74" s="114" t="str">
        <f aca="false">IF($B74="","",الموظفون!$E74)</f>
        <v/>
      </c>
      <c r="F74" s="114" t="str">
        <f aca="false">IF($B74="","",IF(AK74=0,IF(AND(الموظفون!$AE74&lt;&gt;"",الموظفون!$AE74&lt;$E$3),"✖ منتهي الخدمة","⏳ لم يباشر"),IF(S74&gt;0,"✈ راتب إجازة مقدم",IF(J74=0,"⛔ بدون راتب هذا الشهر",IF(I74&gt;0,"✈ خصم "&amp;ROUND(I74,2)&amp;" يوم بدون أجر",IF(AL74&gt;0,"🌴 إجازة سنوية "&amp;ROUND(AL74,2)&amp;" يوم",IF(H74&gt;0,"⚠ غياب "&amp;ROUND(H74,2)&amp;" يوم","✔ على رأس العمل")))))))</f>
        <v/>
      </c>
      <c r="G74" s="151" t="str">
        <f aca="false">IF($B74="","",IF(AK74&gt;=DAY($F$3),cfg_DAYS_M,MIN(AK74,cfg_DAYS_M)))</f>
        <v/>
      </c>
      <c r="H74" s="151" t="str">
        <f aca="false">IF($B74="","",SUMIFS('الحركات الشهرية'!$D$6:$D$1005,'الحركات الشهرية'!$B$6:$B$1005,$B74,'الحركات الشهرية'!$A$6:$A$1005,$C$3))</f>
        <v/>
      </c>
      <c r="I74" s="151" t="str">
        <f aca="false">IF($B74="","",MIN(G74,IF(AND(AK74&gt;0,AN74&gt;=AK74),G74,AN74)+SUMIFS('الحركات الشهرية'!$E$6:$E$1005,'الحركات الشهرية'!$B$6:$B$1005,$B74,'الحركات الشهرية'!$A$6:$A$1005,$C$3)))</f>
        <v/>
      </c>
      <c r="J74" s="151" t="str">
        <f aca="false">IF($B74="","",MAX(0,G74-H74-I74))</f>
        <v/>
      </c>
      <c r="K74" s="111" t="str">
        <f aca="false">IF($B74="","",الموظفون!$L74*$J74/cfg_DAYS_M)</f>
        <v/>
      </c>
      <c r="L74" s="111" t="str">
        <f aca="false">IF($B74="","",الموظفون!$M74*$J74/cfg_DAYS_M)</f>
        <v/>
      </c>
      <c r="M74" s="111" t="str">
        <f aca="false">IF($B74="","",الموظفون!$N74*$J74/cfg_DAYS_M)</f>
        <v/>
      </c>
      <c r="N74" s="111" t="str">
        <f aca="false">IF($B74="","",الموظفون!$O74*$J74/cfg_DAYS_M)</f>
        <v/>
      </c>
      <c r="O74" s="151" t="str">
        <f aca="false">IF($B74="","",SUMIFS('الحركات الشهرية'!$F$6:$F$1005,'الحركات الشهرية'!$B$6:$B$1005,$B74,'الحركات الشهرية'!$A$6:$A$1005,$C$3))</f>
        <v/>
      </c>
      <c r="P74" s="111" t="str">
        <f aca="false">IF($B74="","",O74*(الموظفون!$P74+الموظفون!$L74*cfg_OT_P)/cfg_DAYS_M/cfg_HRS)</f>
        <v/>
      </c>
      <c r="Q74" s="111" t="str">
        <f aca="false">IF($B74="","",SUMIFS('الحركات الشهرية'!$G$6:$G$1005,'الحركات الشهرية'!$B$6:$B$1005,$B74,'الحركات الشهرية'!$A$6:$A$1005,$C$3))</f>
        <v/>
      </c>
      <c r="R74" s="111" t="str">
        <f aca="false">IF($B74="","",SUMIFS('الحركات الشهرية'!$H$6:$H$1005,'الحركات الشهرية'!$B$6:$B$1005,$B74,'الحركات الشهرية'!$A$6:$A$1005,$C$3))</f>
        <v/>
      </c>
      <c r="S74" s="111" t="str">
        <f aca="false">IF($B74="","",SUMIFS('سجل الإجازات والحالات'!$N$6:$N$505,'سجل الإجازات والحالات'!$B$6:$B$505,$B74,'سجل الإجازات والحالات'!$O$6:$O$505,$C$3))</f>
        <v/>
      </c>
      <c r="T74" s="152" t="str">
        <f aca="false">IF($B74="","",SUM(K74:N74)+SUM(P74:S74))</f>
        <v/>
      </c>
      <c r="U74" s="111" t="str">
        <f aca="false">IF($B74="","",الموظفون!$S74*IF(E74="سعودي",cfg_G_SE,cfg_G_NE)*G74/cfg_DAYS_M)</f>
        <v/>
      </c>
      <c r="V74" s="111" t="str">
        <f aca="false">IF($B74="","",SUMIFS('الحركات الشهرية'!$I$6:$I$1005,'الحركات الشهرية'!$B$6:$B$1005,$B74,'الحركات الشهرية'!$A$6:$A$1005,$C$3))</f>
        <v/>
      </c>
      <c r="W74" s="111" t="str">
        <f aca="false">IF($B74="","",SUMIFS('الحركات الشهرية'!$J$6:$J$1005,'الحركات الشهرية'!$B$6:$B$1005,$B74,'الحركات الشهرية'!$A$6:$A$1005,$C$3))</f>
        <v/>
      </c>
      <c r="X74" s="111" t="str">
        <f aca="false">IF($B74="","",SUM(U74:W74))</f>
        <v/>
      </c>
      <c r="Y74" s="153" t="str">
        <f aca="false">IF($B74="","",T74-X74)</f>
        <v/>
      </c>
      <c r="Z74" s="111" t="str">
        <f aca="false">IF($B74="","",الموظفون!$S74*IF(E74="سعودي",cfg_G_SR,cfg_G_NR)*G74/cfg_DAYS_M)</f>
        <v/>
      </c>
      <c r="AA74" s="111" t="str">
        <f aca="false">IF($B74="","",الموظفون!$Q74*(cfg_EOS_R1*(MIN(AH74,cfg_EOS_TH)-MIN(AI74,cfg_EOS_TH))+cfg_EOS_R2*(MAX(AH74-cfg_EOS_TH,0)-MAX(AI74-cfg_EOS_TH,0))))</f>
        <v/>
      </c>
      <c r="AB74" s="111" t="str">
        <f aca="false">IF($B74="","",IF(الموظفون!$T74&lt;&gt;"",الموظفون!$T74,IF(AH74&gt;=cfg_LV_TH,cfg_LV_D2,cfg_LV_D1))/cfg_DAYS_Y*AJ74*الموظفون!$R74/cfg_DAYS_M)</f>
        <v/>
      </c>
      <c r="AC74" s="111" t="str">
        <f aca="false">IF($B74="","",IF(AND(الموظفون!$U74="نعم",N(الموظفون!$W74)&gt;0),الموظفون!$V74/الموظفون!$W74*12/cfg_DAYS_Y*AJ74,0))</f>
        <v/>
      </c>
      <c r="AD74" s="111" t="str">
        <f aca="false">IF($B74="","",(IF(الموظفون!$X74&lt;&gt;"",الموظفون!$X74,IF(الموظفون!$E74="غير سعودي",cfg_IQ,0))+IF(الموظفون!$Y74&lt;&gt;"",الموظفون!$Y74,IF(الموظفون!$E74="غير سعودي",cfg_WP,0)))/12*G74/cfg_DAYS_M)</f>
        <v/>
      </c>
      <c r="AE74" s="111" t="str">
        <f aca="false">IF($B74="","",IF(الموظفون!$Z74&lt;&gt;"",الموظفون!$Z74,cfg_MED)/12*G74/cfg_DAYS_M)</f>
        <v/>
      </c>
      <c r="AF74" s="111" t="str">
        <f aca="false">IF($B74="","",N(الموظفون!$AA74)/12*G74/cfg_DAYS_M)</f>
        <v/>
      </c>
      <c r="AG74" s="154" t="str">
        <f aca="false">IF($B74="","",T74+SUM(Z74:AF74))</f>
        <v/>
      </c>
      <c r="AH74" s="155" t="str">
        <f aca="false">IF($B74="","",MAX(0,IF(OR(الموظفون!$AE74="",الموظفون!$AE74&gt;$F$3),$F$3,الموظفون!$AE74)-الموظفون!$H74+1-SUMIFS('سجل الإجازات والحالات'!$AL$6:$AL$505,'سجل الإجازات والحالات'!$B$6:$B$505,$B74))/cfg_DAYS_Y)</f>
        <v/>
      </c>
      <c r="AI74" s="155" t="str">
        <f aca="false">IF($B74="","",MAX(0,IF(OR(الموظفون!$AE74="",الموظفون!$AE74&gt;($E$3-1)),($E$3-1),الموظفون!$AE74)-الموظفون!$H74+1-SUMIFS('سجل الإجازات والحالات'!$AK$6:$AK$505,'سجل الإجازات والحالات'!$B$6:$B$505,$B74))/cfg_DAYS_Y)</f>
        <v/>
      </c>
      <c r="AJ74" s="65" t="str">
        <f aca="false">IF($B74="","",MAX(0,AK74-(SUMIFS('سجل الإجازات والحالات'!$AL$6:$AL$505,'سجل الإجازات والحالات'!$B$6:$B$505,$B74)-SUMIFS('سجل الإجازات والحالات'!$AK$6:$AK$505,'سجل الإجازات والحالات'!$B$6:$B$505,$B74))))</f>
        <v/>
      </c>
      <c r="AK74" s="65" t="str">
        <f aca="false">IF($B74="","",MAX(0,IF(OR(الموظفون!$AE74="",الموظفون!$AE74&gt;$F$3),$F$3,الموظفون!$AE74)-MAX($E$3,الموظفون!$H74)+1))</f>
        <v/>
      </c>
      <c r="AL74" s="151" t="str">
        <f aca="false">IF($B74="","",SUMIFS('سجل الإجازات والحالات'!$AX$6:$AX$505,'سجل الإجازات والحالات'!$B$6:$B$505,$B74)+SUMIFS('الحركات الشهرية'!$K$6:$K$1005,'الحركات الشهرية'!$B$6:$B$1005,$B74,'الحركات الشهرية'!$A$6:$A$1005,$C$3))</f>
        <v/>
      </c>
      <c r="AM74" s="111" t="str">
        <f aca="false">IF($B74="","",AL74*الموظفون!$R74/cfg_DAYS_M+S74)</f>
        <v/>
      </c>
      <c r="AN74" s="151" t="str">
        <f aca="false">IF($B74="","",SUMIFS('سجل الإجازات والحالات'!$Z$6:$Z$505,'سجل الإجازات والحالات'!$B$6:$B$505,$B74))</f>
        <v/>
      </c>
    </row>
    <row r="75" customFormat="false" ht="15" hidden="false" customHeight="false" outlineLevel="0" collapsed="false">
      <c r="A75" s="115" t="str">
        <f aca="false">IF($B75="","",الموظفون!$A75)</f>
        <v/>
      </c>
      <c r="B75" s="117" t="str">
        <f aca="false">IF(الموظفون!$B75="","",الموظفون!$B75)</f>
        <v/>
      </c>
      <c r="C75" s="117" t="str">
        <f aca="false">IF($B75="","",الموظفون!$C75)</f>
        <v/>
      </c>
      <c r="D75" s="117" t="str">
        <f aca="false">IF($B75="","",الموظفون!$F75)</f>
        <v/>
      </c>
      <c r="E75" s="117" t="str">
        <f aca="false">IF($B75="","",الموظفون!$E75)</f>
        <v/>
      </c>
      <c r="F75" s="117" t="str">
        <f aca="false">IF($B75="","",IF(AK75=0,IF(AND(الموظفون!$AE75&lt;&gt;"",الموظفون!$AE75&lt;$E$3),"✖ منتهي الخدمة","⏳ لم يباشر"),IF(S75&gt;0,"✈ راتب إجازة مقدم",IF(J75=0,"⛔ بدون راتب هذا الشهر",IF(I75&gt;0,"✈ خصم "&amp;ROUND(I75,2)&amp;" يوم بدون أجر",IF(AL75&gt;0,"🌴 إجازة سنوية "&amp;ROUND(AL75,2)&amp;" يوم",IF(H75&gt;0,"⚠ غياب "&amp;ROUND(H75,2)&amp;" يوم","✔ على رأس العمل")))))))</f>
        <v/>
      </c>
      <c r="G75" s="156" t="str">
        <f aca="false">IF($B75="","",IF(AK75&gt;=DAY($F$3),cfg_DAYS_M,MIN(AK75,cfg_DAYS_M)))</f>
        <v/>
      </c>
      <c r="H75" s="156" t="str">
        <f aca="false">IF($B75="","",SUMIFS('الحركات الشهرية'!$D$6:$D$1005,'الحركات الشهرية'!$B$6:$B$1005,$B75,'الحركات الشهرية'!$A$6:$A$1005,$C$3))</f>
        <v/>
      </c>
      <c r="I75" s="156" t="str">
        <f aca="false">IF($B75="","",MIN(G75,IF(AND(AK75&gt;0,AN75&gt;=AK75),G75,AN75)+SUMIFS('الحركات الشهرية'!$E$6:$E$1005,'الحركات الشهرية'!$B$6:$B$1005,$B75,'الحركات الشهرية'!$A$6:$A$1005,$C$3)))</f>
        <v/>
      </c>
      <c r="J75" s="156" t="str">
        <f aca="false">IF($B75="","",MAX(0,G75-H75-I75))</f>
        <v/>
      </c>
      <c r="K75" s="116" t="str">
        <f aca="false">IF($B75="","",الموظفون!$L75*$J75/cfg_DAYS_M)</f>
        <v/>
      </c>
      <c r="L75" s="116" t="str">
        <f aca="false">IF($B75="","",الموظفون!$M75*$J75/cfg_DAYS_M)</f>
        <v/>
      </c>
      <c r="M75" s="116" t="str">
        <f aca="false">IF($B75="","",الموظفون!$N75*$J75/cfg_DAYS_M)</f>
        <v/>
      </c>
      <c r="N75" s="116" t="str">
        <f aca="false">IF($B75="","",الموظفون!$O75*$J75/cfg_DAYS_M)</f>
        <v/>
      </c>
      <c r="O75" s="156" t="str">
        <f aca="false">IF($B75="","",SUMIFS('الحركات الشهرية'!$F$6:$F$1005,'الحركات الشهرية'!$B$6:$B$1005,$B75,'الحركات الشهرية'!$A$6:$A$1005,$C$3))</f>
        <v/>
      </c>
      <c r="P75" s="116" t="str">
        <f aca="false">IF($B75="","",O75*(الموظفون!$P75+الموظفون!$L75*cfg_OT_P)/cfg_DAYS_M/cfg_HRS)</f>
        <v/>
      </c>
      <c r="Q75" s="116" t="str">
        <f aca="false">IF($B75="","",SUMIFS('الحركات الشهرية'!$G$6:$G$1005,'الحركات الشهرية'!$B$6:$B$1005,$B75,'الحركات الشهرية'!$A$6:$A$1005,$C$3))</f>
        <v/>
      </c>
      <c r="R75" s="116" t="str">
        <f aca="false">IF($B75="","",SUMIFS('الحركات الشهرية'!$H$6:$H$1005,'الحركات الشهرية'!$B$6:$B$1005,$B75,'الحركات الشهرية'!$A$6:$A$1005,$C$3))</f>
        <v/>
      </c>
      <c r="S75" s="116" t="str">
        <f aca="false">IF($B75="","",SUMIFS('سجل الإجازات والحالات'!$N$6:$N$505,'سجل الإجازات والحالات'!$B$6:$B$505,$B75,'سجل الإجازات والحالات'!$O$6:$O$505,$C$3))</f>
        <v/>
      </c>
      <c r="T75" s="157" t="str">
        <f aca="false">IF($B75="","",SUM(K75:N75)+SUM(P75:S75))</f>
        <v/>
      </c>
      <c r="U75" s="116" t="str">
        <f aca="false">IF($B75="","",الموظفون!$S75*IF(E75="سعودي",cfg_G_SE,cfg_G_NE)*G75/cfg_DAYS_M)</f>
        <v/>
      </c>
      <c r="V75" s="116" t="str">
        <f aca="false">IF($B75="","",SUMIFS('الحركات الشهرية'!$I$6:$I$1005,'الحركات الشهرية'!$B$6:$B$1005,$B75,'الحركات الشهرية'!$A$6:$A$1005,$C$3))</f>
        <v/>
      </c>
      <c r="W75" s="116" t="str">
        <f aca="false">IF($B75="","",SUMIFS('الحركات الشهرية'!$J$6:$J$1005,'الحركات الشهرية'!$B$6:$B$1005,$B75,'الحركات الشهرية'!$A$6:$A$1005,$C$3))</f>
        <v/>
      </c>
      <c r="X75" s="116" t="str">
        <f aca="false">IF($B75="","",SUM(U75:W75))</f>
        <v/>
      </c>
      <c r="Y75" s="158" t="str">
        <f aca="false">IF($B75="","",T75-X75)</f>
        <v/>
      </c>
      <c r="Z75" s="116" t="str">
        <f aca="false">IF($B75="","",الموظفون!$S75*IF(E75="سعودي",cfg_G_SR,cfg_G_NR)*G75/cfg_DAYS_M)</f>
        <v/>
      </c>
      <c r="AA75" s="116" t="str">
        <f aca="false">IF($B75="","",الموظفون!$Q75*(cfg_EOS_R1*(MIN(AH75,cfg_EOS_TH)-MIN(AI75,cfg_EOS_TH))+cfg_EOS_R2*(MAX(AH75-cfg_EOS_TH,0)-MAX(AI75-cfg_EOS_TH,0))))</f>
        <v/>
      </c>
      <c r="AB75" s="116" t="str">
        <f aca="false">IF($B75="","",IF(الموظفون!$T75&lt;&gt;"",الموظفون!$T75,IF(AH75&gt;=cfg_LV_TH,cfg_LV_D2,cfg_LV_D1))/cfg_DAYS_Y*AJ75*الموظفون!$R75/cfg_DAYS_M)</f>
        <v/>
      </c>
      <c r="AC75" s="116" t="str">
        <f aca="false">IF($B75="","",IF(AND(الموظفون!$U75="نعم",N(الموظفون!$W75)&gt;0),الموظفون!$V75/الموظفون!$W75*12/cfg_DAYS_Y*AJ75,0))</f>
        <v/>
      </c>
      <c r="AD75" s="116" t="str">
        <f aca="false">IF($B75="","",(IF(الموظفون!$X75&lt;&gt;"",الموظفون!$X75,IF(الموظفون!$E75="غير سعودي",cfg_IQ,0))+IF(الموظفون!$Y75&lt;&gt;"",الموظفون!$Y75,IF(الموظفون!$E75="غير سعودي",cfg_WP,0)))/12*G75/cfg_DAYS_M)</f>
        <v/>
      </c>
      <c r="AE75" s="116" t="str">
        <f aca="false">IF($B75="","",IF(الموظفون!$Z75&lt;&gt;"",الموظفون!$Z75,cfg_MED)/12*G75/cfg_DAYS_M)</f>
        <v/>
      </c>
      <c r="AF75" s="116" t="str">
        <f aca="false">IF($B75="","",N(الموظفون!$AA75)/12*G75/cfg_DAYS_M)</f>
        <v/>
      </c>
      <c r="AG75" s="159" t="str">
        <f aca="false">IF($B75="","",T75+SUM(Z75:AF75))</f>
        <v/>
      </c>
      <c r="AH75" s="160" t="str">
        <f aca="false">IF($B75="","",MAX(0,IF(OR(الموظفون!$AE75="",الموظفون!$AE75&gt;$F$3),$F$3,الموظفون!$AE75)-الموظفون!$H75+1-SUMIFS('سجل الإجازات والحالات'!$AL$6:$AL$505,'سجل الإجازات والحالات'!$B$6:$B$505,$B75))/cfg_DAYS_Y)</f>
        <v/>
      </c>
      <c r="AI75" s="160" t="str">
        <f aca="false">IF($B75="","",MAX(0,IF(OR(الموظفون!$AE75="",الموظفون!$AE75&gt;($E$3-1)),($E$3-1),الموظفون!$AE75)-الموظفون!$H75+1-SUMIFS('سجل الإجازات والحالات'!$AK$6:$AK$505,'سجل الإجازات والحالات'!$B$6:$B$505,$B75))/cfg_DAYS_Y)</f>
        <v/>
      </c>
      <c r="AJ75" s="133" t="str">
        <f aca="false">IF($B75="","",MAX(0,AK75-(SUMIFS('سجل الإجازات والحالات'!$AL$6:$AL$505,'سجل الإجازات والحالات'!$B$6:$B$505,$B75)-SUMIFS('سجل الإجازات والحالات'!$AK$6:$AK$505,'سجل الإجازات والحالات'!$B$6:$B$505,$B75))))</f>
        <v/>
      </c>
      <c r="AK75" s="133" t="str">
        <f aca="false">IF($B75="","",MAX(0,IF(OR(الموظفون!$AE75="",الموظفون!$AE75&gt;$F$3),$F$3,الموظفون!$AE75)-MAX($E$3,الموظفون!$H75)+1))</f>
        <v/>
      </c>
      <c r="AL75" s="156" t="str">
        <f aca="false">IF($B75="","",SUMIFS('سجل الإجازات والحالات'!$AX$6:$AX$505,'سجل الإجازات والحالات'!$B$6:$B$505,$B75)+SUMIFS('الحركات الشهرية'!$K$6:$K$1005,'الحركات الشهرية'!$B$6:$B$1005,$B75,'الحركات الشهرية'!$A$6:$A$1005,$C$3))</f>
        <v/>
      </c>
      <c r="AM75" s="116" t="str">
        <f aca="false">IF($B75="","",AL75*الموظفون!$R75/cfg_DAYS_M+S75)</f>
        <v/>
      </c>
      <c r="AN75" s="156" t="str">
        <f aca="false">IF($B75="","",SUMIFS('سجل الإجازات والحالات'!$Z$6:$Z$505,'سجل الإجازات والحالات'!$B$6:$B$505,$B75))</f>
        <v/>
      </c>
    </row>
    <row r="76" customFormat="false" ht="15" hidden="false" customHeight="false" outlineLevel="0" collapsed="false">
      <c r="A76" s="106" t="str">
        <f aca="false">IF($B76="","",الموظفون!$A76)</f>
        <v/>
      </c>
      <c r="B76" s="114" t="str">
        <f aca="false">IF(الموظفون!$B76="","",الموظفون!$B76)</f>
        <v/>
      </c>
      <c r="C76" s="114" t="str">
        <f aca="false">IF($B76="","",الموظفون!$C76)</f>
        <v/>
      </c>
      <c r="D76" s="114" t="str">
        <f aca="false">IF($B76="","",الموظفون!$F76)</f>
        <v/>
      </c>
      <c r="E76" s="114" t="str">
        <f aca="false">IF($B76="","",الموظفون!$E76)</f>
        <v/>
      </c>
      <c r="F76" s="114" t="str">
        <f aca="false">IF($B76="","",IF(AK76=0,IF(AND(الموظفون!$AE76&lt;&gt;"",الموظفون!$AE76&lt;$E$3),"✖ منتهي الخدمة","⏳ لم يباشر"),IF(S76&gt;0,"✈ راتب إجازة مقدم",IF(J76=0,"⛔ بدون راتب هذا الشهر",IF(I76&gt;0,"✈ خصم "&amp;ROUND(I76,2)&amp;" يوم بدون أجر",IF(AL76&gt;0,"🌴 إجازة سنوية "&amp;ROUND(AL76,2)&amp;" يوم",IF(H76&gt;0,"⚠ غياب "&amp;ROUND(H76,2)&amp;" يوم","✔ على رأس العمل")))))))</f>
        <v/>
      </c>
      <c r="G76" s="151" t="str">
        <f aca="false">IF($B76="","",IF(AK76&gt;=DAY($F$3),cfg_DAYS_M,MIN(AK76,cfg_DAYS_M)))</f>
        <v/>
      </c>
      <c r="H76" s="151" t="str">
        <f aca="false">IF($B76="","",SUMIFS('الحركات الشهرية'!$D$6:$D$1005,'الحركات الشهرية'!$B$6:$B$1005,$B76,'الحركات الشهرية'!$A$6:$A$1005,$C$3))</f>
        <v/>
      </c>
      <c r="I76" s="151" t="str">
        <f aca="false">IF($B76="","",MIN(G76,IF(AND(AK76&gt;0,AN76&gt;=AK76),G76,AN76)+SUMIFS('الحركات الشهرية'!$E$6:$E$1005,'الحركات الشهرية'!$B$6:$B$1005,$B76,'الحركات الشهرية'!$A$6:$A$1005,$C$3)))</f>
        <v/>
      </c>
      <c r="J76" s="151" t="str">
        <f aca="false">IF($B76="","",MAX(0,G76-H76-I76))</f>
        <v/>
      </c>
      <c r="K76" s="111" t="str">
        <f aca="false">IF($B76="","",الموظفون!$L76*$J76/cfg_DAYS_M)</f>
        <v/>
      </c>
      <c r="L76" s="111" t="str">
        <f aca="false">IF($B76="","",الموظفون!$M76*$J76/cfg_DAYS_M)</f>
        <v/>
      </c>
      <c r="M76" s="111" t="str">
        <f aca="false">IF($B76="","",الموظفون!$N76*$J76/cfg_DAYS_M)</f>
        <v/>
      </c>
      <c r="N76" s="111" t="str">
        <f aca="false">IF($B76="","",الموظفون!$O76*$J76/cfg_DAYS_M)</f>
        <v/>
      </c>
      <c r="O76" s="151" t="str">
        <f aca="false">IF($B76="","",SUMIFS('الحركات الشهرية'!$F$6:$F$1005,'الحركات الشهرية'!$B$6:$B$1005,$B76,'الحركات الشهرية'!$A$6:$A$1005,$C$3))</f>
        <v/>
      </c>
      <c r="P76" s="111" t="str">
        <f aca="false">IF($B76="","",O76*(الموظفون!$P76+الموظفون!$L76*cfg_OT_P)/cfg_DAYS_M/cfg_HRS)</f>
        <v/>
      </c>
      <c r="Q76" s="111" t="str">
        <f aca="false">IF($B76="","",SUMIFS('الحركات الشهرية'!$G$6:$G$1005,'الحركات الشهرية'!$B$6:$B$1005,$B76,'الحركات الشهرية'!$A$6:$A$1005,$C$3))</f>
        <v/>
      </c>
      <c r="R76" s="111" t="str">
        <f aca="false">IF($B76="","",SUMIFS('الحركات الشهرية'!$H$6:$H$1005,'الحركات الشهرية'!$B$6:$B$1005,$B76,'الحركات الشهرية'!$A$6:$A$1005,$C$3))</f>
        <v/>
      </c>
      <c r="S76" s="111" t="str">
        <f aca="false">IF($B76="","",SUMIFS('سجل الإجازات والحالات'!$N$6:$N$505,'سجل الإجازات والحالات'!$B$6:$B$505,$B76,'سجل الإجازات والحالات'!$O$6:$O$505,$C$3))</f>
        <v/>
      </c>
      <c r="T76" s="152" t="str">
        <f aca="false">IF($B76="","",SUM(K76:N76)+SUM(P76:S76))</f>
        <v/>
      </c>
      <c r="U76" s="111" t="str">
        <f aca="false">IF($B76="","",الموظفون!$S76*IF(E76="سعودي",cfg_G_SE,cfg_G_NE)*G76/cfg_DAYS_M)</f>
        <v/>
      </c>
      <c r="V76" s="111" t="str">
        <f aca="false">IF($B76="","",SUMIFS('الحركات الشهرية'!$I$6:$I$1005,'الحركات الشهرية'!$B$6:$B$1005,$B76,'الحركات الشهرية'!$A$6:$A$1005,$C$3))</f>
        <v/>
      </c>
      <c r="W76" s="111" t="str">
        <f aca="false">IF($B76="","",SUMIFS('الحركات الشهرية'!$J$6:$J$1005,'الحركات الشهرية'!$B$6:$B$1005,$B76,'الحركات الشهرية'!$A$6:$A$1005,$C$3))</f>
        <v/>
      </c>
      <c r="X76" s="111" t="str">
        <f aca="false">IF($B76="","",SUM(U76:W76))</f>
        <v/>
      </c>
      <c r="Y76" s="153" t="str">
        <f aca="false">IF($B76="","",T76-X76)</f>
        <v/>
      </c>
      <c r="Z76" s="111" t="str">
        <f aca="false">IF($B76="","",الموظفون!$S76*IF(E76="سعودي",cfg_G_SR,cfg_G_NR)*G76/cfg_DAYS_M)</f>
        <v/>
      </c>
      <c r="AA76" s="111" t="str">
        <f aca="false">IF($B76="","",الموظفون!$Q76*(cfg_EOS_R1*(MIN(AH76,cfg_EOS_TH)-MIN(AI76,cfg_EOS_TH))+cfg_EOS_R2*(MAX(AH76-cfg_EOS_TH,0)-MAX(AI76-cfg_EOS_TH,0))))</f>
        <v/>
      </c>
      <c r="AB76" s="111" t="str">
        <f aca="false">IF($B76="","",IF(الموظفون!$T76&lt;&gt;"",الموظفون!$T76,IF(AH76&gt;=cfg_LV_TH,cfg_LV_D2,cfg_LV_D1))/cfg_DAYS_Y*AJ76*الموظفون!$R76/cfg_DAYS_M)</f>
        <v/>
      </c>
      <c r="AC76" s="111" t="str">
        <f aca="false">IF($B76="","",IF(AND(الموظفون!$U76="نعم",N(الموظفون!$W76)&gt;0),الموظفون!$V76/الموظفون!$W76*12/cfg_DAYS_Y*AJ76,0))</f>
        <v/>
      </c>
      <c r="AD76" s="111" t="str">
        <f aca="false">IF($B76="","",(IF(الموظفون!$X76&lt;&gt;"",الموظفون!$X76,IF(الموظفون!$E76="غير سعودي",cfg_IQ,0))+IF(الموظفون!$Y76&lt;&gt;"",الموظفون!$Y76,IF(الموظفون!$E76="غير سعودي",cfg_WP,0)))/12*G76/cfg_DAYS_M)</f>
        <v/>
      </c>
      <c r="AE76" s="111" t="str">
        <f aca="false">IF($B76="","",IF(الموظفون!$Z76&lt;&gt;"",الموظفون!$Z76,cfg_MED)/12*G76/cfg_DAYS_M)</f>
        <v/>
      </c>
      <c r="AF76" s="111" t="str">
        <f aca="false">IF($B76="","",N(الموظفون!$AA76)/12*G76/cfg_DAYS_M)</f>
        <v/>
      </c>
      <c r="AG76" s="154" t="str">
        <f aca="false">IF($B76="","",T76+SUM(Z76:AF76))</f>
        <v/>
      </c>
      <c r="AH76" s="155" t="str">
        <f aca="false">IF($B76="","",MAX(0,IF(OR(الموظفون!$AE76="",الموظفون!$AE76&gt;$F$3),$F$3,الموظفون!$AE76)-الموظفون!$H76+1-SUMIFS('سجل الإجازات والحالات'!$AL$6:$AL$505,'سجل الإجازات والحالات'!$B$6:$B$505,$B76))/cfg_DAYS_Y)</f>
        <v/>
      </c>
      <c r="AI76" s="155" t="str">
        <f aca="false">IF($B76="","",MAX(0,IF(OR(الموظفون!$AE76="",الموظفون!$AE76&gt;($E$3-1)),($E$3-1),الموظفون!$AE76)-الموظفون!$H76+1-SUMIFS('سجل الإجازات والحالات'!$AK$6:$AK$505,'سجل الإجازات والحالات'!$B$6:$B$505,$B76))/cfg_DAYS_Y)</f>
        <v/>
      </c>
      <c r="AJ76" s="65" t="str">
        <f aca="false">IF($B76="","",MAX(0,AK76-(SUMIFS('سجل الإجازات والحالات'!$AL$6:$AL$505,'سجل الإجازات والحالات'!$B$6:$B$505,$B76)-SUMIFS('سجل الإجازات والحالات'!$AK$6:$AK$505,'سجل الإجازات والحالات'!$B$6:$B$505,$B76))))</f>
        <v/>
      </c>
      <c r="AK76" s="65" t="str">
        <f aca="false">IF($B76="","",MAX(0,IF(OR(الموظفون!$AE76="",الموظفون!$AE76&gt;$F$3),$F$3,الموظفون!$AE76)-MAX($E$3,الموظفون!$H76)+1))</f>
        <v/>
      </c>
      <c r="AL76" s="151" t="str">
        <f aca="false">IF($B76="","",SUMIFS('سجل الإجازات والحالات'!$AX$6:$AX$505,'سجل الإجازات والحالات'!$B$6:$B$505,$B76)+SUMIFS('الحركات الشهرية'!$K$6:$K$1005,'الحركات الشهرية'!$B$6:$B$1005,$B76,'الحركات الشهرية'!$A$6:$A$1005,$C$3))</f>
        <v/>
      </c>
      <c r="AM76" s="111" t="str">
        <f aca="false">IF($B76="","",AL76*الموظفون!$R76/cfg_DAYS_M+S76)</f>
        <v/>
      </c>
      <c r="AN76" s="151" t="str">
        <f aca="false">IF($B76="","",SUMIFS('سجل الإجازات والحالات'!$Z$6:$Z$505,'سجل الإجازات والحالات'!$B$6:$B$505,$B76))</f>
        <v/>
      </c>
    </row>
    <row r="77" customFormat="false" ht="15" hidden="false" customHeight="false" outlineLevel="0" collapsed="false">
      <c r="A77" s="115" t="str">
        <f aca="false">IF($B77="","",الموظفون!$A77)</f>
        <v/>
      </c>
      <c r="B77" s="117" t="str">
        <f aca="false">IF(الموظفون!$B77="","",الموظفون!$B77)</f>
        <v/>
      </c>
      <c r="C77" s="117" t="str">
        <f aca="false">IF($B77="","",الموظفون!$C77)</f>
        <v/>
      </c>
      <c r="D77" s="117" t="str">
        <f aca="false">IF($B77="","",الموظفون!$F77)</f>
        <v/>
      </c>
      <c r="E77" s="117" t="str">
        <f aca="false">IF($B77="","",الموظفون!$E77)</f>
        <v/>
      </c>
      <c r="F77" s="117" t="str">
        <f aca="false">IF($B77="","",IF(AK77=0,IF(AND(الموظفون!$AE77&lt;&gt;"",الموظفون!$AE77&lt;$E$3),"✖ منتهي الخدمة","⏳ لم يباشر"),IF(S77&gt;0,"✈ راتب إجازة مقدم",IF(J77=0,"⛔ بدون راتب هذا الشهر",IF(I77&gt;0,"✈ خصم "&amp;ROUND(I77,2)&amp;" يوم بدون أجر",IF(AL77&gt;0,"🌴 إجازة سنوية "&amp;ROUND(AL77,2)&amp;" يوم",IF(H77&gt;0,"⚠ غياب "&amp;ROUND(H77,2)&amp;" يوم","✔ على رأس العمل")))))))</f>
        <v/>
      </c>
      <c r="G77" s="156" t="str">
        <f aca="false">IF($B77="","",IF(AK77&gt;=DAY($F$3),cfg_DAYS_M,MIN(AK77,cfg_DAYS_M)))</f>
        <v/>
      </c>
      <c r="H77" s="156" t="str">
        <f aca="false">IF($B77="","",SUMIFS('الحركات الشهرية'!$D$6:$D$1005,'الحركات الشهرية'!$B$6:$B$1005,$B77,'الحركات الشهرية'!$A$6:$A$1005,$C$3))</f>
        <v/>
      </c>
      <c r="I77" s="156" t="str">
        <f aca="false">IF($B77="","",MIN(G77,IF(AND(AK77&gt;0,AN77&gt;=AK77),G77,AN77)+SUMIFS('الحركات الشهرية'!$E$6:$E$1005,'الحركات الشهرية'!$B$6:$B$1005,$B77,'الحركات الشهرية'!$A$6:$A$1005,$C$3)))</f>
        <v/>
      </c>
      <c r="J77" s="156" t="str">
        <f aca="false">IF($B77="","",MAX(0,G77-H77-I77))</f>
        <v/>
      </c>
      <c r="K77" s="116" t="str">
        <f aca="false">IF($B77="","",الموظفون!$L77*$J77/cfg_DAYS_M)</f>
        <v/>
      </c>
      <c r="L77" s="116" t="str">
        <f aca="false">IF($B77="","",الموظفون!$M77*$J77/cfg_DAYS_M)</f>
        <v/>
      </c>
      <c r="M77" s="116" t="str">
        <f aca="false">IF($B77="","",الموظفون!$N77*$J77/cfg_DAYS_M)</f>
        <v/>
      </c>
      <c r="N77" s="116" t="str">
        <f aca="false">IF($B77="","",الموظفون!$O77*$J77/cfg_DAYS_M)</f>
        <v/>
      </c>
      <c r="O77" s="156" t="str">
        <f aca="false">IF($B77="","",SUMIFS('الحركات الشهرية'!$F$6:$F$1005,'الحركات الشهرية'!$B$6:$B$1005,$B77,'الحركات الشهرية'!$A$6:$A$1005,$C$3))</f>
        <v/>
      </c>
      <c r="P77" s="116" t="str">
        <f aca="false">IF($B77="","",O77*(الموظفون!$P77+الموظفون!$L77*cfg_OT_P)/cfg_DAYS_M/cfg_HRS)</f>
        <v/>
      </c>
      <c r="Q77" s="116" t="str">
        <f aca="false">IF($B77="","",SUMIFS('الحركات الشهرية'!$G$6:$G$1005,'الحركات الشهرية'!$B$6:$B$1005,$B77,'الحركات الشهرية'!$A$6:$A$1005,$C$3))</f>
        <v/>
      </c>
      <c r="R77" s="116" t="str">
        <f aca="false">IF($B77="","",SUMIFS('الحركات الشهرية'!$H$6:$H$1005,'الحركات الشهرية'!$B$6:$B$1005,$B77,'الحركات الشهرية'!$A$6:$A$1005,$C$3))</f>
        <v/>
      </c>
      <c r="S77" s="116" t="str">
        <f aca="false">IF($B77="","",SUMIFS('سجل الإجازات والحالات'!$N$6:$N$505,'سجل الإجازات والحالات'!$B$6:$B$505,$B77,'سجل الإجازات والحالات'!$O$6:$O$505,$C$3))</f>
        <v/>
      </c>
      <c r="T77" s="157" t="str">
        <f aca="false">IF($B77="","",SUM(K77:N77)+SUM(P77:S77))</f>
        <v/>
      </c>
      <c r="U77" s="116" t="str">
        <f aca="false">IF($B77="","",الموظفون!$S77*IF(E77="سعودي",cfg_G_SE,cfg_G_NE)*G77/cfg_DAYS_M)</f>
        <v/>
      </c>
      <c r="V77" s="116" t="str">
        <f aca="false">IF($B77="","",SUMIFS('الحركات الشهرية'!$I$6:$I$1005,'الحركات الشهرية'!$B$6:$B$1005,$B77,'الحركات الشهرية'!$A$6:$A$1005,$C$3))</f>
        <v/>
      </c>
      <c r="W77" s="116" t="str">
        <f aca="false">IF($B77="","",SUMIFS('الحركات الشهرية'!$J$6:$J$1005,'الحركات الشهرية'!$B$6:$B$1005,$B77,'الحركات الشهرية'!$A$6:$A$1005,$C$3))</f>
        <v/>
      </c>
      <c r="X77" s="116" t="str">
        <f aca="false">IF($B77="","",SUM(U77:W77))</f>
        <v/>
      </c>
      <c r="Y77" s="158" t="str">
        <f aca="false">IF($B77="","",T77-X77)</f>
        <v/>
      </c>
      <c r="Z77" s="116" t="str">
        <f aca="false">IF($B77="","",الموظفون!$S77*IF(E77="سعودي",cfg_G_SR,cfg_G_NR)*G77/cfg_DAYS_M)</f>
        <v/>
      </c>
      <c r="AA77" s="116" t="str">
        <f aca="false">IF($B77="","",الموظفون!$Q77*(cfg_EOS_R1*(MIN(AH77,cfg_EOS_TH)-MIN(AI77,cfg_EOS_TH))+cfg_EOS_R2*(MAX(AH77-cfg_EOS_TH,0)-MAX(AI77-cfg_EOS_TH,0))))</f>
        <v/>
      </c>
      <c r="AB77" s="116" t="str">
        <f aca="false">IF($B77="","",IF(الموظفون!$T77&lt;&gt;"",الموظفون!$T77,IF(AH77&gt;=cfg_LV_TH,cfg_LV_D2,cfg_LV_D1))/cfg_DAYS_Y*AJ77*الموظفون!$R77/cfg_DAYS_M)</f>
        <v/>
      </c>
      <c r="AC77" s="116" t="str">
        <f aca="false">IF($B77="","",IF(AND(الموظفون!$U77="نعم",N(الموظفون!$W77)&gt;0),الموظفون!$V77/الموظفون!$W77*12/cfg_DAYS_Y*AJ77,0))</f>
        <v/>
      </c>
      <c r="AD77" s="116" t="str">
        <f aca="false">IF($B77="","",(IF(الموظفون!$X77&lt;&gt;"",الموظفون!$X77,IF(الموظفون!$E77="غير سعودي",cfg_IQ,0))+IF(الموظفون!$Y77&lt;&gt;"",الموظفون!$Y77,IF(الموظفون!$E77="غير سعودي",cfg_WP,0)))/12*G77/cfg_DAYS_M)</f>
        <v/>
      </c>
      <c r="AE77" s="116" t="str">
        <f aca="false">IF($B77="","",IF(الموظفون!$Z77&lt;&gt;"",الموظفون!$Z77,cfg_MED)/12*G77/cfg_DAYS_M)</f>
        <v/>
      </c>
      <c r="AF77" s="116" t="str">
        <f aca="false">IF($B77="","",N(الموظفون!$AA77)/12*G77/cfg_DAYS_M)</f>
        <v/>
      </c>
      <c r="AG77" s="159" t="str">
        <f aca="false">IF($B77="","",T77+SUM(Z77:AF77))</f>
        <v/>
      </c>
      <c r="AH77" s="160" t="str">
        <f aca="false">IF($B77="","",MAX(0,IF(OR(الموظفون!$AE77="",الموظفون!$AE77&gt;$F$3),$F$3,الموظفون!$AE77)-الموظفون!$H77+1-SUMIFS('سجل الإجازات والحالات'!$AL$6:$AL$505,'سجل الإجازات والحالات'!$B$6:$B$505,$B77))/cfg_DAYS_Y)</f>
        <v/>
      </c>
      <c r="AI77" s="160" t="str">
        <f aca="false">IF($B77="","",MAX(0,IF(OR(الموظفون!$AE77="",الموظفون!$AE77&gt;($E$3-1)),($E$3-1),الموظفون!$AE77)-الموظفون!$H77+1-SUMIFS('سجل الإجازات والحالات'!$AK$6:$AK$505,'سجل الإجازات والحالات'!$B$6:$B$505,$B77))/cfg_DAYS_Y)</f>
        <v/>
      </c>
      <c r="AJ77" s="133" t="str">
        <f aca="false">IF($B77="","",MAX(0,AK77-(SUMIFS('سجل الإجازات والحالات'!$AL$6:$AL$505,'سجل الإجازات والحالات'!$B$6:$B$505,$B77)-SUMIFS('سجل الإجازات والحالات'!$AK$6:$AK$505,'سجل الإجازات والحالات'!$B$6:$B$505,$B77))))</f>
        <v/>
      </c>
      <c r="AK77" s="133" t="str">
        <f aca="false">IF($B77="","",MAX(0,IF(OR(الموظفون!$AE77="",الموظفون!$AE77&gt;$F$3),$F$3,الموظفون!$AE77)-MAX($E$3,الموظفون!$H77)+1))</f>
        <v/>
      </c>
      <c r="AL77" s="156" t="str">
        <f aca="false">IF($B77="","",SUMIFS('سجل الإجازات والحالات'!$AX$6:$AX$505,'سجل الإجازات والحالات'!$B$6:$B$505,$B77)+SUMIFS('الحركات الشهرية'!$K$6:$K$1005,'الحركات الشهرية'!$B$6:$B$1005,$B77,'الحركات الشهرية'!$A$6:$A$1005,$C$3))</f>
        <v/>
      </c>
      <c r="AM77" s="116" t="str">
        <f aca="false">IF($B77="","",AL77*الموظفون!$R77/cfg_DAYS_M+S77)</f>
        <v/>
      </c>
      <c r="AN77" s="156" t="str">
        <f aca="false">IF($B77="","",SUMIFS('سجل الإجازات والحالات'!$Z$6:$Z$505,'سجل الإجازات والحالات'!$B$6:$B$505,$B77))</f>
        <v/>
      </c>
    </row>
    <row r="78" customFormat="false" ht="15" hidden="false" customHeight="false" outlineLevel="0" collapsed="false">
      <c r="A78" s="106" t="str">
        <f aca="false">IF($B78="","",الموظفون!$A78)</f>
        <v/>
      </c>
      <c r="B78" s="114" t="str">
        <f aca="false">IF(الموظفون!$B78="","",الموظفون!$B78)</f>
        <v/>
      </c>
      <c r="C78" s="114" t="str">
        <f aca="false">IF($B78="","",الموظفون!$C78)</f>
        <v/>
      </c>
      <c r="D78" s="114" t="str">
        <f aca="false">IF($B78="","",الموظفون!$F78)</f>
        <v/>
      </c>
      <c r="E78" s="114" t="str">
        <f aca="false">IF($B78="","",الموظفون!$E78)</f>
        <v/>
      </c>
      <c r="F78" s="114" t="str">
        <f aca="false">IF($B78="","",IF(AK78=0,IF(AND(الموظفون!$AE78&lt;&gt;"",الموظفون!$AE78&lt;$E$3),"✖ منتهي الخدمة","⏳ لم يباشر"),IF(S78&gt;0,"✈ راتب إجازة مقدم",IF(J78=0,"⛔ بدون راتب هذا الشهر",IF(I78&gt;0,"✈ خصم "&amp;ROUND(I78,2)&amp;" يوم بدون أجر",IF(AL78&gt;0,"🌴 إجازة سنوية "&amp;ROUND(AL78,2)&amp;" يوم",IF(H78&gt;0,"⚠ غياب "&amp;ROUND(H78,2)&amp;" يوم","✔ على رأس العمل")))))))</f>
        <v/>
      </c>
      <c r="G78" s="151" t="str">
        <f aca="false">IF($B78="","",IF(AK78&gt;=DAY($F$3),cfg_DAYS_M,MIN(AK78,cfg_DAYS_M)))</f>
        <v/>
      </c>
      <c r="H78" s="151" t="str">
        <f aca="false">IF($B78="","",SUMIFS('الحركات الشهرية'!$D$6:$D$1005,'الحركات الشهرية'!$B$6:$B$1005,$B78,'الحركات الشهرية'!$A$6:$A$1005,$C$3))</f>
        <v/>
      </c>
      <c r="I78" s="151" t="str">
        <f aca="false">IF($B78="","",MIN(G78,IF(AND(AK78&gt;0,AN78&gt;=AK78),G78,AN78)+SUMIFS('الحركات الشهرية'!$E$6:$E$1005,'الحركات الشهرية'!$B$6:$B$1005,$B78,'الحركات الشهرية'!$A$6:$A$1005,$C$3)))</f>
        <v/>
      </c>
      <c r="J78" s="151" t="str">
        <f aca="false">IF($B78="","",MAX(0,G78-H78-I78))</f>
        <v/>
      </c>
      <c r="K78" s="111" t="str">
        <f aca="false">IF($B78="","",الموظفون!$L78*$J78/cfg_DAYS_M)</f>
        <v/>
      </c>
      <c r="L78" s="111" t="str">
        <f aca="false">IF($B78="","",الموظفون!$M78*$J78/cfg_DAYS_M)</f>
        <v/>
      </c>
      <c r="M78" s="111" t="str">
        <f aca="false">IF($B78="","",الموظفون!$N78*$J78/cfg_DAYS_M)</f>
        <v/>
      </c>
      <c r="N78" s="111" t="str">
        <f aca="false">IF($B78="","",الموظفون!$O78*$J78/cfg_DAYS_M)</f>
        <v/>
      </c>
      <c r="O78" s="151" t="str">
        <f aca="false">IF($B78="","",SUMIFS('الحركات الشهرية'!$F$6:$F$1005,'الحركات الشهرية'!$B$6:$B$1005,$B78,'الحركات الشهرية'!$A$6:$A$1005,$C$3))</f>
        <v/>
      </c>
      <c r="P78" s="111" t="str">
        <f aca="false">IF($B78="","",O78*(الموظفون!$P78+الموظفون!$L78*cfg_OT_P)/cfg_DAYS_M/cfg_HRS)</f>
        <v/>
      </c>
      <c r="Q78" s="111" t="str">
        <f aca="false">IF($B78="","",SUMIFS('الحركات الشهرية'!$G$6:$G$1005,'الحركات الشهرية'!$B$6:$B$1005,$B78,'الحركات الشهرية'!$A$6:$A$1005,$C$3))</f>
        <v/>
      </c>
      <c r="R78" s="111" t="str">
        <f aca="false">IF($B78="","",SUMIFS('الحركات الشهرية'!$H$6:$H$1005,'الحركات الشهرية'!$B$6:$B$1005,$B78,'الحركات الشهرية'!$A$6:$A$1005,$C$3))</f>
        <v/>
      </c>
      <c r="S78" s="111" t="str">
        <f aca="false">IF($B78="","",SUMIFS('سجل الإجازات والحالات'!$N$6:$N$505,'سجل الإجازات والحالات'!$B$6:$B$505,$B78,'سجل الإجازات والحالات'!$O$6:$O$505,$C$3))</f>
        <v/>
      </c>
      <c r="T78" s="152" t="str">
        <f aca="false">IF($B78="","",SUM(K78:N78)+SUM(P78:S78))</f>
        <v/>
      </c>
      <c r="U78" s="111" t="str">
        <f aca="false">IF($B78="","",الموظفون!$S78*IF(E78="سعودي",cfg_G_SE,cfg_G_NE)*G78/cfg_DAYS_M)</f>
        <v/>
      </c>
      <c r="V78" s="111" t="str">
        <f aca="false">IF($B78="","",SUMIFS('الحركات الشهرية'!$I$6:$I$1005,'الحركات الشهرية'!$B$6:$B$1005,$B78,'الحركات الشهرية'!$A$6:$A$1005,$C$3))</f>
        <v/>
      </c>
      <c r="W78" s="111" t="str">
        <f aca="false">IF($B78="","",SUMIFS('الحركات الشهرية'!$J$6:$J$1005,'الحركات الشهرية'!$B$6:$B$1005,$B78,'الحركات الشهرية'!$A$6:$A$1005,$C$3))</f>
        <v/>
      </c>
      <c r="X78" s="111" t="str">
        <f aca="false">IF($B78="","",SUM(U78:W78))</f>
        <v/>
      </c>
      <c r="Y78" s="153" t="str">
        <f aca="false">IF($B78="","",T78-X78)</f>
        <v/>
      </c>
      <c r="Z78" s="111" t="str">
        <f aca="false">IF($B78="","",الموظفون!$S78*IF(E78="سعودي",cfg_G_SR,cfg_G_NR)*G78/cfg_DAYS_M)</f>
        <v/>
      </c>
      <c r="AA78" s="111" t="str">
        <f aca="false">IF($B78="","",الموظفون!$Q78*(cfg_EOS_R1*(MIN(AH78,cfg_EOS_TH)-MIN(AI78,cfg_EOS_TH))+cfg_EOS_R2*(MAX(AH78-cfg_EOS_TH,0)-MAX(AI78-cfg_EOS_TH,0))))</f>
        <v/>
      </c>
      <c r="AB78" s="111" t="str">
        <f aca="false">IF($B78="","",IF(الموظفون!$T78&lt;&gt;"",الموظفون!$T78,IF(AH78&gt;=cfg_LV_TH,cfg_LV_D2,cfg_LV_D1))/cfg_DAYS_Y*AJ78*الموظفون!$R78/cfg_DAYS_M)</f>
        <v/>
      </c>
      <c r="AC78" s="111" t="str">
        <f aca="false">IF($B78="","",IF(AND(الموظفون!$U78="نعم",N(الموظفون!$W78)&gt;0),الموظفون!$V78/الموظفون!$W78*12/cfg_DAYS_Y*AJ78,0))</f>
        <v/>
      </c>
      <c r="AD78" s="111" t="str">
        <f aca="false">IF($B78="","",(IF(الموظفون!$X78&lt;&gt;"",الموظفون!$X78,IF(الموظفون!$E78="غير سعودي",cfg_IQ,0))+IF(الموظفون!$Y78&lt;&gt;"",الموظفون!$Y78,IF(الموظفون!$E78="غير سعودي",cfg_WP,0)))/12*G78/cfg_DAYS_M)</f>
        <v/>
      </c>
      <c r="AE78" s="111" t="str">
        <f aca="false">IF($B78="","",IF(الموظفون!$Z78&lt;&gt;"",الموظفون!$Z78,cfg_MED)/12*G78/cfg_DAYS_M)</f>
        <v/>
      </c>
      <c r="AF78" s="111" t="str">
        <f aca="false">IF($B78="","",N(الموظفون!$AA78)/12*G78/cfg_DAYS_M)</f>
        <v/>
      </c>
      <c r="AG78" s="154" t="str">
        <f aca="false">IF($B78="","",T78+SUM(Z78:AF78))</f>
        <v/>
      </c>
      <c r="AH78" s="155" t="str">
        <f aca="false">IF($B78="","",MAX(0,IF(OR(الموظفون!$AE78="",الموظفون!$AE78&gt;$F$3),$F$3,الموظفون!$AE78)-الموظفون!$H78+1-SUMIFS('سجل الإجازات والحالات'!$AL$6:$AL$505,'سجل الإجازات والحالات'!$B$6:$B$505,$B78))/cfg_DAYS_Y)</f>
        <v/>
      </c>
      <c r="AI78" s="155" t="str">
        <f aca="false">IF($B78="","",MAX(0,IF(OR(الموظفون!$AE78="",الموظفون!$AE78&gt;($E$3-1)),($E$3-1),الموظفون!$AE78)-الموظفون!$H78+1-SUMIFS('سجل الإجازات والحالات'!$AK$6:$AK$505,'سجل الإجازات والحالات'!$B$6:$B$505,$B78))/cfg_DAYS_Y)</f>
        <v/>
      </c>
      <c r="AJ78" s="65" t="str">
        <f aca="false">IF($B78="","",MAX(0,AK78-(SUMIFS('سجل الإجازات والحالات'!$AL$6:$AL$505,'سجل الإجازات والحالات'!$B$6:$B$505,$B78)-SUMIFS('سجل الإجازات والحالات'!$AK$6:$AK$505,'سجل الإجازات والحالات'!$B$6:$B$505,$B78))))</f>
        <v/>
      </c>
      <c r="AK78" s="65" t="str">
        <f aca="false">IF($B78="","",MAX(0,IF(OR(الموظفون!$AE78="",الموظفون!$AE78&gt;$F$3),$F$3,الموظفون!$AE78)-MAX($E$3,الموظفون!$H78)+1))</f>
        <v/>
      </c>
      <c r="AL78" s="151" t="str">
        <f aca="false">IF($B78="","",SUMIFS('سجل الإجازات والحالات'!$AX$6:$AX$505,'سجل الإجازات والحالات'!$B$6:$B$505,$B78)+SUMIFS('الحركات الشهرية'!$K$6:$K$1005,'الحركات الشهرية'!$B$6:$B$1005,$B78,'الحركات الشهرية'!$A$6:$A$1005,$C$3))</f>
        <v/>
      </c>
      <c r="AM78" s="111" t="str">
        <f aca="false">IF($B78="","",AL78*الموظفون!$R78/cfg_DAYS_M+S78)</f>
        <v/>
      </c>
      <c r="AN78" s="151" t="str">
        <f aca="false">IF($B78="","",SUMIFS('سجل الإجازات والحالات'!$Z$6:$Z$505,'سجل الإجازات والحالات'!$B$6:$B$505,$B78))</f>
        <v/>
      </c>
    </row>
    <row r="79" customFormat="false" ht="15" hidden="false" customHeight="false" outlineLevel="0" collapsed="false">
      <c r="A79" s="115" t="str">
        <f aca="false">IF($B79="","",الموظفون!$A79)</f>
        <v/>
      </c>
      <c r="B79" s="117" t="str">
        <f aca="false">IF(الموظفون!$B79="","",الموظفون!$B79)</f>
        <v/>
      </c>
      <c r="C79" s="117" t="str">
        <f aca="false">IF($B79="","",الموظفون!$C79)</f>
        <v/>
      </c>
      <c r="D79" s="117" t="str">
        <f aca="false">IF($B79="","",الموظفون!$F79)</f>
        <v/>
      </c>
      <c r="E79" s="117" t="str">
        <f aca="false">IF($B79="","",الموظفون!$E79)</f>
        <v/>
      </c>
      <c r="F79" s="117" t="str">
        <f aca="false">IF($B79="","",IF(AK79=0,IF(AND(الموظفون!$AE79&lt;&gt;"",الموظفون!$AE79&lt;$E$3),"✖ منتهي الخدمة","⏳ لم يباشر"),IF(S79&gt;0,"✈ راتب إجازة مقدم",IF(J79=0,"⛔ بدون راتب هذا الشهر",IF(I79&gt;0,"✈ خصم "&amp;ROUND(I79,2)&amp;" يوم بدون أجر",IF(AL79&gt;0,"🌴 إجازة سنوية "&amp;ROUND(AL79,2)&amp;" يوم",IF(H79&gt;0,"⚠ غياب "&amp;ROUND(H79,2)&amp;" يوم","✔ على رأس العمل")))))))</f>
        <v/>
      </c>
      <c r="G79" s="156" t="str">
        <f aca="false">IF($B79="","",IF(AK79&gt;=DAY($F$3),cfg_DAYS_M,MIN(AK79,cfg_DAYS_M)))</f>
        <v/>
      </c>
      <c r="H79" s="156" t="str">
        <f aca="false">IF($B79="","",SUMIFS('الحركات الشهرية'!$D$6:$D$1005,'الحركات الشهرية'!$B$6:$B$1005,$B79,'الحركات الشهرية'!$A$6:$A$1005,$C$3))</f>
        <v/>
      </c>
      <c r="I79" s="156" t="str">
        <f aca="false">IF($B79="","",MIN(G79,IF(AND(AK79&gt;0,AN79&gt;=AK79),G79,AN79)+SUMIFS('الحركات الشهرية'!$E$6:$E$1005,'الحركات الشهرية'!$B$6:$B$1005,$B79,'الحركات الشهرية'!$A$6:$A$1005,$C$3)))</f>
        <v/>
      </c>
      <c r="J79" s="156" t="str">
        <f aca="false">IF($B79="","",MAX(0,G79-H79-I79))</f>
        <v/>
      </c>
      <c r="K79" s="116" t="str">
        <f aca="false">IF($B79="","",الموظفون!$L79*$J79/cfg_DAYS_M)</f>
        <v/>
      </c>
      <c r="L79" s="116" t="str">
        <f aca="false">IF($B79="","",الموظفون!$M79*$J79/cfg_DAYS_M)</f>
        <v/>
      </c>
      <c r="M79" s="116" t="str">
        <f aca="false">IF($B79="","",الموظفون!$N79*$J79/cfg_DAYS_M)</f>
        <v/>
      </c>
      <c r="N79" s="116" t="str">
        <f aca="false">IF($B79="","",الموظفون!$O79*$J79/cfg_DAYS_M)</f>
        <v/>
      </c>
      <c r="O79" s="156" t="str">
        <f aca="false">IF($B79="","",SUMIFS('الحركات الشهرية'!$F$6:$F$1005,'الحركات الشهرية'!$B$6:$B$1005,$B79,'الحركات الشهرية'!$A$6:$A$1005,$C$3))</f>
        <v/>
      </c>
      <c r="P79" s="116" t="str">
        <f aca="false">IF($B79="","",O79*(الموظفون!$P79+الموظفون!$L79*cfg_OT_P)/cfg_DAYS_M/cfg_HRS)</f>
        <v/>
      </c>
      <c r="Q79" s="116" t="str">
        <f aca="false">IF($B79="","",SUMIFS('الحركات الشهرية'!$G$6:$G$1005,'الحركات الشهرية'!$B$6:$B$1005,$B79,'الحركات الشهرية'!$A$6:$A$1005,$C$3))</f>
        <v/>
      </c>
      <c r="R79" s="116" t="str">
        <f aca="false">IF($B79="","",SUMIFS('الحركات الشهرية'!$H$6:$H$1005,'الحركات الشهرية'!$B$6:$B$1005,$B79,'الحركات الشهرية'!$A$6:$A$1005,$C$3))</f>
        <v/>
      </c>
      <c r="S79" s="116" t="str">
        <f aca="false">IF($B79="","",SUMIFS('سجل الإجازات والحالات'!$N$6:$N$505,'سجل الإجازات والحالات'!$B$6:$B$505,$B79,'سجل الإجازات والحالات'!$O$6:$O$505,$C$3))</f>
        <v/>
      </c>
      <c r="T79" s="157" t="str">
        <f aca="false">IF($B79="","",SUM(K79:N79)+SUM(P79:S79))</f>
        <v/>
      </c>
      <c r="U79" s="116" t="str">
        <f aca="false">IF($B79="","",الموظفون!$S79*IF(E79="سعودي",cfg_G_SE,cfg_G_NE)*G79/cfg_DAYS_M)</f>
        <v/>
      </c>
      <c r="V79" s="116" t="str">
        <f aca="false">IF($B79="","",SUMIFS('الحركات الشهرية'!$I$6:$I$1005,'الحركات الشهرية'!$B$6:$B$1005,$B79,'الحركات الشهرية'!$A$6:$A$1005,$C$3))</f>
        <v/>
      </c>
      <c r="W79" s="116" t="str">
        <f aca="false">IF($B79="","",SUMIFS('الحركات الشهرية'!$J$6:$J$1005,'الحركات الشهرية'!$B$6:$B$1005,$B79,'الحركات الشهرية'!$A$6:$A$1005,$C$3))</f>
        <v/>
      </c>
      <c r="X79" s="116" t="str">
        <f aca="false">IF($B79="","",SUM(U79:W79))</f>
        <v/>
      </c>
      <c r="Y79" s="158" t="str">
        <f aca="false">IF($B79="","",T79-X79)</f>
        <v/>
      </c>
      <c r="Z79" s="116" t="str">
        <f aca="false">IF($B79="","",الموظفون!$S79*IF(E79="سعودي",cfg_G_SR,cfg_G_NR)*G79/cfg_DAYS_M)</f>
        <v/>
      </c>
      <c r="AA79" s="116" t="str">
        <f aca="false">IF($B79="","",الموظفون!$Q79*(cfg_EOS_R1*(MIN(AH79,cfg_EOS_TH)-MIN(AI79,cfg_EOS_TH))+cfg_EOS_R2*(MAX(AH79-cfg_EOS_TH,0)-MAX(AI79-cfg_EOS_TH,0))))</f>
        <v/>
      </c>
      <c r="AB79" s="116" t="str">
        <f aca="false">IF($B79="","",IF(الموظفون!$T79&lt;&gt;"",الموظفون!$T79,IF(AH79&gt;=cfg_LV_TH,cfg_LV_D2,cfg_LV_D1))/cfg_DAYS_Y*AJ79*الموظفون!$R79/cfg_DAYS_M)</f>
        <v/>
      </c>
      <c r="AC79" s="116" t="str">
        <f aca="false">IF($B79="","",IF(AND(الموظفون!$U79="نعم",N(الموظفون!$W79)&gt;0),الموظفون!$V79/الموظفون!$W79*12/cfg_DAYS_Y*AJ79,0))</f>
        <v/>
      </c>
      <c r="AD79" s="116" t="str">
        <f aca="false">IF($B79="","",(IF(الموظفون!$X79&lt;&gt;"",الموظفون!$X79,IF(الموظفون!$E79="غير سعودي",cfg_IQ,0))+IF(الموظفون!$Y79&lt;&gt;"",الموظفون!$Y79,IF(الموظفون!$E79="غير سعودي",cfg_WP,0)))/12*G79/cfg_DAYS_M)</f>
        <v/>
      </c>
      <c r="AE79" s="116" t="str">
        <f aca="false">IF($B79="","",IF(الموظفون!$Z79&lt;&gt;"",الموظفون!$Z79,cfg_MED)/12*G79/cfg_DAYS_M)</f>
        <v/>
      </c>
      <c r="AF79" s="116" t="str">
        <f aca="false">IF($B79="","",N(الموظفون!$AA79)/12*G79/cfg_DAYS_M)</f>
        <v/>
      </c>
      <c r="AG79" s="159" t="str">
        <f aca="false">IF($B79="","",T79+SUM(Z79:AF79))</f>
        <v/>
      </c>
      <c r="AH79" s="160" t="str">
        <f aca="false">IF($B79="","",MAX(0,IF(OR(الموظفون!$AE79="",الموظفون!$AE79&gt;$F$3),$F$3,الموظفون!$AE79)-الموظفون!$H79+1-SUMIFS('سجل الإجازات والحالات'!$AL$6:$AL$505,'سجل الإجازات والحالات'!$B$6:$B$505,$B79))/cfg_DAYS_Y)</f>
        <v/>
      </c>
      <c r="AI79" s="160" t="str">
        <f aca="false">IF($B79="","",MAX(0,IF(OR(الموظفون!$AE79="",الموظفون!$AE79&gt;($E$3-1)),($E$3-1),الموظفون!$AE79)-الموظفون!$H79+1-SUMIFS('سجل الإجازات والحالات'!$AK$6:$AK$505,'سجل الإجازات والحالات'!$B$6:$B$505,$B79))/cfg_DAYS_Y)</f>
        <v/>
      </c>
      <c r="AJ79" s="133" t="str">
        <f aca="false">IF($B79="","",MAX(0,AK79-(SUMIFS('سجل الإجازات والحالات'!$AL$6:$AL$505,'سجل الإجازات والحالات'!$B$6:$B$505,$B79)-SUMIFS('سجل الإجازات والحالات'!$AK$6:$AK$505,'سجل الإجازات والحالات'!$B$6:$B$505,$B79))))</f>
        <v/>
      </c>
      <c r="AK79" s="133" t="str">
        <f aca="false">IF($B79="","",MAX(0,IF(OR(الموظفون!$AE79="",الموظفون!$AE79&gt;$F$3),$F$3,الموظفون!$AE79)-MAX($E$3,الموظفون!$H79)+1))</f>
        <v/>
      </c>
      <c r="AL79" s="156" t="str">
        <f aca="false">IF($B79="","",SUMIFS('سجل الإجازات والحالات'!$AX$6:$AX$505,'سجل الإجازات والحالات'!$B$6:$B$505,$B79)+SUMIFS('الحركات الشهرية'!$K$6:$K$1005,'الحركات الشهرية'!$B$6:$B$1005,$B79,'الحركات الشهرية'!$A$6:$A$1005,$C$3))</f>
        <v/>
      </c>
      <c r="AM79" s="116" t="str">
        <f aca="false">IF($B79="","",AL79*الموظفون!$R79/cfg_DAYS_M+S79)</f>
        <v/>
      </c>
      <c r="AN79" s="156" t="str">
        <f aca="false">IF($B79="","",SUMIFS('سجل الإجازات والحالات'!$Z$6:$Z$505,'سجل الإجازات والحالات'!$B$6:$B$505,$B79))</f>
        <v/>
      </c>
    </row>
    <row r="80" customFormat="false" ht="15" hidden="false" customHeight="false" outlineLevel="0" collapsed="false">
      <c r="A80" s="106" t="str">
        <f aca="false">IF($B80="","",الموظفون!$A80)</f>
        <v/>
      </c>
      <c r="B80" s="114" t="str">
        <f aca="false">IF(الموظفون!$B80="","",الموظفون!$B80)</f>
        <v/>
      </c>
      <c r="C80" s="114" t="str">
        <f aca="false">IF($B80="","",الموظفون!$C80)</f>
        <v/>
      </c>
      <c r="D80" s="114" t="str">
        <f aca="false">IF($B80="","",الموظفون!$F80)</f>
        <v/>
      </c>
      <c r="E80" s="114" t="str">
        <f aca="false">IF($B80="","",الموظفون!$E80)</f>
        <v/>
      </c>
      <c r="F80" s="114" t="str">
        <f aca="false">IF($B80="","",IF(AK80=0,IF(AND(الموظفون!$AE80&lt;&gt;"",الموظفون!$AE80&lt;$E$3),"✖ منتهي الخدمة","⏳ لم يباشر"),IF(S80&gt;0,"✈ راتب إجازة مقدم",IF(J80=0,"⛔ بدون راتب هذا الشهر",IF(I80&gt;0,"✈ خصم "&amp;ROUND(I80,2)&amp;" يوم بدون أجر",IF(AL80&gt;0,"🌴 إجازة سنوية "&amp;ROUND(AL80,2)&amp;" يوم",IF(H80&gt;0,"⚠ غياب "&amp;ROUND(H80,2)&amp;" يوم","✔ على رأس العمل")))))))</f>
        <v/>
      </c>
      <c r="G80" s="151" t="str">
        <f aca="false">IF($B80="","",IF(AK80&gt;=DAY($F$3),cfg_DAYS_M,MIN(AK80,cfg_DAYS_M)))</f>
        <v/>
      </c>
      <c r="H80" s="151" t="str">
        <f aca="false">IF($B80="","",SUMIFS('الحركات الشهرية'!$D$6:$D$1005,'الحركات الشهرية'!$B$6:$B$1005,$B80,'الحركات الشهرية'!$A$6:$A$1005,$C$3))</f>
        <v/>
      </c>
      <c r="I80" s="151" t="str">
        <f aca="false">IF($B80="","",MIN(G80,IF(AND(AK80&gt;0,AN80&gt;=AK80),G80,AN80)+SUMIFS('الحركات الشهرية'!$E$6:$E$1005,'الحركات الشهرية'!$B$6:$B$1005,$B80,'الحركات الشهرية'!$A$6:$A$1005,$C$3)))</f>
        <v/>
      </c>
      <c r="J80" s="151" t="str">
        <f aca="false">IF($B80="","",MAX(0,G80-H80-I80))</f>
        <v/>
      </c>
      <c r="K80" s="111" t="str">
        <f aca="false">IF($B80="","",الموظفون!$L80*$J80/cfg_DAYS_M)</f>
        <v/>
      </c>
      <c r="L80" s="111" t="str">
        <f aca="false">IF($B80="","",الموظفون!$M80*$J80/cfg_DAYS_M)</f>
        <v/>
      </c>
      <c r="M80" s="111" t="str">
        <f aca="false">IF($B80="","",الموظفون!$N80*$J80/cfg_DAYS_M)</f>
        <v/>
      </c>
      <c r="N80" s="111" t="str">
        <f aca="false">IF($B80="","",الموظفون!$O80*$J80/cfg_DAYS_M)</f>
        <v/>
      </c>
      <c r="O80" s="151" t="str">
        <f aca="false">IF($B80="","",SUMIFS('الحركات الشهرية'!$F$6:$F$1005,'الحركات الشهرية'!$B$6:$B$1005,$B80,'الحركات الشهرية'!$A$6:$A$1005,$C$3))</f>
        <v/>
      </c>
      <c r="P80" s="111" t="str">
        <f aca="false">IF($B80="","",O80*(الموظفون!$P80+الموظفون!$L80*cfg_OT_P)/cfg_DAYS_M/cfg_HRS)</f>
        <v/>
      </c>
      <c r="Q80" s="111" t="str">
        <f aca="false">IF($B80="","",SUMIFS('الحركات الشهرية'!$G$6:$G$1005,'الحركات الشهرية'!$B$6:$B$1005,$B80,'الحركات الشهرية'!$A$6:$A$1005,$C$3))</f>
        <v/>
      </c>
      <c r="R80" s="111" t="str">
        <f aca="false">IF($B80="","",SUMIFS('الحركات الشهرية'!$H$6:$H$1005,'الحركات الشهرية'!$B$6:$B$1005,$B80,'الحركات الشهرية'!$A$6:$A$1005,$C$3))</f>
        <v/>
      </c>
      <c r="S80" s="111" t="str">
        <f aca="false">IF($B80="","",SUMIFS('سجل الإجازات والحالات'!$N$6:$N$505,'سجل الإجازات والحالات'!$B$6:$B$505,$B80,'سجل الإجازات والحالات'!$O$6:$O$505,$C$3))</f>
        <v/>
      </c>
      <c r="T80" s="152" t="str">
        <f aca="false">IF($B80="","",SUM(K80:N80)+SUM(P80:S80))</f>
        <v/>
      </c>
      <c r="U80" s="111" t="str">
        <f aca="false">IF($B80="","",الموظفون!$S80*IF(E80="سعودي",cfg_G_SE,cfg_G_NE)*G80/cfg_DAYS_M)</f>
        <v/>
      </c>
      <c r="V80" s="111" t="str">
        <f aca="false">IF($B80="","",SUMIFS('الحركات الشهرية'!$I$6:$I$1005,'الحركات الشهرية'!$B$6:$B$1005,$B80,'الحركات الشهرية'!$A$6:$A$1005,$C$3))</f>
        <v/>
      </c>
      <c r="W80" s="111" t="str">
        <f aca="false">IF($B80="","",SUMIFS('الحركات الشهرية'!$J$6:$J$1005,'الحركات الشهرية'!$B$6:$B$1005,$B80,'الحركات الشهرية'!$A$6:$A$1005,$C$3))</f>
        <v/>
      </c>
      <c r="X80" s="111" t="str">
        <f aca="false">IF($B80="","",SUM(U80:W80))</f>
        <v/>
      </c>
      <c r="Y80" s="153" t="str">
        <f aca="false">IF($B80="","",T80-X80)</f>
        <v/>
      </c>
      <c r="Z80" s="111" t="str">
        <f aca="false">IF($B80="","",الموظفون!$S80*IF(E80="سعودي",cfg_G_SR,cfg_G_NR)*G80/cfg_DAYS_M)</f>
        <v/>
      </c>
      <c r="AA80" s="111" t="str">
        <f aca="false">IF($B80="","",الموظفون!$Q80*(cfg_EOS_R1*(MIN(AH80,cfg_EOS_TH)-MIN(AI80,cfg_EOS_TH))+cfg_EOS_R2*(MAX(AH80-cfg_EOS_TH,0)-MAX(AI80-cfg_EOS_TH,0))))</f>
        <v/>
      </c>
      <c r="AB80" s="111" t="str">
        <f aca="false">IF($B80="","",IF(الموظفون!$T80&lt;&gt;"",الموظفون!$T80,IF(AH80&gt;=cfg_LV_TH,cfg_LV_D2,cfg_LV_D1))/cfg_DAYS_Y*AJ80*الموظفون!$R80/cfg_DAYS_M)</f>
        <v/>
      </c>
      <c r="AC80" s="111" t="str">
        <f aca="false">IF($B80="","",IF(AND(الموظفون!$U80="نعم",N(الموظفون!$W80)&gt;0),الموظفون!$V80/الموظفون!$W80*12/cfg_DAYS_Y*AJ80,0))</f>
        <v/>
      </c>
      <c r="AD80" s="111" t="str">
        <f aca="false">IF($B80="","",(IF(الموظفون!$X80&lt;&gt;"",الموظفون!$X80,IF(الموظفون!$E80="غير سعودي",cfg_IQ,0))+IF(الموظفون!$Y80&lt;&gt;"",الموظفون!$Y80,IF(الموظفون!$E80="غير سعودي",cfg_WP,0)))/12*G80/cfg_DAYS_M)</f>
        <v/>
      </c>
      <c r="AE80" s="111" t="str">
        <f aca="false">IF($B80="","",IF(الموظفون!$Z80&lt;&gt;"",الموظفون!$Z80,cfg_MED)/12*G80/cfg_DAYS_M)</f>
        <v/>
      </c>
      <c r="AF80" s="111" t="str">
        <f aca="false">IF($B80="","",N(الموظفون!$AA80)/12*G80/cfg_DAYS_M)</f>
        <v/>
      </c>
      <c r="AG80" s="154" t="str">
        <f aca="false">IF($B80="","",T80+SUM(Z80:AF80))</f>
        <v/>
      </c>
      <c r="AH80" s="155" t="str">
        <f aca="false">IF($B80="","",MAX(0,IF(OR(الموظفون!$AE80="",الموظفون!$AE80&gt;$F$3),$F$3,الموظفون!$AE80)-الموظفون!$H80+1-SUMIFS('سجل الإجازات والحالات'!$AL$6:$AL$505,'سجل الإجازات والحالات'!$B$6:$B$505,$B80))/cfg_DAYS_Y)</f>
        <v/>
      </c>
      <c r="AI80" s="155" t="str">
        <f aca="false">IF($B80="","",MAX(0,IF(OR(الموظفون!$AE80="",الموظفون!$AE80&gt;($E$3-1)),($E$3-1),الموظفون!$AE80)-الموظفون!$H80+1-SUMIFS('سجل الإجازات والحالات'!$AK$6:$AK$505,'سجل الإجازات والحالات'!$B$6:$B$505,$B80))/cfg_DAYS_Y)</f>
        <v/>
      </c>
      <c r="AJ80" s="65" t="str">
        <f aca="false">IF($B80="","",MAX(0,AK80-(SUMIFS('سجل الإجازات والحالات'!$AL$6:$AL$505,'سجل الإجازات والحالات'!$B$6:$B$505,$B80)-SUMIFS('سجل الإجازات والحالات'!$AK$6:$AK$505,'سجل الإجازات والحالات'!$B$6:$B$505,$B80))))</f>
        <v/>
      </c>
      <c r="AK80" s="65" t="str">
        <f aca="false">IF($B80="","",MAX(0,IF(OR(الموظفون!$AE80="",الموظفون!$AE80&gt;$F$3),$F$3,الموظفون!$AE80)-MAX($E$3,الموظفون!$H80)+1))</f>
        <v/>
      </c>
      <c r="AL80" s="151" t="str">
        <f aca="false">IF($B80="","",SUMIFS('سجل الإجازات والحالات'!$AX$6:$AX$505,'سجل الإجازات والحالات'!$B$6:$B$505,$B80)+SUMIFS('الحركات الشهرية'!$K$6:$K$1005,'الحركات الشهرية'!$B$6:$B$1005,$B80,'الحركات الشهرية'!$A$6:$A$1005,$C$3))</f>
        <v/>
      </c>
      <c r="AM80" s="111" t="str">
        <f aca="false">IF($B80="","",AL80*الموظفون!$R80/cfg_DAYS_M+S80)</f>
        <v/>
      </c>
      <c r="AN80" s="151" t="str">
        <f aca="false">IF($B80="","",SUMIFS('سجل الإجازات والحالات'!$Z$6:$Z$505,'سجل الإجازات والحالات'!$B$6:$B$505,$B80))</f>
        <v/>
      </c>
    </row>
    <row r="81" customFormat="false" ht="15" hidden="false" customHeight="false" outlineLevel="0" collapsed="false">
      <c r="A81" s="115" t="str">
        <f aca="false">IF($B81="","",الموظفون!$A81)</f>
        <v/>
      </c>
      <c r="B81" s="117" t="str">
        <f aca="false">IF(الموظفون!$B81="","",الموظفون!$B81)</f>
        <v/>
      </c>
      <c r="C81" s="117" t="str">
        <f aca="false">IF($B81="","",الموظفون!$C81)</f>
        <v/>
      </c>
      <c r="D81" s="117" t="str">
        <f aca="false">IF($B81="","",الموظفون!$F81)</f>
        <v/>
      </c>
      <c r="E81" s="117" t="str">
        <f aca="false">IF($B81="","",الموظفون!$E81)</f>
        <v/>
      </c>
      <c r="F81" s="117" t="str">
        <f aca="false">IF($B81="","",IF(AK81=0,IF(AND(الموظفون!$AE81&lt;&gt;"",الموظفون!$AE81&lt;$E$3),"✖ منتهي الخدمة","⏳ لم يباشر"),IF(S81&gt;0,"✈ راتب إجازة مقدم",IF(J81=0,"⛔ بدون راتب هذا الشهر",IF(I81&gt;0,"✈ خصم "&amp;ROUND(I81,2)&amp;" يوم بدون أجر",IF(AL81&gt;0,"🌴 إجازة سنوية "&amp;ROUND(AL81,2)&amp;" يوم",IF(H81&gt;0,"⚠ غياب "&amp;ROUND(H81,2)&amp;" يوم","✔ على رأس العمل")))))))</f>
        <v/>
      </c>
      <c r="G81" s="156" t="str">
        <f aca="false">IF($B81="","",IF(AK81&gt;=DAY($F$3),cfg_DAYS_M,MIN(AK81,cfg_DAYS_M)))</f>
        <v/>
      </c>
      <c r="H81" s="156" t="str">
        <f aca="false">IF($B81="","",SUMIFS('الحركات الشهرية'!$D$6:$D$1005,'الحركات الشهرية'!$B$6:$B$1005,$B81,'الحركات الشهرية'!$A$6:$A$1005,$C$3))</f>
        <v/>
      </c>
      <c r="I81" s="156" t="str">
        <f aca="false">IF($B81="","",MIN(G81,IF(AND(AK81&gt;0,AN81&gt;=AK81),G81,AN81)+SUMIFS('الحركات الشهرية'!$E$6:$E$1005,'الحركات الشهرية'!$B$6:$B$1005,$B81,'الحركات الشهرية'!$A$6:$A$1005,$C$3)))</f>
        <v/>
      </c>
      <c r="J81" s="156" t="str">
        <f aca="false">IF($B81="","",MAX(0,G81-H81-I81))</f>
        <v/>
      </c>
      <c r="K81" s="116" t="str">
        <f aca="false">IF($B81="","",الموظفون!$L81*$J81/cfg_DAYS_M)</f>
        <v/>
      </c>
      <c r="L81" s="116" t="str">
        <f aca="false">IF($B81="","",الموظفون!$M81*$J81/cfg_DAYS_M)</f>
        <v/>
      </c>
      <c r="M81" s="116" t="str">
        <f aca="false">IF($B81="","",الموظفون!$N81*$J81/cfg_DAYS_M)</f>
        <v/>
      </c>
      <c r="N81" s="116" t="str">
        <f aca="false">IF($B81="","",الموظفون!$O81*$J81/cfg_DAYS_M)</f>
        <v/>
      </c>
      <c r="O81" s="156" t="str">
        <f aca="false">IF($B81="","",SUMIFS('الحركات الشهرية'!$F$6:$F$1005,'الحركات الشهرية'!$B$6:$B$1005,$B81,'الحركات الشهرية'!$A$6:$A$1005,$C$3))</f>
        <v/>
      </c>
      <c r="P81" s="116" t="str">
        <f aca="false">IF($B81="","",O81*(الموظفون!$P81+الموظفون!$L81*cfg_OT_P)/cfg_DAYS_M/cfg_HRS)</f>
        <v/>
      </c>
      <c r="Q81" s="116" t="str">
        <f aca="false">IF($B81="","",SUMIFS('الحركات الشهرية'!$G$6:$G$1005,'الحركات الشهرية'!$B$6:$B$1005,$B81,'الحركات الشهرية'!$A$6:$A$1005,$C$3))</f>
        <v/>
      </c>
      <c r="R81" s="116" t="str">
        <f aca="false">IF($B81="","",SUMIFS('الحركات الشهرية'!$H$6:$H$1005,'الحركات الشهرية'!$B$6:$B$1005,$B81,'الحركات الشهرية'!$A$6:$A$1005,$C$3))</f>
        <v/>
      </c>
      <c r="S81" s="116" t="str">
        <f aca="false">IF($B81="","",SUMIFS('سجل الإجازات والحالات'!$N$6:$N$505,'سجل الإجازات والحالات'!$B$6:$B$505,$B81,'سجل الإجازات والحالات'!$O$6:$O$505,$C$3))</f>
        <v/>
      </c>
      <c r="T81" s="157" t="str">
        <f aca="false">IF($B81="","",SUM(K81:N81)+SUM(P81:S81))</f>
        <v/>
      </c>
      <c r="U81" s="116" t="str">
        <f aca="false">IF($B81="","",الموظفون!$S81*IF(E81="سعودي",cfg_G_SE,cfg_G_NE)*G81/cfg_DAYS_M)</f>
        <v/>
      </c>
      <c r="V81" s="116" t="str">
        <f aca="false">IF($B81="","",SUMIFS('الحركات الشهرية'!$I$6:$I$1005,'الحركات الشهرية'!$B$6:$B$1005,$B81,'الحركات الشهرية'!$A$6:$A$1005,$C$3))</f>
        <v/>
      </c>
      <c r="W81" s="116" t="str">
        <f aca="false">IF($B81="","",SUMIFS('الحركات الشهرية'!$J$6:$J$1005,'الحركات الشهرية'!$B$6:$B$1005,$B81,'الحركات الشهرية'!$A$6:$A$1005,$C$3))</f>
        <v/>
      </c>
      <c r="X81" s="116" t="str">
        <f aca="false">IF($B81="","",SUM(U81:W81))</f>
        <v/>
      </c>
      <c r="Y81" s="158" t="str">
        <f aca="false">IF($B81="","",T81-X81)</f>
        <v/>
      </c>
      <c r="Z81" s="116" t="str">
        <f aca="false">IF($B81="","",الموظفون!$S81*IF(E81="سعودي",cfg_G_SR,cfg_G_NR)*G81/cfg_DAYS_M)</f>
        <v/>
      </c>
      <c r="AA81" s="116" t="str">
        <f aca="false">IF($B81="","",الموظفون!$Q81*(cfg_EOS_R1*(MIN(AH81,cfg_EOS_TH)-MIN(AI81,cfg_EOS_TH))+cfg_EOS_R2*(MAX(AH81-cfg_EOS_TH,0)-MAX(AI81-cfg_EOS_TH,0))))</f>
        <v/>
      </c>
      <c r="AB81" s="116" t="str">
        <f aca="false">IF($B81="","",IF(الموظفون!$T81&lt;&gt;"",الموظفون!$T81,IF(AH81&gt;=cfg_LV_TH,cfg_LV_D2,cfg_LV_D1))/cfg_DAYS_Y*AJ81*الموظفون!$R81/cfg_DAYS_M)</f>
        <v/>
      </c>
      <c r="AC81" s="116" t="str">
        <f aca="false">IF($B81="","",IF(AND(الموظفون!$U81="نعم",N(الموظفون!$W81)&gt;0),الموظفون!$V81/الموظفون!$W81*12/cfg_DAYS_Y*AJ81,0))</f>
        <v/>
      </c>
      <c r="AD81" s="116" t="str">
        <f aca="false">IF($B81="","",(IF(الموظفون!$X81&lt;&gt;"",الموظفون!$X81,IF(الموظفون!$E81="غير سعودي",cfg_IQ,0))+IF(الموظفون!$Y81&lt;&gt;"",الموظفون!$Y81,IF(الموظفون!$E81="غير سعودي",cfg_WP,0)))/12*G81/cfg_DAYS_M)</f>
        <v/>
      </c>
      <c r="AE81" s="116" t="str">
        <f aca="false">IF($B81="","",IF(الموظفون!$Z81&lt;&gt;"",الموظفون!$Z81,cfg_MED)/12*G81/cfg_DAYS_M)</f>
        <v/>
      </c>
      <c r="AF81" s="116" t="str">
        <f aca="false">IF($B81="","",N(الموظفون!$AA81)/12*G81/cfg_DAYS_M)</f>
        <v/>
      </c>
      <c r="AG81" s="159" t="str">
        <f aca="false">IF($B81="","",T81+SUM(Z81:AF81))</f>
        <v/>
      </c>
      <c r="AH81" s="160" t="str">
        <f aca="false">IF($B81="","",MAX(0,IF(OR(الموظفون!$AE81="",الموظفون!$AE81&gt;$F$3),$F$3,الموظفون!$AE81)-الموظفون!$H81+1-SUMIFS('سجل الإجازات والحالات'!$AL$6:$AL$505,'سجل الإجازات والحالات'!$B$6:$B$505,$B81))/cfg_DAYS_Y)</f>
        <v/>
      </c>
      <c r="AI81" s="160" t="str">
        <f aca="false">IF($B81="","",MAX(0,IF(OR(الموظفون!$AE81="",الموظفون!$AE81&gt;($E$3-1)),($E$3-1),الموظفون!$AE81)-الموظفون!$H81+1-SUMIFS('سجل الإجازات والحالات'!$AK$6:$AK$505,'سجل الإجازات والحالات'!$B$6:$B$505,$B81))/cfg_DAYS_Y)</f>
        <v/>
      </c>
      <c r="AJ81" s="133" t="str">
        <f aca="false">IF($B81="","",MAX(0,AK81-(SUMIFS('سجل الإجازات والحالات'!$AL$6:$AL$505,'سجل الإجازات والحالات'!$B$6:$B$505,$B81)-SUMIFS('سجل الإجازات والحالات'!$AK$6:$AK$505,'سجل الإجازات والحالات'!$B$6:$B$505,$B81))))</f>
        <v/>
      </c>
      <c r="AK81" s="133" t="str">
        <f aca="false">IF($B81="","",MAX(0,IF(OR(الموظفون!$AE81="",الموظفون!$AE81&gt;$F$3),$F$3,الموظفون!$AE81)-MAX($E$3,الموظفون!$H81)+1))</f>
        <v/>
      </c>
      <c r="AL81" s="156" t="str">
        <f aca="false">IF($B81="","",SUMIFS('سجل الإجازات والحالات'!$AX$6:$AX$505,'سجل الإجازات والحالات'!$B$6:$B$505,$B81)+SUMIFS('الحركات الشهرية'!$K$6:$K$1005,'الحركات الشهرية'!$B$6:$B$1005,$B81,'الحركات الشهرية'!$A$6:$A$1005,$C$3))</f>
        <v/>
      </c>
      <c r="AM81" s="116" t="str">
        <f aca="false">IF($B81="","",AL81*الموظفون!$R81/cfg_DAYS_M+S81)</f>
        <v/>
      </c>
      <c r="AN81" s="156" t="str">
        <f aca="false">IF($B81="","",SUMIFS('سجل الإجازات والحالات'!$Z$6:$Z$505,'سجل الإجازات والحالات'!$B$6:$B$505,$B81))</f>
        <v/>
      </c>
    </row>
    <row r="82" customFormat="false" ht="15" hidden="false" customHeight="false" outlineLevel="0" collapsed="false">
      <c r="A82" s="106" t="str">
        <f aca="false">IF($B82="","",الموظفون!$A82)</f>
        <v/>
      </c>
      <c r="B82" s="114" t="str">
        <f aca="false">IF(الموظفون!$B82="","",الموظفون!$B82)</f>
        <v/>
      </c>
      <c r="C82" s="114" t="str">
        <f aca="false">IF($B82="","",الموظفون!$C82)</f>
        <v/>
      </c>
      <c r="D82" s="114" t="str">
        <f aca="false">IF($B82="","",الموظفون!$F82)</f>
        <v/>
      </c>
      <c r="E82" s="114" t="str">
        <f aca="false">IF($B82="","",الموظفون!$E82)</f>
        <v/>
      </c>
      <c r="F82" s="114" t="str">
        <f aca="false">IF($B82="","",IF(AK82=0,IF(AND(الموظفون!$AE82&lt;&gt;"",الموظفون!$AE82&lt;$E$3),"✖ منتهي الخدمة","⏳ لم يباشر"),IF(S82&gt;0,"✈ راتب إجازة مقدم",IF(J82=0,"⛔ بدون راتب هذا الشهر",IF(I82&gt;0,"✈ خصم "&amp;ROUND(I82,2)&amp;" يوم بدون أجر",IF(AL82&gt;0,"🌴 إجازة سنوية "&amp;ROUND(AL82,2)&amp;" يوم",IF(H82&gt;0,"⚠ غياب "&amp;ROUND(H82,2)&amp;" يوم","✔ على رأس العمل")))))))</f>
        <v/>
      </c>
      <c r="G82" s="151" t="str">
        <f aca="false">IF($B82="","",IF(AK82&gt;=DAY($F$3),cfg_DAYS_M,MIN(AK82,cfg_DAYS_M)))</f>
        <v/>
      </c>
      <c r="H82" s="151" t="str">
        <f aca="false">IF($B82="","",SUMIFS('الحركات الشهرية'!$D$6:$D$1005,'الحركات الشهرية'!$B$6:$B$1005,$B82,'الحركات الشهرية'!$A$6:$A$1005,$C$3))</f>
        <v/>
      </c>
      <c r="I82" s="151" t="str">
        <f aca="false">IF($B82="","",MIN(G82,IF(AND(AK82&gt;0,AN82&gt;=AK82),G82,AN82)+SUMIFS('الحركات الشهرية'!$E$6:$E$1005,'الحركات الشهرية'!$B$6:$B$1005,$B82,'الحركات الشهرية'!$A$6:$A$1005,$C$3)))</f>
        <v/>
      </c>
      <c r="J82" s="151" t="str">
        <f aca="false">IF($B82="","",MAX(0,G82-H82-I82))</f>
        <v/>
      </c>
      <c r="K82" s="111" t="str">
        <f aca="false">IF($B82="","",الموظفون!$L82*$J82/cfg_DAYS_M)</f>
        <v/>
      </c>
      <c r="L82" s="111" t="str">
        <f aca="false">IF($B82="","",الموظفون!$M82*$J82/cfg_DAYS_M)</f>
        <v/>
      </c>
      <c r="M82" s="111" t="str">
        <f aca="false">IF($B82="","",الموظفون!$N82*$J82/cfg_DAYS_M)</f>
        <v/>
      </c>
      <c r="N82" s="111" t="str">
        <f aca="false">IF($B82="","",الموظفون!$O82*$J82/cfg_DAYS_M)</f>
        <v/>
      </c>
      <c r="O82" s="151" t="str">
        <f aca="false">IF($B82="","",SUMIFS('الحركات الشهرية'!$F$6:$F$1005,'الحركات الشهرية'!$B$6:$B$1005,$B82,'الحركات الشهرية'!$A$6:$A$1005,$C$3))</f>
        <v/>
      </c>
      <c r="P82" s="111" t="str">
        <f aca="false">IF($B82="","",O82*(الموظفون!$P82+الموظفون!$L82*cfg_OT_P)/cfg_DAYS_M/cfg_HRS)</f>
        <v/>
      </c>
      <c r="Q82" s="111" t="str">
        <f aca="false">IF($B82="","",SUMIFS('الحركات الشهرية'!$G$6:$G$1005,'الحركات الشهرية'!$B$6:$B$1005,$B82,'الحركات الشهرية'!$A$6:$A$1005,$C$3))</f>
        <v/>
      </c>
      <c r="R82" s="111" t="str">
        <f aca="false">IF($B82="","",SUMIFS('الحركات الشهرية'!$H$6:$H$1005,'الحركات الشهرية'!$B$6:$B$1005,$B82,'الحركات الشهرية'!$A$6:$A$1005,$C$3))</f>
        <v/>
      </c>
      <c r="S82" s="111" t="str">
        <f aca="false">IF($B82="","",SUMIFS('سجل الإجازات والحالات'!$N$6:$N$505,'سجل الإجازات والحالات'!$B$6:$B$505,$B82,'سجل الإجازات والحالات'!$O$6:$O$505,$C$3))</f>
        <v/>
      </c>
      <c r="T82" s="152" t="str">
        <f aca="false">IF($B82="","",SUM(K82:N82)+SUM(P82:S82))</f>
        <v/>
      </c>
      <c r="U82" s="111" t="str">
        <f aca="false">IF($B82="","",الموظفون!$S82*IF(E82="سعودي",cfg_G_SE,cfg_G_NE)*G82/cfg_DAYS_M)</f>
        <v/>
      </c>
      <c r="V82" s="111" t="str">
        <f aca="false">IF($B82="","",SUMIFS('الحركات الشهرية'!$I$6:$I$1005,'الحركات الشهرية'!$B$6:$B$1005,$B82,'الحركات الشهرية'!$A$6:$A$1005,$C$3))</f>
        <v/>
      </c>
      <c r="W82" s="111" t="str">
        <f aca="false">IF($B82="","",SUMIFS('الحركات الشهرية'!$J$6:$J$1005,'الحركات الشهرية'!$B$6:$B$1005,$B82,'الحركات الشهرية'!$A$6:$A$1005,$C$3))</f>
        <v/>
      </c>
      <c r="X82" s="111" t="str">
        <f aca="false">IF($B82="","",SUM(U82:W82))</f>
        <v/>
      </c>
      <c r="Y82" s="153" t="str">
        <f aca="false">IF($B82="","",T82-X82)</f>
        <v/>
      </c>
      <c r="Z82" s="111" t="str">
        <f aca="false">IF($B82="","",الموظفون!$S82*IF(E82="سعودي",cfg_G_SR,cfg_G_NR)*G82/cfg_DAYS_M)</f>
        <v/>
      </c>
      <c r="AA82" s="111" t="str">
        <f aca="false">IF($B82="","",الموظفون!$Q82*(cfg_EOS_R1*(MIN(AH82,cfg_EOS_TH)-MIN(AI82,cfg_EOS_TH))+cfg_EOS_R2*(MAX(AH82-cfg_EOS_TH,0)-MAX(AI82-cfg_EOS_TH,0))))</f>
        <v/>
      </c>
      <c r="AB82" s="111" t="str">
        <f aca="false">IF($B82="","",IF(الموظفون!$T82&lt;&gt;"",الموظفون!$T82,IF(AH82&gt;=cfg_LV_TH,cfg_LV_D2,cfg_LV_D1))/cfg_DAYS_Y*AJ82*الموظفون!$R82/cfg_DAYS_M)</f>
        <v/>
      </c>
      <c r="AC82" s="111" t="str">
        <f aca="false">IF($B82="","",IF(AND(الموظفون!$U82="نعم",N(الموظفون!$W82)&gt;0),الموظفون!$V82/الموظفون!$W82*12/cfg_DAYS_Y*AJ82,0))</f>
        <v/>
      </c>
      <c r="AD82" s="111" t="str">
        <f aca="false">IF($B82="","",(IF(الموظفون!$X82&lt;&gt;"",الموظفون!$X82,IF(الموظفون!$E82="غير سعودي",cfg_IQ,0))+IF(الموظفون!$Y82&lt;&gt;"",الموظفون!$Y82,IF(الموظفون!$E82="غير سعودي",cfg_WP,0)))/12*G82/cfg_DAYS_M)</f>
        <v/>
      </c>
      <c r="AE82" s="111" t="str">
        <f aca="false">IF($B82="","",IF(الموظفون!$Z82&lt;&gt;"",الموظفون!$Z82,cfg_MED)/12*G82/cfg_DAYS_M)</f>
        <v/>
      </c>
      <c r="AF82" s="111" t="str">
        <f aca="false">IF($B82="","",N(الموظفون!$AA82)/12*G82/cfg_DAYS_M)</f>
        <v/>
      </c>
      <c r="AG82" s="154" t="str">
        <f aca="false">IF($B82="","",T82+SUM(Z82:AF82))</f>
        <v/>
      </c>
      <c r="AH82" s="155" t="str">
        <f aca="false">IF($B82="","",MAX(0,IF(OR(الموظفون!$AE82="",الموظفون!$AE82&gt;$F$3),$F$3,الموظفون!$AE82)-الموظفون!$H82+1-SUMIFS('سجل الإجازات والحالات'!$AL$6:$AL$505,'سجل الإجازات والحالات'!$B$6:$B$505,$B82))/cfg_DAYS_Y)</f>
        <v/>
      </c>
      <c r="AI82" s="155" t="str">
        <f aca="false">IF($B82="","",MAX(0,IF(OR(الموظفون!$AE82="",الموظفون!$AE82&gt;($E$3-1)),($E$3-1),الموظفون!$AE82)-الموظفون!$H82+1-SUMIFS('سجل الإجازات والحالات'!$AK$6:$AK$505,'سجل الإجازات والحالات'!$B$6:$B$505,$B82))/cfg_DAYS_Y)</f>
        <v/>
      </c>
      <c r="AJ82" s="65" t="str">
        <f aca="false">IF($B82="","",MAX(0,AK82-(SUMIFS('سجل الإجازات والحالات'!$AL$6:$AL$505,'سجل الإجازات والحالات'!$B$6:$B$505,$B82)-SUMIFS('سجل الإجازات والحالات'!$AK$6:$AK$505,'سجل الإجازات والحالات'!$B$6:$B$505,$B82))))</f>
        <v/>
      </c>
      <c r="AK82" s="65" t="str">
        <f aca="false">IF($B82="","",MAX(0,IF(OR(الموظفون!$AE82="",الموظفون!$AE82&gt;$F$3),$F$3,الموظفون!$AE82)-MAX($E$3,الموظفون!$H82)+1))</f>
        <v/>
      </c>
      <c r="AL82" s="151" t="str">
        <f aca="false">IF($B82="","",SUMIFS('سجل الإجازات والحالات'!$AX$6:$AX$505,'سجل الإجازات والحالات'!$B$6:$B$505,$B82)+SUMIFS('الحركات الشهرية'!$K$6:$K$1005,'الحركات الشهرية'!$B$6:$B$1005,$B82,'الحركات الشهرية'!$A$6:$A$1005,$C$3))</f>
        <v/>
      </c>
      <c r="AM82" s="111" t="str">
        <f aca="false">IF($B82="","",AL82*الموظفون!$R82/cfg_DAYS_M+S82)</f>
        <v/>
      </c>
      <c r="AN82" s="151" t="str">
        <f aca="false">IF($B82="","",SUMIFS('سجل الإجازات والحالات'!$Z$6:$Z$505,'سجل الإجازات والحالات'!$B$6:$B$505,$B82))</f>
        <v/>
      </c>
    </row>
    <row r="83" customFormat="false" ht="15" hidden="false" customHeight="false" outlineLevel="0" collapsed="false">
      <c r="A83" s="115" t="str">
        <f aca="false">IF($B83="","",الموظفون!$A83)</f>
        <v/>
      </c>
      <c r="B83" s="117" t="str">
        <f aca="false">IF(الموظفون!$B83="","",الموظفون!$B83)</f>
        <v/>
      </c>
      <c r="C83" s="117" t="str">
        <f aca="false">IF($B83="","",الموظفون!$C83)</f>
        <v/>
      </c>
      <c r="D83" s="117" t="str">
        <f aca="false">IF($B83="","",الموظفون!$F83)</f>
        <v/>
      </c>
      <c r="E83" s="117" t="str">
        <f aca="false">IF($B83="","",الموظفون!$E83)</f>
        <v/>
      </c>
      <c r="F83" s="117" t="str">
        <f aca="false">IF($B83="","",IF(AK83=0,IF(AND(الموظفون!$AE83&lt;&gt;"",الموظفون!$AE83&lt;$E$3),"✖ منتهي الخدمة","⏳ لم يباشر"),IF(S83&gt;0,"✈ راتب إجازة مقدم",IF(J83=0,"⛔ بدون راتب هذا الشهر",IF(I83&gt;0,"✈ خصم "&amp;ROUND(I83,2)&amp;" يوم بدون أجر",IF(AL83&gt;0,"🌴 إجازة سنوية "&amp;ROUND(AL83,2)&amp;" يوم",IF(H83&gt;0,"⚠ غياب "&amp;ROUND(H83,2)&amp;" يوم","✔ على رأس العمل")))))))</f>
        <v/>
      </c>
      <c r="G83" s="156" t="str">
        <f aca="false">IF($B83="","",IF(AK83&gt;=DAY($F$3),cfg_DAYS_M,MIN(AK83,cfg_DAYS_M)))</f>
        <v/>
      </c>
      <c r="H83" s="156" t="str">
        <f aca="false">IF($B83="","",SUMIFS('الحركات الشهرية'!$D$6:$D$1005,'الحركات الشهرية'!$B$6:$B$1005,$B83,'الحركات الشهرية'!$A$6:$A$1005,$C$3))</f>
        <v/>
      </c>
      <c r="I83" s="156" t="str">
        <f aca="false">IF($B83="","",MIN(G83,IF(AND(AK83&gt;0,AN83&gt;=AK83),G83,AN83)+SUMIFS('الحركات الشهرية'!$E$6:$E$1005,'الحركات الشهرية'!$B$6:$B$1005,$B83,'الحركات الشهرية'!$A$6:$A$1005,$C$3)))</f>
        <v/>
      </c>
      <c r="J83" s="156" t="str">
        <f aca="false">IF($B83="","",MAX(0,G83-H83-I83))</f>
        <v/>
      </c>
      <c r="K83" s="116" t="str">
        <f aca="false">IF($B83="","",الموظفون!$L83*$J83/cfg_DAYS_M)</f>
        <v/>
      </c>
      <c r="L83" s="116" t="str">
        <f aca="false">IF($B83="","",الموظفون!$M83*$J83/cfg_DAYS_M)</f>
        <v/>
      </c>
      <c r="M83" s="116" t="str">
        <f aca="false">IF($B83="","",الموظفون!$N83*$J83/cfg_DAYS_M)</f>
        <v/>
      </c>
      <c r="N83" s="116" t="str">
        <f aca="false">IF($B83="","",الموظفون!$O83*$J83/cfg_DAYS_M)</f>
        <v/>
      </c>
      <c r="O83" s="156" t="str">
        <f aca="false">IF($B83="","",SUMIFS('الحركات الشهرية'!$F$6:$F$1005,'الحركات الشهرية'!$B$6:$B$1005,$B83,'الحركات الشهرية'!$A$6:$A$1005,$C$3))</f>
        <v/>
      </c>
      <c r="P83" s="116" t="str">
        <f aca="false">IF($B83="","",O83*(الموظفون!$P83+الموظفون!$L83*cfg_OT_P)/cfg_DAYS_M/cfg_HRS)</f>
        <v/>
      </c>
      <c r="Q83" s="116" t="str">
        <f aca="false">IF($B83="","",SUMIFS('الحركات الشهرية'!$G$6:$G$1005,'الحركات الشهرية'!$B$6:$B$1005,$B83,'الحركات الشهرية'!$A$6:$A$1005,$C$3))</f>
        <v/>
      </c>
      <c r="R83" s="116" t="str">
        <f aca="false">IF($B83="","",SUMIFS('الحركات الشهرية'!$H$6:$H$1005,'الحركات الشهرية'!$B$6:$B$1005,$B83,'الحركات الشهرية'!$A$6:$A$1005,$C$3))</f>
        <v/>
      </c>
      <c r="S83" s="116" t="str">
        <f aca="false">IF($B83="","",SUMIFS('سجل الإجازات والحالات'!$N$6:$N$505,'سجل الإجازات والحالات'!$B$6:$B$505,$B83,'سجل الإجازات والحالات'!$O$6:$O$505,$C$3))</f>
        <v/>
      </c>
      <c r="T83" s="157" t="str">
        <f aca="false">IF($B83="","",SUM(K83:N83)+SUM(P83:S83))</f>
        <v/>
      </c>
      <c r="U83" s="116" t="str">
        <f aca="false">IF($B83="","",الموظفون!$S83*IF(E83="سعودي",cfg_G_SE,cfg_G_NE)*G83/cfg_DAYS_M)</f>
        <v/>
      </c>
      <c r="V83" s="116" t="str">
        <f aca="false">IF($B83="","",SUMIFS('الحركات الشهرية'!$I$6:$I$1005,'الحركات الشهرية'!$B$6:$B$1005,$B83,'الحركات الشهرية'!$A$6:$A$1005,$C$3))</f>
        <v/>
      </c>
      <c r="W83" s="116" t="str">
        <f aca="false">IF($B83="","",SUMIFS('الحركات الشهرية'!$J$6:$J$1005,'الحركات الشهرية'!$B$6:$B$1005,$B83,'الحركات الشهرية'!$A$6:$A$1005,$C$3))</f>
        <v/>
      </c>
      <c r="X83" s="116" t="str">
        <f aca="false">IF($B83="","",SUM(U83:W83))</f>
        <v/>
      </c>
      <c r="Y83" s="158" t="str">
        <f aca="false">IF($B83="","",T83-X83)</f>
        <v/>
      </c>
      <c r="Z83" s="116" t="str">
        <f aca="false">IF($B83="","",الموظفون!$S83*IF(E83="سعودي",cfg_G_SR,cfg_G_NR)*G83/cfg_DAYS_M)</f>
        <v/>
      </c>
      <c r="AA83" s="116" t="str">
        <f aca="false">IF($B83="","",الموظفون!$Q83*(cfg_EOS_R1*(MIN(AH83,cfg_EOS_TH)-MIN(AI83,cfg_EOS_TH))+cfg_EOS_R2*(MAX(AH83-cfg_EOS_TH,0)-MAX(AI83-cfg_EOS_TH,0))))</f>
        <v/>
      </c>
      <c r="AB83" s="116" t="str">
        <f aca="false">IF($B83="","",IF(الموظفون!$T83&lt;&gt;"",الموظفون!$T83,IF(AH83&gt;=cfg_LV_TH,cfg_LV_D2,cfg_LV_D1))/cfg_DAYS_Y*AJ83*الموظفون!$R83/cfg_DAYS_M)</f>
        <v/>
      </c>
      <c r="AC83" s="116" t="str">
        <f aca="false">IF($B83="","",IF(AND(الموظفون!$U83="نعم",N(الموظفون!$W83)&gt;0),الموظفون!$V83/الموظفون!$W83*12/cfg_DAYS_Y*AJ83,0))</f>
        <v/>
      </c>
      <c r="AD83" s="116" t="str">
        <f aca="false">IF($B83="","",(IF(الموظفون!$X83&lt;&gt;"",الموظفون!$X83,IF(الموظفون!$E83="غير سعودي",cfg_IQ,0))+IF(الموظفون!$Y83&lt;&gt;"",الموظفون!$Y83,IF(الموظفون!$E83="غير سعودي",cfg_WP,0)))/12*G83/cfg_DAYS_M)</f>
        <v/>
      </c>
      <c r="AE83" s="116" t="str">
        <f aca="false">IF($B83="","",IF(الموظفون!$Z83&lt;&gt;"",الموظفون!$Z83,cfg_MED)/12*G83/cfg_DAYS_M)</f>
        <v/>
      </c>
      <c r="AF83" s="116" t="str">
        <f aca="false">IF($B83="","",N(الموظفون!$AA83)/12*G83/cfg_DAYS_M)</f>
        <v/>
      </c>
      <c r="AG83" s="159" t="str">
        <f aca="false">IF($B83="","",T83+SUM(Z83:AF83))</f>
        <v/>
      </c>
      <c r="AH83" s="160" t="str">
        <f aca="false">IF($B83="","",MAX(0,IF(OR(الموظفون!$AE83="",الموظفون!$AE83&gt;$F$3),$F$3,الموظفون!$AE83)-الموظفون!$H83+1-SUMIFS('سجل الإجازات والحالات'!$AL$6:$AL$505,'سجل الإجازات والحالات'!$B$6:$B$505,$B83))/cfg_DAYS_Y)</f>
        <v/>
      </c>
      <c r="AI83" s="160" t="str">
        <f aca="false">IF($B83="","",MAX(0,IF(OR(الموظفون!$AE83="",الموظفون!$AE83&gt;($E$3-1)),($E$3-1),الموظفون!$AE83)-الموظفون!$H83+1-SUMIFS('سجل الإجازات والحالات'!$AK$6:$AK$505,'سجل الإجازات والحالات'!$B$6:$B$505,$B83))/cfg_DAYS_Y)</f>
        <v/>
      </c>
      <c r="AJ83" s="133" t="str">
        <f aca="false">IF($B83="","",MAX(0,AK83-(SUMIFS('سجل الإجازات والحالات'!$AL$6:$AL$505,'سجل الإجازات والحالات'!$B$6:$B$505,$B83)-SUMIFS('سجل الإجازات والحالات'!$AK$6:$AK$505,'سجل الإجازات والحالات'!$B$6:$B$505,$B83))))</f>
        <v/>
      </c>
      <c r="AK83" s="133" t="str">
        <f aca="false">IF($B83="","",MAX(0,IF(OR(الموظفون!$AE83="",الموظفون!$AE83&gt;$F$3),$F$3,الموظفون!$AE83)-MAX($E$3,الموظفون!$H83)+1))</f>
        <v/>
      </c>
      <c r="AL83" s="156" t="str">
        <f aca="false">IF($B83="","",SUMIFS('سجل الإجازات والحالات'!$AX$6:$AX$505,'سجل الإجازات والحالات'!$B$6:$B$505,$B83)+SUMIFS('الحركات الشهرية'!$K$6:$K$1005,'الحركات الشهرية'!$B$6:$B$1005,$B83,'الحركات الشهرية'!$A$6:$A$1005,$C$3))</f>
        <v/>
      </c>
      <c r="AM83" s="116" t="str">
        <f aca="false">IF($B83="","",AL83*الموظفون!$R83/cfg_DAYS_M+S83)</f>
        <v/>
      </c>
      <c r="AN83" s="156" t="str">
        <f aca="false">IF($B83="","",SUMIFS('سجل الإجازات والحالات'!$Z$6:$Z$505,'سجل الإجازات والحالات'!$B$6:$B$505,$B83))</f>
        <v/>
      </c>
    </row>
    <row r="84" customFormat="false" ht="15" hidden="false" customHeight="false" outlineLevel="0" collapsed="false">
      <c r="A84" s="106" t="str">
        <f aca="false">IF($B84="","",الموظفون!$A84)</f>
        <v/>
      </c>
      <c r="B84" s="114" t="str">
        <f aca="false">IF(الموظفون!$B84="","",الموظفون!$B84)</f>
        <v/>
      </c>
      <c r="C84" s="114" t="str">
        <f aca="false">IF($B84="","",الموظفون!$C84)</f>
        <v/>
      </c>
      <c r="D84" s="114" t="str">
        <f aca="false">IF($B84="","",الموظفون!$F84)</f>
        <v/>
      </c>
      <c r="E84" s="114" t="str">
        <f aca="false">IF($B84="","",الموظفون!$E84)</f>
        <v/>
      </c>
      <c r="F84" s="114" t="str">
        <f aca="false">IF($B84="","",IF(AK84=0,IF(AND(الموظفون!$AE84&lt;&gt;"",الموظفون!$AE84&lt;$E$3),"✖ منتهي الخدمة","⏳ لم يباشر"),IF(S84&gt;0,"✈ راتب إجازة مقدم",IF(J84=0,"⛔ بدون راتب هذا الشهر",IF(I84&gt;0,"✈ خصم "&amp;ROUND(I84,2)&amp;" يوم بدون أجر",IF(AL84&gt;0,"🌴 إجازة سنوية "&amp;ROUND(AL84,2)&amp;" يوم",IF(H84&gt;0,"⚠ غياب "&amp;ROUND(H84,2)&amp;" يوم","✔ على رأس العمل")))))))</f>
        <v/>
      </c>
      <c r="G84" s="151" t="str">
        <f aca="false">IF($B84="","",IF(AK84&gt;=DAY($F$3),cfg_DAYS_M,MIN(AK84,cfg_DAYS_M)))</f>
        <v/>
      </c>
      <c r="H84" s="151" t="str">
        <f aca="false">IF($B84="","",SUMIFS('الحركات الشهرية'!$D$6:$D$1005,'الحركات الشهرية'!$B$6:$B$1005,$B84,'الحركات الشهرية'!$A$6:$A$1005,$C$3))</f>
        <v/>
      </c>
      <c r="I84" s="151" t="str">
        <f aca="false">IF($B84="","",MIN(G84,IF(AND(AK84&gt;0,AN84&gt;=AK84),G84,AN84)+SUMIFS('الحركات الشهرية'!$E$6:$E$1005,'الحركات الشهرية'!$B$6:$B$1005,$B84,'الحركات الشهرية'!$A$6:$A$1005,$C$3)))</f>
        <v/>
      </c>
      <c r="J84" s="151" t="str">
        <f aca="false">IF($B84="","",MAX(0,G84-H84-I84))</f>
        <v/>
      </c>
      <c r="K84" s="111" t="str">
        <f aca="false">IF($B84="","",الموظفون!$L84*$J84/cfg_DAYS_M)</f>
        <v/>
      </c>
      <c r="L84" s="111" t="str">
        <f aca="false">IF($B84="","",الموظفون!$M84*$J84/cfg_DAYS_M)</f>
        <v/>
      </c>
      <c r="M84" s="111" t="str">
        <f aca="false">IF($B84="","",الموظفون!$N84*$J84/cfg_DAYS_M)</f>
        <v/>
      </c>
      <c r="N84" s="111" t="str">
        <f aca="false">IF($B84="","",الموظفون!$O84*$J84/cfg_DAYS_M)</f>
        <v/>
      </c>
      <c r="O84" s="151" t="str">
        <f aca="false">IF($B84="","",SUMIFS('الحركات الشهرية'!$F$6:$F$1005,'الحركات الشهرية'!$B$6:$B$1005,$B84,'الحركات الشهرية'!$A$6:$A$1005,$C$3))</f>
        <v/>
      </c>
      <c r="P84" s="111" t="str">
        <f aca="false">IF($B84="","",O84*(الموظفون!$P84+الموظفون!$L84*cfg_OT_P)/cfg_DAYS_M/cfg_HRS)</f>
        <v/>
      </c>
      <c r="Q84" s="111" t="str">
        <f aca="false">IF($B84="","",SUMIFS('الحركات الشهرية'!$G$6:$G$1005,'الحركات الشهرية'!$B$6:$B$1005,$B84,'الحركات الشهرية'!$A$6:$A$1005,$C$3))</f>
        <v/>
      </c>
      <c r="R84" s="111" t="str">
        <f aca="false">IF($B84="","",SUMIFS('الحركات الشهرية'!$H$6:$H$1005,'الحركات الشهرية'!$B$6:$B$1005,$B84,'الحركات الشهرية'!$A$6:$A$1005,$C$3))</f>
        <v/>
      </c>
      <c r="S84" s="111" t="str">
        <f aca="false">IF($B84="","",SUMIFS('سجل الإجازات والحالات'!$N$6:$N$505,'سجل الإجازات والحالات'!$B$6:$B$505,$B84,'سجل الإجازات والحالات'!$O$6:$O$505,$C$3))</f>
        <v/>
      </c>
      <c r="T84" s="152" t="str">
        <f aca="false">IF($B84="","",SUM(K84:N84)+SUM(P84:S84))</f>
        <v/>
      </c>
      <c r="U84" s="111" t="str">
        <f aca="false">IF($B84="","",الموظفون!$S84*IF(E84="سعودي",cfg_G_SE,cfg_G_NE)*G84/cfg_DAYS_M)</f>
        <v/>
      </c>
      <c r="V84" s="111" t="str">
        <f aca="false">IF($B84="","",SUMIFS('الحركات الشهرية'!$I$6:$I$1005,'الحركات الشهرية'!$B$6:$B$1005,$B84,'الحركات الشهرية'!$A$6:$A$1005,$C$3))</f>
        <v/>
      </c>
      <c r="W84" s="111" t="str">
        <f aca="false">IF($B84="","",SUMIFS('الحركات الشهرية'!$J$6:$J$1005,'الحركات الشهرية'!$B$6:$B$1005,$B84,'الحركات الشهرية'!$A$6:$A$1005,$C$3))</f>
        <v/>
      </c>
      <c r="X84" s="111" t="str">
        <f aca="false">IF($B84="","",SUM(U84:W84))</f>
        <v/>
      </c>
      <c r="Y84" s="153" t="str">
        <f aca="false">IF($B84="","",T84-X84)</f>
        <v/>
      </c>
      <c r="Z84" s="111" t="str">
        <f aca="false">IF($B84="","",الموظفون!$S84*IF(E84="سعودي",cfg_G_SR,cfg_G_NR)*G84/cfg_DAYS_M)</f>
        <v/>
      </c>
      <c r="AA84" s="111" t="str">
        <f aca="false">IF($B84="","",الموظفون!$Q84*(cfg_EOS_R1*(MIN(AH84,cfg_EOS_TH)-MIN(AI84,cfg_EOS_TH))+cfg_EOS_R2*(MAX(AH84-cfg_EOS_TH,0)-MAX(AI84-cfg_EOS_TH,0))))</f>
        <v/>
      </c>
      <c r="AB84" s="111" t="str">
        <f aca="false">IF($B84="","",IF(الموظفون!$T84&lt;&gt;"",الموظفون!$T84,IF(AH84&gt;=cfg_LV_TH,cfg_LV_D2,cfg_LV_D1))/cfg_DAYS_Y*AJ84*الموظفون!$R84/cfg_DAYS_M)</f>
        <v/>
      </c>
      <c r="AC84" s="111" t="str">
        <f aca="false">IF($B84="","",IF(AND(الموظفون!$U84="نعم",N(الموظفون!$W84)&gt;0),الموظفون!$V84/الموظفون!$W84*12/cfg_DAYS_Y*AJ84,0))</f>
        <v/>
      </c>
      <c r="AD84" s="111" t="str">
        <f aca="false">IF($B84="","",(IF(الموظفون!$X84&lt;&gt;"",الموظفون!$X84,IF(الموظفون!$E84="غير سعودي",cfg_IQ,0))+IF(الموظفون!$Y84&lt;&gt;"",الموظفون!$Y84,IF(الموظفون!$E84="غير سعودي",cfg_WP,0)))/12*G84/cfg_DAYS_M)</f>
        <v/>
      </c>
      <c r="AE84" s="111" t="str">
        <f aca="false">IF($B84="","",IF(الموظفون!$Z84&lt;&gt;"",الموظفون!$Z84,cfg_MED)/12*G84/cfg_DAYS_M)</f>
        <v/>
      </c>
      <c r="AF84" s="111" t="str">
        <f aca="false">IF($B84="","",N(الموظفون!$AA84)/12*G84/cfg_DAYS_M)</f>
        <v/>
      </c>
      <c r="AG84" s="154" t="str">
        <f aca="false">IF($B84="","",T84+SUM(Z84:AF84))</f>
        <v/>
      </c>
      <c r="AH84" s="155" t="str">
        <f aca="false">IF($B84="","",MAX(0,IF(OR(الموظفون!$AE84="",الموظفون!$AE84&gt;$F$3),$F$3,الموظفون!$AE84)-الموظفون!$H84+1-SUMIFS('سجل الإجازات والحالات'!$AL$6:$AL$505,'سجل الإجازات والحالات'!$B$6:$B$505,$B84))/cfg_DAYS_Y)</f>
        <v/>
      </c>
      <c r="AI84" s="155" t="str">
        <f aca="false">IF($B84="","",MAX(0,IF(OR(الموظفون!$AE84="",الموظفون!$AE84&gt;($E$3-1)),($E$3-1),الموظفون!$AE84)-الموظفون!$H84+1-SUMIFS('سجل الإجازات والحالات'!$AK$6:$AK$505,'سجل الإجازات والحالات'!$B$6:$B$505,$B84))/cfg_DAYS_Y)</f>
        <v/>
      </c>
      <c r="AJ84" s="65" t="str">
        <f aca="false">IF($B84="","",MAX(0,AK84-(SUMIFS('سجل الإجازات والحالات'!$AL$6:$AL$505,'سجل الإجازات والحالات'!$B$6:$B$505,$B84)-SUMIFS('سجل الإجازات والحالات'!$AK$6:$AK$505,'سجل الإجازات والحالات'!$B$6:$B$505,$B84))))</f>
        <v/>
      </c>
      <c r="AK84" s="65" t="str">
        <f aca="false">IF($B84="","",MAX(0,IF(OR(الموظفون!$AE84="",الموظفون!$AE84&gt;$F$3),$F$3,الموظفون!$AE84)-MAX($E$3,الموظفون!$H84)+1))</f>
        <v/>
      </c>
      <c r="AL84" s="151" t="str">
        <f aca="false">IF($B84="","",SUMIFS('سجل الإجازات والحالات'!$AX$6:$AX$505,'سجل الإجازات والحالات'!$B$6:$B$505,$B84)+SUMIFS('الحركات الشهرية'!$K$6:$K$1005,'الحركات الشهرية'!$B$6:$B$1005,$B84,'الحركات الشهرية'!$A$6:$A$1005,$C$3))</f>
        <v/>
      </c>
      <c r="AM84" s="111" t="str">
        <f aca="false">IF($B84="","",AL84*الموظفون!$R84/cfg_DAYS_M+S84)</f>
        <v/>
      </c>
      <c r="AN84" s="151" t="str">
        <f aca="false">IF($B84="","",SUMIFS('سجل الإجازات والحالات'!$Z$6:$Z$505,'سجل الإجازات والحالات'!$B$6:$B$505,$B84))</f>
        <v/>
      </c>
    </row>
    <row r="85" customFormat="false" ht="15" hidden="false" customHeight="false" outlineLevel="0" collapsed="false">
      <c r="A85" s="115" t="str">
        <f aca="false">IF($B85="","",الموظفون!$A85)</f>
        <v/>
      </c>
      <c r="B85" s="117" t="str">
        <f aca="false">IF(الموظفون!$B85="","",الموظفون!$B85)</f>
        <v/>
      </c>
      <c r="C85" s="117" t="str">
        <f aca="false">IF($B85="","",الموظفون!$C85)</f>
        <v/>
      </c>
      <c r="D85" s="117" t="str">
        <f aca="false">IF($B85="","",الموظفون!$F85)</f>
        <v/>
      </c>
      <c r="E85" s="117" t="str">
        <f aca="false">IF($B85="","",الموظفون!$E85)</f>
        <v/>
      </c>
      <c r="F85" s="117" t="str">
        <f aca="false">IF($B85="","",IF(AK85=0,IF(AND(الموظفون!$AE85&lt;&gt;"",الموظفون!$AE85&lt;$E$3),"✖ منتهي الخدمة","⏳ لم يباشر"),IF(S85&gt;0,"✈ راتب إجازة مقدم",IF(J85=0,"⛔ بدون راتب هذا الشهر",IF(I85&gt;0,"✈ خصم "&amp;ROUND(I85,2)&amp;" يوم بدون أجر",IF(AL85&gt;0,"🌴 إجازة سنوية "&amp;ROUND(AL85,2)&amp;" يوم",IF(H85&gt;0,"⚠ غياب "&amp;ROUND(H85,2)&amp;" يوم","✔ على رأس العمل")))))))</f>
        <v/>
      </c>
      <c r="G85" s="156" t="str">
        <f aca="false">IF($B85="","",IF(AK85&gt;=DAY($F$3),cfg_DAYS_M,MIN(AK85,cfg_DAYS_M)))</f>
        <v/>
      </c>
      <c r="H85" s="156" t="str">
        <f aca="false">IF($B85="","",SUMIFS('الحركات الشهرية'!$D$6:$D$1005,'الحركات الشهرية'!$B$6:$B$1005,$B85,'الحركات الشهرية'!$A$6:$A$1005,$C$3))</f>
        <v/>
      </c>
      <c r="I85" s="156" t="str">
        <f aca="false">IF($B85="","",MIN(G85,IF(AND(AK85&gt;0,AN85&gt;=AK85),G85,AN85)+SUMIFS('الحركات الشهرية'!$E$6:$E$1005,'الحركات الشهرية'!$B$6:$B$1005,$B85,'الحركات الشهرية'!$A$6:$A$1005,$C$3)))</f>
        <v/>
      </c>
      <c r="J85" s="156" t="str">
        <f aca="false">IF($B85="","",MAX(0,G85-H85-I85))</f>
        <v/>
      </c>
      <c r="K85" s="116" t="str">
        <f aca="false">IF($B85="","",الموظفون!$L85*$J85/cfg_DAYS_M)</f>
        <v/>
      </c>
      <c r="L85" s="116" t="str">
        <f aca="false">IF($B85="","",الموظفون!$M85*$J85/cfg_DAYS_M)</f>
        <v/>
      </c>
      <c r="M85" s="116" t="str">
        <f aca="false">IF($B85="","",الموظفون!$N85*$J85/cfg_DAYS_M)</f>
        <v/>
      </c>
      <c r="N85" s="116" t="str">
        <f aca="false">IF($B85="","",الموظفون!$O85*$J85/cfg_DAYS_M)</f>
        <v/>
      </c>
      <c r="O85" s="156" t="str">
        <f aca="false">IF($B85="","",SUMIFS('الحركات الشهرية'!$F$6:$F$1005,'الحركات الشهرية'!$B$6:$B$1005,$B85,'الحركات الشهرية'!$A$6:$A$1005,$C$3))</f>
        <v/>
      </c>
      <c r="P85" s="116" t="str">
        <f aca="false">IF($B85="","",O85*(الموظفون!$P85+الموظفون!$L85*cfg_OT_P)/cfg_DAYS_M/cfg_HRS)</f>
        <v/>
      </c>
      <c r="Q85" s="116" t="str">
        <f aca="false">IF($B85="","",SUMIFS('الحركات الشهرية'!$G$6:$G$1005,'الحركات الشهرية'!$B$6:$B$1005,$B85,'الحركات الشهرية'!$A$6:$A$1005,$C$3))</f>
        <v/>
      </c>
      <c r="R85" s="116" t="str">
        <f aca="false">IF($B85="","",SUMIFS('الحركات الشهرية'!$H$6:$H$1005,'الحركات الشهرية'!$B$6:$B$1005,$B85,'الحركات الشهرية'!$A$6:$A$1005,$C$3))</f>
        <v/>
      </c>
      <c r="S85" s="116" t="str">
        <f aca="false">IF($B85="","",SUMIFS('سجل الإجازات والحالات'!$N$6:$N$505,'سجل الإجازات والحالات'!$B$6:$B$505,$B85,'سجل الإجازات والحالات'!$O$6:$O$505,$C$3))</f>
        <v/>
      </c>
      <c r="T85" s="157" t="str">
        <f aca="false">IF($B85="","",SUM(K85:N85)+SUM(P85:S85))</f>
        <v/>
      </c>
      <c r="U85" s="116" t="str">
        <f aca="false">IF($B85="","",الموظفون!$S85*IF(E85="سعودي",cfg_G_SE,cfg_G_NE)*G85/cfg_DAYS_M)</f>
        <v/>
      </c>
      <c r="V85" s="116" t="str">
        <f aca="false">IF($B85="","",SUMIFS('الحركات الشهرية'!$I$6:$I$1005,'الحركات الشهرية'!$B$6:$B$1005,$B85,'الحركات الشهرية'!$A$6:$A$1005,$C$3))</f>
        <v/>
      </c>
      <c r="W85" s="116" t="str">
        <f aca="false">IF($B85="","",SUMIFS('الحركات الشهرية'!$J$6:$J$1005,'الحركات الشهرية'!$B$6:$B$1005,$B85,'الحركات الشهرية'!$A$6:$A$1005,$C$3))</f>
        <v/>
      </c>
      <c r="X85" s="116" t="str">
        <f aca="false">IF($B85="","",SUM(U85:W85))</f>
        <v/>
      </c>
      <c r="Y85" s="158" t="str">
        <f aca="false">IF($B85="","",T85-X85)</f>
        <v/>
      </c>
      <c r="Z85" s="116" t="str">
        <f aca="false">IF($B85="","",الموظفون!$S85*IF(E85="سعودي",cfg_G_SR,cfg_G_NR)*G85/cfg_DAYS_M)</f>
        <v/>
      </c>
      <c r="AA85" s="116" t="str">
        <f aca="false">IF($B85="","",الموظفون!$Q85*(cfg_EOS_R1*(MIN(AH85,cfg_EOS_TH)-MIN(AI85,cfg_EOS_TH))+cfg_EOS_R2*(MAX(AH85-cfg_EOS_TH,0)-MAX(AI85-cfg_EOS_TH,0))))</f>
        <v/>
      </c>
      <c r="AB85" s="116" t="str">
        <f aca="false">IF($B85="","",IF(الموظفون!$T85&lt;&gt;"",الموظفون!$T85,IF(AH85&gt;=cfg_LV_TH,cfg_LV_D2,cfg_LV_D1))/cfg_DAYS_Y*AJ85*الموظفون!$R85/cfg_DAYS_M)</f>
        <v/>
      </c>
      <c r="AC85" s="116" t="str">
        <f aca="false">IF($B85="","",IF(AND(الموظفون!$U85="نعم",N(الموظفون!$W85)&gt;0),الموظفون!$V85/الموظفون!$W85*12/cfg_DAYS_Y*AJ85,0))</f>
        <v/>
      </c>
      <c r="AD85" s="116" t="str">
        <f aca="false">IF($B85="","",(IF(الموظفون!$X85&lt;&gt;"",الموظفون!$X85,IF(الموظفون!$E85="غير سعودي",cfg_IQ,0))+IF(الموظفون!$Y85&lt;&gt;"",الموظفون!$Y85,IF(الموظفون!$E85="غير سعودي",cfg_WP,0)))/12*G85/cfg_DAYS_M)</f>
        <v/>
      </c>
      <c r="AE85" s="116" t="str">
        <f aca="false">IF($B85="","",IF(الموظفون!$Z85&lt;&gt;"",الموظفون!$Z85,cfg_MED)/12*G85/cfg_DAYS_M)</f>
        <v/>
      </c>
      <c r="AF85" s="116" t="str">
        <f aca="false">IF($B85="","",N(الموظفون!$AA85)/12*G85/cfg_DAYS_M)</f>
        <v/>
      </c>
      <c r="AG85" s="159" t="str">
        <f aca="false">IF($B85="","",T85+SUM(Z85:AF85))</f>
        <v/>
      </c>
      <c r="AH85" s="160" t="str">
        <f aca="false">IF($B85="","",MAX(0,IF(OR(الموظفون!$AE85="",الموظفون!$AE85&gt;$F$3),$F$3,الموظفون!$AE85)-الموظفون!$H85+1-SUMIFS('سجل الإجازات والحالات'!$AL$6:$AL$505,'سجل الإجازات والحالات'!$B$6:$B$505,$B85))/cfg_DAYS_Y)</f>
        <v/>
      </c>
      <c r="AI85" s="160" t="str">
        <f aca="false">IF($B85="","",MAX(0,IF(OR(الموظفون!$AE85="",الموظفون!$AE85&gt;($E$3-1)),($E$3-1),الموظفون!$AE85)-الموظفون!$H85+1-SUMIFS('سجل الإجازات والحالات'!$AK$6:$AK$505,'سجل الإجازات والحالات'!$B$6:$B$505,$B85))/cfg_DAYS_Y)</f>
        <v/>
      </c>
      <c r="AJ85" s="133" t="str">
        <f aca="false">IF($B85="","",MAX(0,AK85-(SUMIFS('سجل الإجازات والحالات'!$AL$6:$AL$505,'سجل الإجازات والحالات'!$B$6:$B$505,$B85)-SUMIFS('سجل الإجازات والحالات'!$AK$6:$AK$505,'سجل الإجازات والحالات'!$B$6:$B$505,$B85))))</f>
        <v/>
      </c>
      <c r="AK85" s="133" t="str">
        <f aca="false">IF($B85="","",MAX(0,IF(OR(الموظفون!$AE85="",الموظفون!$AE85&gt;$F$3),$F$3,الموظفون!$AE85)-MAX($E$3,الموظفون!$H85)+1))</f>
        <v/>
      </c>
      <c r="AL85" s="156" t="str">
        <f aca="false">IF($B85="","",SUMIFS('سجل الإجازات والحالات'!$AX$6:$AX$505,'سجل الإجازات والحالات'!$B$6:$B$505,$B85)+SUMIFS('الحركات الشهرية'!$K$6:$K$1005,'الحركات الشهرية'!$B$6:$B$1005,$B85,'الحركات الشهرية'!$A$6:$A$1005,$C$3))</f>
        <v/>
      </c>
      <c r="AM85" s="116" t="str">
        <f aca="false">IF($B85="","",AL85*الموظفون!$R85/cfg_DAYS_M+S85)</f>
        <v/>
      </c>
      <c r="AN85" s="156" t="str">
        <f aca="false">IF($B85="","",SUMIFS('سجل الإجازات والحالات'!$Z$6:$Z$505,'سجل الإجازات والحالات'!$B$6:$B$505,$B85))</f>
        <v/>
      </c>
    </row>
    <row r="86" customFormat="false" ht="15" hidden="false" customHeight="false" outlineLevel="0" collapsed="false">
      <c r="A86" s="106" t="str">
        <f aca="false">IF($B86="","",الموظفون!$A86)</f>
        <v/>
      </c>
      <c r="B86" s="114" t="str">
        <f aca="false">IF(الموظفون!$B86="","",الموظفون!$B86)</f>
        <v/>
      </c>
      <c r="C86" s="114" t="str">
        <f aca="false">IF($B86="","",الموظفون!$C86)</f>
        <v/>
      </c>
      <c r="D86" s="114" t="str">
        <f aca="false">IF($B86="","",الموظفون!$F86)</f>
        <v/>
      </c>
      <c r="E86" s="114" t="str">
        <f aca="false">IF($B86="","",الموظفون!$E86)</f>
        <v/>
      </c>
      <c r="F86" s="114" t="str">
        <f aca="false">IF($B86="","",IF(AK86=0,IF(AND(الموظفون!$AE86&lt;&gt;"",الموظفون!$AE86&lt;$E$3),"✖ منتهي الخدمة","⏳ لم يباشر"),IF(S86&gt;0,"✈ راتب إجازة مقدم",IF(J86=0,"⛔ بدون راتب هذا الشهر",IF(I86&gt;0,"✈ خصم "&amp;ROUND(I86,2)&amp;" يوم بدون أجر",IF(AL86&gt;0,"🌴 إجازة سنوية "&amp;ROUND(AL86,2)&amp;" يوم",IF(H86&gt;0,"⚠ غياب "&amp;ROUND(H86,2)&amp;" يوم","✔ على رأس العمل")))))))</f>
        <v/>
      </c>
      <c r="G86" s="151" t="str">
        <f aca="false">IF($B86="","",IF(AK86&gt;=DAY($F$3),cfg_DAYS_M,MIN(AK86,cfg_DAYS_M)))</f>
        <v/>
      </c>
      <c r="H86" s="151" t="str">
        <f aca="false">IF($B86="","",SUMIFS('الحركات الشهرية'!$D$6:$D$1005,'الحركات الشهرية'!$B$6:$B$1005,$B86,'الحركات الشهرية'!$A$6:$A$1005,$C$3))</f>
        <v/>
      </c>
      <c r="I86" s="151" t="str">
        <f aca="false">IF($B86="","",MIN(G86,IF(AND(AK86&gt;0,AN86&gt;=AK86),G86,AN86)+SUMIFS('الحركات الشهرية'!$E$6:$E$1005,'الحركات الشهرية'!$B$6:$B$1005,$B86,'الحركات الشهرية'!$A$6:$A$1005,$C$3)))</f>
        <v/>
      </c>
      <c r="J86" s="151" t="str">
        <f aca="false">IF($B86="","",MAX(0,G86-H86-I86))</f>
        <v/>
      </c>
      <c r="K86" s="111" t="str">
        <f aca="false">IF($B86="","",الموظفون!$L86*$J86/cfg_DAYS_M)</f>
        <v/>
      </c>
      <c r="L86" s="111" t="str">
        <f aca="false">IF($B86="","",الموظفون!$M86*$J86/cfg_DAYS_M)</f>
        <v/>
      </c>
      <c r="M86" s="111" t="str">
        <f aca="false">IF($B86="","",الموظفون!$N86*$J86/cfg_DAYS_M)</f>
        <v/>
      </c>
      <c r="N86" s="111" t="str">
        <f aca="false">IF($B86="","",الموظفون!$O86*$J86/cfg_DAYS_M)</f>
        <v/>
      </c>
      <c r="O86" s="151" t="str">
        <f aca="false">IF($B86="","",SUMIFS('الحركات الشهرية'!$F$6:$F$1005,'الحركات الشهرية'!$B$6:$B$1005,$B86,'الحركات الشهرية'!$A$6:$A$1005,$C$3))</f>
        <v/>
      </c>
      <c r="P86" s="111" t="str">
        <f aca="false">IF($B86="","",O86*(الموظفون!$P86+الموظفون!$L86*cfg_OT_P)/cfg_DAYS_M/cfg_HRS)</f>
        <v/>
      </c>
      <c r="Q86" s="111" t="str">
        <f aca="false">IF($B86="","",SUMIFS('الحركات الشهرية'!$G$6:$G$1005,'الحركات الشهرية'!$B$6:$B$1005,$B86,'الحركات الشهرية'!$A$6:$A$1005,$C$3))</f>
        <v/>
      </c>
      <c r="R86" s="111" t="str">
        <f aca="false">IF($B86="","",SUMIFS('الحركات الشهرية'!$H$6:$H$1005,'الحركات الشهرية'!$B$6:$B$1005,$B86,'الحركات الشهرية'!$A$6:$A$1005,$C$3))</f>
        <v/>
      </c>
      <c r="S86" s="111" t="str">
        <f aca="false">IF($B86="","",SUMIFS('سجل الإجازات والحالات'!$N$6:$N$505,'سجل الإجازات والحالات'!$B$6:$B$505,$B86,'سجل الإجازات والحالات'!$O$6:$O$505,$C$3))</f>
        <v/>
      </c>
      <c r="T86" s="152" t="str">
        <f aca="false">IF($B86="","",SUM(K86:N86)+SUM(P86:S86))</f>
        <v/>
      </c>
      <c r="U86" s="111" t="str">
        <f aca="false">IF($B86="","",الموظفون!$S86*IF(E86="سعودي",cfg_G_SE,cfg_G_NE)*G86/cfg_DAYS_M)</f>
        <v/>
      </c>
      <c r="V86" s="111" t="str">
        <f aca="false">IF($B86="","",SUMIFS('الحركات الشهرية'!$I$6:$I$1005,'الحركات الشهرية'!$B$6:$B$1005,$B86,'الحركات الشهرية'!$A$6:$A$1005,$C$3))</f>
        <v/>
      </c>
      <c r="W86" s="111" t="str">
        <f aca="false">IF($B86="","",SUMIFS('الحركات الشهرية'!$J$6:$J$1005,'الحركات الشهرية'!$B$6:$B$1005,$B86,'الحركات الشهرية'!$A$6:$A$1005,$C$3))</f>
        <v/>
      </c>
      <c r="X86" s="111" t="str">
        <f aca="false">IF($B86="","",SUM(U86:W86))</f>
        <v/>
      </c>
      <c r="Y86" s="153" t="str">
        <f aca="false">IF($B86="","",T86-X86)</f>
        <v/>
      </c>
      <c r="Z86" s="111" t="str">
        <f aca="false">IF($B86="","",الموظفون!$S86*IF(E86="سعودي",cfg_G_SR,cfg_G_NR)*G86/cfg_DAYS_M)</f>
        <v/>
      </c>
      <c r="AA86" s="111" t="str">
        <f aca="false">IF($B86="","",الموظفون!$Q86*(cfg_EOS_R1*(MIN(AH86,cfg_EOS_TH)-MIN(AI86,cfg_EOS_TH))+cfg_EOS_R2*(MAX(AH86-cfg_EOS_TH,0)-MAX(AI86-cfg_EOS_TH,0))))</f>
        <v/>
      </c>
      <c r="AB86" s="111" t="str">
        <f aca="false">IF($B86="","",IF(الموظفون!$T86&lt;&gt;"",الموظفون!$T86,IF(AH86&gt;=cfg_LV_TH,cfg_LV_D2,cfg_LV_D1))/cfg_DAYS_Y*AJ86*الموظفون!$R86/cfg_DAYS_M)</f>
        <v/>
      </c>
      <c r="AC86" s="111" t="str">
        <f aca="false">IF($B86="","",IF(AND(الموظفون!$U86="نعم",N(الموظفون!$W86)&gt;0),الموظفون!$V86/الموظفون!$W86*12/cfg_DAYS_Y*AJ86,0))</f>
        <v/>
      </c>
      <c r="AD86" s="111" t="str">
        <f aca="false">IF($B86="","",(IF(الموظفون!$X86&lt;&gt;"",الموظفون!$X86,IF(الموظفون!$E86="غير سعودي",cfg_IQ,0))+IF(الموظفون!$Y86&lt;&gt;"",الموظفون!$Y86,IF(الموظفون!$E86="غير سعودي",cfg_WP,0)))/12*G86/cfg_DAYS_M)</f>
        <v/>
      </c>
      <c r="AE86" s="111" t="str">
        <f aca="false">IF($B86="","",IF(الموظفون!$Z86&lt;&gt;"",الموظفون!$Z86,cfg_MED)/12*G86/cfg_DAYS_M)</f>
        <v/>
      </c>
      <c r="AF86" s="111" t="str">
        <f aca="false">IF($B86="","",N(الموظفون!$AA86)/12*G86/cfg_DAYS_M)</f>
        <v/>
      </c>
      <c r="AG86" s="154" t="str">
        <f aca="false">IF($B86="","",T86+SUM(Z86:AF86))</f>
        <v/>
      </c>
      <c r="AH86" s="155" t="str">
        <f aca="false">IF($B86="","",MAX(0,IF(OR(الموظفون!$AE86="",الموظفون!$AE86&gt;$F$3),$F$3,الموظفون!$AE86)-الموظفون!$H86+1-SUMIFS('سجل الإجازات والحالات'!$AL$6:$AL$505,'سجل الإجازات والحالات'!$B$6:$B$505,$B86))/cfg_DAYS_Y)</f>
        <v/>
      </c>
      <c r="AI86" s="155" t="str">
        <f aca="false">IF($B86="","",MAX(0,IF(OR(الموظفون!$AE86="",الموظفون!$AE86&gt;($E$3-1)),($E$3-1),الموظفون!$AE86)-الموظفون!$H86+1-SUMIFS('سجل الإجازات والحالات'!$AK$6:$AK$505,'سجل الإجازات والحالات'!$B$6:$B$505,$B86))/cfg_DAYS_Y)</f>
        <v/>
      </c>
      <c r="AJ86" s="65" t="str">
        <f aca="false">IF($B86="","",MAX(0,AK86-(SUMIFS('سجل الإجازات والحالات'!$AL$6:$AL$505,'سجل الإجازات والحالات'!$B$6:$B$505,$B86)-SUMIFS('سجل الإجازات والحالات'!$AK$6:$AK$505,'سجل الإجازات والحالات'!$B$6:$B$505,$B86))))</f>
        <v/>
      </c>
      <c r="AK86" s="65" t="str">
        <f aca="false">IF($B86="","",MAX(0,IF(OR(الموظفون!$AE86="",الموظفون!$AE86&gt;$F$3),$F$3,الموظفون!$AE86)-MAX($E$3,الموظفون!$H86)+1))</f>
        <v/>
      </c>
      <c r="AL86" s="151" t="str">
        <f aca="false">IF($B86="","",SUMIFS('سجل الإجازات والحالات'!$AX$6:$AX$505,'سجل الإجازات والحالات'!$B$6:$B$505,$B86)+SUMIFS('الحركات الشهرية'!$K$6:$K$1005,'الحركات الشهرية'!$B$6:$B$1005,$B86,'الحركات الشهرية'!$A$6:$A$1005,$C$3))</f>
        <v/>
      </c>
      <c r="AM86" s="111" t="str">
        <f aca="false">IF($B86="","",AL86*الموظفون!$R86/cfg_DAYS_M+S86)</f>
        <v/>
      </c>
      <c r="AN86" s="151" t="str">
        <f aca="false">IF($B86="","",SUMIFS('سجل الإجازات والحالات'!$Z$6:$Z$505,'سجل الإجازات والحالات'!$B$6:$B$505,$B86))</f>
        <v/>
      </c>
    </row>
    <row r="87" customFormat="false" ht="15" hidden="false" customHeight="false" outlineLevel="0" collapsed="false">
      <c r="A87" s="115" t="str">
        <f aca="false">IF($B87="","",الموظفون!$A87)</f>
        <v/>
      </c>
      <c r="B87" s="117" t="str">
        <f aca="false">IF(الموظفون!$B87="","",الموظفون!$B87)</f>
        <v/>
      </c>
      <c r="C87" s="117" t="str">
        <f aca="false">IF($B87="","",الموظفون!$C87)</f>
        <v/>
      </c>
      <c r="D87" s="117" t="str">
        <f aca="false">IF($B87="","",الموظفون!$F87)</f>
        <v/>
      </c>
      <c r="E87" s="117" t="str">
        <f aca="false">IF($B87="","",الموظفون!$E87)</f>
        <v/>
      </c>
      <c r="F87" s="117" t="str">
        <f aca="false">IF($B87="","",IF(AK87=0,IF(AND(الموظفون!$AE87&lt;&gt;"",الموظفون!$AE87&lt;$E$3),"✖ منتهي الخدمة","⏳ لم يباشر"),IF(S87&gt;0,"✈ راتب إجازة مقدم",IF(J87=0,"⛔ بدون راتب هذا الشهر",IF(I87&gt;0,"✈ خصم "&amp;ROUND(I87,2)&amp;" يوم بدون أجر",IF(AL87&gt;0,"🌴 إجازة سنوية "&amp;ROUND(AL87,2)&amp;" يوم",IF(H87&gt;0,"⚠ غياب "&amp;ROUND(H87,2)&amp;" يوم","✔ على رأس العمل")))))))</f>
        <v/>
      </c>
      <c r="G87" s="156" t="str">
        <f aca="false">IF($B87="","",IF(AK87&gt;=DAY($F$3),cfg_DAYS_M,MIN(AK87,cfg_DAYS_M)))</f>
        <v/>
      </c>
      <c r="H87" s="156" t="str">
        <f aca="false">IF($B87="","",SUMIFS('الحركات الشهرية'!$D$6:$D$1005,'الحركات الشهرية'!$B$6:$B$1005,$B87,'الحركات الشهرية'!$A$6:$A$1005,$C$3))</f>
        <v/>
      </c>
      <c r="I87" s="156" t="str">
        <f aca="false">IF($B87="","",MIN(G87,IF(AND(AK87&gt;0,AN87&gt;=AK87),G87,AN87)+SUMIFS('الحركات الشهرية'!$E$6:$E$1005,'الحركات الشهرية'!$B$6:$B$1005,$B87,'الحركات الشهرية'!$A$6:$A$1005,$C$3)))</f>
        <v/>
      </c>
      <c r="J87" s="156" t="str">
        <f aca="false">IF($B87="","",MAX(0,G87-H87-I87))</f>
        <v/>
      </c>
      <c r="K87" s="116" t="str">
        <f aca="false">IF($B87="","",الموظفون!$L87*$J87/cfg_DAYS_M)</f>
        <v/>
      </c>
      <c r="L87" s="116" t="str">
        <f aca="false">IF($B87="","",الموظفون!$M87*$J87/cfg_DAYS_M)</f>
        <v/>
      </c>
      <c r="M87" s="116" t="str">
        <f aca="false">IF($B87="","",الموظفون!$N87*$J87/cfg_DAYS_M)</f>
        <v/>
      </c>
      <c r="N87" s="116" t="str">
        <f aca="false">IF($B87="","",الموظفون!$O87*$J87/cfg_DAYS_M)</f>
        <v/>
      </c>
      <c r="O87" s="156" t="str">
        <f aca="false">IF($B87="","",SUMIFS('الحركات الشهرية'!$F$6:$F$1005,'الحركات الشهرية'!$B$6:$B$1005,$B87,'الحركات الشهرية'!$A$6:$A$1005,$C$3))</f>
        <v/>
      </c>
      <c r="P87" s="116" t="str">
        <f aca="false">IF($B87="","",O87*(الموظفون!$P87+الموظفون!$L87*cfg_OT_P)/cfg_DAYS_M/cfg_HRS)</f>
        <v/>
      </c>
      <c r="Q87" s="116" t="str">
        <f aca="false">IF($B87="","",SUMIFS('الحركات الشهرية'!$G$6:$G$1005,'الحركات الشهرية'!$B$6:$B$1005,$B87,'الحركات الشهرية'!$A$6:$A$1005,$C$3))</f>
        <v/>
      </c>
      <c r="R87" s="116" t="str">
        <f aca="false">IF($B87="","",SUMIFS('الحركات الشهرية'!$H$6:$H$1005,'الحركات الشهرية'!$B$6:$B$1005,$B87,'الحركات الشهرية'!$A$6:$A$1005,$C$3))</f>
        <v/>
      </c>
      <c r="S87" s="116" t="str">
        <f aca="false">IF($B87="","",SUMIFS('سجل الإجازات والحالات'!$N$6:$N$505,'سجل الإجازات والحالات'!$B$6:$B$505,$B87,'سجل الإجازات والحالات'!$O$6:$O$505,$C$3))</f>
        <v/>
      </c>
      <c r="T87" s="157" t="str">
        <f aca="false">IF($B87="","",SUM(K87:N87)+SUM(P87:S87))</f>
        <v/>
      </c>
      <c r="U87" s="116" t="str">
        <f aca="false">IF($B87="","",الموظفون!$S87*IF(E87="سعودي",cfg_G_SE,cfg_G_NE)*G87/cfg_DAYS_M)</f>
        <v/>
      </c>
      <c r="V87" s="116" t="str">
        <f aca="false">IF($B87="","",SUMIFS('الحركات الشهرية'!$I$6:$I$1005,'الحركات الشهرية'!$B$6:$B$1005,$B87,'الحركات الشهرية'!$A$6:$A$1005,$C$3))</f>
        <v/>
      </c>
      <c r="W87" s="116" t="str">
        <f aca="false">IF($B87="","",SUMIFS('الحركات الشهرية'!$J$6:$J$1005,'الحركات الشهرية'!$B$6:$B$1005,$B87,'الحركات الشهرية'!$A$6:$A$1005,$C$3))</f>
        <v/>
      </c>
      <c r="X87" s="116" t="str">
        <f aca="false">IF($B87="","",SUM(U87:W87))</f>
        <v/>
      </c>
      <c r="Y87" s="158" t="str">
        <f aca="false">IF($B87="","",T87-X87)</f>
        <v/>
      </c>
      <c r="Z87" s="116" t="str">
        <f aca="false">IF($B87="","",الموظفون!$S87*IF(E87="سعودي",cfg_G_SR,cfg_G_NR)*G87/cfg_DAYS_M)</f>
        <v/>
      </c>
      <c r="AA87" s="116" t="str">
        <f aca="false">IF($B87="","",الموظفون!$Q87*(cfg_EOS_R1*(MIN(AH87,cfg_EOS_TH)-MIN(AI87,cfg_EOS_TH))+cfg_EOS_R2*(MAX(AH87-cfg_EOS_TH,0)-MAX(AI87-cfg_EOS_TH,0))))</f>
        <v/>
      </c>
      <c r="AB87" s="116" t="str">
        <f aca="false">IF($B87="","",IF(الموظفون!$T87&lt;&gt;"",الموظفون!$T87,IF(AH87&gt;=cfg_LV_TH,cfg_LV_D2,cfg_LV_D1))/cfg_DAYS_Y*AJ87*الموظفون!$R87/cfg_DAYS_M)</f>
        <v/>
      </c>
      <c r="AC87" s="116" t="str">
        <f aca="false">IF($B87="","",IF(AND(الموظفون!$U87="نعم",N(الموظفون!$W87)&gt;0),الموظفون!$V87/الموظفون!$W87*12/cfg_DAYS_Y*AJ87,0))</f>
        <v/>
      </c>
      <c r="AD87" s="116" t="str">
        <f aca="false">IF($B87="","",(IF(الموظفون!$X87&lt;&gt;"",الموظفون!$X87,IF(الموظفون!$E87="غير سعودي",cfg_IQ,0))+IF(الموظفون!$Y87&lt;&gt;"",الموظفون!$Y87,IF(الموظفون!$E87="غير سعودي",cfg_WP,0)))/12*G87/cfg_DAYS_M)</f>
        <v/>
      </c>
      <c r="AE87" s="116" t="str">
        <f aca="false">IF($B87="","",IF(الموظفون!$Z87&lt;&gt;"",الموظفون!$Z87,cfg_MED)/12*G87/cfg_DAYS_M)</f>
        <v/>
      </c>
      <c r="AF87" s="116" t="str">
        <f aca="false">IF($B87="","",N(الموظفون!$AA87)/12*G87/cfg_DAYS_M)</f>
        <v/>
      </c>
      <c r="AG87" s="159" t="str">
        <f aca="false">IF($B87="","",T87+SUM(Z87:AF87))</f>
        <v/>
      </c>
      <c r="AH87" s="160" t="str">
        <f aca="false">IF($B87="","",MAX(0,IF(OR(الموظفون!$AE87="",الموظفون!$AE87&gt;$F$3),$F$3,الموظفون!$AE87)-الموظفون!$H87+1-SUMIFS('سجل الإجازات والحالات'!$AL$6:$AL$505,'سجل الإجازات والحالات'!$B$6:$B$505,$B87))/cfg_DAYS_Y)</f>
        <v/>
      </c>
      <c r="AI87" s="160" t="str">
        <f aca="false">IF($B87="","",MAX(0,IF(OR(الموظفون!$AE87="",الموظفون!$AE87&gt;($E$3-1)),($E$3-1),الموظفون!$AE87)-الموظفون!$H87+1-SUMIFS('سجل الإجازات والحالات'!$AK$6:$AK$505,'سجل الإجازات والحالات'!$B$6:$B$505,$B87))/cfg_DAYS_Y)</f>
        <v/>
      </c>
      <c r="AJ87" s="133" t="str">
        <f aca="false">IF($B87="","",MAX(0,AK87-(SUMIFS('سجل الإجازات والحالات'!$AL$6:$AL$505,'سجل الإجازات والحالات'!$B$6:$B$505,$B87)-SUMIFS('سجل الإجازات والحالات'!$AK$6:$AK$505,'سجل الإجازات والحالات'!$B$6:$B$505,$B87))))</f>
        <v/>
      </c>
      <c r="AK87" s="133" t="str">
        <f aca="false">IF($B87="","",MAX(0,IF(OR(الموظفون!$AE87="",الموظفون!$AE87&gt;$F$3),$F$3,الموظفون!$AE87)-MAX($E$3,الموظفون!$H87)+1))</f>
        <v/>
      </c>
      <c r="AL87" s="156" t="str">
        <f aca="false">IF($B87="","",SUMIFS('سجل الإجازات والحالات'!$AX$6:$AX$505,'سجل الإجازات والحالات'!$B$6:$B$505,$B87)+SUMIFS('الحركات الشهرية'!$K$6:$K$1005,'الحركات الشهرية'!$B$6:$B$1005,$B87,'الحركات الشهرية'!$A$6:$A$1005,$C$3))</f>
        <v/>
      </c>
      <c r="AM87" s="116" t="str">
        <f aca="false">IF($B87="","",AL87*الموظفون!$R87/cfg_DAYS_M+S87)</f>
        <v/>
      </c>
      <c r="AN87" s="156" t="str">
        <f aca="false">IF($B87="","",SUMIFS('سجل الإجازات والحالات'!$Z$6:$Z$505,'سجل الإجازات والحالات'!$B$6:$B$505,$B87))</f>
        <v/>
      </c>
    </row>
    <row r="88" customFormat="false" ht="15" hidden="false" customHeight="false" outlineLevel="0" collapsed="false">
      <c r="A88" s="106" t="str">
        <f aca="false">IF($B88="","",الموظفون!$A88)</f>
        <v/>
      </c>
      <c r="B88" s="114" t="str">
        <f aca="false">IF(الموظفون!$B88="","",الموظفون!$B88)</f>
        <v/>
      </c>
      <c r="C88" s="114" t="str">
        <f aca="false">IF($B88="","",الموظفون!$C88)</f>
        <v/>
      </c>
      <c r="D88" s="114" t="str">
        <f aca="false">IF($B88="","",الموظفون!$F88)</f>
        <v/>
      </c>
      <c r="E88" s="114" t="str">
        <f aca="false">IF($B88="","",الموظفون!$E88)</f>
        <v/>
      </c>
      <c r="F88" s="114" t="str">
        <f aca="false">IF($B88="","",IF(AK88=0,IF(AND(الموظفون!$AE88&lt;&gt;"",الموظفون!$AE88&lt;$E$3),"✖ منتهي الخدمة","⏳ لم يباشر"),IF(S88&gt;0,"✈ راتب إجازة مقدم",IF(J88=0,"⛔ بدون راتب هذا الشهر",IF(I88&gt;0,"✈ خصم "&amp;ROUND(I88,2)&amp;" يوم بدون أجر",IF(AL88&gt;0,"🌴 إجازة سنوية "&amp;ROUND(AL88,2)&amp;" يوم",IF(H88&gt;0,"⚠ غياب "&amp;ROUND(H88,2)&amp;" يوم","✔ على رأس العمل")))))))</f>
        <v/>
      </c>
      <c r="G88" s="151" t="str">
        <f aca="false">IF($B88="","",IF(AK88&gt;=DAY($F$3),cfg_DAYS_M,MIN(AK88,cfg_DAYS_M)))</f>
        <v/>
      </c>
      <c r="H88" s="151" t="str">
        <f aca="false">IF($B88="","",SUMIFS('الحركات الشهرية'!$D$6:$D$1005,'الحركات الشهرية'!$B$6:$B$1005,$B88,'الحركات الشهرية'!$A$6:$A$1005,$C$3))</f>
        <v/>
      </c>
      <c r="I88" s="151" t="str">
        <f aca="false">IF($B88="","",MIN(G88,IF(AND(AK88&gt;0,AN88&gt;=AK88),G88,AN88)+SUMIFS('الحركات الشهرية'!$E$6:$E$1005,'الحركات الشهرية'!$B$6:$B$1005,$B88,'الحركات الشهرية'!$A$6:$A$1005,$C$3)))</f>
        <v/>
      </c>
      <c r="J88" s="151" t="str">
        <f aca="false">IF($B88="","",MAX(0,G88-H88-I88))</f>
        <v/>
      </c>
      <c r="K88" s="111" t="str">
        <f aca="false">IF($B88="","",الموظفون!$L88*$J88/cfg_DAYS_M)</f>
        <v/>
      </c>
      <c r="L88" s="111" t="str">
        <f aca="false">IF($B88="","",الموظفون!$M88*$J88/cfg_DAYS_M)</f>
        <v/>
      </c>
      <c r="M88" s="111" t="str">
        <f aca="false">IF($B88="","",الموظفون!$N88*$J88/cfg_DAYS_M)</f>
        <v/>
      </c>
      <c r="N88" s="111" t="str">
        <f aca="false">IF($B88="","",الموظفون!$O88*$J88/cfg_DAYS_M)</f>
        <v/>
      </c>
      <c r="O88" s="151" t="str">
        <f aca="false">IF($B88="","",SUMIFS('الحركات الشهرية'!$F$6:$F$1005,'الحركات الشهرية'!$B$6:$B$1005,$B88,'الحركات الشهرية'!$A$6:$A$1005,$C$3))</f>
        <v/>
      </c>
      <c r="P88" s="111" t="str">
        <f aca="false">IF($B88="","",O88*(الموظفون!$P88+الموظفون!$L88*cfg_OT_P)/cfg_DAYS_M/cfg_HRS)</f>
        <v/>
      </c>
      <c r="Q88" s="111" t="str">
        <f aca="false">IF($B88="","",SUMIFS('الحركات الشهرية'!$G$6:$G$1005,'الحركات الشهرية'!$B$6:$B$1005,$B88,'الحركات الشهرية'!$A$6:$A$1005,$C$3))</f>
        <v/>
      </c>
      <c r="R88" s="111" t="str">
        <f aca="false">IF($B88="","",SUMIFS('الحركات الشهرية'!$H$6:$H$1005,'الحركات الشهرية'!$B$6:$B$1005,$B88,'الحركات الشهرية'!$A$6:$A$1005,$C$3))</f>
        <v/>
      </c>
      <c r="S88" s="111" t="str">
        <f aca="false">IF($B88="","",SUMIFS('سجل الإجازات والحالات'!$N$6:$N$505,'سجل الإجازات والحالات'!$B$6:$B$505,$B88,'سجل الإجازات والحالات'!$O$6:$O$505,$C$3))</f>
        <v/>
      </c>
      <c r="T88" s="152" t="str">
        <f aca="false">IF($B88="","",SUM(K88:N88)+SUM(P88:S88))</f>
        <v/>
      </c>
      <c r="U88" s="111" t="str">
        <f aca="false">IF($B88="","",الموظفون!$S88*IF(E88="سعودي",cfg_G_SE,cfg_G_NE)*G88/cfg_DAYS_M)</f>
        <v/>
      </c>
      <c r="V88" s="111" t="str">
        <f aca="false">IF($B88="","",SUMIFS('الحركات الشهرية'!$I$6:$I$1005,'الحركات الشهرية'!$B$6:$B$1005,$B88,'الحركات الشهرية'!$A$6:$A$1005,$C$3))</f>
        <v/>
      </c>
      <c r="W88" s="111" t="str">
        <f aca="false">IF($B88="","",SUMIFS('الحركات الشهرية'!$J$6:$J$1005,'الحركات الشهرية'!$B$6:$B$1005,$B88,'الحركات الشهرية'!$A$6:$A$1005,$C$3))</f>
        <v/>
      </c>
      <c r="X88" s="111" t="str">
        <f aca="false">IF($B88="","",SUM(U88:W88))</f>
        <v/>
      </c>
      <c r="Y88" s="153" t="str">
        <f aca="false">IF($B88="","",T88-X88)</f>
        <v/>
      </c>
      <c r="Z88" s="111" t="str">
        <f aca="false">IF($B88="","",الموظفون!$S88*IF(E88="سعودي",cfg_G_SR,cfg_G_NR)*G88/cfg_DAYS_M)</f>
        <v/>
      </c>
      <c r="AA88" s="111" t="str">
        <f aca="false">IF($B88="","",الموظفون!$Q88*(cfg_EOS_R1*(MIN(AH88,cfg_EOS_TH)-MIN(AI88,cfg_EOS_TH))+cfg_EOS_R2*(MAX(AH88-cfg_EOS_TH,0)-MAX(AI88-cfg_EOS_TH,0))))</f>
        <v/>
      </c>
      <c r="AB88" s="111" t="str">
        <f aca="false">IF($B88="","",IF(الموظفون!$T88&lt;&gt;"",الموظفون!$T88,IF(AH88&gt;=cfg_LV_TH,cfg_LV_D2,cfg_LV_D1))/cfg_DAYS_Y*AJ88*الموظفون!$R88/cfg_DAYS_M)</f>
        <v/>
      </c>
      <c r="AC88" s="111" t="str">
        <f aca="false">IF($B88="","",IF(AND(الموظفون!$U88="نعم",N(الموظفون!$W88)&gt;0),الموظفون!$V88/الموظفون!$W88*12/cfg_DAYS_Y*AJ88,0))</f>
        <v/>
      </c>
      <c r="AD88" s="111" t="str">
        <f aca="false">IF($B88="","",(IF(الموظفون!$X88&lt;&gt;"",الموظفون!$X88,IF(الموظفون!$E88="غير سعودي",cfg_IQ,0))+IF(الموظفون!$Y88&lt;&gt;"",الموظفون!$Y88,IF(الموظفون!$E88="غير سعودي",cfg_WP,0)))/12*G88/cfg_DAYS_M)</f>
        <v/>
      </c>
      <c r="AE88" s="111" t="str">
        <f aca="false">IF($B88="","",IF(الموظفون!$Z88&lt;&gt;"",الموظفون!$Z88,cfg_MED)/12*G88/cfg_DAYS_M)</f>
        <v/>
      </c>
      <c r="AF88" s="111" t="str">
        <f aca="false">IF($B88="","",N(الموظفون!$AA88)/12*G88/cfg_DAYS_M)</f>
        <v/>
      </c>
      <c r="AG88" s="154" t="str">
        <f aca="false">IF($B88="","",T88+SUM(Z88:AF88))</f>
        <v/>
      </c>
      <c r="AH88" s="155" t="str">
        <f aca="false">IF($B88="","",MAX(0,IF(OR(الموظفون!$AE88="",الموظفون!$AE88&gt;$F$3),$F$3,الموظفون!$AE88)-الموظفون!$H88+1-SUMIFS('سجل الإجازات والحالات'!$AL$6:$AL$505,'سجل الإجازات والحالات'!$B$6:$B$505,$B88))/cfg_DAYS_Y)</f>
        <v/>
      </c>
      <c r="AI88" s="155" t="str">
        <f aca="false">IF($B88="","",MAX(0,IF(OR(الموظفون!$AE88="",الموظفون!$AE88&gt;($E$3-1)),($E$3-1),الموظفون!$AE88)-الموظفون!$H88+1-SUMIFS('سجل الإجازات والحالات'!$AK$6:$AK$505,'سجل الإجازات والحالات'!$B$6:$B$505,$B88))/cfg_DAYS_Y)</f>
        <v/>
      </c>
      <c r="AJ88" s="65" t="str">
        <f aca="false">IF($B88="","",MAX(0,AK88-(SUMIFS('سجل الإجازات والحالات'!$AL$6:$AL$505,'سجل الإجازات والحالات'!$B$6:$B$505,$B88)-SUMIFS('سجل الإجازات والحالات'!$AK$6:$AK$505,'سجل الإجازات والحالات'!$B$6:$B$505,$B88))))</f>
        <v/>
      </c>
      <c r="AK88" s="65" t="str">
        <f aca="false">IF($B88="","",MAX(0,IF(OR(الموظفون!$AE88="",الموظفون!$AE88&gt;$F$3),$F$3,الموظفون!$AE88)-MAX($E$3,الموظفون!$H88)+1))</f>
        <v/>
      </c>
      <c r="AL88" s="151" t="str">
        <f aca="false">IF($B88="","",SUMIFS('سجل الإجازات والحالات'!$AX$6:$AX$505,'سجل الإجازات والحالات'!$B$6:$B$505,$B88)+SUMIFS('الحركات الشهرية'!$K$6:$K$1005,'الحركات الشهرية'!$B$6:$B$1005,$B88,'الحركات الشهرية'!$A$6:$A$1005,$C$3))</f>
        <v/>
      </c>
      <c r="AM88" s="111" t="str">
        <f aca="false">IF($B88="","",AL88*الموظفون!$R88/cfg_DAYS_M+S88)</f>
        <v/>
      </c>
      <c r="AN88" s="151" t="str">
        <f aca="false">IF($B88="","",SUMIFS('سجل الإجازات والحالات'!$Z$6:$Z$505,'سجل الإجازات والحالات'!$B$6:$B$505,$B88))</f>
        <v/>
      </c>
    </row>
    <row r="89" customFormat="false" ht="15" hidden="false" customHeight="false" outlineLevel="0" collapsed="false">
      <c r="A89" s="115" t="str">
        <f aca="false">IF($B89="","",الموظفون!$A89)</f>
        <v/>
      </c>
      <c r="B89" s="117" t="str">
        <f aca="false">IF(الموظفون!$B89="","",الموظفون!$B89)</f>
        <v/>
      </c>
      <c r="C89" s="117" t="str">
        <f aca="false">IF($B89="","",الموظفون!$C89)</f>
        <v/>
      </c>
      <c r="D89" s="117" t="str">
        <f aca="false">IF($B89="","",الموظفون!$F89)</f>
        <v/>
      </c>
      <c r="E89" s="117" t="str">
        <f aca="false">IF($B89="","",الموظفون!$E89)</f>
        <v/>
      </c>
      <c r="F89" s="117" t="str">
        <f aca="false">IF($B89="","",IF(AK89=0,IF(AND(الموظفون!$AE89&lt;&gt;"",الموظفون!$AE89&lt;$E$3),"✖ منتهي الخدمة","⏳ لم يباشر"),IF(S89&gt;0,"✈ راتب إجازة مقدم",IF(J89=0,"⛔ بدون راتب هذا الشهر",IF(I89&gt;0,"✈ خصم "&amp;ROUND(I89,2)&amp;" يوم بدون أجر",IF(AL89&gt;0,"🌴 إجازة سنوية "&amp;ROUND(AL89,2)&amp;" يوم",IF(H89&gt;0,"⚠ غياب "&amp;ROUND(H89,2)&amp;" يوم","✔ على رأس العمل")))))))</f>
        <v/>
      </c>
      <c r="G89" s="156" t="str">
        <f aca="false">IF($B89="","",IF(AK89&gt;=DAY($F$3),cfg_DAYS_M,MIN(AK89,cfg_DAYS_M)))</f>
        <v/>
      </c>
      <c r="H89" s="156" t="str">
        <f aca="false">IF($B89="","",SUMIFS('الحركات الشهرية'!$D$6:$D$1005,'الحركات الشهرية'!$B$6:$B$1005,$B89,'الحركات الشهرية'!$A$6:$A$1005,$C$3))</f>
        <v/>
      </c>
      <c r="I89" s="156" t="str">
        <f aca="false">IF($B89="","",MIN(G89,IF(AND(AK89&gt;0,AN89&gt;=AK89),G89,AN89)+SUMIFS('الحركات الشهرية'!$E$6:$E$1005,'الحركات الشهرية'!$B$6:$B$1005,$B89,'الحركات الشهرية'!$A$6:$A$1005,$C$3)))</f>
        <v/>
      </c>
      <c r="J89" s="156" t="str">
        <f aca="false">IF($B89="","",MAX(0,G89-H89-I89))</f>
        <v/>
      </c>
      <c r="K89" s="116" t="str">
        <f aca="false">IF($B89="","",الموظفون!$L89*$J89/cfg_DAYS_M)</f>
        <v/>
      </c>
      <c r="L89" s="116" t="str">
        <f aca="false">IF($B89="","",الموظفون!$M89*$J89/cfg_DAYS_M)</f>
        <v/>
      </c>
      <c r="M89" s="116" t="str">
        <f aca="false">IF($B89="","",الموظفون!$N89*$J89/cfg_DAYS_M)</f>
        <v/>
      </c>
      <c r="N89" s="116" t="str">
        <f aca="false">IF($B89="","",الموظفون!$O89*$J89/cfg_DAYS_M)</f>
        <v/>
      </c>
      <c r="O89" s="156" t="str">
        <f aca="false">IF($B89="","",SUMIFS('الحركات الشهرية'!$F$6:$F$1005,'الحركات الشهرية'!$B$6:$B$1005,$B89,'الحركات الشهرية'!$A$6:$A$1005,$C$3))</f>
        <v/>
      </c>
      <c r="P89" s="116" t="str">
        <f aca="false">IF($B89="","",O89*(الموظفون!$P89+الموظفون!$L89*cfg_OT_P)/cfg_DAYS_M/cfg_HRS)</f>
        <v/>
      </c>
      <c r="Q89" s="116" t="str">
        <f aca="false">IF($B89="","",SUMIFS('الحركات الشهرية'!$G$6:$G$1005,'الحركات الشهرية'!$B$6:$B$1005,$B89,'الحركات الشهرية'!$A$6:$A$1005,$C$3))</f>
        <v/>
      </c>
      <c r="R89" s="116" t="str">
        <f aca="false">IF($B89="","",SUMIFS('الحركات الشهرية'!$H$6:$H$1005,'الحركات الشهرية'!$B$6:$B$1005,$B89,'الحركات الشهرية'!$A$6:$A$1005,$C$3))</f>
        <v/>
      </c>
      <c r="S89" s="116" t="str">
        <f aca="false">IF($B89="","",SUMIFS('سجل الإجازات والحالات'!$N$6:$N$505,'سجل الإجازات والحالات'!$B$6:$B$505,$B89,'سجل الإجازات والحالات'!$O$6:$O$505,$C$3))</f>
        <v/>
      </c>
      <c r="T89" s="157" t="str">
        <f aca="false">IF($B89="","",SUM(K89:N89)+SUM(P89:S89))</f>
        <v/>
      </c>
      <c r="U89" s="116" t="str">
        <f aca="false">IF($B89="","",الموظفون!$S89*IF(E89="سعودي",cfg_G_SE,cfg_G_NE)*G89/cfg_DAYS_M)</f>
        <v/>
      </c>
      <c r="V89" s="116" t="str">
        <f aca="false">IF($B89="","",SUMIFS('الحركات الشهرية'!$I$6:$I$1005,'الحركات الشهرية'!$B$6:$B$1005,$B89,'الحركات الشهرية'!$A$6:$A$1005,$C$3))</f>
        <v/>
      </c>
      <c r="W89" s="116" t="str">
        <f aca="false">IF($B89="","",SUMIFS('الحركات الشهرية'!$J$6:$J$1005,'الحركات الشهرية'!$B$6:$B$1005,$B89,'الحركات الشهرية'!$A$6:$A$1005,$C$3))</f>
        <v/>
      </c>
      <c r="X89" s="116" t="str">
        <f aca="false">IF($B89="","",SUM(U89:W89))</f>
        <v/>
      </c>
      <c r="Y89" s="158" t="str">
        <f aca="false">IF($B89="","",T89-X89)</f>
        <v/>
      </c>
      <c r="Z89" s="116" t="str">
        <f aca="false">IF($B89="","",الموظفون!$S89*IF(E89="سعودي",cfg_G_SR,cfg_G_NR)*G89/cfg_DAYS_M)</f>
        <v/>
      </c>
      <c r="AA89" s="116" t="str">
        <f aca="false">IF($B89="","",الموظفون!$Q89*(cfg_EOS_R1*(MIN(AH89,cfg_EOS_TH)-MIN(AI89,cfg_EOS_TH))+cfg_EOS_R2*(MAX(AH89-cfg_EOS_TH,0)-MAX(AI89-cfg_EOS_TH,0))))</f>
        <v/>
      </c>
      <c r="AB89" s="116" t="str">
        <f aca="false">IF($B89="","",IF(الموظفون!$T89&lt;&gt;"",الموظفون!$T89,IF(AH89&gt;=cfg_LV_TH,cfg_LV_D2,cfg_LV_D1))/cfg_DAYS_Y*AJ89*الموظفون!$R89/cfg_DAYS_M)</f>
        <v/>
      </c>
      <c r="AC89" s="116" t="str">
        <f aca="false">IF($B89="","",IF(AND(الموظفون!$U89="نعم",N(الموظفون!$W89)&gt;0),الموظفون!$V89/الموظفون!$W89*12/cfg_DAYS_Y*AJ89,0))</f>
        <v/>
      </c>
      <c r="AD89" s="116" t="str">
        <f aca="false">IF($B89="","",(IF(الموظفون!$X89&lt;&gt;"",الموظفون!$X89,IF(الموظفون!$E89="غير سعودي",cfg_IQ,0))+IF(الموظفون!$Y89&lt;&gt;"",الموظفون!$Y89,IF(الموظفون!$E89="غير سعودي",cfg_WP,0)))/12*G89/cfg_DAYS_M)</f>
        <v/>
      </c>
      <c r="AE89" s="116" t="str">
        <f aca="false">IF($B89="","",IF(الموظفون!$Z89&lt;&gt;"",الموظفون!$Z89,cfg_MED)/12*G89/cfg_DAYS_M)</f>
        <v/>
      </c>
      <c r="AF89" s="116" t="str">
        <f aca="false">IF($B89="","",N(الموظفون!$AA89)/12*G89/cfg_DAYS_M)</f>
        <v/>
      </c>
      <c r="AG89" s="159" t="str">
        <f aca="false">IF($B89="","",T89+SUM(Z89:AF89))</f>
        <v/>
      </c>
      <c r="AH89" s="160" t="str">
        <f aca="false">IF($B89="","",MAX(0,IF(OR(الموظفون!$AE89="",الموظفون!$AE89&gt;$F$3),$F$3,الموظفون!$AE89)-الموظفون!$H89+1-SUMIFS('سجل الإجازات والحالات'!$AL$6:$AL$505,'سجل الإجازات والحالات'!$B$6:$B$505,$B89))/cfg_DAYS_Y)</f>
        <v/>
      </c>
      <c r="AI89" s="160" t="str">
        <f aca="false">IF($B89="","",MAX(0,IF(OR(الموظفون!$AE89="",الموظفون!$AE89&gt;($E$3-1)),($E$3-1),الموظفون!$AE89)-الموظفون!$H89+1-SUMIFS('سجل الإجازات والحالات'!$AK$6:$AK$505,'سجل الإجازات والحالات'!$B$6:$B$505,$B89))/cfg_DAYS_Y)</f>
        <v/>
      </c>
      <c r="AJ89" s="133" t="str">
        <f aca="false">IF($B89="","",MAX(0,AK89-(SUMIFS('سجل الإجازات والحالات'!$AL$6:$AL$505,'سجل الإجازات والحالات'!$B$6:$B$505,$B89)-SUMIFS('سجل الإجازات والحالات'!$AK$6:$AK$505,'سجل الإجازات والحالات'!$B$6:$B$505,$B89))))</f>
        <v/>
      </c>
      <c r="AK89" s="133" t="str">
        <f aca="false">IF($B89="","",MAX(0,IF(OR(الموظفون!$AE89="",الموظفون!$AE89&gt;$F$3),$F$3,الموظفون!$AE89)-MAX($E$3,الموظفون!$H89)+1))</f>
        <v/>
      </c>
      <c r="AL89" s="156" t="str">
        <f aca="false">IF($B89="","",SUMIFS('سجل الإجازات والحالات'!$AX$6:$AX$505,'سجل الإجازات والحالات'!$B$6:$B$505,$B89)+SUMIFS('الحركات الشهرية'!$K$6:$K$1005,'الحركات الشهرية'!$B$6:$B$1005,$B89,'الحركات الشهرية'!$A$6:$A$1005,$C$3))</f>
        <v/>
      </c>
      <c r="AM89" s="116" t="str">
        <f aca="false">IF($B89="","",AL89*الموظفون!$R89/cfg_DAYS_M+S89)</f>
        <v/>
      </c>
      <c r="AN89" s="156" t="str">
        <f aca="false">IF($B89="","",SUMIFS('سجل الإجازات والحالات'!$Z$6:$Z$505,'سجل الإجازات والحالات'!$B$6:$B$505,$B89))</f>
        <v/>
      </c>
    </row>
    <row r="90" customFormat="false" ht="15" hidden="false" customHeight="false" outlineLevel="0" collapsed="false">
      <c r="A90" s="106" t="str">
        <f aca="false">IF($B90="","",الموظفون!$A90)</f>
        <v/>
      </c>
      <c r="B90" s="114" t="str">
        <f aca="false">IF(الموظفون!$B90="","",الموظفون!$B90)</f>
        <v/>
      </c>
      <c r="C90" s="114" t="str">
        <f aca="false">IF($B90="","",الموظفون!$C90)</f>
        <v/>
      </c>
      <c r="D90" s="114" t="str">
        <f aca="false">IF($B90="","",الموظفون!$F90)</f>
        <v/>
      </c>
      <c r="E90" s="114" t="str">
        <f aca="false">IF($B90="","",الموظفون!$E90)</f>
        <v/>
      </c>
      <c r="F90" s="114" t="str">
        <f aca="false">IF($B90="","",IF(AK90=0,IF(AND(الموظفون!$AE90&lt;&gt;"",الموظفون!$AE90&lt;$E$3),"✖ منتهي الخدمة","⏳ لم يباشر"),IF(S90&gt;0,"✈ راتب إجازة مقدم",IF(J90=0,"⛔ بدون راتب هذا الشهر",IF(I90&gt;0,"✈ خصم "&amp;ROUND(I90,2)&amp;" يوم بدون أجر",IF(AL90&gt;0,"🌴 إجازة سنوية "&amp;ROUND(AL90,2)&amp;" يوم",IF(H90&gt;0,"⚠ غياب "&amp;ROUND(H90,2)&amp;" يوم","✔ على رأس العمل")))))))</f>
        <v/>
      </c>
      <c r="G90" s="151" t="str">
        <f aca="false">IF($B90="","",IF(AK90&gt;=DAY($F$3),cfg_DAYS_M,MIN(AK90,cfg_DAYS_M)))</f>
        <v/>
      </c>
      <c r="H90" s="151" t="str">
        <f aca="false">IF($B90="","",SUMIFS('الحركات الشهرية'!$D$6:$D$1005,'الحركات الشهرية'!$B$6:$B$1005,$B90,'الحركات الشهرية'!$A$6:$A$1005,$C$3))</f>
        <v/>
      </c>
      <c r="I90" s="151" t="str">
        <f aca="false">IF($B90="","",MIN(G90,IF(AND(AK90&gt;0,AN90&gt;=AK90),G90,AN90)+SUMIFS('الحركات الشهرية'!$E$6:$E$1005,'الحركات الشهرية'!$B$6:$B$1005,$B90,'الحركات الشهرية'!$A$6:$A$1005,$C$3)))</f>
        <v/>
      </c>
      <c r="J90" s="151" t="str">
        <f aca="false">IF($B90="","",MAX(0,G90-H90-I90))</f>
        <v/>
      </c>
      <c r="K90" s="111" t="str">
        <f aca="false">IF($B90="","",الموظفون!$L90*$J90/cfg_DAYS_M)</f>
        <v/>
      </c>
      <c r="L90" s="111" t="str">
        <f aca="false">IF($B90="","",الموظفون!$M90*$J90/cfg_DAYS_M)</f>
        <v/>
      </c>
      <c r="M90" s="111" t="str">
        <f aca="false">IF($B90="","",الموظفون!$N90*$J90/cfg_DAYS_M)</f>
        <v/>
      </c>
      <c r="N90" s="111" t="str">
        <f aca="false">IF($B90="","",الموظفون!$O90*$J90/cfg_DAYS_M)</f>
        <v/>
      </c>
      <c r="O90" s="151" t="str">
        <f aca="false">IF($B90="","",SUMIFS('الحركات الشهرية'!$F$6:$F$1005,'الحركات الشهرية'!$B$6:$B$1005,$B90,'الحركات الشهرية'!$A$6:$A$1005,$C$3))</f>
        <v/>
      </c>
      <c r="P90" s="111" t="str">
        <f aca="false">IF($B90="","",O90*(الموظفون!$P90+الموظفون!$L90*cfg_OT_P)/cfg_DAYS_M/cfg_HRS)</f>
        <v/>
      </c>
      <c r="Q90" s="111" t="str">
        <f aca="false">IF($B90="","",SUMIFS('الحركات الشهرية'!$G$6:$G$1005,'الحركات الشهرية'!$B$6:$B$1005,$B90,'الحركات الشهرية'!$A$6:$A$1005,$C$3))</f>
        <v/>
      </c>
      <c r="R90" s="111" t="str">
        <f aca="false">IF($B90="","",SUMIFS('الحركات الشهرية'!$H$6:$H$1005,'الحركات الشهرية'!$B$6:$B$1005,$B90,'الحركات الشهرية'!$A$6:$A$1005,$C$3))</f>
        <v/>
      </c>
      <c r="S90" s="111" t="str">
        <f aca="false">IF($B90="","",SUMIFS('سجل الإجازات والحالات'!$N$6:$N$505,'سجل الإجازات والحالات'!$B$6:$B$505,$B90,'سجل الإجازات والحالات'!$O$6:$O$505,$C$3))</f>
        <v/>
      </c>
      <c r="T90" s="152" t="str">
        <f aca="false">IF($B90="","",SUM(K90:N90)+SUM(P90:S90))</f>
        <v/>
      </c>
      <c r="U90" s="111" t="str">
        <f aca="false">IF($B90="","",الموظفون!$S90*IF(E90="سعودي",cfg_G_SE,cfg_G_NE)*G90/cfg_DAYS_M)</f>
        <v/>
      </c>
      <c r="V90" s="111" t="str">
        <f aca="false">IF($B90="","",SUMIFS('الحركات الشهرية'!$I$6:$I$1005,'الحركات الشهرية'!$B$6:$B$1005,$B90,'الحركات الشهرية'!$A$6:$A$1005,$C$3))</f>
        <v/>
      </c>
      <c r="W90" s="111" t="str">
        <f aca="false">IF($B90="","",SUMIFS('الحركات الشهرية'!$J$6:$J$1005,'الحركات الشهرية'!$B$6:$B$1005,$B90,'الحركات الشهرية'!$A$6:$A$1005,$C$3))</f>
        <v/>
      </c>
      <c r="X90" s="111" t="str">
        <f aca="false">IF($B90="","",SUM(U90:W90))</f>
        <v/>
      </c>
      <c r="Y90" s="153" t="str">
        <f aca="false">IF($B90="","",T90-X90)</f>
        <v/>
      </c>
      <c r="Z90" s="111" t="str">
        <f aca="false">IF($B90="","",الموظفون!$S90*IF(E90="سعودي",cfg_G_SR,cfg_G_NR)*G90/cfg_DAYS_M)</f>
        <v/>
      </c>
      <c r="AA90" s="111" t="str">
        <f aca="false">IF($B90="","",الموظفون!$Q90*(cfg_EOS_R1*(MIN(AH90,cfg_EOS_TH)-MIN(AI90,cfg_EOS_TH))+cfg_EOS_R2*(MAX(AH90-cfg_EOS_TH,0)-MAX(AI90-cfg_EOS_TH,0))))</f>
        <v/>
      </c>
      <c r="AB90" s="111" t="str">
        <f aca="false">IF($B90="","",IF(الموظفون!$T90&lt;&gt;"",الموظفون!$T90,IF(AH90&gt;=cfg_LV_TH,cfg_LV_D2,cfg_LV_D1))/cfg_DAYS_Y*AJ90*الموظفون!$R90/cfg_DAYS_M)</f>
        <v/>
      </c>
      <c r="AC90" s="111" t="str">
        <f aca="false">IF($B90="","",IF(AND(الموظفون!$U90="نعم",N(الموظفون!$W90)&gt;0),الموظفون!$V90/الموظفون!$W90*12/cfg_DAYS_Y*AJ90,0))</f>
        <v/>
      </c>
      <c r="AD90" s="111" t="str">
        <f aca="false">IF($B90="","",(IF(الموظفون!$X90&lt;&gt;"",الموظفون!$X90,IF(الموظفون!$E90="غير سعودي",cfg_IQ,0))+IF(الموظفون!$Y90&lt;&gt;"",الموظفون!$Y90,IF(الموظفون!$E90="غير سعودي",cfg_WP,0)))/12*G90/cfg_DAYS_M)</f>
        <v/>
      </c>
      <c r="AE90" s="111" t="str">
        <f aca="false">IF($B90="","",IF(الموظفون!$Z90&lt;&gt;"",الموظفون!$Z90,cfg_MED)/12*G90/cfg_DAYS_M)</f>
        <v/>
      </c>
      <c r="AF90" s="111" t="str">
        <f aca="false">IF($B90="","",N(الموظفون!$AA90)/12*G90/cfg_DAYS_M)</f>
        <v/>
      </c>
      <c r="AG90" s="154" t="str">
        <f aca="false">IF($B90="","",T90+SUM(Z90:AF90))</f>
        <v/>
      </c>
      <c r="AH90" s="155" t="str">
        <f aca="false">IF($B90="","",MAX(0,IF(OR(الموظفون!$AE90="",الموظفون!$AE90&gt;$F$3),$F$3,الموظفون!$AE90)-الموظفون!$H90+1-SUMIFS('سجل الإجازات والحالات'!$AL$6:$AL$505,'سجل الإجازات والحالات'!$B$6:$B$505,$B90))/cfg_DAYS_Y)</f>
        <v/>
      </c>
      <c r="AI90" s="155" t="str">
        <f aca="false">IF($B90="","",MAX(0,IF(OR(الموظفون!$AE90="",الموظفون!$AE90&gt;($E$3-1)),($E$3-1),الموظفون!$AE90)-الموظفون!$H90+1-SUMIFS('سجل الإجازات والحالات'!$AK$6:$AK$505,'سجل الإجازات والحالات'!$B$6:$B$505,$B90))/cfg_DAYS_Y)</f>
        <v/>
      </c>
      <c r="AJ90" s="65" t="str">
        <f aca="false">IF($B90="","",MAX(0,AK90-(SUMIFS('سجل الإجازات والحالات'!$AL$6:$AL$505,'سجل الإجازات والحالات'!$B$6:$B$505,$B90)-SUMIFS('سجل الإجازات والحالات'!$AK$6:$AK$505,'سجل الإجازات والحالات'!$B$6:$B$505,$B90))))</f>
        <v/>
      </c>
      <c r="AK90" s="65" t="str">
        <f aca="false">IF($B90="","",MAX(0,IF(OR(الموظفون!$AE90="",الموظفون!$AE90&gt;$F$3),$F$3,الموظفون!$AE90)-MAX($E$3,الموظفون!$H90)+1))</f>
        <v/>
      </c>
      <c r="AL90" s="151" t="str">
        <f aca="false">IF($B90="","",SUMIFS('سجل الإجازات والحالات'!$AX$6:$AX$505,'سجل الإجازات والحالات'!$B$6:$B$505,$B90)+SUMIFS('الحركات الشهرية'!$K$6:$K$1005,'الحركات الشهرية'!$B$6:$B$1005,$B90,'الحركات الشهرية'!$A$6:$A$1005,$C$3))</f>
        <v/>
      </c>
      <c r="AM90" s="111" t="str">
        <f aca="false">IF($B90="","",AL90*الموظفون!$R90/cfg_DAYS_M+S90)</f>
        <v/>
      </c>
      <c r="AN90" s="151" t="str">
        <f aca="false">IF($B90="","",SUMIFS('سجل الإجازات والحالات'!$Z$6:$Z$505,'سجل الإجازات والحالات'!$B$6:$B$505,$B90))</f>
        <v/>
      </c>
    </row>
    <row r="91" customFormat="false" ht="15" hidden="false" customHeight="false" outlineLevel="0" collapsed="false">
      <c r="A91" s="115" t="str">
        <f aca="false">IF($B91="","",الموظفون!$A91)</f>
        <v/>
      </c>
      <c r="B91" s="117" t="str">
        <f aca="false">IF(الموظفون!$B91="","",الموظفون!$B91)</f>
        <v/>
      </c>
      <c r="C91" s="117" t="str">
        <f aca="false">IF($B91="","",الموظفون!$C91)</f>
        <v/>
      </c>
      <c r="D91" s="117" t="str">
        <f aca="false">IF($B91="","",الموظفون!$F91)</f>
        <v/>
      </c>
      <c r="E91" s="117" t="str">
        <f aca="false">IF($B91="","",الموظفون!$E91)</f>
        <v/>
      </c>
      <c r="F91" s="117" t="str">
        <f aca="false">IF($B91="","",IF(AK91=0,IF(AND(الموظفون!$AE91&lt;&gt;"",الموظفون!$AE91&lt;$E$3),"✖ منتهي الخدمة","⏳ لم يباشر"),IF(S91&gt;0,"✈ راتب إجازة مقدم",IF(J91=0,"⛔ بدون راتب هذا الشهر",IF(I91&gt;0,"✈ خصم "&amp;ROUND(I91,2)&amp;" يوم بدون أجر",IF(AL91&gt;0,"🌴 إجازة سنوية "&amp;ROUND(AL91,2)&amp;" يوم",IF(H91&gt;0,"⚠ غياب "&amp;ROUND(H91,2)&amp;" يوم","✔ على رأس العمل")))))))</f>
        <v/>
      </c>
      <c r="G91" s="156" t="str">
        <f aca="false">IF($B91="","",IF(AK91&gt;=DAY($F$3),cfg_DAYS_M,MIN(AK91,cfg_DAYS_M)))</f>
        <v/>
      </c>
      <c r="H91" s="156" t="str">
        <f aca="false">IF($B91="","",SUMIFS('الحركات الشهرية'!$D$6:$D$1005,'الحركات الشهرية'!$B$6:$B$1005,$B91,'الحركات الشهرية'!$A$6:$A$1005,$C$3))</f>
        <v/>
      </c>
      <c r="I91" s="156" t="str">
        <f aca="false">IF($B91="","",MIN(G91,IF(AND(AK91&gt;0,AN91&gt;=AK91),G91,AN91)+SUMIFS('الحركات الشهرية'!$E$6:$E$1005,'الحركات الشهرية'!$B$6:$B$1005,$B91,'الحركات الشهرية'!$A$6:$A$1005,$C$3)))</f>
        <v/>
      </c>
      <c r="J91" s="156" t="str">
        <f aca="false">IF($B91="","",MAX(0,G91-H91-I91))</f>
        <v/>
      </c>
      <c r="K91" s="116" t="str">
        <f aca="false">IF($B91="","",الموظفون!$L91*$J91/cfg_DAYS_M)</f>
        <v/>
      </c>
      <c r="L91" s="116" t="str">
        <f aca="false">IF($B91="","",الموظفون!$M91*$J91/cfg_DAYS_M)</f>
        <v/>
      </c>
      <c r="M91" s="116" t="str">
        <f aca="false">IF($B91="","",الموظفون!$N91*$J91/cfg_DAYS_M)</f>
        <v/>
      </c>
      <c r="N91" s="116" t="str">
        <f aca="false">IF($B91="","",الموظفون!$O91*$J91/cfg_DAYS_M)</f>
        <v/>
      </c>
      <c r="O91" s="156" t="str">
        <f aca="false">IF($B91="","",SUMIFS('الحركات الشهرية'!$F$6:$F$1005,'الحركات الشهرية'!$B$6:$B$1005,$B91,'الحركات الشهرية'!$A$6:$A$1005,$C$3))</f>
        <v/>
      </c>
      <c r="P91" s="116" t="str">
        <f aca="false">IF($B91="","",O91*(الموظفون!$P91+الموظفون!$L91*cfg_OT_P)/cfg_DAYS_M/cfg_HRS)</f>
        <v/>
      </c>
      <c r="Q91" s="116" t="str">
        <f aca="false">IF($B91="","",SUMIFS('الحركات الشهرية'!$G$6:$G$1005,'الحركات الشهرية'!$B$6:$B$1005,$B91,'الحركات الشهرية'!$A$6:$A$1005,$C$3))</f>
        <v/>
      </c>
      <c r="R91" s="116" t="str">
        <f aca="false">IF($B91="","",SUMIFS('الحركات الشهرية'!$H$6:$H$1005,'الحركات الشهرية'!$B$6:$B$1005,$B91,'الحركات الشهرية'!$A$6:$A$1005,$C$3))</f>
        <v/>
      </c>
      <c r="S91" s="116" t="str">
        <f aca="false">IF($B91="","",SUMIFS('سجل الإجازات والحالات'!$N$6:$N$505,'سجل الإجازات والحالات'!$B$6:$B$505,$B91,'سجل الإجازات والحالات'!$O$6:$O$505,$C$3))</f>
        <v/>
      </c>
      <c r="T91" s="157" t="str">
        <f aca="false">IF($B91="","",SUM(K91:N91)+SUM(P91:S91))</f>
        <v/>
      </c>
      <c r="U91" s="116" t="str">
        <f aca="false">IF($B91="","",الموظفون!$S91*IF(E91="سعودي",cfg_G_SE,cfg_G_NE)*G91/cfg_DAYS_M)</f>
        <v/>
      </c>
      <c r="V91" s="116" t="str">
        <f aca="false">IF($B91="","",SUMIFS('الحركات الشهرية'!$I$6:$I$1005,'الحركات الشهرية'!$B$6:$B$1005,$B91,'الحركات الشهرية'!$A$6:$A$1005,$C$3))</f>
        <v/>
      </c>
      <c r="W91" s="116" t="str">
        <f aca="false">IF($B91="","",SUMIFS('الحركات الشهرية'!$J$6:$J$1005,'الحركات الشهرية'!$B$6:$B$1005,$B91,'الحركات الشهرية'!$A$6:$A$1005,$C$3))</f>
        <v/>
      </c>
      <c r="X91" s="116" t="str">
        <f aca="false">IF($B91="","",SUM(U91:W91))</f>
        <v/>
      </c>
      <c r="Y91" s="158" t="str">
        <f aca="false">IF($B91="","",T91-X91)</f>
        <v/>
      </c>
      <c r="Z91" s="116" t="str">
        <f aca="false">IF($B91="","",الموظفون!$S91*IF(E91="سعودي",cfg_G_SR,cfg_G_NR)*G91/cfg_DAYS_M)</f>
        <v/>
      </c>
      <c r="AA91" s="116" t="str">
        <f aca="false">IF($B91="","",الموظفون!$Q91*(cfg_EOS_R1*(MIN(AH91,cfg_EOS_TH)-MIN(AI91,cfg_EOS_TH))+cfg_EOS_R2*(MAX(AH91-cfg_EOS_TH,0)-MAX(AI91-cfg_EOS_TH,0))))</f>
        <v/>
      </c>
      <c r="AB91" s="116" t="str">
        <f aca="false">IF($B91="","",IF(الموظفون!$T91&lt;&gt;"",الموظفون!$T91,IF(AH91&gt;=cfg_LV_TH,cfg_LV_D2,cfg_LV_D1))/cfg_DAYS_Y*AJ91*الموظفون!$R91/cfg_DAYS_M)</f>
        <v/>
      </c>
      <c r="AC91" s="116" t="str">
        <f aca="false">IF($B91="","",IF(AND(الموظفون!$U91="نعم",N(الموظفون!$W91)&gt;0),الموظفون!$V91/الموظفون!$W91*12/cfg_DAYS_Y*AJ91,0))</f>
        <v/>
      </c>
      <c r="AD91" s="116" t="str">
        <f aca="false">IF($B91="","",(IF(الموظفون!$X91&lt;&gt;"",الموظفون!$X91,IF(الموظفون!$E91="غير سعودي",cfg_IQ,0))+IF(الموظفون!$Y91&lt;&gt;"",الموظفون!$Y91,IF(الموظفون!$E91="غير سعودي",cfg_WP,0)))/12*G91/cfg_DAYS_M)</f>
        <v/>
      </c>
      <c r="AE91" s="116" t="str">
        <f aca="false">IF($B91="","",IF(الموظفون!$Z91&lt;&gt;"",الموظفون!$Z91,cfg_MED)/12*G91/cfg_DAYS_M)</f>
        <v/>
      </c>
      <c r="AF91" s="116" t="str">
        <f aca="false">IF($B91="","",N(الموظفون!$AA91)/12*G91/cfg_DAYS_M)</f>
        <v/>
      </c>
      <c r="AG91" s="159" t="str">
        <f aca="false">IF($B91="","",T91+SUM(Z91:AF91))</f>
        <v/>
      </c>
      <c r="AH91" s="160" t="str">
        <f aca="false">IF($B91="","",MAX(0,IF(OR(الموظفون!$AE91="",الموظفون!$AE91&gt;$F$3),$F$3,الموظفون!$AE91)-الموظفون!$H91+1-SUMIFS('سجل الإجازات والحالات'!$AL$6:$AL$505,'سجل الإجازات والحالات'!$B$6:$B$505,$B91))/cfg_DAYS_Y)</f>
        <v/>
      </c>
      <c r="AI91" s="160" t="str">
        <f aca="false">IF($B91="","",MAX(0,IF(OR(الموظفون!$AE91="",الموظفون!$AE91&gt;($E$3-1)),($E$3-1),الموظفون!$AE91)-الموظفون!$H91+1-SUMIFS('سجل الإجازات والحالات'!$AK$6:$AK$505,'سجل الإجازات والحالات'!$B$6:$B$505,$B91))/cfg_DAYS_Y)</f>
        <v/>
      </c>
      <c r="AJ91" s="133" t="str">
        <f aca="false">IF($B91="","",MAX(0,AK91-(SUMIFS('سجل الإجازات والحالات'!$AL$6:$AL$505,'سجل الإجازات والحالات'!$B$6:$B$505,$B91)-SUMIFS('سجل الإجازات والحالات'!$AK$6:$AK$505,'سجل الإجازات والحالات'!$B$6:$B$505,$B91))))</f>
        <v/>
      </c>
      <c r="AK91" s="133" t="str">
        <f aca="false">IF($B91="","",MAX(0,IF(OR(الموظفون!$AE91="",الموظفون!$AE91&gt;$F$3),$F$3,الموظفون!$AE91)-MAX($E$3,الموظفون!$H91)+1))</f>
        <v/>
      </c>
      <c r="AL91" s="156" t="str">
        <f aca="false">IF($B91="","",SUMIFS('سجل الإجازات والحالات'!$AX$6:$AX$505,'سجل الإجازات والحالات'!$B$6:$B$505,$B91)+SUMIFS('الحركات الشهرية'!$K$6:$K$1005,'الحركات الشهرية'!$B$6:$B$1005,$B91,'الحركات الشهرية'!$A$6:$A$1005,$C$3))</f>
        <v/>
      </c>
      <c r="AM91" s="116" t="str">
        <f aca="false">IF($B91="","",AL91*الموظفون!$R91/cfg_DAYS_M+S91)</f>
        <v/>
      </c>
      <c r="AN91" s="156" t="str">
        <f aca="false">IF($B91="","",SUMIFS('سجل الإجازات والحالات'!$Z$6:$Z$505,'سجل الإجازات والحالات'!$B$6:$B$505,$B91))</f>
        <v/>
      </c>
    </row>
    <row r="92" customFormat="false" ht="15" hidden="false" customHeight="false" outlineLevel="0" collapsed="false">
      <c r="A92" s="106" t="str">
        <f aca="false">IF($B92="","",الموظفون!$A92)</f>
        <v/>
      </c>
      <c r="B92" s="114" t="str">
        <f aca="false">IF(الموظفون!$B92="","",الموظفون!$B92)</f>
        <v/>
      </c>
      <c r="C92" s="114" t="str">
        <f aca="false">IF($B92="","",الموظفون!$C92)</f>
        <v/>
      </c>
      <c r="D92" s="114" t="str">
        <f aca="false">IF($B92="","",الموظفون!$F92)</f>
        <v/>
      </c>
      <c r="E92" s="114" t="str">
        <f aca="false">IF($B92="","",الموظفون!$E92)</f>
        <v/>
      </c>
      <c r="F92" s="114" t="str">
        <f aca="false">IF($B92="","",IF(AK92=0,IF(AND(الموظفون!$AE92&lt;&gt;"",الموظفون!$AE92&lt;$E$3),"✖ منتهي الخدمة","⏳ لم يباشر"),IF(S92&gt;0,"✈ راتب إجازة مقدم",IF(J92=0,"⛔ بدون راتب هذا الشهر",IF(I92&gt;0,"✈ خصم "&amp;ROUND(I92,2)&amp;" يوم بدون أجر",IF(AL92&gt;0,"🌴 إجازة سنوية "&amp;ROUND(AL92,2)&amp;" يوم",IF(H92&gt;0,"⚠ غياب "&amp;ROUND(H92,2)&amp;" يوم","✔ على رأس العمل")))))))</f>
        <v/>
      </c>
      <c r="G92" s="151" t="str">
        <f aca="false">IF($B92="","",IF(AK92&gt;=DAY($F$3),cfg_DAYS_M,MIN(AK92,cfg_DAYS_M)))</f>
        <v/>
      </c>
      <c r="H92" s="151" t="str">
        <f aca="false">IF($B92="","",SUMIFS('الحركات الشهرية'!$D$6:$D$1005,'الحركات الشهرية'!$B$6:$B$1005,$B92,'الحركات الشهرية'!$A$6:$A$1005,$C$3))</f>
        <v/>
      </c>
      <c r="I92" s="151" t="str">
        <f aca="false">IF($B92="","",MIN(G92,IF(AND(AK92&gt;0,AN92&gt;=AK92),G92,AN92)+SUMIFS('الحركات الشهرية'!$E$6:$E$1005,'الحركات الشهرية'!$B$6:$B$1005,$B92,'الحركات الشهرية'!$A$6:$A$1005,$C$3)))</f>
        <v/>
      </c>
      <c r="J92" s="151" t="str">
        <f aca="false">IF($B92="","",MAX(0,G92-H92-I92))</f>
        <v/>
      </c>
      <c r="K92" s="111" t="str">
        <f aca="false">IF($B92="","",الموظفون!$L92*$J92/cfg_DAYS_M)</f>
        <v/>
      </c>
      <c r="L92" s="111" t="str">
        <f aca="false">IF($B92="","",الموظفون!$M92*$J92/cfg_DAYS_M)</f>
        <v/>
      </c>
      <c r="M92" s="111" t="str">
        <f aca="false">IF($B92="","",الموظفون!$N92*$J92/cfg_DAYS_M)</f>
        <v/>
      </c>
      <c r="N92" s="111" t="str">
        <f aca="false">IF($B92="","",الموظفون!$O92*$J92/cfg_DAYS_M)</f>
        <v/>
      </c>
      <c r="O92" s="151" t="str">
        <f aca="false">IF($B92="","",SUMIFS('الحركات الشهرية'!$F$6:$F$1005,'الحركات الشهرية'!$B$6:$B$1005,$B92,'الحركات الشهرية'!$A$6:$A$1005,$C$3))</f>
        <v/>
      </c>
      <c r="P92" s="111" t="str">
        <f aca="false">IF($B92="","",O92*(الموظفون!$P92+الموظفون!$L92*cfg_OT_P)/cfg_DAYS_M/cfg_HRS)</f>
        <v/>
      </c>
      <c r="Q92" s="111" t="str">
        <f aca="false">IF($B92="","",SUMIFS('الحركات الشهرية'!$G$6:$G$1005,'الحركات الشهرية'!$B$6:$B$1005,$B92,'الحركات الشهرية'!$A$6:$A$1005,$C$3))</f>
        <v/>
      </c>
      <c r="R92" s="111" t="str">
        <f aca="false">IF($B92="","",SUMIFS('الحركات الشهرية'!$H$6:$H$1005,'الحركات الشهرية'!$B$6:$B$1005,$B92,'الحركات الشهرية'!$A$6:$A$1005,$C$3))</f>
        <v/>
      </c>
      <c r="S92" s="111" t="str">
        <f aca="false">IF($B92="","",SUMIFS('سجل الإجازات والحالات'!$N$6:$N$505,'سجل الإجازات والحالات'!$B$6:$B$505,$B92,'سجل الإجازات والحالات'!$O$6:$O$505,$C$3))</f>
        <v/>
      </c>
      <c r="T92" s="152" t="str">
        <f aca="false">IF($B92="","",SUM(K92:N92)+SUM(P92:S92))</f>
        <v/>
      </c>
      <c r="U92" s="111" t="str">
        <f aca="false">IF($B92="","",الموظفون!$S92*IF(E92="سعودي",cfg_G_SE,cfg_G_NE)*G92/cfg_DAYS_M)</f>
        <v/>
      </c>
      <c r="V92" s="111" t="str">
        <f aca="false">IF($B92="","",SUMIFS('الحركات الشهرية'!$I$6:$I$1005,'الحركات الشهرية'!$B$6:$B$1005,$B92,'الحركات الشهرية'!$A$6:$A$1005,$C$3))</f>
        <v/>
      </c>
      <c r="W92" s="111" t="str">
        <f aca="false">IF($B92="","",SUMIFS('الحركات الشهرية'!$J$6:$J$1005,'الحركات الشهرية'!$B$6:$B$1005,$B92,'الحركات الشهرية'!$A$6:$A$1005,$C$3))</f>
        <v/>
      </c>
      <c r="X92" s="111" t="str">
        <f aca="false">IF($B92="","",SUM(U92:W92))</f>
        <v/>
      </c>
      <c r="Y92" s="153" t="str">
        <f aca="false">IF($B92="","",T92-X92)</f>
        <v/>
      </c>
      <c r="Z92" s="111" t="str">
        <f aca="false">IF($B92="","",الموظفون!$S92*IF(E92="سعودي",cfg_G_SR,cfg_G_NR)*G92/cfg_DAYS_M)</f>
        <v/>
      </c>
      <c r="AA92" s="111" t="str">
        <f aca="false">IF($B92="","",الموظفون!$Q92*(cfg_EOS_R1*(MIN(AH92,cfg_EOS_TH)-MIN(AI92,cfg_EOS_TH))+cfg_EOS_R2*(MAX(AH92-cfg_EOS_TH,0)-MAX(AI92-cfg_EOS_TH,0))))</f>
        <v/>
      </c>
      <c r="AB92" s="111" t="str">
        <f aca="false">IF($B92="","",IF(الموظفون!$T92&lt;&gt;"",الموظفون!$T92,IF(AH92&gt;=cfg_LV_TH,cfg_LV_D2,cfg_LV_D1))/cfg_DAYS_Y*AJ92*الموظفون!$R92/cfg_DAYS_M)</f>
        <v/>
      </c>
      <c r="AC92" s="111" t="str">
        <f aca="false">IF($B92="","",IF(AND(الموظفون!$U92="نعم",N(الموظفون!$W92)&gt;0),الموظفون!$V92/الموظفون!$W92*12/cfg_DAYS_Y*AJ92,0))</f>
        <v/>
      </c>
      <c r="AD92" s="111" t="str">
        <f aca="false">IF($B92="","",(IF(الموظفون!$X92&lt;&gt;"",الموظفون!$X92,IF(الموظفون!$E92="غير سعودي",cfg_IQ,0))+IF(الموظفون!$Y92&lt;&gt;"",الموظفون!$Y92,IF(الموظفون!$E92="غير سعودي",cfg_WP,0)))/12*G92/cfg_DAYS_M)</f>
        <v/>
      </c>
      <c r="AE92" s="111" t="str">
        <f aca="false">IF($B92="","",IF(الموظفون!$Z92&lt;&gt;"",الموظفون!$Z92,cfg_MED)/12*G92/cfg_DAYS_M)</f>
        <v/>
      </c>
      <c r="AF92" s="111" t="str">
        <f aca="false">IF($B92="","",N(الموظفون!$AA92)/12*G92/cfg_DAYS_M)</f>
        <v/>
      </c>
      <c r="AG92" s="154" t="str">
        <f aca="false">IF($B92="","",T92+SUM(Z92:AF92))</f>
        <v/>
      </c>
      <c r="AH92" s="155" t="str">
        <f aca="false">IF($B92="","",MAX(0,IF(OR(الموظفون!$AE92="",الموظفون!$AE92&gt;$F$3),$F$3,الموظفون!$AE92)-الموظفون!$H92+1-SUMIFS('سجل الإجازات والحالات'!$AL$6:$AL$505,'سجل الإجازات والحالات'!$B$6:$B$505,$B92))/cfg_DAYS_Y)</f>
        <v/>
      </c>
      <c r="AI92" s="155" t="str">
        <f aca="false">IF($B92="","",MAX(0,IF(OR(الموظفون!$AE92="",الموظفون!$AE92&gt;($E$3-1)),($E$3-1),الموظفون!$AE92)-الموظفون!$H92+1-SUMIFS('سجل الإجازات والحالات'!$AK$6:$AK$505,'سجل الإجازات والحالات'!$B$6:$B$505,$B92))/cfg_DAYS_Y)</f>
        <v/>
      </c>
      <c r="AJ92" s="65" t="str">
        <f aca="false">IF($B92="","",MAX(0,AK92-(SUMIFS('سجل الإجازات والحالات'!$AL$6:$AL$505,'سجل الإجازات والحالات'!$B$6:$B$505,$B92)-SUMIFS('سجل الإجازات والحالات'!$AK$6:$AK$505,'سجل الإجازات والحالات'!$B$6:$B$505,$B92))))</f>
        <v/>
      </c>
      <c r="AK92" s="65" t="str">
        <f aca="false">IF($B92="","",MAX(0,IF(OR(الموظفون!$AE92="",الموظفون!$AE92&gt;$F$3),$F$3,الموظفون!$AE92)-MAX($E$3,الموظفون!$H92)+1))</f>
        <v/>
      </c>
      <c r="AL92" s="151" t="str">
        <f aca="false">IF($B92="","",SUMIFS('سجل الإجازات والحالات'!$AX$6:$AX$505,'سجل الإجازات والحالات'!$B$6:$B$505,$B92)+SUMIFS('الحركات الشهرية'!$K$6:$K$1005,'الحركات الشهرية'!$B$6:$B$1005,$B92,'الحركات الشهرية'!$A$6:$A$1005,$C$3))</f>
        <v/>
      </c>
      <c r="AM92" s="111" t="str">
        <f aca="false">IF($B92="","",AL92*الموظفون!$R92/cfg_DAYS_M+S92)</f>
        <v/>
      </c>
      <c r="AN92" s="151" t="str">
        <f aca="false">IF($B92="","",SUMIFS('سجل الإجازات والحالات'!$Z$6:$Z$505,'سجل الإجازات والحالات'!$B$6:$B$505,$B92))</f>
        <v/>
      </c>
    </row>
    <row r="93" customFormat="false" ht="15" hidden="false" customHeight="false" outlineLevel="0" collapsed="false">
      <c r="A93" s="115" t="str">
        <f aca="false">IF($B93="","",الموظفون!$A93)</f>
        <v/>
      </c>
      <c r="B93" s="117" t="str">
        <f aca="false">IF(الموظفون!$B93="","",الموظفون!$B93)</f>
        <v/>
      </c>
      <c r="C93" s="117" t="str">
        <f aca="false">IF($B93="","",الموظفون!$C93)</f>
        <v/>
      </c>
      <c r="D93" s="117" t="str">
        <f aca="false">IF($B93="","",الموظفون!$F93)</f>
        <v/>
      </c>
      <c r="E93" s="117" t="str">
        <f aca="false">IF($B93="","",الموظفون!$E93)</f>
        <v/>
      </c>
      <c r="F93" s="117" t="str">
        <f aca="false">IF($B93="","",IF(AK93=0,IF(AND(الموظفون!$AE93&lt;&gt;"",الموظفون!$AE93&lt;$E$3),"✖ منتهي الخدمة","⏳ لم يباشر"),IF(S93&gt;0,"✈ راتب إجازة مقدم",IF(J93=0,"⛔ بدون راتب هذا الشهر",IF(I93&gt;0,"✈ خصم "&amp;ROUND(I93,2)&amp;" يوم بدون أجر",IF(AL93&gt;0,"🌴 إجازة سنوية "&amp;ROUND(AL93,2)&amp;" يوم",IF(H93&gt;0,"⚠ غياب "&amp;ROUND(H93,2)&amp;" يوم","✔ على رأس العمل")))))))</f>
        <v/>
      </c>
      <c r="G93" s="156" t="str">
        <f aca="false">IF($B93="","",IF(AK93&gt;=DAY($F$3),cfg_DAYS_M,MIN(AK93,cfg_DAYS_M)))</f>
        <v/>
      </c>
      <c r="H93" s="156" t="str">
        <f aca="false">IF($B93="","",SUMIFS('الحركات الشهرية'!$D$6:$D$1005,'الحركات الشهرية'!$B$6:$B$1005,$B93,'الحركات الشهرية'!$A$6:$A$1005,$C$3))</f>
        <v/>
      </c>
      <c r="I93" s="156" t="str">
        <f aca="false">IF($B93="","",MIN(G93,IF(AND(AK93&gt;0,AN93&gt;=AK93),G93,AN93)+SUMIFS('الحركات الشهرية'!$E$6:$E$1005,'الحركات الشهرية'!$B$6:$B$1005,$B93,'الحركات الشهرية'!$A$6:$A$1005,$C$3)))</f>
        <v/>
      </c>
      <c r="J93" s="156" t="str">
        <f aca="false">IF($B93="","",MAX(0,G93-H93-I93))</f>
        <v/>
      </c>
      <c r="K93" s="116" t="str">
        <f aca="false">IF($B93="","",الموظفون!$L93*$J93/cfg_DAYS_M)</f>
        <v/>
      </c>
      <c r="L93" s="116" t="str">
        <f aca="false">IF($B93="","",الموظفون!$M93*$J93/cfg_DAYS_M)</f>
        <v/>
      </c>
      <c r="M93" s="116" t="str">
        <f aca="false">IF($B93="","",الموظفون!$N93*$J93/cfg_DAYS_M)</f>
        <v/>
      </c>
      <c r="N93" s="116" t="str">
        <f aca="false">IF($B93="","",الموظفون!$O93*$J93/cfg_DAYS_M)</f>
        <v/>
      </c>
      <c r="O93" s="156" t="str">
        <f aca="false">IF($B93="","",SUMIFS('الحركات الشهرية'!$F$6:$F$1005,'الحركات الشهرية'!$B$6:$B$1005,$B93,'الحركات الشهرية'!$A$6:$A$1005,$C$3))</f>
        <v/>
      </c>
      <c r="P93" s="116" t="str">
        <f aca="false">IF($B93="","",O93*(الموظفون!$P93+الموظفون!$L93*cfg_OT_P)/cfg_DAYS_M/cfg_HRS)</f>
        <v/>
      </c>
      <c r="Q93" s="116" t="str">
        <f aca="false">IF($B93="","",SUMIFS('الحركات الشهرية'!$G$6:$G$1005,'الحركات الشهرية'!$B$6:$B$1005,$B93,'الحركات الشهرية'!$A$6:$A$1005,$C$3))</f>
        <v/>
      </c>
      <c r="R93" s="116" t="str">
        <f aca="false">IF($B93="","",SUMIFS('الحركات الشهرية'!$H$6:$H$1005,'الحركات الشهرية'!$B$6:$B$1005,$B93,'الحركات الشهرية'!$A$6:$A$1005,$C$3))</f>
        <v/>
      </c>
      <c r="S93" s="116" t="str">
        <f aca="false">IF($B93="","",SUMIFS('سجل الإجازات والحالات'!$N$6:$N$505,'سجل الإجازات والحالات'!$B$6:$B$505,$B93,'سجل الإجازات والحالات'!$O$6:$O$505,$C$3))</f>
        <v/>
      </c>
      <c r="T93" s="157" t="str">
        <f aca="false">IF($B93="","",SUM(K93:N93)+SUM(P93:S93))</f>
        <v/>
      </c>
      <c r="U93" s="116" t="str">
        <f aca="false">IF($B93="","",الموظفون!$S93*IF(E93="سعودي",cfg_G_SE,cfg_G_NE)*G93/cfg_DAYS_M)</f>
        <v/>
      </c>
      <c r="V93" s="116" t="str">
        <f aca="false">IF($B93="","",SUMIFS('الحركات الشهرية'!$I$6:$I$1005,'الحركات الشهرية'!$B$6:$B$1005,$B93,'الحركات الشهرية'!$A$6:$A$1005,$C$3))</f>
        <v/>
      </c>
      <c r="W93" s="116" t="str">
        <f aca="false">IF($B93="","",SUMIFS('الحركات الشهرية'!$J$6:$J$1005,'الحركات الشهرية'!$B$6:$B$1005,$B93,'الحركات الشهرية'!$A$6:$A$1005,$C$3))</f>
        <v/>
      </c>
      <c r="X93" s="116" t="str">
        <f aca="false">IF($B93="","",SUM(U93:W93))</f>
        <v/>
      </c>
      <c r="Y93" s="158" t="str">
        <f aca="false">IF($B93="","",T93-X93)</f>
        <v/>
      </c>
      <c r="Z93" s="116" t="str">
        <f aca="false">IF($B93="","",الموظفون!$S93*IF(E93="سعودي",cfg_G_SR,cfg_G_NR)*G93/cfg_DAYS_M)</f>
        <v/>
      </c>
      <c r="AA93" s="116" t="str">
        <f aca="false">IF($B93="","",الموظفون!$Q93*(cfg_EOS_R1*(MIN(AH93,cfg_EOS_TH)-MIN(AI93,cfg_EOS_TH))+cfg_EOS_R2*(MAX(AH93-cfg_EOS_TH,0)-MAX(AI93-cfg_EOS_TH,0))))</f>
        <v/>
      </c>
      <c r="AB93" s="116" t="str">
        <f aca="false">IF($B93="","",IF(الموظفون!$T93&lt;&gt;"",الموظفون!$T93,IF(AH93&gt;=cfg_LV_TH,cfg_LV_D2,cfg_LV_D1))/cfg_DAYS_Y*AJ93*الموظفون!$R93/cfg_DAYS_M)</f>
        <v/>
      </c>
      <c r="AC93" s="116" t="str">
        <f aca="false">IF($B93="","",IF(AND(الموظفون!$U93="نعم",N(الموظفون!$W93)&gt;0),الموظفون!$V93/الموظفون!$W93*12/cfg_DAYS_Y*AJ93,0))</f>
        <v/>
      </c>
      <c r="AD93" s="116" t="str">
        <f aca="false">IF($B93="","",(IF(الموظفون!$X93&lt;&gt;"",الموظفون!$X93,IF(الموظفون!$E93="غير سعودي",cfg_IQ,0))+IF(الموظفون!$Y93&lt;&gt;"",الموظفون!$Y93,IF(الموظفون!$E93="غير سعودي",cfg_WP,0)))/12*G93/cfg_DAYS_M)</f>
        <v/>
      </c>
      <c r="AE93" s="116" t="str">
        <f aca="false">IF($B93="","",IF(الموظفون!$Z93&lt;&gt;"",الموظفون!$Z93,cfg_MED)/12*G93/cfg_DAYS_M)</f>
        <v/>
      </c>
      <c r="AF93" s="116" t="str">
        <f aca="false">IF($B93="","",N(الموظفون!$AA93)/12*G93/cfg_DAYS_M)</f>
        <v/>
      </c>
      <c r="AG93" s="159" t="str">
        <f aca="false">IF($B93="","",T93+SUM(Z93:AF93))</f>
        <v/>
      </c>
      <c r="AH93" s="160" t="str">
        <f aca="false">IF($B93="","",MAX(0,IF(OR(الموظفون!$AE93="",الموظفون!$AE93&gt;$F$3),$F$3,الموظفون!$AE93)-الموظفون!$H93+1-SUMIFS('سجل الإجازات والحالات'!$AL$6:$AL$505,'سجل الإجازات والحالات'!$B$6:$B$505,$B93))/cfg_DAYS_Y)</f>
        <v/>
      </c>
      <c r="AI93" s="160" t="str">
        <f aca="false">IF($B93="","",MAX(0,IF(OR(الموظفون!$AE93="",الموظفون!$AE93&gt;($E$3-1)),($E$3-1),الموظفون!$AE93)-الموظفون!$H93+1-SUMIFS('سجل الإجازات والحالات'!$AK$6:$AK$505,'سجل الإجازات والحالات'!$B$6:$B$505,$B93))/cfg_DAYS_Y)</f>
        <v/>
      </c>
      <c r="AJ93" s="133" t="str">
        <f aca="false">IF($B93="","",MAX(0,AK93-(SUMIFS('سجل الإجازات والحالات'!$AL$6:$AL$505,'سجل الإجازات والحالات'!$B$6:$B$505,$B93)-SUMIFS('سجل الإجازات والحالات'!$AK$6:$AK$505,'سجل الإجازات والحالات'!$B$6:$B$505,$B93))))</f>
        <v/>
      </c>
      <c r="AK93" s="133" t="str">
        <f aca="false">IF($B93="","",MAX(0,IF(OR(الموظفون!$AE93="",الموظفون!$AE93&gt;$F$3),$F$3,الموظفون!$AE93)-MAX($E$3,الموظفون!$H93)+1))</f>
        <v/>
      </c>
      <c r="AL93" s="156" t="str">
        <f aca="false">IF($B93="","",SUMIFS('سجل الإجازات والحالات'!$AX$6:$AX$505,'سجل الإجازات والحالات'!$B$6:$B$505,$B93)+SUMIFS('الحركات الشهرية'!$K$6:$K$1005,'الحركات الشهرية'!$B$6:$B$1005,$B93,'الحركات الشهرية'!$A$6:$A$1005,$C$3))</f>
        <v/>
      </c>
      <c r="AM93" s="116" t="str">
        <f aca="false">IF($B93="","",AL93*الموظفون!$R93/cfg_DAYS_M+S93)</f>
        <v/>
      </c>
      <c r="AN93" s="156" t="str">
        <f aca="false">IF($B93="","",SUMIFS('سجل الإجازات والحالات'!$Z$6:$Z$505,'سجل الإجازات والحالات'!$B$6:$B$505,$B93))</f>
        <v/>
      </c>
    </row>
    <row r="94" customFormat="false" ht="15" hidden="false" customHeight="false" outlineLevel="0" collapsed="false">
      <c r="A94" s="106" t="str">
        <f aca="false">IF($B94="","",الموظفون!$A94)</f>
        <v/>
      </c>
      <c r="B94" s="114" t="str">
        <f aca="false">IF(الموظفون!$B94="","",الموظفون!$B94)</f>
        <v/>
      </c>
      <c r="C94" s="114" t="str">
        <f aca="false">IF($B94="","",الموظفون!$C94)</f>
        <v/>
      </c>
      <c r="D94" s="114" t="str">
        <f aca="false">IF($B94="","",الموظفون!$F94)</f>
        <v/>
      </c>
      <c r="E94" s="114" t="str">
        <f aca="false">IF($B94="","",الموظفون!$E94)</f>
        <v/>
      </c>
      <c r="F94" s="114" t="str">
        <f aca="false">IF($B94="","",IF(AK94=0,IF(AND(الموظفون!$AE94&lt;&gt;"",الموظفون!$AE94&lt;$E$3),"✖ منتهي الخدمة","⏳ لم يباشر"),IF(S94&gt;0,"✈ راتب إجازة مقدم",IF(J94=0,"⛔ بدون راتب هذا الشهر",IF(I94&gt;0,"✈ خصم "&amp;ROUND(I94,2)&amp;" يوم بدون أجر",IF(AL94&gt;0,"🌴 إجازة سنوية "&amp;ROUND(AL94,2)&amp;" يوم",IF(H94&gt;0,"⚠ غياب "&amp;ROUND(H94,2)&amp;" يوم","✔ على رأس العمل")))))))</f>
        <v/>
      </c>
      <c r="G94" s="151" t="str">
        <f aca="false">IF($B94="","",IF(AK94&gt;=DAY($F$3),cfg_DAYS_M,MIN(AK94,cfg_DAYS_M)))</f>
        <v/>
      </c>
      <c r="H94" s="151" t="str">
        <f aca="false">IF($B94="","",SUMIFS('الحركات الشهرية'!$D$6:$D$1005,'الحركات الشهرية'!$B$6:$B$1005,$B94,'الحركات الشهرية'!$A$6:$A$1005,$C$3))</f>
        <v/>
      </c>
      <c r="I94" s="151" t="str">
        <f aca="false">IF($B94="","",MIN(G94,IF(AND(AK94&gt;0,AN94&gt;=AK94),G94,AN94)+SUMIFS('الحركات الشهرية'!$E$6:$E$1005,'الحركات الشهرية'!$B$6:$B$1005,$B94,'الحركات الشهرية'!$A$6:$A$1005,$C$3)))</f>
        <v/>
      </c>
      <c r="J94" s="151" t="str">
        <f aca="false">IF($B94="","",MAX(0,G94-H94-I94))</f>
        <v/>
      </c>
      <c r="K94" s="111" t="str">
        <f aca="false">IF($B94="","",الموظفون!$L94*$J94/cfg_DAYS_M)</f>
        <v/>
      </c>
      <c r="L94" s="111" t="str">
        <f aca="false">IF($B94="","",الموظفون!$M94*$J94/cfg_DAYS_M)</f>
        <v/>
      </c>
      <c r="M94" s="111" t="str">
        <f aca="false">IF($B94="","",الموظفون!$N94*$J94/cfg_DAYS_M)</f>
        <v/>
      </c>
      <c r="N94" s="111" t="str">
        <f aca="false">IF($B94="","",الموظفون!$O94*$J94/cfg_DAYS_M)</f>
        <v/>
      </c>
      <c r="O94" s="151" t="str">
        <f aca="false">IF($B94="","",SUMIFS('الحركات الشهرية'!$F$6:$F$1005,'الحركات الشهرية'!$B$6:$B$1005,$B94,'الحركات الشهرية'!$A$6:$A$1005,$C$3))</f>
        <v/>
      </c>
      <c r="P94" s="111" t="str">
        <f aca="false">IF($B94="","",O94*(الموظفون!$P94+الموظفون!$L94*cfg_OT_P)/cfg_DAYS_M/cfg_HRS)</f>
        <v/>
      </c>
      <c r="Q94" s="111" t="str">
        <f aca="false">IF($B94="","",SUMIFS('الحركات الشهرية'!$G$6:$G$1005,'الحركات الشهرية'!$B$6:$B$1005,$B94,'الحركات الشهرية'!$A$6:$A$1005,$C$3))</f>
        <v/>
      </c>
      <c r="R94" s="111" t="str">
        <f aca="false">IF($B94="","",SUMIFS('الحركات الشهرية'!$H$6:$H$1005,'الحركات الشهرية'!$B$6:$B$1005,$B94,'الحركات الشهرية'!$A$6:$A$1005,$C$3))</f>
        <v/>
      </c>
      <c r="S94" s="111" t="str">
        <f aca="false">IF($B94="","",SUMIFS('سجل الإجازات والحالات'!$N$6:$N$505,'سجل الإجازات والحالات'!$B$6:$B$505,$B94,'سجل الإجازات والحالات'!$O$6:$O$505,$C$3))</f>
        <v/>
      </c>
      <c r="T94" s="152" t="str">
        <f aca="false">IF($B94="","",SUM(K94:N94)+SUM(P94:S94))</f>
        <v/>
      </c>
      <c r="U94" s="111" t="str">
        <f aca="false">IF($B94="","",الموظفون!$S94*IF(E94="سعودي",cfg_G_SE,cfg_G_NE)*G94/cfg_DAYS_M)</f>
        <v/>
      </c>
      <c r="V94" s="111" t="str">
        <f aca="false">IF($B94="","",SUMIFS('الحركات الشهرية'!$I$6:$I$1005,'الحركات الشهرية'!$B$6:$B$1005,$B94,'الحركات الشهرية'!$A$6:$A$1005,$C$3))</f>
        <v/>
      </c>
      <c r="W94" s="111" t="str">
        <f aca="false">IF($B94="","",SUMIFS('الحركات الشهرية'!$J$6:$J$1005,'الحركات الشهرية'!$B$6:$B$1005,$B94,'الحركات الشهرية'!$A$6:$A$1005,$C$3))</f>
        <v/>
      </c>
      <c r="X94" s="111" t="str">
        <f aca="false">IF($B94="","",SUM(U94:W94))</f>
        <v/>
      </c>
      <c r="Y94" s="153" t="str">
        <f aca="false">IF($B94="","",T94-X94)</f>
        <v/>
      </c>
      <c r="Z94" s="111" t="str">
        <f aca="false">IF($B94="","",الموظفون!$S94*IF(E94="سعودي",cfg_G_SR,cfg_G_NR)*G94/cfg_DAYS_M)</f>
        <v/>
      </c>
      <c r="AA94" s="111" t="str">
        <f aca="false">IF($B94="","",الموظفون!$Q94*(cfg_EOS_R1*(MIN(AH94,cfg_EOS_TH)-MIN(AI94,cfg_EOS_TH))+cfg_EOS_R2*(MAX(AH94-cfg_EOS_TH,0)-MAX(AI94-cfg_EOS_TH,0))))</f>
        <v/>
      </c>
      <c r="AB94" s="111" t="str">
        <f aca="false">IF($B94="","",IF(الموظفون!$T94&lt;&gt;"",الموظفون!$T94,IF(AH94&gt;=cfg_LV_TH,cfg_LV_D2,cfg_LV_D1))/cfg_DAYS_Y*AJ94*الموظفون!$R94/cfg_DAYS_M)</f>
        <v/>
      </c>
      <c r="AC94" s="111" t="str">
        <f aca="false">IF($B94="","",IF(AND(الموظفون!$U94="نعم",N(الموظفون!$W94)&gt;0),الموظفون!$V94/الموظفون!$W94*12/cfg_DAYS_Y*AJ94,0))</f>
        <v/>
      </c>
      <c r="AD94" s="111" t="str">
        <f aca="false">IF($B94="","",(IF(الموظفون!$X94&lt;&gt;"",الموظفون!$X94,IF(الموظفون!$E94="غير سعودي",cfg_IQ,0))+IF(الموظفون!$Y94&lt;&gt;"",الموظفون!$Y94,IF(الموظفون!$E94="غير سعودي",cfg_WP,0)))/12*G94/cfg_DAYS_M)</f>
        <v/>
      </c>
      <c r="AE94" s="111" t="str">
        <f aca="false">IF($B94="","",IF(الموظفون!$Z94&lt;&gt;"",الموظفون!$Z94,cfg_MED)/12*G94/cfg_DAYS_M)</f>
        <v/>
      </c>
      <c r="AF94" s="111" t="str">
        <f aca="false">IF($B94="","",N(الموظفون!$AA94)/12*G94/cfg_DAYS_M)</f>
        <v/>
      </c>
      <c r="AG94" s="154" t="str">
        <f aca="false">IF($B94="","",T94+SUM(Z94:AF94))</f>
        <v/>
      </c>
      <c r="AH94" s="155" t="str">
        <f aca="false">IF($B94="","",MAX(0,IF(OR(الموظفون!$AE94="",الموظفون!$AE94&gt;$F$3),$F$3,الموظفون!$AE94)-الموظفون!$H94+1-SUMIFS('سجل الإجازات والحالات'!$AL$6:$AL$505,'سجل الإجازات والحالات'!$B$6:$B$505,$B94))/cfg_DAYS_Y)</f>
        <v/>
      </c>
      <c r="AI94" s="155" t="str">
        <f aca="false">IF($B94="","",MAX(0,IF(OR(الموظفون!$AE94="",الموظفون!$AE94&gt;($E$3-1)),($E$3-1),الموظفون!$AE94)-الموظفون!$H94+1-SUMIFS('سجل الإجازات والحالات'!$AK$6:$AK$505,'سجل الإجازات والحالات'!$B$6:$B$505,$B94))/cfg_DAYS_Y)</f>
        <v/>
      </c>
      <c r="AJ94" s="65" t="str">
        <f aca="false">IF($B94="","",MAX(0,AK94-(SUMIFS('سجل الإجازات والحالات'!$AL$6:$AL$505,'سجل الإجازات والحالات'!$B$6:$B$505,$B94)-SUMIFS('سجل الإجازات والحالات'!$AK$6:$AK$505,'سجل الإجازات والحالات'!$B$6:$B$505,$B94))))</f>
        <v/>
      </c>
      <c r="AK94" s="65" t="str">
        <f aca="false">IF($B94="","",MAX(0,IF(OR(الموظفون!$AE94="",الموظفون!$AE94&gt;$F$3),$F$3,الموظفون!$AE94)-MAX($E$3,الموظفون!$H94)+1))</f>
        <v/>
      </c>
      <c r="AL94" s="151" t="str">
        <f aca="false">IF($B94="","",SUMIFS('سجل الإجازات والحالات'!$AX$6:$AX$505,'سجل الإجازات والحالات'!$B$6:$B$505,$B94)+SUMIFS('الحركات الشهرية'!$K$6:$K$1005,'الحركات الشهرية'!$B$6:$B$1005,$B94,'الحركات الشهرية'!$A$6:$A$1005,$C$3))</f>
        <v/>
      </c>
      <c r="AM94" s="111" t="str">
        <f aca="false">IF($B94="","",AL94*الموظفون!$R94/cfg_DAYS_M+S94)</f>
        <v/>
      </c>
      <c r="AN94" s="151" t="str">
        <f aca="false">IF($B94="","",SUMIFS('سجل الإجازات والحالات'!$Z$6:$Z$505,'سجل الإجازات والحالات'!$B$6:$B$505,$B94))</f>
        <v/>
      </c>
    </row>
    <row r="95" customFormat="false" ht="15" hidden="false" customHeight="false" outlineLevel="0" collapsed="false">
      <c r="A95" s="115" t="str">
        <f aca="false">IF($B95="","",الموظفون!$A95)</f>
        <v/>
      </c>
      <c r="B95" s="117" t="str">
        <f aca="false">IF(الموظفون!$B95="","",الموظفون!$B95)</f>
        <v/>
      </c>
      <c r="C95" s="117" t="str">
        <f aca="false">IF($B95="","",الموظفون!$C95)</f>
        <v/>
      </c>
      <c r="D95" s="117" t="str">
        <f aca="false">IF($B95="","",الموظفون!$F95)</f>
        <v/>
      </c>
      <c r="E95" s="117" t="str">
        <f aca="false">IF($B95="","",الموظفون!$E95)</f>
        <v/>
      </c>
      <c r="F95" s="117" t="str">
        <f aca="false">IF($B95="","",IF(AK95=0,IF(AND(الموظفون!$AE95&lt;&gt;"",الموظفون!$AE95&lt;$E$3),"✖ منتهي الخدمة","⏳ لم يباشر"),IF(S95&gt;0,"✈ راتب إجازة مقدم",IF(J95=0,"⛔ بدون راتب هذا الشهر",IF(I95&gt;0,"✈ خصم "&amp;ROUND(I95,2)&amp;" يوم بدون أجر",IF(AL95&gt;0,"🌴 إجازة سنوية "&amp;ROUND(AL95,2)&amp;" يوم",IF(H95&gt;0,"⚠ غياب "&amp;ROUND(H95,2)&amp;" يوم","✔ على رأس العمل")))))))</f>
        <v/>
      </c>
      <c r="G95" s="156" t="str">
        <f aca="false">IF($B95="","",IF(AK95&gt;=DAY($F$3),cfg_DAYS_M,MIN(AK95,cfg_DAYS_M)))</f>
        <v/>
      </c>
      <c r="H95" s="156" t="str">
        <f aca="false">IF($B95="","",SUMIFS('الحركات الشهرية'!$D$6:$D$1005,'الحركات الشهرية'!$B$6:$B$1005,$B95,'الحركات الشهرية'!$A$6:$A$1005,$C$3))</f>
        <v/>
      </c>
      <c r="I95" s="156" t="str">
        <f aca="false">IF($B95="","",MIN(G95,IF(AND(AK95&gt;0,AN95&gt;=AK95),G95,AN95)+SUMIFS('الحركات الشهرية'!$E$6:$E$1005,'الحركات الشهرية'!$B$6:$B$1005,$B95,'الحركات الشهرية'!$A$6:$A$1005,$C$3)))</f>
        <v/>
      </c>
      <c r="J95" s="156" t="str">
        <f aca="false">IF($B95="","",MAX(0,G95-H95-I95))</f>
        <v/>
      </c>
      <c r="K95" s="116" t="str">
        <f aca="false">IF($B95="","",الموظفون!$L95*$J95/cfg_DAYS_M)</f>
        <v/>
      </c>
      <c r="L95" s="116" t="str">
        <f aca="false">IF($B95="","",الموظفون!$M95*$J95/cfg_DAYS_M)</f>
        <v/>
      </c>
      <c r="M95" s="116" t="str">
        <f aca="false">IF($B95="","",الموظفون!$N95*$J95/cfg_DAYS_M)</f>
        <v/>
      </c>
      <c r="N95" s="116" t="str">
        <f aca="false">IF($B95="","",الموظفون!$O95*$J95/cfg_DAYS_M)</f>
        <v/>
      </c>
      <c r="O95" s="156" t="str">
        <f aca="false">IF($B95="","",SUMIFS('الحركات الشهرية'!$F$6:$F$1005,'الحركات الشهرية'!$B$6:$B$1005,$B95,'الحركات الشهرية'!$A$6:$A$1005,$C$3))</f>
        <v/>
      </c>
      <c r="P95" s="116" t="str">
        <f aca="false">IF($B95="","",O95*(الموظفون!$P95+الموظفون!$L95*cfg_OT_P)/cfg_DAYS_M/cfg_HRS)</f>
        <v/>
      </c>
      <c r="Q95" s="116" t="str">
        <f aca="false">IF($B95="","",SUMIFS('الحركات الشهرية'!$G$6:$G$1005,'الحركات الشهرية'!$B$6:$B$1005,$B95,'الحركات الشهرية'!$A$6:$A$1005,$C$3))</f>
        <v/>
      </c>
      <c r="R95" s="116" t="str">
        <f aca="false">IF($B95="","",SUMIFS('الحركات الشهرية'!$H$6:$H$1005,'الحركات الشهرية'!$B$6:$B$1005,$B95,'الحركات الشهرية'!$A$6:$A$1005,$C$3))</f>
        <v/>
      </c>
      <c r="S95" s="116" t="str">
        <f aca="false">IF($B95="","",SUMIFS('سجل الإجازات والحالات'!$N$6:$N$505,'سجل الإجازات والحالات'!$B$6:$B$505,$B95,'سجل الإجازات والحالات'!$O$6:$O$505,$C$3))</f>
        <v/>
      </c>
      <c r="T95" s="157" t="str">
        <f aca="false">IF($B95="","",SUM(K95:N95)+SUM(P95:S95))</f>
        <v/>
      </c>
      <c r="U95" s="116" t="str">
        <f aca="false">IF($B95="","",الموظفون!$S95*IF(E95="سعودي",cfg_G_SE,cfg_G_NE)*G95/cfg_DAYS_M)</f>
        <v/>
      </c>
      <c r="V95" s="116" t="str">
        <f aca="false">IF($B95="","",SUMIFS('الحركات الشهرية'!$I$6:$I$1005,'الحركات الشهرية'!$B$6:$B$1005,$B95,'الحركات الشهرية'!$A$6:$A$1005,$C$3))</f>
        <v/>
      </c>
      <c r="W95" s="116" t="str">
        <f aca="false">IF($B95="","",SUMIFS('الحركات الشهرية'!$J$6:$J$1005,'الحركات الشهرية'!$B$6:$B$1005,$B95,'الحركات الشهرية'!$A$6:$A$1005,$C$3))</f>
        <v/>
      </c>
      <c r="X95" s="116" t="str">
        <f aca="false">IF($B95="","",SUM(U95:W95))</f>
        <v/>
      </c>
      <c r="Y95" s="158" t="str">
        <f aca="false">IF($B95="","",T95-X95)</f>
        <v/>
      </c>
      <c r="Z95" s="116" t="str">
        <f aca="false">IF($B95="","",الموظفون!$S95*IF(E95="سعودي",cfg_G_SR,cfg_G_NR)*G95/cfg_DAYS_M)</f>
        <v/>
      </c>
      <c r="AA95" s="116" t="str">
        <f aca="false">IF($B95="","",الموظفون!$Q95*(cfg_EOS_R1*(MIN(AH95,cfg_EOS_TH)-MIN(AI95,cfg_EOS_TH))+cfg_EOS_R2*(MAX(AH95-cfg_EOS_TH,0)-MAX(AI95-cfg_EOS_TH,0))))</f>
        <v/>
      </c>
      <c r="AB95" s="116" t="str">
        <f aca="false">IF($B95="","",IF(الموظفون!$T95&lt;&gt;"",الموظفون!$T95,IF(AH95&gt;=cfg_LV_TH,cfg_LV_D2,cfg_LV_D1))/cfg_DAYS_Y*AJ95*الموظفون!$R95/cfg_DAYS_M)</f>
        <v/>
      </c>
      <c r="AC95" s="116" t="str">
        <f aca="false">IF($B95="","",IF(AND(الموظفون!$U95="نعم",N(الموظفون!$W95)&gt;0),الموظفون!$V95/الموظفون!$W95*12/cfg_DAYS_Y*AJ95,0))</f>
        <v/>
      </c>
      <c r="AD95" s="116" t="str">
        <f aca="false">IF($B95="","",(IF(الموظفون!$X95&lt;&gt;"",الموظفون!$X95,IF(الموظفون!$E95="غير سعودي",cfg_IQ,0))+IF(الموظفون!$Y95&lt;&gt;"",الموظفون!$Y95,IF(الموظفون!$E95="غير سعودي",cfg_WP,0)))/12*G95/cfg_DAYS_M)</f>
        <v/>
      </c>
      <c r="AE95" s="116" t="str">
        <f aca="false">IF($B95="","",IF(الموظفون!$Z95&lt;&gt;"",الموظفون!$Z95,cfg_MED)/12*G95/cfg_DAYS_M)</f>
        <v/>
      </c>
      <c r="AF95" s="116" t="str">
        <f aca="false">IF($B95="","",N(الموظفون!$AA95)/12*G95/cfg_DAYS_M)</f>
        <v/>
      </c>
      <c r="AG95" s="159" t="str">
        <f aca="false">IF($B95="","",T95+SUM(Z95:AF95))</f>
        <v/>
      </c>
      <c r="AH95" s="160" t="str">
        <f aca="false">IF($B95="","",MAX(0,IF(OR(الموظفون!$AE95="",الموظفون!$AE95&gt;$F$3),$F$3,الموظفون!$AE95)-الموظفون!$H95+1-SUMIFS('سجل الإجازات والحالات'!$AL$6:$AL$505,'سجل الإجازات والحالات'!$B$6:$B$505,$B95))/cfg_DAYS_Y)</f>
        <v/>
      </c>
      <c r="AI95" s="160" t="str">
        <f aca="false">IF($B95="","",MAX(0,IF(OR(الموظفون!$AE95="",الموظفون!$AE95&gt;($E$3-1)),($E$3-1),الموظفون!$AE95)-الموظفون!$H95+1-SUMIFS('سجل الإجازات والحالات'!$AK$6:$AK$505,'سجل الإجازات والحالات'!$B$6:$B$505,$B95))/cfg_DAYS_Y)</f>
        <v/>
      </c>
      <c r="AJ95" s="133" t="str">
        <f aca="false">IF($B95="","",MAX(0,AK95-(SUMIFS('سجل الإجازات والحالات'!$AL$6:$AL$505,'سجل الإجازات والحالات'!$B$6:$B$505,$B95)-SUMIFS('سجل الإجازات والحالات'!$AK$6:$AK$505,'سجل الإجازات والحالات'!$B$6:$B$505,$B95))))</f>
        <v/>
      </c>
      <c r="AK95" s="133" t="str">
        <f aca="false">IF($B95="","",MAX(0,IF(OR(الموظفون!$AE95="",الموظفون!$AE95&gt;$F$3),$F$3,الموظفون!$AE95)-MAX($E$3,الموظفون!$H95)+1))</f>
        <v/>
      </c>
      <c r="AL95" s="156" t="str">
        <f aca="false">IF($B95="","",SUMIFS('سجل الإجازات والحالات'!$AX$6:$AX$505,'سجل الإجازات والحالات'!$B$6:$B$505,$B95)+SUMIFS('الحركات الشهرية'!$K$6:$K$1005,'الحركات الشهرية'!$B$6:$B$1005,$B95,'الحركات الشهرية'!$A$6:$A$1005,$C$3))</f>
        <v/>
      </c>
      <c r="AM95" s="116" t="str">
        <f aca="false">IF($B95="","",AL95*الموظفون!$R95/cfg_DAYS_M+S95)</f>
        <v/>
      </c>
      <c r="AN95" s="156" t="str">
        <f aca="false">IF($B95="","",SUMIFS('سجل الإجازات والحالات'!$Z$6:$Z$505,'سجل الإجازات والحالات'!$B$6:$B$505,$B95))</f>
        <v/>
      </c>
    </row>
    <row r="96" customFormat="false" ht="15" hidden="false" customHeight="false" outlineLevel="0" collapsed="false">
      <c r="A96" s="106" t="str">
        <f aca="false">IF($B96="","",الموظفون!$A96)</f>
        <v/>
      </c>
      <c r="B96" s="114" t="str">
        <f aca="false">IF(الموظفون!$B96="","",الموظفون!$B96)</f>
        <v/>
      </c>
      <c r="C96" s="114" t="str">
        <f aca="false">IF($B96="","",الموظفون!$C96)</f>
        <v/>
      </c>
      <c r="D96" s="114" t="str">
        <f aca="false">IF($B96="","",الموظفون!$F96)</f>
        <v/>
      </c>
      <c r="E96" s="114" t="str">
        <f aca="false">IF($B96="","",الموظفون!$E96)</f>
        <v/>
      </c>
      <c r="F96" s="114" t="str">
        <f aca="false">IF($B96="","",IF(AK96=0,IF(AND(الموظفون!$AE96&lt;&gt;"",الموظفون!$AE96&lt;$E$3),"✖ منتهي الخدمة","⏳ لم يباشر"),IF(S96&gt;0,"✈ راتب إجازة مقدم",IF(J96=0,"⛔ بدون راتب هذا الشهر",IF(I96&gt;0,"✈ خصم "&amp;ROUND(I96,2)&amp;" يوم بدون أجر",IF(AL96&gt;0,"🌴 إجازة سنوية "&amp;ROUND(AL96,2)&amp;" يوم",IF(H96&gt;0,"⚠ غياب "&amp;ROUND(H96,2)&amp;" يوم","✔ على رأس العمل")))))))</f>
        <v/>
      </c>
      <c r="G96" s="151" t="str">
        <f aca="false">IF($B96="","",IF(AK96&gt;=DAY($F$3),cfg_DAYS_M,MIN(AK96,cfg_DAYS_M)))</f>
        <v/>
      </c>
      <c r="H96" s="151" t="str">
        <f aca="false">IF($B96="","",SUMIFS('الحركات الشهرية'!$D$6:$D$1005,'الحركات الشهرية'!$B$6:$B$1005,$B96,'الحركات الشهرية'!$A$6:$A$1005,$C$3))</f>
        <v/>
      </c>
      <c r="I96" s="151" t="str">
        <f aca="false">IF($B96="","",MIN(G96,IF(AND(AK96&gt;0,AN96&gt;=AK96),G96,AN96)+SUMIFS('الحركات الشهرية'!$E$6:$E$1005,'الحركات الشهرية'!$B$6:$B$1005,$B96,'الحركات الشهرية'!$A$6:$A$1005,$C$3)))</f>
        <v/>
      </c>
      <c r="J96" s="151" t="str">
        <f aca="false">IF($B96="","",MAX(0,G96-H96-I96))</f>
        <v/>
      </c>
      <c r="K96" s="111" t="str">
        <f aca="false">IF($B96="","",الموظفون!$L96*$J96/cfg_DAYS_M)</f>
        <v/>
      </c>
      <c r="L96" s="111" t="str">
        <f aca="false">IF($B96="","",الموظفون!$M96*$J96/cfg_DAYS_M)</f>
        <v/>
      </c>
      <c r="M96" s="111" t="str">
        <f aca="false">IF($B96="","",الموظفون!$N96*$J96/cfg_DAYS_M)</f>
        <v/>
      </c>
      <c r="N96" s="111" t="str">
        <f aca="false">IF($B96="","",الموظفون!$O96*$J96/cfg_DAYS_M)</f>
        <v/>
      </c>
      <c r="O96" s="151" t="str">
        <f aca="false">IF($B96="","",SUMIFS('الحركات الشهرية'!$F$6:$F$1005,'الحركات الشهرية'!$B$6:$B$1005,$B96,'الحركات الشهرية'!$A$6:$A$1005,$C$3))</f>
        <v/>
      </c>
      <c r="P96" s="111" t="str">
        <f aca="false">IF($B96="","",O96*(الموظفون!$P96+الموظفون!$L96*cfg_OT_P)/cfg_DAYS_M/cfg_HRS)</f>
        <v/>
      </c>
      <c r="Q96" s="111" t="str">
        <f aca="false">IF($B96="","",SUMIFS('الحركات الشهرية'!$G$6:$G$1005,'الحركات الشهرية'!$B$6:$B$1005,$B96,'الحركات الشهرية'!$A$6:$A$1005,$C$3))</f>
        <v/>
      </c>
      <c r="R96" s="111" t="str">
        <f aca="false">IF($B96="","",SUMIFS('الحركات الشهرية'!$H$6:$H$1005,'الحركات الشهرية'!$B$6:$B$1005,$B96,'الحركات الشهرية'!$A$6:$A$1005,$C$3))</f>
        <v/>
      </c>
      <c r="S96" s="111" t="str">
        <f aca="false">IF($B96="","",SUMIFS('سجل الإجازات والحالات'!$N$6:$N$505,'سجل الإجازات والحالات'!$B$6:$B$505,$B96,'سجل الإجازات والحالات'!$O$6:$O$505,$C$3))</f>
        <v/>
      </c>
      <c r="T96" s="152" t="str">
        <f aca="false">IF($B96="","",SUM(K96:N96)+SUM(P96:S96))</f>
        <v/>
      </c>
      <c r="U96" s="111" t="str">
        <f aca="false">IF($B96="","",الموظفون!$S96*IF(E96="سعودي",cfg_G_SE,cfg_G_NE)*G96/cfg_DAYS_M)</f>
        <v/>
      </c>
      <c r="V96" s="111" t="str">
        <f aca="false">IF($B96="","",SUMIFS('الحركات الشهرية'!$I$6:$I$1005,'الحركات الشهرية'!$B$6:$B$1005,$B96,'الحركات الشهرية'!$A$6:$A$1005,$C$3))</f>
        <v/>
      </c>
      <c r="W96" s="111" t="str">
        <f aca="false">IF($B96="","",SUMIFS('الحركات الشهرية'!$J$6:$J$1005,'الحركات الشهرية'!$B$6:$B$1005,$B96,'الحركات الشهرية'!$A$6:$A$1005,$C$3))</f>
        <v/>
      </c>
      <c r="X96" s="111" t="str">
        <f aca="false">IF($B96="","",SUM(U96:W96))</f>
        <v/>
      </c>
      <c r="Y96" s="153" t="str">
        <f aca="false">IF($B96="","",T96-X96)</f>
        <v/>
      </c>
      <c r="Z96" s="111" t="str">
        <f aca="false">IF($B96="","",الموظفون!$S96*IF(E96="سعودي",cfg_G_SR,cfg_G_NR)*G96/cfg_DAYS_M)</f>
        <v/>
      </c>
      <c r="AA96" s="111" t="str">
        <f aca="false">IF($B96="","",الموظفون!$Q96*(cfg_EOS_R1*(MIN(AH96,cfg_EOS_TH)-MIN(AI96,cfg_EOS_TH))+cfg_EOS_R2*(MAX(AH96-cfg_EOS_TH,0)-MAX(AI96-cfg_EOS_TH,0))))</f>
        <v/>
      </c>
      <c r="AB96" s="111" t="str">
        <f aca="false">IF($B96="","",IF(الموظفون!$T96&lt;&gt;"",الموظفون!$T96,IF(AH96&gt;=cfg_LV_TH,cfg_LV_D2,cfg_LV_D1))/cfg_DAYS_Y*AJ96*الموظفون!$R96/cfg_DAYS_M)</f>
        <v/>
      </c>
      <c r="AC96" s="111" t="str">
        <f aca="false">IF($B96="","",IF(AND(الموظفون!$U96="نعم",N(الموظفون!$W96)&gt;0),الموظفون!$V96/الموظفون!$W96*12/cfg_DAYS_Y*AJ96,0))</f>
        <v/>
      </c>
      <c r="AD96" s="111" t="str">
        <f aca="false">IF($B96="","",(IF(الموظفون!$X96&lt;&gt;"",الموظفون!$X96,IF(الموظفون!$E96="غير سعودي",cfg_IQ,0))+IF(الموظفون!$Y96&lt;&gt;"",الموظفون!$Y96,IF(الموظفون!$E96="غير سعودي",cfg_WP,0)))/12*G96/cfg_DAYS_M)</f>
        <v/>
      </c>
      <c r="AE96" s="111" t="str">
        <f aca="false">IF($B96="","",IF(الموظفون!$Z96&lt;&gt;"",الموظفون!$Z96,cfg_MED)/12*G96/cfg_DAYS_M)</f>
        <v/>
      </c>
      <c r="AF96" s="111" t="str">
        <f aca="false">IF($B96="","",N(الموظفون!$AA96)/12*G96/cfg_DAYS_M)</f>
        <v/>
      </c>
      <c r="AG96" s="154" t="str">
        <f aca="false">IF($B96="","",T96+SUM(Z96:AF96))</f>
        <v/>
      </c>
      <c r="AH96" s="155" t="str">
        <f aca="false">IF($B96="","",MAX(0,IF(OR(الموظفون!$AE96="",الموظفون!$AE96&gt;$F$3),$F$3,الموظفون!$AE96)-الموظفون!$H96+1-SUMIFS('سجل الإجازات والحالات'!$AL$6:$AL$505,'سجل الإجازات والحالات'!$B$6:$B$505,$B96))/cfg_DAYS_Y)</f>
        <v/>
      </c>
      <c r="AI96" s="155" t="str">
        <f aca="false">IF($B96="","",MAX(0,IF(OR(الموظفون!$AE96="",الموظفون!$AE96&gt;($E$3-1)),($E$3-1),الموظفون!$AE96)-الموظفون!$H96+1-SUMIFS('سجل الإجازات والحالات'!$AK$6:$AK$505,'سجل الإجازات والحالات'!$B$6:$B$505,$B96))/cfg_DAYS_Y)</f>
        <v/>
      </c>
      <c r="AJ96" s="65" t="str">
        <f aca="false">IF($B96="","",MAX(0,AK96-(SUMIFS('سجل الإجازات والحالات'!$AL$6:$AL$505,'سجل الإجازات والحالات'!$B$6:$B$505,$B96)-SUMIFS('سجل الإجازات والحالات'!$AK$6:$AK$505,'سجل الإجازات والحالات'!$B$6:$B$505,$B96))))</f>
        <v/>
      </c>
      <c r="AK96" s="65" t="str">
        <f aca="false">IF($B96="","",MAX(0,IF(OR(الموظفون!$AE96="",الموظفون!$AE96&gt;$F$3),$F$3,الموظفون!$AE96)-MAX($E$3,الموظفون!$H96)+1))</f>
        <v/>
      </c>
      <c r="AL96" s="151" t="str">
        <f aca="false">IF($B96="","",SUMIFS('سجل الإجازات والحالات'!$AX$6:$AX$505,'سجل الإجازات والحالات'!$B$6:$B$505,$B96)+SUMIFS('الحركات الشهرية'!$K$6:$K$1005,'الحركات الشهرية'!$B$6:$B$1005,$B96,'الحركات الشهرية'!$A$6:$A$1005,$C$3))</f>
        <v/>
      </c>
      <c r="AM96" s="111" t="str">
        <f aca="false">IF($B96="","",AL96*الموظفون!$R96/cfg_DAYS_M+S96)</f>
        <v/>
      </c>
      <c r="AN96" s="151" t="str">
        <f aca="false">IF($B96="","",SUMIFS('سجل الإجازات والحالات'!$Z$6:$Z$505,'سجل الإجازات والحالات'!$B$6:$B$505,$B96))</f>
        <v/>
      </c>
    </row>
    <row r="97" customFormat="false" ht="15" hidden="false" customHeight="false" outlineLevel="0" collapsed="false">
      <c r="A97" s="115" t="str">
        <f aca="false">IF($B97="","",الموظفون!$A97)</f>
        <v/>
      </c>
      <c r="B97" s="117" t="str">
        <f aca="false">IF(الموظفون!$B97="","",الموظفون!$B97)</f>
        <v/>
      </c>
      <c r="C97" s="117" t="str">
        <f aca="false">IF($B97="","",الموظفون!$C97)</f>
        <v/>
      </c>
      <c r="D97" s="117" t="str">
        <f aca="false">IF($B97="","",الموظفون!$F97)</f>
        <v/>
      </c>
      <c r="E97" s="117" t="str">
        <f aca="false">IF($B97="","",الموظفون!$E97)</f>
        <v/>
      </c>
      <c r="F97" s="117" t="str">
        <f aca="false">IF($B97="","",IF(AK97=0,IF(AND(الموظفون!$AE97&lt;&gt;"",الموظفون!$AE97&lt;$E$3),"✖ منتهي الخدمة","⏳ لم يباشر"),IF(S97&gt;0,"✈ راتب إجازة مقدم",IF(J97=0,"⛔ بدون راتب هذا الشهر",IF(I97&gt;0,"✈ خصم "&amp;ROUND(I97,2)&amp;" يوم بدون أجر",IF(AL97&gt;0,"🌴 إجازة سنوية "&amp;ROUND(AL97,2)&amp;" يوم",IF(H97&gt;0,"⚠ غياب "&amp;ROUND(H97,2)&amp;" يوم","✔ على رأس العمل")))))))</f>
        <v/>
      </c>
      <c r="G97" s="156" t="str">
        <f aca="false">IF($B97="","",IF(AK97&gt;=DAY($F$3),cfg_DAYS_M,MIN(AK97,cfg_DAYS_M)))</f>
        <v/>
      </c>
      <c r="H97" s="156" t="str">
        <f aca="false">IF($B97="","",SUMIFS('الحركات الشهرية'!$D$6:$D$1005,'الحركات الشهرية'!$B$6:$B$1005,$B97,'الحركات الشهرية'!$A$6:$A$1005,$C$3))</f>
        <v/>
      </c>
      <c r="I97" s="156" t="str">
        <f aca="false">IF($B97="","",MIN(G97,IF(AND(AK97&gt;0,AN97&gt;=AK97),G97,AN97)+SUMIFS('الحركات الشهرية'!$E$6:$E$1005,'الحركات الشهرية'!$B$6:$B$1005,$B97,'الحركات الشهرية'!$A$6:$A$1005,$C$3)))</f>
        <v/>
      </c>
      <c r="J97" s="156" t="str">
        <f aca="false">IF($B97="","",MAX(0,G97-H97-I97))</f>
        <v/>
      </c>
      <c r="K97" s="116" t="str">
        <f aca="false">IF($B97="","",الموظفون!$L97*$J97/cfg_DAYS_M)</f>
        <v/>
      </c>
      <c r="L97" s="116" t="str">
        <f aca="false">IF($B97="","",الموظفون!$M97*$J97/cfg_DAYS_M)</f>
        <v/>
      </c>
      <c r="M97" s="116" t="str">
        <f aca="false">IF($B97="","",الموظفون!$N97*$J97/cfg_DAYS_M)</f>
        <v/>
      </c>
      <c r="N97" s="116" t="str">
        <f aca="false">IF($B97="","",الموظفون!$O97*$J97/cfg_DAYS_M)</f>
        <v/>
      </c>
      <c r="O97" s="156" t="str">
        <f aca="false">IF($B97="","",SUMIFS('الحركات الشهرية'!$F$6:$F$1005,'الحركات الشهرية'!$B$6:$B$1005,$B97,'الحركات الشهرية'!$A$6:$A$1005,$C$3))</f>
        <v/>
      </c>
      <c r="P97" s="116" t="str">
        <f aca="false">IF($B97="","",O97*(الموظفون!$P97+الموظفون!$L97*cfg_OT_P)/cfg_DAYS_M/cfg_HRS)</f>
        <v/>
      </c>
      <c r="Q97" s="116" t="str">
        <f aca="false">IF($B97="","",SUMIFS('الحركات الشهرية'!$G$6:$G$1005,'الحركات الشهرية'!$B$6:$B$1005,$B97,'الحركات الشهرية'!$A$6:$A$1005,$C$3))</f>
        <v/>
      </c>
      <c r="R97" s="116" t="str">
        <f aca="false">IF($B97="","",SUMIFS('الحركات الشهرية'!$H$6:$H$1005,'الحركات الشهرية'!$B$6:$B$1005,$B97,'الحركات الشهرية'!$A$6:$A$1005,$C$3))</f>
        <v/>
      </c>
      <c r="S97" s="116" t="str">
        <f aca="false">IF($B97="","",SUMIFS('سجل الإجازات والحالات'!$N$6:$N$505,'سجل الإجازات والحالات'!$B$6:$B$505,$B97,'سجل الإجازات والحالات'!$O$6:$O$505,$C$3))</f>
        <v/>
      </c>
      <c r="T97" s="157" t="str">
        <f aca="false">IF($B97="","",SUM(K97:N97)+SUM(P97:S97))</f>
        <v/>
      </c>
      <c r="U97" s="116" t="str">
        <f aca="false">IF($B97="","",الموظفون!$S97*IF(E97="سعودي",cfg_G_SE,cfg_G_NE)*G97/cfg_DAYS_M)</f>
        <v/>
      </c>
      <c r="V97" s="116" t="str">
        <f aca="false">IF($B97="","",SUMIFS('الحركات الشهرية'!$I$6:$I$1005,'الحركات الشهرية'!$B$6:$B$1005,$B97,'الحركات الشهرية'!$A$6:$A$1005,$C$3))</f>
        <v/>
      </c>
      <c r="W97" s="116" t="str">
        <f aca="false">IF($B97="","",SUMIFS('الحركات الشهرية'!$J$6:$J$1005,'الحركات الشهرية'!$B$6:$B$1005,$B97,'الحركات الشهرية'!$A$6:$A$1005,$C$3))</f>
        <v/>
      </c>
      <c r="X97" s="116" t="str">
        <f aca="false">IF($B97="","",SUM(U97:W97))</f>
        <v/>
      </c>
      <c r="Y97" s="158" t="str">
        <f aca="false">IF($B97="","",T97-X97)</f>
        <v/>
      </c>
      <c r="Z97" s="116" t="str">
        <f aca="false">IF($B97="","",الموظفون!$S97*IF(E97="سعودي",cfg_G_SR,cfg_G_NR)*G97/cfg_DAYS_M)</f>
        <v/>
      </c>
      <c r="AA97" s="116" t="str">
        <f aca="false">IF($B97="","",الموظفون!$Q97*(cfg_EOS_R1*(MIN(AH97,cfg_EOS_TH)-MIN(AI97,cfg_EOS_TH))+cfg_EOS_R2*(MAX(AH97-cfg_EOS_TH,0)-MAX(AI97-cfg_EOS_TH,0))))</f>
        <v/>
      </c>
      <c r="AB97" s="116" t="str">
        <f aca="false">IF($B97="","",IF(الموظفون!$T97&lt;&gt;"",الموظفون!$T97,IF(AH97&gt;=cfg_LV_TH,cfg_LV_D2,cfg_LV_D1))/cfg_DAYS_Y*AJ97*الموظفون!$R97/cfg_DAYS_M)</f>
        <v/>
      </c>
      <c r="AC97" s="116" t="str">
        <f aca="false">IF($B97="","",IF(AND(الموظفون!$U97="نعم",N(الموظفون!$W97)&gt;0),الموظفون!$V97/الموظفون!$W97*12/cfg_DAYS_Y*AJ97,0))</f>
        <v/>
      </c>
      <c r="AD97" s="116" t="str">
        <f aca="false">IF($B97="","",(IF(الموظفون!$X97&lt;&gt;"",الموظفون!$X97,IF(الموظفون!$E97="غير سعودي",cfg_IQ,0))+IF(الموظفون!$Y97&lt;&gt;"",الموظفون!$Y97,IF(الموظفون!$E97="غير سعودي",cfg_WP,0)))/12*G97/cfg_DAYS_M)</f>
        <v/>
      </c>
      <c r="AE97" s="116" t="str">
        <f aca="false">IF($B97="","",IF(الموظفون!$Z97&lt;&gt;"",الموظفون!$Z97,cfg_MED)/12*G97/cfg_DAYS_M)</f>
        <v/>
      </c>
      <c r="AF97" s="116" t="str">
        <f aca="false">IF($B97="","",N(الموظفون!$AA97)/12*G97/cfg_DAYS_M)</f>
        <v/>
      </c>
      <c r="AG97" s="159" t="str">
        <f aca="false">IF($B97="","",T97+SUM(Z97:AF97))</f>
        <v/>
      </c>
      <c r="AH97" s="160" t="str">
        <f aca="false">IF($B97="","",MAX(0,IF(OR(الموظفون!$AE97="",الموظفون!$AE97&gt;$F$3),$F$3,الموظفون!$AE97)-الموظفون!$H97+1-SUMIFS('سجل الإجازات والحالات'!$AL$6:$AL$505,'سجل الإجازات والحالات'!$B$6:$B$505,$B97))/cfg_DAYS_Y)</f>
        <v/>
      </c>
      <c r="AI97" s="160" t="str">
        <f aca="false">IF($B97="","",MAX(0,IF(OR(الموظفون!$AE97="",الموظفون!$AE97&gt;($E$3-1)),($E$3-1),الموظفون!$AE97)-الموظفون!$H97+1-SUMIFS('سجل الإجازات والحالات'!$AK$6:$AK$505,'سجل الإجازات والحالات'!$B$6:$B$505,$B97))/cfg_DAYS_Y)</f>
        <v/>
      </c>
      <c r="AJ97" s="133" t="str">
        <f aca="false">IF($B97="","",MAX(0,AK97-(SUMIFS('سجل الإجازات والحالات'!$AL$6:$AL$505,'سجل الإجازات والحالات'!$B$6:$B$505,$B97)-SUMIFS('سجل الإجازات والحالات'!$AK$6:$AK$505,'سجل الإجازات والحالات'!$B$6:$B$505,$B97))))</f>
        <v/>
      </c>
      <c r="AK97" s="133" t="str">
        <f aca="false">IF($B97="","",MAX(0,IF(OR(الموظفون!$AE97="",الموظفون!$AE97&gt;$F$3),$F$3,الموظفون!$AE97)-MAX($E$3,الموظفون!$H97)+1))</f>
        <v/>
      </c>
      <c r="AL97" s="156" t="str">
        <f aca="false">IF($B97="","",SUMIFS('سجل الإجازات والحالات'!$AX$6:$AX$505,'سجل الإجازات والحالات'!$B$6:$B$505,$B97)+SUMIFS('الحركات الشهرية'!$K$6:$K$1005,'الحركات الشهرية'!$B$6:$B$1005,$B97,'الحركات الشهرية'!$A$6:$A$1005,$C$3))</f>
        <v/>
      </c>
      <c r="AM97" s="116" t="str">
        <f aca="false">IF($B97="","",AL97*الموظفون!$R97/cfg_DAYS_M+S97)</f>
        <v/>
      </c>
      <c r="AN97" s="156" t="str">
        <f aca="false">IF($B97="","",SUMIFS('سجل الإجازات والحالات'!$Z$6:$Z$505,'سجل الإجازات والحالات'!$B$6:$B$505,$B97))</f>
        <v/>
      </c>
    </row>
    <row r="98" customFormat="false" ht="15" hidden="false" customHeight="false" outlineLevel="0" collapsed="false">
      <c r="A98" s="106" t="str">
        <f aca="false">IF($B98="","",الموظفون!$A98)</f>
        <v/>
      </c>
      <c r="B98" s="114" t="str">
        <f aca="false">IF(الموظفون!$B98="","",الموظفون!$B98)</f>
        <v/>
      </c>
      <c r="C98" s="114" t="str">
        <f aca="false">IF($B98="","",الموظفون!$C98)</f>
        <v/>
      </c>
      <c r="D98" s="114" t="str">
        <f aca="false">IF($B98="","",الموظفون!$F98)</f>
        <v/>
      </c>
      <c r="E98" s="114" t="str">
        <f aca="false">IF($B98="","",الموظفون!$E98)</f>
        <v/>
      </c>
      <c r="F98" s="114" t="str">
        <f aca="false">IF($B98="","",IF(AK98=0,IF(AND(الموظفون!$AE98&lt;&gt;"",الموظفون!$AE98&lt;$E$3),"✖ منتهي الخدمة","⏳ لم يباشر"),IF(S98&gt;0,"✈ راتب إجازة مقدم",IF(J98=0,"⛔ بدون راتب هذا الشهر",IF(I98&gt;0,"✈ خصم "&amp;ROUND(I98,2)&amp;" يوم بدون أجر",IF(AL98&gt;0,"🌴 إجازة سنوية "&amp;ROUND(AL98,2)&amp;" يوم",IF(H98&gt;0,"⚠ غياب "&amp;ROUND(H98,2)&amp;" يوم","✔ على رأس العمل")))))))</f>
        <v/>
      </c>
      <c r="G98" s="151" t="str">
        <f aca="false">IF($B98="","",IF(AK98&gt;=DAY($F$3),cfg_DAYS_M,MIN(AK98,cfg_DAYS_M)))</f>
        <v/>
      </c>
      <c r="H98" s="151" t="str">
        <f aca="false">IF($B98="","",SUMIFS('الحركات الشهرية'!$D$6:$D$1005,'الحركات الشهرية'!$B$6:$B$1005,$B98,'الحركات الشهرية'!$A$6:$A$1005,$C$3))</f>
        <v/>
      </c>
      <c r="I98" s="151" t="str">
        <f aca="false">IF($B98="","",MIN(G98,IF(AND(AK98&gt;0,AN98&gt;=AK98),G98,AN98)+SUMIFS('الحركات الشهرية'!$E$6:$E$1005,'الحركات الشهرية'!$B$6:$B$1005,$B98,'الحركات الشهرية'!$A$6:$A$1005,$C$3)))</f>
        <v/>
      </c>
      <c r="J98" s="151" t="str">
        <f aca="false">IF($B98="","",MAX(0,G98-H98-I98))</f>
        <v/>
      </c>
      <c r="K98" s="111" t="str">
        <f aca="false">IF($B98="","",الموظفون!$L98*$J98/cfg_DAYS_M)</f>
        <v/>
      </c>
      <c r="L98" s="111" t="str">
        <f aca="false">IF($B98="","",الموظفون!$M98*$J98/cfg_DAYS_M)</f>
        <v/>
      </c>
      <c r="M98" s="111" t="str">
        <f aca="false">IF($B98="","",الموظفون!$N98*$J98/cfg_DAYS_M)</f>
        <v/>
      </c>
      <c r="N98" s="111" t="str">
        <f aca="false">IF($B98="","",الموظفون!$O98*$J98/cfg_DAYS_M)</f>
        <v/>
      </c>
      <c r="O98" s="151" t="str">
        <f aca="false">IF($B98="","",SUMIFS('الحركات الشهرية'!$F$6:$F$1005,'الحركات الشهرية'!$B$6:$B$1005,$B98,'الحركات الشهرية'!$A$6:$A$1005,$C$3))</f>
        <v/>
      </c>
      <c r="P98" s="111" t="str">
        <f aca="false">IF($B98="","",O98*(الموظفون!$P98+الموظفون!$L98*cfg_OT_P)/cfg_DAYS_M/cfg_HRS)</f>
        <v/>
      </c>
      <c r="Q98" s="111" t="str">
        <f aca="false">IF($B98="","",SUMIFS('الحركات الشهرية'!$G$6:$G$1005,'الحركات الشهرية'!$B$6:$B$1005,$B98,'الحركات الشهرية'!$A$6:$A$1005,$C$3))</f>
        <v/>
      </c>
      <c r="R98" s="111" t="str">
        <f aca="false">IF($B98="","",SUMIFS('الحركات الشهرية'!$H$6:$H$1005,'الحركات الشهرية'!$B$6:$B$1005,$B98,'الحركات الشهرية'!$A$6:$A$1005,$C$3))</f>
        <v/>
      </c>
      <c r="S98" s="111" t="str">
        <f aca="false">IF($B98="","",SUMIFS('سجل الإجازات والحالات'!$N$6:$N$505,'سجل الإجازات والحالات'!$B$6:$B$505,$B98,'سجل الإجازات والحالات'!$O$6:$O$505,$C$3))</f>
        <v/>
      </c>
      <c r="T98" s="152" t="str">
        <f aca="false">IF($B98="","",SUM(K98:N98)+SUM(P98:S98))</f>
        <v/>
      </c>
      <c r="U98" s="111" t="str">
        <f aca="false">IF($B98="","",الموظفون!$S98*IF(E98="سعودي",cfg_G_SE,cfg_G_NE)*G98/cfg_DAYS_M)</f>
        <v/>
      </c>
      <c r="V98" s="111" t="str">
        <f aca="false">IF($B98="","",SUMIFS('الحركات الشهرية'!$I$6:$I$1005,'الحركات الشهرية'!$B$6:$B$1005,$B98,'الحركات الشهرية'!$A$6:$A$1005,$C$3))</f>
        <v/>
      </c>
      <c r="W98" s="111" t="str">
        <f aca="false">IF($B98="","",SUMIFS('الحركات الشهرية'!$J$6:$J$1005,'الحركات الشهرية'!$B$6:$B$1005,$B98,'الحركات الشهرية'!$A$6:$A$1005,$C$3))</f>
        <v/>
      </c>
      <c r="X98" s="111" t="str">
        <f aca="false">IF($B98="","",SUM(U98:W98))</f>
        <v/>
      </c>
      <c r="Y98" s="153" t="str">
        <f aca="false">IF($B98="","",T98-X98)</f>
        <v/>
      </c>
      <c r="Z98" s="111" t="str">
        <f aca="false">IF($B98="","",الموظفون!$S98*IF(E98="سعودي",cfg_G_SR,cfg_G_NR)*G98/cfg_DAYS_M)</f>
        <v/>
      </c>
      <c r="AA98" s="111" t="str">
        <f aca="false">IF($B98="","",الموظفون!$Q98*(cfg_EOS_R1*(MIN(AH98,cfg_EOS_TH)-MIN(AI98,cfg_EOS_TH))+cfg_EOS_R2*(MAX(AH98-cfg_EOS_TH,0)-MAX(AI98-cfg_EOS_TH,0))))</f>
        <v/>
      </c>
      <c r="AB98" s="111" t="str">
        <f aca="false">IF($B98="","",IF(الموظفون!$T98&lt;&gt;"",الموظفون!$T98,IF(AH98&gt;=cfg_LV_TH,cfg_LV_D2,cfg_LV_D1))/cfg_DAYS_Y*AJ98*الموظفون!$R98/cfg_DAYS_M)</f>
        <v/>
      </c>
      <c r="AC98" s="111" t="str">
        <f aca="false">IF($B98="","",IF(AND(الموظفون!$U98="نعم",N(الموظفون!$W98)&gt;0),الموظفون!$V98/الموظفون!$W98*12/cfg_DAYS_Y*AJ98,0))</f>
        <v/>
      </c>
      <c r="AD98" s="111" t="str">
        <f aca="false">IF($B98="","",(IF(الموظفون!$X98&lt;&gt;"",الموظفون!$X98,IF(الموظفون!$E98="غير سعودي",cfg_IQ,0))+IF(الموظفون!$Y98&lt;&gt;"",الموظفون!$Y98,IF(الموظفون!$E98="غير سعودي",cfg_WP,0)))/12*G98/cfg_DAYS_M)</f>
        <v/>
      </c>
      <c r="AE98" s="111" t="str">
        <f aca="false">IF($B98="","",IF(الموظفون!$Z98&lt;&gt;"",الموظفون!$Z98,cfg_MED)/12*G98/cfg_DAYS_M)</f>
        <v/>
      </c>
      <c r="AF98" s="111" t="str">
        <f aca="false">IF($B98="","",N(الموظفون!$AA98)/12*G98/cfg_DAYS_M)</f>
        <v/>
      </c>
      <c r="AG98" s="154" t="str">
        <f aca="false">IF($B98="","",T98+SUM(Z98:AF98))</f>
        <v/>
      </c>
      <c r="AH98" s="155" t="str">
        <f aca="false">IF($B98="","",MAX(0,IF(OR(الموظفون!$AE98="",الموظفون!$AE98&gt;$F$3),$F$3,الموظفون!$AE98)-الموظفون!$H98+1-SUMIFS('سجل الإجازات والحالات'!$AL$6:$AL$505,'سجل الإجازات والحالات'!$B$6:$B$505,$B98))/cfg_DAYS_Y)</f>
        <v/>
      </c>
      <c r="AI98" s="155" t="str">
        <f aca="false">IF($B98="","",MAX(0,IF(OR(الموظفون!$AE98="",الموظفون!$AE98&gt;($E$3-1)),($E$3-1),الموظفون!$AE98)-الموظفون!$H98+1-SUMIFS('سجل الإجازات والحالات'!$AK$6:$AK$505,'سجل الإجازات والحالات'!$B$6:$B$505,$B98))/cfg_DAYS_Y)</f>
        <v/>
      </c>
      <c r="AJ98" s="65" t="str">
        <f aca="false">IF($B98="","",MAX(0,AK98-(SUMIFS('سجل الإجازات والحالات'!$AL$6:$AL$505,'سجل الإجازات والحالات'!$B$6:$B$505,$B98)-SUMIFS('سجل الإجازات والحالات'!$AK$6:$AK$505,'سجل الإجازات والحالات'!$B$6:$B$505,$B98))))</f>
        <v/>
      </c>
      <c r="AK98" s="65" t="str">
        <f aca="false">IF($B98="","",MAX(0,IF(OR(الموظفون!$AE98="",الموظفون!$AE98&gt;$F$3),$F$3,الموظفون!$AE98)-MAX($E$3,الموظفون!$H98)+1))</f>
        <v/>
      </c>
      <c r="AL98" s="151" t="str">
        <f aca="false">IF($B98="","",SUMIFS('سجل الإجازات والحالات'!$AX$6:$AX$505,'سجل الإجازات والحالات'!$B$6:$B$505,$B98)+SUMIFS('الحركات الشهرية'!$K$6:$K$1005,'الحركات الشهرية'!$B$6:$B$1005,$B98,'الحركات الشهرية'!$A$6:$A$1005,$C$3))</f>
        <v/>
      </c>
      <c r="AM98" s="111" t="str">
        <f aca="false">IF($B98="","",AL98*الموظفون!$R98/cfg_DAYS_M+S98)</f>
        <v/>
      </c>
      <c r="AN98" s="151" t="str">
        <f aca="false">IF($B98="","",SUMIFS('سجل الإجازات والحالات'!$Z$6:$Z$505,'سجل الإجازات والحالات'!$B$6:$B$505,$B98))</f>
        <v/>
      </c>
    </row>
    <row r="99" customFormat="false" ht="15" hidden="false" customHeight="false" outlineLevel="0" collapsed="false">
      <c r="A99" s="115" t="str">
        <f aca="false">IF($B99="","",الموظفون!$A99)</f>
        <v/>
      </c>
      <c r="B99" s="117" t="str">
        <f aca="false">IF(الموظفون!$B99="","",الموظفون!$B99)</f>
        <v/>
      </c>
      <c r="C99" s="117" t="str">
        <f aca="false">IF($B99="","",الموظفون!$C99)</f>
        <v/>
      </c>
      <c r="D99" s="117" t="str">
        <f aca="false">IF($B99="","",الموظفون!$F99)</f>
        <v/>
      </c>
      <c r="E99" s="117" t="str">
        <f aca="false">IF($B99="","",الموظفون!$E99)</f>
        <v/>
      </c>
      <c r="F99" s="117" t="str">
        <f aca="false">IF($B99="","",IF(AK99=0,IF(AND(الموظفون!$AE99&lt;&gt;"",الموظفون!$AE99&lt;$E$3),"✖ منتهي الخدمة","⏳ لم يباشر"),IF(S99&gt;0,"✈ راتب إجازة مقدم",IF(J99=0,"⛔ بدون راتب هذا الشهر",IF(I99&gt;0,"✈ خصم "&amp;ROUND(I99,2)&amp;" يوم بدون أجر",IF(AL99&gt;0,"🌴 إجازة سنوية "&amp;ROUND(AL99,2)&amp;" يوم",IF(H99&gt;0,"⚠ غياب "&amp;ROUND(H99,2)&amp;" يوم","✔ على رأس العمل")))))))</f>
        <v/>
      </c>
      <c r="G99" s="156" t="str">
        <f aca="false">IF($B99="","",IF(AK99&gt;=DAY($F$3),cfg_DAYS_M,MIN(AK99,cfg_DAYS_M)))</f>
        <v/>
      </c>
      <c r="H99" s="156" t="str">
        <f aca="false">IF($B99="","",SUMIFS('الحركات الشهرية'!$D$6:$D$1005,'الحركات الشهرية'!$B$6:$B$1005,$B99,'الحركات الشهرية'!$A$6:$A$1005,$C$3))</f>
        <v/>
      </c>
      <c r="I99" s="156" t="str">
        <f aca="false">IF($B99="","",MIN(G99,IF(AND(AK99&gt;0,AN99&gt;=AK99),G99,AN99)+SUMIFS('الحركات الشهرية'!$E$6:$E$1005,'الحركات الشهرية'!$B$6:$B$1005,$B99,'الحركات الشهرية'!$A$6:$A$1005,$C$3)))</f>
        <v/>
      </c>
      <c r="J99" s="156" t="str">
        <f aca="false">IF($B99="","",MAX(0,G99-H99-I99))</f>
        <v/>
      </c>
      <c r="K99" s="116" t="str">
        <f aca="false">IF($B99="","",الموظفون!$L99*$J99/cfg_DAYS_M)</f>
        <v/>
      </c>
      <c r="L99" s="116" t="str">
        <f aca="false">IF($B99="","",الموظفون!$M99*$J99/cfg_DAYS_M)</f>
        <v/>
      </c>
      <c r="M99" s="116" t="str">
        <f aca="false">IF($B99="","",الموظفون!$N99*$J99/cfg_DAYS_M)</f>
        <v/>
      </c>
      <c r="N99" s="116" t="str">
        <f aca="false">IF($B99="","",الموظفون!$O99*$J99/cfg_DAYS_M)</f>
        <v/>
      </c>
      <c r="O99" s="156" t="str">
        <f aca="false">IF($B99="","",SUMIFS('الحركات الشهرية'!$F$6:$F$1005,'الحركات الشهرية'!$B$6:$B$1005,$B99,'الحركات الشهرية'!$A$6:$A$1005,$C$3))</f>
        <v/>
      </c>
      <c r="P99" s="116" t="str">
        <f aca="false">IF($B99="","",O99*(الموظفون!$P99+الموظفون!$L99*cfg_OT_P)/cfg_DAYS_M/cfg_HRS)</f>
        <v/>
      </c>
      <c r="Q99" s="116" t="str">
        <f aca="false">IF($B99="","",SUMIFS('الحركات الشهرية'!$G$6:$G$1005,'الحركات الشهرية'!$B$6:$B$1005,$B99,'الحركات الشهرية'!$A$6:$A$1005,$C$3))</f>
        <v/>
      </c>
      <c r="R99" s="116" t="str">
        <f aca="false">IF($B99="","",SUMIFS('الحركات الشهرية'!$H$6:$H$1005,'الحركات الشهرية'!$B$6:$B$1005,$B99,'الحركات الشهرية'!$A$6:$A$1005,$C$3))</f>
        <v/>
      </c>
      <c r="S99" s="116" t="str">
        <f aca="false">IF($B99="","",SUMIFS('سجل الإجازات والحالات'!$N$6:$N$505,'سجل الإجازات والحالات'!$B$6:$B$505,$B99,'سجل الإجازات والحالات'!$O$6:$O$505,$C$3))</f>
        <v/>
      </c>
      <c r="T99" s="157" t="str">
        <f aca="false">IF($B99="","",SUM(K99:N99)+SUM(P99:S99))</f>
        <v/>
      </c>
      <c r="U99" s="116" t="str">
        <f aca="false">IF($B99="","",الموظفون!$S99*IF(E99="سعودي",cfg_G_SE,cfg_G_NE)*G99/cfg_DAYS_M)</f>
        <v/>
      </c>
      <c r="V99" s="116" t="str">
        <f aca="false">IF($B99="","",SUMIFS('الحركات الشهرية'!$I$6:$I$1005,'الحركات الشهرية'!$B$6:$B$1005,$B99,'الحركات الشهرية'!$A$6:$A$1005,$C$3))</f>
        <v/>
      </c>
      <c r="W99" s="116" t="str">
        <f aca="false">IF($B99="","",SUMIFS('الحركات الشهرية'!$J$6:$J$1005,'الحركات الشهرية'!$B$6:$B$1005,$B99,'الحركات الشهرية'!$A$6:$A$1005,$C$3))</f>
        <v/>
      </c>
      <c r="X99" s="116" t="str">
        <f aca="false">IF($B99="","",SUM(U99:W99))</f>
        <v/>
      </c>
      <c r="Y99" s="158" t="str">
        <f aca="false">IF($B99="","",T99-X99)</f>
        <v/>
      </c>
      <c r="Z99" s="116" t="str">
        <f aca="false">IF($B99="","",الموظفون!$S99*IF(E99="سعودي",cfg_G_SR,cfg_G_NR)*G99/cfg_DAYS_M)</f>
        <v/>
      </c>
      <c r="AA99" s="116" t="str">
        <f aca="false">IF($B99="","",الموظفون!$Q99*(cfg_EOS_R1*(MIN(AH99,cfg_EOS_TH)-MIN(AI99,cfg_EOS_TH))+cfg_EOS_R2*(MAX(AH99-cfg_EOS_TH,0)-MAX(AI99-cfg_EOS_TH,0))))</f>
        <v/>
      </c>
      <c r="AB99" s="116" t="str">
        <f aca="false">IF($B99="","",IF(الموظفون!$T99&lt;&gt;"",الموظفون!$T99,IF(AH99&gt;=cfg_LV_TH,cfg_LV_D2,cfg_LV_D1))/cfg_DAYS_Y*AJ99*الموظفون!$R99/cfg_DAYS_M)</f>
        <v/>
      </c>
      <c r="AC99" s="116" t="str">
        <f aca="false">IF($B99="","",IF(AND(الموظفون!$U99="نعم",N(الموظفون!$W99)&gt;0),الموظفون!$V99/الموظفون!$W99*12/cfg_DAYS_Y*AJ99,0))</f>
        <v/>
      </c>
      <c r="AD99" s="116" t="str">
        <f aca="false">IF($B99="","",(IF(الموظفون!$X99&lt;&gt;"",الموظفون!$X99,IF(الموظفون!$E99="غير سعودي",cfg_IQ,0))+IF(الموظفون!$Y99&lt;&gt;"",الموظفون!$Y99,IF(الموظفون!$E99="غير سعودي",cfg_WP,0)))/12*G99/cfg_DAYS_M)</f>
        <v/>
      </c>
      <c r="AE99" s="116" t="str">
        <f aca="false">IF($B99="","",IF(الموظفون!$Z99&lt;&gt;"",الموظفون!$Z99,cfg_MED)/12*G99/cfg_DAYS_M)</f>
        <v/>
      </c>
      <c r="AF99" s="116" t="str">
        <f aca="false">IF($B99="","",N(الموظفون!$AA99)/12*G99/cfg_DAYS_M)</f>
        <v/>
      </c>
      <c r="AG99" s="159" t="str">
        <f aca="false">IF($B99="","",T99+SUM(Z99:AF99))</f>
        <v/>
      </c>
      <c r="AH99" s="160" t="str">
        <f aca="false">IF($B99="","",MAX(0,IF(OR(الموظفون!$AE99="",الموظفون!$AE99&gt;$F$3),$F$3,الموظفون!$AE99)-الموظفون!$H99+1-SUMIFS('سجل الإجازات والحالات'!$AL$6:$AL$505,'سجل الإجازات والحالات'!$B$6:$B$505,$B99))/cfg_DAYS_Y)</f>
        <v/>
      </c>
      <c r="AI99" s="160" t="str">
        <f aca="false">IF($B99="","",MAX(0,IF(OR(الموظفون!$AE99="",الموظفون!$AE99&gt;($E$3-1)),($E$3-1),الموظفون!$AE99)-الموظفون!$H99+1-SUMIFS('سجل الإجازات والحالات'!$AK$6:$AK$505,'سجل الإجازات والحالات'!$B$6:$B$505,$B99))/cfg_DAYS_Y)</f>
        <v/>
      </c>
      <c r="AJ99" s="133" t="str">
        <f aca="false">IF($B99="","",MAX(0,AK99-(SUMIFS('سجل الإجازات والحالات'!$AL$6:$AL$505,'سجل الإجازات والحالات'!$B$6:$B$505,$B99)-SUMIFS('سجل الإجازات والحالات'!$AK$6:$AK$505,'سجل الإجازات والحالات'!$B$6:$B$505,$B99))))</f>
        <v/>
      </c>
      <c r="AK99" s="133" t="str">
        <f aca="false">IF($B99="","",MAX(0,IF(OR(الموظفون!$AE99="",الموظفون!$AE99&gt;$F$3),$F$3,الموظفون!$AE99)-MAX($E$3,الموظفون!$H99)+1))</f>
        <v/>
      </c>
      <c r="AL99" s="156" t="str">
        <f aca="false">IF($B99="","",SUMIFS('سجل الإجازات والحالات'!$AX$6:$AX$505,'سجل الإجازات والحالات'!$B$6:$B$505,$B99)+SUMIFS('الحركات الشهرية'!$K$6:$K$1005,'الحركات الشهرية'!$B$6:$B$1005,$B99,'الحركات الشهرية'!$A$6:$A$1005,$C$3))</f>
        <v/>
      </c>
      <c r="AM99" s="116" t="str">
        <f aca="false">IF($B99="","",AL99*الموظفون!$R99/cfg_DAYS_M+S99)</f>
        <v/>
      </c>
      <c r="AN99" s="156" t="str">
        <f aca="false">IF($B99="","",SUMIFS('سجل الإجازات والحالات'!$Z$6:$Z$505,'سجل الإجازات والحالات'!$B$6:$B$505,$B99))</f>
        <v/>
      </c>
    </row>
    <row r="100" customFormat="false" ht="15" hidden="false" customHeight="false" outlineLevel="0" collapsed="false">
      <c r="A100" s="106" t="str">
        <f aca="false">IF($B100="","",الموظفون!$A100)</f>
        <v/>
      </c>
      <c r="B100" s="114" t="str">
        <f aca="false">IF(الموظفون!$B100="","",الموظفون!$B100)</f>
        <v/>
      </c>
      <c r="C100" s="114" t="str">
        <f aca="false">IF($B100="","",الموظفون!$C100)</f>
        <v/>
      </c>
      <c r="D100" s="114" t="str">
        <f aca="false">IF($B100="","",الموظفون!$F100)</f>
        <v/>
      </c>
      <c r="E100" s="114" t="str">
        <f aca="false">IF($B100="","",الموظفون!$E100)</f>
        <v/>
      </c>
      <c r="F100" s="114" t="str">
        <f aca="false">IF($B100="","",IF(AK100=0,IF(AND(الموظفون!$AE100&lt;&gt;"",الموظفون!$AE100&lt;$E$3),"✖ منتهي الخدمة","⏳ لم يباشر"),IF(S100&gt;0,"✈ راتب إجازة مقدم",IF(J100=0,"⛔ بدون راتب هذا الشهر",IF(I100&gt;0,"✈ خصم "&amp;ROUND(I100,2)&amp;" يوم بدون أجر",IF(AL100&gt;0,"🌴 إجازة سنوية "&amp;ROUND(AL100,2)&amp;" يوم",IF(H100&gt;0,"⚠ غياب "&amp;ROUND(H100,2)&amp;" يوم","✔ على رأس العمل")))))))</f>
        <v/>
      </c>
      <c r="G100" s="151" t="str">
        <f aca="false">IF($B100="","",IF(AK100&gt;=DAY($F$3),cfg_DAYS_M,MIN(AK100,cfg_DAYS_M)))</f>
        <v/>
      </c>
      <c r="H100" s="151" t="str">
        <f aca="false">IF($B100="","",SUMIFS('الحركات الشهرية'!$D$6:$D$1005,'الحركات الشهرية'!$B$6:$B$1005,$B100,'الحركات الشهرية'!$A$6:$A$1005,$C$3))</f>
        <v/>
      </c>
      <c r="I100" s="151" t="str">
        <f aca="false">IF($B100="","",MIN(G100,IF(AND(AK100&gt;0,AN100&gt;=AK100),G100,AN100)+SUMIFS('الحركات الشهرية'!$E$6:$E$1005,'الحركات الشهرية'!$B$6:$B$1005,$B100,'الحركات الشهرية'!$A$6:$A$1005,$C$3)))</f>
        <v/>
      </c>
      <c r="J100" s="151" t="str">
        <f aca="false">IF($B100="","",MAX(0,G100-H100-I100))</f>
        <v/>
      </c>
      <c r="K100" s="111" t="str">
        <f aca="false">IF($B100="","",الموظفون!$L100*$J100/cfg_DAYS_M)</f>
        <v/>
      </c>
      <c r="L100" s="111" t="str">
        <f aca="false">IF($B100="","",الموظفون!$M100*$J100/cfg_DAYS_M)</f>
        <v/>
      </c>
      <c r="M100" s="111" t="str">
        <f aca="false">IF($B100="","",الموظفون!$N100*$J100/cfg_DAYS_M)</f>
        <v/>
      </c>
      <c r="N100" s="111" t="str">
        <f aca="false">IF($B100="","",الموظفون!$O100*$J100/cfg_DAYS_M)</f>
        <v/>
      </c>
      <c r="O100" s="151" t="str">
        <f aca="false">IF($B100="","",SUMIFS('الحركات الشهرية'!$F$6:$F$1005,'الحركات الشهرية'!$B$6:$B$1005,$B100,'الحركات الشهرية'!$A$6:$A$1005,$C$3))</f>
        <v/>
      </c>
      <c r="P100" s="111" t="str">
        <f aca="false">IF($B100="","",O100*(الموظفون!$P100+الموظفون!$L100*cfg_OT_P)/cfg_DAYS_M/cfg_HRS)</f>
        <v/>
      </c>
      <c r="Q100" s="111" t="str">
        <f aca="false">IF($B100="","",SUMIFS('الحركات الشهرية'!$G$6:$G$1005,'الحركات الشهرية'!$B$6:$B$1005,$B100,'الحركات الشهرية'!$A$6:$A$1005,$C$3))</f>
        <v/>
      </c>
      <c r="R100" s="111" t="str">
        <f aca="false">IF($B100="","",SUMIFS('الحركات الشهرية'!$H$6:$H$1005,'الحركات الشهرية'!$B$6:$B$1005,$B100,'الحركات الشهرية'!$A$6:$A$1005,$C$3))</f>
        <v/>
      </c>
      <c r="S100" s="111" t="str">
        <f aca="false">IF($B100="","",SUMIFS('سجل الإجازات والحالات'!$N$6:$N$505,'سجل الإجازات والحالات'!$B$6:$B$505,$B100,'سجل الإجازات والحالات'!$O$6:$O$505,$C$3))</f>
        <v/>
      </c>
      <c r="T100" s="152" t="str">
        <f aca="false">IF($B100="","",SUM(K100:N100)+SUM(P100:S100))</f>
        <v/>
      </c>
      <c r="U100" s="111" t="str">
        <f aca="false">IF($B100="","",الموظفون!$S100*IF(E100="سعودي",cfg_G_SE,cfg_G_NE)*G100/cfg_DAYS_M)</f>
        <v/>
      </c>
      <c r="V100" s="111" t="str">
        <f aca="false">IF($B100="","",SUMIFS('الحركات الشهرية'!$I$6:$I$1005,'الحركات الشهرية'!$B$6:$B$1005,$B100,'الحركات الشهرية'!$A$6:$A$1005,$C$3))</f>
        <v/>
      </c>
      <c r="W100" s="111" t="str">
        <f aca="false">IF($B100="","",SUMIFS('الحركات الشهرية'!$J$6:$J$1005,'الحركات الشهرية'!$B$6:$B$1005,$B100,'الحركات الشهرية'!$A$6:$A$1005,$C$3))</f>
        <v/>
      </c>
      <c r="X100" s="111" t="str">
        <f aca="false">IF($B100="","",SUM(U100:W100))</f>
        <v/>
      </c>
      <c r="Y100" s="153" t="str">
        <f aca="false">IF($B100="","",T100-X100)</f>
        <v/>
      </c>
      <c r="Z100" s="111" t="str">
        <f aca="false">IF($B100="","",الموظفون!$S100*IF(E100="سعودي",cfg_G_SR,cfg_G_NR)*G100/cfg_DAYS_M)</f>
        <v/>
      </c>
      <c r="AA100" s="111" t="str">
        <f aca="false">IF($B100="","",الموظفون!$Q100*(cfg_EOS_R1*(MIN(AH100,cfg_EOS_TH)-MIN(AI100,cfg_EOS_TH))+cfg_EOS_R2*(MAX(AH100-cfg_EOS_TH,0)-MAX(AI100-cfg_EOS_TH,0))))</f>
        <v/>
      </c>
      <c r="AB100" s="111" t="str">
        <f aca="false">IF($B100="","",IF(الموظفون!$T100&lt;&gt;"",الموظفون!$T100,IF(AH100&gt;=cfg_LV_TH,cfg_LV_D2,cfg_LV_D1))/cfg_DAYS_Y*AJ100*الموظفون!$R100/cfg_DAYS_M)</f>
        <v/>
      </c>
      <c r="AC100" s="111" t="str">
        <f aca="false">IF($B100="","",IF(AND(الموظفون!$U100="نعم",N(الموظفون!$W100)&gt;0),الموظفون!$V100/الموظفون!$W100*12/cfg_DAYS_Y*AJ100,0))</f>
        <v/>
      </c>
      <c r="AD100" s="111" t="str">
        <f aca="false">IF($B100="","",(IF(الموظفون!$X100&lt;&gt;"",الموظفون!$X100,IF(الموظفون!$E100="غير سعودي",cfg_IQ,0))+IF(الموظفون!$Y100&lt;&gt;"",الموظفون!$Y100,IF(الموظفون!$E100="غير سعودي",cfg_WP,0)))/12*G100/cfg_DAYS_M)</f>
        <v/>
      </c>
      <c r="AE100" s="111" t="str">
        <f aca="false">IF($B100="","",IF(الموظفون!$Z100&lt;&gt;"",الموظفون!$Z100,cfg_MED)/12*G100/cfg_DAYS_M)</f>
        <v/>
      </c>
      <c r="AF100" s="111" t="str">
        <f aca="false">IF($B100="","",N(الموظفون!$AA100)/12*G100/cfg_DAYS_M)</f>
        <v/>
      </c>
      <c r="AG100" s="154" t="str">
        <f aca="false">IF($B100="","",T100+SUM(Z100:AF100))</f>
        <v/>
      </c>
      <c r="AH100" s="155" t="str">
        <f aca="false">IF($B100="","",MAX(0,IF(OR(الموظفون!$AE100="",الموظفون!$AE100&gt;$F$3),$F$3,الموظفون!$AE100)-الموظفون!$H100+1-SUMIFS('سجل الإجازات والحالات'!$AL$6:$AL$505,'سجل الإجازات والحالات'!$B$6:$B$505,$B100))/cfg_DAYS_Y)</f>
        <v/>
      </c>
      <c r="AI100" s="155" t="str">
        <f aca="false">IF($B100="","",MAX(0,IF(OR(الموظفون!$AE100="",الموظفون!$AE100&gt;($E$3-1)),($E$3-1),الموظفون!$AE100)-الموظفون!$H100+1-SUMIFS('سجل الإجازات والحالات'!$AK$6:$AK$505,'سجل الإجازات والحالات'!$B$6:$B$505,$B100))/cfg_DAYS_Y)</f>
        <v/>
      </c>
      <c r="AJ100" s="65" t="str">
        <f aca="false">IF($B100="","",MAX(0,AK100-(SUMIFS('سجل الإجازات والحالات'!$AL$6:$AL$505,'سجل الإجازات والحالات'!$B$6:$B$505,$B100)-SUMIFS('سجل الإجازات والحالات'!$AK$6:$AK$505,'سجل الإجازات والحالات'!$B$6:$B$505,$B100))))</f>
        <v/>
      </c>
      <c r="AK100" s="65" t="str">
        <f aca="false">IF($B100="","",MAX(0,IF(OR(الموظفون!$AE100="",الموظفون!$AE100&gt;$F$3),$F$3,الموظفون!$AE100)-MAX($E$3,الموظفون!$H100)+1))</f>
        <v/>
      </c>
      <c r="AL100" s="151" t="str">
        <f aca="false">IF($B100="","",SUMIFS('سجل الإجازات والحالات'!$AX$6:$AX$505,'سجل الإجازات والحالات'!$B$6:$B$505,$B100)+SUMIFS('الحركات الشهرية'!$K$6:$K$1005,'الحركات الشهرية'!$B$6:$B$1005,$B100,'الحركات الشهرية'!$A$6:$A$1005,$C$3))</f>
        <v/>
      </c>
      <c r="AM100" s="111" t="str">
        <f aca="false">IF($B100="","",AL100*الموظفون!$R100/cfg_DAYS_M+S100)</f>
        <v/>
      </c>
      <c r="AN100" s="151" t="str">
        <f aca="false">IF($B100="","",SUMIFS('سجل الإجازات والحالات'!$Z$6:$Z$505,'سجل الإجازات والحالات'!$B$6:$B$505,$B100))</f>
        <v/>
      </c>
    </row>
    <row r="101" customFormat="false" ht="15" hidden="false" customHeight="false" outlineLevel="0" collapsed="false">
      <c r="A101" s="115" t="str">
        <f aca="false">IF($B101="","",الموظفون!$A101)</f>
        <v/>
      </c>
      <c r="B101" s="117" t="str">
        <f aca="false">IF(الموظفون!$B101="","",الموظفون!$B101)</f>
        <v/>
      </c>
      <c r="C101" s="117" t="str">
        <f aca="false">IF($B101="","",الموظفون!$C101)</f>
        <v/>
      </c>
      <c r="D101" s="117" t="str">
        <f aca="false">IF($B101="","",الموظفون!$F101)</f>
        <v/>
      </c>
      <c r="E101" s="117" t="str">
        <f aca="false">IF($B101="","",الموظفون!$E101)</f>
        <v/>
      </c>
      <c r="F101" s="117" t="str">
        <f aca="false">IF($B101="","",IF(AK101=0,IF(AND(الموظفون!$AE101&lt;&gt;"",الموظفون!$AE101&lt;$E$3),"✖ منتهي الخدمة","⏳ لم يباشر"),IF(S101&gt;0,"✈ راتب إجازة مقدم",IF(J101=0,"⛔ بدون راتب هذا الشهر",IF(I101&gt;0,"✈ خصم "&amp;ROUND(I101,2)&amp;" يوم بدون أجر",IF(AL101&gt;0,"🌴 إجازة سنوية "&amp;ROUND(AL101,2)&amp;" يوم",IF(H101&gt;0,"⚠ غياب "&amp;ROUND(H101,2)&amp;" يوم","✔ على رأس العمل")))))))</f>
        <v/>
      </c>
      <c r="G101" s="156" t="str">
        <f aca="false">IF($B101="","",IF(AK101&gt;=DAY($F$3),cfg_DAYS_M,MIN(AK101,cfg_DAYS_M)))</f>
        <v/>
      </c>
      <c r="H101" s="156" t="str">
        <f aca="false">IF($B101="","",SUMIFS('الحركات الشهرية'!$D$6:$D$1005,'الحركات الشهرية'!$B$6:$B$1005,$B101,'الحركات الشهرية'!$A$6:$A$1005,$C$3))</f>
        <v/>
      </c>
      <c r="I101" s="156" t="str">
        <f aca="false">IF($B101="","",MIN(G101,IF(AND(AK101&gt;0,AN101&gt;=AK101),G101,AN101)+SUMIFS('الحركات الشهرية'!$E$6:$E$1005,'الحركات الشهرية'!$B$6:$B$1005,$B101,'الحركات الشهرية'!$A$6:$A$1005,$C$3)))</f>
        <v/>
      </c>
      <c r="J101" s="156" t="str">
        <f aca="false">IF($B101="","",MAX(0,G101-H101-I101))</f>
        <v/>
      </c>
      <c r="K101" s="116" t="str">
        <f aca="false">IF($B101="","",الموظفون!$L101*$J101/cfg_DAYS_M)</f>
        <v/>
      </c>
      <c r="L101" s="116" t="str">
        <f aca="false">IF($B101="","",الموظفون!$M101*$J101/cfg_DAYS_M)</f>
        <v/>
      </c>
      <c r="M101" s="116" t="str">
        <f aca="false">IF($B101="","",الموظفون!$N101*$J101/cfg_DAYS_M)</f>
        <v/>
      </c>
      <c r="N101" s="116" t="str">
        <f aca="false">IF($B101="","",الموظفون!$O101*$J101/cfg_DAYS_M)</f>
        <v/>
      </c>
      <c r="O101" s="156" t="str">
        <f aca="false">IF($B101="","",SUMIFS('الحركات الشهرية'!$F$6:$F$1005,'الحركات الشهرية'!$B$6:$B$1005,$B101,'الحركات الشهرية'!$A$6:$A$1005,$C$3))</f>
        <v/>
      </c>
      <c r="P101" s="116" t="str">
        <f aca="false">IF($B101="","",O101*(الموظفون!$P101+الموظفون!$L101*cfg_OT_P)/cfg_DAYS_M/cfg_HRS)</f>
        <v/>
      </c>
      <c r="Q101" s="116" t="str">
        <f aca="false">IF($B101="","",SUMIFS('الحركات الشهرية'!$G$6:$G$1005,'الحركات الشهرية'!$B$6:$B$1005,$B101,'الحركات الشهرية'!$A$6:$A$1005,$C$3))</f>
        <v/>
      </c>
      <c r="R101" s="116" t="str">
        <f aca="false">IF($B101="","",SUMIFS('الحركات الشهرية'!$H$6:$H$1005,'الحركات الشهرية'!$B$6:$B$1005,$B101,'الحركات الشهرية'!$A$6:$A$1005,$C$3))</f>
        <v/>
      </c>
      <c r="S101" s="116" t="str">
        <f aca="false">IF($B101="","",SUMIFS('سجل الإجازات والحالات'!$N$6:$N$505,'سجل الإجازات والحالات'!$B$6:$B$505,$B101,'سجل الإجازات والحالات'!$O$6:$O$505,$C$3))</f>
        <v/>
      </c>
      <c r="T101" s="157" t="str">
        <f aca="false">IF($B101="","",SUM(K101:N101)+SUM(P101:S101))</f>
        <v/>
      </c>
      <c r="U101" s="116" t="str">
        <f aca="false">IF($B101="","",الموظفون!$S101*IF(E101="سعودي",cfg_G_SE,cfg_G_NE)*G101/cfg_DAYS_M)</f>
        <v/>
      </c>
      <c r="V101" s="116" t="str">
        <f aca="false">IF($B101="","",SUMIFS('الحركات الشهرية'!$I$6:$I$1005,'الحركات الشهرية'!$B$6:$B$1005,$B101,'الحركات الشهرية'!$A$6:$A$1005,$C$3))</f>
        <v/>
      </c>
      <c r="W101" s="116" t="str">
        <f aca="false">IF($B101="","",SUMIFS('الحركات الشهرية'!$J$6:$J$1005,'الحركات الشهرية'!$B$6:$B$1005,$B101,'الحركات الشهرية'!$A$6:$A$1005,$C$3))</f>
        <v/>
      </c>
      <c r="X101" s="116" t="str">
        <f aca="false">IF($B101="","",SUM(U101:W101))</f>
        <v/>
      </c>
      <c r="Y101" s="158" t="str">
        <f aca="false">IF($B101="","",T101-X101)</f>
        <v/>
      </c>
      <c r="Z101" s="116" t="str">
        <f aca="false">IF($B101="","",الموظفون!$S101*IF(E101="سعودي",cfg_G_SR,cfg_G_NR)*G101/cfg_DAYS_M)</f>
        <v/>
      </c>
      <c r="AA101" s="116" t="str">
        <f aca="false">IF($B101="","",الموظفون!$Q101*(cfg_EOS_R1*(MIN(AH101,cfg_EOS_TH)-MIN(AI101,cfg_EOS_TH))+cfg_EOS_R2*(MAX(AH101-cfg_EOS_TH,0)-MAX(AI101-cfg_EOS_TH,0))))</f>
        <v/>
      </c>
      <c r="AB101" s="116" t="str">
        <f aca="false">IF($B101="","",IF(الموظفون!$T101&lt;&gt;"",الموظفون!$T101,IF(AH101&gt;=cfg_LV_TH,cfg_LV_D2,cfg_LV_D1))/cfg_DAYS_Y*AJ101*الموظفون!$R101/cfg_DAYS_M)</f>
        <v/>
      </c>
      <c r="AC101" s="116" t="str">
        <f aca="false">IF($B101="","",IF(AND(الموظفون!$U101="نعم",N(الموظفون!$W101)&gt;0),الموظفون!$V101/الموظفون!$W101*12/cfg_DAYS_Y*AJ101,0))</f>
        <v/>
      </c>
      <c r="AD101" s="116" t="str">
        <f aca="false">IF($B101="","",(IF(الموظفون!$X101&lt;&gt;"",الموظفون!$X101,IF(الموظفون!$E101="غير سعودي",cfg_IQ,0))+IF(الموظفون!$Y101&lt;&gt;"",الموظفون!$Y101,IF(الموظفون!$E101="غير سعودي",cfg_WP,0)))/12*G101/cfg_DAYS_M)</f>
        <v/>
      </c>
      <c r="AE101" s="116" t="str">
        <f aca="false">IF($B101="","",IF(الموظفون!$Z101&lt;&gt;"",الموظفون!$Z101,cfg_MED)/12*G101/cfg_DAYS_M)</f>
        <v/>
      </c>
      <c r="AF101" s="116" t="str">
        <f aca="false">IF($B101="","",N(الموظفون!$AA101)/12*G101/cfg_DAYS_M)</f>
        <v/>
      </c>
      <c r="AG101" s="159" t="str">
        <f aca="false">IF($B101="","",T101+SUM(Z101:AF101))</f>
        <v/>
      </c>
      <c r="AH101" s="160" t="str">
        <f aca="false">IF($B101="","",MAX(0,IF(OR(الموظفون!$AE101="",الموظفون!$AE101&gt;$F$3),$F$3,الموظفون!$AE101)-الموظفون!$H101+1-SUMIFS('سجل الإجازات والحالات'!$AL$6:$AL$505,'سجل الإجازات والحالات'!$B$6:$B$505,$B101))/cfg_DAYS_Y)</f>
        <v/>
      </c>
      <c r="AI101" s="160" t="str">
        <f aca="false">IF($B101="","",MAX(0,IF(OR(الموظفون!$AE101="",الموظفون!$AE101&gt;($E$3-1)),($E$3-1),الموظفون!$AE101)-الموظفون!$H101+1-SUMIFS('سجل الإجازات والحالات'!$AK$6:$AK$505,'سجل الإجازات والحالات'!$B$6:$B$505,$B101))/cfg_DAYS_Y)</f>
        <v/>
      </c>
      <c r="AJ101" s="133" t="str">
        <f aca="false">IF($B101="","",MAX(0,AK101-(SUMIFS('سجل الإجازات والحالات'!$AL$6:$AL$505,'سجل الإجازات والحالات'!$B$6:$B$505,$B101)-SUMIFS('سجل الإجازات والحالات'!$AK$6:$AK$505,'سجل الإجازات والحالات'!$B$6:$B$505,$B101))))</f>
        <v/>
      </c>
      <c r="AK101" s="133" t="str">
        <f aca="false">IF($B101="","",MAX(0,IF(OR(الموظفون!$AE101="",الموظفون!$AE101&gt;$F$3),$F$3,الموظفون!$AE101)-MAX($E$3,الموظفون!$H101)+1))</f>
        <v/>
      </c>
      <c r="AL101" s="156" t="str">
        <f aca="false">IF($B101="","",SUMIFS('سجل الإجازات والحالات'!$AX$6:$AX$505,'سجل الإجازات والحالات'!$B$6:$B$505,$B101)+SUMIFS('الحركات الشهرية'!$K$6:$K$1005,'الحركات الشهرية'!$B$6:$B$1005,$B101,'الحركات الشهرية'!$A$6:$A$1005,$C$3))</f>
        <v/>
      </c>
      <c r="AM101" s="116" t="str">
        <f aca="false">IF($B101="","",AL101*الموظفون!$R101/cfg_DAYS_M+S101)</f>
        <v/>
      </c>
      <c r="AN101" s="156" t="str">
        <f aca="false">IF($B101="","",SUMIFS('سجل الإجازات والحالات'!$Z$6:$Z$505,'سجل الإجازات والحالات'!$B$6:$B$505,$B101))</f>
        <v/>
      </c>
    </row>
    <row r="102" customFormat="false" ht="15" hidden="false" customHeight="false" outlineLevel="0" collapsed="false">
      <c r="A102" s="106" t="str">
        <f aca="false">IF($B102="","",الموظفون!$A102)</f>
        <v/>
      </c>
      <c r="B102" s="114" t="str">
        <f aca="false">IF(الموظفون!$B102="","",الموظفون!$B102)</f>
        <v/>
      </c>
      <c r="C102" s="114" t="str">
        <f aca="false">IF($B102="","",الموظفون!$C102)</f>
        <v/>
      </c>
      <c r="D102" s="114" t="str">
        <f aca="false">IF($B102="","",الموظفون!$F102)</f>
        <v/>
      </c>
      <c r="E102" s="114" t="str">
        <f aca="false">IF($B102="","",الموظفون!$E102)</f>
        <v/>
      </c>
      <c r="F102" s="114" t="str">
        <f aca="false">IF($B102="","",IF(AK102=0,IF(AND(الموظفون!$AE102&lt;&gt;"",الموظفون!$AE102&lt;$E$3),"✖ منتهي الخدمة","⏳ لم يباشر"),IF(S102&gt;0,"✈ راتب إجازة مقدم",IF(J102=0,"⛔ بدون راتب هذا الشهر",IF(I102&gt;0,"✈ خصم "&amp;ROUND(I102,2)&amp;" يوم بدون أجر",IF(AL102&gt;0,"🌴 إجازة سنوية "&amp;ROUND(AL102,2)&amp;" يوم",IF(H102&gt;0,"⚠ غياب "&amp;ROUND(H102,2)&amp;" يوم","✔ على رأس العمل")))))))</f>
        <v/>
      </c>
      <c r="G102" s="151" t="str">
        <f aca="false">IF($B102="","",IF(AK102&gt;=DAY($F$3),cfg_DAYS_M,MIN(AK102,cfg_DAYS_M)))</f>
        <v/>
      </c>
      <c r="H102" s="151" t="str">
        <f aca="false">IF($B102="","",SUMIFS('الحركات الشهرية'!$D$6:$D$1005,'الحركات الشهرية'!$B$6:$B$1005,$B102,'الحركات الشهرية'!$A$6:$A$1005,$C$3))</f>
        <v/>
      </c>
      <c r="I102" s="151" t="str">
        <f aca="false">IF($B102="","",MIN(G102,IF(AND(AK102&gt;0,AN102&gt;=AK102),G102,AN102)+SUMIFS('الحركات الشهرية'!$E$6:$E$1005,'الحركات الشهرية'!$B$6:$B$1005,$B102,'الحركات الشهرية'!$A$6:$A$1005,$C$3)))</f>
        <v/>
      </c>
      <c r="J102" s="151" t="str">
        <f aca="false">IF($B102="","",MAX(0,G102-H102-I102))</f>
        <v/>
      </c>
      <c r="K102" s="111" t="str">
        <f aca="false">IF($B102="","",الموظفون!$L102*$J102/cfg_DAYS_M)</f>
        <v/>
      </c>
      <c r="L102" s="111" t="str">
        <f aca="false">IF($B102="","",الموظفون!$M102*$J102/cfg_DAYS_M)</f>
        <v/>
      </c>
      <c r="M102" s="111" t="str">
        <f aca="false">IF($B102="","",الموظفون!$N102*$J102/cfg_DAYS_M)</f>
        <v/>
      </c>
      <c r="N102" s="111" t="str">
        <f aca="false">IF($B102="","",الموظفون!$O102*$J102/cfg_DAYS_M)</f>
        <v/>
      </c>
      <c r="O102" s="151" t="str">
        <f aca="false">IF($B102="","",SUMIFS('الحركات الشهرية'!$F$6:$F$1005,'الحركات الشهرية'!$B$6:$B$1005,$B102,'الحركات الشهرية'!$A$6:$A$1005,$C$3))</f>
        <v/>
      </c>
      <c r="P102" s="111" t="str">
        <f aca="false">IF($B102="","",O102*(الموظفون!$P102+الموظفون!$L102*cfg_OT_P)/cfg_DAYS_M/cfg_HRS)</f>
        <v/>
      </c>
      <c r="Q102" s="111" t="str">
        <f aca="false">IF($B102="","",SUMIFS('الحركات الشهرية'!$G$6:$G$1005,'الحركات الشهرية'!$B$6:$B$1005,$B102,'الحركات الشهرية'!$A$6:$A$1005,$C$3))</f>
        <v/>
      </c>
      <c r="R102" s="111" t="str">
        <f aca="false">IF($B102="","",SUMIFS('الحركات الشهرية'!$H$6:$H$1005,'الحركات الشهرية'!$B$6:$B$1005,$B102,'الحركات الشهرية'!$A$6:$A$1005,$C$3))</f>
        <v/>
      </c>
      <c r="S102" s="111" t="str">
        <f aca="false">IF($B102="","",SUMIFS('سجل الإجازات والحالات'!$N$6:$N$505,'سجل الإجازات والحالات'!$B$6:$B$505,$B102,'سجل الإجازات والحالات'!$O$6:$O$505,$C$3))</f>
        <v/>
      </c>
      <c r="T102" s="152" t="str">
        <f aca="false">IF($B102="","",SUM(K102:N102)+SUM(P102:S102))</f>
        <v/>
      </c>
      <c r="U102" s="111" t="str">
        <f aca="false">IF($B102="","",الموظفون!$S102*IF(E102="سعودي",cfg_G_SE,cfg_G_NE)*G102/cfg_DAYS_M)</f>
        <v/>
      </c>
      <c r="V102" s="111" t="str">
        <f aca="false">IF($B102="","",SUMIFS('الحركات الشهرية'!$I$6:$I$1005,'الحركات الشهرية'!$B$6:$B$1005,$B102,'الحركات الشهرية'!$A$6:$A$1005,$C$3))</f>
        <v/>
      </c>
      <c r="W102" s="111" t="str">
        <f aca="false">IF($B102="","",SUMIFS('الحركات الشهرية'!$J$6:$J$1005,'الحركات الشهرية'!$B$6:$B$1005,$B102,'الحركات الشهرية'!$A$6:$A$1005,$C$3))</f>
        <v/>
      </c>
      <c r="X102" s="111" t="str">
        <f aca="false">IF($B102="","",SUM(U102:W102))</f>
        <v/>
      </c>
      <c r="Y102" s="153" t="str">
        <f aca="false">IF($B102="","",T102-X102)</f>
        <v/>
      </c>
      <c r="Z102" s="111" t="str">
        <f aca="false">IF($B102="","",الموظفون!$S102*IF(E102="سعودي",cfg_G_SR,cfg_G_NR)*G102/cfg_DAYS_M)</f>
        <v/>
      </c>
      <c r="AA102" s="111" t="str">
        <f aca="false">IF($B102="","",الموظفون!$Q102*(cfg_EOS_R1*(MIN(AH102,cfg_EOS_TH)-MIN(AI102,cfg_EOS_TH))+cfg_EOS_R2*(MAX(AH102-cfg_EOS_TH,0)-MAX(AI102-cfg_EOS_TH,0))))</f>
        <v/>
      </c>
      <c r="AB102" s="111" t="str">
        <f aca="false">IF($B102="","",IF(الموظفون!$T102&lt;&gt;"",الموظفون!$T102,IF(AH102&gt;=cfg_LV_TH,cfg_LV_D2,cfg_LV_D1))/cfg_DAYS_Y*AJ102*الموظفون!$R102/cfg_DAYS_M)</f>
        <v/>
      </c>
      <c r="AC102" s="111" t="str">
        <f aca="false">IF($B102="","",IF(AND(الموظفون!$U102="نعم",N(الموظفون!$W102)&gt;0),الموظفون!$V102/الموظفون!$W102*12/cfg_DAYS_Y*AJ102,0))</f>
        <v/>
      </c>
      <c r="AD102" s="111" t="str">
        <f aca="false">IF($B102="","",(IF(الموظفون!$X102&lt;&gt;"",الموظفون!$X102,IF(الموظفون!$E102="غير سعودي",cfg_IQ,0))+IF(الموظفون!$Y102&lt;&gt;"",الموظفون!$Y102,IF(الموظفون!$E102="غير سعودي",cfg_WP,0)))/12*G102/cfg_DAYS_M)</f>
        <v/>
      </c>
      <c r="AE102" s="111" t="str">
        <f aca="false">IF($B102="","",IF(الموظفون!$Z102&lt;&gt;"",الموظفون!$Z102,cfg_MED)/12*G102/cfg_DAYS_M)</f>
        <v/>
      </c>
      <c r="AF102" s="111" t="str">
        <f aca="false">IF($B102="","",N(الموظفون!$AA102)/12*G102/cfg_DAYS_M)</f>
        <v/>
      </c>
      <c r="AG102" s="154" t="str">
        <f aca="false">IF($B102="","",T102+SUM(Z102:AF102))</f>
        <v/>
      </c>
      <c r="AH102" s="155" t="str">
        <f aca="false">IF($B102="","",MAX(0,IF(OR(الموظفون!$AE102="",الموظفون!$AE102&gt;$F$3),$F$3,الموظفون!$AE102)-الموظفون!$H102+1-SUMIFS('سجل الإجازات والحالات'!$AL$6:$AL$505,'سجل الإجازات والحالات'!$B$6:$B$505,$B102))/cfg_DAYS_Y)</f>
        <v/>
      </c>
      <c r="AI102" s="155" t="str">
        <f aca="false">IF($B102="","",MAX(0,IF(OR(الموظفون!$AE102="",الموظفون!$AE102&gt;($E$3-1)),($E$3-1),الموظفون!$AE102)-الموظفون!$H102+1-SUMIFS('سجل الإجازات والحالات'!$AK$6:$AK$505,'سجل الإجازات والحالات'!$B$6:$B$505,$B102))/cfg_DAYS_Y)</f>
        <v/>
      </c>
      <c r="AJ102" s="65" t="str">
        <f aca="false">IF($B102="","",MAX(0,AK102-(SUMIFS('سجل الإجازات والحالات'!$AL$6:$AL$505,'سجل الإجازات والحالات'!$B$6:$B$505,$B102)-SUMIFS('سجل الإجازات والحالات'!$AK$6:$AK$505,'سجل الإجازات والحالات'!$B$6:$B$505,$B102))))</f>
        <v/>
      </c>
      <c r="AK102" s="65" t="str">
        <f aca="false">IF($B102="","",MAX(0,IF(OR(الموظفون!$AE102="",الموظفون!$AE102&gt;$F$3),$F$3,الموظفون!$AE102)-MAX($E$3,الموظفون!$H102)+1))</f>
        <v/>
      </c>
      <c r="AL102" s="151" t="str">
        <f aca="false">IF($B102="","",SUMIFS('سجل الإجازات والحالات'!$AX$6:$AX$505,'سجل الإجازات والحالات'!$B$6:$B$505,$B102)+SUMIFS('الحركات الشهرية'!$K$6:$K$1005,'الحركات الشهرية'!$B$6:$B$1005,$B102,'الحركات الشهرية'!$A$6:$A$1005,$C$3))</f>
        <v/>
      </c>
      <c r="AM102" s="111" t="str">
        <f aca="false">IF($B102="","",AL102*الموظفون!$R102/cfg_DAYS_M+S102)</f>
        <v/>
      </c>
      <c r="AN102" s="151" t="str">
        <f aca="false">IF($B102="","",SUMIFS('سجل الإجازات والحالات'!$Z$6:$Z$505,'سجل الإجازات والحالات'!$B$6:$B$505,$B102))</f>
        <v/>
      </c>
    </row>
    <row r="103" customFormat="false" ht="15" hidden="false" customHeight="false" outlineLevel="0" collapsed="false">
      <c r="A103" s="115" t="str">
        <f aca="false">IF($B103="","",الموظفون!$A103)</f>
        <v/>
      </c>
      <c r="B103" s="117" t="str">
        <f aca="false">IF(الموظفون!$B103="","",الموظفون!$B103)</f>
        <v/>
      </c>
      <c r="C103" s="117" t="str">
        <f aca="false">IF($B103="","",الموظفون!$C103)</f>
        <v/>
      </c>
      <c r="D103" s="117" t="str">
        <f aca="false">IF($B103="","",الموظفون!$F103)</f>
        <v/>
      </c>
      <c r="E103" s="117" t="str">
        <f aca="false">IF($B103="","",الموظفون!$E103)</f>
        <v/>
      </c>
      <c r="F103" s="117" t="str">
        <f aca="false">IF($B103="","",IF(AK103=0,IF(AND(الموظفون!$AE103&lt;&gt;"",الموظفون!$AE103&lt;$E$3),"✖ منتهي الخدمة","⏳ لم يباشر"),IF(S103&gt;0,"✈ راتب إجازة مقدم",IF(J103=0,"⛔ بدون راتب هذا الشهر",IF(I103&gt;0,"✈ خصم "&amp;ROUND(I103,2)&amp;" يوم بدون أجر",IF(AL103&gt;0,"🌴 إجازة سنوية "&amp;ROUND(AL103,2)&amp;" يوم",IF(H103&gt;0,"⚠ غياب "&amp;ROUND(H103,2)&amp;" يوم","✔ على رأس العمل")))))))</f>
        <v/>
      </c>
      <c r="G103" s="156" t="str">
        <f aca="false">IF($B103="","",IF(AK103&gt;=DAY($F$3),cfg_DAYS_M,MIN(AK103,cfg_DAYS_M)))</f>
        <v/>
      </c>
      <c r="H103" s="156" t="str">
        <f aca="false">IF($B103="","",SUMIFS('الحركات الشهرية'!$D$6:$D$1005,'الحركات الشهرية'!$B$6:$B$1005,$B103,'الحركات الشهرية'!$A$6:$A$1005,$C$3))</f>
        <v/>
      </c>
      <c r="I103" s="156" t="str">
        <f aca="false">IF($B103="","",MIN(G103,IF(AND(AK103&gt;0,AN103&gt;=AK103),G103,AN103)+SUMIFS('الحركات الشهرية'!$E$6:$E$1005,'الحركات الشهرية'!$B$6:$B$1005,$B103,'الحركات الشهرية'!$A$6:$A$1005,$C$3)))</f>
        <v/>
      </c>
      <c r="J103" s="156" t="str">
        <f aca="false">IF($B103="","",MAX(0,G103-H103-I103))</f>
        <v/>
      </c>
      <c r="K103" s="116" t="str">
        <f aca="false">IF($B103="","",الموظفون!$L103*$J103/cfg_DAYS_M)</f>
        <v/>
      </c>
      <c r="L103" s="116" t="str">
        <f aca="false">IF($B103="","",الموظفون!$M103*$J103/cfg_DAYS_M)</f>
        <v/>
      </c>
      <c r="M103" s="116" t="str">
        <f aca="false">IF($B103="","",الموظفون!$N103*$J103/cfg_DAYS_M)</f>
        <v/>
      </c>
      <c r="N103" s="116" t="str">
        <f aca="false">IF($B103="","",الموظفون!$O103*$J103/cfg_DAYS_M)</f>
        <v/>
      </c>
      <c r="O103" s="156" t="str">
        <f aca="false">IF($B103="","",SUMIFS('الحركات الشهرية'!$F$6:$F$1005,'الحركات الشهرية'!$B$6:$B$1005,$B103,'الحركات الشهرية'!$A$6:$A$1005,$C$3))</f>
        <v/>
      </c>
      <c r="P103" s="116" t="str">
        <f aca="false">IF($B103="","",O103*(الموظفون!$P103+الموظفون!$L103*cfg_OT_P)/cfg_DAYS_M/cfg_HRS)</f>
        <v/>
      </c>
      <c r="Q103" s="116" t="str">
        <f aca="false">IF($B103="","",SUMIFS('الحركات الشهرية'!$G$6:$G$1005,'الحركات الشهرية'!$B$6:$B$1005,$B103,'الحركات الشهرية'!$A$6:$A$1005,$C$3))</f>
        <v/>
      </c>
      <c r="R103" s="116" t="str">
        <f aca="false">IF($B103="","",SUMIFS('الحركات الشهرية'!$H$6:$H$1005,'الحركات الشهرية'!$B$6:$B$1005,$B103,'الحركات الشهرية'!$A$6:$A$1005,$C$3))</f>
        <v/>
      </c>
      <c r="S103" s="116" t="str">
        <f aca="false">IF($B103="","",SUMIFS('سجل الإجازات والحالات'!$N$6:$N$505,'سجل الإجازات والحالات'!$B$6:$B$505,$B103,'سجل الإجازات والحالات'!$O$6:$O$505,$C$3))</f>
        <v/>
      </c>
      <c r="T103" s="157" t="str">
        <f aca="false">IF($B103="","",SUM(K103:N103)+SUM(P103:S103))</f>
        <v/>
      </c>
      <c r="U103" s="116" t="str">
        <f aca="false">IF($B103="","",الموظفون!$S103*IF(E103="سعودي",cfg_G_SE,cfg_G_NE)*G103/cfg_DAYS_M)</f>
        <v/>
      </c>
      <c r="V103" s="116" t="str">
        <f aca="false">IF($B103="","",SUMIFS('الحركات الشهرية'!$I$6:$I$1005,'الحركات الشهرية'!$B$6:$B$1005,$B103,'الحركات الشهرية'!$A$6:$A$1005,$C$3))</f>
        <v/>
      </c>
      <c r="W103" s="116" t="str">
        <f aca="false">IF($B103="","",SUMIFS('الحركات الشهرية'!$J$6:$J$1005,'الحركات الشهرية'!$B$6:$B$1005,$B103,'الحركات الشهرية'!$A$6:$A$1005,$C$3))</f>
        <v/>
      </c>
      <c r="X103" s="116" t="str">
        <f aca="false">IF($B103="","",SUM(U103:W103))</f>
        <v/>
      </c>
      <c r="Y103" s="158" t="str">
        <f aca="false">IF($B103="","",T103-X103)</f>
        <v/>
      </c>
      <c r="Z103" s="116" t="str">
        <f aca="false">IF($B103="","",الموظفون!$S103*IF(E103="سعودي",cfg_G_SR,cfg_G_NR)*G103/cfg_DAYS_M)</f>
        <v/>
      </c>
      <c r="AA103" s="116" t="str">
        <f aca="false">IF($B103="","",الموظفون!$Q103*(cfg_EOS_R1*(MIN(AH103,cfg_EOS_TH)-MIN(AI103,cfg_EOS_TH))+cfg_EOS_R2*(MAX(AH103-cfg_EOS_TH,0)-MAX(AI103-cfg_EOS_TH,0))))</f>
        <v/>
      </c>
      <c r="AB103" s="116" t="str">
        <f aca="false">IF($B103="","",IF(الموظفون!$T103&lt;&gt;"",الموظفون!$T103,IF(AH103&gt;=cfg_LV_TH,cfg_LV_D2,cfg_LV_D1))/cfg_DAYS_Y*AJ103*الموظفون!$R103/cfg_DAYS_M)</f>
        <v/>
      </c>
      <c r="AC103" s="116" t="str">
        <f aca="false">IF($B103="","",IF(AND(الموظفون!$U103="نعم",N(الموظفون!$W103)&gt;0),الموظفون!$V103/الموظفون!$W103*12/cfg_DAYS_Y*AJ103,0))</f>
        <v/>
      </c>
      <c r="AD103" s="116" t="str">
        <f aca="false">IF($B103="","",(IF(الموظفون!$X103&lt;&gt;"",الموظفون!$X103,IF(الموظفون!$E103="غير سعودي",cfg_IQ,0))+IF(الموظفون!$Y103&lt;&gt;"",الموظفون!$Y103,IF(الموظفون!$E103="غير سعودي",cfg_WP,0)))/12*G103/cfg_DAYS_M)</f>
        <v/>
      </c>
      <c r="AE103" s="116" t="str">
        <f aca="false">IF($B103="","",IF(الموظفون!$Z103&lt;&gt;"",الموظفون!$Z103,cfg_MED)/12*G103/cfg_DAYS_M)</f>
        <v/>
      </c>
      <c r="AF103" s="116" t="str">
        <f aca="false">IF($B103="","",N(الموظفون!$AA103)/12*G103/cfg_DAYS_M)</f>
        <v/>
      </c>
      <c r="AG103" s="159" t="str">
        <f aca="false">IF($B103="","",T103+SUM(Z103:AF103))</f>
        <v/>
      </c>
      <c r="AH103" s="160" t="str">
        <f aca="false">IF($B103="","",MAX(0,IF(OR(الموظفون!$AE103="",الموظفون!$AE103&gt;$F$3),$F$3,الموظفون!$AE103)-الموظفون!$H103+1-SUMIFS('سجل الإجازات والحالات'!$AL$6:$AL$505,'سجل الإجازات والحالات'!$B$6:$B$505,$B103))/cfg_DAYS_Y)</f>
        <v/>
      </c>
      <c r="AI103" s="160" t="str">
        <f aca="false">IF($B103="","",MAX(0,IF(OR(الموظفون!$AE103="",الموظفون!$AE103&gt;($E$3-1)),($E$3-1),الموظفون!$AE103)-الموظفون!$H103+1-SUMIFS('سجل الإجازات والحالات'!$AK$6:$AK$505,'سجل الإجازات والحالات'!$B$6:$B$505,$B103))/cfg_DAYS_Y)</f>
        <v/>
      </c>
      <c r="AJ103" s="133" t="str">
        <f aca="false">IF($B103="","",MAX(0,AK103-(SUMIFS('سجل الإجازات والحالات'!$AL$6:$AL$505,'سجل الإجازات والحالات'!$B$6:$B$505,$B103)-SUMIFS('سجل الإجازات والحالات'!$AK$6:$AK$505,'سجل الإجازات والحالات'!$B$6:$B$505,$B103))))</f>
        <v/>
      </c>
      <c r="AK103" s="133" t="str">
        <f aca="false">IF($B103="","",MAX(0,IF(OR(الموظفون!$AE103="",الموظفون!$AE103&gt;$F$3),$F$3,الموظفون!$AE103)-MAX($E$3,الموظفون!$H103)+1))</f>
        <v/>
      </c>
      <c r="AL103" s="156" t="str">
        <f aca="false">IF($B103="","",SUMIFS('سجل الإجازات والحالات'!$AX$6:$AX$505,'سجل الإجازات والحالات'!$B$6:$B$505,$B103)+SUMIFS('الحركات الشهرية'!$K$6:$K$1005,'الحركات الشهرية'!$B$6:$B$1005,$B103,'الحركات الشهرية'!$A$6:$A$1005,$C$3))</f>
        <v/>
      </c>
      <c r="AM103" s="116" t="str">
        <f aca="false">IF($B103="","",AL103*الموظفون!$R103/cfg_DAYS_M+S103)</f>
        <v/>
      </c>
      <c r="AN103" s="156" t="str">
        <f aca="false">IF($B103="","",SUMIFS('سجل الإجازات والحالات'!$Z$6:$Z$505,'سجل الإجازات والحالات'!$B$6:$B$505,$B103))</f>
        <v/>
      </c>
    </row>
    <row r="104" customFormat="false" ht="15" hidden="false" customHeight="false" outlineLevel="0" collapsed="false">
      <c r="A104" s="106" t="str">
        <f aca="false">IF($B104="","",الموظفون!$A104)</f>
        <v/>
      </c>
      <c r="B104" s="114" t="str">
        <f aca="false">IF(الموظفون!$B104="","",الموظفون!$B104)</f>
        <v/>
      </c>
      <c r="C104" s="114" t="str">
        <f aca="false">IF($B104="","",الموظفون!$C104)</f>
        <v/>
      </c>
      <c r="D104" s="114" t="str">
        <f aca="false">IF($B104="","",الموظفون!$F104)</f>
        <v/>
      </c>
      <c r="E104" s="114" t="str">
        <f aca="false">IF($B104="","",الموظفون!$E104)</f>
        <v/>
      </c>
      <c r="F104" s="114" t="str">
        <f aca="false">IF($B104="","",IF(AK104=0,IF(AND(الموظفون!$AE104&lt;&gt;"",الموظفون!$AE104&lt;$E$3),"✖ منتهي الخدمة","⏳ لم يباشر"),IF(S104&gt;0,"✈ راتب إجازة مقدم",IF(J104=0,"⛔ بدون راتب هذا الشهر",IF(I104&gt;0,"✈ خصم "&amp;ROUND(I104,2)&amp;" يوم بدون أجر",IF(AL104&gt;0,"🌴 إجازة سنوية "&amp;ROUND(AL104,2)&amp;" يوم",IF(H104&gt;0,"⚠ غياب "&amp;ROUND(H104,2)&amp;" يوم","✔ على رأس العمل")))))))</f>
        <v/>
      </c>
      <c r="G104" s="151" t="str">
        <f aca="false">IF($B104="","",IF(AK104&gt;=DAY($F$3),cfg_DAYS_M,MIN(AK104,cfg_DAYS_M)))</f>
        <v/>
      </c>
      <c r="H104" s="151" t="str">
        <f aca="false">IF($B104="","",SUMIFS('الحركات الشهرية'!$D$6:$D$1005,'الحركات الشهرية'!$B$6:$B$1005,$B104,'الحركات الشهرية'!$A$6:$A$1005,$C$3))</f>
        <v/>
      </c>
      <c r="I104" s="151" t="str">
        <f aca="false">IF($B104="","",MIN(G104,IF(AND(AK104&gt;0,AN104&gt;=AK104),G104,AN104)+SUMIFS('الحركات الشهرية'!$E$6:$E$1005,'الحركات الشهرية'!$B$6:$B$1005,$B104,'الحركات الشهرية'!$A$6:$A$1005,$C$3)))</f>
        <v/>
      </c>
      <c r="J104" s="151" t="str">
        <f aca="false">IF($B104="","",MAX(0,G104-H104-I104))</f>
        <v/>
      </c>
      <c r="K104" s="111" t="str">
        <f aca="false">IF($B104="","",الموظفون!$L104*$J104/cfg_DAYS_M)</f>
        <v/>
      </c>
      <c r="L104" s="111" t="str">
        <f aca="false">IF($B104="","",الموظفون!$M104*$J104/cfg_DAYS_M)</f>
        <v/>
      </c>
      <c r="M104" s="111" t="str">
        <f aca="false">IF($B104="","",الموظفون!$N104*$J104/cfg_DAYS_M)</f>
        <v/>
      </c>
      <c r="N104" s="111" t="str">
        <f aca="false">IF($B104="","",الموظفون!$O104*$J104/cfg_DAYS_M)</f>
        <v/>
      </c>
      <c r="O104" s="151" t="str">
        <f aca="false">IF($B104="","",SUMIFS('الحركات الشهرية'!$F$6:$F$1005,'الحركات الشهرية'!$B$6:$B$1005,$B104,'الحركات الشهرية'!$A$6:$A$1005,$C$3))</f>
        <v/>
      </c>
      <c r="P104" s="111" t="str">
        <f aca="false">IF($B104="","",O104*(الموظفون!$P104+الموظفون!$L104*cfg_OT_P)/cfg_DAYS_M/cfg_HRS)</f>
        <v/>
      </c>
      <c r="Q104" s="111" t="str">
        <f aca="false">IF($B104="","",SUMIFS('الحركات الشهرية'!$G$6:$G$1005,'الحركات الشهرية'!$B$6:$B$1005,$B104,'الحركات الشهرية'!$A$6:$A$1005,$C$3))</f>
        <v/>
      </c>
      <c r="R104" s="111" t="str">
        <f aca="false">IF($B104="","",SUMIFS('الحركات الشهرية'!$H$6:$H$1005,'الحركات الشهرية'!$B$6:$B$1005,$B104,'الحركات الشهرية'!$A$6:$A$1005,$C$3))</f>
        <v/>
      </c>
      <c r="S104" s="111" t="str">
        <f aca="false">IF($B104="","",SUMIFS('سجل الإجازات والحالات'!$N$6:$N$505,'سجل الإجازات والحالات'!$B$6:$B$505,$B104,'سجل الإجازات والحالات'!$O$6:$O$505,$C$3))</f>
        <v/>
      </c>
      <c r="T104" s="152" t="str">
        <f aca="false">IF($B104="","",SUM(K104:N104)+SUM(P104:S104))</f>
        <v/>
      </c>
      <c r="U104" s="111" t="str">
        <f aca="false">IF($B104="","",الموظفون!$S104*IF(E104="سعودي",cfg_G_SE,cfg_G_NE)*G104/cfg_DAYS_M)</f>
        <v/>
      </c>
      <c r="V104" s="111" t="str">
        <f aca="false">IF($B104="","",SUMIFS('الحركات الشهرية'!$I$6:$I$1005,'الحركات الشهرية'!$B$6:$B$1005,$B104,'الحركات الشهرية'!$A$6:$A$1005,$C$3))</f>
        <v/>
      </c>
      <c r="W104" s="111" t="str">
        <f aca="false">IF($B104="","",SUMIFS('الحركات الشهرية'!$J$6:$J$1005,'الحركات الشهرية'!$B$6:$B$1005,$B104,'الحركات الشهرية'!$A$6:$A$1005,$C$3))</f>
        <v/>
      </c>
      <c r="X104" s="111" t="str">
        <f aca="false">IF($B104="","",SUM(U104:W104))</f>
        <v/>
      </c>
      <c r="Y104" s="153" t="str">
        <f aca="false">IF($B104="","",T104-X104)</f>
        <v/>
      </c>
      <c r="Z104" s="111" t="str">
        <f aca="false">IF($B104="","",الموظفون!$S104*IF(E104="سعودي",cfg_G_SR,cfg_G_NR)*G104/cfg_DAYS_M)</f>
        <v/>
      </c>
      <c r="AA104" s="111" t="str">
        <f aca="false">IF($B104="","",الموظفون!$Q104*(cfg_EOS_R1*(MIN(AH104,cfg_EOS_TH)-MIN(AI104,cfg_EOS_TH))+cfg_EOS_R2*(MAX(AH104-cfg_EOS_TH,0)-MAX(AI104-cfg_EOS_TH,0))))</f>
        <v/>
      </c>
      <c r="AB104" s="111" t="str">
        <f aca="false">IF($B104="","",IF(الموظفون!$T104&lt;&gt;"",الموظفون!$T104,IF(AH104&gt;=cfg_LV_TH,cfg_LV_D2,cfg_LV_D1))/cfg_DAYS_Y*AJ104*الموظفون!$R104/cfg_DAYS_M)</f>
        <v/>
      </c>
      <c r="AC104" s="111" t="str">
        <f aca="false">IF($B104="","",IF(AND(الموظفون!$U104="نعم",N(الموظفون!$W104)&gt;0),الموظفون!$V104/الموظفون!$W104*12/cfg_DAYS_Y*AJ104,0))</f>
        <v/>
      </c>
      <c r="AD104" s="111" t="str">
        <f aca="false">IF($B104="","",(IF(الموظفون!$X104&lt;&gt;"",الموظفون!$X104,IF(الموظفون!$E104="غير سعودي",cfg_IQ,0))+IF(الموظفون!$Y104&lt;&gt;"",الموظفون!$Y104,IF(الموظفون!$E104="غير سعودي",cfg_WP,0)))/12*G104/cfg_DAYS_M)</f>
        <v/>
      </c>
      <c r="AE104" s="111" t="str">
        <f aca="false">IF($B104="","",IF(الموظفون!$Z104&lt;&gt;"",الموظفون!$Z104,cfg_MED)/12*G104/cfg_DAYS_M)</f>
        <v/>
      </c>
      <c r="AF104" s="111" t="str">
        <f aca="false">IF($B104="","",N(الموظفون!$AA104)/12*G104/cfg_DAYS_M)</f>
        <v/>
      </c>
      <c r="AG104" s="154" t="str">
        <f aca="false">IF($B104="","",T104+SUM(Z104:AF104))</f>
        <v/>
      </c>
      <c r="AH104" s="155" t="str">
        <f aca="false">IF($B104="","",MAX(0,IF(OR(الموظفون!$AE104="",الموظفون!$AE104&gt;$F$3),$F$3,الموظفون!$AE104)-الموظفون!$H104+1-SUMIFS('سجل الإجازات والحالات'!$AL$6:$AL$505,'سجل الإجازات والحالات'!$B$6:$B$505,$B104))/cfg_DAYS_Y)</f>
        <v/>
      </c>
      <c r="AI104" s="155" t="str">
        <f aca="false">IF($B104="","",MAX(0,IF(OR(الموظفون!$AE104="",الموظفون!$AE104&gt;($E$3-1)),($E$3-1),الموظفون!$AE104)-الموظفون!$H104+1-SUMIFS('سجل الإجازات والحالات'!$AK$6:$AK$505,'سجل الإجازات والحالات'!$B$6:$B$505,$B104))/cfg_DAYS_Y)</f>
        <v/>
      </c>
      <c r="AJ104" s="65" t="str">
        <f aca="false">IF($B104="","",MAX(0,AK104-(SUMIFS('سجل الإجازات والحالات'!$AL$6:$AL$505,'سجل الإجازات والحالات'!$B$6:$B$505,$B104)-SUMIFS('سجل الإجازات والحالات'!$AK$6:$AK$505,'سجل الإجازات والحالات'!$B$6:$B$505,$B104))))</f>
        <v/>
      </c>
      <c r="AK104" s="65" t="str">
        <f aca="false">IF($B104="","",MAX(0,IF(OR(الموظفون!$AE104="",الموظفون!$AE104&gt;$F$3),$F$3,الموظفون!$AE104)-MAX($E$3,الموظفون!$H104)+1))</f>
        <v/>
      </c>
      <c r="AL104" s="151" t="str">
        <f aca="false">IF($B104="","",SUMIFS('سجل الإجازات والحالات'!$AX$6:$AX$505,'سجل الإجازات والحالات'!$B$6:$B$505,$B104)+SUMIFS('الحركات الشهرية'!$K$6:$K$1005,'الحركات الشهرية'!$B$6:$B$1005,$B104,'الحركات الشهرية'!$A$6:$A$1005,$C$3))</f>
        <v/>
      </c>
      <c r="AM104" s="111" t="str">
        <f aca="false">IF($B104="","",AL104*الموظفون!$R104/cfg_DAYS_M+S104)</f>
        <v/>
      </c>
      <c r="AN104" s="151" t="str">
        <f aca="false">IF($B104="","",SUMIFS('سجل الإجازات والحالات'!$Z$6:$Z$505,'سجل الإجازات والحالات'!$B$6:$B$505,$B104))</f>
        <v/>
      </c>
    </row>
    <row r="105" customFormat="false" ht="15" hidden="false" customHeight="false" outlineLevel="0" collapsed="false">
      <c r="A105" s="115" t="str">
        <f aca="false">IF($B105="","",الموظفون!$A105)</f>
        <v/>
      </c>
      <c r="B105" s="117" t="str">
        <f aca="false">IF(الموظفون!$B105="","",الموظفون!$B105)</f>
        <v/>
      </c>
      <c r="C105" s="117" t="str">
        <f aca="false">IF($B105="","",الموظفون!$C105)</f>
        <v/>
      </c>
      <c r="D105" s="117" t="str">
        <f aca="false">IF($B105="","",الموظفون!$F105)</f>
        <v/>
      </c>
      <c r="E105" s="117" t="str">
        <f aca="false">IF($B105="","",الموظفون!$E105)</f>
        <v/>
      </c>
      <c r="F105" s="117" t="str">
        <f aca="false">IF($B105="","",IF(AK105=0,IF(AND(الموظفون!$AE105&lt;&gt;"",الموظفون!$AE105&lt;$E$3),"✖ منتهي الخدمة","⏳ لم يباشر"),IF(S105&gt;0,"✈ راتب إجازة مقدم",IF(J105=0,"⛔ بدون راتب هذا الشهر",IF(I105&gt;0,"✈ خصم "&amp;ROUND(I105,2)&amp;" يوم بدون أجر",IF(AL105&gt;0,"🌴 إجازة سنوية "&amp;ROUND(AL105,2)&amp;" يوم",IF(H105&gt;0,"⚠ غياب "&amp;ROUND(H105,2)&amp;" يوم","✔ على رأس العمل")))))))</f>
        <v/>
      </c>
      <c r="G105" s="156" t="str">
        <f aca="false">IF($B105="","",IF(AK105&gt;=DAY($F$3),cfg_DAYS_M,MIN(AK105,cfg_DAYS_M)))</f>
        <v/>
      </c>
      <c r="H105" s="156" t="str">
        <f aca="false">IF($B105="","",SUMIFS('الحركات الشهرية'!$D$6:$D$1005,'الحركات الشهرية'!$B$6:$B$1005,$B105,'الحركات الشهرية'!$A$6:$A$1005,$C$3))</f>
        <v/>
      </c>
      <c r="I105" s="156" t="str">
        <f aca="false">IF($B105="","",MIN(G105,IF(AND(AK105&gt;0,AN105&gt;=AK105),G105,AN105)+SUMIFS('الحركات الشهرية'!$E$6:$E$1005,'الحركات الشهرية'!$B$6:$B$1005,$B105,'الحركات الشهرية'!$A$6:$A$1005,$C$3)))</f>
        <v/>
      </c>
      <c r="J105" s="156" t="str">
        <f aca="false">IF($B105="","",MAX(0,G105-H105-I105))</f>
        <v/>
      </c>
      <c r="K105" s="116" t="str">
        <f aca="false">IF($B105="","",الموظفون!$L105*$J105/cfg_DAYS_M)</f>
        <v/>
      </c>
      <c r="L105" s="116" t="str">
        <f aca="false">IF($B105="","",الموظفون!$M105*$J105/cfg_DAYS_M)</f>
        <v/>
      </c>
      <c r="M105" s="116" t="str">
        <f aca="false">IF($B105="","",الموظفون!$N105*$J105/cfg_DAYS_M)</f>
        <v/>
      </c>
      <c r="N105" s="116" t="str">
        <f aca="false">IF($B105="","",الموظفون!$O105*$J105/cfg_DAYS_M)</f>
        <v/>
      </c>
      <c r="O105" s="156" t="str">
        <f aca="false">IF($B105="","",SUMIFS('الحركات الشهرية'!$F$6:$F$1005,'الحركات الشهرية'!$B$6:$B$1005,$B105,'الحركات الشهرية'!$A$6:$A$1005,$C$3))</f>
        <v/>
      </c>
      <c r="P105" s="116" t="str">
        <f aca="false">IF($B105="","",O105*(الموظفون!$P105+الموظفون!$L105*cfg_OT_P)/cfg_DAYS_M/cfg_HRS)</f>
        <v/>
      </c>
      <c r="Q105" s="116" t="str">
        <f aca="false">IF($B105="","",SUMIFS('الحركات الشهرية'!$G$6:$G$1005,'الحركات الشهرية'!$B$6:$B$1005,$B105,'الحركات الشهرية'!$A$6:$A$1005,$C$3))</f>
        <v/>
      </c>
      <c r="R105" s="116" t="str">
        <f aca="false">IF($B105="","",SUMIFS('الحركات الشهرية'!$H$6:$H$1005,'الحركات الشهرية'!$B$6:$B$1005,$B105,'الحركات الشهرية'!$A$6:$A$1005,$C$3))</f>
        <v/>
      </c>
      <c r="S105" s="116" t="str">
        <f aca="false">IF($B105="","",SUMIFS('سجل الإجازات والحالات'!$N$6:$N$505,'سجل الإجازات والحالات'!$B$6:$B$505,$B105,'سجل الإجازات والحالات'!$O$6:$O$505,$C$3))</f>
        <v/>
      </c>
      <c r="T105" s="157" t="str">
        <f aca="false">IF($B105="","",SUM(K105:N105)+SUM(P105:S105))</f>
        <v/>
      </c>
      <c r="U105" s="116" t="str">
        <f aca="false">IF($B105="","",الموظفون!$S105*IF(E105="سعودي",cfg_G_SE,cfg_G_NE)*G105/cfg_DAYS_M)</f>
        <v/>
      </c>
      <c r="V105" s="116" t="str">
        <f aca="false">IF($B105="","",SUMIFS('الحركات الشهرية'!$I$6:$I$1005,'الحركات الشهرية'!$B$6:$B$1005,$B105,'الحركات الشهرية'!$A$6:$A$1005,$C$3))</f>
        <v/>
      </c>
      <c r="W105" s="116" t="str">
        <f aca="false">IF($B105="","",SUMIFS('الحركات الشهرية'!$J$6:$J$1005,'الحركات الشهرية'!$B$6:$B$1005,$B105,'الحركات الشهرية'!$A$6:$A$1005,$C$3))</f>
        <v/>
      </c>
      <c r="X105" s="116" t="str">
        <f aca="false">IF($B105="","",SUM(U105:W105))</f>
        <v/>
      </c>
      <c r="Y105" s="158" t="str">
        <f aca="false">IF($B105="","",T105-X105)</f>
        <v/>
      </c>
      <c r="Z105" s="116" t="str">
        <f aca="false">IF($B105="","",الموظفون!$S105*IF(E105="سعودي",cfg_G_SR,cfg_G_NR)*G105/cfg_DAYS_M)</f>
        <v/>
      </c>
      <c r="AA105" s="116" t="str">
        <f aca="false">IF($B105="","",الموظفون!$Q105*(cfg_EOS_R1*(MIN(AH105,cfg_EOS_TH)-MIN(AI105,cfg_EOS_TH))+cfg_EOS_R2*(MAX(AH105-cfg_EOS_TH,0)-MAX(AI105-cfg_EOS_TH,0))))</f>
        <v/>
      </c>
      <c r="AB105" s="116" t="str">
        <f aca="false">IF($B105="","",IF(الموظفون!$T105&lt;&gt;"",الموظفون!$T105,IF(AH105&gt;=cfg_LV_TH,cfg_LV_D2,cfg_LV_D1))/cfg_DAYS_Y*AJ105*الموظفون!$R105/cfg_DAYS_M)</f>
        <v/>
      </c>
      <c r="AC105" s="116" t="str">
        <f aca="false">IF($B105="","",IF(AND(الموظفون!$U105="نعم",N(الموظفون!$W105)&gt;0),الموظفون!$V105/الموظفون!$W105*12/cfg_DAYS_Y*AJ105,0))</f>
        <v/>
      </c>
      <c r="AD105" s="116" t="str">
        <f aca="false">IF($B105="","",(IF(الموظفون!$X105&lt;&gt;"",الموظفون!$X105,IF(الموظفون!$E105="غير سعودي",cfg_IQ,0))+IF(الموظفون!$Y105&lt;&gt;"",الموظفون!$Y105,IF(الموظفون!$E105="غير سعودي",cfg_WP,0)))/12*G105/cfg_DAYS_M)</f>
        <v/>
      </c>
      <c r="AE105" s="116" t="str">
        <f aca="false">IF($B105="","",IF(الموظفون!$Z105&lt;&gt;"",الموظفون!$Z105,cfg_MED)/12*G105/cfg_DAYS_M)</f>
        <v/>
      </c>
      <c r="AF105" s="116" t="str">
        <f aca="false">IF($B105="","",N(الموظفون!$AA105)/12*G105/cfg_DAYS_M)</f>
        <v/>
      </c>
      <c r="AG105" s="159" t="str">
        <f aca="false">IF($B105="","",T105+SUM(Z105:AF105))</f>
        <v/>
      </c>
      <c r="AH105" s="160" t="str">
        <f aca="false">IF($B105="","",MAX(0,IF(OR(الموظفون!$AE105="",الموظفون!$AE105&gt;$F$3),$F$3,الموظفون!$AE105)-الموظفون!$H105+1-SUMIFS('سجل الإجازات والحالات'!$AL$6:$AL$505,'سجل الإجازات والحالات'!$B$6:$B$505,$B105))/cfg_DAYS_Y)</f>
        <v/>
      </c>
      <c r="AI105" s="160" t="str">
        <f aca="false">IF($B105="","",MAX(0,IF(OR(الموظفون!$AE105="",الموظفون!$AE105&gt;($E$3-1)),($E$3-1),الموظفون!$AE105)-الموظفون!$H105+1-SUMIFS('سجل الإجازات والحالات'!$AK$6:$AK$505,'سجل الإجازات والحالات'!$B$6:$B$505,$B105))/cfg_DAYS_Y)</f>
        <v/>
      </c>
      <c r="AJ105" s="133" t="str">
        <f aca="false">IF($B105="","",MAX(0,AK105-(SUMIFS('سجل الإجازات والحالات'!$AL$6:$AL$505,'سجل الإجازات والحالات'!$B$6:$B$505,$B105)-SUMIFS('سجل الإجازات والحالات'!$AK$6:$AK$505,'سجل الإجازات والحالات'!$B$6:$B$505,$B105))))</f>
        <v/>
      </c>
      <c r="AK105" s="133" t="str">
        <f aca="false">IF($B105="","",MAX(0,IF(OR(الموظفون!$AE105="",الموظفون!$AE105&gt;$F$3),$F$3,الموظفون!$AE105)-MAX($E$3,الموظفون!$H105)+1))</f>
        <v/>
      </c>
      <c r="AL105" s="156" t="str">
        <f aca="false">IF($B105="","",SUMIFS('سجل الإجازات والحالات'!$AX$6:$AX$505,'سجل الإجازات والحالات'!$B$6:$B$505,$B105)+SUMIFS('الحركات الشهرية'!$K$6:$K$1005,'الحركات الشهرية'!$B$6:$B$1005,$B105,'الحركات الشهرية'!$A$6:$A$1005,$C$3))</f>
        <v/>
      </c>
      <c r="AM105" s="116" t="str">
        <f aca="false">IF($B105="","",AL105*الموظفون!$R105/cfg_DAYS_M+S105)</f>
        <v/>
      </c>
      <c r="AN105" s="156" t="str">
        <f aca="false">IF($B105="","",SUMIFS('سجل الإجازات والحالات'!$Z$6:$Z$505,'سجل الإجازات والحالات'!$B$6:$B$505,$B105))</f>
        <v/>
      </c>
    </row>
    <row r="106" customFormat="false" ht="24" hidden="false" customHeight="true" outlineLevel="0" collapsed="false">
      <c r="A106" s="124"/>
      <c r="B106" s="125" t="str">
        <f aca="false">COUNTIF(G6:G105,"&gt;0")&amp;" موظف"</f>
        <v>12 موظف</v>
      </c>
      <c r="C106" s="124" t="s">
        <v>161</v>
      </c>
      <c r="D106" s="124"/>
      <c r="E106" s="124"/>
      <c r="F106" s="125" t="str">
        <f aca="false">COUNTIFS(G6:G105,"&gt;0",J6:J105,0)&amp;" بدون راتب"</f>
        <v>0 بدون راتب</v>
      </c>
      <c r="G106" s="124"/>
      <c r="H106" s="161" t="n">
        <f aca="false">SUM(H6:H105)</f>
        <v>0</v>
      </c>
      <c r="I106" s="161" t="n">
        <f aca="false">SUM(I6:I105)</f>
        <v>0</v>
      </c>
      <c r="J106" s="161" t="n">
        <f aca="false">SUM(J6:J105)</f>
        <v>360</v>
      </c>
      <c r="K106" s="125" t="n">
        <f aca="false">SUM(K6:K105)</f>
        <v>141500</v>
      </c>
      <c r="L106" s="125" t="n">
        <f aca="false">SUM(L6:L105)</f>
        <v>35375</v>
      </c>
      <c r="M106" s="125" t="n">
        <f aca="false">SUM(M6:M105)</f>
        <v>14150</v>
      </c>
      <c r="N106" s="125" t="n">
        <f aca="false">SUM(N6:N105)</f>
        <v>10300</v>
      </c>
      <c r="O106" s="161" t="n">
        <f aca="false">SUM(O6:O105)</f>
        <v>16</v>
      </c>
      <c r="P106" s="125" t="n">
        <f aca="false">SUM(P6:P105)</f>
        <v>1156.66666666667</v>
      </c>
      <c r="Q106" s="125" t="n">
        <f aca="false">SUM(Q6:Q105)</f>
        <v>0</v>
      </c>
      <c r="R106" s="125" t="n">
        <f aca="false">SUM(R6:R105)</f>
        <v>0</v>
      </c>
      <c r="S106" s="125" t="n">
        <f aca="false">SUM(S6:S105)</f>
        <v>0</v>
      </c>
      <c r="T106" s="125" t="n">
        <f aca="false">SUM(T6:T105)</f>
        <v>202481.666666667</v>
      </c>
      <c r="U106" s="125" t="n">
        <f aca="false">SUM(U6:U105)</f>
        <v>12370.3125</v>
      </c>
      <c r="V106" s="125" t="n">
        <f aca="false">SUM(V6:V105)</f>
        <v>1000</v>
      </c>
      <c r="W106" s="125" t="n">
        <f aca="false">SUM(W6:W105)</f>
        <v>0</v>
      </c>
      <c r="X106" s="125" t="n">
        <f aca="false">SUM(X6:X105)</f>
        <v>13370.3125</v>
      </c>
      <c r="Y106" s="125" t="n">
        <f aca="false">SUM(Y6:Y105)</f>
        <v>189111.354166667</v>
      </c>
      <c r="Z106" s="125" t="n">
        <f aca="false">SUM(Z6:Z105)</f>
        <v>15907.8125</v>
      </c>
      <c r="AA106" s="125" t="n">
        <f aca="false">SUM(AA6:AA105)</f>
        <v>14590.1712328767</v>
      </c>
      <c r="AB106" s="125" t="n">
        <f aca="false">SUM(AB6:AB105)</f>
        <v>15243.7191780822</v>
      </c>
      <c r="AC106" s="125" t="n">
        <f aca="false">SUM(AC6:AC105)</f>
        <v>959.72602739726</v>
      </c>
      <c r="AD106" s="125" t="n">
        <f aca="false">SUM(AD6:AD105)</f>
        <v>4270.83333333333</v>
      </c>
      <c r="AE106" s="125" t="n">
        <f aca="false">SUM(AE6:AE105)</f>
        <v>2800</v>
      </c>
      <c r="AF106" s="125" t="n">
        <f aca="false">SUM(AF6:AF105)</f>
        <v>400</v>
      </c>
      <c r="AG106" s="125" t="n">
        <f aca="false">SUM(AG6:AG105)</f>
        <v>256653.928938356</v>
      </c>
      <c r="AH106" s="124"/>
      <c r="AI106" s="124"/>
      <c r="AJ106" s="124"/>
      <c r="AK106" s="124"/>
      <c r="AL106" s="161" t="n">
        <f aca="false">SUM(AL6:AL105)</f>
        <v>0</v>
      </c>
      <c r="AM106" s="125" t="n">
        <f aca="false">SUM(AM6:AM105)</f>
        <v>0</v>
      </c>
      <c r="AN106" s="124"/>
    </row>
    <row r="107" customFormat="false" ht="48" hidden="false" customHeight="true" outlineLevel="0" collapsed="false">
      <c r="A107" s="24" t="s">
        <v>505</v>
      </c>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row>
  </sheetData>
  <sheetProtection sheet="true" password="ffa5" objects="true" scenarios="true"/>
  <autoFilter ref="A5:AN105"/>
  <mergeCells count="6">
    <mergeCell ref="A1:AG1"/>
    <mergeCell ref="A2:AG2"/>
    <mergeCell ref="G3:H3"/>
    <mergeCell ref="J3:K3"/>
    <mergeCell ref="L3:M3"/>
    <mergeCell ref="A107:AN107"/>
  </mergeCells>
  <conditionalFormatting sqref="G3">
    <cfRule type="expression" priority="2" aboveAverage="0" equalAverage="0" bottom="0" percent="0" rank="0" text="" dxfId="0">
      <formula>ISNUMBER(SEARCH("✔",G3))</formula>
    </cfRule>
    <cfRule type="expression" priority="3" aboveAverage="0" equalAverage="0" bottom="0" percent="0" rank="0" text="" dxfId="1">
      <formula>ISNUMBER(SEARCH("✖",G3))</formula>
    </cfRule>
    <cfRule type="expression" priority="4" aboveAverage="0" equalAverage="0" bottom="0" percent="0" rank="0" text="" dxfId="2">
      <formula>ISNUMBER(SEARCH("⚠",G3))</formula>
    </cfRule>
    <cfRule type="expression" priority="5" aboveAverage="0" equalAverage="0" bottom="0" percent="0" rank="0" text="" dxfId="3">
      <formula>ISNUMBER(SEARCH("✈",G3))</formula>
    </cfRule>
    <cfRule type="expression" priority="6" aboveAverage="0" equalAverage="0" bottom="0" percent="0" rank="0" text="" dxfId="1">
      <formula>ISNUMBER(SEARCH("⛔",G3))</formula>
    </cfRule>
    <cfRule type="expression" priority="7" aboveAverage="0" equalAverage="0" bottom="0" percent="0" rank="0" text="" dxfId="0">
      <formula>ISNUMBER(SEARCH("🌴",G3))</formula>
    </cfRule>
    <cfRule type="expression" priority="8" aboveAverage="0" equalAverage="0" bottom="0" percent="0" rank="0" text="" dxfId="4">
      <formula>ISNUMBER(SEARCH("⏳",G3))</formula>
    </cfRule>
  </conditionalFormatting>
  <conditionalFormatting sqref="F6:F105">
    <cfRule type="expression" priority="9" aboveAverage="0" equalAverage="0" bottom="0" percent="0" rank="0" text="" dxfId="0">
      <formula>ISNUMBER(SEARCH("✔",F6))</formula>
    </cfRule>
    <cfRule type="expression" priority="10" aboveAverage="0" equalAverage="0" bottom="0" percent="0" rank="0" text="" dxfId="1">
      <formula>ISNUMBER(SEARCH("✖",F6))</formula>
    </cfRule>
    <cfRule type="expression" priority="11" aboveAverage="0" equalAverage="0" bottom="0" percent="0" rank="0" text="" dxfId="2">
      <formula>ISNUMBER(SEARCH("⚠",F6))</formula>
    </cfRule>
    <cfRule type="expression" priority="12" aboveAverage="0" equalAverage="0" bottom="0" percent="0" rank="0" text="" dxfId="3">
      <formula>ISNUMBER(SEARCH("✈",F6))</formula>
    </cfRule>
    <cfRule type="expression" priority="13" aboveAverage="0" equalAverage="0" bottom="0" percent="0" rank="0" text="" dxfId="1">
      <formula>ISNUMBER(SEARCH("⛔",F6))</formula>
    </cfRule>
    <cfRule type="expression" priority="14" aboveAverage="0" equalAverage="0" bottom="0" percent="0" rank="0" text="" dxfId="0">
      <formula>ISNUMBER(SEARCH("🌴",F6))</formula>
    </cfRule>
    <cfRule type="expression" priority="15" aboveAverage="0" equalAverage="0" bottom="0" percent="0" rank="0" text="" dxfId="4">
      <formula>ISNUMBER(SEARCH("⏳",F6))</formula>
    </cfRule>
  </conditionalFormatting>
  <conditionalFormatting sqref="G6:AN105">
    <cfRule type="expression" priority="16" aboveAverage="0" equalAverage="0" bottom="0" percent="0" rank="0" text="" dxfId="31">
      <formula>AND($B6&lt;&gt;"",$J6=0)</formula>
    </cfRule>
  </conditionalFormatting>
  <conditionalFormatting sqref="Y6:Y105">
    <cfRule type="expression" priority="17" aboveAverage="0" equalAverage="0" bottom="0" percent="0" rank="0" text="" dxfId="1">
      <formula>AND(ISNUMBER(Y6),Y6&lt;0)</formula>
    </cfRule>
  </conditionalFormatting>
  <hyperlinks>
    <hyperlink ref="A2" r:id="rId1" display="https://accopro.net/"/>
    <hyperlink ref="J3" location="'مسير أبريل'!A1" display="◀ الشهر السابق"/>
    <hyperlink ref="L3" location="'مسير يونيو'!A1" display="الشهر التالي ▶"/>
    <hyperlink ref="O3" location="'الرئيسية'!A1" display="🏠 الرئيسية"/>
    <hyperlink ref="P3" location="'لوحة التحكم'!A1" display="📊 لوحة التحكم"/>
    <hyperlink ref="R3" location="'الموظفون'!A1" display="👥 الموظفون"/>
    <hyperlink ref="S3" location="'سجل الإجازات والحالات'!A1" display="🌴 سجل الإجازات"/>
    <hyperlink ref="U3" location="'الحركات الشهرية'!A1" display="✍ الحركات"/>
    <hyperlink ref="W3" location="'الملخص الشهري'!A1" display="📅 الملخص الشهري"/>
    <hyperlink ref="Y3" location="'قيود الرواتب'!A1" display="🧾 القيود"/>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&amp;Cنسخة تجريبية — النسخة الكاملة: accopro.net</oddHeader>
    <oddFooter>&amp;CAccoPro — https://accopro.net</oddFooter>
  </headerFooter>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N107"/>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24"/>
    <col collapsed="false" customWidth="true" hidden="false" outlineLevel="0" max="4" min="4" style="0" width="14"/>
    <col collapsed="false" customWidth="true" hidden="false" outlineLevel="0" max="5" min="5" style="0" width="10"/>
    <col collapsed="false" customWidth="true" hidden="false" outlineLevel="0" max="6" min="6" style="0" width="20"/>
    <col collapsed="false" customWidth="true" hidden="false" outlineLevel="0" max="8" min="7" style="0" width="8"/>
    <col collapsed="false" customWidth="true" hidden="false" outlineLevel="0" max="9" min="9" style="0" width="9"/>
    <col collapsed="false" customWidth="true" hidden="false" outlineLevel="0" max="10" min="10" style="0" width="8"/>
    <col collapsed="false" customWidth="true" hidden="false" outlineLevel="0" max="11" min="11" style="0" width="12"/>
    <col collapsed="false" customWidth="true" hidden="false" outlineLevel="0" max="12" min="12" style="0" width="11"/>
    <col collapsed="false" customWidth="true" hidden="false" outlineLevel="0" max="14" min="13" style="0" width="10"/>
    <col collapsed="false" customWidth="true" hidden="false" outlineLevel="0" max="15" min="15" style="0" width="7"/>
    <col collapsed="false" customWidth="true" hidden="false" outlineLevel="0" max="19" min="16" style="0" width="11"/>
    <col collapsed="false" customWidth="true" hidden="false" outlineLevel="0" max="20" min="20" style="0" width="13"/>
    <col collapsed="false" customWidth="true" hidden="false" outlineLevel="0" max="21" min="21" style="0" width="11"/>
    <col collapsed="false" customWidth="true" hidden="false" outlineLevel="0" max="23" min="22" style="0" width="10"/>
    <col collapsed="false" customWidth="true" hidden="false" outlineLevel="0" max="24" min="24" style="0" width="12"/>
    <col collapsed="false" customWidth="true" hidden="false" outlineLevel="0" max="25" min="25" style="0" width="13"/>
    <col collapsed="false" customWidth="true" hidden="false" outlineLevel="0" max="26" min="26" style="0" width="11"/>
    <col collapsed="false" customWidth="true" hidden="false" outlineLevel="0" max="27" min="27" style="0" width="12"/>
    <col collapsed="false" customWidth="true" hidden="false" outlineLevel="0" max="29" min="28" style="0" width="11"/>
    <col collapsed="false" customWidth="true" hidden="false" outlineLevel="0" max="30" min="30" style="0" width="12"/>
    <col collapsed="false" customWidth="true" hidden="false" outlineLevel="0" max="31" min="31" style="0" width="11"/>
    <col collapsed="false" customWidth="true" hidden="false" outlineLevel="0" max="32" min="32" style="0" width="10"/>
    <col collapsed="false" customWidth="true" hidden="false" outlineLevel="0" max="33" min="33" style="0" width="14"/>
    <col collapsed="false" customWidth="true" hidden="true" outlineLevel="0" max="38" min="34" style="0" width="9"/>
    <col collapsed="false" customWidth="true" hidden="true" outlineLevel="0" max="39" min="39" style="0" width="11"/>
    <col collapsed="false" customWidth="true" hidden="true" outlineLevel="0" max="40" min="40" style="0" width="9"/>
  </cols>
  <sheetData>
    <row r="1" customFormat="false" ht="37.5" hidden="false" customHeight="true" outlineLevel="0" collapsed="false">
      <c r="A1" s="136" t="str">
        <f aca="false">"💵 مسير رواتب شهر يونيو "&amp;cfg_FY&amp;"   🔒 نسخة تجريبية"</f>
        <v>💵 مسير رواتب شهر يونيو 2026   🔒 نسخة تجريبية</v>
      </c>
      <c r="B1" s="136"/>
      <c r="C1" s="136"/>
      <c r="D1" s="136"/>
      <c r="E1" s="136"/>
      <c r="F1" s="136"/>
      <c r="G1" s="136"/>
      <c r="H1" s="136"/>
      <c r="I1" s="136"/>
      <c r="J1" s="136"/>
      <c r="K1" s="136"/>
      <c r="L1" s="136"/>
      <c r="M1" s="136"/>
      <c r="N1" s="136"/>
      <c r="O1" s="136"/>
      <c r="P1" s="136"/>
      <c r="Q1" s="136"/>
      <c r="R1" s="136"/>
      <c r="S1" s="136"/>
      <c r="T1" s="136"/>
      <c r="U1" s="136"/>
      <c r="V1" s="136"/>
      <c r="W1" s="136"/>
      <c r="X1" s="136"/>
      <c r="Y1" s="136"/>
      <c r="Z1" s="136"/>
      <c r="AA1" s="136"/>
      <c r="AB1" s="136"/>
      <c r="AC1" s="136"/>
      <c r="AD1" s="136"/>
      <c r="AE1" s="136"/>
      <c r="AF1" s="136"/>
      <c r="AG1" s="136"/>
    </row>
    <row r="2" customFormat="false" ht="19.5" hidden="false" customHeight="true" outlineLevel="0" collapsed="false">
      <c r="A2" s="2" t="str">
        <f aca="false">"🛒 نسخة تجريبية — للنسخة الكاملة اضغط هنا ← accopro.net   |   "&amp;cfg_CO&amp;"   |   السنة المالية "&amp;cfg_FY&amp;"   |   شهر التقرير: "&amp;INDEX(L_MONTH,cfg_VAL_M)&amp;"   |   المبالغ بـ "&amp;cfg_CUR</f>
        <v>🛒 نسخة تجريبية — للنسخة الكاملة اضغط هنا ← accopro.net   |   شركة النخبة للتجارة والمقاولات   |   السنة المالية 2026   |   شهر التقرير: سبتمبر   |   المبالغ بـ ريال سعودي</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row>
    <row r="3" customFormat="false" ht="25.5" hidden="false" customHeight="true" outlineLevel="0" collapsed="false">
      <c r="B3" s="137" t="s">
        <v>163</v>
      </c>
      <c r="C3" s="138" t="n">
        <v>6</v>
      </c>
      <c r="D3" s="137" t="s">
        <v>472</v>
      </c>
      <c r="E3" s="139" t="n">
        <f aca="false">DATE(cfg_FY,C3,1)</f>
        <v>46174</v>
      </c>
      <c r="F3" s="139" t="n">
        <f aca="false">EOMONTH(E3,0)</f>
        <v>46203</v>
      </c>
      <c r="G3" s="140" t="str">
        <f aca="false">IF(C3&lt;=cfg_VAL_M,"✔ فعلي","⚠ متوقع")</f>
        <v>✔ فعلي</v>
      </c>
      <c r="H3" s="140"/>
      <c r="J3" s="141" t="s">
        <v>506</v>
      </c>
      <c r="K3" s="141"/>
      <c r="L3" s="141" t="s">
        <v>473</v>
      </c>
      <c r="M3" s="141"/>
      <c r="O3" s="31" t="s">
        <v>114</v>
      </c>
      <c r="P3" s="12" t="s">
        <v>172</v>
      </c>
      <c r="R3" s="32" t="s">
        <v>116</v>
      </c>
      <c r="S3" s="33" t="s">
        <v>117</v>
      </c>
      <c r="U3" s="32" t="s">
        <v>118</v>
      </c>
      <c r="W3" s="32" t="s">
        <v>39</v>
      </c>
      <c r="Y3" s="32" t="s">
        <v>173</v>
      </c>
    </row>
    <row r="4" customFormat="false" ht="7.5" hidden="false" customHeight="true" outlineLevel="0" collapsed="false"/>
    <row r="5" customFormat="false" ht="51.75" hidden="false" customHeight="true" outlineLevel="0" collapsed="false">
      <c r="A5" s="142" t="s">
        <v>308</v>
      </c>
      <c r="B5" s="142" t="s">
        <v>309</v>
      </c>
      <c r="C5" s="142" t="s">
        <v>310</v>
      </c>
      <c r="D5" s="142" t="s">
        <v>156</v>
      </c>
      <c r="E5" s="142" t="s">
        <v>142</v>
      </c>
      <c r="F5" s="142" t="s">
        <v>474</v>
      </c>
      <c r="G5" s="143" t="s">
        <v>475</v>
      </c>
      <c r="H5" s="143" t="s">
        <v>476</v>
      </c>
      <c r="I5" s="143" t="s">
        <v>477</v>
      </c>
      <c r="J5" s="143" t="s">
        <v>478</v>
      </c>
      <c r="K5" s="144" t="s">
        <v>479</v>
      </c>
      <c r="L5" s="144" t="s">
        <v>480</v>
      </c>
      <c r="M5" s="144" t="s">
        <v>481</v>
      </c>
      <c r="N5" s="144" t="s">
        <v>482</v>
      </c>
      <c r="O5" s="144" t="s">
        <v>483</v>
      </c>
      <c r="P5" s="144" t="s">
        <v>484</v>
      </c>
      <c r="Q5" s="144" t="s">
        <v>451</v>
      </c>
      <c r="R5" s="144" t="s">
        <v>485</v>
      </c>
      <c r="S5" s="144" t="s">
        <v>486</v>
      </c>
      <c r="T5" s="144" t="s">
        <v>127</v>
      </c>
      <c r="U5" s="145" t="s">
        <v>487</v>
      </c>
      <c r="V5" s="145" t="s">
        <v>453</v>
      </c>
      <c r="W5" s="145" t="s">
        <v>454</v>
      </c>
      <c r="X5" s="145" t="s">
        <v>488</v>
      </c>
      <c r="Y5" s="146" t="s">
        <v>489</v>
      </c>
      <c r="Z5" s="147" t="s">
        <v>490</v>
      </c>
      <c r="AA5" s="147" t="s">
        <v>491</v>
      </c>
      <c r="AB5" s="147" t="s">
        <v>492</v>
      </c>
      <c r="AC5" s="147" t="s">
        <v>493</v>
      </c>
      <c r="AD5" s="148" t="s">
        <v>494</v>
      </c>
      <c r="AE5" s="148" t="s">
        <v>495</v>
      </c>
      <c r="AF5" s="148" t="s">
        <v>496</v>
      </c>
      <c r="AG5" s="149" t="s">
        <v>497</v>
      </c>
      <c r="AH5" s="150" t="s">
        <v>498</v>
      </c>
      <c r="AI5" s="150" t="s">
        <v>499</v>
      </c>
      <c r="AJ5" s="150" t="s">
        <v>500</v>
      </c>
      <c r="AK5" s="150" t="s">
        <v>501</v>
      </c>
      <c r="AL5" s="150" t="s">
        <v>502</v>
      </c>
      <c r="AM5" s="150" t="s">
        <v>503</v>
      </c>
      <c r="AN5" s="150" t="s">
        <v>504</v>
      </c>
    </row>
    <row r="6" customFormat="false" ht="15" hidden="false" customHeight="false" outlineLevel="0" collapsed="false">
      <c r="A6" s="106" t="n">
        <f aca="false">IF($B6="","",الموظفون!$A6)</f>
        <v>1</v>
      </c>
      <c r="B6" s="114" t="str">
        <f aca="false">IF(الموظفون!$B6="","",الموظفون!$B6)</f>
        <v>E001</v>
      </c>
      <c r="C6" s="114" t="str">
        <f aca="false">IF($B6="","",الموظفون!$C6)</f>
        <v>عبدالله محمد العتيبي</v>
      </c>
      <c r="D6" s="114" t="str">
        <f aca="false">IF($B6="","",الموظفون!$F6)</f>
        <v>الإدارة العليا</v>
      </c>
      <c r="E6" s="114" t="str">
        <f aca="false">IF($B6="","",الموظفون!$E6)</f>
        <v>سعودي</v>
      </c>
      <c r="F6" s="114" t="str">
        <f aca="false">IF($B6="","",IF(AK6=0,IF(AND(الموظفون!$AE6&lt;&gt;"",الموظفون!$AE6&lt;$E$3),"✖ منتهي الخدمة","⏳ لم يباشر"),IF(S6&gt;0,"✈ راتب إجازة مقدم",IF(J6=0,"⛔ بدون راتب هذا الشهر",IF(I6&gt;0,"✈ خصم "&amp;ROUND(I6,2)&amp;" يوم بدون أجر",IF(AL6&gt;0,"🌴 إجازة سنوية "&amp;ROUND(AL6,2)&amp;" يوم",IF(H6&gt;0,"⚠ غياب "&amp;ROUND(H6,2)&amp;" يوم","✔ على رأس العمل")))))))</f>
        <v>✔ على رأس العمل</v>
      </c>
      <c r="G6" s="151" t="n">
        <f aca="false">IF($B6="","",IF(AK6&gt;=DAY($F$3),cfg_DAYS_M,MIN(AK6,cfg_DAYS_M)))</f>
        <v>30</v>
      </c>
      <c r="H6" s="151" t="n">
        <f aca="false">IF($B6="","",SUMIFS('الحركات الشهرية'!$D$6:$D$1005,'الحركات الشهرية'!$B$6:$B$1005,$B6,'الحركات الشهرية'!$A$6:$A$1005,$C$3))</f>
        <v>0</v>
      </c>
      <c r="I6" s="151" t="n">
        <f aca="false">IF($B6="","",MIN(G6,IF(AND(AK6&gt;0,AN6&gt;=AK6),G6,AN6)+SUMIFS('الحركات الشهرية'!$E$6:$E$1005,'الحركات الشهرية'!$B$6:$B$1005,$B6,'الحركات الشهرية'!$A$6:$A$1005,$C$3)))</f>
        <v>0</v>
      </c>
      <c r="J6" s="151" t="n">
        <f aca="false">IF($B6="","",MAX(0,G6-H6-I6))</f>
        <v>30</v>
      </c>
      <c r="K6" s="111" t="n">
        <f aca="false">IF($B6="","",الموظفون!$L6*$J6/cfg_DAYS_M)</f>
        <v>28000</v>
      </c>
      <c r="L6" s="111" t="n">
        <f aca="false">IF($B6="","",الموظفون!$M6*$J6/cfg_DAYS_M)</f>
        <v>7000</v>
      </c>
      <c r="M6" s="111" t="n">
        <f aca="false">IF($B6="","",الموظفون!$N6*$J6/cfg_DAYS_M)</f>
        <v>2800</v>
      </c>
      <c r="N6" s="111" t="n">
        <f aca="false">IF($B6="","",الموظفون!$O6*$J6/cfg_DAYS_M)</f>
        <v>3000</v>
      </c>
      <c r="O6" s="151" t="n">
        <f aca="false">IF($B6="","",SUMIFS('الحركات الشهرية'!$F$6:$F$1005,'الحركات الشهرية'!$B$6:$B$1005,$B6,'الحركات الشهرية'!$A$6:$A$1005,$C$3))</f>
        <v>0</v>
      </c>
      <c r="P6" s="111" t="n">
        <f aca="false">IF($B6="","",O6*(الموظفون!$P6+الموظفون!$L6*cfg_OT_P)/cfg_DAYS_M/cfg_HRS)</f>
        <v>0</v>
      </c>
      <c r="Q6" s="111" t="n">
        <f aca="false">IF($B6="","",SUMIFS('الحركات الشهرية'!$G$6:$G$1005,'الحركات الشهرية'!$B$6:$B$1005,$B6,'الحركات الشهرية'!$A$6:$A$1005,$C$3))</f>
        <v>0</v>
      </c>
      <c r="R6" s="111" t="n">
        <f aca="false">IF($B6="","",SUMIFS('الحركات الشهرية'!$H$6:$H$1005,'الحركات الشهرية'!$B$6:$B$1005,$B6,'الحركات الشهرية'!$A$6:$A$1005,$C$3))</f>
        <v>0</v>
      </c>
      <c r="S6" s="111" t="n">
        <f aca="false">IF($B6="","",SUMIFS('سجل الإجازات والحالات'!$N$6:$N$505,'سجل الإجازات والحالات'!$B$6:$B$505,$B6,'سجل الإجازات والحالات'!$O$6:$O$505,$C$3))</f>
        <v>0</v>
      </c>
      <c r="T6" s="152" t="n">
        <f aca="false">IF($B6="","",SUM(K6:N6)+SUM(P6:S6))</f>
        <v>40800</v>
      </c>
      <c r="U6" s="111" t="n">
        <f aca="false">IF($B6="","",الموظفون!$S6*IF(E6="سعودي",cfg_G_SE,cfg_G_NE)*G6/cfg_DAYS_M)</f>
        <v>3412.5</v>
      </c>
      <c r="V6" s="111" t="n">
        <f aca="false">IF($B6="","",SUMIFS('الحركات الشهرية'!$I$6:$I$1005,'الحركات الشهرية'!$B$6:$B$1005,$B6,'الحركات الشهرية'!$A$6:$A$1005,$C$3))</f>
        <v>0</v>
      </c>
      <c r="W6" s="111" t="n">
        <f aca="false">IF($B6="","",SUMIFS('الحركات الشهرية'!$J$6:$J$1005,'الحركات الشهرية'!$B$6:$B$1005,$B6,'الحركات الشهرية'!$A$6:$A$1005,$C$3))</f>
        <v>0</v>
      </c>
      <c r="X6" s="111" t="n">
        <f aca="false">IF($B6="","",SUM(U6:W6))</f>
        <v>3412.5</v>
      </c>
      <c r="Y6" s="153" t="n">
        <f aca="false">IF($B6="","",T6-X6)</f>
        <v>37387.5</v>
      </c>
      <c r="Z6" s="111" t="n">
        <f aca="false">IF($B6="","",الموظفون!$S6*IF(E6="سعودي",cfg_G_SR,cfg_G_NR)*G6/cfg_DAYS_M)</f>
        <v>4112.5</v>
      </c>
      <c r="AA6" s="111" t="n">
        <f aca="false">IF($B6="","",الموظفون!$Q6*(cfg_EOS_R1*(MIN(AH6,cfg_EOS_TH)-MIN(AI6,cfg_EOS_TH))+cfg_EOS_R2*(MAX(AH6-cfg_EOS_TH,0)-MAX(AI6-cfg_EOS_TH,0))))</f>
        <v>3106.84931506847</v>
      </c>
      <c r="AB6" s="111" t="n">
        <f aca="false">IF($B6="","",IF(الموظفون!$T6&lt;&gt;"",الموظفون!$T6,IF(AH6&gt;=cfg_LV_TH,cfg_LV_D2,cfg_LV_D1))/cfg_DAYS_Y*AJ6*الموظفون!$R6/cfg_DAYS_M)</f>
        <v>3106.84931506849</v>
      </c>
      <c r="AC6" s="111" t="n">
        <f aca="false">IF($B6="","",IF(AND(الموظفون!$U6="نعم",N(الموظفون!$W6)&gt;0),الموظفون!$V6/الموظفون!$W6*12/cfg_DAYS_Y*AJ6,0))</f>
        <v>0</v>
      </c>
      <c r="AD6" s="111" t="n">
        <f aca="false">IF($B6="","",(IF(الموظفون!$X6&lt;&gt;"",الموظفون!$X6,IF(الموظفون!$E6="غير سعودي",cfg_IQ,0))+IF(الموظفون!$Y6&lt;&gt;"",الموظفون!$Y6,IF(الموظفون!$E6="غير سعودي",cfg_WP,0)))/12*G6/cfg_DAYS_M)</f>
        <v>0</v>
      </c>
      <c r="AE6" s="111" t="n">
        <f aca="false">IF($B6="","",IF(الموظفون!$Z6&lt;&gt;"",الموظفون!$Z6,cfg_MED)/12*G6/cfg_DAYS_M)</f>
        <v>400</v>
      </c>
      <c r="AF6" s="111" t="n">
        <f aca="false">IF($B6="","",N(الموظفون!$AA6)/12*G6/cfg_DAYS_M)</f>
        <v>0</v>
      </c>
      <c r="AG6" s="154" t="n">
        <f aca="false">IF($B6="","",T6+SUM(Z6:AF6))</f>
        <v>51526.198630137</v>
      </c>
      <c r="AH6" s="155" t="n">
        <f aca="false">IF($B6="","",MAX(0,IF(OR(الموظفون!$AE6="",الموظفون!$AE6&gt;$F$3),$F$3,الموظفون!$AE6)-الموظفون!$H6+1-SUMIFS('سجل الإجازات والحالات'!$AM$6:$AM$505,'سجل الإجازات والحالات'!$B$6:$B$505,$B6))/cfg_DAYS_Y)</f>
        <v>14.4684931506849</v>
      </c>
      <c r="AI6" s="155" t="n">
        <f aca="false">IF($B6="","",MAX(0,IF(OR(الموظفون!$AE6="",الموظفون!$AE6&gt;($E$3-1)),($E$3-1),الموظفون!$AE6)-الموظفون!$H6+1-SUMIFS('سجل الإجازات والحالات'!$AL$6:$AL$505,'سجل الإجازات والحالات'!$B$6:$B$505,$B6))/cfg_DAYS_Y)</f>
        <v>14.386301369863</v>
      </c>
      <c r="AJ6" s="65" t="n">
        <f aca="false">IF($B6="","",MAX(0,AK6-(SUMIFS('سجل الإجازات والحالات'!$AM$6:$AM$505,'سجل الإجازات والحالات'!$B$6:$B$505,$B6)-SUMIFS('سجل الإجازات والحالات'!$AL$6:$AL$505,'سجل الإجازات والحالات'!$B$6:$B$505,$B6))))</f>
        <v>30</v>
      </c>
      <c r="AK6" s="65" t="n">
        <f aca="false">IF($B6="","",MAX(0,IF(OR(الموظفون!$AE6="",الموظفون!$AE6&gt;$F$3),$F$3,الموظفون!$AE6)-MAX($E$3,الموظفون!$H6)+1))</f>
        <v>30</v>
      </c>
      <c r="AL6" s="151" t="n">
        <f aca="false">IF($B6="","",SUMIFS('سجل الإجازات والحالات'!$AY$6:$AY$505,'سجل الإجازات والحالات'!$B$6:$B$505,$B6)+SUMIFS('الحركات الشهرية'!$K$6:$K$1005,'الحركات الشهرية'!$B$6:$B$1005,$B6,'الحركات الشهرية'!$A$6:$A$1005,$C$3))</f>
        <v>0</v>
      </c>
      <c r="AM6" s="111" t="n">
        <f aca="false">IF($B6="","",AL6*الموظفون!$R6/cfg_DAYS_M+S6)</f>
        <v>0</v>
      </c>
      <c r="AN6" s="151" t="n">
        <f aca="false">IF($B6="","",SUMIFS('سجل الإجازات والحالات'!$AA$6:$AA$505,'سجل الإجازات والحالات'!$B$6:$B$505,$B6))</f>
        <v>0</v>
      </c>
    </row>
    <row r="7" customFormat="false" ht="15" hidden="false" customHeight="false" outlineLevel="0" collapsed="false">
      <c r="A7" s="115" t="n">
        <f aca="false">IF($B7="","",الموظفون!$A7)</f>
        <v>2</v>
      </c>
      <c r="B7" s="117" t="str">
        <f aca="false">IF(الموظفون!$B7="","",الموظفون!$B7)</f>
        <v>E002</v>
      </c>
      <c r="C7" s="117" t="str">
        <f aca="false">IF($B7="","",الموظفون!$C7)</f>
        <v>أحمد سعيد القحطاني</v>
      </c>
      <c r="D7" s="117" t="str">
        <f aca="false">IF($B7="","",الموظفون!$F7)</f>
        <v>المالية</v>
      </c>
      <c r="E7" s="117" t="str">
        <f aca="false">IF($B7="","",الموظفون!$E7)</f>
        <v>سعودي</v>
      </c>
      <c r="F7" s="117" t="str">
        <f aca="false">IF($B7="","",IF(AK7=0,IF(AND(الموظفون!$AE7&lt;&gt;"",الموظفون!$AE7&lt;$E$3),"✖ منتهي الخدمة","⏳ لم يباشر"),IF(S7&gt;0,"✈ راتب إجازة مقدم",IF(J7=0,"⛔ بدون راتب هذا الشهر",IF(I7&gt;0,"✈ خصم "&amp;ROUND(I7,2)&amp;" يوم بدون أجر",IF(AL7&gt;0,"🌴 إجازة سنوية "&amp;ROUND(AL7,2)&amp;" يوم",IF(H7&gt;0,"⚠ غياب "&amp;ROUND(H7,2)&amp;" يوم","✔ على رأس العمل")))))))</f>
        <v>✔ على رأس العمل</v>
      </c>
      <c r="G7" s="156" t="n">
        <f aca="false">IF($B7="","",IF(AK7&gt;=DAY($F$3),cfg_DAYS_M,MIN(AK7,cfg_DAYS_M)))</f>
        <v>30</v>
      </c>
      <c r="H7" s="156" t="n">
        <f aca="false">IF($B7="","",SUMIFS('الحركات الشهرية'!$D$6:$D$1005,'الحركات الشهرية'!$B$6:$B$1005,$B7,'الحركات الشهرية'!$A$6:$A$1005,$C$3))</f>
        <v>0</v>
      </c>
      <c r="I7" s="156" t="n">
        <f aca="false">IF($B7="","",MIN(G7,IF(AND(AK7&gt;0,AN7&gt;=AK7),G7,AN7)+SUMIFS('الحركات الشهرية'!$E$6:$E$1005,'الحركات الشهرية'!$B$6:$B$1005,$B7,'الحركات الشهرية'!$A$6:$A$1005,$C$3)))</f>
        <v>0</v>
      </c>
      <c r="J7" s="156" t="n">
        <f aca="false">IF($B7="","",MAX(0,G7-H7-I7))</f>
        <v>30</v>
      </c>
      <c r="K7" s="116" t="n">
        <f aca="false">IF($B7="","",الموظفون!$L7*$J7/cfg_DAYS_M)</f>
        <v>18000</v>
      </c>
      <c r="L7" s="116" t="n">
        <f aca="false">IF($B7="","",الموظفون!$M7*$J7/cfg_DAYS_M)</f>
        <v>4500</v>
      </c>
      <c r="M7" s="116" t="n">
        <f aca="false">IF($B7="","",الموظفون!$N7*$J7/cfg_DAYS_M)</f>
        <v>1800</v>
      </c>
      <c r="N7" s="116" t="n">
        <f aca="false">IF($B7="","",الموظفون!$O7*$J7/cfg_DAYS_M)</f>
        <v>1000</v>
      </c>
      <c r="O7" s="156" t="n">
        <f aca="false">IF($B7="","",SUMIFS('الحركات الشهرية'!$F$6:$F$1005,'الحركات الشهرية'!$B$6:$B$1005,$B7,'الحركات الشهرية'!$A$6:$A$1005,$C$3))</f>
        <v>0</v>
      </c>
      <c r="P7" s="116" t="n">
        <f aca="false">IF($B7="","",O7*(الموظفون!$P7+الموظفون!$L7*cfg_OT_P)/cfg_DAYS_M/cfg_HRS)</f>
        <v>0</v>
      </c>
      <c r="Q7" s="116" t="n">
        <f aca="false">IF($B7="","",SUMIFS('الحركات الشهرية'!$G$6:$G$1005,'الحركات الشهرية'!$B$6:$B$1005,$B7,'الحركات الشهرية'!$A$6:$A$1005,$C$3))</f>
        <v>0</v>
      </c>
      <c r="R7" s="116" t="n">
        <f aca="false">IF($B7="","",SUMIFS('الحركات الشهرية'!$H$6:$H$1005,'الحركات الشهرية'!$B$6:$B$1005,$B7,'الحركات الشهرية'!$A$6:$A$1005,$C$3))</f>
        <v>0</v>
      </c>
      <c r="S7" s="116" t="n">
        <f aca="false">IF($B7="","",SUMIFS('سجل الإجازات والحالات'!$N$6:$N$505,'سجل الإجازات والحالات'!$B$6:$B$505,$B7,'سجل الإجازات والحالات'!$O$6:$O$505,$C$3))</f>
        <v>0</v>
      </c>
      <c r="T7" s="157" t="n">
        <f aca="false">IF($B7="","",SUM(K7:N7)+SUM(P7:S7))</f>
        <v>25300</v>
      </c>
      <c r="U7" s="116" t="n">
        <f aca="false">IF($B7="","",الموظفون!$S7*IF(E7="سعودي",cfg_G_SE,cfg_G_NE)*G7/cfg_DAYS_M)</f>
        <v>2193.75</v>
      </c>
      <c r="V7" s="116" t="n">
        <f aca="false">IF($B7="","",SUMIFS('الحركات الشهرية'!$I$6:$I$1005,'الحركات الشهرية'!$B$6:$B$1005,$B7,'الحركات الشهرية'!$A$6:$A$1005,$C$3))</f>
        <v>0</v>
      </c>
      <c r="W7" s="116" t="n">
        <f aca="false">IF($B7="","",SUMIFS('الحركات الشهرية'!$J$6:$J$1005,'الحركات الشهرية'!$B$6:$B$1005,$B7,'الحركات الشهرية'!$A$6:$A$1005,$C$3))</f>
        <v>0</v>
      </c>
      <c r="X7" s="116" t="n">
        <f aca="false">IF($B7="","",SUM(U7:W7))</f>
        <v>2193.75</v>
      </c>
      <c r="Y7" s="158" t="n">
        <f aca="false">IF($B7="","",T7-X7)</f>
        <v>23106.25</v>
      </c>
      <c r="Z7" s="116" t="n">
        <f aca="false">IF($B7="","",الموظفون!$S7*IF(E7="سعودي",cfg_G_SR,cfg_G_NR)*G7/cfg_DAYS_M)</f>
        <v>2643.75</v>
      </c>
      <c r="AA7" s="116" t="n">
        <f aca="false">IF($B7="","",الموظفون!$Q7*(cfg_EOS_R1*(MIN(AH7,cfg_EOS_TH)-MIN(AI7,cfg_EOS_TH))+cfg_EOS_R2*(MAX(AH7-cfg_EOS_TH,0)-MAX(AI7-cfg_EOS_TH,0))))</f>
        <v>1997.26027397259</v>
      </c>
      <c r="AB7" s="116" t="n">
        <f aca="false">IF($B7="","",IF(الموظفون!$T7&lt;&gt;"",الموظفون!$T7,IF(AH7&gt;=cfg_LV_TH,cfg_LV_D2,cfg_LV_D1))/cfg_DAYS_Y*AJ7*الموظفون!$R7/cfg_DAYS_M)</f>
        <v>1997.2602739726</v>
      </c>
      <c r="AC7" s="116" t="n">
        <f aca="false">IF($B7="","",IF(AND(الموظفون!$U7="نعم",N(الموظفون!$W7)&gt;0),الموظفون!$V7/الموظفون!$W7*12/cfg_DAYS_Y*AJ7,0))</f>
        <v>0</v>
      </c>
      <c r="AD7" s="116" t="n">
        <f aca="false">IF($B7="","",(IF(الموظفون!$X7&lt;&gt;"",الموظفون!$X7,IF(الموظفون!$E7="غير سعودي",cfg_IQ,0))+IF(الموظفون!$Y7&lt;&gt;"",الموظفون!$Y7,IF(الموظفون!$E7="غير سعودي",cfg_WP,0)))/12*G7/cfg_DAYS_M)</f>
        <v>0</v>
      </c>
      <c r="AE7" s="116" t="n">
        <f aca="false">IF($B7="","",IF(الموظفون!$Z7&lt;&gt;"",الموظفون!$Z7,cfg_MED)/12*G7/cfg_DAYS_M)</f>
        <v>300</v>
      </c>
      <c r="AF7" s="116" t="n">
        <f aca="false">IF($B7="","",N(الموظفون!$AA7)/12*G7/cfg_DAYS_M)</f>
        <v>0</v>
      </c>
      <c r="AG7" s="159" t="n">
        <f aca="false">IF($B7="","",T7+SUM(Z7:AF7))</f>
        <v>32238.2705479452</v>
      </c>
      <c r="AH7" s="160" t="n">
        <f aca="false">IF($B7="","",MAX(0,IF(OR(الموظفون!$AE7="",الموظفون!$AE7&gt;$F$3),$F$3,الموظفون!$AE7)-الموظفون!$H7+1-SUMIFS('سجل الإجازات والحالات'!$AM$6:$AM$505,'سجل الإجازات والحالات'!$B$6:$B$505,$B7))/cfg_DAYS_Y)</f>
        <v>10.0876712328767</v>
      </c>
      <c r="AI7" s="160" t="n">
        <f aca="false">IF($B7="","",MAX(0,IF(OR(الموظفون!$AE7="",الموظفون!$AE7&gt;($E$3-1)),($E$3-1),الموظفون!$AE7)-الموظفون!$H7+1-SUMIFS('سجل الإجازات والحالات'!$AL$6:$AL$505,'سجل الإجازات والحالات'!$B$6:$B$505,$B7))/cfg_DAYS_Y)</f>
        <v>10.0054794520548</v>
      </c>
      <c r="AJ7" s="133" t="n">
        <f aca="false">IF($B7="","",MAX(0,AK7-(SUMIFS('سجل الإجازات والحالات'!$AM$6:$AM$505,'سجل الإجازات والحالات'!$B$6:$B$505,$B7)-SUMIFS('سجل الإجازات والحالات'!$AL$6:$AL$505,'سجل الإجازات والحالات'!$B$6:$B$505,$B7))))</f>
        <v>30</v>
      </c>
      <c r="AK7" s="133" t="n">
        <f aca="false">IF($B7="","",MAX(0,IF(OR(الموظفون!$AE7="",الموظفون!$AE7&gt;$F$3),$F$3,الموظفون!$AE7)-MAX($E$3,الموظفون!$H7)+1))</f>
        <v>30</v>
      </c>
      <c r="AL7" s="156" t="n">
        <f aca="false">IF($B7="","",SUMIFS('سجل الإجازات والحالات'!$AY$6:$AY$505,'سجل الإجازات والحالات'!$B$6:$B$505,$B7)+SUMIFS('الحركات الشهرية'!$K$6:$K$1005,'الحركات الشهرية'!$B$6:$B$1005,$B7,'الحركات الشهرية'!$A$6:$A$1005,$C$3))</f>
        <v>0</v>
      </c>
      <c r="AM7" s="116" t="n">
        <f aca="false">IF($B7="","",AL7*الموظفون!$R7/cfg_DAYS_M+S7)</f>
        <v>0</v>
      </c>
      <c r="AN7" s="156" t="n">
        <f aca="false">IF($B7="","",SUMIFS('سجل الإجازات والحالات'!$AA$6:$AA$505,'سجل الإجازات والحالات'!$B$6:$B$505,$B7))</f>
        <v>0</v>
      </c>
    </row>
    <row r="8" customFormat="false" ht="15" hidden="false" customHeight="false" outlineLevel="0" collapsed="false">
      <c r="A8" s="106" t="n">
        <f aca="false">IF($B8="","",الموظفون!$A8)</f>
        <v>3</v>
      </c>
      <c r="B8" s="114" t="str">
        <f aca="false">IF(الموظفون!$B8="","",الموظفون!$B8)</f>
        <v>E003</v>
      </c>
      <c r="C8" s="114" t="str">
        <f aca="false">IF($B8="","",الموظفون!$C8)</f>
        <v>محمد علي حسن</v>
      </c>
      <c r="D8" s="114" t="str">
        <f aca="false">IF($B8="","",الموظفون!$F8)</f>
        <v>المالية</v>
      </c>
      <c r="E8" s="114" t="str">
        <f aca="false">IF($B8="","",الموظفون!$E8)</f>
        <v>غير سعودي</v>
      </c>
      <c r="F8" s="114" t="str">
        <f aca="false">IF($B8="","",IF(AK8=0,IF(AND(الموظفون!$AE8&lt;&gt;"",الموظفون!$AE8&lt;$E$3),"✖ منتهي الخدمة","⏳ لم يباشر"),IF(S8&gt;0,"✈ راتب إجازة مقدم",IF(J8=0,"⛔ بدون راتب هذا الشهر",IF(I8&gt;0,"✈ خصم "&amp;ROUND(I8,2)&amp;" يوم بدون أجر",IF(AL8&gt;0,"🌴 إجازة سنوية "&amp;ROUND(AL8,2)&amp;" يوم",IF(H8&gt;0,"⚠ غياب "&amp;ROUND(H8,2)&amp;" يوم","✔ على رأس العمل")))))))</f>
        <v>✔ على رأس العمل</v>
      </c>
      <c r="G8" s="151" t="n">
        <f aca="false">IF($B8="","",IF(AK8&gt;=DAY($F$3),cfg_DAYS_M,MIN(AK8,cfg_DAYS_M)))</f>
        <v>30</v>
      </c>
      <c r="H8" s="151" t="n">
        <f aca="false">IF($B8="","",SUMIFS('الحركات الشهرية'!$D$6:$D$1005,'الحركات الشهرية'!$B$6:$B$1005,$B8,'الحركات الشهرية'!$A$6:$A$1005,$C$3))</f>
        <v>0</v>
      </c>
      <c r="I8" s="151" t="n">
        <f aca="false">IF($B8="","",MIN(G8,IF(AND(AK8&gt;0,AN8&gt;=AK8),G8,AN8)+SUMIFS('الحركات الشهرية'!$E$6:$E$1005,'الحركات الشهرية'!$B$6:$B$1005,$B8,'الحركات الشهرية'!$A$6:$A$1005,$C$3)))</f>
        <v>0</v>
      </c>
      <c r="J8" s="151" t="n">
        <f aca="false">IF($B8="","",MAX(0,G8-H8-I8))</f>
        <v>30</v>
      </c>
      <c r="K8" s="111" t="n">
        <f aca="false">IF($B8="","",الموظفون!$L8*$J8/cfg_DAYS_M)</f>
        <v>8500</v>
      </c>
      <c r="L8" s="111" t="n">
        <f aca="false">IF($B8="","",الموظفون!$M8*$J8/cfg_DAYS_M)</f>
        <v>2125</v>
      </c>
      <c r="M8" s="111" t="n">
        <f aca="false">IF($B8="","",الموظفون!$N8*$J8/cfg_DAYS_M)</f>
        <v>850</v>
      </c>
      <c r="N8" s="111" t="n">
        <f aca="false">IF($B8="","",الموظفون!$O8*$J8/cfg_DAYS_M)</f>
        <v>500</v>
      </c>
      <c r="O8" s="151" t="n">
        <f aca="false">IF($B8="","",SUMIFS('الحركات الشهرية'!$F$6:$F$1005,'الحركات الشهرية'!$B$6:$B$1005,$B8,'الحركات الشهرية'!$A$6:$A$1005,$C$3))</f>
        <v>0</v>
      </c>
      <c r="P8" s="111" t="n">
        <f aca="false">IF($B8="","",O8*(الموظفون!$P8+الموظفون!$L8*cfg_OT_P)/cfg_DAYS_M/cfg_HRS)</f>
        <v>0</v>
      </c>
      <c r="Q8" s="111" t="n">
        <f aca="false">IF($B8="","",SUMIFS('الحركات الشهرية'!$G$6:$G$1005,'الحركات الشهرية'!$B$6:$B$1005,$B8,'الحركات الشهرية'!$A$6:$A$1005,$C$3))</f>
        <v>0</v>
      </c>
      <c r="R8" s="111" t="n">
        <f aca="false">IF($B8="","",SUMIFS('الحركات الشهرية'!$H$6:$H$1005,'الحركات الشهرية'!$B$6:$B$1005,$B8,'الحركات الشهرية'!$A$6:$A$1005,$C$3))</f>
        <v>0</v>
      </c>
      <c r="S8" s="111" t="n">
        <f aca="false">IF($B8="","",SUMIFS('سجل الإجازات والحالات'!$N$6:$N$505,'سجل الإجازات والحالات'!$B$6:$B$505,$B8,'سجل الإجازات والحالات'!$O$6:$O$505,$C$3))</f>
        <v>0</v>
      </c>
      <c r="T8" s="152" t="n">
        <f aca="false">IF($B8="","",SUM(K8:N8)+SUM(P8:S8))</f>
        <v>11975</v>
      </c>
      <c r="U8" s="111" t="n">
        <f aca="false">IF($B8="","",الموظفون!$S8*IF(E8="سعودي",cfg_G_SE,cfg_G_NE)*G8/cfg_DAYS_M)</f>
        <v>0</v>
      </c>
      <c r="V8" s="111" t="n">
        <f aca="false">IF($B8="","",SUMIFS('الحركات الشهرية'!$I$6:$I$1005,'الحركات الشهرية'!$B$6:$B$1005,$B8,'الحركات الشهرية'!$A$6:$A$1005,$C$3))</f>
        <v>0</v>
      </c>
      <c r="W8" s="111" t="n">
        <f aca="false">IF($B8="","",SUMIFS('الحركات الشهرية'!$J$6:$J$1005,'الحركات الشهرية'!$B$6:$B$1005,$B8,'الحركات الشهرية'!$A$6:$A$1005,$C$3))</f>
        <v>0</v>
      </c>
      <c r="X8" s="111" t="n">
        <f aca="false">IF($B8="","",SUM(U8:W8))</f>
        <v>0</v>
      </c>
      <c r="Y8" s="153" t="n">
        <f aca="false">IF($B8="","",T8-X8)</f>
        <v>11975</v>
      </c>
      <c r="Z8" s="111" t="n">
        <f aca="false">IF($B8="","",الموظفون!$S8*IF(E8="سعودي",cfg_G_SR,cfg_G_NR)*G8/cfg_DAYS_M)</f>
        <v>212.5</v>
      </c>
      <c r="AA8" s="111" t="n">
        <f aca="false">IF($B8="","",الموظفون!$Q8*(cfg_EOS_R1*(MIN(AH8,cfg_EOS_TH)-MIN(AI8,cfg_EOS_TH))+cfg_EOS_R2*(MAX(AH8-cfg_EOS_TH,0)-MAX(AI8-cfg_EOS_TH,0))))</f>
        <v>943.150684931511</v>
      </c>
      <c r="AB8" s="111" t="n">
        <f aca="false">IF($B8="","",IF(الموظفون!$T8&lt;&gt;"",الموظفون!$T8,IF(AH8&gt;=cfg_LV_TH,cfg_LV_D2,cfg_LV_D1))/cfg_DAYS_Y*AJ8*الموظفون!$R8/cfg_DAYS_M)</f>
        <v>943.150684931507</v>
      </c>
      <c r="AC8" s="111" t="n">
        <f aca="false">IF($B8="","",IF(AND(الموظفون!$U8="نعم",N(الموظفون!$W8)&gt;0),الموظفون!$V8/الموظفون!$W8*12/cfg_DAYS_Y*AJ8,0))</f>
        <v>131.506849315068</v>
      </c>
      <c r="AD8" s="111" t="n">
        <f aca="false">IF($B8="","",(IF(الموظفون!$X8&lt;&gt;"",الموظفون!$X8,IF(الموظفون!$E8="غير سعودي",cfg_IQ,0))+IF(الموظفون!$Y8&lt;&gt;"",الموظفون!$Y8,IF(الموظفون!$E8="غير سعودي",cfg_WP,0)))/12*G8/cfg_DAYS_M)</f>
        <v>854.166666666667</v>
      </c>
      <c r="AE8" s="111" t="n">
        <f aca="false">IF($B8="","",IF(الموظفون!$Z8&lt;&gt;"",الموظفون!$Z8,cfg_MED)/12*G8/cfg_DAYS_M)</f>
        <v>200</v>
      </c>
      <c r="AF8" s="111" t="n">
        <f aca="false">IF($B8="","",N(الموظفون!$AA8)/12*G8/cfg_DAYS_M)</f>
        <v>0</v>
      </c>
      <c r="AG8" s="154" t="n">
        <f aca="false">IF($B8="","",T8+SUM(Z8:AF8))</f>
        <v>15259.4748858448</v>
      </c>
      <c r="AH8" s="155" t="n">
        <f aca="false">IF($B8="","",MAX(0,IF(OR(الموظفون!$AE8="",الموظفون!$AE8&gt;$F$3),$F$3,الموظفون!$AE8)-الموظفون!$H8+1-SUMIFS('سجل الإجازات والحالات'!$AM$6:$AM$505,'سجل الإجازات والحالات'!$B$6:$B$505,$B8))/cfg_DAYS_Y)</f>
        <v>7.81095890410959</v>
      </c>
      <c r="AI8" s="155" t="n">
        <f aca="false">IF($B8="","",MAX(0,IF(OR(الموظفون!$AE8="",الموظفون!$AE8&gt;($E$3-1)),($E$3-1),الموظفون!$AE8)-الموظفون!$H8+1-SUMIFS('سجل الإجازات والحالات'!$AL$6:$AL$505,'سجل الإجازات والحالات'!$B$6:$B$505,$B8))/cfg_DAYS_Y)</f>
        <v>7.72876712328767</v>
      </c>
      <c r="AJ8" s="65" t="n">
        <f aca="false">IF($B8="","",MAX(0,AK8-(SUMIFS('سجل الإجازات والحالات'!$AM$6:$AM$505,'سجل الإجازات والحالات'!$B$6:$B$505,$B8)-SUMIFS('سجل الإجازات والحالات'!$AL$6:$AL$505,'سجل الإجازات والحالات'!$B$6:$B$505,$B8))))</f>
        <v>30</v>
      </c>
      <c r="AK8" s="65" t="n">
        <f aca="false">IF($B8="","",MAX(0,IF(OR(الموظفون!$AE8="",الموظفون!$AE8&gt;$F$3),$F$3,الموظفون!$AE8)-MAX($E$3,الموظفون!$H8)+1))</f>
        <v>30</v>
      </c>
      <c r="AL8" s="151" t="n">
        <f aca="false">IF($B8="","",SUMIFS('سجل الإجازات والحالات'!$AY$6:$AY$505,'سجل الإجازات والحالات'!$B$6:$B$505,$B8)+SUMIFS('الحركات الشهرية'!$K$6:$K$1005,'الحركات الشهرية'!$B$6:$B$1005,$B8,'الحركات الشهرية'!$A$6:$A$1005,$C$3))</f>
        <v>0</v>
      </c>
      <c r="AM8" s="111" t="n">
        <f aca="false">IF($B8="","",AL8*الموظفون!$R8/cfg_DAYS_M+S8)</f>
        <v>0</v>
      </c>
      <c r="AN8" s="151" t="n">
        <f aca="false">IF($B8="","",SUMIFS('سجل الإجازات والحالات'!$AA$6:$AA$505,'سجل الإجازات والحالات'!$B$6:$B$505,$B8))</f>
        <v>0</v>
      </c>
    </row>
    <row r="9" customFormat="false" ht="15" hidden="false" customHeight="false" outlineLevel="0" collapsed="false">
      <c r="A9" s="115" t="n">
        <f aca="false">IF($B9="","",الموظفون!$A9)</f>
        <v>4</v>
      </c>
      <c r="B9" s="117" t="str">
        <f aca="false">IF(الموظفون!$B9="","",الموظفون!$B9)</f>
        <v>E004</v>
      </c>
      <c r="C9" s="117" t="str">
        <f aca="false">IF($B9="","",الموظفون!$C9)</f>
        <v>نورة خالد الدوسري</v>
      </c>
      <c r="D9" s="117" t="str">
        <f aca="false">IF($B9="","",الموظفون!$F9)</f>
        <v>الموارد البشرية</v>
      </c>
      <c r="E9" s="117" t="str">
        <f aca="false">IF($B9="","",الموظفون!$E9)</f>
        <v>سعودي</v>
      </c>
      <c r="F9" s="117" t="str">
        <f aca="false">IF($B9="","",IF(AK9=0,IF(AND(الموظفون!$AE9&lt;&gt;"",الموظفون!$AE9&lt;$E$3),"✖ منتهي الخدمة","⏳ لم يباشر"),IF(S9&gt;0,"✈ راتب إجازة مقدم",IF(J9=0,"⛔ بدون راتب هذا الشهر",IF(I9&gt;0,"✈ خصم "&amp;ROUND(I9,2)&amp;" يوم بدون أجر",IF(AL9&gt;0,"🌴 إجازة سنوية "&amp;ROUND(AL9,2)&amp;" يوم",IF(H9&gt;0,"⚠ غياب "&amp;ROUND(H9,2)&amp;" يوم","✔ على رأس العمل")))))))</f>
        <v>✔ على رأس العمل</v>
      </c>
      <c r="G9" s="156" t="n">
        <f aca="false">IF($B9="","",IF(AK9&gt;=DAY($F$3),cfg_DAYS_M,MIN(AK9,cfg_DAYS_M)))</f>
        <v>30</v>
      </c>
      <c r="H9" s="156" t="n">
        <f aca="false">IF($B9="","",SUMIFS('الحركات الشهرية'!$D$6:$D$1005,'الحركات الشهرية'!$B$6:$B$1005,$B9,'الحركات الشهرية'!$A$6:$A$1005,$C$3))</f>
        <v>0</v>
      </c>
      <c r="I9" s="156" t="n">
        <f aca="false">IF($B9="","",MIN(G9,IF(AND(AK9&gt;0,AN9&gt;=AK9),G9,AN9)+SUMIFS('الحركات الشهرية'!$E$6:$E$1005,'الحركات الشهرية'!$B$6:$B$1005,$B9,'الحركات الشهرية'!$A$6:$A$1005,$C$3)))</f>
        <v>0</v>
      </c>
      <c r="J9" s="156" t="n">
        <f aca="false">IF($B9="","",MAX(0,G9-H9-I9))</f>
        <v>30</v>
      </c>
      <c r="K9" s="116" t="n">
        <f aca="false">IF($B9="","",الموظفون!$L9*$J9/cfg_DAYS_M)</f>
        <v>14000</v>
      </c>
      <c r="L9" s="116" t="n">
        <f aca="false">IF($B9="","",الموظفون!$M9*$J9/cfg_DAYS_M)</f>
        <v>3500</v>
      </c>
      <c r="M9" s="116" t="n">
        <f aca="false">IF($B9="","",الموظفون!$N9*$J9/cfg_DAYS_M)</f>
        <v>1400</v>
      </c>
      <c r="N9" s="116" t="n">
        <f aca="false">IF($B9="","",الموظفون!$O9*$J9/cfg_DAYS_M)</f>
        <v>0</v>
      </c>
      <c r="O9" s="156" t="n">
        <f aca="false">IF($B9="","",SUMIFS('الحركات الشهرية'!$F$6:$F$1005,'الحركات الشهرية'!$B$6:$B$1005,$B9,'الحركات الشهرية'!$A$6:$A$1005,$C$3))</f>
        <v>0</v>
      </c>
      <c r="P9" s="116" t="n">
        <f aca="false">IF($B9="","",O9*(الموظفون!$P9+الموظفون!$L9*cfg_OT_P)/cfg_DAYS_M/cfg_HRS)</f>
        <v>0</v>
      </c>
      <c r="Q9" s="116" t="n">
        <f aca="false">IF($B9="","",SUMIFS('الحركات الشهرية'!$G$6:$G$1005,'الحركات الشهرية'!$B$6:$B$1005,$B9,'الحركات الشهرية'!$A$6:$A$1005,$C$3))</f>
        <v>0</v>
      </c>
      <c r="R9" s="116" t="n">
        <f aca="false">IF($B9="","",SUMIFS('الحركات الشهرية'!$H$6:$H$1005,'الحركات الشهرية'!$B$6:$B$1005,$B9,'الحركات الشهرية'!$A$6:$A$1005,$C$3))</f>
        <v>0</v>
      </c>
      <c r="S9" s="116" t="n">
        <f aca="false">IF($B9="","",SUMIFS('سجل الإجازات والحالات'!$N$6:$N$505,'سجل الإجازات والحالات'!$B$6:$B$505,$B9,'سجل الإجازات والحالات'!$O$6:$O$505,$C$3))</f>
        <v>0</v>
      </c>
      <c r="T9" s="157" t="n">
        <f aca="false">IF($B9="","",SUM(K9:N9)+SUM(P9:S9))</f>
        <v>18900</v>
      </c>
      <c r="U9" s="116" t="n">
        <f aca="false">IF($B9="","",الموظفون!$S9*IF(E9="سعودي",cfg_G_SE,cfg_G_NE)*G9/cfg_DAYS_M)</f>
        <v>1706.25</v>
      </c>
      <c r="V9" s="116" t="n">
        <f aca="false">IF($B9="","",SUMIFS('الحركات الشهرية'!$I$6:$I$1005,'الحركات الشهرية'!$B$6:$B$1005,$B9,'الحركات الشهرية'!$A$6:$A$1005,$C$3))</f>
        <v>0</v>
      </c>
      <c r="W9" s="116" t="n">
        <f aca="false">IF($B9="","",SUMIFS('الحركات الشهرية'!$J$6:$J$1005,'الحركات الشهرية'!$B$6:$B$1005,$B9,'الحركات الشهرية'!$A$6:$A$1005,$C$3))</f>
        <v>0</v>
      </c>
      <c r="X9" s="116" t="n">
        <f aca="false">IF($B9="","",SUM(U9:W9))</f>
        <v>1706.25</v>
      </c>
      <c r="Y9" s="158" t="n">
        <f aca="false">IF($B9="","",T9-X9)</f>
        <v>17193.75</v>
      </c>
      <c r="Z9" s="116" t="n">
        <f aca="false">IF($B9="","",الموظفون!$S9*IF(E9="سعودي",cfg_G_SR,cfg_G_NR)*G9/cfg_DAYS_M)</f>
        <v>2056.25</v>
      </c>
      <c r="AA9" s="116" t="n">
        <f aca="false">IF($B9="","",الموظفون!$Q9*(cfg_EOS_R1*(MIN(AH9,cfg_EOS_TH)-MIN(AI9,cfg_EOS_TH))+cfg_EOS_R2*(MAX(AH9-cfg_EOS_TH,0)-MAX(AI9-cfg_EOS_TH,0))))</f>
        <v>1553.42465753425</v>
      </c>
      <c r="AB9" s="116" t="n">
        <f aca="false">IF($B9="","",IF(الموظفون!$T9&lt;&gt;"",الموظفون!$T9,IF(AH9&gt;=cfg_LV_TH,cfg_LV_D2,cfg_LV_D1))/cfg_DAYS_Y*AJ9*الموظفون!$R9/cfg_DAYS_M)</f>
        <v>1553.42465753425</v>
      </c>
      <c r="AC9" s="116" t="n">
        <f aca="false">IF($B9="","",IF(AND(الموظفون!$U9="نعم",N(الموظفون!$W9)&gt;0),الموظفون!$V9/الموظفون!$W9*12/cfg_DAYS_Y*AJ9,0))</f>
        <v>0</v>
      </c>
      <c r="AD9" s="116" t="n">
        <f aca="false">IF($B9="","",(IF(الموظفون!$X9&lt;&gt;"",الموظفون!$X9,IF(الموظفون!$E9="غير سعودي",cfg_IQ,0))+IF(الموظفون!$Y9&lt;&gt;"",الموظفون!$Y9,IF(الموظفون!$E9="غير سعودي",cfg_WP,0)))/12*G9/cfg_DAYS_M)</f>
        <v>0</v>
      </c>
      <c r="AE9" s="116" t="n">
        <f aca="false">IF($B9="","",IF(الموظفون!$Z9&lt;&gt;"",الموظفون!$Z9,cfg_MED)/12*G9/cfg_DAYS_M)</f>
        <v>300</v>
      </c>
      <c r="AF9" s="116" t="n">
        <f aca="false">IF($B9="","",N(الموظفون!$AA9)/12*G9/cfg_DAYS_M)</f>
        <v>0</v>
      </c>
      <c r="AG9" s="159" t="n">
        <f aca="false">IF($B9="","",T9+SUM(Z9:AF9))</f>
        <v>24363.0993150685</v>
      </c>
      <c r="AH9" s="160" t="n">
        <f aca="false">IF($B9="","",MAX(0,IF(OR(الموظفون!$AE9="",الموظفون!$AE9&gt;$F$3),$F$3,الموظفون!$AE9)-الموظفون!$H9+1-SUMIFS('سجل الإجازات والحالات'!$AM$6:$AM$505,'سجل الإجازات والحالات'!$B$6:$B$505,$B9))/cfg_DAYS_Y)</f>
        <v>7.41643835616438</v>
      </c>
      <c r="AI9" s="160" t="n">
        <f aca="false">IF($B9="","",MAX(0,IF(OR(الموظفون!$AE9="",الموظفون!$AE9&gt;($E$3-1)),($E$3-1),الموظفون!$AE9)-الموظفون!$H9+1-SUMIFS('سجل الإجازات والحالات'!$AL$6:$AL$505,'سجل الإجازات والحالات'!$B$6:$B$505,$B9))/cfg_DAYS_Y)</f>
        <v>7.33424657534247</v>
      </c>
      <c r="AJ9" s="133" t="n">
        <f aca="false">IF($B9="","",MAX(0,AK9-(SUMIFS('سجل الإجازات والحالات'!$AM$6:$AM$505,'سجل الإجازات والحالات'!$B$6:$B$505,$B9)-SUMIFS('سجل الإجازات والحالات'!$AL$6:$AL$505,'سجل الإجازات والحالات'!$B$6:$B$505,$B9))))</f>
        <v>30</v>
      </c>
      <c r="AK9" s="133" t="n">
        <f aca="false">IF($B9="","",MAX(0,IF(OR(الموظفون!$AE9="",الموظفون!$AE9&gt;$F$3),$F$3,الموظفون!$AE9)-MAX($E$3,الموظفون!$H9)+1))</f>
        <v>30</v>
      </c>
      <c r="AL9" s="156" t="n">
        <f aca="false">IF($B9="","",SUMIFS('سجل الإجازات والحالات'!$AY$6:$AY$505,'سجل الإجازات والحالات'!$B$6:$B$505,$B9)+SUMIFS('الحركات الشهرية'!$K$6:$K$1005,'الحركات الشهرية'!$B$6:$B$1005,$B9,'الحركات الشهرية'!$A$6:$A$1005,$C$3))</f>
        <v>0</v>
      </c>
      <c r="AM9" s="116" t="n">
        <f aca="false">IF($B9="","",AL9*الموظفون!$R9/cfg_DAYS_M+S9)</f>
        <v>0</v>
      </c>
      <c r="AN9" s="156" t="n">
        <f aca="false">IF($B9="","",SUMIFS('سجل الإجازات والحالات'!$AA$6:$AA$505,'سجل الإجازات والحالات'!$B$6:$B$505,$B9))</f>
        <v>0</v>
      </c>
    </row>
    <row r="10" customFormat="false" ht="15" hidden="false" customHeight="false" outlineLevel="0" collapsed="false">
      <c r="A10" s="106" t="n">
        <f aca="false">IF($B10="","",الموظفون!$A10)</f>
        <v>5</v>
      </c>
      <c r="B10" s="114" t="str">
        <f aca="false">IF(الموظفون!$B10="","",الموظفون!$B10)</f>
        <v>E005</v>
      </c>
      <c r="C10" s="114" t="str">
        <f aca="false">IF($B10="","",الموظفون!$C10)</f>
        <v>راجيش كومار</v>
      </c>
      <c r="D10" s="114" t="str">
        <f aca="false">IF($B10="","",الموظفون!$F10)</f>
        <v>تقنية المعلومات</v>
      </c>
      <c r="E10" s="114" t="str">
        <f aca="false">IF($B10="","",الموظفون!$E10)</f>
        <v>غير سعودي</v>
      </c>
      <c r="F10" s="114" t="str">
        <f aca="false">IF($B10="","",IF(AK10=0,IF(AND(الموظفون!$AE10&lt;&gt;"",الموظفون!$AE10&lt;$E$3),"✖ منتهي الخدمة","⏳ لم يباشر"),IF(S10&gt;0,"✈ راتب إجازة مقدم",IF(J10=0,"⛔ بدون راتب هذا الشهر",IF(I10&gt;0,"✈ خصم "&amp;ROUND(I10,2)&amp;" يوم بدون أجر",IF(AL10&gt;0,"🌴 إجازة سنوية "&amp;ROUND(AL10,2)&amp;" يوم",IF(H10&gt;0,"⚠ غياب "&amp;ROUND(H10,2)&amp;" يوم","✔ على رأس العمل")))))))</f>
        <v>✔ على رأس العمل</v>
      </c>
      <c r="G10" s="151" t="n">
        <f aca="false">IF($B10="","",IF(AK10&gt;=DAY($F$3),cfg_DAYS_M,MIN(AK10,cfg_DAYS_M)))</f>
        <v>30</v>
      </c>
      <c r="H10" s="151" t="n">
        <f aca="false">IF($B10="","",SUMIFS('الحركات الشهرية'!$D$6:$D$1005,'الحركات الشهرية'!$B$6:$B$1005,$B10,'الحركات الشهرية'!$A$6:$A$1005,$C$3))</f>
        <v>0</v>
      </c>
      <c r="I10" s="151" t="n">
        <f aca="false">IF($B10="","",MIN(G10,IF(AND(AK10&gt;0,AN10&gt;=AK10),G10,AN10)+SUMIFS('الحركات الشهرية'!$E$6:$E$1005,'الحركات الشهرية'!$B$6:$B$1005,$B10,'الحركات الشهرية'!$A$6:$A$1005,$C$3)))</f>
        <v>0</v>
      </c>
      <c r="J10" s="151" t="n">
        <f aca="false">IF($B10="","",MAX(0,G10-H10-I10))</f>
        <v>30</v>
      </c>
      <c r="K10" s="111" t="n">
        <f aca="false">IF($B10="","",الموظفون!$L10*$J10/cfg_DAYS_M)</f>
        <v>9000</v>
      </c>
      <c r="L10" s="111" t="n">
        <f aca="false">IF($B10="","",الموظفون!$M10*$J10/cfg_DAYS_M)</f>
        <v>2250</v>
      </c>
      <c r="M10" s="111" t="n">
        <f aca="false">IF($B10="","",الموظفون!$N10*$J10/cfg_DAYS_M)</f>
        <v>900</v>
      </c>
      <c r="N10" s="111" t="n">
        <f aca="false">IF($B10="","",الموظفون!$O10*$J10/cfg_DAYS_M)</f>
        <v>700</v>
      </c>
      <c r="O10" s="151" t="n">
        <f aca="false">IF($B10="","",SUMIFS('الحركات الشهرية'!$F$6:$F$1005,'الحركات الشهرية'!$B$6:$B$1005,$B10,'الحركات الشهرية'!$A$6:$A$1005,$C$3))</f>
        <v>0</v>
      </c>
      <c r="P10" s="111" t="n">
        <f aca="false">IF($B10="","",O10*(الموظفون!$P10+الموظفون!$L10*cfg_OT_P)/cfg_DAYS_M/cfg_HRS)</f>
        <v>0</v>
      </c>
      <c r="Q10" s="111" t="n">
        <f aca="false">IF($B10="","",SUMIFS('الحركات الشهرية'!$G$6:$G$1005,'الحركات الشهرية'!$B$6:$B$1005,$B10,'الحركات الشهرية'!$A$6:$A$1005,$C$3))</f>
        <v>0</v>
      </c>
      <c r="R10" s="111" t="n">
        <f aca="false">IF($B10="","",SUMIFS('الحركات الشهرية'!$H$6:$H$1005,'الحركات الشهرية'!$B$6:$B$1005,$B10,'الحركات الشهرية'!$A$6:$A$1005,$C$3))</f>
        <v>0</v>
      </c>
      <c r="S10" s="111" t="n">
        <f aca="false">IF($B10="","",SUMIFS('سجل الإجازات والحالات'!$N$6:$N$505,'سجل الإجازات والحالات'!$B$6:$B$505,$B10,'سجل الإجازات والحالات'!$O$6:$O$505,$C$3))</f>
        <v>0</v>
      </c>
      <c r="T10" s="152" t="n">
        <f aca="false">IF($B10="","",SUM(K10:N10)+SUM(P10:S10))</f>
        <v>12850</v>
      </c>
      <c r="U10" s="111" t="n">
        <f aca="false">IF($B10="","",الموظفون!$S10*IF(E10="سعودي",cfg_G_SE,cfg_G_NE)*G10/cfg_DAYS_M)</f>
        <v>0</v>
      </c>
      <c r="V10" s="111" t="n">
        <f aca="false">IF($B10="","",SUMIFS('الحركات الشهرية'!$I$6:$I$1005,'الحركات الشهرية'!$B$6:$B$1005,$B10,'الحركات الشهرية'!$A$6:$A$1005,$C$3))</f>
        <v>0</v>
      </c>
      <c r="W10" s="111" t="n">
        <f aca="false">IF($B10="","",SUMIFS('الحركات الشهرية'!$J$6:$J$1005,'الحركات الشهرية'!$B$6:$B$1005,$B10,'الحركات الشهرية'!$A$6:$A$1005,$C$3))</f>
        <v>0</v>
      </c>
      <c r="X10" s="111" t="n">
        <f aca="false">IF($B10="","",SUM(U10:W10))</f>
        <v>0</v>
      </c>
      <c r="Y10" s="153" t="n">
        <f aca="false">IF($B10="","",T10-X10)</f>
        <v>12850</v>
      </c>
      <c r="Z10" s="111" t="n">
        <f aca="false">IF($B10="","",الموظفون!$S10*IF(E10="سعودي",cfg_G_SR,cfg_G_NR)*G10/cfg_DAYS_M)</f>
        <v>225</v>
      </c>
      <c r="AA10" s="111" t="n">
        <f aca="false">IF($B10="","",الموظفون!$Q10*(cfg_EOS_R1*(MIN(AH10,cfg_EOS_TH)-MIN(AI10,cfg_EOS_TH))+cfg_EOS_R2*(MAX(AH10-cfg_EOS_TH,0)-MAX(AI10-cfg_EOS_TH,0))))</f>
        <v>998.630136986305</v>
      </c>
      <c r="AB10" s="111" t="n">
        <f aca="false">IF($B10="","",IF(الموظفون!$T10&lt;&gt;"",الموظفون!$T10,IF(AH10&gt;=cfg_LV_TH,cfg_LV_D2,cfg_LV_D1))/cfg_DAYS_Y*AJ10*الموظفون!$R10/cfg_DAYS_M)</f>
        <v>998.630136986301</v>
      </c>
      <c r="AC10" s="111" t="n">
        <f aca="false">IF($B10="","",IF(AND(الموظفون!$U10="نعم",N(الموظفون!$W10)&gt;0),الموظفون!$V10/الموظفون!$W10*12/cfg_DAYS_Y*AJ10,0))</f>
        <v>230.13698630137</v>
      </c>
      <c r="AD10" s="111" t="n">
        <f aca="false">IF($B10="","",(IF(الموظفون!$X10&lt;&gt;"",الموظفون!$X10,IF(الموظفون!$E10="غير سعودي",cfg_IQ,0))+IF(الموظفون!$Y10&lt;&gt;"",الموظفون!$Y10,IF(الموظفون!$E10="غير سعودي",cfg_WP,0)))/12*G10/cfg_DAYS_M)</f>
        <v>854.166666666667</v>
      </c>
      <c r="AE10" s="111" t="n">
        <f aca="false">IF($B10="","",IF(الموظفون!$Z10&lt;&gt;"",الموظفون!$Z10,cfg_MED)/12*G10/cfg_DAYS_M)</f>
        <v>200</v>
      </c>
      <c r="AF10" s="111" t="n">
        <f aca="false">IF($B10="","",N(الموظفون!$AA10)/12*G10/cfg_DAYS_M)</f>
        <v>0</v>
      </c>
      <c r="AG10" s="154" t="n">
        <f aca="false">IF($B10="","",T10+SUM(Z10:AF10))</f>
        <v>16356.5639269406</v>
      </c>
      <c r="AH10" s="155" t="n">
        <f aca="false">IF($B10="","",MAX(0,IF(OR(الموظفون!$AE10="",الموظفون!$AE10&gt;$F$3),$F$3,الموظفون!$AE10)-الموظفون!$H10+1-SUMIFS('سجل الإجازات والحالات'!$AM$6:$AM$505,'سجل الإجازات والحالات'!$B$6:$B$505,$B10))/cfg_DAYS_Y)</f>
        <v>6.22191780821918</v>
      </c>
      <c r="AI10" s="155" t="n">
        <f aca="false">IF($B10="","",MAX(0,IF(OR(الموظفون!$AE10="",الموظفون!$AE10&gt;($E$3-1)),($E$3-1),الموظفون!$AE10)-الموظفون!$H10+1-SUMIFS('سجل الإجازات والحالات'!$AL$6:$AL$505,'سجل الإجازات والحالات'!$B$6:$B$505,$B10))/cfg_DAYS_Y)</f>
        <v>6.13972602739726</v>
      </c>
      <c r="AJ10" s="65" t="n">
        <f aca="false">IF($B10="","",MAX(0,AK10-(SUMIFS('سجل الإجازات والحالات'!$AM$6:$AM$505,'سجل الإجازات والحالات'!$B$6:$B$505,$B10)-SUMIFS('سجل الإجازات والحالات'!$AL$6:$AL$505,'سجل الإجازات والحالات'!$B$6:$B$505,$B10))))</f>
        <v>30</v>
      </c>
      <c r="AK10" s="65" t="n">
        <f aca="false">IF($B10="","",MAX(0,IF(OR(الموظفون!$AE10="",الموظفون!$AE10&gt;$F$3),$F$3,الموظفون!$AE10)-MAX($E$3,الموظفون!$H10)+1))</f>
        <v>30</v>
      </c>
      <c r="AL10" s="151" t="n">
        <f aca="false">IF($B10="","",SUMIFS('سجل الإجازات والحالات'!$AY$6:$AY$505,'سجل الإجازات والحالات'!$B$6:$B$505,$B10)+SUMIFS('الحركات الشهرية'!$K$6:$K$1005,'الحركات الشهرية'!$B$6:$B$1005,$B10,'الحركات الشهرية'!$A$6:$A$1005,$C$3))</f>
        <v>0</v>
      </c>
      <c r="AM10" s="111" t="n">
        <f aca="false">IF($B10="","",AL10*الموظفون!$R10/cfg_DAYS_M+S10)</f>
        <v>0</v>
      </c>
      <c r="AN10" s="151" t="n">
        <f aca="false">IF($B10="","",SUMIFS('سجل الإجازات والحالات'!$AA$6:$AA$505,'سجل الإجازات والحالات'!$B$6:$B$505,$B10))</f>
        <v>0</v>
      </c>
    </row>
    <row r="11" customFormat="false" ht="15" hidden="false" customHeight="false" outlineLevel="0" collapsed="false">
      <c r="A11" s="115" t="n">
        <f aca="false">IF($B11="","",الموظفون!$A11)</f>
        <v>6</v>
      </c>
      <c r="B11" s="117" t="str">
        <f aca="false">IF(الموظفون!$B11="","",الموظفون!$B11)</f>
        <v>E006</v>
      </c>
      <c r="C11" s="117" t="str">
        <f aca="false">IF($B11="","",الموظفون!$C11)</f>
        <v>فهد ناصر الشمري</v>
      </c>
      <c r="D11" s="117" t="str">
        <f aca="false">IF($B11="","",الموظفون!$F11)</f>
        <v>المبيعات</v>
      </c>
      <c r="E11" s="117" t="str">
        <f aca="false">IF($B11="","",الموظفون!$E11)</f>
        <v>سعودي</v>
      </c>
      <c r="F11" s="117" t="str">
        <f aca="false">IF($B11="","",IF(AK11=0,IF(AND(الموظفون!$AE11&lt;&gt;"",الموظفون!$AE11&lt;$E$3),"✖ منتهي الخدمة","⏳ لم يباشر"),IF(S11&gt;0,"✈ راتب إجازة مقدم",IF(J11=0,"⛔ بدون راتب هذا الشهر",IF(I11&gt;0,"✈ خصم "&amp;ROUND(I11,2)&amp;" يوم بدون أجر",IF(AL11&gt;0,"🌴 إجازة سنوية "&amp;ROUND(AL11,2)&amp;" يوم",IF(H11&gt;0,"⚠ غياب "&amp;ROUND(H11,2)&amp;" يوم","✔ على رأس العمل")))))))</f>
        <v>✔ على رأس العمل</v>
      </c>
      <c r="G11" s="156" t="n">
        <f aca="false">IF($B11="","",IF(AK11&gt;=DAY($F$3),cfg_DAYS_M,MIN(AK11,cfg_DAYS_M)))</f>
        <v>30</v>
      </c>
      <c r="H11" s="156" t="n">
        <f aca="false">IF($B11="","",SUMIFS('الحركات الشهرية'!$D$6:$D$1005,'الحركات الشهرية'!$B$6:$B$1005,$B11,'الحركات الشهرية'!$A$6:$A$1005,$C$3))</f>
        <v>0</v>
      </c>
      <c r="I11" s="156" t="n">
        <f aca="false">IF($B11="","",MIN(G11,IF(AND(AK11&gt;0,AN11&gt;=AK11),G11,AN11)+SUMIFS('الحركات الشهرية'!$E$6:$E$1005,'الحركات الشهرية'!$B$6:$B$1005,$B11,'الحركات الشهرية'!$A$6:$A$1005,$C$3)))</f>
        <v>0</v>
      </c>
      <c r="J11" s="156" t="n">
        <f aca="false">IF($B11="","",MAX(0,G11-H11-I11))</f>
        <v>30</v>
      </c>
      <c r="K11" s="116" t="n">
        <f aca="false">IF($B11="","",الموظفون!$L11*$J11/cfg_DAYS_M)</f>
        <v>13000</v>
      </c>
      <c r="L11" s="116" t="n">
        <f aca="false">IF($B11="","",الموظفون!$M11*$J11/cfg_DAYS_M)</f>
        <v>3250</v>
      </c>
      <c r="M11" s="116" t="n">
        <f aca="false">IF($B11="","",الموظفون!$N11*$J11/cfg_DAYS_M)</f>
        <v>1300</v>
      </c>
      <c r="N11" s="116" t="n">
        <f aca="false">IF($B11="","",الموظفون!$O11*$J11/cfg_DAYS_M)</f>
        <v>2500</v>
      </c>
      <c r="O11" s="156" t="n">
        <f aca="false">IF($B11="","",SUMIFS('الحركات الشهرية'!$F$6:$F$1005,'الحركات الشهرية'!$B$6:$B$1005,$B11,'الحركات الشهرية'!$A$6:$A$1005,$C$3))</f>
        <v>0</v>
      </c>
      <c r="P11" s="116" t="n">
        <f aca="false">IF($B11="","",O11*(الموظفون!$P11+الموظفون!$L11*cfg_OT_P)/cfg_DAYS_M/cfg_HRS)</f>
        <v>0</v>
      </c>
      <c r="Q11" s="116" t="n">
        <f aca="false">IF($B11="","",SUMIFS('الحركات الشهرية'!$G$6:$G$1005,'الحركات الشهرية'!$B$6:$B$1005,$B11,'الحركات الشهرية'!$A$6:$A$1005,$C$3))</f>
        <v>6500</v>
      </c>
      <c r="R11" s="116" t="n">
        <f aca="false">IF($B11="","",SUMIFS('الحركات الشهرية'!$H$6:$H$1005,'الحركات الشهرية'!$B$6:$B$1005,$B11,'الحركات الشهرية'!$A$6:$A$1005,$C$3))</f>
        <v>0</v>
      </c>
      <c r="S11" s="116" t="n">
        <f aca="false">IF($B11="","",SUMIFS('سجل الإجازات والحالات'!$N$6:$N$505,'سجل الإجازات والحالات'!$B$6:$B$505,$B11,'سجل الإجازات والحالات'!$O$6:$O$505,$C$3))</f>
        <v>0</v>
      </c>
      <c r="T11" s="157" t="n">
        <f aca="false">IF($B11="","",SUM(K11:N11)+SUM(P11:S11))</f>
        <v>26550</v>
      </c>
      <c r="U11" s="116" t="n">
        <f aca="false">IF($B11="","",الموظفون!$S11*IF(E11="سعودي",cfg_G_SE,cfg_G_NE)*G11/cfg_DAYS_M)</f>
        <v>1584.375</v>
      </c>
      <c r="V11" s="116" t="n">
        <f aca="false">IF($B11="","",SUMIFS('الحركات الشهرية'!$I$6:$I$1005,'الحركات الشهرية'!$B$6:$B$1005,$B11,'الحركات الشهرية'!$A$6:$A$1005,$C$3))</f>
        <v>0</v>
      </c>
      <c r="W11" s="116" t="n">
        <f aca="false">IF($B11="","",SUMIFS('الحركات الشهرية'!$J$6:$J$1005,'الحركات الشهرية'!$B$6:$B$1005,$B11,'الحركات الشهرية'!$A$6:$A$1005,$C$3))</f>
        <v>0</v>
      </c>
      <c r="X11" s="116" t="n">
        <f aca="false">IF($B11="","",SUM(U11:W11))</f>
        <v>1584.375</v>
      </c>
      <c r="Y11" s="158" t="n">
        <f aca="false">IF($B11="","",T11-X11)</f>
        <v>24965.625</v>
      </c>
      <c r="Z11" s="116" t="n">
        <f aca="false">IF($B11="","",الموظفون!$S11*IF(E11="سعودي",cfg_G_SR,cfg_G_NR)*G11/cfg_DAYS_M)</f>
        <v>1909.375</v>
      </c>
      <c r="AA11" s="116" t="n">
        <f aca="false">IF($B11="","",الموظفون!$Q11*(cfg_EOS_R1*(MIN(AH11,cfg_EOS_TH)-MIN(AI11,cfg_EOS_TH))+cfg_EOS_R2*(MAX(AH11-cfg_EOS_TH,0)-MAX(AI11-cfg_EOS_TH,0))))</f>
        <v>1442.46575342468</v>
      </c>
      <c r="AB11" s="116" t="n">
        <f aca="false">IF($B11="","",IF(الموظفون!$T11&lt;&gt;"",الموظفون!$T11,IF(AH11&gt;=cfg_LV_TH,cfg_LV_D2,cfg_LV_D1))/cfg_DAYS_Y*AJ11*الموظفون!$R11/cfg_DAYS_M)</f>
        <v>1442.46575342466</v>
      </c>
      <c r="AC11" s="116" t="n">
        <f aca="false">IF($B11="","",IF(AND(الموظفون!$U11="نعم",N(الموظفون!$W11)&gt;0),الموظفون!$V11/الموظفون!$W11*12/cfg_DAYS_Y*AJ11,0))</f>
        <v>0</v>
      </c>
      <c r="AD11" s="116" t="n">
        <f aca="false">IF($B11="","",(IF(الموظفون!$X11&lt;&gt;"",الموظفون!$X11,IF(الموظفون!$E11="غير سعودي",cfg_IQ,0))+IF(الموظفون!$Y11&lt;&gt;"",الموظفون!$Y11,IF(الموظفون!$E11="غير سعودي",cfg_WP,0)))/12*G11/cfg_DAYS_M)</f>
        <v>0</v>
      </c>
      <c r="AE11" s="116" t="n">
        <f aca="false">IF($B11="","",IF(الموظفون!$Z11&lt;&gt;"",الموظفون!$Z11,cfg_MED)/12*G11/cfg_DAYS_M)</f>
        <v>300</v>
      </c>
      <c r="AF11" s="116" t="n">
        <f aca="false">IF($B11="","",N(الموظفون!$AA11)/12*G11/cfg_DAYS_M)</f>
        <v>0</v>
      </c>
      <c r="AG11" s="159" t="n">
        <f aca="false">IF($B11="","",T11+SUM(Z11:AF11))</f>
        <v>31644.3065068493</v>
      </c>
      <c r="AH11" s="160" t="n">
        <f aca="false">IF($B11="","",MAX(0,IF(OR(الموظفون!$AE11="",الموظفون!$AE11&gt;$F$3),$F$3,الموظفون!$AE11)-الموظفون!$H11+1-SUMIFS('سجل الإجازات والحالات'!$AM$6:$AM$505,'سجل الإجازات والحالات'!$B$6:$B$505,$B11))/cfg_DAYS_Y)</f>
        <v>8.65753424657534</v>
      </c>
      <c r="AI11" s="160" t="n">
        <f aca="false">IF($B11="","",MAX(0,IF(OR(الموظفون!$AE11="",الموظفون!$AE11&gt;($E$3-1)),($E$3-1),الموظفون!$AE11)-الموظفون!$H11+1-SUMIFS('سجل الإجازات والحالات'!$AL$6:$AL$505,'سجل الإجازات والحالات'!$B$6:$B$505,$B11))/cfg_DAYS_Y)</f>
        <v>8.57534246575342</v>
      </c>
      <c r="AJ11" s="133" t="n">
        <f aca="false">IF($B11="","",MAX(0,AK11-(SUMIFS('سجل الإجازات والحالات'!$AM$6:$AM$505,'سجل الإجازات والحالات'!$B$6:$B$505,$B11)-SUMIFS('سجل الإجازات والحالات'!$AL$6:$AL$505,'سجل الإجازات والحالات'!$B$6:$B$505,$B11))))</f>
        <v>30</v>
      </c>
      <c r="AK11" s="133" t="n">
        <f aca="false">IF($B11="","",MAX(0,IF(OR(الموظفون!$AE11="",الموظفون!$AE11&gt;$F$3),$F$3,الموظفون!$AE11)-MAX($E$3,الموظفون!$H11)+1))</f>
        <v>30</v>
      </c>
      <c r="AL11" s="156" t="n">
        <f aca="false">IF($B11="","",SUMIFS('سجل الإجازات والحالات'!$AY$6:$AY$505,'سجل الإجازات والحالات'!$B$6:$B$505,$B11)+SUMIFS('الحركات الشهرية'!$K$6:$K$1005,'الحركات الشهرية'!$B$6:$B$1005,$B11,'الحركات الشهرية'!$A$6:$A$1005,$C$3))</f>
        <v>0</v>
      </c>
      <c r="AM11" s="116" t="n">
        <f aca="false">IF($B11="","",AL11*الموظفون!$R11/cfg_DAYS_M+S11)</f>
        <v>0</v>
      </c>
      <c r="AN11" s="156" t="n">
        <f aca="false">IF($B11="","",SUMIFS('سجل الإجازات والحالات'!$AA$6:$AA$505,'سجل الإجازات والحالات'!$B$6:$B$505,$B11))</f>
        <v>0</v>
      </c>
    </row>
    <row r="12" customFormat="false" ht="15" hidden="false" customHeight="false" outlineLevel="0" collapsed="false">
      <c r="A12" s="106" t="n">
        <f aca="false">IF($B12="","",الموظفون!$A12)</f>
        <v>7</v>
      </c>
      <c r="B12" s="114" t="str">
        <f aca="false">IF(الموظفون!$B12="","",الموظفون!$B12)</f>
        <v>E007</v>
      </c>
      <c r="C12" s="114" t="str">
        <f aca="false">IF($B12="","",الموظفون!$C12)</f>
        <v>خالد يوسف الأحمد</v>
      </c>
      <c r="D12" s="114" t="str">
        <f aca="false">IF($B12="","",الموظفون!$F12)</f>
        <v>المشاريع</v>
      </c>
      <c r="E12" s="114" t="str">
        <f aca="false">IF($B12="","",الموظفون!$E12)</f>
        <v>غير سعودي</v>
      </c>
      <c r="F12" s="114" t="str">
        <f aca="false">IF($B12="","",IF(AK12=0,IF(AND(الموظفون!$AE12&lt;&gt;"",الموظفون!$AE12&lt;$E$3),"✖ منتهي الخدمة","⏳ لم يباشر"),IF(S12&gt;0,"✈ راتب إجازة مقدم",IF(J12=0,"⛔ بدون راتب هذا الشهر",IF(I12&gt;0,"✈ خصم "&amp;ROUND(I12,2)&amp;" يوم بدون أجر",IF(AL12&gt;0,"🌴 إجازة سنوية "&amp;ROUND(AL12,2)&amp;" يوم",IF(H12&gt;0,"⚠ غياب "&amp;ROUND(H12,2)&amp;" يوم","✔ على رأس العمل")))))))</f>
        <v>✔ على رأس العمل</v>
      </c>
      <c r="G12" s="151" t="n">
        <f aca="false">IF($B12="","",IF(AK12&gt;=DAY($F$3),cfg_DAYS_M,MIN(AK12,cfg_DAYS_M)))</f>
        <v>30</v>
      </c>
      <c r="H12" s="151" t="n">
        <f aca="false">IF($B12="","",SUMIFS('الحركات الشهرية'!$D$6:$D$1005,'الحركات الشهرية'!$B$6:$B$1005,$B12,'الحركات الشهرية'!$A$6:$A$1005,$C$3))</f>
        <v>0</v>
      </c>
      <c r="I12" s="151" t="n">
        <f aca="false">IF($B12="","",MIN(G12,IF(AND(AK12&gt;0,AN12&gt;=AK12),G12,AN12)+SUMIFS('الحركات الشهرية'!$E$6:$E$1005,'الحركات الشهرية'!$B$6:$B$1005,$B12,'الحركات الشهرية'!$A$6:$A$1005,$C$3)))</f>
        <v>0</v>
      </c>
      <c r="J12" s="151" t="n">
        <f aca="false">IF($B12="","",MAX(0,G12-H12-I12))</f>
        <v>30</v>
      </c>
      <c r="K12" s="111" t="n">
        <f aca="false">IF($B12="","",الموظفون!$L12*$J12/cfg_DAYS_M)</f>
        <v>11000</v>
      </c>
      <c r="L12" s="111" t="n">
        <f aca="false">IF($B12="","",الموظفون!$M12*$J12/cfg_DAYS_M)</f>
        <v>2750</v>
      </c>
      <c r="M12" s="111" t="n">
        <f aca="false">IF($B12="","",الموظفون!$N12*$J12/cfg_DAYS_M)</f>
        <v>1100</v>
      </c>
      <c r="N12" s="111" t="n">
        <f aca="false">IF($B12="","",الموظفون!$O12*$J12/cfg_DAYS_M)</f>
        <v>800</v>
      </c>
      <c r="O12" s="151" t="n">
        <f aca="false">IF($B12="","",SUMIFS('الحركات الشهرية'!$F$6:$F$1005,'الحركات الشهرية'!$B$6:$B$1005,$B12,'الحركات الشهرية'!$A$6:$A$1005,$C$3))</f>
        <v>0</v>
      </c>
      <c r="P12" s="111" t="n">
        <f aca="false">IF($B12="","",O12*(الموظفون!$P12+الموظفون!$L12*cfg_OT_P)/cfg_DAYS_M/cfg_HRS)</f>
        <v>0</v>
      </c>
      <c r="Q12" s="111" t="n">
        <f aca="false">IF($B12="","",SUMIFS('الحركات الشهرية'!$G$6:$G$1005,'الحركات الشهرية'!$B$6:$B$1005,$B12,'الحركات الشهرية'!$A$6:$A$1005,$C$3))</f>
        <v>0</v>
      </c>
      <c r="R12" s="111" t="n">
        <f aca="false">IF($B12="","",SUMIFS('الحركات الشهرية'!$H$6:$H$1005,'الحركات الشهرية'!$B$6:$B$1005,$B12,'الحركات الشهرية'!$A$6:$A$1005,$C$3))</f>
        <v>0</v>
      </c>
      <c r="S12" s="111" t="n">
        <f aca="false">IF($B12="","",SUMIFS('سجل الإجازات والحالات'!$N$6:$N$505,'سجل الإجازات والحالات'!$B$6:$B$505,$B12,'سجل الإجازات والحالات'!$O$6:$O$505,$C$3))</f>
        <v>0</v>
      </c>
      <c r="T12" s="152" t="n">
        <f aca="false">IF($B12="","",SUM(K12:N12)+SUM(P12:S12))</f>
        <v>15650</v>
      </c>
      <c r="U12" s="111" t="n">
        <f aca="false">IF($B12="","",الموظفون!$S12*IF(E12="سعودي",cfg_G_SE,cfg_G_NE)*G12/cfg_DAYS_M)</f>
        <v>0</v>
      </c>
      <c r="V12" s="111" t="n">
        <f aca="false">IF($B12="","",SUMIFS('الحركات الشهرية'!$I$6:$I$1005,'الحركات الشهرية'!$B$6:$B$1005,$B12,'الحركات الشهرية'!$A$6:$A$1005,$C$3))</f>
        <v>0</v>
      </c>
      <c r="W12" s="111" t="n">
        <f aca="false">IF($B12="","",SUMIFS('الحركات الشهرية'!$J$6:$J$1005,'الحركات الشهرية'!$B$6:$B$1005,$B12,'الحركات الشهرية'!$A$6:$A$1005,$C$3))</f>
        <v>0</v>
      </c>
      <c r="X12" s="111" t="n">
        <f aca="false">IF($B12="","",SUM(U12:W12))</f>
        <v>0</v>
      </c>
      <c r="Y12" s="153" t="n">
        <f aca="false">IF($B12="","",T12-X12)</f>
        <v>15650</v>
      </c>
      <c r="Z12" s="111" t="n">
        <f aca="false">IF($B12="","",الموظفون!$S12*IF(E12="سعودي",cfg_G_SR,cfg_G_NR)*G12/cfg_DAYS_M)</f>
        <v>275</v>
      </c>
      <c r="AA12" s="111" t="n">
        <f aca="false">IF($B12="","",الموظفون!$Q12*(cfg_EOS_R1*(MIN(AH12,cfg_EOS_TH)-MIN(AI12,cfg_EOS_TH))+cfg_EOS_R2*(MAX(AH12-cfg_EOS_TH,0)-MAX(AI12-cfg_EOS_TH,0))))</f>
        <v>1220.54794520548</v>
      </c>
      <c r="AB12" s="111" t="n">
        <f aca="false">IF($B12="","",IF(الموظفون!$T12&lt;&gt;"",الموظفون!$T12,IF(AH12&gt;=cfg_LV_TH,cfg_LV_D2,cfg_LV_D1))/cfg_DAYS_Y*AJ12*الموظفون!$R12/cfg_DAYS_M)</f>
        <v>1220.54794520548</v>
      </c>
      <c r="AC12" s="111" t="n">
        <f aca="false">IF($B12="","",IF(AND(الموظفون!$U12="نعم",N(الموظفون!$W12)&gt;0),الموظفون!$V12/الموظفون!$W12*12/cfg_DAYS_Y*AJ12,0))</f>
        <v>369.86301369863</v>
      </c>
      <c r="AD12" s="111" t="n">
        <f aca="false">IF($B12="","",(IF(الموظفون!$X12&lt;&gt;"",الموظفون!$X12,IF(الموظفون!$E12="غير سعودي",cfg_IQ,0))+IF(الموظفون!$Y12&lt;&gt;"",الموظفون!$Y12,IF(الموظفون!$E12="غير سعودي",cfg_WP,0)))/12*G12/cfg_DAYS_M)</f>
        <v>854.166666666667</v>
      </c>
      <c r="AE12" s="111" t="n">
        <f aca="false">IF($B12="","",IF(الموظفون!$Z12&lt;&gt;"",الموظفون!$Z12,cfg_MED)/12*G12/cfg_DAYS_M)</f>
        <v>200</v>
      </c>
      <c r="AF12" s="111" t="n">
        <f aca="false">IF($B12="","",N(الموظفون!$AA12)/12*G12/cfg_DAYS_M)</f>
        <v>400</v>
      </c>
      <c r="AG12" s="154" t="n">
        <f aca="false">IF($B12="","",T12+SUM(Z12:AF12))</f>
        <v>20190.1255707763</v>
      </c>
      <c r="AH12" s="155" t="n">
        <f aca="false">IF($B12="","",MAX(0,IF(OR(الموظفون!$AE12="",الموظفون!$AE12&gt;$F$3),$F$3,الموظفون!$AE12)-الموظفون!$H12+1-SUMIFS('سجل الإجازات والحالات'!$AM$6:$AM$505,'سجل الإجازات والحالات'!$B$6:$B$505,$B12))/cfg_DAYS_Y)</f>
        <v>5.44657534246575</v>
      </c>
      <c r="AI12" s="155" t="n">
        <f aca="false">IF($B12="","",MAX(0,IF(OR(الموظفون!$AE12="",الموظفون!$AE12&gt;($E$3-1)),($E$3-1),الموظفون!$AE12)-الموظفون!$H12+1-SUMIFS('سجل الإجازات والحالات'!$AL$6:$AL$505,'سجل الإجازات والحالات'!$B$6:$B$505,$B12))/cfg_DAYS_Y)</f>
        <v>5.36438356164384</v>
      </c>
      <c r="AJ12" s="65" t="n">
        <f aca="false">IF($B12="","",MAX(0,AK12-(SUMIFS('سجل الإجازات والحالات'!$AM$6:$AM$505,'سجل الإجازات والحالات'!$B$6:$B$505,$B12)-SUMIFS('سجل الإجازات والحالات'!$AL$6:$AL$505,'سجل الإجازات والحالات'!$B$6:$B$505,$B12))))</f>
        <v>30</v>
      </c>
      <c r="AK12" s="65" t="n">
        <f aca="false">IF($B12="","",MAX(0,IF(OR(الموظفون!$AE12="",الموظفون!$AE12&gt;$F$3),$F$3,الموظفون!$AE12)-MAX($E$3,الموظفون!$H12)+1))</f>
        <v>30</v>
      </c>
      <c r="AL12" s="151" t="n">
        <f aca="false">IF($B12="","",SUMIFS('سجل الإجازات والحالات'!$AY$6:$AY$505,'سجل الإجازات والحالات'!$B$6:$B$505,$B12)+SUMIFS('الحركات الشهرية'!$K$6:$K$1005,'الحركات الشهرية'!$B$6:$B$1005,$B12,'الحركات الشهرية'!$A$6:$A$1005,$C$3))</f>
        <v>0</v>
      </c>
      <c r="AM12" s="111" t="n">
        <f aca="false">IF($B12="","",AL12*الموظفون!$R12/cfg_DAYS_M+S12)</f>
        <v>0</v>
      </c>
      <c r="AN12" s="151" t="n">
        <f aca="false">IF($B12="","",SUMIFS('سجل الإجازات والحالات'!$AA$6:$AA$505,'سجل الإجازات والحالات'!$B$6:$B$505,$B12))</f>
        <v>0</v>
      </c>
    </row>
    <row r="13" customFormat="false" ht="15" hidden="false" customHeight="false" outlineLevel="0" collapsed="false">
      <c r="A13" s="115" t="n">
        <f aca="false">IF($B13="","",الموظفون!$A13)</f>
        <v>8</v>
      </c>
      <c r="B13" s="117" t="str">
        <f aca="false">IF(الموظفون!$B13="","",الموظفون!$B13)</f>
        <v>E008</v>
      </c>
      <c r="C13" s="117" t="str">
        <f aca="false">IF($B13="","",الموظفون!$C13)</f>
        <v>سارة عبدالرحمن الزهراني</v>
      </c>
      <c r="D13" s="117" t="str">
        <f aca="false">IF($B13="","",الموظفون!$F13)</f>
        <v>المالية</v>
      </c>
      <c r="E13" s="117" t="str">
        <f aca="false">IF($B13="","",الموظفون!$E13)</f>
        <v>سعودي</v>
      </c>
      <c r="F13" s="117" t="str">
        <f aca="false">IF($B13="","",IF(AK13=0,IF(AND(الموظفون!$AE13&lt;&gt;"",الموظفون!$AE13&lt;$E$3),"✖ منتهي الخدمة","⏳ لم يباشر"),IF(S13&gt;0,"✈ راتب إجازة مقدم",IF(J13=0,"⛔ بدون راتب هذا الشهر",IF(I13&gt;0,"✈ خصم "&amp;ROUND(I13,2)&amp;" يوم بدون أجر",IF(AL13&gt;0,"🌴 إجازة سنوية "&amp;ROUND(AL13,2)&amp;" يوم",IF(H13&gt;0,"⚠ غياب "&amp;ROUND(H13,2)&amp;" يوم","✔ على رأس العمل")))))))</f>
        <v>✔ على رأس العمل</v>
      </c>
      <c r="G13" s="156" t="n">
        <f aca="false">IF($B13="","",IF(AK13&gt;=DAY($F$3),cfg_DAYS_M,MIN(AK13,cfg_DAYS_M)))</f>
        <v>30</v>
      </c>
      <c r="H13" s="156" t="n">
        <f aca="false">IF($B13="","",SUMIFS('الحركات الشهرية'!$D$6:$D$1005,'الحركات الشهرية'!$B$6:$B$1005,$B13,'الحركات الشهرية'!$A$6:$A$1005,$C$3))</f>
        <v>0</v>
      </c>
      <c r="I13" s="156" t="n">
        <f aca="false">IF($B13="","",MIN(G13,IF(AND(AK13&gt;0,AN13&gt;=AK13),G13,AN13)+SUMIFS('الحركات الشهرية'!$E$6:$E$1005,'الحركات الشهرية'!$B$6:$B$1005,$B13,'الحركات الشهرية'!$A$6:$A$1005,$C$3)))</f>
        <v>0</v>
      </c>
      <c r="J13" s="156" t="n">
        <f aca="false">IF($B13="","",MAX(0,G13-H13-I13))</f>
        <v>30</v>
      </c>
      <c r="K13" s="116" t="n">
        <f aca="false">IF($B13="","",الموظفون!$L13*$J13/cfg_DAYS_M)</f>
        <v>7500</v>
      </c>
      <c r="L13" s="116" t="n">
        <f aca="false">IF($B13="","",الموظفون!$M13*$J13/cfg_DAYS_M)</f>
        <v>1875</v>
      </c>
      <c r="M13" s="116" t="n">
        <f aca="false">IF($B13="","",الموظفون!$N13*$J13/cfg_DAYS_M)</f>
        <v>750</v>
      </c>
      <c r="N13" s="116" t="n">
        <f aca="false">IF($B13="","",الموظفون!$O13*$J13/cfg_DAYS_M)</f>
        <v>0</v>
      </c>
      <c r="O13" s="156" t="n">
        <f aca="false">IF($B13="","",SUMIFS('الحركات الشهرية'!$F$6:$F$1005,'الحركات الشهرية'!$B$6:$B$1005,$B13,'الحركات الشهرية'!$A$6:$A$1005,$C$3))</f>
        <v>0</v>
      </c>
      <c r="P13" s="116" t="n">
        <f aca="false">IF($B13="","",O13*(الموظفون!$P13+الموظفون!$L13*cfg_OT_P)/cfg_DAYS_M/cfg_HRS)</f>
        <v>0</v>
      </c>
      <c r="Q13" s="116" t="n">
        <f aca="false">IF($B13="","",SUMIFS('الحركات الشهرية'!$G$6:$G$1005,'الحركات الشهرية'!$B$6:$B$1005,$B13,'الحركات الشهرية'!$A$6:$A$1005,$C$3))</f>
        <v>0</v>
      </c>
      <c r="R13" s="116" t="n">
        <f aca="false">IF($B13="","",SUMIFS('الحركات الشهرية'!$H$6:$H$1005,'الحركات الشهرية'!$B$6:$B$1005,$B13,'الحركات الشهرية'!$A$6:$A$1005,$C$3))</f>
        <v>0</v>
      </c>
      <c r="S13" s="116" t="n">
        <f aca="false">IF($B13="","",SUMIFS('سجل الإجازات والحالات'!$N$6:$N$505,'سجل الإجازات والحالات'!$B$6:$B$505,$B13,'سجل الإجازات والحالات'!$O$6:$O$505,$C$3))</f>
        <v>0</v>
      </c>
      <c r="T13" s="157" t="n">
        <f aca="false">IF($B13="","",SUM(K13:N13)+SUM(P13:S13))</f>
        <v>10125</v>
      </c>
      <c r="U13" s="116" t="n">
        <f aca="false">IF($B13="","",الموظفون!$S13*IF(E13="سعودي",cfg_G_SE,cfg_G_NE)*G13/cfg_DAYS_M)</f>
        <v>914.0625</v>
      </c>
      <c r="V13" s="116" t="n">
        <f aca="false">IF($B13="","",SUMIFS('الحركات الشهرية'!$I$6:$I$1005,'الحركات الشهرية'!$B$6:$B$1005,$B13,'الحركات الشهرية'!$A$6:$A$1005,$C$3))</f>
        <v>0</v>
      </c>
      <c r="W13" s="116" t="n">
        <f aca="false">IF($B13="","",SUMIFS('الحركات الشهرية'!$J$6:$J$1005,'الحركات الشهرية'!$B$6:$B$1005,$B13,'الحركات الشهرية'!$A$6:$A$1005,$C$3))</f>
        <v>0</v>
      </c>
      <c r="X13" s="116" t="n">
        <f aca="false">IF($B13="","",SUM(U13:W13))</f>
        <v>914.0625</v>
      </c>
      <c r="Y13" s="158" t="n">
        <f aca="false">IF($B13="","",T13-X13)</f>
        <v>9210.9375</v>
      </c>
      <c r="Z13" s="116" t="n">
        <f aca="false">IF($B13="","",الموظفون!$S13*IF(E13="سعودي",cfg_G_SR,cfg_G_NR)*G13/cfg_DAYS_M)</f>
        <v>1101.5625</v>
      </c>
      <c r="AA13" s="116" t="n">
        <f aca="false">IF($B13="","",الموظفون!$Q13*(cfg_EOS_R1*(MIN(AH13,cfg_EOS_TH)-MIN(AI13,cfg_EOS_TH))+cfg_EOS_R2*(MAX(AH13-cfg_EOS_TH,0)-MAX(AI13-cfg_EOS_TH,0))))</f>
        <v>416.095890410958</v>
      </c>
      <c r="AB13" s="116" t="n">
        <f aca="false">IF($B13="","",IF(الموظفون!$T13&lt;&gt;"",الموظفون!$T13,IF(AH13&gt;=cfg_LV_TH,cfg_LV_D2,cfg_LV_D1))/cfg_DAYS_Y*AJ13*الموظفون!$R13/cfg_DAYS_M)</f>
        <v>582.534246575342</v>
      </c>
      <c r="AC13" s="116" t="n">
        <f aca="false">IF($B13="","",IF(AND(الموظفون!$U13="نعم",N(الموظفون!$W13)&gt;0),الموظفون!$V13/الموظفون!$W13*12/cfg_DAYS_Y*AJ13,0))</f>
        <v>0</v>
      </c>
      <c r="AD13" s="116" t="n">
        <f aca="false">IF($B13="","",(IF(الموظفون!$X13&lt;&gt;"",الموظفون!$X13,IF(الموظفون!$E13="غير سعودي",cfg_IQ,0))+IF(الموظفون!$Y13&lt;&gt;"",الموظفون!$Y13,IF(الموظفون!$E13="غير سعودي",cfg_WP,0)))/12*G13/cfg_DAYS_M)</f>
        <v>0</v>
      </c>
      <c r="AE13" s="116" t="n">
        <f aca="false">IF($B13="","",IF(الموظفون!$Z13&lt;&gt;"",الموظفون!$Z13,cfg_MED)/12*G13/cfg_DAYS_M)</f>
        <v>200</v>
      </c>
      <c r="AF13" s="116" t="n">
        <f aca="false">IF($B13="","",N(الموظفون!$AA13)/12*G13/cfg_DAYS_M)</f>
        <v>0</v>
      </c>
      <c r="AG13" s="159" t="n">
        <f aca="false">IF($B13="","",T13+SUM(Z13:AF13))</f>
        <v>12425.1926369863</v>
      </c>
      <c r="AH13" s="160" t="n">
        <f aca="false">IF($B13="","",MAX(0,IF(OR(الموظفون!$AE13="",الموظفون!$AE13&gt;$F$3),$F$3,الموظفون!$AE13)-الموظفون!$H13+1-SUMIFS('سجل الإجازات والحالات'!$AM$6:$AM$505,'سجل الإجازات والحالات'!$B$6:$B$505,$B13))/cfg_DAYS_Y)</f>
        <v>3.33698630136986</v>
      </c>
      <c r="AI13" s="160" t="n">
        <f aca="false">IF($B13="","",MAX(0,IF(OR(الموظفون!$AE13="",الموظفون!$AE13&gt;($E$3-1)),($E$3-1),الموظفون!$AE13)-الموظفون!$H13+1-SUMIFS('سجل الإجازات والحالات'!$AL$6:$AL$505,'سجل الإجازات والحالات'!$B$6:$B$505,$B13))/cfg_DAYS_Y)</f>
        <v>3.25479452054795</v>
      </c>
      <c r="AJ13" s="133" t="n">
        <f aca="false">IF($B13="","",MAX(0,AK13-(SUMIFS('سجل الإجازات والحالات'!$AM$6:$AM$505,'سجل الإجازات والحالات'!$B$6:$B$505,$B13)-SUMIFS('سجل الإجازات والحالات'!$AL$6:$AL$505,'سجل الإجازات والحالات'!$B$6:$B$505,$B13))))</f>
        <v>30</v>
      </c>
      <c r="AK13" s="133" t="n">
        <f aca="false">IF($B13="","",MAX(0,IF(OR(الموظفون!$AE13="",الموظفون!$AE13&gt;$F$3),$F$3,الموظفون!$AE13)-MAX($E$3,الموظفون!$H13)+1))</f>
        <v>30</v>
      </c>
      <c r="AL13" s="156" t="n">
        <f aca="false">IF($B13="","",SUMIFS('سجل الإجازات والحالات'!$AY$6:$AY$505,'سجل الإجازات والحالات'!$B$6:$B$505,$B13)+SUMIFS('الحركات الشهرية'!$K$6:$K$1005,'الحركات الشهرية'!$B$6:$B$1005,$B13,'الحركات الشهرية'!$A$6:$A$1005,$C$3))</f>
        <v>0</v>
      </c>
      <c r="AM13" s="116" t="n">
        <f aca="false">IF($B13="","",AL13*الموظفون!$R13/cfg_DAYS_M+S13)</f>
        <v>0</v>
      </c>
      <c r="AN13" s="156" t="n">
        <f aca="false">IF($B13="","",SUMIFS('سجل الإجازات والحالات'!$AA$6:$AA$505,'سجل الإجازات والحالات'!$B$6:$B$505,$B13))</f>
        <v>0</v>
      </c>
    </row>
    <row r="14" customFormat="false" ht="15" hidden="false" customHeight="false" outlineLevel="0" collapsed="false">
      <c r="A14" s="106" t="n">
        <f aca="false">IF($B14="","",الموظفون!$A14)</f>
        <v>9</v>
      </c>
      <c r="B14" s="114" t="str">
        <f aca="false">IF(الموظفون!$B14="","",الموظفون!$B14)</f>
        <v>E009</v>
      </c>
      <c r="C14" s="114" t="str">
        <f aca="false">IF($B14="","",الموظفون!$C14)</f>
        <v>محمد رفيق</v>
      </c>
      <c r="D14" s="114" t="str">
        <f aca="false">IF($B14="","",الموظفون!$F14)</f>
        <v>العمليات</v>
      </c>
      <c r="E14" s="114" t="str">
        <f aca="false">IF($B14="","",الموظفون!$E14)</f>
        <v>غير سعودي</v>
      </c>
      <c r="F14" s="114" t="str">
        <f aca="false">IF($B14="","",IF(AK14=0,IF(AND(الموظفون!$AE14&lt;&gt;"",الموظفون!$AE14&lt;$E$3),"✖ منتهي الخدمة","⏳ لم يباشر"),IF(S14&gt;0,"✈ راتب إجازة مقدم",IF(J14=0,"⛔ بدون راتب هذا الشهر",IF(I14&gt;0,"✈ خصم "&amp;ROUND(I14,2)&amp;" يوم بدون أجر",IF(AL14&gt;0,"🌴 إجازة سنوية "&amp;ROUND(AL14,2)&amp;" يوم",IF(H14&gt;0,"⚠ غياب "&amp;ROUND(H14,2)&amp;" يوم","✔ على رأس العمل")))))))</f>
        <v>✈ راتب إجازة مقدم</v>
      </c>
      <c r="G14" s="151" t="n">
        <f aca="false">IF($B14="","",IF(AK14&gt;=DAY($F$3),cfg_DAYS_M,MIN(AK14,cfg_DAYS_M)))</f>
        <v>30</v>
      </c>
      <c r="H14" s="151" t="n">
        <f aca="false">IF($B14="","",SUMIFS('الحركات الشهرية'!$D$6:$D$1005,'الحركات الشهرية'!$B$6:$B$1005,$B14,'الحركات الشهرية'!$A$6:$A$1005,$C$3))</f>
        <v>0</v>
      </c>
      <c r="I14" s="151" t="n">
        <f aca="false">IF($B14="","",MIN(G14,IF(AND(AK14&gt;0,AN14&gt;=AK14),G14,AN14)+SUMIFS('الحركات الشهرية'!$E$6:$E$1005,'الحركات الشهرية'!$B$6:$B$1005,$B14,'الحركات الشهرية'!$A$6:$A$1005,$C$3)))</f>
        <v>30</v>
      </c>
      <c r="J14" s="151" t="n">
        <f aca="false">IF($B14="","",MAX(0,G14-H14-I14))</f>
        <v>0</v>
      </c>
      <c r="K14" s="111" t="n">
        <f aca="false">IF($B14="","",الموظفون!$L14*$J14/cfg_DAYS_M)</f>
        <v>0</v>
      </c>
      <c r="L14" s="111" t="n">
        <f aca="false">IF($B14="","",الموظفون!$M14*$J14/cfg_DAYS_M)</f>
        <v>0</v>
      </c>
      <c r="M14" s="111" t="n">
        <f aca="false">IF($B14="","",الموظفون!$N14*$J14/cfg_DAYS_M)</f>
        <v>0</v>
      </c>
      <c r="N14" s="111" t="n">
        <f aca="false">IF($B14="","",الموظفون!$O14*$J14/cfg_DAYS_M)</f>
        <v>0</v>
      </c>
      <c r="O14" s="151" t="n">
        <f aca="false">IF($B14="","",SUMIFS('الحركات الشهرية'!$F$6:$F$1005,'الحركات الشهرية'!$B$6:$B$1005,$B14,'الحركات الشهرية'!$A$6:$A$1005,$C$3))</f>
        <v>0</v>
      </c>
      <c r="P14" s="111" t="n">
        <f aca="false">IF($B14="","",O14*(الموظفون!$P14+الموظفون!$L14*cfg_OT_P)/cfg_DAYS_M/cfg_HRS)</f>
        <v>0</v>
      </c>
      <c r="Q14" s="111" t="n">
        <f aca="false">IF($B14="","",SUMIFS('الحركات الشهرية'!$G$6:$G$1005,'الحركات الشهرية'!$B$6:$B$1005,$B14,'الحركات الشهرية'!$A$6:$A$1005,$C$3))</f>
        <v>0</v>
      </c>
      <c r="R14" s="111" t="n">
        <f aca="false">IF($B14="","",SUMIFS('الحركات الشهرية'!$H$6:$H$1005,'الحركات الشهرية'!$B$6:$B$1005,$B14,'الحركات الشهرية'!$A$6:$A$1005,$C$3))</f>
        <v>0</v>
      </c>
      <c r="S14" s="111" t="n">
        <f aca="false">IF($B14="","",SUMIFS('سجل الإجازات والحالات'!$N$6:$N$505,'سجل الإجازات والحالات'!$B$6:$B$505,$B14,'سجل الإجازات والحالات'!$O$6:$O$505,$C$3))</f>
        <v>8775</v>
      </c>
      <c r="T14" s="152" t="n">
        <f aca="false">IF($B14="","",SUM(K14:N14)+SUM(P14:S14))</f>
        <v>8775</v>
      </c>
      <c r="U14" s="111" t="n">
        <f aca="false">IF($B14="","",الموظفون!$S14*IF(E14="سعودي",cfg_G_SE,cfg_G_NE)*G14/cfg_DAYS_M)</f>
        <v>0</v>
      </c>
      <c r="V14" s="111" t="n">
        <f aca="false">IF($B14="","",SUMIFS('الحركات الشهرية'!$I$6:$I$1005,'الحركات الشهرية'!$B$6:$B$1005,$B14,'الحركات الشهرية'!$A$6:$A$1005,$C$3))</f>
        <v>0</v>
      </c>
      <c r="W14" s="111" t="n">
        <f aca="false">IF($B14="","",SUMIFS('الحركات الشهرية'!$J$6:$J$1005,'الحركات الشهرية'!$B$6:$B$1005,$B14,'الحركات الشهرية'!$A$6:$A$1005,$C$3))</f>
        <v>0</v>
      </c>
      <c r="X14" s="111" t="n">
        <f aca="false">IF($B14="","",SUM(U14:W14))</f>
        <v>0</v>
      </c>
      <c r="Y14" s="153" t="n">
        <f aca="false">IF($B14="","",T14-X14)</f>
        <v>8775</v>
      </c>
      <c r="Z14" s="111" t="n">
        <f aca="false">IF($B14="","",الموظفون!$S14*IF(E14="سعودي",cfg_G_SR,cfg_G_NR)*G14/cfg_DAYS_M)</f>
        <v>162.5</v>
      </c>
      <c r="AA14" s="111" t="n">
        <f aca="false">IF($B14="","",الموظفون!$Q14*(cfg_EOS_R1*(MIN(AH14,cfg_EOS_TH)-MIN(AI14,cfg_EOS_TH))+cfg_EOS_R2*(MAX(AH14-cfg_EOS_TH,0)-MAX(AI14-cfg_EOS_TH,0))))</f>
        <v>721.232876712324</v>
      </c>
      <c r="AB14" s="111" t="n">
        <f aca="false">IF($B14="","",IF(الموظفون!$T14&lt;&gt;"",الموظفون!$T14,IF(AH14&gt;=cfg_LV_TH,cfg_LV_D2,cfg_LV_D1))/cfg_DAYS_Y*AJ14*الموظفون!$R14/cfg_DAYS_M)</f>
        <v>721.232876712329</v>
      </c>
      <c r="AC14" s="111" t="n">
        <f aca="false">IF($B14="","",IF(AND(الموظفون!$U14="نعم",N(الموظفون!$W14)&gt;0),الموظفون!$V14/الموظفون!$W14*12/cfg_DAYS_Y*AJ14,0))</f>
        <v>90.4109589041096</v>
      </c>
      <c r="AD14" s="111" t="n">
        <f aca="false">IF($B14="","",(IF(الموظفون!$X14&lt;&gt;"",الموظفون!$X14,IF(الموظفون!$E14="غير سعودي",cfg_IQ,0))+IF(الموظفون!$Y14&lt;&gt;"",الموظفون!$Y14,IF(الموظفون!$E14="غير سعودي",cfg_WP,0)))/12*G14/cfg_DAYS_M)</f>
        <v>854.166666666667</v>
      </c>
      <c r="AE14" s="111" t="n">
        <f aca="false">IF($B14="","",IF(الموظفون!$Z14&lt;&gt;"",الموظفون!$Z14,cfg_MED)/12*G14/cfg_DAYS_M)</f>
        <v>150</v>
      </c>
      <c r="AF14" s="111" t="n">
        <f aca="false">IF($B14="","",N(الموظفون!$AA14)/12*G14/cfg_DAYS_M)</f>
        <v>0</v>
      </c>
      <c r="AG14" s="154" t="n">
        <f aca="false">IF($B14="","",T14+SUM(Z14:AF14))</f>
        <v>11474.5433789954</v>
      </c>
      <c r="AH14" s="155" t="n">
        <f aca="false">IF($B14="","",MAX(0,IF(OR(الموظفون!$AE14="",الموظفون!$AE14&gt;$F$3),$F$3,الموظفون!$AE14)-الموظفون!$H14+1-SUMIFS('سجل الإجازات والحالات'!$AM$6:$AM$505,'سجل الإجازات والحالات'!$B$6:$B$505,$B14))/cfg_DAYS_Y)</f>
        <v>11.8767123287671</v>
      </c>
      <c r="AI14" s="155" t="n">
        <f aca="false">IF($B14="","",MAX(0,IF(OR(الموظفون!$AE14="",الموظفون!$AE14&gt;($E$3-1)),($E$3-1),الموظفون!$AE14)-الموظفون!$H14+1-SUMIFS('سجل الإجازات والحالات'!$AL$6:$AL$505,'سجل الإجازات والحالات'!$B$6:$B$505,$B14))/cfg_DAYS_Y)</f>
        <v>11.7945205479452</v>
      </c>
      <c r="AJ14" s="65" t="n">
        <f aca="false">IF($B14="","",MAX(0,AK14-(SUMIFS('سجل الإجازات والحالات'!$AM$6:$AM$505,'سجل الإجازات والحالات'!$B$6:$B$505,$B14)-SUMIFS('سجل الإجازات والحالات'!$AL$6:$AL$505,'سجل الإجازات والحالات'!$B$6:$B$505,$B14))))</f>
        <v>30</v>
      </c>
      <c r="AK14" s="65" t="n">
        <f aca="false">IF($B14="","",MAX(0,IF(OR(الموظفون!$AE14="",الموظفون!$AE14&gt;$F$3),$F$3,الموظفون!$AE14)-MAX($E$3,الموظفون!$H14)+1))</f>
        <v>30</v>
      </c>
      <c r="AL14" s="151" t="n">
        <f aca="false">IF($B14="","",SUMIFS('سجل الإجازات والحالات'!$AY$6:$AY$505,'سجل الإجازات والحالات'!$B$6:$B$505,$B14)+SUMIFS('الحركات الشهرية'!$K$6:$K$1005,'الحركات الشهرية'!$B$6:$B$1005,$B14,'الحركات الشهرية'!$A$6:$A$1005,$C$3))</f>
        <v>0</v>
      </c>
      <c r="AM14" s="111" t="n">
        <f aca="false">IF($B14="","",AL14*الموظفون!$R14/cfg_DAYS_M+S14)</f>
        <v>8775</v>
      </c>
      <c r="AN14" s="151" t="n">
        <f aca="false">IF($B14="","",SUMIFS('سجل الإجازات والحالات'!$AA$6:$AA$505,'سجل الإجازات والحالات'!$B$6:$B$505,$B14))</f>
        <v>30</v>
      </c>
    </row>
    <row r="15" customFormat="false" ht="15" hidden="false" customHeight="false" outlineLevel="0" collapsed="false">
      <c r="A15" s="115" t="n">
        <f aca="false">IF($B15="","",الموظفون!$A15)</f>
        <v>10</v>
      </c>
      <c r="B15" s="117" t="str">
        <f aca="false">IF(الموظفون!$B15="","",الموظفون!$B15)</f>
        <v>E010</v>
      </c>
      <c r="C15" s="117" t="str">
        <f aca="false">IF($B15="","",الموظفون!$C15)</f>
        <v>ريم سلطان المطيري</v>
      </c>
      <c r="D15" s="117" t="str">
        <f aca="false">IF($B15="","",الموظفون!$F15)</f>
        <v>المبيعات</v>
      </c>
      <c r="E15" s="117" t="str">
        <f aca="false">IF($B15="","",الموظفون!$E15)</f>
        <v>سعودي</v>
      </c>
      <c r="F15" s="117" t="str">
        <f aca="false">IF($B15="","",IF(AK15=0,IF(AND(الموظفون!$AE15&lt;&gt;"",الموظفون!$AE15&lt;$E$3),"✖ منتهي الخدمة","⏳ لم يباشر"),IF(S15&gt;0,"✈ راتب إجازة مقدم",IF(J15=0,"⛔ بدون راتب هذا الشهر",IF(I15&gt;0,"✈ خصم "&amp;ROUND(I15,2)&amp;" يوم بدون أجر",IF(AL15&gt;0,"🌴 إجازة سنوية "&amp;ROUND(AL15,2)&amp;" يوم",IF(H15&gt;0,"⚠ غياب "&amp;ROUND(H15,2)&amp;" يوم","✔ على رأس العمل")))))))</f>
        <v>✔ على رأس العمل</v>
      </c>
      <c r="G15" s="156" t="n">
        <f aca="false">IF($B15="","",IF(AK15&gt;=DAY($F$3),cfg_DAYS_M,MIN(AK15,cfg_DAYS_M)))</f>
        <v>30</v>
      </c>
      <c r="H15" s="156" t="n">
        <f aca="false">IF($B15="","",SUMIFS('الحركات الشهرية'!$D$6:$D$1005,'الحركات الشهرية'!$B$6:$B$1005,$B15,'الحركات الشهرية'!$A$6:$A$1005,$C$3))</f>
        <v>0</v>
      </c>
      <c r="I15" s="156" t="n">
        <f aca="false">IF($B15="","",MIN(G15,IF(AND(AK15&gt;0,AN15&gt;=AK15),G15,AN15)+SUMIFS('الحركات الشهرية'!$E$6:$E$1005,'الحركات الشهرية'!$B$6:$B$1005,$B15,'الحركات الشهرية'!$A$6:$A$1005,$C$3)))</f>
        <v>0</v>
      </c>
      <c r="J15" s="156" t="n">
        <f aca="false">IF($B15="","",MAX(0,G15-H15-I15))</f>
        <v>30</v>
      </c>
      <c r="K15" s="116" t="n">
        <f aca="false">IF($B15="","",الموظفون!$L15*$J15/cfg_DAYS_M)</f>
        <v>9000</v>
      </c>
      <c r="L15" s="116" t="n">
        <f aca="false">IF($B15="","",الموظفون!$M15*$J15/cfg_DAYS_M)</f>
        <v>2250</v>
      </c>
      <c r="M15" s="116" t="n">
        <f aca="false">IF($B15="","",الموظفون!$N15*$J15/cfg_DAYS_M)</f>
        <v>900</v>
      </c>
      <c r="N15" s="116" t="n">
        <f aca="false">IF($B15="","",الموظفون!$O15*$J15/cfg_DAYS_M)</f>
        <v>0</v>
      </c>
      <c r="O15" s="156" t="n">
        <f aca="false">IF($B15="","",SUMIFS('الحركات الشهرية'!$F$6:$F$1005,'الحركات الشهرية'!$B$6:$B$1005,$B15,'الحركات الشهرية'!$A$6:$A$1005,$C$3))</f>
        <v>0</v>
      </c>
      <c r="P15" s="116" t="n">
        <f aca="false">IF($B15="","",O15*(الموظفون!$P15+الموظفون!$L15*cfg_OT_P)/cfg_DAYS_M/cfg_HRS)</f>
        <v>0</v>
      </c>
      <c r="Q15" s="116" t="n">
        <f aca="false">IF($B15="","",SUMIFS('الحركات الشهرية'!$G$6:$G$1005,'الحركات الشهرية'!$B$6:$B$1005,$B15,'الحركات الشهرية'!$A$6:$A$1005,$C$3))</f>
        <v>0</v>
      </c>
      <c r="R15" s="116" t="n">
        <f aca="false">IF($B15="","",SUMIFS('الحركات الشهرية'!$H$6:$H$1005,'الحركات الشهرية'!$B$6:$B$1005,$B15,'الحركات الشهرية'!$A$6:$A$1005,$C$3))</f>
        <v>0</v>
      </c>
      <c r="S15" s="116" t="n">
        <f aca="false">IF($B15="","",SUMIFS('سجل الإجازات والحالات'!$N$6:$N$505,'سجل الإجازات والحالات'!$B$6:$B$505,$B15,'سجل الإجازات والحالات'!$O$6:$O$505,$C$3))</f>
        <v>0</v>
      </c>
      <c r="T15" s="157" t="n">
        <f aca="false">IF($B15="","",SUM(K15:N15)+SUM(P15:S15))</f>
        <v>12150</v>
      </c>
      <c r="U15" s="116" t="n">
        <f aca="false">IF($B15="","",الموظفون!$S15*IF(E15="سعودي",cfg_G_SE,cfg_G_NE)*G15/cfg_DAYS_M)</f>
        <v>1096.875</v>
      </c>
      <c r="V15" s="116" t="n">
        <f aca="false">IF($B15="","",SUMIFS('الحركات الشهرية'!$I$6:$I$1005,'الحركات الشهرية'!$B$6:$B$1005,$B15,'الحركات الشهرية'!$A$6:$A$1005,$C$3))</f>
        <v>0</v>
      </c>
      <c r="W15" s="116" t="n">
        <f aca="false">IF($B15="","",SUMIFS('الحركات الشهرية'!$J$6:$J$1005,'الحركات الشهرية'!$B$6:$B$1005,$B15,'الحركات الشهرية'!$A$6:$A$1005,$C$3))</f>
        <v>0</v>
      </c>
      <c r="X15" s="116" t="n">
        <f aca="false">IF($B15="","",SUM(U15:W15))</f>
        <v>1096.875</v>
      </c>
      <c r="Y15" s="158" t="n">
        <f aca="false">IF($B15="","",T15-X15)</f>
        <v>11053.125</v>
      </c>
      <c r="Z15" s="116" t="n">
        <f aca="false">IF($B15="","",الموظفون!$S15*IF(E15="سعودي",cfg_G_SR,cfg_G_NR)*G15/cfg_DAYS_M)</f>
        <v>1321.875</v>
      </c>
      <c r="AA15" s="116" t="n">
        <f aca="false">IF($B15="","",الموظفون!$Q15*(cfg_EOS_R1*(MIN(AH15,cfg_EOS_TH)-MIN(AI15,cfg_EOS_TH))+cfg_EOS_R2*(MAX(AH15-cfg_EOS_TH,0)-MAX(AI15-cfg_EOS_TH,0))))</f>
        <v>499.315068493151</v>
      </c>
      <c r="AB15" s="116" t="n">
        <f aca="false">IF($B15="","",IF(الموظفون!$T15&lt;&gt;"",الموظفون!$T15,IF(AH15&gt;=cfg_LV_TH,cfg_LV_D2,cfg_LV_D1))/cfg_DAYS_Y*AJ15*الموظفون!$R15/cfg_DAYS_M)</f>
        <v>699.041095890411</v>
      </c>
      <c r="AC15" s="116" t="n">
        <f aca="false">IF($B15="","",IF(AND(الموظفون!$U15="نعم",N(الموظفون!$W15)&gt;0),الموظفون!$V15/الموظفون!$W15*12/cfg_DAYS_Y*AJ15,0))</f>
        <v>0</v>
      </c>
      <c r="AD15" s="116" t="n">
        <f aca="false">IF($B15="","",(IF(الموظفون!$X15&lt;&gt;"",الموظفون!$X15,IF(الموظفون!$E15="غير سعودي",cfg_IQ,0))+IF(الموظفون!$Y15&lt;&gt;"",الموظفون!$Y15,IF(الموظفون!$E15="غير سعودي",cfg_WP,0)))/12*G15/cfg_DAYS_M)</f>
        <v>0</v>
      </c>
      <c r="AE15" s="116" t="n">
        <f aca="false">IF($B15="","",IF(الموظفون!$Z15&lt;&gt;"",الموظفون!$Z15,cfg_MED)/12*G15/cfg_DAYS_M)</f>
        <v>200</v>
      </c>
      <c r="AF15" s="116" t="n">
        <f aca="false">IF($B15="","",N(الموظفون!$AA15)/12*G15/cfg_DAYS_M)</f>
        <v>0</v>
      </c>
      <c r="AG15" s="159" t="n">
        <f aca="false">IF($B15="","",T15+SUM(Z15:AF15))</f>
        <v>14870.2311643836</v>
      </c>
      <c r="AH15" s="160" t="n">
        <f aca="false">IF($B15="","",MAX(0,IF(OR(الموظفون!$AE15="",الموظفون!$AE15&gt;$F$3),$F$3,الموظفون!$AE15)-الموظفون!$H15+1-SUMIFS('سجل الإجازات والحالات'!$AM$6:$AM$505,'سجل الإجازات والحالات'!$B$6:$B$505,$B15))/cfg_DAYS_Y)</f>
        <v>0.210958904109589</v>
      </c>
      <c r="AI15" s="160" t="n">
        <f aca="false">IF($B15="","",MAX(0,IF(OR(الموظفون!$AE15="",الموظفون!$AE15&gt;($E$3-1)),($E$3-1),الموظفون!$AE15)-الموظفون!$H15+1-SUMIFS('سجل الإجازات والحالات'!$AL$6:$AL$505,'سجل الإجازات والحالات'!$B$6:$B$505,$B15))/cfg_DAYS_Y)</f>
        <v>0.128767123287671</v>
      </c>
      <c r="AJ15" s="133" t="n">
        <f aca="false">IF($B15="","",MAX(0,AK15-(SUMIFS('سجل الإجازات والحالات'!$AM$6:$AM$505,'سجل الإجازات والحالات'!$B$6:$B$505,$B15)-SUMIFS('سجل الإجازات والحالات'!$AL$6:$AL$505,'سجل الإجازات والحالات'!$B$6:$B$505,$B15))))</f>
        <v>30</v>
      </c>
      <c r="AK15" s="133" t="n">
        <f aca="false">IF($B15="","",MAX(0,IF(OR(الموظفون!$AE15="",الموظفون!$AE15&gt;$F$3),$F$3,الموظفون!$AE15)-MAX($E$3,الموظفون!$H15)+1))</f>
        <v>30</v>
      </c>
      <c r="AL15" s="156" t="n">
        <f aca="false">IF($B15="","",SUMIFS('سجل الإجازات والحالات'!$AY$6:$AY$505,'سجل الإجازات والحالات'!$B$6:$B$505,$B15)+SUMIFS('الحركات الشهرية'!$K$6:$K$1005,'الحركات الشهرية'!$B$6:$B$1005,$B15,'الحركات الشهرية'!$A$6:$A$1005,$C$3))</f>
        <v>0</v>
      </c>
      <c r="AM15" s="116" t="n">
        <f aca="false">IF($B15="","",AL15*الموظفون!$R15/cfg_DAYS_M+S15)</f>
        <v>0</v>
      </c>
      <c r="AN15" s="156" t="n">
        <f aca="false">IF($B15="","",SUMIFS('سجل الإجازات والحالات'!$AA$6:$AA$505,'سجل الإجازات والحالات'!$B$6:$B$505,$B15))</f>
        <v>0</v>
      </c>
    </row>
    <row r="16" customFormat="false" ht="15" hidden="false" customHeight="false" outlineLevel="0" collapsed="false">
      <c r="A16" s="106" t="n">
        <f aca="false">IF($B16="","",الموظفون!$A16)</f>
        <v>11</v>
      </c>
      <c r="B16" s="114" t="str">
        <f aca="false">IF(الموظفون!$B16="","",الموظفون!$B16)</f>
        <v>E011</v>
      </c>
      <c r="C16" s="114" t="str">
        <f aca="false">IF($B16="","",الموظفون!$C16)</f>
        <v>جون ماتيو</v>
      </c>
      <c r="D16" s="114" t="str">
        <f aca="false">IF($B16="","",الموظفون!$F16)</f>
        <v>العمليات</v>
      </c>
      <c r="E16" s="114" t="str">
        <f aca="false">IF($B16="","",الموظفون!$E16)</f>
        <v>غير سعودي</v>
      </c>
      <c r="F16" s="114" t="str">
        <f aca="false">IF($B16="","",IF(AK16=0,IF(AND(الموظفون!$AE16&lt;&gt;"",الموظفون!$AE16&lt;$E$3),"✖ منتهي الخدمة","⏳ لم يباشر"),IF(S16&gt;0,"✈ راتب إجازة مقدم",IF(J16=0,"⛔ بدون راتب هذا الشهر",IF(I16&gt;0,"✈ خصم "&amp;ROUND(I16,2)&amp;" يوم بدون أجر",IF(AL16&gt;0,"🌴 إجازة سنوية "&amp;ROUND(AL16,2)&amp;" يوم",IF(H16&gt;0,"⚠ غياب "&amp;ROUND(H16,2)&amp;" يوم","✔ على رأس العمل")))))))</f>
        <v>✔ على رأس العمل</v>
      </c>
      <c r="G16" s="151" t="n">
        <f aca="false">IF($B16="","",IF(AK16&gt;=DAY($F$3),cfg_DAYS_M,MIN(AK16,cfg_DAYS_M)))</f>
        <v>30</v>
      </c>
      <c r="H16" s="151" t="n">
        <f aca="false">IF($B16="","",SUMIFS('الحركات الشهرية'!$D$6:$D$1005,'الحركات الشهرية'!$B$6:$B$1005,$B16,'الحركات الشهرية'!$A$6:$A$1005,$C$3))</f>
        <v>0</v>
      </c>
      <c r="I16" s="151" t="n">
        <f aca="false">IF($B16="","",MIN(G16,IF(AND(AK16&gt;0,AN16&gt;=AK16),G16,AN16)+SUMIFS('الحركات الشهرية'!$E$6:$E$1005,'الحركات الشهرية'!$B$6:$B$1005,$B16,'الحركات الشهرية'!$A$6:$A$1005,$C$3)))</f>
        <v>0</v>
      </c>
      <c r="J16" s="151" t="n">
        <f aca="false">IF($B16="","",MAX(0,G16-H16-I16))</f>
        <v>30</v>
      </c>
      <c r="K16" s="111" t="n">
        <f aca="false">IF($B16="","",الموظفون!$L16*$J16/cfg_DAYS_M)</f>
        <v>5000</v>
      </c>
      <c r="L16" s="111" t="n">
        <f aca="false">IF($B16="","",الموظفون!$M16*$J16/cfg_DAYS_M)</f>
        <v>1250</v>
      </c>
      <c r="M16" s="111" t="n">
        <f aca="false">IF($B16="","",الموظفون!$N16*$J16/cfg_DAYS_M)</f>
        <v>500</v>
      </c>
      <c r="N16" s="111" t="n">
        <f aca="false">IF($B16="","",الموظفون!$O16*$J16/cfg_DAYS_M)</f>
        <v>0</v>
      </c>
      <c r="O16" s="151" t="n">
        <f aca="false">IF($B16="","",SUMIFS('الحركات الشهرية'!$F$6:$F$1005,'الحركات الشهرية'!$B$6:$B$1005,$B16,'الحركات الشهرية'!$A$6:$A$1005,$C$3))</f>
        <v>0</v>
      </c>
      <c r="P16" s="111" t="n">
        <f aca="false">IF($B16="","",O16*(الموظفون!$P16+الموظفون!$L16*cfg_OT_P)/cfg_DAYS_M/cfg_HRS)</f>
        <v>0</v>
      </c>
      <c r="Q16" s="111" t="n">
        <f aca="false">IF($B16="","",SUMIFS('الحركات الشهرية'!$G$6:$G$1005,'الحركات الشهرية'!$B$6:$B$1005,$B16,'الحركات الشهرية'!$A$6:$A$1005,$C$3))</f>
        <v>0</v>
      </c>
      <c r="R16" s="111" t="n">
        <f aca="false">IF($B16="","",SUMIFS('الحركات الشهرية'!$H$6:$H$1005,'الحركات الشهرية'!$B$6:$B$1005,$B16,'الحركات الشهرية'!$A$6:$A$1005,$C$3))</f>
        <v>0</v>
      </c>
      <c r="S16" s="111" t="n">
        <f aca="false">IF($B16="","",SUMIFS('سجل الإجازات والحالات'!$N$6:$N$505,'سجل الإجازات والحالات'!$B$6:$B$505,$B16,'سجل الإجازات والحالات'!$O$6:$O$505,$C$3))</f>
        <v>0</v>
      </c>
      <c r="T16" s="152" t="n">
        <f aca="false">IF($B16="","",SUM(K16:N16)+SUM(P16:S16))</f>
        <v>6750</v>
      </c>
      <c r="U16" s="111" t="n">
        <f aca="false">IF($B16="","",الموظفون!$S16*IF(E16="سعودي",cfg_G_SE,cfg_G_NE)*G16/cfg_DAYS_M)</f>
        <v>0</v>
      </c>
      <c r="V16" s="111" t="n">
        <f aca="false">IF($B16="","",SUMIFS('الحركات الشهرية'!$I$6:$I$1005,'الحركات الشهرية'!$B$6:$B$1005,$B16,'الحركات الشهرية'!$A$6:$A$1005,$C$3))</f>
        <v>0</v>
      </c>
      <c r="W16" s="111" t="n">
        <f aca="false">IF($B16="","",SUMIFS('الحركات الشهرية'!$J$6:$J$1005,'الحركات الشهرية'!$B$6:$B$1005,$B16,'الحركات الشهرية'!$A$6:$A$1005,$C$3))</f>
        <v>0</v>
      </c>
      <c r="X16" s="111" t="n">
        <f aca="false">IF($B16="","",SUM(U16:W16))</f>
        <v>0</v>
      </c>
      <c r="Y16" s="153" t="n">
        <f aca="false">IF($B16="","",T16-X16)</f>
        <v>6750</v>
      </c>
      <c r="Z16" s="111" t="n">
        <f aca="false">IF($B16="","",الموظفون!$S16*IF(E16="سعودي",cfg_G_SR,cfg_G_NR)*G16/cfg_DAYS_M)</f>
        <v>125</v>
      </c>
      <c r="AA16" s="111" t="n">
        <f aca="false">IF($B16="","",الموظفون!$Q16*(cfg_EOS_R1*(MIN(AH16,cfg_EOS_TH)-MIN(AI16,cfg_EOS_TH))+cfg_EOS_R2*(MAX(AH16-cfg_EOS_TH,0)-MAX(AI16-cfg_EOS_TH,0))))</f>
        <v>554.794520547947</v>
      </c>
      <c r="AB16" s="111" t="n">
        <f aca="false">IF($B16="","",IF(الموظفون!$T16&lt;&gt;"",الموظفون!$T16,IF(AH16&gt;=cfg_LV_TH,cfg_LV_D2,cfg_LV_D1))/cfg_DAYS_Y*AJ16*الموظفون!$R16/cfg_DAYS_M)</f>
        <v>554.794520547945</v>
      </c>
      <c r="AC16" s="111" t="n">
        <f aca="false">IF($B16="","",IF(AND(الموظفون!$U16="نعم",N(الموظفون!$W16)&gt;0),الموظفون!$V16/الموظفون!$W16*12/cfg_DAYS_Y*AJ16,0))</f>
        <v>106.849315068493</v>
      </c>
      <c r="AD16" s="111" t="n">
        <f aca="false">IF($B16="","",(IF(الموظفون!$X16&lt;&gt;"",الموظفون!$X16,IF(الموظفون!$E16="غير سعودي",cfg_IQ,0))+IF(الموظفون!$Y16&lt;&gt;"",الموظفون!$Y16,IF(الموظفون!$E16="غير سعودي",cfg_WP,0)))/12*G16/cfg_DAYS_M)</f>
        <v>854.166666666667</v>
      </c>
      <c r="AE16" s="111" t="n">
        <f aca="false">IF($B16="","",IF(الموظفون!$Z16&lt;&gt;"",الموظفون!$Z16,cfg_MED)/12*G16/cfg_DAYS_M)</f>
        <v>150</v>
      </c>
      <c r="AF16" s="111" t="n">
        <f aca="false">IF($B16="","",N(الموظفون!$AA16)/12*G16/cfg_DAYS_M)</f>
        <v>0</v>
      </c>
      <c r="AG16" s="154" t="n">
        <f aca="false">IF($B16="","",T16+SUM(Z16:AF16))</f>
        <v>9095.60502283105</v>
      </c>
      <c r="AH16" s="155" t="n">
        <f aca="false">IF($B16="","",MAX(0,IF(OR(الموظفون!$AE16="",الموظفون!$AE16&gt;$F$3),$F$3,الموظفون!$AE16)-الموظفون!$H16+1-SUMIFS('سجل الإجازات والحالات'!$AM$6:$AM$505,'سجل الإجازات والحالات'!$B$6:$B$505,$B16))/cfg_DAYS_Y)</f>
        <v>7.33972602739726</v>
      </c>
      <c r="AI16" s="155" t="n">
        <f aca="false">IF($B16="","",MAX(0,IF(OR(الموظفون!$AE16="",الموظفون!$AE16&gt;($E$3-1)),($E$3-1),الموظفون!$AE16)-الموظفون!$H16+1-SUMIFS('سجل الإجازات والحالات'!$AL$6:$AL$505,'سجل الإجازات والحالات'!$B$6:$B$505,$B16))/cfg_DAYS_Y)</f>
        <v>7.25753424657534</v>
      </c>
      <c r="AJ16" s="65" t="n">
        <f aca="false">IF($B16="","",MAX(0,AK16-(SUMIFS('سجل الإجازات والحالات'!$AM$6:$AM$505,'سجل الإجازات والحالات'!$B$6:$B$505,$B16)-SUMIFS('سجل الإجازات والحالات'!$AL$6:$AL$505,'سجل الإجازات والحالات'!$B$6:$B$505,$B16))))</f>
        <v>30</v>
      </c>
      <c r="AK16" s="65" t="n">
        <f aca="false">IF($B16="","",MAX(0,IF(OR(الموظفون!$AE16="",الموظفون!$AE16&gt;$F$3),$F$3,الموظفون!$AE16)-MAX($E$3,الموظفون!$H16)+1))</f>
        <v>30</v>
      </c>
      <c r="AL16" s="151" t="n">
        <f aca="false">IF($B16="","",SUMIFS('سجل الإجازات والحالات'!$AY$6:$AY$505,'سجل الإجازات والحالات'!$B$6:$B$505,$B16)+SUMIFS('الحركات الشهرية'!$K$6:$K$1005,'الحركات الشهرية'!$B$6:$B$1005,$B16,'الحركات الشهرية'!$A$6:$A$1005,$C$3))</f>
        <v>0</v>
      </c>
      <c r="AM16" s="111" t="n">
        <f aca="false">IF($B16="","",AL16*الموظفون!$R16/cfg_DAYS_M+S16)</f>
        <v>0</v>
      </c>
      <c r="AN16" s="151" t="n">
        <f aca="false">IF($B16="","",SUMIFS('سجل الإجازات والحالات'!$AA$6:$AA$505,'سجل الإجازات والحالات'!$B$6:$B$505,$B16))</f>
        <v>0</v>
      </c>
    </row>
    <row r="17" customFormat="false" ht="15" hidden="false" customHeight="false" outlineLevel="0" collapsed="false">
      <c r="A17" s="115" t="n">
        <f aca="false">IF($B17="","",الموظفون!$A17)</f>
        <v>12</v>
      </c>
      <c r="B17" s="117" t="str">
        <f aca="false">IF(الموظفون!$B17="","",الموظفون!$B17)</f>
        <v>E012</v>
      </c>
      <c r="C17" s="117" t="str">
        <f aca="false">IF($B17="","",الموظفون!$C17)</f>
        <v>عمر حسين البيشي</v>
      </c>
      <c r="D17" s="117" t="str">
        <f aca="false">IF($B17="","",الموظفون!$F17)</f>
        <v>تقنية المعلومات</v>
      </c>
      <c r="E17" s="117" t="str">
        <f aca="false">IF($B17="","",الموظفون!$E17)</f>
        <v>سعودي</v>
      </c>
      <c r="F17" s="117" t="str">
        <f aca="false">IF($B17="","",IF(AK17=0,IF(AND(الموظفون!$AE17&lt;&gt;"",الموظفون!$AE17&lt;$E$3),"✖ منتهي الخدمة","⏳ لم يباشر"),IF(S17&gt;0,"✈ راتب إجازة مقدم",IF(J17=0,"⛔ بدون راتب هذا الشهر",IF(I17&gt;0,"✈ خصم "&amp;ROUND(I17,2)&amp;" يوم بدون أجر",IF(AL17&gt;0,"🌴 إجازة سنوية "&amp;ROUND(AL17,2)&amp;" يوم",IF(H17&gt;0,"⚠ غياب "&amp;ROUND(H17,2)&amp;" يوم","✔ على رأس العمل")))))))</f>
        <v>✔ على رأس العمل</v>
      </c>
      <c r="G17" s="156" t="n">
        <f aca="false">IF($B17="","",IF(AK17&gt;=DAY($F$3),cfg_DAYS_M,MIN(AK17,cfg_DAYS_M)))</f>
        <v>30</v>
      </c>
      <c r="H17" s="156" t="n">
        <f aca="false">IF($B17="","",SUMIFS('الحركات الشهرية'!$D$6:$D$1005,'الحركات الشهرية'!$B$6:$B$1005,$B17,'الحركات الشهرية'!$A$6:$A$1005,$C$3))</f>
        <v>0</v>
      </c>
      <c r="I17" s="156" t="n">
        <f aca="false">IF($B17="","",MIN(G17,IF(AND(AK17&gt;0,AN17&gt;=AK17),G17,AN17)+SUMIFS('الحركات الشهرية'!$E$6:$E$1005,'الحركات الشهرية'!$B$6:$B$1005,$B17,'الحركات الشهرية'!$A$6:$A$1005,$C$3)))</f>
        <v>0</v>
      </c>
      <c r="J17" s="156" t="n">
        <f aca="false">IF($B17="","",MAX(0,G17-H17-I17))</f>
        <v>30</v>
      </c>
      <c r="K17" s="116" t="n">
        <f aca="false">IF($B17="","",الموظفون!$L17*$J17/cfg_DAYS_M)</f>
        <v>12000</v>
      </c>
      <c r="L17" s="116" t="n">
        <f aca="false">IF($B17="","",الموظفون!$M17*$J17/cfg_DAYS_M)</f>
        <v>3000</v>
      </c>
      <c r="M17" s="116" t="n">
        <f aca="false">IF($B17="","",الموظفون!$N17*$J17/cfg_DAYS_M)</f>
        <v>1200</v>
      </c>
      <c r="N17" s="116" t="n">
        <f aca="false">IF($B17="","",الموظفون!$O17*$J17/cfg_DAYS_M)</f>
        <v>1500</v>
      </c>
      <c r="O17" s="156" t="n">
        <f aca="false">IF($B17="","",SUMIFS('الحركات الشهرية'!$F$6:$F$1005,'الحركات الشهرية'!$B$6:$B$1005,$B17,'الحركات الشهرية'!$A$6:$A$1005,$C$3))</f>
        <v>0</v>
      </c>
      <c r="P17" s="116" t="n">
        <f aca="false">IF($B17="","",O17*(الموظفون!$P17+الموظفون!$L17*cfg_OT_P)/cfg_DAYS_M/cfg_HRS)</f>
        <v>0</v>
      </c>
      <c r="Q17" s="116" t="n">
        <f aca="false">IF($B17="","",SUMIFS('الحركات الشهرية'!$G$6:$G$1005,'الحركات الشهرية'!$B$6:$B$1005,$B17,'الحركات الشهرية'!$A$6:$A$1005,$C$3))</f>
        <v>0</v>
      </c>
      <c r="R17" s="116" t="n">
        <f aca="false">IF($B17="","",SUMIFS('الحركات الشهرية'!$H$6:$H$1005,'الحركات الشهرية'!$B$6:$B$1005,$B17,'الحركات الشهرية'!$A$6:$A$1005,$C$3))</f>
        <v>0</v>
      </c>
      <c r="S17" s="116" t="n">
        <f aca="false">IF($B17="","",SUMIFS('سجل الإجازات والحالات'!$N$6:$N$505,'سجل الإجازات والحالات'!$B$6:$B$505,$B17,'سجل الإجازات والحالات'!$O$6:$O$505,$C$3))</f>
        <v>0</v>
      </c>
      <c r="T17" s="157" t="n">
        <f aca="false">IF($B17="","",SUM(K17:N17)+SUM(P17:S17))</f>
        <v>17700</v>
      </c>
      <c r="U17" s="116" t="n">
        <f aca="false">IF($B17="","",الموظفون!$S17*IF(E17="سعودي",cfg_G_SE,cfg_G_NE)*G17/cfg_DAYS_M)</f>
        <v>1462.5</v>
      </c>
      <c r="V17" s="116" t="n">
        <f aca="false">IF($B17="","",SUMIFS('الحركات الشهرية'!$I$6:$I$1005,'الحركات الشهرية'!$B$6:$B$1005,$B17,'الحركات الشهرية'!$A$6:$A$1005,$C$3))</f>
        <v>0</v>
      </c>
      <c r="W17" s="116" t="n">
        <f aca="false">IF($B17="","",SUMIFS('الحركات الشهرية'!$J$6:$J$1005,'الحركات الشهرية'!$B$6:$B$1005,$B17,'الحركات الشهرية'!$A$6:$A$1005,$C$3))</f>
        <v>0</v>
      </c>
      <c r="X17" s="116" t="n">
        <f aca="false">IF($B17="","",SUM(U17:W17))</f>
        <v>1462.5</v>
      </c>
      <c r="Y17" s="158" t="n">
        <f aca="false">IF($B17="","",T17-X17)</f>
        <v>16237.5</v>
      </c>
      <c r="Z17" s="116" t="n">
        <f aca="false">IF($B17="","",الموظفون!$S17*IF(E17="سعودي",cfg_G_SR,cfg_G_NR)*G17/cfg_DAYS_M)</f>
        <v>1762.5</v>
      </c>
      <c r="AA17" s="116" t="n">
        <f aca="false">IF($B17="","",الموظفون!$Q17*(cfg_EOS_R1*(MIN(AH17,cfg_EOS_TH)-MIN(AI17,cfg_EOS_TH))+cfg_EOS_R2*(MAX(AH17-cfg_EOS_TH,0)-MAX(AI17-cfg_EOS_TH,0))))</f>
        <v>665.753424657533</v>
      </c>
      <c r="AB17" s="116" t="n">
        <f aca="false">IF($B17="","",IF(الموظفون!$T17&lt;&gt;"",الموظفون!$T17,IF(AH17&gt;=cfg_LV_TH,cfg_LV_D2,cfg_LV_D1))/cfg_DAYS_Y*AJ17*الموظفون!$R17/cfg_DAYS_M)</f>
        <v>932.054794520548</v>
      </c>
      <c r="AC17" s="116" t="n">
        <f aca="false">IF($B17="","",IF(AND(الموظفون!$U17="نعم",N(الموظفون!$W17)&gt;0),الموظفون!$V17/الموظفون!$W17*12/cfg_DAYS_Y*AJ17,0))</f>
        <v>0</v>
      </c>
      <c r="AD17" s="116" t="n">
        <f aca="false">IF($B17="","",(IF(الموظفون!$X17&lt;&gt;"",الموظفون!$X17,IF(الموظفون!$E17="غير سعودي",cfg_IQ,0))+IF(الموظفون!$Y17&lt;&gt;"",الموظفون!$Y17,IF(الموظفون!$E17="غير سعودي",cfg_WP,0)))/12*G17/cfg_DAYS_M)</f>
        <v>0</v>
      </c>
      <c r="AE17" s="116" t="n">
        <f aca="false">IF($B17="","",IF(الموظفون!$Z17&lt;&gt;"",الموظفون!$Z17,cfg_MED)/12*G17/cfg_DAYS_M)</f>
        <v>200</v>
      </c>
      <c r="AF17" s="116" t="n">
        <f aca="false">IF($B17="","",N(الموظفون!$AA17)/12*G17/cfg_DAYS_M)</f>
        <v>0</v>
      </c>
      <c r="AG17" s="159" t="n">
        <f aca="false">IF($B17="","",T17+SUM(Z17:AF17))</f>
        <v>21260.3082191781</v>
      </c>
      <c r="AH17" s="160" t="n">
        <f aca="false">IF($B17="","",MAX(0,IF(OR(الموظفون!$AE17="",الموظفون!$AE17&gt;$F$3),$F$3,الموظفون!$AE17)-الموظفون!$H17+1-SUMIFS('سجل الإجازات والحالات'!$AM$6:$AM$505,'سجل الإجازات والحالات'!$B$6:$B$505,$B17))/cfg_DAYS_Y)</f>
        <v>3.97808219178082</v>
      </c>
      <c r="AI17" s="160" t="n">
        <f aca="false">IF($B17="","",MAX(0,IF(OR(الموظفون!$AE17="",الموظفون!$AE17&gt;($E$3-1)),($E$3-1),الموظفون!$AE17)-الموظفون!$H17+1-SUMIFS('سجل الإجازات والحالات'!$AL$6:$AL$505,'سجل الإجازات والحالات'!$B$6:$B$505,$B17))/cfg_DAYS_Y)</f>
        <v>3.8958904109589</v>
      </c>
      <c r="AJ17" s="133" t="n">
        <f aca="false">IF($B17="","",MAX(0,AK17-(SUMIFS('سجل الإجازات والحالات'!$AM$6:$AM$505,'سجل الإجازات والحالات'!$B$6:$B$505,$B17)-SUMIFS('سجل الإجازات والحالات'!$AL$6:$AL$505,'سجل الإجازات والحالات'!$B$6:$B$505,$B17))))</f>
        <v>30</v>
      </c>
      <c r="AK17" s="133" t="n">
        <f aca="false">IF($B17="","",MAX(0,IF(OR(الموظفون!$AE17="",الموظفون!$AE17&gt;$F$3),$F$3,الموظفون!$AE17)-MAX($E$3,الموظفون!$H17)+1))</f>
        <v>30</v>
      </c>
      <c r="AL17" s="156" t="n">
        <f aca="false">IF($B17="","",SUMIFS('سجل الإجازات والحالات'!$AY$6:$AY$505,'سجل الإجازات والحالات'!$B$6:$B$505,$B17)+SUMIFS('الحركات الشهرية'!$K$6:$K$1005,'الحركات الشهرية'!$B$6:$B$1005,$B17,'الحركات الشهرية'!$A$6:$A$1005,$C$3))</f>
        <v>0</v>
      </c>
      <c r="AM17" s="116" t="n">
        <f aca="false">IF($B17="","",AL17*الموظفون!$R17/cfg_DAYS_M+S17)</f>
        <v>0</v>
      </c>
      <c r="AN17" s="156" t="n">
        <f aca="false">IF($B17="","",SUMIFS('سجل الإجازات والحالات'!$AA$6:$AA$505,'سجل الإجازات والحالات'!$B$6:$B$505,$B17))</f>
        <v>0</v>
      </c>
    </row>
    <row r="18" customFormat="false" ht="15" hidden="false" customHeight="false" outlineLevel="0" collapsed="false">
      <c r="A18" s="106" t="str">
        <f aca="false">IF($B18="","",الموظفون!$A18)</f>
        <v/>
      </c>
      <c r="B18" s="114" t="str">
        <f aca="false">IF(الموظفون!$B18="","",الموظفون!$B18)</f>
        <v/>
      </c>
      <c r="C18" s="114" t="str">
        <f aca="false">IF($B18="","",الموظفون!$C18)</f>
        <v/>
      </c>
      <c r="D18" s="114" t="str">
        <f aca="false">IF($B18="","",الموظفون!$F18)</f>
        <v/>
      </c>
      <c r="E18" s="114" t="str">
        <f aca="false">IF($B18="","",الموظفون!$E18)</f>
        <v/>
      </c>
      <c r="F18" s="114" t="str">
        <f aca="false">IF($B18="","",IF(AK18=0,IF(AND(الموظفون!$AE18&lt;&gt;"",الموظفون!$AE18&lt;$E$3),"✖ منتهي الخدمة","⏳ لم يباشر"),IF(S18&gt;0,"✈ راتب إجازة مقدم",IF(J18=0,"⛔ بدون راتب هذا الشهر",IF(I18&gt;0,"✈ خصم "&amp;ROUND(I18,2)&amp;" يوم بدون أجر",IF(AL18&gt;0,"🌴 إجازة سنوية "&amp;ROUND(AL18,2)&amp;" يوم",IF(H18&gt;0,"⚠ غياب "&amp;ROUND(H18,2)&amp;" يوم","✔ على رأس العمل")))))))</f>
        <v/>
      </c>
      <c r="G18" s="151" t="str">
        <f aca="false">IF($B18="","",IF(AK18&gt;=DAY($F$3),cfg_DAYS_M,MIN(AK18,cfg_DAYS_M)))</f>
        <v/>
      </c>
      <c r="H18" s="151" t="str">
        <f aca="false">IF($B18="","",SUMIFS('الحركات الشهرية'!$D$6:$D$1005,'الحركات الشهرية'!$B$6:$B$1005,$B18,'الحركات الشهرية'!$A$6:$A$1005,$C$3))</f>
        <v/>
      </c>
      <c r="I18" s="151" t="str">
        <f aca="false">IF($B18="","",MIN(G18,IF(AND(AK18&gt;0,AN18&gt;=AK18),G18,AN18)+SUMIFS('الحركات الشهرية'!$E$6:$E$1005,'الحركات الشهرية'!$B$6:$B$1005,$B18,'الحركات الشهرية'!$A$6:$A$1005,$C$3)))</f>
        <v/>
      </c>
      <c r="J18" s="151" t="str">
        <f aca="false">IF($B18="","",MAX(0,G18-H18-I18))</f>
        <v/>
      </c>
      <c r="K18" s="111" t="str">
        <f aca="false">IF($B18="","",الموظفون!$L18*$J18/cfg_DAYS_M)</f>
        <v/>
      </c>
      <c r="L18" s="111" t="str">
        <f aca="false">IF($B18="","",الموظفون!$M18*$J18/cfg_DAYS_M)</f>
        <v/>
      </c>
      <c r="M18" s="111" t="str">
        <f aca="false">IF($B18="","",الموظفون!$N18*$J18/cfg_DAYS_M)</f>
        <v/>
      </c>
      <c r="N18" s="111" t="str">
        <f aca="false">IF($B18="","",الموظفون!$O18*$J18/cfg_DAYS_M)</f>
        <v/>
      </c>
      <c r="O18" s="151" t="str">
        <f aca="false">IF($B18="","",SUMIFS('الحركات الشهرية'!$F$6:$F$1005,'الحركات الشهرية'!$B$6:$B$1005,$B18,'الحركات الشهرية'!$A$6:$A$1005,$C$3))</f>
        <v/>
      </c>
      <c r="P18" s="111" t="str">
        <f aca="false">IF($B18="","",O18*(الموظفون!$P18+الموظفون!$L18*cfg_OT_P)/cfg_DAYS_M/cfg_HRS)</f>
        <v/>
      </c>
      <c r="Q18" s="111" t="str">
        <f aca="false">IF($B18="","",SUMIFS('الحركات الشهرية'!$G$6:$G$1005,'الحركات الشهرية'!$B$6:$B$1005,$B18,'الحركات الشهرية'!$A$6:$A$1005,$C$3))</f>
        <v/>
      </c>
      <c r="R18" s="111" t="str">
        <f aca="false">IF($B18="","",SUMIFS('الحركات الشهرية'!$H$6:$H$1005,'الحركات الشهرية'!$B$6:$B$1005,$B18,'الحركات الشهرية'!$A$6:$A$1005,$C$3))</f>
        <v/>
      </c>
      <c r="S18" s="111" t="str">
        <f aca="false">IF($B18="","",SUMIFS('سجل الإجازات والحالات'!$N$6:$N$505,'سجل الإجازات والحالات'!$B$6:$B$505,$B18,'سجل الإجازات والحالات'!$O$6:$O$505,$C$3))</f>
        <v/>
      </c>
      <c r="T18" s="152" t="str">
        <f aca="false">IF($B18="","",SUM(K18:N18)+SUM(P18:S18))</f>
        <v/>
      </c>
      <c r="U18" s="111" t="str">
        <f aca="false">IF($B18="","",الموظفون!$S18*IF(E18="سعودي",cfg_G_SE,cfg_G_NE)*G18/cfg_DAYS_M)</f>
        <v/>
      </c>
      <c r="V18" s="111" t="str">
        <f aca="false">IF($B18="","",SUMIFS('الحركات الشهرية'!$I$6:$I$1005,'الحركات الشهرية'!$B$6:$B$1005,$B18,'الحركات الشهرية'!$A$6:$A$1005,$C$3))</f>
        <v/>
      </c>
      <c r="W18" s="111" t="str">
        <f aca="false">IF($B18="","",SUMIFS('الحركات الشهرية'!$J$6:$J$1005,'الحركات الشهرية'!$B$6:$B$1005,$B18,'الحركات الشهرية'!$A$6:$A$1005,$C$3))</f>
        <v/>
      </c>
      <c r="X18" s="111" t="str">
        <f aca="false">IF($B18="","",SUM(U18:W18))</f>
        <v/>
      </c>
      <c r="Y18" s="153" t="str">
        <f aca="false">IF($B18="","",T18-X18)</f>
        <v/>
      </c>
      <c r="Z18" s="111" t="str">
        <f aca="false">IF($B18="","",الموظفون!$S18*IF(E18="سعودي",cfg_G_SR,cfg_G_NR)*G18/cfg_DAYS_M)</f>
        <v/>
      </c>
      <c r="AA18" s="111" t="str">
        <f aca="false">IF($B18="","",الموظفون!$Q18*(cfg_EOS_R1*(MIN(AH18,cfg_EOS_TH)-MIN(AI18,cfg_EOS_TH))+cfg_EOS_R2*(MAX(AH18-cfg_EOS_TH,0)-MAX(AI18-cfg_EOS_TH,0))))</f>
        <v/>
      </c>
      <c r="AB18" s="111" t="str">
        <f aca="false">IF($B18="","",IF(الموظفون!$T18&lt;&gt;"",الموظفون!$T18,IF(AH18&gt;=cfg_LV_TH,cfg_LV_D2,cfg_LV_D1))/cfg_DAYS_Y*AJ18*الموظفون!$R18/cfg_DAYS_M)</f>
        <v/>
      </c>
      <c r="AC18" s="111" t="str">
        <f aca="false">IF($B18="","",IF(AND(الموظفون!$U18="نعم",N(الموظفون!$W18)&gt;0),الموظفون!$V18/الموظفون!$W18*12/cfg_DAYS_Y*AJ18,0))</f>
        <v/>
      </c>
      <c r="AD18" s="111" t="str">
        <f aca="false">IF($B18="","",(IF(الموظفون!$X18&lt;&gt;"",الموظفون!$X18,IF(الموظفون!$E18="غير سعودي",cfg_IQ,0))+IF(الموظفون!$Y18&lt;&gt;"",الموظفون!$Y18,IF(الموظفون!$E18="غير سعودي",cfg_WP,0)))/12*G18/cfg_DAYS_M)</f>
        <v/>
      </c>
      <c r="AE18" s="111" t="str">
        <f aca="false">IF($B18="","",IF(الموظفون!$Z18&lt;&gt;"",الموظفون!$Z18,cfg_MED)/12*G18/cfg_DAYS_M)</f>
        <v/>
      </c>
      <c r="AF18" s="111" t="str">
        <f aca="false">IF($B18="","",N(الموظفون!$AA18)/12*G18/cfg_DAYS_M)</f>
        <v/>
      </c>
      <c r="AG18" s="154" t="str">
        <f aca="false">IF($B18="","",T18+SUM(Z18:AF18))</f>
        <v/>
      </c>
      <c r="AH18" s="155" t="str">
        <f aca="false">IF($B18="","",MAX(0,IF(OR(الموظفون!$AE18="",الموظفون!$AE18&gt;$F$3),$F$3,الموظفون!$AE18)-الموظفون!$H18+1-SUMIFS('سجل الإجازات والحالات'!$AM$6:$AM$505,'سجل الإجازات والحالات'!$B$6:$B$505,$B18))/cfg_DAYS_Y)</f>
        <v/>
      </c>
      <c r="AI18" s="155" t="str">
        <f aca="false">IF($B18="","",MAX(0,IF(OR(الموظفون!$AE18="",الموظفون!$AE18&gt;($E$3-1)),($E$3-1),الموظفون!$AE18)-الموظفون!$H18+1-SUMIFS('سجل الإجازات والحالات'!$AL$6:$AL$505,'سجل الإجازات والحالات'!$B$6:$B$505,$B18))/cfg_DAYS_Y)</f>
        <v/>
      </c>
      <c r="AJ18" s="65" t="str">
        <f aca="false">IF($B18="","",MAX(0,AK18-(SUMIFS('سجل الإجازات والحالات'!$AM$6:$AM$505,'سجل الإجازات والحالات'!$B$6:$B$505,$B18)-SUMIFS('سجل الإجازات والحالات'!$AL$6:$AL$505,'سجل الإجازات والحالات'!$B$6:$B$505,$B18))))</f>
        <v/>
      </c>
      <c r="AK18" s="65" t="str">
        <f aca="false">IF($B18="","",MAX(0,IF(OR(الموظفون!$AE18="",الموظفون!$AE18&gt;$F$3),$F$3,الموظفون!$AE18)-MAX($E$3,الموظفون!$H18)+1))</f>
        <v/>
      </c>
      <c r="AL18" s="151" t="str">
        <f aca="false">IF($B18="","",SUMIFS('سجل الإجازات والحالات'!$AY$6:$AY$505,'سجل الإجازات والحالات'!$B$6:$B$505,$B18)+SUMIFS('الحركات الشهرية'!$K$6:$K$1005,'الحركات الشهرية'!$B$6:$B$1005,$B18,'الحركات الشهرية'!$A$6:$A$1005,$C$3))</f>
        <v/>
      </c>
      <c r="AM18" s="111" t="str">
        <f aca="false">IF($B18="","",AL18*الموظفون!$R18/cfg_DAYS_M+S18)</f>
        <v/>
      </c>
      <c r="AN18" s="151" t="str">
        <f aca="false">IF($B18="","",SUMIFS('سجل الإجازات والحالات'!$AA$6:$AA$505,'سجل الإجازات والحالات'!$B$6:$B$505,$B18))</f>
        <v/>
      </c>
    </row>
    <row r="19" customFormat="false" ht="15" hidden="false" customHeight="false" outlineLevel="0" collapsed="false">
      <c r="A19" s="115" t="str">
        <f aca="false">IF($B19="","",الموظفون!$A19)</f>
        <v/>
      </c>
      <c r="B19" s="117" t="str">
        <f aca="false">IF(الموظفون!$B19="","",الموظفون!$B19)</f>
        <v/>
      </c>
      <c r="C19" s="117" t="str">
        <f aca="false">IF($B19="","",الموظفون!$C19)</f>
        <v/>
      </c>
      <c r="D19" s="117" t="str">
        <f aca="false">IF($B19="","",الموظفون!$F19)</f>
        <v/>
      </c>
      <c r="E19" s="117" t="str">
        <f aca="false">IF($B19="","",الموظفون!$E19)</f>
        <v/>
      </c>
      <c r="F19" s="117" t="str">
        <f aca="false">IF($B19="","",IF(AK19=0,IF(AND(الموظفون!$AE19&lt;&gt;"",الموظفون!$AE19&lt;$E$3),"✖ منتهي الخدمة","⏳ لم يباشر"),IF(S19&gt;0,"✈ راتب إجازة مقدم",IF(J19=0,"⛔ بدون راتب هذا الشهر",IF(I19&gt;0,"✈ خصم "&amp;ROUND(I19,2)&amp;" يوم بدون أجر",IF(AL19&gt;0,"🌴 إجازة سنوية "&amp;ROUND(AL19,2)&amp;" يوم",IF(H19&gt;0,"⚠ غياب "&amp;ROUND(H19,2)&amp;" يوم","✔ على رأس العمل")))))))</f>
        <v/>
      </c>
      <c r="G19" s="156" t="str">
        <f aca="false">IF($B19="","",IF(AK19&gt;=DAY($F$3),cfg_DAYS_M,MIN(AK19,cfg_DAYS_M)))</f>
        <v/>
      </c>
      <c r="H19" s="156" t="str">
        <f aca="false">IF($B19="","",SUMIFS('الحركات الشهرية'!$D$6:$D$1005,'الحركات الشهرية'!$B$6:$B$1005,$B19,'الحركات الشهرية'!$A$6:$A$1005,$C$3))</f>
        <v/>
      </c>
      <c r="I19" s="156" t="str">
        <f aca="false">IF($B19="","",MIN(G19,IF(AND(AK19&gt;0,AN19&gt;=AK19),G19,AN19)+SUMIFS('الحركات الشهرية'!$E$6:$E$1005,'الحركات الشهرية'!$B$6:$B$1005,$B19,'الحركات الشهرية'!$A$6:$A$1005,$C$3)))</f>
        <v/>
      </c>
      <c r="J19" s="156" t="str">
        <f aca="false">IF($B19="","",MAX(0,G19-H19-I19))</f>
        <v/>
      </c>
      <c r="K19" s="116" t="str">
        <f aca="false">IF($B19="","",الموظفون!$L19*$J19/cfg_DAYS_M)</f>
        <v/>
      </c>
      <c r="L19" s="116" t="str">
        <f aca="false">IF($B19="","",الموظفون!$M19*$J19/cfg_DAYS_M)</f>
        <v/>
      </c>
      <c r="M19" s="116" t="str">
        <f aca="false">IF($B19="","",الموظفون!$N19*$J19/cfg_DAYS_M)</f>
        <v/>
      </c>
      <c r="N19" s="116" t="str">
        <f aca="false">IF($B19="","",الموظفون!$O19*$J19/cfg_DAYS_M)</f>
        <v/>
      </c>
      <c r="O19" s="156" t="str">
        <f aca="false">IF($B19="","",SUMIFS('الحركات الشهرية'!$F$6:$F$1005,'الحركات الشهرية'!$B$6:$B$1005,$B19,'الحركات الشهرية'!$A$6:$A$1005,$C$3))</f>
        <v/>
      </c>
      <c r="P19" s="116" t="str">
        <f aca="false">IF($B19="","",O19*(الموظفون!$P19+الموظفون!$L19*cfg_OT_P)/cfg_DAYS_M/cfg_HRS)</f>
        <v/>
      </c>
      <c r="Q19" s="116" t="str">
        <f aca="false">IF($B19="","",SUMIFS('الحركات الشهرية'!$G$6:$G$1005,'الحركات الشهرية'!$B$6:$B$1005,$B19,'الحركات الشهرية'!$A$6:$A$1005,$C$3))</f>
        <v/>
      </c>
      <c r="R19" s="116" t="str">
        <f aca="false">IF($B19="","",SUMIFS('الحركات الشهرية'!$H$6:$H$1005,'الحركات الشهرية'!$B$6:$B$1005,$B19,'الحركات الشهرية'!$A$6:$A$1005,$C$3))</f>
        <v/>
      </c>
      <c r="S19" s="116" t="str">
        <f aca="false">IF($B19="","",SUMIFS('سجل الإجازات والحالات'!$N$6:$N$505,'سجل الإجازات والحالات'!$B$6:$B$505,$B19,'سجل الإجازات والحالات'!$O$6:$O$505,$C$3))</f>
        <v/>
      </c>
      <c r="T19" s="157" t="str">
        <f aca="false">IF($B19="","",SUM(K19:N19)+SUM(P19:S19))</f>
        <v/>
      </c>
      <c r="U19" s="116" t="str">
        <f aca="false">IF($B19="","",الموظفون!$S19*IF(E19="سعودي",cfg_G_SE,cfg_G_NE)*G19/cfg_DAYS_M)</f>
        <v/>
      </c>
      <c r="V19" s="116" t="str">
        <f aca="false">IF($B19="","",SUMIFS('الحركات الشهرية'!$I$6:$I$1005,'الحركات الشهرية'!$B$6:$B$1005,$B19,'الحركات الشهرية'!$A$6:$A$1005,$C$3))</f>
        <v/>
      </c>
      <c r="W19" s="116" t="str">
        <f aca="false">IF($B19="","",SUMIFS('الحركات الشهرية'!$J$6:$J$1005,'الحركات الشهرية'!$B$6:$B$1005,$B19,'الحركات الشهرية'!$A$6:$A$1005,$C$3))</f>
        <v/>
      </c>
      <c r="X19" s="116" t="str">
        <f aca="false">IF($B19="","",SUM(U19:W19))</f>
        <v/>
      </c>
      <c r="Y19" s="158" t="str">
        <f aca="false">IF($B19="","",T19-X19)</f>
        <v/>
      </c>
      <c r="Z19" s="116" t="str">
        <f aca="false">IF($B19="","",الموظفون!$S19*IF(E19="سعودي",cfg_G_SR,cfg_G_NR)*G19/cfg_DAYS_M)</f>
        <v/>
      </c>
      <c r="AA19" s="116" t="str">
        <f aca="false">IF($B19="","",الموظفون!$Q19*(cfg_EOS_R1*(MIN(AH19,cfg_EOS_TH)-MIN(AI19,cfg_EOS_TH))+cfg_EOS_R2*(MAX(AH19-cfg_EOS_TH,0)-MAX(AI19-cfg_EOS_TH,0))))</f>
        <v/>
      </c>
      <c r="AB19" s="116" t="str">
        <f aca="false">IF($B19="","",IF(الموظفون!$T19&lt;&gt;"",الموظفون!$T19,IF(AH19&gt;=cfg_LV_TH,cfg_LV_D2,cfg_LV_D1))/cfg_DAYS_Y*AJ19*الموظفون!$R19/cfg_DAYS_M)</f>
        <v/>
      </c>
      <c r="AC19" s="116" t="str">
        <f aca="false">IF($B19="","",IF(AND(الموظفون!$U19="نعم",N(الموظفون!$W19)&gt;0),الموظفون!$V19/الموظفون!$W19*12/cfg_DAYS_Y*AJ19,0))</f>
        <v/>
      </c>
      <c r="AD19" s="116" t="str">
        <f aca="false">IF($B19="","",(IF(الموظفون!$X19&lt;&gt;"",الموظفون!$X19,IF(الموظفون!$E19="غير سعودي",cfg_IQ,0))+IF(الموظفون!$Y19&lt;&gt;"",الموظفون!$Y19,IF(الموظفون!$E19="غير سعودي",cfg_WP,0)))/12*G19/cfg_DAYS_M)</f>
        <v/>
      </c>
      <c r="AE19" s="116" t="str">
        <f aca="false">IF($B19="","",IF(الموظفون!$Z19&lt;&gt;"",الموظفون!$Z19,cfg_MED)/12*G19/cfg_DAYS_M)</f>
        <v/>
      </c>
      <c r="AF19" s="116" t="str">
        <f aca="false">IF($B19="","",N(الموظفون!$AA19)/12*G19/cfg_DAYS_M)</f>
        <v/>
      </c>
      <c r="AG19" s="159" t="str">
        <f aca="false">IF($B19="","",T19+SUM(Z19:AF19))</f>
        <v/>
      </c>
      <c r="AH19" s="160" t="str">
        <f aca="false">IF($B19="","",MAX(0,IF(OR(الموظفون!$AE19="",الموظفون!$AE19&gt;$F$3),$F$3,الموظفون!$AE19)-الموظفون!$H19+1-SUMIFS('سجل الإجازات والحالات'!$AM$6:$AM$505,'سجل الإجازات والحالات'!$B$6:$B$505,$B19))/cfg_DAYS_Y)</f>
        <v/>
      </c>
      <c r="AI19" s="160" t="str">
        <f aca="false">IF($B19="","",MAX(0,IF(OR(الموظفون!$AE19="",الموظفون!$AE19&gt;($E$3-1)),($E$3-1),الموظفون!$AE19)-الموظفون!$H19+1-SUMIFS('سجل الإجازات والحالات'!$AL$6:$AL$505,'سجل الإجازات والحالات'!$B$6:$B$505,$B19))/cfg_DAYS_Y)</f>
        <v/>
      </c>
      <c r="AJ19" s="133" t="str">
        <f aca="false">IF($B19="","",MAX(0,AK19-(SUMIFS('سجل الإجازات والحالات'!$AM$6:$AM$505,'سجل الإجازات والحالات'!$B$6:$B$505,$B19)-SUMIFS('سجل الإجازات والحالات'!$AL$6:$AL$505,'سجل الإجازات والحالات'!$B$6:$B$505,$B19))))</f>
        <v/>
      </c>
      <c r="AK19" s="133" t="str">
        <f aca="false">IF($B19="","",MAX(0,IF(OR(الموظفون!$AE19="",الموظفون!$AE19&gt;$F$3),$F$3,الموظفون!$AE19)-MAX($E$3,الموظفون!$H19)+1))</f>
        <v/>
      </c>
      <c r="AL19" s="156" t="str">
        <f aca="false">IF($B19="","",SUMIFS('سجل الإجازات والحالات'!$AY$6:$AY$505,'سجل الإجازات والحالات'!$B$6:$B$505,$B19)+SUMIFS('الحركات الشهرية'!$K$6:$K$1005,'الحركات الشهرية'!$B$6:$B$1005,$B19,'الحركات الشهرية'!$A$6:$A$1005,$C$3))</f>
        <v/>
      </c>
      <c r="AM19" s="116" t="str">
        <f aca="false">IF($B19="","",AL19*الموظفون!$R19/cfg_DAYS_M+S19)</f>
        <v/>
      </c>
      <c r="AN19" s="156" t="str">
        <f aca="false">IF($B19="","",SUMIFS('سجل الإجازات والحالات'!$AA$6:$AA$505,'سجل الإجازات والحالات'!$B$6:$B$505,$B19))</f>
        <v/>
      </c>
    </row>
    <row r="20" customFormat="false" ht="15" hidden="false" customHeight="false" outlineLevel="0" collapsed="false">
      <c r="A20" s="106" t="str">
        <f aca="false">IF($B20="","",الموظفون!$A20)</f>
        <v/>
      </c>
      <c r="B20" s="114" t="str">
        <f aca="false">IF(الموظفون!$B20="","",الموظفون!$B20)</f>
        <v/>
      </c>
      <c r="C20" s="114" t="str">
        <f aca="false">IF($B20="","",الموظفون!$C20)</f>
        <v/>
      </c>
      <c r="D20" s="114" t="str">
        <f aca="false">IF($B20="","",الموظفون!$F20)</f>
        <v/>
      </c>
      <c r="E20" s="114" t="str">
        <f aca="false">IF($B20="","",الموظفون!$E20)</f>
        <v/>
      </c>
      <c r="F20" s="114" t="str">
        <f aca="false">IF($B20="","",IF(AK20=0,IF(AND(الموظفون!$AE20&lt;&gt;"",الموظفون!$AE20&lt;$E$3),"✖ منتهي الخدمة","⏳ لم يباشر"),IF(S20&gt;0,"✈ راتب إجازة مقدم",IF(J20=0,"⛔ بدون راتب هذا الشهر",IF(I20&gt;0,"✈ خصم "&amp;ROUND(I20,2)&amp;" يوم بدون أجر",IF(AL20&gt;0,"🌴 إجازة سنوية "&amp;ROUND(AL20,2)&amp;" يوم",IF(H20&gt;0,"⚠ غياب "&amp;ROUND(H20,2)&amp;" يوم","✔ على رأس العمل")))))))</f>
        <v/>
      </c>
      <c r="G20" s="151" t="str">
        <f aca="false">IF($B20="","",IF(AK20&gt;=DAY($F$3),cfg_DAYS_M,MIN(AK20,cfg_DAYS_M)))</f>
        <v/>
      </c>
      <c r="H20" s="151" t="str">
        <f aca="false">IF($B20="","",SUMIFS('الحركات الشهرية'!$D$6:$D$1005,'الحركات الشهرية'!$B$6:$B$1005,$B20,'الحركات الشهرية'!$A$6:$A$1005,$C$3))</f>
        <v/>
      </c>
      <c r="I20" s="151" t="str">
        <f aca="false">IF($B20="","",MIN(G20,IF(AND(AK20&gt;0,AN20&gt;=AK20),G20,AN20)+SUMIFS('الحركات الشهرية'!$E$6:$E$1005,'الحركات الشهرية'!$B$6:$B$1005,$B20,'الحركات الشهرية'!$A$6:$A$1005,$C$3)))</f>
        <v/>
      </c>
      <c r="J20" s="151" t="str">
        <f aca="false">IF($B20="","",MAX(0,G20-H20-I20))</f>
        <v/>
      </c>
      <c r="K20" s="111" t="str">
        <f aca="false">IF($B20="","",الموظفون!$L20*$J20/cfg_DAYS_M)</f>
        <v/>
      </c>
      <c r="L20" s="111" t="str">
        <f aca="false">IF($B20="","",الموظفون!$M20*$J20/cfg_DAYS_M)</f>
        <v/>
      </c>
      <c r="M20" s="111" t="str">
        <f aca="false">IF($B20="","",الموظفون!$N20*$J20/cfg_DAYS_M)</f>
        <v/>
      </c>
      <c r="N20" s="111" t="str">
        <f aca="false">IF($B20="","",الموظفون!$O20*$J20/cfg_DAYS_M)</f>
        <v/>
      </c>
      <c r="O20" s="151" t="str">
        <f aca="false">IF($B20="","",SUMIFS('الحركات الشهرية'!$F$6:$F$1005,'الحركات الشهرية'!$B$6:$B$1005,$B20,'الحركات الشهرية'!$A$6:$A$1005,$C$3))</f>
        <v/>
      </c>
      <c r="P20" s="111" t="str">
        <f aca="false">IF($B20="","",O20*(الموظفون!$P20+الموظفون!$L20*cfg_OT_P)/cfg_DAYS_M/cfg_HRS)</f>
        <v/>
      </c>
      <c r="Q20" s="111" t="str">
        <f aca="false">IF($B20="","",SUMIFS('الحركات الشهرية'!$G$6:$G$1005,'الحركات الشهرية'!$B$6:$B$1005,$B20,'الحركات الشهرية'!$A$6:$A$1005,$C$3))</f>
        <v/>
      </c>
      <c r="R20" s="111" t="str">
        <f aca="false">IF($B20="","",SUMIFS('الحركات الشهرية'!$H$6:$H$1005,'الحركات الشهرية'!$B$6:$B$1005,$B20,'الحركات الشهرية'!$A$6:$A$1005,$C$3))</f>
        <v/>
      </c>
      <c r="S20" s="111" t="str">
        <f aca="false">IF($B20="","",SUMIFS('سجل الإجازات والحالات'!$N$6:$N$505,'سجل الإجازات والحالات'!$B$6:$B$505,$B20,'سجل الإجازات والحالات'!$O$6:$O$505,$C$3))</f>
        <v/>
      </c>
      <c r="T20" s="152" t="str">
        <f aca="false">IF($B20="","",SUM(K20:N20)+SUM(P20:S20))</f>
        <v/>
      </c>
      <c r="U20" s="111" t="str">
        <f aca="false">IF($B20="","",الموظفون!$S20*IF(E20="سعودي",cfg_G_SE,cfg_G_NE)*G20/cfg_DAYS_M)</f>
        <v/>
      </c>
      <c r="V20" s="111" t="str">
        <f aca="false">IF($B20="","",SUMIFS('الحركات الشهرية'!$I$6:$I$1005,'الحركات الشهرية'!$B$6:$B$1005,$B20,'الحركات الشهرية'!$A$6:$A$1005,$C$3))</f>
        <v/>
      </c>
      <c r="W20" s="111" t="str">
        <f aca="false">IF($B20="","",SUMIFS('الحركات الشهرية'!$J$6:$J$1005,'الحركات الشهرية'!$B$6:$B$1005,$B20,'الحركات الشهرية'!$A$6:$A$1005,$C$3))</f>
        <v/>
      </c>
      <c r="X20" s="111" t="str">
        <f aca="false">IF($B20="","",SUM(U20:W20))</f>
        <v/>
      </c>
      <c r="Y20" s="153" t="str">
        <f aca="false">IF($B20="","",T20-X20)</f>
        <v/>
      </c>
      <c r="Z20" s="111" t="str">
        <f aca="false">IF($B20="","",الموظفون!$S20*IF(E20="سعودي",cfg_G_SR,cfg_G_NR)*G20/cfg_DAYS_M)</f>
        <v/>
      </c>
      <c r="AA20" s="111" t="str">
        <f aca="false">IF($B20="","",الموظفون!$Q20*(cfg_EOS_R1*(MIN(AH20,cfg_EOS_TH)-MIN(AI20,cfg_EOS_TH))+cfg_EOS_R2*(MAX(AH20-cfg_EOS_TH,0)-MAX(AI20-cfg_EOS_TH,0))))</f>
        <v/>
      </c>
      <c r="AB20" s="111" t="str">
        <f aca="false">IF($B20="","",IF(الموظفون!$T20&lt;&gt;"",الموظفون!$T20,IF(AH20&gt;=cfg_LV_TH,cfg_LV_D2,cfg_LV_D1))/cfg_DAYS_Y*AJ20*الموظفون!$R20/cfg_DAYS_M)</f>
        <v/>
      </c>
      <c r="AC20" s="111" t="str">
        <f aca="false">IF($B20="","",IF(AND(الموظفون!$U20="نعم",N(الموظفون!$W20)&gt;0),الموظفون!$V20/الموظفون!$W20*12/cfg_DAYS_Y*AJ20,0))</f>
        <v/>
      </c>
      <c r="AD20" s="111" t="str">
        <f aca="false">IF($B20="","",(IF(الموظفون!$X20&lt;&gt;"",الموظفون!$X20,IF(الموظفون!$E20="غير سعودي",cfg_IQ,0))+IF(الموظفون!$Y20&lt;&gt;"",الموظفون!$Y20,IF(الموظفون!$E20="غير سعودي",cfg_WP,0)))/12*G20/cfg_DAYS_M)</f>
        <v/>
      </c>
      <c r="AE20" s="111" t="str">
        <f aca="false">IF($B20="","",IF(الموظفون!$Z20&lt;&gt;"",الموظفون!$Z20,cfg_MED)/12*G20/cfg_DAYS_M)</f>
        <v/>
      </c>
      <c r="AF20" s="111" t="str">
        <f aca="false">IF($B20="","",N(الموظفون!$AA20)/12*G20/cfg_DAYS_M)</f>
        <v/>
      </c>
      <c r="AG20" s="154" t="str">
        <f aca="false">IF($B20="","",T20+SUM(Z20:AF20))</f>
        <v/>
      </c>
      <c r="AH20" s="155" t="str">
        <f aca="false">IF($B20="","",MAX(0,IF(OR(الموظفون!$AE20="",الموظفون!$AE20&gt;$F$3),$F$3,الموظفون!$AE20)-الموظفون!$H20+1-SUMIFS('سجل الإجازات والحالات'!$AM$6:$AM$505,'سجل الإجازات والحالات'!$B$6:$B$505,$B20))/cfg_DAYS_Y)</f>
        <v/>
      </c>
      <c r="AI20" s="155" t="str">
        <f aca="false">IF($B20="","",MAX(0,IF(OR(الموظفون!$AE20="",الموظفون!$AE20&gt;($E$3-1)),($E$3-1),الموظفون!$AE20)-الموظفون!$H20+1-SUMIFS('سجل الإجازات والحالات'!$AL$6:$AL$505,'سجل الإجازات والحالات'!$B$6:$B$505,$B20))/cfg_DAYS_Y)</f>
        <v/>
      </c>
      <c r="AJ20" s="65" t="str">
        <f aca="false">IF($B20="","",MAX(0,AK20-(SUMIFS('سجل الإجازات والحالات'!$AM$6:$AM$505,'سجل الإجازات والحالات'!$B$6:$B$505,$B20)-SUMIFS('سجل الإجازات والحالات'!$AL$6:$AL$505,'سجل الإجازات والحالات'!$B$6:$B$505,$B20))))</f>
        <v/>
      </c>
      <c r="AK20" s="65" t="str">
        <f aca="false">IF($B20="","",MAX(0,IF(OR(الموظفون!$AE20="",الموظفون!$AE20&gt;$F$3),$F$3,الموظفون!$AE20)-MAX($E$3,الموظفون!$H20)+1))</f>
        <v/>
      </c>
      <c r="AL20" s="151" t="str">
        <f aca="false">IF($B20="","",SUMIFS('سجل الإجازات والحالات'!$AY$6:$AY$505,'سجل الإجازات والحالات'!$B$6:$B$505,$B20)+SUMIFS('الحركات الشهرية'!$K$6:$K$1005,'الحركات الشهرية'!$B$6:$B$1005,$B20,'الحركات الشهرية'!$A$6:$A$1005,$C$3))</f>
        <v/>
      </c>
      <c r="AM20" s="111" t="str">
        <f aca="false">IF($B20="","",AL20*الموظفون!$R20/cfg_DAYS_M+S20)</f>
        <v/>
      </c>
      <c r="AN20" s="151" t="str">
        <f aca="false">IF($B20="","",SUMIFS('سجل الإجازات والحالات'!$AA$6:$AA$505,'سجل الإجازات والحالات'!$B$6:$B$505,$B20))</f>
        <v/>
      </c>
    </row>
    <row r="21" customFormat="false" ht="15" hidden="false" customHeight="false" outlineLevel="0" collapsed="false">
      <c r="A21" s="115" t="str">
        <f aca="false">IF($B21="","",الموظفون!$A21)</f>
        <v/>
      </c>
      <c r="B21" s="117" t="str">
        <f aca="false">IF(الموظفون!$B21="","",الموظفون!$B21)</f>
        <v/>
      </c>
      <c r="C21" s="117" t="str">
        <f aca="false">IF($B21="","",الموظفون!$C21)</f>
        <v/>
      </c>
      <c r="D21" s="117" t="str">
        <f aca="false">IF($B21="","",الموظفون!$F21)</f>
        <v/>
      </c>
      <c r="E21" s="117" t="str">
        <f aca="false">IF($B21="","",الموظفون!$E21)</f>
        <v/>
      </c>
      <c r="F21" s="117" t="str">
        <f aca="false">IF($B21="","",IF(AK21=0,IF(AND(الموظفون!$AE21&lt;&gt;"",الموظفون!$AE21&lt;$E$3),"✖ منتهي الخدمة","⏳ لم يباشر"),IF(S21&gt;0,"✈ راتب إجازة مقدم",IF(J21=0,"⛔ بدون راتب هذا الشهر",IF(I21&gt;0,"✈ خصم "&amp;ROUND(I21,2)&amp;" يوم بدون أجر",IF(AL21&gt;0,"🌴 إجازة سنوية "&amp;ROUND(AL21,2)&amp;" يوم",IF(H21&gt;0,"⚠ غياب "&amp;ROUND(H21,2)&amp;" يوم","✔ على رأس العمل")))))))</f>
        <v/>
      </c>
      <c r="G21" s="156" t="str">
        <f aca="false">IF($B21="","",IF(AK21&gt;=DAY($F$3),cfg_DAYS_M,MIN(AK21,cfg_DAYS_M)))</f>
        <v/>
      </c>
      <c r="H21" s="156" t="str">
        <f aca="false">IF($B21="","",SUMIFS('الحركات الشهرية'!$D$6:$D$1005,'الحركات الشهرية'!$B$6:$B$1005,$B21,'الحركات الشهرية'!$A$6:$A$1005,$C$3))</f>
        <v/>
      </c>
      <c r="I21" s="156" t="str">
        <f aca="false">IF($B21="","",MIN(G21,IF(AND(AK21&gt;0,AN21&gt;=AK21),G21,AN21)+SUMIFS('الحركات الشهرية'!$E$6:$E$1005,'الحركات الشهرية'!$B$6:$B$1005,$B21,'الحركات الشهرية'!$A$6:$A$1005,$C$3)))</f>
        <v/>
      </c>
      <c r="J21" s="156" t="str">
        <f aca="false">IF($B21="","",MAX(0,G21-H21-I21))</f>
        <v/>
      </c>
      <c r="K21" s="116" t="str">
        <f aca="false">IF($B21="","",الموظفون!$L21*$J21/cfg_DAYS_M)</f>
        <v/>
      </c>
      <c r="L21" s="116" t="str">
        <f aca="false">IF($B21="","",الموظفون!$M21*$J21/cfg_DAYS_M)</f>
        <v/>
      </c>
      <c r="M21" s="116" t="str">
        <f aca="false">IF($B21="","",الموظفون!$N21*$J21/cfg_DAYS_M)</f>
        <v/>
      </c>
      <c r="N21" s="116" t="str">
        <f aca="false">IF($B21="","",الموظفون!$O21*$J21/cfg_DAYS_M)</f>
        <v/>
      </c>
      <c r="O21" s="156" t="str">
        <f aca="false">IF($B21="","",SUMIFS('الحركات الشهرية'!$F$6:$F$1005,'الحركات الشهرية'!$B$6:$B$1005,$B21,'الحركات الشهرية'!$A$6:$A$1005,$C$3))</f>
        <v/>
      </c>
      <c r="P21" s="116" t="str">
        <f aca="false">IF($B21="","",O21*(الموظفون!$P21+الموظفون!$L21*cfg_OT_P)/cfg_DAYS_M/cfg_HRS)</f>
        <v/>
      </c>
      <c r="Q21" s="116" t="str">
        <f aca="false">IF($B21="","",SUMIFS('الحركات الشهرية'!$G$6:$G$1005,'الحركات الشهرية'!$B$6:$B$1005,$B21,'الحركات الشهرية'!$A$6:$A$1005,$C$3))</f>
        <v/>
      </c>
      <c r="R21" s="116" t="str">
        <f aca="false">IF($B21="","",SUMIFS('الحركات الشهرية'!$H$6:$H$1005,'الحركات الشهرية'!$B$6:$B$1005,$B21,'الحركات الشهرية'!$A$6:$A$1005,$C$3))</f>
        <v/>
      </c>
      <c r="S21" s="116" t="str">
        <f aca="false">IF($B21="","",SUMIFS('سجل الإجازات والحالات'!$N$6:$N$505,'سجل الإجازات والحالات'!$B$6:$B$505,$B21,'سجل الإجازات والحالات'!$O$6:$O$505,$C$3))</f>
        <v/>
      </c>
      <c r="T21" s="157" t="str">
        <f aca="false">IF($B21="","",SUM(K21:N21)+SUM(P21:S21))</f>
        <v/>
      </c>
      <c r="U21" s="116" t="str">
        <f aca="false">IF($B21="","",الموظفون!$S21*IF(E21="سعودي",cfg_G_SE,cfg_G_NE)*G21/cfg_DAYS_M)</f>
        <v/>
      </c>
      <c r="V21" s="116" t="str">
        <f aca="false">IF($B21="","",SUMIFS('الحركات الشهرية'!$I$6:$I$1005,'الحركات الشهرية'!$B$6:$B$1005,$B21,'الحركات الشهرية'!$A$6:$A$1005,$C$3))</f>
        <v/>
      </c>
      <c r="W21" s="116" t="str">
        <f aca="false">IF($B21="","",SUMIFS('الحركات الشهرية'!$J$6:$J$1005,'الحركات الشهرية'!$B$6:$B$1005,$B21,'الحركات الشهرية'!$A$6:$A$1005,$C$3))</f>
        <v/>
      </c>
      <c r="X21" s="116" t="str">
        <f aca="false">IF($B21="","",SUM(U21:W21))</f>
        <v/>
      </c>
      <c r="Y21" s="158" t="str">
        <f aca="false">IF($B21="","",T21-X21)</f>
        <v/>
      </c>
      <c r="Z21" s="116" t="str">
        <f aca="false">IF($B21="","",الموظفون!$S21*IF(E21="سعودي",cfg_G_SR,cfg_G_NR)*G21/cfg_DAYS_M)</f>
        <v/>
      </c>
      <c r="AA21" s="116" t="str">
        <f aca="false">IF($B21="","",الموظفون!$Q21*(cfg_EOS_R1*(MIN(AH21,cfg_EOS_TH)-MIN(AI21,cfg_EOS_TH))+cfg_EOS_R2*(MAX(AH21-cfg_EOS_TH,0)-MAX(AI21-cfg_EOS_TH,0))))</f>
        <v/>
      </c>
      <c r="AB21" s="116" t="str">
        <f aca="false">IF($B21="","",IF(الموظفون!$T21&lt;&gt;"",الموظفون!$T21,IF(AH21&gt;=cfg_LV_TH,cfg_LV_D2,cfg_LV_D1))/cfg_DAYS_Y*AJ21*الموظفون!$R21/cfg_DAYS_M)</f>
        <v/>
      </c>
      <c r="AC21" s="116" t="str">
        <f aca="false">IF($B21="","",IF(AND(الموظفون!$U21="نعم",N(الموظفون!$W21)&gt;0),الموظفون!$V21/الموظفون!$W21*12/cfg_DAYS_Y*AJ21,0))</f>
        <v/>
      </c>
      <c r="AD21" s="116" t="str">
        <f aca="false">IF($B21="","",(IF(الموظفون!$X21&lt;&gt;"",الموظفون!$X21,IF(الموظفون!$E21="غير سعودي",cfg_IQ,0))+IF(الموظفون!$Y21&lt;&gt;"",الموظفون!$Y21,IF(الموظفون!$E21="غير سعودي",cfg_WP,0)))/12*G21/cfg_DAYS_M)</f>
        <v/>
      </c>
      <c r="AE21" s="116" t="str">
        <f aca="false">IF($B21="","",IF(الموظفون!$Z21&lt;&gt;"",الموظفون!$Z21,cfg_MED)/12*G21/cfg_DAYS_M)</f>
        <v/>
      </c>
      <c r="AF21" s="116" t="str">
        <f aca="false">IF($B21="","",N(الموظفون!$AA21)/12*G21/cfg_DAYS_M)</f>
        <v/>
      </c>
      <c r="AG21" s="159" t="str">
        <f aca="false">IF($B21="","",T21+SUM(Z21:AF21))</f>
        <v/>
      </c>
      <c r="AH21" s="160" t="str">
        <f aca="false">IF($B21="","",MAX(0,IF(OR(الموظفون!$AE21="",الموظفون!$AE21&gt;$F$3),$F$3,الموظفون!$AE21)-الموظفون!$H21+1-SUMIFS('سجل الإجازات والحالات'!$AM$6:$AM$505,'سجل الإجازات والحالات'!$B$6:$B$505,$B21))/cfg_DAYS_Y)</f>
        <v/>
      </c>
      <c r="AI21" s="160" t="str">
        <f aca="false">IF($B21="","",MAX(0,IF(OR(الموظفون!$AE21="",الموظفون!$AE21&gt;($E$3-1)),($E$3-1),الموظفون!$AE21)-الموظفون!$H21+1-SUMIFS('سجل الإجازات والحالات'!$AL$6:$AL$505,'سجل الإجازات والحالات'!$B$6:$B$505,$B21))/cfg_DAYS_Y)</f>
        <v/>
      </c>
      <c r="AJ21" s="133" t="str">
        <f aca="false">IF($B21="","",MAX(0,AK21-(SUMIFS('سجل الإجازات والحالات'!$AM$6:$AM$505,'سجل الإجازات والحالات'!$B$6:$B$505,$B21)-SUMIFS('سجل الإجازات والحالات'!$AL$6:$AL$505,'سجل الإجازات والحالات'!$B$6:$B$505,$B21))))</f>
        <v/>
      </c>
      <c r="AK21" s="133" t="str">
        <f aca="false">IF($B21="","",MAX(0,IF(OR(الموظفون!$AE21="",الموظفون!$AE21&gt;$F$3),$F$3,الموظفون!$AE21)-MAX($E$3,الموظفون!$H21)+1))</f>
        <v/>
      </c>
      <c r="AL21" s="156" t="str">
        <f aca="false">IF($B21="","",SUMIFS('سجل الإجازات والحالات'!$AY$6:$AY$505,'سجل الإجازات والحالات'!$B$6:$B$505,$B21)+SUMIFS('الحركات الشهرية'!$K$6:$K$1005,'الحركات الشهرية'!$B$6:$B$1005,$B21,'الحركات الشهرية'!$A$6:$A$1005,$C$3))</f>
        <v/>
      </c>
      <c r="AM21" s="116" t="str">
        <f aca="false">IF($B21="","",AL21*الموظفون!$R21/cfg_DAYS_M+S21)</f>
        <v/>
      </c>
      <c r="AN21" s="156" t="str">
        <f aca="false">IF($B21="","",SUMIFS('سجل الإجازات والحالات'!$AA$6:$AA$505,'سجل الإجازات والحالات'!$B$6:$B$505,$B21))</f>
        <v/>
      </c>
    </row>
    <row r="22" customFormat="false" ht="15" hidden="false" customHeight="false" outlineLevel="0" collapsed="false">
      <c r="A22" s="106" t="str">
        <f aca="false">IF($B22="","",الموظفون!$A22)</f>
        <v/>
      </c>
      <c r="B22" s="114" t="str">
        <f aca="false">IF(الموظفون!$B22="","",الموظفون!$B22)</f>
        <v/>
      </c>
      <c r="C22" s="114" t="str">
        <f aca="false">IF($B22="","",الموظفون!$C22)</f>
        <v/>
      </c>
      <c r="D22" s="114" t="str">
        <f aca="false">IF($B22="","",الموظفون!$F22)</f>
        <v/>
      </c>
      <c r="E22" s="114" t="str">
        <f aca="false">IF($B22="","",الموظفون!$E22)</f>
        <v/>
      </c>
      <c r="F22" s="114" t="str">
        <f aca="false">IF($B22="","",IF(AK22=0,IF(AND(الموظفون!$AE22&lt;&gt;"",الموظفون!$AE22&lt;$E$3),"✖ منتهي الخدمة","⏳ لم يباشر"),IF(S22&gt;0,"✈ راتب إجازة مقدم",IF(J22=0,"⛔ بدون راتب هذا الشهر",IF(I22&gt;0,"✈ خصم "&amp;ROUND(I22,2)&amp;" يوم بدون أجر",IF(AL22&gt;0,"🌴 إجازة سنوية "&amp;ROUND(AL22,2)&amp;" يوم",IF(H22&gt;0,"⚠ غياب "&amp;ROUND(H22,2)&amp;" يوم","✔ على رأس العمل")))))))</f>
        <v/>
      </c>
      <c r="G22" s="151" t="str">
        <f aca="false">IF($B22="","",IF(AK22&gt;=DAY($F$3),cfg_DAYS_M,MIN(AK22,cfg_DAYS_M)))</f>
        <v/>
      </c>
      <c r="H22" s="151" t="str">
        <f aca="false">IF($B22="","",SUMIFS('الحركات الشهرية'!$D$6:$D$1005,'الحركات الشهرية'!$B$6:$B$1005,$B22,'الحركات الشهرية'!$A$6:$A$1005,$C$3))</f>
        <v/>
      </c>
      <c r="I22" s="151" t="str">
        <f aca="false">IF($B22="","",MIN(G22,IF(AND(AK22&gt;0,AN22&gt;=AK22),G22,AN22)+SUMIFS('الحركات الشهرية'!$E$6:$E$1005,'الحركات الشهرية'!$B$6:$B$1005,$B22,'الحركات الشهرية'!$A$6:$A$1005,$C$3)))</f>
        <v/>
      </c>
      <c r="J22" s="151" t="str">
        <f aca="false">IF($B22="","",MAX(0,G22-H22-I22))</f>
        <v/>
      </c>
      <c r="K22" s="111" t="str">
        <f aca="false">IF($B22="","",الموظفون!$L22*$J22/cfg_DAYS_M)</f>
        <v/>
      </c>
      <c r="L22" s="111" t="str">
        <f aca="false">IF($B22="","",الموظفون!$M22*$J22/cfg_DAYS_M)</f>
        <v/>
      </c>
      <c r="M22" s="111" t="str">
        <f aca="false">IF($B22="","",الموظفون!$N22*$J22/cfg_DAYS_M)</f>
        <v/>
      </c>
      <c r="N22" s="111" t="str">
        <f aca="false">IF($B22="","",الموظفون!$O22*$J22/cfg_DAYS_M)</f>
        <v/>
      </c>
      <c r="O22" s="151" t="str">
        <f aca="false">IF($B22="","",SUMIFS('الحركات الشهرية'!$F$6:$F$1005,'الحركات الشهرية'!$B$6:$B$1005,$B22,'الحركات الشهرية'!$A$6:$A$1005,$C$3))</f>
        <v/>
      </c>
      <c r="P22" s="111" t="str">
        <f aca="false">IF($B22="","",O22*(الموظفون!$P22+الموظفون!$L22*cfg_OT_P)/cfg_DAYS_M/cfg_HRS)</f>
        <v/>
      </c>
      <c r="Q22" s="111" t="str">
        <f aca="false">IF($B22="","",SUMIFS('الحركات الشهرية'!$G$6:$G$1005,'الحركات الشهرية'!$B$6:$B$1005,$B22,'الحركات الشهرية'!$A$6:$A$1005,$C$3))</f>
        <v/>
      </c>
      <c r="R22" s="111" t="str">
        <f aca="false">IF($B22="","",SUMIFS('الحركات الشهرية'!$H$6:$H$1005,'الحركات الشهرية'!$B$6:$B$1005,$B22,'الحركات الشهرية'!$A$6:$A$1005,$C$3))</f>
        <v/>
      </c>
      <c r="S22" s="111" t="str">
        <f aca="false">IF($B22="","",SUMIFS('سجل الإجازات والحالات'!$N$6:$N$505,'سجل الإجازات والحالات'!$B$6:$B$505,$B22,'سجل الإجازات والحالات'!$O$6:$O$505,$C$3))</f>
        <v/>
      </c>
      <c r="T22" s="152" t="str">
        <f aca="false">IF($B22="","",SUM(K22:N22)+SUM(P22:S22))</f>
        <v/>
      </c>
      <c r="U22" s="111" t="str">
        <f aca="false">IF($B22="","",الموظفون!$S22*IF(E22="سعودي",cfg_G_SE,cfg_G_NE)*G22/cfg_DAYS_M)</f>
        <v/>
      </c>
      <c r="V22" s="111" t="str">
        <f aca="false">IF($B22="","",SUMIFS('الحركات الشهرية'!$I$6:$I$1005,'الحركات الشهرية'!$B$6:$B$1005,$B22,'الحركات الشهرية'!$A$6:$A$1005,$C$3))</f>
        <v/>
      </c>
      <c r="W22" s="111" t="str">
        <f aca="false">IF($B22="","",SUMIFS('الحركات الشهرية'!$J$6:$J$1005,'الحركات الشهرية'!$B$6:$B$1005,$B22,'الحركات الشهرية'!$A$6:$A$1005,$C$3))</f>
        <v/>
      </c>
      <c r="X22" s="111" t="str">
        <f aca="false">IF($B22="","",SUM(U22:W22))</f>
        <v/>
      </c>
      <c r="Y22" s="153" t="str">
        <f aca="false">IF($B22="","",T22-X22)</f>
        <v/>
      </c>
      <c r="Z22" s="111" t="str">
        <f aca="false">IF($B22="","",الموظفون!$S22*IF(E22="سعودي",cfg_G_SR,cfg_G_NR)*G22/cfg_DAYS_M)</f>
        <v/>
      </c>
      <c r="AA22" s="111" t="str">
        <f aca="false">IF($B22="","",الموظفون!$Q22*(cfg_EOS_R1*(MIN(AH22,cfg_EOS_TH)-MIN(AI22,cfg_EOS_TH))+cfg_EOS_R2*(MAX(AH22-cfg_EOS_TH,0)-MAX(AI22-cfg_EOS_TH,0))))</f>
        <v/>
      </c>
      <c r="AB22" s="111" t="str">
        <f aca="false">IF($B22="","",IF(الموظفون!$T22&lt;&gt;"",الموظفون!$T22,IF(AH22&gt;=cfg_LV_TH,cfg_LV_D2,cfg_LV_D1))/cfg_DAYS_Y*AJ22*الموظفون!$R22/cfg_DAYS_M)</f>
        <v/>
      </c>
      <c r="AC22" s="111" t="str">
        <f aca="false">IF($B22="","",IF(AND(الموظفون!$U22="نعم",N(الموظفون!$W22)&gt;0),الموظفون!$V22/الموظفون!$W22*12/cfg_DAYS_Y*AJ22,0))</f>
        <v/>
      </c>
      <c r="AD22" s="111" t="str">
        <f aca="false">IF($B22="","",(IF(الموظفون!$X22&lt;&gt;"",الموظفون!$X22,IF(الموظفون!$E22="غير سعودي",cfg_IQ,0))+IF(الموظفون!$Y22&lt;&gt;"",الموظفون!$Y22,IF(الموظفون!$E22="غير سعودي",cfg_WP,0)))/12*G22/cfg_DAYS_M)</f>
        <v/>
      </c>
      <c r="AE22" s="111" t="str">
        <f aca="false">IF($B22="","",IF(الموظفون!$Z22&lt;&gt;"",الموظفون!$Z22,cfg_MED)/12*G22/cfg_DAYS_M)</f>
        <v/>
      </c>
      <c r="AF22" s="111" t="str">
        <f aca="false">IF($B22="","",N(الموظفون!$AA22)/12*G22/cfg_DAYS_M)</f>
        <v/>
      </c>
      <c r="AG22" s="154" t="str">
        <f aca="false">IF($B22="","",T22+SUM(Z22:AF22))</f>
        <v/>
      </c>
      <c r="AH22" s="155" t="str">
        <f aca="false">IF($B22="","",MAX(0,IF(OR(الموظفون!$AE22="",الموظفون!$AE22&gt;$F$3),$F$3,الموظفون!$AE22)-الموظفون!$H22+1-SUMIFS('سجل الإجازات والحالات'!$AM$6:$AM$505,'سجل الإجازات والحالات'!$B$6:$B$505,$B22))/cfg_DAYS_Y)</f>
        <v/>
      </c>
      <c r="AI22" s="155" t="str">
        <f aca="false">IF($B22="","",MAX(0,IF(OR(الموظفون!$AE22="",الموظفون!$AE22&gt;($E$3-1)),($E$3-1),الموظفون!$AE22)-الموظفون!$H22+1-SUMIFS('سجل الإجازات والحالات'!$AL$6:$AL$505,'سجل الإجازات والحالات'!$B$6:$B$505,$B22))/cfg_DAYS_Y)</f>
        <v/>
      </c>
      <c r="AJ22" s="65" t="str">
        <f aca="false">IF($B22="","",MAX(0,AK22-(SUMIFS('سجل الإجازات والحالات'!$AM$6:$AM$505,'سجل الإجازات والحالات'!$B$6:$B$505,$B22)-SUMIFS('سجل الإجازات والحالات'!$AL$6:$AL$505,'سجل الإجازات والحالات'!$B$6:$B$505,$B22))))</f>
        <v/>
      </c>
      <c r="AK22" s="65" t="str">
        <f aca="false">IF($B22="","",MAX(0,IF(OR(الموظفون!$AE22="",الموظفون!$AE22&gt;$F$3),$F$3,الموظفون!$AE22)-MAX($E$3,الموظفون!$H22)+1))</f>
        <v/>
      </c>
      <c r="AL22" s="151" t="str">
        <f aca="false">IF($B22="","",SUMIFS('سجل الإجازات والحالات'!$AY$6:$AY$505,'سجل الإجازات والحالات'!$B$6:$B$505,$B22)+SUMIFS('الحركات الشهرية'!$K$6:$K$1005,'الحركات الشهرية'!$B$6:$B$1005,$B22,'الحركات الشهرية'!$A$6:$A$1005,$C$3))</f>
        <v/>
      </c>
      <c r="AM22" s="111" t="str">
        <f aca="false">IF($B22="","",AL22*الموظفون!$R22/cfg_DAYS_M+S22)</f>
        <v/>
      </c>
      <c r="AN22" s="151" t="str">
        <f aca="false">IF($B22="","",SUMIFS('سجل الإجازات والحالات'!$AA$6:$AA$505,'سجل الإجازات والحالات'!$B$6:$B$505,$B22))</f>
        <v/>
      </c>
    </row>
    <row r="23" customFormat="false" ht="15" hidden="false" customHeight="false" outlineLevel="0" collapsed="false">
      <c r="A23" s="115" t="str">
        <f aca="false">IF($B23="","",الموظفون!$A23)</f>
        <v/>
      </c>
      <c r="B23" s="117" t="str">
        <f aca="false">IF(الموظفون!$B23="","",الموظفون!$B23)</f>
        <v/>
      </c>
      <c r="C23" s="117" t="str">
        <f aca="false">IF($B23="","",الموظفون!$C23)</f>
        <v/>
      </c>
      <c r="D23" s="117" t="str">
        <f aca="false">IF($B23="","",الموظفون!$F23)</f>
        <v/>
      </c>
      <c r="E23" s="117" t="str">
        <f aca="false">IF($B23="","",الموظفون!$E23)</f>
        <v/>
      </c>
      <c r="F23" s="117" t="str">
        <f aca="false">IF($B23="","",IF(AK23=0,IF(AND(الموظفون!$AE23&lt;&gt;"",الموظفون!$AE23&lt;$E$3),"✖ منتهي الخدمة","⏳ لم يباشر"),IF(S23&gt;0,"✈ راتب إجازة مقدم",IF(J23=0,"⛔ بدون راتب هذا الشهر",IF(I23&gt;0,"✈ خصم "&amp;ROUND(I23,2)&amp;" يوم بدون أجر",IF(AL23&gt;0,"🌴 إجازة سنوية "&amp;ROUND(AL23,2)&amp;" يوم",IF(H23&gt;0,"⚠ غياب "&amp;ROUND(H23,2)&amp;" يوم","✔ على رأس العمل")))))))</f>
        <v/>
      </c>
      <c r="G23" s="156" t="str">
        <f aca="false">IF($B23="","",IF(AK23&gt;=DAY($F$3),cfg_DAYS_M,MIN(AK23,cfg_DAYS_M)))</f>
        <v/>
      </c>
      <c r="H23" s="156" t="str">
        <f aca="false">IF($B23="","",SUMIFS('الحركات الشهرية'!$D$6:$D$1005,'الحركات الشهرية'!$B$6:$B$1005,$B23,'الحركات الشهرية'!$A$6:$A$1005,$C$3))</f>
        <v/>
      </c>
      <c r="I23" s="156" t="str">
        <f aca="false">IF($B23="","",MIN(G23,IF(AND(AK23&gt;0,AN23&gt;=AK23),G23,AN23)+SUMIFS('الحركات الشهرية'!$E$6:$E$1005,'الحركات الشهرية'!$B$6:$B$1005,$B23,'الحركات الشهرية'!$A$6:$A$1005,$C$3)))</f>
        <v/>
      </c>
      <c r="J23" s="156" t="str">
        <f aca="false">IF($B23="","",MAX(0,G23-H23-I23))</f>
        <v/>
      </c>
      <c r="K23" s="116" t="str">
        <f aca="false">IF($B23="","",الموظفون!$L23*$J23/cfg_DAYS_M)</f>
        <v/>
      </c>
      <c r="L23" s="116" t="str">
        <f aca="false">IF($B23="","",الموظفون!$M23*$J23/cfg_DAYS_M)</f>
        <v/>
      </c>
      <c r="M23" s="116" t="str">
        <f aca="false">IF($B23="","",الموظفون!$N23*$J23/cfg_DAYS_M)</f>
        <v/>
      </c>
      <c r="N23" s="116" t="str">
        <f aca="false">IF($B23="","",الموظفون!$O23*$J23/cfg_DAYS_M)</f>
        <v/>
      </c>
      <c r="O23" s="156" t="str">
        <f aca="false">IF($B23="","",SUMIFS('الحركات الشهرية'!$F$6:$F$1005,'الحركات الشهرية'!$B$6:$B$1005,$B23,'الحركات الشهرية'!$A$6:$A$1005,$C$3))</f>
        <v/>
      </c>
      <c r="P23" s="116" t="str">
        <f aca="false">IF($B23="","",O23*(الموظفون!$P23+الموظفون!$L23*cfg_OT_P)/cfg_DAYS_M/cfg_HRS)</f>
        <v/>
      </c>
      <c r="Q23" s="116" t="str">
        <f aca="false">IF($B23="","",SUMIFS('الحركات الشهرية'!$G$6:$G$1005,'الحركات الشهرية'!$B$6:$B$1005,$B23,'الحركات الشهرية'!$A$6:$A$1005,$C$3))</f>
        <v/>
      </c>
      <c r="R23" s="116" t="str">
        <f aca="false">IF($B23="","",SUMIFS('الحركات الشهرية'!$H$6:$H$1005,'الحركات الشهرية'!$B$6:$B$1005,$B23,'الحركات الشهرية'!$A$6:$A$1005,$C$3))</f>
        <v/>
      </c>
      <c r="S23" s="116" t="str">
        <f aca="false">IF($B23="","",SUMIFS('سجل الإجازات والحالات'!$N$6:$N$505,'سجل الإجازات والحالات'!$B$6:$B$505,$B23,'سجل الإجازات والحالات'!$O$6:$O$505,$C$3))</f>
        <v/>
      </c>
      <c r="T23" s="157" t="str">
        <f aca="false">IF($B23="","",SUM(K23:N23)+SUM(P23:S23))</f>
        <v/>
      </c>
      <c r="U23" s="116" t="str">
        <f aca="false">IF($B23="","",الموظفون!$S23*IF(E23="سعودي",cfg_G_SE,cfg_G_NE)*G23/cfg_DAYS_M)</f>
        <v/>
      </c>
      <c r="V23" s="116" t="str">
        <f aca="false">IF($B23="","",SUMIFS('الحركات الشهرية'!$I$6:$I$1005,'الحركات الشهرية'!$B$6:$B$1005,$B23,'الحركات الشهرية'!$A$6:$A$1005,$C$3))</f>
        <v/>
      </c>
      <c r="W23" s="116" t="str">
        <f aca="false">IF($B23="","",SUMIFS('الحركات الشهرية'!$J$6:$J$1005,'الحركات الشهرية'!$B$6:$B$1005,$B23,'الحركات الشهرية'!$A$6:$A$1005,$C$3))</f>
        <v/>
      </c>
      <c r="X23" s="116" t="str">
        <f aca="false">IF($B23="","",SUM(U23:W23))</f>
        <v/>
      </c>
      <c r="Y23" s="158" t="str">
        <f aca="false">IF($B23="","",T23-X23)</f>
        <v/>
      </c>
      <c r="Z23" s="116" t="str">
        <f aca="false">IF($B23="","",الموظفون!$S23*IF(E23="سعودي",cfg_G_SR,cfg_G_NR)*G23/cfg_DAYS_M)</f>
        <v/>
      </c>
      <c r="AA23" s="116" t="str">
        <f aca="false">IF($B23="","",الموظفون!$Q23*(cfg_EOS_R1*(MIN(AH23,cfg_EOS_TH)-MIN(AI23,cfg_EOS_TH))+cfg_EOS_R2*(MAX(AH23-cfg_EOS_TH,0)-MAX(AI23-cfg_EOS_TH,0))))</f>
        <v/>
      </c>
      <c r="AB23" s="116" t="str">
        <f aca="false">IF($B23="","",IF(الموظفون!$T23&lt;&gt;"",الموظفون!$T23,IF(AH23&gt;=cfg_LV_TH,cfg_LV_D2,cfg_LV_D1))/cfg_DAYS_Y*AJ23*الموظفون!$R23/cfg_DAYS_M)</f>
        <v/>
      </c>
      <c r="AC23" s="116" t="str">
        <f aca="false">IF($B23="","",IF(AND(الموظفون!$U23="نعم",N(الموظفون!$W23)&gt;0),الموظفون!$V23/الموظفون!$W23*12/cfg_DAYS_Y*AJ23,0))</f>
        <v/>
      </c>
      <c r="AD23" s="116" t="str">
        <f aca="false">IF($B23="","",(IF(الموظفون!$X23&lt;&gt;"",الموظفون!$X23,IF(الموظفون!$E23="غير سعودي",cfg_IQ,0))+IF(الموظفون!$Y23&lt;&gt;"",الموظفون!$Y23,IF(الموظفون!$E23="غير سعودي",cfg_WP,0)))/12*G23/cfg_DAYS_M)</f>
        <v/>
      </c>
      <c r="AE23" s="116" t="str">
        <f aca="false">IF($B23="","",IF(الموظفون!$Z23&lt;&gt;"",الموظفون!$Z23,cfg_MED)/12*G23/cfg_DAYS_M)</f>
        <v/>
      </c>
      <c r="AF23" s="116" t="str">
        <f aca="false">IF($B23="","",N(الموظفون!$AA23)/12*G23/cfg_DAYS_M)</f>
        <v/>
      </c>
      <c r="AG23" s="159" t="str">
        <f aca="false">IF($B23="","",T23+SUM(Z23:AF23))</f>
        <v/>
      </c>
      <c r="AH23" s="160" t="str">
        <f aca="false">IF($B23="","",MAX(0,IF(OR(الموظفون!$AE23="",الموظفون!$AE23&gt;$F$3),$F$3,الموظفون!$AE23)-الموظفون!$H23+1-SUMIFS('سجل الإجازات والحالات'!$AM$6:$AM$505,'سجل الإجازات والحالات'!$B$6:$B$505,$B23))/cfg_DAYS_Y)</f>
        <v/>
      </c>
      <c r="AI23" s="160" t="str">
        <f aca="false">IF($B23="","",MAX(0,IF(OR(الموظفون!$AE23="",الموظفون!$AE23&gt;($E$3-1)),($E$3-1),الموظفون!$AE23)-الموظفون!$H23+1-SUMIFS('سجل الإجازات والحالات'!$AL$6:$AL$505,'سجل الإجازات والحالات'!$B$6:$B$505,$B23))/cfg_DAYS_Y)</f>
        <v/>
      </c>
      <c r="AJ23" s="133" t="str">
        <f aca="false">IF($B23="","",MAX(0,AK23-(SUMIFS('سجل الإجازات والحالات'!$AM$6:$AM$505,'سجل الإجازات والحالات'!$B$6:$B$505,$B23)-SUMIFS('سجل الإجازات والحالات'!$AL$6:$AL$505,'سجل الإجازات والحالات'!$B$6:$B$505,$B23))))</f>
        <v/>
      </c>
      <c r="AK23" s="133" t="str">
        <f aca="false">IF($B23="","",MAX(0,IF(OR(الموظفون!$AE23="",الموظفون!$AE23&gt;$F$3),$F$3,الموظفون!$AE23)-MAX($E$3,الموظفون!$H23)+1))</f>
        <v/>
      </c>
      <c r="AL23" s="156" t="str">
        <f aca="false">IF($B23="","",SUMIFS('سجل الإجازات والحالات'!$AY$6:$AY$505,'سجل الإجازات والحالات'!$B$6:$B$505,$B23)+SUMIFS('الحركات الشهرية'!$K$6:$K$1005,'الحركات الشهرية'!$B$6:$B$1005,$B23,'الحركات الشهرية'!$A$6:$A$1005,$C$3))</f>
        <v/>
      </c>
      <c r="AM23" s="116" t="str">
        <f aca="false">IF($B23="","",AL23*الموظفون!$R23/cfg_DAYS_M+S23)</f>
        <v/>
      </c>
      <c r="AN23" s="156" t="str">
        <f aca="false">IF($B23="","",SUMIFS('سجل الإجازات والحالات'!$AA$6:$AA$505,'سجل الإجازات والحالات'!$B$6:$B$505,$B23))</f>
        <v/>
      </c>
    </row>
    <row r="24" customFormat="false" ht="15" hidden="false" customHeight="false" outlineLevel="0" collapsed="false">
      <c r="A24" s="106" t="str">
        <f aca="false">IF($B24="","",الموظفون!$A24)</f>
        <v/>
      </c>
      <c r="B24" s="114" t="str">
        <f aca="false">IF(الموظفون!$B24="","",الموظفون!$B24)</f>
        <v/>
      </c>
      <c r="C24" s="114" t="str">
        <f aca="false">IF($B24="","",الموظفون!$C24)</f>
        <v/>
      </c>
      <c r="D24" s="114" t="str">
        <f aca="false">IF($B24="","",الموظفون!$F24)</f>
        <v/>
      </c>
      <c r="E24" s="114" t="str">
        <f aca="false">IF($B24="","",الموظفون!$E24)</f>
        <v/>
      </c>
      <c r="F24" s="114" t="str">
        <f aca="false">IF($B24="","",IF(AK24=0,IF(AND(الموظفون!$AE24&lt;&gt;"",الموظفون!$AE24&lt;$E$3),"✖ منتهي الخدمة","⏳ لم يباشر"),IF(S24&gt;0,"✈ راتب إجازة مقدم",IF(J24=0,"⛔ بدون راتب هذا الشهر",IF(I24&gt;0,"✈ خصم "&amp;ROUND(I24,2)&amp;" يوم بدون أجر",IF(AL24&gt;0,"🌴 إجازة سنوية "&amp;ROUND(AL24,2)&amp;" يوم",IF(H24&gt;0,"⚠ غياب "&amp;ROUND(H24,2)&amp;" يوم","✔ على رأس العمل")))))))</f>
        <v/>
      </c>
      <c r="G24" s="151" t="str">
        <f aca="false">IF($B24="","",IF(AK24&gt;=DAY($F$3),cfg_DAYS_M,MIN(AK24,cfg_DAYS_M)))</f>
        <v/>
      </c>
      <c r="H24" s="151" t="str">
        <f aca="false">IF($B24="","",SUMIFS('الحركات الشهرية'!$D$6:$D$1005,'الحركات الشهرية'!$B$6:$B$1005,$B24,'الحركات الشهرية'!$A$6:$A$1005,$C$3))</f>
        <v/>
      </c>
      <c r="I24" s="151" t="str">
        <f aca="false">IF($B24="","",MIN(G24,IF(AND(AK24&gt;0,AN24&gt;=AK24),G24,AN24)+SUMIFS('الحركات الشهرية'!$E$6:$E$1005,'الحركات الشهرية'!$B$6:$B$1005,$B24,'الحركات الشهرية'!$A$6:$A$1005,$C$3)))</f>
        <v/>
      </c>
      <c r="J24" s="151" t="str">
        <f aca="false">IF($B24="","",MAX(0,G24-H24-I24))</f>
        <v/>
      </c>
      <c r="K24" s="111" t="str">
        <f aca="false">IF($B24="","",الموظفون!$L24*$J24/cfg_DAYS_M)</f>
        <v/>
      </c>
      <c r="L24" s="111" t="str">
        <f aca="false">IF($B24="","",الموظفون!$M24*$J24/cfg_DAYS_M)</f>
        <v/>
      </c>
      <c r="M24" s="111" t="str">
        <f aca="false">IF($B24="","",الموظفون!$N24*$J24/cfg_DAYS_M)</f>
        <v/>
      </c>
      <c r="N24" s="111" t="str">
        <f aca="false">IF($B24="","",الموظفون!$O24*$J24/cfg_DAYS_M)</f>
        <v/>
      </c>
      <c r="O24" s="151" t="str">
        <f aca="false">IF($B24="","",SUMIFS('الحركات الشهرية'!$F$6:$F$1005,'الحركات الشهرية'!$B$6:$B$1005,$B24,'الحركات الشهرية'!$A$6:$A$1005,$C$3))</f>
        <v/>
      </c>
      <c r="P24" s="111" t="str">
        <f aca="false">IF($B24="","",O24*(الموظفون!$P24+الموظفون!$L24*cfg_OT_P)/cfg_DAYS_M/cfg_HRS)</f>
        <v/>
      </c>
      <c r="Q24" s="111" t="str">
        <f aca="false">IF($B24="","",SUMIFS('الحركات الشهرية'!$G$6:$G$1005,'الحركات الشهرية'!$B$6:$B$1005,$B24,'الحركات الشهرية'!$A$6:$A$1005,$C$3))</f>
        <v/>
      </c>
      <c r="R24" s="111" t="str">
        <f aca="false">IF($B24="","",SUMIFS('الحركات الشهرية'!$H$6:$H$1005,'الحركات الشهرية'!$B$6:$B$1005,$B24,'الحركات الشهرية'!$A$6:$A$1005,$C$3))</f>
        <v/>
      </c>
      <c r="S24" s="111" t="str">
        <f aca="false">IF($B24="","",SUMIFS('سجل الإجازات والحالات'!$N$6:$N$505,'سجل الإجازات والحالات'!$B$6:$B$505,$B24,'سجل الإجازات والحالات'!$O$6:$O$505,$C$3))</f>
        <v/>
      </c>
      <c r="T24" s="152" t="str">
        <f aca="false">IF($B24="","",SUM(K24:N24)+SUM(P24:S24))</f>
        <v/>
      </c>
      <c r="U24" s="111" t="str">
        <f aca="false">IF($B24="","",الموظفون!$S24*IF(E24="سعودي",cfg_G_SE,cfg_G_NE)*G24/cfg_DAYS_M)</f>
        <v/>
      </c>
      <c r="V24" s="111" t="str">
        <f aca="false">IF($B24="","",SUMIFS('الحركات الشهرية'!$I$6:$I$1005,'الحركات الشهرية'!$B$6:$B$1005,$B24,'الحركات الشهرية'!$A$6:$A$1005,$C$3))</f>
        <v/>
      </c>
      <c r="W24" s="111" t="str">
        <f aca="false">IF($B24="","",SUMIFS('الحركات الشهرية'!$J$6:$J$1005,'الحركات الشهرية'!$B$6:$B$1005,$B24,'الحركات الشهرية'!$A$6:$A$1005,$C$3))</f>
        <v/>
      </c>
      <c r="X24" s="111" t="str">
        <f aca="false">IF($B24="","",SUM(U24:W24))</f>
        <v/>
      </c>
      <c r="Y24" s="153" t="str">
        <f aca="false">IF($B24="","",T24-X24)</f>
        <v/>
      </c>
      <c r="Z24" s="111" t="str">
        <f aca="false">IF($B24="","",الموظفون!$S24*IF(E24="سعودي",cfg_G_SR,cfg_G_NR)*G24/cfg_DAYS_M)</f>
        <v/>
      </c>
      <c r="AA24" s="111" t="str">
        <f aca="false">IF($B24="","",الموظفون!$Q24*(cfg_EOS_R1*(MIN(AH24,cfg_EOS_TH)-MIN(AI24,cfg_EOS_TH))+cfg_EOS_R2*(MAX(AH24-cfg_EOS_TH,0)-MAX(AI24-cfg_EOS_TH,0))))</f>
        <v/>
      </c>
      <c r="AB24" s="111" t="str">
        <f aca="false">IF($B24="","",IF(الموظفون!$T24&lt;&gt;"",الموظفون!$T24,IF(AH24&gt;=cfg_LV_TH,cfg_LV_D2,cfg_LV_D1))/cfg_DAYS_Y*AJ24*الموظفون!$R24/cfg_DAYS_M)</f>
        <v/>
      </c>
      <c r="AC24" s="111" t="str">
        <f aca="false">IF($B24="","",IF(AND(الموظفون!$U24="نعم",N(الموظفون!$W24)&gt;0),الموظفون!$V24/الموظفون!$W24*12/cfg_DAYS_Y*AJ24,0))</f>
        <v/>
      </c>
      <c r="AD24" s="111" t="str">
        <f aca="false">IF($B24="","",(IF(الموظفون!$X24&lt;&gt;"",الموظفون!$X24,IF(الموظفون!$E24="غير سعودي",cfg_IQ,0))+IF(الموظفون!$Y24&lt;&gt;"",الموظفون!$Y24,IF(الموظفون!$E24="غير سعودي",cfg_WP,0)))/12*G24/cfg_DAYS_M)</f>
        <v/>
      </c>
      <c r="AE24" s="111" t="str">
        <f aca="false">IF($B24="","",IF(الموظفون!$Z24&lt;&gt;"",الموظفون!$Z24,cfg_MED)/12*G24/cfg_DAYS_M)</f>
        <v/>
      </c>
      <c r="AF24" s="111" t="str">
        <f aca="false">IF($B24="","",N(الموظفون!$AA24)/12*G24/cfg_DAYS_M)</f>
        <v/>
      </c>
      <c r="AG24" s="154" t="str">
        <f aca="false">IF($B24="","",T24+SUM(Z24:AF24))</f>
        <v/>
      </c>
      <c r="AH24" s="155" t="str">
        <f aca="false">IF($B24="","",MAX(0,IF(OR(الموظفون!$AE24="",الموظفون!$AE24&gt;$F$3),$F$3,الموظفون!$AE24)-الموظفون!$H24+1-SUMIFS('سجل الإجازات والحالات'!$AM$6:$AM$505,'سجل الإجازات والحالات'!$B$6:$B$505,$B24))/cfg_DAYS_Y)</f>
        <v/>
      </c>
      <c r="AI24" s="155" t="str">
        <f aca="false">IF($B24="","",MAX(0,IF(OR(الموظفون!$AE24="",الموظفون!$AE24&gt;($E$3-1)),($E$3-1),الموظفون!$AE24)-الموظفون!$H24+1-SUMIFS('سجل الإجازات والحالات'!$AL$6:$AL$505,'سجل الإجازات والحالات'!$B$6:$B$505,$B24))/cfg_DAYS_Y)</f>
        <v/>
      </c>
      <c r="AJ24" s="65" t="str">
        <f aca="false">IF($B24="","",MAX(0,AK24-(SUMIFS('سجل الإجازات والحالات'!$AM$6:$AM$505,'سجل الإجازات والحالات'!$B$6:$B$505,$B24)-SUMIFS('سجل الإجازات والحالات'!$AL$6:$AL$505,'سجل الإجازات والحالات'!$B$6:$B$505,$B24))))</f>
        <v/>
      </c>
      <c r="AK24" s="65" t="str">
        <f aca="false">IF($B24="","",MAX(0,IF(OR(الموظفون!$AE24="",الموظفون!$AE24&gt;$F$3),$F$3,الموظفون!$AE24)-MAX($E$3,الموظفون!$H24)+1))</f>
        <v/>
      </c>
      <c r="AL24" s="151" t="str">
        <f aca="false">IF($B24="","",SUMIFS('سجل الإجازات والحالات'!$AY$6:$AY$505,'سجل الإجازات والحالات'!$B$6:$B$505,$B24)+SUMIFS('الحركات الشهرية'!$K$6:$K$1005,'الحركات الشهرية'!$B$6:$B$1005,$B24,'الحركات الشهرية'!$A$6:$A$1005,$C$3))</f>
        <v/>
      </c>
      <c r="AM24" s="111" t="str">
        <f aca="false">IF($B24="","",AL24*الموظفون!$R24/cfg_DAYS_M+S24)</f>
        <v/>
      </c>
      <c r="AN24" s="151" t="str">
        <f aca="false">IF($B24="","",SUMIFS('سجل الإجازات والحالات'!$AA$6:$AA$505,'سجل الإجازات والحالات'!$B$6:$B$505,$B24))</f>
        <v/>
      </c>
    </row>
    <row r="25" customFormat="false" ht="15" hidden="false" customHeight="false" outlineLevel="0" collapsed="false">
      <c r="A25" s="115" t="str">
        <f aca="false">IF($B25="","",الموظفون!$A25)</f>
        <v/>
      </c>
      <c r="B25" s="117" t="str">
        <f aca="false">IF(الموظفون!$B25="","",الموظفون!$B25)</f>
        <v/>
      </c>
      <c r="C25" s="117" t="str">
        <f aca="false">IF($B25="","",الموظفون!$C25)</f>
        <v/>
      </c>
      <c r="D25" s="117" t="str">
        <f aca="false">IF($B25="","",الموظفون!$F25)</f>
        <v/>
      </c>
      <c r="E25" s="117" t="str">
        <f aca="false">IF($B25="","",الموظفون!$E25)</f>
        <v/>
      </c>
      <c r="F25" s="117" t="str">
        <f aca="false">IF($B25="","",IF(AK25=0,IF(AND(الموظفون!$AE25&lt;&gt;"",الموظفون!$AE25&lt;$E$3),"✖ منتهي الخدمة","⏳ لم يباشر"),IF(S25&gt;0,"✈ راتب إجازة مقدم",IF(J25=0,"⛔ بدون راتب هذا الشهر",IF(I25&gt;0,"✈ خصم "&amp;ROUND(I25,2)&amp;" يوم بدون أجر",IF(AL25&gt;0,"🌴 إجازة سنوية "&amp;ROUND(AL25,2)&amp;" يوم",IF(H25&gt;0,"⚠ غياب "&amp;ROUND(H25,2)&amp;" يوم","✔ على رأس العمل")))))))</f>
        <v/>
      </c>
      <c r="G25" s="156" t="str">
        <f aca="false">IF($B25="","",IF(AK25&gt;=DAY($F$3),cfg_DAYS_M,MIN(AK25,cfg_DAYS_M)))</f>
        <v/>
      </c>
      <c r="H25" s="156" t="str">
        <f aca="false">IF($B25="","",SUMIFS('الحركات الشهرية'!$D$6:$D$1005,'الحركات الشهرية'!$B$6:$B$1005,$B25,'الحركات الشهرية'!$A$6:$A$1005,$C$3))</f>
        <v/>
      </c>
      <c r="I25" s="156" t="str">
        <f aca="false">IF($B25="","",MIN(G25,IF(AND(AK25&gt;0,AN25&gt;=AK25),G25,AN25)+SUMIFS('الحركات الشهرية'!$E$6:$E$1005,'الحركات الشهرية'!$B$6:$B$1005,$B25,'الحركات الشهرية'!$A$6:$A$1005,$C$3)))</f>
        <v/>
      </c>
      <c r="J25" s="156" t="str">
        <f aca="false">IF($B25="","",MAX(0,G25-H25-I25))</f>
        <v/>
      </c>
      <c r="K25" s="116" t="str">
        <f aca="false">IF($B25="","",الموظفون!$L25*$J25/cfg_DAYS_M)</f>
        <v/>
      </c>
      <c r="L25" s="116" t="str">
        <f aca="false">IF($B25="","",الموظفون!$M25*$J25/cfg_DAYS_M)</f>
        <v/>
      </c>
      <c r="M25" s="116" t="str">
        <f aca="false">IF($B25="","",الموظفون!$N25*$J25/cfg_DAYS_M)</f>
        <v/>
      </c>
      <c r="N25" s="116" t="str">
        <f aca="false">IF($B25="","",الموظفون!$O25*$J25/cfg_DAYS_M)</f>
        <v/>
      </c>
      <c r="O25" s="156" t="str">
        <f aca="false">IF($B25="","",SUMIFS('الحركات الشهرية'!$F$6:$F$1005,'الحركات الشهرية'!$B$6:$B$1005,$B25,'الحركات الشهرية'!$A$6:$A$1005,$C$3))</f>
        <v/>
      </c>
      <c r="P25" s="116" t="str">
        <f aca="false">IF($B25="","",O25*(الموظفون!$P25+الموظفون!$L25*cfg_OT_P)/cfg_DAYS_M/cfg_HRS)</f>
        <v/>
      </c>
      <c r="Q25" s="116" t="str">
        <f aca="false">IF($B25="","",SUMIFS('الحركات الشهرية'!$G$6:$G$1005,'الحركات الشهرية'!$B$6:$B$1005,$B25,'الحركات الشهرية'!$A$6:$A$1005,$C$3))</f>
        <v/>
      </c>
      <c r="R25" s="116" t="str">
        <f aca="false">IF($B25="","",SUMIFS('الحركات الشهرية'!$H$6:$H$1005,'الحركات الشهرية'!$B$6:$B$1005,$B25,'الحركات الشهرية'!$A$6:$A$1005,$C$3))</f>
        <v/>
      </c>
      <c r="S25" s="116" t="str">
        <f aca="false">IF($B25="","",SUMIFS('سجل الإجازات والحالات'!$N$6:$N$505,'سجل الإجازات والحالات'!$B$6:$B$505,$B25,'سجل الإجازات والحالات'!$O$6:$O$505,$C$3))</f>
        <v/>
      </c>
      <c r="T25" s="157" t="str">
        <f aca="false">IF($B25="","",SUM(K25:N25)+SUM(P25:S25))</f>
        <v/>
      </c>
      <c r="U25" s="116" t="str">
        <f aca="false">IF($B25="","",الموظفون!$S25*IF(E25="سعودي",cfg_G_SE,cfg_G_NE)*G25/cfg_DAYS_M)</f>
        <v/>
      </c>
      <c r="V25" s="116" t="str">
        <f aca="false">IF($B25="","",SUMIFS('الحركات الشهرية'!$I$6:$I$1005,'الحركات الشهرية'!$B$6:$B$1005,$B25,'الحركات الشهرية'!$A$6:$A$1005,$C$3))</f>
        <v/>
      </c>
      <c r="W25" s="116" t="str">
        <f aca="false">IF($B25="","",SUMIFS('الحركات الشهرية'!$J$6:$J$1005,'الحركات الشهرية'!$B$6:$B$1005,$B25,'الحركات الشهرية'!$A$6:$A$1005,$C$3))</f>
        <v/>
      </c>
      <c r="X25" s="116" t="str">
        <f aca="false">IF($B25="","",SUM(U25:W25))</f>
        <v/>
      </c>
      <c r="Y25" s="158" t="str">
        <f aca="false">IF($B25="","",T25-X25)</f>
        <v/>
      </c>
      <c r="Z25" s="116" t="str">
        <f aca="false">IF($B25="","",الموظفون!$S25*IF(E25="سعودي",cfg_G_SR,cfg_G_NR)*G25/cfg_DAYS_M)</f>
        <v/>
      </c>
      <c r="AA25" s="116" t="str">
        <f aca="false">IF($B25="","",الموظفون!$Q25*(cfg_EOS_R1*(MIN(AH25,cfg_EOS_TH)-MIN(AI25,cfg_EOS_TH))+cfg_EOS_R2*(MAX(AH25-cfg_EOS_TH,0)-MAX(AI25-cfg_EOS_TH,0))))</f>
        <v/>
      </c>
      <c r="AB25" s="116" t="str">
        <f aca="false">IF($B25="","",IF(الموظفون!$T25&lt;&gt;"",الموظفون!$T25,IF(AH25&gt;=cfg_LV_TH,cfg_LV_D2,cfg_LV_D1))/cfg_DAYS_Y*AJ25*الموظفون!$R25/cfg_DAYS_M)</f>
        <v/>
      </c>
      <c r="AC25" s="116" t="str">
        <f aca="false">IF($B25="","",IF(AND(الموظفون!$U25="نعم",N(الموظفون!$W25)&gt;0),الموظفون!$V25/الموظفون!$W25*12/cfg_DAYS_Y*AJ25,0))</f>
        <v/>
      </c>
      <c r="AD25" s="116" t="str">
        <f aca="false">IF($B25="","",(IF(الموظفون!$X25&lt;&gt;"",الموظفون!$X25,IF(الموظفون!$E25="غير سعودي",cfg_IQ,0))+IF(الموظفون!$Y25&lt;&gt;"",الموظفون!$Y25,IF(الموظفون!$E25="غير سعودي",cfg_WP,0)))/12*G25/cfg_DAYS_M)</f>
        <v/>
      </c>
      <c r="AE25" s="116" t="str">
        <f aca="false">IF($B25="","",IF(الموظفون!$Z25&lt;&gt;"",الموظفون!$Z25,cfg_MED)/12*G25/cfg_DAYS_M)</f>
        <v/>
      </c>
      <c r="AF25" s="116" t="str">
        <f aca="false">IF($B25="","",N(الموظفون!$AA25)/12*G25/cfg_DAYS_M)</f>
        <v/>
      </c>
      <c r="AG25" s="159" t="str">
        <f aca="false">IF($B25="","",T25+SUM(Z25:AF25))</f>
        <v/>
      </c>
      <c r="AH25" s="160" t="str">
        <f aca="false">IF($B25="","",MAX(0,IF(OR(الموظفون!$AE25="",الموظفون!$AE25&gt;$F$3),$F$3,الموظفون!$AE25)-الموظفون!$H25+1-SUMIFS('سجل الإجازات والحالات'!$AM$6:$AM$505,'سجل الإجازات والحالات'!$B$6:$B$505,$B25))/cfg_DAYS_Y)</f>
        <v/>
      </c>
      <c r="AI25" s="160" t="str">
        <f aca="false">IF($B25="","",MAX(0,IF(OR(الموظفون!$AE25="",الموظفون!$AE25&gt;($E$3-1)),($E$3-1),الموظفون!$AE25)-الموظفون!$H25+1-SUMIFS('سجل الإجازات والحالات'!$AL$6:$AL$505,'سجل الإجازات والحالات'!$B$6:$B$505,$B25))/cfg_DAYS_Y)</f>
        <v/>
      </c>
      <c r="AJ25" s="133" t="str">
        <f aca="false">IF($B25="","",MAX(0,AK25-(SUMIFS('سجل الإجازات والحالات'!$AM$6:$AM$505,'سجل الإجازات والحالات'!$B$6:$B$505,$B25)-SUMIFS('سجل الإجازات والحالات'!$AL$6:$AL$505,'سجل الإجازات والحالات'!$B$6:$B$505,$B25))))</f>
        <v/>
      </c>
      <c r="AK25" s="133" t="str">
        <f aca="false">IF($B25="","",MAX(0,IF(OR(الموظفون!$AE25="",الموظفون!$AE25&gt;$F$3),$F$3,الموظفون!$AE25)-MAX($E$3,الموظفون!$H25)+1))</f>
        <v/>
      </c>
      <c r="AL25" s="156" t="str">
        <f aca="false">IF($B25="","",SUMIFS('سجل الإجازات والحالات'!$AY$6:$AY$505,'سجل الإجازات والحالات'!$B$6:$B$505,$B25)+SUMIFS('الحركات الشهرية'!$K$6:$K$1005,'الحركات الشهرية'!$B$6:$B$1005,$B25,'الحركات الشهرية'!$A$6:$A$1005,$C$3))</f>
        <v/>
      </c>
      <c r="AM25" s="116" t="str">
        <f aca="false">IF($B25="","",AL25*الموظفون!$R25/cfg_DAYS_M+S25)</f>
        <v/>
      </c>
      <c r="AN25" s="156" t="str">
        <f aca="false">IF($B25="","",SUMIFS('سجل الإجازات والحالات'!$AA$6:$AA$505,'سجل الإجازات والحالات'!$B$6:$B$505,$B25))</f>
        <v/>
      </c>
    </row>
    <row r="26" customFormat="false" ht="15" hidden="false" customHeight="false" outlineLevel="0" collapsed="false">
      <c r="A26" s="106" t="str">
        <f aca="false">IF($B26="","",الموظفون!$A26)</f>
        <v/>
      </c>
      <c r="B26" s="114" t="str">
        <f aca="false">IF(الموظفون!$B26="","",الموظفون!$B26)</f>
        <v/>
      </c>
      <c r="C26" s="114" t="str">
        <f aca="false">IF($B26="","",الموظفون!$C26)</f>
        <v/>
      </c>
      <c r="D26" s="114" t="str">
        <f aca="false">IF($B26="","",الموظفون!$F26)</f>
        <v/>
      </c>
      <c r="E26" s="114" t="str">
        <f aca="false">IF($B26="","",الموظفون!$E26)</f>
        <v/>
      </c>
      <c r="F26" s="114" t="str">
        <f aca="false">IF($B26="","",IF(AK26=0,IF(AND(الموظفون!$AE26&lt;&gt;"",الموظفون!$AE26&lt;$E$3),"✖ منتهي الخدمة","⏳ لم يباشر"),IF(S26&gt;0,"✈ راتب إجازة مقدم",IF(J26=0,"⛔ بدون راتب هذا الشهر",IF(I26&gt;0,"✈ خصم "&amp;ROUND(I26,2)&amp;" يوم بدون أجر",IF(AL26&gt;0,"🌴 إجازة سنوية "&amp;ROUND(AL26,2)&amp;" يوم",IF(H26&gt;0,"⚠ غياب "&amp;ROUND(H26,2)&amp;" يوم","✔ على رأس العمل")))))))</f>
        <v/>
      </c>
      <c r="G26" s="151" t="str">
        <f aca="false">IF($B26="","",IF(AK26&gt;=DAY($F$3),cfg_DAYS_M,MIN(AK26,cfg_DAYS_M)))</f>
        <v/>
      </c>
      <c r="H26" s="151" t="str">
        <f aca="false">IF($B26="","",SUMIFS('الحركات الشهرية'!$D$6:$D$1005,'الحركات الشهرية'!$B$6:$B$1005,$B26,'الحركات الشهرية'!$A$6:$A$1005,$C$3))</f>
        <v/>
      </c>
      <c r="I26" s="151" t="str">
        <f aca="false">IF($B26="","",MIN(G26,IF(AND(AK26&gt;0,AN26&gt;=AK26),G26,AN26)+SUMIFS('الحركات الشهرية'!$E$6:$E$1005,'الحركات الشهرية'!$B$6:$B$1005,$B26,'الحركات الشهرية'!$A$6:$A$1005,$C$3)))</f>
        <v/>
      </c>
      <c r="J26" s="151" t="str">
        <f aca="false">IF($B26="","",MAX(0,G26-H26-I26))</f>
        <v/>
      </c>
      <c r="K26" s="111" t="str">
        <f aca="false">IF($B26="","",الموظفون!$L26*$J26/cfg_DAYS_M)</f>
        <v/>
      </c>
      <c r="L26" s="111" t="str">
        <f aca="false">IF($B26="","",الموظفون!$M26*$J26/cfg_DAYS_M)</f>
        <v/>
      </c>
      <c r="M26" s="111" t="str">
        <f aca="false">IF($B26="","",الموظفون!$N26*$J26/cfg_DAYS_M)</f>
        <v/>
      </c>
      <c r="N26" s="111" t="str">
        <f aca="false">IF($B26="","",الموظفون!$O26*$J26/cfg_DAYS_M)</f>
        <v/>
      </c>
      <c r="O26" s="151" t="str">
        <f aca="false">IF($B26="","",SUMIFS('الحركات الشهرية'!$F$6:$F$1005,'الحركات الشهرية'!$B$6:$B$1005,$B26,'الحركات الشهرية'!$A$6:$A$1005,$C$3))</f>
        <v/>
      </c>
      <c r="P26" s="111" t="str">
        <f aca="false">IF($B26="","",O26*(الموظفون!$P26+الموظفون!$L26*cfg_OT_P)/cfg_DAYS_M/cfg_HRS)</f>
        <v/>
      </c>
      <c r="Q26" s="111" t="str">
        <f aca="false">IF($B26="","",SUMIFS('الحركات الشهرية'!$G$6:$G$1005,'الحركات الشهرية'!$B$6:$B$1005,$B26,'الحركات الشهرية'!$A$6:$A$1005,$C$3))</f>
        <v/>
      </c>
      <c r="R26" s="111" t="str">
        <f aca="false">IF($B26="","",SUMIFS('الحركات الشهرية'!$H$6:$H$1005,'الحركات الشهرية'!$B$6:$B$1005,$B26,'الحركات الشهرية'!$A$6:$A$1005,$C$3))</f>
        <v/>
      </c>
      <c r="S26" s="111" t="str">
        <f aca="false">IF($B26="","",SUMIFS('سجل الإجازات والحالات'!$N$6:$N$505,'سجل الإجازات والحالات'!$B$6:$B$505,$B26,'سجل الإجازات والحالات'!$O$6:$O$505,$C$3))</f>
        <v/>
      </c>
      <c r="T26" s="152" t="str">
        <f aca="false">IF($B26="","",SUM(K26:N26)+SUM(P26:S26))</f>
        <v/>
      </c>
      <c r="U26" s="111" t="str">
        <f aca="false">IF($B26="","",الموظفون!$S26*IF(E26="سعودي",cfg_G_SE,cfg_G_NE)*G26/cfg_DAYS_M)</f>
        <v/>
      </c>
      <c r="V26" s="111" t="str">
        <f aca="false">IF($B26="","",SUMIFS('الحركات الشهرية'!$I$6:$I$1005,'الحركات الشهرية'!$B$6:$B$1005,$B26,'الحركات الشهرية'!$A$6:$A$1005,$C$3))</f>
        <v/>
      </c>
      <c r="W26" s="111" t="str">
        <f aca="false">IF($B26="","",SUMIFS('الحركات الشهرية'!$J$6:$J$1005,'الحركات الشهرية'!$B$6:$B$1005,$B26,'الحركات الشهرية'!$A$6:$A$1005,$C$3))</f>
        <v/>
      </c>
      <c r="X26" s="111" t="str">
        <f aca="false">IF($B26="","",SUM(U26:W26))</f>
        <v/>
      </c>
      <c r="Y26" s="153" t="str">
        <f aca="false">IF($B26="","",T26-X26)</f>
        <v/>
      </c>
      <c r="Z26" s="111" t="str">
        <f aca="false">IF($B26="","",الموظفون!$S26*IF(E26="سعودي",cfg_G_SR,cfg_G_NR)*G26/cfg_DAYS_M)</f>
        <v/>
      </c>
      <c r="AA26" s="111" t="str">
        <f aca="false">IF($B26="","",الموظفون!$Q26*(cfg_EOS_R1*(MIN(AH26,cfg_EOS_TH)-MIN(AI26,cfg_EOS_TH))+cfg_EOS_R2*(MAX(AH26-cfg_EOS_TH,0)-MAX(AI26-cfg_EOS_TH,0))))</f>
        <v/>
      </c>
      <c r="AB26" s="111" t="str">
        <f aca="false">IF($B26="","",IF(الموظفون!$T26&lt;&gt;"",الموظفون!$T26,IF(AH26&gt;=cfg_LV_TH,cfg_LV_D2,cfg_LV_D1))/cfg_DAYS_Y*AJ26*الموظفون!$R26/cfg_DAYS_M)</f>
        <v/>
      </c>
      <c r="AC26" s="111" t="str">
        <f aca="false">IF($B26="","",IF(AND(الموظفون!$U26="نعم",N(الموظفون!$W26)&gt;0),الموظفون!$V26/الموظفون!$W26*12/cfg_DAYS_Y*AJ26,0))</f>
        <v/>
      </c>
      <c r="AD26" s="111" t="str">
        <f aca="false">IF($B26="","",(IF(الموظفون!$X26&lt;&gt;"",الموظفون!$X26,IF(الموظفون!$E26="غير سعودي",cfg_IQ,0))+IF(الموظفون!$Y26&lt;&gt;"",الموظفون!$Y26,IF(الموظفون!$E26="غير سعودي",cfg_WP,0)))/12*G26/cfg_DAYS_M)</f>
        <v/>
      </c>
      <c r="AE26" s="111" t="str">
        <f aca="false">IF($B26="","",IF(الموظفون!$Z26&lt;&gt;"",الموظفون!$Z26,cfg_MED)/12*G26/cfg_DAYS_M)</f>
        <v/>
      </c>
      <c r="AF26" s="111" t="str">
        <f aca="false">IF($B26="","",N(الموظفون!$AA26)/12*G26/cfg_DAYS_M)</f>
        <v/>
      </c>
      <c r="AG26" s="154" t="str">
        <f aca="false">IF($B26="","",T26+SUM(Z26:AF26))</f>
        <v/>
      </c>
      <c r="AH26" s="155" t="str">
        <f aca="false">IF($B26="","",MAX(0,IF(OR(الموظفون!$AE26="",الموظفون!$AE26&gt;$F$3),$F$3,الموظفون!$AE26)-الموظفون!$H26+1-SUMIFS('سجل الإجازات والحالات'!$AM$6:$AM$505,'سجل الإجازات والحالات'!$B$6:$B$505,$B26))/cfg_DAYS_Y)</f>
        <v/>
      </c>
      <c r="AI26" s="155" t="str">
        <f aca="false">IF($B26="","",MAX(0,IF(OR(الموظفون!$AE26="",الموظفون!$AE26&gt;($E$3-1)),($E$3-1),الموظفون!$AE26)-الموظفون!$H26+1-SUMIFS('سجل الإجازات والحالات'!$AL$6:$AL$505,'سجل الإجازات والحالات'!$B$6:$B$505,$B26))/cfg_DAYS_Y)</f>
        <v/>
      </c>
      <c r="AJ26" s="65" t="str">
        <f aca="false">IF($B26="","",MAX(0,AK26-(SUMIFS('سجل الإجازات والحالات'!$AM$6:$AM$505,'سجل الإجازات والحالات'!$B$6:$B$505,$B26)-SUMIFS('سجل الإجازات والحالات'!$AL$6:$AL$505,'سجل الإجازات والحالات'!$B$6:$B$505,$B26))))</f>
        <v/>
      </c>
      <c r="AK26" s="65" t="str">
        <f aca="false">IF($B26="","",MAX(0,IF(OR(الموظفون!$AE26="",الموظفون!$AE26&gt;$F$3),$F$3,الموظفون!$AE26)-MAX($E$3,الموظفون!$H26)+1))</f>
        <v/>
      </c>
      <c r="AL26" s="151" t="str">
        <f aca="false">IF($B26="","",SUMIFS('سجل الإجازات والحالات'!$AY$6:$AY$505,'سجل الإجازات والحالات'!$B$6:$B$505,$B26)+SUMIFS('الحركات الشهرية'!$K$6:$K$1005,'الحركات الشهرية'!$B$6:$B$1005,$B26,'الحركات الشهرية'!$A$6:$A$1005,$C$3))</f>
        <v/>
      </c>
      <c r="AM26" s="111" t="str">
        <f aca="false">IF($B26="","",AL26*الموظفون!$R26/cfg_DAYS_M+S26)</f>
        <v/>
      </c>
      <c r="AN26" s="151" t="str">
        <f aca="false">IF($B26="","",SUMIFS('سجل الإجازات والحالات'!$AA$6:$AA$505,'سجل الإجازات والحالات'!$B$6:$B$505,$B26))</f>
        <v/>
      </c>
    </row>
    <row r="27" customFormat="false" ht="15" hidden="false" customHeight="false" outlineLevel="0" collapsed="false">
      <c r="A27" s="115" t="str">
        <f aca="false">IF($B27="","",الموظفون!$A27)</f>
        <v/>
      </c>
      <c r="B27" s="117" t="str">
        <f aca="false">IF(الموظفون!$B27="","",الموظفون!$B27)</f>
        <v/>
      </c>
      <c r="C27" s="117" t="str">
        <f aca="false">IF($B27="","",الموظفون!$C27)</f>
        <v/>
      </c>
      <c r="D27" s="117" t="str">
        <f aca="false">IF($B27="","",الموظفون!$F27)</f>
        <v/>
      </c>
      <c r="E27" s="117" t="str">
        <f aca="false">IF($B27="","",الموظفون!$E27)</f>
        <v/>
      </c>
      <c r="F27" s="117" t="str">
        <f aca="false">IF($B27="","",IF(AK27=0,IF(AND(الموظفون!$AE27&lt;&gt;"",الموظفون!$AE27&lt;$E$3),"✖ منتهي الخدمة","⏳ لم يباشر"),IF(S27&gt;0,"✈ راتب إجازة مقدم",IF(J27=0,"⛔ بدون راتب هذا الشهر",IF(I27&gt;0,"✈ خصم "&amp;ROUND(I27,2)&amp;" يوم بدون أجر",IF(AL27&gt;0,"🌴 إجازة سنوية "&amp;ROUND(AL27,2)&amp;" يوم",IF(H27&gt;0,"⚠ غياب "&amp;ROUND(H27,2)&amp;" يوم","✔ على رأس العمل")))))))</f>
        <v/>
      </c>
      <c r="G27" s="156" t="str">
        <f aca="false">IF($B27="","",IF(AK27&gt;=DAY($F$3),cfg_DAYS_M,MIN(AK27,cfg_DAYS_M)))</f>
        <v/>
      </c>
      <c r="H27" s="156" t="str">
        <f aca="false">IF($B27="","",SUMIFS('الحركات الشهرية'!$D$6:$D$1005,'الحركات الشهرية'!$B$6:$B$1005,$B27,'الحركات الشهرية'!$A$6:$A$1005,$C$3))</f>
        <v/>
      </c>
      <c r="I27" s="156" t="str">
        <f aca="false">IF($B27="","",MIN(G27,IF(AND(AK27&gt;0,AN27&gt;=AK27),G27,AN27)+SUMIFS('الحركات الشهرية'!$E$6:$E$1005,'الحركات الشهرية'!$B$6:$B$1005,$B27,'الحركات الشهرية'!$A$6:$A$1005,$C$3)))</f>
        <v/>
      </c>
      <c r="J27" s="156" t="str">
        <f aca="false">IF($B27="","",MAX(0,G27-H27-I27))</f>
        <v/>
      </c>
      <c r="K27" s="116" t="str">
        <f aca="false">IF($B27="","",الموظفون!$L27*$J27/cfg_DAYS_M)</f>
        <v/>
      </c>
      <c r="L27" s="116" t="str">
        <f aca="false">IF($B27="","",الموظفون!$M27*$J27/cfg_DAYS_M)</f>
        <v/>
      </c>
      <c r="M27" s="116" t="str">
        <f aca="false">IF($B27="","",الموظفون!$N27*$J27/cfg_DAYS_M)</f>
        <v/>
      </c>
      <c r="N27" s="116" t="str">
        <f aca="false">IF($B27="","",الموظفون!$O27*$J27/cfg_DAYS_M)</f>
        <v/>
      </c>
      <c r="O27" s="156" t="str">
        <f aca="false">IF($B27="","",SUMIFS('الحركات الشهرية'!$F$6:$F$1005,'الحركات الشهرية'!$B$6:$B$1005,$B27,'الحركات الشهرية'!$A$6:$A$1005,$C$3))</f>
        <v/>
      </c>
      <c r="P27" s="116" t="str">
        <f aca="false">IF($B27="","",O27*(الموظفون!$P27+الموظفون!$L27*cfg_OT_P)/cfg_DAYS_M/cfg_HRS)</f>
        <v/>
      </c>
      <c r="Q27" s="116" t="str">
        <f aca="false">IF($B27="","",SUMIFS('الحركات الشهرية'!$G$6:$G$1005,'الحركات الشهرية'!$B$6:$B$1005,$B27,'الحركات الشهرية'!$A$6:$A$1005,$C$3))</f>
        <v/>
      </c>
      <c r="R27" s="116" t="str">
        <f aca="false">IF($B27="","",SUMIFS('الحركات الشهرية'!$H$6:$H$1005,'الحركات الشهرية'!$B$6:$B$1005,$B27,'الحركات الشهرية'!$A$6:$A$1005,$C$3))</f>
        <v/>
      </c>
      <c r="S27" s="116" t="str">
        <f aca="false">IF($B27="","",SUMIFS('سجل الإجازات والحالات'!$N$6:$N$505,'سجل الإجازات والحالات'!$B$6:$B$505,$B27,'سجل الإجازات والحالات'!$O$6:$O$505,$C$3))</f>
        <v/>
      </c>
      <c r="T27" s="157" t="str">
        <f aca="false">IF($B27="","",SUM(K27:N27)+SUM(P27:S27))</f>
        <v/>
      </c>
      <c r="U27" s="116" t="str">
        <f aca="false">IF($B27="","",الموظفون!$S27*IF(E27="سعودي",cfg_G_SE,cfg_G_NE)*G27/cfg_DAYS_M)</f>
        <v/>
      </c>
      <c r="V27" s="116" t="str">
        <f aca="false">IF($B27="","",SUMIFS('الحركات الشهرية'!$I$6:$I$1005,'الحركات الشهرية'!$B$6:$B$1005,$B27,'الحركات الشهرية'!$A$6:$A$1005,$C$3))</f>
        <v/>
      </c>
      <c r="W27" s="116" t="str">
        <f aca="false">IF($B27="","",SUMIFS('الحركات الشهرية'!$J$6:$J$1005,'الحركات الشهرية'!$B$6:$B$1005,$B27,'الحركات الشهرية'!$A$6:$A$1005,$C$3))</f>
        <v/>
      </c>
      <c r="X27" s="116" t="str">
        <f aca="false">IF($B27="","",SUM(U27:W27))</f>
        <v/>
      </c>
      <c r="Y27" s="158" t="str">
        <f aca="false">IF($B27="","",T27-X27)</f>
        <v/>
      </c>
      <c r="Z27" s="116" t="str">
        <f aca="false">IF($B27="","",الموظفون!$S27*IF(E27="سعودي",cfg_G_SR,cfg_G_NR)*G27/cfg_DAYS_M)</f>
        <v/>
      </c>
      <c r="AA27" s="116" t="str">
        <f aca="false">IF($B27="","",الموظفون!$Q27*(cfg_EOS_R1*(MIN(AH27,cfg_EOS_TH)-MIN(AI27,cfg_EOS_TH))+cfg_EOS_R2*(MAX(AH27-cfg_EOS_TH,0)-MAX(AI27-cfg_EOS_TH,0))))</f>
        <v/>
      </c>
      <c r="AB27" s="116" t="str">
        <f aca="false">IF($B27="","",IF(الموظفون!$T27&lt;&gt;"",الموظفون!$T27,IF(AH27&gt;=cfg_LV_TH,cfg_LV_D2,cfg_LV_D1))/cfg_DAYS_Y*AJ27*الموظفون!$R27/cfg_DAYS_M)</f>
        <v/>
      </c>
      <c r="AC27" s="116" t="str">
        <f aca="false">IF($B27="","",IF(AND(الموظفون!$U27="نعم",N(الموظفون!$W27)&gt;0),الموظفون!$V27/الموظفون!$W27*12/cfg_DAYS_Y*AJ27,0))</f>
        <v/>
      </c>
      <c r="AD27" s="116" t="str">
        <f aca="false">IF($B27="","",(IF(الموظفون!$X27&lt;&gt;"",الموظفون!$X27,IF(الموظفون!$E27="غير سعودي",cfg_IQ,0))+IF(الموظفون!$Y27&lt;&gt;"",الموظفون!$Y27,IF(الموظفون!$E27="غير سعودي",cfg_WP,0)))/12*G27/cfg_DAYS_M)</f>
        <v/>
      </c>
      <c r="AE27" s="116" t="str">
        <f aca="false">IF($B27="","",IF(الموظفون!$Z27&lt;&gt;"",الموظفون!$Z27,cfg_MED)/12*G27/cfg_DAYS_M)</f>
        <v/>
      </c>
      <c r="AF27" s="116" t="str">
        <f aca="false">IF($B27="","",N(الموظفون!$AA27)/12*G27/cfg_DAYS_M)</f>
        <v/>
      </c>
      <c r="AG27" s="159" t="str">
        <f aca="false">IF($B27="","",T27+SUM(Z27:AF27))</f>
        <v/>
      </c>
      <c r="AH27" s="160" t="str">
        <f aca="false">IF($B27="","",MAX(0,IF(OR(الموظفون!$AE27="",الموظفون!$AE27&gt;$F$3),$F$3,الموظفون!$AE27)-الموظفون!$H27+1-SUMIFS('سجل الإجازات والحالات'!$AM$6:$AM$505,'سجل الإجازات والحالات'!$B$6:$B$505,$B27))/cfg_DAYS_Y)</f>
        <v/>
      </c>
      <c r="AI27" s="160" t="str">
        <f aca="false">IF($B27="","",MAX(0,IF(OR(الموظفون!$AE27="",الموظفون!$AE27&gt;($E$3-1)),($E$3-1),الموظفون!$AE27)-الموظفون!$H27+1-SUMIFS('سجل الإجازات والحالات'!$AL$6:$AL$505,'سجل الإجازات والحالات'!$B$6:$B$505,$B27))/cfg_DAYS_Y)</f>
        <v/>
      </c>
      <c r="AJ27" s="133" t="str">
        <f aca="false">IF($B27="","",MAX(0,AK27-(SUMIFS('سجل الإجازات والحالات'!$AM$6:$AM$505,'سجل الإجازات والحالات'!$B$6:$B$505,$B27)-SUMIFS('سجل الإجازات والحالات'!$AL$6:$AL$505,'سجل الإجازات والحالات'!$B$6:$B$505,$B27))))</f>
        <v/>
      </c>
      <c r="AK27" s="133" t="str">
        <f aca="false">IF($B27="","",MAX(0,IF(OR(الموظفون!$AE27="",الموظفون!$AE27&gt;$F$3),$F$3,الموظفون!$AE27)-MAX($E$3,الموظفون!$H27)+1))</f>
        <v/>
      </c>
      <c r="AL27" s="156" t="str">
        <f aca="false">IF($B27="","",SUMIFS('سجل الإجازات والحالات'!$AY$6:$AY$505,'سجل الإجازات والحالات'!$B$6:$B$505,$B27)+SUMIFS('الحركات الشهرية'!$K$6:$K$1005,'الحركات الشهرية'!$B$6:$B$1005,$B27,'الحركات الشهرية'!$A$6:$A$1005,$C$3))</f>
        <v/>
      </c>
      <c r="AM27" s="116" t="str">
        <f aca="false">IF($B27="","",AL27*الموظفون!$R27/cfg_DAYS_M+S27)</f>
        <v/>
      </c>
      <c r="AN27" s="156" t="str">
        <f aca="false">IF($B27="","",SUMIFS('سجل الإجازات والحالات'!$AA$6:$AA$505,'سجل الإجازات والحالات'!$B$6:$B$505,$B27))</f>
        <v/>
      </c>
    </row>
    <row r="28" customFormat="false" ht="15" hidden="false" customHeight="false" outlineLevel="0" collapsed="false">
      <c r="A28" s="106" t="str">
        <f aca="false">IF($B28="","",الموظفون!$A28)</f>
        <v/>
      </c>
      <c r="B28" s="114" t="str">
        <f aca="false">IF(الموظفون!$B28="","",الموظفون!$B28)</f>
        <v/>
      </c>
      <c r="C28" s="114" t="str">
        <f aca="false">IF($B28="","",الموظفون!$C28)</f>
        <v/>
      </c>
      <c r="D28" s="114" t="str">
        <f aca="false">IF($B28="","",الموظفون!$F28)</f>
        <v/>
      </c>
      <c r="E28" s="114" t="str">
        <f aca="false">IF($B28="","",الموظفون!$E28)</f>
        <v/>
      </c>
      <c r="F28" s="114" t="str">
        <f aca="false">IF($B28="","",IF(AK28=0,IF(AND(الموظفون!$AE28&lt;&gt;"",الموظفون!$AE28&lt;$E$3),"✖ منتهي الخدمة","⏳ لم يباشر"),IF(S28&gt;0,"✈ راتب إجازة مقدم",IF(J28=0,"⛔ بدون راتب هذا الشهر",IF(I28&gt;0,"✈ خصم "&amp;ROUND(I28,2)&amp;" يوم بدون أجر",IF(AL28&gt;0,"🌴 إجازة سنوية "&amp;ROUND(AL28,2)&amp;" يوم",IF(H28&gt;0,"⚠ غياب "&amp;ROUND(H28,2)&amp;" يوم","✔ على رأس العمل")))))))</f>
        <v/>
      </c>
      <c r="G28" s="151" t="str">
        <f aca="false">IF($B28="","",IF(AK28&gt;=DAY($F$3),cfg_DAYS_M,MIN(AK28,cfg_DAYS_M)))</f>
        <v/>
      </c>
      <c r="H28" s="151" t="str">
        <f aca="false">IF($B28="","",SUMIFS('الحركات الشهرية'!$D$6:$D$1005,'الحركات الشهرية'!$B$6:$B$1005,$B28,'الحركات الشهرية'!$A$6:$A$1005,$C$3))</f>
        <v/>
      </c>
      <c r="I28" s="151" t="str">
        <f aca="false">IF($B28="","",MIN(G28,IF(AND(AK28&gt;0,AN28&gt;=AK28),G28,AN28)+SUMIFS('الحركات الشهرية'!$E$6:$E$1005,'الحركات الشهرية'!$B$6:$B$1005,$B28,'الحركات الشهرية'!$A$6:$A$1005,$C$3)))</f>
        <v/>
      </c>
      <c r="J28" s="151" t="str">
        <f aca="false">IF($B28="","",MAX(0,G28-H28-I28))</f>
        <v/>
      </c>
      <c r="K28" s="111" t="str">
        <f aca="false">IF($B28="","",الموظفون!$L28*$J28/cfg_DAYS_M)</f>
        <v/>
      </c>
      <c r="L28" s="111" t="str">
        <f aca="false">IF($B28="","",الموظفون!$M28*$J28/cfg_DAYS_M)</f>
        <v/>
      </c>
      <c r="M28" s="111" t="str">
        <f aca="false">IF($B28="","",الموظفون!$N28*$J28/cfg_DAYS_M)</f>
        <v/>
      </c>
      <c r="N28" s="111" t="str">
        <f aca="false">IF($B28="","",الموظفون!$O28*$J28/cfg_DAYS_M)</f>
        <v/>
      </c>
      <c r="O28" s="151" t="str">
        <f aca="false">IF($B28="","",SUMIFS('الحركات الشهرية'!$F$6:$F$1005,'الحركات الشهرية'!$B$6:$B$1005,$B28,'الحركات الشهرية'!$A$6:$A$1005,$C$3))</f>
        <v/>
      </c>
      <c r="P28" s="111" t="str">
        <f aca="false">IF($B28="","",O28*(الموظفون!$P28+الموظفون!$L28*cfg_OT_P)/cfg_DAYS_M/cfg_HRS)</f>
        <v/>
      </c>
      <c r="Q28" s="111" t="str">
        <f aca="false">IF($B28="","",SUMIFS('الحركات الشهرية'!$G$6:$G$1005,'الحركات الشهرية'!$B$6:$B$1005,$B28,'الحركات الشهرية'!$A$6:$A$1005,$C$3))</f>
        <v/>
      </c>
      <c r="R28" s="111" t="str">
        <f aca="false">IF($B28="","",SUMIFS('الحركات الشهرية'!$H$6:$H$1005,'الحركات الشهرية'!$B$6:$B$1005,$B28,'الحركات الشهرية'!$A$6:$A$1005,$C$3))</f>
        <v/>
      </c>
      <c r="S28" s="111" t="str">
        <f aca="false">IF($B28="","",SUMIFS('سجل الإجازات والحالات'!$N$6:$N$505,'سجل الإجازات والحالات'!$B$6:$B$505,$B28,'سجل الإجازات والحالات'!$O$6:$O$505,$C$3))</f>
        <v/>
      </c>
      <c r="T28" s="152" t="str">
        <f aca="false">IF($B28="","",SUM(K28:N28)+SUM(P28:S28))</f>
        <v/>
      </c>
      <c r="U28" s="111" t="str">
        <f aca="false">IF($B28="","",الموظفون!$S28*IF(E28="سعودي",cfg_G_SE,cfg_G_NE)*G28/cfg_DAYS_M)</f>
        <v/>
      </c>
      <c r="V28" s="111" t="str">
        <f aca="false">IF($B28="","",SUMIFS('الحركات الشهرية'!$I$6:$I$1005,'الحركات الشهرية'!$B$6:$B$1005,$B28,'الحركات الشهرية'!$A$6:$A$1005,$C$3))</f>
        <v/>
      </c>
      <c r="W28" s="111" t="str">
        <f aca="false">IF($B28="","",SUMIFS('الحركات الشهرية'!$J$6:$J$1005,'الحركات الشهرية'!$B$6:$B$1005,$B28,'الحركات الشهرية'!$A$6:$A$1005,$C$3))</f>
        <v/>
      </c>
      <c r="X28" s="111" t="str">
        <f aca="false">IF($B28="","",SUM(U28:W28))</f>
        <v/>
      </c>
      <c r="Y28" s="153" t="str">
        <f aca="false">IF($B28="","",T28-X28)</f>
        <v/>
      </c>
      <c r="Z28" s="111" t="str">
        <f aca="false">IF($B28="","",الموظفون!$S28*IF(E28="سعودي",cfg_G_SR,cfg_G_NR)*G28/cfg_DAYS_M)</f>
        <v/>
      </c>
      <c r="AA28" s="111" t="str">
        <f aca="false">IF($B28="","",الموظفون!$Q28*(cfg_EOS_R1*(MIN(AH28,cfg_EOS_TH)-MIN(AI28,cfg_EOS_TH))+cfg_EOS_R2*(MAX(AH28-cfg_EOS_TH,0)-MAX(AI28-cfg_EOS_TH,0))))</f>
        <v/>
      </c>
      <c r="AB28" s="111" t="str">
        <f aca="false">IF($B28="","",IF(الموظفون!$T28&lt;&gt;"",الموظفون!$T28,IF(AH28&gt;=cfg_LV_TH,cfg_LV_D2,cfg_LV_D1))/cfg_DAYS_Y*AJ28*الموظفون!$R28/cfg_DAYS_M)</f>
        <v/>
      </c>
      <c r="AC28" s="111" t="str">
        <f aca="false">IF($B28="","",IF(AND(الموظفون!$U28="نعم",N(الموظفون!$W28)&gt;0),الموظفون!$V28/الموظفون!$W28*12/cfg_DAYS_Y*AJ28,0))</f>
        <v/>
      </c>
      <c r="AD28" s="111" t="str">
        <f aca="false">IF($B28="","",(IF(الموظفون!$X28&lt;&gt;"",الموظفون!$X28,IF(الموظفون!$E28="غير سعودي",cfg_IQ,0))+IF(الموظفون!$Y28&lt;&gt;"",الموظفون!$Y28,IF(الموظفون!$E28="غير سعودي",cfg_WP,0)))/12*G28/cfg_DAYS_M)</f>
        <v/>
      </c>
      <c r="AE28" s="111" t="str">
        <f aca="false">IF($B28="","",IF(الموظفون!$Z28&lt;&gt;"",الموظفون!$Z28,cfg_MED)/12*G28/cfg_DAYS_M)</f>
        <v/>
      </c>
      <c r="AF28" s="111" t="str">
        <f aca="false">IF($B28="","",N(الموظفون!$AA28)/12*G28/cfg_DAYS_M)</f>
        <v/>
      </c>
      <c r="AG28" s="154" t="str">
        <f aca="false">IF($B28="","",T28+SUM(Z28:AF28))</f>
        <v/>
      </c>
      <c r="AH28" s="155" t="str">
        <f aca="false">IF($B28="","",MAX(0,IF(OR(الموظفون!$AE28="",الموظفون!$AE28&gt;$F$3),$F$3,الموظفون!$AE28)-الموظفون!$H28+1-SUMIFS('سجل الإجازات والحالات'!$AM$6:$AM$505,'سجل الإجازات والحالات'!$B$6:$B$505,$B28))/cfg_DAYS_Y)</f>
        <v/>
      </c>
      <c r="AI28" s="155" t="str">
        <f aca="false">IF($B28="","",MAX(0,IF(OR(الموظفون!$AE28="",الموظفون!$AE28&gt;($E$3-1)),($E$3-1),الموظفون!$AE28)-الموظفون!$H28+1-SUMIFS('سجل الإجازات والحالات'!$AL$6:$AL$505,'سجل الإجازات والحالات'!$B$6:$B$505,$B28))/cfg_DAYS_Y)</f>
        <v/>
      </c>
      <c r="AJ28" s="65" t="str">
        <f aca="false">IF($B28="","",MAX(0,AK28-(SUMIFS('سجل الإجازات والحالات'!$AM$6:$AM$505,'سجل الإجازات والحالات'!$B$6:$B$505,$B28)-SUMIFS('سجل الإجازات والحالات'!$AL$6:$AL$505,'سجل الإجازات والحالات'!$B$6:$B$505,$B28))))</f>
        <v/>
      </c>
      <c r="AK28" s="65" t="str">
        <f aca="false">IF($B28="","",MAX(0,IF(OR(الموظفون!$AE28="",الموظفون!$AE28&gt;$F$3),$F$3,الموظفون!$AE28)-MAX($E$3,الموظفون!$H28)+1))</f>
        <v/>
      </c>
      <c r="AL28" s="151" t="str">
        <f aca="false">IF($B28="","",SUMIFS('سجل الإجازات والحالات'!$AY$6:$AY$505,'سجل الإجازات والحالات'!$B$6:$B$505,$B28)+SUMIFS('الحركات الشهرية'!$K$6:$K$1005,'الحركات الشهرية'!$B$6:$B$1005,$B28,'الحركات الشهرية'!$A$6:$A$1005,$C$3))</f>
        <v/>
      </c>
      <c r="AM28" s="111" t="str">
        <f aca="false">IF($B28="","",AL28*الموظفون!$R28/cfg_DAYS_M+S28)</f>
        <v/>
      </c>
      <c r="AN28" s="151" t="str">
        <f aca="false">IF($B28="","",SUMIFS('سجل الإجازات والحالات'!$AA$6:$AA$505,'سجل الإجازات والحالات'!$B$6:$B$505,$B28))</f>
        <v/>
      </c>
    </row>
    <row r="29" customFormat="false" ht="15" hidden="false" customHeight="false" outlineLevel="0" collapsed="false">
      <c r="A29" s="115" t="str">
        <f aca="false">IF($B29="","",الموظفون!$A29)</f>
        <v/>
      </c>
      <c r="B29" s="117" t="str">
        <f aca="false">IF(الموظفون!$B29="","",الموظفون!$B29)</f>
        <v/>
      </c>
      <c r="C29" s="117" t="str">
        <f aca="false">IF($B29="","",الموظفون!$C29)</f>
        <v/>
      </c>
      <c r="D29" s="117" t="str">
        <f aca="false">IF($B29="","",الموظفون!$F29)</f>
        <v/>
      </c>
      <c r="E29" s="117" t="str">
        <f aca="false">IF($B29="","",الموظفون!$E29)</f>
        <v/>
      </c>
      <c r="F29" s="117" t="str">
        <f aca="false">IF($B29="","",IF(AK29=0,IF(AND(الموظفون!$AE29&lt;&gt;"",الموظفون!$AE29&lt;$E$3),"✖ منتهي الخدمة","⏳ لم يباشر"),IF(S29&gt;0,"✈ راتب إجازة مقدم",IF(J29=0,"⛔ بدون راتب هذا الشهر",IF(I29&gt;0,"✈ خصم "&amp;ROUND(I29,2)&amp;" يوم بدون أجر",IF(AL29&gt;0,"🌴 إجازة سنوية "&amp;ROUND(AL29,2)&amp;" يوم",IF(H29&gt;0,"⚠ غياب "&amp;ROUND(H29,2)&amp;" يوم","✔ على رأس العمل")))))))</f>
        <v/>
      </c>
      <c r="G29" s="156" t="str">
        <f aca="false">IF($B29="","",IF(AK29&gt;=DAY($F$3),cfg_DAYS_M,MIN(AK29,cfg_DAYS_M)))</f>
        <v/>
      </c>
      <c r="H29" s="156" t="str">
        <f aca="false">IF($B29="","",SUMIFS('الحركات الشهرية'!$D$6:$D$1005,'الحركات الشهرية'!$B$6:$B$1005,$B29,'الحركات الشهرية'!$A$6:$A$1005,$C$3))</f>
        <v/>
      </c>
      <c r="I29" s="156" t="str">
        <f aca="false">IF($B29="","",MIN(G29,IF(AND(AK29&gt;0,AN29&gt;=AK29),G29,AN29)+SUMIFS('الحركات الشهرية'!$E$6:$E$1005,'الحركات الشهرية'!$B$6:$B$1005,$B29,'الحركات الشهرية'!$A$6:$A$1005,$C$3)))</f>
        <v/>
      </c>
      <c r="J29" s="156" t="str">
        <f aca="false">IF($B29="","",MAX(0,G29-H29-I29))</f>
        <v/>
      </c>
      <c r="K29" s="116" t="str">
        <f aca="false">IF($B29="","",الموظفون!$L29*$J29/cfg_DAYS_M)</f>
        <v/>
      </c>
      <c r="L29" s="116" t="str">
        <f aca="false">IF($B29="","",الموظفون!$M29*$J29/cfg_DAYS_M)</f>
        <v/>
      </c>
      <c r="M29" s="116" t="str">
        <f aca="false">IF($B29="","",الموظفون!$N29*$J29/cfg_DAYS_M)</f>
        <v/>
      </c>
      <c r="N29" s="116" t="str">
        <f aca="false">IF($B29="","",الموظفون!$O29*$J29/cfg_DAYS_M)</f>
        <v/>
      </c>
      <c r="O29" s="156" t="str">
        <f aca="false">IF($B29="","",SUMIFS('الحركات الشهرية'!$F$6:$F$1005,'الحركات الشهرية'!$B$6:$B$1005,$B29,'الحركات الشهرية'!$A$6:$A$1005,$C$3))</f>
        <v/>
      </c>
      <c r="P29" s="116" t="str">
        <f aca="false">IF($B29="","",O29*(الموظفون!$P29+الموظفون!$L29*cfg_OT_P)/cfg_DAYS_M/cfg_HRS)</f>
        <v/>
      </c>
      <c r="Q29" s="116" t="str">
        <f aca="false">IF($B29="","",SUMIFS('الحركات الشهرية'!$G$6:$G$1005,'الحركات الشهرية'!$B$6:$B$1005,$B29,'الحركات الشهرية'!$A$6:$A$1005,$C$3))</f>
        <v/>
      </c>
      <c r="R29" s="116" t="str">
        <f aca="false">IF($B29="","",SUMIFS('الحركات الشهرية'!$H$6:$H$1005,'الحركات الشهرية'!$B$6:$B$1005,$B29,'الحركات الشهرية'!$A$6:$A$1005,$C$3))</f>
        <v/>
      </c>
      <c r="S29" s="116" t="str">
        <f aca="false">IF($B29="","",SUMIFS('سجل الإجازات والحالات'!$N$6:$N$505,'سجل الإجازات والحالات'!$B$6:$B$505,$B29,'سجل الإجازات والحالات'!$O$6:$O$505,$C$3))</f>
        <v/>
      </c>
      <c r="T29" s="157" t="str">
        <f aca="false">IF($B29="","",SUM(K29:N29)+SUM(P29:S29))</f>
        <v/>
      </c>
      <c r="U29" s="116" t="str">
        <f aca="false">IF($B29="","",الموظفون!$S29*IF(E29="سعودي",cfg_G_SE,cfg_G_NE)*G29/cfg_DAYS_M)</f>
        <v/>
      </c>
      <c r="V29" s="116" t="str">
        <f aca="false">IF($B29="","",SUMIFS('الحركات الشهرية'!$I$6:$I$1005,'الحركات الشهرية'!$B$6:$B$1005,$B29,'الحركات الشهرية'!$A$6:$A$1005,$C$3))</f>
        <v/>
      </c>
      <c r="W29" s="116" t="str">
        <f aca="false">IF($B29="","",SUMIFS('الحركات الشهرية'!$J$6:$J$1005,'الحركات الشهرية'!$B$6:$B$1005,$B29,'الحركات الشهرية'!$A$6:$A$1005,$C$3))</f>
        <v/>
      </c>
      <c r="X29" s="116" t="str">
        <f aca="false">IF($B29="","",SUM(U29:W29))</f>
        <v/>
      </c>
      <c r="Y29" s="158" t="str">
        <f aca="false">IF($B29="","",T29-X29)</f>
        <v/>
      </c>
      <c r="Z29" s="116" t="str">
        <f aca="false">IF($B29="","",الموظفون!$S29*IF(E29="سعودي",cfg_G_SR,cfg_G_NR)*G29/cfg_DAYS_M)</f>
        <v/>
      </c>
      <c r="AA29" s="116" t="str">
        <f aca="false">IF($B29="","",الموظفون!$Q29*(cfg_EOS_R1*(MIN(AH29,cfg_EOS_TH)-MIN(AI29,cfg_EOS_TH))+cfg_EOS_R2*(MAX(AH29-cfg_EOS_TH,0)-MAX(AI29-cfg_EOS_TH,0))))</f>
        <v/>
      </c>
      <c r="AB29" s="116" t="str">
        <f aca="false">IF($B29="","",IF(الموظفون!$T29&lt;&gt;"",الموظفون!$T29,IF(AH29&gt;=cfg_LV_TH,cfg_LV_D2,cfg_LV_D1))/cfg_DAYS_Y*AJ29*الموظفون!$R29/cfg_DAYS_M)</f>
        <v/>
      </c>
      <c r="AC29" s="116" t="str">
        <f aca="false">IF($B29="","",IF(AND(الموظفون!$U29="نعم",N(الموظفون!$W29)&gt;0),الموظفون!$V29/الموظفون!$W29*12/cfg_DAYS_Y*AJ29,0))</f>
        <v/>
      </c>
      <c r="AD29" s="116" t="str">
        <f aca="false">IF($B29="","",(IF(الموظفون!$X29&lt;&gt;"",الموظفون!$X29,IF(الموظفون!$E29="غير سعودي",cfg_IQ,0))+IF(الموظفون!$Y29&lt;&gt;"",الموظفون!$Y29,IF(الموظفون!$E29="غير سعودي",cfg_WP,0)))/12*G29/cfg_DAYS_M)</f>
        <v/>
      </c>
      <c r="AE29" s="116" t="str">
        <f aca="false">IF($B29="","",IF(الموظفون!$Z29&lt;&gt;"",الموظفون!$Z29,cfg_MED)/12*G29/cfg_DAYS_M)</f>
        <v/>
      </c>
      <c r="AF29" s="116" t="str">
        <f aca="false">IF($B29="","",N(الموظفون!$AA29)/12*G29/cfg_DAYS_M)</f>
        <v/>
      </c>
      <c r="AG29" s="159" t="str">
        <f aca="false">IF($B29="","",T29+SUM(Z29:AF29))</f>
        <v/>
      </c>
      <c r="AH29" s="160" t="str">
        <f aca="false">IF($B29="","",MAX(0,IF(OR(الموظفون!$AE29="",الموظفون!$AE29&gt;$F$3),$F$3,الموظفون!$AE29)-الموظفون!$H29+1-SUMIFS('سجل الإجازات والحالات'!$AM$6:$AM$505,'سجل الإجازات والحالات'!$B$6:$B$505,$B29))/cfg_DAYS_Y)</f>
        <v/>
      </c>
      <c r="AI29" s="160" t="str">
        <f aca="false">IF($B29="","",MAX(0,IF(OR(الموظفون!$AE29="",الموظفون!$AE29&gt;($E$3-1)),($E$3-1),الموظفون!$AE29)-الموظفون!$H29+1-SUMIFS('سجل الإجازات والحالات'!$AL$6:$AL$505,'سجل الإجازات والحالات'!$B$6:$B$505,$B29))/cfg_DAYS_Y)</f>
        <v/>
      </c>
      <c r="AJ29" s="133" t="str">
        <f aca="false">IF($B29="","",MAX(0,AK29-(SUMIFS('سجل الإجازات والحالات'!$AM$6:$AM$505,'سجل الإجازات والحالات'!$B$6:$B$505,$B29)-SUMIFS('سجل الإجازات والحالات'!$AL$6:$AL$505,'سجل الإجازات والحالات'!$B$6:$B$505,$B29))))</f>
        <v/>
      </c>
      <c r="AK29" s="133" t="str">
        <f aca="false">IF($B29="","",MAX(0,IF(OR(الموظفون!$AE29="",الموظفون!$AE29&gt;$F$3),$F$3,الموظفون!$AE29)-MAX($E$3,الموظفون!$H29)+1))</f>
        <v/>
      </c>
      <c r="AL29" s="156" t="str">
        <f aca="false">IF($B29="","",SUMIFS('سجل الإجازات والحالات'!$AY$6:$AY$505,'سجل الإجازات والحالات'!$B$6:$B$505,$B29)+SUMIFS('الحركات الشهرية'!$K$6:$K$1005,'الحركات الشهرية'!$B$6:$B$1005,$B29,'الحركات الشهرية'!$A$6:$A$1005,$C$3))</f>
        <v/>
      </c>
      <c r="AM29" s="116" t="str">
        <f aca="false">IF($B29="","",AL29*الموظفون!$R29/cfg_DAYS_M+S29)</f>
        <v/>
      </c>
      <c r="AN29" s="156" t="str">
        <f aca="false">IF($B29="","",SUMIFS('سجل الإجازات والحالات'!$AA$6:$AA$505,'سجل الإجازات والحالات'!$B$6:$B$505,$B29))</f>
        <v/>
      </c>
    </row>
    <row r="30" customFormat="false" ht="15" hidden="false" customHeight="false" outlineLevel="0" collapsed="false">
      <c r="A30" s="106" t="str">
        <f aca="false">IF($B30="","",الموظفون!$A30)</f>
        <v/>
      </c>
      <c r="B30" s="114" t="str">
        <f aca="false">IF(الموظفون!$B30="","",الموظفون!$B30)</f>
        <v/>
      </c>
      <c r="C30" s="114" t="str">
        <f aca="false">IF($B30="","",الموظفون!$C30)</f>
        <v/>
      </c>
      <c r="D30" s="114" t="str">
        <f aca="false">IF($B30="","",الموظفون!$F30)</f>
        <v/>
      </c>
      <c r="E30" s="114" t="str">
        <f aca="false">IF($B30="","",الموظفون!$E30)</f>
        <v/>
      </c>
      <c r="F30" s="114" t="str">
        <f aca="false">IF($B30="","",IF(AK30=0,IF(AND(الموظفون!$AE30&lt;&gt;"",الموظفون!$AE30&lt;$E$3),"✖ منتهي الخدمة","⏳ لم يباشر"),IF(S30&gt;0,"✈ راتب إجازة مقدم",IF(J30=0,"⛔ بدون راتب هذا الشهر",IF(I30&gt;0,"✈ خصم "&amp;ROUND(I30,2)&amp;" يوم بدون أجر",IF(AL30&gt;0,"🌴 إجازة سنوية "&amp;ROUND(AL30,2)&amp;" يوم",IF(H30&gt;0,"⚠ غياب "&amp;ROUND(H30,2)&amp;" يوم","✔ على رأس العمل")))))))</f>
        <v/>
      </c>
      <c r="G30" s="151" t="str">
        <f aca="false">IF($B30="","",IF(AK30&gt;=DAY($F$3),cfg_DAYS_M,MIN(AK30,cfg_DAYS_M)))</f>
        <v/>
      </c>
      <c r="H30" s="151" t="str">
        <f aca="false">IF($B30="","",SUMIFS('الحركات الشهرية'!$D$6:$D$1005,'الحركات الشهرية'!$B$6:$B$1005,$B30,'الحركات الشهرية'!$A$6:$A$1005,$C$3))</f>
        <v/>
      </c>
      <c r="I30" s="151" t="str">
        <f aca="false">IF($B30="","",MIN(G30,IF(AND(AK30&gt;0,AN30&gt;=AK30),G30,AN30)+SUMIFS('الحركات الشهرية'!$E$6:$E$1005,'الحركات الشهرية'!$B$6:$B$1005,$B30,'الحركات الشهرية'!$A$6:$A$1005,$C$3)))</f>
        <v/>
      </c>
      <c r="J30" s="151" t="str">
        <f aca="false">IF($B30="","",MAX(0,G30-H30-I30))</f>
        <v/>
      </c>
      <c r="K30" s="111" t="str">
        <f aca="false">IF($B30="","",الموظفون!$L30*$J30/cfg_DAYS_M)</f>
        <v/>
      </c>
      <c r="L30" s="111" t="str">
        <f aca="false">IF($B30="","",الموظفون!$M30*$J30/cfg_DAYS_M)</f>
        <v/>
      </c>
      <c r="M30" s="111" t="str">
        <f aca="false">IF($B30="","",الموظفون!$N30*$J30/cfg_DAYS_M)</f>
        <v/>
      </c>
      <c r="N30" s="111" t="str">
        <f aca="false">IF($B30="","",الموظفون!$O30*$J30/cfg_DAYS_M)</f>
        <v/>
      </c>
      <c r="O30" s="151" t="str">
        <f aca="false">IF($B30="","",SUMIFS('الحركات الشهرية'!$F$6:$F$1005,'الحركات الشهرية'!$B$6:$B$1005,$B30,'الحركات الشهرية'!$A$6:$A$1005,$C$3))</f>
        <v/>
      </c>
      <c r="P30" s="111" t="str">
        <f aca="false">IF($B30="","",O30*(الموظفون!$P30+الموظفون!$L30*cfg_OT_P)/cfg_DAYS_M/cfg_HRS)</f>
        <v/>
      </c>
      <c r="Q30" s="111" t="str">
        <f aca="false">IF($B30="","",SUMIFS('الحركات الشهرية'!$G$6:$G$1005,'الحركات الشهرية'!$B$6:$B$1005,$B30,'الحركات الشهرية'!$A$6:$A$1005,$C$3))</f>
        <v/>
      </c>
      <c r="R30" s="111" t="str">
        <f aca="false">IF($B30="","",SUMIFS('الحركات الشهرية'!$H$6:$H$1005,'الحركات الشهرية'!$B$6:$B$1005,$B30,'الحركات الشهرية'!$A$6:$A$1005,$C$3))</f>
        <v/>
      </c>
      <c r="S30" s="111" t="str">
        <f aca="false">IF($B30="","",SUMIFS('سجل الإجازات والحالات'!$N$6:$N$505,'سجل الإجازات والحالات'!$B$6:$B$505,$B30,'سجل الإجازات والحالات'!$O$6:$O$505,$C$3))</f>
        <v/>
      </c>
      <c r="T30" s="152" t="str">
        <f aca="false">IF($B30="","",SUM(K30:N30)+SUM(P30:S30))</f>
        <v/>
      </c>
      <c r="U30" s="111" t="str">
        <f aca="false">IF($B30="","",الموظفون!$S30*IF(E30="سعودي",cfg_G_SE,cfg_G_NE)*G30/cfg_DAYS_M)</f>
        <v/>
      </c>
      <c r="V30" s="111" t="str">
        <f aca="false">IF($B30="","",SUMIFS('الحركات الشهرية'!$I$6:$I$1005,'الحركات الشهرية'!$B$6:$B$1005,$B30,'الحركات الشهرية'!$A$6:$A$1005,$C$3))</f>
        <v/>
      </c>
      <c r="W30" s="111" t="str">
        <f aca="false">IF($B30="","",SUMIFS('الحركات الشهرية'!$J$6:$J$1005,'الحركات الشهرية'!$B$6:$B$1005,$B30,'الحركات الشهرية'!$A$6:$A$1005,$C$3))</f>
        <v/>
      </c>
      <c r="X30" s="111" t="str">
        <f aca="false">IF($B30="","",SUM(U30:W30))</f>
        <v/>
      </c>
      <c r="Y30" s="153" t="str">
        <f aca="false">IF($B30="","",T30-X30)</f>
        <v/>
      </c>
      <c r="Z30" s="111" t="str">
        <f aca="false">IF($B30="","",الموظفون!$S30*IF(E30="سعودي",cfg_G_SR,cfg_G_NR)*G30/cfg_DAYS_M)</f>
        <v/>
      </c>
      <c r="AA30" s="111" t="str">
        <f aca="false">IF($B30="","",الموظفون!$Q30*(cfg_EOS_R1*(MIN(AH30,cfg_EOS_TH)-MIN(AI30,cfg_EOS_TH))+cfg_EOS_R2*(MAX(AH30-cfg_EOS_TH,0)-MAX(AI30-cfg_EOS_TH,0))))</f>
        <v/>
      </c>
      <c r="AB30" s="111" t="str">
        <f aca="false">IF($B30="","",IF(الموظفون!$T30&lt;&gt;"",الموظفون!$T30,IF(AH30&gt;=cfg_LV_TH,cfg_LV_D2,cfg_LV_D1))/cfg_DAYS_Y*AJ30*الموظفون!$R30/cfg_DAYS_M)</f>
        <v/>
      </c>
      <c r="AC30" s="111" t="str">
        <f aca="false">IF($B30="","",IF(AND(الموظفون!$U30="نعم",N(الموظفون!$W30)&gt;0),الموظفون!$V30/الموظفون!$W30*12/cfg_DAYS_Y*AJ30,0))</f>
        <v/>
      </c>
      <c r="AD30" s="111" t="str">
        <f aca="false">IF($B30="","",(IF(الموظفون!$X30&lt;&gt;"",الموظفون!$X30,IF(الموظفون!$E30="غير سعودي",cfg_IQ,0))+IF(الموظفون!$Y30&lt;&gt;"",الموظفون!$Y30,IF(الموظفون!$E30="غير سعودي",cfg_WP,0)))/12*G30/cfg_DAYS_M)</f>
        <v/>
      </c>
      <c r="AE30" s="111" t="str">
        <f aca="false">IF($B30="","",IF(الموظفون!$Z30&lt;&gt;"",الموظفون!$Z30,cfg_MED)/12*G30/cfg_DAYS_M)</f>
        <v/>
      </c>
      <c r="AF30" s="111" t="str">
        <f aca="false">IF($B30="","",N(الموظفون!$AA30)/12*G30/cfg_DAYS_M)</f>
        <v/>
      </c>
      <c r="AG30" s="154" t="str">
        <f aca="false">IF($B30="","",T30+SUM(Z30:AF30))</f>
        <v/>
      </c>
      <c r="AH30" s="155" t="str">
        <f aca="false">IF($B30="","",MAX(0,IF(OR(الموظفون!$AE30="",الموظفون!$AE30&gt;$F$3),$F$3,الموظفون!$AE30)-الموظفون!$H30+1-SUMIFS('سجل الإجازات والحالات'!$AM$6:$AM$505,'سجل الإجازات والحالات'!$B$6:$B$505,$B30))/cfg_DAYS_Y)</f>
        <v/>
      </c>
      <c r="AI30" s="155" t="str">
        <f aca="false">IF($B30="","",MAX(0,IF(OR(الموظفون!$AE30="",الموظفون!$AE30&gt;($E$3-1)),($E$3-1),الموظفون!$AE30)-الموظفون!$H30+1-SUMIFS('سجل الإجازات والحالات'!$AL$6:$AL$505,'سجل الإجازات والحالات'!$B$6:$B$505,$B30))/cfg_DAYS_Y)</f>
        <v/>
      </c>
      <c r="AJ30" s="65" t="str">
        <f aca="false">IF($B30="","",MAX(0,AK30-(SUMIFS('سجل الإجازات والحالات'!$AM$6:$AM$505,'سجل الإجازات والحالات'!$B$6:$B$505,$B30)-SUMIFS('سجل الإجازات والحالات'!$AL$6:$AL$505,'سجل الإجازات والحالات'!$B$6:$B$505,$B30))))</f>
        <v/>
      </c>
      <c r="AK30" s="65" t="str">
        <f aca="false">IF($B30="","",MAX(0,IF(OR(الموظفون!$AE30="",الموظفون!$AE30&gt;$F$3),$F$3,الموظفون!$AE30)-MAX($E$3,الموظفون!$H30)+1))</f>
        <v/>
      </c>
      <c r="AL30" s="151" t="str">
        <f aca="false">IF($B30="","",SUMIFS('سجل الإجازات والحالات'!$AY$6:$AY$505,'سجل الإجازات والحالات'!$B$6:$B$505,$B30)+SUMIFS('الحركات الشهرية'!$K$6:$K$1005,'الحركات الشهرية'!$B$6:$B$1005,$B30,'الحركات الشهرية'!$A$6:$A$1005,$C$3))</f>
        <v/>
      </c>
      <c r="AM30" s="111" t="str">
        <f aca="false">IF($B30="","",AL30*الموظفون!$R30/cfg_DAYS_M+S30)</f>
        <v/>
      </c>
      <c r="AN30" s="151" t="str">
        <f aca="false">IF($B30="","",SUMIFS('سجل الإجازات والحالات'!$AA$6:$AA$505,'سجل الإجازات والحالات'!$B$6:$B$505,$B30))</f>
        <v/>
      </c>
    </row>
    <row r="31" customFormat="false" ht="15" hidden="false" customHeight="false" outlineLevel="0" collapsed="false">
      <c r="A31" s="115" t="str">
        <f aca="false">IF($B31="","",الموظفون!$A31)</f>
        <v/>
      </c>
      <c r="B31" s="117" t="str">
        <f aca="false">IF(الموظفون!$B31="","",الموظفون!$B31)</f>
        <v/>
      </c>
      <c r="C31" s="117" t="str">
        <f aca="false">IF($B31="","",الموظفون!$C31)</f>
        <v/>
      </c>
      <c r="D31" s="117" t="str">
        <f aca="false">IF($B31="","",الموظفون!$F31)</f>
        <v/>
      </c>
      <c r="E31" s="117" t="str">
        <f aca="false">IF($B31="","",الموظفون!$E31)</f>
        <v/>
      </c>
      <c r="F31" s="117" t="str">
        <f aca="false">IF($B31="","",IF(AK31=0,IF(AND(الموظفون!$AE31&lt;&gt;"",الموظفون!$AE31&lt;$E$3),"✖ منتهي الخدمة","⏳ لم يباشر"),IF(S31&gt;0,"✈ راتب إجازة مقدم",IF(J31=0,"⛔ بدون راتب هذا الشهر",IF(I31&gt;0,"✈ خصم "&amp;ROUND(I31,2)&amp;" يوم بدون أجر",IF(AL31&gt;0,"🌴 إجازة سنوية "&amp;ROUND(AL31,2)&amp;" يوم",IF(H31&gt;0,"⚠ غياب "&amp;ROUND(H31,2)&amp;" يوم","✔ على رأس العمل")))))))</f>
        <v/>
      </c>
      <c r="G31" s="156" t="str">
        <f aca="false">IF($B31="","",IF(AK31&gt;=DAY($F$3),cfg_DAYS_M,MIN(AK31,cfg_DAYS_M)))</f>
        <v/>
      </c>
      <c r="H31" s="156" t="str">
        <f aca="false">IF($B31="","",SUMIFS('الحركات الشهرية'!$D$6:$D$1005,'الحركات الشهرية'!$B$6:$B$1005,$B31,'الحركات الشهرية'!$A$6:$A$1005,$C$3))</f>
        <v/>
      </c>
      <c r="I31" s="156" t="str">
        <f aca="false">IF($B31="","",MIN(G31,IF(AND(AK31&gt;0,AN31&gt;=AK31),G31,AN31)+SUMIFS('الحركات الشهرية'!$E$6:$E$1005,'الحركات الشهرية'!$B$6:$B$1005,$B31,'الحركات الشهرية'!$A$6:$A$1005,$C$3)))</f>
        <v/>
      </c>
      <c r="J31" s="156" t="str">
        <f aca="false">IF($B31="","",MAX(0,G31-H31-I31))</f>
        <v/>
      </c>
      <c r="K31" s="116" t="str">
        <f aca="false">IF($B31="","",الموظفون!$L31*$J31/cfg_DAYS_M)</f>
        <v/>
      </c>
      <c r="L31" s="116" t="str">
        <f aca="false">IF($B31="","",الموظفون!$M31*$J31/cfg_DAYS_M)</f>
        <v/>
      </c>
      <c r="M31" s="116" t="str">
        <f aca="false">IF($B31="","",الموظفون!$N31*$J31/cfg_DAYS_M)</f>
        <v/>
      </c>
      <c r="N31" s="116" t="str">
        <f aca="false">IF($B31="","",الموظفون!$O31*$J31/cfg_DAYS_M)</f>
        <v/>
      </c>
      <c r="O31" s="156" t="str">
        <f aca="false">IF($B31="","",SUMIFS('الحركات الشهرية'!$F$6:$F$1005,'الحركات الشهرية'!$B$6:$B$1005,$B31,'الحركات الشهرية'!$A$6:$A$1005,$C$3))</f>
        <v/>
      </c>
      <c r="P31" s="116" t="str">
        <f aca="false">IF($B31="","",O31*(الموظفون!$P31+الموظفون!$L31*cfg_OT_P)/cfg_DAYS_M/cfg_HRS)</f>
        <v/>
      </c>
      <c r="Q31" s="116" t="str">
        <f aca="false">IF($B31="","",SUMIFS('الحركات الشهرية'!$G$6:$G$1005,'الحركات الشهرية'!$B$6:$B$1005,$B31,'الحركات الشهرية'!$A$6:$A$1005,$C$3))</f>
        <v/>
      </c>
      <c r="R31" s="116" t="str">
        <f aca="false">IF($B31="","",SUMIFS('الحركات الشهرية'!$H$6:$H$1005,'الحركات الشهرية'!$B$6:$B$1005,$B31,'الحركات الشهرية'!$A$6:$A$1005,$C$3))</f>
        <v/>
      </c>
      <c r="S31" s="116" t="str">
        <f aca="false">IF($B31="","",SUMIFS('سجل الإجازات والحالات'!$N$6:$N$505,'سجل الإجازات والحالات'!$B$6:$B$505,$B31,'سجل الإجازات والحالات'!$O$6:$O$505,$C$3))</f>
        <v/>
      </c>
      <c r="T31" s="157" t="str">
        <f aca="false">IF($B31="","",SUM(K31:N31)+SUM(P31:S31))</f>
        <v/>
      </c>
      <c r="U31" s="116" t="str">
        <f aca="false">IF($B31="","",الموظفون!$S31*IF(E31="سعودي",cfg_G_SE,cfg_G_NE)*G31/cfg_DAYS_M)</f>
        <v/>
      </c>
      <c r="V31" s="116" t="str">
        <f aca="false">IF($B31="","",SUMIFS('الحركات الشهرية'!$I$6:$I$1005,'الحركات الشهرية'!$B$6:$B$1005,$B31,'الحركات الشهرية'!$A$6:$A$1005,$C$3))</f>
        <v/>
      </c>
      <c r="W31" s="116" t="str">
        <f aca="false">IF($B31="","",SUMIFS('الحركات الشهرية'!$J$6:$J$1005,'الحركات الشهرية'!$B$6:$B$1005,$B31,'الحركات الشهرية'!$A$6:$A$1005,$C$3))</f>
        <v/>
      </c>
      <c r="X31" s="116" t="str">
        <f aca="false">IF($B31="","",SUM(U31:W31))</f>
        <v/>
      </c>
      <c r="Y31" s="158" t="str">
        <f aca="false">IF($B31="","",T31-X31)</f>
        <v/>
      </c>
      <c r="Z31" s="116" t="str">
        <f aca="false">IF($B31="","",الموظفون!$S31*IF(E31="سعودي",cfg_G_SR,cfg_G_NR)*G31/cfg_DAYS_M)</f>
        <v/>
      </c>
      <c r="AA31" s="116" t="str">
        <f aca="false">IF($B31="","",الموظفون!$Q31*(cfg_EOS_R1*(MIN(AH31,cfg_EOS_TH)-MIN(AI31,cfg_EOS_TH))+cfg_EOS_R2*(MAX(AH31-cfg_EOS_TH,0)-MAX(AI31-cfg_EOS_TH,0))))</f>
        <v/>
      </c>
      <c r="AB31" s="116" t="str">
        <f aca="false">IF($B31="","",IF(الموظفون!$T31&lt;&gt;"",الموظفون!$T31,IF(AH31&gt;=cfg_LV_TH,cfg_LV_D2,cfg_LV_D1))/cfg_DAYS_Y*AJ31*الموظفون!$R31/cfg_DAYS_M)</f>
        <v/>
      </c>
      <c r="AC31" s="116" t="str">
        <f aca="false">IF($B31="","",IF(AND(الموظفون!$U31="نعم",N(الموظفون!$W31)&gt;0),الموظفون!$V31/الموظفون!$W31*12/cfg_DAYS_Y*AJ31,0))</f>
        <v/>
      </c>
      <c r="AD31" s="116" t="str">
        <f aca="false">IF($B31="","",(IF(الموظفون!$X31&lt;&gt;"",الموظفون!$X31,IF(الموظفون!$E31="غير سعودي",cfg_IQ,0))+IF(الموظفون!$Y31&lt;&gt;"",الموظفون!$Y31,IF(الموظفون!$E31="غير سعودي",cfg_WP,0)))/12*G31/cfg_DAYS_M)</f>
        <v/>
      </c>
      <c r="AE31" s="116" t="str">
        <f aca="false">IF($B31="","",IF(الموظفون!$Z31&lt;&gt;"",الموظفون!$Z31,cfg_MED)/12*G31/cfg_DAYS_M)</f>
        <v/>
      </c>
      <c r="AF31" s="116" t="str">
        <f aca="false">IF($B31="","",N(الموظفون!$AA31)/12*G31/cfg_DAYS_M)</f>
        <v/>
      </c>
      <c r="AG31" s="159" t="str">
        <f aca="false">IF($B31="","",T31+SUM(Z31:AF31))</f>
        <v/>
      </c>
      <c r="AH31" s="160" t="str">
        <f aca="false">IF($B31="","",MAX(0,IF(OR(الموظفون!$AE31="",الموظفون!$AE31&gt;$F$3),$F$3,الموظفون!$AE31)-الموظفون!$H31+1-SUMIFS('سجل الإجازات والحالات'!$AM$6:$AM$505,'سجل الإجازات والحالات'!$B$6:$B$505,$B31))/cfg_DAYS_Y)</f>
        <v/>
      </c>
      <c r="AI31" s="160" t="str">
        <f aca="false">IF($B31="","",MAX(0,IF(OR(الموظفون!$AE31="",الموظفون!$AE31&gt;($E$3-1)),($E$3-1),الموظفون!$AE31)-الموظفون!$H31+1-SUMIFS('سجل الإجازات والحالات'!$AL$6:$AL$505,'سجل الإجازات والحالات'!$B$6:$B$505,$B31))/cfg_DAYS_Y)</f>
        <v/>
      </c>
      <c r="AJ31" s="133" t="str">
        <f aca="false">IF($B31="","",MAX(0,AK31-(SUMIFS('سجل الإجازات والحالات'!$AM$6:$AM$505,'سجل الإجازات والحالات'!$B$6:$B$505,$B31)-SUMIFS('سجل الإجازات والحالات'!$AL$6:$AL$505,'سجل الإجازات والحالات'!$B$6:$B$505,$B31))))</f>
        <v/>
      </c>
      <c r="AK31" s="133" t="str">
        <f aca="false">IF($B31="","",MAX(0,IF(OR(الموظفون!$AE31="",الموظفون!$AE31&gt;$F$3),$F$3,الموظفون!$AE31)-MAX($E$3,الموظفون!$H31)+1))</f>
        <v/>
      </c>
      <c r="AL31" s="156" t="str">
        <f aca="false">IF($B31="","",SUMIFS('سجل الإجازات والحالات'!$AY$6:$AY$505,'سجل الإجازات والحالات'!$B$6:$B$505,$B31)+SUMIFS('الحركات الشهرية'!$K$6:$K$1005,'الحركات الشهرية'!$B$6:$B$1005,$B31,'الحركات الشهرية'!$A$6:$A$1005,$C$3))</f>
        <v/>
      </c>
      <c r="AM31" s="116" t="str">
        <f aca="false">IF($B31="","",AL31*الموظفون!$R31/cfg_DAYS_M+S31)</f>
        <v/>
      </c>
      <c r="AN31" s="156" t="str">
        <f aca="false">IF($B31="","",SUMIFS('سجل الإجازات والحالات'!$AA$6:$AA$505,'سجل الإجازات والحالات'!$B$6:$B$505,$B31))</f>
        <v/>
      </c>
    </row>
    <row r="32" customFormat="false" ht="15" hidden="false" customHeight="false" outlineLevel="0" collapsed="false">
      <c r="A32" s="106" t="str">
        <f aca="false">IF($B32="","",الموظفون!$A32)</f>
        <v/>
      </c>
      <c r="B32" s="114" t="str">
        <f aca="false">IF(الموظفون!$B32="","",الموظفون!$B32)</f>
        <v/>
      </c>
      <c r="C32" s="114" t="str">
        <f aca="false">IF($B32="","",الموظفون!$C32)</f>
        <v/>
      </c>
      <c r="D32" s="114" t="str">
        <f aca="false">IF($B32="","",الموظفون!$F32)</f>
        <v/>
      </c>
      <c r="E32" s="114" t="str">
        <f aca="false">IF($B32="","",الموظفون!$E32)</f>
        <v/>
      </c>
      <c r="F32" s="114" t="str">
        <f aca="false">IF($B32="","",IF(AK32=0,IF(AND(الموظفون!$AE32&lt;&gt;"",الموظفون!$AE32&lt;$E$3),"✖ منتهي الخدمة","⏳ لم يباشر"),IF(S32&gt;0,"✈ راتب إجازة مقدم",IF(J32=0,"⛔ بدون راتب هذا الشهر",IF(I32&gt;0,"✈ خصم "&amp;ROUND(I32,2)&amp;" يوم بدون أجر",IF(AL32&gt;0,"🌴 إجازة سنوية "&amp;ROUND(AL32,2)&amp;" يوم",IF(H32&gt;0,"⚠ غياب "&amp;ROUND(H32,2)&amp;" يوم","✔ على رأس العمل")))))))</f>
        <v/>
      </c>
      <c r="G32" s="151" t="str">
        <f aca="false">IF($B32="","",IF(AK32&gt;=DAY($F$3),cfg_DAYS_M,MIN(AK32,cfg_DAYS_M)))</f>
        <v/>
      </c>
      <c r="H32" s="151" t="str">
        <f aca="false">IF($B32="","",SUMIFS('الحركات الشهرية'!$D$6:$D$1005,'الحركات الشهرية'!$B$6:$B$1005,$B32,'الحركات الشهرية'!$A$6:$A$1005,$C$3))</f>
        <v/>
      </c>
      <c r="I32" s="151" t="str">
        <f aca="false">IF($B32="","",MIN(G32,IF(AND(AK32&gt;0,AN32&gt;=AK32),G32,AN32)+SUMIFS('الحركات الشهرية'!$E$6:$E$1005,'الحركات الشهرية'!$B$6:$B$1005,$B32,'الحركات الشهرية'!$A$6:$A$1005,$C$3)))</f>
        <v/>
      </c>
      <c r="J32" s="151" t="str">
        <f aca="false">IF($B32="","",MAX(0,G32-H32-I32))</f>
        <v/>
      </c>
      <c r="K32" s="111" t="str">
        <f aca="false">IF($B32="","",الموظفون!$L32*$J32/cfg_DAYS_M)</f>
        <v/>
      </c>
      <c r="L32" s="111" t="str">
        <f aca="false">IF($B32="","",الموظفون!$M32*$J32/cfg_DAYS_M)</f>
        <v/>
      </c>
      <c r="M32" s="111" t="str">
        <f aca="false">IF($B32="","",الموظفون!$N32*$J32/cfg_DAYS_M)</f>
        <v/>
      </c>
      <c r="N32" s="111" t="str">
        <f aca="false">IF($B32="","",الموظفون!$O32*$J32/cfg_DAYS_M)</f>
        <v/>
      </c>
      <c r="O32" s="151" t="str">
        <f aca="false">IF($B32="","",SUMIFS('الحركات الشهرية'!$F$6:$F$1005,'الحركات الشهرية'!$B$6:$B$1005,$B32,'الحركات الشهرية'!$A$6:$A$1005,$C$3))</f>
        <v/>
      </c>
      <c r="P32" s="111" t="str">
        <f aca="false">IF($B32="","",O32*(الموظفون!$P32+الموظفون!$L32*cfg_OT_P)/cfg_DAYS_M/cfg_HRS)</f>
        <v/>
      </c>
      <c r="Q32" s="111" t="str">
        <f aca="false">IF($B32="","",SUMIFS('الحركات الشهرية'!$G$6:$G$1005,'الحركات الشهرية'!$B$6:$B$1005,$B32,'الحركات الشهرية'!$A$6:$A$1005,$C$3))</f>
        <v/>
      </c>
      <c r="R32" s="111" t="str">
        <f aca="false">IF($B32="","",SUMIFS('الحركات الشهرية'!$H$6:$H$1005,'الحركات الشهرية'!$B$6:$B$1005,$B32,'الحركات الشهرية'!$A$6:$A$1005,$C$3))</f>
        <v/>
      </c>
      <c r="S32" s="111" t="str">
        <f aca="false">IF($B32="","",SUMIFS('سجل الإجازات والحالات'!$N$6:$N$505,'سجل الإجازات والحالات'!$B$6:$B$505,$B32,'سجل الإجازات والحالات'!$O$6:$O$505,$C$3))</f>
        <v/>
      </c>
      <c r="T32" s="152" t="str">
        <f aca="false">IF($B32="","",SUM(K32:N32)+SUM(P32:S32))</f>
        <v/>
      </c>
      <c r="U32" s="111" t="str">
        <f aca="false">IF($B32="","",الموظفون!$S32*IF(E32="سعودي",cfg_G_SE,cfg_G_NE)*G32/cfg_DAYS_M)</f>
        <v/>
      </c>
      <c r="V32" s="111" t="str">
        <f aca="false">IF($B32="","",SUMIFS('الحركات الشهرية'!$I$6:$I$1005,'الحركات الشهرية'!$B$6:$B$1005,$B32,'الحركات الشهرية'!$A$6:$A$1005,$C$3))</f>
        <v/>
      </c>
      <c r="W32" s="111" t="str">
        <f aca="false">IF($B32="","",SUMIFS('الحركات الشهرية'!$J$6:$J$1005,'الحركات الشهرية'!$B$6:$B$1005,$B32,'الحركات الشهرية'!$A$6:$A$1005,$C$3))</f>
        <v/>
      </c>
      <c r="X32" s="111" t="str">
        <f aca="false">IF($B32="","",SUM(U32:W32))</f>
        <v/>
      </c>
      <c r="Y32" s="153" t="str">
        <f aca="false">IF($B32="","",T32-X32)</f>
        <v/>
      </c>
      <c r="Z32" s="111" t="str">
        <f aca="false">IF($B32="","",الموظفون!$S32*IF(E32="سعودي",cfg_G_SR,cfg_G_NR)*G32/cfg_DAYS_M)</f>
        <v/>
      </c>
      <c r="AA32" s="111" t="str">
        <f aca="false">IF($B32="","",الموظفون!$Q32*(cfg_EOS_R1*(MIN(AH32,cfg_EOS_TH)-MIN(AI32,cfg_EOS_TH))+cfg_EOS_R2*(MAX(AH32-cfg_EOS_TH,0)-MAX(AI32-cfg_EOS_TH,0))))</f>
        <v/>
      </c>
      <c r="AB32" s="111" t="str">
        <f aca="false">IF($B32="","",IF(الموظفون!$T32&lt;&gt;"",الموظفون!$T32,IF(AH32&gt;=cfg_LV_TH,cfg_LV_D2,cfg_LV_D1))/cfg_DAYS_Y*AJ32*الموظفون!$R32/cfg_DAYS_M)</f>
        <v/>
      </c>
      <c r="AC32" s="111" t="str">
        <f aca="false">IF($B32="","",IF(AND(الموظفون!$U32="نعم",N(الموظفون!$W32)&gt;0),الموظفون!$V32/الموظفون!$W32*12/cfg_DAYS_Y*AJ32,0))</f>
        <v/>
      </c>
      <c r="AD32" s="111" t="str">
        <f aca="false">IF($B32="","",(IF(الموظفون!$X32&lt;&gt;"",الموظفون!$X32,IF(الموظفون!$E32="غير سعودي",cfg_IQ,0))+IF(الموظفون!$Y32&lt;&gt;"",الموظفون!$Y32,IF(الموظفون!$E32="غير سعودي",cfg_WP,0)))/12*G32/cfg_DAYS_M)</f>
        <v/>
      </c>
      <c r="AE32" s="111" t="str">
        <f aca="false">IF($B32="","",IF(الموظفون!$Z32&lt;&gt;"",الموظفون!$Z32,cfg_MED)/12*G32/cfg_DAYS_M)</f>
        <v/>
      </c>
      <c r="AF32" s="111" t="str">
        <f aca="false">IF($B32="","",N(الموظفون!$AA32)/12*G32/cfg_DAYS_M)</f>
        <v/>
      </c>
      <c r="AG32" s="154" t="str">
        <f aca="false">IF($B32="","",T32+SUM(Z32:AF32))</f>
        <v/>
      </c>
      <c r="AH32" s="155" t="str">
        <f aca="false">IF($B32="","",MAX(0,IF(OR(الموظفون!$AE32="",الموظفون!$AE32&gt;$F$3),$F$3,الموظفون!$AE32)-الموظفون!$H32+1-SUMIFS('سجل الإجازات والحالات'!$AM$6:$AM$505,'سجل الإجازات والحالات'!$B$6:$B$505,$B32))/cfg_DAYS_Y)</f>
        <v/>
      </c>
      <c r="AI32" s="155" t="str">
        <f aca="false">IF($B32="","",MAX(0,IF(OR(الموظفون!$AE32="",الموظفون!$AE32&gt;($E$3-1)),($E$3-1),الموظفون!$AE32)-الموظفون!$H32+1-SUMIFS('سجل الإجازات والحالات'!$AL$6:$AL$505,'سجل الإجازات والحالات'!$B$6:$B$505,$B32))/cfg_DAYS_Y)</f>
        <v/>
      </c>
      <c r="AJ32" s="65" t="str">
        <f aca="false">IF($B32="","",MAX(0,AK32-(SUMIFS('سجل الإجازات والحالات'!$AM$6:$AM$505,'سجل الإجازات والحالات'!$B$6:$B$505,$B32)-SUMIFS('سجل الإجازات والحالات'!$AL$6:$AL$505,'سجل الإجازات والحالات'!$B$6:$B$505,$B32))))</f>
        <v/>
      </c>
      <c r="AK32" s="65" t="str">
        <f aca="false">IF($B32="","",MAX(0,IF(OR(الموظفون!$AE32="",الموظفون!$AE32&gt;$F$3),$F$3,الموظفون!$AE32)-MAX($E$3,الموظفون!$H32)+1))</f>
        <v/>
      </c>
      <c r="AL32" s="151" t="str">
        <f aca="false">IF($B32="","",SUMIFS('سجل الإجازات والحالات'!$AY$6:$AY$505,'سجل الإجازات والحالات'!$B$6:$B$505,$B32)+SUMIFS('الحركات الشهرية'!$K$6:$K$1005,'الحركات الشهرية'!$B$6:$B$1005,$B32,'الحركات الشهرية'!$A$6:$A$1005,$C$3))</f>
        <v/>
      </c>
      <c r="AM32" s="111" t="str">
        <f aca="false">IF($B32="","",AL32*الموظفون!$R32/cfg_DAYS_M+S32)</f>
        <v/>
      </c>
      <c r="AN32" s="151" t="str">
        <f aca="false">IF($B32="","",SUMIFS('سجل الإجازات والحالات'!$AA$6:$AA$505,'سجل الإجازات والحالات'!$B$6:$B$505,$B32))</f>
        <v/>
      </c>
    </row>
    <row r="33" customFormat="false" ht="15" hidden="false" customHeight="false" outlineLevel="0" collapsed="false">
      <c r="A33" s="115" t="str">
        <f aca="false">IF($B33="","",الموظفون!$A33)</f>
        <v/>
      </c>
      <c r="B33" s="117" t="str">
        <f aca="false">IF(الموظفون!$B33="","",الموظفون!$B33)</f>
        <v/>
      </c>
      <c r="C33" s="117" t="str">
        <f aca="false">IF($B33="","",الموظفون!$C33)</f>
        <v/>
      </c>
      <c r="D33" s="117" t="str">
        <f aca="false">IF($B33="","",الموظفون!$F33)</f>
        <v/>
      </c>
      <c r="E33" s="117" t="str">
        <f aca="false">IF($B33="","",الموظفون!$E33)</f>
        <v/>
      </c>
      <c r="F33" s="117" t="str">
        <f aca="false">IF($B33="","",IF(AK33=0,IF(AND(الموظفون!$AE33&lt;&gt;"",الموظفون!$AE33&lt;$E$3),"✖ منتهي الخدمة","⏳ لم يباشر"),IF(S33&gt;0,"✈ راتب إجازة مقدم",IF(J33=0,"⛔ بدون راتب هذا الشهر",IF(I33&gt;0,"✈ خصم "&amp;ROUND(I33,2)&amp;" يوم بدون أجر",IF(AL33&gt;0,"🌴 إجازة سنوية "&amp;ROUND(AL33,2)&amp;" يوم",IF(H33&gt;0,"⚠ غياب "&amp;ROUND(H33,2)&amp;" يوم","✔ على رأس العمل")))))))</f>
        <v/>
      </c>
      <c r="G33" s="156" t="str">
        <f aca="false">IF($B33="","",IF(AK33&gt;=DAY($F$3),cfg_DAYS_M,MIN(AK33,cfg_DAYS_M)))</f>
        <v/>
      </c>
      <c r="H33" s="156" t="str">
        <f aca="false">IF($B33="","",SUMIFS('الحركات الشهرية'!$D$6:$D$1005,'الحركات الشهرية'!$B$6:$B$1005,$B33,'الحركات الشهرية'!$A$6:$A$1005,$C$3))</f>
        <v/>
      </c>
      <c r="I33" s="156" t="str">
        <f aca="false">IF($B33="","",MIN(G33,IF(AND(AK33&gt;0,AN33&gt;=AK33),G33,AN33)+SUMIFS('الحركات الشهرية'!$E$6:$E$1005,'الحركات الشهرية'!$B$6:$B$1005,$B33,'الحركات الشهرية'!$A$6:$A$1005,$C$3)))</f>
        <v/>
      </c>
      <c r="J33" s="156" t="str">
        <f aca="false">IF($B33="","",MAX(0,G33-H33-I33))</f>
        <v/>
      </c>
      <c r="K33" s="116" t="str">
        <f aca="false">IF($B33="","",الموظفون!$L33*$J33/cfg_DAYS_M)</f>
        <v/>
      </c>
      <c r="L33" s="116" t="str">
        <f aca="false">IF($B33="","",الموظفون!$M33*$J33/cfg_DAYS_M)</f>
        <v/>
      </c>
      <c r="M33" s="116" t="str">
        <f aca="false">IF($B33="","",الموظفون!$N33*$J33/cfg_DAYS_M)</f>
        <v/>
      </c>
      <c r="N33" s="116" t="str">
        <f aca="false">IF($B33="","",الموظفون!$O33*$J33/cfg_DAYS_M)</f>
        <v/>
      </c>
      <c r="O33" s="156" t="str">
        <f aca="false">IF($B33="","",SUMIFS('الحركات الشهرية'!$F$6:$F$1005,'الحركات الشهرية'!$B$6:$B$1005,$B33,'الحركات الشهرية'!$A$6:$A$1005,$C$3))</f>
        <v/>
      </c>
      <c r="P33" s="116" t="str">
        <f aca="false">IF($B33="","",O33*(الموظفون!$P33+الموظفون!$L33*cfg_OT_P)/cfg_DAYS_M/cfg_HRS)</f>
        <v/>
      </c>
      <c r="Q33" s="116" t="str">
        <f aca="false">IF($B33="","",SUMIFS('الحركات الشهرية'!$G$6:$G$1005,'الحركات الشهرية'!$B$6:$B$1005,$B33,'الحركات الشهرية'!$A$6:$A$1005,$C$3))</f>
        <v/>
      </c>
      <c r="R33" s="116" t="str">
        <f aca="false">IF($B33="","",SUMIFS('الحركات الشهرية'!$H$6:$H$1005,'الحركات الشهرية'!$B$6:$B$1005,$B33,'الحركات الشهرية'!$A$6:$A$1005,$C$3))</f>
        <v/>
      </c>
      <c r="S33" s="116" t="str">
        <f aca="false">IF($B33="","",SUMIFS('سجل الإجازات والحالات'!$N$6:$N$505,'سجل الإجازات والحالات'!$B$6:$B$505,$B33,'سجل الإجازات والحالات'!$O$6:$O$505,$C$3))</f>
        <v/>
      </c>
      <c r="T33" s="157" t="str">
        <f aca="false">IF($B33="","",SUM(K33:N33)+SUM(P33:S33))</f>
        <v/>
      </c>
      <c r="U33" s="116" t="str">
        <f aca="false">IF($B33="","",الموظفون!$S33*IF(E33="سعودي",cfg_G_SE,cfg_G_NE)*G33/cfg_DAYS_M)</f>
        <v/>
      </c>
      <c r="V33" s="116" t="str">
        <f aca="false">IF($B33="","",SUMIFS('الحركات الشهرية'!$I$6:$I$1005,'الحركات الشهرية'!$B$6:$B$1005,$B33,'الحركات الشهرية'!$A$6:$A$1005,$C$3))</f>
        <v/>
      </c>
      <c r="W33" s="116" t="str">
        <f aca="false">IF($B33="","",SUMIFS('الحركات الشهرية'!$J$6:$J$1005,'الحركات الشهرية'!$B$6:$B$1005,$B33,'الحركات الشهرية'!$A$6:$A$1005,$C$3))</f>
        <v/>
      </c>
      <c r="X33" s="116" t="str">
        <f aca="false">IF($B33="","",SUM(U33:W33))</f>
        <v/>
      </c>
      <c r="Y33" s="158" t="str">
        <f aca="false">IF($B33="","",T33-X33)</f>
        <v/>
      </c>
      <c r="Z33" s="116" t="str">
        <f aca="false">IF($B33="","",الموظفون!$S33*IF(E33="سعودي",cfg_G_SR,cfg_G_NR)*G33/cfg_DAYS_M)</f>
        <v/>
      </c>
      <c r="AA33" s="116" t="str">
        <f aca="false">IF($B33="","",الموظفون!$Q33*(cfg_EOS_R1*(MIN(AH33,cfg_EOS_TH)-MIN(AI33,cfg_EOS_TH))+cfg_EOS_R2*(MAX(AH33-cfg_EOS_TH,0)-MAX(AI33-cfg_EOS_TH,0))))</f>
        <v/>
      </c>
      <c r="AB33" s="116" t="str">
        <f aca="false">IF($B33="","",IF(الموظفون!$T33&lt;&gt;"",الموظفون!$T33,IF(AH33&gt;=cfg_LV_TH,cfg_LV_D2,cfg_LV_D1))/cfg_DAYS_Y*AJ33*الموظفون!$R33/cfg_DAYS_M)</f>
        <v/>
      </c>
      <c r="AC33" s="116" t="str">
        <f aca="false">IF($B33="","",IF(AND(الموظفون!$U33="نعم",N(الموظفون!$W33)&gt;0),الموظفون!$V33/الموظفون!$W33*12/cfg_DAYS_Y*AJ33,0))</f>
        <v/>
      </c>
      <c r="AD33" s="116" t="str">
        <f aca="false">IF($B33="","",(IF(الموظفون!$X33&lt;&gt;"",الموظفون!$X33,IF(الموظفون!$E33="غير سعودي",cfg_IQ,0))+IF(الموظفون!$Y33&lt;&gt;"",الموظفون!$Y33,IF(الموظفون!$E33="غير سعودي",cfg_WP,0)))/12*G33/cfg_DAYS_M)</f>
        <v/>
      </c>
      <c r="AE33" s="116" t="str">
        <f aca="false">IF($B33="","",IF(الموظفون!$Z33&lt;&gt;"",الموظفون!$Z33,cfg_MED)/12*G33/cfg_DAYS_M)</f>
        <v/>
      </c>
      <c r="AF33" s="116" t="str">
        <f aca="false">IF($B33="","",N(الموظفون!$AA33)/12*G33/cfg_DAYS_M)</f>
        <v/>
      </c>
      <c r="AG33" s="159" t="str">
        <f aca="false">IF($B33="","",T33+SUM(Z33:AF33))</f>
        <v/>
      </c>
      <c r="AH33" s="160" t="str">
        <f aca="false">IF($B33="","",MAX(0,IF(OR(الموظفون!$AE33="",الموظفون!$AE33&gt;$F$3),$F$3,الموظفون!$AE33)-الموظفون!$H33+1-SUMIFS('سجل الإجازات والحالات'!$AM$6:$AM$505,'سجل الإجازات والحالات'!$B$6:$B$505,$B33))/cfg_DAYS_Y)</f>
        <v/>
      </c>
      <c r="AI33" s="160" t="str">
        <f aca="false">IF($B33="","",MAX(0,IF(OR(الموظفون!$AE33="",الموظفون!$AE33&gt;($E$3-1)),($E$3-1),الموظفون!$AE33)-الموظفون!$H33+1-SUMIFS('سجل الإجازات والحالات'!$AL$6:$AL$505,'سجل الإجازات والحالات'!$B$6:$B$505,$B33))/cfg_DAYS_Y)</f>
        <v/>
      </c>
      <c r="AJ33" s="133" t="str">
        <f aca="false">IF($B33="","",MAX(0,AK33-(SUMIFS('سجل الإجازات والحالات'!$AM$6:$AM$505,'سجل الإجازات والحالات'!$B$6:$B$505,$B33)-SUMIFS('سجل الإجازات والحالات'!$AL$6:$AL$505,'سجل الإجازات والحالات'!$B$6:$B$505,$B33))))</f>
        <v/>
      </c>
      <c r="AK33" s="133" t="str">
        <f aca="false">IF($B33="","",MAX(0,IF(OR(الموظفون!$AE33="",الموظفون!$AE33&gt;$F$3),$F$3,الموظفون!$AE33)-MAX($E$3,الموظفون!$H33)+1))</f>
        <v/>
      </c>
      <c r="AL33" s="156" t="str">
        <f aca="false">IF($B33="","",SUMIFS('سجل الإجازات والحالات'!$AY$6:$AY$505,'سجل الإجازات والحالات'!$B$6:$B$505,$B33)+SUMIFS('الحركات الشهرية'!$K$6:$K$1005,'الحركات الشهرية'!$B$6:$B$1005,$B33,'الحركات الشهرية'!$A$6:$A$1005,$C$3))</f>
        <v/>
      </c>
      <c r="AM33" s="116" t="str">
        <f aca="false">IF($B33="","",AL33*الموظفون!$R33/cfg_DAYS_M+S33)</f>
        <v/>
      </c>
      <c r="AN33" s="156" t="str">
        <f aca="false">IF($B33="","",SUMIFS('سجل الإجازات والحالات'!$AA$6:$AA$505,'سجل الإجازات والحالات'!$B$6:$B$505,$B33))</f>
        <v/>
      </c>
    </row>
    <row r="34" customFormat="false" ht="15" hidden="false" customHeight="false" outlineLevel="0" collapsed="false">
      <c r="A34" s="106" t="str">
        <f aca="false">IF($B34="","",الموظفون!$A34)</f>
        <v/>
      </c>
      <c r="B34" s="114" t="str">
        <f aca="false">IF(الموظفون!$B34="","",الموظفون!$B34)</f>
        <v/>
      </c>
      <c r="C34" s="114" t="str">
        <f aca="false">IF($B34="","",الموظفون!$C34)</f>
        <v/>
      </c>
      <c r="D34" s="114" t="str">
        <f aca="false">IF($B34="","",الموظفون!$F34)</f>
        <v/>
      </c>
      <c r="E34" s="114" t="str">
        <f aca="false">IF($B34="","",الموظفون!$E34)</f>
        <v/>
      </c>
      <c r="F34" s="114" t="str">
        <f aca="false">IF($B34="","",IF(AK34=0,IF(AND(الموظفون!$AE34&lt;&gt;"",الموظفون!$AE34&lt;$E$3),"✖ منتهي الخدمة","⏳ لم يباشر"),IF(S34&gt;0,"✈ راتب إجازة مقدم",IF(J34=0,"⛔ بدون راتب هذا الشهر",IF(I34&gt;0,"✈ خصم "&amp;ROUND(I34,2)&amp;" يوم بدون أجر",IF(AL34&gt;0,"🌴 إجازة سنوية "&amp;ROUND(AL34,2)&amp;" يوم",IF(H34&gt;0,"⚠ غياب "&amp;ROUND(H34,2)&amp;" يوم","✔ على رأس العمل")))))))</f>
        <v/>
      </c>
      <c r="G34" s="151" t="str">
        <f aca="false">IF($B34="","",IF(AK34&gt;=DAY($F$3),cfg_DAYS_M,MIN(AK34,cfg_DAYS_M)))</f>
        <v/>
      </c>
      <c r="H34" s="151" t="str">
        <f aca="false">IF($B34="","",SUMIFS('الحركات الشهرية'!$D$6:$D$1005,'الحركات الشهرية'!$B$6:$B$1005,$B34,'الحركات الشهرية'!$A$6:$A$1005,$C$3))</f>
        <v/>
      </c>
      <c r="I34" s="151" t="str">
        <f aca="false">IF($B34="","",MIN(G34,IF(AND(AK34&gt;0,AN34&gt;=AK34),G34,AN34)+SUMIFS('الحركات الشهرية'!$E$6:$E$1005,'الحركات الشهرية'!$B$6:$B$1005,$B34,'الحركات الشهرية'!$A$6:$A$1005,$C$3)))</f>
        <v/>
      </c>
      <c r="J34" s="151" t="str">
        <f aca="false">IF($B34="","",MAX(0,G34-H34-I34))</f>
        <v/>
      </c>
      <c r="K34" s="111" t="str">
        <f aca="false">IF($B34="","",الموظفون!$L34*$J34/cfg_DAYS_M)</f>
        <v/>
      </c>
      <c r="L34" s="111" t="str">
        <f aca="false">IF($B34="","",الموظفون!$M34*$J34/cfg_DAYS_M)</f>
        <v/>
      </c>
      <c r="M34" s="111" t="str">
        <f aca="false">IF($B34="","",الموظفون!$N34*$J34/cfg_DAYS_M)</f>
        <v/>
      </c>
      <c r="N34" s="111" t="str">
        <f aca="false">IF($B34="","",الموظفون!$O34*$J34/cfg_DAYS_M)</f>
        <v/>
      </c>
      <c r="O34" s="151" t="str">
        <f aca="false">IF($B34="","",SUMIFS('الحركات الشهرية'!$F$6:$F$1005,'الحركات الشهرية'!$B$6:$B$1005,$B34,'الحركات الشهرية'!$A$6:$A$1005,$C$3))</f>
        <v/>
      </c>
      <c r="P34" s="111" t="str">
        <f aca="false">IF($B34="","",O34*(الموظفون!$P34+الموظفون!$L34*cfg_OT_P)/cfg_DAYS_M/cfg_HRS)</f>
        <v/>
      </c>
      <c r="Q34" s="111" t="str">
        <f aca="false">IF($B34="","",SUMIFS('الحركات الشهرية'!$G$6:$G$1005,'الحركات الشهرية'!$B$6:$B$1005,$B34,'الحركات الشهرية'!$A$6:$A$1005,$C$3))</f>
        <v/>
      </c>
      <c r="R34" s="111" t="str">
        <f aca="false">IF($B34="","",SUMIFS('الحركات الشهرية'!$H$6:$H$1005,'الحركات الشهرية'!$B$6:$B$1005,$B34,'الحركات الشهرية'!$A$6:$A$1005,$C$3))</f>
        <v/>
      </c>
      <c r="S34" s="111" t="str">
        <f aca="false">IF($B34="","",SUMIFS('سجل الإجازات والحالات'!$N$6:$N$505,'سجل الإجازات والحالات'!$B$6:$B$505,$B34,'سجل الإجازات والحالات'!$O$6:$O$505,$C$3))</f>
        <v/>
      </c>
      <c r="T34" s="152" t="str">
        <f aca="false">IF($B34="","",SUM(K34:N34)+SUM(P34:S34))</f>
        <v/>
      </c>
      <c r="U34" s="111" t="str">
        <f aca="false">IF($B34="","",الموظفون!$S34*IF(E34="سعودي",cfg_G_SE,cfg_G_NE)*G34/cfg_DAYS_M)</f>
        <v/>
      </c>
      <c r="V34" s="111" t="str">
        <f aca="false">IF($B34="","",SUMIFS('الحركات الشهرية'!$I$6:$I$1005,'الحركات الشهرية'!$B$6:$B$1005,$B34,'الحركات الشهرية'!$A$6:$A$1005,$C$3))</f>
        <v/>
      </c>
      <c r="W34" s="111" t="str">
        <f aca="false">IF($B34="","",SUMIFS('الحركات الشهرية'!$J$6:$J$1005,'الحركات الشهرية'!$B$6:$B$1005,$B34,'الحركات الشهرية'!$A$6:$A$1005,$C$3))</f>
        <v/>
      </c>
      <c r="X34" s="111" t="str">
        <f aca="false">IF($B34="","",SUM(U34:W34))</f>
        <v/>
      </c>
      <c r="Y34" s="153" t="str">
        <f aca="false">IF($B34="","",T34-X34)</f>
        <v/>
      </c>
      <c r="Z34" s="111" t="str">
        <f aca="false">IF($B34="","",الموظفون!$S34*IF(E34="سعودي",cfg_G_SR,cfg_G_NR)*G34/cfg_DAYS_M)</f>
        <v/>
      </c>
      <c r="AA34" s="111" t="str">
        <f aca="false">IF($B34="","",الموظفون!$Q34*(cfg_EOS_R1*(MIN(AH34,cfg_EOS_TH)-MIN(AI34,cfg_EOS_TH))+cfg_EOS_R2*(MAX(AH34-cfg_EOS_TH,0)-MAX(AI34-cfg_EOS_TH,0))))</f>
        <v/>
      </c>
      <c r="AB34" s="111" t="str">
        <f aca="false">IF($B34="","",IF(الموظفون!$T34&lt;&gt;"",الموظفون!$T34,IF(AH34&gt;=cfg_LV_TH,cfg_LV_D2,cfg_LV_D1))/cfg_DAYS_Y*AJ34*الموظفون!$R34/cfg_DAYS_M)</f>
        <v/>
      </c>
      <c r="AC34" s="111" t="str">
        <f aca="false">IF($B34="","",IF(AND(الموظفون!$U34="نعم",N(الموظفون!$W34)&gt;0),الموظفون!$V34/الموظفون!$W34*12/cfg_DAYS_Y*AJ34,0))</f>
        <v/>
      </c>
      <c r="AD34" s="111" t="str">
        <f aca="false">IF($B34="","",(IF(الموظفون!$X34&lt;&gt;"",الموظفون!$X34,IF(الموظفون!$E34="غير سعودي",cfg_IQ,0))+IF(الموظفون!$Y34&lt;&gt;"",الموظفون!$Y34,IF(الموظفون!$E34="غير سعودي",cfg_WP,0)))/12*G34/cfg_DAYS_M)</f>
        <v/>
      </c>
      <c r="AE34" s="111" t="str">
        <f aca="false">IF($B34="","",IF(الموظفون!$Z34&lt;&gt;"",الموظفون!$Z34,cfg_MED)/12*G34/cfg_DAYS_M)</f>
        <v/>
      </c>
      <c r="AF34" s="111" t="str">
        <f aca="false">IF($B34="","",N(الموظفون!$AA34)/12*G34/cfg_DAYS_M)</f>
        <v/>
      </c>
      <c r="AG34" s="154" t="str">
        <f aca="false">IF($B34="","",T34+SUM(Z34:AF34))</f>
        <v/>
      </c>
      <c r="AH34" s="155" t="str">
        <f aca="false">IF($B34="","",MAX(0,IF(OR(الموظفون!$AE34="",الموظفون!$AE34&gt;$F$3),$F$3,الموظفون!$AE34)-الموظفون!$H34+1-SUMIFS('سجل الإجازات والحالات'!$AM$6:$AM$505,'سجل الإجازات والحالات'!$B$6:$B$505,$B34))/cfg_DAYS_Y)</f>
        <v/>
      </c>
      <c r="AI34" s="155" t="str">
        <f aca="false">IF($B34="","",MAX(0,IF(OR(الموظفون!$AE34="",الموظفون!$AE34&gt;($E$3-1)),($E$3-1),الموظفون!$AE34)-الموظفون!$H34+1-SUMIFS('سجل الإجازات والحالات'!$AL$6:$AL$505,'سجل الإجازات والحالات'!$B$6:$B$505,$B34))/cfg_DAYS_Y)</f>
        <v/>
      </c>
      <c r="AJ34" s="65" t="str">
        <f aca="false">IF($B34="","",MAX(0,AK34-(SUMIFS('سجل الإجازات والحالات'!$AM$6:$AM$505,'سجل الإجازات والحالات'!$B$6:$B$505,$B34)-SUMIFS('سجل الإجازات والحالات'!$AL$6:$AL$505,'سجل الإجازات والحالات'!$B$6:$B$505,$B34))))</f>
        <v/>
      </c>
      <c r="AK34" s="65" t="str">
        <f aca="false">IF($B34="","",MAX(0,IF(OR(الموظفون!$AE34="",الموظفون!$AE34&gt;$F$3),$F$3,الموظفون!$AE34)-MAX($E$3,الموظفون!$H34)+1))</f>
        <v/>
      </c>
      <c r="AL34" s="151" t="str">
        <f aca="false">IF($B34="","",SUMIFS('سجل الإجازات والحالات'!$AY$6:$AY$505,'سجل الإجازات والحالات'!$B$6:$B$505,$B34)+SUMIFS('الحركات الشهرية'!$K$6:$K$1005,'الحركات الشهرية'!$B$6:$B$1005,$B34,'الحركات الشهرية'!$A$6:$A$1005,$C$3))</f>
        <v/>
      </c>
      <c r="AM34" s="111" t="str">
        <f aca="false">IF($B34="","",AL34*الموظفون!$R34/cfg_DAYS_M+S34)</f>
        <v/>
      </c>
      <c r="AN34" s="151" t="str">
        <f aca="false">IF($B34="","",SUMIFS('سجل الإجازات والحالات'!$AA$6:$AA$505,'سجل الإجازات والحالات'!$B$6:$B$505,$B34))</f>
        <v/>
      </c>
    </row>
    <row r="35" customFormat="false" ht="15" hidden="false" customHeight="false" outlineLevel="0" collapsed="false">
      <c r="A35" s="115" t="str">
        <f aca="false">IF($B35="","",الموظفون!$A35)</f>
        <v/>
      </c>
      <c r="B35" s="117" t="str">
        <f aca="false">IF(الموظفون!$B35="","",الموظفون!$B35)</f>
        <v/>
      </c>
      <c r="C35" s="117" t="str">
        <f aca="false">IF($B35="","",الموظفون!$C35)</f>
        <v/>
      </c>
      <c r="D35" s="117" t="str">
        <f aca="false">IF($B35="","",الموظفون!$F35)</f>
        <v/>
      </c>
      <c r="E35" s="117" t="str">
        <f aca="false">IF($B35="","",الموظفون!$E35)</f>
        <v/>
      </c>
      <c r="F35" s="117" t="str">
        <f aca="false">IF($B35="","",IF(AK35=0,IF(AND(الموظفون!$AE35&lt;&gt;"",الموظفون!$AE35&lt;$E$3),"✖ منتهي الخدمة","⏳ لم يباشر"),IF(S35&gt;0,"✈ راتب إجازة مقدم",IF(J35=0,"⛔ بدون راتب هذا الشهر",IF(I35&gt;0,"✈ خصم "&amp;ROUND(I35,2)&amp;" يوم بدون أجر",IF(AL35&gt;0,"🌴 إجازة سنوية "&amp;ROUND(AL35,2)&amp;" يوم",IF(H35&gt;0,"⚠ غياب "&amp;ROUND(H35,2)&amp;" يوم","✔ على رأس العمل")))))))</f>
        <v/>
      </c>
      <c r="G35" s="156" t="str">
        <f aca="false">IF($B35="","",IF(AK35&gt;=DAY($F$3),cfg_DAYS_M,MIN(AK35,cfg_DAYS_M)))</f>
        <v/>
      </c>
      <c r="H35" s="156" t="str">
        <f aca="false">IF($B35="","",SUMIFS('الحركات الشهرية'!$D$6:$D$1005,'الحركات الشهرية'!$B$6:$B$1005,$B35,'الحركات الشهرية'!$A$6:$A$1005,$C$3))</f>
        <v/>
      </c>
      <c r="I35" s="156" t="str">
        <f aca="false">IF($B35="","",MIN(G35,IF(AND(AK35&gt;0,AN35&gt;=AK35),G35,AN35)+SUMIFS('الحركات الشهرية'!$E$6:$E$1005,'الحركات الشهرية'!$B$6:$B$1005,$B35,'الحركات الشهرية'!$A$6:$A$1005,$C$3)))</f>
        <v/>
      </c>
      <c r="J35" s="156" t="str">
        <f aca="false">IF($B35="","",MAX(0,G35-H35-I35))</f>
        <v/>
      </c>
      <c r="K35" s="116" t="str">
        <f aca="false">IF($B35="","",الموظفون!$L35*$J35/cfg_DAYS_M)</f>
        <v/>
      </c>
      <c r="L35" s="116" t="str">
        <f aca="false">IF($B35="","",الموظفون!$M35*$J35/cfg_DAYS_M)</f>
        <v/>
      </c>
      <c r="M35" s="116" t="str">
        <f aca="false">IF($B35="","",الموظفون!$N35*$J35/cfg_DAYS_M)</f>
        <v/>
      </c>
      <c r="N35" s="116" t="str">
        <f aca="false">IF($B35="","",الموظفون!$O35*$J35/cfg_DAYS_M)</f>
        <v/>
      </c>
      <c r="O35" s="156" t="str">
        <f aca="false">IF($B35="","",SUMIFS('الحركات الشهرية'!$F$6:$F$1005,'الحركات الشهرية'!$B$6:$B$1005,$B35,'الحركات الشهرية'!$A$6:$A$1005,$C$3))</f>
        <v/>
      </c>
      <c r="P35" s="116" t="str">
        <f aca="false">IF($B35="","",O35*(الموظفون!$P35+الموظفون!$L35*cfg_OT_P)/cfg_DAYS_M/cfg_HRS)</f>
        <v/>
      </c>
      <c r="Q35" s="116" t="str">
        <f aca="false">IF($B35="","",SUMIFS('الحركات الشهرية'!$G$6:$G$1005,'الحركات الشهرية'!$B$6:$B$1005,$B35,'الحركات الشهرية'!$A$6:$A$1005,$C$3))</f>
        <v/>
      </c>
      <c r="R35" s="116" t="str">
        <f aca="false">IF($B35="","",SUMIFS('الحركات الشهرية'!$H$6:$H$1005,'الحركات الشهرية'!$B$6:$B$1005,$B35,'الحركات الشهرية'!$A$6:$A$1005,$C$3))</f>
        <v/>
      </c>
      <c r="S35" s="116" t="str">
        <f aca="false">IF($B35="","",SUMIFS('سجل الإجازات والحالات'!$N$6:$N$505,'سجل الإجازات والحالات'!$B$6:$B$505,$B35,'سجل الإجازات والحالات'!$O$6:$O$505,$C$3))</f>
        <v/>
      </c>
      <c r="T35" s="157" t="str">
        <f aca="false">IF($B35="","",SUM(K35:N35)+SUM(P35:S35))</f>
        <v/>
      </c>
      <c r="U35" s="116" t="str">
        <f aca="false">IF($B35="","",الموظفون!$S35*IF(E35="سعودي",cfg_G_SE,cfg_G_NE)*G35/cfg_DAYS_M)</f>
        <v/>
      </c>
      <c r="V35" s="116" t="str">
        <f aca="false">IF($B35="","",SUMIFS('الحركات الشهرية'!$I$6:$I$1005,'الحركات الشهرية'!$B$6:$B$1005,$B35,'الحركات الشهرية'!$A$6:$A$1005,$C$3))</f>
        <v/>
      </c>
      <c r="W35" s="116" t="str">
        <f aca="false">IF($B35="","",SUMIFS('الحركات الشهرية'!$J$6:$J$1005,'الحركات الشهرية'!$B$6:$B$1005,$B35,'الحركات الشهرية'!$A$6:$A$1005,$C$3))</f>
        <v/>
      </c>
      <c r="X35" s="116" t="str">
        <f aca="false">IF($B35="","",SUM(U35:W35))</f>
        <v/>
      </c>
      <c r="Y35" s="158" t="str">
        <f aca="false">IF($B35="","",T35-X35)</f>
        <v/>
      </c>
      <c r="Z35" s="116" t="str">
        <f aca="false">IF($B35="","",الموظفون!$S35*IF(E35="سعودي",cfg_G_SR,cfg_G_NR)*G35/cfg_DAYS_M)</f>
        <v/>
      </c>
      <c r="AA35" s="116" t="str">
        <f aca="false">IF($B35="","",الموظفون!$Q35*(cfg_EOS_R1*(MIN(AH35,cfg_EOS_TH)-MIN(AI35,cfg_EOS_TH))+cfg_EOS_R2*(MAX(AH35-cfg_EOS_TH,0)-MAX(AI35-cfg_EOS_TH,0))))</f>
        <v/>
      </c>
      <c r="AB35" s="116" t="str">
        <f aca="false">IF($B35="","",IF(الموظفون!$T35&lt;&gt;"",الموظفون!$T35,IF(AH35&gt;=cfg_LV_TH,cfg_LV_D2,cfg_LV_D1))/cfg_DAYS_Y*AJ35*الموظفون!$R35/cfg_DAYS_M)</f>
        <v/>
      </c>
      <c r="AC35" s="116" t="str">
        <f aca="false">IF($B35="","",IF(AND(الموظفون!$U35="نعم",N(الموظفون!$W35)&gt;0),الموظفون!$V35/الموظفون!$W35*12/cfg_DAYS_Y*AJ35,0))</f>
        <v/>
      </c>
      <c r="AD35" s="116" t="str">
        <f aca="false">IF($B35="","",(IF(الموظفون!$X35&lt;&gt;"",الموظفون!$X35,IF(الموظفون!$E35="غير سعودي",cfg_IQ,0))+IF(الموظفون!$Y35&lt;&gt;"",الموظفون!$Y35,IF(الموظفون!$E35="غير سعودي",cfg_WP,0)))/12*G35/cfg_DAYS_M)</f>
        <v/>
      </c>
      <c r="AE35" s="116" t="str">
        <f aca="false">IF($B35="","",IF(الموظفون!$Z35&lt;&gt;"",الموظفون!$Z35,cfg_MED)/12*G35/cfg_DAYS_M)</f>
        <v/>
      </c>
      <c r="AF35" s="116" t="str">
        <f aca="false">IF($B35="","",N(الموظفون!$AA35)/12*G35/cfg_DAYS_M)</f>
        <v/>
      </c>
      <c r="AG35" s="159" t="str">
        <f aca="false">IF($B35="","",T35+SUM(Z35:AF35))</f>
        <v/>
      </c>
      <c r="AH35" s="160" t="str">
        <f aca="false">IF($B35="","",MAX(0,IF(OR(الموظفون!$AE35="",الموظفون!$AE35&gt;$F$3),$F$3,الموظفون!$AE35)-الموظفون!$H35+1-SUMIFS('سجل الإجازات والحالات'!$AM$6:$AM$505,'سجل الإجازات والحالات'!$B$6:$B$505,$B35))/cfg_DAYS_Y)</f>
        <v/>
      </c>
      <c r="AI35" s="160" t="str">
        <f aca="false">IF($B35="","",MAX(0,IF(OR(الموظفون!$AE35="",الموظفون!$AE35&gt;($E$3-1)),($E$3-1),الموظفون!$AE35)-الموظفون!$H35+1-SUMIFS('سجل الإجازات والحالات'!$AL$6:$AL$505,'سجل الإجازات والحالات'!$B$6:$B$505,$B35))/cfg_DAYS_Y)</f>
        <v/>
      </c>
      <c r="AJ35" s="133" t="str">
        <f aca="false">IF($B35="","",MAX(0,AK35-(SUMIFS('سجل الإجازات والحالات'!$AM$6:$AM$505,'سجل الإجازات والحالات'!$B$6:$B$505,$B35)-SUMIFS('سجل الإجازات والحالات'!$AL$6:$AL$505,'سجل الإجازات والحالات'!$B$6:$B$505,$B35))))</f>
        <v/>
      </c>
      <c r="AK35" s="133" t="str">
        <f aca="false">IF($B35="","",MAX(0,IF(OR(الموظفون!$AE35="",الموظفون!$AE35&gt;$F$3),$F$3,الموظفون!$AE35)-MAX($E$3,الموظفون!$H35)+1))</f>
        <v/>
      </c>
      <c r="AL35" s="156" t="str">
        <f aca="false">IF($B35="","",SUMIFS('سجل الإجازات والحالات'!$AY$6:$AY$505,'سجل الإجازات والحالات'!$B$6:$B$505,$B35)+SUMIFS('الحركات الشهرية'!$K$6:$K$1005,'الحركات الشهرية'!$B$6:$B$1005,$B35,'الحركات الشهرية'!$A$6:$A$1005,$C$3))</f>
        <v/>
      </c>
      <c r="AM35" s="116" t="str">
        <f aca="false">IF($B35="","",AL35*الموظفون!$R35/cfg_DAYS_M+S35)</f>
        <v/>
      </c>
      <c r="AN35" s="156" t="str">
        <f aca="false">IF($B35="","",SUMIFS('سجل الإجازات والحالات'!$AA$6:$AA$505,'سجل الإجازات والحالات'!$B$6:$B$505,$B35))</f>
        <v/>
      </c>
    </row>
    <row r="36" customFormat="false" ht="15" hidden="false" customHeight="false" outlineLevel="0" collapsed="false">
      <c r="A36" s="106" t="str">
        <f aca="false">IF($B36="","",الموظفون!$A36)</f>
        <v/>
      </c>
      <c r="B36" s="114" t="str">
        <f aca="false">IF(الموظفون!$B36="","",الموظفون!$B36)</f>
        <v/>
      </c>
      <c r="C36" s="114" t="str">
        <f aca="false">IF($B36="","",الموظفون!$C36)</f>
        <v/>
      </c>
      <c r="D36" s="114" t="str">
        <f aca="false">IF($B36="","",الموظفون!$F36)</f>
        <v/>
      </c>
      <c r="E36" s="114" t="str">
        <f aca="false">IF($B36="","",الموظفون!$E36)</f>
        <v/>
      </c>
      <c r="F36" s="114" t="str">
        <f aca="false">IF($B36="","",IF(AK36=0,IF(AND(الموظفون!$AE36&lt;&gt;"",الموظفون!$AE36&lt;$E$3),"✖ منتهي الخدمة","⏳ لم يباشر"),IF(S36&gt;0,"✈ راتب إجازة مقدم",IF(J36=0,"⛔ بدون راتب هذا الشهر",IF(I36&gt;0,"✈ خصم "&amp;ROUND(I36,2)&amp;" يوم بدون أجر",IF(AL36&gt;0,"🌴 إجازة سنوية "&amp;ROUND(AL36,2)&amp;" يوم",IF(H36&gt;0,"⚠ غياب "&amp;ROUND(H36,2)&amp;" يوم","✔ على رأس العمل")))))))</f>
        <v/>
      </c>
      <c r="G36" s="151" t="str">
        <f aca="false">IF($B36="","",IF(AK36&gt;=DAY($F$3),cfg_DAYS_M,MIN(AK36,cfg_DAYS_M)))</f>
        <v/>
      </c>
      <c r="H36" s="151" t="str">
        <f aca="false">IF($B36="","",SUMIFS('الحركات الشهرية'!$D$6:$D$1005,'الحركات الشهرية'!$B$6:$B$1005,$B36,'الحركات الشهرية'!$A$6:$A$1005,$C$3))</f>
        <v/>
      </c>
      <c r="I36" s="151" t="str">
        <f aca="false">IF($B36="","",MIN(G36,IF(AND(AK36&gt;0,AN36&gt;=AK36),G36,AN36)+SUMIFS('الحركات الشهرية'!$E$6:$E$1005,'الحركات الشهرية'!$B$6:$B$1005,$B36,'الحركات الشهرية'!$A$6:$A$1005,$C$3)))</f>
        <v/>
      </c>
      <c r="J36" s="151" t="str">
        <f aca="false">IF($B36="","",MAX(0,G36-H36-I36))</f>
        <v/>
      </c>
      <c r="K36" s="111" t="str">
        <f aca="false">IF($B36="","",الموظفون!$L36*$J36/cfg_DAYS_M)</f>
        <v/>
      </c>
      <c r="L36" s="111" t="str">
        <f aca="false">IF($B36="","",الموظفون!$M36*$J36/cfg_DAYS_M)</f>
        <v/>
      </c>
      <c r="M36" s="111" t="str">
        <f aca="false">IF($B36="","",الموظفون!$N36*$J36/cfg_DAYS_M)</f>
        <v/>
      </c>
      <c r="N36" s="111" t="str">
        <f aca="false">IF($B36="","",الموظفون!$O36*$J36/cfg_DAYS_M)</f>
        <v/>
      </c>
      <c r="O36" s="151" t="str">
        <f aca="false">IF($B36="","",SUMIFS('الحركات الشهرية'!$F$6:$F$1005,'الحركات الشهرية'!$B$6:$B$1005,$B36,'الحركات الشهرية'!$A$6:$A$1005,$C$3))</f>
        <v/>
      </c>
      <c r="P36" s="111" t="str">
        <f aca="false">IF($B36="","",O36*(الموظفون!$P36+الموظفون!$L36*cfg_OT_P)/cfg_DAYS_M/cfg_HRS)</f>
        <v/>
      </c>
      <c r="Q36" s="111" t="str">
        <f aca="false">IF($B36="","",SUMIFS('الحركات الشهرية'!$G$6:$G$1005,'الحركات الشهرية'!$B$6:$B$1005,$B36,'الحركات الشهرية'!$A$6:$A$1005,$C$3))</f>
        <v/>
      </c>
      <c r="R36" s="111" t="str">
        <f aca="false">IF($B36="","",SUMIFS('الحركات الشهرية'!$H$6:$H$1005,'الحركات الشهرية'!$B$6:$B$1005,$B36,'الحركات الشهرية'!$A$6:$A$1005,$C$3))</f>
        <v/>
      </c>
      <c r="S36" s="111" t="str">
        <f aca="false">IF($B36="","",SUMIFS('سجل الإجازات والحالات'!$N$6:$N$505,'سجل الإجازات والحالات'!$B$6:$B$505,$B36,'سجل الإجازات والحالات'!$O$6:$O$505,$C$3))</f>
        <v/>
      </c>
      <c r="T36" s="152" t="str">
        <f aca="false">IF($B36="","",SUM(K36:N36)+SUM(P36:S36))</f>
        <v/>
      </c>
      <c r="U36" s="111" t="str">
        <f aca="false">IF($B36="","",الموظفون!$S36*IF(E36="سعودي",cfg_G_SE,cfg_G_NE)*G36/cfg_DAYS_M)</f>
        <v/>
      </c>
      <c r="V36" s="111" t="str">
        <f aca="false">IF($B36="","",SUMIFS('الحركات الشهرية'!$I$6:$I$1005,'الحركات الشهرية'!$B$6:$B$1005,$B36,'الحركات الشهرية'!$A$6:$A$1005,$C$3))</f>
        <v/>
      </c>
      <c r="W36" s="111" t="str">
        <f aca="false">IF($B36="","",SUMIFS('الحركات الشهرية'!$J$6:$J$1005,'الحركات الشهرية'!$B$6:$B$1005,$B36,'الحركات الشهرية'!$A$6:$A$1005,$C$3))</f>
        <v/>
      </c>
      <c r="X36" s="111" t="str">
        <f aca="false">IF($B36="","",SUM(U36:W36))</f>
        <v/>
      </c>
      <c r="Y36" s="153" t="str">
        <f aca="false">IF($B36="","",T36-X36)</f>
        <v/>
      </c>
      <c r="Z36" s="111" t="str">
        <f aca="false">IF($B36="","",الموظفون!$S36*IF(E36="سعودي",cfg_G_SR,cfg_G_NR)*G36/cfg_DAYS_M)</f>
        <v/>
      </c>
      <c r="AA36" s="111" t="str">
        <f aca="false">IF($B36="","",الموظفون!$Q36*(cfg_EOS_R1*(MIN(AH36,cfg_EOS_TH)-MIN(AI36,cfg_EOS_TH))+cfg_EOS_R2*(MAX(AH36-cfg_EOS_TH,0)-MAX(AI36-cfg_EOS_TH,0))))</f>
        <v/>
      </c>
      <c r="AB36" s="111" t="str">
        <f aca="false">IF($B36="","",IF(الموظفون!$T36&lt;&gt;"",الموظفون!$T36,IF(AH36&gt;=cfg_LV_TH,cfg_LV_D2,cfg_LV_D1))/cfg_DAYS_Y*AJ36*الموظفون!$R36/cfg_DAYS_M)</f>
        <v/>
      </c>
      <c r="AC36" s="111" t="str">
        <f aca="false">IF($B36="","",IF(AND(الموظفون!$U36="نعم",N(الموظفون!$W36)&gt;0),الموظفون!$V36/الموظفون!$W36*12/cfg_DAYS_Y*AJ36,0))</f>
        <v/>
      </c>
      <c r="AD36" s="111" t="str">
        <f aca="false">IF($B36="","",(IF(الموظفون!$X36&lt;&gt;"",الموظفون!$X36,IF(الموظفون!$E36="غير سعودي",cfg_IQ,0))+IF(الموظفون!$Y36&lt;&gt;"",الموظفون!$Y36,IF(الموظفون!$E36="غير سعودي",cfg_WP,0)))/12*G36/cfg_DAYS_M)</f>
        <v/>
      </c>
      <c r="AE36" s="111" t="str">
        <f aca="false">IF($B36="","",IF(الموظفون!$Z36&lt;&gt;"",الموظفون!$Z36,cfg_MED)/12*G36/cfg_DAYS_M)</f>
        <v/>
      </c>
      <c r="AF36" s="111" t="str">
        <f aca="false">IF($B36="","",N(الموظفون!$AA36)/12*G36/cfg_DAYS_M)</f>
        <v/>
      </c>
      <c r="AG36" s="154" t="str">
        <f aca="false">IF($B36="","",T36+SUM(Z36:AF36))</f>
        <v/>
      </c>
      <c r="AH36" s="155" t="str">
        <f aca="false">IF($B36="","",MAX(0,IF(OR(الموظفون!$AE36="",الموظفون!$AE36&gt;$F$3),$F$3,الموظفون!$AE36)-الموظفون!$H36+1-SUMIFS('سجل الإجازات والحالات'!$AM$6:$AM$505,'سجل الإجازات والحالات'!$B$6:$B$505,$B36))/cfg_DAYS_Y)</f>
        <v/>
      </c>
      <c r="AI36" s="155" t="str">
        <f aca="false">IF($B36="","",MAX(0,IF(OR(الموظفون!$AE36="",الموظفون!$AE36&gt;($E$3-1)),($E$3-1),الموظفون!$AE36)-الموظفون!$H36+1-SUMIFS('سجل الإجازات والحالات'!$AL$6:$AL$505,'سجل الإجازات والحالات'!$B$6:$B$505,$B36))/cfg_DAYS_Y)</f>
        <v/>
      </c>
      <c r="AJ36" s="65" t="str">
        <f aca="false">IF($B36="","",MAX(0,AK36-(SUMIFS('سجل الإجازات والحالات'!$AM$6:$AM$505,'سجل الإجازات والحالات'!$B$6:$B$505,$B36)-SUMIFS('سجل الإجازات والحالات'!$AL$6:$AL$505,'سجل الإجازات والحالات'!$B$6:$B$505,$B36))))</f>
        <v/>
      </c>
      <c r="AK36" s="65" t="str">
        <f aca="false">IF($B36="","",MAX(0,IF(OR(الموظفون!$AE36="",الموظفون!$AE36&gt;$F$3),$F$3,الموظفون!$AE36)-MAX($E$3,الموظفون!$H36)+1))</f>
        <v/>
      </c>
      <c r="AL36" s="151" t="str">
        <f aca="false">IF($B36="","",SUMIFS('سجل الإجازات والحالات'!$AY$6:$AY$505,'سجل الإجازات والحالات'!$B$6:$B$505,$B36)+SUMIFS('الحركات الشهرية'!$K$6:$K$1005,'الحركات الشهرية'!$B$6:$B$1005,$B36,'الحركات الشهرية'!$A$6:$A$1005,$C$3))</f>
        <v/>
      </c>
      <c r="AM36" s="111" t="str">
        <f aca="false">IF($B36="","",AL36*الموظفون!$R36/cfg_DAYS_M+S36)</f>
        <v/>
      </c>
      <c r="AN36" s="151" t="str">
        <f aca="false">IF($B36="","",SUMIFS('سجل الإجازات والحالات'!$AA$6:$AA$505,'سجل الإجازات والحالات'!$B$6:$B$505,$B36))</f>
        <v/>
      </c>
    </row>
    <row r="37" customFormat="false" ht="15" hidden="false" customHeight="false" outlineLevel="0" collapsed="false">
      <c r="A37" s="115" t="str">
        <f aca="false">IF($B37="","",الموظفون!$A37)</f>
        <v/>
      </c>
      <c r="B37" s="117" t="str">
        <f aca="false">IF(الموظفون!$B37="","",الموظفون!$B37)</f>
        <v/>
      </c>
      <c r="C37" s="117" t="str">
        <f aca="false">IF($B37="","",الموظفون!$C37)</f>
        <v/>
      </c>
      <c r="D37" s="117" t="str">
        <f aca="false">IF($B37="","",الموظفون!$F37)</f>
        <v/>
      </c>
      <c r="E37" s="117" t="str">
        <f aca="false">IF($B37="","",الموظفون!$E37)</f>
        <v/>
      </c>
      <c r="F37" s="117" t="str">
        <f aca="false">IF($B37="","",IF(AK37=0,IF(AND(الموظفون!$AE37&lt;&gt;"",الموظفون!$AE37&lt;$E$3),"✖ منتهي الخدمة","⏳ لم يباشر"),IF(S37&gt;0,"✈ راتب إجازة مقدم",IF(J37=0,"⛔ بدون راتب هذا الشهر",IF(I37&gt;0,"✈ خصم "&amp;ROUND(I37,2)&amp;" يوم بدون أجر",IF(AL37&gt;0,"🌴 إجازة سنوية "&amp;ROUND(AL37,2)&amp;" يوم",IF(H37&gt;0,"⚠ غياب "&amp;ROUND(H37,2)&amp;" يوم","✔ على رأس العمل")))))))</f>
        <v/>
      </c>
      <c r="G37" s="156" t="str">
        <f aca="false">IF($B37="","",IF(AK37&gt;=DAY($F$3),cfg_DAYS_M,MIN(AK37,cfg_DAYS_M)))</f>
        <v/>
      </c>
      <c r="H37" s="156" t="str">
        <f aca="false">IF($B37="","",SUMIFS('الحركات الشهرية'!$D$6:$D$1005,'الحركات الشهرية'!$B$6:$B$1005,$B37,'الحركات الشهرية'!$A$6:$A$1005,$C$3))</f>
        <v/>
      </c>
      <c r="I37" s="156" t="str">
        <f aca="false">IF($B37="","",MIN(G37,IF(AND(AK37&gt;0,AN37&gt;=AK37),G37,AN37)+SUMIFS('الحركات الشهرية'!$E$6:$E$1005,'الحركات الشهرية'!$B$6:$B$1005,$B37,'الحركات الشهرية'!$A$6:$A$1005,$C$3)))</f>
        <v/>
      </c>
      <c r="J37" s="156" t="str">
        <f aca="false">IF($B37="","",MAX(0,G37-H37-I37))</f>
        <v/>
      </c>
      <c r="K37" s="116" t="str">
        <f aca="false">IF($B37="","",الموظفون!$L37*$J37/cfg_DAYS_M)</f>
        <v/>
      </c>
      <c r="L37" s="116" t="str">
        <f aca="false">IF($B37="","",الموظفون!$M37*$J37/cfg_DAYS_M)</f>
        <v/>
      </c>
      <c r="M37" s="116" t="str">
        <f aca="false">IF($B37="","",الموظفون!$N37*$J37/cfg_DAYS_M)</f>
        <v/>
      </c>
      <c r="N37" s="116" t="str">
        <f aca="false">IF($B37="","",الموظفون!$O37*$J37/cfg_DAYS_M)</f>
        <v/>
      </c>
      <c r="O37" s="156" t="str">
        <f aca="false">IF($B37="","",SUMIFS('الحركات الشهرية'!$F$6:$F$1005,'الحركات الشهرية'!$B$6:$B$1005,$B37,'الحركات الشهرية'!$A$6:$A$1005,$C$3))</f>
        <v/>
      </c>
      <c r="P37" s="116" t="str">
        <f aca="false">IF($B37="","",O37*(الموظفون!$P37+الموظفون!$L37*cfg_OT_P)/cfg_DAYS_M/cfg_HRS)</f>
        <v/>
      </c>
      <c r="Q37" s="116" t="str">
        <f aca="false">IF($B37="","",SUMIFS('الحركات الشهرية'!$G$6:$G$1005,'الحركات الشهرية'!$B$6:$B$1005,$B37,'الحركات الشهرية'!$A$6:$A$1005,$C$3))</f>
        <v/>
      </c>
      <c r="R37" s="116" t="str">
        <f aca="false">IF($B37="","",SUMIFS('الحركات الشهرية'!$H$6:$H$1005,'الحركات الشهرية'!$B$6:$B$1005,$B37,'الحركات الشهرية'!$A$6:$A$1005,$C$3))</f>
        <v/>
      </c>
      <c r="S37" s="116" t="str">
        <f aca="false">IF($B37="","",SUMIFS('سجل الإجازات والحالات'!$N$6:$N$505,'سجل الإجازات والحالات'!$B$6:$B$505,$B37,'سجل الإجازات والحالات'!$O$6:$O$505,$C$3))</f>
        <v/>
      </c>
      <c r="T37" s="157" t="str">
        <f aca="false">IF($B37="","",SUM(K37:N37)+SUM(P37:S37))</f>
        <v/>
      </c>
      <c r="U37" s="116" t="str">
        <f aca="false">IF($B37="","",الموظفون!$S37*IF(E37="سعودي",cfg_G_SE,cfg_G_NE)*G37/cfg_DAYS_M)</f>
        <v/>
      </c>
      <c r="V37" s="116" t="str">
        <f aca="false">IF($B37="","",SUMIFS('الحركات الشهرية'!$I$6:$I$1005,'الحركات الشهرية'!$B$6:$B$1005,$B37,'الحركات الشهرية'!$A$6:$A$1005,$C$3))</f>
        <v/>
      </c>
      <c r="W37" s="116" t="str">
        <f aca="false">IF($B37="","",SUMIFS('الحركات الشهرية'!$J$6:$J$1005,'الحركات الشهرية'!$B$6:$B$1005,$B37,'الحركات الشهرية'!$A$6:$A$1005,$C$3))</f>
        <v/>
      </c>
      <c r="X37" s="116" t="str">
        <f aca="false">IF($B37="","",SUM(U37:W37))</f>
        <v/>
      </c>
      <c r="Y37" s="158" t="str">
        <f aca="false">IF($B37="","",T37-X37)</f>
        <v/>
      </c>
      <c r="Z37" s="116" t="str">
        <f aca="false">IF($B37="","",الموظفون!$S37*IF(E37="سعودي",cfg_G_SR,cfg_G_NR)*G37/cfg_DAYS_M)</f>
        <v/>
      </c>
      <c r="AA37" s="116" t="str">
        <f aca="false">IF($B37="","",الموظفون!$Q37*(cfg_EOS_R1*(MIN(AH37,cfg_EOS_TH)-MIN(AI37,cfg_EOS_TH))+cfg_EOS_R2*(MAX(AH37-cfg_EOS_TH,0)-MAX(AI37-cfg_EOS_TH,0))))</f>
        <v/>
      </c>
      <c r="AB37" s="116" t="str">
        <f aca="false">IF($B37="","",IF(الموظفون!$T37&lt;&gt;"",الموظفون!$T37,IF(AH37&gt;=cfg_LV_TH,cfg_LV_D2,cfg_LV_D1))/cfg_DAYS_Y*AJ37*الموظفون!$R37/cfg_DAYS_M)</f>
        <v/>
      </c>
      <c r="AC37" s="116" t="str">
        <f aca="false">IF($B37="","",IF(AND(الموظفون!$U37="نعم",N(الموظفون!$W37)&gt;0),الموظفون!$V37/الموظفون!$W37*12/cfg_DAYS_Y*AJ37,0))</f>
        <v/>
      </c>
      <c r="AD37" s="116" t="str">
        <f aca="false">IF($B37="","",(IF(الموظفون!$X37&lt;&gt;"",الموظفون!$X37,IF(الموظفون!$E37="غير سعودي",cfg_IQ,0))+IF(الموظفون!$Y37&lt;&gt;"",الموظفون!$Y37,IF(الموظفون!$E37="غير سعودي",cfg_WP,0)))/12*G37/cfg_DAYS_M)</f>
        <v/>
      </c>
      <c r="AE37" s="116" t="str">
        <f aca="false">IF($B37="","",IF(الموظفون!$Z37&lt;&gt;"",الموظفون!$Z37,cfg_MED)/12*G37/cfg_DAYS_M)</f>
        <v/>
      </c>
      <c r="AF37" s="116" t="str">
        <f aca="false">IF($B37="","",N(الموظفون!$AA37)/12*G37/cfg_DAYS_M)</f>
        <v/>
      </c>
      <c r="AG37" s="159" t="str">
        <f aca="false">IF($B37="","",T37+SUM(Z37:AF37))</f>
        <v/>
      </c>
      <c r="AH37" s="160" t="str">
        <f aca="false">IF($B37="","",MAX(0,IF(OR(الموظفون!$AE37="",الموظفون!$AE37&gt;$F$3),$F$3,الموظفون!$AE37)-الموظفون!$H37+1-SUMIFS('سجل الإجازات والحالات'!$AM$6:$AM$505,'سجل الإجازات والحالات'!$B$6:$B$505,$B37))/cfg_DAYS_Y)</f>
        <v/>
      </c>
      <c r="AI37" s="160" t="str">
        <f aca="false">IF($B37="","",MAX(0,IF(OR(الموظفون!$AE37="",الموظفون!$AE37&gt;($E$3-1)),($E$3-1),الموظفون!$AE37)-الموظفون!$H37+1-SUMIFS('سجل الإجازات والحالات'!$AL$6:$AL$505,'سجل الإجازات والحالات'!$B$6:$B$505,$B37))/cfg_DAYS_Y)</f>
        <v/>
      </c>
      <c r="AJ37" s="133" t="str">
        <f aca="false">IF($B37="","",MAX(0,AK37-(SUMIFS('سجل الإجازات والحالات'!$AM$6:$AM$505,'سجل الإجازات والحالات'!$B$6:$B$505,$B37)-SUMIFS('سجل الإجازات والحالات'!$AL$6:$AL$505,'سجل الإجازات والحالات'!$B$6:$B$505,$B37))))</f>
        <v/>
      </c>
      <c r="AK37" s="133" t="str">
        <f aca="false">IF($B37="","",MAX(0,IF(OR(الموظفون!$AE37="",الموظفون!$AE37&gt;$F$3),$F$3,الموظفون!$AE37)-MAX($E$3,الموظفون!$H37)+1))</f>
        <v/>
      </c>
      <c r="AL37" s="156" t="str">
        <f aca="false">IF($B37="","",SUMIFS('سجل الإجازات والحالات'!$AY$6:$AY$505,'سجل الإجازات والحالات'!$B$6:$B$505,$B37)+SUMIFS('الحركات الشهرية'!$K$6:$K$1005,'الحركات الشهرية'!$B$6:$B$1005,$B37,'الحركات الشهرية'!$A$6:$A$1005,$C$3))</f>
        <v/>
      </c>
      <c r="AM37" s="116" t="str">
        <f aca="false">IF($B37="","",AL37*الموظفون!$R37/cfg_DAYS_M+S37)</f>
        <v/>
      </c>
      <c r="AN37" s="156" t="str">
        <f aca="false">IF($B37="","",SUMIFS('سجل الإجازات والحالات'!$AA$6:$AA$505,'سجل الإجازات والحالات'!$B$6:$B$505,$B37))</f>
        <v/>
      </c>
    </row>
    <row r="38" customFormat="false" ht="15" hidden="false" customHeight="false" outlineLevel="0" collapsed="false">
      <c r="A38" s="106" t="str">
        <f aca="false">IF($B38="","",الموظفون!$A38)</f>
        <v/>
      </c>
      <c r="B38" s="114" t="str">
        <f aca="false">IF(الموظفون!$B38="","",الموظفون!$B38)</f>
        <v/>
      </c>
      <c r="C38" s="114" t="str">
        <f aca="false">IF($B38="","",الموظفون!$C38)</f>
        <v/>
      </c>
      <c r="D38" s="114" t="str">
        <f aca="false">IF($B38="","",الموظفون!$F38)</f>
        <v/>
      </c>
      <c r="E38" s="114" t="str">
        <f aca="false">IF($B38="","",الموظفون!$E38)</f>
        <v/>
      </c>
      <c r="F38" s="114" t="str">
        <f aca="false">IF($B38="","",IF(AK38=0,IF(AND(الموظفون!$AE38&lt;&gt;"",الموظفون!$AE38&lt;$E$3),"✖ منتهي الخدمة","⏳ لم يباشر"),IF(S38&gt;0,"✈ راتب إجازة مقدم",IF(J38=0,"⛔ بدون راتب هذا الشهر",IF(I38&gt;0,"✈ خصم "&amp;ROUND(I38,2)&amp;" يوم بدون أجر",IF(AL38&gt;0,"🌴 إجازة سنوية "&amp;ROUND(AL38,2)&amp;" يوم",IF(H38&gt;0,"⚠ غياب "&amp;ROUND(H38,2)&amp;" يوم","✔ على رأس العمل")))))))</f>
        <v/>
      </c>
      <c r="G38" s="151" t="str">
        <f aca="false">IF($B38="","",IF(AK38&gt;=DAY($F$3),cfg_DAYS_M,MIN(AK38,cfg_DAYS_M)))</f>
        <v/>
      </c>
      <c r="H38" s="151" t="str">
        <f aca="false">IF($B38="","",SUMIFS('الحركات الشهرية'!$D$6:$D$1005,'الحركات الشهرية'!$B$6:$B$1005,$B38,'الحركات الشهرية'!$A$6:$A$1005,$C$3))</f>
        <v/>
      </c>
      <c r="I38" s="151" t="str">
        <f aca="false">IF($B38="","",MIN(G38,IF(AND(AK38&gt;0,AN38&gt;=AK38),G38,AN38)+SUMIFS('الحركات الشهرية'!$E$6:$E$1005,'الحركات الشهرية'!$B$6:$B$1005,$B38,'الحركات الشهرية'!$A$6:$A$1005,$C$3)))</f>
        <v/>
      </c>
      <c r="J38" s="151" t="str">
        <f aca="false">IF($B38="","",MAX(0,G38-H38-I38))</f>
        <v/>
      </c>
      <c r="K38" s="111" t="str">
        <f aca="false">IF($B38="","",الموظفون!$L38*$J38/cfg_DAYS_M)</f>
        <v/>
      </c>
      <c r="L38" s="111" t="str">
        <f aca="false">IF($B38="","",الموظفون!$M38*$J38/cfg_DAYS_M)</f>
        <v/>
      </c>
      <c r="M38" s="111" t="str">
        <f aca="false">IF($B38="","",الموظفون!$N38*$J38/cfg_DAYS_M)</f>
        <v/>
      </c>
      <c r="N38" s="111" t="str">
        <f aca="false">IF($B38="","",الموظفون!$O38*$J38/cfg_DAYS_M)</f>
        <v/>
      </c>
      <c r="O38" s="151" t="str">
        <f aca="false">IF($B38="","",SUMIFS('الحركات الشهرية'!$F$6:$F$1005,'الحركات الشهرية'!$B$6:$B$1005,$B38,'الحركات الشهرية'!$A$6:$A$1005,$C$3))</f>
        <v/>
      </c>
      <c r="P38" s="111" t="str">
        <f aca="false">IF($B38="","",O38*(الموظفون!$P38+الموظفون!$L38*cfg_OT_P)/cfg_DAYS_M/cfg_HRS)</f>
        <v/>
      </c>
      <c r="Q38" s="111" t="str">
        <f aca="false">IF($B38="","",SUMIFS('الحركات الشهرية'!$G$6:$G$1005,'الحركات الشهرية'!$B$6:$B$1005,$B38,'الحركات الشهرية'!$A$6:$A$1005,$C$3))</f>
        <v/>
      </c>
      <c r="R38" s="111" t="str">
        <f aca="false">IF($B38="","",SUMIFS('الحركات الشهرية'!$H$6:$H$1005,'الحركات الشهرية'!$B$6:$B$1005,$B38,'الحركات الشهرية'!$A$6:$A$1005,$C$3))</f>
        <v/>
      </c>
      <c r="S38" s="111" t="str">
        <f aca="false">IF($B38="","",SUMIFS('سجل الإجازات والحالات'!$N$6:$N$505,'سجل الإجازات والحالات'!$B$6:$B$505,$B38,'سجل الإجازات والحالات'!$O$6:$O$505,$C$3))</f>
        <v/>
      </c>
      <c r="T38" s="152" t="str">
        <f aca="false">IF($B38="","",SUM(K38:N38)+SUM(P38:S38))</f>
        <v/>
      </c>
      <c r="U38" s="111" t="str">
        <f aca="false">IF($B38="","",الموظفون!$S38*IF(E38="سعودي",cfg_G_SE,cfg_G_NE)*G38/cfg_DAYS_M)</f>
        <v/>
      </c>
      <c r="V38" s="111" t="str">
        <f aca="false">IF($B38="","",SUMIFS('الحركات الشهرية'!$I$6:$I$1005,'الحركات الشهرية'!$B$6:$B$1005,$B38,'الحركات الشهرية'!$A$6:$A$1005,$C$3))</f>
        <v/>
      </c>
      <c r="W38" s="111" t="str">
        <f aca="false">IF($B38="","",SUMIFS('الحركات الشهرية'!$J$6:$J$1005,'الحركات الشهرية'!$B$6:$B$1005,$B38,'الحركات الشهرية'!$A$6:$A$1005,$C$3))</f>
        <v/>
      </c>
      <c r="X38" s="111" t="str">
        <f aca="false">IF($B38="","",SUM(U38:W38))</f>
        <v/>
      </c>
      <c r="Y38" s="153" t="str">
        <f aca="false">IF($B38="","",T38-X38)</f>
        <v/>
      </c>
      <c r="Z38" s="111" t="str">
        <f aca="false">IF($B38="","",الموظفون!$S38*IF(E38="سعودي",cfg_G_SR,cfg_G_NR)*G38/cfg_DAYS_M)</f>
        <v/>
      </c>
      <c r="AA38" s="111" t="str">
        <f aca="false">IF($B38="","",الموظفون!$Q38*(cfg_EOS_R1*(MIN(AH38,cfg_EOS_TH)-MIN(AI38,cfg_EOS_TH))+cfg_EOS_R2*(MAX(AH38-cfg_EOS_TH,0)-MAX(AI38-cfg_EOS_TH,0))))</f>
        <v/>
      </c>
      <c r="AB38" s="111" t="str">
        <f aca="false">IF($B38="","",IF(الموظفون!$T38&lt;&gt;"",الموظفون!$T38,IF(AH38&gt;=cfg_LV_TH,cfg_LV_D2,cfg_LV_D1))/cfg_DAYS_Y*AJ38*الموظفون!$R38/cfg_DAYS_M)</f>
        <v/>
      </c>
      <c r="AC38" s="111" t="str">
        <f aca="false">IF($B38="","",IF(AND(الموظفون!$U38="نعم",N(الموظفون!$W38)&gt;0),الموظفون!$V38/الموظفون!$W38*12/cfg_DAYS_Y*AJ38,0))</f>
        <v/>
      </c>
      <c r="AD38" s="111" t="str">
        <f aca="false">IF($B38="","",(IF(الموظفون!$X38&lt;&gt;"",الموظفون!$X38,IF(الموظفون!$E38="غير سعودي",cfg_IQ,0))+IF(الموظفون!$Y38&lt;&gt;"",الموظفون!$Y38,IF(الموظفون!$E38="غير سعودي",cfg_WP,0)))/12*G38/cfg_DAYS_M)</f>
        <v/>
      </c>
      <c r="AE38" s="111" t="str">
        <f aca="false">IF($B38="","",IF(الموظفون!$Z38&lt;&gt;"",الموظفون!$Z38,cfg_MED)/12*G38/cfg_DAYS_M)</f>
        <v/>
      </c>
      <c r="AF38" s="111" t="str">
        <f aca="false">IF($B38="","",N(الموظفون!$AA38)/12*G38/cfg_DAYS_M)</f>
        <v/>
      </c>
      <c r="AG38" s="154" t="str">
        <f aca="false">IF($B38="","",T38+SUM(Z38:AF38))</f>
        <v/>
      </c>
      <c r="AH38" s="155" t="str">
        <f aca="false">IF($B38="","",MAX(0,IF(OR(الموظفون!$AE38="",الموظفون!$AE38&gt;$F$3),$F$3,الموظفون!$AE38)-الموظفون!$H38+1-SUMIFS('سجل الإجازات والحالات'!$AM$6:$AM$505,'سجل الإجازات والحالات'!$B$6:$B$505,$B38))/cfg_DAYS_Y)</f>
        <v/>
      </c>
      <c r="AI38" s="155" t="str">
        <f aca="false">IF($B38="","",MAX(0,IF(OR(الموظفون!$AE38="",الموظفون!$AE38&gt;($E$3-1)),($E$3-1),الموظفون!$AE38)-الموظفون!$H38+1-SUMIFS('سجل الإجازات والحالات'!$AL$6:$AL$505,'سجل الإجازات والحالات'!$B$6:$B$505,$B38))/cfg_DAYS_Y)</f>
        <v/>
      </c>
      <c r="AJ38" s="65" t="str">
        <f aca="false">IF($B38="","",MAX(0,AK38-(SUMIFS('سجل الإجازات والحالات'!$AM$6:$AM$505,'سجل الإجازات والحالات'!$B$6:$B$505,$B38)-SUMIFS('سجل الإجازات والحالات'!$AL$6:$AL$505,'سجل الإجازات والحالات'!$B$6:$B$505,$B38))))</f>
        <v/>
      </c>
      <c r="AK38" s="65" t="str">
        <f aca="false">IF($B38="","",MAX(0,IF(OR(الموظفون!$AE38="",الموظفون!$AE38&gt;$F$3),$F$3,الموظفون!$AE38)-MAX($E$3,الموظفون!$H38)+1))</f>
        <v/>
      </c>
      <c r="AL38" s="151" t="str">
        <f aca="false">IF($B38="","",SUMIFS('سجل الإجازات والحالات'!$AY$6:$AY$505,'سجل الإجازات والحالات'!$B$6:$B$505,$B38)+SUMIFS('الحركات الشهرية'!$K$6:$K$1005,'الحركات الشهرية'!$B$6:$B$1005,$B38,'الحركات الشهرية'!$A$6:$A$1005,$C$3))</f>
        <v/>
      </c>
      <c r="AM38" s="111" t="str">
        <f aca="false">IF($B38="","",AL38*الموظفون!$R38/cfg_DAYS_M+S38)</f>
        <v/>
      </c>
      <c r="AN38" s="151" t="str">
        <f aca="false">IF($B38="","",SUMIFS('سجل الإجازات والحالات'!$AA$6:$AA$505,'سجل الإجازات والحالات'!$B$6:$B$505,$B38))</f>
        <v/>
      </c>
    </row>
    <row r="39" customFormat="false" ht="15" hidden="false" customHeight="false" outlineLevel="0" collapsed="false">
      <c r="A39" s="115" t="str">
        <f aca="false">IF($B39="","",الموظفون!$A39)</f>
        <v/>
      </c>
      <c r="B39" s="117" t="str">
        <f aca="false">IF(الموظفون!$B39="","",الموظفون!$B39)</f>
        <v/>
      </c>
      <c r="C39" s="117" t="str">
        <f aca="false">IF($B39="","",الموظفون!$C39)</f>
        <v/>
      </c>
      <c r="D39" s="117" t="str">
        <f aca="false">IF($B39="","",الموظفون!$F39)</f>
        <v/>
      </c>
      <c r="E39" s="117" t="str">
        <f aca="false">IF($B39="","",الموظفون!$E39)</f>
        <v/>
      </c>
      <c r="F39" s="117" t="str">
        <f aca="false">IF($B39="","",IF(AK39=0,IF(AND(الموظفون!$AE39&lt;&gt;"",الموظفون!$AE39&lt;$E$3),"✖ منتهي الخدمة","⏳ لم يباشر"),IF(S39&gt;0,"✈ راتب إجازة مقدم",IF(J39=0,"⛔ بدون راتب هذا الشهر",IF(I39&gt;0,"✈ خصم "&amp;ROUND(I39,2)&amp;" يوم بدون أجر",IF(AL39&gt;0,"🌴 إجازة سنوية "&amp;ROUND(AL39,2)&amp;" يوم",IF(H39&gt;0,"⚠ غياب "&amp;ROUND(H39,2)&amp;" يوم","✔ على رأس العمل")))))))</f>
        <v/>
      </c>
      <c r="G39" s="156" t="str">
        <f aca="false">IF($B39="","",IF(AK39&gt;=DAY($F$3),cfg_DAYS_M,MIN(AK39,cfg_DAYS_M)))</f>
        <v/>
      </c>
      <c r="H39" s="156" t="str">
        <f aca="false">IF($B39="","",SUMIFS('الحركات الشهرية'!$D$6:$D$1005,'الحركات الشهرية'!$B$6:$B$1005,$B39,'الحركات الشهرية'!$A$6:$A$1005,$C$3))</f>
        <v/>
      </c>
      <c r="I39" s="156" t="str">
        <f aca="false">IF($B39="","",MIN(G39,IF(AND(AK39&gt;0,AN39&gt;=AK39),G39,AN39)+SUMIFS('الحركات الشهرية'!$E$6:$E$1005,'الحركات الشهرية'!$B$6:$B$1005,$B39,'الحركات الشهرية'!$A$6:$A$1005,$C$3)))</f>
        <v/>
      </c>
      <c r="J39" s="156" t="str">
        <f aca="false">IF($B39="","",MAX(0,G39-H39-I39))</f>
        <v/>
      </c>
      <c r="K39" s="116" t="str">
        <f aca="false">IF($B39="","",الموظفون!$L39*$J39/cfg_DAYS_M)</f>
        <v/>
      </c>
      <c r="L39" s="116" t="str">
        <f aca="false">IF($B39="","",الموظفون!$M39*$J39/cfg_DAYS_M)</f>
        <v/>
      </c>
      <c r="M39" s="116" t="str">
        <f aca="false">IF($B39="","",الموظفون!$N39*$J39/cfg_DAYS_M)</f>
        <v/>
      </c>
      <c r="N39" s="116" t="str">
        <f aca="false">IF($B39="","",الموظفون!$O39*$J39/cfg_DAYS_M)</f>
        <v/>
      </c>
      <c r="O39" s="156" t="str">
        <f aca="false">IF($B39="","",SUMIFS('الحركات الشهرية'!$F$6:$F$1005,'الحركات الشهرية'!$B$6:$B$1005,$B39,'الحركات الشهرية'!$A$6:$A$1005,$C$3))</f>
        <v/>
      </c>
      <c r="P39" s="116" t="str">
        <f aca="false">IF($B39="","",O39*(الموظفون!$P39+الموظفون!$L39*cfg_OT_P)/cfg_DAYS_M/cfg_HRS)</f>
        <v/>
      </c>
      <c r="Q39" s="116" t="str">
        <f aca="false">IF($B39="","",SUMIFS('الحركات الشهرية'!$G$6:$G$1005,'الحركات الشهرية'!$B$6:$B$1005,$B39,'الحركات الشهرية'!$A$6:$A$1005,$C$3))</f>
        <v/>
      </c>
      <c r="R39" s="116" t="str">
        <f aca="false">IF($B39="","",SUMIFS('الحركات الشهرية'!$H$6:$H$1005,'الحركات الشهرية'!$B$6:$B$1005,$B39,'الحركات الشهرية'!$A$6:$A$1005,$C$3))</f>
        <v/>
      </c>
      <c r="S39" s="116" t="str">
        <f aca="false">IF($B39="","",SUMIFS('سجل الإجازات والحالات'!$N$6:$N$505,'سجل الإجازات والحالات'!$B$6:$B$505,$B39,'سجل الإجازات والحالات'!$O$6:$O$505,$C$3))</f>
        <v/>
      </c>
      <c r="T39" s="157" t="str">
        <f aca="false">IF($B39="","",SUM(K39:N39)+SUM(P39:S39))</f>
        <v/>
      </c>
      <c r="U39" s="116" t="str">
        <f aca="false">IF($B39="","",الموظفون!$S39*IF(E39="سعودي",cfg_G_SE,cfg_G_NE)*G39/cfg_DAYS_M)</f>
        <v/>
      </c>
      <c r="V39" s="116" t="str">
        <f aca="false">IF($B39="","",SUMIFS('الحركات الشهرية'!$I$6:$I$1005,'الحركات الشهرية'!$B$6:$B$1005,$B39,'الحركات الشهرية'!$A$6:$A$1005,$C$3))</f>
        <v/>
      </c>
      <c r="W39" s="116" t="str">
        <f aca="false">IF($B39="","",SUMIFS('الحركات الشهرية'!$J$6:$J$1005,'الحركات الشهرية'!$B$6:$B$1005,$B39,'الحركات الشهرية'!$A$6:$A$1005,$C$3))</f>
        <v/>
      </c>
      <c r="X39" s="116" t="str">
        <f aca="false">IF($B39="","",SUM(U39:W39))</f>
        <v/>
      </c>
      <c r="Y39" s="158" t="str">
        <f aca="false">IF($B39="","",T39-X39)</f>
        <v/>
      </c>
      <c r="Z39" s="116" t="str">
        <f aca="false">IF($B39="","",الموظفون!$S39*IF(E39="سعودي",cfg_G_SR,cfg_G_NR)*G39/cfg_DAYS_M)</f>
        <v/>
      </c>
      <c r="AA39" s="116" t="str">
        <f aca="false">IF($B39="","",الموظفون!$Q39*(cfg_EOS_R1*(MIN(AH39,cfg_EOS_TH)-MIN(AI39,cfg_EOS_TH))+cfg_EOS_R2*(MAX(AH39-cfg_EOS_TH,0)-MAX(AI39-cfg_EOS_TH,0))))</f>
        <v/>
      </c>
      <c r="AB39" s="116" t="str">
        <f aca="false">IF($B39="","",IF(الموظفون!$T39&lt;&gt;"",الموظفون!$T39,IF(AH39&gt;=cfg_LV_TH,cfg_LV_D2,cfg_LV_D1))/cfg_DAYS_Y*AJ39*الموظفون!$R39/cfg_DAYS_M)</f>
        <v/>
      </c>
      <c r="AC39" s="116" t="str">
        <f aca="false">IF($B39="","",IF(AND(الموظفون!$U39="نعم",N(الموظفون!$W39)&gt;0),الموظفون!$V39/الموظفون!$W39*12/cfg_DAYS_Y*AJ39,0))</f>
        <v/>
      </c>
      <c r="AD39" s="116" t="str">
        <f aca="false">IF($B39="","",(IF(الموظفون!$X39&lt;&gt;"",الموظفون!$X39,IF(الموظفون!$E39="غير سعودي",cfg_IQ,0))+IF(الموظفون!$Y39&lt;&gt;"",الموظفون!$Y39,IF(الموظفون!$E39="غير سعودي",cfg_WP,0)))/12*G39/cfg_DAYS_M)</f>
        <v/>
      </c>
      <c r="AE39" s="116" t="str">
        <f aca="false">IF($B39="","",IF(الموظفون!$Z39&lt;&gt;"",الموظفون!$Z39,cfg_MED)/12*G39/cfg_DAYS_M)</f>
        <v/>
      </c>
      <c r="AF39" s="116" t="str">
        <f aca="false">IF($B39="","",N(الموظفون!$AA39)/12*G39/cfg_DAYS_M)</f>
        <v/>
      </c>
      <c r="AG39" s="159" t="str">
        <f aca="false">IF($B39="","",T39+SUM(Z39:AF39))</f>
        <v/>
      </c>
      <c r="AH39" s="160" t="str">
        <f aca="false">IF($B39="","",MAX(0,IF(OR(الموظفون!$AE39="",الموظفون!$AE39&gt;$F$3),$F$3,الموظفون!$AE39)-الموظفون!$H39+1-SUMIFS('سجل الإجازات والحالات'!$AM$6:$AM$505,'سجل الإجازات والحالات'!$B$6:$B$505,$B39))/cfg_DAYS_Y)</f>
        <v/>
      </c>
      <c r="AI39" s="160" t="str">
        <f aca="false">IF($B39="","",MAX(0,IF(OR(الموظفون!$AE39="",الموظفون!$AE39&gt;($E$3-1)),($E$3-1),الموظفون!$AE39)-الموظفون!$H39+1-SUMIFS('سجل الإجازات والحالات'!$AL$6:$AL$505,'سجل الإجازات والحالات'!$B$6:$B$505,$B39))/cfg_DAYS_Y)</f>
        <v/>
      </c>
      <c r="AJ39" s="133" t="str">
        <f aca="false">IF($B39="","",MAX(0,AK39-(SUMIFS('سجل الإجازات والحالات'!$AM$6:$AM$505,'سجل الإجازات والحالات'!$B$6:$B$505,$B39)-SUMIFS('سجل الإجازات والحالات'!$AL$6:$AL$505,'سجل الإجازات والحالات'!$B$6:$B$505,$B39))))</f>
        <v/>
      </c>
      <c r="AK39" s="133" t="str">
        <f aca="false">IF($B39="","",MAX(0,IF(OR(الموظفون!$AE39="",الموظفون!$AE39&gt;$F$3),$F$3,الموظفون!$AE39)-MAX($E$3,الموظفون!$H39)+1))</f>
        <v/>
      </c>
      <c r="AL39" s="156" t="str">
        <f aca="false">IF($B39="","",SUMIFS('سجل الإجازات والحالات'!$AY$6:$AY$505,'سجل الإجازات والحالات'!$B$6:$B$505,$B39)+SUMIFS('الحركات الشهرية'!$K$6:$K$1005,'الحركات الشهرية'!$B$6:$B$1005,$B39,'الحركات الشهرية'!$A$6:$A$1005,$C$3))</f>
        <v/>
      </c>
      <c r="AM39" s="116" t="str">
        <f aca="false">IF($B39="","",AL39*الموظفون!$R39/cfg_DAYS_M+S39)</f>
        <v/>
      </c>
      <c r="AN39" s="156" t="str">
        <f aca="false">IF($B39="","",SUMIFS('سجل الإجازات والحالات'!$AA$6:$AA$505,'سجل الإجازات والحالات'!$B$6:$B$505,$B39))</f>
        <v/>
      </c>
    </row>
    <row r="40" customFormat="false" ht="15" hidden="false" customHeight="false" outlineLevel="0" collapsed="false">
      <c r="A40" s="106" t="str">
        <f aca="false">IF($B40="","",الموظفون!$A40)</f>
        <v/>
      </c>
      <c r="B40" s="114" t="str">
        <f aca="false">IF(الموظفون!$B40="","",الموظفون!$B40)</f>
        <v/>
      </c>
      <c r="C40" s="114" t="str">
        <f aca="false">IF($B40="","",الموظفون!$C40)</f>
        <v/>
      </c>
      <c r="D40" s="114" t="str">
        <f aca="false">IF($B40="","",الموظفون!$F40)</f>
        <v/>
      </c>
      <c r="E40" s="114" t="str">
        <f aca="false">IF($B40="","",الموظفون!$E40)</f>
        <v/>
      </c>
      <c r="F40" s="114" t="str">
        <f aca="false">IF($B40="","",IF(AK40=0,IF(AND(الموظفون!$AE40&lt;&gt;"",الموظفون!$AE40&lt;$E$3),"✖ منتهي الخدمة","⏳ لم يباشر"),IF(S40&gt;0,"✈ راتب إجازة مقدم",IF(J40=0,"⛔ بدون راتب هذا الشهر",IF(I40&gt;0,"✈ خصم "&amp;ROUND(I40,2)&amp;" يوم بدون أجر",IF(AL40&gt;0,"🌴 إجازة سنوية "&amp;ROUND(AL40,2)&amp;" يوم",IF(H40&gt;0,"⚠ غياب "&amp;ROUND(H40,2)&amp;" يوم","✔ على رأس العمل")))))))</f>
        <v/>
      </c>
      <c r="G40" s="151" t="str">
        <f aca="false">IF($B40="","",IF(AK40&gt;=DAY($F$3),cfg_DAYS_M,MIN(AK40,cfg_DAYS_M)))</f>
        <v/>
      </c>
      <c r="H40" s="151" t="str">
        <f aca="false">IF($B40="","",SUMIFS('الحركات الشهرية'!$D$6:$D$1005,'الحركات الشهرية'!$B$6:$B$1005,$B40,'الحركات الشهرية'!$A$6:$A$1005,$C$3))</f>
        <v/>
      </c>
      <c r="I40" s="151" t="str">
        <f aca="false">IF($B40="","",MIN(G40,IF(AND(AK40&gt;0,AN40&gt;=AK40),G40,AN40)+SUMIFS('الحركات الشهرية'!$E$6:$E$1005,'الحركات الشهرية'!$B$6:$B$1005,$B40,'الحركات الشهرية'!$A$6:$A$1005,$C$3)))</f>
        <v/>
      </c>
      <c r="J40" s="151" t="str">
        <f aca="false">IF($B40="","",MAX(0,G40-H40-I40))</f>
        <v/>
      </c>
      <c r="K40" s="111" t="str">
        <f aca="false">IF($B40="","",الموظفون!$L40*$J40/cfg_DAYS_M)</f>
        <v/>
      </c>
      <c r="L40" s="111" t="str">
        <f aca="false">IF($B40="","",الموظفون!$M40*$J40/cfg_DAYS_M)</f>
        <v/>
      </c>
      <c r="M40" s="111" t="str">
        <f aca="false">IF($B40="","",الموظفون!$N40*$J40/cfg_DAYS_M)</f>
        <v/>
      </c>
      <c r="N40" s="111" t="str">
        <f aca="false">IF($B40="","",الموظفون!$O40*$J40/cfg_DAYS_M)</f>
        <v/>
      </c>
      <c r="O40" s="151" t="str">
        <f aca="false">IF($B40="","",SUMIFS('الحركات الشهرية'!$F$6:$F$1005,'الحركات الشهرية'!$B$6:$B$1005,$B40,'الحركات الشهرية'!$A$6:$A$1005,$C$3))</f>
        <v/>
      </c>
      <c r="P40" s="111" t="str">
        <f aca="false">IF($B40="","",O40*(الموظفون!$P40+الموظفون!$L40*cfg_OT_P)/cfg_DAYS_M/cfg_HRS)</f>
        <v/>
      </c>
      <c r="Q40" s="111" t="str">
        <f aca="false">IF($B40="","",SUMIFS('الحركات الشهرية'!$G$6:$G$1005,'الحركات الشهرية'!$B$6:$B$1005,$B40,'الحركات الشهرية'!$A$6:$A$1005,$C$3))</f>
        <v/>
      </c>
      <c r="R40" s="111" t="str">
        <f aca="false">IF($B40="","",SUMIFS('الحركات الشهرية'!$H$6:$H$1005,'الحركات الشهرية'!$B$6:$B$1005,$B40,'الحركات الشهرية'!$A$6:$A$1005,$C$3))</f>
        <v/>
      </c>
      <c r="S40" s="111" t="str">
        <f aca="false">IF($B40="","",SUMIFS('سجل الإجازات والحالات'!$N$6:$N$505,'سجل الإجازات والحالات'!$B$6:$B$505,$B40,'سجل الإجازات والحالات'!$O$6:$O$505,$C$3))</f>
        <v/>
      </c>
      <c r="T40" s="152" t="str">
        <f aca="false">IF($B40="","",SUM(K40:N40)+SUM(P40:S40))</f>
        <v/>
      </c>
      <c r="U40" s="111" t="str">
        <f aca="false">IF($B40="","",الموظفون!$S40*IF(E40="سعودي",cfg_G_SE,cfg_G_NE)*G40/cfg_DAYS_M)</f>
        <v/>
      </c>
      <c r="V40" s="111" t="str">
        <f aca="false">IF($B40="","",SUMIFS('الحركات الشهرية'!$I$6:$I$1005,'الحركات الشهرية'!$B$6:$B$1005,$B40,'الحركات الشهرية'!$A$6:$A$1005,$C$3))</f>
        <v/>
      </c>
      <c r="W40" s="111" t="str">
        <f aca="false">IF($B40="","",SUMIFS('الحركات الشهرية'!$J$6:$J$1005,'الحركات الشهرية'!$B$6:$B$1005,$B40,'الحركات الشهرية'!$A$6:$A$1005,$C$3))</f>
        <v/>
      </c>
      <c r="X40" s="111" t="str">
        <f aca="false">IF($B40="","",SUM(U40:W40))</f>
        <v/>
      </c>
      <c r="Y40" s="153" t="str">
        <f aca="false">IF($B40="","",T40-X40)</f>
        <v/>
      </c>
      <c r="Z40" s="111" t="str">
        <f aca="false">IF($B40="","",الموظفون!$S40*IF(E40="سعودي",cfg_G_SR,cfg_G_NR)*G40/cfg_DAYS_M)</f>
        <v/>
      </c>
      <c r="AA40" s="111" t="str">
        <f aca="false">IF($B40="","",الموظفون!$Q40*(cfg_EOS_R1*(MIN(AH40,cfg_EOS_TH)-MIN(AI40,cfg_EOS_TH))+cfg_EOS_R2*(MAX(AH40-cfg_EOS_TH,0)-MAX(AI40-cfg_EOS_TH,0))))</f>
        <v/>
      </c>
      <c r="AB40" s="111" t="str">
        <f aca="false">IF($B40="","",IF(الموظفون!$T40&lt;&gt;"",الموظفون!$T40,IF(AH40&gt;=cfg_LV_TH,cfg_LV_D2,cfg_LV_D1))/cfg_DAYS_Y*AJ40*الموظفون!$R40/cfg_DAYS_M)</f>
        <v/>
      </c>
      <c r="AC40" s="111" t="str">
        <f aca="false">IF($B40="","",IF(AND(الموظفون!$U40="نعم",N(الموظفون!$W40)&gt;0),الموظفون!$V40/الموظفون!$W40*12/cfg_DAYS_Y*AJ40,0))</f>
        <v/>
      </c>
      <c r="AD40" s="111" t="str">
        <f aca="false">IF($B40="","",(IF(الموظفون!$X40&lt;&gt;"",الموظفون!$X40,IF(الموظفون!$E40="غير سعودي",cfg_IQ,0))+IF(الموظفون!$Y40&lt;&gt;"",الموظفون!$Y40,IF(الموظفون!$E40="غير سعودي",cfg_WP,0)))/12*G40/cfg_DAYS_M)</f>
        <v/>
      </c>
      <c r="AE40" s="111" t="str">
        <f aca="false">IF($B40="","",IF(الموظفون!$Z40&lt;&gt;"",الموظفون!$Z40,cfg_MED)/12*G40/cfg_DAYS_M)</f>
        <v/>
      </c>
      <c r="AF40" s="111" t="str">
        <f aca="false">IF($B40="","",N(الموظفون!$AA40)/12*G40/cfg_DAYS_M)</f>
        <v/>
      </c>
      <c r="AG40" s="154" t="str">
        <f aca="false">IF($B40="","",T40+SUM(Z40:AF40))</f>
        <v/>
      </c>
      <c r="AH40" s="155" t="str">
        <f aca="false">IF($B40="","",MAX(0,IF(OR(الموظفون!$AE40="",الموظفون!$AE40&gt;$F$3),$F$3,الموظفون!$AE40)-الموظفون!$H40+1-SUMIFS('سجل الإجازات والحالات'!$AM$6:$AM$505,'سجل الإجازات والحالات'!$B$6:$B$505,$B40))/cfg_DAYS_Y)</f>
        <v/>
      </c>
      <c r="AI40" s="155" t="str">
        <f aca="false">IF($B40="","",MAX(0,IF(OR(الموظفون!$AE40="",الموظفون!$AE40&gt;($E$3-1)),($E$3-1),الموظفون!$AE40)-الموظفون!$H40+1-SUMIFS('سجل الإجازات والحالات'!$AL$6:$AL$505,'سجل الإجازات والحالات'!$B$6:$B$505,$B40))/cfg_DAYS_Y)</f>
        <v/>
      </c>
      <c r="AJ40" s="65" t="str">
        <f aca="false">IF($B40="","",MAX(0,AK40-(SUMIFS('سجل الإجازات والحالات'!$AM$6:$AM$505,'سجل الإجازات والحالات'!$B$6:$B$505,$B40)-SUMIFS('سجل الإجازات والحالات'!$AL$6:$AL$505,'سجل الإجازات والحالات'!$B$6:$B$505,$B40))))</f>
        <v/>
      </c>
      <c r="AK40" s="65" t="str">
        <f aca="false">IF($B40="","",MAX(0,IF(OR(الموظفون!$AE40="",الموظفون!$AE40&gt;$F$3),$F$3,الموظفون!$AE40)-MAX($E$3,الموظفون!$H40)+1))</f>
        <v/>
      </c>
      <c r="AL40" s="151" t="str">
        <f aca="false">IF($B40="","",SUMIFS('سجل الإجازات والحالات'!$AY$6:$AY$505,'سجل الإجازات والحالات'!$B$6:$B$505,$B40)+SUMIFS('الحركات الشهرية'!$K$6:$K$1005,'الحركات الشهرية'!$B$6:$B$1005,$B40,'الحركات الشهرية'!$A$6:$A$1005,$C$3))</f>
        <v/>
      </c>
      <c r="AM40" s="111" t="str">
        <f aca="false">IF($B40="","",AL40*الموظفون!$R40/cfg_DAYS_M+S40)</f>
        <v/>
      </c>
      <c r="AN40" s="151" t="str">
        <f aca="false">IF($B40="","",SUMIFS('سجل الإجازات والحالات'!$AA$6:$AA$505,'سجل الإجازات والحالات'!$B$6:$B$505,$B40))</f>
        <v/>
      </c>
    </row>
    <row r="41" customFormat="false" ht="15" hidden="false" customHeight="false" outlineLevel="0" collapsed="false">
      <c r="A41" s="115" t="str">
        <f aca="false">IF($B41="","",الموظفون!$A41)</f>
        <v/>
      </c>
      <c r="B41" s="117" t="str">
        <f aca="false">IF(الموظفون!$B41="","",الموظفون!$B41)</f>
        <v/>
      </c>
      <c r="C41" s="117" t="str">
        <f aca="false">IF($B41="","",الموظفون!$C41)</f>
        <v/>
      </c>
      <c r="D41" s="117" t="str">
        <f aca="false">IF($B41="","",الموظفون!$F41)</f>
        <v/>
      </c>
      <c r="E41" s="117" t="str">
        <f aca="false">IF($B41="","",الموظفون!$E41)</f>
        <v/>
      </c>
      <c r="F41" s="117" t="str">
        <f aca="false">IF($B41="","",IF(AK41=0,IF(AND(الموظفون!$AE41&lt;&gt;"",الموظفون!$AE41&lt;$E$3),"✖ منتهي الخدمة","⏳ لم يباشر"),IF(S41&gt;0,"✈ راتب إجازة مقدم",IF(J41=0,"⛔ بدون راتب هذا الشهر",IF(I41&gt;0,"✈ خصم "&amp;ROUND(I41,2)&amp;" يوم بدون أجر",IF(AL41&gt;0,"🌴 إجازة سنوية "&amp;ROUND(AL41,2)&amp;" يوم",IF(H41&gt;0,"⚠ غياب "&amp;ROUND(H41,2)&amp;" يوم","✔ على رأس العمل")))))))</f>
        <v/>
      </c>
      <c r="G41" s="156" t="str">
        <f aca="false">IF($B41="","",IF(AK41&gt;=DAY($F$3),cfg_DAYS_M,MIN(AK41,cfg_DAYS_M)))</f>
        <v/>
      </c>
      <c r="H41" s="156" t="str">
        <f aca="false">IF($B41="","",SUMIFS('الحركات الشهرية'!$D$6:$D$1005,'الحركات الشهرية'!$B$6:$B$1005,$B41,'الحركات الشهرية'!$A$6:$A$1005,$C$3))</f>
        <v/>
      </c>
      <c r="I41" s="156" t="str">
        <f aca="false">IF($B41="","",MIN(G41,IF(AND(AK41&gt;0,AN41&gt;=AK41),G41,AN41)+SUMIFS('الحركات الشهرية'!$E$6:$E$1005,'الحركات الشهرية'!$B$6:$B$1005,$B41,'الحركات الشهرية'!$A$6:$A$1005,$C$3)))</f>
        <v/>
      </c>
      <c r="J41" s="156" t="str">
        <f aca="false">IF($B41="","",MAX(0,G41-H41-I41))</f>
        <v/>
      </c>
      <c r="K41" s="116" t="str">
        <f aca="false">IF($B41="","",الموظفون!$L41*$J41/cfg_DAYS_M)</f>
        <v/>
      </c>
      <c r="L41" s="116" t="str">
        <f aca="false">IF($B41="","",الموظفون!$M41*$J41/cfg_DAYS_M)</f>
        <v/>
      </c>
      <c r="M41" s="116" t="str">
        <f aca="false">IF($B41="","",الموظفون!$N41*$J41/cfg_DAYS_M)</f>
        <v/>
      </c>
      <c r="N41" s="116" t="str">
        <f aca="false">IF($B41="","",الموظفون!$O41*$J41/cfg_DAYS_M)</f>
        <v/>
      </c>
      <c r="O41" s="156" t="str">
        <f aca="false">IF($B41="","",SUMIFS('الحركات الشهرية'!$F$6:$F$1005,'الحركات الشهرية'!$B$6:$B$1005,$B41,'الحركات الشهرية'!$A$6:$A$1005,$C$3))</f>
        <v/>
      </c>
      <c r="P41" s="116" t="str">
        <f aca="false">IF($B41="","",O41*(الموظفون!$P41+الموظفون!$L41*cfg_OT_P)/cfg_DAYS_M/cfg_HRS)</f>
        <v/>
      </c>
      <c r="Q41" s="116" t="str">
        <f aca="false">IF($B41="","",SUMIFS('الحركات الشهرية'!$G$6:$G$1005,'الحركات الشهرية'!$B$6:$B$1005,$B41,'الحركات الشهرية'!$A$6:$A$1005,$C$3))</f>
        <v/>
      </c>
      <c r="R41" s="116" t="str">
        <f aca="false">IF($B41="","",SUMIFS('الحركات الشهرية'!$H$6:$H$1005,'الحركات الشهرية'!$B$6:$B$1005,$B41,'الحركات الشهرية'!$A$6:$A$1005,$C$3))</f>
        <v/>
      </c>
      <c r="S41" s="116" t="str">
        <f aca="false">IF($B41="","",SUMIFS('سجل الإجازات والحالات'!$N$6:$N$505,'سجل الإجازات والحالات'!$B$6:$B$505,$B41,'سجل الإجازات والحالات'!$O$6:$O$505,$C$3))</f>
        <v/>
      </c>
      <c r="T41" s="157" t="str">
        <f aca="false">IF($B41="","",SUM(K41:N41)+SUM(P41:S41))</f>
        <v/>
      </c>
      <c r="U41" s="116" t="str">
        <f aca="false">IF($B41="","",الموظفون!$S41*IF(E41="سعودي",cfg_G_SE,cfg_G_NE)*G41/cfg_DAYS_M)</f>
        <v/>
      </c>
      <c r="V41" s="116" t="str">
        <f aca="false">IF($B41="","",SUMIFS('الحركات الشهرية'!$I$6:$I$1005,'الحركات الشهرية'!$B$6:$B$1005,$B41,'الحركات الشهرية'!$A$6:$A$1005,$C$3))</f>
        <v/>
      </c>
      <c r="W41" s="116" t="str">
        <f aca="false">IF($B41="","",SUMIFS('الحركات الشهرية'!$J$6:$J$1005,'الحركات الشهرية'!$B$6:$B$1005,$B41,'الحركات الشهرية'!$A$6:$A$1005,$C$3))</f>
        <v/>
      </c>
      <c r="X41" s="116" t="str">
        <f aca="false">IF($B41="","",SUM(U41:W41))</f>
        <v/>
      </c>
      <c r="Y41" s="158" t="str">
        <f aca="false">IF($B41="","",T41-X41)</f>
        <v/>
      </c>
      <c r="Z41" s="116" t="str">
        <f aca="false">IF($B41="","",الموظفون!$S41*IF(E41="سعودي",cfg_G_SR,cfg_G_NR)*G41/cfg_DAYS_M)</f>
        <v/>
      </c>
      <c r="AA41" s="116" t="str">
        <f aca="false">IF($B41="","",الموظفون!$Q41*(cfg_EOS_R1*(MIN(AH41,cfg_EOS_TH)-MIN(AI41,cfg_EOS_TH))+cfg_EOS_R2*(MAX(AH41-cfg_EOS_TH,0)-MAX(AI41-cfg_EOS_TH,0))))</f>
        <v/>
      </c>
      <c r="AB41" s="116" t="str">
        <f aca="false">IF($B41="","",IF(الموظفون!$T41&lt;&gt;"",الموظفون!$T41,IF(AH41&gt;=cfg_LV_TH,cfg_LV_D2,cfg_LV_D1))/cfg_DAYS_Y*AJ41*الموظفون!$R41/cfg_DAYS_M)</f>
        <v/>
      </c>
      <c r="AC41" s="116" t="str">
        <f aca="false">IF($B41="","",IF(AND(الموظفون!$U41="نعم",N(الموظفون!$W41)&gt;0),الموظفون!$V41/الموظفون!$W41*12/cfg_DAYS_Y*AJ41,0))</f>
        <v/>
      </c>
      <c r="AD41" s="116" t="str">
        <f aca="false">IF($B41="","",(IF(الموظفون!$X41&lt;&gt;"",الموظفون!$X41,IF(الموظفون!$E41="غير سعودي",cfg_IQ,0))+IF(الموظفون!$Y41&lt;&gt;"",الموظفون!$Y41,IF(الموظفون!$E41="غير سعودي",cfg_WP,0)))/12*G41/cfg_DAYS_M)</f>
        <v/>
      </c>
      <c r="AE41" s="116" t="str">
        <f aca="false">IF($B41="","",IF(الموظفون!$Z41&lt;&gt;"",الموظفون!$Z41,cfg_MED)/12*G41/cfg_DAYS_M)</f>
        <v/>
      </c>
      <c r="AF41" s="116" t="str">
        <f aca="false">IF($B41="","",N(الموظفون!$AA41)/12*G41/cfg_DAYS_M)</f>
        <v/>
      </c>
      <c r="AG41" s="159" t="str">
        <f aca="false">IF($B41="","",T41+SUM(Z41:AF41))</f>
        <v/>
      </c>
      <c r="AH41" s="160" t="str">
        <f aca="false">IF($B41="","",MAX(0,IF(OR(الموظفون!$AE41="",الموظفون!$AE41&gt;$F$3),$F$3,الموظفون!$AE41)-الموظفون!$H41+1-SUMIFS('سجل الإجازات والحالات'!$AM$6:$AM$505,'سجل الإجازات والحالات'!$B$6:$B$505,$B41))/cfg_DAYS_Y)</f>
        <v/>
      </c>
      <c r="AI41" s="160" t="str">
        <f aca="false">IF($B41="","",MAX(0,IF(OR(الموظفون!$AE41="",الموظفون!$AE41&gt;($E$3-1)),($E$3-1),الموظفون!$AE41)-الموظفون!$H41+1-SUMIFS('سجل الإجازات والحالات'!$AL$6:$AL$505,'سجل الإجازات والحالات'!$B$6:$B$505,$B41))/cfg_DAYS_Y)</f>
        <v/>
      </c>
      <c r="AJ41" s="133" t="str">
        <f aca="false">IF($B41="","",MAX(0,AK41-(SUMIFS('سجل الإجازات والحالات'!$AM$6:$AM$505,'سجل الإجازات والحالات'!$B$6:$B$505,$B41)-SUMIFS('سجل الإجازات والحالات'!$AL$6:$AL$505,'سجل الإجازات والحالات'!$B$6:$B$505,$B41))))</f>
        <v/>
      </c>
      <c r="AK41" s="133" t="str">
        <f aca="false">IF($B41="","",MAX(0,IF(OR(الموظفون!$AE41="",الموظفون!$AE41&gt;$F$3),$F$3,الموظفون!$AE41)-MAX($E$3,الموظفون!$H41)+1))</f>
        <v/>
      </c>
      <c r="AL41" s="156" t="str">
        <f aca="false">IF($B41="","",SUMIFS('سجل الإجازات والحالات'!$AY$6:$AY$505,'سجل الإجازات والحالات'!$B$6:$B$505,$B41)+SUMIFS('الحركات الشهرية'!$K$6:$K$1005,'الحركات الشهرية'!$B$6:$B$1005,$B41,'الحركات الشهرية'!$A$6:$A$1005,$C$3))</f>
        <v/>
      </c>
      <c r="AM41" s="116" t="str">
        <f aca="false">IF($B41="","",AL41*الموظفون!$R41/cfg_DAYS_M+S41)</f>
        <v/>
      </c>
      <c r="AN41" s="156" t="str">
        <f aca="false">IF($B41="","",SUMIFS('سجل الإجازات والحالات'!$AA$6:$AA$505,'سجل الإجازات والحالات'!$B$6:$B$505,$B41))</f>
        <v/>
      </c>
    </row>
    <row r="42" customFormat="false" ht="15" hidden="false" customHeight="false" outlineLevel="0" collapsed="false">
      <c r="A42" s="106" t="str">
        <f aca="false">IF($B42="","",الموظفون!$A42)</f>
        <v/>
      </c>
      <c r="B42" s="114" t="str">
        <f aca="false">IF(الموظفون!$B42="","",الموظفون!$B42)</f>
        <v/>
      </c>
      <c r="C42" s="114" t="str">
        <f aca="false">IF($B42="","",الموظفون!$C42)</f>
        <v/>
      </c>
      <c r="D42" s="114" t="str">
        <f aca="false">IF($B42="","",الموظفون!$F42)</f>
        <v/>
      </c>
      <c r="E42" s="114" t="str">
        <f aca="false">IF($B42="","",الموظفون!$E42)</f>
        <v/>
      </c>
      <c r="F42" s="114" t="str">
        <f aca="false">IF($B42="","",IF(AK42=0,IF(AND(الموظفون!$AE42&lt;&gt;"",الموظفون!$AE42&lt;$E$3),"✖ منتهي الخدمة","⏳ لم يباشر"),IF(S42&gt;0,"✈ راتب إجازة مقدم",IF(J42=0,"⛔ بدون راتب هذا الشهر",IF(I42&gt;0,"✈ خصم "&amp;ROUND(I42,2)&amp;" يوم بدون أجر",IF(AL42&gt;0,"🌴 إجازة سنوية "&amp;ROUND(AL42,2)&amp;" يوم",IF(H42&gt;0,"⚠ غياب "&amp;ROUND(H42,2)&amp;" يوم","✔ على رأس العمل")))))))</f>
        <v/>
      </c>
      <c r="G42" s="151" t="str">
        <f aca="false">IF($B42="","",IF(AK42&gt;=DAY($F$3),cfg_DAYS_M,MIN(AK42,cfg_DAYS_M)))</f>
        <v/>
      </c>
      <c r="H42" s="151" t="str">
        <f aca="false">IF($B42="","",SUMIFS('الحركات الشهرية'!$D$6:$D$1005,'الحركات الشهرية'!$B$6:$B$1005,$B42,'الحركات الشهرية'!$A$6:$A$1005,$C$3))</f>
        <v/>
      </c>
      <c r="I42" s="151" t="str">
        <f aca="false">IF($B42="","",MIN(G42,IF(AND(AK42&gt;0,AN42&gt;=AK42),G42,AN42)+SUMIFS('الحركات الشهرية'!$E$6:$E$1005,'الحركات الشهرية'!$B$6:$B$1005,$B42,'الحركات الشهرية'!$A$6:$A$1005,$C$3)))</f>
        <v/>
      </c>
      <c r="J42" s="151" t="str">
        <f aca="false">IF($B42="","",MAX(0,G42-H42-I42))</f>
        <v/>
      </c>
      <c r="K42" s="111" t="str">
        <f aca="false">IF($B42="","",الموظفون!$L42*$J42/cfg_DAYS_M)</f>
        <v/>
      </c>
      <c r="L42" s="111" t="str">
        <f aca="false">IF($B42="","",الموظفون!$M42*$J42/cfg_DAYS_M)</f>
        <v/>
      </c>
      <c r="M42" s="111" t="str">
        <f aca="false">IF($B42="","",الموظفون!$N42*$J42/cfg_DAYS_M)</f>
        <v/>
      </c>
      <c r="N42" s="111" t="str">
        <f aca="false">IF($B42="","",الموظفون!$O42*$J42/cfg_DAYS_M)</f>
        <v/>
      </c>
      <c r="O42" s="151" t="str">
        <f aca="false">IF($B42="","",SUMIFS('الحركات الشهرية'!$F$6:$F$1005,'الحركات الشهرية'!$B$6:$B$1005,$B42,'الحركات الشهرية'!$A$6:$A$1005,$C$3))</f>
        <v/>
      </c>
      <c r="P42" s="111" t="str">
        <f aca="false">IF($B42="","",O42*(الموظفون!$P42+الموظفون!$L42*cfg_OT_P)/cfg_DAYS_M/cfg_HRS)</f>
        <v/>
      </c>
      <c r="Q42" s="111" t="str">
        <f aca="false">IF($B42="","",SUMIFS('الحركات الشهرية'!$G$6:$G$1005,'الحركات الشهرية'!$B$6:$B$1005,$B42,'الحركات الشهرية'!$A$6:$A$1005,$C$3))</f>
        <v/>
      </c>
      <c r="R42" s="111" t="str">
        <f aca="false">IF($B42="","",SUMIFS('الحركات الشهرية'!$H$6:$H$1005,'الحركات الشهرية'!$B$6:$B$1005,$B42,'الحركات الشهرية'!$A$6:$A$1005,$C$3))</f>
        <v/>
      </c>
      <c r="S42" s="111" t="str">
        <f aca="false">IF($B42="","",SUMIFS('سجل الإجازات والحالات'!$N$6:$N$505,'سجل الإجازات والحالات'!$B$6:$B$505,$B42,'سجل الإجازات والحالات'!$O$6:$O$505,$C$3))</f>
        <v/>
      </c>
      <c r="T42" s="152" t="str">
        <f aca="false">IF($B42="","",SUM(K42:N42)+SUM(P42:S42))</f>
        <v/>
      </c>
      <c r="U42" s="111" t="str">
        <f aca="false">IF($B42="","",الموظفون!$S42*IF(E42="سعودي",cfg_G_SE,cfg_G_NE)*G42/cfg_DAYS_M)</f>
        <v/>
      </c>
      <c r="V42" s="111" t="str">
        <f aca="false">IF($B42="","",SUMIFS('الحركات الشهرية'!$I$6:$I$1005,'الحركات الشهرية'!$B$6:$B$1005,$B42,'الحركات الشهرية'!$A$6:$A$1005,$C$3))</f>
        <v/>
      </c>
      <c r="W42" s="111" t="str">
        <f aca="false">IF($B42="","",SUMIFS('الحركات الشهرية'!$J$6:$J$1005,'الحركات الشهرية'!$B$6:$B$1005,$B42,'الحركات الشهرية'!$A$6:$A$1005,$C$3))</f>
        <v/>
      </c>
      <c r="X42" s="111" t="str">
        <f aca="false">IF($B42="","",SUM(U42:W42))</f>
        <v/>
      </c>
      <c r="Y42" s="153" t="str">
        <f aca="false">IF($B42="","",T42-X42)</f>
        <v/>
      </c>
      <c r="Z42" s="111" t="str">
        <f aca="false">IF($B42="","",الموظفون!$S42*IF(E42="سعودي",cfg_G_SR,cfg_G_NR)*G42/cfg_DAYS_M)</f>
        <v/>
      </c>
      <c r="AA42" s="111" t="str">
        <f aca="false">IF($B42="","",الموظفون!$Q42*(cfg_EOS_R1*(MIN(AH42,cfg_EOS_TH)-MIN(AI42,cfg_EOS_TH))+cfg_EOS_R2*(MAX(AH42-cfg_EOS_TH,0)-MAX(AI42-cfg_EOS_TH,0))))</f>
        <v/>
      </c>
      <c r="AB42" s="111" t="str">
        <f aca="false">IF($B42="","",IF(الموظفون!$T42&lt;&gt;"",الموظفون!$T42,IF(AH42&gt;=cfg_LV_TH,cfg_LV_D2,cfg_LV_D1))/cfg_DAYS_Y*AJ42*الموظفون!$R42/cfg_DAYS_M)</f>
        <v/>
      </c>
      <c r="AC42" s="111" t="str">
        <f aca="false">IF($B42="","",IF(AND(الموظفون!$U42="نعم",N(الموظفون!$W42)&gt;0),الموظفون!$V42/الموظفون!$W42*12/cfg_DAYS_Y*AJ42,0))</f>
        <v/>
      </c>
      <c r="AD42" s="111" t="str">
        <f aca="false">IF($B42="","",(IF(الموظفون!$X42&lt;&gt;"",الموظفون!$X42,IF(الموظفون!$E42="غير سعودي",cfg_IQ,0))+IF(الموظفون!$Y42&lt;&gt;"",الموظفون!$Y42,IF(الموظفون!$E42="غير سعودي",cfg_WP,0)))/12*G42/cfg_DAYS_M)</f>
        <v/>
      </c>
      <c r="AE42" s="111" t="str">
        <f aca="false">IF($B42="","",IF(الموظفون!$Z42&lt;&gt;"",الموظفون!$Z42,cfg_MED)/12*G42/cfg_DAYS_M)</f>
        <v/>
      </c>
      <c r="AF42" s="111" t="str">
        <f aca="false">IF($B42="","",N(الموظفون!$AA42)/12*G42/cfg_DAYS_M)</f>
        <v/>
      </c>
      <c r="AG42" s="154" t="str">
        <f aca="false">IF($B42="","",T42+SUM(Z42:AF42))</f>
        <v/>
      </c>
      <c r="AH42" s="155" t="str">
        <f aca="false">IF($B42="","",MAX(0,IF(OR(الموظفون!$AE42="",الموظفون!$AE42&gt;$F$3),$F$3,الموظفون!$AE42)-الموظفون!$H42+1-SUMIFS('سجل الإجازات والحالات'!$AM$6:$AM$505,'سجل الإجازات والحالات'!$B$6:$B$505,$B42))/cfg_DAYS_Y)</f>
        <v/>
      </c>
      <c r="AI42" s="155" t="str">
        <f aca="false">IF($B42="","",MAX(0,IF(OR(الموظفون!$AE42="",الموظفون!$AE42&gt;($E$3-1)),($E$3-1),الموظفون!$AE42)-الموظفون!$H42+1-SUMIFS('سجل الإجازات والحالات'!$AL$6:$AL$505,'سجل الإجازات والحالات'!$B$6:$B$505,$B42))/cfg_DAYS_Y)</f>
        <v/>
      </c>
      <c r="AJ42" s="65" t="str">
        <f aca="false">IF($B42="","",MAX(0,AK42-(SUMIFS('سجل الإجازات والحالات'!$AM$6:$AM$505,'سجل الإجازات والحالات'!$B$6:$B$505,$B42)-SUMIFS('سجل الإجازات والحالات'!$AL$6:$AL$505,'سجل الإجازات والحالات'!$B$6:$B$505,$B42))))</f>
        <v/>
      </c>
      <c r="AK42" s="65" t="str">
        <f aca="false">IF($B42="","",MAX(0,IF(OR(الموظفون!$AE42="",الموظفون!$AE42&gt;$F$3),$F$3,الموظفون!$AE42)-MAX($E$3,الموظفون!$H42)+1))</f>
        <v/>
      </c>
      <c r="AL42" s="151" t="str">
        <f aca="false">IF($B42="","",SUMIFS('سجل الإجازات والحالات'!$AY$6:$AY$505,'سجل الإجازات والحالات'!$B$6:$B$505,$B42)+SUMIFS('الحركات الشهرية'!$K$6:$K$1005,'الحركات الشهرية'!$B$6:$B$1005,$B42,'الحركات الشهرية'!$A$6:$A$1005,$C$3))</f>
        <v/>
      </c>
      <c r="AM42" s="111" t="str">
        <f aca="false">IF($B42="","",AL42*الموظفون!$R42/cfg_DAYS_M+S42)</f>
        <v/>
      </c>
      <c r="AN42" s="151" t="str">
        <f aca="false">IF($B42="","",SUMIFS('سجل الإجازات والحالات'!$AA$6:$AA$505,'سجل الإجازات والحالات'!$B$6:$B$505,$B42))</f>
        <v/>
      </c>
    </row>
    <row r="43" customFormat="false" ht="15" hidden="false" customHeight="false" outlineLevel="0" collapsed="false">
      <c r="A43" s="115" t="str">
        <f aca="false">IF($B43="","",الموظفون!$A43)</f>
        <v/>
      </c>
      <c r="B43" s="117" t="str">
        <f aca="false">IF(الموظفون!$B43="","",الموظفون!$B43)</f>
        <v/>
      </c>
      <c r="C43" s="117" t="str">
        <f aca="false">IF($B43="","",الموظفون!$C43)</f>
        <v/>
      </c>
      <c r="D43" s="117" t="str">
        <f aca="false">IF($B43="","",الموظفون!$F43)</f>
        <v/>
      </c>
      <c r="E43" s="117" t="str">
        <f aca="false">IF($B43="","",الموظفون!$E43)</f>
        <v/>
      </c>
      <c r="F43" s="117" t="str">
        <f aca="false">IF($B43="","",IF(AK43=0,IF(AND(الموظفون!$AE43&lt;&gt;"",الموظفون!$AE43&lt;$E$3),"✖ منتهي الخدمة","⏳ لم يباشر"),IF(S43&gt;0,"✈ راتب إجازة مقدم",IF(J43=0,"⛔ بدون راتب هذا الشهر",IF(I43&gt;0,"✈ خصم "&amp;ROUND(I43,2)&amp;" يوم بدون أجر",IF(AL43&gt;0,"🌴 إجازة سنوية "&amp;ROUND(AL43,2)&amp;" يوم",IF(H43&gt;0,"⚠ غياب "&amp;ROUND(H43,2)&amp;" يوم","✔ على رأس العمل")))))))</f>
        <v/>
      </c>
      <c r="G43" s="156" t="str">
        <f aca="false">IF($B43="","",IF(AK43&gt;=DAY($F$3),cfg_DAYS_M,MIN(AK43,cfg_DAYS_M)))</f>
        <v/>
      </c>
      <c r="H43" s="156" t="str">
        <f aca="false">IF($B43="","",SUMIFS('الحركات الشهرية'!$D$6:$D$1005,'الحركات الشهرية'!$B$6:$B$1005,$B43,'الحركات الشهرية'!$A$6:$A$1005,$C$3))</f>
        <v/>
      </c>
      <c r="I43" s="156" t="str">
        <f aca="false">IF($B43="","",MIN(G43,IF(AND(AK43&gt;0,AN43&gt;=AK43),G43,AN43)+SUMIFS('الحركات الشهرية'!$E$6:$E$1005,'الحركات الشهرية'!$B$6:$B$1005,$B43,'الحركات الشهرية'!$A$6:$A$1005,$C$3)))</f>
        <v/>
      </c>
      <c r="J43" s="156" t="str">
        <f aca="false">IF($B43="","",MAX(0,G43-H43-I43))</f>
        <v/>
      </c>
      <c r="K43" s="116" t="str">
        <f aca="false">IF($B43="","",الموظفون!$L43*$J43/cfg_DAYS_M)</f>
        <v/>
      </c>
      <c r="L43" s="116" t="str">
        <f aca="false">IF($B43="","",الموظفون!$M43*$J43/cfg_DAYS_M)</f>
        <v/>
      </c>
      <c r="M43" s="116" t="str">
        <f aca="false">IF($B43="","",الموظفون!$N43*$J43/cfg_DAYS_M)</f>
        <v/>
      </c>
      <c r="N43" s="116" t="str">
        <f aca="false">IF($B43="","",الموظفون!$O43*$J43/cfg_DAYS_M)</f>
        <v/>
      </c>
      <c r="O43" s="156" t="str">
        <f aca="false">IF($B43="","",SUMIFS('الحركات الشهرية'!$F$6:$F$1005,'الحركات الشهرية'!$B$6:$B$1005,$B43,'الحركات الشهرية'!$A$6:$A$1005,$C$3))</f>
        <v/>
      </c>
      <c r="P43" s="116" t="str">
        <f aca="false">IF($B43="","",O43*(الموظفون!$P43+الموظفون!$L43*cfg_OT_P)/cfg_DAYS_M/cfg_HRS)</f>
        <v/>
      </c>
      <c r="Q43" s="116" t="str">
        <f aca="false">IF($B43="","",SUMIFS('الحركات الشهرية'!$G$6:$G$1005,'الحركات الشهرية'!$B$6:$B$1005,$B43,'الحركات الشهرية'!$A$6:$A$1005,$C$3))</f>
        <v/>
      </c>
      <c r="R43" s="116" t="str">
        <f aca="false">IF($B43="","",SUMIFS('الحركات الشهرية'!$H$6:$H$1005,'الحركات الشهرية'!$B$6:$B$1005,$B43,'الحركات الشهرية'!$A$6:$A$1005,$C$3))</f>
        <v/>
      </c>
      <c r="S43" s="116" t="str">
        <f aca="false">IF($B43="","",SUMIFS('سجل الإجازات والحالات'!$N$6:$N$505,'سجل الإجازات والحالات'!$B$6:$B$505,$B43,'سجل الإجازات والحالات'!$O$6:$O$505,$C$3))</f>
        <v/>
      </c>
      <c r="T43" s="157" t="str">
        <f aca="false">IF($B43="","",SUM(K43:N43)+SUM(P43:S43))</f>
        <v/>
      </c>
      <c r="U43" s="116" t="str">
        <f aca="false">IF($B43="","",الموظفون!$S43*IF(E43="سعودي",cfg_G_SE,cfg_G_NE)*G43/cfg_DAYS_M)</f>
        <v/>
      </c>
      <c r="V43" s="116" t="str">
        <f aca="false">IF($B43="","",SUMIFS('الحركات الشهرية'!$I$6:$I$1005,'الحركات الشهرية'!$B$6:$B$1005,$B43,'الحركات الشهرية'!$A$6:$A$1005,$C$3))</f>
        <v/>
      </c>
      <c r="W43" s="116" t="str">
        <f aca="false">IF($B43="","",SUMIFS('الحركات الشهرية'!$J$6:$J$1005,'الحركات الشهرية'!$B$6:$B$1005,$B43,'الحركات الشهرية'!$A$6:$A$1005,$C$3))</f>
        <v/>
      </c>
      <c r="X43" s="116" t="str">
        <f aca="false">IF($B43="","",SUM(U43:W43))</f>
        <v/>
      </c>
      <c r="Y43" s="158" t="str">
        <f aca="false">IF($B43="","",T43-X43)</f>
        <v/>
      </c>
      <c r="Z43" s="116" t="str">
        <f aca="false">IF($B43="","",الموظفون!$S43*IF(E43="سعودي",cfg_G_SR,cfg_G_NR)*G43/cfg_DAYS_M)</f>
        <v/>
      </c>
      <c r="AA43" s="116" t="str">
        <f aca="false">IF($B43="","",الموظفون!$Q43*(cfg_EOS_R1*(MIN(AH43,cfg_EOS_TH)-MIN(AI43,cfg_EOS_TH))+cfg_EOS_R2*(MAX(AH43-cfg_EOS_TH,0)-MAX(AI43-cfg_EOS_TH,0))))</f>
        <v/>
      </c>
      <c r="AB43" s="116" t="str">
        <f aca="false">IF($B43="","",IF(الموظفون!$T43&lt;&gt;"",الموظفون!$T43,IF(AH43&gt;=cfg_LV_TH,cfg_LV_D2,cfg_LV_D1))/cfg_DAYS_Y*AJ43*الموظفون!$R43/cfg_DAYS_M)</f>
        <v/>
      </c>
      <c r="AC43" s="116" t="str">
        <f aca="false">IF($B43="","",IF(AND(الموظفون!$U43="نعم",N(الموظفون!$W43)&gt;0),الموظفون!$V43/الموظفون!$W43*12/cfg_DAYS_Y*AJ43,0))</f>
        <v/>
      </c>
      <c r="AD43" s="116" t="str">
        <f aca="false">IF($B43="","",(IF(الموظفون!$X43&lt;&gt;"",الموظفون!$X43,IF(الموظفون!$E43="غير سعودي",cfg_IQ,0))+IF(الموظفون!$Y43&lt;&gt;"",الموظفون!$Y43,IF(الموظفون!$E43="غير سعودي",cfg_WP,0)))/12*G43/cfg_DAYS_M)</f>
        <v/>
      </c>
      <c r="AE43" s="116" t="str">
        <f aca="false">IF($B43="","",IF(الموظفون!$Z43&lt;&gt;"",الموظفون!$Z43,cfg_MED)/12*G43/cfg_DAYS_M)</f>
        <v/>
      </c>
      <c r="AF43" s="116" t="str">
        <f aca="false">IF($B43="","",N(الموظفون!$AA43)/12*G43/cfg_DAYS_M)</f>
        <v/>
      </c>
      <c r="AG43" s="159" t="str">
        <f aca="false">IF($B43="","",T43+SUM(Z43:AF43))</f>
        <v/>
      </c>
      <c r="AH43" s="160" t="str">
        <f aca="false">IF($B43="","",MAX(0,IF(OR(الموظفون!$AE43="",الموظفون!$AE43&gt;$F$3),$F$3,الموظفون!$AE43)-الموظفون!$H43+1-SUMIFS('سجل الإجازات والحالات'!$AM$6:$AM$505,'سجل الإجازات والحالات'!$B$6:$B$505,$B43))/cfg_DAYS_Y)</f>
        <v/>
      </c>
      <c r="AI43" s="160" t="str">
        <f aca="false">IF($B43="","",MAX(0,IF(OR(الموظفون!$AE43="",الموظفون!$AE43&gt;($E$3-1)),($E$3-1),الموظفون!$AE43)-الموظفون!$H43+1-SUMIFS('سجل الإجازات والحالات'!$AL$6:$AL$505,'سجل الإجازات والحالات'!$B$6:$B$505,$B43))/cfg_DAYS_Y)</f>
        <v/>
      </c>
      <c r="AJ43" s="133" t="str">
        <f aca="false">IF($B43="","",MAX(0,AK43-(SUMIFS('سجل الإجازات والحالات'!$AM$6:$AM$505,'سجل الإجازات والحالات'!$B$6:$B$505,$B43)-SUMIFS('سجل الإجازات والحالات'!$AL$6:$AL$505,'سجل الإجازات والحالات'!$B$6:$B$505,$B43))))</f>
        <v/>
      </c>
      <c r="AK43" s="133" t="str">
        <f aca="false">IF($B43="","",MAX(0,IF(OR(الموظفون!$AE43="",الموظفون!$AE43&gt;$F$3),$F$3,الموظفون!$AE43)-MAX($E$3,الموظفون!$H43)+1))</f>
        <v/>
      </c>
      <c r="AL43" s="156" t="str">
        <f aca="false">IF($B43="","",SUMIFS('سجل الإجازات والحالات'!$AY$6:$AY$505,'سجل الإجازات والحالات'!$B$6:$B$505,$B43)+SUMIFS('الحركات الشهرية'!$K$6:$K$1005,'الحركات الشهرية'!$B$6:$B$1005,$B43,'الحركات الشهرية'!$A$6:$A$1005,$C$3))</f>
        <v/>
      </c>
      <c r="AM43" s="116" t="str">
        <f aca="false">IF($B43="","",AL43*الموظفون!$R43/cfg_DAYS_M+S43)</f>
        <v/>
      </c>
      <c r="AN43" s="156" t="str">
        <f aca="false">IF($B43="","",SUMIFS('سجل الإجازات والحالات'!$AA$6:$AA$505,'سجل الإجازات والحالات'!$B$6:$B$505,$B43))</f>
        <v/>
      </c>
    </row>
    <row r="44" customFormat="false" ht="15" hidden="false" customHeight="false" outlineLevel="0" collapsed="false">
      <c r="A44" s="106" t="str">
        <f aca="false">IF($B44="","",الموظفون!$A44)</f>
        <v/>
      </c>
      <c r="B44" s="114" t="str">
        <f aca="false">IF(الموظفون!$B44="","",الموظفون!$B44)</f>
        <v/>
      </c>
      <c r="C44" s="114" t="str">
        <f aca="false">IF($B44="","",الموظفون!$C44)</f>
        <v/>
      </c>
      <c r="D44" s="114" t="str">
        <f aca="false">IF($B44="","",الموظفون!$F44)</f>
        <v/>
      </c>
      <c r="E44" s="114" t="str">
        <f aca="false">IF($B44="","",الموظفون!$E44)</f>
        <v/>
      </c>
      <c r="F44" s="114" t="str">
        <f aca="false">IF($B44="","",IF(AK44=0,IF(AND(الموظفون!$AE44&lt;&gt;"",الموظفون!$AE44&lt;$E$3),"✖ منتهي الخدمة","⏳ لم يباشر"),IF(S44&gt;0,"✈ راتب إجازة مقدم",IF(J44=0,"⛔ بدون راتب هذا الشهر",IF(I44&gt;0,"✈ خصم "&amp;ROUND(I44,2)&amp;" يوم بدون أجر",IF(AL44&gt;0,"🌴 إجازة سنوية "&amp;ROUND(AL44,2)&amp;" يوم",IF(H44&gt;0,"⚠ غياب "&amp;ROUND(H44,2)&amp;" يوم","✔ على رأس العمل")))))))</f>
        <v/>
      </c>
      <c r="G44" s="151" t="str">
        <f aca="false">IF($B44="","",IF(AK44&gt;=DAY($F$3),cfg_DAYS_M,MIN(AK44,cfg_DAYS_M)))</f>
        <v/>
      </c>
      <c r="H44" s="151" t="str">
        <f aca="false">IF($B44="","",SUMIFS('الحركات الشهرية'!$D$6:$D$1005,'الحركات الشهرية'!$B$6:$B$1005,$B44,'الحركات الشهرية'!$A$6:$A$1005,$C$3))</f>
        <v/>
      </c>
      <c r="I44" s="151" t="str">
        <f aca="false">IF($B44="","",MIN(G44,IF(AND(AK44&gt;0,AN44&gt;=AK44),G44,AN44)+SUMIFS('الحركات الشهرية'!$E$6:$E$1005,'الحركات الشهرية'!$B$6:$B$1005,$B44,'الحركات الشهرية'!$A$6:$A$1005,$C$3)))</f>
        <v/>
      </c>
      <c r="J44" s="151" t="str">
        <f aca="false">IF($B44="","",MAX(0,G44-H44-I44))</f>
        <v/>
      </c>
      <c r="K44" s="111" t="str">
        <f aca="false">IF($B44="","",الموظفون!$L44*$J44/cfg_DAYS_M)</f>
        <v/>
      </c>
      <c r="L44" s="111" t="str">
        <f aca="false">IF($B44="","",الموظفون!$M44*$J44/cfg_DAYS_M)</f>
        <v/>
      </c>
      <c r="M44" s="111" t="str">
        <f aca="false">IF($B44="","",الموظفون!$N44*$J44/cfg_DAYS_M)</f>
        <v/>
      </c>
      <c r="N44" s="111" t="str">
        <f aca="false">IF($B44="","",الموظفون!$O44*$J44/cfg_DAYS_M)</f>
        <v/>
      </c>
      <c r="O44" s="151" t="str">
        <f aca="false">IF($B44="","",SUMIFS('الحركات الشهرية'!$F$6:$F$1005,'الحركات الشهرية'!$B$6:$B$1005,$B44,'الحركات الشهرية'!$A$6:$A$1005,$C$3))</f>
        <v/>
      </c>
      <c r="P44" s="111" t="str">
        <f aca="false">IF($B44="","",O44*(الموظفون!$P44+الموظفون!$L44*cfg_OT_P)/cfg_DAYS_M/cfg_HRS)</f>
        <v/>
      </c>
      <c r="Q44" s="111" t="str">
        <f aca="false">IF($B44="","",SUMIFS('الحركات الشهرية'!$G$6:$G$1005,'الحركات الشهرية'!$B$6:$B$1005,$B44,'الحركات الشهرية'!$A$6:$A$1005,$C$3))</f>
        <v/>
      </c>
      <c r="R44" s="111" t="str">
        <f aca="false">IF($B44="","",SUMIFS('الحركات الشهرية'!$H$6:$H$1005,'الحركات الشهرية'!$B$6:$B$1005,$B44,'الحركات الشهرية'!$A$6:$A$1005,$C$3))</f>
        <v/>
      </c>
      <c r="S44" s="111" t="str">
        <f aca="false">IF($B44="","",SUMIFS('سجل الإجازات والحالات'!$N$6:$N$505,'سجل الإجازات والحالات'!$B$6:$B$505,$B44,'سجل الإجازات والحالات'!$O$6:$O$505,$C$3))</f>
        <v/>
      </c>
      <c r="T44" s="152" t="str">
        <f aca="false">IF($B44="","",SUM(K44:N44)+SUM(P44:S44))</f>
        <v/>
      </c>
      <c r="U44" s="111" t="str">
        <f aca="false">IF($B44="","",الموظفون!$S44*IF(E44="سعودي",cfg_G_SE,cfg_G_NE)*G44/cfg_DAYS_M)</f>
        <v/>
      </c>
      <c r="V44" s="111" t="str">
        <f aca="false">IF($B44="","",SUMIFS('الحركات الشهرية'!$I$6:$I$1005,'الحركات الشهرية'!$B$6:$B$1005,$B44,'الحركات الشهرية'!$A$6:$A$1005,$C$3))</f>
        <v/>
      </c>
      <c r="W44" s="111" t="str">
        <f aca="false">IF($B44="","",SUMIFS('الحركات الشهرية'!$J$6:$J$1005,'الحركات الشهرية'!$B$6:$B$1005,$B44,'الحركات الشهرية'!$A$6:$A$1005,$C$3))</f>
        <v/>
      </c>
      <c r="X44" s="111" t="str">
        <f aca="false">IF($B44="","",SUM(U44:W44))</f>
        <v/>
      </c>
      <c r="Y44" s="153" t="str">
        <f aca="false">IF($B44="","",T44-X44)</f>
        <v/>
      </c>
      <c r="Z44" s="111" t="str">
        <f aca="false">IF($B44="","",الموظفون!$S44*IF(E44="سعودي",cfg_G_SR,cfg_G_NR)*G44/cfg_DAYS_M)</f>
        <v/>
      </c>
      <c r="AA44" s="111" t="str">
        <f aca="false">IF($B44="","",الموظفون!$Q44*(cfg_EOS_R1*(MIN(AH44,cfg_EOS_TH)-MIN(AI44,cfg_EOS_TH))+cfg_EOS_R2*(MAX(AH44-cfg_EOS_TH,0)-MAX(AI44-cfg_EOS_TH,0))))</f>
        <v/>
      </c>
      <c r="AB44" s="111" t="str">
        <f aca="false">IF($B44="","",IF(الموظفون!$T44&lt;&gt;"",الموظفون!$T44,IF(AH44&gt;=cfg_LV_TH,cfg_LV_D2,cfg_LV_D1))/cfg_DAYS_Y*AJ44*الموظفون!$R44/cfg_DAYS_M)</f>
        <v/>
      </c>
      <c r="AC44" s="111" t="str">
        <f aca="false">IF($B44="","",IF(AND(الموظفون!$U44="نعم",N(الموظفون!$W44)&gt;0),الموظفون!$V44/الموظفون!$W44*12/cfg_DAYS_Y*AJ44,0))</f>
        <v/>
      </c>
      <c r="AD44" s="111" t="str">
        <f aca="false">IF($B44="","",(IF(الموظفون!$X44&lt;&gt;"",الموظفون!$X44,IF(الموظفون!$E44="غير سعودي",cfg_IQ,0))+IF(الموظفون!$Y44&lt;&gt;"",الموظفون!$Y44,IF(الموظفون!$E44="غير سعودي",cfg_WP,0)))/12*G44/cfg_DAYS_M)</f>
        <v/>
      </c>
      <c r="AE44" s="111" t="str">
        <f aca="false">IF($B44="","",IF(الموظفون!$Z44&lt;&gt;"",الموظفون!$Z44,cfg_MED)/12*G44/cfg_DAYS_M)</f>
        <v/>
      </c>
      <c r="AF44" s="111" t="str">
        <f aca="false">IF($B44="","",N(الموظفون!$AA44)/12*G44/cfg_DAYS_M)</f>
        <v/>
      </c>
      <c r="AG44" s="154" t="str">
        <f aca="false">IF($B44="","",T44+SUM(Z44:AF44))</f>
        <v/>
      </c>
      <c r="AH44" s="155" t="str">
        <f aca="false">IF($B44="","",MAX(0,IF(OR(الموظفون!$AE44="",الموظفون!$AE44&gt;$F$3),$F$3,الموظفون!$AE44)-الموظفون!$H44+1-SUMIFS('سجل الإجازات والحالات'!$AM$6:$AM$505,'سجل الإجازات والحالات'!$B$6:$B$505,$B44))/cfg_DAYS_Y)</f>
        <v/>
      </c>
      <c r="AI44" s="155" t="str">
        <f aca="false">IF($B44="","",MAX(0,IF(OR(الموظفون!$AE44="",الموظفون!$AE44&gt;($E$3-1)),($E$3-1),الموظفون!$AE44)-الموظفون!$H44+1-SUMIFS('سجل الإجازات والحالات'!$AL$6:$AL$505,'سجل الإجازات والحالات'!$B$6:$B$505,$B44))/cfg_DAYS_Y)</f>
        <v/>
      </c>
      <c r="AJ44" s="65" t="str">
        <f aca="false">IF($B44="","",MAX(0,AK44-(SUMIFS('سجل الإجازات والحالات'!$AM$6:$AM$505,'سجل الإجازات والحالات'!$B$6:$B$505,$B44)-SUMIFS('سجل الإجازات والحالات'!$AL$6:$AL$505,'سجل الإجازات والحالات'!$B$6:$B$505,$B44))))</f>
        <v/>
      </c>
      <c r="AK44" s="65" t="str">
        <f aca="false">IF($B44="","",MAX(0,IF(OR(الموظفون!$AE44="",الموظفون!$AE44&gt;$F$3),$F$3,الموظفون!$AE44)-MAX($E$3,الموظفون!$H44)+1))</f>
        <v/>
      </c>
      <c r="AL44" s="151" t="str">
        <f aca="false">IF($B44="","",SUMIFS('سجل الإجازات والحالات'!$AY$6:$AY$505,'سجل الإجازات والحالات'!$B$6:$B$505,$B44)+SUMIFS('الحركات الشهرية'!$K$6:$K$1005,'الحركات الشهرية'!$B$6:$B$1005,$B44,'الحركات الشهرية'!$A$6:$A$1005,$C$3))</f>
        <v/>
      </c>
      <c r="AM44" s="111" t="str">
        <f aca="false">IF($B44="","",AL44*الموظفون!$R44/cfg_DAYS_M+S44)</f>
        <v/>
      </c>
      <c r="AN44" s="151" t="str">
        <f aca="false">IF($B44="","",SUMIFS('سجل الإجازات والحالات'!$AA$6:$AA$505,'سجل الإجازات والحالات'!$B$6:$B$505,$B44))</f>
        <v/>
      </c>
    </row>
    <row r="45" customFormat="false" ht="15" hidden="false" customHeight="false" outlineLevel="0" collapsed="false">
      <c r="A45" s="115" t="str">
        <f aca="false">IF($B45="","",الموظفون!$A45)</f>
        <v/>
      </c>
      <c r="B45" s="117" t="str">
        <f aca="false">IF(الموظفون!$B45="","",الموظفون!$B45)</f>
        <v/>
      </c>
      <c r="C45" s="117" t="str">
        <f aca="false">IF($B45="","",الموظفون!$C45)</f>
        <v/>
      </c>
      <c r="D45" s="117" t="str">
        <f aca="false">IF($B45="","",الموظفون!$F45)</f>
        <v/>
      </c>
      <c r="E45" s="117" t="str">
        <f aca="false">IF($B45="","",الموظفون!$E45)</f>
        <v/>
      </c>
      <c r="F45" s="117" t="str">
        <f aca="false">IF($B45="","",IF(AK45=0,IF(AND(الموظفون!$AE45&lt;&gt;"",الموظفون!$AE45&lt;$E$3),"✖ منتهي الخدمة","⏳ لم يباشر"),IF(S45&gt;0,"✈ راتب إجازة مقدم",IF(J45=0,"⛔ بدون راتب هذا الشهر",IF(I45&gt;0,"✈ خصم "&amp;ROUND(I45,2)&amp;" يوم بدون أجر",IF(AL45&gt;0,"🌴 إجازة سنوية "&amp;ROUND(AL45,2)&amp;" يوم",IF(H45&gt;0,"⚠ غياب "&amp;ROUND(H45,2)&amp;" يوم","✔ على رأس العمل")))))))</f>
        <v/>
      </c>
      <c r="G45" s="156" t="str">
        <f aca="false">IF($B45="","",IF(AK45&gt;=DAY($F$3),cfg_DAYS_M,MIN(AK45,cfg_DAYS_M)))</f>
        <v/>
      </c>
      <c r="H45" s="156" t="str">
        <f aca="false">IF($B45="","",SUMIFS('الحركات الشهرية'!$D$6:$D$1005,'الحركات الشهرية'!$B$6:$B$1005,$B45,'الحركات الشهرية'!$A$6:$A$1005,$C$3))</f>
        <v/>
      </c>
      <c r="I45" s="156" t="str">
        <f aca="false">IF($B45="","",MIN(G45,IF(AND(AK45&gt;0,AN45&gt;=AK45),G45,AN45)+SUMIFS('الحركات الشهرية'!$E$6:$E$1005,'الحركات الشهرية'!$B$6:$B$1005,$B45,'الحركات الشهرية'!$A$6:$A$1005,$C$3)))</f>
        <v/>
      </c>
      <c r="J45" s="156" t="str">
        <f aca="false">IF($B45="","",MAX(0,G45-H45-I45))</f>
        <v/>
      </c>
      <c r="K45" s="116" t="str">
        <f aca="false">IF($B45="","",الموظفون!$L45*$J45/cfg_DAYS_M)</f>
        <v/>
      </c>
      <c r="L45" s="116" t="str">
        <f aca="false">IF($B45="","",الموظفون!$M45*$J45/cfg_DAYS_M)</f>
        <v/>
      </c>
      <c r="M45" s="116" t="str">
        <f aca="false">IF($B45="","",الموظفون!$N45*$J45/cfg_DAYS_M)</f>
        <v/>
      </c>
      <c r="N45" s="116" t="str">
        <f aca="false">IF($B45="","",الموظفون!$O45*$J45/cfg_DAYS_M)</f>
        <v/>
      </c>
      <c r="O45" s="156" t="str">
        <f aca="false">IF($B45="","",SUMIFS('الحركات الشهرية'!$F$6:$F$1005,'الحركات الشهرية'!$B$6:$B$1005,$B45,'الحركات الشهرية'!$A$6:$A$1005,$C$3))</f>
        <v/>
      </c>
      <c r="P45" s="116" t="str">
        <f aca="false">IF($B45="","",O45*(الموظفون!$P45+الموظفون!$L45*cfg_OT_P)/cfg_DAYS_M/cfg_HRS)</f>
        <v/>
      </c>
      <c r="Q45" s="116" t="str">
        <f aca="false">IF($B45="","",SUMIFS('الحركات الشهرية'!$G$6:$G$1005,'الحركات الشهرية'!$B$6:$B$1005,$B45,'الحركات الشهرية'!$A$6:$A$1005,$C$3))</f>
        <v/>
      </c>
      <c r="R45" s="116" t="str">
        <f aca="false">IF($B45="","",SUMIFS('الحركات الشهرية'!$H$6:$H$1005,'الحركات الشهرية'!$B$6:$B$1005,$B45,'الحركات الشهرية'!$A$6:$A$1005,$C$3))</f>
        <v/>
      </c>
      <c r="S45" s="116" t="str">
        <f aca="false">IF($B45="","",SUMIFS('سجل الإجازات والحالات'!$N$6:$N$505,'سجل الإجازات والحالات'!$B$6:$B$505,$B45,'سجل الإجازات والحالات'!$O$6:$O$505,$C$3))</f>
        <v/>
      </c>
      <c r="T45" s="157" t="str">
        <f aca="false">IF($B45="","",SUM(K45:N45)+SUM(P45:S45))</f>
        <v/>
      </c>
      <c r="U45" s="116" t="str">
        <f aca="false">IF($B45="","",الموظفون!$S45*IF(E45="سعودي",cfg_G_SE,cfg_G_NE)*G45/cfg_DAYS_M)</f>
        <v/>
      </c>
      <c r="V45" s="116" t="str">
        <f aca="false">IF($B45="","",SUMIFS('الحركات الشهرية'!$I$6:$I$1005,'الحركات الشهرية'!$B$6:$B$1005,$B45,'الحركات الشهرية'!$A$6:$A$1005,$C$3))</f>
        <v/>
      </c>
      <c r="W45" s="116" t="str">
        <f aca="false">IF($B45="","",SUMIFS('الحركات الشهرية'!$J$6:$J$1005,'الحركات الشهرية'!$B$6:$B$1005,$B45,'الحركات الشهرية'!$A$6:$A$1005,$C$3))</f>
        <v/>
      </c>
      <c r="X45" s="116" t="str">
        <f aca="false">IF($B45="","",SUM(U45:W45))</f>
        <v/>
      </c>
      <c r="Y45" s="158" t="str">
        <f aca="false">IF($B45="","",T45-X45)</f>
        <v/>
      </c>
      <c r="Z45" s="116" t="str">
        <f aca="false">IF($B45="","",الموظفون!$S45*IF(E45="سعودي",cfg_G_SR,cfg_G_NR)*G45/cfg_DAYS_M)</f>
        <v/>
      </c>
      <c r="AA45" s="116" t="str">
        <f aca="false">IF($B45="","",الموظفون!$Q45*(cfg_EOS_R1*(MIN(AH45,cfg_EOS_TH)-MIN(AI45,cfg_EOS_TH))+cfg_EOS_R2*(MAX(AH45-cfg_EOS_TH,0)-MAX(AI45-cfg_EOS_TH,0))))</f>
        <v/>
      </c>
      <c r="AB45" s="116" t="str">
        <f aca="false">IF($B45="","",IF(الموظفون!$T45&lt;&gt;"",الموظفون!$T45,IF(AH45&gt;=cfg_LV_TH,cfg_LV_D2,cfg_LV_D1))/cfg_DAYS_Y*AJ45*الموظفون!$R45/cfg_DAYS_M)</f>
        <v/>
      </c>
      <c r="AC45" s="116" t="str">
        <f aca="false">IF($B45="","",IF(AND(الموظفون!$U45="نعم",N(الموظفون!$W45)&gt;0),الموظفون!$V45/الموظفون!$W45*12/cfg_DAYS_Y*AJ45,0))</f>
        <v/>
      </c>
      <c r="AD45" s="116" t="str">
        <f aca="false">IF($B45="","",(IF(الموظفون!$X45&lt;&gt;"",الموظفون!$X45,IF(الموظفون!$E45="غير سعودي",cfg_IQ,0))+IF(الموظفون!$Y45&lt;&gt;"",الموظفون!$Y45,IF(الموظفون!$E45="غير سعودي",cfg_WP,0)))/12*G45/cfg_DAYS_M)</f>
        <v/>
      </c>
      <c r="AE45" s="116" t="str">
        <f aca="false">IF($B45="","",IF(الموظفون!$Z45&lt;&gt;"",الموظفون!$Z45,cfg_MED)/12*G45/cfg_DAYS_M)</f>
        <v/>
      </c>
      <c r="AF45" s="116" t="str">
        <f aca="false">IF($B45="","",N(الموظفون!$AA45)/12*G45/cfg_DAYS_M)</f>
        <v/>
      </c>
      <c r="AG45" s="159" t="str">
        <f aca="false">IF($B45="","",T45+SUM(Z45:AF45))</f>
        <v/>
      </c>
      <c r="AH45" s="160" t="str">
        <f aca="false">IF($B45="","",MAX(0,IF(OR(الموظفون!$AE45="",الموظفون!$AE45&gt;$F$3),$F$3,الموظفون!$AE45)-الموظفون!$H45+1-SUMIFS('سجل الإجازات والحالات'!$AM$6:$AM$505,'سجل الإجازات والحالات'!$B$6:$B$505,$B45))/cfg_DAYS_Y)</f>
        <v/>
      </c>
      <c r="AI45" s="160" t="str">
        <f aca="false">IF($B45="","",MAX(0,IF(OR(الموظفون!$AE45="",الموظفون!$AE45&gt;($E$3-1)),($E$3-1),الموظفون!$AE45)-الموظفون!$H45+1-SUMIFS('سجل الإجازات والحالات'!$AL$6:$AL$505,'سجل الإجازات والحالات'!$B$6:$B$505,$B45))/cfg_DAYS_Y)</f>
        <v/>
      </c>
      <c r="AJ45" s="133" t="str">
        <f aca="false">IF($B45="","",MAX(0,AK45-(SUMIFS('سجل الإجازات والحالات'!$AM$6:$AM$505,'سجل الإجازات والحالات'!$B$6:$B$505,$B45)-SUMIFS('سجل الإجازات والحالات'!$AL$6:$AL$505,'سجل الإجازات والحالات'!$B$6:$B$505,$B45))))</f>
        <v/>
      </c>
      <c r="AK45" s="133" t="str">
        <f aca="false">IF($B45="","",MAX(0,IF(OR(الموظفون!$AE45="",الموظفون!$AE45&gt;$F$3),$F$3,الموظفون!$AE45)-MAX($E$3,الموظفون!$H45)+1))</f>
        <v/>
      </c>
      <c r="AL45" s="156" t="str">
        <f aca="false">IF($B45="","",SUMIFS('سجل الإجازات والحالات'!$AY$6:$AY$505,'سجل الإجازات والحالات'!$B$6:$B$505,$B45)+SUMIFS('الحركات الشهرية'!$K$6:$K$1005,'الحركات الشهرية'!$B$6:$B$1005,$B45,'الحركات الشهرية'!$A$6:$A$1005,$C$3))</f>
        <v/>
      </c>
      <c r="AM45" s="116" t="str">
        <f aca="false">IF($B45="","",AL45*الموظفون!$R45/cfg_DAYS_M+S45)</f>
        <v/>
      </c>
      <c r="AN45" s="156" t="str">
        <f aca="false">IF($B45="","",SUMIFS('سجل الإجازات والحالات'!$AA$6:$AA$505,'سجل الإجازات والحالات'!$B$6:$B$505,$B45))</f>
        <v/>
      </c>
    </row>
    <row r="46" customFormat="false" ht="15" hidden="false" customHeight="false" outlineLevel="0" collapsed="false">
      <c r="A46" s="106" t="str">
        <f aca="false">IF($B46="","",الموظفون!$A46)</f>
        <v/>
      </c>
      <c r="B46" s="114" t="str">
        <f aca="false">IF(الموظفون!$B46="","",الموظفون!$B46)</f>
        <v/>
      </c>
      <c r="C46" s="114" t="str">
        <f aca="false">IF($B46="","",الموظفون!$C46)</f>
        <v/>
      </c>
      <c r="D46" s="114" t="str">
        <f aca="false">IF($B46="","",الموظفون!$F46)</f>
        <v/>
      </c>
      <c r="E46" s="114" t="str">
        <f aca="false">IF($B46="","",الموظفون!$E46)</f>
        <v/>
      </c>
      <c r="F46" s="114" t="str">
        <f aca="false">IF($B46="","",IF(AK46=0,IF(AND(الموظفون!$AE46&lt;&gt;"",الموظفون!$AE46&lt;$E$3),"✖ منتهي الخدمة","⏳ لم يباشر"),IF(S46&gt;0,"✈ راتب إجازة مقدم",IF(J46=0,"⛔ بدون راتب هذا الشهر",IF(I46&gt;0,"✈ خصم "&amp;ROUND(I46,2)&amp;" يوم بدون أجر",IF(AL46&gt;0,"🌴 إجازة سنوية "&amp;ROUND(AL46,2)&amp;" يوم",IF(H46&gt;0,"⚠ غياب "&amp;ROUND(H46,2)&amp;" يوم","✔ على رأس العمل")))))))</f>
        <v/>
      </c>
      <c r="G46" s="151" t="str">
        <f aca="false">IF($B46="","",IF(AK46&gt;=DAY($F$3),cfg_DAYS_M,MIN(AK46,cfg_DAYS_M)))</f>
        <v/>
      </c>
      <c r="H46" s="151" t="str">
        <f aca="false">IF($B46="","",SUMIFS('الحركات الشهرية'!$D$6:$D$1005,'الحركات الشهرية'!$B$6:$B$1005,$B46,'الحركات الشهرية'!$A$6:$A$1005,$C$3))</f>
        <v/>
      </c>
      <c r="I46" s="151" t="str">
        <f aca="false">IF($B46="","",MIN(G46,IF(AND(AK46&gt;0,AN46&gt;=AK46),G46,AN46)+SUMIFS('الحركات الشهرية'!$E$6:$E$1005,'الحركات الشهرية'!$B$6:$B$1005,$B46,'الحركات الشهرية'!$A$6:$A$1005,$C$3)))</f>
        <v/>
      </c>
      <c r="J46" s="151" t="str">
        <f aca="false">IF($B46="","",MAX(0,G46-H46-I46))</f>
        <v/>
      </c>
      <c r="K46" s="111" t="str">
        <f aca="false">IF($B46="","",الموظفون!$L46*$J46/cfg_DAYS_M)</f>
        <v/>
      </c>
      <c r="L46" s="111" t="str">
        <f aca="false">IF($B46="","",الموظفون!$M46*$J46/cfg_DAYS_M)</f>
        <v/>
      </c>
      <c r="M46" s="111" t="str">
        <f aca="false">IF($B46="","",الموظفون!$N46*$J46/cfg_DAYS_M)</f>
        <v/>
      </c>
      <c r="N46" s="111" t="str">
        <f aca="false">IF($B46="","",الموظفون!$O46*$J46/cfg_DAYS_M)</f>
        <v/>
      </c>
      <c r="O46" s="151" t="str">
        <f aca="false">IF($B46="","",SUMIFS('الحركات الشهرية'!$F$6:$F$1005,'الحركات الشهرية'!$B$6:$B$1005,$B46,'الحركات الشهرية'!$A$6:$A$1005,$C$3))</f>
        <v/>
      </c>
      <c r="P46" s="111" t="str">
        <f aca="false">IF($B46="","",O46*(الموظفون!$P46+الموظفون!$L46*cfg_OT_P)/cfg_DAYS_M/cfg_HRS)</f>
        <v/>
      </c>
      <c r="Q46" s="111" t="str">
        <f aca="false">IF($B46="","",SUMIFS('الحركات الشهرية'!$G$6:$G$1005,'الحركات الشهرية'!$B$6:$B$1005,$B46,'الحركات الشهرية'!$A$6:$A$1005,$C$3))</f>
        <v/>
      </c>
      <c r="R46" s="111" t="str">
        <f aca="false">IF($B46="","",SUMIFS('الحركات الشهرية'!$H$6:$H$1005,'الحركات الشهرية'!$B$6:$B$1005,$B46,'الحركات الشهرية'!$A$6:$A$1005,$C$3))</f>
        <v/>
      </c>
      <c r="S46" s="111" t="str">
        <f aca="false">IF($B46="","",SUMIFS('سجل الإجازات والحالات'!$N$6:$N$505,'سجل الإجازات والحالات'!$B$6:$B$505,$B46,'سجل الإجازات والحالات'!$O$6:$O$505,$C$3))</f>
        <v/>
      </c>
      <c r="T46" s="152" t="str">
        <f aca="false">IF($B46="","",SUM(K46:N46)+SUM(P46:S46))</f>
        <v/>
      </c>
      <c r="U46" s="111" t="str">
        <f aca="false">IF($B46="","",الموظفون!$S46*IF(E46="سعودي",cfg_G_SE,cfg_G_NE)*G46/cfg_DAYS_M)</f>
        <v/>
      </c>
      <c r="V46" s="111" t="str">
        <f aca="false">IF($B46="","",SUMIFS('الحركات الشهرية'!$I$6:$I$1005,'الحركات الشهرية'!$B$6:$B$1005,$B46,'الحركات الشهرية'!$A$6:$A$1005,$C$3))</f>
        <v/>
      </c>
      <c r="W46" s="111" t="str">
        <f aca="false">IF($B46="","",SUMIFS('الحركات الشهرية'!$J$6:$J$1005,'الحركات الشهرية'!$B$6:$B$1005,$B46,'الحركات الشهرية'!$A$6:$A$1005,$C$3))</f>
        <v/>
      </c>
      <c r="X46" s="111" t="str">
        <f aca="false">IF($B46="","",SUM(U46:W46))</f>
        <v/>
      </c>
      <c r="Y46" s="153" t="str">
        <f aca="false">IF($B46="","",T46-X46)</f>
        <v/>
      </c>
      <c r="Z46" s="111" t="str">
        <f aca="false">IF($B46="","",الموظفون!$S46*IF(E46="سعودي",cfg_G_SR,cfg_G_NR)*G46/cfg_DAYS_M)</f>
        <v/>
      </c>
      <c r="AA46" s="111" t="str">
        <f aca="false">IF($B46="","",الموظفون!$Q46*(cfg_EOS_R1*(MIN(AH46,cfg_EOS_TH)-MIN(AI46,cfg_EOS_TH))+cfg_EOS_R2*(MAX(AH46-cfg_EOS_TH,0)-MAX(AI46-cfg_EOS_TH,0))))</f>
        <v/>
      </c>
      <c r="AB46" s="111" t="str">
        <f aca="false">IF($B46="","",IF(الموظفون!$T46&lt;&gt;"",الموظفون!$T46,IF(AH46&gt;=cfg_LV_TH,cfg_LV_D2,cfg_LV_D1))/cfg_DAYS_Y*AJ46*الموظفون!$R46/cfg_DAYS_M)</f>
        <v/>
      </c>
      <c r="AC46" s="111" t="str">
        <f aca="false">IF($B46="","",IF(AND(الموظفون!$U46="نعم",N(الموظفون!$W46)&gt;0),الموظفون!$V46/الموظفون!$W46*12/cfg_DAYS_Y*AJ46,0))</f>
        <v/>
      </c>
      <c r="AD46" s="111" t="str">
        <f aca="false">IF($B46="","",(IF(الموظفون!$X46&lt;&gt;"",الموظفون!$X46,IF(الموظفون!$E46="غير سعودي",cfg_IQ,0))+IF(الموظفون!$Y46&lt;&gt;"",الموظفون!$Y46,IF(الموظفون!$E46="غير سعودي",cfg_WP,0)))/12*G46/cfg_DAYS_M)</f>
        <v/>
      </c>
      <c r="AE46" s="111" t="str">
        <f aca="false">IF($B46="","",IF(الموظفون!$Z46&lt;&gt;"",الموظفون!$Z46,cfg_MED)/12*G46/cfg_DAYS_M)</f>
        <v/>
      </c>
      <c r="AF46" s="111" t="str">
        <f aca="false">IF($B46="","",N(الموظفون!$AA46)/12*G46/cfg_DAYS_M)</f>
        <v/>
      </c>
      <c r="AG46" s="154" t="str">
        <f aca="false">IF($B46="","",T46+SUM(Z46:AF46))</f>
        <v/>
      </c>
      <c r="AH46" s="155" t="str">
        <f aca="false">IF($B46="","",MAX(0,IF(OR(الموظفون!$AE46="",الموظفون!$AE46&gt;$F$3),$F$3,الموظفون!$AE46)-الموظفون!$H46+1-SUMIFS('سجل الإجازات والحالات'!$AM$6:$AM$505,'سجل الإجازات والحالات'!$B$6:$B$505,$B46))/cfg_DAYS_Y)</f>
        <v/>
      </c>
      <c r="AI46" s="155" t="str">
        <f aca="false">IF($B46="","",MAX(0,IF(OR(الموظفون!$AE46="",الموظفون!$AE46&gt;($E$3-1)),($E$3-1),الموظفون!$AE46)-الموظفون!$H46+1-SUMIFS('سجل الإجازات والحالات'!$AL$6:$AL$505,'سجل الإجازات والحالات'!$B$6:$B$505,$B46))/cfg_DAYS_Y)</f>
        <v/>
      </c>
      <c r="AJ46" s="65" t="str">
        <f aca="false">IF($B46="","",MAX(0,AK46-(SUMIFS('سجل الإجازات والحالات'!$AM$6:$AM$505,'سجل الإجازات والحالات'!$B$6:$B$505,$B46)-SUMIFS('سجل الإجازات والحالات'!$AL$6:$AL$505,'سجل الإجازات والحالات'!$B$6:$B$505,$B46))))</f>
        <v/>
      </c>
      <c r="AK46" s="65" t="str">
        <f aca="false">IF($B46="","",MAX(0,IF(OR(الموظفون!$AE46="",الموظفون!$AE46&gt;$F$3),$F$3,الموظفون!$AE46)-MAX($E$3,الموظفون!$H46)+1))</f>
        <v/>
      </c>
      <c r="AL46" s="151" t="str">
        <f aca="false">IF($B46="","",SUMIFS('سجل الإجازات والحالات'!$AY$6:$AY$505,'سجل الإجازات والحالات'!$B$6:$B$505,$B46)+SUMIFS('الحركات الشهرية'!$K$6:$K$1005,'الحركات الشهرية'!$B$6:$B$1005,$B46,'الحركات الشهرية'!$A$6:$A$1005,$C$3))</f>
        <v/>
      </c>
      <c r="AM46" s="111" t="str">
        <f aca="false">IF($B46="","",AL46*الموظفون!$R46/cfg_DAYS_M+S46)</f>
        <v/>
      </c>
      <c r="AN46" s="151" t="str">
        <f aca="false">IF($B46="","",SUMIFS('سجل الإجازات والحالات'!$AA$6:$AA$505,'سجل الإجازات والحالات'!$B$6:$B$505,$B46))</f>
        <v/>
      </c>
    </row>
    <row r="47" customFormat="false" ht="15" hidden="false" customHeight="false" outlineLevel="0" collapsed="false">
      <c r="A47" s="115" t="str">
        <f aca="false">IF($B47="","",الموظفون!$A47)</f>
        <v/>
      </c>
      <c r="B47" s="117" t="str">
        <f aca="false">IF(الموظفون!$B47="","",الموظفون!$B47)</f>
        <v/>
      </c>
      <c r="C47" s="117" t="str">
        <f aca="false">IF($B47="","",الموظفون!$C47)</f>
        <v/>
      </c>
      <c r="D47" s="117" t="str">
        <f aca="false">IF($B47="","",الموظفون!$F47)</f>
        <v/>
      </c>
      <c r="E47" s="117" t="str">
        <f aca="false">IF($B47="","",الموظفون!$E47)</f>
        <v/>
      </c>
      <c r="F47" s="117" t="str">
        <f aca="false">IF($B47="","",IF(AK47=0,IF(AND(الموظفون!$AE47&lt;&gt;"",الموظفون!$AE47&lt;$E$3),"✖ منتهي الخدمة","⏳ لم يباشر"),IF(S47&gt;0,"✈ راتب إجازة مقدم",IF(J47=0,"⛔ بدون راتب هذا الشهر",IF(I47&gt;0,"✈ خصم "&amp;ROUND(I47,2)&amp;" يوم بدون أجر",IF(AL47&gt;0,"🌴 إجازة سنوية "&amp;ROUND(AL47,2)&amp;" يوم",IF(H47&gt;0,"⚠ غياب "&amp;ROUND(H47,2)&amp;" يوم","✔ على رأس العمل")))))))</f>
        <v/>
      </c>
      <c r="G47" s="156" t="str">
        <f aca="false">IF($B47="","",IF(AK47&gt;=DAY($F$3),cfg_DAYS_M,MIN(AK47,cfg_DAYS_M)))</f>
        <v/>
      </c>
      <c r="H47" s="156" t="str">
        <f aca="false">IF($B47="","",SUMIFS('الحركات الشهرية'!$D$6:$D$1005,'الحركات الشهرية'!$B$6:$B$1005,$B47,'الحركات الشهرية'!$A$6:$A$1005,$C$3))</f>
        <v/>
      </c>
      <c r="I47" s="156" t="str">
        <f aca="false">IF($B47="","",MIN(G47,IF(AND(AK47&gt;0,AN47&gt;=AK47),G47,AN47)+SUMIFS('الحركات الشهرية'!$E$6:$E$1005,'الحركات الشهرية'!$B$6:$B$1005,$B47,'الحركات الشهرية'!$A$6:$A$1005,$C$3)))</f>
        <v/>
      </c>
      <c r="J47" s="156" t="str">
        <f aca="false">IF($B47="","",MAX(0,G47-H47-I47))</f>
        <v/>
      </c>
      <c r="K47" s="116" t="str">
        <f aca="false">IF($B47="","",الموظفون!$L47*$J47/cfg_DAYS_M)</f>
        <v/>
      </c>
      <c r="L47" s="116" t="str">
        <f aca="false">IF($B47="","",الموظفون!$M47*$J47/cfg_DAYS_M)</f>
        <v/>
      </c>
      <c r="M47" s="116" t="str">
        <f aca="false">IF($B47="","",الموظفون!$N47*$J47/cfg_DAYS_M)</f>
        <v/>
      </c>
      <c r="N47" s="116" t="str">
        <f aca="false">IF($B47="","",الموظفون!$O47*$J47/cfg_DAYS_M)</f>
        <v/>
      </c>
      <c r="O47" s="156" t="str">
        <f aca="false">IF($B47="","",SUMIFS('الحركات الشهرية'!$F$6:$F$1005,'الحركات الشهرية'!$B$6:$B$1005,$B47,'الحركات الشهرية'!$A$6:$A$1005,$C$3))</f>
        <v/>
      </c>
      <c r="P47" s="116" t="str">
        <f aca="false">IF($B47="","",O47*(الموظفون!$P47+الموظفون!$L47*cfg_OT_P)/cfg_DAYS_M/cfg_HRS)</f>
        <v/>
      </c>
      <c r="Q47" s="116" t="str">
        <f aca="false">IF($B47="","",SUMIFS('الحركات الشهرية'!$G$6:$G$1005,'الحركات الشهرية'!$B$6:$B$1005,$B47,'الحركات الشهرية'!$A$6:$A$1005,$C$3))</f>
        <v/>
      </c>
      <c r="R47" s="116" t="str">
        <f aca="false">IF($B47="","",SUMIFS('الحركات الشهرية'!$H$6:$H$1005,'الحركات الشهرية'!$B$6:$B$1005,$B47,'الحركات الشهرية'!$A$6:$A$1005,$C$3))</f>
        <v/>
      </c>
      <c r="S47" s="116" t="str">
        <f aca="false">IF($B47="","",SUMIFS('سجل الإجازات والحالات'!$N$6:$N$505,'سجل الإجازات والحالات'!$B$6:$B$505,$B47,'سجل الإجازات والحالات'!$O$6:$O$505,$C$3))</f>
        <v/>
      </c>
      <c r="T47" s="157" t="str">
        <f aca="false">IF($B47="","",SUM(K47:N47)+SUM(P47:S47))</f>
        <v/>
      </c>
      <c r="U47" s="116" t="str">
        <f aca="false">IF($B47="","",الموظفون!$S47*IF(E47="سعودي",cfg_G_SE,cfg_G_NE)*G47/cfg_DAYS_M)</f>
        <v/>
      </c>
      <c r="V47" s="116" t="str">
        <f aca="false">IF($B47="","",SUMIFS('الحركات الشهرية'!$I$6:$I$1005,'الحركات الشهرية'!$B$6:$B$1005,$B47,'الحركات الشهرية'!$A$6:$A$1005,$C$3))</f>
        <v/>
      </c>
      <c r="W47" s="116" t="str">
        <f aca="false">IF($B47="","",SUMIFS('الحركات الشهرية'!$J$6:$J$1005,'الحركات الشهرية'!$B$6:$B$1005,$B47,'الحركات الشهرية'!$A$6:$A$1005,$C$3))</f>
        <v/>
      </c>
      <c r="X47" s="116" t="str">
        <f aca="false">IF($B47="","",SUM(U47:W47))</f>
        <v/>
      </c>
      <c r="Y47" s="158" t="str">
        <f aca="false">IF($B47="","",T47-X47)</f>
        <v/>
      </c>
      <c r="Z47" s="116" t="str">
        <f aca="false">IF($B47="","",الموظفون!$S47*IF(E47="سعودي",cfg_G_SR,cfg_G_NR)*G47/cfg_DAYS_M)</f>
        <v/>
      </c>
      <c r="AA47" s="116" t="str">
        <f aca="false">IF($B47="","",الموظفون!$Q47*(cfg_EOS_R1*(MIN(AH47,cfg_EOS_TH)-MIN(AI47,cfg_EOS_TH))+cfg_EOS_R2*(MAX(AH47-cfg_EOS_TH,0)-MAX(AI47-cfg_EOS_TH,0))))</f>
        <v/>
      </c>
      <c r="AB47" s="116" t="str">
        <f aca="false">IF($B47="","",IF(الموظفون!$T47&lt;&gt;"",الموظفون!$T47,IF(AH47&gt;=cfg_LV_TH,cfg_LV_D2,cfg_LV_D1))/cfg_DAYS_Y*AJ47*الموظفون!$R47/cfg_DAYS_M)</f>
        <v/>
      </c>
      <c r="AC47" s="116" t="str">
        <f aca="false">IF($B47="","",IF(AND(الموظفون!$U47="نعم",N(الموظفون!$W47)&gt;0),الموظفون!$V47/الموظفون!$W47*12/cfg_DAYS_Y*AJ47,0))</f>
        <v/>
      </c>
      <c r="AD47" s="116" t="str">
        <f aca="false">IF($B47="","",(IF(الموظفون!$X47&lt;&gt;"",الموظفون!$X47,IF(الموظفون!$E47="غير سعودي",cfg_IQ,0))+IF(الموظفون!$Y47&lt;&gt;"",الموظفون!$Y47,IF(الموظفون!$E47="غير سعودي",cfg_WP,0)))/12*G47/cfg_DAYS_M)</f>
        <v/>
      </c>
      <c r="AE47" s="116" t="str">
        <f aca="false">IF($B47="","",IF(الموظفون!$Z47&lt;&gt;"",الموظفون!$Z47,cfg_MED)/12*G47/cfg_DAYS_M)</f>
        <v/>
      </c>
      <c r="AF47" s="116" t="str">
        <f aca="false">IF($B47="","",N(الموظفون!$AA47)/12*G47/cfg_DAYS_M)</f>
        <v/>
      </c>
      <c r="AG47" s="159" t="str">
        <f aca="false">IF($B47="","",T47+SUM(Z47:AF47))</f>
        <v/>
      </c>
      <c r="AH47" s="160" t="str">
        <f aca="false">IF($B47="","",MAX(0,IF(OR(الموظفون!$AE47="",الموظفون!$AE47&gt;$F$3),$F$3,الموظفون!$AE47)-الموظفون!$H47+1-SUMIFS('سجل الإجازات والحالات'!$AM$6:$AM$505,'سجل الإجازات والحالات'!$B$6:$B$505,$B47))/cfg_DAYS_Y)</f>
        <v/>
      </c>
      <c r="AI47" s="160" t="str">
        <f aca="false">IF($B47="","",MAX(0,IF(OR(الموظفون!$AE47="",الموظفون!$AE47&gt;($E$3-1)),($E$3-1),الموظفون!$AE47)-الموظفون!$H47+1-SUMIFS('سجل الإجازات والحالات'!$AL$6:$AL$505,'سجل الإجازات والحالات'!$B$6:$B$505,$B47))/cfg_DAYS_Y)</f>
        <v/>
      </c>
      <c r="AJ47" s="133" t="str">
        <f aca="false">IF($B47="","",MAX(0,AK47-(SUMIFS('سجل الإجازات والحالات'!$AM$6:$AM$505,'سجل الإجازات والحالات'!$B$6:$B$505,$B47)-SUMIFS('سجل الإجازات والحالات'!$AL$6:$AL$505,'سجل الإجازات والحالات'!$B$6:$B$505,$B47))))</f>
        <v/>
      </c>
      <c r="AK47" s="133" t="str">
        <f aca="false">IF($B47="","",MAX(0,IF(OR(الموظفون!$AE47="",الموظفون!$AE47&gt;$F$3),$F$3,الموظفون!$AE47)-MAX($E$3,الموظفون!$H47)+1))</f>
        <v/>
      </c>
      <c r="AL47" s="156" t="str">
        <f aca="false">IF($B47="","",SUMIFS('سجل الإجازات والحالات'!$AY$6:$AY$505,'سجل الإجازات والحالات'!$B$6:$B$505,$B47)+SUMIFS('الحركات الشهرية'!$K$6:$K$1005,'الحركات الشهرية'!$B$6:$B$1005,$B47,'الحركات الشهرية'!$A$6:$A$1005,$C$3))</f>
        <v/>
      </c>
      <c r="AM47" s="116" t="str">
        <f aca="false">IF($B47="","",AL47*الموظفون!$R47/cfg_DAYS_M+S47)</f>
        <v/>
      </c>
      <c r="AN47" s="156" t="str">
        <f aca="false">IF($B47="","",SUMIFS('سجل الإجازات والحالات'!$AA$6:$AA$505,'سجل الإجازات والحالات'!$B$6:$B$505,$B47))</f>
        <v/>
      </c>
    </row>
    <row r="48" customFormat="false" ht="15" hidden="false" customHeight="false" outlineLevel="0" collapsed="false">
      <c r="A48" s="106" t="str">
        <f aca="false">IF($B48="","",الموظفون!$A48)</f>
        <v/>
      </c>
      <c r="B48" s="114" t="str">
        <f aca="false">IF(الموظفون!$B48="","",الموظفون!$B48)</f>
        <v/>
      </c>
      <c r="C48" s="114" t="str">
        <f aca="false">IF($B48="","",الموظفون!$C48)</f>
        <v/>
      </c>
      <c r="D48" s="114" t="str">
        <f aca="false">IF($B48="","",الموظفون!$F48)</f>
        <v/>
      </c>
      <c r="E48" s="114" t="str">
        <f aca="false">IF($B48="","",الموظفون!$E48)</f>
        <v/>
      </c>
      <c r="F48" s="114" t="str">
        <f aca="false">IF($B48="","",IF(AK48=0,IF(AND(الموظفون!$AE48&lt;&gt;"",الموظفون!$AE48&lt;$E$3),"✖ منتهي الخدمة","⏳ لم يباشر"),IF(S48&gt;0,"✈ راتب إجازة مقدم",IF(J48=0,"⛔ بدون راتب هذا الشهر",IF(I48&gt;0,"✈ خصم "&amp;ROUND(I48,2)&amp;" يوم بدون أجر",IF(AL48&gt;0,"🌴 إجازة سنوية "&amp;ROUND(AL48,2)&amp;" يوم",IF(H48&gt;0,"⚠ غياب "&amp;ROUND(H48,2)&amp;" يوم","✔ على رأس العمل")))))))</f>
        <v/>
      </c>
      <c r="G48" s="151" t="str">
        <f aca="false">IF($B48="","",IF(AK48&gt;=DAY($F$3),cfg_DAYS_M,MIN(AK48,cfg_DAYS_M)))</f>
        <v/>
      </c>
      <c r="H48" s="151" t="str">
        <f aca="false">IF($B48="","",SUMIFS('الحركات الشهرية'!$D$6:$D$1005,'الحركات الشهرية'!$B$6:$B$1005,$B48,'الحركات الشهرية'!$A$6:$A$1005,$C$3))</f>
        <v/>
      </c>
      <c r="I48" s="151" t="str">
        <f aca="false">IF($B48="","",MIN(G48,IF(AND(AK48&gt;0,AN48&gt;=AK48),G48,AN48)+SUMIFS('الحركات الشهرية'!$E$6:$E$1005,'الحركات الشهرية'!$B$6:$B$1005,$B48,'الحركات الشهرية'!$A$6:$A$1005,$C$3)))</f>
        <v/>
      </c>
      <c r="J48" s="151" t="str">
        <f aca="false">IF($B48="","",MAX(0,G48-H48-I48))</f>
        <v/>
      </c>
      <c r="K48" s="111" t="str">
        <f aca="false">IF($B48="","",الموظفون!$L48*$J48/cfg_DAYS_M)</f>
        <v/>
      </c>
      <c r="L48" s="111" t="str">
        <f aca="false">IF($B48="","",الموظفون!$M48*$J48/cfg_DAYS_M)</f>
        <v/>
      </c>
      <c r="M48" s="111" t="str">
        <f aca="false">IF($B48="","",الموظفون!$N48*$J48/cfg_DAYS_M)</f>
        <v/>
      </c>
      <c r="N48" s="111" t="str">
        <f aca="false">IF($B48="","",الموظفون!$O48*$J48/cfg_DAYS_M)</f>
        <v/>
      </c>
      <c r="O48" s="151" t="str">
        <f aca="false">IF($B48="","",SUMIFS('الحركات الشهرية'!$F$6:$F$1005,'الحركات الشهرية'!$B$6:$B$1005,$B48,'الحركات الشهرية'!$A$6:$A$1005,$C$3))</f>
        <v/>
      </c>
      <c r="P48" s="111" t="str">
        <f aca="false">IF($B48="","",O48*(الموظفون!$P48+الموظفون!$L48*cfg_OT_P)/cfg_DAYS_M/cfg_HRS)</f>
        <v/>
      </c>
      <c r="Q48" s="111" t="str">
        <f aca="false">IF($B48="","",SUMIFS('الحركات الشهرية'!$G$6:$G$1005,'الحركات الشهرية'!$B$6:$B$1005,$B48,'الحركات الشهرية'!$A$6:$A$1005,$C$3))</f>
        <v/>
      </c>
      <c r="R48" s="111" t="str">
        <f aca="false">IF($B48="","",SUMIFS('الحركات الشهرية'!$H$6:$H$1005,'الحركات الشهرية'!$B$6:$B$1005,$B48,'الحركات الشهرية'!$A$6:$A$1005,$C$3))</f>
        <v/>
      </c>
      <c r="S48" s="111" t="str">
        <f aca="false">IF($B48="","",SUMIFS('سجل الإجازات والحالات'!$N$6:$N$505,'سجل الإجازات والحالات'!$B$6:$B$505,$B48,'سجل الإجازات والحالات'!$O$6:$O$505,$C$3))</f>
        <v/>
      </c>
      <c r="T48" s="152" t="str">
        <f aca="false">IF($B48="","",SUM(K48:N48)+SUM(P48:S48))</f>
        <v/>
      </c>
      <c r="U48" s="111" t="str">
        <f aca="false">IF($B48="","",الموظفون!$S48*IF(E48="سعودي",cfg_G_SE,cfg_G_NE)*G48/cfg_DAYS_M)</f>
        <v/>
      </c>
      <c r="V48" s="111" t="str">
        <f aca="false">IF($B48="","",SUMIFS('الحركات الشهرية'!$I$6:$I$1005,'الحركات الشهرية'!$B$6:$B$1005,$B48,'الحركات الشهرية'!$A$6:$A$1005,$C$3))</f>
        <v/>
      </c>
      <c r="W48" s="111" t="str">
        <f aca="false">IF($B48="","",SUMIFS('الحركات الشهرية'!$J$6:$J$1005,'الحركات الشهرية'!$B$6:$B$1005,$B48,'الحركات الشهرية'!$A$6:$A$1005,$C$3))</f>
        <v/>
      </c>
      <c r="X48" s="111" t="str">
        <f aca="false">IF($B48="","",SUM(U48:W48))</f>
        <v/>
      </c>
      <c r="Y48" s="153" t="str">
        <f aca="false">IF($B48="","",T48-X48)</f>
        <v/>
      </c>
      <c r="Z48" s="111" t="str">
        <f aca="false">IF($B48="","",الموظفون!$S48*IF(E48="سعودي",cfg_G_SR,cfg_G_NR)*G48/cfg_DAYS_M)</f>
        <v/>
      </c>
      <c r="AA48" s="111" t="str">
        <f aca="false">IF($B48="","",الموظفون!$Q48*(cfg_EOS_R1*(MIN(AH48,cfg_EOS_TH)-MIN(AI48,cfg_EOS_TH))+cfg_EOS_R2*(MAX(AH48-cfg_EOS_TH,0)-MAX(AI48-cfg_EOS_TH,0))))</f>
        <v/>
      </c>
      <c r="AB48" s="111" t="str">
        <f aca="false">IF($B48="","",IF(الموظفون!$T48&lt;&gt;"",الموظفون!$T48,IF(AH48&gt;=cfg_LV_TH,cfg_LV_D2,cfg_LV_D1))/cfg_DAYS_Y*AJ48*الموظفون!$R48/cfg_DAYS_M)</f>
        <v/>
      </c>
      <c r="AC48" s="111" t="str">
        <f aca="false">IF($B48="","",IF(AND(الموظفون!$U48="نعم",N(الموظفون!$W48)&gt;0),الموظفون!$V48/الموظفون!$W48*12/cfg_DAYS_Y*AJ48,0))</f>
        <v/>
      </c>
      <c r="AD48" s="111" t="str">
        <f aca="false">IF($B48="","",(IF(الموظفون!$X48&lt;&gt;"",الموظفون!$X48,IF(الموظفون!$E48="غير سعودي",cfg_IQ,0))+IF(الموظفون!$Y48&lt;&gt;"",الموظفون!$Y48,IF(الموظفون!$E48="غير سعودي",cfg_WP,0)))/12*G48/cfg_DAYS_M)</f>
        <v/>
      </c>
      <c r="AE48" s="111" t="str">
        <f aca="false">IF($B48="","",IF(الموظفون!$Z48&lt;&gt;"",الموظفون!$Z48,cfg_MED)/12*G48/cfg_DAYS_M)</f>
        <v/>
      </c>
      <c r="AF48" s="111" t="str">
        <f aca="false">IF($B48="","",N(الموظفون!$AA48)/12*G48/cfg_DAYS_M)</f>
        <v/>
      </c>
      <c r="AG48" s="154" t="str">
        <f aca="false">IF($B48="","",T48+SUM(Z48:AF48))</f>
        <v/>
      </c>
      <c r="AH48" s="155" t="str">
        <f aca="false">IF($B48="","",MAX(0,IF(OR(الموظفون!$AE48="",الموظفون!$AE48&gt;$F$3),$F$3,الموظفون!$AE48)-الموظفون!$H48+1-SUMIFS('سجل الإجازات والحالات'!$AM$6:$AM$505,'سجل الإجازات والحالات'!$B$6:$B$505,$B48))/cfg_DAYS_Y)</f>
        <v/>
      </c>
      <c r="AI48" s="155" t="str">
        <f aca="false">IF($B48="","",MAX(0,IF(OR(الموظفون!$AE48="",الموظفون!$AE48&gt;($E$3-1)),($E$3-1),الموظفون!$AE48)-الموظفون!$H48+1-SUMIFS('سجل الإجازات والحالات'!$AL$6:$AL$505,'سجل الإجازات والحالات'!$B$6:$B$505,$B48))/cfg_DAYS_Y)</f>
        <v/>
      </c>
      <c r="AJ48" s="65" t="str">
        <f aca="false">IF($B48="","",MAX(0,AK48-(SUMIFS('سجل الإجازات والحالات'!$AM$6:$AM$505,'سجل الإجازات والحالات'!$B$6:$B$505,$B48)-SUMIFS('سجل الإجازات والحالات'!$AL$6:$AL$505,'سجل الإجازات والحالات'!$B$6:$B$505,$B48))))</f>
        <v/>
      </c>
      <c r="AK48" s="65" t="str">
        <f aca="false">IF($B48="","",MAX(0,IF(OR(الموظفون!$AE48="",الموظفون!$AE48&gt;$F$3),$F$3,الموظفون!$AE48)-MAX($E$3,الموظفون!$H48)+1))</f>
        <v/>
      </c>
      <c r="AL48" s="151" t="str">
        <f aca="false">IF($B48="","",SUMIFS('سجل الإجازات والحالات'!$AY$6:$AY$505,'سجل الإجازات والحالات'!$B$6:$B$505,$B48)+SUMIFS('الحركات الشهرية'!$K$6:$K$1005,'الحركات الشهرية'!$B$6:$B$1005,$B48,'الحركات الشهرية'!$A$6:$A$1005,$C$3))</f>
        <v/>
      </c>
      <c r="AM48" s="111" t="str">
        <f aca="false">IF($B48="","",AL48*الموظفون!$R48/cfg_DAYS_M+S48)</f>
        <v/>
      </c>
      <c r="AN48" s="151" t="str">
        <f aca="false">IF($B48="","",SUMIFS('سجل الإجازات والحالات'!$AA$6:$AA$505,'سجل الإجازات والحالات'!$B$6:$B$505,$B48))</f>
        <v/>
      </c>
    </row>
    <row r="49" customFormat="false" ht="15" hidden="false" customHeight="false" outlineLevel="0" collapsed="false">
      <c r="A49" s="115" t="str">
        <f aca="false">IF($B49="","",الموظفون!$A49)</f>
        <v/>
      </c>
      <c r="B49" s="117" t="str">
        <f aca="false">IF(الموظفون!$B49="","",الموظفون!$B49)</f>
        <v/>
      </c>
      <c r="C49" s="117" t="str">
        <f aca="false">IF($B49="","",الموظفون!$C49)</f>
        <v/>
      </c>
      <c r="D49" s="117" t="str">
        <f aca="false">IF($B49="","",الموظفون!$F49)</f>
        <v/>
      </c>
      <c r="E49" s="117" t="str">
        <f aca="false">IF($B49="","",الموظفون!$E49)</f>
        <v/>
      </c>
      <c r="F49" s="117" t="str">
        <f aca="false">IF($B49="","",IF(AK49=0,IF(AND(الموظفون!$AE49&lt;&gt;"",الموظفون!$AE49&lt;$E$3),"✖ منتهي الخدمة","⏳ لم يباشر"),IF(S49&gt;0,"✈ راتب إجازة مقدم",IF(J49=0,"⛔ بدون راتب هذا الشهر",IF(I49&gt;0,"✈ خصم "&amp;ROUND(I49,2)&amp;" يوم بدون أجر",IF(AL49&gt;0,"🌴 إجازة سنوية "&amp;ROUND(AL49,2)&amp;" يوم",IF(H49&gt;0,"⚠ غياب "&amp;ROUND(H49,2)&amp;" يوم","✔ على رأس العمل")))))))</f>
        <v/>
      </c>
      <c r="G49" s="156" t="str">
        <f aca="false">IF($B49="","",IF(AK49&gt;=DAY($F$3),cfg_DAYS_M,MIN(AK49,cfg_DAYS_M)))</f>
        <v/>
      </c>
      <c r="H49" s="156" t="str">
        <f aca="false">IF($B49="","",SUMIFS('الحركات الشهرية'!$D$6:$D$1005,'الحركات الشهرية'!$B$6:$B$1005,$B49,'الحركات الشهرية'!$A$6:$A$1005,$C$3))</f>
        <v/>
      </c>
      <c r="I49" s="156" t="str">
        <f aca="false">IF($B49="","",MIN(G49,IF(AND(AK49&gt;0,AN49&gt;=AK49),G49,AN49)+SUMIFS('الحركات الشهرية'!$E$6:$E$1005,'الحركات الشهرية'!$B$6:$B$1005,$B49,'الحركات الشهرية'!$A$6:$A$1005,$C$3)))</f>
        <v/>
      </c>
      <c r="J49" s="156" t="str">
        <f aca="false">IF($B49="","",MAX(0,G49-H49-I49))</f>
        <v/>
      </c>
      <c r="K49" s="116" t="str">
        <f aca="false">IF($B49="","",الموظفون!$L49*$J49/cfg_DAYS_M)</f>
        <v/>
      </c>
      <c r="L49" s="116" t="str">
        <f aca="false">IF($B49="","",الموظفون!$M49*$J49/cfg_DAYS_M)</f>
        <v/>
      </c>
      <c r="M49" s="116" t="str">
        <f aca="false">IF($B49="","",الموظفون!$N49*$J49/cfg_DAYS_M)</f>
        <v/>
      </c>
      <c r="N49" s="116" t="str">
        <f aca="false">IF($B49="","",الموظفون!$O49*$J49/cfg_DAYS_M)</f>
        <v/>
      </c>
      <c r="O49" s="156" t="str">
        <f aca="false">IF($B49="","",SUMIFS('الحركات الشهرية'!$F$6:$F$1005,'الحركات الشهرية'!$B$6:$B$1005,$B49,'الحركات الشهرية'!$A$6:$A$1005,$C$3))</f>
        <v/>
      </c>
      <c r="P49" s="116" t="str">
        <f aca="false">IF($B49="","",O49*(الموظفون!$P49+الموظفون!$L49*cfg_OT_P)/cfg_DAYS_M/cfg_HRS)</f>
        <v/>
      </c>
      <c r="Q49" s="116" t="str">
        <f aca="false">IF($B49="","",SUMIFS('الحركات الشهرية'!$G$6:$G$1005,'الحركات الشهرية'!$B$6:$B$1005,$B49,'الحركات الشهرية'!$A$6:$A$1005,$C$3))</f>
        <v/>
      </c>
      <c r="R49" s="116" t="str">
        <f aca="false">IF($B49="","",SUMIFS('الحركات الشهرية'!$H$6:$H$1005,'الحركات الشهرية'!$B$6:$B$1005,$B49,'الحركات الشهرية'!$A$6:$A$1005,$C$3))</f>
        <v/>
      </c>
      <c r="S49" s="116" t="str">
        <f aca="false">IF($B49="","",SUMIFS('سجل الإجازات والحالات'!$N$6:$N$505,'سجل الإجازات والحالات'!$B$6:$B$505,$B49,'سجل الإجازات والحالات'!$O$6:$O$505,$C$3))</f>
        <v/>
      </c>
      <c r="T49" s="157" t="str">
        <f aca="false">IF($B49="","",SUM(K49:N49)+SUM(P49:S49))</f>
        <v/>
      </c>
      <c r="U49" s="116" t="str">
        <f aca="false">IF($B49="","",الموظفون!$S49*IF(E49="سعودي",cfg_G_SE,cfg_G_NE)*G49/cfg_DAYS_M)</f>
        <v/>
      </c>
      <c r="V49" s="116" t="str">
        <f aca="false">IF($B49="","",SUMIFS('الحركات الشهرية'!$I$6:$I$1005,'الحركات الشهرية'!$B$6:$B$1005,$B49,'الحركات الشهرية'!$A$6:$A$1005,$C$3))</f>
        <v/>
      </c>
      <c r="W49" s="116" t="str">
        <f aca="false">IF($B49="","",SUMIFS('الحركات الشهرية'!$J$6:$J$1005,'الحركات الشهرية'!$B$6:$B$1005,$B49,'الحركات الشهرية'!$A$6:$A$1005,$C$3))</f>
        <v/>
      </c>
      <c r="X49" s="116" t="str">
        <f aca="false">IF($B49="","",SUM(U49:W49))</f>
        <v/>
      </c>
      <c r="Y49" s="158" t="str">
        <f aca="false">IF($B49="","",T49-X49)</f>
        <v/>
      </c>
      <c r="Z49" s="116" t="str">
        <f aca="false">IF($B49="","",الموظفون!$S49*IF(E49="سعودي",cfg_G_SR,cfg_G_NR)*G49/cfg_DAYS_M)</f>
        <v/>
      </c>
      <c r="AA49" s="116" t="str">
        <f aca="false">IF($B49="","",الموظفون!$Q49*(cfg_EOS_R1*(MIN(AH49,cfg_EOS_TH)-MIN(AI49,cfg_EOS_TH))+cfg_EOS_R2*(MAX(AH49-cfg_EOS_TH,0)-MAX(AI49-cfg_EOS_TH,0))))</f>
        <v/>
      </c>
      <c r="AB49" s="116" t="str">
        <f aca="false">IF($B49="","",IF(الموظفون!$T49&lt;&gt;"",الموظفون!$T49,IF(AH49&gt;=cfg_LV_TH,cfg_LV_D2,cfg_LV_D1))/cfg_DAYS_Y*AJ49*الموظفون!$R49/cfg_DAYS_M)</f>
        <v/>
      </c>
      <c r="AC49" s="116" t="str">
        <f aca="false">IF($B49="","",IF(AND(الموظفون!$U49="نعم",N(الموظفون!$W49)&gt;0),الموظفون!$V49/الموظفون!$W49*12/cfg_DAYS_Y*AJ49,0))</f>
        <v/>
      </c>
      <c r="AD49" s="116" t="str">
        <f aca="false">IF($B49="","",(IF(الموظفون!$X49&lt;&gt;"",الموظفون!$X49,IF(الموظفون!$E49="غير سعودي",cfg_IQ,0))+IF(الموظفون!$Y49&lt;&gt;"",الموظفون!$Y49,IF(الموظفون!$E49="غير سعودي",cfg_WP,0)))/12*G49/cfg_DAYS_M)</f>
        <v/>
      </c>
      <c r="AE49" s="116" t="str">
        <f aca="false">IF($B49="","",IF(الموظفون!$Z49&lt;&gt;"",الموظفون!$Z49,cfg_MED)/12*G49/cfg_DAYS_M)</f>
        <v/>
      </c>
      <c r="AF49" s="116" t="str">
        <f aca="false">IF($B49="","",N(الموظفون!$AA49)/12*G49/cfg_DAYS_M)</f>
        <v/>
      </c>
      <c r="AG49" s="159" t="str">
        <f aca="false">IF($B49="","",T49+SUM(Z49:AF49))</f>
        <v/>
      </c>
      <c r="AH49" s="160" t="str">
        <f aca="false">IF($B49="","",MAX(0,IF(OR(الموظفون!$AE49="",الموظفون!$AE49&gt;$F$3),$F$3,الموظفون!$AE49)-الموظفون!$H49+1-SUMIFS('سجل الإجازات والحالات'!$AM$6:$AM$505,'سجل الإجازات والحالات'!$B$6:$B$505,$B49))/cfg_DAYS_Y)</f>
        <v/>
      </c>
      <c r="AI49" s="160" t="str">
        <f aca="false">IF($B49="","",MAX(0,IF(OR(الموظفون!$AE49="",الموظفون!$AE49&gt;($E$3-1)),($E$3-1),الموظفون!$AE49)-الموظفون!$H49+1-SUMIFS('سجل الإجازات والحالات'!$AL$6:$AL$505,'سجل الإجازات والحالات'!$B$6:$B$505,$B49))/cfg_DAYS_Y)</f>
        <v/>
      </c>
      <c r="AJ49" s="133" t="str">
        <f aca="false">IF($B49="","",MAX(0,AK49-(SUMIFS('سجل الإجازات والحالات'!$AM$6:$AM$505,'سجل الإجازات والحالات'!$B$6:$B$505,$B49)-SUMIFS('سجل الإجازات والحالات'!$AL$6:$AL$505,'سجل الإجازات والحالات'!$B$6:$B$505,$B49))))</f>
        <v/>
      </c>
      <c r="AK49" s="133" t="str">
        <f aca="false">IF($B49="","",MAX(0,IF(OR(الموظفون!$AE49="",الموظفون!$AE49&gt;$F$3),$F$3,الموظفون!$AE49)-MAX($E$3,الموظفون!$H49)+1))</f>
        <v/>
      </c>
      <c r="AL49" s="156" t="str">
        <f aca="false">IF($B49="","",SUMIFS('سجل الإجازات والحالات'!$AY$6:$AY$505,'سجل الإجازات والحالات'!$B$6:$B$505,$B49)+SUMIFS('الحركات الشهرية'!$K$6:$K$1005,'الحركات الشهرية'!$B$6:$B$1005,$B49,'الحركات الشهرية'!$A$6:$A$1005,$C$3))</f>
        <v/>
      </c>
      <c r="AM49" s="116" t="str">
        <f aca="false">IF($B49="","",AL49*الموظفون!$R49/cfg_DAYS_M+S49)</f>
        <v/>
      </c>
      <c r="AN49" s="156" t="str">
        <f aca="false">IF($B49="","",SUMIFS('سجل الإجازات والحالات'!$AA$6:$AA$505,'سجل الإجازات والحالات'!$B$6:$B$505,$B49))</f>
        <v/>
      </c>
    </row>
    <row r="50" customFormat="false" ht="15" hidden="false" customHeight="false" outlineLevel="0" collapsed="false">
      <c r="A50" s="106" t="str">
        <f aca="false">IF($B50="","",الموظفون!$A50)</f>
        <v/>
      </c>
      <c r="B50" s="114" t="str">
        <f aca="false">IF(الموظفون!$B50="","",الموظفون!$B50)</f>
        <v/>
      </c>
      <c r="C50" s="114" t="str">
        <f aca="false">IF($B50="","",الموظفون!$C50)</f>
        <v/>
      </c>
      <c r="D50" s="114" t="str">
        <f aca="false">IF($B50="","",الموظفون!$F50)</f>
        <v/>
      </c>
      <c r="E50" s="114" t="str">
        <f aca="false">IF($B50="","",الموظفون!$E50)</f>
        <v/>
      </c>
      <c r="F50" s="114" t="str">
        <f aca="false">IF($B50="","",IF(AK50=0,IF(AND(الموظفون!$AE50&lt;&gt;"",الموظفون!$AE50&lt;$E$3),"✖ منتهي الخدمة","⏳ لم يباشر"),IF(S50&gt;0,"✈ راتب إجازة مقدم",IF(J50=0,"⛔ بدون راتب هذا الشهر",IF(I50&gt;0,"✈ خصم "&amp;ROUND(I50,2)&amp;" يوم بدون أجر",IF(AL50&gt;0,"🌴 إجازة سنوية "&amp;ROUND(AL50,2)&amp;" يوم",IF(H50&gt;0,"⚠ غياب "&amp;ROUND(H50,2)&amp;" يوم","✔ على رأس العمل")))))))</f>
        <v/>
      </c>
      <c r="G50" s="151" t="str">
        <f aca="false">IF($B50="","",IF(AK50&gt;=DAY($F$3),cfg_DAYS_M,MIN(AK50,cfg_DAYS_M)))</f>
        <v/>
      </c>
      <c r="H50" s="151" t="str">
        <f aca="false">IF($B50="","",SUMIFS('الحركات الشهرية'!$D$6:$D$1005,'الحركات الشهرية'!$B$6:$B$1005,$B50,'الحركات الشهرية'!$A$6:$A$1005,$C$3))</f>
        <v/>
      </c>
      <c r="I50" s="151" t="str">
        <f aca="false">IF($B50="","",MIN(G50,IF(AND(AK50&gt;0,AN50&gt;=AK50),G50,AN50)+SUMIFS('الحركات الشهرية'!$E$6:$E$1005,'الحركات الشهرية'!$B$6:$B$1005,$B50,'الحركات الشهرية'!$A$6:$A$1005,$C$3)))</f>
        <v/>
      </c>
      <c r="J50" s="151" t="str">
        <f aca="false">IF($B50="","",MAX(0,G50-H50-I50))</f>
        <v/>
      </c>
      <c r="K50" s="111" t="str">
        <f aca="false">IF($B50="","",الموظفون!$L50*$J50/cfg_DAYS_M)</f>
        <v/>
      </c>
      <c r="L50" s="111" t="str">
        <f aca="false">IF($B50="","",الموظفون!$M50*$J50/cfg_DAYS_M)</f>
        <v/>
      </c>
      <c r="M50" s="111" t="str">
        <f aca="false">IF($B50="","",الموظفون!$N50*$J50/cfg_DAYS_M)</f>
        <v/>
      </c>
      <c r="N50" s="111" t="str">
        <f aca="false">IF($B50="","",الموظفون!$O50*$J50/cfg_DAYS_M)</f>
        <v/>
      </c>
      <c r="O50" s="151" t="str">
        <f aca="false">IF($B50="","",SUMIFS('الحركات الشهرية'!$F$6:$F$1005,'الحركات الشهرية'!$B$6:$B$1005,$B50,'الحركات الشهرية'!$A$6:$A$1005,$C$3))</f>
        <v/>
      </c>
      <c r="P50" s="111" t="str">
        <f aca="false">IF($B50="","",O50*(الموظفون!$P50+الموظفون!$L50*cfg_OT_P)/cfg_DAYS_M/cfg_HRS)</f>
        <v/>
      </c>
      <c r="Q50" s="111" t="str">
        <f aca="false">IF($B50="","",SUMIFS('الحركات الشهرية'!$G$6:$G$1005,'الحركات الشهرية'!$B$6:$B$1005,$B50,'الحركات الشهرية'!$A$6:$A$1005,$C$3))</f>
        <v/>
      </c>
      <c r="R50" s="111" t="str">
        <f aca="false">IF($B50="","",SUMIFS('الحركات الشهرية'!$H$6:$H$1005,'الحركات الشهرية'!$B$6:$B$1005,$B50,'الحركات الشهرية'!$A$6:$A$1005,$C$3))</f>
        <v/>
      </c>
      <c r="S50" s="111" t="str">
        <f aca="false">IF($B50="","",SUMIFS('سجل الإجازات والحالات'!$N$6:$N$505,'سجل الإجازات والحالات'!$B$6:$B$505,$B50,'سجل الإجازات والحالات'!$O$6:$O$505,$C$3))</f>
        <v/>
      </c>
      <c r="T50" s="152" t="str">
        <f aca="false">IF($B50="","",SUM(K50:N50)+SUM(P50:S50))</f>
        <v/>
      </c>
      <c r="U50" s="111" t="str">
        <f aca="false">IF($B50="","",الموظفون!$S50*IF(E50="سعودي",cfg_G_SE,cfg_G_NE)*G50/cfg_DAYS_M)</f>
        <v/>
      </c>
      <c r="V50" s="111" t="str">
        <f aca="false">IF($B50="","",SUMIFS('الحركات الشهرية'!$I$6:$I$1005,'الحركات الشهرية'!$B$6:$B$1005,$B50,'الحركات الشهرية'!$A$6:$A$1005,$C$3))</f>
        <v/>
      </c>
      <c r="W50" s="111" t="str">
        <f aca="false">IF($B50="","",SUMIFS('الحركات الشهرية'!$J$6:$J$1005,'الحركات الشهرية'!$B$6:$B$1005,$B50,'الحركات الشهرية'!$A$6:$A$1005,$C$3))</f>
        <v/>
      </c>
      <c r="X50" s="111" t="str">
        <f aca="false">IF($B50="","",SUM(U50:W50))</f>
        <v/>
      </c>
      <c r="Y50" s="153" t="str">
        <f aca="false">IF($B50="","",T50-X50)</f>
        <v/>
      </c>
      <c r="Z50" s="111" t="str">
        <f aca="false">IF($B50="","",الموظفون!$S50*IF(E50="سعودي",cfg_G_SR,cfg_G_NR)*G50/cfg_DAYS_M)</f>
        <v/>
      </c>
      <c r="AA50" s="111" t="str">
        <f aca="false">IF($B50="","",الموظفون!$Q50*(cfg_EOS_R1*(MIN(AH50,cfg_EOS_TH)-MIN(AI50,cfg_EOS_TH))+cfg_EOS_R2*(MAX(AH50-cfg_EOS_TH,0)-MAX(AI50-cfg_EOS_TH,0))))</f>
        <v/>
      </c>
      <c r="AB50" s="111" t="str">
        <f aca="false">IF($B50="","",IF(الموظفون!$T50&lt;&gt;"",الموظفون!$T50,IF(AH50&gt;=cfg_LV_TH,cfg_LV_D2,cfg_LV_D1))/cfg_DAYS_Y*AJ50*الموظفون!$R50/cfg_DAYS_M)</f>
        <v/>
      </c>
      <c r="AC50" s="111" t="str">
        <f aca="false">IF($B50="","",IF(AND(الموظفون!$U50="نعم",N(الموظفون!$W50)&gt;0),الموظفون!$V50/الموظفون!$W50*12/cfg_DAYS_Y*AJ50,0))</f>
        <v/>
      </c>
      <c r="AD50" s="111" t="str">
        <f aca="false">IF($B50="","",(IF(الموظفون!$X50&lt;&gt;"",الموظفون!$X50,IF(الموظفون!$E50="غير سعودي",cfg_IQ,0))+IF(الموظفون!$Y50&lt;&gt;"",الموظفون!$Y50,IF(الموظفون!$E50="غير سعودي",cfg_WP,0)))/12*G50/cfg_DAYS_M)</f>
        <v/>
      </c>
      <c r="AE50" s="111" t="str">
        <f aca="false">IF($B50="","",IF(الموظفون!$Z50&lt;&gt;"",الموظفون!$Z50,cfg_MED)/12*G50/cfg_DAYS_M)</f>
        <v/>
      </c>
      <c r="AF50" s="111" t="str">
        <f aca="false">IF($B50="","",N(الموظفون!$AA50)/12*G50/cfg_DAYS_M)</f>
        <v/>
      </c>
      <c r="AG50" s="154" t="str">
        <f aca="false">IF($B50="","",T50+SUM(Z50:AF50))</f>
        <v/>
      </c>
      <c r="AH50" s="155" t="str">
        <f aca="false">IF($B50="","",MAX(0,IF(OR(الموظفون!$AE50="",الموظفون!$AE50&gt;$F$3),$F$3,الموظفون!$AE50)-الموظفون!$H50+1-SUMIFS('سجل الإجازات والحالات'!$AM$6:$AM$505,'سجل الإجازات والحالات'!$B$6:$B$505,$B50))/cfg_DAYS_Y)</f>
        <v/>
      </c>
      <c r="AI50" s="155" t="str">
        <f aca="false">IF($B50="","",MAX(0,IF(OR(الموظفون!$AE50="",الموظفون!$AE50&gt;($E$3-1)),($E$3-1),الموظفون!$AE50)-الموظفون!$H50+1-SUMIFS('سجل الإجازات والحالات'!$AL$6:$AL$505,'سجل الإجازات والحالات'!$B$6:$B$505,$B50))/cfg_DAYS_Y)</f>
        <v/>
      </c>
      <c r="AJ50" s="65" t="str">
        <f aca="false">IF($B50="","",MAX(0,AK50-(SUMIFS('سجل الإجازات والحالات'!$AM$6:$AM$505,'سجل الإجازات والحالات'!$B$6:$B$505,$B50)-SUMIFS('سجل الإجازات والحالات'!$AL$6:$AL$505,'سجل الإجازات والحالات'!$B$6:$B$505,$B50))))</f>
        <v/>
      </c>
      <c r="AK50" s="65" t="str">
        <f aca="false">IF($B50="","",MAX(0,IF(OR(الموظفون!$AE50="",الموظفون!$AE50&gt;$F$3),$F$3,الموظفون!$AE50)-MAX($E$3,الموظفون!$H50)+1))</f>
        <v/>
      </c>
      <c r="AL50" s="151" t="str">
        <f aca="false">IF($B50="","",SUMIFS('سجل الإجازات والحالات'!$AY$6:$AY$505,'سجل الإجازات والحالات'!$B$6:$B$505,$B50)+SUMIFS('الحركات الشهرية'!$K$6:$K$1005,'الحركات الشهرية'!$B$6:$B$1005,$B50,'الحركات الشهرية'!$A$6:$A$1005,$C$3))</f>
        <v/>
      </c>
      <c r="AM50" s="111" t="str">
        <f aca="false">IF($B50="","",AL50*الموظفون!$R50/cfg_DAYS_M+S50)</f>
        <v/>
      </c>
      <c r="AN50" s="151" t="str">
        <f aca="false">IF($B50="","",SUMIFS('سجل الإجازات والحالات'!$AA$6:$AA$505,'سجل الإجازات والحالات'!$B$6:$B$505,$B50))</f>
        <v/>
      </c>
    </row>
    <row r="51" customFormat="false" ht="15" hidden="false" customHeight="false" outlineLevel="0" collapsed="false">
      <c r="A51" s="115" t="str">
        <f aca="false">IF($B51="","",الموظفون!$A51)</f>
        <v/>
      </c>
      <c r="B51" s="117" t="str">
        <f aca="false">IF(الموظفون!$B51="","",الموظفون!$B51)</f>
        <v/>
      </c>
      <c r="C51" s="117" t="str">
        <f aca="false">IF($B51="","",الموظفون!$C51)</f>
        <v/>
      </c>
      <c r="D51" s="117" t="str">
        <f aca="false">IF($B51="","",الموظفون!$F51)</f>
        <v/>
      </c>
      <c r="E51" s="117" t="str">
        <f aca="false">IF($B51="","",الموظفون!$E51)</f>
        <v/>
      </c>
      <c r="F51" s="117" t="str">
        <f aca="false">IF($B51="","",IF(AK51=0,IF(AND(الموظفون!$AE51&lt;&gt;"",الموظفون!$AE51&lt;$E$3),"✖ منتهي الخدمة","⏳ لم يباشر"),IF(S51&gt;0,"✈ راتب إجازة مقدم",IF(J51=0,"⛔ بدون راتب هذا الشهر",IF(I51&gt;0,"✈ خصم "&amp;ROUND(I51,2)&amp;" يوم بدون أجر",IF(AL51&gt;0,"🌴 إجازة سنوية "&amp;ROUND(AL51,2)&amp;" يوم",IF(H51&gt;0,"⚠ غياب "&amp;ROUND(H51,2)&amp;" يوم","✔ على رأس العمل")))))))</f>
        <v/>
      </c>
      <c r="G51" s="156" t="str">
        <f aca="false">IF($B51="","",IF(AK51&gt;=DAY($F$3),cfg_DAYS_M,MIN(AK51,cfg_DAYS_M)))</f>
        <v/>
      </c>
      <c r="H51" s="156" t="str">
        <f aca="false">IF($B51="","",SUMIFS('الحركات الشهرية'!$D$6:$D$1005,'الحركات الشهرية'!$B$6:$B$1005,$B51,'الحركات الشهرية'!$A$6:$A$1005,$C$3))</f>
        <v/>
      </c>
      <c r="I51" s="156" t="str">
        <f aca="false">IF($B51="","",MIN(G51,IF(AND(AK51&gt;0,AN51&gt;=AK51),G51,AN51)+SUMIFS('الحركات الشهرية'!$E$6:$E$1005,'الحركات الشهرية'!$B$6:$B$1005,$B51,'الحركات الشهرية'!$A$6:$A$1005,$C$3)))</f>
        <v/>
      </c>
      <c r="J51" s="156" t="str">
        <f aca="false">IF($B51="","",MAX(0,G51-H51-I51))</f>
        <v/>
      </c>
      <c r="K51" s="116" t="str">
        <f aca="false">IF($B51="","",الموظفون!$L51*$J51/cfg_DAYS_M)</f>
        <v/>
      </c>
      <c r="L51" s="116" t="str">
        <f aca="false">IF($B51="","",الموظفون!$M51*$J51/cfg_DAYS_M)</f>
        <v/>
      </c>
      <c r="M51" s="116" t="str">
        <f aca="false">IF($B51="","",الموظفون!$N51*$J51/cfg_DAYS_M)</f>
        <v/>
      </c>
      <c r="N51" s="116" t="str">
        <f aca="false">IF($B51="","",الموظفون!$O51*$J51/cfg_DAYS_M)</f>
        <v/>
      </c>
      <c r="O51" s="156" t="str">
        <f aca="false">IF($B51="","",SUMIFS('الحركات الشهرية'!$F$6:$F$1005,'الحركات الشهرية'!$B$6:$B$1005,$B51,'الحركات الشهرية'!$A$6:$A$1005,$C$3))</f>
        <v/>
      </c>
      <c r="P51" s="116" t="str">
        <f aca="false">IF($B51="","",O51*(الموظفون!$P51+الموظفون!$L51*cfg_OT_P)/cfg_DAYS_M/cfg_HRS)</f>
        <v/>
      </c>
      <c r="Q51" s="116" t="str">
        <f aca="false">IF($B51="","",SUMIFS('الحركات الشهرية'!$G$6:$G$1005,'الحركات الشهرية'!$B$6:$B$1005,$B51,'الحركات الشهرية'!$A$6:$A$1005,$C$3))</f>
        <v/>
      </c>
      <c r="R51" s="116" t="str">
        <f aca="false">IF($B51="","",SUMIFS('الحركات الشهرية'!$H$6:$H$1005,'الحركات الشهرية'!$B$6:$B$1005,$B51,'الحركات الشهرية'!$A$6:$A$1005,$C$3))</f>
        <v/>
      </c>
      <c r="S51" s="116" t="str">
        <f aca="false">IF($B51="","",SUMIFS('سجل الإجازات والحالات'!$N$6:$N$505,'سجل الإجازات والحالات'!$B$6:$B$505,$B51,'سجل الإجازات والحالات'!$O$6:$O$505,$C$3))</f>
        <v/>
      </c>
      <c r="T51" s="157" t="str">
        <f aca="false">IF($B51="","",SUM(K51:N51)+SUM(P51:S51))</f>
        <v/>
      </c>
      <c r="U51" s="116" t="str">
        <f aca="false">IF($B51="","",الموظفون!$S51*IF(E51="سعودي",cfg_G_SE,cfg_G_NE)*G51/cfg_DAYS_M)</f>
        <v/>
      </c>
      <c r="V51" s="116" t="str">
        <f aca="false">IF($B51="","",SUMIFS('الحركات الشهرية'!$I$6:$I$1005,'الحركات الشهرية'!$B$6:$B$1005,$B51,'الحركات الشهرية'!$A$6:$A$1005,$C$3))</f>
        <v/>
      </c>
      <c r="W51" s="116" t="str">
        <f aca="false">IF($B51="","",SUMIFS('الحركات الشهرية'!$J$6:$J$1005,'الحركات الشهرية'!$B$6:$B$1005,$B51,'الحركات الشهرية'!$A$6:$A$1005,$C$3))</f>
        <v/>
      </c>
      <c r="X51" s="116" t="str">
        <f aca="false">IF($B51="","",SUM(U51:W51))</f>
        <v/>
      </c>
      <c r="Y51" s="158" t="str">
        <f aca="false">IF($B51="","",T51-X51)</f>
        <v/>
      </c>
      <c r="Z51" s="116" t="str">
        <f aca="false">IF($B51="","",الموظفون!$S51*IF(E51="سعودي",cfg_G_SR,cfg_G_NR)*G51/cfg_DAYS_M)</f>
        <v/>
      </c>
      <c r="AA51" s="116" t="str">
        <f aca="false">IF($B51="","",الموظفون!$Q51*(cfg_EOS_R1*(MIN(AH51,cfg_EOS_TH)-MIN(AI51,cfg_EOS_TH))+cfg_EOS_R2*(MAX(AH51-cfg_EOS_TH,0)-MAX(AI51-cfg_EOS_TH,0))))</f>
        <v/>
      </c>
      <c r="AB51" s="116" t="str">
        <f aca="false">IF($B51="","",IF(الموظفون!$T51&lt;&gt;"",الموظفون!$T51,IF(AH51&gt;=cfg_LV_TH,cfg_LV_D2,cfg_LV_D1))/cfg_DAYS_Y*AJ51*الموظفون!$R51/cfg_DAYS_M)</f>
        <v/>
      </c>
      <c r="AC51" s="116" t="str">
        <f aca="false">IF($B51="","",IF(AND(الموظفون!$U51="نعم",N(الموظفون!$W51)&gt;0),الموظفون!$V51/الموظفون!$W51*12/cfg_DAYS_Y*AJ51,0))</f>
        <v/>
      </c>
      <c r="AD51" s="116" t="str">
        <f aca="false">IF($B51="","",(IF(الموظفون!$X51&lt;&gt;"",الموظفون!$X51,IF(الموظفون!$E51="غير سعودي",cfg_IQ,0))+IF(الموظفون!$Y51&lt;&gt;"",الموظفون!$Y51,IF(الموظفون!$E51="غير سعودي",cfg_WP,0)))/12*G51/cfg_DAYS_M)</f>
        <v/>
      </c>
      <c r="AE51" s="116" t="str">
        <f aca="false">IF($B51="","",IF(الموظفون!$Z51&lt;&gt;"",الموظفون!$Z51,cfg_MED)/12*G51/cfg_DAYS_M)</f>
        <v/>
      </c>
      <c r="AF51" s="116" t="str">
        <f aca="false">IF($B51="","",N(الموظفون!$AA51)/12*G51/cfg_DAYS_M)</f>
        <v/>
      </c>
      <c r="AG51" s="159" t="str">
        <f aca="false">IF($B51="","",T51+SUM(Z51:AF51))</f>
        <v/>
      </c>
      <c r="AH51" s="160" t="str">
        <f aca="false">IF($B51="","",MAX(0,IF(OR(الموظفون!$AE51="",الموظفون!$AE51&gt;$F$3),$F$3,الموظفون!$AE51)-الموظفون!$H51+1-SUMIFS('سجل الإجازات والحالات'!$AM$6:$AM$505,'سجل الإجازات والحالات'!$B$6:$B$505,$B51))/cfg_DAYS_Y)</f>
        <v/>
      </c>
      <c r="AI51" s="160" t="str">
        <f aca="false">IF($B51="","",MAX(0,IF(OR(الموظفون!$AE51="",الموظفون!$AE51&gt;($E$3-1)),($E$3-1),الموظفون!$AE51)-الموظفون!$H51+1-SUMIFS('سجل الإجازات والحالات'!$AL$6:$AL$505,'سجل الإجازات والحالات'!$B$6:$B$505,$B51))/cfg_DAYS_Y)</f>
        <v/>
      </c>
      <c r="AJ51" s="133" t="str">
        <f aca="false">IF($B51="","",MAX(0,AK51-(SUMIFS('سجل الإجازات والحالات'!$AM$6:$AM$505,'سجل الإجازات والحالات'!$B$6:$B$505,$B51)-SUMIFS('سجل الإجازات والحالات'!$AL$6:$AL$505,'سجل الإجازات والحالات'!$B$6:$B$505,$B51))))</f>
        <v/>
      </c>
      <c r="AK51" s="133" t="str">
        <f aca="false">IF($B51="","",MAX(0,IF(OR(الموظفون!$AE51="",الموظفون!$AE51&gt;$F$3),$F$3,الموظفون!$AE51)-MAX($E$3,الموظفون!$H51)+1))</f>
        <v/>
      </c>
      <c r="AL51" s="156" t="str">
        <f aca="false">IF($B51="","",SUMIFS('سجل الإجازات والحالات'!$AY$6:$AY$505,'سجل الإجازات والحالات'!$B$6:$B$505,$B51)+SUMIFS('الحركات الشهرية'!$K$6:$K$1005,'الحركات الشهرية'!$B$6:$B$1005,$B51,'الحركات الشهرية'!$A$6:$A$1005,$C$3))</f>
        <v/>
      </c>
      <c r="AM51" s="116" t="str">
        <f aca="false">IF($B51="","",AL51*الموظفون!$R51/cfg_DAYS_M+S51)</f>
        <v/>
      </c>
      <c r="AN51" s="156" t="str">
        <f aca="false">IF($B51="","",SUMIFS('سجل الإجازات والحالات'!$AA$6:$AA$505,'سجل الإجازات والحالات'!$B$6:$B$505,$B51))</f>
        <v/>
      </c>
    </row>
    <row r="52" customFormat="false" ht="15" hidden="false" customHeight="false" outlineLevel="0" collapsed="false">
      <c r="A52" s="106" t="str">
        <f aca="false">IF($B52="","",الموظفون!$A52)</f>
        <v/>
      </c>
      <c r="B52" s="114" t="str">
        <f aca="false">IF(الموظفون!$B52="","",الموظفون!$B52)</f>
        <v/>
      </c>
      <c r="C52" s="114" t="str">
        <f aca="false">IF($B52="","",الموظفون!$C52)</f>
        <v/>
      </c>
      <c r="D52" s="114" t="str">
        <f aca="false">IF($B52="","",الموظفون!$F52)</f>
        <v/>
      </c>
      <c r="E52" s="114" t="str">
        <f aca="false">IF($B52="","",الموظفون!$E52)</f>
        <v/>
      </c>
      <c r="F52" s="114" t="str">
        <f aca="false">IF($B52="","",IF(AK52=0,IF(AND(الموظفون!$AE52&lt;&gt;"",الموظفون!$AE52&lt;$E$3),"✖ منتهي الخدمة","⏳ لم يباشر"),IF(S52&gt;0,"✈ راتب إجازة مقدم",IF(J52=0,"⛔ بدون راتب هذا الشهر",IF(I52&gt;0,"✈ خصم "&amp;ROUND(I52,2)&amp;" يوم بدون أجر",IF(AL52&gt;0,"🌴 إجازة سنوية "&amp;ROUND(AL52,2)&amp;" يوم",IF(H52&gt;0,"⚠ غياب "&amp;ROUND(H52,2)&amp;" يوم","✔ على رأس العمل")))))))</f>
        <v/>
      </c>
      <c r="G52" s="151" t="str">
        <f aca="false">IF($B52="","",IF(AK52&gt;=DAY($F$3),cfg_DAYS_M,MIN(AK52,cfg_DAYS_M)))</f>
        <v/>
      </c>
      <c r="H52" s="151" t="str">
        <f aca="false">IF($B52="","",SUMIFS('الحركات الشهرية'!$D$6:$D$1005,'الحركات الشهرية'!$B$6:$B$1005,$B52,'الحركات الشهرية'!$A$6:$A$1005,$C$3))</f>
        <v/>
      </c>
      <c r="I52" s="151" t="str">
        <f aca="false">IF($B52="","",MIN(G52,IF(AND(AK52&gt;0,AN52&gt;=AK52),G52,AN52)+SUMIFS('الحركات الشهرية'!$E$6:$E$1005,'الحركات الشهرية'!$B$6:$B$1005,$B52,'الحركات الشهرية'!$A$6:$A$1005,$C$3)))</f>
        <v/>
      </c>
      <c r="J52" s="151" t="str">
        <f aca="false">IF($B52="","",MAX(0,G52-H52-I52))</f>
        <v/>
      </c>
      <c r="K52" s="111" t="str">
        <f aca="false">IF($B52="","",الموظفون!$L52*$J52/cfg_DAYS_M)</f>
        <v/>
      </c>
      <c r="L52" s="111" t="str">
        <f aca="false">IF($B52="","",الموظفون!$M52*$J52/cfg_DAYS_M)</f>
        <v/>
      </c>
      <c r="M52" s="111" t="str">
        <f aca="false">IF($B52="","",الموظفون!$N52*$J52/cfg_DAYS_M)</f>
        <v/>
      </c>
      <c r="N52" s="111" t="str">
        <f aca="false">IF($B52="","",الموظفون!$O52*$J52/cfg_DAYS_M)</f>
        <v/>
      </c>
      <c r="O52" s="151" t="str">
        <f aca="false">IF($B52="","",SUMIFS('الحركات الشهرية'!$F$6:$F$1005,'الحركات الشهرية'!$B$6:$B$1005,$B52,'الحركات الشهرية'!$A$6:$A$1005,$C$3))</f>
        <v/>
      </c>
      <c r="P52" s="111" t="str">
        <f aca="false">IF($B52="","",O52*(الموظفون!$P52+الموظفون!$L52*cfg_OT_P)/cfg_DAYS_M/cfg_HRS)</f>
        <v/>
      </c>
      <c r="Q52" s="111" t="str">
        <f aca="false">IF($B52="","",SUMIFS('الحركات الشهرية'!$G$6:$G$1005,'الحركات الشهرية'!$B$6:$B$1005,$B52,'الحركات الشهرية'!$A$6:$A$1005,$C$3))</f>
        <v/>
      </c>
      <c r="R52" s="111" t="str">
        <f aca="false">IF($B52="","",SUMIFS('الحركات الشهرية'!$H$6:$H$1005,'الحركات الشهرية'!$B$6:$B$1005,$B52,'الحركات الشهرية'!$A$6:$A$1005,$C$3))</f>
        <v/>
      </c>
      <c r="S52" s="111" t="str">
        <f aca="false">IF($B52="","",SUMIFS('سجل الإجازات والحالات'!$N$6:$N$505,'سجل الإجازات والحالات'!$B$6:$B$505,$B52,'سجل الإجازات والحالات'!$O$6:$O$505,$C$3))</f>
        <v/>
      </c>
      <c r="T52" s="152" t="str">
        <f aca="false">IF($B52="","",SUM(K52:N52)+SUM(P52:S52))</f>
        <v/>
      </c>
      <c r="U52" s="111" t="str">
        <f aca="false">IF($B52="","",الموظفون!$S52*IF(E52="سعودي",cfg_G_SE,cfg_G_NE)*G52/cfg_DAYS_M)</f>
        <v/>
      </c>
      <c r="V52" s="111" t="str">
        <f aca="false">IF($B52="","",SUMIFS('الحركات الشهرية'!$I$6:$I$1005,'الحركات الشهرية'!$B$6:$B$1005,$B52,'الحركات الشهرية'!$A$6:$A$1005,$C$3))</f>
        <v/>
      </c>
      <c r="W52" s="111" t="str">
        <f aca="false">IF($B52="","",SUMIFS('الحركات الشهرية'!$J$6:$J$1005,'الحركات الشهرية'!$B$6:$B$1005,$B52,'الحركات الشهرية'!$A$6:$A$1005,$C$3))</f>
        <v/>
      </c>
      <c r="X52" s="111" t="str">
        <f aca="false">IF($B52="","",SUM(U52:W52))</f>
        <v/>
      </c>
      <c r="Y52" s="153" t="str">
        <f aca="false">IF($B52="","",T52-X52)</f>
        <v/>
      </c>
      <c r="Z52" s="111" t="str">
        <f aca="false">IF($B52="","",الموظفون!$S52*IF(E52="سعودي",cfg_G_SR,cfg_G_NR)*G52/cfg_DAYS_M)</f>
        <v/>
      </c>
      <c r="AA52" s="111" t="str">
        <f aca="false">IF($B52="","",الموظفون!$Q52*(cfg_EOS_R1*(MIN(AH52,cfg_EOS_TH)-MIN(AI52,cfg_EOS_TH))+cfg_EOS_R2*(MAX(AH52-cfg_EOS_TH,0)-MAX(AI52-cfg_EOS_TH,0))))</f>
        <v/>
      </c>
      <c r="AB52" s="111" t="str">
        <f aca="false">IF($B52="","",IF(الموظفون!$T52&lt;&gt;"",الموظفون!$T52,IF(AH52&gt;=cfg_LV_TH,cfg_LV_D2,cfg_LV_D1))/cfg_DAYS_Y*AJ52*الموظفون!$R52/cfg_DAYS_M)</f>
        <v/>
      </c>
      <c r="AC52" s="111" t="str">
        <f aca="false">IF($B52="","",IF(AND(الموظفون!$U52="نعم",N(الموظفون!$W52)&gt;0),الموظفون!$V52/الموظفون!$W52*12/cfg_DAYS_Y*AJ52,0))</f>
        <v/>
      </c>
      <c r="AD52" s="111" t="str">
        <f aca="false">IF($B52="","",(IF(الموظفون!$X52&lt;&gt;"",الموظفون!$X52,IF(الموظفون!$E52="غير سعودي",cfg_IQ,0))+IF(الموظفون!$Y52&lt;&gt;"",الموظفون!$Y52,IF(الموظفون!$E52="غير سعودي",cfg_WP,0)))/12*G52/cfg_DAYS_M)</f>
        <v/>
      </c>
      <c r="AE52" s="111" t="str">
        <f aca="false">IF($B52="","",IF(الموظفون!$Z52&lt;&gt;"",الموظفون!$Z52,cfg_MED)/12*G52/cfg_DAYS_M)</f>
        <v/>
      </c>
      <c r="AF52" s="111" t="str">
        <f aca="false">IF($B52="","",N(الموظفون!$AA52)/12*G52/cfg_DAYS_M)</f>
        <v/>
      </c>
      <c r="AG52" s="154" t="str">
        <f aca="false">IF($B52="","",T52+SUM(Z52:AF52))</f>
        <v/>
      </c>
      <c r="AH52" s="155" t="str">
        <f aca="false">IF($B52="","",MAX(0,IF(OR(الموظفون!$AE52="",الموظفون!$AE52&gt;$F$3),$F$3,الموظفون!$AE52)-الموظفون!$H52+1-SUMIFS('سجل الإجازات والحالات'!$AM$6:$AM$505,'سجل الإجازات والحالات'!$B$6:$B$505,$B52))/cfg_DAYS_Y)</f>
        <v/>
      </c>
      <c r="AI52" s="155" t="str">
        <f aca="false">IF($B52="","",MAX(0,IF(OR(الموظفون!$AE52="",الموظفون!$AE52&gt;($E$3-1)),($E$3-1),الموظفون!$AE52)-الموظفون!$H52+1-SUMIFS('سجل الإجازات والحالات'!$AL$6:$AL$505,'سجل الإجازات والحالات'!$B$6:$B$505,$B52))/cfg_DAYS_Y)</f>
        <v/>
      </c>
      <c r="AJ52" s="65" t="str">
        <f aca="false">IF($B52="","",MAX(0,AK52-(SUMIFS('سجل الإجازات والحالات'!$AM$6:$AM$505,'سجل الإجازات والحالات'!$B$6:$B$505,$B52)-SUMIFS('سجل الإجازات والحالات'!$AL$6:$AL$505,'سجل الإجازات والحالات'!$B$6:$B$505,$B52))))</f>
        <v/>
      </c>
      <c r="AK52" s="65" t="str">
        <f aca="false">IF($B52="","",MAX(0,IF(OR(الموظفون!$AE52="",الموظفون!$AE52&gt;$F$3),$F$3,الموظفون!$AE52)-MAX($E$3,الموظفون!$H52)+1))</f>
        <v/>
      </c>
      <c r="AL52" s="151" t="str">
        <f aca="false">IF($B52="","",SUMIFS('سجل الإجازات والحالات'!$AY$6:$AY$505,'سجل الإجازات والحالات'!$B$6:$B$505,$B52)+SUMIFS('الحركات الشهرية'!$K$6:$K$1005,'الحركات الشهرية'!$B$6:$B$1005,$B52,'الحركات الشهرية'!$A$6:$A$1005,$C$3))</f>
        <v/>
      </c>
      <c r="AM52" s="111" t="str">
        <f aca="false">IF($B52="","",AL52*الموظفون!$R52/cfg_DAYS_M+S52)</f>
        <v/>
      </c>
      <c r="AN52" s="151" t="str">
        <f aca="false">IF($B52="","",SUMIFS('سجل الإجازات والحالات'!$AA$6:$AA$505,'سجل الإجازات والحالات'!$B$6:$B$505,$B52))</f>
        <v/>
      </c>
    </row>
    <row r="53" customFormat="false" ht="15" hidden="false" customHeight="false" outlineLevel="0" collapsed="false">
      <c r="A53" s="115" t="str">
        <f aca="false">IF($B53="","",الموظفون!$A53)</f>
        <v/>
      </c>
      <c r="B53" s="117" t="str">
        <f aca="false">IF(الموظفون!$B53="","",الموظفون!$B53)</f>
        <v/>
      </c>
      <c r="C53" s="117" t="str">
        <f aca="false">IF($B53="","",الموظفون!$C53)</f>
        <v/>
      </c>
      <c r="D53" s="117" t="str">
        <f aca="false">IF($B53="","",الموظفون!$F53)</f>
        <v/>
      </c>
      <c r="E53" s="117" t="str">
        <f aca="false">IF($B53="","",الموظفون!$E53)</f>
        <v/>
      </c>
      <c r="F53" s="117" t="str">
        <f aca="false">IF($B53="","",IF(AK53=0,IF(AND(الموظفون!$AE53&lt;&gt;"",الموظفون!$AE53&lt;$E$3),"✖ منتهي الخدمة","⏳ لم يباشر"),IF(S53&gt;0,"✈ راتب إجازة مقدم",IF(J53=0,"⛔ بدون راتب هذا الشهر",IF(I53&gt;0,"✈ خصم "&amp;ROUND(I53,2)&amp;" يوم بدون أجر",IF(AL53&gt;0,"🌴 إجازة سنوية "&amp;ROUND(AL53,2)&amp;" يوم",IF(H53&gt;0,"⚠ غياب "&amp;ROUND(H53,2)&amp;" يوم","✔ على رأس العمل")))))))</f>
        <v/>
      </c>
      <c r="G53" s="156" t="str">
        <f aca="false">IF($B53="","",IF(AK53&gt;=DAY($F$3),cfg_DAYS_M,MIN(AK53,cfg_DAYS_M)))</f>
        <v/>
      </c>
      <c r="H53" s="156" t="str">
        <f aca="false">IF($B53="","",SUMIFS('الحركات الشهرية'!$D$6:$D$1005,'الحركات الشهرية'!$B$6:$B$1005,$B53,'الحركات الشهرية'!$A$6:$A$1005,$C$3))</f>
        <v/>
      </c>
      <c r="I53" s="156" t="str">
        <f aca="false">IF($B53="","",MIN(G53,IF(AND(AK53&gt;0,AN53&gt;=AK53),G53,AN53)+SUMIFS('الحركات الشهرية'!$E$6:$E$1005,'الحركات الشهرية'!$B$6:$B$1005,$B53,'الحركات الشهرية'!$A$6:$A$1005,$C$3)))</f>
        <v/>
      </c>
      <c r="J53" s="156" t="str">
        <f aca="false">IF($B53="","",MAX(0,G53-H53-I53))</f>
        <v/>
      </c>
      <c r="K53" s="116" t="str">
        <f aca="false">IF($B53="","",الموظفون!$L53*$J53/cfg_DAYS_M)</f>
        <v/>
      </c>
      <c r="L53" s="116" t="str">
        <f aca="false">IF($B53="","",الموظفون!$M53*$J53/cfg_DAYS_M)</f>
        <v/>
      </c>
      <c r="M53" s="116" t="str">
        <f aca="false">IF($B53="","",الموظفون!$N53*$J53/cfg_DAYS_M)</f>
        <v/>
      </c>
      <c r="N53" s="116" t="str">
        <f aca="false">IF($B53="","",الموظفون!$O53*$J53/cfg_DAYS_M)</f>
        <v/>
      </c>
      <c r="O53" s="156" t="str">
        <f aca="false">IF($B53="","",SUMIFS('الحركات الشهرية'!$F$6:$F$1005,'الحركات الشهرية'!$B$6:$B$1005,$B53,'الحركات الشهرية'!$A$6:$A$1005,$C$3))</f>
        <v/>
      </c>
      <c r="P53" s="116" t="str">
        <f aca="false">IF($B53="","",O53*(الموظفون!$P53+الموظفون!$L53*cfg_OT_P)/cfg_DAYS_M/cfg_HRS)</f>
        <v/>
      </c>
      <c r="Q53" s="116" t="str">
        <f aca="false">IF($B53="","",SUMIFS('الحركات الشهرية'!$G$6:$G$1005,'الحركات الشهرية'!$B$6:$B$1005,$B53,'الحركات الشهرية'!$A$6:$A$1005,$C$3))</f>
        <v/>
      </c>
      <c r="R53" s="116" t="str">
        <f aca="false">IF($B53="","",SUMIFS('الحركات الشهرية'!$H$6:$H$1005,'الحركات الشهرية'!$B$6:$B$1005,$B53,'الحركات الشهرية'!$A$6:$A$1005,$C$3))</f>
        <v/>
      </c>
      <c r="S53" s="116" t="str">
        <f aca="false">IF($B53="","",SUMIFS('سجل الإجازات والحالات'!$N$6:$N$505,'سجل الإجازات والحالات'!$B$6:$B$505,$B53,'سجل الإجازات والحالات'!$O$6:$O$505,$C$3))</f>
        <v/>
      </c>
      <c r="T53" s="157" t="str">
        <f aca="false">IF($B53="","",SUM(K53:N53)+SUM(P53:S53))</f>
        <v/>
      </c>
      <c r="U53" s="116" t="str">
        <f aca="false">IF($B53="","",الموظفون!$S53*IF(E53="سعودي",cfg_G_SE,cfg_G_NE)*G53/cfg_DAYS_M)</f>
        <v/>
      </c>
      <c r="V53" s="116" t="str">
        <f aca="false">IF($B53="","",SUMIFS('الحركات الشهرية'!$I$6:$I$1005,'الحركات الشهرية'!$B$6:$B$1005,$B53,'الحركات الشهرية'!$A$6:$A$1005,$C$3))</f>
        <v/>
      </c>
      <c r="W53" s="116" t="str">
        <f aca="false">IF($B53="","",SUMIFS('الحركات الشهرية'!$J$6:$J$1005,'الحركات الشهرية'!$B$6:$B$1005,$B53,'الحركات الشهرية'!$A$6:$A$1005,$C$3))</f>
        <v/>
      </c>
      <c r="X53" s="116" t="str">
        <f aca="false">IF($B53="","",SUM(U53:W53))</f>
        <v/>
      </c>
      <c r="Y53" s="158" t="str">
        <f aca="false">IF($B53="","",T53-X53)</f>
        <v/>
      </c>
      <c r="Z53" s="116" t="str">
        <f aca="false">IF($B53="","",الموظفون!$S53*IF(E53="سعودي",cfg_G_SR,cfg_G_NR)*G53/cfg_DAYS_M)</f>
        <v/>
      </c>
      <c r="AA53" s="116" t="str">
        <f aca="false">IF($B53="","",الموظفون!$Q53*(cfg_EOS_R1*(MIN(AH53,cfg_EOS_TH)-MIN(AI53,cfg_EOS_TH))+cfg_EOS_R2*(MAX(AH53-cfg_EOS_TH,0)-MAX(AI53-cfg_EOS_TH,0))))</f>
        <v/>
      </c>
      <c r="AB53" s="116" t="str">
        <f aca="false">IF($B53="","",IF(الموظفون!$T53&lt;&gt;"",الموظفون!$T53,IF(AH53&gt;=cfg_LV_TH,cfg_LV_D2,cfg_LV_D1))/cfg_DAYS_Y*AJ53*الموظفون!$R53/cfg_DAYS_M)</f>
        <v/>
      </c>
      <c r="AC53" s="116" t="str">
        <f aca="false">IF($B53="","",IF(AND(الموظفون!$U53="نعم",N(الموظفون!$W53)&gt;0),الموظفون!$V53/الموظفون!$W53*12/cfg_DAYS_Y*AJ53,0))</f>
        <v/>
      </c>
      <c r="AD53" s="116" t="str">
        <f aca="false">IF($B53="","",(IF(الموظفون!$X53&lt;&gt;"",الموظفون!$X53,IF(الموظفون!$E53="غير سعودي",cfg_IQ,0))+IF(الموظفون!$Y53&lt;&gt;"",الموظفون!$Y53,IF(الموظفون!$E53="غير سعودي",cfg_WP,0)))/12*G53/cfg_DAYS_M)</f>
        <v/>
      </c>
      <c r="AE53" s="116" t="str">
        <f aca="false">IF($B53="","",IF(الموظفون!$Z53&lt;&gt;"",الموظفون!$Z53,cfg_MED)/12*G53/cfg_DAYS_M)</f>
        <v/>
      </c>
      <c r="AF53" s="116" t="str">
        <f aca="false">IF($B53="","",N(الموظفون!$AA53)/12*G53/cfg_DAYS_M)</f>
        <v/>
      </c>
      <c r="AG53" s="159" t="str">
        <f aca="false">IF($B53="","",T53+SUM(Z53:AF53))</f>
        <v/>
      </c>
      <c r="AH53" s="160" t="str">
        <f aca="false">IF($B53="","",MAX(0,IF(OR(الموظفون!$AE53="",الموظفون!$AE53&gt;$F$3),$F$3,الموظفون!$AE53)-الموظفون!$H53+1-SUMIFS('سجل الإجازات والحالات'!$AM$6:$AM$505,'سجل الإجازات والحالات'!$B$6:$B$505,$B53))/cfg_DAYS_Y)</f>
        <v/>
      </c>
      <c r="AI53" s="160" t="str">
        <f aca="false">IF($B53="","",MAX(0,IF(OR(الموظفون!$AE53="",الموظفون!$AE53&gt;($E$3-1)),($E$3-1),الموظفون!$AE53)-الموظفون!$H53+1-SUMIFS('سجل الإجازات والحالات'!$AL$6:$AL$505,'سجل الإجازات والحالات'!$B$6:$B$505,$B53))/cfg_DAYS_Y)</f>
        <v/>
      </c>
      <c r="AJ53" s="133" t="str">
        <f aca="false">IF($B53="","",MAX(0,AK53-(SUMIFS('سجل الإجازات والحالات'!$AM$6:$AM$505,'سجل الإجازات والحالات'!$B$6:$B$505,$B53)-SUMIFS('سجل الإجازات والحالات'!$AL$6:$AL$505,'سجل الإجازات والحالات'!$B$6:$B$505,$B53))))</f>
        <v/>
      </c>
      <c r="AK53" s="133" t="str">
        <f aca="false">IF($B53="","",MAX(0,IF(OR(الموظفون!$AE53="",الموظفون!$AE53&gt;$F$3),$F$3,الموظفون!$AE53)-MAX($E$3,الموظفون!$H53)+1))</f>
        <v/>
      </c>
      <c r="AL53" s="156" t="str">
        <f aca="false">IF($B53="","",SUMIFS('سجل الإجازات والحالات'!$AY$6:$AY$505,'سجل الإجازات والحالات'!$B$6:$B$505,$B53)+SUMIFS('الحركات الشهرية'!$K$6:$K$1005,'الحركات الشهرية'!$B$6:$B$1005,$B53,'الحركات الشهرية'!$A$6:$A$1005,$C$3))</f>
        <v/>
      </c>
      <c r="AM53" s="116" t="str">
        <f aca="false">IF($B53="","",AL53*الموظفون!$R53/cfg_DAYS_M+S53)</f>
        <v/>
      </c>
      <c r="AN53" s="156" t="str">
        <f aca="false">IF($B53="","",SUMIFS('سجل الإجازات والحالات'!$AA$6:$AA$505,'سجل الإجازات والحالات'!$B$6:$B$505,$B53))</f>
        <v/>
      </c>
    </row>
    <row r="54" customFormat="false" ht="15" hidden="false" customHeight="false" outlineLevel="0" collapsed="false">
      <c r="A54" s="106" t="str">
        <f aca="false">IF($B54="","",الموظفون!$A54)</f>
        <v/>
      </c>
      <c r="B54" s="114" t="str">
        <f aca="false">IF(الموظفون!$B54="","",الموظفون!$B54)</f>
        <v/>
      </c>
      <c r="C54" s="114" t="str">
        <f aca="false">IF($B54="","",الموظفون!$C54)</f>
        <v/>
      </c>
      <c r="D54" s="114" t="str">
        <f aca="false">IF($B54="","",الموظفون!$F54)</f>
        <v/>
      </c>
      <c r="E54" s="114" t="str">
        <f aca="false">IF($B54="","",الموظفون!$E54)</f>
        <v/>
      </c>
      <c r="F54" s="114" t="str">
        <f aca="false">IF($B54="","",IF(AK54=0,IF(AND(الموظفون!$AE54&lt;&gt;"",الموظفون!$AE54&lt;$E$3),"✖ منتهي الخدمة","⏳ لم يباشر"),IF(S54&gt;0,"✈ راتب إجازة مقدم",IF(J54=0,"⛔ بدون راتب هذا الشهر",IF(I54&gt;0,"✈ خصم "&amp;ROUND(I54,2)&amp;" يوم بدون أجر",IF(AL54&gt;0,"🌴 إجازة سنوية "&amp;ROUND(AL54,2)&amp;" يوم",IF(H54&gt;0,"⚠ غياب "&amp;ROUND(H54,2)&amp;" يوم","✔ على رأس العمل")))))))</f>
        <v/>
      </c>
      <c r="G54" s="151" t="str">
        <f aca="false">IF($B54="","",IF(AK54&gt;=DAY($F$3),cfg_DAYS_M,MIN(AK54,cfg_DAYS_M)))</f>
        <v/>
      </c>
      <c r="H54" s="151" t="str">
        <f aca="false">IF($B54="","",SUMIFS('الحركات الشهرية'!$D$6:$D$1005,'الحركات الشهرية'!$B$6:$B$1005,$B54,'الحركات الشهرية'!$A$6:$A$1005,$C$3))</f>
        <v/>
      </c>
      <c r="I54" s="151" t="str">
        <f aca="false">IF($B54="","",MIN(G54,IF(AND(AK54&gt;0,AN54&gt;=AK54),G54,AN54)+SUMIFS('الحركات الشهرية'!$E$6:$E$1005,'الحركات الشهرية'!$B$6:$B$1005,$B54,'الحركات الشهرية'!$A$6:$A$1005,$C$3)))</f>
        <v/>
      </c>
      <c r="J54" s="151" t="str">
        <f aca="false">IF($B54="","",MAX(0,G54-H54-I54))</f>
        <v/>
      </c>
      <c r="K54" s="111" t="str">
        <f aca="false">IF($B54="","",الموظفون!$L54*$J54/cfg_DAYS_M)</f>
        <v/>
      </c>
      <c r="L54" s="111" t="str">
        <f aca="false">IF($B54="","",الموظفون!$M54*$J54/cfg_DAYS_M)</f>
        <v/>
      </c>
      <c r="M54" s="111" t="str">
        <f aca="false">IF($B54="","",الموظفون!$N54*$J54/cfg_DAYS_M)</f>
        <v/>
      </c>
      <c r="N54" s="111" t="str">
        <f aca="false">IF($B54="","",الموظفون!$O54*$J54/cfg_DAYS_M)</f>
        <v/>
      </c>
      <c r="O54" s="151" t="str">
        <f aca="false">IF($B54="","",SUMIFS('الحركات الشهرية'!$F$6:$F$1005,'الحركات الشهرية'!$B$6:$B$1005,$B54,'الحركات الشهرية'!$A$6:$A$1005,$C$3))</f>
        <v/>
      </c>
      <c r="P54" s="111" t="str">
        <f aca="false">IF($B54="","",O54*(الموظفون!$P54+الموظفون!$L54*cfg_OT_P)/cfg_DAYS_M/cfg_HRS)</f>
        <v/>
      </c>
      <c r="Q54" s="111" t="str">
        <f aca="false">IF($B54="","",SUMIFS('الحركات الشهرية'!$G$6:$G$1005,'الحركات الشهرية'!$B$6:$B$1005,$B54,'الحركات الشهرية'!$A$6:$A$1005,$C$3))</f>
        <v/>
      </c>
      <c r="R54" s="111" t="str">
        <f aca="false">IF($B54="","",SUMIFS('الحركات الشهرية'!$H$6:$H$1005,'الحركات الشهرية'!$B$6:$B$1005,$B54,'الحركات الشهرية'!$A$6:$A$1005,$C$3))</f>
        <v/>
      </c>
      <c r="S54" s="111" t="str">
        <f aca="false">IF($B54="","",SUMIFS('سجل الإجازات والحالات'!$N$6:$N$505,'سجل الإجازات والحالات'!$B$6:$B$505,$B54,'سجل الإجازات والحالات'!$O$6:$O$505,$C$3))</f>
        <v/>
      </c>
      <c r="T54" s="152" t="str">
        <f aca="false">IF($B54="","",SUM(K54:N54)+SUM(P54:S54))</f>
        <v/>
      </c>
      <c r="U54" s="111" t="str">
        <f aca="false">IF($B54="","",الموظفون!$S54*IF(E54="سعودي",cfg_G_SE,cfg_G_NE)*G54/cfg_DAYS_M)</f>
        <v/>
      </c>
      <c r="V54" s="111" t="str">
        <f aca="false">IF($B54="","",SUMIFS('الحركات الشهرية'!$I$6:$I$1005,'الحركات الشهرية'!$B$6:$B$1005,$B54,'الحركات الشهرية'!$A$6:$A$1005,$C$3))</f>
        <v/>
      </c>
      <c r="W54" s="111" t="str">
        <f aca="false">IF($B54="","",SUMIFS('الحركات الشهرية'!$J$6:$J$1005,'الحركات الشهرية'!$B$6:$B$1005,$B54,'الحركات الشهرية'!$A$6:$A$1005,$C$3))</f>
        <v/>
      </c>
      <c r="X54" s="111" t="str">
        <f aca="false">IF($B54="","",SUM(U54:W54))</f>
        <v/>
      </c>
      <c r="Y54" s="153" t="str">
        <f aca="false">IF($B54="","",T54-X54)</f>
        <v/>
      </c>
      <c r="Z54" s="111" t="str">
        <f aca="false">IF($B54="","",الموظفون!$S54*IF(E54="سعودي",cfg_G_SR,cfg_G_NR)*G54/cfg_DAYS_M)</f>
        <v/>
      </c>
      <c r="AA54" s="111" t="str">
        <f aca="false">IF($B54="","",الموظفون!$Q54*(cfg_EOS_R1*(MIN(AH54,cfg_EOS_TH)-MIN(AI54,cfg_EOS_TH))+cfg_EOS_R2*(MAX(AH54-cfg_EOS_TH,0)-MAX(AI54-cfg_EOS_TH,0))))</f>
        <v/>
      </c>
      <c r="AB54" s="111" t="str">
        <f aca="false">IF($B54="","",IF(الموظفون!$T54&lt;&gt;"",الموظفون!$T54,IF(AH54&gt;=cfg_LV_TH,cfg_LV_D2,cfg_LV_D1))/cfg_DAYS_Y*AJ54*الموظفون!$R54/cfg_DAYS_M)</f>
        <v/>
      </c>
      <c r="AC54" s="111" t="str">
        <f aca="false">IF($B54="","",IF(AND(الموظفون!$U54="نعم",N(الموظفون!$W54)&gt;0),الموظفون!$V54/الموظفون!$W54*12/cfg_DAYS_Y*AJ54,0))</f>
        <v/>
      </c>
      <c r="AD54" s="111" t="str">
        <f aca="false">IF($B54="","",(IF(الموظفون!$X54&lt;&gt;"",الموظفون!$X54,IF(الموظفون!$E54="غير سعودي",cfg_IQ,0))+IF(الموظفون!$Y54&lt;&gt;"",الموظفون!$Y54,IF(الموظفون!$E54="غير سعودي",cfg_WP,0)))/12*G54/cfg_DAYS_M)</f>
        <v/>
      </c>
      <c r="AE54" s="111" t="str">
        <f aca="false">IF($B54="","",IF(الموظفون!$Z54&lt;&gt;"",الموظفون!$Z54,cfg_MED)/12*G54/cfg_DAYS_M)</f>
        <v/>
      </c>
      <c r="AF54" s="111" t="str">
        <f aca="false">IF($B54="","",N(الموظفون!$AA54)/12*G54/cfg_DAYS_M)</f>
        <v/>
      </c>
      <c r="AG54" s="154" t="str">
        <f aca="false">IF($B54="","",T54+SUM(Z54:AF54))</f>
        <v/>
      </c>
      <c r="AH54" s="155" t="str">
        <f aca="false">IF($B54="","",MAX(0,IF(OR(الموظفون!$AE54="",الموظفون!$AE54&gt;$F$3),$F$3,الموظفون!$AE54)-الموظفون!$H54+1-SUMIFS('سجل الإجازات والحالات'!$AM$6:$AM$505,'سجل الإجازات والحالات'!$B$6:$B$505,$B54))/cfg_DAYS_Y)</f>
        <v/>
      </c>
      <c r="AI54" s="155" t="str">
        <f aca="false">IF($B54="","",MAX(0,IF(OR(الموظفون!$AE54="",الموظفون!$AE54&gt;($E$3-1)),($E$3-1),الموظفون!$AE54)-الموظفون!$H54+1-SUMIFS('سجل الإجازات والحالات'!$AL$6:$AL$505,'سجل الإجازات والحالات'!$B$6:$B$505,$B54))/cfg_DAYS_Y)</f>
        <v/>
      </c>
      <c r="AJ54" s="65" t="str">
        <f aca="false">IF($B54="","",MAX(0,AK54-(SUMIFS('سجل الإجازات والحالات'!$AM$6:$AM$505,'سجل الإجازات والحالات'!$B$6:$B$505,$B54)-SUMIFS('سجل الإجازات والحالات'!$AL$6:$AL$505,'سجل الإجازات والحالات'!$B$6:$B$505,$B54))))</f>
        <v/>
      </c>
      <c r="AK54" s="65" t="str">
        <f aca="false">IF($B54="","",MAX(0,IF(OR(الموظفون!$AE54="",الموظفون!$AE54&gt;$F$3),$F$3,الموظفون!$AE54)-MAX($E$3,الموظفون!$H54)+1))</f>
        <v/>
      </c>
      <c r="AL54" s="151" t="str">
        <f aca="false">IF($B54="","",SUMIFS('سجل الإجازات والحالات'!$AY$6:$AY$505,'سجل الإجازات والحالات'!$B$6:$B$505,$B54)+SUMIFS('الحركات الشهرية'!$K$6:$K$1005,'الحركات الشهرية'!$B$6:$B$1005,$B54,'الحركات الشهرية'!$A$6:$A$1005,$C$3))</f>
        <v/>
      </c>
      <c r="AM54" s="111" t="str">
        <f aca="false">IF($B54="","",AL54*الموظفون!$R54/cfg_DAYS_M+S54)</f>
        <v/>
      </c>
      <c r="AN54" s="151" t="str">
        <f aca="false">IF($B54="","",SUMIFS('سجل الإجازات والحالات'!$AA$6:$AA$505,'سجل الإجازات والحالات'!$B$6:$B$505,$B54))</f>
        <v/>
      </c>
    </row>
    <row r="55" customFormat="false" ht="15" hidden="false" customHeight="false" outlineLevel="0" collapsed="false">
      <c r="A55" s="115" t="str">
        <f aca="false">IF($B55="","",الموظفون!$A55)</f>
        <v/>
      </c>
      <c r="B55" s="117" t="str">
        <f aca="false">IF(الموظفون!$B55="","",الموظفون!$B55)</f>
        <v/>
      </c>
      <c r="C55" s="117" t="str">
        <f aca="false">IF($B55="","",الموظفون!$C55)</f>
        <v/>
      </c>
      <c r="D55" s="117" t="str">
        <f aca="false">IF($B55="","",الموظفون!$F55)</f>
        <v/>
      </c>
      <c r="E55" s="117" t="str">
        <f aca="false">IF($B55="","",الموظفون!$E55)</f>
        <v/>
      </c>
      <c r="F55" s="117" t="str">
        <f aca="false">IF($B55="","",IF(AK55=0,IF(AND(الموظفون!$AE55&lt;&gt;"",الموظفون!$AE55&lt;$E$3),"✖ منتهي الخدمة","⏳ لم يباشر"),IF(S55&gt;0,"✈ راتب إجازة مقدم",IF(J55=0,"⛔ بدون راتب هذا الشهر",IF(I55&gt;0,"✈ خصم "&amp;ROUND(I55,2)&amp;" يوم بدون أجر",IF(AL55&gt;0,"🌴 إجازة سنوية "&amp;ROUND(AL55,2)&amp;" يوم",IF(H55&gt;0,"⚠ غياب "&amp;ROUND(H55,2)&amp;" يوم","✔ على رأس العمل")))))))</f>
        <v/>
      </c>
      <c r="G55" s="156" t="str">
        <f aca="false">IF($B55="","",IF(AK55&gt;=DAY($F$3),cfg_DAYS_M,MIN(AK55,cfg_DAYS_M)))</f>
        <v/>
      </c>
      <c r="H55" s="156" t="str">
        <f aca="false">IF($B55="","",SUMIFS('الحركات الشهرية'!$D$6:$D$1005,'الحركات الشهرية'!$B$6:$B$1005,$B55,'الحركات الشهرية'!$A$6:$A$1005,$C$3))</f>
        <v/>
      </c>
      <c r="I55" s="156" t="str">
        <f aca="false">IF($B55="","",MIN(G55,IF(AND(AK55&gt;0,AN55&gt;=AK55),G55,AN55)+SUMIFS('الحركات الشهرية'!$E$6:$E$1005,'الحركات الشهرية'!$B$6:$B$1005,$B55,'الحركات الشهرية'!$A$6:$A$1005,$C$3)))</f>
        <v/>
      </c>
      <c r="J55" s="156" t="str">
        <f aca="false">IF($B55="","",MAX(0,G55-H55-I55))</f>
        <v/>
      </c>
      <c r="K55" s="116" t="str">
        <f aca="false">IF($B55="","",الموظفون!$L55*$J55/cfg_DAYS_M)</f>
        <v/>
      </c>
      <c r="L55" s="116" t="str">
        <f aca="false">IF($B55="","",الموظفون!$M55*$J55/cfg_DAYS_M)</f>
        <v/>
      </c>
      <c r="M55" s="116" t="str">
        <f aca="false">IF($B55="","",الموظفون!$N55*$J55/cfg_DAYS_M)</f>
        <v/>
      </c>
      <c r="N55" s="116" t="str">
        <f aca="false">IF($B55="","",الموظفون!$O55*$J55/cfg_DAYS_M)</f>
        <v/>
      </c>
      <c r="O55" s="156" t="str">
        <f aca="false">IF($B55="","",SUMIFS('الحركات الشهرية'!$F$6:$F$1005,'الحركات الشهرية'!$B$6:$B$1005,$B55,'الحركات الشهرية'!$A$6:$A$1005,$C$3))</f>
        <v/>
      </c>
      <c r="P55" s="116" t="str">
        <f aca="false">IF($B55="","",O55*(الموظفون!$P55+الموظفون!$L55*cfg_OT_P)/cfg_DAYS_M/cfg_HRS)</f>
        <v/>
      </c>
      <c r="Q55" s="116" t="str">
        <f aca="false">IF($B55="","",SUMIFS('الحركات الشهرية'!$G$6:$G$1005,'الحركات الشهرية'!$B$6:$B$1005,$B55,'الحركات الشهرية'!$A$6:$A$1005,$C$3))</f>
        <v/>
      </c>
      <c r="R55" s="116" t="str">
        <f aca="false">IF($B55="","",SUMIFS('الحركات الشهرية'!$H$6:$H$1005,'الحركات الشهرية'!$B$6:$B$1005,$B55,'الحركات الشهرية'!$A$6:$A$1005,$C$3))</f>
        <v/>
      </c>
      <c r="S55" s="116" t="str">
        <f aca="false">IF($B55="","",SUMIFS('سجل الإجازات والحالات'!$N$6:$N$505,'سجل الإجازات والحالات'!$B$6:$B$505,$B55,'سجل الإجازات والحالات'!$O$6:$O$505,$C$3))</f>
        <v/>
      </c>
      <c r="T55" s="157" t="str">
        <f aca="false">IF($B55="","",SUM(K55:N55)+SUM(P55:S55))</f>
        <v/>
      </c>
      <c r="U55" s="116" t="str">
        <f aca="false">IF($B55="","",الموظفون!$S55*IF(E55="سعودي",cfg_G_SE,cfg_G_NE)*G55/cfg_DAYS_M)</f>
        <v/>
      </c>
      <c r="V55" s="116" t="str">
        <f aca="false">IF($B55="","",SUMIFS('الحركات الشهرية'!$I$6:$I$1005,'الحركات الشهرية'!$B$6:$B$1005,$B55,'الحركات الشهرية'!$A$6:$A$1005,$C$3))</f>
        <v/>
      </c>
      <c r="W55" s="116" t="str">
        <f aca="false">IF($B55="","",SUMIFS('الحركات الشهرية'!$J$6:$J$1005,'الحركات الشهرية'!$B$6:$B$1005,$B55,'الحركات الشهرية'!$A$6:$A$1005,$C$3))</f>
        <v/>
      </c>
      <c r="X55" s="116" t="str">
        <f aca="false">IF($B55="","",SUM(U55:W55))</f>
        <v/>
      </c>
      <c r="Y55" s="158" t="str">
        <f aca="false">IF($B55="","",T55-X55)</f>
        <v/>
      </c>
      <c r="Z55" s="116" t="str">
        <f aca="false">IF($B55="","",الموظفون!$S55*IF(E55="سعودي",cfg_G_SR,cfg_G_NR)*G55/cfg_DAYS_M)</f>
        <v/>
      </c>
      <c r="AA55" s="116" t="str">
        <f aca="false">IF($B55="","",الموظفون!$Q55*(cfg_EOS_R1*(MIN(AH55,cfg_EOS_TH)-MIN(AI55,cfg_EOS_TH))+cfg_EOS_R2*(MAX(AH55-cfg_EOS_TH,0)-MAX(AI55-cfg_EOS_TH,0))))</f>
        <v/>
      </c>
      <c r="AB55" s="116" t="str">
        <f aca="false">IF($B55="","",IF(الموظفون!$T55&lt;&gt;"",الموظفون!$T55,IF(AH55&gt;=cfg_LV_TH,cfg_LV_D2,cfg_LV_D1))/cfg_DAYS_Y*AJ55*الموظفون!$R55/cfg_DAYS_M)</f>
        <v/>
      </c>
      <c r="AC55" s="116" t="str">
        <f aca="false">IF($B55="","",IF(AND(الموظفون!$U55="نعم",N(الموظفون!$W55)&gt;0),الموظفون!$V55/الموظفون!$W55*12/cfg_DAYS_Y*AJ55,0))</f>
        <v/>
      </c>
      <c r="AD55" s="116" t="str">
        <f aca="false">IF($B55="","",(IF(الموظفون!$X55&lt;&gt;"",الموظفون!$X55,IF(الموظفون!$E55="غير سعودي",cfg_IQ,0))+IF(الموظفون!$Y55&lt;&gt;"",الموظفون!$Y55,IF(الموظفون!$E55="غير سعودي",cfg_WP,0)))/12*G55/cfg_DAYS_M)</f>
        <v/>
      </c>
      <c r="AE55" s="116" t="str">
        <f aca="false">IF($B55="","",IF(الموظفون!$Z55&lt;&gt;"",الموظفون!$Z55,cfg_MED)/12*G55/cfg_DAYS_M)</f>
        <v/>
      </c>
      <c r="AF55" s="116" t="str">
        <f aca="false">IF($B55="","",N(الموظفون!$AA55)/12*G55/cfg_DAYS_M)</f>
        <v/>
      </c>
      <c r="AG55" s="159" t="str">
        <f aca="false">IF($B55="","",T55+SUM(Z55:AF55))</f>
        <v/>
      </c>
      <c r="AH55" s="160" t="str">
        <f aca="false">IF($B55="","",MAX(0,IF(OR(الموظفون!$AE55="",الموظفون!$AE55&gt;$F$3),$F$3,الموظفون!$AE55)-الموظفون!$H55+1-SUMIFS('سجل الإجازات والحالات'!$AM$6:$AM$505,'سجل الإجازات والحالات'!$B$6:$B$505,$B55))/cfg_DAYS_Y)</f>
        <v/>
      </c>
      <c r="AI55" s="160" t="str">
        <f aca="false">IF($B55="","",MAX(0,IF(OR(الموظفون!$AE55="",الموظفون!$AE55&gt;($E$3-1)),($E$3-1),الموظفون!$AE55)-الموظفون!$H55+1-SUMIFS('سجل الإجازات والحالات'!$AL$6:$AL$505,'سجل الإجازات والحالات'!$B$6:$B$505,$B55))/cfg_DAYS_Y)</f>
        <v/>
      </c>
      <c r="AJ55" s="133" t="str">
        <f aca="false">IF($B55="","",MAX(0,AK55-(SUMIFS('سجل الإجازات والحالات'!$AM$6:$AM$505,'سجل الإجازات والحالات'!$B$6:$B$505,$B55)-SUMIFS('سجل الإجازات والحالات'!$AL$6:$AL$505,'سجل الإجازات والحالات'!$B$6:$B$505,$B55))))</f>
        <v/>
      </c>
      <c r="AK55" s="133" t="str">
        <f aca="false">IF($B55="","",MAX(0,IF(OR(الموظفون!$AE55="",الموظفون!$AE55&gt;$F$3),$F$3,الموظفون!$AE55)-MAX($E$3,الموظفون!$H55)+1))</f>
        <v/>
      </c>
      <c r="AL55" s="156" t="str">
        <f aca="false">IF($B55="","",SUMIFS('سجل الإجازات والحالات'!$AY$6:$AY$505,'سجل الإجازات والحالات'!$B$6:$B$505,$B55)+SUMIFS('الحركات الشهرية'!$K$6:$K$1005,'الحركات الشهرية'!$B$6:$B$1005,$B55,'الحركات الشهرية'!$A$6:$A$1005,$C$3))</f>
        <v/>
      </c>
      <c r="AM55" s="116" t="str">
        <f aca="false">IF($B55="","",AL55*الموظفون!$R55/cfg_DAYS_M+S55)</f>
        <v/>
      </c>
      <c r="AN55" s="156" t="str">
        <f aca="false">IF($B55="","",SUMIFS('سجل الإجازات والحالات'!$AA$6:$AA$505,'سجل الإجازات والحالات'!$B$6:$B$505,$B55))</f>
        <v/>
      </c>
    </row>
    <row r="56" customFormat="false" ht="15" hidden="false" customHeight="false" outlineLevel="0" collapsed="false">
      <c r="A56" s="106" t="str">
        <f aca="false">IF($B56="","",الموظفون!$A56)</f>
        <v/>
      </c>
      <c r="B56" s="114" t="str">
        <f aca="false">IF(الموظفون!$B56="","",الموظفون!$B56)</f>
        <v/>
      </c>
      <c r="C56" s="114" t="str">
        <f aca="false">IF($B56="","",الموظفون!$C56)</f>
        <v/>
      </c>
      <c r="D56" s="114" t="str">
        <f aca="false">IF($B56="","",الموظفون!$F56)</f>
        <v/>
      </c>
      <c r="E56" s="114" t="str">
        <f aca="false">IF($B56="","",الموظفون!$E56)</f>
        <v/>
      </c>
      <c r="F56" s="114" t="str">
        <f aca="false">IF($B56="","",IF(AK56=0,IF(AND(الموظفون!$AE56&lt;&gt;"",الموظفون!$AE56&lt;$E$3),"✖ منتهي الخدمة","⏳ لم يباشر"),IF(S56&gt;0,"✈ راتب إجازة مقدم",IF(J56=0,"⛔ بدون راتب هذا الشهر",IF(I56&gt;0,"✈ خصم "&amp;ROUND(I56,2)&amp;" يوم بدون أجر",IF(AL56&gt;0,"🌴 إجازة سنوية "&amp;ROUND(AL56,2)&amp;" يوم",IF(H56&gt;0,"⚠ غياب "&amp;ROUND(H56,2)&amp;" يوم","✔ على رأس العمل")))))))</f>
        <v/>
      </c>
      <c r="G56" s="151" t="str">
        <f aca="false">IF($B56="","",IF(AK56&gt;=DAY($F$3),cfg_DAYS_M,MIN(AK56,cfg_DAYS_M)))</f>
        <v/>
      </c>
      <c r="H56" s="151" t="str">
        <f aca="false">IF($B56="","",SUMIFS('الحركات الشهرية'!$D$6:$D$1005,'الحركات الشهرية'!$B$6:$B$1005,$B56,'الحركات الشهرية'!$A$6:$A$1005,$C$3))</f>
        <v/>
      </c>
      <c r="I56" s="151" t="str">
        <f aca="false">IF($B56="","",MIN(G56,IF(AND(AK56&gt;0,AN56&gt;=AK56),G56,AN56)+SUMIFS('الحركات الشهرية'!$E$6:$E$1005,'الحركات الشهرية'!$B$6:$B$1005,$B56,'الحركات الشهرية'!$A$6:$A$1005,$C$3)))</f>
        <v/>
      </c>
      <c r="J56" s="151" t="str">
        <f aca="false">IF($B56="","",MAX(0,G56-H56-I56))</f>
        <v/>
      </c>
      <c r="K56" s="111" t="str">
        <f aca="false">IF($B56="","",الموظفون!$L56*$J56/cfg_DAYS_M)</f>
        <v/>
      </c>
      <c r="L56" s="111" t="str">
        <f aca="false">IF($B56="","",الموظفون!$M56*$J56/cfg_DAYS_M)</f>
        <v/>
      </c>
      <c r="M56" s="111" t="str">
        <f aca="false">IF($B56="","",الموظفون!$N56*$J56/cfg_DAYS_M)</f>
        <v/>
      </c>
      <c r="N56" s="111" t="str">
        <f aca="false">IF($B56="","",الموظفون!$O56*$J56/cfg_DAYS_M)</f>
        <v/>
      </c>
      <c r="O56" s="151" t="str">
        <f aca="false">IF($B56="","",SUMIFS('الحركات الشهرية'!$F$6:$F$1005,'الحركات الشهرية'!$B$6:$B$1005,$B56,'الحركات الشهرية'!$A$6:$A$1005,$C$3))</f>
        <v/>
      </c>
      <c r="P56" s="111" t="str">
        <f aca="false">IF($B56="","",O56*(الموظفون!$P56+الموظفون!$L56*cfg_OT_P)/cfg_DAYS_M/cfg_HRS)</f>
        <v/>
      </c>
      <c r="Q56" s="111" t="str">
        <f aca="false">IF($B56="","",SUMIFS('الحركات الشهرية'!$G$6:$G$1005,'الحركات الشهرية'!$B$6:$B$1005,$B56,'الحركات الشهرية'!$A$6:$A$1005,$C$3))</f>
        <v/>
      </c>
      <c r="R56" s="111" t="str">
        <f aca="false">IF($B56="","",SUMIFS('الحركات الشهرية'!$H$6:$H$1005,'الحركات الشهرية'!$B$6:$B$1005,$B56,'الحركات الشهرية'!$A$6:$A$1005,$C$3))</f>
        <v/>
      </c>
      <c r="S56" s="111" t="str">
        <f aca="false">IF($B56="","",SUMIFS('سجل الإجازات والحالات'!$N$6:$N$505,'سجل الإجازات والحالات'!$B$6:$B$505,$B56,'سجل الإجازات والحالات'!$O$6:$O$505,$C$3))</f>
        <v/>
      </c>
      <c r="T56" s="152" t="str">
        <f aca="false">IF($B56="","",SUM(K56:N56)+SUM(P56:S56))</f>
        <v/>
      </c>
      <c r="U56" s="111" t="str">
        <f aca="false">IF($B56="","",الموظفون!$S56*IF(E56="سعودي",cfg_G_SE,cfg_G_NE)*G56/cfg_DAYS_M)</f>
        <v/>
      </c>
      <c r="V56" s="111" t="str">
        <f aca="false">IF($B56="","",SUMIFS('الحركات الشهرية'!$I$6:$I$1005,'الحركات الشهرية'!$B$6:$B$1005,$B56,'الحركات الشهرية'!$A$6:$A$1005,$C$3))</f>
        <v/>
      </c>
      <c r="W56" s="111" t="str">
        <f aca="false">IF($B56="","",SUMIFS('الحركات الشهرية'!$J$6:$J$1005,'الحركات الشهرية'!$B$6:$B$1005,$B56,'الحركات الشهرية'!$A$6:$A$1005,$C$3))</f>
        <v/>
      </c>
      <c r="X56" s="111" t="str">
        <f aca="false">IF($B56="","",SUM(U56:W56))</f>
        <v/>
      </c>
      <c r="Y56" s="153" t="str">
        <f aca="false">IF($B56="","",T56-X56)</f>
        <v/>
      </c>
      <c r="Z56" s="111" t="str">
        <f aca="false">IF($B56="","",الموظفون!$S56*IF(E56="سعودي",cfg_G_SR,cfg_G_NR)*G56/cfg_DAYS_M)</f>
        <v/>
      </c>
      <c r="AA56" s="111" t="str">
        <f aca="false">IF($B56="","",الموظفون!$Q56*(cfg_EOS_R1*(MIN(AH56,cfg_EOS_TH)-MIN(AI56,cfg_EOS_TH))+cfg_EOS_R2*(MAX(AH56-cfg_EOS_TH,0)-MAX(AI56-cfg_EOS_TH,0))))</f>
        <v/>
      </c>
      <c r="AB56" s="111" t="str">
        <f aca="false">IF($B56="","",IF(الموظفون!$T56&lt;&gt;"",الموظفون!$T56,IF(AH56&gt;=cfg_LV_TH,cfg_LV_D2,cfg_LV_D1))/cfg_DAYS_Y*AJ56*الموظفون!$R56/cfg_DAYS_M)</f>
        <v/>
      </c>
      <c r="AC56" s="111" t="str">
        <f aca="false">IF($B56="","",IF(AND(الموظفون!$U56="نعم",N(الموظفون!$W56)&gt;0),الموظفون!$V56/الموظفون!$W56*12/cfg_DAYS_Y*AJ56,0))</f>
        <v/>
      </c>
      <c r="AD56" s="111" t="str">
        <f aca="false">IF($B56="","",(IF(الموظفون!$X56&lt;&gt;"",الموظفون!$X56,IF(الموظفون!$E56="غير سعودي",cfg_IQ,0))+IF(الموظفون!$Y56&lt;&gt;"",الموظفون!$Y56,IF(الموظفون!$E56="غير سعودي",cfg_WP,0)))/12*G56/cfg_DAYS_M)</f>
        <v/>
      </c>
      <c r="AE56" s="111" t="str">
        <f aca="false">IF($B56="","",IF(الموظفون!$Z56&lt;&gt;"",الموظفون!$Z56,cfg_MED)/12*G56/cfg_DAYS_M)</f>
        <v/>
      </c>
      <c r="AF56" s="111" t="str">
        <f aca="false">IF($B56="","",N(الموظفون!$AA56)/12*G56/cfg_DAYS_M)</f>
        <v/>
      </c>
      <c r="AG56" s="154" t="str">
        <f aca="false">IF($B56="","",T56+SUM(Z56:AF56))</f>
        <v/>
      </c>
      <c r="AH56" s="155" t="str">
        <f aca="false">IF($B56="","",MAX(0,IF(OR(الموظفون!$AE56="",الموظفون!$AE56&gt;$F$3),$F$3,الموظفون!$AE56)-الموظفون!$H56+1-SUMIFS('سجل الإجازات والحالات'!$AM$6:$AM$505,'سجل الإجازات والحالات'!$B$6:$B$505,$B56))/cfg_DAYS_Y)</f>
        <v/>
      </c>
      <c r="AI56" s="155" t="str">
        <f aca="false">IF($B56="","",MAX(0,IF(OR(الموظفون!$AE56="",الموظفون!$AE56&gt;($E$3-1)),($E$3-1),الموظفون!$AE56)-الموظفون!$H56+1-SUMIFS('سجل الإجازات والحالات'!$AL$6:$AL$505,'سجل الإجازات والحالات'!$B$6:$B$505,$B56))/cfg_DAYS_Y)</f>
        <v/>
      </c>
      <c r="AJ56" s="65" t="str">
        <f aca="false">IF($B56="","",MAX(0,AK56-(SUMIFS('سجل الإجازات والحالات'!$AM$6:$AM$505,'سجل الإجازات والحالات'!$B$6:$B$505,$B56)-SUMIFS('سجل الإجازات والحالات'!$AL$6:$AL$505,'سجل الإجازات والحالات'!$B$6:$B$505,$B56))))</f>
        <v/>
      </c>
      <c r="AK56" s="65" t="str">
        <f aca="false">IF($B56="","",MAX(0,IF(OR(الموظفون!$AE56="",الموظفون!$AE56&gt;$F$3),$F$3,الموظفون!$AE56)-MAX($E$3,الموظفون!$H56)+1))</f>
        <v/>
      </c>
      <c r="AL56" s="151" t="str">
        <f aca="false">IF($B56="","",SUMIFS('سجل الإجازات والحالات'!$AY$6:$AY$505,'سجل الإجازات والحالات'!$B$6:$B$505,$B56)+SUMIFS('الحركات الشهرية'!$K$6:$K$1005,'الحركات الشهرية'!$B$6:$B$1005,$B56,'الحركات الشهرية'!$A$6:$A$1005,$C$3))</f>
        <v/>
      </c>
      <c r="AM56" s="111" t="str">
        <f aca="false">IF($B56="","",AL56*الموظفون!$R56/cfg_DAYS_M+S56)</f>
        <v/>
      </c>
      <c r="AN56" s="151" t="str">
        <f aca="false">IF($B56="","",SUMIFS('سجل الإجازات والحالات'!$AA$6:$AA$505,'سجل الإجازات والحالات'!$B$6:$B$505,$B56))</f>
        <v/>
      </c>
    </row>
    <row r="57" customFormat="false" ht="15" hidden="false" customHeight="false" outlineLevel="0" collapsed="false">
      <c r="A57" s="115" t="str">
        <f aca="false">IF($B57="","",الموظفون!$A57)</f>
        <v/>
      </c>
      <c r="B57" s="117" t="str">
        <f aca="false">IF(الموظفون!$B57="","",الموظفون!$B57)</f>
        <v/>
      </c>
      <c r="C57" s="117" t="str">
        <f aca="false">IF($B57="","",الموظفون!$C57)</f>
        <v/>
      </c>
      <c r="D57" s="117" t="str">
        <f aca="false">IF($B57="","",الموظفون!$F57)</f>
        <v/>
      </c>
      <c r="E57" s="117" t="str">
        <f aca="false">IF($B57="","",الموظفون!$E57)</f>
        <v/>
      </c>
      <c r="F57" s="117" t="str">
        <f aca="false">IF($B57="","",IF(AK57=0,IF(AND(الموظفون!$AE57&lt;&gt;"",الموظفون!$AE57&lt;$E$3),"✖ منتهي الخدمة","⏳ لم يباشر"),IF(S57&gt;0,"✈ راتب إجازة مقدم",IF(J57=0,"⛔ بدون راتب هذا الشهر",IF(I57&gt;0,"✈ خصم "&amp;ROUND(I57,2)&amp;" يوم بدون أجر",IF(AL57&gt;0,"🌴 إجازة سنوية "&amp;ROUND(AL57,2)&amp;" يوم",IF(H57&gt;0,"⚠ غياب "&amp;ROUND(H57,2)&amp;" يوم","✔ على رأس العمل")))))))</f>
        <v/>
      </c>
      <c r="G57" s="156" t="str">
        <f aca="false">IF($B57="","",IF(AK57&gt;=DAY($F$3),cfg_DAYS_M,MIN(AK57,cfg_DAYS_M)))</f>
        <v/>
      </c>
      <c r="H57" s="156" t="str">
        <f aca="false">IF($B57="","",SUMIFS('الحركات الشهرية'!$D$6:$D$1005,'الحركات الشهرية'!$B$6:$B$1005,$B57,'الحركات الشهرية'!$A$6:$A$1005,$C$3))</f>
        <v/>
      </c>
      <c r="I57" s="156" t="str">
        <f aca="false">IF($B57="","",MIN(G57,IF(AND(AK57&gt;0,AN57&gt;=AK57),G57,AN57)+SUMIFS('الحركات الشهرية'!$E$6:$E$1005,'الحركات الشهرية'!$B$6:$B$1005,$B57,'الحركات الشهرية'!$A$6:$A$1005,$C$3)))</f>
        <v/>
      </c>
      <c r="J57" s="156" t="str">
        <f aca="false">IF($B57="","",MAX(0,G57-H57-I57))</f>
        <v/>
      </c>
      <c r="K57" s="116" t="str">
        <f aca="false">IF($B57="","",الموظفون!$L57*$J57/cfg_DAYS_M)</f>
        <v/>
      </c>
      <c r="L57" s="116" t="str">
        <f aca="false">IF($B57="","",الموظفون!$M57*$J57/cfg_DAYS_M)</f>
        <v/>
      </c>
      <c r="M57" s="116" t="str">
        <f aca="false">IF($B57="","",الموظفون!$N57*$J57/cfg_DAYS_M)</f>
        <v/>
      </c>
      <c r="N57" s="116" t="str">
        <f aca="false">IF($B57="","",الموظفون!$O57*$J57/cfg_DAYS_M)</f>
        <v/>
      </c>
      <c r="O57" s="156" t="str">
        <f aca="false">IF($B57="","",SUMIFS('الحركات الشهرية'!$F$6:$F$1005,'الحركات الشهرية'!$B$6:$B$1005,$B57,'الحركات الشهرية'!$A$6:$A$1005,$C$3))</f>
        <v/>
      </c>
      <c r="P57" s="116" t="str">
        <f aca="false">IF($B57="","",O57*(الموظفون!$P57+الموظفون!$L57*cfg_OT_P)/cfg_DAYS_M/cfg_HRS)</f>
        <v/>
      </c>
      <c r="Q57" s="116" t="str">
        <f aca="false">IF($B57="","",SUMIFS('الحركات الشهرية'!$G$6:$G$1005,'الحركات الشهرية'!$B$6:$B$1005,$B57,'الحركات الشهرية'!$A$6:$A$1005,$C$3))</f>
        <v/>
      </c>
      <c r="R57" s="116" t="str">
        <f aca="false">IF($B57="","",SUMIFS('الحركات الشهرية'!$H$6:$H$1005,'الحركات الشهرية'!$B$6:$B$1005,$B57,'الحركات الشهرية'!$A$6:$A$1005,$C$3))</f>
        <v/>
      </c>
      <c r="S57" s="116" t="str">
        <f aca="false">IF($B57="","",SUMIFS('سجل الإجازات والحالات'!$N$6:$N$505,'سجل الإجازات والحالات'!$B$6:$B$505,$B57,'سجل الإجازات والحالات'!$O$6:$O$505,$C$3))</f>
        <v/>
      </c>
      <c r="T57" s="157" t="str">
        <f aca="false">IF($B57="","",SUM(K57:N57)+SUM(P57:S57))</f>
        <v/>
      </c>
      <c r="U57" s="116" t="str">
        <f aca="false">IF($B57="","",الموظفون!$S57*IF(E57="سعودي",cfg_G_SE,cfg_G_NE)*G57/cfg_DAYS_M)</f>
        <v/>
      </c>
      <c r="V57" s="116" t="str">
        <f aca="false">IF($B57="","",SUMIFS('الحركات الشهرية'!$I$6:$I$1005,'الحركات الشهرية'!$B$6:$B$1005,$B57,'الحركات الشهرية'!$A$6:$A$1005,$C$3))</f>
        <v/>
      </c>
      <c r="W57" s="116" t="str">
        <f aca="false">IF($B57="","",SUMIFS('الحركات الشهرية'!$J$6:$J$1005,'الحركات الشهرية'!$B$6:$B$1005,$B57,'الحركات الشهرية'!$A$6:$A$1005,$C$3))</f>
        <v/>
      </c>
      <c r="X57" s="116" t="str">
        <f aca="false">IF($B57="","",SUM(U57:W57))</f>
        <v/>
      </c>
      <c r="Y57" s="158" t="str">
        <f aca="false">IF($B57="","",T57-X57)</f>
        <v/>
      </c>
      <c r="Z57" s="116" t="str">
        <f aca="false">IF($B57="","",الموظفون!$S57*IF(E57="سعودي",cfg_G_SR,cfg_G_NR)*G57/cfg_DAYS_M)</f>
        <v/>
      </c>
      <c r="AA57" s="116" t="str">
        <f aca="false">IF($B57="","",الموظفون!$Q57*(cfg_EOS_R1*(MIN(AH57,cfg_EOS_TH)-MIN(AI57,cfg_EOS_TH))+cfg_EOS_R2*(MAX(AH57-cfg_EOS_TH,0)-MAX(AI57-cfg_EOS_TH,0))))</f>
        <v/>
      </c>
      <c r="AB57" s="116" t="str">
        <f aca="false">IF($B57="","",IF(الموظفون!$T57&lt;&gt;"",الموظفون!$T57,IF(AH57&gt;=cfg_LV_TH,cfg_LV_D2,cfg_LV_D1))/cfg_DAYS_Y*AJ57*الموظفون!$R57/cfg_DAYS_M)</f>
        <v/>
      </c>
      <c r="AC57" s="116" t="str">
        <f aca="false">IF($B57="","",IF(AND(الموظفون!$U57="نعم",N(الموظفون!$W57)&gt;0),الموظفون!$V57/الموظفون!$W57*12/cfg_DAYS_Y*AJ57,0))</f>
        <v/>
      </c>
      <c r="AD57" s="116" t="str">
        <f aca="false">IF($B57="","",(IF(الموظفون!$X57&lt;&gt;"",الموظفون!$X57,IF(الموظفون!$E57="غير سعودي",cfg_IQ,0))+IF(الموظفون!$Y57&lt;&gt;"",الموظفون!$Y57,IF(الموظفون!$E57="غير سعودي",cfg_WP,0)))/12*G57/cfg_DAYS_M)</f>
        <v/>
      </c>
      <c r="AE57" s="116" t="str">
        <f aca="false">IF($B57="","",IF(الموظفون!$Z57&lt;&gt;"",الموظفون!$Z57,cfg_MED)/12*G57/cfg_DAYS_M)</f>
        <v/>
      </c>
      <c r="AF57" s="116" t="str">
        <f aca="false">IF($B57="","",N(الموظفون!$AA57)/12*G57/cfg_DAYS_M)</f>
        <v/>
      </c>
      <c r="AG57" s="159" t="str">
        <f aca="false">IF($B57="","",T57+SUM(Z57:AF57))</f>
        <v/>
      </c>
      <c r="AH57" s="160" t="str">
        <f aca="false">IF($B57="","",MAX(0,IF(OR(الموظفون!$AE57="",الموظفون!$AE57&gt;$F$3),$F$3,الموظفون!$AE57)-الموظفون!$H57+1-SUMIFS('سجل الإجازات والحالات'!$AM$6:$AM$505,'سجل الإجازات والحالات'!$B$6:$B$505,$B57))/cfg_DAYS_Y)</f>
        <v/>
      </c>
      <c r="AI57" s="160" t="str">
        <f aca="false">IF($B57="","",MAX(0,IF(OR(الموظفون!$AE57="",الموظفون!$AE57&gt;($E$3-1)),($E$3-1),الموظفون!$AE57)-الموظفون!$H57+1-SUMIFS('سجل الإجازات والحالات'!$AL$6:$AL$505,'سجل الإجازات والحالات'!$B$6:$B$505,$B57))/cfg_DAYS_Y)</f>
        <v/>
      </c>
      <c r="AJ57" s="133" t="str">
        <f aca="false">IF($B57="","",MAX(0,AK57-(SUMIFS('سجل الإجازات والحالات'!$AM$6:$AM$505,'سجل الإجازات والحالات'!$B$6:$B$505,$B57)-SUMIFS('سجل الإجازات والحالات'!$AL$6:$AL$505,'سجل الإجازات والحالات'!$B$6:$B$505,$B57))))</f>
        <v/>
      </c>
      <c r="AK57" s="133" t="str">
        <f aca="false">IF($B57="","",MAX(0,IF(OR(الموظفون!$AE57="",الموظفون!$AE57&gt;$F$3),$F$3,الموظفون!$AE57)-MAX($E$3,الموظفون!$H57)+1))</f>
        <v/>
      </c>
      <c r="AL57" s="156" t="str">
        <f aca="false">IF($B57="","",SUMIFS('سجل الإجازات والحالات'!$AY$6:$AY$505,'سجل الإجازات والحالات'!$B$6:$B$505,$B57)+SUMIFS('الحركات الشهرية'!$K$6:$K$1005,'الحركات الشهرية'!$B$6:$B$1005,$B57,'الحركات الشهرية'!$A$6:$A$1005,$C$3))</f>
        <v/>
      </c>
      <c r="AM57" s="116" t="str">
        <f aca="false">IF($B57="","",AL57*الموظفون!$R57/cfg_DAYS_M+S57)</f>
        <v/>
      </c>
      <c r="AN57" s="156" t="str">
        <f aca="false">IF($B57="","",SUMIFS('سجل الإجازات والحالات'!$AA$6:$AA$505,'سجل الإجازات والحالات'!$B$6:$B$505,$B57))</f>
        <v/>
      </c>
    </row>
    <row r="58" customFormat="false" ht="15" hidden="false" customHeight="false" outlineLevel="0" collapsed="false">
      <c r="A58" s="106" t="str">
        <f aca="false">IF($B58="","",الموظفون!$A58)</f>
        <v/>
      </c>
      <c r="B58" s="114" t="str">
        <f aca="false">IF(الموظفون!$B58="","",الموظفون!$B58)</f>
        <v/>
      </c>
      <c r="C58" s="114" t="str">
        <f aca="false">IF($B58="","",الموظفون!$C58)</f>
        <v/>
      </c>
      <c r="D58" s="114" t="str">
        <f aca="false">IF($B58="","",الموظفون!$F58)</f>
        <v/>
      </c>
      <c r="E58" s="114" t="str">
        <f aca="false">IF($B58="","",الموظفون!$E58)</f>
        <v/>
      </c>
      <c r="F58" s="114" t="str">
        <f aca="false">IF($B58="","",IF(AK58=0,IF(AND(الموظفون!$AE58&lt;&gt;"",الموظفون!$AE58&lt;$E$3),"✖ منتهي الخدمة","⏳ لم يباشر"),IF(S58&gt;0,"✈ راتب إجازة مقدم",IF(J58=0,"⛔ بدون راتب هذا الشهر",IF(I58&gt;0,"✈ خصم "&amp;ROUND(I58,2)&amp;" يوم بدون أجر",IF(AL58&gt;0,"🌴 إجازة سنوية "&amp;ROUND(AL58,2)&amp;" يوم",IF(H58&gt;0,"⚠ غياب "&amp;ROUND(H58,2)&amp;" يوم","✔ على رأس العمل")))))))</f>
        <v/>
      </c>
      <c r="G58" s="151" t="str">
        <f aca="false">IF($B58="","",IF(AK58&gt;=DAY($F$3),cfg_DAYS_M,MIN(AK58,cfg_DAYS_M)))</f>
        <v/>
      </c>
      <c r="H58" s="151" t="str">
        <f aca="false">IF($B58="","",SUMIFS('الحركات الشهرية'!$D$6:$D$1005,'الحركات الشهرية'!$B$6:$B$1005,$B58,'الحركات الشهرية'!$A$6:$A$1005,$C$3))</f>
        <v/>
      </c>
      <c r="I58" s="151" t="str">
        <f aca="false">IF($B58="","",MIN(G58,IF(AND(AK58&gt;0,AN58&gt;=AK58),G58,AN58)+SUMIFS('الحركات الشهرية'!$E$6:$E$1005,'الحركات الشهرية'!$B$6:$B$1005,$B58,'الحركات الشهرية'!$A$6:$A$1005,$C$3)))</f>
        <v/>
      </c>
      <c r="J58" s="151" t="str">
        <f aca="false">IF($B58="","",MAX(0,G58-H58-I58))</f>
        <v/>
      </c>
      <c r="K58" s="111" t="str">
        <f aca="false">IF($B58="","",الموظفون!$L58*$J58/cfg_DAYS_M)</f>
        <v/>
      </c>
      <c r="L58" s="111" t="str">
        <f aca="false">IF($B58="","",الموظفون!$M58*$J58/cfg_DAYS_M)</f>
        <v/>
      </c>
      <c r="M58" s="111" t="str">
        <f aca="false">IF($B58="","",الموظفون!$N58*$J58/cfg_DAYS_M)</f>
        <v/>
      </c>
      <c r="N58" s="111" t="str">
        <f aca="false">IF($B58="","",الموظفون!$O58*$J58/cfg_DAYS_M)</f>
        <v/>
      </c>
      <c r="O58" s="151" t="str">
        <f aca="false">IF($B58="","",SUMIFS('الحركات الشهرية'!$F$6:$F$1005,'الحركات الشهرية'!$B$6:$B$1005,$B58,'الحركات الشهرية'!$A$6:$A$1005,$C$3))</f>
        <v/>
      </c>
      <c r="P58" s="111" t="str">
        <f aca="false">IF($B58="","",O58*(الموظفون!$P58+الموظفون!$L58*cfg_OT_P)/cfg_DAYS_M/cfg_HRS)</f>
        <v/>
      </c>
      <c r="Q58" s="111" t="str">
        <f aca="false">IF($B58="","",SUMIFS('الحركات الشهرية'!$G$6:$G$1005,'الحركات الشهرية'!$B$6:$B$1005,$B58,'الحركات الشهرية'!$A$6:$A$1005,$C$3))</f>
        <v/>
      </c>
      <c r="R58" s="111" t="str">
        <f aca="false">IF($B58="","",SUMIFS('الحركات الشهرية'!$H$6:$H$1005,'الحركات الشهرية'!$B$6:$B$1005,$B58,'الحركات الشهرية'!$A$6:$A$1005,$C$3))</f>
        <v/>
      </c>
      <c r="S58" s="111" t="str">
        <f aca="false">IF($B58="","",SUMIFS('سجل الإجازات والحالات'!$N$6:$N$505,'سجل الإجازات والحالات'!$B$6:$B$505,$B58,'سجل الإجازات والحالات'!$O$6:$O$505,$C$3))</f>
        <v/>
      </c>
      <c r="T58" s="152" t="str">
        <f aca="false">IF($B58="","",SUM(K58:N58)+SUM(P58:S58))</f>
        <v/>
      </c>
      <c r="U58" s="111" t="str">
        <f aca="false">IF($B58="","",الموظفون!$S58*IF(E58="سعودي",cfg_G_SE,cfg_G_NE)*G58/cfg_DAYS_M)</f>
        <v/>
      </c>
      <c r="V58" s="111" t="str">
        <f aca="false">IF($B58="","",SUMIFS('الحركات الشهرية'!$I$6:$I$1005,'الحركات الشهرية'!$B$6:$B$1005,$B58,'الحركات الشهرية'!$A$6:$A$1005,$C$3))</f>
        <v/>
      </c>
      <c r="W58" s="111" t="str">
        <f aca="false">IF($B58="","",SUMIFS('الحركات الشهرية'!$J$6:$J$1005,'الحركات الشهرية'!$B$6:$B$1005,$B58,'الحركات الشهرية'!$A$6:$A$1005,$C$3))</f>
        <v/>
      </c>
      <c r="X58" s="111" t="str">
        <f aca="false">IF($B58="","",SUM(U58:W58))</f>
        <v/>
      </c>
      <c r="Y58" s="153" t="str">
        <f aca="false">IF($B58="","",T58-X58)</f>
        <v/>
      </c>
      <c r="Z58" s="111" t="str">
        <f aca="false">IF($B58="","",الموظفون!$S58*IF(E58="سعودي",cfg_G_SR,cfg_G_NR)*G58/cfg_DAYS_M)</f>
        <v/>
      </c>
      <c r="AA58" s="111" t="str">
        <f aca="false">IF($B58="","",الموظفون!$Q58*(cfg_EOS_R1*(MIN(AH58,cfg_EOS_TH)-MIN(AI58,cfg_EOS_TH))+cfg_EOS_R2*(MAX(AH58-cfg_EOS_TH,0)-MAX(AI58-cfg_EOS_TH,0))))</f>
        <v/>
      </c>
      <c r="AB58" s="111" t="str">
        <f aca="false">IF($B58="","",IF(الموظفون!$T58&lt;&gt;"",الموظفون!$T58,IF(AH58&gt;=cfg_LV_TH,cfg_LV_D2,cfg_LV_D1))/cfg_DAYS_Y*AJ58*الموظفون!$R58/cfg_DAYS_M)</f>
        <v/>
      </c>
      <c r="AC58" s="111" t="str">
        <f aca="false">IF($B58="","",IF(AND(الموظفون!$U58="نعم",N(الموظفون!$W58)&gt;0),الموظفون!$V58/الموظفون!$W58*12/cfg_DAYS_Y*AJ58,0))</f>
        <v/>
      </c>
      <c r="AD58" s="111" t="str">
        <f aca="false">IF($B58="","",(IF(الموظفون!$X58&lt;&gt;"",الموظفون!$X58,IF(الموظفون!$E58="غير سعودي",cfg_IQ,0))+IF(الموظفون!$Y58&lt;&gt;"",الموظفون!$Y58,IF(الموظفون!$E58="غير سعودي",cfg_WP,0)))/12*G58/cfg_DAYS_M)</f>
        <v/>
      </c>
      <c r="AE58" s="111" t="str">
        <f aca="false">IF($B58="","",IF(الموظفون!$Z58&lt;&gt;"",الموظفون!$Z58,cfg_MED)/12*G58/cfg_DAYS_M)</f>
        <v/>
      </c>
      <c r="AF58" s="111" t="str">
        <f aca="false">IF($B58="","",N(الموظفون!$AA58)/12*G58/cfg_DAYS_M)</f>
        <v/>
      </c>
      <c r="AG58" s="154" t="str">
        <f aca="false">IF($B58="","",T58+SUM(Z58:AF58))</f>
        <v/>
      </c>
      <c r="AH58" s="155" t="str">
        <f aca="false">IF($B58="","",MAX(0,IF(OR(الموظفون!$AE58="",الموظفون!$AE58&gt;$F$3),$F$3,الموظفون!$AE58)-الموظفون!$H58+1-SUMIFS('سجل الإجازات والحالات'!$AM$6:$AM$505,'سجل الإجازات والحالات'!$B$6:$B$505,$B58))/cfg_DAYS_Y)</f>
        <v/>
      </c>
      <c r="AI58" s="155" t="str">
        <f aca="false">IF($B58="","",MAX(0,IF(OR(الموظفون!$AE58="",الموظفون!$AE58&gt;($E$3-1)),($E$3-1),الموظفون!$AE58)-الموظفون!$H58+1-SUMIFS('سجل الإجازات والحالات'!$AL$6:$AL$505,'سجل الإجازات والحالات'!$B$6:$B$505,$B58))/cfg_DAYS_Y)</f>
        <v/>
      </c>
      <c r="AJ58" s="65" t="str">
        <f aca="false">IF($B58="","",MAX(0,AK58-(SUMIFS('سجل الإجازات والحالات'!$AM$6:$AM$505,'سجل الإجازات والحالات'!$B$6:$B$505,$B58)-SUMIFS('سجل الإجازات والحالات'!$AL$6:$AL$505,'سجل الإجازات والحالات'!$B$6:$B$505,$B58))))</f>
        <v/>
      </c>
      <c r="AK58" s="65" t="str">
        <f aca="false">IF($B58="","",MAX(0,IF(OR(الموظفون!$AE58="",الموظفون!$AE58&gt;$F$3),$F$3,الموظفون!$AE58)-MAX($E$3,الموظفون!$H58)+1))</f>
        <v/>
      </c>
      <c r="AL58" s="151" t="str">
        <f aca="false">IF($B58="","",SUMIFS('سجل الإجازات والحالات'!$AY$6:$AY$505,'سجل الإجازات والحالات'!$B$6:$B$505,$B58)+SUMIFS('الحركات الشهرية'!$K$6:$K$1005,'الحركات الشهرية'!$B$6:$B$1005,$B58,'الحركات الشهرية'!$A$6:$A$1005,$C$3))</f>
        <v/>
      </c>
      <c r="AM58" s="111" t="str">
        <f aca="false">IF($B58="","",AL58*الموظفون!$R58/cfg_DAYS_M+S58)</f>
        <v/>
      </c>
      <c r="AN58" s="151" t="str">
        <f aca="false">IF($B58="","",SUMIFS('سجل الإجازات والحالات'!$AA$6:$AA$505,'سجل الإجازات والحالات'!$B$6:$B$505,$B58))</f>
        <v/>
      </c>
    </row>
    <row r="59" customFormat="false" ht="15" hidden="false" customHeight="false" outlineLevel="0" collapsed="false">
      <c r="A59" s="115" t="str">
        <f aca="false">IF($B59="","",الموظفون!$A59)</f>
        <v/>
      </c>
      <c r="B59" s="117" t="str">
        <f aca="false">IF(الموظفون!$B59="","",الموظفون!$B59)</f>
        <v/>
      </c>
      <c r="C59" s="117" t="str">
        <f aca="false">IF($B59="","",الموظفون!$C59)</f>
        <v/>
      </c>
      <c r="D59" s="117" t="str">
        <f aca="false">IF($B59="","",الموظفون!$F59)</f>
        <v/>
      </c>
      <c r="E59" s="117" t="str">
        <f aca="false">IF($B59="","",الموظفون!$E59)</f>
        <v/>
      </c>
      <c r="F59" s="117" t="str">
        <f aca="false">IF($B59="","",IF(AK59=0,IF(AND(الموظفون!$AE59&lt;&gt;"",الموظفون!$AE59&lt;$E$3),"✖ منتهي الخدمة","⏳ لم يباشر"),IF(S59&gt;0,"✈ راتب إجازة مقدم",IF(J59=0,"⛔ بدون راتب هذا الشهر",IF(I59&gt;0,"✈ خصم "&amp;ROUND(I59,2)&amp;" يوم بدون أجر",IF(AL59&gt;0,"🌴 إجازة سنوية "&amp;ROUND(AL59,2)&amp;" يوم",IF(H59&gt;0,"⚠ غياب "&amp;ROUND(H59,2)&amp;" يوم","✔ على رأس العمل")))))))</f>
        <v/>
      </c>
      <c r="G59" s="156" t="str">
        <f aca="false">IF($B59="","",IF(AK59&gt;=DAY($F$3),cfg_DAYS_M,MIN(AK59,cfg_DAYS_M)))</f>
        <v/>
      </c>
      <c r="H59" s="156" t="str">
        <f aca="false">IF($B59="","",SUMIFS('الحركات الشهرية'!$D$6:$D$1005,'الحركات الشهرية'!$B$6:$B$1005,$B59,'الحركات الشهرية'!$A$6:$A$1005,$C$3))</f>
        <v/>
      </c>
      <c r="I59" s="156" t="str">
        <f aca="false">IF($B59="","",MIN(G59,IF(AND(AK59&gt;0,AN59&gt;=AK59),G59,AN59)+SUMIFS('الحركات الشهرية'!$E$6:$E$1005,'الحركات الشهرية'!$B$6:$B$1005,$B59,'الحركات الشهرية'!$A$6:$A$1005,$C$3)))</f>
        <v/>
      </c>
      <c r="J59" s="156" t="str">
        <f aca="false">IF($B59="","",MAX(0,G59-H59-I59))</f>
        <v/>
      </c>
      <c r="K59" s="116" t="str">
        <f aca="false">IF($B59="","",الموظفون!$L59*$J59/cfg_DAYS_M)</f>
        <v/>
      </c>
      <c r="L59" s="116" t="str">
        <f aca="false">IF($B59="","",الموظفون!$M59*$J59/cfg_DAYS_M)</f>
        <v/>
      </c>
      <c r="M59" s="116" t="str">
        <f aca="false">IF($B59="","",الموظفون!$N59*$J59/cfg_DAYS_M)</f>
        <v/>
      </c>
      <c r="N59" s="116" t="str">
        <f aca="false">IF($B59="","",الموظفون!$O59*$J59/cfg_DAYS_M)</f>
        <v/>
      </c>
      <c r="O59" s="156" t="str">
        <f aca="false">IF($B59="","",SUMIFS('الحركات الشهرية'!$F$6:$F$1005,'الحركات الشهرية'!$B$6:$B$1005,$B59,'الحركات الشهرية'!$A$6:$A$1005,$C$3))</f>
        <v/>
      </c>
      <c r="P59" s="116" t="str">
        <f aca="false">IF($B59="","",O59*(الموظفون!$P59+الموظفون!$L59*cfg_OT_P)/cfg_DAYS_M/cfg_HRS)</f>
        <v/>
      </c>
      <c r="Q59" s="116" t="str">
        <f aca="false">IF($B59="","",SUMIFS('الحركات الشهرية'!$G$6:$G$1005,'الحركات الشهرية'!$B$6:$B$1005,$B59,'الحركات الشهرية'!$A$6:$A$1005,$C$3))</f>
        <v/>
      </c>
      <c r="R59" s="116" t="str">
        <f aca="false">IF($B59="","",SUMIFS('الحركات الشهرية'!$H$6:$H$1005,'الحركات الشهرية'!$B$6:$B$1005,$B59,'الحركات الشهرية'!$A$6:$A$1005,$C$3))</f>
        <v/>
      </c>
      <c r="S59" s="116" t="str">
        <f aca="false">IF($B59="","",SUMIFS('سجل الإجازات والحالات'!$N$6:$N$505,'سجل الإجازات والحالات'!$B$6:$B$505,$B59,'سجل الإجازات والحالات'!$O$6:$O$505,$C$3))</f>
        <v/>
      </c>
      <c r="T59" s="157" t="str">
        <f aca="false">IF($B59="","",SUM(K59:N59)+SUM(P59:S59))</f>
        <v/>
      </c>
      <c r="U59" s="116" t="str">
        <f aca="false">IF($B59="","",الموظفون!$S59*IF(E59="سعودي",cfg_G_SE,cfg_G_NE)*G59/cfg_DAYS_M)</f>
        <v/>
      </c>
      <c r="V59" s="116" t="str">
        <f aca="false">IF($B59="","",SUMIFS('الحركات الشهرية'!$I$6:$I$1005,'الحركات الشهرية'!$B$6:$B$1005,$B59,'الحركات الشهرية'!$A$6:$A$1005,$C$3))</f>
        <v/>
      </c>
      <c r="W59" s="116" t="str">
        <f aca="false">IF($B59="","",SUMIFS('الحركات الشهرية'!$J$6:$J$1005,'الحركات الشهرية'!$B$6:$B$1005,$B59,'الحركات الشهرية'!$A$6:$A$1005,$C$3))</f>
        <v/>
      </c>
      <c r="X59" s="116" t="str">
        <f aca="false">IF($B59="","",SUM(U59:W59))</f>
        <v/>
      </c>
      <c r="Y59" s="158" t="str">
        <f aca="false">IF($B59="","",T59-X59)</f>
        <v/>
      </c>
      <c r="Z59" s="116" t="str">
        <f aca="false">IF($B59="","",الموظفون!$S59*IF(E59="سعودي",cfg_G_SR,cfg_G_NR)*G59/cfg_DAYS_M)</f>
        <v/>
      </c>
      <c r="AA59" s="116" t="str">
        <f aca="false">IF($B59="","",الموظفون!$Q59*(cfg_EOS_R1*(MIN(AH59,cfg_EOS_TH)-MIN(AI59,cfg_EOS_TH))+cfg_EOS_R2*(MAX(AH59-cfg_EOS_TH,0)-MAX(AI59-cfg_EOS_TH,0))))</f>
        <v/>
      </c>
      <c r="AB59" s="116" t="str">
        <f aca="false">IF($B59="","",IF(الموظفون!$T59&lt;&gt;"",الموظفون!$T59,IF(AH59&gt;=cfg_LV_TH,cfg_LV_D2,cfg_LV_D1))/cfg_DAYS_Y*AJ59*الموظفون!$R59/cfg_DAYS_M)</f>
        <v/>
      </c>
      <c r="AC59" s="116" t="str">
        <f aca="false">IF($B59="","",IF(AND(الموظفون!$U59="نعم",N(الموظفون!$W59)&gt;0),الموظفون!$V59/الموظفون!$W59*12/cfg_DAYS_Y*AJ59,0))</f>
        <v/>
      </c>
      <c r="AD59" s="116" t="str">
        <f aca="false">IF($B59="","",(IF(الموظفون!$X59&lt;&gt;"",الموظفون!$X59,IF(الموظفون!$E59="غير سعودي",cfg_IQ,0))+IF(الموظفون!$Y59&lt;&gt;"",الموظفون!$Y59,IF(الموظفون!$E59="غير سعودي",cfg_WP,0)))/12*G59/cfg_DAYS_M)</f>
        <v/>
      </c>
      <c r="AE59" s="116" t="str">
        <f aca="false">IF($B59="","",IF(الموظفون!$Z59&lt;&gt;"",الموظفون!$Z59,cfg_MED)/12*G59/cfg_DAYS_M)</f>
        <v/>
      </c>
      <c r="AF59" s="116" t="str">
        <f aca="false">IF($B59="","",N(الموظفون!$AA59)/12*G59/cfg_DAYS_M)</f>
        <v/>
      </c>
      <c r="AG59" s="159" t="str">
        <f aca="false">IF($B59="","",T59+SUM(Z59:AF59))</f>
        <v/>
      </c>
      <c r="AH59" s="160" t="str">
        <f aca="false">IF($B59="","",MAX(0,IF(OR(الموظفون!$AE59="",الموظفون!$AE59&gt;$F$3),$F$3,الموظفون!$AE59)-الموظفون!$H59+1-SUMIFS('سجل الإجازات والحالات'!$AM$6:$AM$505,'سجل الإجازات والحالات'!$B$6:$B$505,$B59))/cfg_DAYS_Y)</f>
        <v/>
      </c>
      <c r="AI59" s="160" t="str">
        <f aca="false">IF($B59="","",MAX(0,IF(OR(الموظفون!$AE59="",الموظفون!$AE59&gt;($E$3-1)),($E$3-1),الموظفون!$AE59)-الموظفون!$H59+1-SUMIFS('سجل الإجازات والحالات'!$AL$6:$AL$505,'سجل الإجازات والحالات'!$B$6:$B$505,$B59))/cfg_DAYS_Y)</f>
        <v/>
      </c>
      <c r="AJ59" s="133" t="str">
        <f aca="false">IF($B59="","",MAX(0,AK59-(SUMIFS('سجل الإجازات والحالات'!$AM$6:$AM$505,'سجل الإجازات والحالات'!$B$6:$B$505,$B59)-SUMIFS('سجل الإجازات والحالات'!$AL$6:$AL$505,'سجل الإجازات والحالات'!$B$6:$B$505,$B59))))</f>
        <v/>
      </c>
      <c r="AK59" s="133" t="str">
        <f aca="false">IF($B59="","",MAX(0,IF(OR(الموظفون!$AE59="",الموظفون!$AE59&gt;$F$3),$F$3,الموظفون!$AE59)-MAX($E$3,الموظفون!$H59)+1))</f>
        <v/>
      </c>
      <c r="AL59" s="156" t="str">
        <f aca="false">IF($B59="","",SUMIFS('سجل الإجازات والحالات'!$AY$6:$AY$505,'سجل الإجازات والحالات'!$B$6:$B$505,$B59)+SUMIFS('الحركات الشهرية'!$K$6:$K$1005,'الحركات الشهرية'!$B$6:$B$1005,$B59,'الحركات الشهرية'!$A$6:$A$1005,$C$3))</f>
        <v/>
      </c>
      <c r="AM59" s="116" t="str">
        <f aca="false">IF($B59="","",AL59*الموظفون!$R59/cfg_DAYS_M+S59)</f>
        <v/>
      </c>
      <c r="AN59" s="156" t="str">
        <f aca="false">IF($B59="","",SUMIFS('سجل الإجازات والحالات'!$AA$6:$AA$505,'سجل الإجازات والحالات'!$B$6:$B$505,$B59))</f>
        <v/>
      </c>
    </row>
    <row r="60" customFormat="false" ht="15" hidden="false" customHeight="false" outlineLevel="0" collapsed="false">
      <c r="A60" s="106" t="str">
        <f aca="false">IF($B60="","",الموظفون!$A60)</f>
        <v/>
      </c>
      <c r="B60" s="114" t="str">
        <f aca="false">IF(الموظفون!$B60="","",الموظفون!$B60)</f>
        <v/>
      </c>
      <c r="C60" s="114" t="str">
        <f aca="false">IF($B60="","",الموظفون!$C60)</f>
        <v/>
      </c>
      <c r="D60" s="114" t="str">
        <f aca="false">IF($B60="","",الموظفون!$F60)</f>
        <v/>
      </c>
      <c r="E60" s="114" t="str">
        <f aca="false">IF($B60="","",الموظفون!$E60)</f>
        <v/>
      </c>
      <c r="F60" s="114" t="str">
        <f aca="false">IF($B60="","",IF(AK60=0,IF(AND(الموظفون!$AE60&lt;&gt;"",الموظفون!$AE60&lt;$E$3),"✖ منتهي الخدمة","⏳ لم يباشر"),IF(S60&gt;0,"✈ راتب إجازة مقدم",IF(J60=0,"⛔ بدون راتب هذا الشهر",IF(I60&gt;0,"✈ خصم "&amp;ROUND(I60,2)&amp;" يوم بدون أجر",IF(AL60&gt;0,"🌴 إجازة سنوية "&amp;ROUND(AL60,2)&amp;" يوم",IF(H60&gt;0,"⚠ غياب "&amp;ROUND(H60,2)&amp;" يوم","✔ على رأس العمل")))))))</f>
        <v/>
      </c>
      <c r="G60" s="151" t="str">
        <f aca="false">IF($B60="","",IF(AK60&gt;=DAY($F$3),cfg_DAYS_M,MIN(AK60,cfg_DAYS_M)))</f>
        <v/>
      </c>
      <c r="H60" s="151" t="str">
        <f aca="false">IF($B60="","",SUMIFS('الحركات الشهرية'!$D$6:$D$1005,'الحركات الشهرية'!$B$6:$B$1005,$B60,'الحركات الشهرية'!$A$6:$A$1005,$C$3))</f>
        <v/>
      </c>
      <c r="I60" s="151" t="str">
        <f aca="false">IF($B60="","",MIN(G60,IF(AND(AK60&gt;0,AN60&gt;=AK60),G60,AN60)+SUMIFS('الحركات الشهرية'!$E$6:$E$1005,'الحركات الشهرية'!$B$6:$B$1005,$B60,'الحركات الشهرية'!$A$6:$A$1005,$C$3)))</f>
        <v/>
      </c>
      <c r="J60" s="151" t="str">
        <f aca="false">IF($B60="","",MAX(0,G60-H60-I60))</f>
        <v/>
      </c>
      <c r="K60" s="111" t="str">
        <f aca="false">IF($B60="","",الموظفون!$L60*$J60/cfg_DAYS_M)</f>
        <v/>
      </c>
      <c r="L60" s="111" t="str">
        <f aca="false">IF($B60="","",الموظفون!$M60*$J60/cfg_DAYS_M)</f>
        <v/>
      </c>
      <c r="M60" s="111" t="str">
        <f aca="false">IF($B60="","",الموظفون!$N60*$J60/cfg_DAYS_M)</f>
        <v/>
      </c>
      <c r="N60" s="111" t="str">
        <f aca="false">IF($B60="","",الموظفون!$O60*$J60/cfg_DAYS_M)</f>
        <v/>
      </c>
      <c r="O60" s="151" t="str">
        <f aca="false">IF($B60="","",SUMIFS('الحركات الشهرية'!$F$6:$F$1005,'الحركات الشهرية'!$B$6:$B$1005,$B60,'الحركات الشهرية'!$A$6:$A$1005,$C$3))</f>
        <v/>
      </c>
      <c r="P60" s="111" t="str">
        <f aca="false">IF($B60="","",O60*(الموظفون!$P60+الموظفون!$L60*cfg_OT_P)/cfg_DAYS_M/cfg_HRS)</f>
        <v/>
      </c>
      <c r="Q60" s="111" t="str">
        <f aca="false">IF($B60="","",SUMIFS('الحركات الشهرية'!$G$6:$G$1005,'الحركات الشهرية'!$B$6:$B$1005,$B60,'الحركات الشهرية'!$A$6:$A$1005,$C$3))</f>
        <v/>
      </c>
      <c r="R60" s="111" t="str">
        <f aca="false">IF($B60="","",SUMIFS('الحركات الشهرية'!$H$6:$H$1005,'الحركات الشهرية'!$B$6:$B$1005,$B60,'الحركات الشهرية'!$A$6:$A$1005,$C$3))</f>
        <v/>
      </c>
      <c r="S60" s="111" t="str">
        <f aca="false">IF($B60="","",SUMIFS('سجل الإجازات والحالات'!$N$6:$N$505,'سجل الإجازات والحالات'!$B$6:$B$505,$B60,'سجل الإجازات والحالات'!$O$6:$O$505,$C$3))</f>
        <v/>
      </c>
      <c r="T60" s="152" t="str">
        <f aca="false">IF($B60="","",SUM(K60:N60)+SUM(P60:S60))</f>
        <v/>
      </c>
      <c r="U60" s="111" t="str">
        <f aca="false">IF($B60="","",الموظفون!$S60*IF(E60="سعودي",cfg_G_SE,cfg_G_NE)*G60/cfg_DAYS_M)</f>
        <v/>
      </c>
      <c r="V60" s="111" t="str">
        <f aca="false">IF($B60="","",SUMIFS('الحركات الشهرية'!$I$6:$I$1005,'الحركات الشهرية'!$B$6:$B$1005,$B60,'الحركات الشهرية'!$A$6:$A$1005,$C$3))</f>
        <v/>
      </c>
      <c r="W60" s="111" t="str">
        <f aca="false">IF($B60="","",SUMIFS('الحركات الشهرية'!$J$6:$J$1005,'الحركات الشهرية'!$B$6:$B$1005,$B60,'الحركات الشهرية'!$A$6:$A$1005,$C$3))</f>
        <v/>
      </c>
      <c r="X60" s="111" t="str">
        <f aca="false">IF($B60="","",SUM(U60:W60))</f>
        <v/>
      </c>
      <c r="Y60" s="153" t="str">
        <f aca="false">IF($B60="","",T60-X60)</f>
        <v/>
      </c>
      <c r="Z60" s="111" t="str">
        <f aca="false">IF($B60="","",الموظفون!$S60*IF(E60="سعودي",cfg_G_SR,cfg_G_NR)*G60/cfg_DAYS_M)</f>
        <v/>
      </c>
      <c r="AA60" s="111" t="str">
        <f aca="false">IF($B60="","",الموظفون!$Q60*(cfg_EOS_R1*(MIN(AH60,cfg_EOS_TH)-MIN(AI60,cfg_EOS_TH))+cfg_EOS_R2*(MAX(AH60-cfg_EOS_TH,0)-MAX(AI60-cfg_EOS_TH,0))))</f>
        <v/>
      </c>
      <c r="AB60" s="111" t="str">
        <f aca="false">IF($B60="","",IF(الموظفون!$T60&lt;&gt;"",الموظفون!$T60,IF(AH60&gt;=cfg_LV_TH,cfg_LV_D2,cfg_LV_D1))/cfg_DAYS_Y*AJ60*الموظفون!$R60/cfg_DAYS_M)</f>
        <v/>
      </c>
      <c r="AC60" s="111" t="str">
        <f aca="false">IF($B60="","",IF(AND(الموظفون!$U60="نعم",N(الموظفون!$W60)&gt;0),الموظفون!$V60/الموظفون!$W60*12/cfg_DAYS_Y*AJ60,0))</f>
        <v/>
      </c>
      <c r="AD60" s="111" t="str">
        <f aca="false">IF($B60="","",(IF(الموظفون!$X60&lt;&gt;"",الموظفون!$X60,IF(الموظفون!$E60="غير سعودي",cfg_IQ,0))+IF(الموظفون!$Y60&lt;&gt;"",الموظفون!$Y60,IF(الموظفون!$E60="غير سعودي",cfg_WP,0)))/12*G60/cfg_DAYS_M)</f>
        <v/>
      </c>
      <c r="AE60" s="111" t="str">
        <f aca="false">IF($B60="","",IF(الموظفون!$Z60&lt;&gt;"",الموظفون!$Z60,cfg_MED)/12*G60/cfg_DAYS_M)</f>
        <v/>
      </c>
      <c r="AF60" s="111" t="str">
        <f aca="false">IF($B60="","",N(الموظفون!$AA60)/12*G60/cfg_DAYS_M)</f>
        <v/>
      </c>
      <c r="AG60" s="154" t="str">
        <f aca="false">IF($B60="","",T60+SUM(Z60:AF60))</f>
        <v/>
      </c>
      <c r="AH60" s="155" t="str">
        <f aca="false">IF($B60="","",MAX(0,IF(OR(الموظفون!$AE60="",الموظفون!$AE60&gt;$F$3),$F$3,الموظفون!$AE60)-الموظفون!$H60+1-SUMIFS('سجل الإجازات والحالات'!$AM$6:$AM$505,'سجل الإجازات والحالات'!$B$6:$B$505,$B60))/cfg_DAYS_Y)</f>
        <v/>
      </c>
      <c r="AI60" s="155" t="str">
        <f aca="false">IF($B60="","",MAX(0,IF(OR(الموظفون!$AE60="",الموظفون!$AE60&gt;($E$3-1)),($E$3-1),الموظفون!$AE60)-الموظفون!$H60+1-SUMIFS('سجل الإجازات والحالات'!$AL$6:$AL$505,'سجل الإجازات والحالات'!$B$6:$B$505,$B60))/cfg_DAYS_Y)</f>
        <v/>
      </c>
      <c r="AJ60" s="65" t="str">
        <f aca="false">IF($B60="","",MAX(0,AK60-(SUMIFS('سجل الإجازات والحالات'!$AM$6:$AM$505,'سجل الإجازات والحالات'!$B$6:$B$505,$B60)-SUMIFS('سجل الإجازات والحالات'!$AL$6:$AL$505,'سجل الإجازات والحالات'!$B$6:$B$505,$B60))))</f>
        <v/>
      </c>
      <c r="AK60" s="65" t="str">
        <f aca="false">IF($B60="","",MAX(0,IF(OR(الموظفون!$AE60="",الموظفون!$AE60&gt;$F$3),$F$3,الموظفون!$AE60)-MAX($E$3,الموظفون!$H60)+1))</f>
        <v/>
      </c>
      <c r="AL60" s="151" t="str">
        <f aca="false">IF($B60="","",SUMIFS('سجل الإجازات والحالات'!$AY$6:$AY$505,'سجل الإجازات والحالات'!$B$6:$B$505,$B60)+SUMIFS('الحركات الشهرية'!$K$6:$K$1005,'الحركات الشهرية'!$B$6:$B$1005,$B60,'الحركات الشهرية'!$A$6:$A$1005,$C$3))</f>
        <v/>
      </c>
      <c r="AM60" s="111" t="str">
        <f aca="false">IF($B60="","",AL60*الموظفون!$R60/cfg_DAYS_M+S60)</f>
        <v/>
      </c>
      <c r="AN60" s="151" t="str">
        <f aca="false">IF($B60="","",SUMIFS('سجل الإجازات والحالات'!$AA$6:$AA$505,'سجل الإجازات والحالات'!$B$6:$B$505,$B60))</f>
        <v/>
      </c>
    </row>
    <row r="61" customFormat="false" ht="15" hidden="false" customHeight="false" outlineLevel="0" collapsed="false">
      <c r="A61" s="115" t="str">
        <f aca="false">IF($B61="","",الموظفون!$A61)</f>
        <v/>
      </c>
      <c r="B61" s="117" t="str">
        <f aca="false">IF(الموظفون!$B61="","",الموظفون!$B61)</f>
        <v/>
      </c>
      <c r="C61" s="117" t="str">
        <f aca="false">IF($B61="","",الموظفون!$C61)</f>
        <v/>
      </c>
      <c r="D61" s="117" t="str">
        <f aca="false">IF($B61="","",الموظفون!$F61)</f>
        <v/>
      </c>
      <c r="E61" s="117" t="str">
        <f aca="false">IF($B61="","",الموظفون!$E61)</f>
        <v/>
      </c>
      <c r="F61" s="117" t="str">
        <f aca="false">IF($B61="","",IF(AK61=0,IF(AND(الموظفون!$AE61&lt;&gt;"",الموظفون!$AE61&lt;$E$3),"✖ منتهي الخدمة","⏳ لم يباشر"),IF(S61&gt;0,"✈ راتب إجازة مقدم",IF(J61=0,"⛔ بدون راتب هذا الشهر",IF(I61&gt;0,"✈ خصم "&amp;ROUND(I61,2)&amp;" يوم بدون أجر",IF(AL61&gt;0,"🌴 إجازة سنوية "&amp;ROUND(AL61,2)&amp;" يوم",IF(H61&gt;0,"⚠ غياب "&amp;ROUND(H61,2)&amp;" يوم","✔ على رأس العمل")))))))</f>
        <v/>
      </c>
      <c r="G61" s="156" t="str">
        <f aca="false">IF($B61="","",IF(AK61&gt;=DAY($F$3),cfg_DAYS_M,MIN(AK61,cfg_DAYS_M)))</f>
        <v/>
      </c>
      <c r="H61" s="156" t="str">
        <f aca="false">IF($B61="","",SUMIFS('الحركات الشهرية'!$D$6:$D$1005,'الحركات الشهرية'!$B$6:$B$1005,$B61,'الحركات الشهرية'!$A$6:$A$1005,$C$3))</f>
        <v/>
      </c>
      <c r="I61" s="156" t="str">
        <f aca="false">IF($B61="","",MIN(G61,IF(AND(AK61&gt;0,AN61&gt;=AK61),G61,AN61)+SUMIFS('الحركات الشهرية'!$E$6:$E$1005,'الحركات الشهرية'!$B$6:$B$1005,$B61,'الحركات الشهرية'!$A$6:$A$1005,$C$3)))</f>
        <v/>
      </c>
      <c r="J61" s="156" t="str">
        <f aca="false">IF($B61="","",MAX(0,G61-H61-I61))</f>
        <v/>
      </c>
      <c r="K61" s="116" t="str">
        <f aca="false">IF($B61="","",الموظفون!$L61*$J61/cfg_DAYS_M)</f>
        <v/>
      </c>
      <c r="L61" s="116" t="str">
        <f aca="false">IF($B61="","",الموظفون!$M61*$J61/cfg_DAYS_M)</f>
        <v/>
      </c>
      <c r="M61" s="116" t="str">
        <f aca="false">IF($B61="","",الموظفون!$N61*$J61/cfg_DAYS_M)</f>
        <v/>
      </c>
      <c r="N61" s="116" t="str">
        <f aca="false">IF($B61="","",الموظفون!$O61*$J61/cfg_DAYS_M)</f>
        <v/>
      </c>
      <c r="O61" s="156" t="str">
        <f aca="false">IF($B61="","",SUMIFS('الحركات الشهرية'!$F$6:$F$1005,'الحركات الشهرية'!$B$6:$B$1005,$B61,'الحركات الشهرية'!$A$6:$A$1005,$C$3))</f>
        <v/>
      </c>
      <c r="P61" s="116" t="str">
        <f aca="false">IF($B61="","",O61*(الموظفون!$P61+الموظفون!$L61*cfg_OT_P)/cfg_DAYS_M/cfg_HRS)</f>
        <v/>
      </c>
      <c r="Q61" s="116" t="str">
        <f aca="false">IF($B61="","",SUMIFS('الحركات الشهرية'!$G$6:$G$1005,'الحركات الشهرية'!$B$6:$B$1005,$B61,'الحركات الشهرية'!$A$6:$A$1005,$C$3))</f>
        <v/>
      </c>
      <c r="R61" s="116" t="str">
        <f aca="false">IF($B61="","",SUMIFS('الحركات الشهرية'!$H$6:$H$1005,'الحركات الشهرية'!$B$6:$B$1005,$B61,'الحركات الشهرية'!$A$6:$A$1005,$C$3))</f>
        <v/>
      </c>
      <c r="S61" s="116" t="str">
        <f aca="false">IF($B61="","",SUMIFS('سجل الإجازات والحالات'!$N$6:$N$505,'سجل الإجازات والحالات'!$B$6:$B$505,$B61,'سجل الإجازات والحالات'!$O$6:$O$505,$C$3))</f>
        <v/>
      </c>
      <c r="T61" s="157" t="str">
        <f aca="false">IF($B61="","",SUM(K61:N61)+SUM(P61:S61))</f>
        <v/>
      </c>
      <c r="U61" s="116" t="str">
        <f aca="false">IF($B61="","",الموظفون!$S61*IF(E61="سعودي",cfg_G_SE,cfg_G_NE)*G61/cfg_DAYS_M)</f>
        <v/>
      </c>
      <c r="V61" s="116" t="str">
        <f aca="false">IF($B61="","",SUMIFS('الحركات الشهرية'!$I$6:$I$1005,'الحركات الشهرية'!$B$6:$B$1005,$B61,'الحركات الشهرية'!$A$6:$A$1005,$C$3))</f>
        <v/>
      </c>
      <c r="W61" s="116" t="str">
        <f aca="false">IF($B61="","",SUMIFS('الحركات الشهرية'!$J$6:$J$1005,'الحركات الشهرية'!$B$6:$B$1005,$B61,'الحركات الشهرية'!$A$6:$A$1005,$C$3))</f>
        <v/>
      </c>
      <c r="X61" s="116" t="str">
        <f aca="false">IF($B61="","",SUM(U61:W61))</f>
        <v/>
      </c>
      <c r="Y61" s="158" t="str">
        <f aca="false">IF($B61="","",T61-X61)</f>
        <v/>
      </c>
      <c r="Z61" s="116" t="str">
        <f aca="false">IF($B61="","",الموظفون!$S61*IF(E61="سعودي",cfg_G_SR,cfg_G_NR)*G61/cfg_DAYS_M)</f>
        <v/>
      </c>
      <c r="AA61" s="116" t="str">
        <f aca="false">IF($B61="","",الموظفون!$Q61*(cfg_EOS_R1*(MIN(AH61,cfg_EOS_TH)-MIN(AI61,cfg_EOS_TH))+cfg_EOS_R2*(MAX(AH61-cfg_EOS_TH,0)-MAX(AI61-cfg_EOS_TH,0))))</f>
        <v/>
      </c>
      <c r="AB61" s="116" t="str">
        <f aca="false">IF($B61="","",IF(الموظفون!$T61&lt;&gt;"",الموظفون!$T61,IF(AH61&gt;=cfg_LV_TH,cfg_LV_D2,cfg_LV_D1))/cfg_DAYS_Y*AJ61*الموظفون!$R61/cfg_DAYS_M)</f>
        <v/>
      </c>
      <c r="AC61" s="116" t="str">
        <f aca="false">IF($B61="","",IF(AND(الموظفون!$U61="نعم",N(الموظفون!$W61)&gt;0),الموظفون!$V61/الموظفون!$W61*12/cfg_DAYS_Y*AJ61,0))</f>
        <v/>
      </c>
      <c r="AD61" s="116" t="str">
        <f aca="false">IF($B61="","",(IF(الموظفون!$X61&lt;&gt;"",الموظفون!$X61,IF(الموظفون!$E61="غير سعودي",cfg_IQ,0))+IF(الموظفون!$Y61&lt;&gt;"",الموظفون!$Y61,IF(الموظفون!$E61="غير سعودي",cfg_WP,0)))/12*G61/cfg_DAYS_M)</f>
        <v/>
      </c>
      <c r="AE61" s="116" t="str">
        <f aca="false">IF($B61="","",IF(الموظفون!$Z61&lt;&gt;"",الموظفون!$Z61,cfg_MED)/12*G61/cfg_DAYS_M)</f>
        <v/>
      </c>
      <c r="AF61" s="116" t="str">
        <f aca="false">IF($B61="","",N(الموظفون!$AA61)/12*G61/cfg_DAYS_M)</f>
        <v/>
      </c>
      <c r="AG61" s="159" t="str">
        <f aca="false">IF($B61="","",T61+SUM(Z61:AF61))</f>
        <v/>
      </c>
      <c r="AH61" s="160" t="str">
        <f aca="false">IF($B61="","",MAX(0,IF(OR(الموظفون!$AE61="",الموظفون!$AE61&gt;$F$3),$F$3,الموظفون!$AE61)-الموظفون!$H61+1-SUMIFS('سجل الإجازات والحالات'!$AM$6:$AM$505,'سجل الإجازات والحالات'!$B$6:$B$505,$B61))/cfg_DAYS_Y)</f>
        <v/>
      </c>
      <c r="AI61" s="160" t="str">
        <f aca="false">IF($B61="","",MAX(0,IF(OR(الموظفون!$AE61="",الموظفون!$AE61&gt;($E$3-1)),($E$3-1),الموظفون!$AE61)-الموظفون!$H61+1-SUMIFS('سجل الإجازات والحالات'!$AL$6:$AL$505,'سجل الإجازات والحالات'!$B$6:$B$505,$B61))/cfg_DAYS_Y)</f>
        <v/>
      </c>
      <c r="AJ61" s="133" t="str">
        <f aca="false">IF($B61="","",MAX(0,AK61-(SUMIFS('سجل الإجازات والحالات'!$AM$6:$AM$505,'سجل الإجازات والحالات'!$B$6:$B$505,$B61)-SUMIFS('سجل الإجازات والحالات'!$AL$6:$AL$505,'سجل الإجازات والحالات'!$B$6:$B$505,$B61))))</f>
        <v/>
      </c>
      <c r="AK61" s="133" t="str">
        <f aca="false">IF($B61="","",MAX(0,IF(OR(الموظفون!$AE61="",الموظفون!$AE61&gt;$F$3),$F$3,الموظفون!$AE61)-MAX($E$3,الموظفون!$H61)+1))</f>
        <v/>
      </c>
      <c r="AL61" s="156" t="str">
        <f aca="false">IF($B61="","",SUMIFS('سجل الإجازات والحالات'!$AY$6:$AY$505,'سجل الإجازات والحالات'!$B$6:$B$505,$B61)+SUMIFS('الحركات الشهرية'!$K$6:$K$1005,'الحركات الشهرية'!$B$6:$B$1005,$B61,'الحركات الشهرية'!$A$6:$A$1005,$C$3))</f>
        <v/>
      </c>
      <c r="AM61" s="116" t="str">
        <f aca="false">IF($B61="","",AL61*الموظفون!$R61/cfg_DAYS_M+S61)</f>
        <v/>
      </c>
      <c r="AN61" s="156" t="str">
        <f aca="false">IF($B61="","",SUMIFS('سجل الإجازات والحالات'!$AA$6:$AA$505,'سجل الإجازات والحالات'!$B$6:$B$505,$B61))</f>
        <v/>
      </c>
    </row>
    <row r="62" customFormat="false" ht="15" hidden="false" customHeight="false" outlineLevel="0" collapsed="false">
      <c r="A62" s="106" t="str">
        <f aca="false">IF($B62="","",الموظفون!$A62)</f>
        <v/>
      </c>
      <c r="B62" s="114" t="str">
        <f aca="false">IF(الموظفون!$B62="","",الموظفون!$B62)</f>
        <v/>
      </c>
      <c r="C62" s="114" t="str">
        <f aca="false">IF($B62="","",الموظفون!$C62)</f>
        <v/>
      </c>
      <c r="D62" s="114" t="str">
        <f aca="false">IF($B62="","",الموظفون!$F62)</f>
        <v/>
      </c>
      <c r="E62" s="114" t="str">
        <f aca="false">IF($B62="","",الموظفون!$E62)</f>
        <v/>
      </c>
      <c r="F62" s="114" t="str">
        <f aca="false">IF($B62="","",IF(AK62=0,IF(AND(الموظفون!$AE62&lt;&gt;"",الموظفون!$AE62&lt;$E$3),"✖ منتهي الخدمة","⏳ لم يباشر"),IF(S62&gt;0,"✈ راتب إجازة مقدم",IF(J62=0,"⛔ بدون راتب هذا الشهر",IF(I62&gt;0,"✈ خصم "&amp;ROUND(I62,2)&amp;" يوم بدون أجر",IF(AL62&gt;0,"🌴 إجازة سنوية "&amp;ROUND(AL62,2)&amp;" يوم",IF(H62&gt;0,"⚠ غياب "&amp;ROUND(H62,2)&amp;" يوم","✔ على رأس العمل")))))))</f>
        <v/>
      </c>
      <c r="G62" s="151" t="str">
        <f aca="false">IF($B62="","",IF(AK62&gt;=DAY($F$3),cfg_DAYS_M,MIN(AK62,cfg_DAYS_M)))</f>
        <v/>
      </c>
      <c r="H62" s="151" t="str">
        <f aca="false">IF($B62="","",SUMIFS('الحركات الشهرية'!$D$6:$D$1005,'الحركات الشهرية'!$B$6:$B$1005,$B62,'الحركات الشهرية'!$A$6:$A$1005,$C$3))</f>
        <v/>
      </c>
      <c r="I62" s="151" t="str">
        <f aca="false">IF($B62="","",MIN(G62,IF(AND(AK62&gt;0,AN62&gt;=AK62),G62,AN62)+SUMIFS('الحركات الشهرية'!$E$6:$E$1005,'الحركات الشهرية'!$B$6:$B$1005,$B62,'الحركات الشهرية'!$A$6:$A$1005,$C$3)))</f>
        <v/>
      </c>
      <c r="J62" s="151" t="str">
        <f aca="false">IF($B62="","",MAX(0,G62-H62-I62))</f>
        <v/>
      </c>
      <c r="K62" s="111" t="str">
        <f aca="false">IF($B62="","",الموظفون!$L62*$J62/cfg_DAYS_M)</f>
        <v/>
      </c>
      <c r="L62" s="111" t="str">
        <f aca="false">IF($B62="","",الموظفون!$M62*$J62/cfg_DAYS_M)</f>
        <v/>
      </c>
      <c r="M62" s="111" t="str">
        <f aca="false">IF($B62="","",الموظفون!$N62*$J62/cfg_DAYS_M)</f>
        <v/>
      </c>
      <c r="N62" s="111" t="str">
        <f aca="false">IF($B62="","",الموظفون!$O62*$J62/cfg_DAYS_M)</f>
        <v/>
      </c>
      <c r="O62" s="151" t="str">
        <f aca="false">IF($B62="","",SUMIFS('الحركات الشهرية'!$F$6:$F$1005,'الحركات الشهرية'!$B$6:$B$1005,$B62,'الحركات الشهرية'!$A$6:$A$1005,$C$3))</f>
        <v/>
      </c>
      <c r="P62" s="111" t="str">
        <f aca="false">IF($B62="","",O62*(الموظفون!$P62+الموظفون!$L62*cfg_OT_P)/cfg_DAYS_M/cfg_HRS)</f>
        <v/>
      </c>
      <c r="Q62" s="111" t="str">
        <f aca="false">IF($B62="","",SUMIFS('الحركات الشهرية'!$G$6:$G$1005,'الحركات الشهرية'!$B$6:$B$1005,$B62,'الحركات الشهرية'!$A$6:$A$1005,$C$3))</f>
        <v/>
      </c>
      <c r="R62" s="111" t="str">
        <f aca="false">IF($B62="","",SUMIFS('الحركات الشهرية'!$H$6:$H$1005,'الحركات الشهرية'!$B$6:$B$1005,$B62,'الحركات الشهرية'!$A$6:$A$1005,$C$3))</f>
        <v/>
      </c>
      <c r="S62" s="111" t="str">
        <f aca="false">IF($B62="","",SUMIFS('سجل الإجازات والحالات'!$N$6:$N$505,'سجل الإجازات والحالات'!$B$6:$B$505,$B62,'سجل الإجازات والحالات'!$O$6:$O$505,$C$3))</f>
        <v/>
      </c>
      <c r="T62" s="152" t="str">
        <f aca="false">IF($B62="","",SUM(K62:N62)+SUM(P62:S62))</f>
        <v/>
      </c>
      <c r="U62" s="111" t="str">
        <f aca="false">IF($B62="","",الموظفون!$S62*IF(E62="سعودي",cfg_G_SE,cfg_G_NE)*G62/cfg_DAYS_M)</f>
        <v/>
      </c>
      <c r="V62" s="111" t="str">
        <f aca="false">IF($B62="","",SUMIFS('الحركات الشهرية'!$I$6:$I$1005,'الحركات الشهرية'!$B$6:$B$1005,$B62,'الحركات الشهرية'!$A$6:$A$1005,$C$3))</f>
        <v/>
      </c>
      <c r="W62" s="111" t="str">
        <f aca="false">IF($B62="","",SUMIFS('الحركات الشهرية'!$J$6:$J$1005,'الحركات الشهرية'!$B$6:$B$1005,$B62,'الحركات الشهرية'!$A$6:$A$1005,$C$3))</f>
        <v/>
      </c>
      <c r="X62" s="111" t="str">
        <f aca="false">IF($B62="","",SUM(U62:W62))</f>
        <v/>
      </c>
      <c r="Y62" s="153" t="str">
        <f aca="false">IF($B62="","",T62-X62)</f>
        <v/>
      </c>
      <c r="Z62" s="111" t="str">
        <f aca="false">IF($B62="","",الموظفون!$S62*IF(E62="سعودي",cfg_G_SR,cfg_G_NR)*G62/cfg_DAYS_M)</f>
        <v/>
      </c>
      <c r="AA62" s="111" t="str">
        <f aca="false">IF($B62="","",الموظفون!$Q62*(cfg_EOS_R1*(MIN(AH62,cfg_EOS_TH)-MIN(AI62,cfg_EOS_TH))+cfg_EOS_R2*(MAX(AH62-cfg_EOS_TH,0)-MAX(AI62-cfg_EOS_TH,0))))</f>
        <v/>
      </c>
      <c r="AB62" s="111" t="str">
        <f aca="false">IF($B62="","",IF(الموظفون!$T62&lt;&gt;"",الموظفون!$T62,IF(AH62&gt;=cfg_LV_TH,cfg_LV_D2,cfg_LV_D1))/cfg_DAYS_Y*AJ62*الموظفون!$R62/cfg_DAYS_M)</f>
        <v/>
      </c>
      <c r="AC62" s="111" t="str">
        <f aca="false">IF($B62="","",IF(AND(الموظفون!$U62="نعم",N(الموظفون!$W62)&gt;0),الموظفون!$V62/الموظفون!$W62*12/cfg_DAYS_Y*AJ62,0))</f>
        <v/>
      </c>
      <c r="AD62" s="111" t="str">
        <f aca="false">IF($B62="","",(IF(الموظفون!$X62&lt;&gt;"",الموظفون!$X62,IF(الموظفون!$E62="غير سعودي",cfg_IQ,0))+IF(الموظفون!$Y62&lt;&gt;"",الموظفون!$Y62,IF(الموظفون!$E62="غير سعودي",cfg_WP,0)))/12*G62/cfg_DAYS_M)</f>
        <v/>
      </c>
      <c r="AE62" s="111" t="str">
        <f aca="false">IF($B62="","",IF(الموظفون!$Z62&lt;&gt;"",الموظفون!$Z62,cfg_MED)/12*G62/cfg_DAYS_M)</f>
        <v/>
      </c>
      <c r="AF62" s="111" t="str">
        <f aca="false">IF($B62="","",N(الموظفون!$AA62)/12*G62/cfg_DAYS_M)</f>
        <v/>
      </c>
      <c r="AG62" s="154" t="str">
        <f aca="false">IF($B62="","",T62+SUM(Z62:AF62))</f>
        <v/>
      </c>
      <c r="AH62" s="155" t="str">
        <f aca="false">IF($B62="","",MAX(0,IF(OR(الموظفون!$AE62="",الموظفون!$AE62&gt;$F$3),$F$3,الموظفون!$AE62)-الموظفون!$H62+1-SUMIFS('سجل الإجازات والحالات'!$AM$6:$AM$505,'سجل الإجازات والحالات'!$B$6:$B$505,$B62))/cfg_DAYS_Y)</f>
        <v/>
      </c>
      <c r="AI62" s="155" t="str">
        <f aca="false">IF($B62="","",MAX(0,IF(OR(الموظفون!$AE62="",الموظفون!$AE62&gt;($E$3-1)),($E$3-1),الموظفون!$AE62)-الموظفون!$H62+1-SUMIFS('سجل الإجازات والحالات'!$AL$6:$AL$505,'سجل الإجازات والحالات'!$B$6:$B$505,$B62))/cfg_DAYS_Y)</f>
        <v/>
      </c>
      <c r="AJ62" s="65" t="str">
        <f aca="false">IF($B62="","",MAX(0,AK62-(SUMIFS('سجل الإجازات والحالات'!$AM$6:$AM$505,'سجل الإجازات والحالات'!$B$6:$B$505,$B62)-SUMIFS('سجل الإجازات والحالات'!$AL$6:$AL$505,'سجل الإجازات والحالات'!$B$6:$B$505,$B62))))</f>
        <v/>
      </c>
      <c r="AK62" s="65" t="str">
        <f aca="false">IF($B62="","",MAX(0,IF(OR(الموظفون!$AE62="",الموظفون!$AE62&gt;$F$3),$F$3,الموظفون!$AE62)-MAX($E$3,الموظفون!$H62)+1))</f>
        <v/>
      </c>
      <c r="AL62" s="151" t="str">
        <f aca="false">IF($B62="","",SUMIFS('سجل الإجازات والحالات'!$AY$6:$AY$505,'سجل الإجازات والحالات'!$B$6:$B$505,$B62)+SUMIFS('الحركات الشهرية'!$K$6:$K$1005,'الحركات الشهرية'!$B$6:$B$1005,$B62,'الحركات الشهرية'!$A$6:$A$1005,$C$3))</f>
        <v/>
      </c>
      <c r="AM62" s="111" t="str">
        <f aca="false">IF($B62="","",AL62*الموظفون!$R62/cfg_DAYS_M+S62)</f>
        <v/>
      </c>
      <c r="AN62" s="151" t="str">
        <f aca="false">IF($B62="","",SUMIFS('سجل الإجازات والحالات'!$AA$6:$AA$505,'سجل الإجازات والحالات'!$B$6:$B$505,$B62))</f>
        <v/>
      </c>
    </row>
    <row r="63" customFormat="false" ht="15" hidden="false" customHeight="false" outlineLevel="0" collapsed="false">
      <c r="A63" s="115" t="str">
        <f aca="false">IF($B63="","",الموظفون!$A63)</f>
        <v/>
      </c>
      <c r="B63" s="117" t="str">
        <f aca="false">IF(الموظفون!$B63="","",الموظفون!$B63)</f>
        <v/>
      </c>
      <c r="C63" s="117" t="str">
        <f aca="false">IF($B63="","",الموظفون!$C63)</f>
        <v/>
      </c>
      <c r="D63" s="117" t="str">
        <f aca="false">IF($B63="","",الموظفون!$F63)</f>
        <v/>
      </c>
      <c r="E63" s="117" t="str">
        <f aca="false">IF($B63="","",الموظفون!$E63)</f>
        <v/>
      </c>
      <c r="F63" s="117" t="str">
        <f aca="false">IF($B63="","",IF(AK63=0,IF(AND(الموظفون!$AE63&lt;&gt;"",الموظفون!$AE63&lt;$E$3),"✖ منتهي الخدمة","⏳ لم يباشر"),IF(S63&gt;0,"✈ راتب إجازة مقدم",IF(J63=0,"⛔ بدون راتب هذا الشهر",IF(I63&gt;0,"✈ خصم "&amp;ROUND(I63,2)&amp;" يوم بدون أجر",IF(AL63&gt;0,"🌴 إجازة سنوية "&amp;ROUND(AL63,2)&amp;" يوم",IF(H63&gt;0,"⚠ غياب "&amp;ROUND(H63,2)&amp;" يوم","✔ على رأس العمل")))))))</f>
        <v/>
      </c>
      <c r="G63" s="156" t="str">
        <f aca="false">IF($B63="","",IF(AK63&gt;=DAY($F$3),cfg_DAYS_M,MIN(AK63,cfg_DAYS_M)))</f>
        <v/>
      </c>
      <c r="H63" s="156" t="str">
        <f aca="false">IF($B63="","",SUMIFS('الحركات الشهرية'!$D$6:$D$1005,'الحركات الشهرية'!$B$6:$B$1005,$B63,'الحركات الشهرية'!$A$6:$A$1005,$C$3))</f>
        <v/>
      </c>
      <c r="I63" s="156" t="str">
        <f aca="false">IF($B63="","",MIN(G63,IF(AND(AK63&gt;0,AN63&gt;=AK63),G63,AN63)+SUMIFS('الحركات الشهرية'!$E$6:$E$1005,'الحركات الشهرية'!$B$6:$B$1005,$B63,'الحركات الشهرية'!$A$6:$A$1005,$C$3)))</f>
        <v/>
      </c>
      <c r="J63" s="156" t="str">
        <f aca="false">IF($B63="","",MAX(0,G63-H63-I63))</f>
        <v/>
      </c>
      <c r="K63" s="116" t="str">
        <f aca="false">IF($B63="","",الموظفون!$L63*$J63/cfg_DAYS_M)</f>
        <v/>
      </c>
      <c r="L63" s="116" t="str">
        <f aca="false">IF($B63="","",الموظفون!$M63*$J63/cfg_DAYS_M)</f>
        <v/>
      </c>
      <c r="M63" s="116" t="str">
        <f aca="false">IF($B63="","",الموظفون!$N63*$J63/cfg_DAYS_M)</f>
        <v/>
      </c>
      <c r="N63" s="116" t="str">
        <f aca="false">IF($B63="","",الموظفون!$O63*$J63/cfg_DAYS_M)</f>
        <v/>
      </c>
      <c r="O63" s="156" t="str">
        <f aca="false">IF($B63="","",SUMIFS('الحركات الشهرية'!$F$6:$F$1005,'الحركات الشهرية'!$B$6:$B$1005,$B63,'الحركات الشهرية'!$A$6:$A$1005,$C$3))</f>
        <v/>
      </c>
      <c r="P63" s="116" t="str">
        <f aca="false">IF($B63="","",O63*(الموظفون!$P63+الموظفون!$L63*cfg_OT_P)/cfg_DAYS_M/cfg_HRS)</f>
        <v/>
      </c>
      <c r="Q63" s="116" t="str">
        <f aca="false">IF($B63="","",SUMIFS('الحركات الشهرية'!$G$6:$G$1005,'الحركات الشهرية'!$B$6:$B$1005,$B63,'الحركات الشهرية'!$A$6:$A$1005,$C$3))</f>
        <v/>
      </c>
      <c r="R63" s="116" t="str">
        <f aca="false">IF($B63="","",SUMIFS('الحركات الشهرية'!$H$6:$H$1005,'الحركات الشهرية'!$B$6:$B$1005,$B63,'الحركات الشهرية'!$A$6:$A$1005,$C$3))</f>
        <v/>
      </c>
      <c r="S63" s="116" t="str">
        <f aca="false">IF($B63="","",SUMIFS('سجل الإجازات والحالات'!$N$6:$N$505,'سجل الإجازات والحالات'!$B$6:$B$505,$B63,'سجل الإجازات والحالات'!$O$6:$O$505,$C$3))</f>
        <v/>
      </c>
      <c r="T63" s="157" t="str">
        <f aca="false">IF($B63="","",SUM(K63:N63)+SUM(P63:S63))</f>
        <v/>
      </c>
      <c r="U63" s="116" t="str">
        <f aca="false">IF($B63="","",الموظفون!$S63*IF(E63="سعودي",cfg_G_SE,cfg_G_NE)*G63/cfg_DAYS_M)</f>
        <v/>
      </c>
      <c r="V63" s="116" t="str">
        <f aca="false">IF($B63="","",SUMIFS('الحركات الشهرية'!$I$6:$I$1005,'الحركات الشهرية'!$B$6:$B$1005,$B63,'الحركات الشهرية'!$A$6:$A$1005,$C$3))</f>
        <v/>
      </c>
      <c r="W63" s="116" t="str">
        <f aca="false">IF($B63="","",SUMIFS('الحركات الشهرية'!$J$6:$J$1005,'الحركات الشهرية'!$B$6:$B$1005,$B63,'الحركات الشهرية'!$A$6:$A$1005,$C$3))</f>
        <v/>
      </c>
      <c r="X63" s="116" t="str">
        <f aca="false">IF($B63="","",SUM(U63:W63))</f>
        <v/>
      </c>
      <c r="Y63" s="158" t="str">
        <f aca="false">IF($B63="","",T63-X63)</f>
        <v/>
      </c>
      <c r="Z63" s="116" t="str">
        <f aca="false">IF($B63="","",الموظفون!$S63*IF(E63="سعودي",cfg_G_SR,cfg_G_NR)*G63/cfg_DAYS_M)</f>
        <v/>
      </c>
      <c r="AA63" s="116" t="str">
        <f aca="false">IF($B63="","",الموظفون!$Q63*(cfg_EOS_R1*(MIN(AH63,cfg_EOS_TH)-MIN(AI63,cfg_EOS_TH))+cfg_EOS_R2*(MAX(AH63-cfg_EOS_TH,0)-MAX(AI63-cfg_EOS_TH,0))))</f>
        <v/>
      </c>
      <c r="AB63" s="116" t="str">
        <f aca="false">IF($B63="","",IF(الموظفون!$T63&lt;&gt;"",الموظفون!$T63,IF(AH63&gt;=cfg_LV_TH,cfg_LV_D2,cfg_LV_D1))/cfg_DAYS_Y*AJ63*الموظفون!$R63/cfg_DAYS_M)</f>
        <v/>
      </c>
      <c r="AC63" s="116" t="str">
        <f aca="false">IF($B63="","",IF(AND(الموظفون!$U63="نعم",N(الموظفون!$W63)&gt;0),الموظفون!$V63/الموظفون!$W63*12/cfg_DAYS_Y*AJ63,0))</f>
        <v/>
      </c>
      <c r="AD63" s="116" t="str">
        <f aca="false">IF($B63="","",(IF(الموظفون!$X63&lt;&gt;"",الموظفون!$X63,IF(الموظفون!$E63="غير سعودي",cfg_IQ,0))+IF(الموظفون!$Y63&lt;&gt;"",الموظفون!$Y63,IF(الموظفون!$E63="غير سعودي",cfg_WP,0)))/12*G63/cfg_DAYS_M)</f>
        <v/>
      </c>
      <c r="AE63" s="116" t="str">
        <f aca="false">IF($B63="","",IF(الموظفون!$Z63&lt;&gt;"",الموظفون!$Z63,cfg_MED)/12*G63/cfg_DAYS_M)</f>
        <v/>
      </c>
      <c r="AF63" s="116" t="str">
        <f aca="false">IF($B63="","",N(الموظفون!$AA63)/12*G63/cfg_DAYS_M)</f>
        <v/>
      </c>
      <c r="AG63" s="159" t="str">
        <f aca="false">IF($B63="","",T63+SUM(Z63:AF63))</f>
        <v/>
      </c>
      <c r="AH63" s="160" t="str">
        <f aca="false">IF($B63="","",MAX(0,IF(OR(الموظفون!$AE63="",الموظفون!$AE63&gt;$F$3),$F$3,الموظفون!$AE63)-الموظفون!$H63+1-SUMIFS('سجل الإجازات والحالات'!$AM$6:$AM$505,'سجل الإجازات والحالات'!$B$6:$B$505,$B63))/cfg_DAYS_Y)</f>
        <v/>
      </c>
      <c r="AI63" s="160" t="str">
        <f aca="false">IF($B63="","",MAX(0,IF(OR(الموظفون!$AE63="",الموظفون!$AE63&gt;($E$3-1)),($E$3-1),الموظفون!$AE63)-الموظفون!$H63+1-SUMIFS('سجل الإجازات والحالات'!$AL$6:$AL$505,'سجل الإجازات والحالات'!$B$6:$B$505,$B63))/cfg_DAYS_Y)</f>
        <v/>
      </c>
      <c r="AJ63" s="133" t="str">
        <f aca="false">IF($B63="","",MAX(0,AK63-(SUMIFS('سجل الإجازات والحالات'!$AM$6:$AM$505,'سجل الإجازات والحالات'!$B$6:$B$505,$B63)-SUMIFS('سجل الإجازات والحالات'!$AL$6:$AL$505,'سجل الإجازات والحالات'!$B$6:$B$505,$B63))))</f>
        <v/>
      </c>
      <c r="AK63" s="133" t="str">
        <f aca="false">IF($B63="","",MAX(0,IF(OR(الموظفون!$AE63="",الموظفون!$AE63&gt;$F$3),$F$3,الموظفون!$AE63)-MAX($E$3,الموظفون!$H63)+1))</f>
        <v/>
      </c>
      <c r="AL63" s="156" t="str">
        <f aca="false">IF($B63="","",SUMIFS('سجل الإجازات والحالات'!$AY$6:$AY$505,'سجل الإجازات والحالات'!$B$6:$B$505,$B63)+SUMIFS('الحركات الشهرية'!$K$6:$K$1005,'الحركات الشهرية'!$B$6:$B$1005,$B63,'الحركات الشهرية'!$A$6:$A$1005,$C$3))</f>
        <v/>
      </c>
      <c r="AM63" s="116" t="str">
        <f aca="false">IF($B63="","",AL63*الموظفون!$R63/cfg_DAYS_M+S63)</f>
        <v/>
      </c>
      <c r="AN63" s="156" t="str">
        <f aca="false">IF($B63="","",SUMIFS('سجل الإجازات والحالات'!$AA$6:$AA$505,'سجل الإجازات والحالات'!$B$6:$B$505,$B63))</f>
        <v/>
      </c>
    </row>
    <row r="64" customFormat="false" ht="15" hidden="false" customHeight="false" outlineLevel="0" collapsed="false">
      <c r="A64" s="106" t="str">
        <f aca="false">IF($B64="","",الموظفون!$A64)</f>
        <v/>
      </c>
      <c r="B64" s="114" t="str">
        <f aca="false">IF(الموظفون!$B64="","",الموظفون!$B64)</f>
        <v/>
      </c>
      <c r="C64" s="114" t="str">
        <f aca="false">IF($B64="","",الموظفون!$C64)</f>
        <v/>
      </c>
      <c r="D64" s="114" t="str">
        <f aca="false">IF($B64="","",الموظفون!$F64)</f>
        <v/>
      </c>
      <c r="E64" s="114" t="str">
        <f aca="false">IF($B64="","",الموظفون!$E64)</f>
        <v/>
      </c>
      <c r="F64" s="114" t="str">
        <f aca="false">IF($B64="","",IF(AK64=0,IF(AND(الموظفون!$AE64&lt;&gt;"",الموظفون!$AE64&lt;$E$3),"✖ منتهي الخدمة","⏳ لم يباشر"),IF(S64&gt;0,"✈ راتب إجازة مقدم",IF(J64=0,"⛔ بدون راتب هذا الشهر",IF(I64&gt;0,"✈ خصم "&amp;ROUND(I64,2)&amp;" يوم بدون أجر",IF(AL64&gt;0,"🌴 إجازة سنوية "&amp;ROUND(AL64,2)&amp;" يوم",IF(H64&gt;0,"⚠ غياب "&amp;ROUND(H64,2)&amp;" يوم","✔ على رأس العمل")))))))</f>
        <v/>
      </c>
      <c r="G64" s="151" t="str">
        <f aca="false">IF($B64="","",IF(AK64&gt;=DAY($F$3),cfg_DAYS_M,MIN(AK64,cfg_DAYS_M)))</f>
        <v/>
      </c>
      <c r="H64" s="151" t="str">
        <f aca="false">IF($B64="","",SUMIFS('الحركات الشهرية'!$D$6:$D$1005,'الحركات الشهرية'!$B$6:$B$1005,$B64,'الحركات الشهرية'!$A$6:$A$1005,$C$3))</f>
        <v/>
      </c>
      <c r="I64" s="151" t="str">
        <f aca="false">IF($B64="","",MIN(G64,IF(AND(AK64&gt;0,AN64&gt;=AK64),G64,AN64)+SUMIFS('الحركات الشهرية'!$E$6:$E$1005,'الحركات الشهرية'!$B$6:$B$1005,$B64,'الحركات الشهرية'!$A$6:$A$1005,$C$3)))</f>
        <v/>
      </c>
      <c r="J64" s="151" t="str">
        <f aca="false">IF($B64="","",MAX(0,G64-H64-I64))</f>
        <v/>
      </c>
      <c r="K64" s="111" t="str">
        <f aca="false">IF($B64="","",الموظفون!$L64*$J64/cfg_DAYS_M)</f>
        <v/>
      </c>
      <c r="L64" s="111" t="str">
        <f aca="false">IF($B64="","",الموظفون!$M64*$J64/cfg_DAYS_M)</f>
        <v/>
      </c>
      <c r="M64" s="111" t="str">
        <f aca="false">IF($B64="","",الموظفون!$N64*$J64/cfg_DAYS_M)</f>
        <v/>
      </c>
      <c r="N64" s="111" t="str">
        <f aca="false">IF($B64="","",الموظفون!$O64*$J64/cfg_DAYS_M)</f>
        <v/>
      </c>
      <c r="O64" s="151" t="str">
        <f aca="false">IF($B64="","",SUMIFS('الحركات الشهرية'!$F$6:$F$1005,'الحركات الشهرية'!$B$6:$B$1005,$B64,'الحركات الشهرية'!$A$6:$A$1005,$C$3))</f>
        <v/>
      </c>
      <c r="P64" s="111" t="str">
        <f aca="false">IF($B64="","",O64*(الموظفون!$P64+الموظفون!$L64*cfg_OT_P)/cfg_DAYS_M/cfg_HRS)</f>
        <v/>
      </c>
      <c r="Q64" s="111" t="str">
        <f aca="false">IF($B64="","",SUMIFS('الحركات الشهرية'!$G$6:$G$1005,'الحركات الشهرية'!$B$6:$B$1005,$B64,'الحركات الشهرية'!$A$6:$A$1005,$C$3))</f>
        <v/>
      </c>
      <c r="R64" s="111" t="str">
        <f aca="false">IF($B64="","",SUMIFS('الحركات الشهرية'!$H$6:$H$1005,'الحركات الشهرية'!$B$6:$B$1005,$B64,'الحركات الشهرية'!$A$6:$A$1005,$C$3))</f>
        <v/>
      </c>
      <c r="S64" s="111" t="str">
        <f aca="false">IF($B64="","",SUMIFS('سجل الإجازات والحالات'!$N$6:$N$505,'سجل الإجازات والحالات'!$B$6:$B$505,$B64,'سجل الإجازات والحالات'!$O$6:$O$505,$C$3))</f>
        <v/>
      </c>
      <c r="T64" s="152" t="str">
        <f aca="false">IF($B64="","",SUM(K64:N64)+SUM(P64:S64))</f>
        <v/>
      </c>
      <c r="U64" s="111" t="str">
        <f aca="false">IF($B64="","",الموظفون!$S64*IF(E64="سعودي",cfg_G_SE,cfg_G_NE)*G64/cfg_DAYS_M)</f>
        <v/>
      </c>
      <c r="V64" s="111" t="str">
        <f aca="false">IF($B64="","",SUMIFS('الحركات الشهرية'!$I$6:$I$1005,'الحركات الشهرية'!$B$6:$B$1005,$B64,'الحركات الشهرية'!$A$6:$A$1005,$C$3))</f>
        <v/>
      </c>
      <c r="W64" s="111" t="str">
        <f aca="false">IF($B64="","",SUMIFS('الحركات الشهرية'!$J$6:$J$1005,'الحركات الشهرية'!$B$6:$B$1005,$B64,'الحركات الشهرية'!$A$6:$A$1005,$C$3))</f>
        <v/>
      </c>
      <c r="X64" s="111" t="str">
        <f aca="false">IF($B64="","",SUM(U64:W64))</f>
        <v/>
      </c>
      <c r="Y64" s="153" t="str">
        <f aca="false">IF($B64="","",T64-X64)</f>
        <v/>
      </c>
      <c r="Z64" s="111" t="str">
        <f aca="false">IF($B64="","",الموظفون!$S64*IF(E64="سعودي",cfg_G_SR,cfg_G_NR)*G64/cfg_DAYS_M)</f>
        <v/>
      </c>
      <c r="AA64" s="111" t="str">
        <f aca="false">IF($B64="","",الموظفون!$Q64*(cfg_EOS_R1*(MIN(AH64,cfg_EOS_TH)-MIN(AI64,cfg_EOS_TH))+cfg_EOS_R2*(MAX(AH64-cfg_EOS_TH,0)-MAX(AI64-cfg_EOS_TH,0))))</f>
        <v/>
      </c>
      <c r="AB64" s="111" t="str">
        <f aca="false">IF($B64="","",IF(الموظفون!$T64&lt;&gt;"",الموظفون!$T64,IF(AH64&gt;=cfg_LV_TH,cfg_LV_D2,cfg_LV_D1))/cfg_DAYS_Y*AJ64*الموظفون!$R64/cfg_DAYS_M)</f>
        <v/>
      </c>
      <c r="AC64" s="111" t="str">
        <f aca="false">IF($B64="","",IF(AND(الموظفون!$U64="نعم",N(الموظفون!$W64)&gt;0),الموظفون!$V64/الموظفون!$W64*12/cfg_DAYS_Y*AJ64,0))</f>
        <v/>
      </c>
      <c r="AD64" s="111" t="str">
        <f aca="false">IF($B64="","",(IF(الموظفون!$X64&lt;&gt;"",الموظفون!$X64,IF(الموظفون!$E64="غير سعودي",cfg_IQ,0))+IF(الموظفون!$Y64&lt;&gt;"",الموظفون!$Y64,IF(الموظفون!$E64="غير سعودي",cfg_WP,0)))/12*G64/cfg_DAYS_M)</f>
        <v/>
      </c>
      <c r="AE64" s="111" t="str">
        <f aca="false">IF($B64="","",IF(الموظفون!$Z64&lt;&gt;"",الموظفون!$Z64,cfg_MED)/12*G64/cfg_DAYS_M)</f>
        <v/>
      </c>
      <c r="AF64" s="111" t="str">
        <f aca="false">IF($B64="","",N(الموظفون!$AA64)/12*G64/cfg_DAYS_M)</f>
        <v/>
      </c>
      <c r="AG64" s="154" t="str">
        <f aca="false">IF($B64="","",T64+SUM(Z64:AF64))</f>
        <v/>
      </c>
      <c r="AH64" s="155" t="str">
        <f aca="false">IF($B64="","",MAX(0,IF(OR(الموظفون!$AE64="",الموظفون!$AE64&gt;$F$3),$F$3,الموظفون!$AE64)-الموظفون!$H64+1-SUMIFS('سجل الإجازات والحالات'!$AM$6:$AM$505,'سجل الإجازات والحالات'!$B$6:$B$505,$B64))/cfg_DAYS_Y)</f>
        <v/>
      </c>
      <c r="AI64" s="155" t="str">
        <f aca="false">IF($B64="","",MAX(0,IF(OR(الموظفون!$AE64="",الموظفون!$AE64&gt;($E$3-1)),($E$3-1),الموظفون!$AE64)-الموظفون!$H64+1-SUMIFS('سجل الإجازات والحالات'!$AL$6:$AL$505,'سجل الإجازات والحالات'!$B$6:$B$505,$B64))/cfg_DAYS_Y)</f>
        <v/>
      </c>
      <c r="AJ64" s="65" t="str">
        <f aca="false">IF($B64="","",MAX(0,AK64-(SUMIFS('سجل الإجازات والحالات'!$AM$6:$AM$505,'سجل الإجازات والحالات'!$B$6:$B$505,$B64)-SUMIFS('سجل الإجازات والحالات'!$AL$6:$AL$505,'سجل الإجازات والحالات'!$B$6:$B$505,$B64))))</f>
        <v/>
      </c>
      <c r="AK64" s="65" t="str">
        <f aca="false">IF($B64="","",MAX(0,IF(OR(الموظفون!$AE64="",الموظفون!$AE64&gt;$F$3),$F$3,الموظفون!$AE64)-MAX($E$3,الموظفون!$H64)+1))</f>
        <v/>
      </c>
      <c r="AL64" s="151" t="str">
        <f aca="false">IF($B64="","",SUMIFS('سجل الإجازات والحالات'!$AY$6:$AY$505,'سجل الإجازات والحالات'!$B$6:$B$505,$B64)+SUMIFS('الحركات الشهرية'!$K$6:$K$1005,'الحركات الشهرية'!$B$6:$B$1005,$B64,'الحركات الشهرية'!$A$6:$A$1005,$C$3))</f>
        <v/>
      </c>
      <c r="AM64" s="111" t="str">
        <f aca="false">IF($B64="","",AL64*الموظفون!$R64/cfg_DAYS_M+S64)</f>
        <v/>
      </c>
      <c r="AN64" s="151" t="str">
        <f aca="false">IF($B64="","",SUMIFS('سجل الإجازات والحالات'!$AA$6:$AA$505,'سجل الإجازات والحالات'!$B$6:$B$505,$B64))</f>
        <v/>
      </c>
    </row>
    <row r="65" customFormat="false" ht="15" hidden="false" customHeight="false" outlineLevel="0" collapsed="false">
      <c r="A65" s="115" t="str">
        <f aca="false">IF($B65="","",الموظفون!$A65)</f>
        <v/>
      </c>
      <c r="B65" s="117" t="str">
        <f aca="false">IF(الموظفون!$B65="","",الموظفون!$B65)</f>
        <v/>
      </c>
      <c r="C65" s="117" t="str">
        <f aca="false">IF($B65="","",الموظفون!$C65)</f>
        <v/>
      </c>
      <c r="D65" s="117" t="str">
        <f aca="false">IF($B65="","",الموظفون!$F65)</f>
        <v/>
      </c>
      <c r="E65" s="117" t="str">
        <f aca="false">IF($B65="","",الموظفون!$E65)</f>
        <v/>
      </c>
      <c r="F65" s="117" t="str">
        <f aca="false">IF($B65="","",IF(AK65=0,IF(AND(الموظفون!$AE65&lt;&gt;"",الموظفون!$AE65&lt;$E$3),"✖ منتهي الخدمة","⏳ لم يباشر"),IF(S65&gt;0,"✈ راتب إجازة مقدم",IF(J65=0,"⛔ بدون راتب هذا الشهر",IF(I65&gt;0,"✈ خصم "&amp;ROUND(I65,2)&amp;" يوم بدون أجر",IF(AL65&gt;0,"🌴 إجازة سنوية "&amp;ROUND(AL65,2)&amp;" يوم",IF(H65&gt;0,"⚠ غياب "&amp;ROUND(H65,2)&amp;" يوم","✔ على رأس العمل")))))))</f>
        <v/>
      </c>
      <c r="G65" s="156" t="str">
        <f aca="false">IF($B65="","",IF(AK65&gt;=DAY($F$3),cfg_DAYS_M,MIN(AK65,cfg_DAYS_M)))</f>
        <v/>
      </c>
      <c r="H65" s="156" t="str">
        <f aca="false">IF($B65="","",SUMIFS('الحركات الشهرية'!$D$6:$D$1005,'الحركات الشهرية'!$B$6:$B$1005,$B65,'الحركات الشهرية'!$A$6:$A$1005,$C$3))</f>
        <v/>
      </c>
      <c r="I65" s="156" t="str">
        <f aca="false">IF($B65="","",MIN(G65,IF(AND(AK65&gt;0,AN65&gt;=AK65),G65,AN65)+SUMIFS('الحركات الشهرية'!$E$6:$E$1005,'الحركات الشهرية'!$B$6:$B$1005,$B65,'الحركات الشهرية'!$A$6:$A$1005,$C$3)))</f>
        <v/>
      </c>
      <c r="J65" s="156" t="str">
        <f aca="false">IF($B65="","",MAX(0,G65-H65-I65))</f>
        <v/>
      </c>
      <c r="K65" s="116" t="str">
        <f aca="false">IF($B65="","",الموظفون!$L65*$J65/cfg_DAYS_M)</f>
        <v/>
      </c>
      <c r="L65" s="116" t="str">
        <f aca="false">IF($B65="","",الموظفون!$M65*$J65/cfg_DAYS_M)</f>
        <v/>
      </c>
      <c r="M65" s="116" t="str">
        <f aca="false">IF($B65="","",الموظفون!$N65*$J65/cfg_DAYS_M)</f>
        <v/>
      </c>
      <c r="N65" s="116" t="str">
        <f aca="false">IF($B65="","",الموظفون!$O65*$J65/cfg_DAYS_M)</f>
        <v/>
      </c>
      <c r="O65" s="156" t="str">
        <f aca="false">IF($B65="","",SUMIFS('الحركات الشهرية'!$F$6:$F$1005,'الحركات الشهرية'!$B$6:$B$1005,$B65,'الحركات الشهرية'!$A$6:$A$1005,$C$3))</f>
        <v/>
      </c>
      <c r="P65" s="116" t="str">
        <f aca="false">IF($B65="","",O65*(الموظفون!$P65+الموظفون!$L65*cfg_OT_P)/cfg_DAYS_M/cfg_HRS)</f>
        <v/>
      </c>
      <c r="Q65" s="116" t="str">
        <f aca="false">IF($B65="","",SUMIFS('الحركات الشهرية'!$G$6:$G$1005,'الحركات الشهرية'!$B$6:$B$1005,$B65,'الحركات الشهرية'!$A$6:$A$1005,$C$3))</f>
        <v/>
      </c>
      <c r="R65" s="116" t="str">
        <f aca="false">IF($B65="","",SUMIFS('الحركات الشهرية'!$H$6:$H$1005,'الحركات الشهرية'!$B$6:$B$1005,$B65,'الحركات الشهرية'!$A$6:$A$1005,$C$3))</f>
        <v/>
      </c>
      <c r="S65" s="116" t="str">
        <f aca="false">IF($B65="","",SUMIFS('سجل الإجازات والحالات'!$N$6:$N$505,'سجل الإجازات والحالات'!$B$6:$B$505,$B65,'سجل الإجازات والحالات'!$O$6:$O$505,$C$3))</f>
        <v/>
      </c>
      <c r="T65" s="157" t="str">
        <f aca="false">IF($B65="","",SUM(K65:N65)+SUM(P65:S65))</f>
        <v/>
      </c>
      <c r="U65" s="116" t="str">
        <f aca="false">IF($B65="","",الموظفون!$S65*IF(E65="سعودي",cfg_G_SE,cfg_G_NE)*G65/cfg_DAYS_M)</f>
        <v/>
      </c>
      <c r="V65" s="116" t="str">
        <f aca="false">IF($B65="","",SUMIFS('الحركات الشهرية'!$I$6:$I$1005,'الحركات الشهرية'!$B$6:$B$1005,$B65,'الحركات الشهرية'!$A$6:$A$1005,$C$3))</f>
        <v/>
      </c>
      <c r="W65" s="116" t="str">
        <f aca="false">IF($B65="","",SUMIFS('الحركات الشهرية'!$J$6:$J$1005,'الحركات الشهرية'!$B$6:$B$1005,$B65,'الحركات الشهرية'!$A$6:$A$1005,$C$3))</f>
        <v/>
      </c>
      <c r="X65" s="116" t="str">
        <f aca="false">IF($B65="","",SUM(U65:W65))</f>
        <v/>
      </c>
      <c r="Y65" s="158" t="str">
        <f aca="false">IF($B65="","",T65-X65)</f>
        <v/>
      </c>
      <c r="Z65" s="116" t="str">
        <f aca="false">IF($B65="","",الموظفون!$S65*IF(E65="سعودي",cfg_G_SR,cfg_G_NR)*G65/cfg_DAYS_M)</f>
        <v/>
      </c>
      <c r="AA65" s="116" t="str">
        <f aca="false">IF($B65="","",الموظفون!$Q65*(cfg_EOS_R1*(MIN(AH65,cfg_EOS_TH)-MIN(AI65,cfg_EOS_TH))+cfg_EOS_R2*(MAX(AH65-cfg_EOS_TH,0)-MAX(AI65-cfg_EOS_TH,0))))</f>
        <v/>
      </c>
      <c r="AB65" s="116" t="str">
        <f aca="false">IF($B65="","",IF(الموظفون!$T65&lt;&gt;"",الموظفون!$T65,IF(AH65&gt;=cfg_LV_TH,cfg_LV_D2,cfg_LV_D1))/cfg_DAYS_Y*AJ65*الموظفون!$R65/cfg_DAYS_M)</f>
        <v/>
      </c>
      <c r="AC65" s="116" t="str">
        <f aca="false">IF($B65="","",IF(AND(الموظفون!$U65="نعم",N(الموظفون!$W65)&gt;0),الموظفون!$V65/الموظفون!$W65*12/cfg_DAYS_Y*AJ65,0))</f>
        <v/>
      </c>
      <c r="AD65" s="116" t="str">
        <f aca="false">IF($B65="","",(IF(الموظفون!$X65&lt;&gt;"",الموظفون!$X65,IF(الموظفون!$E65="غير سعودي",cfg_IQ,0))+IF(الموظفون!$Y65&lt;&gt;"",الموظفون!$Y65,IF(الموظفون!$E65="غير سعودي",cfg_WP,0)))/12*G65/cfg_DAYS_M)</f>
        <v/>
      </c>
      <c r="AE65" s="116" t="str">
        <f aca="false">IF($B65="","",IF(الموظفون!$Z65&lt;&gt;"",الموظفون!$Z65,cfg_MED)/12*G65/cfg_DAYS_M)</f>
        <v/>
      </c>
      <c r="AF65" s="116" t="str">
        <f aca="false">IF($B65="","",N(الموظفون!$AA65)/12*G65/cfg_DAYS_M)</f>
        <v/>
      </c>
      <c r="AG65" s="159" t="str">
        <f aca="false">IF($B65="","",T65+SUM(Z65:AF65))</f>
        <v/>
      </c>
      <c r="AH65" s="160" t="str">
        <f aca="false">IF($B65="","",MAX(0,IF(OR(الموظفون!$AE65="",الموظفون!$AE65&gt;$F$3),$F$3,الموظفون!$AE65)-الموظفون!$H65+1-SUMIFS('سجل الإجازات والحالات'!$AM$6:$AM$505,'سجل الإجازات والحالات'!$B$6:$B$505,$B65))/cfg_DAYS_Y)</f>
        <v/>
      </c>
      <c r="AI65" s="160" t="str">
        <f aca="false">IF($B65="","",MAX(0,IF(OR(الموظفون!$AE65="",الموظفون!$AE65&gt;($E$3-1)),($E$3-1),الموظفون!$AE65)-الموظفون!$H65+1-SUMIFS('سجل الإجازات والحالات'!$AL$6:$AL$505,'سجل الإجازات والحالات'!$B$6:$B$505,$B65))/cfg_DAYS_Y)</f>
        <v/>
      </c>
      <c r="AJ65" s="133" t="str">
        <f aca="false">IF($B65="","",MAX(0,AK65-(SUMIFS('سجل الإجازات والحالات'!$AM$6:$AM$505,'سجل الإجازات والحالات'!$B$6:$B$505,$B65)-SUMIFS('سجل الإجازات والحالات'!$AL$6:$AL$505,'سجل الإجازات والحالات'!$B$6:$B$505,$B65))))</f>
        <v/>
      </c>
      <c r="AK65" s="133" t="str">
        <f aca="false">IF($B65="","",MAX(0,IF(OR(الموظفون!$AE65="",الموظفون!$AE65&gt;$F$3),$F$3,الموظفون!$AE65)-MAX($E$3,الموظفون!$H65)+1))</f>
        <v/>
      </c>
      <c r="AL65" s="156" t="str">
        <f aca="false">IF($B65="","",SUMIFS('سجل الإجازات والحالات'!$AY$6:$AY$505,'سجل الإجازات والحالات'!$B$6:$B$505,$B65)+SUMIFS('الحركات الشهرية'!$K$6:$K$1005,'الحركات الشهرية'!$B$6:$B$1005,$B65,'الحركات الشهرية'!$A$6:$A$1005,$C$3))</f>
        <v/>
      </c>
      <c r="AM65" s="116" t="str">
        <f aca="false">IF($B65="","",AL65*الموظفون!$R65/cfg_DAYS_M+S65)</f>
        <v/>
      </c>
      <c r="AN65" s="156" t="str">
        <f aca="false">IF($B65="","",SUMIFS('سجل الإجازات والحالات'!$AA$6:$AA$505,'سجل الإجازات والحالات'!$B$6:$B$505,$B65))</f>
        <v/>
      </c>
    </row>
    <row r="66" customFormat="false" ht="15" hidden="false" customHeight="false" outlineLevel="0" collapsed="false">
      <c r="A66" s="106" t="str">
        <f aca="false">IF($B66="","",الموظفون!$A66)</f>
        <v/>
      </c>
      <c r="B66" s="114" t="str">
        <f aca="false">IF(الموظفون!$B66="","",الموظفون!$B66)</f>
        <v/>
      </c>
      <c r="C66" s="114" t="str">
        <f aca="false">IF($B66="","",الموظفون!$C66)</f>
        <v/>
      </c>
      <c r="D66" s="114" t="str">
        <f aca="false">IF($B66="","",الموظفون!$F66)</f>
        <v/>
      </c>
      <c r="E66" s="114" t="str">
        <f aca="false">IF($B66="","",الموظفون!$E66)</f>
        <v/>
      </c>
      <c r="F66" s="114" t="str">
        <f aca="false">IF($B66="","",IF(AK66=0,IF(AND(الموظفون!$AE66&lt;&gt;"",الموظفون!$AE66&lt;$E$3),"✖ منتهي الخدمة","⏳ لم يباشر"),IF(S66&gt;0,"✈ راتب إجازة مقدم",IF(J66=0,"⛔ بدون راتب هذا الشهر",IF(I66&gt;0,"✈ خصم "&amp;ROUND(I66,2)&amp;" يوم بدون أجر",IF(AL66&gt;0,"🌴 إجازة سنوية "&amp;ROUND(AL66,2)&amp;" يوم",IF(H66&gt;0,"⚠ غياب "&amp;ROUND(H66,2)&amp;" يوم","✔ على رأس العمل")))))))</f>
        <v/>
      </c>
      <c r="G66" s="151" t="str">
        <f aca="false">IF($B66="","",IF(AK66&gt;=DAY($F$3),cfg_DAYS_M,MIN(AK66,cfg_DAYS_M)))</f>
        <v/>
      </c>
      <c r="H66" s="151" t="str">
        <f aca="false">IF($B66="","",SUMIFS('الحركات الشهرية'!$D$6:$D$1005,'الحركات الشهرية'!$B$6:$B$1005,$B66,'الحركات الشهرية'!$A$6:$A$1005,$C$3))</f>
        <v/>
      </c>
      <c r="I66" s="151" t="str">
        <f aca="false">IF($B66="","",MIN(G66,IF(AND(AK66&gt;0,AN66&gt;=AK66),G66,AN66)+SUMIFS('الحركات الشهرية'!$E$6:$E$1005,'الحركات الشهرية'!$B$6:$B$1005,$B66,'الحركات الشهرية'!$A$6:$A$1005,$C$3)))</f>
        <v/>
      </c>
      <c r="J66" s="151" t="str">
        <f aca="false">IF($B66="","",MAX(0,G66-H66-I66))</f>
        <v/>
      </c>
      <c r="K66" s="111" t="str">
        <f aca="false">IF($B66="","",الموظفون!$L66*$J66/cfg_DAYS_M)</f>
        <v/>
      </c>
      <c r="L66" s="111" t="str">
        <f aca="false">IF($B66="","",الموظفون!$M66*$J66/cfg_DAYS_M)</f>
        <v/>
      </c>
      <c r="M66" s="111" t="str">
        <f aca="false">IF($B66="","",الموظفون!$N66*$J66/cfg_DAYS_M)</f>
        <v/>
      </c>
      <c r="N66" s="111" t="str">
        <f aca="false">IF($B66="","",الموظفون!$O66*$J66/cfg_DAYS_M)</f>
        <v/>
      </c>
      <c r="O66" s="151" t="str">
        <f aca="false">IF($B66="","",SUMIFS('الحركات الشهرية'!$F$6:$F$1005,'الحركات الشهرية'!$B$6:$B$1005,$B66,'الحركات الشهرية'!$A$6:$A$1005,$C$3))</f>
        <v/>
      </c>
      <c r="P66" s="111" t="str">
        <f aca="false">IF($B66="","",O66*(الموظفون!$P66+الموظفون!$L66*cfg_OT_P)/cfg_DAYS_M/cfg_HRS)</f>
        <v/>
      </c>
      <c r="Q66" s="111" t="str">
        <f aca="false">IF($B66="","",SUMIFS('الحركات الشهرية'!$G$6:$G$1005,'الحركات الشهرية'!$B$6:$B$1005,$B66,'الحركات الشهرية'!$A$6:$A$1005,$C$3))</f>
        <v/>
      </c>
      <c r="R66" s="111" t="str">
        <f aca="false">IF($B66="","",SUMIFS('الحركات الشهرية'!$H$6:$H$1005,'الحركات الشهرية'!$B$6:$B$1005,$B66,'الحركات الشهرية'!$A$6:$A$1005,$C$3))</f>
        <v/>
      </c>
      <c r="S66" s="111" t="str">
        <f aca="false">IF($B66="","",SUMIFS('سجل الإجازات والحالات'!$N$6:$N$505,'سجل الإجازات والحالات'!$B$6:$B$505,$B66,'سجل الإجازات والحالات'!$O$6:$O$505,$C$3))</f>
        <v/>
      </c>
      <c r="T66" s="152" t="str">
        <f aca="false">IF($B66="","",SUM(K66:N66)+SUM(P66:S66))</f>
        <v/>
      </c>
      <c r="U66" s="111" t="str">
        <f aca="false">IF($B66="","",الموظفون!$S66*IF(E66="سعودي",cfg_G_SE,cfg_G_NE)*G66/cfg_DAYS_M)</f>
        <v/>
      </c>
      <c r="V66" s="111" t="str">
        <f aca="false">IF($B66="","",SUMIFS('الحركات الشهرية'!$I$6:$I$1005,'الحركات الشهرية'!$B$6:$B$1005,$B66,'الحركات الشهرية'!$A$6:$A$1005,$C$3))</f>
        <v/>
      </c>
      <c r="W66" s="111" t="str">
        <f aca="false">IF($B66="","",SUMIFS('الحركات الشهرية'!$J$6:$J$1005,'الحركات الشهرية'!$B$6:$B$1005,$B66,'الحركات الشهرية'!$A$6:$A$1005,$C$3))</f>
        <v/>
      </c>
      <c r="X66" s="111" t="str">
        <f aca="false">IF($B66="","",SUM(U66:W66))</f>
        <v/>
      </c>
      <c r="Y66" s="153" t="str">
        <f aca="false">IF($B66="","",T66-X66)</f>
        <v/>
      </c>
      <c r="Z66" s="111" t="str">
        <f aca="false">IF($B66="","",الموظفون!$S66*IF(E66="سعودي",cfg_G_SR,cfg_G_NR)*G66/cfg_DAYS_M)</f>
        <v/>
      </c>
      <c r="AA66" s="111" t="str">
        <f aca="false">IF($B66="","",الموظفون!$Q66*(cfg_EOS_R1*(MIN(AH66,cfg_EOS_TH)-MIN(AI66,cfg_EOS_TH))+cfg_EOS_R2*(MAX(AH66-cfg_EOS_TH,0)-MAX(AI66-cfg_EOS_TH,0))))</f>
        <v/>
      </c>
      <c r="AB66" s="111" t="str">
        <f aca="false">IF($B66="","",IF(الموظفون!$T66&lt;&gt;"",الموظفون!$T66,IF(AH66&gt;=cfg_LV_TH,cfg_LV_D2,cfg_LV_D1))/cfg_DAYS_Y*AJ66*الموظفون!$R66/cfg_DAYS_M)</f>
        <v/>
      </c>
      <c r="AC66" s="111" t="str">
        <f aca="false">IF($B66="","",IF(AND(الموظفون!$U66="نعم",N(الموظفون!$W66)&gt;0),الموظفون!$V66/الموظفون!$W66*12/cfg_DAYS_Y*AJ66,0))</f>
        <v/>
      </c>
      <c r="AD66" s="111" t="str">
        <f aca="false">IF($B66="","",(IF(الموظفون!$X66&lt;&gt;"",الموظفون!$X66,IF(الموظفون!$E66="غير سعودي",cfg_IQ,0))+IF(الموظفون!$Y66&lt;&gt;"",الموظفون!$Y66,IF(الموظفون!$E66="غير سعودي",cfg_WP,0)))/12*G66/cfg_DAYS_M)</f>
        <v/>
      </c>
      <c r="AE66" s="111" t="str">
        <f aca="false">IF($B66="","",IF(الموظفون!$Z66&lt;&gt;"",الموظفون!$Z66,cfg_MED)/12*G66/cfg_DAYS_M)</f>
        <v/>
      </c>
      <c r="AF66" s="111" t="str">
        <f aca="false">IF($B66="","",N(الموظفون!$AA66)/12*G66/cfg_DAYS_M)</f>
        <v/>
      </c>
      <c r="AG66" s="154" t="str">
        <f aca="false">IF($B66="","",T66+SUM(Z66:AF66))</f>
        <v/>
      </c>
      <c r="AH66" s="155" t="str">
        <f aca="false">IF($B66="","",MAX(0,IF(OR(الموظفون!$AE66="",الموظفون!$AE66&gt;$F$3),$F$3,الموظفون!$AE66)-الموظفون!$H66+1-SUMIFS('سجل الإجازات والحالات'!$AM$6:$AM$505,'سجل الإجازات والحالات'!$B$6:$B$505,$B66))/cfg_DAYS_Y)</f>
        <v/>
      </c>
      <c r="AI66" s="155" t="str">
        <f aca="false">IF($B66="","",MAX(0,IF(OR(الموظفون!$AE66="",الموظفون!$AE66&gt;($E$3-1)),($E$3-1),الموظفون!$AE66)-الموظفون!$H66+1-SUMIFS('سجل الإجازات والحالات'!$AL$6:$AL$505,'سجل الإجازات والحالات'!$B$6:$B$505,$B66))/cfg_DAYS_Y)</f>
        <v/>
      </c>
      <c r="AJ66" s="65" t="str">
        <f aca="false">IF($B66="","",MAX(0,AK66-(SUMIFS('سجل الإجازات والحالات'!$AM$6:$AM$505,'سجل الإجازات والحالات'!$B$6:$B$505,$B66)-SUMIFS('سجل الإجازات والحالات'!$AL$6:$AL$505,'سجل الإجازات والحالات'!$B$6:$B$505,$B66))))</f>
        <v/>
      </c>
      <c r="AK66" s="65" t="str">
        <f aca="false">IF($B66="","",MAX(0,IF(OR(الموظفون!$AE66="",الموظفون!$AE66&gt;$F$3),$F$3,الموظفون!$AE66)-MAX($E$3,الموظفون!$H66)+1))</f>
        <v/>
      </c>
      <c r="AL66" s="151" t="str">
        <f aca="false">IF($B66="","",SUMIFS('سجل الإجازات والحالات'!$AY$6:$AY$505,'سجل الإجازات والحالات'!$B$6:$B$505,$B66)+SUMIFS('الحركات الشهرية'!$K$6:$K$1005,'الحركات الشهرية'!$B$6:$B$1005,$B66,'الحركات الشهرية'!$A$6:$A$1005,$C$3))</f>
        <v/>
      </c>
      <c r="AM66" s="111" t="str">
        <f aca="false">IF($B66="","",AL66*الموظفون!$R66/cfg_DAYS_M+S66)</f>
        <v/>
      </c>
      <c r="AN66" s="151" t="str">
        <f aca="false">IF($B66="","",SUMIFS('سجل الإجازات والحالات'!$AA$6:$AA$505,'سجل الإجازات والحالات'!$B$6:$B$505,$B66))</f>
        <v/>
      </c>
    </row>
    <row r="67" customFormat="false" ht="15" hidden="false" customHeight="false" outlineLevel="0" collapsed="false">
      <c r="A67" s="115" t="str">
        <f aca="false">IF($B67="","",الموظفون!$A67)</f>
        <v/>
      </c>
      <c r="B67" s="117" t="str">
        <f aca="false">IF(الموظفون!$B67="","",الموظفون!$B67)</f>
        <v/>
      </c>
      <c r="C67" s="117" t="str">
        <f aca="false">IF($B67="","",الموظفون!$C67)</f>
        <v/>
      </c>
      <c r="D67" s="117" t="str">
        <f aca="false">IF($B67="","",الموظفون!$F67)</f>
        <v/>
      </c>
      <c r="E67" s="117" t="str">
        <f aca="false">IF($B67="","",الموظفون!$E67)</f>
        <v/>
      </c>
      <c r="F67" s="117" t="str">
        <f aca="false">IF($B67="","",IF(AK67=0,IF(AND(الموظفون!$AE67&lt;&gt;"",الموظفون!$AE67&lt;$E$3),"✖ منتهي الخدمة","⏳ لم يباشر"),IF(S67&gt;0,"✈ راتب إجازة مقدم",IF(J67=0,"⛔ بدون راتب هذا الشهر",IF(I67&gt;0,"✈ خصم "&amp;ROUND(I67,2)&amp;" يوم بدون أجر",IF(AL67&gt;0,"🌴 إجازة سنوية "&amp;ROUND(AL67,2)&amp;" يوم",IF(H67&gt;0,"⚠ غياب "&amp;ROUND(H67,2)&amp;" يوم","✔ على رأس العمل")))))))</f>
        <v/>
      </c>
      <c r="G67" s="156" t="str">
        <f aca="false">IF($B67="","",IF(AK67&gt;=DAY($F$3),cfg_DAYS_M,MIN(AK67,cfg_DAYS_M)))</f>
        <v/>
      </c>
      <c r="H67" s="156" t="str">
        <f aca="false">IF($B67="","",SUMIFS('الحركات الشهرية'!$D$6:$D$1005,'الحركات الشهرية'!$B$6:$B$1005,$B67,'الحركات الشهرية'!$A$6:$A$1005,$C$3))</f>
        <v/>
      </c>
      <c r="I67" s="156" t="str">
        <f aca="false">IF($B67="","",MIN(G67,IF(AND(AK67&gt;0,AN67&gt;=AK67),G67,AN67)+SUMIFS('الحركات الشهرية'!$E$6:$E$1005,'الحركات الشهرية'!$B$6:$B$1005,$B67,'الحركات الشهرية'!$A$6:$A$1005,$C$3)))</f>
        <v/>
      </c>
      <c r="J67" s="156" t="str">
        <f aca="false">IF($B67="","",MAX(0,G67-H67-I67))</f>
        <v/>
      </c>
      <c r="K67" s="116" t="str">
        <f aca="false">IF($B67="","",الموظفون!$L67*$J67/cfg_DAYS_M)</f>
        <v/>
      </c>
      <c r="L67" s="116" t="str">
        <f aca="false">IF($B67="","",الموظفون!$M67*$J67/cfg_DAYS_M)</f>
        <v/>
      </c>
      <c r="M67" s="116" t="str">
        <f aca="false">IF($B67="","",الموظفون!$N67*$J67/cfg_DAYS_M)</f>
        <v/>
      </c>
      <c r="N67" s="116" t="str">
        <f aca="false">IF($B67="","",الموظفون!$O67*$J67/cfg_DAYS_M)</f>
        <v/>
      </c>
      <c r="O67" s="156" t="str">
        <f aca="false">IF($B67="","",SUMIFS('الحركات الشهرية'!$F$6:$F$1005,'الحركات الشهرية'!$B$6:$B$1005,$B67,'الحركات الشهرية'!$A$6:$A$1005,$C$3))</f>
        <v/>
      </c>
      <c r="P67" s="116" t="str">
        <f aca="false">IF($B67="","",O67*(الموظفون!$P67+الموظفون!$L67*cfg_OT_P)/cfg_DAYS_M/cfg_HRS)</f>
        <v/>
      </c>
      <c r="Q67" s="116" t="str">
        <f aca="false">IF($B67="","",SUMIFS('الحركات الشهرية'!$G$6:$G$1005,'الحركات الشهرية'!$B$6:$B$1005,$B67,'الحركات الشهرية'!$A$6:$A$1005,$C$3))</f>
        <v/>
      </c>
      <c r="R67" s="116" t="str">
        <f aca="false">IF($B67="","",SUMIFS('الحركات الشهرية'!$H$6:$H$1005,'الحركات الشهرية'!$B$6:$B$1005,$B67,'الحركات الشهرية'!$A$6:$A$1005,$C$3))</f>
        <v/>
      </c>
      <c r="S67" s="116" t="str">
        <f aca="false">IF($B67="","",SUMIFS('سجل الإجازات والحالات'!$N$6:$N$505,'سجل الإجازات والحالات'!$B$6:$B$505,$B67,'سجل الإجازات والحالات'!$O$6:$O$505,$C$3))</f>
        <v/>
      </c>
      <c r="T67" s="157" t="str">
        <f aca="false">IF($B67="","",SUM(K67:N67)+SUM(P67:S67))</f>
        <v/>
      </c>
      <c r="U67" s="116" t="str">
        <f aca="false">IF($B67="","",الموظفون!$S67*IF(E67="سعودي",cfg_G_SE,cfg_G_NE)*G67/cfg_DAYS_M)</f>
        <v/>
      </c>
      <c r="V67" s="116" t="str">
        <f aca="false">IF($B67="","",SUMIFS('الحركات الشهرية'!$I$6:$I$1005,'الحركات الشهرية'!$B$6:$B$1005,$B67,'الحركات الشهرية'!$A$6:$A$1005,$C$3))</f>
        <v/>
      </c>
      <c r="W67" s="116" t="str">
        <f aca="false">IF($B67="","",SUMIFS('الحركات الشهرية'!$J$6:$J$1005,'الحركات الشهرية'!$B$6:$B$1005,$B67,'الحركات الشهرية'!$A$6:$A$1005,$C$3))</f>
        <v/>
      </c>
      <c r="X67" s="116" t="str">
        <f aca="false">IF($B67="","",SUM(U67:W67))</f>
        <v/>
      </c>
      <c r="Y67" s="158" t="str">
        <f aca="false">IF($B67="","",T67-X67)</f>
        <v/>
      </c>
      <c r="Z67" s="116" t="str">
        <f aca="false">IF($B67="","",الموظفون!$S67*IF(E67="سعودي",cfg_G_SR,cfg_G_NR)*G67/cfg_DAYS_M)</f>
        <v/>
      </c>
      <c r="AA67" s="116" t="str">
        <f aca="false">IF($B67="","",الموظفون!$Q67*(cfg_EOS_R1*(MIN(AH67,cfg_EOS_TH)-MIN(AI67,cfg_EOS_TH))+cfg_EOS_R2*(MAX(AH67-cfg_EOS_TH,0)-MAX(AI67-cfg_EOS_TH,0))))</f>
        <v/>
      </c>
      <c r="AB67" s="116" t="str">
        <f aca="false">IF($B67="","",IF(الموظفون!$T67&lt;&gt;"",الموظفون!$T67,IF(AH67&gt;=cfg_LV_TH,cfg_LV_D2,cfg_LV_D1))/cfg_DAYS_Y*AJ67*الموظفون!$R67/cfg_DAYS_M)</f>
        <v/>
      </c>
      <c r="AC67" s="116" t="str">
        <f aca="false">IF($B67="","",IF(AND(الموظفون!$U67="نعم",N(الموظفون!$W67)&gt;0),الموظفون!$V67/الموظفون!$W67*12/cfg_DAYS_Y*AJ67,0))</f>
        <v/>
      </c>
      <c r="AD67" s="116" t="str">
        <f aca="false">IF($B67="","",(IF(الموظفون!$X67&lt;&gt;"",الموظفون!$X67,IF(الموظفون!$E67="غير سعودي",cfg_IQ,0))+IF(الموظفون!$Y67&lt;&gt;"",الموظفون!$Y67,IF(الموظفون!$E67="غير سعودي",cfg_WP,0)))/12*G67/cfg_DAYS_M)</f>
        <v/>
      </c>
      <c r="AE67" s="116" t="str">
        <f aca="false">IF($B67="","",IF(الموظفون!$Z67&lt;&gt;"",الموظفون!$Z67,cfg_MED)/12*G67/cfg_DAYS_M)</f>
        <v/>
      </c>
      <c r="AF67" s="116" t="str">
        <f aca="false">IF($B67="","",N(الموظفون!$AA67)/12*G67/cfg_DAYS_M)</f>
        <v/>
      </c>
      <c r="AG67" s="159" t="str">
        <f aca="false">IF($B67="","",T67+SUM(Z67:AF67))</f>
        <v/>
      </c>
      <c r="AH67" s="160" t="str">
        <f aca="false">IF($B67="","",MAX(0,IF(OR(الموظفون!$AE67="",الموظفون!$AE67&gt;$F$3),$F$3,الموظفون!$AE67)-الموظفون!$H67+1-SUMIFS('سجل الإجازات والحالات'!$AM$6:$AM$505,'سجل الإجازات والحالات'!$B$6:$B$505,$B67))/cfg_DAYS_Y)</f>
        <v/>
      </c>
      <c r="AI67" s="160" t="str">
        <f aca="false">IF($B67="","",MAX(0,IF(OR(الموظفون!$AE67="",الموظفون!$AE67&gt;($E$3-1)),($E$3-1),الموظفون!$AE67)-الموظفون!$H67+1-SUMIFS('سجل الإجازات والحالات'!$AL$6:$AL$505,'سجل الإجازات والحالات'!$B$6:$B$505,$B67))/cfg_DAYS_Y)</f>
        <v/>
      </c>
      <c r="AJ67" s="133" t="str">
        <f aca="false">IF($B67="","",MAX(0,AK67-(SUMIFS('سجل الإجازات والحالات'!$AM$6:$AM$505,'سجل الإجازات والحالات'!$B$6:$B$505,$B67)-SUMIFS('سجل الإجازات والحالات'!$AL$6:$AL$505,'سجل الإجازات والحالات'!$B$6:$B$505,$B67))))</f>
        <v/>
      </c>
      <c r="AK67" s="133" t="str">
        <f aca="false">IF($B67="","",MAX(0,IF(OR(الموظفون!$AE67="",الموظفون!$AE67&gt;$F$3),$F$3,الموظفون!$AE67)-MAX($E$3,الموظفون!$H67)+1))</f>
        <v/>
      </c>
      <c r="AL67" s="156" t="str">
        <f aca="false">IF($B67="","",SUMIFS('سجل الإجازات والحالات'!$AY$6:$AY$505,'سجل الإجازات والحالات'!$B$6:$B$505,$B67)+SUMIFS('الحركات الشهرية'!$K$6:$K$1005,'الحركات الشهرية'!$B$6:$B$1005,$B67,'الحركات الشهرية'!$A$6:$A$1005,$C$3))</f>
        <v/>
      </c>
      <c r="AM67" s="116" t="str">
        <f aca="false">IF($B67="","",AL67*الموظفون!$R67/cfg_DAYS_M+S67)</f>
        <v/>
      </c>
      <c r="AN67" s="156" t="str">
        <f aca="false">IF($B67="","",SUMIFS('سجل الإجازات والحالات'!$AA$6:$AA$505,'سجل الإجازات والحالات'!$B$6:$B$505,$B67))</f>
        <v/>
      </c>
    </row>
    <row r="68" customFormat="false" ht="15" hidden="false" customHeight="false" outlineLevel="0" collapsed="false">
      <c r="A68" s="106" t="str">
        <f aca="false">IF($B68="","",الموظفون!$A68)</f>
        <v/>
      </c>
      <c r="B68" s="114" t="str">
        <f aca="false">IF(الموظفون!$B68="","",الموظفون!$B68)</f>
        <v/>
      </c>
      <c r="C68" s="114" t="str">
        <f aca="false">IF($B68="","",الموظفون!$C68)</f>
        <v/>
      </c>
      <c r="D68" s="114" t="str">
        <f aca="false">IF($B68="","",الموظفون!$F68)</f>
        <v/>
      </c>
      <c r="E68" s="114" t="str">
        <f aca="false">IF($B68="","",الموظفون!$E68)</f>
        <v/>
      </c>
      <c r="F68" s="114" t="str">
        <f aca="false">IF($B68="","",IF(AK68=0,IF(AND(الموظفون!$AE68&lt;&gt;"",الموظفون!$AE68&lt;$E$3),"✖ منتهي الخدمة","⏳ لم يباشر"),IF(S68&gt;0,"✈ راتب إجازة مقدم",IF(J68=0,"⛔ بدون راتب هذا الشهر",IF(I68&gt;0,"✈ خصم "&amp;ROUND(I68,2)&amp;" يوم بدون أجر",IF(AL68&gt;0,"🌴 إجازة سنوية "&amp;ROUND(AL68,2)&amp;" يوم",IF(H68&gt;0,"⚠ غياب "&amp;ROUND(H68,2)&amp;" يوم","✔ على رأس العمل")))))))</f>
        <v/>
      </c>
      <c r="G68" s="151" t="str">
        <f aca="false">IF($B68="","",IF(AK68&gt;=DAY($F$3),cfg_DAYS_M,MIN(AK68,cfg_DAYS_M)))</f>
        <v/>
      </c>
      <c r="H68" s="151" t="str">
        <f aca="false">IF($B68="","",SUMIFS('الحركات الشهرية'!$D$6:$D$1005,'الحركات الشهرية'!$B$6:$B$1005,$B68,'الحركات الشهرية'!$A$6:$A$1005,$C$3))</f>
        <v/>
      </c>
      <c r="I68" s="151" t="str">
        <f aca="false">IF($B68="","",MIN(G68,IF(AND(AK68&gt;0,AN68&gt;=AK68),G68,AN68)+SUMIFS('الحركات الشهرية'!$E$6:$E$1005,'الحركات الشهرية'!$B$6:$B$1005,$B68,'الحركات الشهرية'!$A$6:$A$1005,$C$3)))</f>
        <v/>
      </c>
      <c r="J68" s="151" t="str">
        <f aca="false">IF($B68="","",MAX(0,G68-H68-I68))</f>
        <v/>
      </c>
      <c r="K68" s="111" t="str">
        <f aca="false">IF($B68="","",الموظفون!$L68*$J68/cfg_DAYS_M)</f>
        <v/>
      </c>
      <c r="L68" s="111" t="str">
        <f aca="false">IF($B68="","",الموظفون!$M68*$J68/cfg_DAYS_M)</f>
        <v/>
      </c>
      <c r="M68" s="111" t="str">
        <f aca="false">IF($B68="","",الموظفون!$N68*$J68/cfg_DAYS_M)</f>
        <v/>
      </c>
      <c r="N68" s="111" t="str">
        <f aca="false">IF($B68="","",الموظفون!$O68*$J68/cfg_DAYS_M)</f>
        <v/>
      </c>
      <c r="O68" s="151" t="str">
        <f aca="false">IF($B68="","",SUMIFS('الحركات الشهرية'!$F$6:$F$1005,'الحركات الشهرية'!$B$6:$B$1005,$B68,'الحركات الشهرية'!$A$6:$A$1005,$C$3))</f>
        <v/>
      </c>
      <c r="P68" s="111" t="str">
        <f aca="false">IF($B68="","",O68*(الموظفون!$P68+الموظفون!$L68*cfg_OT_P)/cfg_DAYS_M/cfg_HRS)</f>
        <v/>
      </c>
      <c r="Q68" s="111" t="str">
        <f aca="false">IF($B68="","",SUMIFS('الحركات الشهرية'!$G$6:$G$1005,'الحركات الشهرية'!$B$6:$B$1005,$B68,'الحركات الشهرية'!$A$6:$A$1005,$C$3))</f>
        <v/>
      </c>
      <c r="R68" s="111" t="str">
        <f aca="false">IF($B68="","",SUMIFS('الحركات الشهرية'!$H$6:$H$1005,'الحركات الشهرية'!$B$6:$B$1005,$B68,'الحركات الشهرية'!$A$6:$A$1005,$C$3))</f>
        <v/>
      </c>
      <c r="S68" s="111" t="str">
        <f aca="false">IF($B68="","",SUMIFS('سجل الإجازات والحالات'!$N$6:$N$505,'سجل الإجازات والحالات'!$B$6:$B$505,$B68,'سجل الإجازات والحالات'!$O$6:$O$505,$C$3))</f>
        <v/>
      </c>
      <c r="T68" s="152" t="str">
        <f aca="false">IF($B68="","",SUM(K68:N68)+SUM(P68:S68))</f>
        <v/>
      </c>
      <c r="U68" s="111" t="str">
        <f aca="false">IF($B68="","",الموظفون!$S68*IF(E68="سعودي",cfg_G_SE,cfg_G_NE)*G68/cfg_DAYS_M)</f>
        <v/>
      </c>
      <c r="V68" s="111" t="str">
        <f aca="false">IF($B68="","",SUMIFS('الحركات الشهرية'!$I$6:$I$1005,'الحركات الشهرية'!$B$6:$B$1005,$B68,'الحركات الشهرية'!$A$6:$A$1005,$C$3))</f>
        <v/>
      </c>
      <c r="W68" s="111" t="str">
        <f aca="false">IF($B68="","",SUMIFS('الحركات الشهرية'!$J$6:$J$1005,'الحركات الشهرية'!$B$6:$B$1005,$B68,'الحركات الشهرية'!$A$6:$A$1005,$C$3))</f>
        <v/>
      </c>
      <c r="X68" s="111" t="str">
        <f aca="false">IF($B68="","",SUM(U68:W68))</f>
        <v/>
      </c>
      <c r="Y68" s="153" t="str">
        <f aca="false">IF($B68="","",T68-X68)</f>
        <v/>
      </c>
      <c r="Z68" s="111" t="str">
        <f aca="false">IF($B68="","",الموظفون!$S68*IF(E68="سعودي",cfg_G_SR,cfg_G_NR)*G68/cfg_DAYS_M)</f>
        <v/>
      </c>
      <c r="AA68" s="111" t="str">
        <f aca="false">IF($B68="","",الموظفون!$Q68*(cfg_EOS_R1*(MIN(AH68,cfg_EOS_TH)-MIN(AI68,cfg_EOS_TH))+cfg_EOS_R2*(MAX(AH68-cfg_EOS_TH,0)-MAX(AI68-cfg_EOS_TH,0))))</f>
        <v/>
      </c>
      <c r="AB68" s="111" t="str">
        <f aca="false">IF($B68="","",IF(الموظفون!$T68&lt;&gt;"",الموظفون!$T68,IF(AH68&gt;=cfg_LV_TH,cfg_LV_D2,cfg_LV_D1))/cfg_DAYS_Y*AJ68*الموظفون!$R68/cfg_DAYS_M)</f>
        <v/>
      </c>
      <c r="AC68" s="111" t="str">
        <f aca="false">IF($B68="","",IF(AND(الموظفون!$U68="نعم",N(الموظفون!$W68)&gt;0),الموظفون!$V68/الموظفون!$W68*12/cfg_DAYS_Y*AJ68,0))</f>
        <v/>
      </c>
      <c r="AD68" s="111" t="str">
        <f aca="false">IF($B68="","",(IF(الموظفون!$X68&lt;&gt;"",الموظفون!$X68,IF(الموظفون!$E68="غير سعودي",cfg_IQ,0))+IF(الموظفون!$Y68&lt;&gt;"",الموظفون!$Y68,IF(الموظفون!$E68="غير سعودي",cfg_WP,0)))/12*G68/cfg_DAYS_M)</f>
        <v/>
      </c>
      <c r="AE68" s="111" t="str">
        <f aca="false">IF($B68="","",IF(الموظفون!$Z68&lt;&gt;"",الموظفون!$Z68,cfg_MED)/12*G68/cfg_DAYS_M)</f>
        <v/>
      </c>
      <c r="AF68" s="111" t="str">
        <f aca="false">IF($B68="","",N(الموظفون!$AA68)/12*G68/cfg_DAYS_M)</f>
        <v/>
      </c>
      <c r="AG68" s="154" t="str">
        <f aca="false">IF($B68="","",T68+SUM(Z68:AF68))</f>
        <v/>
      </c>
      <c r="AH68" s="155" t="str">
        <f aca="false">IF($B68="","",MAX(0,IF(OR(الموظفون!$AE68="",الموظفون!$AE68&gt;$F$3),$F$3,الموظفون!$AE68)-الموظفون!$H68+1-SUMIFS('سجل الإجازات والحالات'!$AM$6:$AM$505,'سجل الإجازات والحالات'!$B$6:$B$505,$B68))/cfg_DAYS_Y)</f>
        <v/>
      </c>
      <c r="AI68" s="155" t="str">
        <f aca="false">IF($B68="","",MAX(0,IF(OR(الموظفون!$AE68="",الموظفون!$AE68&gt;($E$3-1)),($E$3-1),الموظفون!$AE68)-الموظفون!$H68+1-SUMIFS('سجل الإجازات والحالات'!$AL$6:$AL$505,'سجل الإجازات والحالات'!$B$6:$B$505,$B68))/cfg_DAYS_Y)</f>
        <v/>
      </c>
      <c r="AJ68" s="65" t="str">
        <f aca="false">IF($B68="","",MAX(0,AK68-(SUMIFS('سجل الإجازات والحالات'!$AM$6:$AM$505,'سجل الإجازات والحالات'!$B$6:$B$505,$B68)-SUMIFS('سجل الإجازات والحالات'!$AL$6:$AL$505,'سجل الإجازات والحالات'!$B$6:$B$505,$B68))))</f>
        <v/>
      </c>
      <c r="AK68" s="65" t="str">
        <f aca="false">IF($B68="","",MAX(0,IF(OR(الموظفون!$AE68="",الموظفون!$AE68&gt;$F$3),$F$3,الموظفون!$AE68)-MAX($E$3,الموظفون!$H68)+1))</f>
        <v/>
      </c>
      <c r="AL68" s="151" t="str">
        <f aca="false">IF($B68="","",SUMIFS('سجل الإجازات والحالات'!$AY$6:$AY$505,'سجل الإجازات والحالات'!$B$6:$B$505,$B68)+SUMIFS('الحركات الشهرية'!$K$6:$K$1005,'الحركات الشهرية'!$B$6:$B$1005,$B68,'الحركات الشهرية'!$A$6:$A$1005,$C$3))</f>
        <v/>
      </c>
      <c r="AM68" s="111" t="str">
        <f aca="false">IF($B68="","",AL68*الموظفون!$R68/cfg_DAYS_M+S68)</f>
        <v/>
      </c>
      <c r="AN68" s="151" t="str">
        <f aca="false">IF($B68="","",SUMIFS('سجل الإجازات والحالات'!$AA$6:$AA$505,'سجل الإجازات والحالات'!$B$6:$B$505,$B68))</f>
        <v/>
      </c>
    </row>
    <row r="69" customFormat="false" ht="15" hidden="false" customHeight="false" outlineLevel="0" collapsed="false">
      <c r="A69" s="115" t="str">
        <f aca="false">IF($B69="","",الموظفون!$A69)</f>
        <v/>
      </c>
      <c r="B69" s="117" t="str">
        <f aca="false">IF(الموظفون!$B69="","",الموظفون!$B69)</f>
        <v/>
      </c>
      <c r="C69" s="117" t="str">
        <f aca="false">IF($B69="","",الموظفون!$C69)</f>
        <v/>
      </c>
      <c r="D69" s="117" t="str">
        <f aca="false">IF($B69="","",الموظفون!$F69)</f>
        <v/>
      </c>
      <c r="E69" s="117" t="str">
        <f aca="false">IF($B69="","",الموظفون!$E69)</f>
        <v/>
      </c>
      <c r="F69" s="117" t="str">
        <f aca="false">IF($B69="","",IF(AK69=0,IF(AND(الموظفون!$AE69&lt;&gt;"",الموظفون!$AE69&lt;$E$3),"✖ منتهي الخدمة","⏳ لم يباشر"),IF(S69&gt;0,"✈ راتب إجازة مقدم",IF(J69=0,"⛔ بدون راتب هذا الشهر",IF(I69&gt;0,"✈ خصم "&amp;ROUND(I69,2)&amp;" يوم بدون أجر",IF(AL69&gt;0,"🌴 إجازة سنوية "&amp;ROUND(AL69,2)&amp;" يوم",IF(H69&gt;0,"⚠ غياب "&amp;ROUND(H69,2)&amp;" يوم","✔ على رأس العمل")))))))</f>
        <v/>
      </c>
      <c r="G69" s="156" t="str">
        <f aca="false">IF($B69="","",IF(AK69&gt;=DAY($F$3),cfg_DAYS_M,MIN(AK69,cfg_DAYS_M)))</f>
        <v/>
      </c>
      <c r="H69" s="156" t="str">
        <f aca="false">IF($B69="","",SUMIFS('الحركات الشهرية'!$D$6:$D$1005,'الحركات الشهرية'!$B$6:$B$1005,$B69,'الحركات الشهرية'!$A$6:$A$1005,$C$3))</f>
        <v/>
      </c>
      <c r="I69" s="156" t="str">
        <f aca="false">IF($B69="","",MIN(G69,IF(AND(AK69&gt;0,AN69&gt;=AK69),G69,AN69)+SUMIFS('الحركات الشهرية'!$E$6:$E$1005,'الحركات الشهرية'!$B$6:$B$1005,$B69,'الحركات الشهرية'!$A$6:$A$1005,$C$3)))</f>
        <v/>
      </c>
      <c r="J69" s="156" t="str">
        <f aca="false">IF($B69="","",MAX(0,G69-H69-I69))</f>
        <v/>
      </c>
      <c r="K69" s="116" t="str">
        <f aca="false">IF($B69="","",الموظفون!$L69*$J69/cfg_DAYS_M)</f>
        <v/>
      </c>
      <c r="L69" s="116" t="str">
        <f aca="false">IF($B69="","",الموظفون!$M69*$J69/cfg_DAYS_M)</f>
        <v/>
      </c>
      <c r="M69" s="116" t="str">
        <f aca="false">IF($B69="","",الموظفون!$N69*$J69/cfg_DAYS_M)</f>
        <v/>
      </c>
      <c r="N69" s="116" t="str">
        <f aca="false">IF($B69="","",الموظفون!$O69*$J69/cfg_DAYS_M)</f>
        <v/>
      </c>
      <c r="O69" s="156" t="str">
        <f aca="false">IF($B69="","",SUMIFS('الحركات الشهرية'!$F$6:$F$1005,'الحركات الشهرية'!$B$6:$B$1005,$B69,'الحركات الشهرية'!$A$6:$A$1005,$C$3))</f>
        <v/>
      </c>
      <c r="P69" s="116" t="str">
        <f aca="false">IF($B69="","",O69*(الموظفون!$P69+الموظفون!$L69*cfg_OT_P)/cfg_DAYS_M/cfg_HRS)</f>
        <v/>
      </c>
      <c r="Q69" s="116" t="str">
        <f aca="false">IF($B69="","",SUMIFS('الحركات الشهرية'!$G$6:$G$1005,'الحركات الشهرية'!$B$6:$B$1005,$B69,'الحركات الشهرية'!$A$6:$A$1005,$C$3))</f>
        <v/>
      </c>
      <c r="R69" s="116" t="str">
        <f aca="false">IF($B69="","",SUMIFS('الحركات الشهرية'!$H$6:$H$1005,'الحركات الشهرية'!$B$6:$B$1005,$B69,'الحركات الشهرية'!$A$6:$A$1005,$C$3))</f>
        <v/>
      </c>
      <c r="S69" s="116" t="str">
        <f aca="false">IF($B69="","",SUMIFS('سجل الإجازات والحالات'!$N$6:$N$505,'سجل الإجازات والحالات'!$B$6:$B$505,$B69,'سجل الإجازات والحالات'!$O$6:$O$505,$C$3))</f>
        <v/>
      </c>
      <c r="T69" s="157" t="str">
        <f aca="false">IF($B69="","",SUM(K69:N69)+SUM(P69:S69))</f>
        <v/>
      </c>
      <c r="U69" s="116" t="str">
        <f aca="false">IF($B69="","",الموظفون!$S69*IF(E69="سعودي",cfg_G_SE,cfg_G_NE)*G69/cfg_DAYS_M)</f>
        <v/>
      </c>
      <c r="V69" s="116" t="str">
        <f aca="false">IF($B69="","",SUMIFS('الحركات الشهرية'!$I$6:$I$1005,'الحركات الشهرية'!$B$6:$B$1005,$B69,'الحركات الشهرية'!$A$6:$A$1005,$C$3))</f>
        <v/>
      </c>
      <c r="W69" s="116" t="str">
        <f aca="false">IF($B69="","",SUMIFS('الحركات الشهرية'!$J$6:$J$1005,'الحركات الشهرية'!$B$6:$B$1005,$B69,'الحركات الشهرية'!$A$6:$A$1005,$C$3))</f>
        <v/>
      </c>
      <c r="X69" s="116" t="str">
        <f aca="false">IF($B69="","",SUM(U69:W69))</f>
        <v/>
      </c>
      <c r="Y69" s="158" t="str">
        <f aca="false">IF($B69="","",T69-X69)</f>
        <v/>
      </c>
      <c r="Z69" s="116" t="str">
        <f aca="false">IF($B69="","",الموظفون!$S69*IF(E69="سعودي",cfg_G_SR,cfg_G_NR)*G69/cfg_DAYS_M)</f>
        <v/>
      </c>
      <c r="AA69" s="116" t="str">
        <f aca="false">IF($B69="","",الموظفون!$Q69*(cfg_EOS_R1*(MIN(AH69,cfg_EOS_TH)-MIN(AI69,cfg_EOS_TH))+cfg_EOS_R2*(MAX(AH69-cfg_EOS_TH,0)-MAX(AI69-cfg_EOS_TH,0))))</f>
        <v/>
      </c>
      <c r="AB69" s="116" t="str">
        <f aca="false">IF($B69="","",IF(الموظفون!$T69&lt;&gt;"",الموظفون!$T69,IF(AH69&gt;=cfg_LV_TH,cfg_LV_D2,cfg_LV_D1))/cfg_DAYS_Y*AJ69*الموظفون!$R69/cfg_DAYS_M)</f>
        <v/>
      </c>
      <c r="AC69" s="116" t="str">
        <f aca="false">IF($B69="","",IF(AND(الموظفون!$U69="نعم",N(الموظفون!$W69)&gt;0),الموظفون!$V69/الموظفون!$W69*12/cfg_DAYS_Y*AJ69,0))</f>
        <v/>
      </c>
      <c r="AD69" s="116" t="str">
        <f aca="false">IF($B69="","",(IF(الموظفون!$X69&lt;&gt;"",الموظفون!$X69,IF(الموظفون!$E69="غير سعودي",cfg_IQ,0))+IF(الموظفون!$Y69&lt;&gt;"",الموظفون!$Y69,IF(الموظفون!$E69="غير سعودي",cfg_WP,0)))/12*G69/cfg_DAYS_M)</f>
        <v/>
      </c>
      <c r="AE69" s="116" t="str">
        <f aca="false">IF($B69="","",IF(الموظفون!$Z69&lt;&gt;"",الموظفون!$Z69,cfg_MED)/12*G69/cfg_DAYS_M)</f>
        <v/>
      </c>
      <c r="AF69" s="116" t="str">
        <f aca="false">IF($B69="","",N(الموظفون!$AA69)/12*G69/cfg_DAYS_M)</f>
        <v/>
      </c>
      <c r="AG69" s="159" t="str">
        <f aca="false">IF($B69="","",T69+SUM(Z69:AF69))</f>
        <v/>
      </c>
      <c r="AH69" s="160" t="str">
        <f aca="false">IF($B69="","",MAX(0,IF(OR(الموظفون!$AE69="",الموظفون!$AE69&gt;$F$3),$F$3,الموظفون!$AE69)-الموظفون!$H69+1-SUMIFS('سجل الإجازات والحالات'!$AM$6:$AM$505,'سجل الإجازات والحالات'!$B$6:$B$505,$B69))/cfg_DAYS_Y)</f>
        <v/>
      </c>
      <c r="AI69" s="160" t="str">
        <f aca="false">IF($B69="","",MAX(0,IF(OR(الموظفون!$AE69="",الموظفون!$AE69&gt;($E$3-1)),($E$3-1),الموظفون!$AE69)-الموظفون!$H69+1-SUMIFS('سجل الإجازات والحالات'!$AL$6:$AL$505,'سجل الإجازات والحالات'!$B$6:$B$505,$B69))/cfg_DAYS_Y)</f>
        <v/>
      </c>
      <c r="AJ69" s="133" t="str">
        <f aca="false">IF($B69="","",MAX(0,AK69-(SUMIFS('سجل الإجازات والحالات'!$AM$6:$AM$505,'سجل الإجازات والحالات'!$B$6:$B$505,$B69)-SUMIFS('سجل الإجازات والحالات'!$AL$6:$AL$505,'سجل الإجازات والحالات'!$B$6:$B$505,$B69))))</f>
        <v/>
      </c>
      <c r="AK69" s="133" t="str">
        <f aca="false">IF($B69="","",MAX(0,IF(OR(الموظفون!$AE69="",الموظفون!$AE69&gt;$F$3),$F$3,الموظفون!$AE69)-MAX($E$3,الموظفون!$H69)+1))</f>
        <v/>
      </c>
      <c r="AL69" s="156" t="str">
        <f aca="false">IF($B69="","",SUMIFS('سجل الإجازات والحالات'!$AY$6:$AY$505,'سجل الإجازات والحالات'!$B$6:$B$505,$B69)+SUMIFS('الحركات الشهرية'!$K$6:$K$1005,'الحركات الشهرية'!$B$6:$B$1005,$B69,'الحركات الشهرية'!$A$6:$A$1005,$C$3))</f>
        <v/>
      </c>
      <c r="AM69" s="116" t="str">
        <f aca="false">IF($B69="","",AL69*الموظفون!$R69/cfg_DAYS_M+S69)</f>
        <v/>
      </c>
      <c r="AN69" s="156" t="str">
        <f aca="false">IF($B69="","",SUMIFS('سجل الإجازات والحالات'!$AA$6:$AA$505,'سجل الإجازات والحالات'!$B$6:$B$505,$B69))</f>
        <v/>
      </c>
    </row>
    <row r="70" customFormat="false" ht="15" hidden="false" customHeight="false" outlineLevel="0" collapsed="false">
      <c r="A70" s="106" t="str">
        <f aca="false">IF($B70="","",الموظفون!$A70)</f>
        <v/>
      </c>
      <c r="B70" s="114" t="str">
        <f aca="false">IF(الموظفون!$B70="","",الموظفون!$B70)</f>
        <v/>
      </c>
      <c r="C70" s="114" t="str">
        <f aca="false">IF($B70="","",الموظفون!$C70)</f>
        <v/>
      </c>
      <c r="D70" s="114" t="str">
        <f aca="false">IF($B70="","",الموظفون!$F70)</f>
        <v/>
      </c>
      <c r="E70" s="114" t="str">
        <f aca="false">IF($B70="","",الموظفون!$E70)</f>
        <v/>
      </c>
      <c r="F70" s="114" t="str">
        <f aca="false">IF($B70="","",IF(AK70=0,IF(AND(الموظفون!$AE70&lt;&gt;"",الموظفون!$AE70&lt;$E$3),"✖ منتهي الخدمة","⏳ لم يباشر"),IF(S70&gt;0,"✈ راتب إجازة مقدم",IF(J70=0,"⛔ بدون راتب هذا الشهر",IF(I70&gt;0,"✈ خصم "&amp;ROUND(I70,2)&amp;" يوم بدون أجر",IF(AL70&gt;0,"🌴 إجازة سنوية "&amp;ROUND(AL70,2)&amp;" يوم",IF(H70&gt;0,"⚠ غياب "&amp;ROUND(H70,2)&amp;" يوم","✔ على رأس العمل")))))))</f>
        <v/>
      </c>
      <c r="G70" s="151" t="str">
        <f aca="false">IF($B70="","",IF(AK70&gt;=DAY($F$3),cfg_DAYS_M,MIN(AK70,cfg_DAYS_M)))</f>
        <v/>
      </c>
      <c r="H70" s="151" t="str">
        <f aca="false">IF($B70="","",SUMIFS('الحركات الشهرية'!$D$6:$D$1005,'الحركات الشهرية'!$B$6:$B$1005,$B70,'الحركات الشهرية'!$A$6:$A$1005,$C$3))</f>
        <v/>
      </c>
      <c r="I70" s="151" t="str">
        <f aca="false">IF($B70="","",MIN(G70,IF(AND(AK70&gt;0,AN70&gt;=AK70),G70,AN70)+SUMIFS('الحركات الشهرية'!$E$6:$E$1005,'الحركات الشهرية'!$B$6:$B$1005,$B70,'الحركات الشهرية'!$A$6:$A$1005,$C$3)))</f>
        <v/>
      </c>
      <c r="J70" s="151" t="str">
        <f aca="false">IF($B70="","",MAX(0,G70-H70-I70))</f>
        <v/>
      </c>
      <c r="K70" s="111" t="str">
        <f aca="false">IF($B70="","",الموظفون!$L70*$J70/cfg_DAYS_M)</f>
        <v/>
      </c>
      <c r="L70" s="111" t="str">
        <f aca="false">IF($B70="","",الموظفون!$M70*$J70/cfg_DAYS_M)</f>
        <v/>
      </c>
      <c r="M70" s="111" t="str">
        <f aca="false">IF($B70="","",الموظفون!$N70*$J70/cfg_DAYS_M)</f>
        <v/>
      </c>
      <c r="N70" s="111" t="str">
        <f aca="false">IF($B70="","",الموظفون!$O70*$J70/cfg_DAYS_M)</f>
        <v/>
      </c>
      <c r="O70" s="151" t="str">
        <f aca="false">IF($B70="","",SUMIFS('الحركات الشهرية'!$F$6:$F$1005,'الحركات الشهرية'!$B$6:$B$1005,$B70,'الحركات الشهرية'!$A$6:$A$1005,$C$3))</f>
        <v/>
      </c>
      <c r="P70" s="111" t="str">
        <f aca="false">IF($B70="","",O70*(الموظفون!$P70+الموظفون!$L70*cfg_OT_P)/cfg_DAYS_M/cfg_HRS)</f>
        <v/>
      </c>
      <c r="Q70" s="111" t="str">
        <f aca="false">IF($B70="","",SUMIFS('الحركات الشهرية'!$G$6:$G$1005,'الحركات الشهرية'!$B$6:$B$1005,$B70,'الحركات الشهرية'!$A$6:$A$1005,$C$3))</f>
        <v/>
      </c>
      <c r="R70" s="111" t="str">
        <f aca="false">IF($B70="","",SUMIFS('الحركات الشهرية'!$H$6:$H$1005,'الحركات الشهرية'!$B$6:$B$1005,$B70,'الحركات الشهرية'!$A$6:$A$1005,$C$3))</f>
        <v/>
      </c>
      <c r="S70" s="111" t="str">
        <f aca="false">IF($B70="","",SUMIFS('سجل الإجازات والحالات'!$N$6:$N$505,'سجل الإجازات والحالات'!$B$6:$B$505,$B70,'سجل الإجازات والحالات'!$O$6:$O$505,$C$3))</f>
        <v/>
      </c>
      <c r="T70" s="152" t="str">
        <f aca="false">IF($B70="","",SUM(K70:N70)+SUM(P70:S70))</f>
        <v/>
      </c>
      <c r="U70" s="111" t="str">
        <f aca="false">IF($B70="","",الموظفون!$S70*IF(E70="سعودي",cfg_G_SE,cfg_G_NE)*G70/cfg_DAYS_M)</f>
        <v/>
      </c>
      <c r="V70" s="111" t="str">
        <f aca="false">IF($B70="","",SUMIFS('الحركات الشهرية'!$I$6:$I$1005,'الحركات الشهرية'!$B$6:$B$1005,$B70,'الحركات الشهرية'!$A$6:$A$1005,$C$3))</f>
        <v/>
      </c>
      <c r="W70" s="111" t="str">
        <f aca="false">IF($B70="","",SUMIFS('الحركات الشهرية'!$J$6:$J$1005,'الحركات الشهرية'!$B$6:$B$1005,$B70,'الحركات الشهرية'!$A$6:$A$1005,$C$3))</f>
        <v/>
      </c>
      <c r="X70" s="111" t="str">
        <f aca="false">IF($B70="","",SUM(U70:W70))</f>
        <v/>
      </c>
      <c r="Y70" s="153" t="str">
        <f aca="false">IF($B70="","",T70-X70)</f>
        <v/>
      </c>
      <c r="Z70" s="111" t="str">
        <f aca="false">IF($B70="","",الموظفون!$S70*IF(E70="سعودي",cfg_G_SR,cfg_G_NR)*G70/cfg_DAYS_M)</f>
        <v/>
      </c>
      <c r="AA70" s="111" t="str">
        <f aca="false">IF($B70="","",الموظفون!$Q70*(cfg_EOS_R1*(MIN(AH70,cfg_EOS_TH)-MIN(AI70,cfg_EOS_TH))+cfg_EOS_R2*(MAX(AH70-cfg_EOS_TH,0)-MAX(AI70-cfg_EOS_TH,0))))</f>
        <v/>
      </c>
      <c r="AB70" s="111" t="str">
        <f aca="false">IF($B70="","",IF(الموظفون!$T70&lt;&gt;"",الموظفون!$T70,IF(AH70&gt;=cfg_LV_TH,cfg_LV_D2,cfg_LV_D1))/cfg_DAYS_Y*AJ70*الموظفون!$R70/cfg_DAYS_M)</f>
        <v/>
      </c>
      <c r="AC70" s="111" t="str">
        <f aca="false">IF($B70="","",IF(AND(الموظفون!$U70="نعم",N(الموظفون!$W70)&gt;0),الموظفون!$V70/الموظفون!$W70*12/cfg_DAYS_Y*AJ70,0))</f>
        <v/>
      </c>
      <c r="AD70" s="111" t="str">
        <f aca="false">IF($B70="","",(IF(الموظفون!$X70&lt;&gt;"",الموظفون!$X70,IF(الموظفون!$E70="غير سعودي",cfg_IQ,0))+IF(الموظفون!$Y70&lt;&gt;"",الموظفون!$Y70,IF(الموظفون!$E70="غير سعودي",cfg_WP,0)))/12*G70/cfg_DAYS_M)</f>
        <v/>
      </c>
      <c r="AE70" s="111" t="str">
        <f aca="false">IF($B70="","",IF(الموظفون!$Z70&lt;&gt;"",الموظفون!$Z70,cfg_MED)/12*G70/cfg_DAYS_M)</f>
        <v/>
      </c>
      <c r="AF70" s="111" t="str">
        <f aca="false">IF($B70="","",N(الموظفون!$AA70)/12*G70/cfg_DAYS_M)</f>
        <v/>
      </c>
      <c r="AG70" s="154" t="str">
        <f aca="false">IF($B70="","",T70+SUM(Z70:AF70))</f>
        <v/>
      </c>
      <c r="AH70" s="155" t="str">
        <f aca="false">IF($B70="","",MAX(0,IF(OR(الموظفون!$AE70="",الموظفون!$AE70&gt;$F$3),$F$3,الموظفون!$AE70)-الموظفون!$H70+1-SUMIFS('سجل الإجازات والحالات'!$AM$6:$AM$505,'سجل الإجازات والحالات'!$B$6:$B$505,$B70))/cfg_DAYS_Y)</f>
        <v/>
      </c>
      <c r="AI70" s="155" t="str">
        <f aca="false">IF($B70="","",MAX(0,IF(OR(الموظفون!$AE70="",الموظفون!$AE70&gt;($E$3-1)),($E$3-1),الموظفون!$AE70)-الموظفون!$H70+1-SUMIFS('سجل الإجازات والحالات'!$AL$6:$AL$505,'سجل الإجازات والحالات'!$B$6:$B$505,$B70))/cfg_DAYS_Y)</f>
        <v/>
      </c>
      <c r="AJ70" s="65" t="str">
        <f aca="false">IF($B70="","",MAX(0,AK70-(SUMIFS('سجل الإجازات والحالات'!$AM$6:$AM$505,'سجل الإجازات والحالات'!$B$6:$B$505,$B70)-SUMIFS('سجل الإجازات والحالات'!$AL$6:$AL$505,'سجل الإجازات والحالات'!$B$6:$B$505,$B70))))</f>
        <v/>
      </c>
      <c r="AK70" s="65" t="str">
        <f aca="false">IF($B70="","",MAX(0,IF(OR(الموظفون!$AE70="",الموظفون!$AE70&gt;$F$3),$F$3,الموظفون!$AE70)-MAX($E$3,الموظفون!$H70)+1))</f>
        <v/>
      </c>
      <c r="AL70" s="151" t="str">
        <f aca="false">IF($B70="","",SUMIFS('سجل الإجازات والحالات'!$AY$6:$AY$505,'سجل الإجازات والحالات'!$B$6:$B$505,$B70)+SUMIFS('الحركات الشهرية'!$K$6:$K$1005,'الحركات الشهرية'!$B$6:$B$1005,$B70,'الحركات الشهرية'!$A$6:$A$1005,$C$3))</f>
        <v/>
      </c>
      <c r="AM70" s="111" t="str">
        <f aca="false">IF($B70="","",AL70*الموظفون!$R70/cfg_DAYS_M+S70)</f>
        <v/>
      </c>
      <c r="AN70" s="151" t="str">
        <f aca="false">IF($B70="","",SUMIFS('سجل الإجازات والحالات'!$AA$6:$AA$505,'سجل الإجازات والحالات'!$B$6:$B$505,$B70))</f>
        <v/>
      </c>
    </row>
    <row r="71" customFormat="false" ht="15" hidden="false" customHeight="false" outlineLevel="0" collapsed="false">
      <c r="A71" s="115" t="str">
        <f aca="false">IF($B71="","",الموظفون!$A71)</f>
        <v/>
      </c>
      <c r="B71" s="117" t="str">
        <f aca="false">IF(الموظفون!$B71="","",الموظفون!$B71)</f>
        <v/>
      </c>
      <c r="C71" s="117" t="str">
        <f aca="false">IF($B71="","",الموظفون!$C71)</f>
        <v/>
      </c>
      <c r="D71" s="117" t="str">
        <f aca="false">IF($B71="","",الموظفون!$F71)</f>
        <v/>
      </c>
      <c r="E71" s="117" t="str">
        <f aca="false">IF($B71="","",الموظفون!$E71)</f>
        <v/>
      </c>
      <c r="F71" s="117" t="str">
        <f aca="false">IF($B71="","",IF(AK71=0,IF(AND(الموظفون!$AE71&lt;&gt;"",الموظفون!$AE71&lt;$E$3),"✖ منتهي الخدمة","⏳ لم يباشر"),IF(S71&gt;0,"✈ راتب إجازة مقدم",IF(J71=0,"⛔ بدون راتب هذا الشهر",IF(I71&gt;0,"✈ خصم "&amp;ROUND(I71,2)&amp;" يوم بدون أجر",IF(AL71&gt;0,"🌴 إجازة سنوية "&amp;ROUND(AL71,2)&amp;" يوم",IF(H71&gt;0,"⚠ غياب "&amp;ROUND(H71,2)&amp;" يوم","✔ على رأس العمل")))))))</f>
        <v/>
      </c>
      <c r="G71" s="156" t="str">
        <f aca="false">IF($B71="","",IF(AK71&gt;=DAY($F$3),cfg_DAYS_M,MIN(AK71,cfg_DAYS_M)))</f>
        <v/>
      </c>
      <c r="H71" s="156" t="str">
        <f aca="false">IF($B71="","",SUMIFS('الحركات الشهرية'!$D$6:$D$1005,'الحركات الشهرية'!$B$6:$B$1005,$B71,'الحركات الشهرية'!$A$6:$A$1005,$C$3))</f>
        <v/>
      </c>
      <c r="I71" s="156" t="str">
        <f aca="false">IF($B71="","",MIN(G71,IF(AND(AK71&gt;0,AN71&gt;=AK71),G71,AN71)+SUMIFS('الحركات الشهرية'!$E$6:$E$1005,'الحركات الشهرية'!$B$6:$B$1005,$B71,'الحركات الشهرية'!$A$6:$A$1005,$C$3)))</f>
        <v/>
      </c>
      <c r="J71" s="156" t="str">
        <f aca="false">IF($B71="","",MAX(0,G71-H71-I71))</f>
        <v/>
      </c>
      <c r="K71" s="116" t="str">
        <f aca="false">IF($B71="","",الموظفون!$L71*$J71/cfg_DAYS_M)</f>
        <v/>
      </c>
      <c r="L71" s="116" t="str">
        <f aca="false">IF($B71="","",الموظفون!$M71*$J71/cfg_DAYS_M)</f>
        <v/>
      </c>
      <c r="M71" s="116" t="str">
        <f aca="false">IF($B71="","",الموظفون!$N71*$J71/cfg_DAYS_M)</f>
        <v/>
      </c>
      <c r="N71" s="116" t="str">
        <f aca="false">IF($B71="","",الموظفون!$O71*$J71/cfg_DAYS_M)</f>
        <v/>
      </c>
      <c r="O71" s="156" t="str">
        <f aca="false">IF($B71="","",SUMIFS('الحركات الشهرية'!$F$6:$F$1005,'الحركات الشهرية'!$B$6:$B$1005,$B71,'الحركات الشهرية'!$A$6:$A$1005,$C$3))</f>
        <v/>
      </c>
      <c r="P71" s="116" t="str">
        <f aca="false">IF($B71="","",O71*(الموظفون!$P71+الموظفون!$L71*cfg_OT_P)/cfg_DAYS_M/cfg_HRS)</f>
        <v/>
      </c>
      <c r="Q71" s="116" t="str">
        <f aca="false">IF($B71="","",SUMIFS('الحركات الشهرية'!$G$6:$G$1005,'الحركات الشهرية'!$B$6:$B$1005,$B71,'الحركات الشهرية'!$A$6:$A$1005,$C$3))</f>
        <v/>
      </c>
      <c r="R71" s="116" t="str">
        <f aca="false">IF($B71="","",SUMIFS('الحركات الشهرية'!$H$6:$H$1005,'الحركات الشهرية'!$B$6:$B$1005,$B71,'الحركات الشهرية'!$A$6:$A$1005,$C$3))</f>
        <v/>
      </c>
      <c r="S71" s="116" t="str">
        <f aca="false">IF($B71="","",SUMIFS('سجل الإجازات والحالات'!$N$6:$N$505,'سجل الإجازات والحالات'!$B$6:$B$505,$B71,'سجل الإجازات والحالات'!$O$6:$O$505,$C$3))</f>
        <v/>
      </c>
      <c r="T71" s="157" t="str">
        <f aca="false">IF($B71="","",SUM(K71:N71)+SUM(P71:S71))</f>
        <v/>
      </c>
      <c r="U71" s="116" t="str">
        <f aca="false">IF($B71="","",الموظفون!$S71*IF(E71="سعودي",cfg_G_SE,cfg_G_NE)*G71/cfg_DAYS_M)</f>
        <v/>
      </c>
      <c r="V71" s="116" t="str">
        <f aca="false">IF($B71="","",SUMIFS('الحركات الشهرية'!$I$6:$I$1005,'الحركات الشهرية'!$B$6:$B$1005,$B71,'الحركات الشهرية'!$A$6:$A$1005,$C$3))</f>
        <v/>
      </c>
      <c r="W71" s="116" t="str">
        <f aca="false">IF($B71="","",SUMIFS('الحركات الشهرية'!$J$6:$J$1005,'الحركات الشهرية'!$B$6:$B$1005,$B71,'الحركات الشهرية'!$A$6:$A$1005,$C$3))</f>
        <v/>
      </c>
      <c r="X71" s="116" t="str">
        <f aca="false">IF($B71="","",SUM(U71:W71))</f>
        <v/>
      </c>
      <c r="Y71" s="158" t="str">
        <f aca="false">IF($B71="","",T71-X71)</f>
        <v/>
      </c>
      <c r="Z71" s="116" t="str">
        <f aca="false">IF($B71="","",الموظفون!$S71*IF(E71="سعودي",cfg_G_SR,cfg_G_NR)*G71/cfg_DAYS_M)</f>
        <v/>
      </c>
      <c r="AA71" s="116" t="str">
        <f aca="false">IF($B71="","",الموظفون!$Q71*(cfg_EOS_R1*(MIN(AH71,cfg_EOS_TH)-MIN(AI71,cfg_EOS_TH))+cfg_EOS_R2*(MAX(AH71-cfg_EOS_TH,0)-MAX(AI71-cfg_EOS_TH,0))))</f>
        <v/>
      </c>
      <c r="AB71" s="116" t="str">
        <f aca="false">IF($B71="","",IF(الموظفون!$T71&lt;&gt;"",الموظفون!$T71,IF(AH71&gt;=cfg_LV_TH,cfg_LV_D2,cfg_LV_D1))/cfg_DAYS_Y*AJ71*الموظفون!$R71/cfg_DAYS_M)</f>
        <v/>
      </c>
      <c r="AC71" s="116" t="str">
        <f aca="false">IF($B71="","",IF(AND(الموظفون!$U71="نعم",N(الموظفون!$W71)&gt;0),الموظفون!$V71/الموظفون!$W71*12/cfg_DAYS_Y*AJ71,0))</f>
        <v/>
      </c>
      <c r="AD71" s="116" t="str">
        <f aca="false">IF($B71="","",(IF(الموظفون!$X71&lt;&gt;"",الموظفون!$X71,IF(الموظفون!$E71="غير سعودي",cfg_IQ,0))+IF(الموظفون!$Y71&lt;&gt;"",الموظفون!$Y71,IF(الموظفون!$E71="غير سعودي",cfg_WP,0)))/12*G71/cfg_DAYS_M)</f>
        <v/>
      </c>
      <c r="AE71" s="116" t="str">
        <f aca="false">IF($B71="","",IF(الموظفون!$Z71&lt;&gt;"",الموظفون!$Z71,cfg_MED)/12*G71/cfg_DAYS_M)</f>
        <v/>
      </c>
      <c r="AF71" s="116" t="str">
        <f aca="false">IF($B71="","",N(الموظفون!$AA71)/12*G71/cfg_DAYS_M)</f>
        <v/>
      </c>
      <c r="AG71" s="159" t="str">
        <f aca="false">IF($B71="","",T71+SUM(Z71:AF71))</f>
        <v/>
      </c>
      <c r="AH71" s="160" t="str">
        <f aca="false">IF($B71="","",MAX(0,IF(OR(الموظفون!$AE71="",الموظفون!$AE71&gt;$F$3),$F$3,الموظفون!$AE71)-الموظفون!$H71+1-SUMIFS('سجل الإجازات والحالات'!$AM$6:$AM$505,'سجل الإجازات والحالات'!$B$6:$B$505,$B71))/cfg_DAYS_Y)</f>
        <v/>
      </c>
      <c r="AI71" s="160" t="str">
        <f aca="false">IF($B71="","",MAX(0,IF(OR(الموظفون!$AE71="",الموظفون!$AE71&gt;($E$3-1)),($E$3-1),الموظفون!$AE71)-الموظفون!$H71+1-SUMIFS('سجل الإجازات والحالات'!$AL$6:$AL$505,'سجل الإجازات والحالات'!$B$6:$B$505,$B71))/cfg_DAYS_Y)</f>
        <v/>
      </c>
      <c r="AJ71" s="133" t="str">
        <f aca="false">IF($B71="","",MAX(0,AK71-(SUMIFS('سجل الإجازات والحالات'!$AM$6:$AM$505,'سجل الإجازات والحالات'!$B$6:$B$505,$B71)-SUMIFS('سجل الإجازات والحالات'!$AL$6:$AL$505,'سجل الإجازات والحالات'!$B$6:$B$505,$B71))))</f>
        <v/>
      </c>
      <c r="AK71" s="133" t="str">
        <f aca="false">IF($B71="","",MAX(0,IF(OR(الموظفون!$AE71="",الموظفون!$AE71&gt;$F$3),$F$3,الموظفون!$AE71)-MAX($E$3,الموظفون!$H71)+1))</f>
        <v/>
      </c>
      <c r="AL71" s="156" t="str">
        <f aca="false">IF($B71="","",SUMIFS('سجل الإجازات والحالات'!$AY$6:$AY$505,'سجل الإجازات والحالات'!$B$6:$B$505,$B71)+SUMIFS('الحركات الشهرية'!$K$6:$K$1005,'الحركات الشهرية'!$B$6:$B$1005,$B71,'الحركات الشهرية'!$A$6:$A$1005,$C$3))</f>
        <v/>
      </c>
      <c r="AM71" s="116" t="str">
        <f aca="false">IF($B71="","",AL71*الموظفون!$R71/cfg_DAYS_M+S71)</f>
        <v/>
      </c>
      <c r="AN71" s="156" t="str">
        <f aca="false">IF($B71="","",SUMIFS('سجل الإجازات والحالات'!$AA$6:$AA$505,'سجل الإجازات والحالات'!$B$6:$B$505,$B71))</f>
        <v/>
      </c>
    </row>
    <row r="72" customFormat="false" ht="15" hidden="false" customHeight="false" outlineLevel="0" collapsed="false">
      <c r="A72" s="106" t="str">
        <f aca="false">IF($B72="","",الموظفون!$A72)</f>
        <v/>
      </c>
      <c r="B72" s="114" t="str">
        <f aca="false">IF(الموظفون!$B72="","",الموظفون!$B72)</f>
        <v/>
      </c>
      <c r="C72" s="114" t="str">
        <f aca="false">IF($B72="","",الموظفون!$C72)</f>
        <v/>
      </c>
      <c r="D72" s="114" t="str">
        <f aca="false">IF($B72="","",الموظفون!$F72)</f>
        <v/>
      </c>
      <c r="E72" s="114" t="str">
        <f aca="false">IF($B72="","",الموظفون!$E72)</f>
        <v/>
      </c>
      <c r="F72" s="114" t="str">
        <f aca="false">IF($B72="","",IF(AK72=0,IF(AND(الموظفون!$AE72&lt;&gt;"",الموظفون!$AE72&lt;$E$3),"✖ منتهي الخدمة","⏳ لم يباشر"),IF(S72&gt;0,"✈ راتب إجازة مقدم",IF(J72=0,"⛔ بدون راتب هذا الشهر",IF(I72&gt;0,"✈ خصم "&amp;ROUND(I72,2)&amp;" يوم بدون أجر",IF(AL72&gt;0,"🌴 إجازة سنوية "&amp;ROUND(AL72,2)&amp;" يوم",IF(H72&gt;0,"⚠ غياب "&amp;ROUND(H72,2)&amp;" يوم","✔ على رأس العمل")))))))</f>
        <v/>
      </c>
      <c r="G72" s="151" t="str">
        <f aca="false">IF($B72="","",IF(AK72&gt;=DAY($F$3),cfg_DAYS_M,MIN(AK72,cfg_DAYS_M)))</f>
        <v/>
      </c>
      <c r="H72" s="151" t="str">
        <f aca="false">IF($B72="","",SUMIFS('الحركات الشهرية'!$D$6:$D$1005,'الحركات الشهرية'!$B$6:$B$1005,$B72,'الحركات الشهرية'!$A$6:$A$1005,$C$3))</f>
        <v/>
      </c>
      <c r="I72" s="151" t="str">
        <f aca="false">IF($B72="","",MIN(G72,IF(AND(AK72&gt;0,AN72&gt;=AK72),G72,AN72)+SUMIFS('الحركات الشهرية'!$E$6:$E$1005,'الحركات الشهرية'!$B$6:$B$1005,$B72,'الحركات الشهرية'!$A$6:$A$1005,$C$3)))</f>
        <v/>
      </c>
      <c r="J72" s="151" t="str">
        <f aca="false">IF($B72="","",MAX(0,G72-H72-I72))</f>
        <v/>
      </c>
      <c r="K72" s="111" t="str">
        <f aca="false">IF($B72="","",الموظفون!$L72*$J72/cfg_DAYS_M)</f>
        <v/>
      </c>
      <c r="L72" s="111" t="str">
        <f aca="false">IF($B72="","",الموظفون!$M72*$J72/cfg_DAYS_M)</f>
        <v/>
      </c>
      <c r="M72" s="111" t="str">
        <f aca="false">IF($B72="","",الموظفون!$N72*$J72/cfg_DAYS_M)</f>
        <v/>
      </c>
      <c r="N72" s="111" t="str">
        <f aca="false">IF($B72="","",الموظفون!$O72*$J72/cfg_DAYS_M)</f>
        <v/>
      </c>
      <c r="O72" s="151" t="str">
        <f aca="false">IF($B72="","",SUMIFS('الحركات الشهرية'!$F$6:$F$1005,'الحركات الشهرية'!$B$6:$B$1005,$B72,'الحركات الشهرية'!$A$6:$A$1005,$C$3))</f>
        <v/>
      </c>
      <c r="P72" s="111" t="str">
        <f aca="false">IF($B72="","",O72*(الموظفون!$P72+الموظفون!$L72*cfg_OT_P)/cfg_DAYS_M/cfg_HRS)</f>
        <v/>
      </c>
      <c r="Q72" s="111" t="str">
        <f aca="false">IF($B72="","",SUMIFS('الحركات الشهرية'!$G$6:$G$1005,'الحركات الشهرية'!$B$6:$B$1005,$B72,'الحركات الشهرية'!$A$6:$A$1005,$C$3))</f>
        <v/>
      </c>
      <c r="R72" s="111" t="str">
        <f aca="false">IF($B72="","",SUMIFS('الحركات الشهرية'!$H$6:$H$1005,'الحركات الشهرية'!$B$6:$B$1005,$B72,'الحركات الشهرية'!$A$6:$A$1005,$C$3))</f>
        <v/>
      </c>
      <c r="S72" s="111" t="str">
        <f aca="false">IF($B72="","",SUMIFS('سجل الإجازات والحالات'!$N$6:$N$505,'سجل الإجازات والحالات'!$B$6:$B$505,$B72,'سجل الإجازات والحالات'!$O$6:$O$505,$C$3))</f>
        <v/>
      </c>
      <c r="T72" s="152" t="str">
        <f aca="false">IF($B72="","",SUM(K72:N72)+SUM(P72:S72))</f>
        <v/>
      </c>
      <c r="U72" s="111" t="str">
        <f aca="false">IF($B72="","",الموظفون!$S72*IF(E72="سعودي",cfg_G_SE,cfg_G_NE)*G72/cfg_DAYS_M)</f>
        <v/>
      </c>
      <c r="V72" s="111" t="str">
        <f aca="false">IF($B72="","",SUMIFS('الحركات الشهرية'!$I$6:$I$1005,'الحركات الشهرية'!$B$6:$B$1005,$B72,'الحركات الشهرية'!$A$6:$A$1005,$C$3))</f>
        <v/>
      </c>
      <c r="W72" s="111" t="str">
        <f aca="false">IF($B72="","",SUMIFS('الحركات الشهرية'!$J$6:$J$1005,'الحركات الشهرية'!$B$6:$B$1005,$B72,'الحركات الشهرية'!$A$6:$A$1005,$C$3))</f>
        <v/>
      </c>
      <c r="X72" s="111" t="str">
        <f aca="false">IF($B72="","",SUM(U72:W72))</f>
        <v/>
      </c>
      <c r="Y72" s="153" t="str">
        <f aca="false">IF($B72="","",T72-X72)</f>
        <v/>
      </c>
      <c r="Z72" s="111" t="str">
        <f aca="false">IF($B72="","",الموظفون!$S72*IF(E72="سعودي",cfg_G_SR,cfg_G_NR)*G72/cfg_DAYS_M)</f>
        <v/>
      </c>
      <c r="AA72" s="111" t="str">
        <f aca="false">IF($B72="","",الموظفون!$Q72*(cfg_EOS_R1*(MIN(AH72,cfg_EOS_TH)-MIN(AI72,cfg_EOS_TH))+cfg_EOS_R2*(MAX(AH72-cfg_EOS_TH,0)-MAX(AI72-cfg_EOS_TH,0))))</f>
        <v/>
      </c>
      <c r="AB72" s="111" t="str">
        <f aca="false">IF($B72="","",IF(الموظفون!$T72&lt;&gt;"",الموظفون!$T72,IF(AH72&gt;=cfg_LV_TH,cfg_LV_D2,cfg_LV_D1))/cfg_DAYS_Y*AJ72*الموظفون!$R72/cfg_DAYS_M)</f>
        <v/>
      </c>
      <c r="AC72" s="111" t="str">
        <f aca="false">IF($B72="","",IF(AND(الموظفون!$U72="نعم",N(الموظفون!$W72)&gt;0),الموظفون!$V72/الموظفون!$W72*12/cfg_DAYS_Y*AJ72,0))</f>
        <v/>
      </c>
      <c r="AD72" s="111" t="str">
        <f aca="false">IF($B72="","",(IF(الموظفون!$X72&lt;&gt;"",الموظفون!$X72,IF(الموظفون!$E72="غير سعودي",cfg_IQ,0))+IF(الموظفون!$Y72&lt;&gt;"",الموظفون!$Y72,IF(الموظفون!$E72="غير سعودي",cfg_WP,0)))/12*G72/cfg_DAYS_M)</f>
        <v/>
      </c>
      <c r="AE72" s="111" t="str">
        <f aca="false">IF($B72="","",IF(الموظفون!$Z72&lt;&gt;"",الموظفون!$Z72,cfg_MED)/12*G72/cfg_DAYS_M)</f>
        <v/>
      </c>
      <c r="AF72" s="111" t="str">
        <f aca="false">IF($B72="","",N(الموظفون!$AA72)/12*G72/cfg_DAYS_M)</f>
        <v/>
      </c>
      <c r="AG72" s="154" t="str">
        <f aca="false">IF($B72="","",T72+SUM(Z72:AF72))</f>
        <v/>
      </c>
      <c r="AH72" s="155" t="str">
        <f aca="false">IF($B72="","",MAX(0,IF(OR(الموظفون!$AE72="",الموظفون!$AE72&gt;$F$3),$F$3,الموظفون!$AE72)-الموظفون!$H72+1-SUMIFS('سجل الإجازات والحالات'!$AM$6:$AM$505,'سجل الإجازات والحالات'!$B$6:$B$505,$B72))/cfg_DAYS_Y)</f>
        <v/>
      </c>
      <c r="AI72" s="155" t="str">
        <f aca="false">IF($B72="","",MAX(0,IF(OR(الموظفون!$AE72="",الموظفون!$AE72&gt;($E$3-1)),($E$3-1),الموظفون!$AE72)-الموظفون!$H72+1-SUMIFS('سجل الإجازات والحالات'!$AL$6:$AL$505,'سجل الإجازات والحالات'!$B$6:$B$505,$B72))/cfg_DAYS_Y)</f>
        <v/>
      </c>
      <c r="AJ72" s="65" t="str">
        <f aca="false">IF($B72="","",MAX(0,AK72-(SUMIFS('سجل الإجازات والحالات'!$AM$6:$AM$505,'سجل الإجازات والحالات'!$B$6:$B$505,$B72)-SUMIFS('سجل الإجازات والحالات'!$AL$6:$AL$505,'سجل الإجازات والحالات'!$B$6:$B$505,$B72))))</f>
        <v/>
      </c>
      <c r="AK72" s="65" t="str">
        <f aca="false">IF($B72="","",MAX(0,IF(OR(الموظفون!$AE72="",الموظفون!$AE72&gt;$F$3),$F$3,الموظفون!$AE72)-MAX($E$3,الموظفون!$H72)+1))</f>
        <v/>
      </c>
      <c r="AL72" s="151" t="str">
        <f aca="false">IF($B72="","",SUMIFS('سجل الإجازات والحالات'!$AY$6:$AY$505,'سجل الإجازات والحالات'!$B$6:$B$505,$B72)+SUMIFS('الحركات الشهرية'!$K$6:$K$1005,'الحركات الشهرية'!$B$6:$B$1005,$B72,'الحركات الشهرية'!$A$6:$A$1005,$C$3))</f>
        <v/>
      </c>
      <c r="AM72" s="111" t="str">
        <f aca="false">IF($B72="","",AL72*الموظفون!$R72/cfg_DAYS_M+S72)</f>
        <v/>
      </c>
      <c r="AN72" s="151" t="str">
        <f aca="false">IF($B72="","",SUMIFS('سجل الإجازات والحالات'!$AA$6:$AA$505,'سجل الإجازات والحالات'!$B$6:$B$505,$B72))</f>
        <v/>
      </c>
    </row>
    <row r="73" customFormat="false" ht="15" hidden="false" customHeight="false" outlineLevel="0" collapsed="false">
      <c r="A73" s="115" t="str">
        <f aca="false">IF($B73="","",الموظفون!$A73)</f>
        <v/>
      </c>
      <c r="B73" s="117" t="str">
        <f aca="false">IF(الموظفون!$B73="","",الموظفون!$B73)</f>
        <v/>
      </c>
      <c r="C73" s="117" t="str">
        <f aca="false">IF($B73="","",الموظفون!$C73)</f>
        <v/>
      </c>
      <c r="D73" s="117" t="str">
        <f aca="false">IF($B73="","",الموظفون!$F73)</f>
        <v/>
      </c>
      <c r="E73" s="117" t="str">
        <f aca="false">IF($B73="","",الموظفون!$E73)</f>
        <v/>
      </c>
      <c r="F73" s="117" t="str">
        <f aca="false">IF($B73="","",IF(AK73=0,IF(AND(الموظفون!$AE73&lt;&gt;"",الموظفون!$AE73&lt;$E$3),"✖ منتهي الخدمة","⏳ لم يباشر"),IF(S73&gt;0,"✈ راتب إجازة مقدم",IF(J73=0,"⛔ بدون راتب هذا الشهر",IF(I73&gt;0,"✈ خصم "&amp;ROUND(I73,2)&amp;" يوم بدون أجر",IF(AL73&gt;0,"🌴 إجازة سنوية "&amp;ROUND(AL73,2)&amp;" يوم",IF(H73&gt;0,"⚠ غياب "&amp;ROUND(H73,2)&amp;" يوم","✔ على رأس العمل")))))))</f>
        <v/>
      </c>
      <c r="G73" s="156" t="str">
        <f aca="false">IF($B73="","",IF(AK73&gt;=DAY($F$3),cfg_DAYS_M,MIN(AK73,cfg_DAYS_M)))</f>
        <v/>
      </c>
      <c r="H73" s="156" t="str">
        <f aca="false">IF($B73="","",SUMIFS('الحركات الشهرية'!$D$6:$D$1005,'الحركات الشهرية'!$B$6:$B$1005,$B73,'الحركات الشهرية'!$A$6:$A$1005,$C$3))</f>
        <v/>
      </c>
      <c r="I73" s="156" t="str">
        <f aca="false">IF($B73="","",MIN(G73,IF(AND(AK73&gt;0,AN73&gt;=AK73),G73,AN73)+SUMIFS('الحركات الشهرية'!$E$6:$E$1005,'الحركات الشهرية'!$B$6:$B$1005,$B73,'الحركات الشهرية'!$A$6:$A$1005,$C$3)))</f>
        <v/>
      </c>
      <c r="J73" s="156" t="str">
        <f aca="false">IF($B73="","",MAX(0,G73-H73-I73))</f>
        <v/>
      </c>
      <c r="K73" s="116" t="str">
        <f aca="false">IF($B73="","",الموظفون!$L73*$J73/cfg_DAYS_M)</f>
        <v/>
      </c>
      <c r="L73" s="116" t="str">
        <f aca="false">IF($B73="","",الموظفون!$M73*$J73/cfg_DAYS_M)</f>
        <v/>
      </c>
      <c r="M73" s="116" t="str">
        <f aca="false">IF($B73="","",الموظفون!$N73*$J73/cfg_DAYS_M)</f>
        <v/>
      </c>
      <c r="N73" s="116" t="str">
        <f aca="false">IF($B73="","",الموظفون!$O73*$J73/cfg_DAYS_M)</f>
        <v/>
      </c>
      <c r="O73" s="156" t="str">
        <f aca="false">IF($B73="","",SUMIFS('الحركات الشهرية'!$F$6:$F$1005,'الحركات الشهرية'!$B$6:$B$1005,$B73,'الحركات الشهرية'!$A$6:$A$1005,$C$3))</f>
        <v/>
      </c>
      <c r="P73" s="116" t="str">
        <f aca="false">IF($B73="","",O73*(الموظفون!$P73+الموظفون!$L73*cfg_OT_P)/cfg_DAYS_M/cfg_HRS)</f>
        <v/>
      </c>
      <c r="Q73" s="116" t="str">
        <f aca="false">IF($B73="","",SUMIFS('الحركات الشهرية'!$G$6:$G$1005,'الحركات الشهرية'!$B$6:$B$1005,$B73,'الحركات الشهرية'!$A$6:$A$1005,$C$3))</f>
        <v/>
      </c>
      <c r="R73" s="116" t="str">
        <f aca="false">IF($B73="","",SUMIFS('الحركات الشهرية'!$H$6:$H$1005,'الحركات الشهرية'!$B$6:$B$1005,$B73,'الحركات الشهرية'!$A$6:$A$1005,$C$3))</f>
        <v/>
      </c>
      <c r="S73" s="116" t="str">
        <f aca="false">IF($B73="","",SUMIFS('سجل الإجازات والحالات'!$N$6:$N$505,'سجل الإجازات والحالات'!$B$6:$B$505,$B73,'سجل الإجازات والحالات'!$O$6:$O$505,$C$3))</f>
        <v/>
      </c>
      <c r="T73" s="157" t="str">
        <f aca="false">IF($B73="","",SUM(K73:N73)+SUM(P73:S73))</f>
        <v/>
      </c>
      <c r="U73" s="116" t="str">
        <f aca="false">IF($B73="","",الموظفون!$S73*IF(E73="سعودي",cfg_G_SE,cfg_G_NE)*G73/cfg_DAYS_M)</f>
        <v/>
      </c>
      <c r="V73" s="116" t="str">
        <f aca="false">IF($B73="","",SUMIFS('الحركات الشهرية'!$I$6:$I$1005,'الحركات الشهرية'!$B$6:$B$1005,$B73,'الحركات الشهرية'!$A$6:$A$1005,$C$3))</f>
        <v/>
      </c>
      <c r="W73" s="116" t="str">
        <f aca="false">IF($B73="","",SUMIFS('الحركات الشهرية'!$J$6:$J$1005,'الحركات الشهرية'!$B$6:$B$1005,$B73,'الحركات الشهرية'!$A$6:$A$1005,$C$3))</f>
        <v/>
      </c>
      <c r="X73" s="116" t="str">
        <f aca="false">IF($B73="","",SUM(U73:W73))</f>
        <v/>
      </c>
      <c r="Y73" s="158" t="str">
        <f aca="false">IF($B73="","",T73-X73)</f>
        <v/>
      </c>
      <c r="Z73" s="116" t="str">
        <f aca="false">IF($B73="","",الموظفون!$S73*IF(E73="سعودي",cfg_G_SR,cfg_G_NR)*G73/cfg_DAYS_M)</f>
        <v/>
      </c>
      <c r="AA73" s="116" t="str">
        <f aca="false">IF($B73="","",الموظفون!$Q73*(cfg_EOS_R1*(MIN(AH73,cfg_EOS_TH)-MIN(AI73,cfg_EOS_TH))+cfg_EOS_R2*(MAX(AH73-cfg_EOS_TH,0)-MAX(AI73-cfg_EOS_TH,0))))</f>
        <v/>
      </c>
      <c r="AB73" s="116" t="str">
        <f aca="false">IF($B73="","",IF(الموظفون!$T73&lt;&gt;"",الموظفون!$T73,IF(AH73&gt;=cfg_LV_TH,cfg_LV_D2,cfg_LV_D1))/cfg_DAYS_Y*AJ73*الموظفون!$R73/cfg_DAYS_M)</f>
        <v/>
      </c>
      <c r="AC73" s="116" t="str">
        <f aca="false">IF($B73="","",IF(AND(الموظفون!$U73="نعم",N(الموظفون!$W73)&gt;0),الموظفون!$V73/الموظفون!$W73*12/cfg_DAYS_Y*AJ73,0))</f>
        <v/>
      </c>
      <c r="AD73" s="116" t="str">
        <f aca="false">IF($B73="","",(IF(الموظفون!$X73&lt;&gt;"",الموظفون!$X73,IF(الموظفون!$E73="غير سعودي",cfg_IQ,0))+IF(الموظفون!$Y73&lt;&gt;"",الموظفون!$Y73,IF(الموظفون!$E73="غير سعودي",cfg_WP,0)))/12*G73/cfg_DAYS_M)</f>
        <v/>
      </c>
      <c r="AE73" s="116" t="str">
        <f aca="false">IF($B73="","",IF(الموظفون!$Z73&lt;&gt;"",الموظفون!$Z73,cfg_MED)/12*G73/cfg_DAYS_M)</f>
        <v/>
      </c>
      <c r="AF73" s="116" t="str">
        <f aca="false">IF($B73="","",N(الموظفون!$AA73)/12*G73/cfg_DAYS_M)</f>
        <v/>
      </c>
      <c r="AG73" s="159" t="str">
        <f aca="false">IF($B73="","",T73+SUM(Z73:AF73))</f>
        <v/>
      </c>
      <c r="AH73" s="160" t="str">
        <f aca="false">IF($B73="","",MAX(0,IF(OR(الموظفون!$AE73="",الموظفون!$AE73&gt;$F$3),$F$3,الموظفون!$AE73)-الموظفون!$H73+1-SUMIFS('سجل الإجازات والحالات'!$AM$6:$AM$505,'سجل الإجازات والحالات'!$B$6:$B$505,$B73))/cfg_DAYS_Y)</f>
        <v/>
      </c>
      <c r="AI73" s="160" t="str">
        <f aca="false">IF($B73="","",MAX(0,IF(OR(الموظفون!$AE73="",الموظفون!$AE73&gt;($E$3-1)),($E$3-1),الموظفون!$AE73)-الموظفون!$H73+1-SUMIFS('سجل الإجازات والحالات'!$AL$6:$AL$505,'سجل الإجازات والحالات'!$B$6:$B$505,$B73))/cfg_DAYS_Y)</f>
        <v/>
      </c>
      <c r="AJ73" s="133" t="str">
        <f aca="false">IF($B73="","",MAX(0,AK73-(SUMIFS('سجل الإجازات والحالات'!$AM$6:$AM$505,'سجل الإجازات والحالات'!$B$6:$B$505,$B73)-SUMIFS('سجل الإجازات والحالات'!$AL$6:$AL$505,'سجل الإجازات والحالات'!$B$6:$B$505,$B73))))</f>
        <v/>
      </c>
      <c r="AK73" s="133" t="str">
        <f aca="false">IF($B73="","",MAX(0,IF(OR(الموظفون!$AE73="",الموظفون!$AE73&gt;$F$3),$F$3,الموظفون!$AE73)-MAX($E$3,الموظفون!$H73)+1))</f>
        <v/>
      </c>
      <c r="AL73" s="156" t="str">
        <f aca="false">IF($B73="","",SUMIFS('سجل الإجازات والحالات'!$AY$6:$AY$505,'سجل الإجازات والحالات'!$B$6:$B$505,$B73)+SUMIFS('الحركات الشهرية'!$K$6:$K$1005,'الحركات الشهرية'!$B$6:$B$1005,$B73,'الحركات الشهرية'!$A$6:$A$1005,$C$3))</f>
        <v/>
      </c>
      <c r="AM73" s="116" t="str">
        <f aca="false">IF($B73="","",AL73*الموظفون!$R73/cfg_DAYS_M+S73)</f>
        <v/>
      </c>
      <c r="AN73" s="156" t="str">
        <f aca="false">IF($B73="","",SUMIFS('سجل الإجازات والحالات'!$AA$6:$AA$505,'سجل الإجازات والحالات'!$B$6:$B$505,$B73))</f>
        <v/>
      </c>
    </row>
    <row r="74" customFormat="false" ht="15" hidden="false" customHeight="false" outlineLevel="0" collapsed="false">
      <c r="A74" s="106" t="str">
        <f aca="false">IF($B74="","",الموظفون!$A74)</f>
        <v/>
      </c>
      <c r="B74" s="114" t="str">
        <f aca="false">IF(الموظفون!$B74="","",الموظفون!$B74)</f>
        <v/>
      </c>
      <c r="C74" s="114" t="str">
        <f aca="false">IF($B74="","",الموظفون!$C74)</f>
        <v/>
      </c>
      <c r="D74" s="114" t="str">
        <f aca="false">IF($B74="","",الموظفون!$F74)</f>
        <v/>
      </c>
      <c r="E74" s="114" t="str">
        <f aca="false">IF($B74="","",الموظفون!$E74)</f>
        <v/>
      </c>
      <c r="F74" s="114" t="str">
        <f aca="false">IF($B74="","",IF(AK74=0,IF(AND(الموظفون!$AE74&lt;&gt;"",الموظفون!$AE74&lt;$E$3),"✖ منتهي الخدمة","⏳ لم يباشر"),IF(S74&gt;0,"✈ راتب إجازة مقدم",IF(J74=0,"⛔ بدون راتب هذا الشهر",IF(I74&gt;0,"✈ خصم "&amp;ROUND(I74,2)&amp;" يوم بدون أجر",IF(AL74&gt;0,"🌴 إجازة سنوية "&amp;ROUND(AL74,2)&amp;" يوم",IF(H74&gt;0,"⚠ غياب "&amp;ROUND(H74,2)&amp;" يوم","✔ على رأس العمل")))))))</f>
        <v/>
      </c>
      <c r="G74" s="151" t="str">
        <f aca="false">IF($B74="","",IF(AK74&gt;=DAY($F$3),cfg_DAYS_M,MIN(AK74,cfg_DAYS_M)))</f>
        <v/>
      </c>
      <c r="H74" s="151" t="str">
        <f aca="false">IF($B74="","",SUMIFS('الحركات الشهرية'!$D$6:$D$1005,'الحركات الشهرية'!$B$6:$B$1005,$B74,'الحركات الشهرية'!$A$6:$A$1005,$C$3))</f>
        <v/>
      </c>
      <c r="I74" s="151" t="str">
        <f aca="false">IF($B74="","",MIN(G74,IF(AND(AK74&gt;0,AN74&gt;=AK74),G74,AN74)+SUMIFS('الحركات الشهرية'!$E$6:$E$1005,'الحركات الشهرية'!$B$6:$B$1005,$B74,'الحركات الشهرية'!$A$6:$A$1005,$C$3)))</f>
        <v/>
      </c>
      <c r="J74" s="151" t="str">
        <f aca="false">IF($B74="","",MAX(0,G74-H74-I74))</f>
        <v/>
      </c>
      <c r="K74" s="111" t="str">
        <f aca="false">IF($B74="","",الموظفون!$L74*$J74/cfg_DAYS_M)</f>
        <v/>
      </c>
      <c r="L74" s="111" t="str">
        <f aca="false">IF($B74="","",الموظفون!$M74*$J74/cfg_DAYS_M)</f>
        <v/>
      </c>
      <c r="M74" s="111" t="str">
        <f aca="false">IF($B74="","",الموظفون!$N74*$J74/cfg_DAYS_M)</f>
        <v/>
      </c>
      <c r="N74" s="111" t="str">
        <f aca="false">IF($B74="","",الموظفون!$O74*$J74/cfg_DAYS_M)</f>
        <v/>
      </c>
      <c r="O74" s="151" t="str">
        <f aca="false">IF($B74="","",SUMIFS('الحركات الشهرية'!$F$6:$F$1005,'الحركات الشهرية'!$B$6:$B$1005,$B74,'الحركات الشهرية'!$A$6:$A$1005,$C$3))</f>
        <v/>
      </c>
      <c r="P74" s="111" t="str">
        <f aca="false">IF($B74="","",O74*(الموظفون!$P74+الموظفون!$L74*cfg_OT_P)/cfg_DAYS_M/cfg_HRS)</f>
        <v/>
      </c>
      <c r="Q74" s="111" t="str">
        <f aca="false">IF($B74="","",SUMIFS('الحركات الشهرية'!$G$6:$G$1005,'الحركات الشهرية'!$B$6:$B$1005,$B74,'الحركات الشهرية'!$A$6:$A$1005,$C$3))</f>
        <v/>
      </c>
      <c r="R74" s="111" t="str">
        <f aca="false">IF($B74="","",SUMIFS('الحركات الشهرية'!$H$6:$H$1005,'الحركات الشهرية'!$B$6:$B$1005,$B74,'الحركات الشهرية'!$A$6:$A$1005,$C$3))</f>
        <v/>
      </c>
      <c r="S74" s="111" t="str">
        <f aca="false">IF($B74="","",SUMIFS('سجل الإجازات والحالات'!$N$6:$N$505,'سجل الإجازات والحالات'!$B$6:$B$505,$B74,'سجل الإجازات والحالات'!$O$6:$O$505,$C$3))</f>
        <v/>
      </c>
      <c r="T74" s="152" t="str">
        <f aca="false">IF($B74="","",SUM(K74:N74)+SUM(P74:S74))</f>
        <v/>
      </c>
      <c r="U74" s="111" t="str">
        <f aca="false">IF($B74="","",الموظفون!$S74*IF(E74="سعودي",cfg_G_SE,cfg_G_NE)*G74/cfg_DAYS_M)</f>
        <v/>
      </c>
      <c r="V74" s="111" t="str">
        <f aca="false">IF($B74="","",SUMIFS('الحركات الشهرية'!$I$6:$I$1005,'الحركات الشهرية'!$B$6:$B$1005,$B74,'الحركات الشهرية'!$A$6:$A$1005,$C$3))</f>
        <v/>
      </c>
      <c r="W74" s="111" t="str">
        <f aca="false">IF($B74="","",SUMIFS('الحركات الشهرية'!$J$6:$J$1005,'الحركات الشهرية'!$B$6:$B$1005,$B74,'الحركات الشهرية'!$A$6:$A$1005,$C$3))</f>
        <v/>
      </c>
      <c r="X74" s="111" t="str">
        <f aca="false">IF($B74="","",SUM(U74:W74))</f>
        <v/>
      </c>
      <c r="Y74" s="153" t="str">
        <f aca="false">IF($B74="","",T74-X74)</f>
        <v/>
      </c>
      <c r="Z74" s="111" t="str">
        <f aca="false">IF($B74="","",الموظفون!$S74*IF(E74="سعودي",cfg_G_SR,cfg_G_NR)*G74/cfg_DAYS_M)</f>
        <v/>
      </c>
      <c r="AA74" s="111" t="str">
        <f aca="false">IF($B74="","",الموظفون!$Q74*(cfg_EOS_R1*(MIN(AH74,cfg_EOS_TH)-MIN(AI74,cfg_EOS_TH))+cfg_EOS_R2*(MAX(AH74-cfg_EOS_TH,0)-MAX(AI74-cfg_EOS_TH,0))))</f>
        <v/>
      </c>
      <c r="AB74" s="111" t="str">
        <f aca="false">IF($B74="","",IF(الموظفون!$T74&lt;&gt;"",الموظفون!$T74,IF(AH74&gt;=cfg_LV_TH,cfg_LV_D2,cfg_LV_D1))/cfg_DAYS_Y*AJ74*الموظفون!$R74/cfg_DAYS_M)</f>
        <v/>
      </c>
      <c r="AC74" s="111" t="str">
        <f aca="false">IF($B74="","",IF(AND(الموظفون!$U74="نعم",N(الموظفون!$W74)&gt;0),الموظفون!$V74/الموظفون!$W74*12/cfg_DAYS_Y*AJ74,0))</f>
        <v/>
      </c>
      <c r="AD74" s="111" t="str">
        <f aca="false">IF($B74="","",(IF(الموظفون!$X74&lt;&gt;"",الموظفون!$X74,IF(الموظفون!$E74="غير سعودي",cfg_IQ,0))+IF(الموظفون!$Y74&lt;&gt;"",الموظفون!$Y74,IF(الموظفون!$E74="غير سعودي",cfg_WP,0)))/12*G74/cfg_DAYS_M)</f>
        <v/>
      </c>
      <c r="AE74" s="111" t="str">
        <f aca="false">IF($B74="","",IF(الموظفون!$Z74&lt;&gt;"",الموظفون!$Z74,cfg_MED)/12*G74/cfg_DAYS_M)</f>
        <v/>
      </c>
      <c r="AF74" s="111" t="str">
        <f aca="false">IF($B74="","",N(الموظفون!$AA74)/12*G74/cfg_DAYS_M)</f>
        <v/>
      </c>
      <c r="AG74" s="154" t="str">
        <f aca="false">IF($B74="","",T74+SUM(Z74:AF74))</f>
        <v/>
      </c>
      <c r="AH74" s="155" t="str">
        <f aca="false">IF($B74="","",MAX(0,IF(OR(الموظفون!$AE74="",الموظفون!$AE74&gt;$F$3),$F$3,الموظفون!$AE74)-الموظفون!$H74+1-SUMIFS('سجل الإجازات والحالات'!$AM$6:$AM$505,'سجل الإجازات والحالات'!$B$6:$B$505,$B74))/cfg_DAYS_Y)</f>
        <v/>
      </c>
      <c r="AI74" s="155" t="str">
        <f aca="false">IF($B74="","",MAX(0,IF(OR(الموظفون!$AE74="",الموظفون!$AE74&gt;($E$3-1)),($E$3-1),الموظفون!$AE74)-الموظفون!$H74+1-SUMIFS('سجل الإجازات والحالات'!$AL$6:$AL$505,'سجل الإجازات والحالات'!$B$6:$B$505,$B74))/cfg_DAYS_Y)</f>
        <v/>
      </c>
      <c r="AJ74" s="65" t="str">
        <f aca="false">IF($B74="","",MAX(0,AK74-(SUMIFS('سجل الإجازات والحالات'!$AM$6:$AM$505,'سجل الإجازات والحالات'!$B$6:$B$505,$B74)-SUMIFS('سجل الإجازات والحالات'!$AL$6:$AL$505,'سجل الإجازات والحالات'!$B$6:$B$505,$B74))))</f>
        <v/>
      </c>
      <c r="AK74" s="65" t="str">
        <f aca="false">IF($B74="","",MAX(0,IF(OR(الموظفون!$AE74="",الموظفون!$AE74&gt;$F$3),$F$3,الموظفون!$AE74)-MAX($E$3,الموظفون!$H74)+1))</f>
        <v/>
      </c>
      <c r="AL74" s="151" t="str">
        <f aca="false">IF($B74="","",SUMIFS('سجل الإجازات والحالات'!$AY$6:$AY$505,'سجل الإجازات والحالات'!$B$6:$B$505,$B74)+SUMIFS('الحركات الشهرية'!$K$6:$K$1005,'الحركات الشهرية'!$B$6:$B$1005,$B74,'الحركات الشهرية'!$A$6:$A$1005,$C$3))</f>
        <v/>
      </c>
      <c r="AM74" s="111" t="str">
        <f aca="false">IF($B74="","",AL74*الموظفون!$R74/cfg_DAYS_M+S74)</f>
        <v/>
      </c>
      <c r="AN74" s="151" t="str">
        <f aca="false">IF($B74="","",SUMIFS('سجل الإجازات والحالات'!$AA$6:$AA$505,'سجل الإجازات والحالات'!$B$6:$B$505,$B74))</f>
        <v/>
      </c>
    </row>
    <row r="75" customFormat="false" ht="15" hidden="false" customHeight="false" outlineLevel="0" collapsed="false">
      <c r="A75" s="115" t="str">
        <f aca="false">IF($B75="","",الموظفون!$A75)</f>
        <v/>
      </c>
      <c r="B75" s="117" t="str">
        <f aca="false">IF(الموظفون!$B75="","",الموظفون!$B75)</f>
        <v/>
      </c>
      <c r="C75" s="117" t="str">
        <f aca="false">IF($B75="","",الموظفون!$C75)</f>
        <v/>
      </c>
      <c r="D75" s="117" t="str">
        <f aca="false">IF($B75="","",الموظفون!$F75)</f>
        <v/>
      </c>
      <c r="E75" s="117" t="str">
        <f aca="false">IF($B75="","",الموظفون!$E75)</f>
        <v/>
      </c>
      <c r="F75" s="117" t="str">
        <f aca="false">IF($B75="","",IF(AK75=0,IF(AND(الموظفون!$AE75&lt;&gt;"",الموظفون!$AE75&lt;$E$3),"✖ منتهي الخدمة","⏳ لم يباشر"),IF(S75&gt;0,"✈ راتب إجازة مقدم",IF(J75=0,"⛔ بدون راتب هذا الشهر",IF(I75&gt;0,"✈ خصم "&amp;ROUND(I75,2)&amp;" يوم بدون أجر",IF(AL75&gt;0,"🌴 إجازة سنوية "&amp;ROUND(AL75,2)&amp;" يوم",IF(H75&gt;0,"⚠ غياب "&amp;ROUND(H75,2)&amp;" يوم","✔ على رأس العمل")))))))</f>
        <v/>
      </c>
      <c r="G75" s="156" t="str">
        <f aca="false">IF($B75="","",IF(AK75&gt;=DAY($F$3),cfg_DAYS_M,MIN(AK75,cfg_DAYS_M)))</f>
        <v/>
      </c>
      <c r="H75" s="156" t="str">
        <f aca="false">IF($B75="","",SUMIFS('الحركات الشهرية'!$D$6:$D$1005,'الحركات الشهرية'!$B$6:$B$1005,$B75,'الحركات الشهرية'!$A$6:$A$1005,$C$3))</f>
        <v/>
      </c>
      <c r="I75" s="156" t="str">
        <f aca="false">IF($B75="","",MIN(G75,IF(AND(AK75&gt;0,AN75&gt;=AK75),G75,AN75)+SUMIFS('الحركات الشهرية'!$E$6:$E$1005,'الحركات الشهرية'!$B$6:$B$1005,$B75,'الحركات الشهرية'!$A$6:$A$1005,$C$3)))</f>
        <v/>
      </c>
      <c r="J75" s="156" t="str">
        <f aca="false">IF($B75="","",MAX(0,G75-H75-I75))</f>
        <v/>
      </c>
      <c r="K75" s="116" t="str">
        <f aca="false">IF($B75="","",الموظفون!$L75*$J75/cfg_DAYS_M)</f>
        <v/>
      </c>
      <c r="L75" s="116" t="str">
        <f aca="false">IF($B75="","",الموظفون!$M75*$J75/cfg_DAYS_M)</f>
        <v/>
      </c>
      <c r="M75" s="116" t="str">
        <f aca="false">IF($B75="","",الموظفون!$N75*$J75/cfg_DAYS_M)</f>
        <v/>
      </c>
      <c r="N75" s="116" t="str">
        <f aca="false">IF($B75="","",الموظفون!$O75*$J75/cfg_DAYS_M)</f>
        <v/>
      </c>
      <c r="O75" s="156" t="str">
        <f aca="false">IF($B75="","",SUMIFS('الحركات الشهرية'!$F$6:$F$1005,'الحركات الشهرية'!$B$6:$B$1005,$B75,'الحركات الشهرية'!$A$6:$A$1005,$C$3))</f>
        <v/>
      </c>
      <c r="P75" s="116" t="str">
        <f aca="false">IF($B75="","",O75*(الموظفون!$P75+الموظفون!$L75*cfg_OT_P)/cfg_DAYS_M/cfg_HRS)</f>
        <v/>
      </c>
      <c r="Q75" s="116" t="str">
        <f aca="false">IF($B75="","",SUMIFS('الحركات الشهرية'!$G$6:$G$1005,'الحركات الشهرية'!$B$6:$B$1005,$B75,'الحركات الشهرية'!$A$6:$A$1005,$C$3))</f>
        <v/>
      </c>
      <c r="R75" s="116" t="str">
        <f aca="false">IF($B75="","",SUMIFS('الحركات الشهرية'!$H$6:$H$1005,'الحركات الشهرية'!$B$6:$B$1005,$B75,'الحركات الشهرية'!$A$6:$A$1005,$C$3))</f>
        <v/>
      </c>
      <c r="S75" s="116" t="str">
        <f aca="false">IF($B75="","",SUMIFS('سجل الإجازات والحالات'!$N$6:$N$505,'سجل الإجازات والحالات'!$B$6:$B$505,$B75,'سجل الإجازات والحالات'!$O$6:$O$505,$C$3))</f>
        <v/>
      </c>
      <c r="T75" s="157" t="str">
        <f aca="false">IF($B75="","",SUM(K75:N75)+SUM(P75:S75))</f>
        <v/>
      </c>
      <c r="U75" s="116" t="str">
        <f aca="false">IF($B75="","",الموظفون!$S75*IF(E75="سعودي",cfg_G_SE,cfg_G_NE)*G75/cfg_DAYS_M)</f>
        <v/>
      </c>
      <c r="V75" s="116" t="str">
        <f aca="false">IF($B75="","",SUMIFS('الحركات الشهرية'!$I$6:$I$1005,'الحركات الشهرية'!$B$6:$B$1005,$B75,'الحركات الشهرية'!$A$6:$A$1005,$C$3))</f>
        <v/>
      </c>
      <c r="W75" s="116" t="str">
        <f aca="false">IF($B75="","",SUMIFS('الحركات الشهرية'!$J$6:$J$1005,'الحركات الشهرية'!$B$6:$B$1005,$B75,'الحركات الشهرية'!$A$6:$A$1005,$C$3))</f>
        <v/>
      </c>
      <c r="X75" s="116" t="str">
        <f aca="false">IF($B75="","",SUM(U75:W75))</f>
        <v/>
      </c>
      <c r="Y75" s="158" t="str">
        <f aca="false">IF($B75="","",T75-X75)</f>
        <v/>
      </c>
      <c r="Z75" s="116" t="str">
        <f aca="false">IF($B75="","",الموظفون!$S75*IF(E75="سعودي",cfg_G_SR,cfg_G_NR)*G75/cfg_DAYS_M)</f>
        <v/>
      </c>
      <c r="AA75" s="116" t="str">
        <f aca="false">IF($B75="","",الموظفون!$Q75*(cfg_EOS_R1*(MIN(AH75,cfg_EOS_TH)-MIN(AI75,cfg_EOS_TH))+cfg_EOS_R2*(MAX(AH75-cfg_EOS_TH,0)-MAX(AI75-cfg_EOS_TH,0))))</f>
        <v/>
      </c>
      <c r="AB75" s="116" t="str">
        <f aca="false">IF($B75="","",IF(الموظفون!$T75&lt;&gt;"",الموظفون!$T75,IF(AH75&gt;=cfg_LV_TH,cfg_LV_D2,cfg_LV_D1))/cfg_DAYS_Y*AJ75*الموظفون!$R75/cfg_DAYS_M)</f>
        <v/>
      </c>
      <c r="AC75" s="116" t="str">
        <f aca="false">IF($B75="","",IF(AND(الموظفون!$U75="نعم",N(الموظفون!$W75)&gt;0),الموظفون!$V75/الموظفون!$W75*12/cfg_DAYS_Y*AJ75,0))</f>
        <v/>
      </c>
      <c r="AD75" s="116" t="str">
        <f aca="false">IF($B75="","",(IF(الموظفون!$X75&lt;&gt;"",الموظفون!$X75,IF(الموظفون!$E75="غير سعودي",cfg_IQ,0))+IF(الموظفون!$Y75&lt;&gt;"",الموظفون!$Y75,IF(الموظفون!$E75="غير سعودي",cfg_WP,0)))/12*G75/cfg_DAYS_M)</f>
        <v/>
      </c>
      <c r="AE75" s="116" t="str">
        <f aca="false">IF($B75="","",IF(الموظفون!$Z75&lt;&gt;"",الموظفون!$Z75,cfg_MED)/12*G75/cfg_DAYS_M)</f>
        <v/>
      </c>
      <c r="AF75" s="116" t="str">
        <f aca="false">IF($B75="","",N(الموظفون!$AA75)/12*G75/cfg_DAYS_M)</f>
        <v/>
      </c>
      <c r="AG75" s="159" t="str">
        <f aca="false">IF($B75="","",T75+SUM(Z75:AF75))</f>
        <v/>
      </c>
      <c r="AH75" s="160" t="str">
        <f aca="false">IF($B75="","",MAX(0,IF(OR(الموظفون!$AE75="",الموظفون!$AE75&gt;$F$3),$F$3,الموظفون!$AE75)-الموظفون!$H75+1-SUMIFS('سجل الإجازات والحالات'!$AM$6:$AM$505,'سجل الإجازات والحالات'!$B$6:$B$505,$B75))/cfg_DAYS_Y)</f>
        <v/>
      </c>
      <c r="AI75" s="160" t="str">
        <f aca="false">IF($B75="","",MAX(0,IF(OR(الموظفون!$AE75="",الموظفون!$AE75&gt;($E$3-1)),($E$3-1),الموظفون!$AE75)-الموظفون!$H75+1-SUMIFS('سجل الإجازات والحالات'!$AL$6:$AL$505,'سجل الإجازات والحالات'!$B$6:$B$505,$B75))/cfg_DAYS_Y)</f>
        <v/>
      </c>
      <c r="AJ75" s="133" t="str">
        <f aca="false">IF($B75="","",MAX(0,AK75-(SUMIFS('سجل الإجازات والحالات'!$AM$6:$AM$505,'سجل الإجازات والحالات'!$B$6:$B$505,$B75)-SUMIFS('سجل الإجازات والحالات'!$AL$6:$AL$505,'سجل الإجازات والحالات'!$B$6:$B$505,$B75))))</f>
        <v/>
      </c>
      <c r="AK75" s="133" t="str">
        <f aca="false">IF($B75="","",MAX(0,IF(OR(الموظفون!$AE75="",الموظفون!$AE75&gt;$F$3),$F$3,الموظفون!$AE75)-MAX($E$3,الموظفون!$H75)+1))</f>
        <v/>
      </c>
      <c r="AL75" s="156" t="str">
        <f aca="false">IF($B75="","",SUMIFS('سجل الإجازات والحالات'!$AY$6:$AY$505,'سجل الإجازات والحالات'!$B$6:$B$505,$B75)+SUMIFS('الحركات الشهرية'!$K$6:$K$1005,'الحركات الشهرية'!$B$6:$B$1005,$B75,'الحركات الشهرية'!$A$6:$A$1005,$C$3))</f>
        <v/>
      </c>
      <c r="AM75" s="116" t="str">
        <f aca="false">IF($B75="","",AL75*الموظفون!$R75/cfg_DAYS_M+S75)</f>
        <v/>
      </c>
      <c r="AN75" s="156" t="str">
        <f aca="false">IF($B75="","",SUMIFS('سجل الإجازات والحالات'!$AA$6:$AA$505,'سجل الإجازات والحالات'!$B$6:$B$505,$B75))</f>
        <v/>
      </c>
    </row>
    <row r="76" customFormat="false" ht="15" hidden="false" customHeight="false" outlineLevel="0" collapsed="false">
      <c r="A76" s="106" t="str">
        <f aca="false">IF($B76="","",الموظفون!$A76)</f>
        <v/>
      </c>
      <c r="B76" s="114" t="str">
        <f aca="false">IF(الموظفون!$B76="","",الموظفون!$B76)</f>
        <v/>
      </c>
      <c r="C76" s="114" t="str">
        <f aca="false">IF($B76="","",الموظفون!$C76)</f>
        <v/>
      </c>
      <c r="D76" s="114" t="str">
        <f aca="false">IF($B76="","",الموظفون!$F76)</f>
        <v/>
      </c>
      <c r="E76" s="114" t="str">
        <f aca="false">IF($B76="","",الموظفون!$E76)</f>
        <v/>
      </c>
      <c r="F76" s="114" t="str">
        <f aca="false">IF($B76="","",IF(AK76=0,IF(AND(الموظفون!$AE76&lt;&gt;"",الموظفون!$AE76&lt;$E$3),"✖ منتهي الخدمة","⏳ لم يباشر"),IF(S76&gt;0,"✈ راتب إجازة مقدم",IF(J76=0,"⛔ بدون راتب هذا الشهر",IF(I76&gt;0,"✈ خصم "&amp;ROUND(I76,2)&amp;" يوم بدون أجر",IF(AL76&gt;0,"🌴 إجازة سنوية "&amp;ROUND(AL76,2)&amp;" يوم",IF(H76&gt;0,"⚠ غياب "&amp;ROUND(H76,2)&amp;" يوم","✔ على رأس العمل")))))))</f>
        <v/>
      </c>
      <c r="G76" s="151" t="str">
        <f aca="false">IF($B76="","",IF(AK76&gt;=DAY($F$3),cfg_DAYS_M,MIN(AK76,cfg_DAYS_M)))</f>
        <v/>
      </c>
      <c r="H76" s="151" t="str">
        <f aca="false">IF($B76="","",SUMIFS('الحركات الشهرية'!$D$6:$D$1005,'الحركات الشهرية'!$B$6:$B$1005,$B76,'الحركات الشهرية'!$A$6:$A$1005,$C$3))</f>
        <v/>
      </c>
      <c r="I76" s="151" t="str">
        <f aca="false">IF($B76="","",MIN(G76,IF(AND(AK76&gt;0,AN76&gt;=AK76),G76,AN76)+SUMIFS('الحركات الشهرية'!$E$6:$E$1005,'الحركات الشهرية'!$B$6:$B$1005,$B76,'الحركات الشهرية'!$A$6:$A$1005,$C$3)))</f>
        <v/>
      </c>
      <c r="J76" s="151" t="str">
        <f aca="false">IF($B76="","",MAX(0,G76-H76-I76))</f>
        <v/>
      </c>
      <c r="K76" s="111" t="str">
        <f aca="false">IF($B76="","",الموظفون!$L76*$J76/cfg_DAYS_M)</f>
        <v/>
      </c>
      <c r="L76" s="111" t="str">
        <f aca="false">IF($B76="","",الموظفون!$M76*$J76/cfg_DAYS_M)</f>
        <v/>
      </c>
      <c r="M76" s="111" t="str">
        <f aca="false">IF($B76="","",الموظفون!$N76*$J76/cfg_DAYS_M)</f>
        <v/>
      </c>
      <c r="N76" s="111" t="str">
        <f aca="false">IF($B76="","",الموظفون!$O76*$J76/cfg_DAYS_M)</f>
        <v/>
      </c>
      <c r="O76" s="151" t="str">
        <f aca="false">IF($B76="","",SUMIFS('الحركات الشهرية'!$F$6:$F$1005,'الحركات الشهرية'!$B$6:$B$1005,$B76,'الحركات الشهرية'!$A$6:$A$1005,$C$3))</f>
        <v/>
      </c>
      <c r="P76" s="111" t="str">
        <f aca="false">IF($B76="","",O76*(الموظفون!$P76+الموظفون!$L76*cfg_OT_P)/cfg_DAYS_M/cfg_HRS)</f>
        <v/>
      </c>
      <c r="Q76" s="111" t="str">
        <f aca="false">IF($B76="","",SUMIFS('الحركات الشهرية'!$G$6:$G$1005,'الحركات الشهرية'!$B$6:$B$1005,$B76,'الحركات الشهرية'!$A$6:$A$1005,$C$3))</f>
        <v/>
      </c>
      <c r="R76" s="111" t="str">
        <f aca="false">IF($B76="","",SUMIFS('الحركات الشهرية'!$H$6:$H$1005,'الحركات الشهرية'!$B$6:$B$1005,$B76,'الحركات الشهرية'!$A$6:$A$1005,$C$3))</f>
        <v/>
      </c>
      <c r="S76" s="111" t="str">
        <f aca="false">IF($B76="","",SUMIFS('سجل الإجازات والحالات'!$N$6:$N$505,'سجل الإجازات والحالات'!$B$6:$B$505,$B76,'سجل الإجازات والحالات'!$O$6:$O$505,$C$3))</f>
        <v/>
      </c>
      <c r="T76" s="152" t="str">
        <f aca="false">IF($B76="","",SUM(K76:N76)+SUM(P76:S76))</f>
        <v/>
      </c>
      <c r="U76" s="111" t="str">
        <f aca="false">IF($B76="","",الموظفون!$S76*IF(E76="سعودي",cfg_G_SE,cfg_G_NE)*G76/cfg_DAYS_M)</f>
        <v/>
      </c>
      <c r="V76" s="111" t="str">
        <f aca="false">IF($B76="","",SUMIFS('الحركات الشهرية'!$I$6:$I$1005,'الحركات الشهرية'!$B$6:$B$1005,$B76,'الحركات الشهرية'!$A$6:$A$1005,$C$3))</f>
        <v/>
      </c>
      <c r="W76" s="111" t="str">
        <f aca="false">IF($B76="","",SUMIFS('الحركات الشهرية'!$J$6:$J$1005,'الحركات الشهرية'!$B$6:$B$1005,$B76,'الحركات الشهرية'!$A$6:$A$1005,$C$3))</f>
        <v/>
      </c>
      <c r="X76" s="111" t="str">
        <f aca="false">IF($B76="","",SUM(U76:W76))</f>
        <v/>
      </c>
      <c r="Y76" s="153" t="str">
        <f aca="false">IF($B76="","",T76-X76)</f>
        <v/>
      </c>
      <c r="Z76" s="111" t="str">
        <f aca="false">IF($B76="","",الموظفون!$S76*IF(E76="سعودي",cfg_G_SR,cfg_G_NR)*G76/cfg_DAYS_M)</f>
        <v/>
      </c>
      <c r="AA76" s="111" t="str">
        <f aca="false">IF($B76="","",الموظفون!$Q76*(cfg_EOS_R1*(MIN(AH76,cfg_EOS_TH)-MIN(AI76,cfg_EOS_TH))+cfg_EOS_R2*(MAX(AH76-cfg_EOS_TH,0)-MAX(AI76-cfg_EOS_TH,0))))</f>
        <v/>
      </c>
      <c r="AB76" s="111" t="str">
        <f aca="false">IF($B76="","",IF(الموظفون!$T76&lt;&gt;"",الموظفون!$T76,IF(AH76&gt;=cfg_LV_TH,cfg_LV_D2,cfg_LV_D1))/cfg_DAYS_Y*AJ76*الموظفون!$R76/cfg_DAYS_M)</f>
        <v/>
      </c>
      <c r="AC76" s="111" t="str">
        <f aca="false">IF($B76="","",IF(AND(الموظفون!$U76="نعم",N(الموظفون!$W76)&gt;0),الموظفون!$V76/الموظفون!$W76*12/cfg_DAYS_Y*AJ76,0))</f>
        <v/>
      </c>
      <c r="AD76" s="111" t="str">
        <f aca="false">IF($B76="","",(IF(الموظفون!$X76&lt;&gt;"",الموظفون!$X76,IF(الموظفون!$E76="غير سعودي",cfg_IQ,0))+IF(الموظفون!$Y76&lt;&gt;"",الموظفون!$Y76,IF(الموظفون!$E76="غير سعودي",cfg_WP,0)))/12*G76/cfg_DAYS_M)</f>
        <v/>
      </c>
      <c r="AE76" s="111" t="str">
        <f aca="false">IF($B76="","",IF(الموظفون!$Z76&lt;&gt;"",الموظفون!$Z76,cfg_MED)/12*G76/cfg_DAYS_M)</f>
        <v/>
      </c>
      <c r="AF76" s="111" t="str">
        <f aca="false">IF($B76="","",N(الموظفون!$AA76)/12*G76/cfg_DAYS_M)</f>
        <v/>
      </c>
      <c r="AG76" s="154" t="str">
        <f aca="false">IF($B76="","",T76+SUM(Z76:AF76))</f>
        <v/>
      </c>
      <c r="AH76" s="155" t="str">
        <f aca="false">IF($B76="","",MAX(0,IF(OR(الموظفون!$AE76="",الموظفون!$AE76&gt;$F$3),$F$3,الموظفون!$AE76)-الموظفون!$H76+1-SUMIFS('سجل الإجازات والحالات'!$AM$6:$AM$505,'سجل الإجازات والحالات'!$B$6:$B$505,$B76))/cfg_DAYS_Y)</f>
        <v/>
      </c>
      <c r="AI76" s="155" t="str">
        <f aca="false">IF($B76="","",MAX(0,IF(OR(الموظفون!$AE76="",الموظفون!$AE76&gt;($E$3-1)),($E$3-1),الموظفون!$AE76)-الموظفون!$H76+1-SUMIFS('سجل الإجازات والحالات'!$AL$6:$AL$505,'سجل الإجازات والحالات'!$B$6:$B$505,$B76))/cfg_DAYS_Y)</f>
        <v/>
      </c>
      <c r="AJ76" s="65" t="str">
        <f aca="false">IF($B76="","",MAX(0,AK76-(SUMIFS('سجل الإجازات والحالات'!$AM$6:$AM$505,'سجل الإجازات والحالات'!$B$6:$B$505,$B76)-SUMIFS('سجل الإجازات والحالات'!$AL$6:$AL$505,'سجل الإجازات والحالات'!$B$6:$B$505,$B76))))</f>
        <v/>
      </c>
      <c r="AK76" s="65" t="str">
        <f aca="false">IF($B76="","",MAX(0,IF(OR(الموظفون!$AE76="",الموظفون!$AE76&gt;$F$3),$F$3,الموظفون!$AE76)-MAX($E$3,الموظفون!$H76)+1))</f>
        <v/>
      </c>
      <c r="AL76" s="151" t="str">
        <f aca="false">IF($B76="","",SUMIFS('سجل الإجازات والحالات'!$AY$6:$AY$505,'سجل الإجازات والحالات'!$B$6:$B$505,$B76)+SUMIFS('الحركات الشهرية'!$K$6:$K$1005,'الحركات الشهرية'!$B$6:$B$1005,$B76,'الحركات الشهرية'!$A$6:$A$1005,$C$3))</f>
        <v/>
      </c>
      <c r="AM76" s="111" t="str">
        <f aca="false">IF($B76="","",AL76*الموظفون!$R76/cfg_DAYS_M+S76)</f>
        <v/>
      </c>
      <c r="AN76" s="151" t="str">
        <f aca="false">IF($B76="","",SUMIFS('سجل الإجازات والحالات'!$AA$6:$AA$505,'سجل الإجازات والحالات'!$B$6:$B$505,$B76))</f>
        <v/>
      </c>
    </row>
    <row r="77" customFormat="false" ht="15" hidden="false" customHeight="false" outlineLevel="0" collapsed="false">
      <c r="A77" s="115" t="str">
        <f aca="false">IF($B77="","",الموظفون!$A77)</f>
        <v/>
      </c>
      <c r="B77" s="117" t="str">
        <f aca="false">IF(الموظفون!$B77="","",الموظفون!$B77)</f>
        <v/>
      </c>
      <c r="C77" s="117" t="str">
        <f aca="false">IF($B77="","",الموظفون!$C77)</f>
        <v/>
      </c>
      <c r="D77" s="117" t="str">
        <f aca="false">IF($B77="","",الموظفون!$F77)</f>
        <v/>
      </c>
      <c r="E77" s="117" t="str">
        <f aca="false">IF($B77="","",الموظفون!$E77)</f>
        <v/>
      </c>
      <c r="F77" s="117" t="str">
        <f aca="false">IF($B77="","",IF(AK77=0,IF(AND(الموظفون!$AE77&lt;&gt;"",الموظفون!$AE77&lt;$E$3),"✖ منتهي الخدمة","⏳ لم يباشر"),IF(S77&gt;0,"✈ راتب إجازة مقدم",IF(J77=0,"⛔ بدون راتب هذا الشهر",IF(I77&gt;0,"✈ خصم "&amp;ROUND(I77,2)&amp;" يوم بدون أجر",IF(AL77&gt;0,"🌴 إجازة سنوية "&amp;ROUND(AL77,2)&amp;" يوم",IF(H77&gt;0,"⚠ غياب "&amp;ROUND(H77,2)&amp;" يوم","✔ على رأس العمل")))))))</f>
        <v/>
      </c>
      <c r="G77" s="156" t="str">
        <f aca="false">IF($B77="","",IF(AK77&gt;=DAY($F$3),cfg_DAYS_M,MIN(AK77,cfg_DAYS_M)))</f>
        <v/>
      </c>
      <c r="H77" s="156" t="str">
        <f aca="false">IF($B77="","",SUMIFS('الحركات الشهرية'!$D$6:$D$1005,'الحركات الشهرية'!$B$6:$B$1005,$B77,'الحركات الشهرية'!$A$6:$A$1005,$C$3))</f>
        <v/>
      </c>
      <c r="I77" s="156" t="str">
        <f aca="false">IF($B77="","",MIN(G77,IF(AND(AK77&gt;0,AN77&gt;=AK77),G77,AN77)+SUMIFS('الحركات الشهرية'!$E$6:$E$1005,'الحركات الشهرية'!$B$6:$B$1005,$B77,'الحركات الشهرية'!$A$6:$A$1005,$C$3)))</f>
        <v/>
      </c>
      <c r="J77" s="156" t="str">
        <f aca="false">IF($B77="","",MAX(0,G77-H77-I77))</f>
        <v/>
      </c>
      <c r="K77" s="116" t="str">
        <f aca="false">IF($B77="","",الموظفون!$L77*$J77/cfg_DAYS_M)</f>
        <v/>
      </c>
      <c r="L77" s="116" t="str">
        <f aca="false">IF($B77="","",الموظفون!$M77*$J77/cfg_DAYS_M)</f>
        <v/>
      </c>
      <c r="M77" s="116" t="str">
        <f aca="false">IF($B77="","",الموظفون!$N77*$J77/cfg_DAYS_M)</f>
        <v/>
      </c>
      <c r="N77" s="116" t="str">
        <f aca="false">IF($B77="","",الموظفون!$O77*$J77/cfg_DAYS_M)</f>
        <v/>
      </c>
      <c r="O77" s="156" t="str">
        <f aca="false">IF($B77="","",SUMIFS('الحركات الشهرية'!$F$6:$F$1005,'الحركات الشهرية'!$B$6:$B$1005,$B77,'الحركات الشهرية'!$A$6:$A$1005,$C$3))</f>
        <v/>
      </c>
      <c r="P77" s="116" t="str">
        <f aca="false">IF($B77="","",O77*(الموظفون!$P77+الموظفون!$L77*cfg_OT_P)/cfg_DAYS_M/cfg_HRS)</f>
        <v/>
      </c>
      <c r="Q77" s="116" t="str">
        <f aca="false">IF($B77="","",SUMIFS('الحركات الشهرية'!$G$6:$G$1005,'الحركات الشهرية'!$B$6:$B$1005,$B77,'الحركات الشهرية'!$A$6:$A$1005,$C$3))</f>
        <v/>
      </c>
      <c r="R77" s="116" t="str">
        <f aca="false">IF($B77="","",SUMIFS('الحركات الشهرية'!$H$6:$H$1005,'الحركات الشهرية'!$B$6:$B$1005,$B77,'الحركات الشهرية'!$A$6:$A$1005,$C$3))</f>
        <v/>
      </c>
      <c r="S77" s="116" t="str">
        <f aca="false">IF($B77="","",SUMIFS('سجل الإجازات والحالات'!$N$6:$N$505,'سجل الإجازات والحالات'!$B$6:$B$505,$B77,'سجل الإجازات والحالات'!$O$6:$O$505,$C$3))</f>
        <v/>
      </c>
      <c r="T77" s="157" t="str">
        <f aca="false">IF($B77="","",SUM(K77:N77)+SUM(P77:S77))</f>
        <v/>
      </c>
      <c r="U77" s="116" t="str">
        <f aca="false">IF($B77="","",الموظفون!$S77*IF(E77="سعودي",cfg_G_SE,cfg_G_NE)*G77/cfg_DAYS_M)</f>
        <v/>
      </c>
      <c r="V77" s="116" t="str">
        <f aca="false">IF($B77="","",SUMIFS('الحركات الشهرية'!$I$6:$I$1005,'الحركات الشهرية'!$B$6:$B$1005,$B77,'الحركات الشهرية'!$A$6:$A$1005,$C$3))</f>
        <v/>
      </c>
      <c r="W77" s="116" t="str">
        <f aca="false">IF($B77="","",SUMIFS('الحركات الشهرية'!$J$6:$J$1005,'الحركات الشهرية'!$B$6:$B$1005,$B77,'الحركات الشهرية'!$A$6:$A$1005,$C$3))</f>
        <v/>
      </c>
      <c r="X77" s="116" t="str">
        <f aca="false">IF($B77="","",SUM(U77:W77))</f>
        <v/>
      </c>
      <c r="Y77" s="158" t="str">
        <f aca="false">IF($B77="","",T77-X77)</f>
        <v/>
      </c>
      <c r="Z77" s="116" t="str">
        <f aca="false">IF($B77="","",الموظفون!$S77*IF(E77="سعودي",cfg_G_SR,cfg_G_NR)*G77/cfg_DAYS_M)</f>
        <v/>
      </c>
      <c r="AA77" s="116" t="str">
        <f aca="false">IF($B77="","",الموظفون!$Q77*(cfg_EOS_R1*(MIN(AH77,cfg_EOS_TH)-MIN(AI77,cfg_EOS_TH))+cfg_EOS_R2*(MAX(AH77-cfg_EOS_TH,0)-MAX(AI77-cfg_EOS_TH,0))))</f>
        <v/>
      </c>
      <c r="AB77" s="116" t="str">
        <f aca="false">IF($B77="","",IF(الموظفون!$T77&lt;&gt;"",الموظفون!$T77,IF(AH77&gt;=cfg_LV_TH,cfg_LV_D2,cfg_LV_D1))/cfg_DAYS_Y*AJ77*الموظفون!$R77/cfg_DAYS_M)</f>
        <v/>
      </c>
      <c r="AC77" s="116" t="str">
        <f aca="false">IF($B77="","",IF(AND(الموظفون!$U77="نعم",N(الموظفون!$W77)&gt;0),الموظفون!$V77/الموظفون!$W77*12/cfg_DAYS_Y*AJ77,0))</f>
        <v/>
      </c>
      <c r="AD77" s="116" t="str">
        <f aca="false">IF($B77="","",(IF(الموظفون!$X77&lt;&gt;"",الموظفون!$X77,IF(الموظفون!$E77="غير سعودي",cfg_IQ,0))+IF(الموظفون!$Y77&lt;&gt;"",الموظفون!$Y77,IF(الموظفون!$E77="غير سعودي",cfg_WP,0)))/12*G77/cfg_DAYS_M)</f>
        <v/>
      </c>
      <c r="AE77" s="116" t="str">
        <f aca="false">IF($B77="","",IF(الموظفون!$Z77&lt;&gt;"",الموظفون!$Z77,cfg_MED)/12*G77/cfg_DAYS_M)</f>
        <v/>
      </c>
      <c r="AF77" s="116" t="str">
        <f aca="false">IF($B77="","",N(الموظفون!$AA77)/12*G77/cfg_DAYS_M)</f>
        <v/>
      </c>
      <c r="AG77" s="159" t="str">
        <f aca="false">IF($B77="","",T77+SUM(Z77:AF77))</f>
        <v/>
      </c>
      <c r="AH77" s="160" t="str">
        <f aca="false">IF($B77="","",MAX(0,IF(OR(الموظفون!$AE77="",الموظفون!$AE77&gt;$F$3),$F$3,الموظفون!$AE77)-الموظفون!$H77+1-SUMIFS('سجل الإجازات والحالات'!$AM$6:$AM$505,'سجل الإجازات والحالات'!$B$6:$B$505,$B77))/cfg_DAYS_Y)</f>
        <v/>
      </c>
      <c r="AI77" s="160" t="str">
        <f aca="false">IF($B77="","",MAX(0,IF(OR(الموظفون!$AE77="",الموظفون!$AE77&gt;($E$3-1)),($E$3-1),الموظفون!$AE77)-الموظفون!$H77+1-SUMIFS('سجل الإجازات والحالات'!$AL$6:$AL$505,'سجل الإجازات والحالات'!$B$6:$B$505,$B77))/cfg_DAYS_Y)</f>
        <v/>
      </c>
      <c r="AJ77" s="133" t="str">
        <f aca="false">IF($B77="","",MAX(0,AK77-(SUMIFS('سجل الإجازات والحالات'!$AM$6:$AM$505,'سجل الإجازات والحالات'!$B$6:$B$505,$B77)-SUMIFS('سجل الإجازات والحالات'!$AL$6:$AL$505,'سجل الإجازات والحالات'!$B$6:$B$505,$B77))))</f>
        <v/>
      </c>
      <c r="AK77" s="133" t="str">
        <f aca="false">IF($B77="","",MAX(0,IF(OR(الموظفون!$AE77="",الموظفون!$AE77&gt;$F$3),$F$3,الموظفون!$AE77)-MAX($E$3,الموظفون!$H77)+1))</f>
        <v/>
      </c>
      <c r="AL77" s="156" t="str">
        <f aca="false">IF($B77="","",SUMIFS('سجل الإجازات والحالات'!$AY$6:$AY$505,'سجل الإجازات والحالات'!$B$6:$B$505,$B77)+SUMIFS('الحركات الشهرية'!$K$6:$K$1005,'الحركات الشهرية'!$B$6:$B$1005,$B77,'الحركات الشهرية'!$A$6:$A$1005,$C$3))</f>
        <v/>
      </c>
      <c r="AM77" s="116" t="str">
        <f aca="false">IF($B77="","",AL77*الموظفون!$R77/cfg_DAYS_M+S77)</f>
        <v/>
      </c>
      <c r="AN77" s="156" t="str">
        <f aca="false">IF($B77="","",SUMIFS('سجل الإجازات والحالات'!$AA$6:$AA$505,'سجل الإجازات والحالات'!$B$6:$B$505,$B77))</f>
        <v/>
      </c>
    </row>
    <row r="78" customFormat="false" ht="15" hidden="false" customHeight="false" outlineLevel="0" collapsed="false">
      <c r="A78" s="106" t="str">
        <f aca="false">IF($B78="","",الموظفون!$A78)</f>
        <v/>
      </c>
      <c r="B78" s="114" t="str">
        <f aca="false">IF(الموظفون!$B78="","",الموظفون!$B78)</f>
        <v/>
      </c>
      <c r="C78" s="114" t="str">
        <f aca="false">IF($B78="","",الموظفون!$C78)</f>
        <v/>
      </c>
      <c r="D78" s="114" t="str">
        <f aca="false">IF($B78="","",الموظفون!$F78)</f>
        <v/>
      </c>
      <c r="E78" s="114" t="str">
        <f aca="false">IF($B78="","",الموظفون!$E78)</f>
        <v/>
      </c>
      <c r="F78" s="114" t="str">
        <f aca="false">IF($B78="","",IF(AK78=0,IF(AND(الموظفون!$AE78&lt;&gt;"",الموظفون!$AE78&lt;$E$3),"✖ منتهي الخدمة","⏳ لم يباشر"),IF(S78&gt;0,"✈ راتب إجازة مقدم",IF(J78=0,"⛔ بدون راتب هذا الشهر",IF(I78&gt;0,"✈ خصم "&amp;ROUND(I78,2)&amp;" يوم بدون أجر",IF(AL78&gt;0,"🌴 إجازة سنوية "&amp;ROUND(AL78,2)&amp;" يوم",IF(H78&gt;0,"⚠ غياب "&amp;ROUND(H78,2)&amp;" يوم","✔ على رأس العمل")))))))</f>
        <v/>
      </c>
      <c r="G78" s="151" t="str">
        <f aca="false">IF($B78="","",IF(AK78&gt;=DAY($F$3),cfg_DAYS_M,MIN(AK78,cfg_DAYS_M)))</f>
        <v/>
      </c>
      <c r="H78" s="151" t="str">
        <f aca="false">IF($B78="","",SUMIFS('الحركات الشهرية'!$D$6:$D$1005,'الحركات الشهرية'!$B$6:$B$1005,$B78,'الحركات الشهرية'!$A$6:$A$1005,$C$3))</f>
        <v/>
      </c>
      <c r="I78" s="151" t="str">
        <f aca="false">IF($B78="","",MIN(G78,IF(AND(AK78&gt;0,AN78&gt;=AK78),G78,AN78)+SUMIFS('الحركات الشهرية'!$E$6:$E$1005,'الحركات الشهرية'!$B$6:$B$1005,$B78,'الحركات الشهرية'!$A$6:$A$1005,$C$3)))</f>
        <v/>
      </c>
      <c r="J78" s="151" t="str">
        <f aca="false">IF($B78="","",MAX(0,G78-H78-I78))</f>
        <v/>
      </c>
      <c r="K78" s="111" t="str">
        <f aca="false">IF($B78="","",الموظفون!$L78*$J78/cfg_DAYS_M)</f>
        <v/>
      </c>
      <c r="L78" s="111" t="str">
        <f aca="false">IF($B78="","",الموظفون!$M78*$J78/cfg_DAYS_M)</f>
        <v/>
      </c>
      <c r="M78" s="111" t="str">
        <f aca="false">IF($B78="","",الموظفون!$N78*$J78/cfg_DAYS_M)</f>
        <v/>
      </c>
      <c r="N78" s="111" t="str">
        <f aca="false">IF($B78="","",الموظفون!$O78*$J78/cfg_DAYS_M)</f>
        <v/>
      </c>
      <c r="O78" s="151" t="str">
        <f aca="false">IF($B78="","",SUMIFS('الحركات الشهرية'!$F$6:$F$1005,'الحركات الشهرية'!$B$6:$B$1005,$B78,'الحركات الشهرية'!$A$6:$A$1005,$C$3))</f>
        <v/>
      </c>
      <c r="P78" s="111" t="str">
        <f aca="false">IF($B78="","",O78*(الموظفون!$P78+الموظفون!$L78*cfg_OT_P)/cfg_DAYS_M/cfg_HRS)</f>
        <v/>
      </c>
      <c r="Q78" s="111" t="str">
        <f aca="false">IF($B78="","",SUMIFS('الحركات الشهرية'!$G$6:$G$1005,'الحركات الشهرية'!$B$6:$B$1005,$B78,'الحركات الشهرية'!$A$6:$A$1005,$C$3))</f>
        <v/>
      </c>
      <c r="R78" s="111" t="str">
        <f aca="false">IF($B78="","",SUMIFS('الحركات الشهرية'!$H$6:$H$1005,'الحركات الشهرية'!$B$6:$B$1005,$B78,'الحركات الشهرية'!$A$6:$A$1005,$C$3))</f>
        <v/>
      </c>
      <c r="S78" s="111" t="str">
        <f aca="false">IF($B78="","",SUMIFS('سجل الإجازات والحالات'!$N$6:$N$505,'سجل الإجازات والحالات'!$B$6:$B$505,$B78,'سجل الإجازات والحالات'!$O$6:$O$505,$C$3))</f>
        <v/>
      </c>
      <c r="T78" s="152" t="str">
        <f aca="false">IF($B78="","",SUM(K78:N78)+SUM(P78:S78))</f>
        <v/>
      </c>
      <c r="U78" s="111" t="str">
        <f aca="false">IF($B78="","",الموظفون!$S78*IF(E78="سعودي",cfg_G_SE,cfg_G_NE)*G78/cfg_DAYS_M)</f>
        <v/>
      </c>
      <c r="V78" s="111" t="str">
        <f aca="false">IF($B78="","",SUMIFS('الحركات الشهرية'!$I$6:$I$1005,'الحركات الشهرية'!$B$6:$B$1005,$B78,'الحركات الشهرية'!$A$6:$A$1005,$C$3))</f>
        <v/>
      </c>
      <c r="W78" s="111" t="str">
        <f aca="false">IF($B78="","",SUMIFS('الحركات الشهرية'!$J$6:$J$1005,'الحركات الشهرية'!$B$6:$B$1005,$B78,'الحركات الشهرية'!$A$6:$A$1005,$C$3))</f>
        <v/>
      </c>
      <c r="X78" s="111" t="str">
        <f aca="false">IF($B78="","",SUM(U78:W78))</f>
        <v/>
      </c>
      <c r="Y78" s="153" t="str">
        <f aca="false">IF($B78="","",T78-X78)</f>
        <v/>
      </c>
      <c r="Z78" s="111" t="str">
        <f aca="false">IF($B78="","",الموظفون!$S78*IF(E78="سعودي",cfg_G_SR,cfg_G_NR)*G78/cfg_DAYS_M)</f>
        <v/>
      </c>
      <c r="AA78" s="111" t="str">
        <f aca="false">IF($B78="","",الموظفون!$Q78*(cfg_EOS_R1*(MIN(AH78,cfg_EOS_TH)-MIN(AI78,cfg_EOS_TH))+cfg_EOS_R2*(MAX(AH78-cfg_EOS_TH,0)-MAX(AI78-cfg_EOS_TH,0))))</f>
        <v/>
      </c>
      <c r="AB78" s="111" t="str">
        <f aca="false">IF($B78="","",IF(الموظفون!$T78&lt;&gt;"",الموظفون!$T78,IF(AH78&gt;=cfg_LV_TH,cfg_LV_D2,cfg_LV_D1))/cfg_DAYS_Y*AJ78*الموظفون!$R78/cfg_DAYS_M)</f>
        <v/>
      </c>
      <c r="AC78" s="111" t="str">
        <f aca="false">IF($B78="","",IF(AND(الموظفون!$U78="نعم",N(الموظفون!$W78)&gt;0),الموظفون!$V78/الموظفون!$W78*12/cfg_DAYS_Y*AJ78,0))</f>
        <v/>
      </c>
      <c r="AD78" s="111" t="str">
        <f aca="false">IF($B78="","",(IF(الموظفون!$X78&lt;&gt;"",الموظفون!$X78,IF(الموظفون!$E78="غير سعودي",cfg_IQ,0))+IF(الموظفون!$Y78&lt;&gt;"",الموظفون!$Y78,IF(الموظفون!$E78="غير سعودي",cfg_WP,0)))/12*G78/cfg_DAYS_M)</f>
        <v/>
      </c>
      <c r="AE78" s="111" t="str">
        <f aca="false">IF($B78="","",IF(الموظفون!$Z78&lt;&gt;"",الموظفون!$Z78,cfg_MED)/12*G78/cfg_DAYS_M)</f>
        <v/>
      </c>
      <c r="AF78" s="111" t="str">
        <f aca="false">IF($B78="","",N(الموظفون!$AA78)/12*G78/cfg_DAYS_M)</f>
        <v/>
      </c>
      <c r="AG78" s="154" t="str">
        <f aca="false">IF($B78="","",T78+SUM(Z78:AF78))</f>
        <v/>
      </c>
      <c r="AH78" s="155" t="str">
        <f aca="false">IF($B78="","",MAX(0,IF(OR(الموظفون!$AE78="",الموظفون!$AE78&gt;$F$3),$F$3,الموظفون!$AE78)-الموظفون!$H78+1-SUMIFS('سجل الإجازات والحالات'!$AM$6:$AM$505,'سجل الإجازات والحالات'!$B$6:$B$505,$B78))/cfg_DAYS_Y)</f>
        <v/>
      </c>
      <c r="AI78" s="155" t="str">
        <f aca="false">IF($B78="","",MAX(0,IF(OR(الموظفون!$AE78="",الموظفون!$AE78&gt;($E$3-1)),($E$3-1),الموظفون!$AE78)-الموظفون!$H78+1-SUMIFS('سجل الإجازات والحالات'!$AL$6:$AL$505,'سجل الإجازات والحالات'!$B$6:$B$505,$B78))/cfg_DAYS_Y)</f>
        <v/>
      </c>
      <c r="AJ78" s="65" t="str">
        <f aca="false">IF($B78="","",MAX(0,AK78-(SUMIFS('سجل الإجازات والحالات'!$AM$6:$AM$505,'سجل الإجازات والحالات'!$B$6:$B$505,$B78)-SUMIFS('سجل الإجازات والحالات'!$AL$6:$AL$505,'سجل الإجازات والحالات'!$B$6:$B$505,$B78))))</f>
        <v/>
      </c>
      <c r="AK78" s="65" t="str">
        <f aca="false">IF($B78="","",MAX(0,IF(OR(الموظفون!$AE78="",الموظفون!$AE78&gt;$F$3),$F$3,الموظفون!$AE78)-MAX($E$3,الموظفون!$H78)+1))</f>
        <v/>
      </c>
      <c r="AL78" s="151" t="str">
        <f aca="false">IF($B78="","",SUMIFS('سجل الإجازات والحالات'!$AY$6:$AY$505,'سجل الإجازات والحالات'!$B$6:$B$505,$B78)+SUMIFS('الحركات الشهرية'!$K$6:$K$1005,'الحركات الشهرية'!$B$6:$B$1005,$B78,'الحركات الشهرية'!$A$6:$A$1005,$C$3))</f>
        <v/>
      </c>
      <c r="AM78" s="111" t="str">
        <f aca="false">IF($B78="","",AL78*الموظفون!$R78/cfg_DAYS_M+S78)</f>
        <v/>
      </c>
      <c r="AN78" s="151" t="str">
        <f aca="false">IF($B78="","",SUMIFS('سجل الإجازات والحالات'!$AA$6:$AA$505,'سجل الإجازات والحالات'!$B$6:$B$505,$B78))</f>
        <v/>
      </c>
    </row>
    <row r="79" customFormat="false" ht="15" hidden="false" customHeight="false" outlineLevel="0" collapsed="false">
      <c r="A79" s="115" t="str">
        <f aca="false">IF($B79="","",الموظفون!$A79)</f>
        <v/>
      </c>
      <c r="B79" s="117" t="str">
        <f aca="false">IF(الموظفون!$B79="","",الموظفون!$B79)</f>
        <v/>
      </c>
      <c r="C79" s="117" t="str">
        <f aca="false">IF($B79="","",الموظفون!$C79)</f>
        <v/>
      </c>
      <c r="D79" s="117" t="str">
        <f aca="false">IF($B79="","",الموظفون!$F79)</f>
        <v/>
      </c>
      <c r="E79" s="117" t="str">
        <f aca="false">IF($B79="","",الموظفون!$E79)</f>
        <v/>
      </c>
      <c r="F79" s="117" t="str">
        <f aca="false">IF($B79="","",IF(AK79=0,IF(AND(الموظفون!$AE79&lt;&gt;"",الموظفون!$AE79&lt;$E$3),"✖ منتهي الخدمة","⏳ لم يباشر"),IF(S79&gt;0,"✈ راتب إجازة مقدم",IF(J79=0,"⛔ بدون راتب هذا الشهر",IF(I79&gt;0,"✈ خصم "&amp;ROUND(I79,2)&amp;" يوم بدون أجر",IF(AL79&gt;0,"🌴 إجازة سنوية "&amp;ROUND(AL79,2)&amp;" يوم",IF(H79&gt;0,"⚠ غياب "&amp;ROUND(H79,2)&amp;" يوم","✔ على رأس العمل")))))))</f>
        <v/>
      </c>
      <c r="G79" s="156" t="str">
        <f aca="false">IF($B79="","",IF(AK79&gt;=DAY($F$3),cfg_DAYS_M,MIN(AK79,cfg_DAYS_M)))</f>
        <v/>
      </c>
      <c r="H79" s="156" t="str">
        <f aca="false">IF($B79="","",SUMIFS('الحركات الشهرية'!$D$6:$D$1005,'الحركات الشهرية'!$B$6:$B$1005,$B79,'الحركات الشهرية'!$A$6:$A$1005,$C$3))</f>
        <v/>
      </c>
      <c r="I79" s="156" t="str">
        <f aca="false">IF($B79="","",MIN(G79,IF(AND(AK79&gt;0,AN79&gt;=AK79),G79,AN79)+SUMIFS('الحركات الشهرية'!$E$6:$E$1005,'الحركات الشهرية'!$B$6:$B$1005,$B79,'الحركات الشهرية'!$A$6:$A$1005,$C$3)))</f>
        <v/>
      </c>
      <c r="J79" s="156" t="str">
        <f aca="false">IF($B79="","",MAX(0,G79-H79-I79))</f>
        <v/>
      </c>
      <c r="K79" s="116" t="str">
        <f aca="false">IF($B79="","",الموظفون!$L79*$J79/cfg_DAYS_M)</f>
        <v/>
      </c>
      <c r="L79" s="116" t="str">
        <f aca="false">IF($B79="","",الموظفون!$M79*$J79/cfg_DAYS_M)</f>
        <v/>
      </c>
      <c r="M79" s="116" t="str">
        <f aca="false">IF($B79="","",الموظفون!$N79*$J79/cfg_DAYS_M)</f>
        <v/>
      </c>
      <c r="N79" s="116" t="str">
        <f aca="false">IF($B79="","",الموظفون!$O79*$J79/cfg_DAYS_M)</f>
        <v/>
      </c>
      <c r="O79" s="156" t="str">
        <f aca="false">IF($B79="","",SUMIFS('الحركات الشهرية'!$F$6:$F$1005,'الحركات الشهرية'!$B$6:$B$1005,$B79,'الحركات الشهرية'!$A$6:$A$1005,$C$3))</f>
        <v/>
      </c>
      <c r="P79" s="116" t="str">
        <f aca="false">IF($B79="","",O79*(الموظفون!$P79+الموظفون!$L79*cfg_OT_P)/cfg_DAYS_M/cfg_HRS)</f>
        <v/>
      </c>
      <c r="Q79" s="116" t="str">
        <f aca="false">IF($B79="","",SUMIFS('الحركات الشهرية'!$G$6:$G$1005,'الحركات الشهرية'!$B$6:$B$1005,$B79,'الحركات الشهرية'!$A$6:$A$1005,$C$3))</f>
        <v/>
      </c>
      <c r="R79" s="116" t="str">
        <f aca="false">IF($B79="","",SUMIFS('الحركات الشهرية'!$H$6:$H$1005,'الحركات الشهرية'!$B$6:$B$1005,$B79,'الحركات الشهرية'!$A$6:$A$1005,$C$3))</f>
        <v/>
      </c>
      <c r="S79" s="116" t="str">
        <f aca="false">IF($B79="","",SUMIFS('سجل الإجازات والحالات'!$N$6:$N$505,'سجل الإجازات والحالات'!$B$6:$B$505,$B79,'سجل الإجازات والحالات'!$O$6:$O$505,$C$3))</f>
        <v/>
      </c>
      <c r="T79" s="157" t="str">
        <f aca="false">IF($B79="","",SUM(K79:N79)+SUM(P79:S79))</f>
        <v/>
      </c>
      <c r="U79" s="116" t="str">
        <f aca="false">IF($B79="","",الموظفون!$S79*IF(E79="سعودي",cfg_G_SE,cfg_G_NE)*G79/cfg_DAYS_M)</f>
        <v/>
      </c>
      <c r="V79" s="116" t="str">
        <f aca="false">IF($B79="","",SUMIFS('الحركات الشهرية'!$I$6:$I$1005,'الحركات الشهرية'!$B$6:$B$1005,$B79,'الحركات الشهرية'!$A$6:$A$1005,$C$3))</f>
        <v/>
      </c>
      <c r="W79" s="116" t="str">
        <f aca="false">IF($B79="","",SUMIFS('الحركات الشهرية'!$J$6:$J$1005,'الحركات الشهرية'!$B$6:$B$1005,$B79,'الحركات الشهرية'!$A$6:$A$1005,$C$3))</f>
        <v/>
      </c>
      <c r="X79" s="116" t="str">
        <f aca="false">IF($B79="","",SUM(U79:W79))</f>
        <v/>
      </c>
      <c r="Y79" s="158" t="str">
        <f aca="false">IF($B79="","",T79-X79)</f>
        <v/>
      </c>
      <c r="Z79" s="116" t="str">
        <f aca="false">IF($B79="","",الموظفون!$S79*IF(E79="سعودي",cfg_G_SR,cfg_G_NR)*G79/cfg_DAYS_M)</f>
        <v/>
      </c>
      <c r="AA79" s="116" t="str">
        <f aca="false">IF($B79="","",الموظفون!$Q79*(cfg_EOS_R1*(MIN(AH79,cfg_EOS_TH)-MIN(AI79,cfg_EOS_TH))+cfg_EOS_R2*(MAX(AH79-cfg_EOS_TH,0)-MAX(AI79-cfg_EOS_TH,0))))</f>
        <v/>
      </c>
      <c r="AB79" s="116" t="str">
        <f aca="false">IF($B79="","",IF(الموظفون!$T79&lt;&gt;"",الموظفون!$T79,IF(AH79&gt;=cfg_LV_TH,cfg_LV_D2,cfg_LV_D1))/cfg_DAYS_Y*AJ79*الموظفون!$R79/cfg_DAYS_M)</f>
        <v/>
      </c>
      <c r="AC79" s="116" t="str">
        <f aca="false">IF($B79="","",IF(AND(الموظفون!$U79="نعم",N(الموظفون!$W79)&gt;0),الموظفون!$V79/الموظفون!$W79*12/cfg_DAYS_Y*AJ79,0))</f>
        <v/>
      </c>
      <c r="AD79" s="116" t="str">
        <f aca="false">IF($B79="","",(IF(الموظفون!$X79&lt;&gt;"",الموظفون!$X79,IF(الموظفون!$E79="غير سعودي",cfg_IQ,0))+IF(الموظفون!$Y79&lt;&gt;"",الموظفون!$Y79,IF(الموظفون!$E79="غير سعودي",cfg_WP,0)))/12*G79/cfg_DAYS_M)</f>
        <v/>
      </c>
      <c r="AE79" s="116" t="str">
        <f aca="false">IF($B79="","",IF(الموظفون!$Z79&lt;&gt;"",الموظفون!$Z79,cfg_MED)/12*G79/cfg_DAYS_M)</f>
        <v/>
      </c>
      <c r="AF79" s="116" t="str">
        <f aca="false">IF($B79="","",N(الموظفون!$AA79)/12*G79/cfg_DAYS_M)</f>
        <v/>
      </c>
      <c r="AG79" s="159" t="str">
        <f aca="false">IF($B79="","",T79+SUM(Z79:AF79))</f>
        <v/>
      </c>
      <c r="AH79" s="160" t="str">
        <f aca="false">IF($B79="","",MAX(0,IF(OR(الموظفون!$AE79="",الموظفون!$AE79&gt;$F$3),$F$3,الموظفون!$AE79)-الموظفون!$H79+1-SUMIFS('سجل الإجازات والحالات'!$AM$6:$AM$505,'سجل الإجازات والحالات'!$B$6:$B$505,$B79))/cfg_DAYS_Y)</f>
        <v/>
      </c>
      <c r="AI79" s="160" t="str">
        <f aca="false">IF($B79="","",MAX(0,IF(OR(الموظفون!$AE79="",الموظفون!$AE79&gt;($E$3-1)),($E$3-1),الموظفون!$AE79)-الموظفون!$H79+1-SUMIFS('سجل الإجازات والحالات'!$AL$6:$AL$505,'سجل الإجازات والحالات'!$B$6:$B$505,$B79))/cfg_DAYS_Y)</f>
        <v/>
      </c>
      <c r="AJ79" s="133" t="str">
        <f aca="false">IF($B79="","",MAX(0,AK79-(SUMIFS('سجل الإجازات والحالات'!$AM$6:$AM$505,'سجل الإجازات والحالات'!$B$6:$B$505,$B79)-SUMIFS('سجل الإجازات والحالات'!$AL$6:$AL$505,'سجل الإجازات والحالات'!$B$6:$B$505,$B79))))</f>
        <v/>
      </c>
      <c r="AK79" s="133" t="str">
        <f aca="false">IF($B79="","",MAX(0,IF(OR(الموظفون!$AE79="",الموظفون!$AE79&gt;$F$3),$F$3,الموظفون!$AE79)-MAX($E$3,الموظفون!$H79)+1))</f>
        <v/>
      </c>
      <c r="AL79" s="156" t="str">
        <f aca="false">IF($B79="","",SUMIFS('سجل الإجازات والحالات'!$AY$6:$AY$505,'سجل الإجازات والحالات'!$B$6:$B$505,$B79)+SUMIFS('الحركات الشهرية'!$K$6:$K$1005,'الحركات الشهرية'!$B$6:$B$1005,$B79,'الحركات الشهرية'!$A$6:$A$1005,$C$3))</f>
        <v/>
      </c>
      <c r="AM79" s="116" t="str">
        <f aca="false">IF($B79="","",AL79*الموظفون!$R79/cfg_DAYS_M+S79)</f>
        <v/>
      </c>
      <c r="AN79" s="156" t="str">
        <f aca="false">IF($B79="","",SUMIFS('سجل الإجازات والحالات'!$AA$6:$AA$505,'سجل الإجازات والحالات'!$B$6:$B$505,$B79))</f>
        <v/>
      </c>
    </row>
    <row r="80" customFormat="false" ht="15" hidden="false" customHeight="false" outlineLevel="0" collapsed="false">
      <c r="A80" s="106" t="str">
        <f aca="false">IF($B80="","",الموظفون!$A80)</f>
        <v/>
      </c>
      <c r="B80" s="114" t="str">
        <f aca="false">IF(الموظفون!$B80="","",الموظفون!$B80)</f>
        <v/>
      </c>
      <c r="C80" s="114" t="str">
        <f aca="false">IF($B80="","",الموظفون!$C80)</f>
        <v/>
      </c>
      <c r="D80" s="114" t="str">
        <f aca="false">IF($B80="","",الموظفون!$F80)</f>
        <v/>
      </c>
      <c r="E80" s="114" t="str">
        <f aca="false">IF($B80="","",الموظفون!$E80)</f>
        <v/>
      </c>
      <c r="F80" s="114" t="str">
        <f aca="false">IF($B80="","",IF(AK80=0,IF(AND(الموظفون!$AE80&lt;&gt;"",الموظفون!$AE80&lt;$E$3),"✖ منتهي الخدمة","⏳ لم يباشر"),IF(S80&gt;0,"✈ راتب إجازة مقدم",IF(J80=0,"⛔ بدون راتب هذا الشهر",IF(I80&gt;0,"✈ خصم "&amp;ROUND(I80,2)&amp;" يوم بدون أجر",IF(AL80&gt;0,"🌴 إجازة سنوية "&amp;ROUND(AL80,2)&amp;" يوم",IF(H80&gt;0,"⚠ غياب "&amp;ROUND(H80,2)&amp;" يوم","✔ على رأس العمل")))))))</f>
        <v/>
      </c>
      <c r="G80" s="151" t="str">
        <f aca="false">IF($B80="","",IF(AK80&gt;=DAY($F$3),cfg_DAYS_M,MIN(AK80,cfg_DAYS_M)))</f>
        <v/>
      </c>
      <c r="H80" s="151" t="str">
        <f aca="false">IF($B80="","",SUMIFS('الحركات الشهرية'!$D$6:$D$1005,'الحركات الشهرية'!$B$6:$B$1005,$B80,'الحركات الشهرية'!$A$6:$A$1005,$C$3))</f>
        <v/>
      </c>
      <c r="I80" s="151" t="str">
        <f aca="false">IF($B80="","",MIN(G80,IF(AND(AK80&gt;0,AN80&gt;=AK80),G80,AN80)+SUMIFS('الحركات الشهرية'!$E$6:$E$1005,'الحركات الشهرية'!$B$6:$B$1005,$B80,'الحركات الشهرية'!$A$6:$A$1005,$C$3)))</f>
        <v/>
      </c>
      <c r="J80" s="151" t="str">
        <f aca="false">IF($B80="","",MAX(0,G80-H80-I80))</f>
        <v/>
      </c>
      <c r="K80" s="111" t="str">
        <f aca="false">IF($B80="","",الموظفون!$L80*$J80/cfg_DAYS_M)</f>
        <v/>
      </c>
      <c r="L80" s="111" t="str">
        <f aca="false">IF($B80="","",الموظفون!$M80*$J80/cfg_DAYS_M)</f>
        <v/>
      </c>
      <c r="M80" s="111" t="str">
        <f aca="false">IF($B80="","",الموظفون!$N80*$J80/cfg_DAYS_M)</f>
        <v/>
      </c>
      <c r="N80" s="111" t="str">
        <f aca="false">IF($B80="","",الموظفون!$O80*$J80/cfg_DAYS_M)</f>
        <v/>
      </c>
      <c r="O80" s="151" t="str">
        <f aca="false">IF($B80="","",SUMIFS('الحركات الشهرية'!$F$6:$F$1005,'الحركات الشهرية'!$B$6:$B$1005,$B80,'الحركات الشهرية'!$A$6:$A$1005,$C$3))</f>
        <v/>
      </c>
      <c r="P80" s="111" t="str">
        <f aca="false">IF($B80="","",O80*(الموظفون!$P80+الموظفون!$L80*cfg_OT_P)/cfg_DAYS_M/cfg_HRS)</f>
        <v/>
      </c>
      <c r="Q80" s="111" t="str">
        <f aca="false">IF($B80="","",SUMIFS('الحركات الشهرية'!$G$6:$G$1005,'الحركات الشهرية'!$B$6:$B$1005,$B80,'الحركات الشهرية'!$A$6:$A$1005,$C$3))</f>
        <v/>
      </c>
      <c r="R80" s="111" t="str">
        <f aca="false">IF($B80="","",SUMIFS('الحركات الشهرية'!$H$6:$H$1005,'الحركات الشهرية'!$B$6:$B$1005,$B80,'الحركات الشهرية'!$A$6:$A$1005,$C$3))</f>
        <v/>
      </c>
      <c r="S80" s="111" t="str">
        <f aca="false">IF($B80="","",SUMIFS('سجل الإجازات والحالات'!$N$6:$N$505,'سجل الإجازات والحالات'!$B$6:$B$505,$B80,'سجل الإجازات والحالات'!$O$6:$O$505,$C$3))</f>
        <v/>
      </c>
      <c r="T80" s="152" t="str">
        <f aca="false">IF($B80="","",SUM(K80:N80)+SUM(P80:S80))</f>
        <v/>
      </c>
      <c r="U80" s="111" t="str">
        <f aca="false">IF($B80="","",الموظفون!$S80*IF(E80="سعودي",cfg_G_SE,cfg_G_NE)*G80/cfg_DAYS_M)</f>
        <v/>
      </c>
      <c r="V80" s="111" t="str">
        <f aca="false">IF($B80="","",SUMIFS('الحركات الشهرية'!$I$6:$I$1005,'الحركات الشهرية'!$B$6:$B$1005,$B80,'الحركات الشهرية'!$A$6:$A$1005,$C$3))</f>
        <v/>
      </c>
      <c r="W80" s="111" t="str">
        <f aca="false">IF($B80="","",SUMIFS('الحركات الشهرية'!$J$6:$J$1005,'الحركات الشهرية'!$B$6:$B$1005,$B80,'الحركات الشهرية'!$A$6:$A$1005,$C$3))</f>
        <v/>
      </c>
      <c r="X80" s="111" t="str">
        <f aca="false">IF($B80="","",SUM(U80:W80))</f>
        <v/>
      </c>
      <c r="Y80" s="153" t="str">
        <f aca="false">IF($B80="","",T80-X80)</f>
        <v/>
      </c>
      <c r="Z80" s="111" t="str">
        <f aca="false">IF($B80="","",الموظفون!$S80*IF(E80="سعودي",cfg_G_SR,cfg_G_NR)*G80/cfg_DAYS_M)</f>
        <v/>
      </c>
      <c r="AA80" s="111" t="str">
        <f aca="false">IF($B80="","",الموظفون!$Q80*(cfg_EOS_R1*(MIN(AH80,cfg_EOS_TH)-MIN(AI80,cfg_EOS_TH))+cfg_EOS_R2*(MAX(AH80-cfg_EOS_TH,0)-MAX(AI80-cfg_EOS_TH,0))))</f>
        <v/>
      </c>
      <c r="AB80" s="111" t="str">
        <f aca="false">IF($B80="","",IF(الموظفون!$T80&lt;&gt;"",الموظفون!$T80,IF(AH80&gt;=cfg_LV_TH,cfg_LV_D2,cfg_LV_D1))/cfg_DAYS_Y*AJ80*الموظفون!$R80/cfg_DAYS_M)</f>
        <v/>
      </c>
      <c r="AC80" s="111" t="str">
        <f aca="false">IF($B80="","",IF(AND(الموظفون!$U80="نعم",N(الموظفون!$W80)&gt;0),الموظفون!$V80/الموظفون!$W80*12/cfg_DAYS_Y*AJ80,0))</f>
        <v/>
      </c>
      <c r="AD80" s="111" t="str">
        <f aca="false">IF($B80="","",(IF(الموظفون!$X80&lt;&gt;"",الموظفون!$X80,IF(الموظفون!$E80="غير سعودي",cfg_IQ,0))+IF(الموظفون!$Y80&lt;&gt;"",الموظفون!$Y80,IF(الموظفون!$E80="غير سعودي",cfg_WP,0)))/12*G80/cfg_DAYS_M)</f>
        <v/>
      </c>
      <c r="AE80" s="111" t="str">
        <f aca="false">IF($B80="","",IF(الموظفون!$Z80&lt;&gt;"",الموظفون!$Z80,cfg_MED)/12*G80/cfg_DAYS_M)</f>
        <v/>
      </c>
      <c r="AF80" s="111" t="str">
        <f aca="false">IF($B80="","",N(الموظفون!$AA80)/12*G80/cfg_DAYS_M)</f>
        <v/>
      </c>
      <c r="AG80" s="154" t="str">
        <f aca="false">IF($B80="","",T80+SUM(Z80:AF80))</f>
        <v/>
      </c>
      <c r="AH80" s="155" t="str">
        <f aca="false">IF($B80="","",MAX(0,IF(OR(الموظفون!$AE80="",الموظفون!$AE80&gt;$F$3),$F$3,الموظفون!$AE80)-الموظفون!$H80+1-SUMIFS('سجل الإجازات والحالات'!$AM$6:$AM$505,'سجل الإجازات والحالات'!$B$6:$B$505,$B80))/cfg_DAYS_Y)</f>
        <v/>
      </c>
      <c r="AI80" s="155" t="str">
        <f aca="false">IF($B80="","",MAX(0,IF(OR(الموظفون!$AE80="",الموظفون!$AE80&gt;($E$3-1)),($E$3-1),الموظفون!$AE80)-الموظفون!$H80+1-SUMIFS('سجل الإجازات والحالات'!$AL$6:$AL$505,'سجل الإجازات والحالات'!$B$6:$B$505,$B80))/cfg_DAYS_Y)</f>
        <v/>
      </c>
      <c r="AJ80" s="65" t="str">
        <f aca="false">IF($B80="","",MAX(0,AK80-(SUMIFS('سجل الإجازات والحالات'!$AM$6:$AM$505,'سجل الإجازات والحالات'!$B$6:$B$505,$B80)-SUMIFS('سجل الإجازات والحالات'!$AL$6:$AL$505,'سجل الإجازات والحالات'!$B$6:$B$505,$B80))))</f>
        <v/>
      </c>
      <c r="AK80" s="65" t="str">
        <f aca="false">IF($B80="","",MAX(0,IF(OR(الموظفون!$AE80="",الموظفون!$AE80&gt;$F$3),$F$3,الموظفون!$AE80)-MAX($E$3,الموظفون!$H80)+1))</f>
        <v/>
      </c>
      <c r="AL80" s="151" t="str">
        <f aca="false">IF($B80="","",SUMIFS('سجل الإجازات والحالات'!$AY$6:$AY$505,'سجل الإجازات والحالات'!$B$6:$B$505,$B80)+SUMIFS('الحركات الشهرية'!$K$6:$K$1005,'الحركات الشهرية'!$B$6:$B$1005,$B80,'الحركات الشهرية'!$A$6:$A$1005,$C$3))</f>
        <v/>
      </c>
      <c r="AM80" s="111" t="str">
        <f aca="false">IF($B80="","",AL80*الموظفون!$R80/cfg_DAYS_M+S80)</f>
        <v/>
      </c>
      <c r="AN80" s="151" t="str">
        <f aca="false">IF($B80="","",SUMIFS('سجل الإجازات والحالات'!$AA$6:$AA$505,'سجل الإجازات والحالات'!$B$6:$B$505,$B80))</f>
        <v/>
      </c>
    </row>
    <row r="81" customFormat="false" ht="15" hidden="false" customHeight="false" outlineLevel="0" collapsed="false">
      <c r="A81" s="115" t="str">
        <f aca="false">IF($B81="","",الموظفون!$A81)</f>
        <v/>
      </c>
      <c r="B81" s="117" t="str">
        <f aca="false">IF(الموظفون!$B81="","",الموظفون!$B81)</f>
        <v/>
      </c>
      <c r="C81" s="117" t="str">
        <f aca="false">IF($B81="","",الموظفون!$C81)</f>
        <v/>
      </c>
      <c r="D81" s="117" t="str">
        <f aca="false">IF($B81="","",الموظفون!$F81)</f>
        <v/>
      </c>
      <c r="E81" s="117" t="str">
        <f aca="false">IF($B81="","",الموظفون!$E81)</f>
        <v/>
      </c>
      <c r="F81" s="117" t="str">
        <f aca="false">IF($B81="","",IF(AK81=0,IF(AND(الموظفون!$AE81&lt;&gt;"",الموظفون!$AE81&lt;$E$3),"✖ منتهي الخدمة","⏳ لم يباشر"),IF(S81&gt;0,"✈ راتب إجازة مقدم",IF(J81=0,"⛔ بدون راتب هذا الشهر",IF(I81&gt;0,"✈ خصم "&amp;ROUND(I81,2)&amp;" يوم بدون أجر",IF(AL81&gt;0,"🌴 إجازة سنوية "&amp;ROUND(AL81,2)&amp;" يوم",IF(H81&gt;0,"⚠ غياب "&amp;ROUND(H81,2)&amp;" يوم","✔ على رأس العمل")))))))</f>
        <v/>
      </c>
      <c r="G81" s="156" t="str">
        <f aca="false">IF($B81="","",IF(AK81&gt;=DAY($F$3),cfg_DAYS_M,MIN(AK81,cfg_DAYS_M)))</f>
        <v/>
      </c>
      <c r="H81" s="156" t="str">
        <f aca="false">IF($B81="","",SUMIFS('الحركات الشهرية'!$D$6:$D$1005,'الحركات الشهرية'!$B$6:$B$1005,$B81,'الحركات الشهرية'!$A$6:$A$1005,$C$3))</f>
        <v/>
      </c>
      <c r="I81" s="156" t="str">
        <f aca="false">IF($B81="","",MIN(G81,IF(AND(AK81&gt;0,AN81&gt;=AK81),G81,AN81)+SUMIFS('الحركات الشهرية'!$E$6:$E$1005,'الحركات الشهرية'!$B$6:$B$1005,$B81,'الحركات الشهرية'!$A$6:$A$1005,$C$3)))</f>
        <v/>
      </c>
      <c r="J81" s="156" t="str">
        <f aca="false">IF($B81="","",MAX(0,G81-H81-I81))</f>
        <v/>
      </c>
      <c r="K81" s="116" t="str">
        <f aca="false">IF($B81="","",الموظفون!$L81*$J81/cfg_DAYS_M)</f>
        <v/>
      </c>
      <c r="L81" s="116" t="str">
        <f aca="false">IF($B81="","",الموظفون!$M81*$J81/cfg_DAYS_M)</f>
        <v/>
      </c>
      <c r="M81" s="116" t="str">
        <f aca="false">IF($B81="","",الموظفون!$N81*$J81/cfg_DAYS_M)</f>
        <v/>
      </c>
      <c r="N81" s="116" t="str">
        <f aca="false">IF($B81="","",الموظفون!$O81*$J81/cfg_DAYS_M)</f>
        <v/>
      </c>
      <c r="O81" s="156" t="str">
        <f aca="false">IF($B81="","",SUMIFS('الحركات الشهرية'!$F$6:$F$1005,'الحركات الشهرية'!$B$6:$B$1005,$B81,'الحركات الشهرية'!$A$6:$A$1005,$C$3))</f>
        <v/>
      </c>
      <c r="P81" s="116" t="str">
        <f aca="false">IF($B81="","",O81*(الموظفون!$P81+الموظفون!$L81*cfg_OT_P)/cfg_DAYS_M/cfg_HRS)</f>
        <v/>
      </c>
      <c r="Q81" s="116" t="str">
        <f aca="false">IF($B81="","",SUMIFS('الحركات الشهرية'!$G$6:$G$1005,'الحركات الشهرية'!$B$6:$B$1005,$B81,'الحركات الشهرية'!$A$6:$A$1005,$C$3))</f>
        <v/>
      </c>
      <c r="R81" s="116" t="str">
        <f aca="false">IF($B81="","",SUMIFS('الحركات الشهرية'!$H$6:$H$1005,'الحركات الشهرية'!$B$6:$B$1005,$B81,'الحركات الشهرية'!$A$6:$A$1005,$C$3))</f>
        <v/>
      </c>
      <c r="S81" s="116" t="str">
        <f aca="false">IF($B81="","",SUMIFS('سجل الإجازات والحالات'!$N$6:$N$505,'سجل الإجازات والحالات'!$B$6:$B$505,$B81,'سجل الإجازات والحالات'!$O$6:$O$505,$C$3))</f>
        <v/>
      </c>
      <c r="T81" s="157" t="str">
        <f aca="false">IF($B81="","",SUM(K81:N81)+SUM(P81:S81))</f>
        <v/>
      </c>
      <c r="U81" s="116" t="str">
        <f aca="false">IF($B81="","",الموظفون!$S81*IF(E81="سعودي",cfg_G_SE,cfg_G_NE)*G81/cfg_DAYS_M)</f>
        <v/>
      </c>
      <c r="V81" s="116" t="str">
        <f aca="false">IF($B81="","",SUMIFS('الحركات الشهرية'!$I$6:$I$1005,'الحركات الشهرية'!$B$6:$B$1005,$B81,'الحركات الشهرية'!$A$6:$A$1005,$C$3))</f>
        <v/>
      </c>
      <c r="W81" s="116" t="str">
        <f aca="false">IF($B81="","",SUMIFS('الحركات الشهرية'!$J$6:$J$1005,'الحركات الشهرية'!$B$6:$B$1005,$B81,'الحركات الشهرية'!$A$6:$A$1005,$C$3))</f>
        <v/>
      </c>
      <c r="X81" s="116" t="str">
        <f aca="false">IF($B81="","",SUM(U81:W81))</f>
        <v/>
      </c>
      <c r="Y81" s="158" t="str">
        <f aca="false">IF($B81="","",T81-X81)</f>
        <v/>
      </c>
      <c r="Z81" s="116" t="str">
        <f aca="false">IF($B81="","",الموظفون!$S81*IF(E81="سعودي",cfg_G_SR,cfg_G_NR)*G81/cfg_DAYS_M)</f>
        <v/>
      </c>
      <c r="AA81" s="116" t="str">
        <f aca="false">IF($B81="","",الموظفون!$Q81*(cfg_EOS_R1*(MIN(AH81,cfg_EOS_TH)-MIN(AI81,cfg_EOS_TH))+cfg_EOS_R2*(MAX(AH81-cfg_EOS_TH,0)-MAX(AI81-cfg_EOS_TH,0))))</f>
        <v/>
      </c>
      <c r="AB81" s="116" t="str">
        <f aca="false">IF($B81="","",IF(الموظفون!$T81&lt;&gt;"",الموظفون!$T81,IF(AH81&gt;=cfg_LV_TH,cfg_LV_D2,cfg_LV_D1))/cfg_DAYS_Y*AJ81*الموظفون!$R81/cfg_DAYS_M)</f>
        <v/>
      </c>
      <c r="AC81" s="116" t="str">
        <f aca="false">IF($B81="","",IF(AND(الموظفون!$U81="نعم",N(الموظفون!$W81)&gt;0),الموظفون!$V81/الموظفون!$W81*12/cfg_DAYS_Y*AJ81,0))</f>
        <v/>
      </c>
      <c r="AD81" s="116" t="str">
        <f aca="false">IF($B81="","",(IF(الموظفون!$X81&lt;&gt;"",الموظفون!$X81,IF(الموظفون!$E81="غير سعودي",cfg_IQ,0))+IF(الموظفون!$Y81&lt;&gt;"",الموظفون!$Y81,IF(الموظفون!$E81="غير سعودي",cfg_WP,0)))/12*G81/cfg_DAYS_M)</f>
        <v/>
      </c>
      <c r="AE81" s="116" t="str">
        <f aca="false">IF($B81="","",IF(الموظفون!$Z81&lt;&gt;"",الموظفون!$Z81,cfg_MED)/12*G81/cfg_DAYS_M)</f>
        <v/>
      </c>
      <c r="AF81" s="116" t="str">
        <f aca="false">IF($B81="","",N(الموظفون!$AA81)/12*G81/cfg_DAYS_M)</f>
        <v/>
      </c>
      <c r="AG81" s="159" t="str">
        <f aca="false">IF($B81="","",T81+SUM(Z81:AF81))</f>
        <v/>
      </c>
      <c r="AH81" s="160" t="str">
        <f aca="false">IF($B81="","",MAX(0,IF(OR(الموظفون!$AE81="",الموظفون!$AE81&gt;$F$3),$F$3,الموظفون!$AE81)-الموظفون!$H81+1-SUMIFS('سجل الإجازات والحالات'!$AM$6:$AM$505,'سجل الإجازات والحالات'!$B$6:$B$505,$B81))/cfg_DAYS_Y)</f>
        <v/>
      </c>
      <c r="AI81" s="160" t="str">
        <f aca="false">IF($B81="","",MAX(0,IF(OR(الموظفون!$AE81="",الموظفون!$AE81&gt;($E$3-1)),($E$3-1),الموظفون!$AE81)-الموظفون!$H81+1-SUMIFS('سجل الإجازات والحالات'!$AL$6:$AL$505,'سجل الإجازات والحالات'!$B$6:$B$505,$B81))/cfg_DAYS_Y)</f>
        <v/>
      </c>
      <c r="AJ81" s="133" t="str">
        <f aca="false">IF($B81="","",MAX(0,AK81-(SUMIFS('سجل الإجازات والحالات'!$AM$6:$AM$505,'سجل الإجازات والحالات'!$B$6:$B$505,$B81)-SUMIFS('سجل الإجازات والحالات'!$AL$6:$AL$505,'سجل الإجازات والحالات'!$B$6:$B$505,$B81))))</f>
        <v/>
      </c>
      <c r="AK81" s="133" t="str">
        <f aca="false">IF($B81="","",MAX(0,IF(OR(الموظفون!$AE81="",الموظفون!$AE81&gt;$F$3),$F$3,الموظفون!$AE81)-MAX($E$3,الموظفون!$H81)+1))</f>
        <v/>
      </c>
      <c r="AL81" s="156" t="str">
        <f aca="false">IF($B81="","",SUMIFS('سجل الإجازات والحالات'!$AY$6:$AY$505,'سجل الإجازات والحالات'!$B$6:$B$505,$B81)+SUMIFS('الحركات الشهرية'!$K$6:$K$1005,'الحركات الشهرية'!$B$6:$B$1005,$B81,'الحركات الشهرية'!$A$6:$A$1005,$C$3))</f>
        <v/>
      </c>
      <c r="AM81" s="116" t="str">
        <f aca="false">IF($B81="","",AL81*الموظفون!$R81/cfg_DAYS_M+S81)</f>
        <v/>
      </c>
      <c r="AN81" s="156" t="str">
        <f aca="false">IF($B81="","",SUMIFS('سجل الإجازات والحالات'!$AA$6:$AA$505,'سجل الإجازات والحالات'!$B$6:$B$505,$B81))</f>
        <v/>
      </c>
    </row>
    <row r="82" customFormat="false" ht="15" hidden="false" customHeight="false" outlineLevel="0" collapsed="false">
      <c r="A82" s="106" t="str">
        <f aca="false">IF($B82="","",الموظفون!$A82)</f>
        <v/>
      </c>
      <c r="B82" s="114" t="str">
        <f aca="false">IF(الموظفون!$B82="","",الموظفون!$B82)</f>
        <v/>
      </c>
      <c r="C82" s="114" t="str">
        <f aca="false">IF($B82="","",الموظفون!$C82)</f>
        <v/>
      </c>
      <c r="D82" s="114" t="str">
        <f aca="false">IF($B82="","",الموظفون!$F82)</f>
        <v/>
      </c>
      <c r="E82" s="114" t="str">
        <f aca="false">IF($B82="","",الموظفون!$E82)</f>
        <v/>
      </c>
      <c r="F82" s="114" t="str">
        <f aca="false">IF($B82="","",IF(AK82=0,IF(AND(الموظفون!$AE82&lt;&gt;"",الموظفون!$AE82&lt;$E$3),"✖ منتهي الخدمة","⏳ لم يباشر"),IF(S82&gt;0,"✈ راتب إجازة مقدم",IF(J82=0,"⛔ بدون راتب هذا الشهر",IF(I82&gt;0,"✈ خصم "&amp;ROUND(I82,2)&amp;" يوم بدون أجر",IF(AL82&gt;0,"🌴 إجازة سنوية "&amp;ROUND(AL82,2)&amp;" يوم",IF(H82&gt;0,"⚠ غياب "&amp;ROUND(H82,2)&amp;" يوم","✔ على رأس العمل")))))))</f>
        <v/>
      </c>
      <c r="G82" s="151" t="str">
        <f aca="false">IF($B82="","",IF(AK82&gt;=DAY($F$3),cfg_DAYS_M,MIN(AK82,cfg_DAYS_M)))</f>
        <v/>
      </c>
      <c r="H82" s="151" t="str">
        <f aca="false">IF($B82="","",SUMIFS('الحركات الشهرية'!$D$6:$D$1005,'الحركات الشهرية'!$B$6:$B$1005,$B82,'الحركات الشهرية'!$A$6:$A$1005,$C$3))</f>
        <v/>
      </c>
      <c r="I82" s="151" t="str">
        <f aca="false">IF($B82="","",MIN(G82,IF(AND(AK82&gt;0,AN82&gt;=AK82),G82,AN82)+SUMIFS('الحركات الشهرية'!$E$6:$E$1005,'الحركات الشهرية'!$B$6:$B$1005,$B82,'الحركات الشهرية'!$A$6:$A$1005,$C$3)))</f>
        <v/>
      </c>
      <c r="J82" s="151" t="str">
        <f aca="false">IF($B82="","",MAX(0,G82-H82-I82))</f>
        <v/>
      </c>
      <c r="K82" s="111" t="str">
        <f aca="false">IF($B82="","",الموظفون!$L82*$J82/cfg_DAYS_M)</f>
        <v/>
      </c>
      <c r="L82" s="111" t="str">
        <f aca="false">IF($B82="","",الموظفون!$M82*$J82/cfg_DAYS_M)</f>
        <v/>
      </c>
      <c r="M82" s="111" t="str">
        <f aca="false">IF($B82="","",الموظفون!$N82*$J82/cfg_DAYS_M)</f>
        <v/>
      </c>
      <c r="N82" s="111" t="str">
        <f aca="false">IF($B82="","",الموظفون!$O82*$J82/cfg_DAYS_M)</f>
        <v/>
      </c>
      <c r="O82" s="151" t="str">
        <f aca="false">IF($B82="","",SUMIFS('الحركات الشهرية'!$F$6:$F$1005,'الحركات الشهرية'!$B$6:$B$1005,$B82,'الحركات الشهرية'!$A$6:$A$1005,$C$3))</f>
        <v/>
      </c>
      <c r="P82" s="111" t="str">
        <f aca="false">IF($B82="","",O82*(الموظفون!$P82+الموظفون!$L82*cfg_OT_P)/cfg_DAYS_M/cfg_HRS)</f>
        <v/>
      </c>
      <c r="Q82" s="111" t="str">
        <f aca="false">IF($B82="","",SUMIFS('الحركات الشهرية'!$G$6:$G$1005,'الحركات الشهرية'!$B$6:$B$1005,$B82,'الحركات الشهرية'!$A$6:$A$1005,$C$3))</f>
        <v/>
      </c>
      <c r="R82" s="111" t="str">
        <f aca="false">IF($B82="","",SUMIFS('الحركات الشهرية'!$H$6:$H$1005,'الحركات الشهرية'!$B$6:$B$1005,$B82,'الحركات الشهرية'!$A$6:$A$1005,$C$3))</f>
        <v/>
      </c>
      <c r="S82" s="111" t="str">
        <f aca="false">IF($B82="","",SUMIFS('سجل الإجازات والحالات'!$N$6:$N$505,'سجل الإجازات والحالات'!$B$6:$B$505,$B82,'سجل الإجازات والحالات'!$O$6:$O$505,$C$3))</f>
        <v/>
      </c>
      <c r="T82" s="152" t="str">
        <f aca="false">IF($B82="","",SUM(K82:N82)+SUM(P82:S82))</f>
        <v/>
      </c>
      <c r="U82" s="111" t="str">
        <f aca="false">IF($B82="","",الموظفون!$S82*IF(E82="سعودي",cfg_G_SE,cfg_G_NE)*G82/cfg_DAYS_M)</f>
        <v/>
      </c>
      <c r="V82" s="111" t="str">
        <f aca="false">IF($B82="","",SUMIFS('الحركات الشهرية'!$I$6:$I$1005,'الحركات الشهرية'!$B$6:$B$1005,$B82,'الحركات الشهرية'!$A$6:$A$1005,$C$3))</f>
        <v/>
      </c>
      <c r="W82" s="111" t="str">
        <f aca="false">IF($B82="","",SUMIFS('الحركات الشهرية'!$J$6:$J$1005,'الحركات الشهرية'!$B$6:$B$1005,$B82,'الحركات الشهرية'!$A$6:$A$1005,$C$3))</f>
        <v/>
      </c>
      <c r="X82" s="111" t="str">
        <f aca="false">IF($B82="","",SUM(U82:W82))</f>
        <v/>
      </c>
      <c r="Y82" s="153" t="str">
        <f aca="false">IF($B82="","",T82-X82)</f>
        <v/>
      </c>
      <c r="Z82" s="111" t="str">
        <f aca="false">IF($B82="","",الموظفون!$S82*IF(E82="سعودي",cfg_G_SR,cfg_G_NR)*G82/cfg_DAYS_M)</f>
        <v/>
      </c>
      <c r="AA82" s="111" t="str">
        <f aca="false">IF($B82="","",الموظفون!$Q82*(cfg_EOS_R1*(MIN(AH82,cfg_EOS_TH)-MIN(AI82,cfg_EOS_TH))+cfg_EOS_R2*(MAX(AH82-cfg_EOS_TH,0)-MAX(AI82-cfg_EOS_TH,0))))</f>
        <v/>
      </c>
      <c r="AB82" s="111" t="str">
        <f aca="false">IF($B82="","",IF(الموظفون!$T82&lt;&gt;"",الموظفون!$T82,IF(AH82&gt;=cfg_LV_TH,cfg_LV_D2,cfg_LV_D1))/cfg_DAYS_Y*AJ82*الموظفون!$R82/cfg_DAYS_M)</f>
        <v/>
      </c>
      <c r="AC82" s="111" t="str">
        <f aca="false">IF($B82="","",IF(AND(الموظفون!$U82="نعم",N(الموظفون!$W82)&gt;0),الموظفون!$V82/الموظفون!$W82*12/cfg_DAYS_Y*AJ82,0))</f>
        <v/>
      </c>
      <c r="AD82" s="111" t="str">
        <f aca="false">IF($B82="","",(IF(الموظفون!$X82&lt;&gt;"",الموظفون!$X82,IF(الموظفون!$E82="غير سعودي",cfg_IQ,0))+IF(الموظفون!$Y82&lt;&gt;"",الموظفون!$Y82,IF(الموظفون!$E82="غير سعودي",cfg_WP,0)))/12*G82/cfg_DAYS_M)</f>
        <v/>
      </c>
      <c r="AE82" s="111" t="str">
        <f aca="false">IF($B82="","",IF(الموظفون!$Z82&lt;&gt;"",الموظفون!$Z82,cfg_MED)/12*G82/cfg_DAYS_M)</f>
        <v/>
      </c>
      <c r="AF82" s="111" t="str">
        <f aca="false">IF($B82="","",N(الموظفون!$AA82)/12*G82/cfg_DAYS_M)</f>
        <v/>
      </c>
      <c r="AG82" s="154" t="str">
        <f aca="false">IF($B82="","",T82+SUM(Z82:AF82))</f>
        <v/>
      </c>
      <c r="AH82" s="155" t="str">
        <f aca="false">IF($B82="","",MAX(0,IF(OR(الموظفون!$AE82="",الموظفون!$AE82&gt;$F$3),$F$3,الموظفون!$AE82)-الموظفون!$H82+1-SUMIFS('سجل الإجازات والحالات'!$AM$6:$AM$505,'سجل الإجازات والحالات'!$B$6:$B$505,$B82))/cfg_DAYS_Y)</f>
        <v/>
      </c>
      <c r="AI82" s="155" t="str">
        <f aca="false">IF($B82="","",MAX(0,IF(OR(الموظفون!$AE82="",الموظفون!$AE82&gt;($E$3-1)),($E$3-1),الموظفون!$AE82)-الموظفون!$H82+1-SUMIFS('سجل الإجازات والحالات'!$AL$6:$AL$505,'سجل الإجازات والحالات'!$B$6:$B$505,$B82))/cfg_DAYS_Y)</f>
        <v/>
      </c>
      <c r="AJ82" s="65" t="str">
        <f aca="false">IF($B82="","",MAX(0,AK82-(SUMIFS('سجل الإجازات والحالات'!$AM$6:$AM$505,'سجل الإجازات والحالات'!$B$6:$B$505,$B82)-SUMIFS('سجل الإجازات والحالات'!$AL$6:$AL$505,'سجل الإجازات والحالات'!$B$6:$B$505,$B82))))</f>
        <v/>
      </c>
      <c r="AK82" s="65" t="str">
        <f aca="false">IF($B82="","",MAX(0,IF(OR(الموظفون!$AE82="",الموظفون!$AE82&gt;$F$3),$F$3,الموظفون!$AE82)-MAX($E$3,الموظفون!$H82)+1))</f>
        <v/>
      </c>
      <c r="AL82" s="151" t="str">
        <f aca="false">IF($B82="","",SUMIFS('سجل الإجازات والحالات'!$AY$6:$AY$505,'سجل الإجازات والحالات'!$B$6:$B$505,$B82)+SUMIFS('الحركات الشهرية'!$K$6:$K$1005,'الحركات الشهرية'!$B$6:$B$1005,$B82,'الحركات الشهرية'!$A$6:$A$1005,$C$3))</f>
        <v/>
      </c>
      <c r="AM82" s="111" t="str">
        <f aca="false">IF($B82="","",AL82*الموظفون!$R82/cfg_DAYS_M+S82)</f>
        <v/>
      </c>
      <c r="AN82" s="151" t="str">
        <f aca="false">IF($B82="","",SUMIFS('سجل الإجازات والحالات'!$AA$6:$AA$505,'سجل الإجازات والحالات'!$B$6:$B$505,$B82))</f>
        <v/>
      </c>
    </row>
    <row r="83" customFormat="false" ht="15" hidden="false" customHeight="false" outlineLevel="0" collapsed="false">
      <c r="A83" s="115" t="str">
        <f aca="false">IF($B83="","",الموظفون!$A83)</f>
        <v/>
      </c>
      <c r="B83" s="117" t="str">
        <f aca="false">IF(الموظفون!$B83="","",الموظفون!$B83)</f>
        <v/>
      </c>
      <c r="C83" s="117" t="str">
        <f aca="false">IF($B83="","",الموظفون!$C83)</f>
        <v/>
      </c>
      <c r="D83" s="117" t="str">
        <f aca="false">IF($B83="","",الموظفون!$F83)</f>
        <v/>
      </c>
      <c r="E83" s="117" t="str">
        <f aca="false">IF($B83="","",الموظفون!$E83)</f>
        <v/>
      </c>
      <c r="F83" s="117" t="str">
        <f aca="false">IF($B83="","",IF(AK83=0,IF(AND(الموظفون!$AE83&lt;&gt;"",الموظفون!$AE83&lt;$E$3),"✖ منتهي الخدمة","⏳ لم يباشر"),IF(S83&gt;0,"✈ راتب إجازة مقدم",IF(J83=0,"⛔ بدون راتب هذا الشهر",IF(I83&gt;0,"✈ خصم "&amp;ROUND(I83,2)&amp;" يوم بدون أجر",IF(AL83&gt;0,"🌴 إجازة سنوية "&amp;ROUND(AL83,2)&amp;" يوم",IF(H83&gt;0,"⚠ غياب "&amp;ROUND(H83,2)&amp;" يوم","✔ على رأس العمل")))))))</f>
        <v/>
      </c>
      <c r="G83" s="156" t="str">
        <f aca="false">IF($B83="","",IF(AK83&gt;=DAY($F$3),cfg_DAYS_M,MIN(AK83,cfg_DAYS_M)))</f>
        <v/>
      </c>
      <c r="H83" s="156" t="str">
        <f aca="false">IF($B83="","",SUMIFS('الحركات الشهرية'!$D$6:$D$1005,'الحركات الشهرية'!$B$6:$B$1005,$B83,'الحركات الشهرية'!$A$6:$A$1005,$C$3))</f>
        <v/>
      </c>
      <c r="I83" s="156" t="str">
        <f aca="false">IF($B83="","",MIN(G83,IF(AND(AK83&gt;0,AN83&gt;=AK83),G83,AN83)+SUMIFS('الحركات الشهرية'!$E$6:$E$1005,'الحركات الشهرية'!$B$6:$B$1005,$B83,'الحركات الشهرية'!$A$6:$A$1005,$C$3)))</f>
        <v/>
      </c>
      <c r="J83" s="156" t="str">
        <f aca="false">IF($B83="","",MAX(0,G83-H83-I83))</f>
        <v/>
      </c>
      <c r="K83" s="116" t="str">
        <f aca="false">IF($B83="","",الموظفون!$L83*$J83/cfg_DAYS_M)</f>
        <v/>
      </c>
      <c r="L83" s="116" t="str">
        <f aca="false">IF($B83="","",الموظفون!$M83*$J83/cfg_DAYS_M)</f>
        <v/>
      </c>
      <c r="M83" s="116" t="str">
        <f aca="false">IF($B83="","",الموظفون!$N83*$J83/cfg_DAYS_M)</f>
        <v/>
      </c>
      <c r="N83" s="116" t="str">
        <f aca="false">IF($B83="","",الموظفون!$O83*$J83/cfg_DAYS_M)</f>
        <v/>
      </c>
      <c r="O83" s="156" t="str">
        <f aca="false">IF($B83="","",SUMIFS('الحركات الشهرية'!$F$6:$F$1005,'الحركات الشهرية'!$B$6:$B$1005,$B83,'الحركات الشهرية'!$A$6:$A$1005,$C$3))</f>
        <v/>
      </c>
      <c r="P83" s="116" t="str">
        <f aca="false">IF($B83="","",O83*(الموظفون!$P83+الموظفون!$L83*cfg_OT_P)/cfg_DAYS_M/cfg_HRS)</f>
        <v/>
      </c>
      <c r="Q83" s="116" t="str">
        <f aca="false">IF($B83="","",SUMIFS('الحركات الشهرية'!$G$6:$G$1005,'الحركات الشهرية'!$B$6:$B$1005,$B83,'الحركات الشهرية'!$A$6:$A$1005,$C$3))</f>
        <v/>
      </c>
      <c r="R83" s="116" t="str">
        <f aca="false">IF($B83="","",SUMIFS('الحركات الشهرية'!$H$6:$H$1005,'الحركات الشهرية'!$B$6:$B$1005,$B83,'الحركات الشهرية'!$A$6:$A$1005,$C$3))</f>
        <v/>
      </c>
      <c r="S83" s="116" t="str">
        <f aca="false">IF($B83="","",SUMIFS('سجل الإجازات والحالات'!$N$6:$N$505,'سجل الإجازات والحالات'!$B$6:$B$505,$B83,'سجل الإجازات والحالات'!$O$6:$O$505,$C$3))</f>
        <v/>
      </c>
      <c r="T83" s="157" t="str">
        <f aca="false">IF($B83="","",SUM(K83:N83)+SUM(P83:S83))</f>
        <v/>
      </c>
      <c r="U83" s="116" t="str">
        <f aca="false">IF($B83="","",الموظفون!$S83*IF(E83="سعودي",cfg_G_SE,cfg_G_NE)*G83/cfg_DAYS_M)</f>
        <v/>
      </c>
      <c r="V83" s="116" t="str">
        <f aca="false">IF($B83="","",SUMIFS('الحركات الشهرية'!$I$6:$I$1005,'الحركات الشهرية'!$B$6:$B$1005,$B83,'الحركات الشهرية'!$A$6:$A$1005,$C$3))</f>
        <v/>
      </c>
      <c r="W83" s="116" t="str">
        <f aca="false">IF($B83="","",SUMIFS('الحركات الشهرية'!$J$6:$J$1005,'الحركات الشهرية'!$B$6:$B$1005,$B83,'الحركات الشهرية'!$A$6:$A$1005,$C$3))</f>
        <v/>
      </c>
      <c r="X83" s="116" t="str">
        <f aca="false">IF($B83="","",SUM(U83:W83))</f>
        <v/>
      </c>
      <c r="Y83" s="158" t="str">
        <f aca="false">IF($B83="","",T83-X83)</f>
        <v/>
      </c>
      <c r="Z83" s="116" t="str">
        <f aca="false">IF($B83="","",الموظفون!$S83*IF(E83="سعودي",cfg_G_SR,cfg_G_NR)*G83/cfg_DAYS_M)</f>
        <v/>
      </c>
      <c r="AA83" s="116" t="str">
        <f aca="false">IF($B83="","",الموظفون!$Q83*(cfg_EOS_R1*(MIN(AH83,cfg_EOS_TH)-MIN(AI83,cfg_EOS_TH))+cfg_EOS_R2*(MAX(AH83-cfg_EOS_TH,0)-MAX(AI83-cfg_EOS_TH,0))))</f>
        <v/>
      </c>
      <c r="AB83" s="116" t="str">
        <f aca="false">IF($B83="","",IF(الموظفون!$T83&lt;&gt;"",الموظفون!$T83,IF(AH83&gt;=cfg_LV_TH,cfg_LV_D2,cfg_LV_D1))/cfg_DAYS_Y*AJ83*الموظفون!$R83/cfg_DAYS_M)</f>
        <v/>
      </c>
      <c r="AC83" s="116" t="str">
        <f aca="false">IF($B83="","",IF(AND(الموظفون!$U83="نعم",N(الموظفون!$W83)&gt;0),الموظفون!$V83/الموظفون!$W83*12/cfg_DAYS_Y*AJ83,0))</f>
        <v/>
      </c>
      <c r="AD83" s="116" t="str">
        <f aca="false">IF($B83="","",(IF(الموظفون!$X83&lt;&gt;"",الموظفون!$X83,IF(الموظفون!$E83="غير سعودي",cfg_IQ,0))+IF(الموظفون!$Y83&lt;&gt;"",الموظفون!$Y83,IF(الموظفون!$E83="غير سعودي",cfg_WP,0)))/12*G83/cfg_DAYS_M)</f>
        <v/>
      </c>
      <c r="AE83" s="116" t="str">
        <f aca="false">IF($B83="","",IF(الموظفون!$Z83&lt;&gt;"",الموظفون!$Z83,cfg_MED)/12*G83/cfg_DAYS_M)</f>
        <v/>
      </c>
      <c r="AF83" s="116" t="str">
        <f aca="false">IF($B83="","",N(الموظفون!$AA83)/12*G83/cfg_DAYS_M)</f>
        <v/>
      </c>
      <c r="AG83" s="159" t="str">
        <f aca="false">IF($B83="","",T83+SUM(Z83:AF83))</f>
        <v/>
      </c>
      <c r="AH83" s="160" t="str">
        <f aca="false">IF($B83="","",MAX(0,IF(OR(الموظفون!$AE83="",الموظفون!$AE83&gt;$F$3),$F$3,الموظفون!$AE83)-الموظفون!$H83+1-SUMIFS('سجل الإجازات والحالات'!$AM$6:$AM$505,'سجل الإجازات والحالات'!$B$6:$B$505,$B83))/cfg_DAYS_Y)</f>
        <v/>
      </c>
      <c r="AI83" s="160" t="str">
        <f aca="false">IF($B83="","",MAX(0,IF(OR(الموظفون!$AE83="",الموظفون!$AE83&gt;($E$3-1)),($E$3-1),الموظفون!$AE83)-الموظفون!$H83+1-SUMIFS('سجل الإجازات والحالات'!$AL$6:$AL$505,'سجل الإجازات والحالات'!$B$6:$B$505,$B83))/cfg_DAYS_Y)</f>
        <v/>
      </c>
      <c r="AJ83" s="133" t="str">
        <f aca="false">IF($B83="","",MAX(0,AK83-(SUMIFS('سجل الإجازات والحالات'!$AM$6:$AM$505,'سجل الإجازات والحالات'!$B$6:$B$505,$B83)-SUMIFS('سجل الإجازات والحالات'!$AL$6:$AL$505,'سجل الإجازات والحالات'!$B$6:$B$505,$B83))))</f>
        <v/>
      </c>
      <c r="AK83" s="133" t="str">
        <f aca="false">IF($B83="","",MAX(0,IF(OR(الموظفون!$AE83="",الموظفون!$AE83&gt;$F$3),$F$3,الموظفون!$AE83)-MAX($E$3,الموظفون!$H83)+1))</f>
        <v/>
      </c>
      <c r="AL83" s="156" t="str">
        <f aca="false">IF($B83="","",SUMIFS('سجل الإجازات والحالات'!$AY$6:$AY$505,'سجل الإجازات والحالات'!$B$6:$B$505,$B83)+SUMIFS('الحركات الشهرية'!$K$6:$K$1005,'الحركات الشهرية'!$B$6:$B$1005,$B83,'الحركات الشهرية'!$A$6:$A$1005,$C$3))</f>
        <v/>
      </c>
      <c r="AM83" s="116" t="str">
        <f aca="false">IF($B83="","",AL83*الموظفون!$R83/cfg_DAYS_M+S83)</f>
        <v/>
      </c>
      <c r="AN83" s="156" t="str">
        <f aca="false">IF($B83="","",SUMIFS('سجل الإجازات والحالات'!$AA$6:$AA$505,'سجل الإجازات والحالات'!$B$6:$B$505,$B83))</f>
        <v/>
      </c>
    </row>
    <row r="84" customFormat="false" ht="15" hidden="false" customHeight="false" outlineLevel="0" collapsed="false">
      <c r="A84" s="106" t="str">
        <f aca="false">IF($B84="","",الموظفون!$A84)</f>
        <v/>
      </c>
      <c r="B84" s="114" t="str">
        <f aca="false">IF(الموظفون!$B84="","",الموظفون!$B84)</f>
        <v/>
      </c>
      <c r="C84" s="114" t="str">
        <f aca="false">IF($B84="","",الموظفون!$C84)</f>
        <v/>
      </c>
      <c r="D84" s="114" t="str">
        <f aca="false">IF($B84="","",الموظفون!$F84)</f>
        <v/>
      </c>
      <c r="E84" s="114" t="str">
        <f aca="false">IF($B84="","",الموظفون!$E84)</f>
        <v/>
      </c>
      <c r="F84" s="114" t="str">
        <f aca="false">IF($B84="","",IF(AK84=0,IF(AND(الموظفون!$AE84&lt;&gt;"",الموظفون!$AE84&lt;$E$3),"✖ منتهي الخدمة","⏳ لم يباشر"),IF(S84&gt;0,"✈ راتب إجازة مقدم",IF(J84=0,"⛔ بدون راتب هذا الشهر",IF(I84&gt;0,"✈ خصم "&amp;ROUND(I84,2)&amp;" يوم بدون أجر",IF(AL84&gt;0,"🌴 إجازة سنوية "&amp;ROUND(AL84,2)&amp;" يوم",IF(H84&gt;0,"⚠ غياب "&amp;ROUND(H84,2)&amp;" يوم","✔ على رأس العمل")))))))</f>
        <v/>
      </c>
      <c r="G84" s="151" t="str">
        <f aca="false">IF($B84="","",IF(AK84&gt;=DAY($F$3),cfg_DAYS_M,MIN(AK84,cfg_DAYS_M)))</f>
        <v/>
      </c>
      <c r="H84" s="151" t="str">
        <f aca="false">IF($B84="","",SUMIFS('الحركات الشهرية'!$D$6:$D$1005,'الحركات الشهرية'!$B$6:$B$1005,$B84,'الحركات الشهرية'!$A$6:$A$1005,$C$3))</f>
        <v/>
      </c>
      <c r="I84" s="151" t="str">
        <f aca="false">IF($B84="","",MIN(G84,IF(AND(AK84&gt;0,AN84&gt;=AK84),G84,AN84)+SUMIFS('الحركات الشهرية'!$E$6:$E$1005,'الحركات الشهرية'!$B$6:$B$1005,$B84,'الحركات الشهرية'!$A$6:$A$1005,$C$3)))</f>
        <v/>
      </c>
      <c r="J84" s="151" t="str">
        <f aca="false">IF($B84="","",MAX(0,G84-H84-I84))</f>
        <v/>
      </c>
      <c r="K84" s="111" t="str">
        <f aca="false">IF($B84="","",الموظفون!$L84*$J84/cfg_DAYS_M)</f>
        <v/>
      </c>
      <c r="L84" s="111" t="str">
        <f aca="false">IF($B84="","",الموظفون!$M84*$J84/cfg_DAYS_M)</f>
        <v/>
      </c>
      <c r="M84" s="111" t="str">
        <f aca="false">IF($B84="","",الموظفون!$N84*$J84/cfg_DAYS_M)</f>
        <v/>
      </c>
      <c r="N84" s="111" t="str">
        <f aca="false">IF($B84="","",الموظفون!$O84*$J84/cfg_DAYS_M)</f>
        <v/>
      </c>
      <c r="O84" s="151" t="str">
        <f aca="false">IF($B84="","",SUMIFS('الحركات الشهرية'!$F$6:$F$1005,'الحركات الشهرية'!$B$6:$B$1005,$B84,'الحركات الشهرية'!$A$6:$A$1005,$C$3))</f>
        <v/>
      </c>
      <c r="P84" s="111" t="str">
        <f aca="false">IF($B84="","",O84*(الموظفون!$P84+الموظفون!$L84*cfg_OT_P)/cfg_DAYS_M/cfg_HRS)</f>
        <v/>
      </c>
      <c r="Q84" s="111" t="str">
        <f aca="false">IF($B84="","",SUMIFS('الحركات الشهرية'!$G$6:$G$1005,'الحركات الشهرية'!$B$6:$B$1005,$B84,'الحركات الشهرية'!$A$6:$A$1005,$C$3))</f>
        <v/>
      </c>
      <c r="R84" s="111" t="str">
        <f aca="false">IF($B84="","",SUMIFS('الحركات الشهرية'!$H$6:$H$1005,'الحركات الشهرية'!$B$6:$B$1005,$B84,'الحركات الشهرية'!$A$6:$A$1005,$C$3))</f>
        <v/>
      </c>
      <c r="S84" s="111" t="str">
        <f aca="false">IF($B84="","",SUMIFS('سجل الإجازات والحالات'!$N$6:$N$505,'سجل الإجازات والحالات'!$B$6:$B$505,$B84,'سجل الإجازات والحالات'!$O$6:$O$505,$C$3))</f>
        <v/>
      </c>
      <c r="T84" s="152" t="str">
        <f aca="false">IF($B84="","",SUM(K84:N84)+SUM(P84:S84))</f>
        <v/>
      </c>
      <c r="U84" s="111" t="str">
        <f aca="false">IF($B84="","",الموظفون!$S84*IF(E84="سعودي",cfg_G_SE,cfg_G_NE)*G84/cfg_DAYS_M)</f>
        <v/>
      </c>
      <c r="V84" s="111" t="str">
        <f aca="false">IF($B84="","",SUMIFS('الحركات الشهرية'!$I$6:$I$1005,'الحركات الشهرية'!$B$6:$B$1005,$B84,'الحركات الشهرية'!$A$6:$A$1005,$C$3))</f>
        <v/>
      </c>
      <c r="W84" s="111" t="str">
        <f aca="false">IF($B84="","",SUMIFS('الحركات الشهرية'!$J$6:$J$1005,'الحركات الشهرية'!$B$6:$B$1005,$B84,'الحركات الشهرية'!$A$6:$A$1005,$C$3))</f>
        <v/>
      </c>
      <c r="X84" s="111" t="str">
        <f aca="false">IF($B84="","",SUM(U84:W84))</f>
        <v/>
      </c>
      <c r="Y84" s="153" t="str">
        <f aca="false">IF($B84="","",T84-X84)</f>
        <v/>
      </c>
      <c r="Z84" s="111" t="str">
        <f aca="false">IF($B84="","",الموظفون!$S84*IF(E84="سعودي",cfg_G_SR,cfg_G_NR)*G84/cfg_DAYS_M)</f>
        <v/>
      </c>
      <c r="AA84" s="111" t="str">
        <f aca="false">IF($B84="","",الموظفون!$Q84*(cfg_EOS_R1*(MIN(AH84,cfg_EOS_TH)-MIN(AI84,cfg_EOS_TH))+cfg_EOS_R2*(MAX(AH84-cfg_EOS_TH,0)-MAX(AI84-cfg_EOS_TH,0))))</f>
        <v/>
      </c>
      <c r="AB84" s="111" t="str">
        <f aca="false">IF($B84="","",IF(الموظفون!$T84&lt;&gt;"",الموظفون!$T84,IF(AH84&gt;=cfg_LV_TH,cfg_LV_D2,cfg_LV_D1))/cfg_DAYS_Y*AJ84*الموظفون!$R84/cfg_DAYS_M)</f>
        <v/>
      </c>
      <c r="AC84" s="111" t="str">
        <f aca="false">IF($B84="","",IF(AND(الموظفون!$U84="نعم",N(الموظفون!$W84)&gt;0),الموظفون!$V84/الموظفون!$W84*12/cfg_DAYS_Y*AJ84,0))</f>
        <v/>
      </c>
      <c r="AD84" s="111" t="str">
        <f aca="false">IF($B84="","",(IF(الموظفون!$X84&lt;&gt;"",الموظفون!$X84,IF(الموظفون!$E84="غير سعودي",cfg_IQ,0))+IF(الموظفون!$Y84&lt;&gt;"",الموظفون!$Y84,IF(الموظفون!$E84="غير سعودي",cfg_WP,0)))/12*G84/cfg_DAYS_M)</f>
        <v/>
      </c>
      <c r="AE84" s="111" t="str">
        <f aca="false">IF($B84="","",IF(الموظفون!$Z84&lt;&gt;"",الموظفون!$Z84,cfg_MED)/12*G84/cfg_DAYS_M)</f>
        <v/>
      </c>
      <c r="AF84" s="111" t="str">
        <f aca="false">IF($B84="","",N(الموظفون!$AA84)/12*G84/cfg_DAYS_M)</f>
        <v/>
      </c>
      <c r="AG84" s="154" t="str">
        <f aca="false">IF($B84="","",T84+SUM(Z84:AF84))</f>
        <v/>
      </c>
      <c r="AH84" s="155" t="str">
        <f aca="false">IF($B84="","",MAX(0,IF(OR(الموظفون!$AE84="",الموظفون!$AE84&gt;$F$3),$F$3,الموظفون!$AE84)-الموظفون!$H84+1-SUMIFS('سجل الإجازات والحالات'!$AM$6:$AM$505,'سجل الإجازات والحالات'!$B$6:$B$505,$B84))/cfg_DAYS_Y)</f>
        <v/>
      </c>
      <c r="AI84" s="155" t="str">
        <f aca="false">IF($B84="","",MAX(0,IF(OR(الموظفون!$AE84="",الموظفون!$AE84&gt;($E$3-1)),($E$3-1),الموظفون!$AE84)-الموظفون!$H84+1-SUMIFS('سجل الإجازات والحالات'!$AL$6:$AL$505,'سجل الإجازات والحالات'!$B$6:$B$505,$B84))/cfg_DAYS_Y)</f>
        <v/>
      </c>
      <c r="AJ84" s="65" t="str">
        <f aca="false">IF($B84="","",MAX(0,AK84-(SUMIFS('سجل الإجازات والحالات'!$AM$6:$AM$505,'سجل الإجازات والحالات'!$B$6:$B$505,$B84)-SUMIFS('سجل الإجازات والحالات'!$AL$6:$AL$505,'سجل الإجازات والحالات'!$B$6:$B$505,$B84))))</f>
        <v/>
      </c>
      <c r="AK84" s="65" t="str">
        <f aca="false">IF($B84="","",MAX(0,IF(OR(الموظفون!$AE84="",الموظفون!$AE84&gt;$F$3),$F$3,الموظفون!$AE84)-MAX($E$3,الموظفون!$H84)+1))</f>
        <v/>
      </c>
      <c r="AL84" s="151" t="str">
        <f aca="false">IF($B84="","",SUMIFS('سجل الإجازات والحالات'!$AY$6:$AY$505,'سجل الإجازات والحالات'!$B$6:$B$505,$B84)+SUMIFS('الحركات الشهرية'!$K$6:$K$1005,'الحركات الشهرية'!$B$6:$B$1005,$B84,'الحركات الشهرية'!$A$6:$A$1005,$C$3))</f>
        <v/>
      </c>
      <c r="AM84" s="111" t="str">
        <f aca="false">IF($B84="","",AL84*الموظفون!$R84/cfg_DAYS_M+S84)</f>
        <v/>
      </c>
      <c r="AN84" s="151" t="str">
        <f aca="false">IF($B84="","",SUMIFS('سجل الإجازات والحالات'!$AA$6:$AA$505,'سجل الإجازات والحالات'!$B$6:$B$505,$B84))</f>
        <v/>
      </c>
    </row>
    <row r="85" customFormat="false" ht="15" hidden="false" customHeight="false" outlineLevel="0" collapsed="false">
      <c r="A85" s="115" t="str">
        <f aca="false">IF($B85="","",الموظفون!$A85)</f>
        <v/>
      </c>
      <c r="B85" s="117" t="str">
        <f aca="false">IF(الموظفون!$B85="","",الموظفون!$B85)</f>
        <v/>
      </c>
      <c r="C85" s="117" t="str">
        <f aca="false">IF($B85="","",الموظفون!$C85)</f>
        <v/>
      </c>
      <c r="D85" s="117" t="str">
        <f aca="false">IF($B85="","",الموظفون!$F85)</f>
        <v/>
      </c>
      <c r="E85" s="117" t="str">
        <f aca="false">IF($B85="","",الموظفون!$E85)</f>
        <v/>
      </c>
      <c r="F85" s="117" t="str">
        <f aca="false">IF($B85="","",IF(AK85=0,IF(AND(الموظفون!$AE85&lt;&gt;"",الموظفون!$AE85&lt;$E$3),"✖ منتهي الخدمة","⏳ لم يباشر"),IF(S85&gt;0,"✈ راتب إجازة مقدم",IF(J85=0,"⛔ بدون راتب هذا الشهر",IF(I85&gt;0,"✈ خصم "&amp;ROUND(I85,2)&amp;" يوم بدون أجر",IF(AL85&gt;0,"🌴 إجازة سنوية "&amp;ROUND(AL85,2)&amp;" يوم",IF(H85&gt;0,"⚠ غياب "&amp;ROUND(H85,2)&amp;" يوم","✔ على رأس العمل")))))))</f>
        <v/>
      </c>
      <c r="G85" s="156" t="str">
        <f aca="false">IF($B85="","",IF(AK85&gt;=DAY($F$3),cfg_DAYS_M,MIN(AK85,cfg_DAYS_M)))</f>
        <v/>
      </c>
      <c r="H85" s="156" t="str">
        <f aca="false">IF($B85="","",SUMIFS('الحركات الشهرية'!$D$6:$D$1005,'الحركات الشهرية'!$B$6:$B$1005,$B85,'الحركات الشهرية'!$A$6:$A$1005,$C$3))</f>
        <v/>
      </c>
      <c r="I85" s="156" t="str">
        <f aca="false">IF($B85="","",MIN(G85,IF(AND(AK85&gt;0,AN85&gt;=AK85),G85,AN85)+SUMIFS('الحركات الشهرية'!$E$6:$E$1005,'الحركات الشهرية'!$B$6:$B$1005,$B85,'الحركات الشهرية'!$A$6:$A$1005,$C$3)))</f>
        <v/>
      </c>
      <c r="J85" s="156" t="str">
        <f aca="false">IF($B85="","",MAX(0,G85-H85-I85))</f>
        <v/>
      </c>
      <c r="K85" s="116" t="str">
        <f aca="false">IF($B85="","",الموظفون!$L85*$J85/cfg_DAYS_M)</f>
        <v/>
      </c>
      <c r="L85" s="116" t="str">
        <f aca="false">IF($B85="","",الموظفون!$M85*$J85/cfg_DAYS_M)</f>
        <v/>
      </c>
      <c r="M85" s="116" t="str">
        <f aca="false">IF($B85="","",الموظفون!$N85*$J85/cfg_DAYS_M)</f>
        <v/>
      </c>
      <c r="N85" s="116" t="str">
        <f aca="false">IF($B85="","",الموظفون!$O85*$J85/cfg_DAYS_M)</f>
        <v/>
      </c>
      <c r="O85" s="156" t="str">
        <f aca="false">IF($B85="","",SUMIFS('الحركات الشهرية'!$F$6:$F$1005,'الحركات الشهرية'!$B$6:$B$1005,$B85,'الحركات الشهرية'!$A$6:$A$1005,$C$3))</f>
        <v/>
      </c>
      <c r="P85" s="116" t="str">
        <f aca="false">IF($B85="","",O85*(الموظفون!$P85+الموظفون!$L85*cfg_OT_P)/cfg_DAYS_M/cfg_HRS)</f>
        <v/>
      </c>
      <c r="Q85" s="116" t="str">
        <f aca="false">IF($B85="","",SUMIFS('الحركات الشهرية'!$G$6:$G$1005,'الحركات الشهرية'!$B$6:$B$1005,$B85,'الحركات الشهرية'!$A$6:$A$1005,$C$3))</f>
        <v/>
      </c>
      <c r="R85" s="116" t="str">
        <f aca="false">IF($B85="","",SUMIFS('الحركات الشهرية'!$H$6:$H$1005,'الحركات الشهرية'!$B$6:$B$1005,$B85,'الحركات الشهرية'!$A$6:$A$1005,$C$3))</f>
        <v/>
      </c>
      <c r="S85" s="116" t="str">
        <f aca="false">IF($B85="","",SUMIFS('سجل الإجازات والحالات'!$N$6:$N$505,'سجل الإجازات والحالات'!$B$6:$B$505,$B85,'سجل الإجازات والحالات'!$O$6:$O$505,$C$3))</f>
        <v/>
      </c>
      <c r="T85" s="157" t="str">
        <f aca="false">IF($B85="","",SUM(K85:N85)+SUM(P85:S85))</f>
        <v/>
      </c>
      <c r="U85" s="116" t="str">
        <f aca="false">IF($B85="","",الموظفون!$S85*IF(E85="سعودي",cfg_G_SE,cfg_G_NE)*G85/cfg_DAYS_M)</f>
        <v/>
      </c>
      <c r="V85" s="116" t="str">
        <f aca="false">IF($B85="","",SUMIFS('الحركات الشهرية'!$I$6:$I$1005,'الحركات الشهرية'!$B$6:$B$1005,$B85,'الحركات الشهرية'!$A$6:$A$1005,$C$3))</f>
        <v/>
      </c>
      <c r="W85" s="116" t="str">
        <f aca="false">IF($B85="","",SUMIFS('الحركات الشهرية'!$J$6:$J$1005,'الحركات الشهرية'!$B$6:$B$1005,$B85,'الحركات الشهرية'!$A$6:$A$1005,$C$3))</f>
        <v/>
      </c>
      <c r="X85" s="116" t="str">
        <f aca="false">IF($B85="","",SUM(U85:W85))</f>
        <v/>
      </c>
      <c r="Y85" s="158" t="str">
        <f aca="false">IF($B85="","",T85-X85)</f>
        <v/>
      </c>
      <c r="Z85" s="116" t="str">
        <f aca="false">IF($B85="","",الموظفون!$S85*IF(E85="سعودي",cfg_G_SR,cfg_G_NR)*G85/cfg_DAYS_M)</f>
        <v/>
      </c>
      <c r="AA85" s="116" t="str">
        <f aca="false">IF($B85="","",الموظفون!$Q85*(cfg_EOS_R1*(MIN(AH85,cfg_EOS_TH)-MIN(AI85,cfg_EOS_TH))+cfg_EOS_R2*(MAX(AH85-cfg_EOS_TH,0)-MAX(AI85-cfg_EOS_TH,0))))</f>
        <v/>
      </c>
      <c r="AB85" s="116" t="str">
        <f aca="false">IF($B85="","",IF(الموظفون!$T85&lt;&gt;"",الموظفون!$T85,IF(AH85&gt;=cfg_LV_TH,cfg_LV_D2,cfg_LV_D1))/cfg_DAYS_Y*AJ85*الموظفون!$R85/cfg_DAYS_M)</f>
        <v/>
      </c>
      <c r="AC85" s="116" t="str">
        <f aca="false">IF($B85="","",IF(AND(الموظفون!$U85="نعم",N(الموظفون!$W85)&gt;0),الموظفون!$V85/الموظفون!$W85*12/cfg_DAYS_Y*AJ85,0))</f>
        <v/>
      </c>
      <c r="AD85" s="116" t="str">
        <f aca="false">IF($B85="","",(IF(الموظفون!$X85&lt;&gt;"",الموظفون!$X85,IF(الموظفون!$E85="غير سعودي",cfg_IQ,0))+IF(الموظفون!$Y85&lt;&gt;"",الموظفون!$Y85,IF(الموظفون!$E85="غير سعودي",cfg_WP,0)))/12*G85/cfg_DAYS_M)</f>
        <v/>
      </c>
      <c r="AE85" s="116" t="str">
        <f aca="false">IF($B85="","",IF(الموظفون!$Z85&lt;&gt;"",الموظفون!$Z85,cfg_MED)/12*G85/cfg_DAYS_M)</f>
        <v/>
      </c>
      <c r="AF85" s="116" t="str">
        <f aca="false">IF($B85="","",N(الموظفون!$AA85)/12*G85/cfg_DAYS_M)</f>
        <v/>
      </c>
      <c r="AG85" s="159" t="str">
        <f aca="false">IF($B85="","",T85+SUM(Z85:AF85))</f>
        <v/>
      </c>
      <c r="AH85" s="160" t="str">
        <f aca="false">IF($B85="","",MAX(0,IF(OR(الموظفون!$AE85="",الموظفون!$AE85&gt;$F$3),$F$3,الموظفون!$AE85)-الموظفون!$H85+1-SUMIFS('سجل الإجازات والحالات'!$AM$6:$AM$505,'سجل الإجازات والحالات'!$B$6:$B$505,$B85))/cfg_DAYS_Y)</f>
        <v/>
      </c>
      <c r="AI85" s="160" t="str">
        <f aca="false">IF($B85="","",MAX(0,IF(OR(الموظفون!$AE85="",الموظفون!$AE85&gt;($E$3-1)),($E$3-1),الموظفون!$AE85)-الموظفون!$H85+1-SUMIFS('سجل الإجازات والحالات'!$AL$6:$AL$505,'سجل الإجازات والحالات'!$B$6:$B$505,$B85))/cfg_DAYS_Y)</f>
        <v/>
      </c>
      <c r="AJ85" s="133" t="str">
        <f aca="false">IF($B85="","",MAX(0,AK85-(SUMIFS('سجل الإجازات والحالات'!$AM$6:$AM$505,'سجل الإجازات والحالات'!$B$6:$B$505,$B85)-SUMIFS('سجل الإجازات والحالات'!$AL$6:$AL$505,'سجل الإجازات والحالات'!$B$6:$B$505,$B85))))</f>
        <v/>
      </c>
      <c r="AK85" s="133" t="str">
        <f aca="false">IF($B85="","",MAX(0,IF(OR(الموظفون!$AE85="",الموظفون!$AE85&gt;$F$3),$F$3,الموظفون!$AE85)-MAX($E$3,الموظفون!$H85)+1))</f>
        <v/>
      </c>
      <c r="AL85" s="156" t="str">
        <f aca="false">IF($B85="","",SUMIFS('سجل الإجازات والحالات'!$AY$6:$AY$505,'سجل الإجازات والحالات'!$B$6:$B$505,$B85)+SUMIFS('الحركات الشهرية'!$K$6:$K$1005,'الحركات الشهرية'!$B$6:$B$1005,$B85,'الحركات الشهرية'!$A$6:$A$1005,$C$3))</f>
        <v/>
      </c>
      <c r="AM85" s="116" t="str">
        <f aca="false">IF($B85="","",AL85*الموظفون!$R85/cfg_DAYS_M+S85)</f>
        <v/>
      </c>
      <c r="AN85" s="156" t="str">
        <f aca="false">IF($B85="","",SUMIFS('سجل الإجازات والحالات'!$AA$6:$AA$505,'سجل الإجازات والحالات'!$B$6:$B$505,$B85))</f>
        <v/>
      </c>
    </row>
    <row r="86" customFormat="false" ht="15" hidden="false" customHeight="false" outlineLevel="0" collapsed="false">
      <c r="A86" s="106" t="str">
        <f aca="false">IF($B86="","",الموظفون!$A86)</f>
        <v/>
      </c>
      <c r="B86" s="114" t="str">
        <f aca="false">IF(الموظفون!$B86="","",الموظفون!$B86)</f>
        <v/>
      </c>
      <c r="C86" s="114" t="str">
        <f aca="false">IF($B86="","",الموظفون!$C86)</f>
        <v/>
      </c>
      <c r="D86" s="114" t="str">
        <f aca="false">IF($B86="","",الموظفون!$F86)</f>
        <v/>
      </c>
      <c r="E86" s="114" t="str">
        <f aca="false">IF($B86="","",الموظفون!$E86)</f>
        <v/>
      </c>
      <c r="F86" s="114" t="str">
        <f aca="false">IF($B86="","",IF(AK86=0,IF(AND(الموظفون!$AE86&lt;&gt;"",الموظفون!$AE86&lt;$E$3),"✖ منتهي الخدمة","⏳ لم يباشر"),IF(S86&gt;0,"✈ راتب إجازة مقدم",IF(J86=0,"⛔ بدون راتب هذا الشهر",IF(I86&gt;0,"✈ خصم "&amp;ROUND(I86,2)&amp;" يوم بدون أجر",IF(AL86&gt;0,"🌴 إجازة سنوية "&amp;ROUND(AL86,2)&amp;" يوم",IF(H86&gt;0,"⚠ غياب "&amp;ROUND(H86,2)&amp;" يوم","✔ على رأس العمل")))))))</f>
        <v/>
      </c>
      <c r="G86" s="151" t="str">
        <f aca="false">IF($B86="","",IF(AK86&gt;=DAY($F$3),cfg_DAYS_M,MIN(AK86,cfg_DAYS_M)))</f>
        <v/>
      </c>
      <c r="H86" s="151" t="str">
        <f aca="false">IF($B86="","",SUMIFS('الحركات الشهرية'!$D$6:$D$1005,'الحركات الشهرية'!$B$6:$B$1005,$B86,'الحركات الشهرية'!$A$6:$A$1005,$C$3))</f>
        <v/>
      </c>
      <c r="I86" s="151" t="str">
        <f aca="false">IF($B86="","",MIN(G86,IF(AND(AK86&gt;0,AN86&gt;=AK86),G86,AN86)+SUMIFS('الحركات الشهرية'!$E$6:$E$1005,'الحركات الشهرية'!$B$6:$B$1005,$B86,'الحركات الشهرية'!$A$6:$A$1005,$C$3)))</f>
        <v/>
      </c>
      <c r="J86" s="151" t="str">
        <f aca="false">IF($B86="","",MAX(0,G86-H86-I86))</f>
        <v/>
      </c>
      <c r="K86" s="111" t="str">
        <f aca="false">IF($B86="","",الموظفون!$L86*$J86/cfg_DAYS_M)</f>
        <v/>
      </c>
      <c r="L86" s="111" t="str">
        <f aca="false">IF($B86="","",الموظفون!$M86*$J86/cfg_DAYS_M)</f>
        <v/>
      </c>
      <c r="M86" s="111" t="str">
        <f aca="false">IF($B86="","",الموظفون!$N86*$J86/cfg_DAYS_M)</f>
        <v/>
      </c>
      <c r="N86" s="111" t="str">
        <f aca="false">IF($B86="","",الموظفون!$O86*$J86/cfg_DAYS_M)</f>
        <v/>
      </c>
      <c r="O86" s="151" t="str">
        <f aca="false">IF($B86="","",SUMIFS('الحركات الشهرية'!$F$6:$F$1005,'الحركات الشهرية'!$B$6:$B$1005,$B86,'الحركات الشهرية'!$A$6:$A$1005,$C$3))</f>
        <v/>
      </c>
      <c r="P86" s="111" t="str">
        <f aca="false">IF($B86="","",O86*(الموظفون!$P86+الموظفون!$L86*cfg_OT_P)/cfg_DAYS_M/cfg_HRS)</f>
        <v/>
      </c>
      <c r="Q86" s="111" t="str">
        <f aca="false">IF($B86="","",SUMIFS('الحركات الشهرية'!$G$6:$G$1005,'الحركات الشهرية'!$B$6:$B$1005,$B86,'الحركات الشهرية'!$A$6:$A$1005,$C$3))</f>
        <v/>
      </c>
      <c r="R86" s="111" t="str">
        <f aca="false">IF($B86="","",SUMIFS('الحركات الشهرية'!$H$6:$H$1005,'الحركات الشهرية'!$B$6:$B$1005,$B86,'الحركات الشهرية'!$A$6:$A$1005,$C$3))</f>
        <v/>
      </c>
      <c r="S86" s="111" t="str">
        <f aca="false">IF($B86="","",SUMIFS('سجل الإجازات والحالات'!$N$6:$N$505,'سجل الإجازات والحالات'!$B$6:$B$505,$B86,'سجل الإجازات والحالات'!$O$6:$O$505,$C$3))</f>
        <v/>
      </c>
      <c r="T86" s="152" t="str">
        <f aca="false">IF($B86="","",SUM(K86:N86)+SUM(P86:S86))</f>
        <v/>
      </c>
      <c r="U86" s="111" t="str">
        <f aca="false">IF($B86="","",الموظفون!$S86*IF(E86="سعودي",cfg_G_SE,cfg_G_NE)*G86/cfg_DAYS_M)</f>
        <v/>
      </c>
      <c r="V86" s="111" t="str">
        <f aca="false">IF($B86="","",SUMIFS('الحركات الشهرية'!$I$6:$I$1005,'الحركات الشهرية'!$B$6:$B$1005,$B86,'الحركات الشهرية'!$A$6:$A$1005,$C$3))</f>
        <v/>
      </c>
      <c r="W86" s="111" t="str">
        <f aca="false">IF($B86="","",SUMIFS('الحركات الشهرية'!$J$6:$J$1005,'الحركات الشهرية'!$B$6:$B$1005,$B86,'الحركات الشهرية'!$A$6:$A$1005,$C$3))</f>
        <v/>
      </c>
      <c r="X86" s="111" t="str">
        <f aca="false">IF($B86="","",SUM(U86:W86))</f>
        <v/>
      </c>
      <c r="Y86" s="153" t="str">
        <f aca="false">IF($B86="","",T86-X86)</f>
        <v/>
      </c>
      <c r="Z86" s="111" t="str">
        <f aca="false">IF($B86="","",الموظفون!$S86*IF(E86="سعودي",cfg_G_SR,cfg_G_NR)*G86/cfg_DAYS_M)</f>
        <v/>
      </c>
      <c r="AA86" s="111" t="str">
        <f aca="false">IF($B86="","",الموظفون!$Q86*(cfg_EOS_R1*(MIN(AH86,cfg_EOS_TH)-MIN(AI86,cfg_EOS_TH))+cfg_EOS_R2*(MAX(AH86-cfg_EOS_TH,0)-MAX(AI86-cfg_EOS_TH,0))))</f>
        <v/>
      </c>
      <c r="AB86" s="111" t="str">
        <f aca="false">IF($B86="","",IF(الموظفون!$T86&lt;&gt;"",الموظفون!$T86,IF(AH86&gt;=cfg_LV_TH,cfg_LV_D2,cfg_LV_D1))/cfg_DAYS_Y*AJ86*الموظفون!$R86/cfg_DAYS_M)</f>
        <v/>
      </c>
      <c r="AC86" s="111" t="str">
        <f aca="false">IF($B86="","",IF(AND(الموظفون!$U86="نعم",N(الموظفون!$W86)&gt;0),الموظفون!$V86/الموظفون!$W86*12/cfg_DAYS_Y*AJ86,0))</f>
        <v/>
      </c>
      <c r="AD86" s="111" t="str">
        <f aca="false">IF($B86="","",(IF(الموظفون!$X86&lt;&gt;"",الموظفون!$X86,IF(الموظفون!$E86="غير سعودي",cfg_IQ,0))+IF(الموظفون!$Y86&lt;&gt;"",الموظفون!$Y86,IF(الموظفون!$E86="غير سعودي",cfg_WP,0)))/12*G86/cfg_DAYS_M)</f>
        <v/>
      </c>
      <c r="AE86" s="111" t="str">
        <f aca="false">IF($B86="","",IF(الموظفون!$Z86&lt;&gt;"",الموظفون!$Z86,cfg_MED)/12*G86/cfg_DAYS_M)</f>
        <v/>
      </c>
      <c r="AF86" s="111" t="str">
        <f aca="false">IF($B86="","",N(الموظفون!$AA86)/12*G86/cfg_DAYS_M)</f>
        <v/>
      </c>
      <c r="AG86" s="154" t="str">
        <f aca="false">IF($B86="","",T86+SUM(Z86:AF86))</f>
        <v/>
      </c>
      <c r="AH86" s="155" t="str">
        <f aca="false">IF($B86="","",MAX(0,IF(OR(الموظفون!$AE86="",الموظفون!$AE86&gt;$F$3),$F$3,الموظفون!$AE86)-الموظفون!$H86+1-SUMIFS('سجل الإجازات والحالات'!$AM$6:$AM$505,'سجل الإجازات والحالات'!$B$6:$B$505,$B86))/cfg_DAYS_Y)</f>
        <v/>
      </c>
      <c r="AI86" s="155" t="str">
        <f aca="false">IF($B86="","",MAX(0,IF(OR(الموظفون!$AE86="",الموظفون!$AE86&gt;($E$3-1)),($E$3-1),الموظفون!$AE86)-الموظفون!$H86+1-SUMIFS('سجل الإجازات والحالات'!$AL$6:$AL$505,'سجل الإجازات والحالات'!$B$6:$B$505,$B86))/cfg_DAYS_Y)</f>
        <v/>
      </c>
      <c r="AJ86" s="65" t="str">
        <f aca="false">IF($B86="","",MAX(0,AK86-(SUMIFS('سجل الإجازات والحالات'!$AM$6:$AM$505,'سجل الإجازات والحالات'!$B$6:$B$505,$B86)-SUMIFS('سجل الإجازات والحالات'!$AL$6:$AL$505,'سجل الإجازات والحالات'!$B$6:$B$505,$B86))))</f>
        <v/>
      </c>
      <c r="AK86" s="65" t="str">
        <f aca="false">IF($B86="","",MAX(0,IF(OR(الموظفون!$AE86="",الموظفون!$AE86&gt;$F$3),$F$3,الموظفون!$AE86)-MAX($E$3,الموظفون!$H86)+1))</f>
        <v/>
      </c>
      <c r="AL86" s="151" t="str">
        <f aca="false">IF($B86="","",SUMIFS('سجل الإجازات والحالات'!$AY$6:$AY$505,'سجل الإجازات والحالات'!$B$6:$B$505,$B86)+SUMIFS('الحركات الشهرية'!$K$6:$K$1005,'الحركات الشهرية'!$B$6:$B$1005,$B86,'الحركات الشهرية'!$A$6:$A$1005,$C$3))</f>
        <v/>
      </c>
      <c r="AM86" s="111" t="str">
        <f aca="false">IF($B86="","",AL86*الموظفون!$R86/cfg_DAYS_M+S86)</f>
        <v/>
      </c>
      <c r="AN86" s="151" t="str">
        <f aca="false">IF($B86="","",SUMIFS('سجل الإجازات والحالات'!$AA$6:$AA$505,'سجل الإجازات والحالات'!$B$6:$B$505,$B86))</f>
        <v/>
      </c>
    </row>
    <row r="87" customFormat="false" ht="15" hidden="false" customHeight="false" outlineLevel="0" collapsed="false">
      <c r="A87" s="115" t="str">
        <f aca="false">IF($B87="","",الموظفون!$A87)</f>
        <v/>
      </c>
      <c r="B87" s="117" t="str">
        <f aca="false">IF(الموظفون!$B87="","",الموظفون!$B87)</f>
        <v/>
      </c>
      <c r="C87" s="117" t="str">
        <f aca="false">IF($B87="","",الموظفون!$C87)</f>
        <v/>
      </c>
      <c r="D87" s="117" t="str">
        <f aca="false">IF($B87="","",الموظفون!$F87)</f>
        <v/>
      </c>
      <c r="E87" s="117" t="str">
        <f aca="false">IF($B87="","",الموظفون!$E87)</f>
        <v/>
      </c>
      <c r="F87" s="117" t="str">
        <f aca="false">IF($B87="","",IF(AK87=0,IF(AND(الموظفون!$AE87&lt;&gt;"",الموظفون!$AE87&lt;$E$3),"✖ منتهي الخدمة","⏳ لم يباشر"),IF(S87&gt;0,"✈ راتب إجازة مقدم",IF(J87=0,"⛔ بدون راتب هذا الشهر",IF(I87&gt;0,"✈ خصم "&amp;ROUND(I87,2)&amp;" يوم بدون أجر",IF(AL87&gt;0,"🌴 إجازة سنوية "&amp;ROUND(AL87,2)&amp;" يوم",IF(H87&gt;0,"⚠ غياب "&amp;ROUND(H87,2)&amp;" يوم","✔ على رأس العمل")))))))</f>
        <v/>
      </c>
      <c r="G87" s="156" t="str">
        <f aca="false">IF($B87="","",IF(AK87&gt;=DAY($F$3),cfg_DAYS_M,MIN(AK87,cfg_DAYS_M)))</f>
        <v/>
      </c>
      <c r="H87" s="156" t="str">
        <f aca="false">IF($B87="","",SUMIFS('الحركات الشهرية'!$D$6:$D$1005,'الحركات الشهرية'!$B$6:$B$1005,$B87,'الحركات الشهرية'!$A$6:$A$1005,$C$3))</f>
        <v/>
      </c>
      <c r="I87" s="156" t="str">
        <f aca="false">IF($B87="","",MIN(G87,IF(AND(AK87&gt;0,AN87&gt;=AK87),G87,AN87)+SUMIFS('الحركات الشهرية'!$E$6:$E$1005,'الحركات الشهرية'!$B$6:$B$1005,$B87,'الحركات الشهرية'!$A$6:$A$1005,$C$3)))</f>
        <v/>
      </c>
      <c r="J87" s="156" t="str">
        <f aca="false">IF($B87="","",MAX(0,G87-H87-I87))</f>
        <v/>
      </c>
      <c r="K87" s="116" t="str">
        <f aca="false">IF($B87="","",الموظفون!$L87*$J87/cfg_DAYS_M)</f>
        <v/>
      </c>
      <c r="L87" s="116" t="str">
        <f aca="false">IF($B87="","",الموظفون!$M87*$J87/cfg_DAYS_M)</f>
        <v/>
      </c>
      <c r="M87" s="116" t="str">
        <f aca="false">IF($B87="","",الموظفون!$N87*$J87/cfg_DAYS_M)</f>
        <v/>
      </c>
      <c r="N87" s="116" t="str">
        <f aca="false">IF($B87="","",الموظفون!$O87*$J87/cfg_DAYS_M)</f>
        <v/>
      </c>
      <c r="O87" s="156" t="str">
        <f aca="false">IF($B87="","",SUMIFS('الحركات الشهرية'!$F$6:$F$1005,'الحركات الشهرية'!$B$6:$B$1005,$B87,'الحركات الشهرية'!$A$6:$A$1005,$C$3))</f>
        <v/>
      </c>
      <c r="P87" s="116" t="str">
        <f aca="false">IF($B87="","",O87*(الموظفون!$P87+الموظفون!$L87*cfg_OT_P)/cfg_DAYS_M/cfg_HRS)</f>
        <v/>
      </c>
      <c r="Q87" s="116" t="str">
        <f aca="false">IF($B87="","",SUMIFS('الحركات الشهرية'!$G$6:$G$1005,'الحركات الشهرية'!$B$6:$B$1005,$B87,'الحركات الشهرية'!$A$6:$A$1005,$C$3))</f>
        <v/>
      </c>
      <c r="R87" s="116" t="str">
        <f aca="false">IF($B87="","",SUMIFS('الحركات الشهرية'!$H$6:$H$1005,'الحركات الشهرية'!$B$6:$B$1005,$B87,'الحركات الشهرية'!$A$6:$A$1005,$C$3))</f>
        <v/>
      </c>
      <c r="S87" s="116" t="str">
        <f aca="false">IF($B87="","",SUMIFS('سجل الإجازات والحالات'!$N$6:$N$505,'سجل الإجازات والحالات'!$B$6:$B$505,$B87,'سجل الإجازات والحالات'!$O$6:$O$505,$C$3))</f>
        <v/>
      </c>
      <c r="T87" s="157" t="str">
        <f aca="false">IF($B87="","",SUM(K87:N87)+SUM(P87:S87))</f>
        <v/>
      </c>
      <c r="U87" s="116" t="str">
        <f aca="false">IF($B87="","",الموظفون!$S87*IF(E87="سعودي",cfg_G_SE,cfg_G_NE)*G87/cfg_DAYS_M)</f>
        <v/>
      </c>
      <c r="V87" s="116" t="str">
        <f aca="false">IF($B87="","",SUMIFS('الحركات الشهرية'!$I$6:$I$1005,'الحركات الشهرية'!$B$6:$B$1005,$B87,'الحركات الشهرية'!$A$6:$A$1005,$C$3))</f>
        <v/>
      </c>
      <c r="W87" s="116" t="str">
        <f aca="false">IF($B87="","",SUMIFS('الحركات الشهرية'!$J$6:$J$1005,'الحركات الشهرية'!$B$6:$B$1005,$B87,'الحركات الشهرية'!$A$6:$A$1005,$C$3))</f>
        <v/>
      </c>
      <c r="X87" s="116" t="str">
        <f aca="false">IF($B87="","",SUM(U87:W87))</f>
        <v/>
      </c>
      <c r="Y87" s="158" t="str">
        <f aca="false">IF($B87="","",T87-X87)</f>
        <v/>
      </c>
      <c r="Z87" s="116" t="str">
        <f aca="false">IF($B87="","",الموظفون!$S87*IF(E87="سعودي",cfg_G_SR,cfg_G_NR)*G87/cfg_DAYS_M)</f>
        <v/>
      </c>
      <c r="AA87" s="116" t="str">
        <f aca="false">IF($B87="","",الموظفون!$Q87*(cfg_EOS_R1*(MIN(AH87,cfg_EOS_TH)-MIN(AI87,cfg_EOS_TH))+cfg_EOS_R2*(MAX(AH87-cfg_EOS_TH,0)-MAX(AI87-cfg_EOS_TH,0))))</f>
        <v/>
      </c>
      <c r="AB87" s="116" t="str">
        <f aca="false">IF($B87="","",IF(الموظفون!$T87&lt;&gt;"",الموظفون!$T87,IF(AH87&gt;=cfg_LV_TH,cfg_LV_D2,cfg_LV_D1))/cfg_DAYS_Y*AJ87*الموظفون!$R87/cfg_DAYS_M)</f>
        <v/>
      </c>
      <c r="AC87" s="116" t="str">
        <f aca="false">IF($B87="","",IF(AND(الموظفون!$U87="نعم",N(الموظفون!$W87)&gt;0),الموظفون!$V87/الموظفون!$W87*12/cfg_DAYS_Y*AJ87,0))</f>
        <v/>
      </c>
      <c r="AD87" s="116" t="str">
        <f aca="false">IF($B87="","",(IF(الموظفون!$X87&lt;&gt;"",الموظفون!$X87,IF(الموظفون!$E87="غير سعودي",cfg_IQ,0))+IF(الموظفون!$Y87&lt;&gt;"",الموظفون!$Y87,IF(الموظفون!$E87="غير سعودي",cfg_WP,0)))/12*G87/cfg_DAYS_M)</f>
        <v/>
      </c>
      <c r="AE87" s="116" t="str">
        <f aca="false">IF($B87="","",IF(الموظفون!$Z87&lt;&gt;"",الموظفون!$Z87,cfg_MED)/12*G87/cfg_DAYS_M)</f>
        <v/>
      </c>
      <c r="AF87" s="116" t="str">
        <f aca="false">IF($B87="","",N(الموظفون!$AA87)/12*G87/cfg_DAYS_M)</f>
        <v/>
      </c>
      <c r="AG87" s="159" t="str">
        <f aca="false">IF($B87="","",T87+SUM(Z87:AF87))</f>
        <v/>
      </c>
      <c r="AH87" s="160" t="str">
        <f aca="false">IF($B87="","",MAX(0,IF(OR(الموظفون!$AE87="",الموظفون!$AE87&gt;$F$3),$F$3,الموظفون!$AE87)-الموظفون!$H87+1-SUMIFS('سجل الإجازات والحالات'!$AM$6:$AM$505,'سجل الإجازات والحالات'!$B$6:$B$505,$B87))/cfg_DAYS_Y)</f>
        <v/>
      </c>
      <c r="AI87" s="160" t="str">
        <f aca="false">IF($B87="","",MAX(0,IF(OR(الموظفون!$AE87="",الموظفون!$AE87&gt;($E$3-1)),($E$3-1),الموظفون!$AE87)-الموظفون!$H87+1-SUMIFS('سجل الإجازات والحالات'!$AL$6:$AL$505,'سجل الإجازات والحالات'!$B$6:$B$505,$B87))/cfg_DAYS_Y)</f>
        <v/>
      </c>
      <c r="AJ87" s="133" t="str">
        <f aca="false">IF($B87="","",MAX(0,AK87-(SUMIFS('سجل الإجازات والحالات'!$AM$6:$AM$505,'سجل الإجازات والحالات'!$B$6:$B$505,$B87)-SUMIFS('سجل الإجازات والحالات'!$AL$6:$AL$505,'سجل الإجازات والحالات'!$B$6:$B$505,$B87))))</f>
        <v/>
      </c>
      <c r="AK87" s="133" t="str">
        <f aca="false">IF($B87="","",MAX(0,IF(OR(الموظفون!$AE87="",الموظفون!$AE87&gt;$F$3),$F$3,الموظفون!$AE87)-MAX($E$3,الموظفون!$H87)+1))</f>
        <v/>
      </c>
      <c r="AL87" s="156" t="str">
        <f aca="false">IF($B87="","",SUMIFS('سجل الإجازات والحالات'!$AY$6:$AY$505,'سجل الإجازات والحالات'!$B$6:$B$505,$B87)+SUMIFS('الحركات الشهرية'!$K$6:$K$1005,'الحركات الشهرية'!$B$6:$B$1005,$B87,'الحركات الشهرية'!$A$6:$A$1005,$C$3))</f>
        <v/>
      </c>
      <c r="AM87" s="116" t="str">
        <f aca="false">IF($B87="","",AL87*الموظفون!$R87/cfg_DAYS_M+S87)</f>
        <v/>
      </c>
      <c r="AN87" s="156" t="str">
        <f aca="false">IF($B87="","",SUMIFS('سجل الإجازات والحالات'!$AA$6:$AA$505,'سجل الإجازات والحالات'!$B$6:$B$505,$B87))</f>
        <v/>
      </c>
    </row>
    <row r="88" customFormat="false" ht="15" hidden="false" customHeight="false" outlineLevel="0" collapsed="false">
      <c r="A88" s="106" t="str">
        <f aca="false">IF($B88="","",الموظفون!$A88)</f>
        <v/>
      </c>
      <c r="B88" s="114" t="str">
        <f aca="false">IF(الموظفون!$B88="","",الموظفون!$B88)</f>
        <v/>
      </c>
      <c r="C88" s="114" t="str">
        <f aca="false">IF($B88="","",الموظفون!$C88)</f>
        <v/>
      </c>
      <c r="D88" s="114" t="str">
        <f aca="false">IF($B88="","",الموظفون!$F88)</f>
        <v/>
      </c>
      <c r="E88" s="114" t="str">
        <f aca="false">IF($B88="","",الموظفون!$E88)</f>
        <v/>
      </c>
      <c r="F88" s="114" t="str">
        <f aca="false">IF($B88="","",IF(AK88=0,IF(AND(الموظفون!$AE88&lt;&gt;"",الموظفون!$AE88&lt;$E$3),"✖ منتهي الخدمة","⏳ لم يباشر"),IF(S88&gt;0,"✈ راتب إجازة مقدم",IF(J88=0,"⛔ بدون راتب هذا الشهر",IF(I88&gt;0,"✈ خصم "&amp;ROUND(I88,2)&amp;" يوم بدون أجر",IF(AL88&gt;0,"🌴 إجازة سنوية "&amp;ROUND(AL88,2)&amp;" يوم",IF(H88&gt;0,"⚠ غياب "&amp;ROUND(H88,2)&amp;" يوم","✔ على رأس العمل")))))))</f>
        <v/>
      </c>
      <c r="G88" s="151" t="str">
        <f aca="false">IF($B88="","",IF(AK88&gt;=DAY($F$3),cfg_DAYS_M,MIN(AK88,cfg_DAYS_M)))</f>
        <v/>
      </c>
      <c r="H88" s="151" t="str">
        <f aca="false">IF($B88="","",SUMIFS('الحركات الشهرية'!$D$6:$D$1005,'الحركات الشهرية'!$B$6:$B$1005,$B88,'الحركات الشهرية'!$A$6:$A$1005,$C$3))</f>
        <v/>
      </c>
      <c r="I88" s="151" t="str">
        <f aca="false">IF($B88="","",MIN(G88,IF(AND(AK88&gt;0,AN88&gt;=AK88),G88,AN88)+SUMIFS('الحركات الشهرية'!$E$6:$E$1005,'الحركات الشهرية'!$B$6:$B$1005,$B88,'الحركات الشهرية'!$A$6:$A$1005,$C$3)))</f>
        <v/>
      </c>
      <c r="J88" s="151" t="str">
        <f aca="false">IF($B88="","",MAX(0,G88-H88-I88))</f>
        <v/>
      </c>
      <c r="K88" s="111" t="str">
        <f aca="false">IF($B88="","",الموظفون!$L88*$J88/cfg_DAYS_M)</f>
        <v/>
      </c>
      <c r="L88" s="111" t="str">
        <f aca="false">IF($B88="","",الموظفون!$M88*$J88/cfg_DAYS_M)</f>
        <v/>
      </c>
      <c r="M88" s="111" t="str">
        <f aca="false">IF($B88="","",الموظفون!$N88*$J88/cfg_DAYS_M)</f>
        <v/>
      </c>
      <c r="N88" s="111" t="str">
        <f aca="false">IF($B88="","",الموظفون!$O88*$J88/cfg_DAYS_M)</f>
        <v/>
      </c>
      <c r="O88" s="151" t="str">
        <f aca="false">IF($B88="","",SUMIFS('الحركات الشهرية'!$F$6:$F$1005,'الحركات الشهرية'!$B$6:$B$1005,$B88,'الحركات الشهرية'!$A$6:$A$1005,$C$3))</f>
        <v/>
      </c>
      <c r="P88" s="111" t="str">
        <f aca="false">IF($B88="","",O88*(الموظفون!$P88+الموظفون!$L88*cfg_OT_P)/cfg_DAYS_M/cfg_HRS)</f>
        <v/>
      </c>
      <c r="Q88" s="111" t="str">
        <f aca="false">IF($B88="","",SUMIFS('الحركات الشهرية'!$G$6:$G$1005,'الحركات الشهرية'!$B$6:$B$1005,$B88,'الحركات الشهرية'!$A$6:$A$1005,$C$3))</f>
        <v/>
      </c>
      <c r="R88" s="111" t="str">
        <f aca="false">IF($B88="","",SUMIFS('الحركات الشهرية'!$H$6:$H$1005,'الحركات الشهرية'!$B$6:$B$1005,$B88,'الحركات الشهرية'!$A$6:$A$1005,$C$3))</f>
        <v/>
      </c>
      <c r="S88" s="111" t="str">
        <f aca="false">IF($B88="","",SUMIFS('سجل الإجازات والحالات'!$N$6:$N$505,'سجل الإجازات والحالات'!$B$6:$B$505,$B88,'سجل الإجازات والحالات'!$O$6:$O$505,$C$3))</f>
        <v/>
      </c>
      <c r="T88" s="152" t="str">
        <f aca="false">IF($B88="","",SUM(K88:N88)+SUM(P88:S88))</f>
        <v/>
      </c>
      <c r="U88" s="111" t="str">
        <f aca="false">IF($B88="","",الموظفون!$S88*IF(E88="سعودي",cfg_G_SE,cfg_G_NE)*G88/cfg_DAYS_M)</f>
        <v/>
      </c>
      <c r="V88" s="111" t="str">
        <f aca="false">IF($B88="","",SUMIFS('الحركات الشهرية'!$I$6:$I$1005,'الحركات الشهرية'!$B$6:$B$1005,$B88,'الحركات الشهرية'!$A$6:$A$1005,$C$3))</f>
        <v/>
      </c>
      <c r="W88" s="111" t="str">
        <f aca="false">IF($B88="","",SUMIFS('الحركات الشهرية'!$J$6:$J$1005,'الحركات الشهرية'!$B$6:$B$1005,$B88,'الحركات الشهرية'!$A$6:$A$1005,$C$3))</f>
        <v/>
      </c>
      <c r="X88" s="111" t="str">
        <f aca="false">IF($B88="","",SUM(U88:W88))</f>
        <v/>
      </c>
      <c r="Y88" s="153" t="str">
        <f aca="false">IF($B88="","",T88-X88)</f>
        <v/>
      </c>
      <c r="Z88" s="111" t="str">
        <f aca="false">IF($B88="","",الموظفون!$S88*IF(E88="سعودي",cfg_G_SR,cfg_G_NR)*G88/cfg_DAYS_M)</f>
        <v/>
      </c>
      <c r="AA88" s="111" t="str">
        <f aca="false">IF($B88="","",الموظفون!$Q88*(cfg_EOS_R1*(MIN(AH88,cfg_EOS_TH)-MIN(AI88,cfg_EOS_TH))+cfg_EOS_R2*(MAX(AH88-cfg_EOS_TH,0)-MAX(AI88-cfg_EOS_TH,0))))</f>
        <v/>
      </c>
      <c r="AB88" s="111" t="str">
        <f aca="false">IF($B88="","",IF(الموظفون!$T88&lt;&gt;"",الموظفون!$T88,IF(AH88&gt;=cfg_LV_TH,cfg_LV_D2,cfg_LV_D1))/cfg_DAYS_Y*AJ88*الموظفون!$R88/cfg_DAYS_M)</f>
        <v/>
      </c>
      <c r="AC88" s="111" t="str">
        <f aca="false">IF($B88="","",IF(AND(الموظفون!$U88="نعم",N(الموظفون!$W88)&gt;0),الموظفون!$V88/الموظفون!$W88*12/cfg_DAYS_Y*AJ88,0))</f>
        <v/>
      </c>
      <c r="AD88" s="111" t="str">
        <f aca="false">IF($B88="","",(IF(الموظفون!$X88&lt;&gt;"",الموظفون!$X88,IF(الموظفون!$E88="غير سعودي",cfg_IQ,0))+IF(الموظفون!$Y88&lt;&gt;"",الموظفون!$Y88,IF(الموظفون!$E88="غير سعودي",cfg_WP,0)))/12*G88/cfg_DAYS_M)</f>
        <v/>
      </c>
      <c r="AE88" s="111" t="str">
        <f aca="false">IF($B88="","",IF(الموظفون!$Z88&lt;&gt;"",الموظفون!$Z88,cfg_MED)/12*G88/cfg_DAYS_M)</f>
        <v/>
      </c>
      <c r="AF88" s="111" t="str">
        <f aca="false">IF($B88="","",N(الموظفون!$AA88)/12*G88/cfg_DAYS_M)</f>
        <v/>
      </c>
      <c r="AG88" s="154" t="str">
        <f aca="false">IF($B88="","",T88+SUM(Z88:AF88))</f>
        <v/>
      </c>
      <c r="AH88" s="155" t="str">
        <f aca="false">IF($B88="","",MAX(0,IF(OR(الموظفون!$AE88="",الموظفون!$AE88&gt;$F$3),$F$3,الموظفون!$AE88)-الموظفون!$H88+1-SUMIFS('سجل الإجازات والحالات'!$AM$6:$AM$505,'سجل الإجازات والحالات'!$B$6:$B$505,$B88))/cfg_DAYS_Y)</f>
        <v/>
      </c>
      <c r="AI88" s="155" t="str">
        <f aca="false">IF($B88="","",MAX(0,IF(OR(الموظفون!$AE88="",الموظفون!$AE88&gt;($E$3-1)),($E$3-1),الموظفون!$AE88)-الموظفون!$H88+1-SUMIFS('سجل الإجازات والحالات'!$AL$6:$AL$505,'سجل الإجازات والحالات'!$B$6:$B$505,$B88))/cfg_DAYS_Y)</f>
        <v/>
      </c>
      <c r="AJ88" s="65" t="str">
        <f aca="false">IF($B88="","",MAX(0,AK88-(SUMIFS('سجل الإجازات والحالات'!$AM$6:$AM$505,'سجل الإجازات والحالات'!$B$6:$B$505,$B88)-SUMIFS('سجل الإجازات والحالات'!$AL$6:$AL$505,'سجل الإجازات والحالات'!$B$6:$B$505,$B88))))</f>
        <v/>
      </c>
      <c r="AK88" s="65" t="str">
        <f aca="false">IF($B88="","",MAX(0,IF(OR(الموظفون!$AE88="",الموظفون!$AE88&gt;$F$3),$F$3,الموظفون!$AE88)-MAX($E$3,الموظفون!$H88)+1))</f>
        <v/>
      </c>
      <c r="AL88" s="151" t="str">
        <f aca="false">IF($B88="","",SUMIFS('سجل الإجازات والحالات'!$AY$6:$AY$505,'سجل الإجازات والحالات'!$B$6:$B$505,$B88)+SUMIFS('الحركات الشهرية'!$K$6:$K$1005,'الحركات الشهرية'!$B$6:$B$1005,$B88,'الحركات الشهرية'!$A$6:$A$1005,$C$3))</f>
        <v/>
      </c>
      <c r="AM88" s="111" t="str">
        <f aca="false">IF($B88="","",AL88*الموظفون!$R88/cfg_DAYS_M+S88)</f>
        <v/>
      </c>
      <c r="AN88" s="151" t="str">
        <f aca="false">IF($B88="","",SUMIFS('سجل الإجازات والحالات'!$AA$6:$AA$505,'سجل الإجازات والحالات'!$B$6:$B$505,$B88))</f>
        <v/>
      </c>
    </row>
    <row r="89" customFormat="false" ht="15" hidden="false" customHeight="false" outlineLevel="0" collapsed="false">
      <c r="A89" s="115" t="str">
        <f aca="false">IF($B89="","",الموظفون!$A89)</f>
        <v/>
      </c>
      <c r="B89" s="117" t="str">
        <f aca="false">IF(الموظفون!$B89="","",الموظفون!$B89)</f>
        <v/>
      </c>
      <c r="C89" s="117" t="str">
        <f aca="false">IF($B89="","",الموظفون!$C89)</f>
        <v/>
      </c>
      <c r="D89" s="117" t="str">
        <f aca="false">IF($B89="","",الموظفون!$F89)</f>
        <v/>
      </c>
      <c r="E89" s="117" t="str">
        <f aca="false">IF($B89="","",الموظفون!$E89)</f>
        <v/>
      </c>
      <c r="F89" s="117" t="str">
        <f aca="false">IF($B89="","",IF(AK89=0,IF(AND(الموظفون!$AE89&lt;&gt;"",الموظفون!$AE89&lt;$E$3),"✖ منتهي الخدمة","⏳ لم يباشر"),IF(S89&gt;0,"✈ راتب إجازة مقدم",IF(J89=0,"⛔ بدون راتب هذا الشهر",IF(I89&gt;0,"✈ خصم "&amp;ROUND(I89,2)&amp;" يوم بدون أجر",IF(AL89&gt;0,"🌴 إجازة سنوية "&amp;ROUND(AL89,2)&amp;" يوم",IF(H89&gt;0,"⚠ غياب "&amp;ROUND(H89,2)&amp;" يوم","✔ على رأس العمل")))))))</f>
        <v/>
      </c>
      <c r="G89" s="156" t="str">
        <f aca="false">IF($B89="","",IF(AK89&gt;=DAY($F$3),cfg_DAYS_M,MIN(AK89,cfg_DAYS_M)))</f>
        <v/>
      </c>
      <c r="H89" s="156" t="str">
        <f aca="false">IF($B89="","",SUMIFS('الحركات الشهرية'!$D$6:$D$1005,'الحركات الشهرية'!$B$6:$B$1005,$B89,'الحركات الشهرية'!$A$6:$A$1005,$C$3))</f>
        <v/>
      </c>
      <c r="I89" s="156" t="str">
        <f aca="false">IF($B89="","",MIN(G89,IF(AND(AK89&gt;0,AN89&gt;=AK89),G89,AN89)+SUMIFS('الحركات الشهرية'!$E$6:$E$1005,'الحركات الشهرية'!$B$6:$B$1005,$B89,'الحركات الشهرية'!$A$6:$A$1005,$C$3)))</f>
        <v/>
      </c>
      <c r="J89" s="156" t="str">
        <f aca="false">IF($B89="","",MAX(0,G89-H89-I89))</f>
        <v/>
      </c>
      <c r="K89" s="116" t="str">
        <f aca="false">IF($B89="","",الموظفون!$L89*$J89/cfg_DAYS_M)</f>
        <v/>
      </c>
      <c r="L89" s="116" t="str">
        <f aca="false">IF($B89="","",الموظفون!$M89*$J89/cfg_DAYS_M)</f>
        <v/>
      </c>
      <c r="M89" s="116" t="str">
        <f aca="false">IF($B89="","",الموظفون!$N89*$J89/cfg_DAYS_M)</f>
        <v/>
      </c>
      <c r="N89" s="116" t="str">
        <f aca="false">IF($B89="","",الموظفون!$O89*$J89/cfg_DAYS_M)</f>
        <v/>
      </c>
      <c r="O89" s="156" t="str">
        <f aca="false">IF($B89="","",SUMIFS('الحركات الشهرية'!$F$6:$F$1005,'الحركات الشهرية'!$B$6:$B$1005,$B89,'الحركات الشهرية'!$A$6:$A$1005,$C$3))</f>
        <v/>
      </c>
      <c r="P89" s="116" t="str">
        <f aca="false">IF($B89="","",O89*(الموظفون!$P89+الموظفون!$L89*cfg_OT_P)/cfg_DAYS_M/cfg_HRS)</f>
        <v/>
      </c>
      <c r="Q89" s="116" t="str">
        <f aca="false">IF($B89="","",SUMIFS('الحركات الشهرية'!$G$6:$G$1005,'الحركات الشهرية'!$B$6:$B$1005,$B89,'الحركات الشهرية'!$A$6:$A$1005,$C$3))</f>
        <v/>
      </c>
      <c r="R89" s="116" t="str">
        <f aca="false">IF($B89="","",SUMIFS('الحركات الشهرية'!$H$6:$H$1005,'الحركات الشهرية'!$B$6:$B$1005,$B89,'الحركات الشهرية'!$A$6:$A$1005,$C$3))</f>
        <v/>
      </c>
      <c r="S89" s="116" t="str">
        <f aca="false">IF($B89="","",SUMIFS('سجل الإجازات والحالات'!$N$6:$N$505,'سجل الإجازات والحالات'!$B$6:$B$505,$B89,'سجل الإجازات والحالات'!$O$6:$O$505,$C$3))</f>
        <v/>
      </c>
      <c r="T89" s="157" t="str">
        <f aca="false">IF($B89="","",SUM(K89:N89)+SUM(P89:S89))</f>
        <v/>
      </c>
      <c r="U89" s="116" t="str">
        <f aca="false">IF($B89="","",الموظفون!$S89*IF(E89="سعودي",cfg_G_SE,cfg_G_NE)*G89/cfg_DAYS_M)</f>
        <v/>
      </c>
      <c r="V89" s="116" t="str">
        <f aca="false">IF($B89="","",SUMIFS('الحركات الشهرية'!$I$6:$I$1005,'الحركات الشهرية'!$B$6:$B$1005,$B89,'الحركات الشهرية'!$A$6:$A$1005,$C$3))</f>
        <v/>
      </c>
      <c r="W89" s="116" t="str">
        <f aca="false">IF($B89="","",SUMIFS('الحركات الشهرية'!$J$6:$J$1005,'الحركات الشهرية'!$B$6:$B$1005,$B89,'الحركات الشهرية'!$A$6:$A$1005,$C$3))</f>
        <v/>
      </c>
      <c r="X89" s="116" t="str">
        <f aca="false">IF($B89="","",SUM(U89:W89))</f>
        <v/>
      </c>
      <c r="Y89" s="158" t="str">
        <f aca="false">IF($B89="","",T89-X89)</f>
        <v/>
      </c>
      <c r="Z89" s="116" t="str">
        <f aca="false">IF($B89="","",الموظفون!$S89*IF(E89="سعودي",cfg_G_SR,cfg_G_NR)*G89/cfg_DAYS_M)</f>
        <v/>
      </c>
      <c r="AA89" s="116" t="str">
        <f aca="false">IF($B89="","",الموظفون!$Q89*(cfg_EOS_R1*(MIN(AH89,cfg_EOS_TH)-MIN(AI89,cfg_EOS_TH))+cfg_EOS_R2*(MAX(AH89-cfg_EOS_TH,0)-MAX(AI89-cfg_EOS_TH,0))))</f>
        <v/>
      </c>
      <c r="AB89" s="116" t="str">
        <f aca="false">IF($B89="","",IF(الموظفون!$T89&lt;&gt;"",الموظفون!$T89,IF(AH89&gt;=cfg_LV_TH,cfg_LV_D2,cfg_LV_D1))/cfg_DAYS_Y*AJ89*الموظفون!$R89/cfg_DAYS_M)</f>
        <v/>
      </c>
      <c r="AC89" s="116" t="str">
        <f aca="false">IF($B89="","",IF(AND(الموظفون!$U89="نعم",N(الموظفون!$W89)&gt;0),الموظفون!$V89/الموظفون!$W89*12/cfg_DAYS_Y*AJ89,0))</f>
        <v/>
      </c>
      <c r="AD89" s="116" t="str">
        <f aca="false">IF($B89="","",(IF(الموظفون!$X89&lt;&gt;"",الموظفون!$X89,IF(الموظفون!$E89="غير سعودي",cfg_IQ,0))+IF(الموظفون!$Y89&lt;&gt;"",الموظفون!$Y89,IF(الموظفون!$E89="غير سعودي",cfg_WP,0)))/12*G89/cfg_DAYS_M)</f>
        <v/>
      </c>
      <c r="AE89" s="116" t="str">
        <f aca="false">IF($B89="","",IF(الموظفون!$Z89&lt;&gt;"",الموظفون!$Z89,cfg_MED)/12*G89/cfg_DAYS_M)</f>
        <v/>
      </c>
      <c r="AF89" s="116" t="str">
        <f aca="false">IF($B89="","",N(الموظفون!$AA89)/12*G89/cfg_DAYS_M)</f>
        <v/>
      </c>
      <c r="AG89" s="159" t="str">
        <f aca="false">IF($B89="","",T89+SUM(Z89:AF89))</f>
        <v/>
      </c>
      <c r="AH89" s="160" t="str">
        <f aca="false">IF($B89="","",MAX(0,IF(OR(الموظفون!$AE89="",الموظفون!$AE89&gt;$F$3),$F$3,الموظفون!$AE89)-الموظفون!$H89+1-SUMIFS('سجل الإجازات والحالات'!$AM$6:$AM$505,'سجل الإجازات والحالات'!$B$6:$B$505,$B89))/cfg_DAYS_Y)</f>
        <v/>
      </c>
      <c r="AI89" s="160" t="str">
        <f aca="false">IF($B89="","",MAX(0,IF(OR(الموظفون!$AE89="",الموظفون!$AE89&gt;($E$3-1)),($E$3-1),الموظفون!$AE89)-الموظفون!$H89+1-SUMIFS('سجل الإجازات والحالات'!$AL$6:$AL$505,'سجل الإجازات والحالات'!$B$6:$B$505,$B89))/cfg_DAYS_Y)</f>
        <v/>
      </c>
      <c r="AJ89" s="133" t="str">
        <f aca="false">IF($B89="","",MAX(0,AK89-(SUMIFS('سجل الإجازات والحالات'!$AM$6:$AM$505,'سجل الإجازات والحالات'!$B$6:$B$505,$B89)-SUMIFS('سجل الإجازات والحالات'!$AL$6:$AL$505,'سجل الإجازات والحالات'!$B$6:$B$505,$B89))))</f>
        <v/>
      </c>
      <c r="AK89" s="133" t="str">
        <f aca="false">IF($B89="","",MAX(0,IF(OR(الموظفون!$AE89="",الموظفون!$AE89&gt;$F$3),$F$3,الموظفون!$AE89)-MAX($E$3,الموظفون!$H89)+1))</f>
        <v/>
      </c>
      <c r="AL89" s="156" t="str">
        <f aca="false">IF($B89="","",SUMIFS('سجل الإجازات والحالات'!$AY$6:$AY$505,'سجل الإجازات والحالات'!$B$6:$B$505,$B89)+SUMIFS('الحركات الشهرية'!$K$6:$K$1005,'الحركات الشهرية'!$B$6:$B$1005,$B89,'الحركات الشهرية'!$A$6:$A$1005,$C$3))</f>
        <v/>
      </c>
      <c r="AM89" s="116" t="str">
        <f aca="false">IF($B89="","",AL89*الموظفون!$R89/cfg_DAYS_M+S89)</f>
        <v/>
      </c>
      <c r="AN89" s="156" t="str">
        <f aca="false">IF($B89="","",SUMIFS('سجل الإجازات والحالات'!$AA$6:$AA$505,'سجل الإجازات والحالات'!$B$6:$B$505,$B89))</f>
        <v/>
      </c>
    </row>
    <row r="90" customFormat="false" ht="15" hidden="false" customHeight="false" outlineLevel="0" collapsed="false">
      <c r="A90" s="106" t="str">
        <f aca="false">IF($B90="","",الموظفون!$A90)</f>
        <v/>
      </c>
      <c r="B90" s="114" t="str">
        <f aca="false">IF(الموظفون!$B90="","",الموظفون!$B90)</f>
        <v/>
      </c>
      <c r="C90" s="114" t="str">
        <f aca="false">IF($B90="","",الموظفون!$C90)</f>
        <v/>
      </c>
      <c r="D90" s="114" t="str">
        <f aca="false">IF($B90="","",الموظفون!$F90)</f>
        <v/>
      </c>
      <c r="E90" s="114" t="str">
        <f aca="false">IF($B90="","",الموظفون!$E90)</f>
        <v/>
      </c>
      <c r="F90" s="114" t="str">
        <f aca="false">IF($B90="","",IF(AK90=0,IF(AND(الموظفون!$AE90&lt;&gt;"",الموظفون!$AE90&lt;$E$3),"✖ منتهي الخدمة","⏳ لم يباشر"),IF(S90&gt;0,"✈ راتب إجازة مقدم",IF(J90=0,"⛔ بدون راتب هذا الشهر",IF(I90&gt;0,"✈ خصم "&amp;ROUND(I90,2)&amp;" يوم بدون أجر",IF(AL90&gt;0,"🌴 إجازة سنوية "&amp;ROUND(AL90,2)&amp;" يوم",IF(H90&gt;0,"⚠ غياب "&amp;ROUND(H90,2)&amp;" يوم","✔ على رأس العمل")))))))</f>
        <v/>
      </c>
      <c r="G90" s="151" t="str">
        <f aca="false">IF($B90="","",IF(AK90&gt;=DAY($F$3),cfg_DAYS_M,MIN(AK90,cfg_DAYS_M)))</f>
        <v/>
      </c>
      <c r="H90" s="151" t="str">
        <f aca="false">IF($B90="","",SUMIFS('الحركات الشهرية'!$D$6:$D$1005,'الحركات الشهرية'!$B$6:$B$1005,$B90,'الحركات الشهرية'!$A$6:$A$1005,$C$3))</f>
        <v/>
      </c>
      <c r="I90" s="151" t="str">
        <f aca="false">IF($B90="","",MIN(G90,IF(AND(AK90&gt;0,AN90&gt;=AK90),G90,AN90)+SUMIFS('الحركات الشهرية'!$E$6:$E$1005,'الحركات الشهرية'!$B$6:$B$1005,$B90,'الحركات الشهرية'!$A$6:$A$1005,$C$3)))</f>
        <v/>
      </c>
      <c r="J90" s="151" t="str">
        <f aca="false">IF($B90="","",MAX(0,G90-H90-I90))</f>
        <v/>
      </c>
      <c r="K90" s="111" t="str">
        <f aca="false">IF($B90="","",الموظفون!$L90*$J90/cfg_DAYS_M)</f>
        <v/>
      </c>
      <c r="L90" s="111" t="str">
        <f aca="false">IF($B90="","",الموظفون!$M90*$J90/cfg_DAYS_M)</f>
        <v/>
      </c>
      <c r="M90" s="111" t="str">
        <f aca="false">IF($B90="","",الموظفون!$N90*$J90/cfg_DAYS_M)</f>
        <v/>
      </c>
      <c r="N90" s="111" t="str">
        <f aca="false">IF($B90="","",الموظفون!$O90*$J90/cfg_DAYS_M)</f>
        <v/>
      </c>
      <c r="O90" s="151" t="str">
        <f aca="false">IF($B90="","",SUMIFS('الحركات الشهرية'!$F$6:$F$1005,'الحركات الشهرية'!$B$6:$B$1005,$B90,'الحركات الشهرية'!$A$6:$A$1005,$C$3))</f>
        <v/>
      </c>
      <c r="P90" s="111" t="str">
        <f aca="false">IF($B90="","",O90*(الموظفون!$P90+الموظفون!$L90*cfg_OT_P)/cfg_DAYS_M/cfg_HRS)</f>
        <v/>
      </c>
      <c r="Q90" s="111" t="str">
        <f aca="false">IF($B90="","",SUMIFS('الحركات الشهرية'!$G$6:$G$1005,'الحركات الشهرية'!$B$6:$B$1005,$B90,'الحركات الشهرية'!$A$6:$A$1005,$C$3))</f>
        <v/>
      </c>
      <c r="R90" s="111" t="str">
        <f aca="false">IF($B90="","",SUMIFS('الحركات الشهرية'!$H$6:$H$1005,'الحركات الشهرية'!$B$6:$B$1005,$B90,'الحركات الشهرية'!$A$6:$A$1005,$C$3))</f>
        <v/>
      </c>
      <c r="S90" s="111" t="str">
        <f aca="false">IF($B90="","",SUMIFS('سجل الإجازات والحالات'!$N$6:$N$505,'سجل الإجازات والحالات'!$B$6:$B$505,$B90,'سجل الإجازات والحالات'!$O$6:$O$505,$C$3))</f>
        <v/>
      </c>
      <c r="T90" s="152" t="str">
        <f aca="false">IF($B90="","",SUM(K90:N90)+SUM(P90:S90))</f>
        <v/>
      </c>
      <c r="U90" s="111" t="str">
        <f aca="false">IF($B90="","",الموظفون!$S90*IF(E90="سعودي",cfg_G_SE,cfg_G_NE)*G90/cfg_DAYS_M)</f>
        <v/>
      </c>
      <c r="V90" s="111" t="str">
        <f aca="false">IF($B90="","",SUMIFS('الحركات الشهرية'!$I$6:$I$1005,'الحركات الشهرية'!$B$6:$B$1005,$B90,'الحركات الشهرية'!$A$6:$A$1005,$C$3))</f>
        <v/>
      </c>
      <c r="W90" s="111" t="str">
        <f aca="false">IF($B90="","",SUMIFS('الحركات الشهرية'!$J$6:$J$1005,'الحركات الشهرية'!$B$6:$B$1005,$B90,'الحركات الشهرية'!$A$6:$A$1005,$C$3))</f>
        <v/>
      </c>
      <c r="X90" s="111" t="str">
        <f aca="false">IF($B90="","",SUM(U90:W90))</f>
        <v/>
      </c>
      <c r="Y90" s="153" t="str">
        <f aca="false">IF($B90="","",T90-X90)</f>
        <v/>
      </c>
      <c r="Z90" s="111" t="str">
        <f aca="false">IF($B90="","",الموظفون!$S90*IF(E90="سعودي",cfg_G_SR,cfg_G_NR)*G90/cfg_DAYS_M)</f>
        <v/>
      </c>
      <c r="AA90" s="111" t="str">
        <f aca="false">IF($B90="","",الموظفون!$Q90*(cfg_EOS_R1*(MIN(AH90,cfg_EOS_TH)-MIN(AI90,cfg_EOS_TH))+cfg_EOS_R2*(MAX(AH90-cfg_EOS_TH,0)-MAX(AI90-cfg_EOS_TH,0))))</f>
        <v/>
      </c>
      <c r="AB90" s="111" t="str">
        <f aca="false">IF($B90="","",IF(الموظفون!$T90&lt;&gt;"",الموظفون!$T90,IF(AH90&gt;=cfg_LV_TH,cfg_LV_D2,cfg_LV_D1))/cfg_DAYS_Y*AJ90*الموظفون!$R90/cfg_DAYS_M)</f>
        <v/>
      </c>
      <c r="AC90" s="111" t="str">
        <f aca="false">IF($B90="","",IF(AND(الموظفون!$U90="نعم",N(الموظفون!$W90)&gt;0),الموظفون!$V90/الموظفون!$W90*12/cfg_DAYS_Y*AJ90,0))</f>
        <v/>
      </c>
      <c r="AD90" s="111" t="str">
        <f aca="false">IF($B90="","",(IF(الموظفون!$X90&lt;&gt;"",الموظفون!$X90,IF(الموظفون!$E90="غير سعودي",cfg_IQ,0))+IF(الموظفون!$Y90&lt;&gt;"",الموظفون!$Y90,IF(الموظفون!$E90="غير سعودي",cfg_WP,0)))/12*G90/cfg_DAYS_M)</f>
        <v/>
      </c>
      <c r="AE90" s="111" t="str">
        <f aca="false">IF($B90="","",IF(الموظفون!$Z90&lt;&gt;"",الموظفون!$Z90,cfg_MED)/12*G90/cfg_DAYS_M)</f>
        <v/>
      </c>
      <c r="AF90" s="111" t="str">
        <f aca="false">IF($B90="","",N(الموظفون!$AA90)/12*G90/cfg_DAYS_M)</f>
        <v/>
      </c>
      <c r="AG90" s="154" t="str">
        <f aca="false">IF($B90="","",T90+SUM(Z90:AF90))</f>
        <v/>
      </c>
      <c r="AH90" s="155" t="str">
        <f aca="false">IF($B90="","",MAX(0,IF(OR(الموظفون!$AE90="",الموظفون!$AE90&gt;$F$3),$F$3,الموظفون!$AE90)-الموظفون!$H90+1-SUMIFS('سجل الإجازات والحالات'!$AM$6:$AM$505,'سجل الإجازات والحالات'!$B$6:$B$505,$B90))/cfg_DAYS_Y)</f>
        <v/>
      </c>
      <c r="AI90" s="155" t="str">
        <f aca="false">IF($B90="","",MAX(0,IF(OR(الموظفون!$AE90="",الموظفون!$AE90&gt;($E$3-1)),($E$3-1),الموظفون!$AE90)-الموظفون!$H90+1-SUMIFS('سجل الإجازات والحالات'!$AL$6:$AL$505,'سجل الإجازات والحالات'!$B$6:$B$505,$B90))/cfg_DAYS_Y)</f>
        <v/>
      </c>
      <c r="AJ90" s="65" t="str">
        <f aca="false">IF($B90="","",MAX(0,AK90-(SUMIFS('سجل الإجازات والحالات'!$AM$6:$AM$505,'سجل الإجازات والحالات'!$B$6:$B$505,$B90)-SUMIFS('سجل الإجازات والحالات'!$AL$6:$AL$505,'سجل الإجازات والحالات'!$B$6:$B$505,$B90))))</f>
        <v/>
      </c>
      <c r="AK90" s="65" t="str">
        <f aca="false">IF($B90="","",MAX(0,IF(OR(الموظفون!$AE90="",الموظفون!$AE90&gt;$F$3),$F$3,الموظفون!$AE90)-MAX($E$3,الموظفون!$H90)+1))</f>
        <v/>
      </c>
      <c r="AL90" s="151" t="str">
        <f aca="false">IF($B90="","",SUMIFS('سجل الإجازات والحالات'!$AY$6:$AY$505,'سجل الإجازات والحالات'!$B$6:$B$505,$B90)+SUMIFS('الحركات الشهرية'!$K$6:$K$1005,'الحركات الشهرية'!$B$6:$B$1005,$B90,'الحركات الشهرية'!$A$6:$A$1005,$C$3))</f>
        <v/>
      </c>
      <c r="AM90" s="111" t="str">
        <f aca="false">IF($B90="","",AL90*الموظفون!$R90/cfg_DAYS_M+S90)</f>
        <v/>
      </c>
      <c r="AN90" s="151" t="str">
        <f aca="false">IF($B90="","",SUMIFS('سجل الإجازات والحالات'!$AA$6:$AA$505,'سجل الإجازات والحالات'!$B$6:$B$505,$B90))</f>
        <v/>
      </c>
    </row>
    <row r="91" customFormat="false" ht="15" hidden="false" customHeight="false" outlineLevel="0" collapsed="false">
      <c r="A91" s="115" t="str">
        <f aca="false">IF($B91="","",الموظفون!$A91)</f>
        <v/>
      </c>
      <c r="B91" s="117" t="str">
        <f aca="false">IF(الموظفون!$B91="","",الموظفون!$B91)</f>
        <v/>
      </c>
      <c r="C91" s="117" t="str">
        <f aca="false">IF($B91="","",الموظفون!$C91)</f>
        <v/>
      </c>
      <c r="D91" s="117" t="str">
        <f aca="false">IF($B91="","",الموظفون!$F91)</f>
        <v/>
      </c>
      <c r="E91" s="117" t="str">
        <f aca="false">IF($B91="","",الموظفون!$E91)</f>
        <v/>
      </c>
      <c r="F91" s="117" t="str">
        <f aca="false">IF($B91="","",IF(AK91=0,IF(AND(الموظفون!$AE91&lt;&gt;"",الموظفون!$AE91&lt;$E$3),"✖ منتهي الخدمة","⏳ لم يباشر"),IF(S91&gt;0,"✈ راتب إجازة مقدم",IF(J91=0,"⛔ بدون راتب هذا الشهر",IF(I91&gt;0,"✈ خصم "&amp;ROUND(I91,2)&amp;" يوم بدون أجر",IF(AL91&gt;0,"🌴 إجازة سنوية "&amp;ROUND(AL91,2)&amp;" يوم",IF(H91&gt;0,"⚠ غياب "&amp;ROUND(H91,2)&amp;" يوم","✔ على رأس العمل")))))))</f>
        <v/>
      </c>
      <c r="G91" s="156" t="str">
        <f aca="false">IF($B91="","",IF(AK91&gt;=DAY($F$3),cfg_DAYS_M,MIN(AK91,cfg_DAYS_M)))</f>
        <v/>
      </c>
      <c r="H91" s="156" t="str">
        <f aca="false">IF($B91="","",SUMIFS('الحركات الشهرية'!$D$6:$D$1005,'الحركات الشهرية'!$B$6:$B$1005,$B91,'الحركات الشهرية'!$A$6:$A$1005,$C$3))</f>
        <v/>
      </c>
      <c r="I91" s="156" t="str">
        <f aca="false">IF($B91="","",MIN(G91,IF(AND(AK91&gt;0,AN91&gt;=AK91),G91,AN91)+SUMIFS('الحركات الشهرية'!$E$6:$E$1005,'الحركات الشهرية'!$B$6:$B$1005,$B91,'الحركات الشهرية'!$A$6:$A$1005,$C$3)))</f>
        <v/>
      </c>
      <c r="J91" s="156" t="str">
        <f aca="false">IF($B91="","",MAX(0,G91-H91-I91))</f>
        <v/>
      </c>
      <c r="K91" s="116" t="str">
        <f aca="false">IF($B91="","",الموظفون!$L91*$J91/cfg_DAYS_M)</f>
        <v/>
      </c>
      <c r="L91" s="116" t="str">
        <f aca="false">IF($B91="","",الموظفون!$M91*$J91/cfg_DAYS_M)</f>
        <v/>
      </c>
      <c r="M91" s="116" t="str">
        <f aca="false">IF($B91="","",الموظفون!$N91*$J91/cfg_DAYS_M)</f>
        <v/>
      </c>
      <c r="N91" s="116" t="str">
        <f aca="false">IF($B91="","",الموظفون!$O91*$J91/cfg_DAYS_M)</f>
        <v/>
      </c>
      <c r="O91" s="156" t="str">
        <f aca="false">IF($B91="","",SUMIFS('الحركات الشهرية'!$F$6:$F$1005,'الحركات الشهرية'!$B$6:$B$1005,$B91,'الحركات الشهرية'!$A$6:$A$1005,$C$3))</f>
        <v/>
      </c>
      <c r="P91" s="116" t="str">
        <f aca="false">IF($B91="","",O91*(الموظفون!$P91+الموظفون!$L91*cfg_OT_P)/cfg_DAYS_M/cfg_HRS)</f>
        <v/>
      </c>
      <c r="Q91" s="116" t="str">
        <f aca="false">IF($B91="","",SUMIFS('الحركات الشهرية'!$G$6:$G$1005,'الحركات الشهرية'!$B$6:$B$1005,$B91,'الحركات الشهرية'!$A$6:$A$1005,$C$3))</f>
        <v/>
      </c>
      <c r="R91" s="116" t="str">
        <f aca="false">IF($B91="","",SUMIFS('الحركات الشهرية'!$H$6:$H$1005,'الحركات الشهرية'!$B$6:$B$1005,$B91,'الحركات الشهرية'!$A$6:$A$1005,$C$3))</f>
        <v/>
      </c>
      <c r="S91" s="116" t="str">
        <f aca="false">IF($B91="","",SUMIFS('سجل الإجازات والحالات'!$N$6:$N$505,'سجل الإجازات والحالات'!$B$6:$B$505,$B91,'سجل الإجازات والحالات'!$O$6:$O$505,$C$3))</f>
        <v/>
      </c>
      <c r="T91" s="157" t="str">
        <f aca="false">IF($B91="","",SUM(K91:N91)+SUM(P91:S91))</f>
        <v/>
      </c>
      <c r="U91" s="116" t="str">
        <f aca="false">IF($B91="","",الموظفون!$S91*IF(E91="سعودي",cfg_G_SE,cfg_G_NE)*G91/cfg_DAYS_M)</f>
        <v/>
      </c>
      <c r="V91" s="116" t="str">
        <f aca="false">IF($B91="","",SUMIFS('الحركات الشهرية'!$I$6:$I$1005,'الحركات الشهرية'!$B$6:$B$1005,$B91,'الحركات الشهرية'!$A$6:$A$1005,$C$3))</f>
        <v/>
      </c>
      <c r="W91" s="116" t="str">
        <f aca="false">IF($B91="","",SUMIFS('الحركات الشهرية'!$J$6:$J$1005,'الحركات الشهرية'!$B$6:$B$1005,$B91,'الحركات الشهرية'!$A$6:$A$1005,$C$3))</f>
        <v/>
      </c>
      <c r="X91" s="116" t="str">
        <f aca="false">IF($B91="","",SUM(U91:W91))</f>
        <v/>
      </c>
      <c r="Y91" s="158" t="str">
        <f aca="false">IF($B91="","",T91-X91)</f>
        <v/>
      </c>
      <c r="Z91" s="116" t="str">
        <f aca="false">IF($B91="","",الموظفون!$S91*IF(E91="سعودي",cfg_G_SR,cfg_G_NR)*G91/cfg_DAYS_M)</f>
        <v/>
      </c>
      <c r="AA91" s="116" t="str">
        <f aca="false">IF($B91="","",الموظفون!$Q91*(cfg_EOS_R1*(MIN(AH91,cfg_EOS_TH)-MIN(AI91,cfg_EOS_TH))+cfg_EOS_R2*(MAX(AH91-cfg_EOS_TH,0)-MAX(AI91-cfg_EOS_TH,0))))</f>
        <v/>
      </c>
      <c r="AB91" s="116" t="str">
        <f aca="false">IF($B91="","",IF(الموظفون!$T91&lt;&gt;"",الموظفون!$T91,IF(AH91&gt;=cfg_LV_TH,cfg_LV_D2,cfg_LV_D1))/cfg_DAYS_Y*AJ91*الموظفون!$R91/cfg_DAYS_M)</f>
        <v/>
      </c>
      <c r="AC91" s="116" t="str">
        <f aca="false">IF($B91="","",IF(AND(الموظفون!$U91="نعم",N(الموظفون!$W91)&gt;0),الموظفون!$V91/الموظفون!$W91*12/cfg_DAYS_Y*AJ91,0))</f>
        <v/>
      </c>
      <c r="AD91" s="116" t="str">
        <f aca="false">IF($B91="","",(IF(الموظفون!$X91&lt;&gt;"",الموظفون!$X91,IF(الموظفون!$E91="غير سعودي",cfg_IQ,0))+IF(الموظفون!$Y91&lt;&gt;"",الموظفون!$Y91,IF(الموظفون!$E91="غير سعودي",cfg_WP,0)))/12*G91/cfg_DAYS_M)</f>
        <v/>
      </c>
      <c r="AE91" s="116" t="str">
        <f aca="false">IF($B91="","",IF(الموظفون!$Z91&lt;&gt;"",الموظفون!$Z91,cfg_MED)/12*G91/cfg_DAYS_M)</f>
        <v/>
      </c>
      <c r="AF91" s="116" t="str">
        <f aca="false">IF($B91="","",N(الموظفون!$AA91)/12*G91/cfg_DAYS_M)</f>
        <v/>
      </c>
      <c r="AG91" s="159" t="str">
        <f aca="false">IF($B91="","",T91+SUM(Z91:AF91))</f>
        <v/>
      </c>
      <c r="AH91" s="160" t="str">
        <f aca="false">IF($B91="","",MAX(0,IF(OR(الموظفون!$AE91="",الموظفون!$AE91&gt;$F$3),$F$3,الموظفون!$AE91)-الموظفون!$H91+1-SUMIFS('سجل الإجازات والحالات'!$AM$6:$AM$505,'سجل الإجازات والحالات'!$B$6:$B$505,$B91))/cfg_DAYS_Y)</f>
        <v/>
      </c>
      <c r="AI91" s="160" t="str">
        <f aca="false">IF($B91="","",MAX(0,IF(OR(الموظفون!$AE91="",الموظفون!$AE91&gt;($E$3-1)),($E$3-1),الموظفون!$AE91)-الموظفون!$H91+1-SUMIFS('سجل الإجازات والحالات'!$AL$6:$AL$505,'سجل الإجازات والحالات'!$B$6:$B$505,$B91))/cfg_DAYS_Y)</f>
        <v/>
      </c>
      <c r="AJ91" s="133" t="str">
        <f aca="false">IF($B91="","",MAX(0,AK91-(SUMIFS('سجل الإجازات والحالات'!$AM$6:$AM$505,'سجل الإجازات والحالات'!$B$6:$B$505,$B91)-SUMIFS('سجل الإجازات والحالات'!$AL$6:$AL$505,'سجل الإجازات والحالات'!$B$6:$B$505,$B91))))</f>
        <v/>
      </c>
      <c r="AK91" s="133" t="str">
        <f aca="false">IF($B91="","",MAX(0,IF(OR(الموظفون!$AE91="",الموظفون!$AE91&gt;$F$3),$F$3,الموظفون!$AE91)-MAX($E$3,الموظفون!$H91)+1))</f>
        <v/>
      </c>
      <c r="AL91" s="156" t="str">
        <f aca="false">IF($B91="","",SUMIFS('سجل الإجازات والحالات'!$AY$6:$AY$505,'سجل الإجازات والحالات'!$B$6:$B$505,$B91)+SUMIFS('الحركات الشهرية'!$K$6:$K$1005,'الحركات الشهرية'!$B$6:$B$1005,$B91,'الحركات الشهرية'!$A$6:$A$1005,$C$3))</f>
        <v/>
      </c>
      <c r="AM91" s="116" t="str">
        <f aca="false">IF($B91="","",AL91*الموظفون!$R91/cfg_DAYS_M+S91)</f>
        <v/>
      </c>
      <c r="AN91" s="156" t="str">
        <f aca="false">IF($B91="","",SUMIFS('سجل الإجازات والحالات'!$AA$6:$AA$505,'سجل الإجازات والحالات'!$B$6:$B$505,$B91))</f>
        <v/>
      </c>
    </row>
    <row r="92" customFormat="false" ht="15" hidden="false" customHeight="false" outlineLevel="0" collapsed="false">
      <c r="A92" s="106" t="str">
        <f aca="false">IF($B92="","",الموظفون!$A92)</f>
        <v/>
      </c>
      <c r="B92" s="114" t="str">
        <f aca="false">IF(الموظفون!$B92="","",الموظفون!$B92)</f>
        <v/>
      </c>
      <c r="C92" s="114" t="str">
        <f aca="false">IF($B92="","",الموظفون!$C92)</f>
        <v/>
      </c>
      <c r="D92" s="114" t="str">
        <f aca="false">IF($B92="","",الموظفون!$F92)</f>
        <v/>
      </c>
      <c r="E92" s="114" t="str">
        <f aca="false">IF($B92="","",الموظفون!$E92)</f>
        <v/>
      </c>
      <c r="F92" s="114" t="str">
        <f aca="false">IF($B92="","",IF(AK92=0,IF(AND(الموظفون!$AE92&lt;&gt;"",الموظفون!$AE92&lt;$E$3),"✖ منتهي الخدمة","⏳ لم يباشر"),IF(S92&gt;0,"✈ راتب إجازة مقدم",IF(J92=0,"⛔ بدون راتب هذا الشهر",IF(I92&gt;0,"✈ خصم "&amp;ROUND(I92,2)&amp;" يوم بدون أجر",IF(AL92&gt;0,"🌴 إجازة سنوية "&amp;ROUND(AL92,2)&amp;" يوم",IF(H92&gt;0,"⚠ غياب "&amp;ROUND(H92,2)&amp;" يوم","✔ على رأس العمل")))))))</f>
        <v/>
      </c>
      <c r="G92" s="151" t="str">
        <f aca="false">IF($B92="","",IF(AK92&gt;=DAY($F$3),cfg_DAYS_M,MIN(AK92,cfg_DAYS_M)))</f>
        <v/>
      </c>
      <c r="H92" s="151" t="str">
        <f aca="false">IF($B92="","",SUMIFS('الحركات الشهرية'!$D$6:$D$1005,'الحركات الشهرية'!$B$6:$B$1005,$B92,'الحركات الشهرية'!$A$6:$A$1005,$C$3))</f>
        <v/>
      </c>
      <c r="I92" s="151" t="str">
        <f aca="false">IF($B92="","",MIN(G92,IF(AND(AK92&gt;0,AN92&gt;=AK92),G92,AN92)+SUMIFS('الحركات الشهرية'!$E$6:$E$1005,'الحركات الشهرية'!$B$6:$B$1005,$B92,'الحركات الشهرية'!$A$6:$A$1005,$C$3)))</f>
        <v/>
      </c>
      <c r="J92" s="151" t="str">
        <f aca="false">IF($B92="","",MAX(0,G92-H92-I92))</f>
        <v/>
      </c>
      <c r="K92" s="111" t="str">
        <f aca="false">IF($B92="","",الموظفون!$L92*$J92/cfg_DAYS_M)</f>
        <v/>
      </c>
      <c r="L92" s="111" t="str">
        <f aca="false">IF($B92="","",الموظفون!$M92*$J92/cfg_DAYS_M)</f>
        <v/>
      </c>
      <c r="M92" s="111" t="str">
        <f aca="false">IF($B92="","",الموظفون!$N92*$J92/cfg_DAYS_M)</f>
        <v/>
      </c>
      <c r="N92" s="111" t="str">
        <f aca="false">IF($B92="","",الموظفون!$O92*$J92/cfg_DAYS_M)</f>
        <v/>
      </c>
      <c r="O92" s="151" t="str">
        <f aca="false">IF($B92="","",SUMIFS('الحركات الشهرية'!$F$6:$F$1005,'الحركات الشهرية'!$B$6:$B$1005,$B92,'الحركات الشهرية'!$A$6:$A$1005,$C$3))</f>
        <v/>
      </c>
      <c r="P92" s="111" t="str">
        <f aca="false">IF($B92="","",O92*(الموظفون!$P92+الموظفون!$L92*cfg_OT_P)/cfg_DAYS_M/cfg_HRS)</f>
        <v/>
      </c>
      <c r="Q92" s="111" t="str">
        <f aca="false">IF($B92="","",SUMIFS('الحركات الشهرية'!$G$6:$G$1005,'الحركات الشهرية'!$B$6:$B$1005,$B92,'الحركات الشهرية'!$A$6:$A$1005,$C$3))</f>
        <v/>
      </c>
      <c r="R92" s="111" t="str">
        <f aca="false">IF($B92="","",SUMIFS('الحركات الشهرية'!$H$6:$H$1005,'الحركات الشهرية'!$B$6:$B$1005,$B92,'الحركات الشهرية'!$A$6:$A$1005,$C$3))</f>
        <v/>
      </c>
      <c r="S92" s="111" t="str">
        <f aca="false">IF($B92="","",SUMIFS('سجل الإجازات والحالات'!$N$6:$N$505,'سجل الإجازات والحالات'!$B$6:$B$505,$B92,'سجل الإجازات والحالات'!$O$6:$O$505,$C$3))</f>
        <v/>
      </c>
      <c r="T92" s="152" t="str">
        <f aca="false">IF($B92="","",SUM(K92:N92)+SUM(P92:S92))</f>
        <v/>
      </c>
      <c r="U92" s="111" t="str">
        <f aca="false">IF($B92="","",الموظفون!$S92*IF(E92="سعودي",cfg_G_SE,cfg_G_NE)*G92/cfg_DAYS_M)</f>
        <v/>
      </c>
      <c r="V92" s="111" t="str">
        <f aca="false">IF($B92="","",SUMIFS('الحركات الشهرية'!$I$6:$I$1005,'الحركات الشهرية'!$B$6:$B$1005,$B92,'الحركات الشهرية'!$A$6:$A$1005,$C$3))</f>
        <v/>
      </c>
      <c r="W92" s="111" t="str">
        <f aca="false">IF($B92="","",SUMIFS('الحركات الشهرية'!$J$6:$J$1005,'الحركات الشهرية'!$B$6:$B$1005,$B92,'الحركات الشهرية'!$A$6:$A$1005,$C$3))</f>
        <v/>
      </c>
      <c r="X92" s="111" t="str">
        <f aca="false">IF($B92="","",SUM(U92:W92))</f>
        <v/>
      </c>
      <c r="Y92" s="153" t="str">
        <f aca="false">IF($B92="","",T92-X92)</f>
        <v/>
      </c>
      <c r="Z92" s="111" t="str">
        <f aca="false">IF($B92="","",الموظفون!$S92*IF(E92="سعودي",cfg_G_SR,cfg_G_NR)*G92/cfg_DAYS_M)</f>
        <v/>
      </c>
      <c r="AA92" s="111" t="str">
        <f aca="false">IF($B92="","",الموظفون!$Q92*(cfg_EOS_R1*(MIN(AH92,cfg_EOS_TH)-MIN(AI92,cfg_EOS_TH))+cfg_EOS_R2*(MAX(AH92-cfg_EOS_TH,0)-MAX(AI92-cfg_EOS_TH,0))))</f>
        <v/>
      </c>
      <c r="AB92" s="111" t="str">
        <f aca="false">IF($B92="","",IF(الموظفون!$T92&lt;&gt;"",الموظفون!$T92,IF(AH92&gt;=cfg_LV_TH,cfg_LV_D2,cfg_LV_D1))/cfg_DAYS_Y*AJ92*الموظفون!$R92/cfg_DAYS_M)</f>
        <v/>
      </c>
      <c r="AC92" s="111" t="str">
        <f aca="false">IF($B92="","",IF(AND(الموظفون!$U92="نعم",N(الموظفون!$W92)&gt;0),الموظفون!$V92/الموظفون!$W92*12/cfg_DAYS_Y*AJ92,0))</f>
        <v/>
      </c>
      <c r="AD92" s="111" t="str">
        <f aca="false">IF($B92="","",(IF(الموظفون!$X92&lt;&gt;"",الموظفون!$X92,IF(الموظفون!$E92="غير سعودي",cfg_IQ,0))+IF(الموظفون!$Y92&lt;&gt;"",الموظفون!$Y92,IF(الموظفون!$E92="غير سعودي",cfg_WP,0)))/12*G92/cfg_DAYS_M)</f>
        <v/>
      </c>
      <c r="AE92" s="111" t="str">
        <f aca="false">IF($B92="","",IF(الموظفون!$Z92&lt;&gt;"",الموظفون!$Z92,cfg_MED)/12*G92/cfg_DAYS_M)</f>
        <v/>
      </c>
      <c r="AF92" s="111" t="str">
        <f aca="false">IF($B92="","",N(الموظفون!$AA92)/12*G92/cfg_DAYS_M)</f>
        <v/>
      </c>
      <c r="AG92" s="154" t="str">
        <f aca="false">IF($B92="","",T92+SUM(Z92:AF92))</f>
        <v/>
      </c>
      <c r="AH92" s="155" t="str">
        <f aca="false">IF($B92="","",MAX(0,IF(OR(الموظفون!$AE92="",الموظفون!$AE92&gt;$F$3),$F$3,الموظفون!$AE92)-الموظفون!$H92+1-SUMIFS('سجل الإجازات والحالات'!$AM$6:$AM$505,'سجل الإجازات والحالات'!$B$6:$B$505,$B92))/cfg_DAYS_Y)</f>
        <v/>
      </c>
      <c r="AI92" s="155" t="str">
        <f aca="false">IF($B92="","",MAX(0,IF(OR(الموظفون!$AE92="",الموظفون!$AE92&gt;($E$3-1)),($E$3-1),الموظفون!$AE92)-الموظفون!$H92+1-SUMIFS('سجل الإجازات والحالات'!$AL$6:$AL$505,'سجل الإجازات والحالات'!$B$6:$B$505,$B92))/cfg_DAYS_Y)</f>
        <v/>
      </c>
      <c r="AJ92" s="65" t="str">
        <f aca="false">IF($B92="","",MAX(0,AK92-(SUMIFS('سجل الإجازات والحالات'!$AM$6:$AM$505,'سجل الإجازات والحالات'!$B$6:$B$505,$B92)-SUMIFS('سجل الإجازات والحالات'!$AL$6:$AL$505,'سجل الإجازات والحالات'!$B$6:$B$505,$B92))))</f>
        <v/>
      </c>
      <c r="AK92" s="65" t="str">
        <f aca="false">IF($B92="","",MAX(0,IF(OR(الموظفون!$AE92="",الموظفون!$AE92&gt;$F$3),$F$3,الموظفون!$AE92)-MAX($E$3,الموظفون!$H92)+1))</f>
        <v/>
      </c>
      <c r="AL92" s="151" t="str">
        <f aca="false">IF($B92="","",SUMIFS('سجل الإجازات والحالات'!$AY$6:$AY$505,'سجل الإجازات والحالات'!$B$6:$B$505,$B92)+SUMIFS('الحركات الشهرية'!$K$6:$K$1005,'الحركات الشهرية'!$B$6:$B$1005,$B92,'الحركات الشهرية'!$A$6:$A$1005,$C$3))</f>
        <v/>
      </c>
      <c r="AM92" s="111" t="str">
        <f aca="false">IF($B92="","",AL92*الموظفون!$R92/cfg_DAYS_M+S92)</f>
        <v/>
      </c>
      <c r="AN92" s="151" t="str">
        <f aca="false">IF($B92="","",SUMIFS('سجل الإجازات والحالات'!$AA$6:$AA$505,'سجل الإجازات والحالات'!$B$6:$B$505,$B92))</f>
        <v/>
      </c>
    </row>
    <row r="93" customFormat="false" ht="15" hidden="false" customHeight="false" outlineLevel="0" collapsed="false">
      <c r="A93" s="115" t="str">
        <f aca="false">IF($B93="","",الموظفون!$A93)</f>
        <v/>
      </c>
      <c r="B93" s="117" t="str">
        <f aca="false">IF(الموظفون!$B93="","",الموظفون!$B93)</f>
        <v/>
      </c>
      <c r="C93" s="117" t="str">
        <f aca="false">IF($B93="","",الموظفون!$C93)</f>
        <v/>
      </c>
      <c r="D93" s="117" t="str">
        <f aca="false">IF($B93="","",الموظفون!$F93)</f>
        <v/>
      </c>
      <c r="E93" s="117" t="str">
        <f aca="false">IF($B93="","",الموظفون!$E93)</f>
        <v/>
      </c>
      <c r="F93" s="117" t="str">
        <f aca="false">IF($B93="","",IF(AK93=0,IF(AND(الموظفون!$AE93&lt;&gt;"",الموظفون!$AE93&lt;$E$3),"✖ منتهي الخدمة","⏳ لم يباشر"),IF(S93&gt;0,"✈ راتب إجازة مقدم",IF(J93=0,"⛔ بدون راتب هذا الشهر",IF(I93&gt;0,"✈ خصم "&amp;ROUND(I93,2)&amp;" يوم بدون أجر",IF(AL93&gt;0,"🌴 إجازة سنوية "&amp;ROUND(AL93,2)&amp;" يوم",IF(H93&gt;0,"⚠ غياب "&amp;ROUND(H93,2)&amp;" يوم","✔ على رأس العمل")))))))</f>
        <v/>
      </c>
      <c r="G93" s="156" t="str">
        <f aca="false">IF($B93="","",IF(AK93&gt;=DAY($F$3),cfg_DAYS_M,MIN(AK93,cfg_DAYS_M)))</f>
        <v/>
      </c>
      <c r="H93" s="156" t="str">
        <f aca="false">IF($B93="","",SUMIFS('الحركات الشهرية'!$D$6:$D$1005,'الحركات الشهرية'!$B$6:$B$1005,$B93,'الحركات الشهرية'!$A$6:$A$1005,$C$3))</f>
        <v/>
      </c>
      <c r="I93" s="156" t="str">
        <f aca="false">IF($B93="","",MIN(G93,IF(AND(AK93&gt;0,AN93&gt;=AK93),G93,AN93)+SUMIFS('الحركات الشهرية'!$E$6:$E$1005,'الحركات الشهرية'!$B$6:$B$1005,$B93,'الحركات الشهرية'!$A$6:$A$1005,$C$3)))</f>
        <v/>
      </c>
      <c r="J93" s="156" t="str">
        <f aca="false">IF($B93="","",MAX(0,G93-H93-I93))</f>
        <v/>
      </c>
      <c r="K93" s="116" t="str">
        <f aca="false">IF($B93="","",الموظفون!$L93*$J93/cfg_DAYS_M)</f>
        <v/>
      </c>
      <c r="L93" s="116" t="str">
        <f aca="false">IF($B93="","",الموظفون!$M93*$J93/cfg_DAYS_M)</f>
        <v/>
      </c>
      <c r="M93" s="116" t="str">
        <f aca="false">IF($B93="","",الموظفون!$N93*$J93/cfg_DAYS_M)</f>
        <v/>
      </c>
      <c r="N93" s="116" t="str">
        <f aca="false">IF($B93="","",الموظفون!$O93*$J93/cfg_DAYS_M)</f>
        <v/>
      </c>
      <c r="O93" s="156" t="str">
        <f aca="false">IF($B93="","",SUMIFS('الحركات الشهرية'!$F$6:$F$1005,'الحركات الشهرية'!$B$6:$B$1005,$B93,'الحركات الشهرية'!$A$6:$A$1005,$C$3))</f>
        <v/>
      </c>
      <c r="P93" s="116" t="str">
        <f aca="false">IF($B93="","",O93*(الموظفون!$P93+الموظفون!$L93*cfg_OT_P)/cfg_DAYS_M/cfg_HRS)</f>
        <v/>
      </c>
      <c r="Q93" s="116" t="str">
        <f aca="false">IF($B93="","",SUMIFS('الحركات الشهرية'!$G$6:$G$1005,'الحركات الشهرية'!$B$6:$B$1005,$B93,'الحركات الشهرية'!$A$6:$A$1005,$C$3))</f>
        <v/>
      </c>
      <c r="R93" s="116" t="str">
        <f aca="false">IF($B93="","",SUMIFS('الحركات الشهرية'!$H$6:$H$1005,'الحركات الشهرية'!$B$6:$B$1005,$B93,'الحركات الشهرية'!$A$6:$A$1005,$C$3))</f>
        <v/>
      </c>
      <c r="S93" s="116" t="str">
        <f aca="false">IF($B93="","",SUMIFS('سجل الإجازات والحالات'!$N$6:$N$505,'سجل الإجازات والحالات'!$B$6:$B$505,$B93,'سجل الإجازات والحالات'!$O$6:$O$505,$C$3))</f>
        <v/>
      </c>
      <c r="T93" s="157" t="str">
        <f aca="false">IF($B93="","",SUM(K93:N93)+SUM(P93:S93))</f>
        <v/>
      </c>
      <c r="U93" s="116" t="str">
        <f aca="false">IF($B93="","",الموظفون!$S93*IF(E93="سعودي",cfg_G_SE,cfg_G_NE)*G93/cfg_DAYS_M)</f>
        <v/>
      </c>
      <c r="V93" s="116" t="str">
        <f aca="false">IF($B93="","",SUMIFS('الحركات الشهرية'!$I$6:$I$1005,'الحركات الشهرية'!$B$6:$B$1005,$B93,'الحركات الشهرية'!$A$6:$A$1005,$C$3))</f>
        <v/>
      </c>
      <c r="W93" s="116" t="str">
        <f aca="false">IF($B93="","",SUMIFS('الحركات الشهرية'!$J$6:$J$1005,'الحركات الشهرية'!$B$6:$B$1005,$B93,'الحركات الشهرية'!$A$6:$A$1005,$C$3))</f>
        <v/>
      </c>
      <c r="X93" s="116" t="str">
        <f aca="false">IF($B93="","",SUM(U93:W93))</f>
        <v/>
      </c>
      <c r="Y93" s="158" t="str">
        <f aca="false">IF($B93="","",T93-X93)</f>
        <v/>
      </c>
      <c r="Z93" s="116" t="str">
        <f aca="false">IF($B93="","",الموظفون!$S93*IF(E93="سعودي",cfg_G_SR,cfg_G_NR)*G93/cfg_DAYS_M)</f>
        <v/>
      </c>
      <c r="AA93" s="116" t="str">
        <f aca="false">IF($B93="","",الموظفون!$Q93*(cfg_EOS_R1*(MIN(AH93,cfg_EOS_TH)-MIN(AI93,cfg_EOS_TH))+cfg_EOS_R2*(MAX(AH93-cfg_EOS_TH,0)-MAX(AI93-cfg_EOS_TH,0))))</f>
        <v/>
      </c>
      <c r="AB93" s="116" t="str">
        <f aca="false">IF($B93="","",IF(الموظفون!$T93&lt;&gt;"",الموظفون!$T93,IF(AH93&gt;=cfg_LV_TH,cfg_LV_D2,cfg_LV_D1))/cfg_DAYS_Y*AJ93*الموظفون!$R93/cfg_DAYS_M)</f>
        <v/>
      </c>
      <c r="AC93" s="116" t="str">
        <f aca="false">IF($B93="","",IF(AND(الموظفون!$U93="نعم",N(الموظفون!$W93)&gt;0),الموظفون!$V93/الموظفون!$W93*12/cfg_DAYS_Y*AJ93,0))</f>
        <v/>
      </c>
      <c r="AD93" s="116" t="str">
        <f aca="false">IF($B93="","",(IF(الموظفون!$X93&lt;&gt;"",الموظفون!$X93,IF(الموظفون!$E93="غير سعودي",cfg_IQ,0))+IF(الموظفون!$Y93&lt;&gt;"",الموظفون!$Y93,IF(الموظفون!$E93="غير سعودي",cfg_WP,0)))/12*G93/cfg_DAYS_M)</f>
        <v/>
      </c>
      <c r="AE93" s="116" t="str">
        <f aca="false">IF($B93="","",IF(الموظفون!$Z93&lt;&gt;"",الموظفون!$Z93,cfg_MED)/12*G93/cfg_DAYS_M)</f>
        <v/>
      </c>
      <c r="AF93" s="116" t="str">
        <f aca="false">IF($B93="","",N(الموظفون!$AA93)/12*G93/cfg_DAYS_M)</f>
        <v/>
      </c>
      <c r="AG93" s="159" t="str">
        <f aca="false">IF($B93="","",T93+SUM(Z93:AF93))</f>
        <v/>
      </c>
      <c r="AH93" s="160" t="str">
        <f aca="false">IF($B93="","",MAX(0,IF(OR(الموظفون!$AE93="",الموظفون!$AE93&gt;$F$3),$F$3,الموظفون!$AE93)-الموظفون!$H93+1-SUMIFS('سجل الإجازات والحالات'!$AM$6:$AM$505,'سجل الإجازات والحالات'!$B$6:$B$505,$B93))/cfg_DAYS_Y)</f>
        <v/>
      </c>
      <c r="AI93" s="160" t="str">
        <f aca="false">IF($B93="","",MAX(0,IF(OR(الموظفون!$AE93="",الموظفون!$AE93&gt;($E$3-1)),($E$3-1),الموظفون!$AE93)-الموظفون!$H93+1-SUMIFS('سجل الإجازات والحالات'!$AL$6:$AL$505,'سجل الإجازات والحالات'!$B$6:$B$505,$B93))/cfg_DAYS_Y)</f>
        <v/>
      </c>
      <c r="AJ93" s="133" t="str">
        <f aca="false">IF($B93="","",MAX(0,AK93-(SUMIFS('سجل الإجازات والحالات'!$AM$6:$AM$505,'سجل الإجازات والحالات'!$B$6:$B$505,$B93)-SUMIFS('سجل الإجازات والحالات'!$AL$6:$AL$505,'سجل الإجازات والحالات'!$B$6:$B$505,$B93))))</f>
        <v/>
      </c>
      <c r="AK93" s="133" t="str">
        <f aca="false">IF($B93="","",MAX(0,IF(OR(الموظفون!$AE93="",الموظفون!$AE93&gt;$F$3),$F$3,الموظفون!$AE93)-MAX($E$3,الموظفون!$H93)+1))</f>
        <v/>
      </c>
      <c r="AL93" s="156" t="str">
        <f aca="false">IF($B93="","",SUMIFS('سجل الإجازات والحالات'!$AY$6:$AY$505,'سجل الإجازات والحالات'!$B$6:$B$505,$B93)+SUMIFS('الحركات الشهرية'!$K$6:$K$1005,'الحركات الشهرية'!$B$6:$B$1005,$B93,'الحركات الشهرية'!$A$6:$A$1005,$C$3))</f>
        <v/>
      </c>
      <c r="AM93" s="116" t="str">
        <f aca="false">IF($B93="","",AL93*الموظفون!$R93/cfg_DAYS_M+S93)</f>
        <v/>
      </c>
      <c r="AN93" s="156" t="str">
        <f aca="false">IF($B93="","",SUMIFS('سجل الإجازات والحالات'!$AA$6:$AA$505,'سجل الإجازات والحالات'!$B$6:$B$505,$B93))</f>
        <v/>
      </c>
    </row>
    <row r="94" customFormat="false" ht="15" hidden="false" customHeight="false" outlineLevel="0" collapsed="false">
      <c r="A94" s="106" t="str">
        <f aca="false">IF($B94="","",الموظفون!$A94)</f>
        <v/>
      </c>
      <c r="B94" s="114" t="str">
        <f aca="false">IF(الموظفون!$B94="","",الموظفون!$B94)</f>
        <v/>
      </c>
      <c r="C94" s="114" t="str">
        <f aca="false">IF($B94="","",الموظفون!$C94)</f>
        <v/>
      </c>
      <c r="D94" s="114" t="str">
        <f aca="false">IF($B94="","",الموظفون!$F94)</f>
        <v/>
      </c>
      <c r="E94" s="114" t="str">
        <f aca="false">IF($B94="","",الموظفون!$E94)</f>
        <v/>
      </c>
      <c r="F94" s="114" t="str">
        <f aca="false">IF($B94="","",IF(AK94=0,IF(AND(الموظفون!$AE94&lt;&gt;"",الموظفون!$AE94&lt;$E$3),"✖ منتهي الخدمة","⏳ لم يباشر"),IF(S94&gt;0,"✈ راتب إجازة مقدم",IF(J94=0,"⛔ بدون راتب هذا الشهر",IF(I94&gt;0,"✈ خصم "&amp;ROUND(I94,2)&amp;" يوم بدون أجر",IF(AL94&gt;0,"🌴 إجازة سنوية "&amp;ROUND(AL94,2)&amp;" يوم",IF(H94&gt;0,"⚠ غياب "&amp;ROUND(H94,2)&amp;" يوم","✔ على رأس العمل")))))))</f>
        <v/>
      </c>
      <c r="G94" s="151" t="str">
        <f aca="false">IF($B94="","",IF(AK94&gt;=DAY($F$3),cfg_DAYS_M,MIN(AK94,cfg_DAYS_M)))</f>
        <v/>
      </c>
      <c r="H94" s="151" t="str">
        <f aca="false">IF($B94="","",SUMIFS('الحركات الشهرية'!$D$6:$D$1005,'الحركات الشهرية'!$B$6:$B$1005,$B94,'الحركات الشهرية'!$A$6:$A$1005,$C$3))</f>
        <v/>
      </c>
      <c r="I94" s="151" t="str">
        <f aca="false">IF($B94="","",MIN(G94,IF(AND(AK94&gt;0,AN94&gt;=AK94),G94,AN94)+SUMIFS('الحركات الشهرية'!$E$6:$E$1005,'الحركات الشهرية'!$B$6:$B$1005,$B94,'الحركات الشهرية'!$A$6:$A$1005,$C$3)))</f>
        <v/>
      </c>
      <c r="J94" s="151" t="str">
        <f aca="false">IF($B94="","",MAX(0,G94-H94-I94))</f>
        <v/>
      </c>
      <c r="K94" s="111" t="str">
        <f aca="false">IF($B94="","",الموظفون!$L94*$J94/cfg_DAYS_M)</f>
        <v/>
      </c>
      <c r="L94" s="111" t="str">
        <f aca="false">IF($B94="","",الموظفون!$M94*$J94/cfg_DAYS_M)</f>
        <v/>
      </c>
      <c r="M94" s="111" t="str">
        <f aca="false">IF($B94="","",الموظفون!$N94*$J94/cfg_DAYS_M)</f>
        <v/>
      </c>
      <c r="N94" s="111" t="str">
        <f aca="false">IF($B94="","",الموظفون!$O94*$J94/cfg_DAYS_M)</f>
        <v/>
      </c>
      <c r="O94" s="151" t="str">
        <f aca="false">IF($B94="","",SUMIFS('الحركات الشهرية'!$F$6:$F$1005,'الحركات الشهرية'!$B$6:$B$1005,$B94,'الحركات الشهرية'!$A$6:$A$1005,$C$3))</f>
        <v/>
      </c>
      <c r="P94" s="111" t="str">
        <f aca="false">IF($B94="","",O94*(الموظفون!$P94+الموظفون!$L94*cfg_OT_P)/cfg_DAYS_M/cfg_HRS)</f>
        <v/>
      </c>
      <c r="Q94" s="111" t="str">
        <f aca="false">IF($B94="","",SUMIFS('الحركات الشهرية'!$G$6:$G$1005,'الحركات الشهرية'!$B$6:$B$1005,$B94,'الحركات الشهرية'!$A$6:$A$1005,$C$3))</f>
        <v/>
      </c>
      <c r="R94" s="111" t="str">
        <f aca="false">IF($B94="","",SUMIFS('الحركات الشهرية'!$H$6:$H$1005,'الحركات الشهرية'!$B$6:$B$1005,$B94,'الحركات الشهرية'!$A$6:$A$1005,$C$3))</f>
        <v/>
      </c>
      <c r="S94" s="111" t="str">
        <f aca="false">IF($B94="","",SUMIFS('سجل الإجازات والحالات'!$N$6:$N$505,'سجل الإجازات والحالات'!$B$6:$B$505,$B94,'سجل الإجازات والحالات'!$O$6:$O$505,$C$3))</f>
        <v/>
      </c>
      <c r="T94" s="152" t="str">
        <f aca="false">IF($B94="","",SUM(K94:N94)+SUM(P94:S94))</f>
        <v/>
      </c>
      <c r="U94" s="111" t="str">
        <f aca="false">IF($B94="","",الموظفون!$S94*IF(E94="سعودي",cfg_G_SE,cfg_G_NE)*G94/cfg_DAYS_M)</f>
        <v/>
      </c>
      <c r="V94" s="111" t="str">
        <f aca="false">IF($B94="","",SUMIFS('الحركات الشهرية'!$I$6:$I$1005,'الحركات الشهرية'!$B$6:$B$1005,$B94,'الحركات الشهرية'!$A$6:$A$1005,$C$3))</f>
        <v/>
      </c>
      <c r="W94" s="111" t="str">
        <f aca="false">IF($B94="","",SUMIFS('الحركات الشهرية'!$J$6:$J$1005,'الحركات الشهرية'!$B$6:$B$1005,$B94,'الحركات الشهرية'!$A$6:$A$1005,$C$3))</f>
        <v/>
      </c>
      <c r="X94" s="111" t="str">
        <f aca="false">IF($B94="","",SUM(U94:W94))</f>
        <v/>
      </c>
      <c r="Y94" s="153" t="str">
        <f aca="false">IF($B94="","",T94-X94)</f>
        <v/>
      </c>
      <c r="Z94" s="111" t="str">
        <f aca="false">IF($B94="","",الموظفون!$S94*IF(E94="سعودي",cfg_G_SR,cfg_G_NR)*G94/cfg_DAYS_M)</f>
        <v/>
      </c>
      <c r="AA94" s="111" t="str">
        <f aca="false">IF($B94="","",الموظفون!$Q94*(cfg_EOS_R1*(MIN(AH94,cfg_EOS_TH)-MIN(AI94,cfg_EOS_TH))+cfg_EOS_R2*(MAX(AH94-cfg_EOS_TH,0)-MAX(AI94-cfg_EOS_TH,0))))</f>
        <v/>
      </c>
      <c r="AB94" s="111" t="str">
        <f aca="false">IF($B94="","",IF(الموظفون!$T94&lt;&gt;"",الموظفون!$T94,IF(AH94&gt;=cfg_LV_TH,cfg_LV_D2,cfg_LV_D1))/cfg_DAYS_Y*AJ94*الموظفون!$R94/cfg_DAYS_M)</f>
        <v/>
      </c>
      <c r="AC94" s="111" t="str">
        <f aca="false">IF($B94="","",IF(AND(الموظفون!$U94="نعم",N(الموظفون!$W94)&gt;0),الموظفون!$V94/الموظفون!$W94*12/cfg_DAYS_Y*AJ94,0))</f>
        <v/>
      </c>
      <c r="AD94" s="111" t="str">
        <f aca="false">IF($B94="","",(IF(الموظفون!$X94&lt;&gt;"",الموظفون!$X94,IF(الموظفون!$E94="غير سعودي",cfg_IQ,0))+IF(الموظفون!$Y94&lt;&gt;"",الموظفون!$Y94,IF(الموظفون!$E94="غير سعودي",cfg_WP,0)))/12*G94/cfg_DAYS_M)</f>
        <v/>
      </c>
      <c r="AE94" s="111" t="str">
        <f aca="false">IF($B94="","",IF(الموظفون!$Z94&lt;&gt;"",الموظفون!$Z94,cfg_MED)/12*G94/cfg_DAYS_M)</f>
        <v/>
      </c>
      <c r="AF94" s="111" t="str">
        <f aca="false">IF($B94="","",N(الموظفون!$AA94)/12*G94/cfg_DAYS_M)</f>
        <v/>
      </c>
      <c r="AG94" s="154" t="str">
        <f aca="false">IF($B94="","",T94+SUM(Z94:AF94))</f>
        <v/>
      </c>
      <c r="AH94" s="155" t="str">
        <f aca="false">IF($B94="","",MAX(0,IF(OR(الموظفون!$AE94="",الموظفون!$AE94&gt;$F$3),$F$3,الموظفون!$AE94)-الموظفون!$H94+1-SUMIFS('سجل الإجازات والحالات'!$AM$6:$AM$505,'سجل الإجازات والحالات'!$B$6:$B$505,$B94))/cfg_DAYS_Y)</f>
        <v/>
      </c>
      <c r="AI94" s="155" t="str">
        <f aca="false">IF($B94="","",MAX(0,IF(OR(الموظفون!$AE94="",الموظفون!$AE94&gt;($E$3-1)),($E$3-1),الموظفون!$AE94)-الموظفون!$H94+1-SUMIFS('سجل الإجازات والحالات'!$AL$6:$AL$505,'سجل الإجازات والحالات'!$B$6:$B$505,$B94))/cfg_DAYS_Y)</f>
        <v/>
      </c>
      <c r="AJ94" s="65" t="str">
        <f aca="false">IF($B94="","",MAX(0,AK94-(SUMIFS('سجل الإجازات والحالات'!$AM$6:$AM$505,'سجل الإجازات والحالات'!$B$6:$B$505,$B94)-SUMIFS('سجل الإجازات والحالات'!$AL$6:$AL$505,'سجل الإجازات والحالات'!$B$6:$B$505,$B94))))</f>
        <v/>
      </c>
      <c r="AK94" s="65" t="str">
        <f aca="false">IF($B94="","",MAX(0,IF(OR(الموظفون!$AE94="",الموظفون!$AE94&gt;$F$3),$F$3,الموظفون!$AE94)-MAX($E$3,الموظفون!$H94)+1))</f>
        <v/>
      </c>
      <c r="AL94" s="151" t="str">
        <f aca="false">IF($B94="","",SUMIFS('سجل الإجازات والحالات'!$AY$6:$AY$505,'سجل الإجازات والحالات'!$B$6:$B$505,$B94)+SUMIFS('الحركات الشهرية'!$K$6:$K$1005,'الحركات الشهرية'!$B$6:$B$1005,$B94,'الحركات الشهرية'!$A$6:$A$1005,$C$3))</f>
        <v/>
      </c>
      <c r="AM94" s="111" t="str">
        <f aca="false">IF($B94="","",AL94*الموظفون!$R94/cfg_DAYS_M+S94)</f>
        <v/>
      </c>
      <c r="AN94" s="151" t="str">
        <f aca="false">IF($B94="","",SUMIFS('سجل الإجازات والحالات'!$AA$6:$AA$505,'سجل الإجازات والحالات'!$B$6:$B$505,$B94))</f>
        <v/>
      </c>
    </row>
    <row r="95" customFormat="false" ht="15" hidden="false" customHeight="false" outlineLevel="0" collapsed="false">
      <c r="A95" s="115" t="str">
        <f aca="false">IF($B95="","",الموظفون!$A95)</f>
        <v/>
      </c>
      <c r="B95" s="117" t="str">
        <f aca="false">IF(الموظفون!$B95="","",الموظفون!$B95)</f>
        <v/>
      </c>
      <c r="C95" s="117" t="str">
        <f aca="false">IF($B95="","",الموظفون!$C95)</f>
        <v/>
      </c>
      <c r="D95" s="117" t="str">
        <f aca="false">IF($B95="","",الموظفون!$F95)</f>
        <v/>
      </c>
      <c r="E95" s="117" t="str">
        <f aca="false">IF($B95="","",الموظفون!$E95)</f>
        <v/>
      </c>
      <c r="F95" s="117" t="str">
        <f aca="false">IF($B95="","",IF(AK95=0,IF(AND(الموظفون!$AE95&lt;&gt;"",الموظفون!$AE95&lt;$E$3),"✖ منتهي الخدمة","⏳ لم يباشر"),IF(S95&gt;0,"✈ راتب إجازة مقدم",IF(J95=0,"⛔ بدون راتب هذا الشهر",IF(I95&gt;0,"✈ خصم "&amp;ROUND(I95,2)&amp;" يوم بدون أجر",IF(AL95&gt;0,"🌴 إجازة سنوية "&amp;ROUND(AL95,2)&amp;" يوم",IF(H95&gt;0,"⚠ غياب "&amp;ROUND(H95,2)&amp;" يوم","✔ على رأس العمل")))))))</f>
        <v/>
      </c>
      <c r="G95" s="156" t="str">
        <f aca="false">IF($B95="","",IF(AK95&gt;=DAY($F$3),cfg_DAYS_M,MIN(AK95,cfg_DAYS_M)))</f>
        <v/>
      </c>
      <c r="H95" s="156" t="str">
        <f aca="false">IF($B95="","",SUMIFS('الحركات الشهرية'!$D$6:$D$1005,'الحركات الشهرية'!$B$6:$B$1005,$B95,'الحركات الشهرية'!$A$6:$A$1005,$C$3))</f>
        <v/>
      </c>
      <c r="I95" s="156" t="str">
        <f aca="false">IF($B95="","",MIN(G95,IF(AND(AK95&gt;0,AN95&gt;=AK95),G95,AN95)+SUMIFS('الحركات الشهرية'!$E$6:$E$1005,'الحركات الشهرية'!$B$6:$B$1005,$B95,'الحركات الشهرية'!$A$6:$A$1005,$C$3)))</f>
        <v/>
      </c>
      <c r="J95" s="156" t="str">
        <f aca="false">IF($B95="","",MAX(0,G95-H95-I95))</f>
        <v/>
      </c>
      <c r="K95" s="116" t="str">
        <f aca="false">IF($B95="","",الموظفون!$L95*$J95/cfg_DAYS_M)</f>
        <v/>
      </c>
      <c r="L95" s="116" t="str">
        <f aca="false">IF($B95="","",الموظفون!$M95*$J95/cfg_DAYS_M)</f>
        <v/>
      </c>
      <c r="M95" s="116" t="str">
        <f aca="false">IF($B95="","",الموظفون!$N95*$J95/cfg_DAYS_M)</f>
        <v/>
      </c>
      <c r="N95" s="116" t="str">
        <f aca="false">IF($B95="","",الموظفون!$O95*$J95/cfg_DAYS_M)</f>
        <v/>
      </c>
      <c r="O95" s="156" t="str">
        <f aca="false">IF($B95="","",SUMIFS('الحركات الشهرية'!$F$6:$F$1005,'الحركات الشهرية'!$B$6:$B$1005,$B95,'الحركات الشهرية'!$A$6:$A$1005,$C$3))</f>
        <v/>
      </c>
      <c r="P95" s="116" t="str">
        <f aca="false">IF($B95="","",O95*(الموظفون!$P95+الموظفون!$L95*cfg_OT_P)/cfg_DAYS_M/cfg_HRS)</f>
        <v/>
      </c>
      <c r="Q95" s="116" t="str">
        <f aca="false">IF($B95="","",SUMIFS('الحركات الشهرية'!$G$6:$G$1005,'الحركات الشهرية'!$B$6:$B$1005,$B95,'الحركات الشهرية'!$A$6:$A$1005,$C$3))</f>
        <v/>
      </c>
      <c r="R95" s="116" t="str">
        <f aca="false">IF($B95="","",SUMIFS('الحركات الشهرية'!$H$6:$H$1005,'الحركات الشهرية'!$B$6:$B$1005,$B95,'الحركات الشهرية'!$A$6:$A$1005,$C$3))</f>
        <v/>
      </c>
      <c r="S95" s="116" t="str">
        <f aca="false">IF($B95="","",SUMIFS('سجل الإجازات والحالات'!$N$6:$N$505,'سجل الإجازات والحالات'!$B$6:$B$505,$B95,'سجل الإجازات والحالات'!$O$6:$O$505,$C$3))</f>
        <v/>
      </c>
      <c r="T95" s="157" t="str">
        <f aca="false">IF($B95="","",SUM(K95:N95)+SUM(P95:S95))</f>
        <v/>
      </c>
      <c r="U95" s="116" t="str">
        <f aca="false">IF($B95="","",الموظفون!$S95*IF(E95="سعودي",cfg_G_SE,cfg_G_NE)*G95/cfg_DAYS_M)</f>
        <v/>
      </c>
      <c r="V95" s="116" t="str">
        <f aca="false">IF($B95="","",SUMIFS('الحركات الشهرية'!$I$6:$I$1005,'الحركات الشهرية'!$B$6:$B$1005,$B95,'الحركات الشهرية'!$A$6:$A$1005,$C$3))</f>
        <v/>
      </c>
      <c r="W95" s="116" t="str">
        <f aca="false">IF($B95="","",SUMIFS('الحركات الشهرية'!$J$6:$J$1005,'الحركات الشهرية'!$B$6:$B$1005,$B95,'الحركات الشهرية'!$A$6:$A$1005,$C$3))</f>
        <v/>
      </c>
      <c r="X95" s="116" t="str">
        <f aca="false">IF($B95="","",SUM(U95:W95))</f>
        <v/>
      </c>
      <c r="Y95" s="158" t="str">
        <f aca="false">IF($B95="","",T95-X95)</f>
        <v/>
      </c>
      <c r="Z95" s="116" t="str">
        <f aca="false">IF($B95="","",الموظفون!$S95*IF(E95="سعودي",cfg_G_SR,cfg_G_NR)*G95/cfg_DAYS_M)</f>
        <v/>
      </c>
      <c r="AA95" s="116" t="str">
        <f aca="false">IF($B95="","",الموظفون!$Q95*(cfg_EOS_R1*(MIN(AH95,cfg_EOS_TH)-MIN(AI95,cfg_EOS_TH))+cfg_EOS_R2*(MAX(AH95-cfg_EOS_TH,0)-MAX(AI95-cfg_EOS_TH,0))))</f>
        <v/>
      </c>
      <c r="AB95" s="116" t="str">
        <f aca="false">IF($B95="","",IF(الموظفون!$T95&lt;&gt;"",الموظفون!$T95,IF(AH95&gt;=cfg_LV_TH,cfg_LV_D2,cfg_LV_D1))/cfg_DAYS_Y*AJ95*الموظفون!$R95/cfg_DAYS_M)</f>
        <v/>
      </c>
      <c r="AC95" s="116" t="str">
        <f aca="false">IF($B95="","",IF(AND(الموظفون!$U95="نعم",N(الموظفون!$W95)&gt;0),الموظفون!$V95/الموظفون!$W95*12/cfg_DAYS_Y*AJ95,0))</f>
        <v/>
      </c>
      <c r="AD95" s="116" t="str">
        <f aca="false">IF($B95="","",(IF(الموظفون!$X95&lt;&gt;"",الموظفون!$X95,IF(الموظفون!$E95="غير سعودي",cfg_IQ,0))+IF(الموظفون!$Y95&lt;&gt;"",الموظفون!$Y95,IF(الموظفون!$E95="غير سعودي",cfg_WP,0)))/12*G95/cfg_DAYS_M)</f>
        <v/>
      </c>
      <c r="AE95" s="116" t="str">
        <f aca="false">IF($B95="","",IF(الموظفون!$Z95&lt;&gt;"",الموظفون!$Z95,cfg_MED)/12*G95/cfg_DAYS_M)</f>
        <v/>
      </c>
      <c r="AF95" s="116" t="str">
        <f aca="false">IF($B95="","",N(الموظفون!$AA95)/12*G95/cfg_DAYS_M)</f>
        <v/>
      </c>
      <c r="AG95" s="159" t="str">
        <f aca="false">IF($B95="","",T95+SUM(Z95:AF95))</f>
        <v/>
      </c>
      <c r="AH95" s="160" t="str">
        <f aca="false">IF($B95="","",MAX(0,IF(OR(الموظفون!$AE95="",الموظفون!$AE95&gt;$F$3),$F$3,الموظفون!$AE95)-الموظفون!$H95+1-SUMIFS('سجل الإجازات والحالات'!$AM$6:$AM$505,'سجل الإجازات والحالات'!$B$6:$B$505,$B95))/cfg_DAYS_Y)</f>
        <v/>
      </c>
      <c r="AI95" s="160" t="str">
        <f aca="false">IF($B95="","",MAX(0,IF(OR(الموظفون!$AE95="",الموظفون!$AE95&gt;($E$3-1)),($E$3-1),الموظفون!$AE95)-الموظفون!$H95+1-SUMIFS('سجل الإجازات والحالات'!$AL$6:$AL$505,'سجل الإجازات والحالات'!$B$6:$B$505,$B95))/cfg_DAYS_Y)</f>
        <v/>
      </c>
      <c r="AJ95" s="133" t="str">
        <f aca="false">IF($B95="","",MAX(0,AK95-(SUMIFS('سجل الإجازات والحالات'!$AM$6:$AM$505,'سجل الإجازات والحالات'!$B$6:$B$505,$B95)-SUMIFS('سجل الإجازات والحالات'!$AL$6:$AL$505,'سجل الإجازات والحالات'!$B$6:$B$505,$B95))))</f>
        <v/>
      </c>
      <c r="AK95" s="133" t="str">
        <f aca="false">IF($B95="","",MAX(0,IF(OR(الموظفون!$AE95="",الموظفون!$AE95&gt;$F$3),$F$3,الموظفون!$AE95)-MAX($E$3,الموظفون!$H95)+1))</f>
        <v/>
      </c>
      <c r="AL95" s="156" t="str">
        <f aca="false">IF($B95="","",SUMIFS('سجل الإجازات والحالات'!$AY$6:$AY$505,'سجل الإجازات والحالات'!$B$6:$B$505,$B95)+SUMIFS('الحركات الشهرية'!$K$6:$K$1005,'الحركات الشهرية'!$B$6:$B$1005,$B95,'الحركات الشهرية'!$A$6:$A$1005,$C$3))</f>
        <v/>
      </c>
      <c r="AM95" s="116" t="str">
        <f aca="false">IF($B95="","",AL95*الموظفون!$R95/cfg_DAYS_M+S95)</f>
        <v/>
      </c>
      <c r="AN95" s="156" t="str">
        <f aca="false">IF($B95="","",SUMIFS('سجل الإجازات والحالات'!$AA$6:$AA$505,'سجل الإجازات والحالات'!$B$6:$B$505,$B95))</f>
        <v/>
      </c>
    </row>
    <row r="96" customFormat="false" ht="15" hidden="false" customHeight="false" outlineLevel="0" collapsed="false">
      <c r="A96" s="106" t="str">
        <f aca="false">IF($B96="","",الموظفون!$A96)</f>
        <v/>
      </c>
      <c r="B96" s="114" t="str">
        <f aca="false">IF(الموظفون!$B96="","",الموظفون!$B96)</f>
        <v/>
      </c>
      <c r="C96" s="114" t="str">
        <f aca="false">IF($B96="","",الموظفون!$C96)</f>
        <v/>
      </c>
      <c r="D96" s="114" t="str">
        <f aca="false">IF($B96="","",الموظفون!$F96)</f>
        <v/>
      </c>
      <c r="E96" s="114" t="str">
        <f aca="false">IF($B96="","",الموظفون!$E96)</f>
        <v/>
      </c>
      <c r="F96" s="114" t="str">
        <f aca="false">IF($B96="","",IF(AK96=0,IF(AND(الموظفون!$AE96&lt;&gt;"",الموظفون!$AE96&lt;$E$3),"✖ منتهي الخدمة","⏳ لم يباشر"),IF(S96&gt;0,"✈ راتب إجازة مقدم",IF(J96=0,"⛔ بدون راتب هذا الشهر",IF(I96&gt;0,"✈ خصم "&amp;ROUND(I96,2)&amp;" يوم بدون أجر",IF(AL96&gt;0,"🌴 إجازة سنوية "&amp;ROUND(AL96,2)&amp;" يوم",IF(H96&gt;0,"⚠ غياب "&amp;ROUND(H96,2)&amp;" يوم","✔ على رأس العمل")))))))</f>
        <v/>
      </c>
      <c r="G96" s="151" t="str">
        <f aca="false">IF($B96="","",IF(AK96&gt;=DAY($F$3),cfg_DAYS_M,MIN(AK96,cfg_DAYS_M)))</f>
        <v/>
      </c>
      <c r="H96" s="151" t="str">
        <f aca="false">IF($B96="","",SUMIFS('الحركات الشهرية'!$D$6:$D$1005,'الحركات الشهرية'!$B$6:$B$1005,$B96,'الحركات الشهرية'!$A$6:$A$1005,$C$3))</f>
        <v/>
      </c>
      <c r="I96" s="151" t="str">
        <f aca="false">IF($B96="","",MIN(G96,IF(AND(AK96&gt;0,AN96&gt;=AK96),G96,AN96)+SUMIFS('الحركات الشهرية'!$E$6:$E$1005,'الحركات الشهرية'!$B$6:$B$1005,$B96,'الحركات الشهرية'!$A$6:$A$1005,$C$3)))</f>
        <v/>
      </c>
      <c r="J96" s="151" t="str">
        <f aca="false">IF($B96="","",MAX(0,G96-H96-I96))</f>
        <v/>
      </c>
      <c r="K96" s="111" t="str">
        <f aca="false">IF($B96="","",الموظفون!$L96*$J96/cfg_DAYS_M)</f>
        <v/>
      </c>
      <c r="L96" s="111" t="str">
        <f aca="false">IF($B96="","",الموظفون!$M96*$J96/cfg_DAYS_M)</f>
        <v/>
      </c>
      <c r="M96" s="111" t="str">
        <f aca="false">IF($B96="","",الموظفون!$N96*$J96/cfg_DAYS_M)</f>
        <v/>
      </c>
      <c r="N96" s="111" t="str">
        <f aca="false">IF($B96="","",الموظفون!$O96*$J96/cfg_DAYS_M)</f>
        <v/>
      </c>
      <c r="O96" s="151" t="str">
        <f aca="false">IF($B96="","",SUMIFS('الحركات الشهرية'!$F$6:$F$1005,'الحركات الشهرية'!$B$6:$B$1005,$B96,'الحركات الشهرية'!$A$6:$A$1005,$C$3))</f>
        <v/>
      </c>
      <c r="P96" s="111" t="str">
        <f aca="false">IF($B96="","",O96*(الموظفون!$P96+الموظفون!$L96*cfg_OT_P)/cfg_DAYS_M/cfg_HRS)</f>
        <v/>
      </c>
      <c r="Q96" s="111" t="str">
        <f aca="false">IF($B96="","",SUMIFS('الحركات الشهرية'!$G$6:$G$1005,'الحركات الشهرية'!$B$6:$B$1005,$B96,'الحركات الشهرية'!$A$6:$A$1005,$C$3))</f>
        <v/>
      </c>
      <c r="R96" s="111" t="str">
        <f aca="false">IF($B96="","",SUMIFS('الحركات الشهرية'!$H$6:$H$1005,'الحركات الشهرية'!$B$6:$B$1005,$B96,'الحركات الشهرية'!$A$6:$A$1005,$C$3))</f>
        <v/>
      </c>
      <c r="S96" s="111" t="str">
        <f aca="false">IF($B96="","",SUMIFS('سجل الإجازات والحالات'!$N$6:$N$505,'سجل الإجازات والحالات'!$B$6:$B$505,$B96,'سجل الإجازات والحالات'!$O$6:$O$505,$C$3))</f>
        <v/>
      </c>
      <c r="T96" s="152" t="str">
        <f aca="false">IF($B96="","",SUM(K96:N96)+SUM(P96:S96))</f>
        <v/>
      </c>
      <c r="U96" s="111" t="str">
        <f aca="false">IF($B96="","",الموظفون!$S96*IF(E96="سعودي",cfg_G_SE,cfg_G_NE)*G96/cfg_DAYS_M)</f>
        <v/>
      </c>
      <c r="V96" s="111" t="str">
        <f aca="false">IF($B96="","",SUMIFS('الحركات الشهرية'!$I$6:$I$1005,'الحركات الشهرية'!$B$6:$B$1005,$B96,'الحركات الشهرية'!$A$6:$A$1005,$C$3))</f>
        <v/>
      </c>
      <c r="W96" s="111" t="str">
        <f aca="false">IF($B96="","",SUMIFS('الحركات الشهرية'!$J$6:$J$1005,'الحركات الشهرية'!$B$6:$B$1005,$B96,'الحركات الشهرية'!$A$6:$A$1005,$C$3))</f>
        <v/>
      </c>
      <c r="X96" s="111" t="str">
        <f aca="false">IF($B96="","",SUM(U96:W96))</f>
        <v/>
      </c>
      <c r="Y96" s="153" t="str">
        <f aca="false">IF($B96="","",T96-X96)</f>
        <v/>
      </c>
      <c r="Z96" s="111" t="str">
        <f aca="false">IF($B96="","",الموظفون!$S96*IF(E96="سعودي",cfg_G_SR,cfg_G_NR)*G96/cfg_DAYS_M)</f>
        <v/>
      </c>
      <c r="AA96" s="111" t="str">
        <f aca="false">IF($B96="","",الموظفون!$Q96*(cfg_EOS_R1*(MIN(AH96,cfg_EOS_TH)-MIN(AI96,cfg_EOS_TH))+cfg_EOS_R2*(MAX(AH96-cfg_EOS_TH,0)-MAX(AI96-cfg_EOS_TH,0))))</f>
        <v/>
      </c>
      <c r="AB96" s="111" t="str">
        <f aca="false">IF($B96="","",IF(الموظفون!$T96&lt;&gt;"",الموظفون!$T96,IF(AH96&gt;=cfg_LV_TH,cfg_LV_D2,cfg_LV_D1))/cfg_DAYS_Y*AJ96*الموظفون!$R96/cfg_DAYS_M)</f>
        <v/>
      </c>
      <c r="AC96" s="111" t="str">
        <f aca="false">IF($B96="","",IF(AND(الموظفون!$U96="نعم",N(الموظفون!$W96)&gt;0),الموظفون!$V96/الموظفون!$W96*12/cfg_DAYS_Y*AJ96,0))</f>
        <v/>
      </c>
      <c r="AD96" s="111" t="str">
        <f aca="false">IF($B96="","",(IF(الموظفون!$X96&lt;&gt;"",الموظفون!$X96,IF(الموظفون!$E96="غير سعودي",cfg_IQ,0))+IF(الموظفون!$Y96&lt;&gt;"",الموظفون!$Y96,IF(الموظفون!$E96="غير سعودي",cfg_WP,0)))/12*G96/cfg_DAYS_M)</f>
        <v/>
      </c>
      <c r="AE96" s="111" t="str">
        <f aca="false">IF($B96="","",IF(الموظفون!$Z96&lt;&gt;"",الموظفون!$Z96,cfg_MED)/12*G96/cfg_DAYS_M)</f>
        <v/>
      </c>
      <c r="AF96" s="111" t="str">
        <f aca="false">IF($B96="","",N(الموظفون!$AA96)/12*G96/cfg_DAYS_M)</f>
        <v/>
      </c>
      <c r="AG96" s="154" t="str">
        <f aca="false">IF($B96="","",T96+SUM(Z96:AF96))</f>
        <v/>
      </c>
      <c r="AH96" s="155" t="str">
        <f aca="false">IF($B96="","",MAX(0,IF(OR(الموظفون!$AE96="",الموظفون!$AE96&gt;$F$3),$F$3,الموظفون!$AE96)-الموظفون!$H96+1-SUMIFS('سجل الإجازات والحالات'!$AM$6:$AM$505,'سجل الإجازات والحالات'!$B$6:$B$505,$B96))/cfg_DAYS_Y)</f>
        <v/>
      </c>
      <c r="AI96" s="155" t="str">
        <f aca="false">IF($B96="","",MAX(0,IF(OR(الموظفون!$AE96="",الموظفون!$AE96&gt;($E$3-1)),($E$3-1),الموظفون!$AE96)-الموظفون!$H96+1-SUMIFS('سجل الإجازات والحالات'!$AL$6:$AL$505,'سجل الإجازات والحالات'!$B$6:$B$505,$B96))/cfg_DAYS_Y)</f>
        <v/>
      </c>
      <c r="AJ96" s="65" t="str">
        <f aca="false">IF($B96="","",MAX(0,AK96-(SUMIFS('سجل الإجازات والحالات'!$AM$6:$AM$505,'سجل الإجازات والحالات'!$B$6:$B$505,$B96)-SUMIFS('سجل الإجازات والحالات'!$AL$6:$AL$505,'سجل الإجازات والحالات'!$B$6:$B$505,$B96))))</f>
        <v/>
      </c>
      <c r="AK96" s="65" t="str">
        <f aca="false">IF($B96="","",MAX(0,IF(OR(الموظفون!$AE96="",الموظفون!$AE96&gt;$F$3),$F$3,الموظفون!$AE96)-MAX($E$3,الموظفون!$H96)+1))</f>
        <v/>
      </c>
      <c r="AL96" s="151" t="str">
        <f aca="false">IF($B96="","",SUMIFS('سجل الإجازات والحالات'!$AY$6:$AY$505,'سجل الإجازات والحالات'!$B$6:$B$505,$B96)+SUMIFS('الحركات الشهرية'!$K$6:$K$1005,'الحركات الشهرية'!$B$6:$B$1005,$B96,'الحركات الشهرية'!$A$6:$A$1005,$C$3))</f>
        <v/>
      </c>
      <c r="AM96" s="111" t="str">
        <f aca="false">IF($B96="","",AL96*الموظفون!$R96/cfg_DAYS_M+S96)</f>
        <v/>
      </c>
      <c r="AN96" s="151" t="str">
        <f aca="false">IF($B96="","",SUMIFS('سجل الإجازات والحالات'!$AA$6:$AA$505,'سجل الإجازات والحالات'!$B$6:$B$505,$B96))</f>
        <v/>
      </c>
    </row>
    <row r="97" customFormat="false" ht="15" hidden="false" customHeight="false" outlineLevel="0" collapsed="false">
      <c r="A97" s="115" t="str">
        <f aca="false">IF($B97="","",الموظفون!$A97)</f>
        <v/>
      </c>
      <c r="B97" s="117" t="str">
        <f aca="false">IF(الموظفون!$B97="","",الموظفون!$B97)</f>
        <v/>
      </c>
      <c r="C97" s="117" t="str">
        <f aca="false">IF($B97="","",الموظفون!$C97)</f>
        <v/>
      </c>
      <c r="D97" s="117" t="str">
        <f aca="false">IF($B97="","",الموظفون!$F97)</f>
        <v/>
      </c>
      <c r="E97" s="117" t="str">
        <f aca="false">IF($B97="","",الموظفون!$E97)</f>
        <v/>
      </c>
      <c r="F97" s="117" t="str">
        <f aca="false">IF($B97="","",IF(AK97=0,IF(AND(الموظفون!$AE97&lt;&gt;"",الموظفون!$AE97&lt;$E$3),"✖ منتهي الخدمة","⏳ لم يباشر"),IF(S97&gt;0,"✈ راتب إجازة مقدم",IF(J97=0,"⛔ بدون راتب هذا الشهر",IF(I97&gt;0,"✈ خصم "&amp;ROUND(I97,2)&amp;" يوم بدون أجر",IF(AL97&gt;0,"🌴 إجازة سنوية "&amp;ROUND(AL97,2)&amp;" يوم",IF(H97&gt;0,"⚠ غياب "&amp;ROUND(H97,2)&amp;" يوم","✔ على رأس العمل")))))))</f>
        <v/>
      </c>
      <c r="G97" s="156" t="str">
        <f aca="false">IF($B97="","",IF(AK97&gt;=DAY($F$3),cfg_DAYS_M,MIN(AK97,cfg_DAYS_M)))</f>
        <v/>
      </c>
      <c r="H97" s="156" t="str">
        <f aca="false">IF($B97="","",SUMIFS('الحركات الشهرية'!$D$6:$D$1005,'الحركات الشهرية'!$B$6:$B$1005,$B97,'الحركات الشهرية'!$A$6:$A$1005,$C$3))</f>
        <v/>
      </c>
      <c r="I97" s="156" t="str">
        <f aca="false">IF($B97="","",MIN(G97,IF(AND(AK97&gt;0,AN97&gt;=AK97),G97,AN97)+SUMIFS('الحركات الشهرية'!$E$6:$E$1005,'الحركات الشهرية'!$B$6:$B$1005,$B97,'الحركات الشهرية'!$A$6:$A$1005,$C$3)))</f>
        <v/>
      </c>
      <c r="J97" s="156" t="str">
        <f aca="false">IF($B97="","",MAX(0,G97-H97-I97))</f>
        <v/>
      </c>
      <c r="K97" s="116" t="str">
        <f aca="false">IF($B97="","",الموظفون!$L97*$J97/cfg_DAYS_M)</f>
        <v/>
      </c>
      <c r="L97" s="116" t="str">
        <f aca="false">IF($B97="","",الموظفون!$M97*$J97/cfg_DAYS_M)</f>
        <v/>
      </c>
      <c r="M97" s="116" t="str">
        <f aca="false">IF($B97="","",الموظفون!$N97*$J97/cfg_DAYS_M)</f>
        <v/>
      </c>
      <c r="N97" s="116" t="str">
        <f aca="false">IF($B97="","",الموظفون!$O97*$J97/cfg_DAYS_M)</f>
        <v/>
      </c>
      <c r="O97" s="156" t="str">
        <f aca="false">IF($B97="","",SUMIFS('الحركات الشهرية'!$F$6:$F$1005,'الحركات الشهرية'!$B$6:$B$1005,$B97,'الحركات الشهرية'!$A$6:$A$1005,$C$3))</f>
        <v/>
      </c>
      <c r="P97" s="116" t="str">
        <f aca="false">IF($B97="","",O97*(الموظفون!$P97+الموظفون!$L97*cfg_OT_P)/cfg_DAYS_M/cfg_HRS)</f>
        <v/>
      </c>
      <c r="Q97" s="116" t="str">
        <f aca="false">IF($B97="","",SUMIFS('الحركات الشهرية'!$G$6:$G$1005,'الحركات الشهرية'!$B$6:$B$1005,$B97,'الحركات الشهرية'!$A$6:$A$1005,$C$3))</f>
        <v/>
      </c>
      <c r="R97" s="116" t="str">
        <f aca="false">IF($B97="","",SUMIFS('الحركات الشهرية'!$H$6:$H$1005,'الحركات الشهرية'!$B$6:$B$1005,$B97,'الحركات الشهرية'!$A$6:$A$1005,$C$3))</f>
        <v/>
      </c>
      <c r="S97" s="116" t="str">
        <f aca="false">IF($B97="","",SUMIFS('سجل الإجازات والحالات'!$N$6:$N$505,'سجل الإجازات والحالات'!$B$6:$B$505,$B97,'سجل الإجازات والحالات'!$O$6:$O$505,$C$3))</f>
        <v/>
      </c>
      <c r="T97" s="157" t="str">
        <f aca="false">IF($B97="","",SUM(K97:N97)+SUM(P97:S97))</f>
        <v/>
      </c>
      <c r="U97" s="116" t="str">
        <f aca="false">IF($B97="","",الموظفون!$S97*IF(E97="سعودي",cfg_G_SE,cfg_G_NE)*G97/cfg_DAYS_M)</f>
        <v/>
      </c>
      <c r="V97" s="116" t="str">
        <f aca="false">IF($B97="","",SUMIFS('الحركات الشهرية'!$I$6:$I$1005,'الحركات الشهرية'!$B$6:$B$1005,$B97,'الحركات الشهرية'!$A$6:$A$1005,$C$3))</f>
        <v/>
      </c>
      <c r="W97" s="116" t="str">
        <f aca="false">IF($B97="","",SUMIFS('الحركات الشهرية'!$J$6:$J$1005,'الحركات الشهرية'!$B$6:$B$1005,$B97,'الحركات الشهرية'!$A$6:$A$1005,$C$3))</f>
        <v/>
      </c>
      <c r="X97" s="116" t="str">
        <f aca="false">IF($B97="","",SUM(U97:W97))</f>
        <v/>
      </c>
      <c r="Y97" s="158" t="str">
        <f aca="false">IF($B97="","",T97-X97)</f>
        <v/>
      </c>
      <c r="Z97" s="116" t="str">
        <f aca="false">IF($B97="","",الموظفون!$S97*IF(E97="سعودي",cfg_G_SR,cfg_G_NR)*G97/cfg_DAYS_M)</f>
        <v/>
      </c>
      <c r="AA97" s="116" t="str">
        <f aca="false">IF($B97="","",الموظفون!$Q97*(cfg_EOS_R1*(MIN(AH97,cfg_EOS_TH)-MIN(AI97,cfg_EOS_TH))+cfg_EOS_R2*(MAX(AH97-cfg_EOS_TH,0)-MAX(AI97-cfg_EOS_TH,0))))</f>
        <v/>
      </c>
      <c r="AB97" s="116" t="str">
        <f aca="false">IF($B97="","",IF(الموظفون!$T97&lt;&gt;"",الموظفون!$T97,IF(AH97&gt;=cfg_LV_TH,cfg_LV_D2,cfg_LV_D1))/cfg_DAYS_Y*AJ97*الموظفون!$R97/cfg_DAYS_M)</f>
        <v/>
      </c>
      <c r="AC97" s="116" t="str">
        <f aca="false">IF($B97="","",IF(AND(الموظفون!$U97="نعم",N(الموظفون!$W97)&gt;0),الموظفون!$V97/الموظفون!$W97*12/cfg_DAYS_Y*AJ97,0))</f>
        <v/>
      </c>
      <c r="AD97" s="116" t="str">
        <f aca="false">IF($B97="","",(IF(الموظفون!$X97&lt;&gt;"",الموظفون!$X97,IF(الموظفون!$E97="غير سعودي",cfg_IQ,0))+IF(الموظفون!$Y97&lt;&gt;"",الموظفون!$Y97,IF(الموظفون!$E97="غير سعودي",cfg_WP,0)))/12*G97/cfg_DAYS_M)</f>
        <v/>
      </c>
      <c r="AE97" s="116" t="str">
        <f aca="false">IF($B97="","",IF(الموظفون!$Z97&lt;&gt;"",الموظفون!$Z97,cfg_MED)/12*G97/cfg_DAYS_M)</f>
        <v/>
      </c>
      <c r="AF97" s="116" t="str">
        <f aca="false">IF($B97="","",N(الموظفون!$AA97)/12*G97/cfg_DAYS_M)</f>
        <v/>
      </c>
      <c r="AG97" s="159" t="str">
        <f aca="false">IF($B97="","",T97+SUM(Z97:AF97))</f>
        <v/>
      </c>
      <c r="AH97" s="160" t="str">
        <f aca="false">IF($B97="","",MAX(0,IF(OR(الموظفون!$AE97="",الموظفون!$AE97&gt;$F$3),$F$3,الموظفون!$AE97)-الموظفون!$H97+1-SUMIFS('سجل الإجازات والحالات'!$AM$6:$AM$505,'سجل الإجازات والحالات'!$B$6:$B$505,$B97))/cfg_DAYS_Y)</f>
        <v/>
      </c>
      <c r="AI97" s="160" t="str">
        <f aca="false">IF($B97="","",MAX(0,IF(OR(الموظفون!$AE97="",الموظفون!$AE97&gt;($E$3-1)),($E$3-1),الموظفون!$AE97)-الموظفون!$H97+1-SUMIFS('سجل الإجازات والحالات'!$AL$6:$AL$505,'سجل الإجازات والحالات'!$B$6:$B$505,$B97))/cfg_DAYS_Y)</f>
        <v/>
      </c>
      <c r="AJ97" s="133" t="str">
        <f aca="false">IF($B97="","",MAX(0,AK97-(SUMIFS('سجل الإجازات والحالات'!$AM$6:$AM$505,'سجل الإجازات والحالات'!$B$6:$B$505,$B97)-SUMIFS('سجل الإجازات والحالات'!$AL$6:$AL$505,'سجل الإجازات والحالات'!$B$6:$B$505,$B97))))</f>
        <v/>
      </c>
      <c r="AK97" s="133" t="str">
        <f aca="false">IF($B97="","",MAX(0,IF(OR(الموظفون!$AE97="",الموظفون!$AE97&gt;$F$3),$F$3,الموظفون!$AE97)-MAX($E$3,الموظفون!$H97)+1))</f>
        <v/>
      </c>
      <c r="AL97" s="156" t="str">
        <f aca="false">IF($B97="","",SUMIFS('سجل الإجازات والحالات'!$AY$6:$AY$505,'سجل الإجازات والحالات'!$B$6:$B$505,$B97)+SUMIFS('الحركات الشهرية'!$K$6:$K$1005,'الحركات الشهرية'!$B$6:$B$1005,$B97,'الحركات الشهرية'!$A$6:$A$1005,$C$3))</f>
        <v/>
      </c>
      <c r="AM97" s="116" t="str">
        <f aca="false">IF($B97="","",AL97*الموظفون!$R97/cfg_DAYS_M+S97)</f>
        <v/>
      </c>
      <c r="AN97" s="156" t="str">
        <f aca="false">IF($B97="","",SUMIFS('سجل الإجازات والحالات'!$AA$6:$AA$505,'سجل الإجازات والحالات'!$B$6:$B$505,$B97))</f>
        <v/>
      </c>
    </row>
    <row r="98" customFormat="false" ht="15" hidden="false" customHeight="false" outlineLevel="0" collapsed="false">
      <c r="A98" s="106" t="str">
        <f aca="false">IF($B98="","",الموظفون!$A98)</f>
        <v/>
      </c>
      <c r="B98" s="114" t="str">
        <f aca="false">IF(الموظفون!$B98="","",الموظفون!$B98)</f>
        <v/>
      </c>
      <c r="C98" s="114" t="str">
        <f aca="false">IF($B98="","",الموظفون!$C98)</f>
        <v/>
      </c>
      <c r="D98" s="114" t="str">
        <f aca="false">IF($B98="","",الموظفون!$F98)</f>
        <v/>
      </c>
      <c r="E98" s="114" t="str">
        <f aca="false">IF($B98="","",الموظفون!$E98)</f>
        <v/>
      </c>
      <c r="F98" s="114" t="str">
        <f aca="false">IF($B98="","",IF(AK98=0,IF(AND(الموظفون!$AE98&lt;&gt;"",الموظفون!$AE98&lt;$E$3),"✖ منتهي الخدمة","⏳ لم يباشر"),IF(S98&gt;0,"✈ راتب إجازة مقدم",IF(J98=0,"⛔ بدون راتب هذا الشهر",IF(I98&gt;0,"✈ خصم "&amp;ROUND(I98,2)&amp;" يوم بدون أجر",IF(AL98&gt;0,"🌴 إجازة سنوية "&amp;ROUND(AL98,2)&amp;" يوم",IF(H98&gt;0,"⚠ غياب "&amp;ROUND(H98,2)&amp;" يوم","✔ على رأس العمل")))))))</f>
        <v/>
      </c>
      <c r="G98" s="151" t="str">
        <f aca="false">IF($B98="","",IF(AK98&gt;=DAY($F$3),cfg_DAYS_M,MIN(AK98,cfg_DAYS_M)))</f>
        <v/>
      </c>
      <c r="H98" s="151" t="str">
        <f aca="false">IF($B98="","",SUMIFS('الحركات الشهرية'!$D$6:$D$1005,'الحركات الشهرية'!$B$6:$B$1005,$B98,'الحركات الشهرية'!$A$6:$A$1005,$C$3))</f>
        <v/>
      </c>
      <c r="I98" s="151" t="str">
        <f aca="false">IF($B98="","",MIN(G98,IF(AND(AK98&gt;0,AN98&gt;=AK98),G98,AN98)+SUMIFS('الحركات الشهرية'!$E$6:$E$1005,'الحركات الشهرية'!$B$6:$B$1005,$B98,'الحركات الشهرية'!$A$6:$A$1005,$C$3)))</f>
        <v/>
      </c>
      <c r="J98" s="151" t="str">
        <f aca="false">IF($B98="","",MAX(0,G98-H98-I98))</f>
        <v/>
      </c>
      <c r="K98" s="111" t="str">
        <f aca="false">IF($B98="","",الموظفون!$L98*$J98/cfg_DAYS_M)</f>
        <v/>
      </c>
      <c r="L98" s="111" t="str">
        <f aca="false">IF($B98="","",الموظفون!$M98*$J98/cfg_DAYS_M)</f>
        <v/>
      </c>
      <c r="M98" s="111" t="str">
        <f aca="false">IF($B98="","",الموظفون!$N98*$J98/cfg_DAYS_M)</f>
        <v/>
      </c>
      <c r="N98" s="111" t="str">
        <f aca="false">IF($B98="","",الموظفون!$O98*$J98/cfg_DAYS_M)</f>
        <v/>
      </c>
      <c r="O98" s="151" t="str">
        <f aca="false">IF($B98="","",SUMIFS('الحركات الشهرية'!$F$6:$F$1005,'الحركات الشهرية'!$B$6:$B$1005,$B98,'الحركات الشهرية'!$A$6:$A$1005,$C$3))</f>
        <v/>
      </c>
      <c r="P98" s="111" t="str">
        <f aca="false">IF($B98="","",O98*(الموظفون!$P98+الموظفون!$L98*cfg_OT_P)/cfg_DAYS_M/cfg_HRS)</f>
        <v/>
      </c>
      <c r="Q98" s="111" t="str">
        <f aca="false">IF($B98="","",SUMIFS('الحركات الشهرية'!$G$6:$G$1005,'الحركات الشهرية'!$B$6:$B$1005,$B98,'الحركات الشهرية'!$A$6:$A$1005,$C$3))</f>
        <v/>
      </c>
      <c r="R98" s="111" t="str">
        <f aca="false">IF($B98="","",SUMIFS('الحركات الشهرية'!$H$6:$H$1005,'الحركات الشهرية'!$B$6:$B$1005,$B98,'الحركات الشهرية'!$A$6:$A$1005,$C$3))</f>
        <v/>
      </c>
      <c r="S98" s="111" t="str">
        <f aca="false">IF($B98="","",SUMIFS('سجل الإجازات والحالات'!$N$6:$N$505,'سجل الإجازات والحالات'!$B$6:$B$505,$B98,'سجل الإجازات والحالات'!$O$6:$O$505,$C$3))</f>
        <v/>
      </c>
      <c r="T98" s="152" t="str">
        <f aca="false">IF($B98="","",SUM(K98:N98)+SUM(P98:S98))</f>
        <v/>
      </c>
      <c r="U98" s="111" t="str">
        <f aca="false">IF($B98="","",الموظفون!$S98*IF(E98="سعودي",cfg_G_SE,cfg_G_NE)*G98/cfg_DAYS_M)</f>
        <v/>
      </c>
      <c r="V98" s="111" t="str">
        <f aca="false">IF($B98="","",SUMIFS('الحركات الشهرية'!$I$6:$I$1005,'الحركات الشهرية'!$B$6:$B$1005,$B98,'الحركات الشهرية'!$A$6:$A$1005,$C$3))</f>
        <v/>
      </c>
      <c r="W98" s="111" t="str">
        <f aca="false">IF($B98="","",SUMIFS('الحركات الشهرية'!$J$6:$J$1005,'الحركات الشهرية'!$B$6:$B$1005,$B98,'الحركات الشهرية'!$A$6:$A$1005,$C$3))</f>
        <v/>
      </c>
      <c r="X98" s="111" t="str">
        <f aca="false">IF($B98="","",SUM(U98:W98))</f>
        <v/>
      </c>
      <c r="Y98" s="153" t="str">
        <f aca="false">IF($B98="","",T98-X98)</f>
        <v/>
      </c>
      <c r="Z98" s="111" t="str">
        <f aca="false">IF($B98="","",الموظفون!$S98*IF(E98="سعودي",cfg_G_SR,cfg_G_NR)*G98/cfg_DAYS_M)</f>
        <v/>
      </c>
      <c r="AA98" s="111" t="str">
        <f aca="false">IF($B98="","",الموظفون!$Q98*(cfg_EOS_R1*(MIN(AH98,cfg_EOS_TH)-MIN(AI98,cfg_EOS_TH))+cfg_EOS_R2*(MAX(AH98-cfg_EOS_TH,0)-MAX(AI98-cfg_EOS_TH,0))))</f>
        <v/>
      </c>
      <c r="AB98" s="111" t="str">
        <f aca="false">IF($B98="","",IF(الموظفون!$T98&lt;&gt;"",الموظفون!$T98,IF(AH98&gt;=cfg_LV_TH,cfg_LV_D2,cfg_LV_D1))/cfg_DAYS_Y*AJ98*الموظفون!$R98/cfg_DAYS_M)</f>
        <v/>
      </c>
      <c r="AC98" s="111" t="str">
        <f aca="false">IF($B98="","",IF(AND(الموظفون!$U98="نعم",N(الموظفون!$W98)&gt;0),الموظفون!$V98/الموظفون!$W98*12/cfg_DAYS_Y*AJ98,0))</f>
        <v/>
      </c>
      <c r="AD98" s="111" t="str">
        <f aca="false">IF($B98="","",(IF(الموظفون!$X98&lt;&gt;"",الموظفون!$X98,IF(الموظفون!$E98="غير سعودي",cfg_IQ,0))+IF(الموظفون!$Y98&lt;&gt;"",الموظفون!$Y98,IF(الموظفون!$E98="غير سعودي",cfg_WP,0)))/12*G98/cfg_DAYS_M)</f>
        <v/>
      </c>
      <c r="AE98" s="111" t="str">
        <f aca="false">IF($B98="","",IF(الموظفون!$Z98&lt;&gt;"",الموظفون!$Z98,cfg_MED)/12*G98/cfg_DAYS_M)</f>
        <v/>
      </c>
      <c r="AF98" s="111" t="str">
        <f aca="false">IF($B98="","",N(الموظفون!$AA98)/12*G98/cfg_DAYS_M)</f>
        <v/>
      </c>
      <c r="AG98" s="154" t="str">
        <f aca="false">IF($B98="","",T98+SUM(Z98:AF98))</f>
        <v/>
      </c>
      <c r="AH98" s="155" t="str">
        <f aca="false">IF($B98="","",MAX(0,IF(OR(الموظفون!$AE98="",الموظفون!$AE98&gt;$F$3),$F$3,الموظفون!$AE98)-الموظفون!$H98+1-SUMIFS('سجل الإجازات والحالات'!$AM$6:$AM$505,'سجل الإجازات والحالات'!$B$6:$B$505,$B98))/cfg_DAYS_Y)</f>
        <v/>
      </c>
      <c r="AI98" s="155" t="str">
        <f aca="false">IF($B98="","",MAX(0,IF(OR(الموظفون!$AE98="",الموظفون!$AE98&gt;($E$3-1)),($E$3-1),الموظفون!$AE98)-الموظفون!$H98+1-SUMIFS('سجل الإجازات والحالات'!$AL$6:$AL$505,'سجل الإجازات والحالات'!$B$6:$B$505,$B98))/cfg_DAYS_Y)</f>
        <v/>
      </c>
      <c r="AJ98" s="65" t="str">
        <f aca="false">IF($B98="","",MAX(0,AK98-(SUMIFS('سجل الإجازات والحالات'!$AM$6:$AM$505,'سجل الإجازات والحالات'!$B$6:$B$505,$B98)-SUMIFS('سجل الإجازات والحالات'!$AL$6:$AL$505,'سجل الإجازات والحالات'!$B$6:$B$505,$B98))))</f>
        <v/>
      </c>
      <c r="AK98" s="65" t="str">
        <f aca="false">IF($B98="","",MAX(0,IF(OR(الموظفون!$AE98="",الموظفون!$AE98&gt;$F$3),$F$3,الموظفون!$AE98)-MAX($E$3,الموظفون!$H98)+1))</f>
        <v/>
      </c>
      <c r="AL98" s="151" t="str">
        <f aca="false">IF($B98="","",SUMIFS('سجل الإجازات والحالات'!$AY$6:$AY$505,'سجل الإجازات والحالات'!$B$6:$B$505,$B98)+SUMIFS('الحركات الشهرية'!$K$6:$K$1005,'الحركات الشهرية'!$B$6:$B$1005,$B98,'الحركات الشهرية'!$A$6:$A$1005,$C$3))</f>
        <v/>
      </c>
      <c r="AM98" s="111" t="str">
        <f aca="false">IF($B98="","",AL98*الموظفون!$R98/cfg_DAYS_M+S98)</f>
        <v/>
      </c>
      <c r="AN98" s="151" t="str">
        <f aca="false">IF($B98="","",SUMIFS('سجل الإجازات والحالات'!$AA$6:$AA$505,'سجل الإجازات والحالات'!$B$6:$B$505,$B98))</f>
        <v/>
      </c>
    </row>
    <row r="99" customFormat="false" ht="15" hidden="false" customHeight="false" outlineLevel="0" collapsed="false">
      <c r="A99" s="115" t="str">
        <f aca="false">IF($B99="","",الموظفون!$A99)</f>
        <v/>
      </c>
      <c r="B99" s="117" t="str">
        <f aca="false">IF(الموظفون!$B99="","",الموظفون!$B99)</f>
        <v/>
      </c>
      <c r="C99" s="117" t="str">
        <f aca="false">IF($B99="","",الموظفون!$C99)</f>
        <v/>
      </c>
      <c r="D99" s="117" t="str">
        <f aca="false">IF($B99="","",الموظفون!$F99)</f>
        <v/>
      </c>
      <c r="E99" s="117" t="str">
        <f aca="false">IF($B99="","",الموظفون!$E99)</f>
        <v/>
      </c>
      <c r="F99" s="117" t="str">
        <f aca="false">IF($B99="","",IF(AK99=0,IF(AND(الموظفون!$AE99&lt;&gt;"",الموظفون!$AE99&lt;$E$3),"✖ منتهي الخدمة","⏳ لم يباشر"),IF(S99&gt;0,"✈ راتب إجازة مقدم",IF(J99=0,"⛔ بدون راتب هذا الشهر",IF(I99&gt;0,"✈ خصم "&amp;ROUND(I99,2)&amp;" يوم بدون أجر",IF(AL99&gt;0,"🌴 إجازة سنوية "&amp;ROUND(AL99,2)&amp;" يوم",IF(H99&gt;0,"⚠ غياب "&amp;ROUND(H99,2)&amp;" يوم","✔ على رأس العمل")))))))</f>
        <v/>
      </c>
      <c r="G99" s="156" t="str">
        <f aca="false">IF($B99="","",IF(AK99&gt;=DAY($F$3),cfg_DAYS_M,MIN(AK99,cfg_DAYS_M)))</f>
        <v/>
      </c>
      <c r="H99" s="156" t="str">
        <f aca="false">IF($B99="","",SUMIFS('الحركات الشهرية'!$D$6:$D$1005,'الحركات الشهرية'!$B$6:$B$1005,$B99,'الحركات الشهرية'!$A$6:$A$1005,$C$3))</f>
        <v/>
      </c>
      <c r="I99" s="156" t="str">
        <f aca="false">IF($B99="","",MIN(G99,IF(AND(AK99&gt;0,AN99&gt;=AK99),G99,AN99)+SUMIFS('الحركات الشهرية'!$E$6:$E$1005,'الحركات الشهرية'!$B$6:$B$1005,$B99,'الحركات الشهرية'!$A$6:$A$1005,$C$3)))</f>
        <v/>
      </c>
      <c r="J99" s="156" t="str">
        <f aca="false">IF($B99="","",MAX(0,G99-H99-I99))</f>
        <v/>
      </c>
      <c r="K99" s="116" t="str">
        <f aca="false">IF($B99="","",الموظفون!$L99*$J99/cfg_DAYS_M)</f>
        <v/>
      </c>
      <c r="L99" s="116" t="str">
        <f aca="false">IF($B99="","",الموظفون!$M99*$J99/cfg_DAYS_M)</f>
        <v/>
      </c>
      <c r="M99" s="116" t="str">
        <f aca="false">IF($B99="","",الموظفون!$N99*$J99/cfg_DAYS_M)</f>
        <v/>
      </c>
      <c r="N99" s="116" t="str">
        <f aca="false">IF($B99="","",الموظفون!$O99*$J99/cfg_DAYS_M)</f>
        <v/>
      </c>
      <c r="O99" s="156" t="str">
        <f aca="false">IF($B99="","",SUMIFS('الحركات الشهرية'!$F$6:$F$1005,'الحركات الشهرية'!$B$6:$B$1005,$B99,'الحركات الشهرية'!$A$6:$A$1005,$C$3))</f>
        <v/>
      </c>
      <c r="P99" s="116" t="str">
        <f aca="false">IF($B99="","",O99*(الموظفون!$P99+الموظفون!$L99*cfg_OT_P)/cfg_DAYS_M/cfg_HRS)</f>
        <v/>
      </c>
      <c r="Q99" s="116" t="str">
        <f aca="false">IF($B99="","",SUMIFS('الحركات الشهرية'!$G$6:$G$1005,'الحركات الشهرية'!$B$6:$B$1005,$B99,'الحركات الشهرية'!$A$6:$A$1005,$C$3))</f>
        <v/>
      </c>
      <c r="R99" s="116" t="str">
        <f aca="false">IF($B99="","",SUMIFS('الحركات الشهرية'!$H$6:$H$1005,'الحركات الشهرية'!$B$6:$B$1005,$B99,'الحركات الشهرية'!$A$6:$A$1005,$C$3))</f>
        <v/>
      </c>
      <c r="S99" s="116" t="str">
        <f aca="false">IF($B99="","",SUMIFS('سجل الإجازات والحالات'!$N$6:$N$505,'سجل الإجازات والحالات'!$B$6:$B$505,$B99,'سجل الإجازات والحالات'!$O$6:$O$505,$C$3))</f>
        <v/>
      </c>
      <c r="T99" s="157" t="str">
        <f aca="false">IF($B99="","",SUM(K99:N99)+SUM(P99:S99))</f>
        <v/>
      </c>
      <c r="U99" s="116" t="str">
        <f aca="false">IF($B99="","",الموظفون!$S99*IF(E99="سعودي",cfg_G_SE,cfg_G_NE)*G99/cfg_DAYS_M)</f>
        <v/>
      </c>
      <c r="V99" s="116" t="str">
        <f aca="false">IF($B99="","",SUMIFS('الحركات الشهرية'!$I$6:$I$1005,'الحركات الشهرية'!$B$6:$B$1005,$B99,'الحركات الشهرية'!$A$6:$A$1005,$C$3))</f>
        <v/>
      </c>
      <c r="W99" s="116" t="str">
        <f aca="false">IF($B99="","",SUMIFS('الحركات الشهرية'!$J$6:$J$1005,'الحركات الشهرية'!$B$6:$B$1005,$B99,'الحركات الشهرية'!$A$6:$A$1005,$C$3))</f>
        <v/>
      </c>
      <c r="X99" s="116" t="str">
        <f aca="false">IF($B99="","",SUM(U99:W99))</f>
        <v/>
      </c>
      <c r="Y99" s="158" t="str">
        <f aca="false">IF($B99="","",T99-X99)</f>
        <v/>
      </c>
      <c r="Z99" s="116" t="str">
        <f aca="false">IF($B99="","",الموظفون!$S99*IF(E99="سعودي",cfg_G_SR,cfg_G_NR)*G99/cfg_DAYS_M)</f>
        <v/>
      </c>
      <c r="AA99" s="116" t="str">
        <f aca="false">IF($B99="","",الموظفون!$Q99*(cfg_EOS_R1*(MIN(AH99,cfg_EOS_TH)-MIN(AI99,cfg_EOS_TH))+cfg_EOS_R2*(MAX(AH99-cfg_EOS_TH,0)-MAX(AI99-cfg_EOS_TH,0))))</f>
        <v/>
      </c>
      <c r="AB99" s="116" t="str">
        <f aca="false">IF($B99="","",IF(الموظفون!$T99&lt;&gt;"",الموظفون!$T99,IF(AH99&gt;=cfg_LV_TH,cfg_LV_D2,cfg_LV_D1))/cfg_DAYS_Y*AJ99*الموظفون!$R99/cfg_DAYS_M)</f>
        <v/>
      </c>
      <c r="AC99" s="116" t="str">
        <f aca="false">IF($B99="","",IF(AND(الموظفون!$U99="نعم",N(الموظفون!$W99)&gt;0),الموظفون!$V99/الموظفون!$W99*12/cfg_DAYS_Y*AJ99,0))</f>
        <v/>
      </c>
      <c r="AD99" s="116" t="str">
        <f aca="false">IF($B99="","",(IF(الموظفون!$X99&lt;&gt;"",الموظفون!$X99,IF(الموظفون!$E99="غير سعودي",cfg_IQ,0))+IF(الموظفون!$Y99&lt;&gt;"",الموظفون!$Y99,IF(الموظفون!$E99="غير سعودي",cfg_WP,0)))/12*G99/cfg_DAYS_M)</f>
        <v/>
      </c>
      <c r="AE99" s="116" t="str">
        <f aca="false">IF($B99="","",IF(الموظفون!$Z99&lt;&gt;"",الموظفون!$Z99,cfg_MED)/12*G99/cfg_DAYS_M)</f>
        <v/>
      </c>
      <c r="AF99" s="116" t="str">
        <f aca="false">IF($B99="","",N(الموظفون!$AA99)/12*G99/cfg_DAYS_M)</f>
        <v/>
      </c>
      <c r="AG99" s="159" t="str">
        <f aca="false">IF($B99="","",T99+SUM(Z99:AF99))</f>
        <v/>
      </c>
      <c r="AH99" s="160" t="str">
        <f aca="false">IF($B99="","",MAX(0,IF(OR(الموظفون!$AE99="",الموظفون!$AE99&gt;$F$3),$F$3,الموظفون!$AE99)-الموظفون!$H99+1-SUMIFS('سجل الإجازات والحالات'!$AM$6:$AM$505,'سجل الإجازات والحالات'!$B$6:$B$505,$B99))/cfg_DAYS_Y)</f>
        <v/>
      </c>
      <c r="AI99" s="160" t="str">
        <f aca="false">IF($B99="","",MAX(0,IF(OR(الموظفون!$AE99="",الموظفون!$AE99&gt;($E$3-1)),($E$3-1),الموظفون!$AE99)-الموظفون!$H99+1-SUMIFS('سجل الإجازات والحالات'!$AL$6:$AL$505,'سجل الإجازات والحالات'!$B$6:$B$505,$B99))/cfg_DAYS_Y)</f>
        <v/>
      </c>
      <c r="AJ99" s="133" t="str">
        <f aca="false">IF($B99="","",MAX(0,AK99-(SUMIFS('سجل الإجازات والحالات'!$AM$6:$AM$505,'سجل الإجازات والحالات'!$B$6:$B$505,$B99)-SUMIFS('سجل الإجازات والحالات'!$AL$6:$AL$505,'سجل الإجازات والحالات'!$B$6:$B$505,$B99))))</f>
        <v/>
      </c>
      <c r="AK99" s="133" t="str">
        <f aca="false">IF($B99="","",MAX(0,IF(OR(الموظفون!$AE99="",الموظفون!$AE99&gt;$F$3),$F$3,الموظفون!$AE99)-MAX($E$3,الموظفون!$H99)+1))</f>
        <v/>
      </c>
      <c r="AL99" s="156" t="str">
        <f aca="false">IF($B99="","",SUMIFS('سجل الإجازات والحالات'!$AY$6:$AY$505,'سجل الإجازات والحالات'!$B$6:$B$505,$B99)+SUMIFS('الحركات الشهرية'!$K$6:$K$1005,'الحركات الشهرية'!$B$6:$B$1005,$B99,'الحركات الشهرية'!$A$6:$A$1005,$C$3))</f>
        <v/>
      </c>
      <c r="AM99" s="116" t="str">
        <f aca="false">IF($B99="","",AL99*الموظفون!$R99/cfg_DAYS_M+S99)</f>
        <v/>
      </c>
      <c r="AN99" s="156" t="str">
        <f aca="false">IF($B99="","",SUMIFS('سجل الإجازات والحالات'!$AA$6:$AA$505,'سجل الإجازات والحالات'!$B$6:$B$505,$B99))</f>
        <v/>
      </c>
    </row>
    <row r="100" customFormat="false" ht="15" hidden="false" customHeight="false" outlineLevel="0" collapsed="false">
      <c r="A100" s="106" t="str">
        <f aca="false">IF($B100="","",الموظفون!$A100)</f>
        <v/>
      </c>
      <c r="B100" s="114" t="str">
        <f aca="false">IF(الموظفون!$B100="","",الموظفون!$B100)</f>
        <v/>
      </c>
      <c r="C100" s="114" t="str">
        <f aca="false">IF($B100="","",الموظفون!$C100)</f>
        <v/>
      </c>
      <c r="D100" s="114" t="str">
        <f aca="false">IF($B100="","",الموظفون!$F100)</f>
        <v/>
      </c>
      <c r="E100" s="114" t="str">
        <f aca="false">IF($B100="","",الموظفون!$E100)</f>
        <v/>
      </c>
      <c r="F100" s="114" t="str">
        <f aca="false">IF($B100="","",IF(AK100=0,IF(AND(الموظفون!$AE100&lt;&gt;"",الموظفون!$AE100&lt;$E$3),"✖ منتهي الخدمة","⏳ لم يباشر"),IF(S100&gt;0,"✈ راتب إجازة مقدم",IF(J100=0,"⛔ بدون راتب هذا الشهر",IF(I100&gt;0,"✈ خصم "&amp;ROUND(I100,2)&amp;" يوم بدون أجر",IF(AL100&gt;0,"🌴 إجازة سنوية "&amp;ROUND(AL100,2)&amp;" يوم",IF(H100&gt;0,"⚠ غياب "&amp;ROUND(H100,2)&amp;" يوم","✔ على رأس العمل")))))))</f>
        <v/>
      </c>
      <c r="G100" s="151" t="str">
        <f aca="false">IF($B100="","",IF(AK100&gt;=DAY($F$3),cfg_DAYS_M,MIN(AK100,cfg_DAYS_M)))</f>
        <v/>
      </c>
      <c r="H100" s="151" t="str">
        <f aca="false">IF($B100="","",SUMIFS('الحركات الشهرية'!$D$6:$D$1005,'الحركات الشهرية'!$B$6:$B$1005,$B100,'الحركات الشهرية'!$A$6:$A$1005,$C$3))</f>
        <v/>
      </c>
      <c r="I100" s="151" t="str">
        <f aca="false">IF($B100="","",MIN(G100,IF(AND(AK100&gt;0,AN100&gt;=AK100),G100,AN100)+SUMIFS('الحركات الشهرية'!$E$6:$E$1005,'الحركات الشهرية'!$B$6:$B$1005,$B100,'الحركات الشهرية'!$A$6:$A$1005,$C$3)))</f>
        <v/>
      </c>
      <c r="J100" s="151" t="str">
        <f aca="false">IF($B100="","",MAX(0,G100-H100-I100))</f>
        <v/>
      </c>
      <c r="K100" s="111" t="str">
        <f aca="false">IF($B100="","",الموظفون!$L100*$J100/cfg_DAYS_M)</f>
        <v/>
      </c>
      <c r="L100" s="111" t="str">
        <f aca="false">IF($B100="","",الموظفون!$M100*$J100/cfg_DAYS_M)</f>
        <v/>
      </c>
      <c r="M100" s="111" t="str">
        <f aca="false">IF($B100="","",الموظفون!$N100*$J100/cfg_DAYS_M)</f>
        <v/>
      </c>
      <c r="N100" s="111" t="str">
        <f aca="false">IF($B100="","",الموظفون!$O100*$J100/cfg_DAYS_M)</f>
        <v/>
      </c>
      <c r="O100" s="151" t="str">
        <f aca="false">IF($B100="","",SUMIFS('الحركات الشهرية'!$F$6:$F$1005,'الحركات الشهرية'!$B$6:$B$1005,$B100,'الحركات الشهرية'!$A$6:$A$1005,$C$3))</f>
        <v/>
      </c>
      <c r="P100" s="111" t="str">
        <f aca="false">IF($B100="","",O100*(الموظفون!$P100+الموظفون!$L100*cfg_OT_P)/cfg_DAYS_M/cfg_HRS)</f>
        <v/>
      </c>
      <c r="Q100" s="111" t="str">
        <f aca="false">IF($B100="","",SUMIFS('الحركات الشهرية'!$G$6:$G$1005,'الحركات الشهرية'!$B$6:$B$1005,$B100,'الحركات الشهرية'!$A$6:$A$1005,$C$3))</f>
        <v/>
      </c>
      <c r="R100" s="111" t="str">
        <f aca="false">IF($B100="","",SUMIFS('الحركات الشهرية'!$H$6:$H$1005,'الحركات الشهرية'!$B$6:$B$1005,$B100,'الحركات الشهرية'!$A$6:$A$1005,$C$3))</f>
        <v/>
      </c>
      <c r="S100" s="111" t="str">
        <f aca="false">IF($B100="","",SUMIFS('سجل الإجازات والحالات'!$N$6:$N$505,'سجل الإجازات والحالات'!$B$6:$B$505,$B100,'سجل الإجازات والحالات'!$O$6:$O$505,$C$3))</f>
        <v/>
      </c>
      <c r="T100" s="152" t="str">
        <f aca="false">IF($B100="","",SUM(K100:N100)+SUM(P100:S100))</f>
        <v/>
      </c>
      <c r="U100" s="111" t="str">
        <f aca="false">IF($B100="","",الموظفون!$S100*IF(E100="سعودي",cfg_G_SE,cfg_G_NE)*G100/cfg_DAYS_M)</f>
        <v/>
      </c>
      <c r="V100" s="111" t="str">
        <f aca="false">IF($B100="","",SUMIFS('الحركات الشهرية'!$I$6:$I$1005,'الحركات الشهرية'!$B$6:$B$1005,$B100,'الحركات الشهرية'!$A$6:$A$1005,$C$3))</f>
        <v/>
      </c>
      <c r="W100" s="111" t="str">
        <f aca="false">IF($B100="","",SUMIFS('الحركات الشهرية'!$J$6:$J$1005,'الحركات الشهرية'!$B$6:$B$1005,$B100,'الحركات الشهرية'!$A$6:$A$1005,$C$3))</f>
        <v/>
      </c>
      <c r="X100" s="111" t="str">
        <f aca="false">IF($B100="","",SUM(U100:W100))</f>
        <v/>
      </c>
      <c r="Y100" s="153" t="str">
        <f aca="false">IF($B100="","",T100-X100)</f>
        <v/>
      </c>
      <c r="Z100" s="111" t="str">
        <f aca="false">IF($B100="","",الموظفون!$S100*IF(E100="سعودي",cfg_G_SR,cfg_G_NR)*G100/cfg_DAYS_M)</f>
        <v/>
      </c>
      <c r="AA100" s="111" t="str">
        <f aca="false">IF($B100="","",الموظفون!$Q100*(cfg_EOS_R1*(MIN(AH100,cfg_EOS_TH)-MIN(AI100,cfg_EOS_TH))+cfg_EOS_R2*(MAX(AH100-cfg_EOS_TH,0)-MAX(AI100-cfg_EOS_TH,0))))</f>
        <v/>
      </c>
      <c r="AB100" s="111" t="str">
        <f aca="false">IF($B100="","",IF(الموظفون!$T100&lt;&gt;"",الموظفون!$T100,IF(AH100&gt;=cfg_LV_TH,cfg_LV_D2,cfg_LV_D1))/cfg_DAYS_Y*AJ100*الموظفون!$R100/cfg_DAYS_M)</f>
        <v/>
      </c>
      <c r="AC100" s="111" t="str">
        <f aca="false">IF($B100="","",IF(AND(الموظفون!$U100="نعم",N(الموظفون!$W100)&gt;0),الموظفون!$V100/الموظفون!$W100*12/cfg_DAYS_Y*AJ100,0))</f>
        <v/>
      </c>
      <c r="AD100" s="111" t="str">
        <f aca="false">IF($B100="","",(IF(الموظفون!$X100&lt;&gt;"",الموظفون!$X100,IF(الموظفون!$E100="غير سعودي",cfg_IQ,0))+IF(الموظفون!$Y100&lt;&gt;"",الموظفون!$Y100,IF(الموظفون!$E100="غير سعودي",cfg_WP,0)))/12*G100/cfg_DAYS_M)</f>
        <v/>
      </c>
      <c r="AE100" s="111" t="str">
        <f aca="false">IF($B100="","",IF(الموظفون!$Z100&lt;&gt;"",الموظفون!$Z100,cfg_MED)/12*G100/cfg_DAYS_M)</f>
        <v/>
      </c>
      <c r="AF100" s="111" t="str">
        <f aca="false">IF($B100="","",N(الموظفون!$AA100)/12*G100/cfg_DAYS_M)</f>
        <v/>
      </c>
      <c r="AG100" s="154" t="str">
        <f aca="false">IF($B100="","",T100+SUM(Z100:AF100))</f>
        <v/>
      </c>
      <c r="AH100" s="155" t="str">
        <f aca="false">IF($B100="","",MAX(0,IF(OR(الموظفون!$AE100="",الموظفون!$AE100&gt;$F$3),$F$3,الموظفون!$AE100)-الموظفون!$H100+1-SUMIFS('سجل الإجازات والحالات'!$AM$6:$AM$505,'سجل الإجازات والحالات'!$B$6:$B$505,$B100))/cfg_DAYS_Y)</f>
        <v/>
      </c>
      <c r="AI100" s="155" t="str">
        <f aca="false">IF($B100="","",MAX(0,IF(OR(الموظفون!$AE100="",الموظفون!$AE100&gt;($E$3-1)),($E$3-1),الموظفون!$AE100)-الموظفون!$H100+1-SUMIFS('سجل الإجازات والحالات'!$AL$6:$AL$505,'سجل الإجازات والحالات'!$B$6:$B$505,$B100))/cfg_DAYS_Y)</f>
        <v/>
      </c>
      <c r="AJ100" s="65" t="str">
        <f aca="false">IF($B100="","",MAX(0,AK100-(SUMIFS('سجل الإجازات والحالات'!$AM$6:$AM$505,'سجل الإجازات والحالات'!$B$6:$B$505,$B100)-SUMIFS('سجل الإجازات والحالات'!$AL$6:$AL$505,'سجل الإجازات والحالات'!$B$6:$B$505,$B100))))</f>
        <v/>
      </c>
      <c r="AK100" s="65" t="str">
        <f aca="false">IF($B100="","",MAX(0,IF(OR(الموظفون!$AE100="",الموظفون!$AE100&gt;$F$3),$F$3,الموظفون!$AE100)-MAX($E$3,الموظفون!$H100)+1))</f>
        <v/>
      </c>
      <c r="AL100" s="151" t="str">
        <f aca="false">IF($B100="","",SUMIFS('سجل الإجازات والحالات'!$AY$6:$AY$505,'سجل الإجازات والحالات'!$B$6:$B$505,$B100)+SUMIFS('الحركات الشهرية'!$K$6:$K$1005,'الحركات الشهرية'!$B$6:$B$1005,$B100,'الحركات الشهرية'!$A$6:$A$1005,$C$3))</f>
        <v/>
      </c>
      <c r="AM100" s="111" t="str">
        <f aca="false">IF($B100="","",AL100*الموظفون!$R100/cfg_DAYS_M+S100)</f>
        <v/>
      </c>
      <c r="AN100" s="151" t="str">
        <f aca="false">IF($B100="","",SUMIFS('سجل الإجازات والحالات'!$AA$6:$AA$505,'سجل الإجازات والحالات'!$B$6:$B$505,$B100))</f>
        <v/>
      </c>
    </row>
    <row r="101" customFormat="false" ht="15" hidden="false" customHeight="false" outlineLevel="0" collapsed="false">
      <c r="A101" s="115" t="str">
        <f aca="false">IF($B101="","",الموظفون!$A101)</f>
        <v/>
      </c>
      <c r="B101" s="117" t="str">
        <f aca="false">IF(الموظفون!$B101="","",الموظفون!$B101)</f>
        <v/>
      </c>
      <c r="C101" s="117" t="str">
        <f aca="false">IF($B101="","",الموظفون!$C101)</f>
        <v/>
      </c>
      <c r="D101" s="117" t="str">
        <f aca="false">IF($B101="","",الموظفون!$F101)</f>
        <v/>
      </c>
      <c r="E101" s="117" t="str">
        <f aca="false">IF($B101="","",الموظفون!$E101)</f>
        <v/>
      </c>
      <c r="F101" s="117" t="str">
        <f aca="false">IF($B101="","",IF(AK101=0,IF(AND(الموظفون!$AE101&lt;&gt;"",الموظفون!$AE101&lt;$E$3),"✖ منتهي الخدمة","⏳ لم يباشر"),IF(S101&gt;0,"✈ راتب إجازة مقدم",IF(J101=0,"⛔ بدون راتب هذا الشهر",IF(I101&gt;0,"✈ خصم "&amp;ROUND(I101,2)&amp;" يوم بدون أجر",IF(AL101&gt;0,"🌴 إجازة سنوية "&amp;ROUND(AL101,2)&amp;" يوم",IF(H101&gt;0,"⚠ غياب "&amp;ROUND(H101,2)&amp;" يوم","✔ على رأس العمل")))))))</f>
        <v/>
      </c>
      <c r="G101" s="156" t="str">
        <f aca="false">IF($B101="","",IF(AK101&gt;=DAY($F$3),cfg_DAYS_M,MIN(AK101,cfg_DAYS_M)))</f>
        <v/>
      </c>
      <c r="H101" s="156" t="str">
        <f aca="false">IF($B101="","",SUMIFS('الحركات الشهرية'!$D$6:$D$1005,'الحركات الشهرية'!$B$6:$B$1005,$B101,'الحركات الشهرية'!$A$6:$A$1005,$C$3))</f>
        <v/>
      </c>
      <c r="I101" s="156" t="str">
        <f aca="false">IF($B101="","",MIN(G101,IF(AND(AK101&gt;0,AN101&gt;=AK101),G101,AN101)+SUMIFS('الحركات الشهرية'!$E$6:$E$1005,'الحركات الشهرية'!$B$6:$B$1005,$B101,'الحركات الشهرية'!$A$6:$A$1005,$C$3)))</f>
        <v/>
      </c>
      <c r="J101" s="156" t="str">
        <f aca="false">IF($B101="","",MAX(0,G101-H101-I101))</f>
        <v/>
      </c>
      <c r="K101" s="116" t="str">
        <f aca="false">IF($B101="","",الموظفون!$L101*$J101/cfg_DAYS_M)</f>
        <v/>
      </c>
      <c r="L101" s="116" t="str">
        <f aca="false">IF($B101="","",الموظفون!$M101*$J101/cfg_DAYS_M)</f>
        <v/>
      </c>
      <c r="M101" s="116" t="str">
        <f aca="false">IF($B101="","",الموظفون!$N101*$J101/cfg_DAYS_M)</f>
        <v/>
      </c>
      <c r="N101" s="116" t="str">
        <f aca="false">IF($B101="","",الموظفون!$O101*$J101/cfg_DAYS_M)</f>
        <v/>
      </c>
      <c r="O101" s="156" t="str">
        <f aca="false">IF($B101="","",SUMIFS('الحركات الشهرية'!$F$6:$F$1005,'الحركات الشهرية'!$B$6:$B$1005,$B101,'الحركات الشهرية'!$A$6:$A$1005,$C$3))</f>
        <v/>
      </c>
      <c r="P101" s="116" t="str">
        <f aca="false">IF($B101="","",O101*(الموظفون!$P101+الموظفون!$L101*cfg_OT_P)/cfg_DAYS_M/cfg_HRS)</f>
        <v/>
      </c>
      <c r="Q101" s="116" t="str">
        <f aca="false">IF($B101="","",SUMIFS('الحركات الشهرية'!$G$6:$G$1005,'الحركات الشهرية'!$B$6:$B$1005,$B101,'الحركات الشهرية'!$A$6:$A$1005,$C$3))</f>
        <v/>
      </c>
      <c r="R101" s="116" t="str">
        <f aca="false">IF($B101="","",SUMIFS('الحركات الشهرية'!$H$6:$H$1005,'الحركات الشهرية'!$B$6:$B$1005,$B101,'الحركات الشهرية'!$A$6:$A$1005,$C$3))</f>
        <v/>
      </c>
      <c r="S101" s="116" t="str">
        <f aca="false">IF($B101="","",SUMIFS('سجل الإجازات والحالات'!$N$6:$N$505,'سجل الإجازات والحالات'!$B$6:$B$505,$B101,'سجل الإجازات والحالات'!$O$6:$O$505,$C$3))</f>
        <v/>
      </c>
      <c r="T101" s="157" t="str">
        <f aca="false">IF($B101="","",SUM(K101:N101)+SUM(P101:S101))</f>
        <v/>
      </c>
      <c r="U101" s="116" t="str">
        <f aca="false">IF($B101="","",الموظفون!$S101*IF(E101="سعودي",cfg_G_SE,cfg_G_NE)*G101/cfg_DAYS_M)</f>
        <v/>
      </c>
      <c r="V101" s="116" t="str">
        <f aca="false">IF($B101="","",SUMIFS('الحركات الشهرية'!$I$6:$I$1005,'الحركات الشهرية'!$B$6:$B$1005,$B101,'الحركات الشهرية'!$A$6:$A$1005,$C$3))</f>
        <v/>
      </c>
      <c r="W101" s="116" t="str">
        <f aca="false">IF($B101="","",SUMIFS('الحركات الشهرية'!$J$6:$J$1005,'الحركات الشهرية'!$B$6:$B$1005,$B101,'الحركات الشهرية'!$A$6:$A$1005,$C$3))</f>
        <v/>
      </c>
      <c r="X101" s="116" t="str">
        <f aca="false">IF($B101="","",SUM(U101:W101))</f>
        <v/>
      </c>
      <c r="Y101" s="158" t="str">
        <f aca="false">IF($B101="","",T101-X101)</f>
        <v/>
      </c>
      <c r="Z101" s="116" t="str">
        <f aca="false">IF($B101="","",الموظفون!$S101*IF(E101="سعودي",cfg_G_SR,cfg_G_NR)*G101/cfg_DAYS_M)</f>
        <v/>
      </c>
      <c r="AA101" s="116" t="str">
        <f aca="false">IF($B101="","",الموظفون!$Q101*(cfg_EOS_R1*(MIN(AH101,cfg_EOS_TH)-MIN(AI101,cfg_EOS_TH))+cfg_EOS_R2*(MAX(AH101-cfg_EOS_TH,0)-MAX(AI101-cfg_EOS_TH,0))))</f>
        <v/>
      </c>
      <c r="AB101" s="116" t="str">
        <f aca="false">IF($B101="","",IF(الموظفون!$T101&lt;&gt;"",الموظفون!$T101,IF(AH101&gt;=cfg_LV_TH,cfg_LV_D2,cfg_LV_D1))/cfg_DAYS_Y*AJ101*الموظفون!$R101/cfg_DAYS_M)</f>
        <v/>
      </c>
      <c r="AC101" s="116" t="str">
        <f aca="false">IF($B101="","",IF(AND(الموظفون!$U101="نعم",N(الموظفون!$W101)&gt;0),الموظفون!$V101/الموظفون!$W101*12/cfg_DAYS_Y*AJ101,0))</f>
        <v/>
      </c>
      <c r="AD101" s="116" t="str">
        <f aca="false">IF($B101="","",(IF(الموظفون!$X101&lt;&gt;"",الموظفون!$X101,IF(الموظفون!$E101="غير سعودي",cfg_IQ,0))+IF(الموظفون!$Y101&lt;&gt;"",الموظفون!$Y101,IF(الموظفون!$E101="غير سعودي",cfg_WP,0)))/12*G101/cfg_DAYS_M)</f>
        <v/>
      </c>
      <c r="AE101" s="116" t="str">
        <f aca="false">IF($B101="","",IF(الموظفون!$Z101&lt;&gt;"",الموظفون!$Z101,cfg_MED)/12*G101/cfg_DAYS_M)</f>
        <v/>
      </c>
      <c r="AF101" s="116" t="str">
        <f aca="false">IF($B101="","",N(الموظفون!$AA101)/12*G101/cfg_DAYS_M)</f>
        <v/>
      </c>
      <c r="AG101" s="159" t="str">
        <f aca="false">IF($B101="","",T101+SUM(Z101:AF101))</f>
        <v/>
      </c>
      <c r="AH101" s="160" t="str">
        <f aca="false">IF($B101="","",MAX(0,IF(OR(الموظفون!$AE101="",الموظفون!$AE101&gt;$F$3),$F$3,الموظفون!$AE101)-الموظفون!$H101+1-SUMIFS('سجل الإجازات والحالات'!$AM$6:$AM$505,'سجل الإجازات والحالات'!$B$6:$B$505,$B101))/cfg_DAYS_Y)</f>
        <v/>
      </c>
      <c r="AI101" s="160" t="str">
        <f aca="false">IF($B101="","",MAX(0,IF(OR(الموظفون!$AE101="",الموظفون!$AE101&gt;($E$3-1)),($E$3-1),الموظفون!$AE101)-الموظفون!$H101+1-SUMIFS('سجل الإجازات والحالات'!$AL$6:$AL$505,'سجل الإجازات والحالات'!$B$6:$B$505,$B101))/cfg_DAYS_Y)</f>
        <v/>
      </c>
      <c r="AJ101" s="133" t="str">
        <f aca="false">IF($B101="","",MAX(0,AK101-(SUMIFS('سجل الإجازات والحالات'!$AM$6:$AM$505,'سجل الإجازات والحالات'!$B$6:$B$505,$B101)-SUMIFS('سجل الإجازات والحالات'!$AL$6:$AL$505,'سجل الإجازات والحالات'!$B$6:$B$505,$B101))))</f>
        <v/>
      </c>
      <c r="AK101" s="133" t="str">
        <f aca="false">IF($B101="","",MAX(0,IF(OR(الموظفون!$AE101="",الموظفون!$AE101&gt;$F$3),$F$3,الموظفون!$AE101)-MAX($E$3,الموظفون!$H101)+1))</f>
        <v/>
      </c>
      <c r="AL101" s="156" t="str">
        <f aca="false">IF($B101="","",SUMIFS('سجل الإجازات والحالات'!$AY$6:$AY$505,'سجل الإجازات والحالات'!$B$6:$B$505,$B101)+SUMIFS('الحركات الشهرية'!$K$6:$K$1005,'الحركات الشهرية'!$B$6:$B$1005,$B101,'الحركات الشهرية'!$A$6:$A$1005,$C$3))</f>
        <v/>
      </c>
      <c r="AM101" s="116" t="str">
        <f aca="false">IF($B101="","",AL101*الموظفون!$R101/cfg_DAYS_M+S101)</f>
        <v/>
      </c>
      <c r="AN101" s="156" t="str">
        <f aca="false">IF($B101="","",SUMIFS('سجل الإجازات والحالات'!$AA$6:$AA$505,'سجل الإجازات والحالات'!$B$6:$B$505,$B101))</f>
        <v/>
      </c>
    </row>
    <row r="102" customFormat="false" ht="15" hidden="false" customHeight="false" outlineLevel="0" collapsed="false">
      <c r="A102" s="106" t="str">
        <f aca="false">IF($B102="","",الموظفون!$A102)</f>
        <v/>
      </c>
      <c r="B102" s="114" t="str">
        <f aca="false">IF(الموظفون!$B102="","",الموظفون!$B102)</f>
        <v/>
      </c>
      <c r="C102" s="114" t="str">
        <f aca="false">IF($B102="","",الموظفون!$C102)</f>
        <v/>
      </c>
      <c r="D102" s="114" t="str">
        <f aca="false">IF($B102="","",الموظفون!$F102)</f>
        <v/>
      </c>
      <c r="E102" s="114" t="str">
        <f aca="false">IF($B102="","",الموظفون!$E102)</f>
        <v/>
      </c>
      <c r="F102" s="114" t="str">
        <f aca="false">IF($B102="","",IF(AK102=0,IF(AND(الموظفون!$AE102&lt;&gt;"",الموظفون!$AE102&lt;$E$3),"✖ منتهي الخدمة","⏳ لم يباشر"),IF(S102&gt;0,"✈ راتب إجازة مقدم",IF(J102=0,"⛔ بدون راتب هذا الشهر",IF(I102&gt;0,"✈ خصم "&amp;ROUND(I102,2)&amp;" يوم بدون أجر",IF(AL102&gt;0,"🌴 إجازة سنوية "&amp;ROUND(AL102,2)&amp;" يوم",IF(H102&gt;0,"⚠ غياب "&amp;ROUND(H102,2)&amp;" يوم","✔ على رأس العمل")))))))</f>
        <v/>
      </c>
      <c r="G102" s="151" t="str">
        <f aca="false">IF($B102="","",IF(AK102&gt;=DAY($F$3),cfg_DAYS_M,MIN(AK102,cfg_DAYS_M)))</f>
        <v/>
      </c>
      <c r="H102" s="151" t="str">
        <f aca="false">IF($B102="","",SUMIFS('الحركات الشهرية'!$D$6:$D$1005,'الحركات الشهرية'!$B$6:$B$1005,$B102,'الحركات الشهرية'!$A$6:$A$1005,$C$3))</f>
        <v/>
      </c>
      <c r="I102" s="151" t="str">
        <f aca="false">IF($B102="","",MIN(G102,IF(AND(AK102&gt;0,AN102&gt;=AK102),G102,AN102)+SUMIFS('الحركات الشهرية'!$E$6:$E$1005,'الحركات الشهرية'!$B$6:$B$1005,$B102,'الحركات الشهرية'!$A$6:$A$1005,$C$3)))</f>
        <v/>
      </c>
      <c r="J102" s="151" t="str">
        <f aca="false">IF($B102="","",MAX(0,G102-H102-I102))</f>
        <v/>
      </c>
      <c r="K102" s="111" t="str">
        <f aca="false">IF($B102="","",الموظفون!$L102*$J102/cfg_DAYS_M)</f>
        <v/>
      </c>
      <c r="L102" s="111" t="str">
        <f aca="false">IF($B102="","",الموظفون!$M102*$J102/cfg_DAYS_M)</f>
        <v/>
      </c>
      <c r="M102" s="111" t="str">
        <f aca="false">IF($B102="","",الموظفون!$N102*$J102/cfg_DAYS_M)</f>
        <v/>
      </c>
      <c r="N102" s="111" t="str">
        <f aca="false">IF($B102="","",الموظفون!$O102*$J102/cfg_DAYS_M)</f>
        <v/>
      </c>
      <c r="O102" s="151" t="str">
        <f aca="false">IF($B102="","",SUMIFS('الحركات الشهرية'!$F$6:$F$1005,'الحركات الشهرية'!$B$6:$B$1005,$B102,'الحركات الشهرية'!$A$6:$A$1005,$C$3))</f>
        <v/>
      </c>
      <c r="P102" s="111" t="str">
        <f aca="false">IF($B102="","",O102*(الموظفون!$P102+الموظفون!$L102*cfg_OT_P)/cfg_DAYS_M/cfg_HRS)</f>
        <v/>
      </c>
      <c r="Q102" s="111" t="str">
        <f aca="false">IF($B102="","",SUMIFS('الحركات الشهرية'!$G$6:$G$1005,'الحركات الشهرية'!$B$6:$B$1005,$B102,'الحركات الشهرية'!$A$6:$A$1005,$C$3))</f>
        <v/>
      </c>
      <c r="R102" s="111" t="str">
        <f aca="false">IF($B102="","",SUMIFS('الحركات الشهرية'!$H$6:$H$1005,'الحركات الشهرية'!$B$6:$B$1005,$B102,'الحركات الشهرية'!$A$6:$A$1005,$C$3))</f>
        <v/>
      </c>
      <c r="S102" s="111" t="str">
        <f aca="false">IF($B102="","",SUMIFS('سجل الإجازات والحالات'!$N$6:$N$505,'سجل الإجازات والحالات'!$B$6:$B$505,$B102,'سجل الإجازات والحالات'!$O$6:$O$505,$C$3))</f>
        <v/>
      </c>
      <c r="T102" s="152" t="str">
        <f aca="false">IF($B102="","",SUM(K102:N102)+SUM(P102:S102))</f>
        <v/>
      </c>
      <c r="U102" s="111" t="str">
        <f aca="false">IF($B102="","",الموظفون!$S102*IF(E102="سعودي",cfg_G_SE,cfg_G_NE)*G102/cfg_DAYS_M)</f>
        <v/>
      </c>
      <c r="V102" s="111" t="str">
        <f aca="false">IF($B102="","",SUMIFS('الحركات الشهرية'!$I$6:$I$1005,'الحركات الشهرية'!$B$6:$B$1005,$B102,'الحركات الشهرية'!$A$6:$A$1005,$C$3))</f>
        <v/>
      </c>
      <c r="W102" s="111" t="str">
        <f aca="false">IF($B102="","",SUMIFS('الحركات الشهرية'!$J$6:$J$1005,'الحركات الشهرية'!$B$6:$B$1005,$B102,'الحركات الشهرية'!$A$6:$A$1005,$C$3))</f>
        <v/>
      </c>
      <c r="X102" s="111" t="str">
        <f aca="false">IF($B102="","",SUM(U102:W102))</f>
        <v/>
      </c>
      <c r="Y102" s="153" t="str">
        <f aca="false">IF($B102="","",T102-X102)</f>
        <v/>
      </c>
      <c r="Z102" s="111" t="str">
        <f aca="false">IF($B102="","",الموظفون!$S102*IF(E102="سعودي",cfg_G_SR,cfg_G_NR)*G102/cfg_DAYS_M)</f>
        <v/>
      </c>
      <c r="AA102" s="111" t="str">
        <f aca="false">IF($B102="","",الموظفون!$Q102*(cfg_EOS_R1*(MIN(AH102,cfg_EOS_TH)-MIN(AI102,cfg_EOS_TH))+cfg_EOS_R2*(MAX(AH102-cfg_EOS_TH,0)-MAX(AI102-cfg_EOS_TH,0))))</f>
        <v/>
      </c>
      <c r="AB102" s="111" t="str">
        <f aca="false">IF($B102="","",IF(الموظفون!$T102&lt;&gt;"",الموظفون!$T102,IF(AH102&gt;=cfg_LV_TH,cfg_LV_D2,cfg_LV_D1))/cfg_DAYS_Y*AJ102*الموظفون!$R102/cfg_DAYS_M)</f>
        <v/>
      </c>
      <c r="AC102" s="111" t="str">
        <f aca="false">IF($B102="","",IF(AND(الموظفون!$U102="نعم",N(الموظفون!$W102)&gt;0),الموظفون!$V102/الموظفون!$W102*12/cfg_DAYS_Y*AJ102,0))</f>
        <v/>
      </c>
      <c r="AD102" s="111" t="str">
        <f aca="false">IF($B102="","",(IF(الموظفون!$X102&lt;&gt;"",الموظفون!$X102,IF(الموظفون!$E102="غير سعودي",cfg_IQ,0))+IF(الموظفون!$Y102&lt;&gt;"",الموظفون!$Y102,IF(الموظفون!$E102="غير سعودي",cfg_WP,0)))/12*G102/cfg_DAYS_M)</f>
        <v/>
      </c>
      <c r="AE102" s="111" t="str">
        <f aca="false">IF($B102="","",IF(الموظفون!$Z102&lt;&gt;"",الموظفون!$Z102,cfg_MED)/12*G102/cfg_DAYS_M)</f>
        <v/>
      </c>
      <c r="AF102" s="111" t="str">
        <f aca="false">IF($B102="","",N(الموظفون!$AA102)/12*G102/cfg_DAYS_M)</f>
        <v/>
      </c>
      <c r="AG102" s="154" t="str">
        <f aca="false">IF($B102="","",T102+SUM(Z102:AF102))</f>
        <v/>
      </c>
      <c r="AH102" s="155" t="str">
        <f aca="false">IF($B102="","",MAX(0,IF(OR(الموظفون!$AE102="",الموظفون!$AE102&gt;$F$3),$F$3,الموظفون!$AE102)-الموظفون!$H102+1-SUMIFS('سجل الإجازات والحالات'!$AM$6:$AM$505,'سجل الإجازات والحالات'!$B$6:$B$505,$B102))/cfg_DAYS_Y)</f>
        <v/>
      </c>
      <c r="AI102" s="155" t="str">
        <f aca="false">IF($B102="","",MAX(0,IF(OR(الموظفون!$AE102="",الموظفون!$AE102&gt;($E$3-1)),($E$3-1),الموظفون!$AE102)-الموظفون!$H102+1-SUMIFS('سجل الإجازات والحالات'!$AL$6:$AL$505,'سجل الإجازات والحالات'!$B$6:$B$505,$B102))/cfg_DAYS_Y)</f>
        <v/>
      </c>
      <c r="AJ102" s="65" t="str">
        <f aca="false">IF($B102="","",MAX(0,AK102-(SUMIFS('سجل الإجازات والحالات'!$AM$6:$AM$505,'سجل الإجازات والحالات'!$B$6:$B$505,$B102)-SUMIFS('سجل الإجازات والحالات'!$AL$6:$AL$505,'سجل الإجازات والحالات'!$B$6:$B$505,$B102))))</f>
        <v/>
      </c>
      <c r="AK102" s="65" t="str">
        <f aca="false">IF($B102="","",MAX(0,IF(OR(الموظفون!$AE102="",الموظفون!$AE102&gt;$F$3),$F$3,الموظفون!$AE102)-MAX($E$3,الموظفون!$H102)+1))</f>
        <v/>
      </c>
      <c r="AL102" s="151" t="str">
        <f aca="false">IF($B102="","",SUMIFS('سجل الإجازات والحالات'!$AY$6:$AY$505,'سجل الإجازات والحالات'!$B$6:$B$505,$B102)+SUMIFS('الحركات الشهرية'!$K$6:$K$1005,'الحركات الشهرية'!$B$6:$B$1005,$B102,'الحركات الشهرية'!$A$6:$A$1005,$C$3))</f>
        <v/>
      </c>
      <c r="AM102" s="111" t="str">
        <f aca="false">IF($B102="","",AL102*الموظفون!$R102/cfg_DAYS_M+S102)</f>
        <v/>
      </c>
      <c r="AN102" s="151" t="str">
        <f aca="false">IF($B102="","",SUMIFS('سجل الإجازات والحالات'!$AA$6:$AA$505,'سجل الإجازات والحالات'!$B$6:$B$505,$B102))</f>
        <v/>
      </c>
    </row>
    <row r="103" customFormat="false" ht="15" hidden="false" customHeight="false" outlineLevel="0" collapsed="false">
      <c r="A103" s="115" t="str">
        <f aca="false">IF($B103="","",الموظفون!$A103)</f>
        <v/>
      </c>
      <c r="B103" s="117" t="str">
        <f aca="false">IF(الموظفون!$B103="","",الموظفون!$B103)</f>
        <v/>
      </c>
      <c r="C103" s="117" t="str">
        <f aca="false">IF($B103="","",الموظفون!$C103)</f>
        <v/>
      </c>
      <c r="D103" s="117" t="str">
        <f aca="false">IF($B103="","",الموظفون!$F103)</f>
        <v/>
      </c>
      <c r="E103" s="117" t="str">
        <f aca="false">IF($B103="","",الموظفون!$E103)</f>
        <v/>
      </c>
      <c r="F103" s="117" t="str">
        <f aca="false">IF($B103="","",IF(AK103=0,IF(AND(الموظفون!$AE103&lt;&gt;"",الموظفون!$AE103&lt;$E$3),"✖ منتهي الخدمة","⏳ لم يباشر"),IF(S103&gt;0,"✈ راتب إجازة مقدم",IF(J103=0,"⛔ بدون راتب هذا الشهر",IF(I103&gt;0,"✈ خصم "&amp;ROUND(I103,2)&amp;" يوم بدون أجر",IF(AL103&gt;0,"🌴 إجازة سنوية "&amp;ROUND(AL103,2)&amp;" يوم",IF(H103&gt;0,"⚠ غياب "&amp;ROUND(H103,2)&amp;" يوم","✔ على رأس العمل")))))))</f>
        <v/>
      </c>
      <c r="G103" s="156" t="str">
        <f aca="false">IF($B103="","",IF(AK103&gt;=DAY($F$3),cfg_DAYS_M,MIN(AK103,cfg_DAYS_M)))</f>
        <v/>
      </c>
      <c r="H103" s="156" t="str">
        <f aca="false">IF($B103="","",SUMIFS('الحركات الشهرية'!$D$6:$D$1005,'الحركات الشهرية'!$B$6:$B$1005,$B103,'الحركات الشهرية'!$A$6:$A$1005,$C$3))</f>
        <v/>
      </c>
      <c r="I103" s="156" t="str">
        <f aca="false">IF($B103="","",MIN(G103,IF(AND(AK103&gt;0,AN103&gt;=AK103),G103,AN103)+SUMIFS('الحركات الشهرية'!$E$6:$E$1005,'الحركات الشهرية'!$B$6:$B$1005,$B103,'الحركات الشهرية'!$A$6:$A$1005,$C$3)))</f>
        <v/>
      </c>
      <c r="J103" s="156" t="str">
        <f aca="false">IF($B103="","",MAX(0,G103-H103-I103))</f>
        <v/>
      </c>
      <c r="K103" s="116" t="str">
        <f aca="false">IF($B103="","",الموظفون!$L103*$J103/cfg_DAYS_M)</f>
        <v/>
      </c>
      <c r="L103" s="116" t="str">
        <f aca="false">IF($B103="","",الموظفون!$M103*$J103/cfg_DAYS_M)</f>
        <v/>
      </c>
      <c r="M103" s="116" t="str">
        <f aca="false">IF($B103="","",الموظفون!$N103*$J103/cfg_DAYS_M)</f>
        <v/>
      </c>
      <c r="N103" s="116" t="str">
        <f aca="false">IF($B103="","",الموظفون!$O103*$J103/cfg_DAYS_M)</f>
        <v/>
      </c>
      <c r="O103" s="156" t="str">
        <f aca="false">IF($B103="","",SUMIFS('الحركات الشهرية'!$F$6:$F$1005,'الحركات الشهرية'!$B$6:$B$1005,$B103,'الحركات الشهرية'!$A$6:$A$1005,$C$3))</f>
        <v/>
      </c>
      <c r="P103" s="116" t="str">
        <f aca="false">IF($B103="","",O103*(الموظفون!$P103+الموظفون!$L103*cfg_OT_P)/cfg_DAYS_M/cfg_HRS)</f>
        <v/>
      </c>
      <c r="Q103" s="116" t="str">
        <f aca="false">IF($B103="","",SUMIFS('الحركات الشهرية'!$G$6:$G$1005,'الحركات الشهرية'!$B$6:$B$1005,$B103,'الحركات الشهرية'!$A$6:$A$1005,$C$3))</f>
        <v/>
      </c>
      <c r="R103" s="116" t="str">
        <f aca="false">IF($B103="","",SUMIFS('الحركات الشهرية'!$H$6:$H$1005,'الحركات الشهرية'!$B$6:$B$1005,$B103,'الحركات الشهرية'!$A$6:$A$1005,$C$3))</f>
        <v/>
      </c>
      <c r="S103" s="116" t="str">
        <f aca="false">IF($B103="","",SUMIFS('سجل الإجازات والحالات'!$N$6:$N$505,'سجل الإجازات والحالات'!$B$6:$B$505,$B103,'سجل الإجازات والحالات'!$O$6:$O$505,$C$3))</f>
        <v/>
      </c>
      <c r="T103" s="157" t="str">
        <f aca="false">IF($B103="","",SUM(K103:N103)+SUM(P103:S103))</f>
        <v/>
      </c>
      <c r="U103" s="116" t="str">
        <f aca="false">IF($B103="","",الموظفون!$S103*IF(E103="سعودي",cfg_G_SE,cfg_G_NE)*G103/cfg_DAYS_M)</f>
        <v/>
      </c>
      <c r="V103" s="116" t="str">
        <f aca="false">IF($B103="","",SUMIFS('الحركات الشهرية'!$I$6:$I$1005,'الحركات الشهرية'!$B$6:$B$1005,$B103,'الحركات الشهرية'!$A$6:$A$1005,$C$3))</f>
        <v/>
      </c>
      <c r="W103" s="116" t="str">
        <f aca="false">IF($B103="","",SUMIFS('الحركات الشهرية'!$J$6:$J$1005,'الحركات الشهرية'!$B$6:$B$1005,$B103,'الحركات الشهرية'!$A$6:$A$1005,$C$3))</f>
        <v/>
      </c>
      <c r="X103" s="116" t="str">
        <f aca="false">IF($B103="","",SUM(U103:W103))</f>
        <v/>
      </c>
      <c r="Y103" s="158" t="str">
        <f aca="false">IF($B103="","",T103-X103)</f>
        <v/>
      </c>
      <c r="Z103" s="116" t="str">
        <f aca="false">IF($B103="","",الموظفون!$S103*IF(E103="سعودي",cfg_G_SR,cfg_G_NR)*G103/cfg_DAYS_M)</f>
        <v/>
      </c>
      <c r="AA103" s="116" t="str">
        <f aca="false">IF($B103="","",الموظفون!$Q103*(cfg_EOS_R1*(MIN(AH103,cfg_EOS_TH)-MIN(AI103,cfg_EOS_TH))+cfg_EOS_R2*(MAX(AH103-cfg_EOS_TH,0)-MAX(AI103-cfg_EOS_TH,0))))</f>
        <v/>
      </c>
      <c r="AB103" s="116" t="str">
        <f aca="false">IF($B103="","",IF(الموظفون!$T103&lt;&gt;"",الموظفون!$T103,IF(AH103&gt;=cfg_LV_TH,cfg_LV_D2,cfg_LV_D1))/cfg_DAYS_Y*AJ103*الموظفون!$R103/cfg_DAYS_M)</f>
        <v/>
      </c>
      <c r="AC103" s="116" t="str">
        <f aca="false">IF($B103="","",IF(AND(الموظفون!$U103="نعم",N(الموظفون!$W103)&gt;0),الموظفون!$V103/الموظفون!$W103*12/cfg_DAYS_Y*AJ103,0))</f>
        <v/>
      </c>
      <c r="AD103" s="116" t="str">
        <f aca="false">IF($B103="","",(IF(الموظفون!$X103&lt;&gt;"",الموظفون!$X103,IF(الموظفون!$E103="غير سعودي",cfg_IQ,0))+IF(الموظفون!$Y103&lt;&gt;"",الموظفون!$Y103,IF(الموظفون!$E103="غير سعودي",cfg_WP,0)))/12*G103/cfg_DAYS_M)</f>
        <v/>
      </c>
      <c r="AE103" s="116" t="str">
        <f aca="false">IF($B103="","",IF(الموظفون!$Z103&lt;&gt;"",الموظفون!$Z103,cfg_MED)/12*G103/cfg_DAYS_M)</f>
        <v/>
      </c>
      <c r="AF103" s="116" t="str">
        <f aca="false">IF($B103="","",N(الموظفون!$AA103)/12*G103/cfg_DAYS_M)</f>
        <v/>
      </c>
      <c r="AG103" s="159" t="str">
        <f aca="false">IF($B103="","",T103+SUM(Z103:AF103))</f>
        <v/>
      </c>
      <c r="AH103" s="160" t="str">
        <f aca="false">IF($B103="","",MAX(0,IF(OR(الموظفون!$AE103="",الموظفون!$AE103&gt;$F$3),$F$3,الموظفون!$AE103)-الموظفون!$H103+1-SUMIFS('سجل الإجازات والحالات'!$AM$6:$AM$505,'سجل الإجازات والحالات'!$B$6:$B$505,$B103))/cfg_DAYS_Y)</f>
        <v/>
      </c>
      <c r="AI103" s="160" t="str">
        <f aca="false">IF($B103="","",MAX(0,IF(OR(الموظفون!$AE103="",الموظفون!$AE103&gt;($E$3-1)),($E$3-1),الموظفون!$AE103)-الموظفون!$H103+1-SUMIFS('سجل الإجازات والحالات'!$AL$6:$AL$505,'سجل الإجازات والحالات'!$B$6:$B$505,$B103))/cfg_DAYS_Y)</f>
        <v/>
      </c>
      <c r="AJ103" s="133" t="str">
        <f aca="false">IF($B103="","",MAX(0,AK103-(SUMIFS('سجل الإجازات والحالات'!$AM$6:$AM$505,'سجل الإجازات والحالات'!$B$6:$B$505,$B103)-SUMIFS('سجل الإجازات والحالات'!$AL$6:$AL$505,'سجل الإجازات والحالات'!$B$6:$B$505,$B103))))</f>
        <v/>
      </c>
      <c r="AK103" s="133" t="str">
        <f aca="false">IF($B103="","",MAX(0,IF(OR(الموظفون!$AE103="",الموظفون!$AE103&gt;$F$3),$F$3,الموظفون!$AE103)-MAX($E$3,الموظفون!$H103)+1))</f>
        <v/>
      </c>
      <c r="AL103" s="156" t="str">
        <f aca="false">IF($B103="","",SUMIFS('سجل الإجازات والحالات'!$AY$6:$AY$505,'سجل الإجازات والحالات'!$B$6:$B$505,$B103)+SUMIFS('الحركات الشهرية'!$K$6:$K$1005,'الحركات الشهرية'!$B$6:$B$1005,$B103,'الحركات الشهرية'!$A$6:$A$1005,$C$3))</f>
        <v/>
      </c>
      <c r="AM103" s="116" t="str">
        <f aca="false">IF($B103="","",AL103*الموظفون!$R103/cfg_DAYS_M+S103)</f>
        <v/>
      </c>
      <c r="AN103" s="156" t="str">
        <f aca="false">IF($B103="","",SUMIFS('سجل الإجازات والحالات'!$AA$6:$AA$505,'سجل الإجازات والحالات'!$B$6:$B$505,$B103))</f>
        <v/>
      </c>
    </row>
    <row r="104" customFormat="false" ht="15" hidden="false" customHeight="false" outlineLevel="0" collapsed="false">
      <c r="A104" s="106" t="str">
        <f aca="false">IF($B104="","",الموظفون!$A104)</f>
        <v/>
      </c>
      <c r="B104" s="114" t="str">
        <f aca="false">IF(الموظفون!$B104="","",الموظفون!$B104)</f>
        <v/>
      </c>
      <c r="C104" s="114" t="str">
        <f aca="false">IF($B104="","",الموظفون!$C104)</f>
        <v/>
      </c>
      <c r="D104" s="114" t="str">
        <f aca="false">IF($B104="","",الموظفون!$F104)</f>
        <v/>
      </c>
      <c r="E104" s="114" t="str">
        <f aca="false">IF($B104="","",الموظفون!$E104)</f>
        <v/>
      </c>
      <c r="F104" s="114" t="str">
        <f aca="false">IF($B104="","",IF(AK104=0,IF(AND(الموظفون!$AE104&lt;&gt;"",الموظفون!$AE104&lt;$E$3),"✖ منتهي الخدمة","⏳ لم يباشر"),IF(S104&gt;0,"✈ راتب إجازة مقدم",IF(J104=0,"⛔ بدون راتب هذا الشهر",IF(I104&gt;0,"✈ خصم "&amp;ROUND(I104,2)&amp;" يوم بدون أجر",IF(AL104&gt;0,"🌴 إجازة سنوية "&amp;ROUND(AL104,2)&amp;" يوم",IF(H104&gt;0,"⚠ غياب "&amp;ROUND(H104,2)&amp;" يوم","✔ على رأس العمل")))))))</f>
        <v/>
      </c>
      <c r="G104" s="151" t="str">
        <f aca="false">IF($B104="","",IF(AK104&gt;=DAY($F$3),cfg_DAYS_M,MIN(AK104,cfg_DAYS_M)))</f>
        <v/>
      </c>
      <c r="H104" s="151" t="str">
        <f aca="false">IF($B104="","",SUMIFS('الحركات الشهرية'!$D$6:$D$1005,'الحركات الشهرية'!$B$6:$B$1005,$B104,'الحركات الشهرية'!$A$6:$A$1005,$C$3))</f>
        <v/>
      </c>
      <c r="I104" s="151" t="str">
        <f aca="false">IF($B104="","",MIN(G104,IF(AND(AK104&gt;0,AN104&gt;=AK104),G104,AN104)+SUMIFS('الحركات الشهرية'!$E$6:$E$1005,'الحركات الشهرية'!$B$6:$B$1005,$B104,'الحركات الشهرية'!$A$6:$A$1005,$C$3)))</f>
        <v/>
      </c>
      <c r="J104" s="151" t="str">
        <f aca="false">IF($B104="","",MAX(0,G104-H104-I104))</f>
        <v/>
      </c>
      <c r="K104" s="111" t="str">
        <f aca="false">IF($B104="","",الموظفون!$L104*$J104/cfg_DAYS_M)</f>
        <v/>
      </c>
      <c r="L104" s="111" t="str">
        <f aca="false">IF($B104="","",الموظفون!$M104*$J104/cfg_DAYS_M)</f>
        <v/>
      </c>
      <c r="M104" s="111" t="str">
        <f aca="false">IF($B104="","",الموظفون!$N104*$J104/cfg_DAYS_M)</f>
        <v/>
      </c>
      <c r="N104" s="111" t="str">
        <f aca="false">IF($B104="","",الموظفون!$O104*$J104/cfg_DAYS_M)</f>
        <v/>
      </c>
      <c r="O104" s="151" t="str">
        <f aca="false">IF($B104="","",SUMIFS('الحركات الشهرية'!$F$6:$F$1005,'الحركات الشهرية'!$B$6:$B$1005,$B104,'الحركات الشهرية'!$A$6:$A$1005,$C$3))</f>
        <v/>
      </c>
      <c r="P104" s="111" t="str">
        <f aca="false">IF($B104="","",O104*(الموظفون!$P104+الموظفون!$L104*cfg_OT_P)/cfg_DAYS_M/cfg_HRS)</f>
        <v/>
      </c>
      <c r="Q104" s="111" t="str">
        <f aca="false">IF($B104="","",SUMIFS('الحركات الشهرية'!$G$6:$G$1005,'الحركات الشهرية'!$B$6:$B$1005,$B104,'الحركات الشهرية'!$A$6:$A$1005,$C$3))</f>
        <v/>
      </c>
      <c r="R104" s="111" t="str">
        <f aca="false">IF($B104="","",SUMIFS('الحركات الشهرية'!$H$6:$H$1005,'الحركات الشهرية'!$B$6:$B$1005,$B104,'الحركات الشهرية'!$A$6:$A$1005,$C$3))</f>
        <v/>
      </c>
      <c r="S104" s="111" t="str">
        <f aca="false">IF($B104="","",SUMIFS('سجل الإجازات والحالات'!$N$6:$N$505,'سجل الإجازات والحالات'!$B$6:$B$505,$B104,'سجل الإجازات والحالات'!$O$6:$O$505,$C$3))</f>
        <v/>
      </c>
      <c r="T104" s="152" t="str">
        <f aca="false">IF($B104="","",SUM(K104:N104)+SUM(P104:S104))</f>
        <v/>
      </c>
      <c r="U104" s="111" t="str">
        <f aca="false">IF($B104="","",الموظفون!$S104*IF(E104="سعودي",cfg_G_SE,cfg_G_NE)*G104/cfg_DAYS_M)</f>
        <v/>
      </c>
      <c r="V104" s="111" t="str">
        <f aca="false">IF($B104="","",SUMIFS('الحركات الشهرية'!$I$6:$I$1005,'الحركات الشهرية'!$B$6:$B$1005,$B104,'الحركات الشهرية'!$A$6:$A$1005,$C$3))</f>
        <v/>
      </c>
      <c r="W104" s="111" t="str">
        <f aca="false">IF($B104="","",SUMIFS('الحركات الشهرية'!$J$6:$J$1005,'الحركات الشهرية'!$B$6:$B$1005,$B104,'الحركات الشهرية'!$A$6:$A$1005,$C$3))</f>
        <v/>
      </c>
      <c r="X104" s="111" t="str">
        <f aca="false">IF($B104="","",SUM(U104:W104))</f>
        <v/>
      </c>
      <c r="Y104" s="153" t="str">
        <f aca="false">IF($B104="","",T104-X104)</f>
        <v/>
      </c>
      <c r="Z104" s="111" t="str">
        <f aca="false">IF($B104="","",الموظفون!$S104*IF(E104="سعودي",cfg_G_SR,cfg_G_NR)*G104/cfg_DAYS_M)</f>
        <v/>
      </c>
      <c r="AA104" s="111" t="str">
        <f aca="false">IF($B104="","",الموظفون!$Q104*(cfg_EOS_R1*(MIN(AH104,cfg_EOS_TH)-MIN(AI104,cfg_EOS_TH))+cfg_EOS_R2*(MAX(AH104-cfg_EOS_TH,0)-MAX(AI104-cfg_EOS_TH,0))))</f>
        <v/>
      </c>
      <c r="AB104" s="111" t="str">
        <f aca="false">IF($B104="","",IF(الموظفون!$T104&lt;&gt;"",الموظفون!$T104,IF(AH104&gt;=cfg_LV_TH,cfg_LV_D2,cfg_LV_D1))/cfg_DAYS_Y*AJ104*الموظفون!$R104/cfg_DAYS_M)</f>
        <v/>
      </c>
      <c r="AC104" s="111" t="str">
        <f aca="false">IF($B104="","",IF(AND(الموظفون!$U104="نعم",N(الموظفون!$W104)&gt;0),الموظفون!$V104/الموظفون!$W104*12/cfg_DAYS_Y*AJ104,0))</f>
        <v/>
      </c>
      <c r="AD104" s="111" t="str">
        <f aca="false">IF($B104="","",(IF(الموظفون!$X104&lt;&gt;"",الموظفون!$X104,IF(الموظفون!$E104="غير سعودي",cfg_IQ,0))+IF(الموظفون!$Y104&lt;&gt;"",الموظفون!$Y104,IF(الموظفون!$E104="غير سعودي",cfg_WP,0)))/12*G104/cfg_DAYS_M)</f>
        <v/>
      </c>
      <c r="AE104" s="111" t="str">
        <f aca="false">IF($B104="","",IF(الموظفون!$Z104&lt;&gt;"",الموظفون!$Z104,cfg_MED)/12*G104/cfg_DAYS_M)</f>
        <v/>
      </c>
      <c r="AF104" s="111" t="str">
        <f aca="false">IF($B104="","",N(الموظفون!$AA104)/12*G104/cfg_DAYS_M)</f>
        <v/>
      </c>
      <c r="AG104" s="154" t="str">
        <f aca="false">IF($B104="","",T104+SUM(Z104:AF104))</f>
        <v/>
      </c>
      <c r="AH104" s="155" t="str">
        <f aca="false">IF($B104="","",MAX(0,IF(OR(الموظفون!$AE104="",الموظفون!$AE104&gt;$F$3),$F$3,الموظفون!$AE104)-الموظفون!$H104+1-SUMIFS('سجل الإجازات والحالات'!$AM$6:$AM$505,'سجل الإجازات والحالات'!$B$6:$B$505,$B104))/cfg_DAYS_Y)</f>
        <v/>
      </c>
      <c r="AI104" s="155" t="str">
        <f aca="false">IF($B104="","",MAX(0,IF(OR(الموظفون!$AE104="",الموظفون!$AE104&gt;($E$3-1)),($E$3-1),الموظفون!$AE104)-الموظفون!$H104+1-SUMIFS('سجل الإجازات والحالات'!$AL$6:$AL$505,'سجل الإجازات والحالات'!$B$6:$B$505,$B104))/cfg_DAYS_Y)</f>
        <v/>
      </c>
      <c r="AJ104" s="65" t="str">
        <f aca="false">IF($B104="","",MAX(0,AK104-(SUMIFS('سجل الإجازات والحالات'!$AM$6:$AM$505,'سجل الإجازات والحالات'!$B$6:$B$505,$B104)-SUMIFS('سجل الإجازات والحالات'!$AL$6:$AL$505,'سجل الإجازات والحالات'!$B$6:$B$505,$B104))))</f>
        <v/>
      </c>
      <c r="AK104" s="65" t="str">
        <f aca="false">IF($B104="","",MAX(0,IF(OR(الموظفون!$AE104="",الموظفون!$AE104&gt;$F$3),$F$3,الموظفون!$AE104)-MAX($E$3,الموظفون!$H104)+1))</f>
        <v/>
      </c>
      <c r="AL104" s="151" t="str">
        <f aca="false">IF($B104="","",SUMIFS('سجل الإجازات والحالات'!$AY$6:$AY$505,'سجل الإجازات والحالات'!$B$6:$B$505,$B104)+SUMIFS('الحركات الشهرية'!$K$6:$K$1005,'الحركات الشهرية'!$B$6:$B$1005,$B104,'الحركات الشهرية'!$A$6:$A$1005,$C$3))</f>
        <v/>
      </c>
      <c r="AM104" s="111" t="str">
        <f aca="false">IF($B104="","",AL104*الموظفون!$R104/cfg_DAYS_M+S104)</f>
        <v/>
      </c>
      <c r="AN104" s="151" t="str">
        <f aca="false">IF($B104="","",SUMIFS('سجل الإجازات والحالات'!$AA$6:$AA$505,'سجل الإجازات والحالات'!$B$6:$B$505,$B104))</f>
        <v/>
      </c>
    </row>
    <row r="105" customFormat="false" ht="15" hidden="false" customHeight="false" outlineLevel="0" collapsed="false">
      <c r="A105" s="115" t="str">
        <f aca="false">IF($B105="","",الموظفون!$A105)</f>
        <v/>
      </c>
      <c r="B105" s="117" t="str">
        <f aca="false">IF(الموظفون!$B105="","",الموظفون!$B105)</f>
        <v/>
      </c>
      <c r="C105" s="117" t="str">
        <f aca="false">IF($B105="","",الموظفون!$C105)</f>
        <v/>
      </c>
      <c r="D105" s="117" t="str">
        <f aca="false">IF($B105="","",الموظفون!$F105)</f>
        <v/>
      </c>
      <c r="E105" s="117" t="str">
        <f aca="false">IF($B105="","",الموظفون!$E105)</f>
        <v/>
      </c>
      <c r="F105" s="117" t="str">
        <f aca="false">IF($B105="","",IF(AK105=0,IF(AND(الموظفون!$AE105&lt;&gt;"",الموظفون!$AE105&lt;$E$3),"✖ منتهي الخدمة","⏳ لم يباشر"),IF(S105&gt;0,"✈ راتب إجازة مقدم",IF(J105=0,"⛔ بدون راتب هذا الشهر",IF(I105&gt;0,"✈ خصم "&amp;ROUND(I105,2)&amp;" يوم بدون أجر",IF(AL105&gt;0,"🌴 إجازة سنوية "&amp;ROUND(AL105,2)&amp;" يوم",IF(H105&gt;0,"⚠ غياب "&amp;ROUND(H105,2)&amp;" يوم","✔ على رأس العمل")))))))</f>
        <v/>
      </c>
      <c r="G105" s="156" t="str">
        <f aca="false">IF($B105="","",IF(AK105&gt;=DAY($F$3),cfg_DAYS_M,MIN(AK105,cfg_DAYS_M)))</f>
        <v/>
      </c>
      <c r="H105" s="156" t="str">
        <f aca="false">IF($B105="","",SUMIFS('الحركات الشهرية'!$D$6:$D$1005,'الحركات الشهرية'!$B$6:$B$1005,$B105,'الحركات الشهرية'!$A$6:$A$1005,$C$3))</f>
        <v/>
      </c>
      <c r="I105" s="156" t="str">
        <f aca="false">IF($B105="","",MIN(G105,IF(AND(AK105&gt;0,AN105&gt;=AK105),G105,AN105)+SUMIFS('الحركات الشهرية'!$E$6:$E$1005,'الحركات الشهرية'!$B$6:$B$1005,$B105,'الحركات الشهرية'!$A$6:$A$1005,$C$3)))</f>
        <v/>
      </c>
      <c r="J105" s="156" t="str">
        <f aca="false">IF($B105="","",MAX(0,G105-H105-I105))</f>
        <v/>
      </c>
      <c r="K105" s="116" t="str">
        <f aca="false">IF($B105="","",الموظفون!$L105*$J105/cfg_DAYS_M)</f>
        <v/>
      </c>
      <c r="L105" s="116" t="str">
        <f aca="false">IF($B105="","",الموظفون!$M105*$J105/cfg_DAYS_M)</f>
        <v/>
      </c>
      <c r="M105" s="116" t="str">
        <f aca="false">IF($B105="","",الموظفون!$N105*$J105/cfg_DAYS_M)</f>
        <v/>
      </c>
      <c r="N105" s="116" t="str">
        <f aca="false">IF($B105="","",الموظفون!$O105*$J105/cfg_DAYS_M)</f>
        <v/>
      </c>
      <c r="O105" s="156" t="str">
        <f aca="false">IF($B105="","",SUMIFS('الحركات الشهرية'!$F$6:$F$1005,'الحركات الشهرية'!$B$6:$B$1005,$B105,'الحركات الشهرية'!$A$6:$A$1005,$C$3))</f>
        <v/>
      </c>
      <c r="P105" s="116" t="str">
        <f aca="false">IF($B105="","",O105*(الموظفون!$P105+الموظفون!$L105*cfg_OT_P)/cfg_DAYS_M/cfg_HRS)</f>
        <v/>
      </c>
      <c r="Q105" s="116" t="str">
        <f aca="false">IF($B105="","",SUMIFS('الحركات الشهرية'!$G$6:$G$1005,'الحركات الشهرية'!$B$6:$B$1005,$B105,'الحركات الشهرية'!$A$6:$A$1005,$C$3))</f>
        <v/>
      </c>
      <c r="R105" s="116" t="str">
        <f aca="false">IF($B105="","",SUMIFS('الحركات الشهرية'!$H$6:$H$1005,'الحركات الشهرية'!$B$6:$B$1005,$B105,'الحركات الشهرية'!$A$6:$A$1005,$C$3))</f>
        <v/>
      </c>
      <c r="S105" s="116" t="str">
        <f aca="false">IF($B105="","",SUMIFS('سجل الإجازات والحالات'!$N$6:$N$505,'سجل الإجازات والحالات'!$B$6:$B$505,$B105,'سجل الإجازات والحالات'!$O$6:$O$505,$C$3))</f>
        <v/>
      </c>
      <c r="T105" s="157" t="str">
        <f aca="false">IF($B105="","",SUM(K105:N105)+SUM(P105:S105))</f>
        <v/>
      </c>
      <c r="U105" s="116" t="str">
        <f aca="false">IF($B105="","",الموظفون!$S105*IF(E105="سعودي",cfg_G_SE,cfg_G_NE)*G105/cfg_DAYS_M)</f>
        <v/>
      </c>
      <c r="V105" s="116" t="str">
        <f aca="false">IF($B105="","",SUMIFS('الحركات الشهرية'!$I$6:$I$1005,'الحركات الشهرية'!$B$6:$B$1005,$B105,'الحركات الشهرية'!$A$6:$A$1005,$C$3))</f>
        <v/>
      </c>
      <c r="W105" s="116" t="str">
        <f aca="false">IF($B105="","",SUMIFS('الحركات الشهرية'!$J$6:$J$1005,'الحركات الشهرية'!$B$6:$B$1005,$B105,'الحركات الشهرية'!$A$6:$A$1005,$C$3))</f>
        <v/>
      </c>
      <c r="X105" s="116" t="str">
        <f aca="false">IF($B105="","",SUM(U105:W105))</f>
        <v/>
      </c>
      <c r="Y105" s="158" t="str">
        <f aca="false">IF($B105="","",T105-X105)</f>
        <v/>
      </c>
      <c r="Z105" s="116" t="str">
        <f aca="false">IF($B105="","",الموظفون!$S105*IF(E105="سعودي",cfg_G_SR,cfg_G_NR)*G105/cfg_DAYS_M)</f>
        <v/>
      </c>
      <c r="AA105" s="116" t="str">
        <f aca="false">IF($B105="","",الموظفون!$Q105*(cfg_EOS_R1*(MIN(AH105,cfg_EOS_TH)-MIN(AI105,cfg_EOS_TH))+cfg_EOS_R2*(MAX(AH105-cfg_EOS_TH,0)-MAX(AI105-cfg_EOS_TH,0))))</f>
        <v/>
      </c>
      <c r="AB105" s="116" t="str">
        <f aca="false">IF($B105="","",IF(الموظفون!$T105&lt;&gt;"",الموظفون!$T105,IF(AH105&gt;=cfg_LV_TH,cfg_LV_D2,cfg_LV_D1))/cfg_DAYS_Y*AJ105*الموظفون!$R105/cfg_DAYS_M)</f>
        <v/>
      </c>
      <c r="AC105" s="116" t="str">
        <f aca="false">IF($B105="","",IF(AND(الموظفون!$U105="نعم",N(الموظفون!$W105)&gt;0),الموظفون!$V105/الموظفون!$W105*12/cfg_DAYS_Y*AJ105,0))</f>
        <v/>
      </c>
      <c r="AD105" s="116" t="str">
        <f aca="false">IF($B105="","",(IF(الموظفون!$X105&lt;&gt;"",الموظفون!$X105,IF(الموظفون!$E105="غير سعودي",cfg_IQ,0))+IF(الموظفون!$Y105&lt;&gt;"",الموظفون!$Y105,IF(الموظفون!$E105="غير سعودي",cfg_WP,0)))/12*G105/cfg_DAYS_M)</f>
        <v/>
      </c>
      <c r="AE105" s="116" t="str">
        <f aca="false">IF($B105="","",IF(الموظفون!$Z105&lt;&gt;"",الموظفون!$Z105,cfg_MED)/12*G105/cfg_DAYS_M)</f>
        <v/>
      </c>
      <c r="AF105" s="116" t="str">
        <f aca="false">IF($B105="","",N(الموظفون!$AA105)/12*G105/cfg_DAYS_M)</f>
        <v/>
      </c>
      <c r="AG105" s="159" t="str">
        <f aca="false">IF($B105="","",T105+SUM(Z105:AF105))</f>
        <v/>
      </c>
      <c r="AH105" s="160" t="str">
        <f aca="false">IF($B105="","",MAX(0,IF(OR(الموظفون!$AE105="",الموظفون!$AE105&gt;$F$3),$F$3,الموظفون!$AE105)-الموظفون!$H105+1-SUMIFS('سجل الإجازات والحالات'!$AM$6:$AM$505,'سجل الإجازات والحالات'!$B$6:$B$505,$B105))/cfg_DAYS_Y)</f>
        <v/>
      </c>
      <c r="AI105" s="160" t="str">
        <f aca="false">IF($B105="","",MAX(0,IF(OR(الموظفون!$AE105="",الموظفون!$AE105&gt;($E$3-1)),($E$3-1),الموظفون!$AE105)-الموظفون!$H105+1-SUMIFS('سجل الإجازات والحالات'!$AL$6:$AL$505,'سجل الإجازات والحالات'!$B$6:$B$505,$B105))/cfg_DAYS_Y)</f>
        <v/>
      </c>
      <c r="AJ105" s="133" t="str">
        <f aca="false">IF($B105="","",MAX(0,AK105-(SUMIFS('سجل الإجازات والحالات'!$AM$6:$AM$505,'سجل الإجازات والحالات'!$B$6:$B$505,$B105)-SUMIFS('سجل الإجازات والحالات'!$AL$6:$AL$505,'سجل الإجازات والحالات'!$B$6:$B$505,$B105))))</f>
        <v/>
      </c>
      <c r="AK105" s="133" t="str">
        <f aca="false">IF($B105="","",MAX(0,IF(OR(الموظفون!$AE105="",الموظفون!$AE105&gt;$F$3),$F$3,الموظفون!$AE105)-MAX($E$3,الموظفون!$H105)+1))</f>
        <v/>
      </c>
      <c r="AL105" s="156" t="str">
        <f aca="false">IF($B105="","",SUMIFS('سجل الإجازات والحالات'!$AY$6:$AY$505,'سجل الإجازات والحالات'!$B$6:$B$505,$B105)+SUMIFS('الحركات الشهرية'!$K$6:$K$1005,'الحركات الشهرية'!$B$6:$B$1005,$B105,'الحركات الشهرية'!$A$6:$A$1005,$C$3))</f>
        <v/>
      </c>
      <c r="AM105" s="116" t="str">
        <f aca="false">IF($B105="","",AL105*الموظفون!$R105/cfg_DAYS_M+S105)</f>
        <v/>
      </c>
      <c r="AN105" s="156" t="str">
        <f aca="false">IF($B105="","",SUMIFS('سجل الإجازات والحالات'!$AA$6:$AA$505,'سجل الإجازات والحالات'!$B$6:$B$505,$B105))</f>
        <v/>
      </c>
    </row>
    <row r="106" customFormat="false" ht="24" hidden="false" customHeight="true" outlineLevel="0" collapsed="false">
      <c r="A106" s="124"/>
      <c r="B106" s="125" t="str">
        <f aca="false">COUNTIF(G6:G105,"&gt;0")&amp;" موظف"</f>
        <v>12 موظف</v>
      </c>
      <c r="C106" s="124" t="s">
        <v>161</v>
      </c>
      <c r="D106" s="124"/>
      <c r="E106" s="124"/>
      <c r="F106" s="125" t="str">
        <f aca="false">COUNTIFS(G6:G105,"&gt;0",J6:J105,0)&amp;" بدون راتب"</f>
        <v>1 بدون راتب</v>
      </c>
      <c r="G106" s="124"/>
      <c r="H106" s="161" t="n">
        <f aca="false">SUM(H6:H105)</f>
        <v>0</v>
      </c>
      <c r="I106" s="161" t="n">
        <f aca="false">SUM(I6:I105)</f>
        <v>30</v>
      </c>
      <c r="J106" s="161" t="n">
        <f aca="false">SUM(J6:J105)</f>
        <v>330</v>
      </c>
      <c r="K106" s="125" t="n">
        <f aca="false">SUM(K6:K105)</f>
        <v>135000</v>
      </c>
      <c r="L106" s="125" t="n">
        <f aca="false">SUM(L6:L105)</f>
        <v>33750</v>
      </c>
      <c r="M106" s="125" t="n">
        <f aca="false">SUM(M6:M105)</f>
        <v>13500</v>
      </c>
      <c r="N106" s="125" t="n">
        <f aca="false">SUM(N6:N105)</f>
        <v>10000</v>
      </c>
      <c r="O106" s="161" t="n">
        <f aca="false">SUM(O6:O105)</f>
        <v>0</v>
      </c>
      <c r="P106" s="125" t="n">
        <f aca="false">SUM(P6:P105)</f>
        <v>0</v>
      </c>
      <c r="Q106" s="125" t="n">
        <f aca="false">SUM(Q6:Q105)</f>
        <v>6500</v>
      </c>
      <c r="R106" s="125" t="n">
        <f aca="false">SUM(R6:R105)</f>
        <v>0</v>
      </c>
      <c r="S106" s="125" t="n">
        <f aca="false">SUM(S6:S105)</f>
        <v>8775</v>
      </c>
      <c r="T106" s="125" t="n">
        <f aca="false">SUM(T6:T105)</f>
        <v>207525</v>
      </c>
      <c r="U106" s="125" t="n">
        <f aca="false">SUM(U6:U105)</f>
        <v>12370.3125</v>
      </c>
      <c r="V106" s="125" t="n">
        <f aca="false">SUM(V6:V105)</f>
        <v>0</v>
      </c>
      <c r="W106" s="125" t="n">
        <f aca="false">SUM(W6:W105)</f>
        <v>0</v>
      </c>
      <c r="X106" s="125" t="n">
        <f aca="false">SUM(X6:X105)</f>
        <v>12370.3125</v>
      </c>
      <c r="Y106" s="125" t="n">
        <f aca="false">SUM(Y6:Y105)</f>
        <v>195154.6875</v>
      </c>
      <c r="Z106" s="125" t="n">
        <f aca="false">SUM(Z6:Z105)</f>
        <v>15907.8125</v>
      </c>
      <c r="AA106" s="125" t="n">
        <f aca="false">SUM(AA6:AA105)</f>
        <v>14119.5205479452</v>
      </c>
      <c r="AB106" s="125" t="n">
        <f aca="false">SUM(AB6:AB105)</f>
        <v>14751.9863013699</v>
      </c>
      <c r="AC106" s="125" t="n">
        <f aca="false">SUM(AC6:AC105)</f>
        <v>928.767123287671</v>
      </c>
      <c r="AD106" s="125" t="n">
        <f aca="false">SUM(AD6:AD105)</f>
        <v>4270.83333333333</v>
      </c>
      <c r="AE106" s="125" t="n">
        <f aca="false">SUM(AE6:AE105)</f>
        <v>2800</v>
      </c>
      <c r="AF106" s="125" t="n">
        <f aca="false">SUM(AF6:AF105)</f>
        <v>400</v>
      </c>
      <c r="AG106" s="125" t="n">
        <f aca="false">SUM(AG6:AG105)</f>
        <v>260703.919805936</v>
      </c>
      <c r="AH106" s="124"/>
      <c r="AI106" s="124"/>
      <c r="AJ106" s="124"/>
      <c r="AK106" s="124"/>
      <c r="AL106" s="161" t="n">
        <f aca="false">SUM(AL6:AL105)</f>
        <v>0</v>
      </c>
      <c r="AM106" s="125" t="n">
        <f aca="false">SUM(AM6:AM105)</f>
        <v>8775</v>
      </c>
      <c r="AN106" s="124"/>
    </row>
    <row r="107" customFormat="false" ht="48" hidden="false" customHeight="true" outlineLevel="0" collapsed="false">
      <c r="A107" s="24" t="s">
        <v>505</v>
      </c>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row>
  </sheetData>
  <sheetProtection sheet="true" password="ffa5" objects="true" scenarios="true"/>
  <autoFilter ref="A5:AN105"/>
  <mergeCells count="6">
    <mergeCell ref="A1:AG1"/>
    <mergeCell ref="A2:AG2"/>
    <mergeCell ref="G3:H3"/>
    <mergeCell ref="J3:K3"/>
    <mergeCell ref="L3:M3"/>
    <mergeCell ref="A107:AN107"/>
  </mergeCells>
  <conditionalFormatting sqref="G3">
    <cfRule type="expression" priority="2" aboveAverage="0" equalAverage="0" bottom="0" percent="0" rank="0" text="" dxfId="0">
      <formula>ISNUMBER(SEARCH("✔",G3))</formula>
    </cfRule>
    <cfRule type="expression" priority="3" aboveAverage="0" equalAverage="0" bottom="0" percent="0" rank="0" text="" dxfId="1">
      <formula>ISNUMBER(SEARCH("✖",G3))</formula>
    </cfRule>
    <cfRule type="expression" priority="4" aboveAverage="0" equalAverage="0" bottom="0" percent="0" rank="0" text="" dxfId="2">
      <formula>ISNUMBER(SEARCH("⚠",G3))</formula>
    </cfRule>
    <cfRule type="expression" priority="5" aboveAverage="0" equalAverage="0" bottom="0" percent="0" rank="0" text="" dxfId="3">
      <formula>ISNUMBER(SEARCH("✈",G3))</formula>
    </cfRule>
    <cfRule type="expression" priority="6" aboveAverage="0" equalAverage="0" bottom="0" percent="0" rank="0" text="" dxfId="1">
      <formula>ISNUMBER(SEARCH("⛔",G3))</formula>
    </cfRule>
    <cfRule type="expression" priority="7" aboveAverage="0" equalAverage="0" bottom="0" percent="0" rank="0" text="" dxfId="0">
      <formula>ISNUMBER(SEARCH("🌴",G3))</formula>
    </cfRule>
    <cfRule type="expression" priority="8" aboveAverage="0" equalAverage="0" bottom="0" percent="0" rank="0" text="" dxfId="4">
      <formula>ISNUMBER(SEARCH("⏳",G3))</formula>
    </cfRule>
  </conditionalFormatting>
  <conditionalFormatting sqref="F6:F105">
    <cfRule type="expression" priority="9" aboveAverage="0" equalAverage="0" bottom="0" percent="0" rank="0" text="" dxfId="0">
      <formula>ISNUMBER(SEARCH("✔",F6))</formula>
    </cfRule>
    <cfRule type="expression" priority="10" aboveAverage="0" equalAverage="0" bottom="0" percent="0" rank="0" text="" dxfId="1">
      <formula>ISNUMBER(SEARCH("✖",F6))</formula>
    </cfRule>
    <cfRule type="expression" priority="11" aboveAverage="0" equalAverage="0" bottom="0" percent="0" rank="0" text="" dxfId="2">
      <formula>ISNUMBER(SEARCH("⚠",F6))</formula>
    </cfRule>
    <cfRule type="expression" priority="12" aboveAverage="0" equalAverage="0" bottom="0" percent="0" rank="0" text="" dxfId="3">
      <formula>ISNUMBER(SEARCH("✈",F6))</formula>
    </cfRule>
    <cfRule type="expression" priority="13" aboveAverage="0" equalAverage="0" bottom="0" percent="0" rank="0" text="" dxfId="1">
      <formula>ISNUMBER(SEARCH("⛔",F6))</formula>
    </cfRule>
    <cfRule type="expression" priority="14" aboveAverage="0" equalAverage="0" bottom="0" percent="0" rank="0" text="" dxfId="0">
      <formula>ISNUMBER(SEARCH("🌴",F6))</formula>
    </cfRule>
    <cfRule type="expression" priority="15" aboveAverage="0" equalAverage="0" bottom="0" percent="0" rank="0" text="" dxfId="4">
      <formula>ISNUMBER(SEARCH("⏳",F6))</formula>
    </cfRule>
  </conditionalFormatting>
  <conditionalFormatting sqref="G6:AN105">
    <cfRule type="expression" priority="16" aboveAverage="0" equalAverage="0" bottom="0" percent="0" rank="0" text="" dxfId="31">
      <formula>AND($B6&lt;&gt;"",$J6=0)</formula>
    </cfRule>
  </conditionalFormatting>
  <conditionalFormatting sqref="Y6:Y105">
    <cfRule type="expression" priority="17" aboveAverage="0" equalAverage="0" bottom="0" percent="0" rank="0" text="" dxfId="1">
      <formula>AND(ISNUMBER(Y6),Y6&lt;0)</formula>
    </cfRule>
  </conditionalFormatting>
  <hyperlinks>
    <hyperlink ref="A2" r:id="rId1" display="https://accopro.net/"/>
    <hyperlink ref="J3" location="'مسير مايو'!A1" display="◀ الشهر السابق"/>
    <hyperlink ref="L3" location="'مسير يوليو'!A1" display="الشهر التالي ▶"/>
    <hyperlink ref="O3" location="'الرئيسية'!A1" display="🏠 الرئيسية"/>
    <hyperlink ref="P3" location="'لوحة التحكم'!A1" display="📊 لوحة التحكم"/>
    <hyperlink ref="R3" location="'الموظفون'!A1" display="👥 الموظفون"/>
    <hyperlink ref="S3" location="'سجل الإجازات والحالات'!A1" display="🌴 سجل الإجازات"/>
    <hyperlink ref="U3" location="'الحركات الشهرية'!A1" display="✍ الحركات"/>
    <hyperlink ref="W3" location="'الملخص الشهري'!A1" display="📅 الملخص الشهري"/>
    <hyperlink ref="Y3" location="'قيود الرواتب'!A1" display="🧾 القيود"/>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&amp;Cنسخة تجريبية — النسخة الكاملة: accopro.net</oddHeader>
    <oddFooter>&amp;CAccoPro — https://accopro.net</oddFooter>
  </headerFooter>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N107"/>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24"/>
    <col collapsed="false" customWidth="true" hidden="false" outlineLevel="0" max="4" min="4" style="0" width="14"/>
    <col collapsed="false" customWidth="true" hidden="false" outlineLevel="0" max="5" min="5" style="0" width="10"/>
    <col collapsed="false" customWidth="true" hidden="false" outlineLevel="0" max="6" min="6" style="0" width="20"/>
    <col collapsed="false" customWidth="true" hidden="false" outlineLevel="0" max="8" min="7" style="0" width="8"/>
    <col collapsed="false" customWidth="true" hidden="false" outlineLevel="0" max="9" min="9" style="0" width="9"/>
    <col collapsed="false" customWidth="true" hidden="false" outlineLevel="0" max="10" min="10" style="0" width="8"/>
    <col collapsed="false" customWidth="true" hidden="false" outlineLevel="0" max="11" min="11" style="0" width="12"/>
    <col collapsed="false" customWidth="true" hidden="false" outlineLevel="0" max="12" min="12" style="0" width="11"/>
    <col collapsed="false" customWidth="true" hidden="false" outlineLevel="0" max="14" min="13" style="0" width="10"/>
    <col collapsed="false" customWidth="true" hidden="false" outlineLevel="0" max="15" min="15" style="0" width="7"/>
    <col collapsed="false" customWidth="true" hidden="false" outlineLevel="0" max="19" min="16" style="0" width="11"/>
    <col collapsed="false" customWidth="true" hidden="false" outlineLevel="0" max="20" min="20" style="0" width="13"/>
    <col collapsed="false" customWidth="true" hidden="false" outlineLevel="0" max="21" min="21" style="0" width="11"/>
    <col collapsed="false" customWidth="true" hidden="false" outlineLevel="0" max="23" min="22" style="0" width="10"/>
    <col collapsed="false" customWidth="true" hidden="false" outlineLevel="0" max="24" min="24" style="0" width="12"/>
    <col collapsed="false" customWidth="true" hidden="false" outlineLevel="0" max="25" min="25" style="0" width="13"/>
    <col collapsed="false" customWidth="true" hidden="false" outlineLevel="0" max="26" min="26" style="0" width="11"/>
    <col collapsed="false" customWidth="true" hidden="false" outlineLevel="0" max="27" min="27" style="0" width="12"/>
    <col collapsed="false" customWidth="true" hidden="false" outlineLevel="0" max="29" min="28" style="0" width="11"/>
    <col collapsed="false" customWidth="true" hidden="false" outlineLevel="0" max="30" min="30" style="0" width="12"/>
    <col collapsed="false" customWidth="true" hidden="false" outlineLevel="0" max="31" min="31" style="0" width="11"/>
    <col collapsed="false" customWidth="true" hidden="false" outlineLevel="0" max="32" min="32" style="0" width="10"/>
    <col collapsed="false" customWidth="true" hidden="false" outlineLevel="0" max="33" min="33" style="0" width="14"/>
    <col collapsed="false" customWidth="true" hidden="true" outlineLevel="0" max="38" min="34" style="0" width="9"/>
    <col collapsed="false" customWidth="true" hidden="true" outlineLevel="0" max="39" min="39" style="0" width="11"/>
    <col collapsed="false" customWidth="true" hidden="true" outlineLevel="0" max="40" min="40" style="0" width="9"/>
  </cols>
  <sheetData>
    <row r="1" customFormat="false" ht="37.5" hidden="false" customHeight="true" outlineLevel="0" collapsed="false">
      <c r="A1" s="136" t="str">
        <f aca="false">"💵 مسير رواتب شهر يوليو "&amp;cfg_FY&amp;"   🔒 نسخة تجريبية"</f>
        <v>💵 مسير رواتب شهر يوليو 2026   🔒 نسخة تجريبية</v>
      </c>
      <c r="B1" s="136"/>
      <c r="C1" s="136"/>
      <c r="D1" s="136"/>
      <c r="E1" s="136"/>
      <c r="F1" s="136"/>
      <c r="G1" s="136"/>
      <c r="H1" s="136"/>
      <c r="I1" s="136"/>
      <c r="J1" s="136"/>
      <c r="K1" s="136"/>
      <c r="L1" s="136"/>
      <c r="M1" s="136"/>
      <c r="N1" s="136"/>
      <c r="O1" s="136"/>
      <c r="P1" s="136"/>
      <c r="Q1" s="136"/>
      <c r="R1" s="136"/>
      <c r="S1" s="136"/>
      <c r="T1" s="136"/>
      <c r="U1" s="136"/>
      <c r="V1" s="136"/>
      <c r="W1" s="136"/>
      <c r="X1" s="136"/>
      <c r="Y1" s="136"/>
      <c r="Z1" s="136"/>
      <c r="AA1" s="136"/>
      <c r="AB1" s="136"/>
      <c r="AC1" s="136"/>
      <c r="AD1" s="136"/>
      <c r="AE1" s="136"/>
      <c r="AF1" s="136"/>
      <c r="AG1" s="136"/>
    </row>
    <row r="2" customFormat="false" ht="19.5" hidden="false" customHeight="true" outlineLevel="0" collapsed="false">
      <c r="A2" s="2" t="str">
        <f aca="false">"🛒 نسخة تجريبية — للنسخة الكاملة اضغط هنا ← accopro.net   |   "&amp;cfg_CO&amp;"   |   السنة المالية "&amp;cfg_FY&amp;"   |   شهر التقرير: "&amp;INDEX(L_MONTH,cfg_VAL_M)&amp;"   |   المبالغ بـ "&amp;cfg_CUR</f>
        <v>🛒 نسخة تجريبية — للنسخة الكاملة اضغط هنا ← accopro.net   |   شركة النخبة للتجارة والمقاولات   |   السنة المالية 2026   |   شهر التقرير: سبتمبر   |   المبالغ بـ ريال سعودي</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row>
    <row r="3" customFormat="false" ht="25.5" hidden="false" customHeight="true" outlineLevel="0" collapsed="false">
      <c r="B3" s="137" t="s">
        <v>163</v>
      </c>
      <c r="C3" s="138" t="n">
        <v>7</v>
      </c>
      <c r="D3" s="137" t="s">
        <v>472</v>
      </c>
      <c r="E3" s="139" t="n">
        <f aca="false">DATE(cfg_FY,C3,1)</f>
        <v>46204</v>
      </c>
      <c r="F3" s="139" t="n">
        <f aca="false">EOMONTH(E3,0)</f>
        <v>46234</v>
      </c>
      <c r="G3" s="140" t="str">
        <f aca="false">IF(C3&lt;=cfg_VAL_M,"✔ فعلي","⚠ متوقع")</f>
        <v>✔ فعلي</v>
      </c>
      <c r="H3" s="140"/>
      <c r="J3" s="141" t="s">
        <v>506</v>
      </c>
      <c r="K3" s="141"/>
      <c r="L3" s="141" t="s">
        <v>473</v>
      </c>
      <c r="M3" s="141"/>
      <c r="O3" s="31" t="s">
        <v>114</v>
      </c>
      <c r="P3" s="12" t="s">
        <v>172</v>
      </c>
      <c r="R3" s="32" t="s">
        <v>116</v>
      </c>
      <c r="S3" s="33" t="s">
        <v>117</v>
      </c>
      <c r="U3" s="32" t="s">
        <v>118</v>
      </c>
      <c r="W3" s="32" t="s">
        <v>39</v>
      </c>
      <c r="Y3" s="32" t="s">
        <v>173</v>
      </c>
    </row>
    <row r="4" customFormat="false" ht="7.5" hidden="false" customHeight="true" outlineLevel="0" collapsed="false"/>
    <row r="5" customFormat="false" ht="51.75" hidden="false" customHeight="true" outlineLevel="0" collapsed="false">
      <c r="A5" s="142" t="s">
        <v>308</v>
      </c>
      <c r="B5" s="142" t="s">
        <v>309</v>
      </c>
      <c r="C5" s="142" t="s">
        <v>310</v>
      </c>
      <c r="D5" s="142" t="s">
        <v>156</v>
      </c>
      <c r="E5" s="142" t="s">
        <v>142</v>
      </c>
      <c r="F5" s="142" t="s">
        <v>474</v>
      </c>
      <c r="G5" s="143" t="s">
        <v>475</v>
      </c>
      <c r="H5" s="143" t="s">
        <v>476</v>
      </c>
      <c r="I5" s="143" t="s">
        <v>477</v>
      </c>
      <c r="J5" s="143" t="s">
        <v>478</v>
      </c>
      <c r="K5" s="144" t="s">
        <v>479</v>
      </c>
      <c r="L5" s="144" t="s">
        <v>480</v>
      </c>
      <c r="M5" s="144" t="s">
        <v>481</v>
      </c>
      <c r="N5" s="144" t="s">
        <v>482</v>
      </c>
      <c r="O5" s="144" t="s">
        <v>483</v>
      </c>
      <c r="P5" s="144" t="s">
        <v>484</v>
      </c>
      <c r="Q5" s="144" t="s">
        <v>451</v>
      </c>
      <c r="R5" s="144" t="s">
        <v>485</v>
      </c>
      <c r="S5" s="144" t="s">
        <v>486</v>
      </c>
      <c r="T5" s="144" t="s">
        <v>127</v>
      </c>
      <c r="U5" s="145" t="s">
        <v>487</v>
      </c>
      <c r="V5" s="145" t="s">
        <v>453</v>
      </c>
      <c r="W5" s="145" t="s">
        <v>454</v>
      </c>
      <c r="X5" s="145" t="s">
        <v>488</v>
      </c>
      <c r="Y5" s="146" t="s">
        <v>489</v>
      </c>
      <c r="Z5" s="147" t="s">
        <v>490</v>
      </c>
      <c r="AA5" s="147" t="s">
        <v>491</v>
      </c>
      <c r="AB5" s="147" t="s">
        <v>492</v>
      </c>
      <c r="AC5" s="147" t="s">
        <v>493</v>
      </c>
      <c r="AD5" s="148" t="s">
        <v>494</v>
      </c>
      <c r="AE5" s="148" t="s">
        <v>495</v>
      </c>
      <c r="AF5" s="148" t="s">
        <v>496</v>
      </c>
      <c r="AG5" s="149" t="s">
        <v>497</v>
      </c>
      <c r="AH5" s="150" t="s">
        <v>498</v>
      </c>
      <c r="AI5" s="150" t="s">
        <v>499</v>
      </c>
      <c r="AJ5" s="150" t="s">
        <v>500</v>
      </c>
      <c r="AK5" s="150" t="s">
        <v>501</v>
      </c>
      <c r="AL5" s="150" t="s">
        <v>502</v>
      </c>
      <c r="AM5" s="150" t="s">
        <v>503</v>
      </c>
      <c r="AN5" s="150" t="s">
        <v>504</v>
      </c>
    </row>
    <row r="6" customFormat="false" ht="15" hidden="false" customHeight="false" outlineLevel="0" collapsed="false">
      <c r="A6" s="106" t="n">
        <f aca="false">IF($B6="","",الموظفون!$A6)</f>
        <v>1</v>
      </c>
      <c r="B6" s="114" t="str">
        <f aca="false">IF(الموظفون!$B6="","",الموظفون!$B6)</f>
        <v>E001</v>
      </c>
      <c r="C6" s="114" t="str">
        <f aca="false">IF($B6="","",الموظفون!$C6)</f>
        <v>عبدالله محمد العتيبي</v>
      </c>
      <c r="D6" s="114" t="str">
        <f aca="false">IF($B6="","",الموظفون!$F6)</f>
        <v>الإدارة العليا</v>
      </c>
      <c r="E6" s="114" t="str">
        <f aca="false">IF($B6="","",الموظفون!$E6)</f>
        <v>سعودي</v>
      </c>
      <c r="F6" s="114" t="str">
        <f aca="false">IF($B6="","",IF(AK6=0,IF(AND(الموظفون!$AE6&lt;&gt;"",الموظفون!$AE6&lt;$E$3),"✖ منتهي الخدمة","⏳ لم يباشر"),IF(S6&gt;0,"✈ راتب إجازة مقدم",IF(J6=0,"⛔ بدون راتب هذا الشهر",IF(I6&gt;0,"✈ خصم "&amp;ROUND(I6,2)&amp;" يوم بدون أجر",IF(AL6&gt;0,"🌴 إجازة سنوية "&amp;ROUND(AL6,2)&amp;" يوم",IF(H6&gt;0,"⚠ غياب "&amp;ROUND(H6,2)&amp;" يوم","✔ على رأس العمل")))))))</f>
        <v>✔ على رأس العمل</v>
      </c>
      <c r="G6" s="151" t="n">
        <f aca="false">IF($B6="","",IF(AK6&gt;=DAY($F$3),cfg_DAYS_M,MIN(AK6,cfg_DAYS_M)))</f>
        <v>30</v>
      </c>
      <c r="H6" s="151" t="n">
        <f aca="false">IF($B6="","",SUMIFS('الحركات الشهرية'!$D$6:$D$1005,'الحركات الشهرية'!$B$6:$B$1005,$B6,'الحركات الشهرية'!$A$6:$A$1005,$C$3))</f>
        <v>0</v>
      </c>
      <c r="I6" s="151" t="n">
        <f aca="false">IF($B6="","",MIN(G6,IF(AND(AK6&gt;0,AN6&gt;=AK6),G6,AN6)+SUMIFS('الحركات الشهرية'!$E$6:$E$1005,'الحركات الشهرية'!$B$6:$B$1005,$B6,'الحركات الشهرية'!$A$6:$A$1005,$C$3)))</f>
        <v>0</v>
      </c>
      <c r="J6" s="151" t="n">
        <f aca="false">IF($B6="","",MAX(0,G6-H6-I6))</f>
        <v>30</v>
      </c>
      <c r="K6" s="111" t="n">
        <f aca="false">IF($B6="","",الموظفون!$L6*$J6/cfg_DAYS_M)</f>
        <v>28000</v>
      </c>
      <c r="L6" s="111" t="n">
        <f aca="false">IF($B6="","",الموظفون!$M6*$J6/cfg_DAYS_M)</f>
        <v>7000</v>
      </c>
      <c r="M6" s="111" t="n">
        <f aca="false">IF($B6="","",الموظفون!$N6*$J6/cfg_DAYS_M)</f>
        <v>2800</v>
      </c>
      <c r="N6" s="111" t="n">
        <f aca="false">IF($B6="","",الموظفون!$O6*$J6/cfg_DAYS_M)</f>
        <v>3000</v>
      </c>
      <c r="O6" s="151" t="n">
        <f aca="false">IF($B6="","",SUMIFS('الحركات الشهرية'!$F$6:$F$1005,'الحركات الشهرية'!$B$6:$B$1005,$B6,'الحركات الشهرية'!$A$6:$A$1005,$C$3))</f>
        <v>0</v>
      </c>
      <c r="P6" s="111" t="n">
        <f aca="false">IF($B6="","",O6*(الموظفون!$P6+الموظفون!$L6*cfg_OT_P)/cfg_DAYS_M/cfg_HRS)</f>
        <v>0</v>
      </c>
      <c r="Q6" s="111" t="n">
        <f aca="false">IF($B6="","",SUMIFS('الحركات الشهرية'!$G$6:$G$1005,'الحركات الشهرية'!$B$6:$B$1005,$B6,'الحركات الشهرية'!$A$6:$A$1005,$C$3))</f>
        <v>0</v>
      </c>
      <c r="R6" s="111" t="n">
        <f aca="false">IF($B6="","",SUMIFS('الحركات الشهرية'!$H$6:$H$1005,'الحركات الشهرية'!$B$6:$B$1005,$B6,'الحركات الشهرية'!$A$6:$A$1005,$C$3))</f>
        <v>0</v>
      </c>
      <c r="S6" s="111" t="n">
        <f aca="false">IF($B6="","",SUMIFS('سجل الإجازات والحالات'!$N$6:$N$505,'سجل الإجازات والحالات'!$B$6:$B$505,$B6,'سجل الإجازات والحالات'!$O$6:$O$505,$C$3))</f>
        <v>0</v>
      </c>
      <c r="T6" s="152" t="n">
        <f aca="false">IF($B6="","",SUM(K6:N6)+SUM(P6:S6))</f>
        <v>40800</v>
      </c>
      <c r="U6" s="111" t="n">
        <f aca="false">IF($B6="","",الموظفون!$S6*IF(E6="سعودي",cfg_G_SE,cfg_G_NE)*G6/cfg_DAYS_M)</f>
        <v>3412.5</v>
      </c>
      <c r="V6" s="111" t="n">
        <f aca="false">IF($B6="","",SUMIFS('الحركات الشهرية'!$I$6:$I$1005,'الحركات الشهرية'!$B$6:$B$1005,$B6,'الحركات الشهرية'!$A$6:$A$1005,$C$3))</f>
        <v>0</v>
      </c>
      <c r="W6" s="111" t="n">
        <f aca="false">IF($B6="","",SUMIFS('الحركات الشهرية'!$J$6:$J$1005,'الحركات الشهرية'!$B$6:$B$1005,$B6,'الحركات الشهرية'!$A$6:$A$1005,$C$3))</f>
        <v>0</v>
      </c>
      <c r="X6" s="111" t="n">
        <f aca="false">IF($B6="","",SUM(U6:W6))</f>
        <v>3412.5</v>
      </c>
      <c r="Y6" s="153" t="n">
        <f aca="false">IF($B6="","",T6-X6)</f>
        <v>37387.5</v>
      </c>
      <c r="Z6" s="111" t="n">
        <f aca="false">IF($B6="","",الموظفون!$S6*IF(E6="سعودي",cfg_G_SR,cfg_G_NR)*G6/cfg_DAYS_M)</f>
        <v>4112.5</v>
      </c>
      <c r="AA6" s="111" t="n">
        <f aca="false">IF($B6="","",الموظفون!$Q6*(cfg_EOS_R1*(MIN(AH6,cfg_EOS_TH)-MIN(AI6,cfg_EOS_TH))+cfg_EOS_R2*(MAX(AH6-cfg_EOS_TH,0)-MAX(AI6-cfg_EOS_TH,0))))</f>
        <v>3210.41095890413</v>
      </c>
      <c r="AB6" s="111" t="n">
        <f aca="false">IF($B6="","",IF(الموظفون!$T6&lt;&gt;"",الموظفون!$T6,IF(AH6&gt;=cfg_LV_TH,cfg_LV_D2,cfg_LV_D1))/cfg_DAYS_Y*AJ6*الموظفون!$R6/cfg_DAYS_M)</f>
        <v>3210.41095890411</v>
      </c>
      <c r="AC6" s="111" t="n">
        <f aca="false">IF($B6="","",IF(AND(الموظفون!$U6="نعم",N(الموظفون!$W6)&gt;0),الموظفون!$V6/الموظفون!$W6*12/cfg_DAYS_Y*AJ6,0))</f>
        <v>0</v>
      </c>
      <c r="AD6" s="111" t="n">
        <f aca="false">IF($B6="","",(IF(الموظفون!$X6&lt;&gt;"",الموظفون!$X6,IF(الموظفون!$E6="غير سعودي",cfg_IQ,0))+IF(الموظفون!$Y6&lt;&gt;"",الموظفون!$Y6,IF(الموظفون!$E6="غير سعودي",cfg_WP,0)))/12*G6/cfg_DAYS_M)</f>
        <v>0</v>
      </c>
      <c r="AE6" s="111" t="n">
        <f aca="false">IF($B6="","",IF(الموظفون!$Z6&lt;&gt;"",الموظفون!$Z6,cfg_MED)/12*G6/cfg_DAYS_M)</f>
        <v>400</v>
      </c>
      <c r="AF6" s="111" t="n">
        <f aca="false">IF($B6="","",N(الموظفون!$AA6)/12*G6/cfg_DAYS_M)</f>
        <v>0</v>
      </c>
      <c r="AG6" s="154" t="n">
        <f aca="false">IF($B6="","",T6+SUM(Z6:AF6))</f>
        <v>51733.3219178082</v>
      </c>
      <c r="AH6" s="155" t="n">
        <f aca="false">IF($B6="","",MAX(0,IF(OR(الموظفون!$AE6="",الموظفون!$AE6&gt;$F$3),$F$3,الموظفون!$AE6)-الموظفون!$H6+1-SUMIFS('سجل الإجازات والحالات'!$AN$6:$AN$505,'سجل الإجازات والحالات'!$B$6:$B$505,$B6))/cfg_DAYS_Y)</f>
        <v>14.5534246575342</v>
      </c>
      <c r="AI6" s="155" t="n">
        <f aca="false">IF($B6="","",MAX(0,IF(OR(الموظفون!$AE6="",الموظفون!$AE6&gt;($E$3-1)),($E$3-1),الموظفون!$AE6)-الموظفون!$H6+1-SUMIFS('سجل الإجازات والحالات'!$AM$6:$AM$505,'سجل الإجازات والحالات'!$B$6:$B$505,$B6))/cfg_DAYS_Y)</f>
        <v>14.4684931506849</v>
      </c>
      <c r="AJ6" s="65" t="n">
        <f aca="false">IF($B6="","",MAX(0,AK6-(SUMIFS('سجل الإجازات والحالات'!$AN$6:$AN$505,'سجل الإجازات والحالات'!$B$6:$B$505,$B6)-SUMIFS('سجل الإجازات والحالات'!$AM$6:$AM$505,'سجل الإجازات والحالات'!$B$6:$B$505,$B6))))</f>
        <v>31</v>
      </c>
      <c r="AK6" s="65" t="n">
        <f aca="false">IF($B6="","",MAX(0,IF(OR(الموظفون!$AE6="",الموظفون!$AE6&gt;$F$3),$F$3,الموظفون!$AE6)-MAX($E$3,الموظفون!$H6)+1))</f>
        <v>31</v>
      </c>
      <c r="AL6" s="151" t="n">
        <f aca="false">IF($B6="","",SUMIFS('سجل الإجازات والحالات'!$AZ$6:$AZ$505,'سجل الإجازات والحالات'!$B$6:$B$505,$B6)+SUMIFS('الحركات الشهرية'!$K$6:$K$1005,'الحركات الشهرية'!$B$6:$B$1005,$B6,'الحركات الشهرية'!$A$6:$A$1005,$C$3))</f>
        <v>0</v>
      </c>
      <c r="AM6" s="111" t="n">
        <f aca="false">IF($B6="","",AL6*الموظفون!$R6/cfg_DAYS_M+S6)</f>
        <v>0</v>
      </c>
      <c r="AN6" s="151" t="n">
        <f aca="false">IF($B6="","",SUMIFS('سجل الإجازات والحالات'!$AB$6:$AB$505,'سجل الإجازات والحالات'!$B$6:$B$505,$B6))</f>
        <v>0</v>
      </c>
    </row>
    <row r="7" customFormat="false" ht="15" hidden="false" customHeight="false" outlineLevel="0" collapsed="false">
      <c r="A7" s="115" t="n">
        <f aca="false">IF($B7="","",الموظفون!$A7)</f>
        <v>2</v>
      </c>
      <c r="B7" s="117" t="str">
        <f aca="false">IF(الموظفون!$B7="","",الموظفون!$B7)</f>
        <v>E002</v>
      </c>
      <c r="C7" s="117" t="str">
        <f aca="false">IF($B7="","",الموظفون!$C7)</f>
        <v>أحمد سعيد القحطاني</v>
      </c>
      <c r="D7" s="117" t="str">
        <f aca="false">IF($B7="","",الموظفون!$F7)</f>
        <v>المالية</v>
      </c>
      <c r="E7" s="117" t="str">
        <f aca="false">IF($B7="","",الموظفون!$E7)</f>
        <v>سعودي</v>
      </c>
      <c r="F7" s="117" t="str">
        <f aca="false">IF($B7="","",IF(AK7=0,IF(AND(الموظفون!$AE7&lt;&gt;"",الموظفون!$AE7&lt;$E$3),"✖ منتهي الخدمة","⏳ لم يباشر"),IF(S7&gt;0,"✈ راتب إجازة مقدم",IF(J7=0,"⛔ بدون راتب هذا الشهر",IF(I7&gt;0,"✈ خصم "&amp;ROUND(I7,2)&amp;" يوم بدون أجر",IF(AL7&gt;0,"🌴 إجازة سنوية "&amp;ROUND(AL7,2)&amp;" يوم",IF(H7&gt;0,"⚠ غياب "&amp;ROUND(H7,2)&amp;" يوم","✔ على رأس العمل")))))))</f>
        <v>🌴 إجازة سنوية 20 يوم</v>
      </c>
      <c r="G7" s="156" t="n">
        <f aca="false">IF($B7="","",IF(AK7&gt;=DAY($F$3),cfg_DAYS_M,MIN(AK7,cfg_DAYS_M)))</f>
        <v>30</v>
      </c>
      <c r="H7" s="156" t="n">
        <f aca="false">IF($B7="","",SUMIFS('الحركات الشهرية'!$D$6:$D$1005,'الحركات الشهرية'!$B$6:$B$1005,$B7,'الحركات الشهرية'!$A$6:$A$1005,$C$3))</f>
        <v>0</v>
      </c>
      <c r="I7" s="156" t="n">
        <f aca="false">IF($B7="","",MIN(G7,IF(AND(AK7&gt;0,AN7&gt;=AK7),G7,AN7)+SUMIFS('الحركات الشهرية'!$E$6:$E$1005,'الحركات الشهرية'!$B$6:$B$1005,$B7,'الحركات الشهرية'!$A$6:$A$1005,$C$3)))</f>
        <v>0</v>
      </c>
      <c r="J7" s="156" t="n">
        <f aca="false">IF($B7="","",MAX(0,G7-H7-I7))</f>
        <v>30</v>
      </c>
      <c r="K7" s="116" t="n">
        <f aca="false">IF($B7="","",الموظفون!$L7*$J7/cfg_DAYS_M)</f>
        <v>18000</v>
      </c>
      <c r="L7" s="116" t="n">
        <f aca="false">IF($B7="","",الموظفون!$M7*$J7/cfg_DAYS_M)</f>
        <v>4500</v>
      </c>
      <c r="M7" s="116" t="n">
        <f aca="false">IF($B7="","",الموظفون!$N7*$J7/cfg_DAYS_M)</f>
        <v>1800</v>
      </c>
      <c r="N7" s="116" t="n">
        <f aca="false">IF($B7="","",الموظفون!$O7*$J7/cfg_DAYS_M)</f>
        <v>1000</v>
      </c>
      <c r="O7" s="156" t="n">
        <f aca="false">IF($B7="","",SUMIFS('الحركات الشهرية'!$F$6:$F$1005,'الحركات الشهرية'!$B$6:$B$1005,$B7,'الحركات الشهرية'!$A$6:$A$1005,$C$3))</f>
        <v>0</v>
      </c>
      <c r="P7" s="116" t="n">
        <f aca="false">IF($B7="","",O7*(الموظفون!$P7+الموظفون!$L7*cfg_OT_P)/cfg_DAYS_M/cfg_HRS)</f>
        <v>0</v>
      </c>
      <c r="Q7" s="116" t="n">
        <f aca="false">IF($B7="","",SUMIFS('الحركات الشهرية'!$G$6:$G$1005,'الحركات الشهرية'!$B$6:$B$1005,$B7,'الحركات الشهرية'!$A$6:$A$1005,$C$3))</f>
        <v>0</v>
      </c>
      <c r="R7" s="116" t="n">
        <f aca="false">IF($B7="","",SUMIFS('الحركات الشهرية'!$H$6:$H$1005,'الحركات الشهرية'!$B$6:$B$1005,$B7,'الحركات الشهرية'!$A$6:$A$1005,$C$3))</f>
        <v>0</v>
      </c>
      <c r="S7" s="116" t="n">
        <f aca="false">IF($B7="","",SUMIFS('سجل الإجازات والحالات'!$N$6:$N$505,'سجل الإجازات والحالات'!$B$6:$B$505,$B7,'سجل الإجازات والحالات'!$O$6:$O$505,$C$3))</f>
        <v>0</v>
      </c>
      <c r="T7" s="157" t="n">
        <f aca="false">IF($B7="","",SUM(K7:N7)+SUM(P7:S7))</f>
        <v>25300</v>
      </c>
      <c r="U7" s="116" t="n">
        <f aca="false">IF($B7="","",الموظفون!$S7*IF(E7="سعودي",cfg_G_SE,cfg_G_NE)*G7/cfg_DAYS_M)</f>
        <v>2193.75</v>
      </c>
      <c r="V7" s="116" t="n">
        <f aca="false">IF($B7="","",SUMIFS('الحركات الشهرية'!$I$6:$I$1005,'الحركات الشهرية'!$B$6:$B$1005,$B7,'الحركات الشهرية'!$A$6:$A$1005,$C$3))</f>
        <v>0</v>
      </c>
      <c r="W7" s="116" t="n">
        <f aca="false">IF($B7="","",SUMIFS('الحركات الشهرية'!$J$6:$J$1005,'الحركات الشهرية'!$B$6:$B$1005,$B7,'الحركات الشهرية'!$A$6:$A$1005,$C$3))</f>
        <v>0</v>
      </c>
      <c r="X7" s="116" t="n">
        <f aca="false">IF($B7="","",SUM(U7:W7))</f>
        <v>2193.75</v>
      </c>
      <c r="Y7" s="158" t="n">
        <f aca="false">IF($B7="","",T7-X7)</f>
        <v>23106.25</v>
      </c>
      <c r="Z7" s="116" t="n">
        <f aca="false">IF($B7="","",الموظفون!$S7*IF(E7="سعودي",cfg_G_SR,cfg_G_NR)*G7/cfg_DAYS_M)</f>
        <v>2643.75</v>
      </c>
      <c r="AA7" s="116" t="n">
        <f aca="false">IF($B7="","",الموظفون!$Q7*(cfg_EOS_R1*(MIN(AH7,cfg_EOS_TH)-MIN(AI7,cfg_EOS_TH))+cfg_EOS_R2*(MAX(AH7-cfg_EOS_TH,0)-MAX(AI7-cfg_EOS_TH,0))))</f>
        <v>2063.83561643837</v>
      </c>
      <c r="AB7" s="116" t="n">
        <f aca="false">IF($B7="","",IF(الموظفون!$T7&lt;&gt;"",الموظفون!$T7,IF(AH7&gt;=cfg_LV_TH,cfg_LV_D2,cfg_LV_D1))/cfg_DAYS_Y*AJ7*الموظفون!$R7/cfg_DAYS_M)</f>
        <v>2063.83561643836</v>
      </c>
      <c r="AC7" s="116" t="n">
        <f aca="false">IF($B7="","",IF(AND(الموظفون!$U7="نعم",N(الموظفون!$W7)&gt;0),الموظفون!$V7/الموظفون!$W7*12/cfg_DAYS_Y*AJ7,0))</f>
        <v>0</v>
      </c>
      <c r="AD7" s="116" t="n">
        <f aca="false">IF($B7="","",(IF(الموظفون!$X7&lt;&gt;"",الموظفون!$X7,IF(الموظفون!$E7="غير سعودي",cfg_IQ,0))+IF(الموظفون!$Y7&lt;&gt;"",الموظفون!$Y7,IF(الموظفون!$E7="غير سعودي",cfg_WP,0)))/12*G7/cfg_DAYS_M)</f>
        <v>0</v>
      </c>
      <c r="AE7" s="116" t="n">
        <f aca="false">IF($B7="","",IF(الموظفون!$Z7&lt;&gt;"",الموظفون!$Z7,cfg_MED)/12*G7/cfg_DAYS_M)</f>
        <v>300</v>
      </c>
      <c r="AF7" s="116" t="n">
        <f aca="false">IF($B7="","",N(الموظفون!$AA7)/12*G7/cfg_DAYS_M)</f>
        <v>0</v>
      </c>
      <c r="AG7" s="159" t="n">
        <f aca="false">IF($B7="","",T7+SUM(Z7:AF7))</f>
        <v>32371.4212328767</v>
      </c>
      <c r="AH7" s="160" t="n">
        <f aca="false">IF($B7="","",MAX(0,IF(OR(الموظفون!$AE7="",الموظفون!$AE7&gt;$F$3),$F$3,الموظفون!$AE7)-الموظفون!$H7+1-SUMIFS('سجل الإجازات والحالات'!$AN$6:$AN$505,'سجل الإجازات والحالات'!$B$6:$B$505,$B7))/cfg_DAYS_Y)</f>
        <v>10.172602739726</v>
      </c>
      <c r="AI7" s="160" t="n">
        <f aca="false">IF($B7="","",MAX(0,IF(OR(الموظفون!$AE7="",الموظفون!$AE7&gt;($E$3-1)),($E$3-1),الموظفون!$AE7)-الموظفون!$H7+1-SUMIFS('سجل الإجازات والحالات'!$AM$6:$AM$505,'سجل الإجازات والحالات'!$B$6:$B$505,$B7))/cfg_DAYS_Y)</f>
        <v>10.0876712328767</v>
      </c>
      <c r="AJ7" s="133" t="n">
        <f aca="false">IF($B7="","",MAX(0,AK7-(SUMIFS('سجل الإجازات والحالات'!$AN$6:$AN$505,'سجل الإجازات والحالات'!$B$6:$B$505,$B7)-SUMIFS('سجل الإجازات والحالات'!$AM$6:$AM$505,'سجل الإجازات والحالات'!$B$6:$B$505,$B7))))</f>
        <v>31</v>
      </c>
      <c r="AK7" s="133" t="n">
        <f aca="false">IF($B7="","",MAX(0,IF(OR(الموظفون!$AE7="",الموظفون!$AE7&gt;$F$3),$F$3,الموظفون!$AE7)-MAX($E$3,الموظفون!$H7)+1))</f>
        <v>31</v>
      </c>
      <c r="AL7" s="156" t="n">
        <f aca="false">IF($B7="","",SUMIFS('سجل الإجازات والحالات'!$AZ$6:$AZ$505,'سجل الإجازات والحالات'!$B$6:$B$505,$B7)+SUMIFS('الحركات الشهرية'!$K$6:$K$1005,'الحركات الشهرية'!$B$6:$B$1005,$B7,'الحركات الشهرية'!$A$6:$A$1005,$C$3))</f>
        <v>20</v>
      </c>
      <c r="AM7" s="116" t="n">
        <f aca="false">IF($B7="","",AL7*الموظفون!$R7/cfg_DAYS_M+S7)</f>
        <v>16200</v>
      </c>
      <c r="AN7" s="156" t="n">
        <f aca="false">IF($B7="","",SUMIFS('سجل الإجازات والحالات'!$AB$6:$AB$505,'سجل الإجازات والحالات'!$B$6:$B$505,$B7))</f>
        <v>0</v>
      </c>
    </row>
    <row r="8" customFormat="false" ht="15" hidden="false" customHeight="false" outlineLevel="0" collapsed="false">
      <c r="A8" s="106" t="n">
        <f aca="false">IF($B8="","",الموظفون!$A8)</f>
        <v>3</v>
      </c>
      <c r="B8" s="114" t="str">
        <f aca="false">IF(الموظفون!$B8="","",الموظفون!$B8)</f>
        <v>E003</v>
      </c>
      <c r="C8" s="114" t="str">
        <f aca="false">IF($B8="","",الموظفون!$C8)</f>
        <v>محمد علي حسن</v>
      </c>
      <c r="D8" s="114" t="str">
        <f aca="false">IF($B8="","",الموظفون!$F8)</f>
        <v>المالية</v>
      </c>
      <c r="E8" s="114" t="str">
        <f aca="false">IF($B8="","",الموظفون!$E8)</f>
        <v>غير سعودي</v>
      </c>
      <c r="F8" s="114" t="str">
        <f aca="false">IF($B8="","",IF(AK8=0,IF(AND(الموظفون!$AE8&lt;&gt;"",الموظفون!$AE8&lt;$E$3),"✖ منتهي الخدمة","⏳ لم يباشر"),IF(S8&gt;0,"✈ راتب إجازة مقدم",IF(J8=0,"⛔ بدون راتب هذا الشهر",IF(I8&gt;0,"✈ خصم "&amp;ROUND(I8,2)&amp;" يوم بدون أجر",IF(AL8&gt;0,"🌴 إجازة سنوية "&amp;ROUND(AL8,2)&amp;" يوم",IF(H8&gt;0,"⚠ غياب "&amp;ROUND(H8,2)&amp;" يوم","✔ على رأس العمل")))))))</f>
        <v>✔ على رأس العمل</v>
      </c>
      <c r="G8" s="151" t="n">
        <f aca="false">IF($B8="","",IF(AK8&gt;=DAY($F$3),cfg_DAYS_M,MIN(AK8,cfg_DAYS_M)))</f>
        <v>30</v>
      </c>
      <c r="H8" s="151" t="n">
        <f aca="false">IF($B8="","",SUMIFS('الحركات الشهرية'!$D$6:$D$1005,'الحركات الشهرية'!$B$6:$B$1005,$B8,'الحركات الشهرية'!$A$6:$A$1005,$C$3))</f>
        <v>0</v>
      </c>
      <c r="I8" s="151" t="n">
        <f aca="false">IF($B8="","",MIN(G8,IF(AND(AK8&gt;0,AN8&gt;=AK8),G8,AN8)+SUMIFS('الحركات الشهرية'!$E$6:$E$1005,'الحركات الشهرية'!$B$6:$B$1005,$B8,'الحركات الشهرية'!$A$6:$A$1005,$C$3)))</f>
        <v>0</v>
      </c>
      <c r="J8" s="151" t="n">
        <f aca="false">IF($B8="","",MAX(0,G8-H8-I8))</f>
        <v>30</v>
      </c>
      <c r="K8" s="111" t="n">
        <f aca="false">IF($B8="","",الموظفون!$L8*$J8/cfg_DAYS_M)</f>
        <v>8500</v>
      </c>
      <c r="L8" s="111" t="n">
        <f aca="false">IF($B8="","",الموظفون!$M8*$J8/cfg_DAYS_M)</f>
        <v>2125</v>
      </c>
      <c r="M8" s="111" t="n">
        <f aca="false">IF($B8="","",الموظفون!$N8*$J8/cfg_DAYS_M)</f>
        <v>850</v>
      </c>
      <c r="N8" s="111" t="n">
        <f aca="false">IF($B8="","",الموظفون!$O8*$J8/cfg_DAYS_M)</f>
        <v>500</v>
      </c>
      <c r="O8" s="151" t="n">
        <f aca="false">IF($B8="","",SUMIFS('الحركات الشهرية'!$F$6:$F$1005,'الحركات الشهرية'!$B$6:$B$1005,$B8,'الحركات الشهرية'!$A$6:$A$1005,$C$3))</f>
        <v>0</v>
      </c>
      <c r="P8" s="111" t="n">
        <f aca="false">IF($B8="","",O8*(الموظفون!$P8+الموظفون!$L8*cfg_OT_P)/cfg_DAYS_M/cfg_HRS)</f>
        <v>0</v>
      </c>
      <c r="Q8" s="111" t="n">
        <f aca="false">IF($B8="","",SUMIFS('الحركات الشهرية'!$G$6:$G$1005,'الحركات الشهرية'!$B$6:$B$1005,$B8,'الحركات الشهرية'!$A$6:$A$1005,$C$3))</f>
        <v>0</v>
      </c>
      <c r="R8" s="111" t="n">
        <f aca="false">IF($B8="","",SUMIFS('الحركات الشهرية'!$H$6:$H$1005,'الحركات الشهرية'!$B$6:$B$1005,$B8,'الحركات الشهرية'!$A$6:$A$1005,$C$3))</f>
        <v>0</v>
      </c>
      <c r="S8" s="111" t="n">
        <f aca="false">IF($B8="","",SUMIFS('سجل الإجازات والحالات'!$N$6:$N$505,'سجل الإجازات والحالات'!$B$6:$B$505,$B8,'سجل الإجازات والحالات'!$O$6:$O$505,$C$3))</f>
        <v>0</v>
      </c>
      <c r="T8" s="152" t="n">
        <f aca="false">IF($B8="","",SUM(K8:N8)+SUM(P8:S8))</f>
        <v>11975</v>
      </c>
      <c r="U8" s="111" t="n">
        <f aca="false">IF($B8="","",الموظفون!$S8*IF(E8="سعودي",cfg_G_SE,cfg_G_NE)*G8/cfg_DAYS_M)</f>
        <v>0</v>
      </c>
      <c r="V8" s="111" t="n">
        <f aca="false">IF($B8="","",SUMIFS('الحركات الشهرية'!$I$6:$I$1005,'الحركات الشهرية'!$B$6:$B$1005,$B8,'الحركات الشهرية'!$A$6:$A$1005,$C$3))</f>
        <v>0</v>
      </c>
      <c r="W8" s="111" t="n">
        <f aca="false">IF($B8="","",SUMIFS('الحركات الشهرية'!$J$6:$J$1005,'الحركات الشهرية'!$B$6:$B$1005,$B8,'الحركات الشهرية'!$A$6:$A$1005,$C$3))</f>
        <v>0</v>
      </c>
      <c r="X8" s="111" t="n">
        <f aca="false">IF($B8="","",SUM(U8:W8))</f>
        <v>0</v>
      </c>
      <c r="Y8" s="153" t="n">
        <f aca="false">IF($B8="","",T8-X8)</f>
        <v>11975</v>
      </c>
      <c r="Z8" s="111" t="n">
        <f aca="false">IF($B8="","",الموظفون!$S8*IF(E8="سعودي",cfg_G_SR,cfg_G_NR)*G8/cfg_DAYS_M)</f>
        <v>212.5</v>
      </c>
      <c r="AA8" s="111" t="n">
        <f aca="false">IF($B8="","",الموظفون!$Q8*(cfg_EOS_R1*(MIN(AH8,cfg_EOS_TH)-MIN(AI8,cfg_EOS_TH))+cfg_EOS_R2*(MAX(AH8-cfg_EOS_TH,0)-MAX(AI8-cfg_EOS_TH,0))))</f>
        <v>974.589041095885</v>
      </c>
      <c r="AB8" s="111" t="n">
        <f aca="false">IF($B8="","",IF(الموظفون!$T8&lt;&gt;"",الموظفون!$T8,IF(AH8&gt;=cfg_LV_TH,cfg_LV_D2,cfg_LV_D1))/cfg_DAYS_Y*AJ8*الموظفون!$R8/cfg_DAYS_M)</f>
        <v>974.589041095891</v>
      </c>
      <c r="AC8" s="111" t="n">
        <f aca="false">IF($B8="","",IF(AND(الموظفون!$U8="نعم",N(الموظفون!$W8)&gt;0),الموظفون!$V8/الموظفون!$W8*12/cfg_DAYS_Y*AJ8,0))</f>
        <v>135.890410958904</v>
      </c>
      <c r="AD8" s="111" t="n">
        <f aca="false">IF($B8="","",(IF(الموظفون!$X8&lt;&gt;"",الموظفون!$X8,IF(الموظفون!$E8="غير سعودي",cfg_IQ,0))+IF(الموظفون!$Y8&lt;&gt;"",الموظفون!$Y8,IF(الموظفون!$E8="غير سعودي",cfg_WP,0)))/12*G8/cfg_DAYS_M)</f>
        <v>854.166666666667</v>
      </c>
      <c r="AE8" s="111" t="n">
        <f aca="false">IF($B8="","",IF(الموظفون!$Z8&lt;&gt;"",الموظفون!$Z8,cfg_MED)/12*G8/cfg_DAYS_M)</f>
        <v>200</v>
      </c>
      <c r="AF8" s="111" t="n">
        <f aca="false">IF($B8="","",N(الموظفون!$AA8)/12*G8/cfg_DAYS_M)</f>
        <v>0</v>
      </c>
      <c r="AG8" s="154" t="n">
        <f aca="false">IF($B8="","",T8+SUM(Z8:AF8))</f>
        <v>15326.7351598173</v>
      </c>
      <c r="AH8" s="155" t="n">
        <f aca="false">IF($B8="","",MAX(0,IF(OR(الموظفون!$AE8="",الموظفون!$AE8&gt;$F$3),$F$3,الموظفون!$AE8)-الموظفون!$H8+1-SUMIFS('سجل الإجازات والحالات'!$AN$6:$AN$505,'سجل الإجازات والحالات'!$B$6:$B$505,$B8))/cfg_DAYS_Y)</f>
        <v>7.8958904109589</v>
      </c>
      <c r="AI8" s="155" t="n">
        <f aca="false">IF($B8="","",MAX(0,IF(OR(الموظفون!$AE8="",الموظفون!$AE8&gt;($E$3-1)),($E$3-1),الموظفون!$AE8)-الموظفون!$H8+1-SUMIFS('سجل الإجازات والحالات'!$AM$6:$AM$505,'سجل الإجازات والحالات'!$B$6:$B$505,$B8))/cfg_DAYS_Y)</f>
        <v>7.81095890410959</v>
      </c>
      <c r="AJ8" s="65" t="n">
        <f aca="false">IF($B8="","",MAX(0,AK8-(SUMIFS('سجل الإجازات والحالات'!$AN$6:$AN$505,'سجل الإجازات والحالات'!$B$6:$B$505,$B8)-SUMIFS('سجل الإجازات والحالات'!$AM$6:$AM$505,'سجل الإجازات والحالات'!$B$6:$B$505,$B8))))</f>
        <v>31</v>
      </c>
      <c r="AK8" s="65" t="n">
        <f aca="false">IF($B8="","",MAX(0,IF(OR(الموظفون!$AE8="",الموظفون!$AE8&gt;$F$3),$F$3,الموظفون!$AE8)-MAX($E$3,الموظفون!$H8)+1))</f>
        <v>31</v>
      </c>
      <c r="AL8" s="151" t="n">
        <f aca="false">IF($B8="","",SUMIFS('سجل الإجازات والحالات'!$AZ$6:$AZ$505,'سجل الإجازات والحالات'!$B$6:$B$505,$B8)+SUMIFS('الحركات الشهرية'!$K$6:$K$1005,'الحركات الشهرية'!$B$6:$B$1005,$B8,'الحركات الشهرية'!$A$6:$A$1005,$C$3))</f>
        <v>0</v>
      </c>
      <c r="AM8" s="111" t="n">
        <f aca="false">IF($B8="","",AL8*الموظفون!$R8/cfg_DAYS_M+S8)</f>
        <v>0</v>
      </c>
      <c r="AN8" s="151" t="n">
        <f aca="false">IF($B8="","",SUMIFS('سجل الإجازات والحالات'!$AB$6:$AB$505,'سجل الإجازات والحالات'!$B$6:$B$505,$B8))</f>
        <v>0</v>
      </c>
    </row>
    <row r="9" customFormat="false" ht="15" hidden="false" customHeight="false" outlineLevel="0" collapsed="false">
      <c r="A9" s="115" t="n">
        <f aca="false">IF($B9="","",الموظفون!$A9)</f>
        <v>4</v>
      </c>
      <c r="B9" s="117" t="str">
        <f aca="false">IF(الموظفون!$B9="","",الموظفون!$B9)</f>
        <v>E004</v>
      </c>
      <c r="C9" s="117" t="str">
        <f aca="false">IF($B9="","",الموظفون!$C9)</f>
        <v>نورة خالد الدوسري</v>
      </c>
      <c r="D9" s="117" t="str">
        <f aca="false">IF($B9="","",الموظفون!$F9)</f>
        <v>الموارد البشرية</v>
      </c>
      <c r="E9" s="117" t="str">
        <f aca="false">IF($B9="","",الموظفون!$E9)</f>
        <v>سعودي</v>
      </c>
      <c r="F9" s="117" t="str">
        <f aca="false">IF($B9="","",IF(AK9=0,IF(AND(الموظفون!$AE9&lt;&gt;"",الموظفون!$AE9&lt;$E$3),"✖ منتهي الخدمة","⏳ لم يباشر"),IF(S9&gt;0,"✈ راتب إجازة مقدم",IF(J9=0,"⛔ بدون راتب هذا الشهر",IF(I9&gt;0,"✈ خصم "&amp;ROUND(I9,2)&amp;" يوم بدون أجر",IF(AL9&gt;0,"🌴 إجازة سنوية "&amp;ROUND(AL9,2)&amp;" يوم",IF(H9&gt;0,"⚠ غياب "&amp;ROUND(H9,2)&amp;" يوم","✔ على رأس العمل")))))))</f>
        <v>🌴 إجازة سنوية 15 يوم</v>
      </c>
      <c r="G9" s="156" t="n">
        <f aca="false">IF($B9="","",IF(AK9&gt;=DAY($F$3),cfg_DAYS_M,MIN(AK9,cfg_DAYS_M)))</f>
        <v>30</v>
      </c>
      <c r="H9" s="156" t="n">
        <f aca="false">IF($B9="","",SUMIFS('الحركات الشهرية'!$D$6:$D$1005,'الحركات الشهرية'!$B$6:$B$1005,$B9,'الحركات الشهرية'!$A$6:$A$1005,$C$3))</f>
        <v>0</v>
      </c>
      <c r="I9" s="156" t="n">
        <f aca="false">IF($B9="","",MIN(G9,IF(AND(AK9&gt;0,AN9&gt;=AK9),G9,AN9)+SUMIFS('الحركات الشهرية'!$E$6:$E$1005,'الحركات الشهرية'!$B$6:$B$1005,$B9,'الحركات الشهرية'!$A$6:$A$1005,$C$3)))</f>
        <v>0</v>
      </c>
      <c r="J9" s="156" t="n">
        <f aca="false">IF($B9="","",MAX(0,G9-H9-I9))</f>
        <v>30</v>
      </c>
      <c r="K9" s="116" t="n">
        <f aca="false">IF($B9="","",الموظفون!$L9*$J9/cfg_DAYS_M)</f>
        <v>14000</v>
      </c>
      <c r="L9" s="116" t="n">
        <f aca="false">IF($B9="","",الموظفون!$M9*$J9/cfg_DAYS_M)</f>
        <v>3500</v>
      </c>
      <c r="M9" s="116" t="n">
        <f aca="false">IF($B9="","",الموظفون!$N9*$J9/cfg_DAYS_M)</f>
        <v>1400</v>
      </c>
      <c r="N9" s="116" t="n">
        <f aca="false">IF($B9="","",الموظفون!$O9*$J9/cfg_DAYS_M)</f>
        <v>0</v>
      </c>
      <c r="O9" s="156" t="n">
        <f aca="false">IF($B9="","",SUMIFS('الحركات الشهرية'!$F$6:$F$1005,'الحركات الشهرية'!$B$6:$B$1005,$B9,'الحركات الشهرية'!$A$6:$A$1005,$C$3))</f>
        <v>0</v>
      </c>
      <c r="P9" s="116" t="n">
        <f aca="false">IF($B9="","",O9*(الموظفون!$P9+الموظفون!$L9*cfg_OT_P)/cfg_DAYS_M/cfg_HRS)</f>
        <v>0</v>
      </c>
      <c r="Q9" s="116" t="n">
        <f aca="false">IF($B9="","",SUMIFS('الحركات الشهرية'!$G$6:$G$1005,'الحركات الشهرية'!$B$6:$B$1005,$B9,'الحركات الشهرية'!$A$6:$A$1005,$C$3))</f>
        <v>0</v>
      </c>
      <c r="R9" s="116" t="n">
        <f aca="false">IF($B9="","",SUMIFS('الحركات الشهرية'!$H$6:$H$1005,'الحركات الشهرية'!$B$6:$B$1005,$B9,'الحركات الشهرية'!$A$6:$A$1005,$C$3))</f>
        <v>0</v>
      </c>
      <c r="S9" s="116" t="n">
        <f aca="false">IF($B9="","",SUMIFS('سجل الإجازات والحالات'!$N$6:$N$505,'سجل الإجازات والحالات'!$B$6:$B$505,$B9,'سجل الإجازات والحالات'!$O$6:$O$505,$C$3))</f>
        <v>0</v>
      </c>
      <c r="T9" s="157" t="n">
        <f aca="false">IF($B9="","",SUM(K9:N9)+SUM(P9:S9))</f>
        <v>18900</v>
      </c>
      <c r="U9" s="116" t="n">
        <f aca="false">IF($B9="","",الموظفون!$S9*IF(E9="سعودي",cfg_G_SE,cfg_G_NE)*G9/cfg_DAYS_M)</f>
        <v>1706.25</v>
      </c>
      <c r="V9" s="116" t="n">
        <f aca="false">IF($B9="","",SUMIFS('الحركات الشهرية'!$I$6:$I$1005,'الحركات الشهرية'!$B$6:$B$1005,$B9,'الحركات الشهرية'!$A$6:$A$1005,$C$3))</f>
        <v>0</v>
      </c>
      <c r="W9" s="116" t="n">
        <f aca="false">IF($B9="","",SUMIFS('الحركات الشهرية'!$J$6:$J$1005,'الحركات الشهرية'!$B$6:$B$1005,$B9,'الحركات الشهرية'!$A$6:$A$1005,$C$3))</f>
        <v>0</v>
      </c>
      <c r="X9" s="116" t="n">
        <f aca="false">IF($B9="","",SUM(U9:W9))</f>
        <v>1706.25</v>
      </c>
      <c r="Y9" s="158" t="n">
        <f aca="false">IF($B9="","",T9-X9)</f>
        <v>17193.75</v>
      </c>
      <c r="Z9" s="116" t="n">
        <f aca="false">IF($B9="","",الموظفون!$S9*IF(E9="سعودي",cfg_G_SR,cfg_G_NR)*G9/cfg_DAYS_M)</f>
        <v>2056.25</v>
      </c>
      <c r="AA9" s="116" t="n">
        <f aca="false">IF($B9="","",الموظفون!$Q9*(cfg_EOS_R1*(MIN(AH9,cfg_EOS_TH)-MIN(AI9,cfg_EOS_TH))+cfg_EOS_R2*(MAX(AH9-cfg_EOS_TH,0)-MAX(AI9-cfg_EOS_TH,0))))</f>
        <v>1605.20547945205</v>
      </c>
      <c r="AB9" s="116" t="n">
        <f aca="false">IF($B9="","",IF(الموظفون!$T9&lt;&gt;"",الموظفون!$T9,IF(AH9&gt;=cfg_LV_TH,cfg_LV_D2,cfg_LV_D1))/cfg_DAYS_Y*AJ9*الموظفون!$R9/cfg_DAYS_M)</f>
        <v>1605.20547945205</v>
      </c>
      <c r="AC9" s="116" t="n">
        <f aca="false">IF($B9="","",IF(AND(الموظفون!$U9="نعم",N(الموظفون!$W9)&gt;0),الموظفون!$V9/الموظفون!$W9*12/cfg_DAYS_Y*AJ9,0))</f>
        <v>0</v>
      </c>
      <c r="AD9" s="116" t="n">
        <f aca="false">IF($B9="","",(IF(الموظفون!$X9&lt;&gt;"",الموظفون!$X9,IF(الموظفون!$E9="غير سعودي",cfg_IQ,0))+IF(الموظفون!$Y9&lt;&gt;"",الموظفون!$Y9,IF(الموظفون!$E9="غير سعودي",cfg_WP,0)))/12*G9/cfg_DAYS_M)</f>
        <v>0</v>
      </c>
      <c r="AE9" s="116" t="n">
        <f aca="false">IF($B9="","",IF(الموظفون!$Z9&lt;&gt;"",الموظفون!$Z9,cfg_MED)/12*G9/cfg_DAYS_M)</f>
        <v>300</v>
      </c>
      <c r="AF9" s="116" t="n">
        <f aca="false">IF($B9="","",N(الموظفون!$AA9)/12*G9/cfg_DAYS_M)</f>
        <v>0</v>
      </c>
      <c r="AG9" s="159" t="n">
        <f aca="false">IF($B9="","",T9+SUM(Z9:AF9))</f>
        <v>24466.6609589041</v>
      </c>
      <c r="AH9" s="160" t="n">
        <f aca="false">IF($B9="","",MAX(0,IF(OR(الموظفون!$AE9="",الموظفون!$AE9&gt;$F$3),$F$3,الموظفون!$AE9)-الموظفون!$H9+1-SUMIFS('سجل الإجازات والحالات'!$AN$6:$AN$505,'سجل الإجازات والحالات'!$B$6:$B$505,$B9))/cfg_DAYS_Y)</f>
        <v>7.5013698630137</v>
      </c>
      <c r="AI9" s="160" t="n">
        <f aca="false">IF($B9="","",MAX(0,IF(OR(الموظفون!$AE9="",الموظفون!$AE9&gt;($E$3-1)),($E$3-1),الموظفون!$AE9)-الموظفون!$H9+1-SUMIFS('سجل الإجازات والحالات'!$AM$6:$AM$505,'سجل الإجازات والحالات'!$B$6:$B$505,$B9))/cfg_DAYS_Y)</f>
        <v>7.41643835616438</v>
      </c>
      <c r="AJ9" s="133" t="n">
        <f aca="false">IF($B9="","",MAX(0,AK9-(SUMIFS('سجل الإجازات والحالات'!$AN$6:$AN$505,'سجل الإجازات والحالات'!$B$6:$B$505,$B9)-SUMIFS('سجل الإجازات والحالات'!$AM$6:$AM$505,'سجل الإجازات والحالات'!$B$6:$B$505,$B9))))</f>
        <v>31</v>
      </c>
      <c r="AK9" s="133" t="n">
        <f aca="false">IF($B9="","",MAX(0,IF(OR(الموظفون!$AE9="",الموظفون!$AE9&gt;$F$3),$F$3,الموظفون!$AE9)-MAX($E$3,الموظفون!$H9)+1))</f>
        <v>31</v>
      </c>
      <c r="AL9" s="156" t="n">
        <f aca="false">IF($B9="","",SUMIFS('سجل الإجازات والحالات'!$AZ$6:$AZ$505,'سجل الإجازات والحالات'!$B$6:$B$505,$B9)+SUMIFS('الحركات الشهرية'!$K$6:$K$1005,'الحركات الشهرية'!$B$6:$B$1005,$B9,'الحركات الشهرية'!$A$6:$A$1005,$C$3))</f>
        <v>15</v>
      </c>
      <c r="AM9" s="116" t="n">
        <f aca="false">IF($B9="","",AL9*الموظفون!$R9/cfg_DAYS_M+S9)</f>
        <v>9450</v>
      </c>
      <c r="AN9" s="156" t="n">
        <f aca="false">IF($B9="","",SUMIFS('سجل الإجازات والحالات'!$AB$6:$AB$505,'سجل الإجازات والحالات'!$B$6:$B$505,$B9))</f>
        <v>0</v>
      </c>
    </row>
    <row r="10" customFormat="false" ht="15" hidden="false" customHeight="false" outlineLevel="0" collapsed="false">
      <c r="A10" s="106" t="n">
        <f aca="false">IF($B10="","",الموظفون!$A10)</f>
        <v>5</v>
      </c>
      <c r="B10" s="114" t="str">
        <f aca="false">IF(الموظفون!$B10="","",الموظفون!$B10)</f>
        <v>E005</v>
      </c>
      <c r="C10" s="114" t="str">
        <f aca="false">IF($B10="","",الموظفون!$C10)</f>
        <v>راجيش كومار</v>
      </c>
      <c r="D10" s="114" t="str">
        <f aca="false">IF($B10="","",الموظفون!$F10)</f>
        <v>تقنية المعلومات</v>
      </c>
      <c r="E10" s="114" t="str">
        <f aca="false">IF($B10="","",الموظفون!$E10)</f>
        <v>غير سعودي</v>
      </c>
      <c r="F10" s="114" t="str">
        <f aca="false">IF($B10="","",IF(AK10=0,IF(AND(الموظفون!$AE10&lt;&gt;"",الموظفون!$AE10&lt;$E$3),"✖ منتهي الخدمة","⏳ لم يباشر"),IF(S10&gt;0,"✈ راتب إجازة مقدم",IF(J10=0,"⛔ بدون راتب هذا الشهر",IF(I10&gt;0,"✈ خصم "&amp;ROUND(I10,2)&amp;" يوم بدون أجر",IF(AL10&gt;0,"🌴 إجازة سنوية "&amp;ROUND(AL10,2)&amp;" يوم",IF(H10&gt;0,"⚠ غياب "&amp;ROUND(H10,2)&amp;" يوم","✔ على رأس العمل")))))))</f>
        <v>✔ على رأس العمل</v>
      </c>
      <c r="G10" s="151" t="n">
        <f aca="false">IF($B10="","",IF(AK10&gt;=DAY($F$3),cfg_DAYS_M,MIN(AK10,cfg_DAYS_M)))</f>
        <v>30</v>
      </c>
      <c r="H10" s="151" t="n">
        <f aca="false">IF($B10="","",SUMIFS('الحركات الشهرية'!$D$6:$D$1005,'الحركات الشهرية'!$B$6:$B$1005,$B10,'الحركات الشهرية'!$A$6:$A$1005,$C$3))</f>
        <v>0</v>
      </c>
      <c r="I10" s="151" t="n">
        <f aca="false">IF($B10="","",MIN(G10,IF(AND(AK10&gt;0,AN10&gt;=AK10),G10,AN10)+SUMIFS('الحركات الشهرية'!$E$6:$E$1005,'الحركات الشهرية'!$B$6:$B$1005,$B10,'الحركات الشهرية'!$A$6:$A$1005,$C$3)))</f>
        <v>0</v>
      </c>
      <c r="J10" s="151" t="n">
        <f aca="false">IF($B10="","",MAX(0,G10-H10-I10))</f>
        <v>30</v>
      </c>
      <c r="K10" s="111" t="n">
        <f aca="false">IF($B10="","",الموظفون!$L10*$J10/cfg_DAYS_M)</f>
        <v>9000</v>
      </c>
      <c r="L10" s="111" t="n">
        <f aca="false">IF($B10="","",الموظفون!$M10*$J10/cfg_DAYS_M)</f>
        <v>2250</v>
      </c>
      <c r="M10" s="111" t="n">
        <f aca="false">IF($B10="","",الموظفون!$N10*$J10/cfg_DAYS_M)</f>
        <v>900</v>
      </c>
      <c r="N10" s="111" t="n">
        <f aca="false">IF($B10="","",الموظفون!$O10*$J10/cfg_DAYS_M)</f>
        <v>700</v>
      </c>
      <c r="O10" s="151" t="n">
        <f aca="false">IF($B10="","",SUMIFS('الحركات الشهرية'!$F$6:$F$1005,'الحركات الشهرية'!$B$6:$B$1005,$B10,'الحركات الشهرية'!$A$6:$A$1005,$C$3))</f>
        <v>0</v>
      </c>
      <c r="P10" s="111" t="n">
        <f aca="false">IF($B10="","",O10*(الموظفون!$P10+الموظفون!$L10*cfg_OT_P)/cfg_DAYS_M/cfg_HRS)</f>
        <v>0</v>
      </c>
      <c r="Q10" s="111" t="n">
        <f aca="false">IF($B10="","",SUMIFS('الحركات الشهرية'!$G$6:$G$1005,'الحركات الشهرية'!$B$6:$B$1005,$B10,'الحركات الشهرية'!$A$6:$A$1005,$C$3))</f>
        <v>0</v>
      </c>
      <c r="R10" s="111" t="n">
        <f aca="false">IF($B10="","",SUMIFS('الحركات الشهرية'!$H$6:$H$1005,'الحركات الشهرية'!$B$6:$B$1005,$B10,'الحركات الشهرية'!$A$6:$A$1005,$C$3))</f>
        <v>0</v>
      </c>
      <c r="S10" s="111" t="n">
        <f aca="false">IF($B10="","",SUMIFS('سجل الإجازات والحالات'!$N$6:$N$505,'سجل الإجازات والحالات'!$B$6:$B$505,$B10,'سجل الإجازات والحالات'!$O$6:$O$505,$C$3))</f>
        <v>0</v>
      </c>
      <c r="T10" s="152" t="n">
        <f aca="false">IF($B10="","",SUM(K10:N10)+SUM(P10:S10))</f>
        <v>12850</v>
      </c>
      <c r="U10" s="111" t="n">
        <f aca="false">IF($B10="","",الموظفون!$S10*IF(E10="سعودي",cfg_G_SE,cfg_G_NE)*G10/cfg_DAYS_M)</f>
        <v>0</v>
      </c>
      <c r="V10" s="111" t="n">
        <f aca="false">IF($B10="","",SUMIFS('الحركات الشهرية'!$I$6:$I$1005,'الحركات الشهرية'!$B$6:$B$1005,$B10,'الحركات الشهرية'!$A$6:$A$1005,$C$3))</f>
        <v>0</v>
      </c>
      <c r="W10" s="111" t="n">
        <f aca="false">IF($B10="","",SUMIFS('الحركات الشهرية'!$J$6:$J$1005,'الحركات الشهرية'!$B$6:$B$1005,$B10,'الحركات الشهرية'!$A$6:$A$1005,$C$3))</f>
        <v>0</v>
      </c>
      <c r="X10" s="111" t="n">
        <f aca="false">IF($B10="","",SUM(U10:W10))</f>
        <v>0</v>
      </c>
      <c r="Y10" s="153" t="n">
        <f aca="false">IF($B10="","",T10-X10)</f>
        <v>12850</v>
      </c>
      <c r="Z10" s="111" t="n">
        <f aca="false">IF($B10="","",الموظفون!$S10*IF(E10="سعودي",cfg_G_SR,cfg_G_NR)*G10/cfg_DAYS_M)</f>
        <v>225</v>
      </c>
      <c r="AA10" s="111" t="n">
        <f aca="false">IF($B10="","",الموظفون!$Q10*(cfg_EOS_R1*(MIN(AH10,cfg_EOS_TH)-MIN(AI10,cfg_EOS_TH))+cfg_EOS_R2*(MAX(AH10-cfg_EOS_TH,0)-MAX(AI10-cfg_EOS_TH,0))))</f>
        <v>1031.91780821917</v>
      </c>
      <c r="AB10" s="111" t="n">
        <f aca="false">IF($B10="","",IF(الموظفون!$T10&lt;&gt;"",الموظفون!$T10,IF(AH10&gt;=cfg_LV_TH,cfg_LV_D2,cfg_LV_D1))/cfg_DAYS_Y*AJ10*الموظفون!$R10/cfg_DAYS_M)</f>
        <v>1031.91780821918</v>
      </c>
      <c r="AC10" s="111" t="n">
        <f aca="false">IF($B10="","",IF(AND(الموظفون!$U10="نعم",N(الموظفون!$W10)&gt;0),الموظفون!$V10/الموظفون!$W10*12/cfg_DAYS_Y*AJ10,0))</f>
        <v>237.808219178082</v>
      </c>
      <c r="AD10" s="111" t="n">
        <f aca="false">IF($B10="","",(IF(الموظفون!$X10&lt;&gt;"",الموظفون!$X10,IF(الموظفون!$E10="غير سعودي",cfg_IQ,0))+IF(الموظفون!$Y10&lt;&gt;"",الموظفون!$Y10,IF(الموظفون!$E10="غير سعودي",cfg_WP,0)))/12*G10/cfg_DAYS_M)</f>
        <v>854.166666666667</v>
      </c>
      <c r="AE10" s="111" t="n">
        <f aca="false">IF($B10="","",IF(الموظفون!$Z10&lt;&gt;"",الموظفون!$Z10,cfg_MED)/12*G10/cfg_DAYS_M)</f>
        <v>200</v>
      </c>
      <c r="AF10" s="111" t="n">
        <f aca="false">IF($B10="","",N(الموظفون!$AA10)/12*G10/cfg_DAYS_M)</f>
        <v>0</v>
      </c>
      <c r="AG10" s="154" t="n">
        <f aca="false">IF($B10="","",T10+SUM(Z10:AF10))</f>
        <v>16430.8105022831</v>
      </c>
      <c r="AH10" s="155" t="n">
        <f aca="false">IF($B10="","",MAX(0,IF(OR(الموظفون!$AE10="",الموظفون!$AE10&gt;$F$3),$F$3,الموظفون!$AE10)-الموظفون!$H10+1-SUMIFS('سجل الإجازات والحالات'!$AN$6:$AN$505,'سجل الإجازات والحالات'!$B$6:$B$505,$B10))/cfg_DAYS_Y)</f>
        <v>6.30684931506849</v>
      </c>
      <c r="AI10" s="155" t="n">
        <f aca="false">IF($B10="","",MAX(0,IF(OR(الموظفون!$AE10="",الموظفون!$AE10&gt;($E$3-1)),($E$3-1),الموظفون!$AE10)-الموظفون!$H10+1-SUMIFS('سجل الإجازات والحالات'!$AM$6:$AM$505,'سجل الإجازات والحالات'!$B$6:$B$505,$B10))/cfg_DAYS_Y)</f>
        <v>6.22191780821918</v>
      </c>
      <c r="AJ10" s="65" t="n">
        <f aca="false">IF($B10="","",MAX(0,AK10-(SUMIFS('سجل الإجازات والحالات'!$AN$6:$AN$505,'سجل الإجازات والحالات'!$B$6:$B$505,$B10)-SUMIFS('سجل الإجازات والحالات'!$AM$6:$AM$505,'سجل الإجازات والحالات'!$B$6:$B$505,$B10))))</f>
        <v>31</v>
      </c>
      <c r="AK10" s="65" t="n">
        <f aca="false">IF($B10="","",MAX(0,IF(OR(الموظفون!$AE10="",الموظفون!$AE10&gt;$F$3),$F$3,الموظفون!$AE10)-MAX($E$3,الموظفون!$H10)+1))</f>
        <v>31</v>
      </c>
      <c r="AL10" s="151" t="n">
        <f aca="false">IF($B10="","",SUMIFS('سجل الإجازات والحالات'!$AZ$6:$AZ$505,'سجل الإجازات والحالات'!$B$6:$B$505,$B10)+SUMIFS('الحركات الشهرية'!$K$6:$K$1005,'الحركات الشهرية'!$B$6:$B$1005,$B10,'الحركات الشهرية'!$A$6:$A$1005,$C$3))</f>
        <v>0</v>
      </c>
      <c r="AM10" s="111" t="n">
        <f aca="false">IF($B10="","",AL10*الموظفون!$R10/cfg_DAYS_M+S10)</f>
        <v>0</v>
      </c>
      <c r="AN10" s="151" t="n">
        <f aca="false">IF($B10="","",SUMIFS('سجل الإجازات والحالات'!$AB$6:$AB$505,'سجل الإجازات والحالات'!$B$6:$B$505,$B10))</f>
        <v>0</v>
      </c>
    </row>
    <row r="11" customFormat="false" ht="15" hidden="false" customHeight="false" outlineLevel="0" collapsed="false">
      <c r="A11" s="115" t="n">
        <f aca="false">IF($B11="","",الموظفون!$A11)</f>
        <v>6</v>
      </c>
      <c r="B11" s="117" t="str">
        <f aca="false">IF(الموظفون!$B11="","",الموظفون!$B11)</f>
        <v>E006</v>
      </c>
      <c r="C11" s="117" t="str">
        <f aca="false">IF($B11="","",الموظفون!$C11)</f>
        <v>فهد ناصر الشمري</v>
      </c>
      <c r="D11" s="117" t="str">
        <f aca="false">IF($B11="","",الموظفون!$F11)</f>
        <v>المبيعات</v>
      </c>
      <c r="E11" s="117" t="str">
        <f aca="false">IF($B11="","",الموظفون!$E11)</f>
        <v>سعودي</v>
      </c>
      <c r="F11" s="117" t="str">
        <f aca="false">IF($B11="","",IF(AK11=0,IF(AND(الموظفون!$AE11&lt;&gt;"",الموظفون!$AE11&lt;$E$3),"✖ منتهي الخدمة","⏳ لم يباشر"),IF(S11&gt;0,"✈ راتب إجازة مقدم",IF(J11=0,"⛔ بدون راتب هذا الشهر",IF(I11&gt;0,"✈ خصم "&amp;ROUND(I11,2)&amp;" يوم بدون أجر",IF(AL11&gt;0,"🌴 إجازة سنوية "&amp;ROUND(AL11,2)&amp;" يوم",IF(H11&gt;0,"⚠ غياب "&amp;ROUND(H11,2)&amp;" يوم","✔ على رأس العمل")))))))</f>
        <v>✔ على رأس العمل</v>
      </c>
      <c r="G11" s="156" t="n">
        <f aca="false">IF($B11="","",IF(AK11&gt;=DAY($F$3),cfg_DAYS_M,MIN(AK11,cfg_DAYS_M)))</f>
        <v>30</v>
      </c>
      <c r="H11" s="156" t="n">
        <f aca="false">IF($B11="","",SUMIFS('الحركات الشهرية'!$D$6:$D$1005,'الحركات الشهرية'!$B$6:$B$1005,$B11,'الحركات الشهرية'!$A$6:$A$1005,$C$3))</f>
        <v>0</v>
      </c>
      <c r="I11" s="156" t="n">
        <f aca="false">IF($B11="","",MIN(G11,IF(AND(AK11&gt;0,AN11&gt;=AK11),G11,AN11)+SUMIFS('الحركات الشهرية'!$E$6:$E$1005,'الحركات الشهرية'!$B$6:$B$1005,$B11,'الحركات الشهرية'!$A$6:$A$1005,$C$3)))</f>
        <v>0</v>
      </c>
      <c r="J11" s="156" t="n">
        <f aca="false">IF($B11="","",MAX(0,G11-H11-I11))</f>
        <v>30</v>
      </c>
      <c r="K11" s="116" t="n">
        <f aca="false">IF($B11="","",الموظفون!$L11*$J11/cfg_DAYS_M)</f>
        <v>13000</v>
      </c>
      <c r="L11" s="116" t="n">
        <f aca="false">IF($B11="","",الموظفون!$M11*$J11/cfg_DAYS_M)</f>
        <v>3250</v>
      </c>
      <c r="M11" s="116" t="n">
        <f aca="false">IF($B11="","",الموظفون!$N11*$J11/cfg_DAYS_M)</f>
        <v>1300</v>
      </c>
      <c r="N11" s="116" t="n">
        <f aca="false">IF($B11="","",الموظفون!$O11*$J11/cfg_DAYS_M)</f>
        <v>2500</v>
      </c>
      <c r="O11" s="156" t="n">
        <f aca="false">IF($B11="","",SUMIFS('الحركات الشهرية'!$F$6:$F$1005,'الحركات الشهرية'!$B$6:$B$1005,$B11,'الحركات الشهرية'!$A$6:$A$1005,$C$3))</f>
        <v>0</v>
      </c>
      <c r="P11" s="116" t="n">
        <f aca="false">IF($B11="","",O11*(الموظفون!$P11+الموظفون!$L11*cfg_OT_P)/cfg_DAYS_M/cfg_HRS)</f>
        <v>0</v>
      </c>
      <c r="Q11" s="116" t="n">
        <f aca="false">IF($B11="","",SUMIFS('الحركات الشهرية'!$G$6:$G$1005,'الحركات الشهرية'!$B$6:$B$1005,$B11,'الحركات الشهرية'!$A$6:$A$1005,$C$3))</f>
        <v>0</v>
      </c>
      <c r="R11" s="116" t="n">
        <f aca="false">IF($B11="","",SUMIFS('الحركات الشهرية'!$H$6:$H$1005,'الحركات الشهرية'!$B$6:$B$1005,$B11,'الحركات الشهرية'!$A$6:$A$1005,$C$3))</f>
        <v>0</v>
      </c>
      <c r="S11" s="116" t="n">
        <f aca="false">IF($B11="","",SUMIFS('سجل الإجازات والحالات'!$N$6:$N$505,'سجل الإجازات والحالات'!$B$6:$B$505,$B11,'سجل الإجازات والحالات'!$O$6:$O$505,$C$3))</f>
        <v>0</v>
      </c>
      <c r="T11" s="157" t="n">
        <f aca="false">IF($B11="","",SUM(K11:N11)+SUM(P11:S11))</f>
        <v>20050</v>
      </c>
      <c r="U11" s="116" t="n">
        <f aca="false">IF($B11="","",الموظفون!$S11*IF(E11="سعودي",cfg_G_SE,cfg_G_NE)*G11/cfg_DAYS_M)</f>
        <v>1584.375</v>
      </c>
      <c r="V11" s="116" t="n">
        <f aca="false">IF($B11="","",SUMIFS('الحركات الشهرية'!$I$6:$I$1005,'الحركات الشهرية'!$B$6:$B$1005,$B11,'الحركات الشهرية'!$A$6:$A$1005,$C$3))</f>
        <v>0</v>
      </c>
      <c r="W11" s="116" t="n">
        <f aca="false">IF($B11="","",SUMIFS('الحركات الشهرية'!$J$6:$J$1005,'الحركات الشهرية'!$B$6:$B$1005,$B11,'الحركات الشهرية'!$A$6:$A$1005,$C$3))</f>
        <v>0</v>
      </c>
      <c r="X11" s="116" t="n">
        <f aca="false">IF($B11="","",SUM(U11:W11))</f>
        <v>1584.375</v>
      </c>
      <c r="Y11" s="158" t="n">
        <f aca="false">IF($B11="","",T11-X11)</f>
        <v>18465.625</v>
      </c>
      <c r="Z11" s="116" t="n">
        <f aca="false">IF($B11="","",الموظفون!$S11*IF(E11="سعودي",cfg_G_SR,cfg_G_NR)*G11/cfg_DAYS_M)</f>
        <v>1909.375</v>
      </c>
      <c r="AA11" s="116" t="n">
        <f aca="false">IF($B11="","",الموظفون!$Q11*(cfg_EOS_R1*(MIN(AH11,cfg_EOS_TH)-MIN(AI11,cfg_EOS_TH))+cfg_EOS_R2*(MAX(AH11-cfg_EOS_TH,0)-MAX(AI11-cfg_EOS_TH,0))))</f>
        <v>1490.54794520546</v>
      </c>
      <c r="AB11" s="116" t="n">
        <f aca="false">IF($B11="","",IF(الموظفون!$T11&lt;&gt;"",الموظفون!$T11,IF(AH11&gt;=cfg_LV_TH,cfg_LV_D2,cfg_LV_D1))/cfg_DAYS_Y*AJ11*الموظفون!$R11/cfg_DAYS_M)</f>
        <v>1490.54794520548</v>
      </c>
      <c r="AC11" s="116" t="n">
        <f aca="false">IF($B11="","",IF(AND(الموظفون!$U11="نعم",N(الموظفون!$W11)&gt;0),الموظفون!$V11/الموظفون!$W11*12/cfg_DAYS_Y*AJ11,0))</f>
        <v>0</v>
      </c>
      <c r="AD11" s="116" t="n">
        <f aca="false">IF($B11="","",(IF(الموظفون!$X11&lt;&gt;"",الموظفون!$X11,IF(الموظفون!$E11="غير سعودي",cfg_IQ,0))+IF(الموظفون!$Y11&lt;&gt;"",الموظفون!$Y11,IF(الموظفون!$E11="غير سعودي",cfg_WP,0)))/12*G11/cfg_DAYS_M)</f>
        <v>0</v>
      </c>
      <c r="AE11" s="116" t="n">
        <f aca="false">IF($B11="","",IF(الموظفون!$Z11&lt;&gt;"",الموظفون!$Z11,cfg_MED)/12*G11/cfg_DAYS_M)</f>
        <v>300</v>
      </c>
      <c r="AF11" s="116" t="n">
        <f aca="false">IF($B11="","",N(الموظفون!$AA11)/12*G11/cfg_DAYS_M)</f>
        <v>0</v>
      </c>
      <c r="AG11" s="159" t="n">
        <f aca="false">IF($B11="","",T11+SUM(Z11:AF11))</f>
        <v>25240.4708904109</v>
      </c>
      <c r="AH11" s="160" t="n">
        <f aca="false">IF($B11="","",MAX(0,IF(OR(الموظفون!$AE11="",الموظفون!$AE11&gt;$F$3),$F$3,الموظفون!$AE11)-الموظفون!$H11+1-SUMIFS('سجل الإجازات والحالات'!$AN$6:$AN$505,'سجل الإجازات والحالات'!$B$6:$B$505,$B11))/cfg_DAYS_Y)</f>
        <v>8.74246575342466</v>
      </c>
      <c r="AI11" s="160" t="n">
        <f aca="false">IF($B11="","",MAX(0,IF(OR(الموظفون!$AE11="",الموظفون!$AE11&gt;($E$3-1)),($E$3-1),الموظفون!$AE11)-الموظفون!$H11+1-SUMIFS('سجل الإجازات والحالات'!$AM$6:$AM$505,'سجل الإجازات والحالات'!$B$6:$B$505,$B11))/cfg_DAYS_Y)</f>
        <v>8.65753424657534</v>
      </c>
      <c r="AJ11" s="133" t="n">
        <f aca="false">IF($B11="","",MAX(0,AK11-(SUMIFS('سجل الإجازات والحالات'!$AN$6:$AN$505,'سجل الإجازات والحالات'!$B$6:$B$505,$B11)-SUMIFS('سجل الإجازات والحالات'!$AM$6:$AM$505,'سجل الإجازات والحالات'!$B$6:$B$505,$B11))))</f>
        <v>31</v>
      </c>
      <c r="AK11" s="133" t="n">
        <f aca="false">IF($B11="","",MAX(0,IF(OR(الموظفون!$AE11="",الموظفون!$AE11&gt;$F$3),$F$3,الموظفون!$AE11)-MAX($E$3,الموظفون!$H11)+1))</f>
        <v>31</v>
      </c>
      <c r="AL11" s="156" t="n">
        <f aca="false">IF($B11="","",SUMIFS('سجل الإجازات والحالات'!$AZ$6:$AZ$505,'سجل الإجازات والحالات'!$B$6:$B$505,$B11)+SUMIFS('الحركات الشهرية'!$K$6:$K$1005,'الحركات الشهرية'!$B$6:$B$1005,$B11,'الحركات الشهرية'!$A$6:$A$1005,$C$3))</f>
        <v>0</v>
      </c>
      <c r="AM11" s="116" t="n">
        <f aca="false">IF($B11="","",AL11*الموظفون!$R11/cfg_DAYS_M+S11)</f>
        <v>0</v>
      </c>
      <c r="AN11" s="156" t="n">
        <f aca="false">IF($B11="","",SUMIFS('سجل الإجازات والحالات'!$AB$6:$AB$505,'سجل الإجازات والحالات'!$B$6:$B$505,$B11))</f>
        <v>0</v>
      </c>
    </row>
    <row r="12" customFormat="false" ht="15" hidden="false" customHeight="false" outlineLevel="0" collapsed="false">
      <c r="A12" s="106" t="n">
        <f aca="false">IF($B12="","",الموظفون!$A12)</f>
        <v>7</v>
      </c>
      <c r="B12" s="114" t="str">
        <f aca="false">IF(الموظفون!$B12="","",الموظفون!$B12)</f>
        <v>E007</v>
      </c>
      <c r="C12" s="114" t="str">
        <f aca="false">IF($B12="","",الموظفون!$C12)</f>
        <v>خالد يوسف الأحمد</v>
      </c>
      <c r="D12" s="114" t="str">
        <f aca="false">IF($B12="","",الموظفون!$F12)</f>
        <v>المشاريع</v>
      </c>
      <c r="E12" s="114" t="str">
        <f aca="false">IF($B12="","",الموظفون!$E12)</f>
        <v>غير سعودي</v>
      </c>
      <c r="F12" s="114" t="str">
        <f aca="false">IF($B12="","",IF(AK12=0,IF(AND(الموظفون!$AE12&lt;&gt;"",الموظفون!$AE12&lt;$E$3),"✖ منتهي الخدمة","⏳ لم يباشر"),IF(S12&gt;0,"✈ راتب إجازة مقدم",IF(J12=0,"⛔ بدون راتب هذا الشهر",IF(I12&gt;0,"✈ خصم "&amp;ROUND(I12,2)&amp;" يوم بدون أجر",IF(AL12&gt;0,"🌴 إجازة سنوية "&amp;ROUND(AL12,2)&amp;" يوم",IF(H12&gt;0,"⚠ غياب "&amp;ROUND(H12,2)&amp;" يوم","✔ على رأس العمل")))))))</f>
        <v>✔ على رأس العمل</v>
      </c>
      <c r="G12" s="151" t="n">
        <f aca="false">IF($B12="","",IF(AK12&gt;=DAY($F$3),cfg_DAYS_M,MIN(AK12,cfg_DAYS_M)))</f>
        <v>30</v>
      </c>
      <c r="H12" s="151" t="n">
        <f aca="false">IF($B12="","",SUMIFS('الحركات الشهرية'!$D$6:$D$1005,'الحركات الشهرية'!$B$6:$B$1005,$B12,'الحركات الشهرية'!$A$6:$A$1005,$C$3))</f>
        <v>0</v>
      </c>
      <c r="I12" s="151" t="n">
        <f aca="false">IF($B12="","",MIN(G12,IF(AND(AK12&gt;0,AN12&gt;=AK12),G12,AN12)+SUMIFS('الحركات الشهرية'!$E$6:$E$1005,'الحركات الشهرية'!$B$6:$B$1005,$B12,'الحركات الشهرية'!$A$6:$A$1005,$C$3)))</f>
        <v>0</v>
      </c>
      <c r="J12" s="151" t="n">
        <f aca="false">IF($B12="","",MAX(0,G12-H12-I12))</f>
        <v>30</v>
      </c>
      <c r="K12" s="111" t="n">
        <f aca="false">IF($B12="","",الموظفون!$L12*$J12/cfg_DAYS_M)</f>
        <v>11000</v>
      </c>
      <c r="L12" s="111" t="n">
        <f aca="false">IF($B12="","",الموظفون!$M12*$J12/cfg_DAYS_M)</f>
        <v>2750</v>
      </c>
      <c r="M12" s="111" t="n">
        <f aca="false">IF($B12="","",الموظفون!$N12*$J12/cfg_DAYS_M)</f>
        <v>1100</v>
      </c>
      <c r="N12" s="111" t="n">
        <f aca="false">IF($B12="","",الموظفون!$O12*$J12/cfg_DAYS_M)</f>
        <v>800</v>
      </c>
      <c r="O12" s="151" t="n">
        <f aca="false">IF($B12="","",SUMIFS('الحركات الشهرية'!$F$6:$F$1005,'الحركات الشهرية'!$B$6:$B$1005,$B12,'الحركات الشهرية'!$A$6:$A$1005,$C$3))</f>
        <v>0</v>
      </c>
      <c r="P12" s="111" t="n">
        <f aca="false">IF($B12="","",O12*(الموظفون!$P12+الموظفون!$L12*cfg_OT_P)/cfg_DAYS_M/cfg_HRS)</f>
        <v>0</v>
      </c>
      <c r="Q12" s="111" t="n">
        <f aca="false">IF($B12="","",SUMIFS('الحركات الشهرية'!$G$6:$G$1005,'الحركات الشهرية'!$B$6:$B$1005,$B12,'الحركات الشهرية'!$A$6:$A$1005,$C$3))</f>
        <v>0</v>
      </c>
      <c r="R12" s="111" t="n">
        <f aca="false">IF($B12="","",SUMIFS('الحركات الشهرية'!$H$6:$H$1005,'الحركات الشهرية'!$B$6:$B$1005,$B12,'الحركات الشهرية'!$A$6:$A$1005,$C$3))</f>
        <v>0</v>
      </c>
      <c r="S12" s="111" t="n">
        <f aca="false">IF($B12="","",SUMIFS('سجل الإجازات والحالات'!$N$6:$N$505,'سجل الإجازات والحالات'!$B$6:$B$505,$B12,'سجل الإجازات والحالات'!$O$6:$O$505,$C$3))</f>
        <v>0</v>
      </c>
      <c r="T12" s="152" t="n">
        <f aca="false">IF($B12="","",SUM(K12:N12)+SUM(P12:S12))</f>
        <v>15650</v>
      </c>
      <c r="U12" s="111" t="n">
        <f aca="false">IF($B12="","",الموظفون!$S12*IF(E12="سعودي",cfg_G_SE,cfg_G_NE)*G12/cfg_DAYS_M)</f>
        <v>0</v>
      </c>
      <c r="V12" s="111" t="n">
        <f aca="false">IF($B12="","",SUMIFS('الحركات الشهرية'!$I$6:$I$1005,'الحركات الشهرية'!$B$6:$B$1005,$B12,'الحركات الشهرية'!$A$6:$A$1005,$C$3))</f>
        <v>0</v>
      </c>
      <c r="W12" s="111" t="n">
        <f aca="false">IF($B12="","",SUMIFS('الحركات الشهرية'!$J$6:$J$1005,'الحركات الشهرية'!$B$6:$B$1005,$B12,'الحركات الشهرية'!$A$6:$A$1005,$C$3))</f>
        <v>0</v>
      </c>
      <c r="X12" s="111" t="n">
        <f aca="false">IF($B12="","",SUM(U12:W12))</f>
        <v>0</v>
      </c>
      <c r="Y12" s="153" t="n">
        <f aca="false">IF($B12="","",T12-X12)</f>
        <v>15650</v>
      </c>
      <c r="Z12" s="111" t="n">
        <f aca="false">IF($B12="","",الموظفون!$S12*IF(E12="سعودي",cfg_G_SR,cfg_G_NR)*G12/cfg_DAYS_M)</f>
        <v>275</v>
      </c>
      <c r="AA12" s="111" t="n">
        <f aca="false">IF($B12="","",الموظفون!$Q12*(cfg_EOS_R1*(MIN(AH12,cfg_EOS_TH)-MIN(AI12,cfg_EOS_TH))+cfg_EOS_R2*(MAX(AH12-cfg_EOS_TH,0)-MAX(AI12-cfg_EOS_TH,0))))</f>
        <v>1261.23287671232</v>
      </c>
      <c r="AB12" s="111" t="n">
        <f aca="false">IF($B12="","",IF(الموظفون!$T12&lt;&gt;"",الموظفون!$T12,IF(AH12&gt;=cfg_LV_TH,cfg_LV_D2,cfg_LV_D1))/cfg_DAYS_Y*AJ12*الموظفون!$R12/cfg_DAYS_M)</f>
        <v>1261.23287671233</v>
      </c>
      <c r="AC12" s="111" t="n">
        <f aca="false">IF($B12="","",IF(AND(الموظفون!$U12="نعم",N(الموظفون!$W12)&gt;0),الموظفون!$V12/الموظفون!$W12*12/cfg_DAYS_Y*AJ12,0))</f>
        <v>382.191780821918</v>
      </c>
      <c r="AD12" s="111" t="n">
        <f aca="false">IF($B12="","",(IF(الموظفون!$X12&lt;&gt;"",الموظفون!$X12,IF(الموظفون!$E12="غير سعودي",cfg_IQ,0))+IF(الموظفون!$Y12&lt;&gt;"",الموظفون!$Y12,IF(الموظفون!$E12="غير سعودي",cfg_WP,0)))/12*G12/cfg_DAYS_M)</f>
        <v>854.166666666667</v>
      </c>
      <c r="AE12" s="111" t="n">
        <f aca="false">IF($B12="","",IF(الموظفون!$Z12&lt;&gt;"",الموظفون!$Z12,cfg_MED)/12*G12/cfg_DAYS_M)</f>
        <v>200</v>
      </c>
      <c r="AF12" s="111" t="n">
        <f aca="false">IF($B12="","",N(الموظفون!$AA12)/12*G12/cfg_DAYS_M)</f>
        <v>400</v>
      </c>
      <c r="AG12" s="154" t="n">
        <f aca="false">IF($B12="","",T12+SUM(Z12:AF12))</f>
        <v>20283.8242009132</v>
      </c>
      <c r="AH12" s="155" t="n">
        <f aca="false">IF($B12="","",MAX(0,IF(OR(الموظفون!$AE12="",الموظفون!$AE12&gt;$F$3),$F$3,الموظفون!$AE12)-الموظفون!$H12+1-SUMIFS('سجل الإجازات والحالات'!$AN$6:$AN$505,'سجل الإجازات والحالات'!$B$6:$B$505,$B12))/cfg_DAYS_Y)</f>
        <v>5.53150684931507</v>
      </c>
      <c r="AI12" s="155" t="n">
        <f aca="false">IF($B12="","",MAX(0,IF(OR(الموظفون!$AE12="",الموظفون!$AE12&gt;($E$3-1)),($E$3-1),الموظفون!$AE12)-الموظفون!$H12+1-SUMIFS('سجل الإجازات والحالات'!$AM$6:$AM$505,'سجل الإجازات والحالات'!$B$6:$B$505,$B12))/cfg_DAYS_Y)</f>
        <v>5.44657534246575</v>
      </c>
      <c r="AJ12" s="65" t="n">
        <f aca="false">IF($B12="","",MAX(0,AK12-(SUMIFS('سجل الإجازات والحالات'!$AN$6:$AN$505,'سجل الإجازات والحالات'!$B$6:$B$505,$B12)-SUMIFS('سجل الإجازات والحالات'!$AM$6:$AM$505,'سجل الإجازات والحالات'!$B$6:$B$505,$B12))))</f>
        <v>31</v>
      </c>
      <c r="AK12" s="65" t="n">
        <f aca="false">IF($B12="","",MAX(0,IF(OR(الموظفون!$AE12="",الموظفون!$AE12&gt;$F$3),$F$3,الموظفون!$AE12)-MAX($E$3,الموظفون!$H12)+1))</f>
        <v>31</v>
      </c>
      <c r="AL12" s="151" t="n">
        <f aca="false">IF($B12="","",SUMIFS('سجل الإجازات والحالات'!$AZ$6:$AZ$505,'سجل الإجازات والحالات'!$B$6:$B$505,$B12)+SUMIFS('الحركات الشهرية'!$K$6:$K$1005,'الحركات الشهرية'!$B$6:$B$1005,$B12,'الحركات الشهرية'!$A$6:$A$1005,$C$3))</f>
        <v>0</v>
      </c>
      <c r="AM12" s="111" t="n">
        <f aca="false">IF($B12="","",AL12*الموظفون!$R12/cfg_DAYS_M+S12)</f>
        <v>0</v>
      </c>
      <c r="AN12" s="151" t="n">
        <f aca="false">IF($B12="","",SUMIFS('سجل الإجازات والحالات'!$AB$6:$AB$505,'سجل الإجازات والحالات'!$B$6:$B$505,$B12))</f>
        <v>0</v>
      </c>
    </row>
    <row r="13" customFormat="false" ht="15" hidden="false" customHeight="false" outlineLevel="0" collapsed="false">
      <c r="A13" s="115" t="n">
        <f aca="false">IF($B13="","",الموظفون!$A13)</f>
        <v>8</v>
      </c>
      <c r="B13" s="117" t="str">
        <f aca="false">IF(الموظفون!$B13="","",الموظفون!$B13)</f>
        <v>E008</v>
      </c>
      <c r="C13" s="117" t="str">
        <f aca="false">IF($B13="","",الموظفون!$C13)</f>
        <v>سارة عبدالرحمن الزهراني</v>
      </c>
      <c r="D13" s="117" t="str">
        <f aca="false">IF($B13="","",الموظفون!$F13)</f>
        <v>المالية</v>
      </c>
      <c r="E13" s="117" t="str">
        <f aca="false">IF($B13="","",الموظفون!$E13)</f>
        <v>سعودي</v>
      </c>
      <c r="F13" s="117" t="str">
        <f aca="false">IF($B13="","",IF(AK13=0,IF(AND(الموظفون!$AE13&lt;&gt;"",الموظفون!$AE13&lt;$E$3),"✖ منتهي الخدمة","⏳ لم يباشر"),IF(S13&gt;0,"✈ راتب إجازة مقدم",IF(J13=0,"⛔ بدون راتب هذا الشهر",IF(I13&gt;0,"✈ خصم "&amp;ROUND(I13,2)&amp;" يوم بدون أجر",IF(AL13&gt;0,"🌴 إجازة سنوية "&amp;ROUND(AL13,2)&amp;" يوم",IF(H13&gt;0,"⚠ غياب "&amp;ROUND(H13,2)&amp;" يوم","✔ على رأس العمل")))))))</f>
        <v>✔ على رأس العمل</v>
      </c>
      <c r="G13" s="156" t="n">
        <f aca="false">IF($B13="","",IF(AK13&gt;=DAY($F$3),cfg_DAYS_M,MIN(AK13,cfg_DAYS_M)))</f>
        <v>30</v>
      </c>
      <c r="H13" s="156" t="n">
        <f aca="false">IF($B13="","",SUMIFS('الحركات الشهرية'!$D$6:$D$1005,'الحركات الشهرية'!$B$6:$B$1005,$B13,'الحركات الشهرية'!$A$6:$A$1005,$C$3))</f>
        <v>0</v>
      </c>
      <c r="I13" s="156" t="n">
        <f aca="false">IF($B13="","",MIN(G13,IF(AND(AK13&gt;0,AN13&gt;=AK13),G13,AN13)+SUMIFS('الحركات الشهرية'!$E$6:$E$1005,'الحركات الشهرية'!$B$6:$B$1005,$B13,'الحركات الشهرية'!$A$6:$A$1005,$C$3)))</f>
        <v>0</v>
      </c>
      <c r="J13" s="156" t="n">
        <f aca="false">IF($B13="","",MAX(0,G13-H13-I13))</f>
        <v>30</v>
      </c>
      <c r="K13" s="116" t="n">
        <f aca="false">IF($B13="","",الموظفون!$L13*$J13/cfg_DAYS_M)</f>
        <v>7500</v>
      </c>
      <c r="L13" s="116" t="n">
        <f aca="false">IF($B13="","",الموظفون!$M13*$J13/cfg_DAYS_M)</f>
        <v>1875</v>
      </c>
      <c r="M13" s="116" t="n">
        <f aca="false">IF($B13="","",الموظفون!$N13*$J13/cfg_DAYS_M)</f>
        <v>750</v>
      </c>
      <c r="N13" s="116" t="n">
        <f aca="false">IF($B13="","",الموظفون!$O13*$J13/cfg_DAYS_M)</f>
        <v>0</v>
      </c>
      <c r="O13" s="156" t="n">
        <f aca="false">IF($B13="","",SUMIFS('الحركات الشهرية'!$F$6:$F$1005,'الحركات الشهرية'!$B$6:$B$1005,$B13,'الحركات الشهرية'!$A$6:$A$1005,$C$3))</f>
        <v>0</v>
      </c>
      <c r="P13" s="116" t="n">
        <f aca="false">IF($B13="","",O13*(الموظفون!$P13+الموظفون!$L13*cfg_OT_P)/cfg_DAYS_M/cfg_HRS)</f>
        <v>0</v>
      </c>
      <c r="Q13" s="116" t="n">
        <f aca="false">IF($B13="","",SUMIFS('الحركات الشهرية'!$G$6:$G$1005,'الحركات الشهرية'!$B$6:$B$1005,$B13,'الحركات الشهرية'!$A$6:$A$1005,$C$3))</f>
        <v>0</v>
      </c>
      <c r="R13" s="116" t="n">
        <f aca="false">IF($B13="","",SUMIFS('الحركات الشهرية'!$H$6:$H$1005,'الحركات الشهرية'!$B$6:$B$1005,$B13,'الحركات الشهرية'!$A$6:$A$1005,$C$3))</f>
        <v>0</v>
      </c>
      <c r="S13" s="116" t="n">
        <f aca="false">IF($B13="","",SUMIFS('سجل الإجازات والحالات'!$N$6:$N$505,'سجل الإجازات والحالات'!$B$6:$B$505,$B13,'سجل الإجازات والحالات'!$O$6:$O$505,$C$3))</f>
        <v>0</v>
      </c>
      <c r="T13" s="157" t="n">
        <f aca="false">IF($B13="","",SUM(K13:N13)+SUM(P13:S13))</f>
        <v>10125</v>
      </c>
      <c r="U13" s="116" t="n">
        <f aca="false">IF($B13="","",الموظفون!$S13*IF(E13="سعودي",cfg_G_SE,cfg_G_NE)*G13/cfg_DAYS_M)</f>
        <v>914.0625</v>
      </c>
      <c r="V13" s="116" t="n">
        <f aca="false">IF($B13="","",SUMIFS('الحركات الشهرية'!$I$6:$I$1005,'الحركات الشهرية'!$B$6:$B$1005,$B13,'الحركات الشهرية'!$A$6:$A$1005,$C$3))</f>
        <v>0</v>
      </c>
      <c r="W13" s="116" t="n">
        <f aca="false">IF($B13="","",SUMIFS('الحركات الشهرية'!$J$6:$J$1005,'الحركات الشهرية'!$B$6:$B$1005,$B13,'الحركات الشهرية'!$A$6:$A$1005,$C$3))</f>
        <v>0</v>
      </c>
      <c r="X13" s="116" t="n">
        <f aca="false">IF($B13="","",SUM(U13:W13))</f>
        <v>914.0625</v>
      </c>
      <c r="Y13" s="158" t="n">
        <f aca="false">IF($B13="","",T13-X13)</f>
        <v>9210.9375</v>
      </c>
      <c r="Z13" s="116" t="n">
        <f aca="false">IF($B13="","",الموظفون!$S13*IF(E13="سعودي",cfg_G_SR,cfg_G_NR)*G13/cfg_DAYS_M)</f>
        <v>1101.5625</v>
      </c>
      <c r="AA13" s="116" t="n">
        <f aca="false">IF($B13="","",الموظفون!$Q13*(cfg_EOS_R1*(MIN(AH13,cfg_EOS_TH)-MIN(AI13,cfg_EOS_TH))+cfg_EOS_R2*(MAX(AH13-cfg_EOS_TH,0)-MAX(AI13-cfg_EOS_TH,0))))</f>
        <v>429.965753424657</v>
      </c>
      <c r="AB13" s="116" t="n">
        <f aca="false">IF($B13="","",IF(الموظفون!$T13&lt;&gt;"",الموظفون!$T13,IF(AH13&gt;=cfg_LV_TH,cfg_LV_D2,cfg_LV_D1))/cfg_DAYS_Y*AJ13*الموظفون!$R13/cfg_DAYS_M)</f>
        <v>601.952054794521</v>
      </c>
      <c r="AC13" s="116" t="n">
        <f aca="false">IF($B13="","",IF(AND(الموظفون!$U13="نعم",N(الموظفون!$W13)&gt;0),الموظفون!$V13/الموظفون!$W13*12/cfg_DAYS_Y*AJ13,0))</f>
        <v>0</v>
      </c>
      <c r="AD13" s="116" t="n">
        <f aca="false">IF($B13="","",(IF(الموظفون!$X13&lt;&gt;"",الموظفون!$X13,IF(الموظفون!$E13="غير سعودي",cfg_IQ,0))+IF(الموظفون!$Y13&lt;&gt;"",الموظفون!$Y13,IF(الموظفون!$E13="غير سعودي",cfg_WP,0)))/12*G13/cfg_DAYS_M)</f>
        <v>0</v>
      </c>
      <c r="AE13" s="116" t="n">
        <f aca="false">IF($B13="","",IF(الموظفون!$Z13&lt;&gt;"",الموظفون!$Z13,cfg_MED)/12*G13/cfg_DAYS_M)</f>
        <v>200</v>
      </c>
      <c r="AF13" s="116" t="n">
        <f aca="false">IF($B13="","",N(الموظفون!$AA13)/12*G13/cfg_DAYS_M)</f>
        <v>0</v>
      </c>
      <c r="AG13" s="159" t="n">
        <f aca="false">IF($B13="","",T13+SUM(Z13:AF13))</f>
        <v>12458.4803082192</v>
      </c>
      <c r="AH13" s="160" t="n">
        <f aca="false">IF($B13="","",MAX(0,IF(OR(الموظفون!$AE13="",الموظفون!$AE13&gt;$F$3),$F$3,الموظفون!$AE13)-الموظفون!$H13+1-SUMIFS('سجل الإجازات والحالات'!$AN$6:$AN$505,'سجل الإجازات والحالات'!$B$6:$B$505,$B13))/cfg_DAYS_Y)</f>
        <v>3.42191780821918</v>
      </c>
      <c r="AI13" s="160" t="n">
        <f aca="false">IF($B13="","",MAX(0,IF(OR(الموظفون!$AE13="",الموظفون!$AE13&gt;($E$3-1)),($E$3-1),الموظفون!$AE13)-الموظفون!$H13+1-SUMIFS('سجل الإجازات والحالات'!$AM$6:$AM$505,'سجل الإجازات والحالات'!$B$6:$B$505,$B13))/cfg_DAYS_Y)</f>
        <v>3.33698630136986</v>
      </c>
      <c r="AJ13" s="133" t="n">
        <f aca="false">IF($B13="","",MAX(0,AK13-(SUMIFS('سجل الإجازات والحالات'!$AN$6:$AN$505,'سجل الإجازات والحالات'!$B$6:$B$505,$B13)-SUMIFS('سجل الإجازات والحالات'!$AM$6:$AM$505,'سجل الإجازات والحالات'!$B$6:$B$505,$B13))))</f>
        <v>31</v>
      </c>
      <c r="AK13" s="133" t="n">
        <f aca="false">IF($B13="","",MAX(0,IF(OR(الموظفون!$AE13="",الموظفون!$AE13&gt;$F$3),$F$3,الموظفون!$AE13)-MAX($E$3,الموظفون!$H13)+1))</f>
        <v>31</v>
      </c>
      <c r="AL13" s="156" t="n">
        <f aca="false">IF($B13="","",SUMIFS('سجل الإجازات والحالات'!$AZ$6:$AZ$505,'سجل الإجازات والحالات'!$B$6:$B$505,$B13)+SUMIFS('الحركات الشهرية'!$K$6:$K$1005,'الحركات الشهرية'!$B$6:$B$1005,$B13,'الحركات الشهرية'!$A$6:$A$1005,$C$3))</f>
        <v>0</v>
      </c>
      <c r="AM13" s="116" t="n">
        <f aca="false">IF($B13="","",AL13*الموظفون!$R13/cfg_DAYS_M+S13)</f>
        <v>0</v>
      </c>
      <c r="AN13" s="156" t="n">
        <f aca="false">IF($B13="","",SUMIFS('سجل الإجازات والحالات'!$AB$6:$AB$505,'سجل الإجازات والحالات'!$B$6:$B$505,$B13))</f>
        <v>0</v>
      </c>
    </row>
    <row r="14" customFormat="false" ht="15" hidden="false" customHeight="false" outlineLevel="0" collapsed="false">
      <c r="A14" s="106" t="n">
        <f aca="false">IF($B14="","",الموظفون!$A14)</f>
        <v>9</v>
      </c>
      <c r="B14" s="114" t="str">
        <f aca="false">IF(الموظفون!$B14="","",الموظفون!$B14)</f>
        <v>E009</v>
      </c>
      <c r="C14" s="114" t="str">
        <f aca="false">IF($B14="","",الموظفون!$C14)</f>
        <v>محمد رفيق</v>
      </c>
      <c r="D14" s="114" t="str">
        <f aca="false">IF($B14="","",الموظفون!$F14)</f>
        <v>العمليات</v>
      </c>
      <c r="E14" s="114" t="str">
        <f aca="false">IF($B14="","",الموظفون!$E14)</f>
        <v>غير سعودي</v>
      </c>
      <c r="F14" s="114" t="str">
        <f aca="false">IF($B14="","",IF(AK14=0,IF(AND(الموظفون!$AE14&lt;&gt;"",الموظفون!$AE14&lt;$E$3),"✖ منتهي الخدمة","⏳ لم يباشر"),IF(S14&gt;0,"✈ راتب إجازة مقدم",IF(J14=0,"⛔ بدون راتب هذا الشهر",IF(I14&gt;0,"✈ خصم "&amp;ROUND(I14,2)&amp;" يوم بدون أجر",IF(AL14&gt;0,"🌴 إجازة سنوية "&amp;ROUND(AL14,2)&amp;" يوم",IF(H14&gt;0,"⚠ غياب "&amp;ROUND(H14,2)&amp;" يوم","✔ على رأس العمل")))))))</f>
        <v>✔ على رأس العمل</v>
      </c>
      <c r="G14" s="151" t="n">
        <f aca="false">IF($B14="","",IF(AK14&gt;=DAY($F$3),cfg_DAYS_M,MIN(AK14,cfg_DAYS_M)))</f>
        <v>30</v>
      </c>
      <c r="H14" s="151" t="n">
        <f aca="false">IF($B14="","",SUMIFS('الحركات الشهرية'!$D$6:$D$1005,'الحركات الشهرية'!$B$6:$B$1005,$B14,'الحركات الشهرية'!$A$6:$A$1005,$C$3))</f>
        <v>0</v>
      </c>
      <c r="I14" s="151" t="n">
        <f aca="false">IF($B14="","",MIN(G14,IF(AND(AK14&gt;0,AN14&gt;=AK14),G14,AN14)+SUMIFS('الحركات الشهرية'!$E$6:$E$1005,'الحركات الشهرية'!$B$6:$B$1005,$B14,'الحركات الشهرية'!$A$6:$A$1005,$C$3)))</f>
        <v>0</v>
      </c>
      <c r="J14" s="151" t="n">
        <f aca="false">IF($B14="","",MAX(0,G14-H14-I14))</f>
        <v>30</v>
      </c>
      <c r="K14" s="111" t="n">
        <f aca="false">IF($B14="","",الموظفون!$L14*$J14/cfg_DAYS_M)</f>
        <v>6500</v>
      </c>
      <c r="L14" s="111" t="n">
        <f aca="false">IF($B14="","",الموظفون!$M14*$J14/cfg_DAYS_M)</f>
        <v>1625</v>
      </c>
      <c r="M14" s="111" t="n">
        <f aca="false">IF($B14="","",الموظفون!$N14*$J14/cfg_DAYS_M)</f>
        <v>650</v>
      </c>
      <c r="N14" s="111" t="n">
        <f aca="false">IF($B14="","",الموظفون!$O14*$J14/cfg_DAYS_M)</f>
        <v>300</v>
      </c>
      <c r="O14" s="151" t="n">
        <f aca="false">IF($B14="","",SUMIFS('الحركات الشهرية'!$F$6:$F$1005,'الحركات الشهرية'!$B$6:$B$1005,$B14,'الحركات الشهرية'!$A$6:$A$1005,$C$3))</f>
        <v>0</v>
      </c>
      <c r="P14" s="111" t="n">
        <f aca="false">IF($B14="","",O14*(الموظفون!$P14+الموظفون!$L14*cfg_OT_P)/cfg_DAYS_M/cfg_HRS)</f>
        <v>0</v>
      </c>
      <c r="Q14" s="111" t="n">
        <f aca="false">IF($B14="","",SUMIFS('الحركات الشهرية'!$G$6:$G$1005,'الحركات الشهرية'!$B$6:$B$1005,$B14,'الحركات الشهرية'!$A$6:$A$1005,$C$3))</f>
        <v>0</v>
      </c>
      <c r="R14" s="111" t="n">
        <f aca="false">IF($B14="","",SUMIFS('الحركات الشهرية'!$H$6:$H$1005,'الحركات الشهرية'!$B$6:$B$1005,$B14,'الحركات الشهرية'!$A$6:$A$1005,$C$3))</f>
        <v>0</v>
      </c>
      <c r="S14" s="111" t="n">
        <f aca="false">IF($B14="","",SUMIFS('سجل الإجازات والحالات'!$N$6:$N$505,'سجل الإجازات والحالات'!$B$6:$B$505,$B14,'سجل الإجازات والحالات'!$O$6:$O$505,$C$3))</f>
        <v>0</v>
      </c>
      <c r="T14" s="152" t="n">
        <f aca="false">IF($B14="","",SUM(K14:N14)+SUM(P14:S14))</f>
        <v>9075</v>
      </c>
      <c r="U14" s="111" t="n">
        <f aca="false">IF($B14="","",الموظفون!$S14*IF(E14="سعودي",cfg_G_SE,cfg_G_NE)*G14/cfg_DAYS_M)</f>
        <v>0</v>
      </c>
      <c r="V14" s="111" t="n">
        <f aca="false">IF($B14="","",SUMIFS('الحركات الشهرية'!$I$6:$I$1005,'الحركات الشهرية'!$B$6:$B$1005,$B14,'الحركات الشهرية'!$A$6:$A$1005,$C$3))</f>
        <v>0</v>
      </c>
      <c r="W14" s="111" t="n">
        <f aca="false">IF($B14="","",SUMIFS('الحركات الشهرية'!$J$6:$J$1005,'الحركات الشهرية'!$B$6:$B$1005,$B14,'الحركات الشهرية'!$A$6:$A$1005,$C$3))</f>
        <v>0</v>
      </c>
      <c r="X14" s="111" t="n">
        <f aca="false">IF($B14="","",SUM(U14:W14))</f>
        <v>0</v>
      </c>
      <c r="Y14" s="153" t="n">
        <f aca="false">IF($B14="","",T14-X14)</f>
        <v>9075</v>
      </c>
      <c r="Z14" s="111" t="n">
        <f aca="false">IF($B14="","",الموظفون!$S14*IF(E14="سعودي",cfg_G_SR,cfg_G_NR)*G14/cfg_DAYS_M)</f>
        <v>162.5</v>
      </c>
      <c r="AA14" s="111" t="n">
        <f aca="false">IF($B14="","",الموظفون!$Q14*(cfg_EOS_R1*(MIN(AH14,cfg_EOS_TH)-MIN(AI14,cfg_EOS_TH))+cfg_EOS_R2*(MAX(AH14-cfg_EOS_TH,0)-MAX(AI14-cfg_EOS_TH,0))))</f>
        <v>745.273972602744</v>
      </c>
      <c r="AB14" s="111" t="n">
        <f aca="false">IF($B14="","",IF(الموظفون!$T14&lt;&gt;"",الموظفون!$T14,IF(AH14&gt;=cfg_LV_TH,cfg_LV_D2,cfg_LV_D1))/cfg_DAYS_Y*AJ14*الموظفون!$R14/cfg_DAYS_M)</f>
        <v>745.27397260274</v>
      </c>
      <c r="AC14" s="111" t="n">
        <f aca="false">IF($B14="","",IF(AND(الموظفون!$U14="نعم",N(الموظفون!$W14)&gt;0),الموظفون!$V14/الموظفون!$W14*12/cfg_DAYS_Y*AJ14,0))</f>
        <v>93.4246575342466</v>
      </c>
      <c r="AD14" s="111" t="n">
        <f aca="false">IF($B14="","",(IF(الموظفون!$X14&lt;&gt;"",الموظفون!$X14,IF(الموظفون!$E14="غير سعودي",cfg_IQ,0))+IF(الموظفون!$Y14&lt;&gt;"",الموظفون!$Y14,IF(الموظفون!$E14="غير سعودي",cfg_WP,0)))/12*G14/cfg_DAYS_M)</f>
        <v>854.166666666667</v>
      </c>
      <c r="AE14" s="111" t="n">
        <f aca="false">IF($B14="","",IF(الموظفون!$Z14&lt;&gt;"",الموظفون!$Z14,cfg_MED)/12*G14/cfg_DAYS_M)</f>
        <v>150</v>
      </c>
      <c r="AF14" s="111" t="n">
        <f aca="false">IF($B14="","",N(الموظفون!$AA14)/12*G14/cfg_DAYS_M)</f>
        <v>0</v>
      </c>
      <c r="AG14" s="154" t="n">
        <f aca="false">IF($B14="","",T14+SUM(Z14:AF14))</f>
        <v>11825.6392694064</v>
      </c>
      <c r="AH14" s="155" t="n">
        <f aca="false">IF($B14="","",MAX(0,IF(OR(الموظفون!$AE14="",الموظفون!$AE14&gt;$F$3),$F$3,الموظفون!$AE14)-الموظفون!$H14+1-SUMIFS('سجل الإجازات والحالات'!$AN$6:$AN$505,'سجل الإجازات والحالات'!$B$6:$B$505,$B14))/cfg_DAYS_Y)</f>
        <v>11.9616438356164</v>
      </c>
      <c r="AI14" s="155" t="n">
        <f aca="false">IF($B14="","",MAX(0,IF(OR(الموظفون!$AE14="",الموظفون!$AE14&gt;($E$3-1)),($E$3-1),الموظفون!$AE14)-الموظفون!$H14+1-SUMIFS('سجل الإجازات والحالات'!$AM$6:$AM$505,'سجل الإجازات والحالات'!$B$6:$B$505,$B14))/cfg_DAYS_Y)</f>
        <v>11.8767123287671</v>
      </c>
      <c r="AJ14" s="65" t="n">
        <f aca="false">IF($B14="","",MAX(0,AK14-(SUMIFS('سجل الإجازات والحالات'!$AN$6:$AN$505,'سجل الإجازات والحالات'!$B$6:$B$505,$B14)-SUMIFS('سجل الإجازات والحالات'!$AM$6:$AM$505,'سجل الإجازات والحالات'!$B$6:$B$505,$B14))))</f>
        <v>31</v>
      </c>
      <c r="AK14" s="65" t="n">
        <f aca="false">IF($B14="","",MAX(0,IF(OR(الموظفون!$AE14="",الموظفون!$AE14&gt;$F$3),$F$3,الموظفون!$AE14)-MAX($E$3,الموظفون!$H14)+1))</f>
        <v>31</v>
      </c>
      <c r="AL14" s="151" t="n">
        <f aca="false">IF($B14="","",SUMIFS('سجل الإجازات والحالات'!$AZ$6:$AZ$505,'سجل الإجازات والحالات'!$B$6:$B$505,$B14)+SUMIFS('الحركات الشهرية'!$K$6:$K$1005,'الحركات الشهرية'!$B$6:$B$1005,$B14,'الحركات الشهرية'!$A$6:$A$1005,$C$3))</f>
        <v>0</v>
      </c>
      <c r="AM14" s="111" t="n">
        <f aca="false">IF($B14="","",AL14*الموظفون!$R14/cfg_DAYS_M+S14)</f>
        <v>0</v>
      </c>
      <c r="AN14" s="151" t="n">
        <f aca="false">IF($B14="","",SUMIFS('سجل الإجازات والحالات'!$AB$6:$AB$505,'سجل الإجازات والحالات'!$B$6:$B$505,$B14))</f>
        <v>0</v>
      </c>
    </row>
    <row r="15" customFormat="false" ht="15" hidden="false" customHeight="false" outlineLevel="0" collapsed="false">
      <c r="A15" s="115" t="n">
        <f aca="false">IF($B15="","",الموظفون!$A15)</f>
        <v>10</v>
      </c>
      <c r="B15" s="117" t="str">
        <f aca="false">IF(الموظفون!$B15="","",الموظفون!$B15)</f>
        <v>E010</v>
      </c>
      <c r="C15" s="117" t="str">
        <f aca="false">IF($B15="","",الموظفون!$C15)</f>
        <v>ريم سلطان المطيري</v>
      </c>
      <c r="D15" s="117" t="str">
        <f aca="false">IF($B15="","",الموظفون!$F15)</f>
        <v>المبيعات</v>
      </c>
      <c r="E15" s="117" t="str">
        <f aca="false">IF($B15="","",الموظفون!$E15)</f>
        <v>سعودي</v>
      </c>
      <c r="F15" s="117" t="str">
        <f aca="false">IF($B15="","",IF(AK15=0,IF(AND(الموظفون!$AE15&lt;&gt;"",الموظفون!$AE15&lt;$E$3),"✖ منتهي الخدمة","⏳ لم يباشر"),IF(S15&gt;0,"✈ راتب إجازة مقدم",IF(J15=0,"⛔ بدون راتب هذا الشهر",IF(I15&gt;0,"✈ خصم "&amp;ROUND(I15,2)&amp;" يوم بدون أجر",IF(AL15&gt;0,"🌴 إجازة سنوية "&amp;ROUND(AL15,2)&amp;" يوم",IF(H15&gt;0,"⚠ غياب "&amp;ROUND(H15,2)&amp;" يوم","✔ على رأس العمل")))))))</f>
        <v>✔ على رأس العمل</v>
      </c>
      <c r="G15" s="156" t="n">
        <f aca="false">IF($B15="","",IF(AK15&gt;=DAY($F$3),cfg_DAYS_M,MIN(AK15,cfg_DAYS_M)))</f>
        <v>30</v>
      </c>
      <c r="H15" s="156" t="n">
        <f aca="false">IF($B15="","",SUMIFS('الحركات الشهرية'!$D$6:$D$1005,'الحركات الشهرية'!$B$6:$B$1005,$B15,'الحركات الشهرية'!$A$6:$A$1005,$C$3))</f>
        <v>0</v>
      </c>
      <c r="I15" s="156" t="n">
        <f aca="false">IF($B15="","",MIN(G15,IF(AND(AK15&gt;0,AN15&gt;=AK15),G15,AN15)+SUMIFS('الحركات الشهرية'!$E$6:$E$1005,'الحركات الشهرية'!$B$6:$B$1005,$B15,'الحركات الشهرية'!$A$6:$A$1005,$C$3)))</f>
        <v>0</v>
      </c>
      <c r="J15" s="156" t="n">
        <f aca="false">IF($B15="","",MAX(0,G15-H15-I15))</f>
        <v>30</v>
      </c>
      <c r="K15" s="116" t="n">
        <f aca="false">IF($B15="","",الموظفون!$L15*$J15/cfg_DAYS_M)</f>
        <v>9000</v>
      </c>
      <c r="L15" s="116" t="n">
        <f aca="false">IF($B15="","",الموظفون!$M15*$J15/cfg_DAYS_M)</f>
        <v>2250</v>
      </c>
      <c r="M15" s="116" t="n">
        <f aca="false">IF($B15="","",الموظفون!$N15*$J15/cfg_DAYS_M)</f>
        <v>900</v>
      </c>
      <c r="N15" s="116" t="n">
        <f aca="false">IF($B15="","",الموظفون!$O15*$J15/cfg_DAYS_M)</f>
        <v>0</v>
      </c>
      <c r="O15" s="156" t="n">
        <f aca="false">IF($B15="","",SUMIFS('الحركات الشهرية'!$F$6:$F$1005,'الحركات الشهرية'!$B$6:$B$1005,$B15,'الحركات الشهرية'!$A$6:$A$1005,$C$3))</f>
        <v>0</v>
      </c>
      <c r="P15" s="116" t="n">
        <f aca="false">IF($B15="","",O15*(الموظفون!$P15+الموظفون!$L15*cfg_OT_P)/cfg_DAYS_M/cfg_HRS)</f>
        <v>0</v>
      </c>
      <c r="Q15" s="116" t="n">
        <f aca="false">IF($B15="","",SUMIFS('الحركات الشهرية'!$G$6:$G$1005,'الحركات الشهرية'!$B$6:$B$1005,$B15,'الحركات الشهرية'!$A$6:$A$1005,$C$3))</f>
        <v>0</v>
      </c>
      <c r="R15" s="116" t="n">
        <f aca="false">IF($B15="","",SUMIFS('الحركات الشهرية'!$H$6:$H$1005,'الحركات الشهرية'!$B$6:$B$1005,$B15,'الحركات الشهرية'!$A$6:$A$1005,$C$3))</f>
        <v>0</v>
      </c>
      <c r="S15" s="116" t="n">
        <f aca="false">IF($B15="","",SUMIFS('سجل الإجازات والحالات'!$N$6:$N$505,'سجل الإجازات والحالات'!$B$6:$B$505,$B15,'سجل الإجازات والحالات'!$O$6:$O$505,$C$3))</f>
        <v>0</v>
      </c>
      <c r="T15" s="157" t="n">
        <f aca="false">IF($B15="","",SUM(K15:N15)+SUM(P15:S15))</f>
        <v>12150</v>
      </c>
      <c r="U15" s="116" t="n">
        <f aca="false">IF($B15="","",الموظفون!$S15*IF(E15="سعودي",cfg_G_SE,cfg_G_NE)*G15/cfg_DAYS_M)</f>
        <v>1096.875</v>
      </c>
      <c r="V15" s="116" t="n">
        <f aca="false">IF($B15="","",SUMIFS('الحركات الشهرية'!$I$6:$I$1005,'الحركات الشهرية'!$B$6:$B$1005,$B15,'الحركات الشهرية'!$A$6:$A$1005,$C$3))</f>
        <v>0</v>
      </c>
      <c r="W15" s="116" t="n">
        <f aca="false">IF($B15="","",SUMIFS('الحركات الشهرية'!$J$6:$J$1005,'الحركات الشهرية'!$B$6:$B$1005,$B15,'الحركات الشهرية'!$A$6:$A$1005,$C$3))</f>
        <v>0</v>
      </c>
      <c r="X15" s="116" t="n">
        <f aca="false">IF($B15="","",SUM(U15:W15))</f>
        <v>1096.875</v>
      </c>
      <c r="Y15" s="158" t="n">
        <f aca="false">IF($B15="","",T15-X15)</f>
        <v>11053.125</v>
      </c>
      <c r="Z15" s="116" t="n">
        <f aca="false">IF($B15="","",الموظفون!$S15*IF(E15="سعودي",cfg_G_SR,cfg_G_NR)*G15/cfg_DAYS_M)</f>
        <v>1321.875</v>
      </c>
      <c r="AA15" s="116" t="n">
        <f aca="false">IF($B15="","",الموظفون!$Q15*(cfg_EOS_R1*(MIN(AH15,cfg_EOS_TH)-MIN(AI15,cfg_EOS_TH))+cfg_EOS_R2*(MAX(AH15-cfg_EOS_TH,0)-MAX(AI15-cfg_EOS_TH,0))))</f>
        <v>515.958904109589</v>
      </c>
      <c r="AB15" s="116" t="n">
        <f aca="false">IF($B15="","",IF(الموظفون!$T15&lt;&gt;"",الموظفون!$T15,IF(AH15&gt;=cfg_LV_TH,cfg_LV_D2,cfg_LV_D1))/cfg_DAYS_Y*AJ15*الموظفون!$R15/cfg_DAYS_M)</f>
        <v>722.342465753425</v>
      </c>
      <c r="AC15" s="116" t="n">
        <f aca="false">IF($B15="","",IF(AND(الموظفون!$U15="نعم",N(الموظفون!$W15)&gt;0),الموظفون!$V15/الموظفون!$W15*12/cfg_DAYS_Y*AJ15,0))</f>
        <v>0</v>
      </c>
      <c r="AD15" s="116" t="n">
        <f aca="false">IF($B15="","",(IF(الموظفون!$X15&lt;&gt;"",الموظفون!$X15,IF(الموظفون!$E15="غير سعودي",cfg_IQ,0))+IF(الموظفون!$Y15&lt;&gt;"",الموظفون!$Y15,IF(الموظفون!$E15="غير سعودي",cfg_WP,0)))/12*G15/cfg_DAYS_M)</f>
        <v>0</v>
      </c>
      <c r="AE15" s="116" t="n">
        <f aca="false">IF($B15="","",IF(الموظفون!$Z15&lt;&gt;"",الموظفون!$Z15,cfg_MED)/12*G15/cfg_DAYS_M)</f>
        <v>200</v>
      </c>
      <c r="AF15" s="116" t="n">
        <f aca="false">IF($B15="","",N(الموظفون!$AA15)/12*G15/cfg_DAYS_M)</f>
        <v>0</v>
      </c>
      <c r="AG15" s="159" t="n">
        <f aca="false">IF($B15="","",T15+SUM(Z15:AF15))</f>
        <v>14910.176369863</v>
      </c>
      <c r="AH15" s="160" t="n">
        <f aca="false">IF($B15="","",MAX(0,IF(OR(الموظفون!$AE15="",الموظفون!$AE15&gt;$F$3),$F$3,الموظفون!$AE15)-الموظفون!$H15+1-SUMIFS('سجل الإجازات والحالات'!$AN$6:$AN$505,'سجل الإجازات والحالات'!$B$6:$B$505,$B15))/cfg_DAYS_Y)</f>
        <v>0.295890410958904</v>
      </c>
      <c r="AI15" s="160" t="n">
        <f aca="false">IF($B15="","",MAX(0,IF(OR(الموظفون!$AE15="",الموظفون!$AE15&gt;($E$3-1)),($E$3-1),الموظفون!$AE15)-الموظفون!$H15+1-SUMIFS('سجل الإجازات والحالات'!$AM$6:$AM$505,'سجل الإجازات والحالات'!$B$6:$B$505,$B15))/cfg_DAYS_Y)</f>
        <v>0.210958904109589</v>
      </c>
      <c r="AJ15" s="133" t="n">
        <f aca="false">IF($B15="","",MAX(0,AK15-(SUMIFS('سجل الإجازات والحالات'!$AN$6:$AN$505,'سجل الإجازات والحالات'!$B$6:$B$505,$B15)-SUMIFS('سجل الإجازات والحالات'!$AM$6:$AM$505,'سجل الإجازات والحالات'!$B$6:$B$505,$B15))))</f>
        <v>31</v>
      </c>
      <c r="AK15" s="133" t="n">
        <f aca="false">IF($B15="","",MAX(0,IF(OR(الموظفون!$AE15="",الموظفون!$AE15&gt;$F$3),$F$3,الموظفون!$AE15)-MAX($E$3,الموظفون!$H15)+1))</f>
        <v>31</v>
      </c>
      <c r="AL15" s="156" t="n">
        <f aca="false">IF($B15="","",SUMIFS('سجل الإجازات والحالات'!$AZ$6:$AZ$505,'سجل الإجازات والحالات'!$B$6:$B$505,$B15)+SUMIFS('الحركات الشهرية'!$K$6:$K$1005,'الحركات الشهرية'!$B$6:$B$1005,$B15,'الحركات الشهرية'!$A$6:$A$1005,$C$3))</f>
        <v>0</v>
      </c>
      <c r="AM15" s="116" t="n">
        <f aca="false">IF($B15="","",AL15*الموظفون!$R15/cfg_DAYS_M+S15)</f>
        <v>0</v>
      </c>
      <c r="AN15" s="156" t="n">
        <f aca="false">IF($B15="","",SUMIFS('سجل الإجازات والحالات'!$AB$6:$AB$505,'سجل الإجازات والحالات'!$B$6:$B$505,$B15))</f>
        <v>0</v>
      </c>
    </row>
    <row r="16" customFormat="false" ht="15" hidden="false" customHeight="false" outlineLevel="0" collapsed="false">
      <c r="A16" s="106" t="n">
        <f aca="false">IF($B16="","",الموظفون!$A16)</f>
        <v>11</v>
      </c>
      <c r="B16" s="114" t="str">
        <f aca="false">IF(الموظفون!$B16="","",الموظفون!$B16)</f>
        <v>E011</v>
      </c>
      <c r="C16" s="114" t="str">
        <f aca="false">IF($B16="","",الموظفون!$C16)</f>
        <v>جون ماتيو</v>
      </c>
      <c r="D16" s="114" t="str">
        <f aca="false">IF($B16="","",الموظفون!$F16)</f>
        <v>العمليات</v>
      </c>
      <c r="E16" s="114" t="str">
        <f aca="false">IF($B16="","",الموظفون!$E16)</f>
        <v>غير سعودي</v>
      </c>
      <c r="F16" s="114" t="str">
        <f aca="false">IF($B16="","",IF(AK16=0,IF(AND(الموظفون!$AE16&lt;&gt;"",الموظفون!$AE16&lt;$E$3),"✖ منتهي الخدمة","⏳ لم يباشر"),IF(S16&gt;0,"✈ راتب إجازة مقدم",IF(J16=0,"⛔ بدون راتب هذا الشهر",IF(I16&gt;0,"✈ خصم "&amp;ROUND(I16,2)&amp;" يوم بدون أجر",IF(AL16&gt;0,"🌴 إجازة سنوية "&amp;ROUND(AL16,2)&amp;" يوم",IF(H16&gt;0,"⚠ غياب "&amp;ROUND(H16,2)&amp;" يوم","✔ على رأس العمل")))))))</f>
        <v>✖ منتهي الخدمة</v>
      </c>
      <c r="G16" s="151" t="n">
        <f aca="false">IF($B16="","",IF(AK16&gt;=DAY($F$3),cfg_DAYS_M,MIN(AK16,cfg_DAYS_M)))</f>
        <v>0</v>
      </c>
      <c r="H16" s="151" t="n">
        <f aca="false">IF($B16="","",SUMIFS('الحركات الشهرية'!$D$6:$D$1005,'الحركات الشهرية'!$B$6:$B$1005,$B16,'الحركات الشهرية'!$A$6:$A$1005,$C$3))</f>
        <v>0</v>
      </c>
      <c r="I16" s="151" t="n">
        <f aca="false">IF($B16="","",MIN(G16,IF(AND(AK16&gt;0,AN16&gt;=AK16),G16,AN16)+SUMIFS('الحركات الشهرية'!$E$6:$E$1005,'الحركات الشهرية'!$B$6:$B$1005,$B16,'الحركات الشهرية'!$A$6:$A$1005,$C$3)))</f>
        <v>0</v>
      </c>
      <c r="J16" s="151" t="n">
        <f aca="false">IF($B16="","",MAX(0,G16-H16-I16))</f>
        <v>0</v>
      </c>
      <c r="K16" s="111" t="n">
        <f aca="false">IF($B16="","",الموظفون!$L16*$J16/cfg_DAYS_M)</f>
        <v>0</v>
      </c>
      <c r="L16" s="111" t="n">
        <f aca="false">IF($B16="","",الموظفون!$M16*$J16/cfg_DAYS_M)</f>
        <v>0</v>
      </c>
      <c r="M16" s="111" t="n">
        <f aca="false">IF($B16="","",الموظفون!$N16*$J16/cfg_DAYS_M)</f>
        <v>0</v>
      </c>
      <c r="N16" s="111" t="n">
        <f aca="false">IF($B16="","",الموظفون!$O16*$J16/cfg_DAYS_M)</f>
        <v>0</v>
      </c>
      <c r="O16" s="151" t="n">
        <f aca="false">IF($B16="","",SUMIFS('الحركات الشهرية'!$F$6:$F$1005,'الحركات الشهرية'!$B$6:$B$1005,$B16,'الحركات الشهرية'!$A$6:$A$1005,$C$3))</f>
        <v>0</v>
      </c>
      <c r="P16" s="111" t="n">
        <f aca="false">IF($B16="","",O16*(الموظفون!$P16+الموظفون!$L16*cfg_OT_P)/cfg_DAYS_M/cfg_HRS)</f>
        <v>0</v>
      </c>
      <c r="Q16" s="111" t="n">
        <f aca="false">IF($B16="","",SUMIFS('الحركات الشهرية'!$G$6:$G$1005,'الحركات الشهرية'!$B$6:$B$1005,$B16,'الحركات الشهرية'!$A$6:$A$1005,$C$3))</f>
        <v>0</v>
      </c>
      <c r="R16" s="111" t="n">
        <f aca="false">IF($B16="","",SUMIFS('الحركات الشهرية'!$H$6:$H$1005,'الحركات الشهرية'!$B$6:$B$1005,$B16,'الحركات الشهرية'!$A$6:$A$1005,$C$3))</f>
        <v>8297.2602739726</v>
      </c>
      <c r="S16" s="111" t="n">
        <f aca="false">IF($B16="","",SUMIFS('سجل الإجازات والحالات'!$N$6:$N$505,'سجل الإجازات والحالات'!$B$6:$B$505,$B16,'سجل الإجازات والحالات'!$O$6:$O$505,$C$3))</f>
        <v>0</v>
      </c>
      <c r="T16" s="152" t="n">
        <f aca="false">IF($B16="","",SUM(K16:N16)+SUM(P16:S16))</f>
        <v>8297.2602739726</v>
      </c>
      <c r="U16" s="111" t="n">
        <f aca="false">IF($B16="","",الموظفون!$S16*IF(E16="سعودي",cfg_G_SE,cfg_G_NE)*G16/cfg_DAYS_M)</f>
        <v>0</v>
      </c>
      <c r="V16" s="111" t="n">
        <f aca="false">IF($B16="","",SUMIFS('الحركات الشهرية'!$I$6:$I$1005,'الحركات الشهرية'!$B$6:$B$1005,$B16,'الحركات الشهرية'!$A$6:$A$1005,$C$3))</f>
        <v>0</v>
      </c>
      <c r="W16" s="111" t="n">
        <f aca="false">IF($B16="","",SUMIFS('الحركات الشهرية'!$J$6:$J$1005,'الحركات الشهرية'!$B$6:$B$1005,$B16,'الحركات الشهرية'!$A$6:$A$1005,$C$3))</f>
        <v>0</v>
      </c>
      <c r="X16" s="111" t="n">
        <f aca="false">IF($B16="","",SUM(U16:W16))</f>
        <v>0</v>
      </c>
      <c r="Y16" s="153" t="n">
        <f aca="false">IF($B16="","",T16-X16)</f>
        <v>8297.2602739726</v>
      </c>
      <c r="Z16" s="111" t="n">
        <f aca="false">IF($B16="","",الموظفون!$S16*IF(E16="سعودي",cfg_G_SR,cfg_G_NR)*G16/cfg_DAYS_M)</f>
        <v>0</v>
      </c>
      <c r="AA16" s="111" t="n">
        <f aca="false">IF($B16="","",الموظفون!$Q16*(cfg_EOS_R1*(MIN(AH16,cfg_EOS_TH)-MIN(AI16,cfg_EOS_TH))+cfg_EOS_R2*(MAX(AH16-cfg_EOS_TH,0)-MAX(AI16-cfg_EOS_TH,0))))</f>
        <v>0</v>
      </c>
      <c r="AB16" s="111" t="n">
        <f aca="false">IF($B16="","",IF(الموظفون!$T16&lt;&gt;"",الموظفون!$T16,IF(AH16&gt;=cfg_LV_TH,cfg_LV_D2,cfg_LV_D1))/cfg_DAYS_Y*AJ16*الموظفون!$R16/cfg_DAYS_M)</f>
        <v>0</v>
      </c>
      <c r="AC16" s="111" t="n">
        <f aca="false">IF($B16="","",IF(AND(الموظفون!$U16="نعم",N(الموظفون!$W16)&gt;0),الموظفون!$V16/الموظفون!$W16*12/cfg_DAYS_Y*AJ16,0))</f>
        <v>0</v>
      </c>
      <c r="AD16" s="111" t="n">
        <f aca="false">IF($B16="","",(IF(الموظفون!$X16&lt;&gt;"",الموظفون!$X16,IF(الموظفون!$E16="غير سعودي",cfg_IQ,0))+IF(الموظفون!$Y16&lt;&gt;"",الموظفون!$Y16,IF(الموظفون!$E16="غير سعودي",cfg_WP,0)))/12*G16/cfg_DAYS_M)</f>
        <v>0</v>
      </c>
      <c r="AE16" s="111" t="n">
        <f aca="false">IF($B16="","",IF(الموظفون!$Z16&lt;&gt;"",الموظفون!$Z16,cfg_MED)/12*G16/cfg_DAYS_M)</f>
        <v>0</v>
      </c>
      <c r="AF16" s="111" t="n">
        <f aca="false">IF($B16="","",N(الموظفون!$AA16)/12*G16/cfg_DAYS_M)</f>
        <v>0</v>
      </c>
      <c r="AG16" s="154" t="n">
        <f aca="false">IF($B16="","",T16+SUM(Z16:AF16))</f>
        <v>8297.2602739726</v>
      </c>
      <c r="AH16" s="155" t="n">
        <f aca="false">IF($B16="","",MAX(0,IF(OR(الموظفون!$AE16="",الموظفون!$AE16&gt;$F$3),$F$3,الموظفون!$AE16)-الموظفون!$H16+1-SUMIFS('سجل الإجازات والحالات'!$AN$6:$AN$505,'سجل الإجازات والحالات'!$B$6:$B$505,$B16))/cfg_DAYS_Y)</f>
        <v>7.33972602739726</v>
      </c>
      <c r="AI16" s="155" t="n">
        <f aca="false">IF($B16="","",MAX(0,IF(OR(الموظفون!$AE16="",الموظفون!$AE16&gt;($E$3-1)),($E$3-1),الموظفون!$AE16)-الموظفون!$H16+1-SUMIFS('سجل الإجازات والحالات'!$AM$6:$AM$505,'سجل الإجازات والحالات'!$B$6:$B$505,$B16))/cfg_DAYS_Y)</f>
        <v>7.33972602739726</v>
      </c>
      <c r="AJ16" s="65" t="n">
        <f aca="false">IF($B16="","",MAX(0,AK16-(SUMIFS('سجل الإجازات والحالات'!$AN$6:$AN$505,'سجل الإجازات والحالات'!$B$6:$B$505,$B16)-SUMIFS('سجل الإجازات والحالات'!$AM$6:$AM$505,'سجل الإجازات والحالات'!$B$6:$B$505,$B16))))</f>
        <v>0</v>
      </c>
      <c r="AK16" s="65" t="n">
        <f aca="false">IF($B16="","",MAX(0,IF(OR(الموظفون!$AE16="",الموظفون!$AE16&gt;$F$3),$F$3,الموظفون!$AE16)-MAX($E$3,الموظفون!$H16)+1))</f>
        <v>0</v>
      </c>
      <c r="AL16" s="151" t="n">
        <f aca="false">IF($B16="","",SUMIFS('سجل الإجازات والحالات'!$AZ$6:$AZ$505,'سجل الإجازات والحالات'!$B$6:$B$505,$B16)+SUMIFS('الحركات الشهرية'!$K$6:$K$1005,'الحركات الشهرية'!$B$6:$B$1005,$B16,'الحركات الشهرية'!$A$6:$A$1005,$C$3))</f>
        <v>0</v>
      </c>
      <c r="AM16" s="111" t="n">
        <f aca="false">IF($B16="","",AL16*الموظفون!$R16/cfg_DAYS_M+S16)</f>
        <v>0</v>
      </c>
      <c r="AN16" s="151" t="n">
        <f aca="false">IF($B16="","",SUMIFS('سجل الإجازات والحالات'!$AB$6:$AB$505,'سجل الإجازات والحالات'!$B$6:$B$505,$B16))</f>
        <v>0</v>
      </c>
    </row>
    <row r="17" customFormat="false" ht="15" hidden="false" customHeight="false" outlineLevel="0" collapsed="false">
      <c r="A17" s="115" t="n">
        <f aca="false">IF($B17="","",الموظفون!$A17)</f>
        <v>12</v>
      </c>
      <c r="B17" s="117" t="str">
        <f aca="false">IF(الموظفون!$B17="","",الموظفون!$B17)</f>
        <v>E012</v>
      </c>
      <c r="C17" s="117" t="str">
        <f aca="false">IF($B17="","",الموظفون!$C17)</f>
        <v>عمر حسين البيشي</v>
      </c>
      <c r="D17" s="117" t="str">
        <f aca="false">IF($B17="","",الموظفون!$F17)</f>
        <v>تقنية المعلومات</v>
      </c>
      <c r="E17" s="117" t="str">
        <f aca="false">IF($B17="","",الموظفون!$E17)</f>
        <v>سعودي</v>
      </c>
      <c r="F17" s="117" t="str">
        <f aca="false">IF($B17="","",IF(AK17=0,IF(AND(الموظفون!$AE17&lt;&gt;"",الموظفون!$AE17&lt;$E$3),"✖ منتهي الخدمة","⏳ لم يباشر"),IF(S17&gt;0,"✈ راتب إجازة مقدم",IF(J17=0,"⛔ بدون راتب هذا الشهر",IF(I17&gt;0,"✈ خصم "&amp;ROUND(I17,2)&amp;" يوم بدون أجر",IF(AL17&gt;0,"🌴 إجازة سنوية "&amp;ROUND(AL17,2)&amp;" يوم",IF(H17&gt;0,"⚠ غياب "&amp;ROUND(H17,2)&amp;" يوم","✔ على رأس العمل")))))))</f>
        <v>✔ على رأس العمل</v>
      </c>
      <c r="G17" s="156" t="n">
        <f aca="false">IF($B17="","",IF(AK17&gt;=DAY($F$3),cfg_DAYS_M,MIN(AK17,cfg_DAYS_M)))</f>
        <v>30</v>
      </c>
      <c r="H17" s="156" t="n">
        <f aca="false">IF($B17="","",SUMIFS('الحركات الشهرية'!$D$6:$D$1005,'الحركات الشهرية'!$B$6:$B$1005,$B17,'الحركات الشهرية'!$A$6:$A$1005,$C$3))</f>
        <v>0</v>
      </c>
      <c r="I17" s="156" t="n">
        <f aca="false">IF($B17="","",MIN(G17,IF(AND(AK17&gt;0,AN17&gt;=AK17),G17,AN17)+SUMIFS('الحركات الشهرية'!$E$6:$E$1005,'الحركات الشهرية'!$B$6:$B$1005,$B17,'الحركات الشهرية'!$A$6:$A$1005,$C$3)))</f>
        <v>0</v>
      </c>
      <c r="J17" s="156" t="n">
        <f aca="false">IF($B17="","",MAX(0,G17-H17-I17))</f>
        <v>30</v>
      </c>
      <c r="K17" s="116" t="n">
        <f aca="false">IF($B17="","",الموظفون!$L17*$J17/cfg_DAYS_M)</f>
        <v>12000</v>
      </c>
      <c r="L17" s="116" t="n">
        <f aca="false">IF($B17="","",الموظفون!$M17*$J17/cfg_DAYS_M)</f>
        <v>3000</v>
      </c>
      <c r="M17" s="116" t="n">
        <f aca="false">IF($B17="","",الموظفون!$N17*$J17/cfg_DAYS_M)</f>
        <v>1200</v>
      </c>
      <c r="N17" s="116" t="n">
        <f aca="false">IF($B17="","",الموظفون!$O17*$J17/cfg_DAYS_M)</f>
        <v>1500</v>
      </c>
      <c r="O17" s="156" t="n">
        <f aca="false">IF($B17="","",SUMIFS('الحركات الشهرية'!$F$6:$F$1005,'الحركات الشهرية'!$B$6:$B$1005,$B17,'الحركات الشهرية'!$A$6:$A$1005,$C$3))</f>
        <v>0</v>
      </c>
      <c r="P17" s="116" t="n">
        <f aca="false">IF($B17="","",O17*(الموظفون!$P17+الموظفون!$L17*cfg_OT_P)/cfg_DAYS_M/cfg_HRS)</f>
        <v>0</v>
      </c>
      <c r="Q17" s="116" t="n">
        <f aca="false">IF($B17="","",SUMIFS('الحركات الشهرية'!$G$6:$G$1005,'الحركات الشهرية'!$B$6:$B$1005,$B17,'الحركات الشهرية'!$A$6:$A$1005,$C$3))</f>
        <v>0</v>
      </c>
      <c r="R17" s="116" t="n">
        <f aca="false">IF($B17="","",SUMIFS('الحركات الشهرية'!$H$6:$H$1005,'الحركات الشهرية'!$B$6:$B$1005,$B17,'الحركات الشهرية'!$A$6:$A$1005,$C$3))</f>
        <v>0</v>
      </c>
      <c r="S17" s="116" t="n">
        <f aca="false">IF($B17="","",SUMIFS('سجل الإجازات والحالات'!$N$6:$N$505,'سجل الإجازات والحالات'!$B$6:$B$505,$B17,'سجل الإجازات والحالات'!$O$6:$O$505,$C$3))</f>
        <v>0</v>
      </c>
      <c r="T17" s="157" t="n">
        <f aca="false">IF($B17="","",SUM(K17:N17)+SUM(P17:S17))</f>
        <v>17700</v>
      </c>
      <c r="U17" s="116" t="n">
        <f aca="false">IF($B17="","",الموظفون!$S17*IF(E17="سعودي",cfg_G_SE,cfg_G_NE)*G17/cfg_DAYS_M)</f>
        <v>1462.5</v>
      </c>
      <c r="V17" s="116" t="n">
        <f aca="false">IF($B17="","",SUMIFS('الحركات الشهرية'!$I$6:$I$1005,'الحركات الشهرية'!$B$6:$B$1005,$B17,'الحركات الشهرية'!$A$6:$A$1005,$C$3))</f>
        <v>0</v>
      </c>
      <c r="W17" s="116" t="n">
        <f aca="false">IF($B17="","",SUMIFS('الحركات الشهرية'!$J$6:$J$1005,'الحركات الشهرية'!$B$6:$B$1005,$B17,'الحركات الشهرية'!$A$6:$A$1005,$C$3))</f>
        <v>0</v>
      </c>
      <c r="X17" s="116" t="n">
        <f aca="false">IF($B17="","",SUM(U17:W17))</f>
        <v>1462.5</v>
      </c>
      <c r="Y17" s="158" t="n">
        <f aca="false">IF($B17="","",T17-X17)</f>
        <v>16237.5</v>
      </c>
      <c r="Z17" s="116" t="n">
        <f aca="false">IF($B17="","",الموظفون!$S17*IF(E17="سعودي",cfg_G_SR,cfg_G_NR)*G17/cfg_DAYS_M)</f>
        <v>1762.5</v>
      </c>
      <c r="AA17" s="116" t="n">
        <f aca="false">IF($B17="","",الموظفون!$Q17*(cfg_EOS_R1*(MIN(AH17,cfg_EOS_TH)-MIN(AI17,cfg_EOS_TH))+cfg_EOS_R2*(MAX(AH17-cfg_EOS_TH,0)-MAX(AI17-cfg_EOS_TH,0))))</f>
        <v>687.945205479448</v>
      </c>
      <c r="AB17" s="116" t="n">
        <f aca="false">IF($B17="","",IF(الموظفون!$T17&lt;&gt;"",الموظفون!$T17,IF(AH17&gt;=cfg_LV_TH,cfg_LV_D2,cfg_LV_D1))/cfg_DAYS_Y*AJ17*الموظفون!$R17/cfg_DAYS_M)</f>
        <v>963.123287671233</v>
      </c>
      <c r="AC17" s="116" t="n">
        <f aca="false">IF($B17="","",IF(AND(الموظفون!$U17="نعم",N(الموظفون!$W17)&gt;0),الموظفون!$V17/الموظفون!$W17*12/cfg_DAYS_Y*AJ17,0))</f>
        <v>0</v>
      </c>
      <c r="AD17" s="116" t="n">
        <f aca="false">IF($B17="","",(IF(الموظفون!$X17&lt;&gt;"",الموظفون!$X17,IF(الموظفون!$E17="غير سعودي",cfg_IQ,0))+IF(الموظفون!$Y17&lt;&gt;"",الموظفون!$Y17,IF(الموظفون!$E17="غير سعودي",cfg_WP,0)))/12*G17/cfg_DAYS_M)</f>
        <v>0</v>
      </c>
      <c r="AE17" s="116" t="n">
        <f aca="false">IF($B17="","",IF(الموظفون!$Z17&lt;&gt;"",الموظفون!$Z17,cfg_MED)/12*G17/cfg_DAYS_M)</f>
        <v>200</v>
      </c>
      <c r="AF17" s="116" t="n">
        <f aca="false">IF($B17="","",N(الموظفون!$AA17)/12*G17/cfg_DAYS_M)</f>
        <v>0</v>
      </c>
      <c r="AG17" s="159" t="n">
        <f aca="false">IF($B17="","",T17+SUM(Z17:AF17))</f>
        <v>21313.5684931507</v>
      </c>
      <c r="AH17" s="160" t="n">
        <f aca="false">IF($B17="","",MAX(0,IF(OR(الموظفون!$AE17="",الموظفون!$AE17&gt;$F$3),$F$3,الموظفون!$AE17)-الموظفون!$H17+1-SUMIFS('سجل الإجازات والحالات'!$AN$6:$AN$505,'سجل الإجازات والحالات'!$B$6:$B$505,$B17))/cfg_DAYS_Y)</f>
        <v>4.06301369863014</v>
      </c>
      <c r="AI17" s="160" t="n">
        <f aca="false">IF($B17="","",MAX(0,IF(OR(الموظفون!$AE17="",الموظفون!$AE17&gt;($E$3-1)),($E$3-1),الموظفون!$AE17)-الموظفون!$H17+1-SUMIFS('سجل الإجازات والحالات'!$AM$6:$AM$505,'سجل الإجازات والحالات'!$B$6:$B$505,$B17))/cfg_DAYS_Y)</f>
        <v>3.97808219178082</v>
      </c>
      <c r="AJ17" s="133" t="n">
        <f aca="false">IF($B17="","",MAX(0,AK17-(SUMIFS('سجل الإجازات والحالات'!$AN$6:$AN$505,'سجل الإجازات والحالات'!$B$6:$B$505,$B17)-SUMIFS('سجل الإجازات والحالات'!$AM$6:$AM$505,'سجل الإجازات والحالات'!$B$6:$B$505,$B17))))</f>
        <v>31</v>
      </c>
      <c r="AK17" s="133" t="n">
        <f aca="false">IF($B17="","",MAX(0,IF(OR(الموظفون!$AE17="",الموظفون!$AE17&gt;$F$3),$F$3,الموظفون!$AE17)-MAX($E$3,الموظفون!$H17)+1))</f>
        <v>31</v>
      </c>
      <c r="AL17" s="156" t="n">
        <f aca="false">IF($B17="","",SUMIFS('سجل الإجازات والحالات'!$AZ$6:$AZ$505,'سجل الإجازات والحالات'!$B$6:$B$505,$B17)+SUMIFS('الحركات الشهرية'!$K$6:$K$1005,'الحركات الشهرية'!$B$6:$B$1005,$B17,'الحركات الشهرية'!$A$6:$A$1005,$C$3))</f>
        <v>0</v>
      </c>
      <c r="AM17" s="116" t="n">
        <f aca="false">IF($B17="","",AL17*الموظفون!$R17/cfg_DAYS_M+S17)</f>
        <v>0</v>
      </c>
      <c r="AN17" s="156" t="n">
        <f aca="false">IF($B17="","",SUMIFS('سجل الإجازات والحالات'!$AB$6:$AB$505,'سجل الإجازات والحالات'!$B$6:$B$505,$B17))</f>
        <v>0</v>
      </c>
    </row>
    <row r="18" customFormat="false" ht="15" hidden="false" customHeight="false" outlineLevel="0" collapsed="false">
      <c r="A18" s="106" t="str">
        <f aca="false">IF($B18="","",الموظفون!$A18)</f>
        <v/>
      </c>
      <c r="B18" s="114" t="str">
        <f aca="false">IF(الموظفون!$B18="","",الموظفون!$B18)</f>
        <v/>
      </c>
      <c r="C18" s="114" t="str">
        <f aca="false">IF($B18="","",الموظفون!$C18)</f>
        <v/>
      </c>
      <c r="D18" s="114" t="str">
        <f aca="false">IF($B18="","",الموظفون!$F18)</f>
        <v/>
      </c>
      <c r="E18" s="114" t="str">
        <f aca="false">IF($B18="","",الموظفون!$E18)</f>
        <v/>
      </c>
      <c r="F18" s="114" t="str">
        <f aca="false">IF($B18="","",IF(AK18=0,IF(AND(الموظفون!$AE18&lt;&gt;"",الموظفون!$AE18&lt;$E$3),"✖ منتهي الخدمة","⏳ لم يباشر"),IF(S18&gt;0,"✈ راتب إجازة مقدم",IF(J18=0,"⛔ بدون راتب هذا الشهر",IF(I18&gt;0,"✈ خصم "&amp;ROUND(I18,2)&amp;" يوم بدون أجر",IF(AL18&gt;0,"🌴 إجازة سنوية "&amp;ROUND(AL18,2)&amp;" يوم",IF(H18&gt;0,"⚠ غياب "&amp;ROUND(H18,2)&amp;" يوم","✔ على رأس العمل")))))))</f>
        <v/>
      </c>
      <c r="G18" s="151" t="str">
        <f aca="false">IF($B18="","",IF(AK18&gt;=DAY($F$3),cfg_DAYS_M,MIN(AK18,cfg_DAYS_M)))</f>
        <v/>
      </c>
      <c r="H18" s="151" t="str">
        <f aca="false">IF($B18="","",SUMIFS('الحركات الشهرية'!$D$6:$D$1005,'الحركات الشهرية'!$B$6:$B$1005,$B18,'الحركات الشهرية'!$A$6:$A$1005,$C$3))</f>
        <v/>
      </c>
      <c r="I18" s="151" t="str">
        <f aca="false">IF($B18="","",MIN(G18,IF(AND(AK18&gt;0,AN18&gt;=AK18),G18,AN18)+SUMIFS('الحركات الشهرية'!$E$6:$E$1005,'الحركات الشهرية'!$B$6:$B$1005,$B18,'الحركات الشهرية'!$A$6:$A$1005,$C$3)))</f>
        <v/>
      </c>
      <c r="J18" s="151" t="str">
        <f aca="false">IF($B18="","",MAX(0,G18-H18-I18))</f>
        <v/>
      </c>
      <c r="K18" s="111" t="str">
        <f aca="false">IF($B18="","",الموظفون!$L18*$J18/cfg_DAYS_M)</f>
        <v/>
      </c>
      <c r="L18" s="111" t="str">
        <f aca="false">IF($B18="","",الموظفون!$M18*$J18/cfg_DAYS_M)</f>
        <v/>
      </c>
      <c r="M18" s="111" t="str">
        <f aca="false">IF($B18="","",الموظفون!$N18*$J18/cfg_DAYS_M)</f>
        <v/>
      </c>
      <c r="N18" s="111" t="str">
        <f aca="false">IF($B18="","",الموظفون!$O18*$J18/cfg_DAYS_M)</f>
        <v/>
      </c>
      <c r="O18" s="151" t="str">
        <f aca="false">IF($B18="","",SUMIFS('الحركات الشهرية'!$F$6:$F$1005,'الحركات الشهرية'!$B$6:$B$1005,$B18,'الحركات الشهرية'!$A$6:$A$1005,$C$3))</f>
        <v/>
      </c>
      <c r="P18" s="111" t="str">
        <f aca="false">IF($B18="","",O18*(الموظفون!$P18+الموظفون!$L18*cfg_OT_P)/cfg_DAYS_M/cfg_HRS)</f>
        <v/>
      </c>
      <c r="Q18" s="111" t="str">
        <f aca="false">IF($B18="","",SUMIFS('الحركات الشهرية'!$G$6:$G$1005,'الحركات الشهرية'!$B$6:$B$1005,$B18,'الحركات الشهرية'!$A$6:$A$1005,$C$3))</f>
        <v/>
      </c>
      <c r="R18" s="111" t="str">
        <f aca="false">IF($B18="","",SUMIFS('الحركات الشهرية'!$H$6:$H$1005,'الحركات الشهرية'!$B$6:$B$1005,$B18,'الحركات الشهرية'!$A$6:$A$1005,$C$3))</f>
        <v/>
      </c>
      <c r="S18" s="111" t="str">
        <f aca="false">IF($B18="","",SUMIFS('سجل الإجازات والحالات'!$N$6:$N$505,'سجل الإجازات والحالات'!$B$6:$B$505,$B18,'سجل الإجازات والحالات'!$O$6:$O$505,$C$3))</f>
        <v/>
      </c>
      <c r="T18" s="152" t="str">
        <f aca="false">IF($B18="","",SUM(K18:N18)+SUM(P18:S18))</f>
        <v/>
      </c>
      <c r="U18" s="111" t="str">
        <f aca="false">IF($B18="","",الموظفون!$S18*IF(E18="سعودي",cfg_G_SE,cfg_G_NE)*G18/cfg_DAYS_M)</f>
        <v/>
      </c>
      <c r="V18" s="111" t="str">
        <f aca="false">IF($B18="","",SUMIFS('الحركات الشهرية'!$I$6:$I$1005,'الحركات الشهرية'!$B$6:$B$1005,$B18,'الحركات الشهرية'!$A$6:$A$1005,$C$3))</f>
        <v/>
      </c>
      <c r="W18" s="111" t="str">
        <f aca="false">IF($B18="","",SUMIFS('الحركات الشهرية'!$J$6:$J$1005,'الحركات الشهرية'!$B$6:$B$1005,$B18,'الحركات الشهرية'!$A$6:$A$1005,$C$3))</f>
        <v/>
      </c>
      <c r="X18" s="111" t="str">
        <f aca="false">IF($B18="","",SUM(U18:W18))</f>
        <v/>
      </c>
      <c r="Y18" s="153" t="str">
        <f aca="false">IF($B18="","",T18-X18)</f>
        <v/>
      </c>
      <c r="Z18" s="111" t="str">
        <f aca="false">IF($B18="","",الموظفون!$S18*IF(E18="سعودي",cfg_G_SR,cfg_G_NR)*G18/cfg_DAYS_M)</f>
        <v/>
      </c>
      <c r="AA18" s="111" t="str">
        <f aca="false">IF($B18="","",الموظفون!$Q18*(cfg_EOS_R1*(MIN(AH18,cfg_EOS_TH)-MIN(AI18,cfg_EOS_TH))+cfg_EOS_R2*(MAX(AH18-cfg_EOS_TH,0)-MAX(AI18-cfg_EOS_TH,0))))</f>
        <v/>
      </c>
      <c r="AB18" s="111" t="str">
        <f aca="false">IF($B18="","",IF(الموظفون!$T18&lt;&gt;"",الموظفون!$T18,IF(AH18&gt;=cfg_LV_TH,cfg_LV_D2,cfg_LV_D1))/cfg_DAYS_Y*AJ18*الموظفون!$R18/cfg_DAYS_M)</f>
        <v/>
      </c>
      <c r="AC18" s="111" t="str">
        <f aca="false">IF($B18="","",IF(AND(الموظفون!$U18="نعم",N(الموظفون!$W18)&gt;0),الموظفون!$V18/الموظفون!$W18*12/cfg_DAYS_Y*AJ18,0))</f>
        <v/>
      </c>
      <c r="AD18" s="111" t="str">
        <f aca="false">IF($B18="","",(IF(الموظفون!$X18&lt;&gt;"",الموظفون!$X18,IF(الموظفون!$E18="غير سعودي",cfg_IQ,0))+IF(الموظفون!$Y18&lt;&gt;"",الموظفون!$Y18,IF(الموظفون!$E18="غير سعودي",cfg_WP,0)))/12*G18/cfg_DAYS_M)</f>
        <v/>
      </c>
      <c r="AE18" s="111" t="str">
        <f aca="false">IF($B18="","",IF(الموظفون!$Z18&lt;&gt;"",الموظفون!$Z18,cfg_MED)/12*G18/cfg_DAYS_M)</f>
        <v/>
      </c>
      <c r="AF18" s="111" t="str">
        <f aca="false">IF($B18="","",N(الموظفون!$AA18)/12*G18/cfg_DAYS_M)</f>
        <v/>
      </c>
      <c r="AG18" s="154" t="str">
        <f aca="false">IF($B18="","",T18+SUM(Z18:AF18))</f>
        <v/>
      </c>
      <c r="AH18" s="155" t="str">
        <f aca="false">IF($B18="","",MAX(0,IF(OR(الموظفون!$AE18="",الموظفون!$AE18&gt;$F$3),$F$3,الموظفون!$AE18)-الموظفون!$H18+1-SUMIFS('سجل الإجازات والحالات'!$AN$6:$AN$505,'سجل الإجازات والحالات'!$B$6:$B$505,$B18))/cfg_DAYS_Y)</f>
        <v/>
      </c>
      <c r="AI18" s="155" t="str">
        <f aca="false">IF($B18="","",MAX(0,IF(OR(الموظفون!$AE18="",الموظفون!$AE18&gt;($E$3-1)),($E$3-1),الموظفون!$AE18)-الموظفون!$H18+1-SUMIFS('سجل الإجازات والحالات'!$AM$6:$AM$505,'سجل الإجازات والحالات'!$B$6:$B$505,$B18))/cfg_DAYS_Y)</f>
        <v/>
      </c>
      <c r="AJ18" s="65" t="str">
        <f aca="false">IF($B18="","",MAX(0,AK18-(SUMIFS('سجل الإجازات والحالات'!$AN$6:$AN$505,'سجل الإجازات والحالات'!$B$6:$B$505,$B18)-SUMIFS('سجل الإجازات والحالات'!$AM$6:$AM$505,'سجل الإجازات والحالات'!$B$6:$B$505,$B18))))</f>
        <v/>
      </c>
      <c r="AK18" s="65" t="str">
        <f aca="false">IF($B18="","",MAX(0,IF(OR(الموظفون!$AE18="",الموظفون!$AE18&gt;$F$3),$F$3,الموظفون!$AE18)-MAX($E$3,الموظفون!$H18)+1))</f>
        <v/>
      </c>
      <c r="AL18" s="151" t="str">
        <f aca="false">IF($B18="","",SUMIFS('سجل الإجازات والحالات'!$AZ$6:$AZ$505,'سجل الإجازات والحالات'!$B$6:$B$505,$B18)+SUMIFS('الحركات الشهرية'!$K$6:$K$1005,'الحركات الشهرية'!$B$6:$B$1005,$B18,'الحركات الشهرية'!$A$6:$A$1005,$C$3))</f>
        <v/>
      </c>
      <c r="AM18" s="111" t="str">
        <f aca="false">IF($B18="","",AL18*الموظفون!$R18/cfg_DAYS_M+S18)</f>
        <v/>
      </c>
      <c r="AN18" s="151" t="str">
        <f aca="false">IF($B18="","",SUMIFS('سجل الإجازات والحالات'!$AB$6:$AB$505,'سجل الإجازات والحالات'!$B$6:$B$505,$B18))</f>
        <v/>
      </c>
    </row>
    <row r="19" customFormat="false" ht="15" hidden="false" customHeight="false" outlineLevel="0" collapsed="false">
      <c r="A19" s="115" t="str">
        <f aca="false">IF($B19="","",الموظفون!$A19)</f>
        <v/>
      </c>
      <c r="B19" s="117" t="str">
        <f aca="false">IF(الموظفون!$B19="","",الموظفون!$B19)</f>
        <v/>
      </c>
      <c r="C19" s="117" t="str">
        <f aca="false">IF($B19="","",الموظفون!$C19)</f>
        <v/>
      </c>
      <c r="D19" s="117" t="str">
        <f aca="false">IF($B19="","",الموظفون!$F19)</f>
        <v/>
      </c>
      <c r="E19" s="117" t="str">
        <f aca="false">IF($B19="","",الموظفون!$E19)</f>
        <v/>
      </c>
      <c r="F19" s="117" t="str">
        <f aca="false">IF($B19="","",IF(AK19=0,IF(AND(الموظفون!$AE19&lt;&gt;"",الموظفون!$AE19&lt;$E$3),"✖ منتهي الخدمة","⏳ لم يباشر"),IF(S19&gt;0,"✈ راتب إجازة مقدم",IF(J19=0,"⛔ بدون راتب هذا الشهر",IF(I19&gt;0,"✈ خصم "&amp;ROUND(I19,2)&amp;" يوم بدون أجر",IF(AL19&gt;0,"🌴 إجازة سنوية "&amp;ROUND(AL19,2)&amp;" يوم",IF(H19&gt;0,"⚠ غياب "&amp;ROUND(H19,2)&amp;" يوم","✔ على رأس العمل")))))))</f>
        <v/>
      </c>
      <c r="G19" s="156" t="str">
        <f aca="false">IF($B19="","",IF(AK19&gt;=DAY($F$3),cfg_DAYS_M,MIN(AK19,cfg_DAYS_M)))</f>
        <v/>
      </c>
      <c r="H19" s="156" t="str">
        <f aca="false">IF($B19="","",SUMIFS('الحركات الشهرية'!$D$6:$D$1005,'الحركات الشهرية'!$B$6:$B$1005,$B19,'الحركات الشهرية'!$A$6:$A$1005,$C$3))</f>
        <v/>
      </c>
      <c r="I19" s="156" t="str">
        <f aca="false">IF($B19="","",MIN(G19,IF(AND(AK19&gt;0,AN19&gt;=AK19),G19,AN19)+SUMIFS('الحركات الشهرية'!$E$6:$E$1005,'الحركات الشهرية'!$B$6:$B$1005,$B19,'الحركات الشهرية'!$A$6:$A$1005,$C$3)))</f>
        <v/>
      </c>
      <c r="J19" s="156" t="str">
        <f aca="false">IF($B19="","",MAX(0,G19-H19-I19))</f>
        <v/>
      </c>
      <c r="K19" s="116" t="str">
        <f aca="false">IF($B19="","",الموظفون!$L19*$J19/cfg_DAYS_M)</f>
        <v/>
      </c>
      <c r="L19" s="116" t="str">
        <f aca="false">IF($B19="","",الموظفون!$M19*$J19/cfg_DAYS_M)</f>
        <v/>
      </c>
      <c r="M19" s="116" t="str">
        <f aca="false">IF($B19="","",الموظفون!$N19*$J19/cfg_DAYS_M)</f>
        <v/>
      </c>
      <c r="N19" s="116" t="str">
        <f aca="false">IF($B19="","",الموظفون!$O19*$J19/cfg_DAYS_M)</f>
        <v/>
      </c>
      <c r="O19" s="156" t="str">
        <f aca="false">IF($B19="","",SUMIFS('الحركات الشهرية'!$F$6:$F$1005,'الحركات الشهرية'!$B$6:$B$1005,$B19,'الحركات الشهرية'!$A$6:$A$1005,$C$3))</f>
        <v/>
      </c>
      <c r="P19" s="116" t="str">
        <f aca="false">IF($B19="","",O19*(الموظفون!$P19+الموظفون!$L19*cfg_OT_P)/cfg_DAYS_M/cfg_HRS)</f>
        <v/>
      </c>
      <c r="Q19" s="116" t="str">
        <f aca="false">IF($B19="","",SUMIFS('الحركات الشهرية'!$G$6:$G$1005,'الحركات الشهرية'!$B$6:$B$1005,$B19,'الحركات الشهرية'!$A$6:$A$1005,$C$3))</f>
        <v/>
      </c>
      <c r="R19" s="116" t="str">
        <f aca="false">IF($B19="","",SUMIFS('الحركات الشهرية'!$H$6:$H$1005,'الحركات الشهرية'!$B$6:$B$1005,$B19,'الحركات الشهرية'!$A$6:$A$1005,$C$3))</f>
        <v/>
      </c>
      <c r="S19" s="116" t="str">
        <f aca="false">IF($B19="","",SUMIFS('سجل الإجازات والحالات'!$N$6:$N$505,'سجل الإجازات والحالات'!$B$6:$B$505,$B19,'سجل الإجازات والحالات'!$O$6:$O$505,$C$3))</f>
        <v/>
      </c>
      <c r="T19" s="157" t="str">
        <f aca="false">IF($B19="","",SUM(K19:N19)+SUM(P19:S19))</f>
        <v/>
      </c>
      <c r="U19" s="116" t="str">
        <f aca="false">IF($B19="","",الموظفون!$S19*IF(E19="سعودي",cfg_G_SE,cfg_G_NE)*G19/cfg_DAYS_M)</f>
        <v/>
      </c>
      <c r="V19" s="116" t="str">
        <f aca="false">IF($B19="","",SUMIFS('الحركات الشهرية'!$I$6:$I$1005,'الحركات الشهرية'!$B$6:$B$1005,$B19,'الحركات الشهرية'!$A$6:$A$1005,$C$3))</f>
        <v/>
      </c>
      <c r="W19" s="116" t="str">
        <f aca="false">IF($B19="","",SUMIFS('الحركات الشهرية'!$J$6:$J$1005,'الحركات الشهرية'!$B$6:$B$1005,$B19,'الحركات الشهرية'!$A$6:$A$1005,$C$3))</f>
        <v/>
      </c>
      <c r="X19" s="116" t="str">
        <f aca="false">IF($B19="","",SUM(U19:W19))</f>
        <v/>
      </c>
      <c r="Y19" s="158" t="str">
        <f aca="false">IF($B19="","",T19-X19)</f>
        <v/>
      </c>
      <c r="Z19" s="116" t="str">
        <f aca="false">IF($B19="","",الموظفون!$S19*IF(E19="سعودي",cfg_G_SR,cfg_G_NR)*G19/cfg_DAYS_M)</f>
        <v/>
      </c>
      <c r="AA19" s="116" t="str">
        <f aca="false">IF($B19="","",الموظفون!$Q19*(cfg_EOS_R1*(MIN(AH19,cfg_EOS_TH)-MIN(AI19,cfg_EOS_TH))+cfg_EOS_R2*(MAX(AH19-cfg_EOS_TH,0)-MAX(AI19-cfg_EOS_TH,0))))</f>
        <v/>
      </c>
      <c r="AB19" s="116" t="str">
        <f aca="false">IF($B19="","",IF(الموظفون!$T19&lt;&gt;"",الموظفون!$T19,IF(AH19&gt;=cfg_LV_TH,cfg_LV_D2,cfg_LV_D1))/cfg_DAYS_Y*AJ19*الموظفون!$R19/cfg_DAYS_M)</f>
        <v/>
      </c>
      <c r="AC19" s="116" t="str">
        <f aca="false">IF($B19="","",IF(AND(الموظفون!$U19="نعم",N(الموظفون!$W19)&gt;0),الموظفون!$V19/الموظفون!$W19*12/cfg_DAYS_Y*AJ19,0))</f>
        <v/>
      </c>
      <c r="AD19" s="116" t="str">
        <f aca="false">IF($B19="","",(IF(الموظفون!$X19&lt;&gt;"",الموظفون!$X19,IF(الموظفون!$E19="غير سعودي",cfg_IQ,0))+IF(الموظفون!$Y19&lt;&gt;"",الموظفون!$Y19,IF(الموظفون!$E19="غير سعودي",cfg_WP,0)))/12*G19/cfg_DAYS_M)</f>
        <v/>
      </c>
      <c r="AE19" s="116" t="str">
        <f aca="false">IF($B19="","",IF(الموظفون!$Z19&lt;&gt;"",الموظفون!$Z19,cfg_MED)/12*G19/cfg_DAYS_M)</f>
        <v/>
      </c>
      <c r="AF19" s="116" t="str">
        <f aca="false">IF($B19="","",N(الموظفون!$AA19)/12*G19/cfg_DAYS_M)</f>
        <v/>
      </c>
      <c r="AG19" s="159" t="str">
        <f aca="false">IF($B19="","",T19+SUM(Z19:AF19))</f>
        <v/>
      </c>
      <c r="AH19" s="160" t="str">
        <f aca="false">IF($B19="","",MAX(0,IF(OR(الموظفون!$AE19="",الموظفون!$AE19&gt;$F$3),$F$3,الموظفون!$AE19)-الموظفون!$H19+1-SUMIFS('سجل الإجازات والحالات'!$AN$6:$AN$505,'سجل الإجازات والحالات'!$B$6:$B$505,$B19))/cfg_DAYS_Y)</f>
        <v/>
      </c>
      <c r="AI19" s="160" t="str">
        <f aca="false">IF($B19="","",MAX(0,IF(OR(الموظفون!$AE19="",الموظفون!$AE19&gt;($E$3-1)),($E$3-1),الموظفون!$AE19)-الموظفون!$H19+1-SUMIFS('سجل الإجازات والحالات'!$AM$6:$AM$505,'سجل الإجازات والحالات'!$B$6:$B$505,$B19))/cfg_DAYS_Y)</f>
        <v/>
      </c>
      <c r="AJ19" s="133" t="str">
        <f aca="false">IF($B19="","",MAX(0,AK19-(SUMIFS('سجل الإجازات والحالات'!$AN$6:$AN$505,'سجل الإجازات والحالات'!$B$6:$B$505,$B19)-SUMIFS('سجل الإجازات والحالات'!$AM$6:$AM$505,'سجل الإجازات والحالات'!$B$6:$B$505,$B19))))</f>
        <v/>
      </c>
      <c r="AK19" s="133" t="str">
        <f aca="false">IF($B19="","",MAX(0,IF(OR(الموظفون!$AE19="",الموظفون!$AE19&gt;$F$3),$F$3,الموظفون!$AE19)-MAX($E$3,الموظفون!$H19)+1))</f>
        <v/>
      </c>
      <c r="AL19" s="156" t="str">
        <f aca="false">IF($B19="","",SUMIFS('سجل الإجازات والحالات'!$AZ$6:$AZ$505,'سجل الإجازات والحالات'!$B$6:$B$505,$B19)+SUMIFS('الحركات الشهرية'!$K$6:$K$1005,'الحركات الشهرية'!$B$6:$B$1005,$B19,'الحركات الشهرية'!$A$6:$A$1005,$C$3))</f>
        <v/>
      </c>
      <c r="AM19" s="116" t="str">
        <f aca="false">IF($B19="","",AL19*الموظفون!$R19/cfg_DAYS_M+S19)</f>
        <v/>
      </c>
      <c r="AN19" s="156" t="str">
        <f aca="false">IF($B19="","",SUMIFS('سجل الإجازات والحالات'!$AB$6:$AB$505,'سجل الإجازات والحالات'!$B$6:$B$505,$B19))</f>
        <v/>
      </c>
    </row>
    <row r="20" customFormat="false" ht="15" hidden="false" customHeight="false" outlineLevel="0" collapsed="false">
      <c r="A20" s="106" t="str">
        <f aca="false">IF($B20="","",الموظفون!$A20)</f>
        <v/>
      </c>
      <c r="B20" s="114" t="str">
        <f aca="false">IF(الموظفون!$B20="","",الموظفون!$B20)</f>
        <v/>
      </c>
      <c r="C20" s="114" t="str">
        <f aca="false">IF($B20="","",الموظفون!$C20)</f>
        <v/>
      </c>
      <c r="D20" s="114" t="str">
        <f aca="false">IF($B20="","",الموظفون!$F20)</f>
        <v/>
      </c>
      <c r="E20" s="114" t="str">
        <f aca="false">IF($B20="","",الموظفون!$E20)</f>
        <v/>
      </c>
      <c r="F20" s="114" t="str">
        <f aca="false">IF($B20="","",IF(AK20=0,IF(AND(الموظفون!$AE20&lt;&gt;"",الموظفون!$AE20&lt;$E$3),"✖ منتهي الخدمة","⏳ لم يباشر"),IF(S20&gt;0,"✈ راتب إجازة مقدم",IF(J20=0,"⛔ بدون راتب هذا الشهر",IF(I20&gt;0,"✈ خصم "&amp;ROUND(I20,2)&amp;" يوم بدون أجر",IF(AL20&gt;0,"🌴 إجازة سنوية "&amp;ROUND(AL20,2)&amp;" يوم",IF(H20&gt;0,"⚠ غياب "&amp;ROUND(H20,2)&amp;" يوم","✔ على رأس العمل")))))))</f>
        <v/>
      </c>
      <c r="G20" s="151" t="str">
        <f aca="false">IF($B20="","",IF(AK20&gt;=DAY($F$3),cfg_DAYS_M,MIN(AK20,cfg_DAYS_M)))</f>
        <v/>
      </c>
      <c r="H20" s="151" t="str">
        <f aca="false">IF($B20="","",SUMIFS('الحركات الشهرية'!$D$6:$D$1005,'الحركات الشهرية'!$B$6:$B$1005,$B20,'الحركات الشهرية'!$A$6:$A$1005,$C$3))</f>
        <v/>
      </c>
      <c r="I20" s="151" t="str">
        <f aca="false">IF($B20="","",MIN(G20,IF(AND(AK20&gt;0,AN20&gt;=AK20),G20,AN20)+SUMIFS('الحركات الشهرية'!$E$6:$E$1005,'الحركات الشهرية'!$B$6:$B$1005,$B20,'الحركات الشهرية'!$A$6:$A$1005,$C$3)))</f>
        <v/>
      </c>
      <c r="J20" s="151" t="str">
        <f aca="false">IF($B20="","",MAX(0,G20-H20-I20))</f>
        <v/>
      </c>
      <c r="K20" s="111" t="str">
        <f aca="false">IF($B20="","",الموظفون!$L20*$J20/cfg_DAYS_M)</f>
        <v/>
      </c>
      <c r="L20" s="111" t="str">
        <f aca="false">IF($B20="","",الموظفون!$M20*$J20/cfg_DAYS_M)</f>
        <v/>
      </c>
      <c r="M20" s="111" t="str">
        <f aca="false">IF($B20="","",الموظفون!$N20*$J20/cfg_DAYS_M)</f>
        <v/>
      </c>
      <c r="N20" s="111" t="str">
        <f aca="false">IF($B20="","",الموظفون!$O20*$J20/cfg_DAYS_M)</f>
        <v/>
      </c>
      <c r="O20" s="151" t="str">
        <f aca="false">IF($B20="","",SUMIFS('الحركات الشهرية'!$F$6:$F$1005,'الحركات الشهرية'!$B$6:$B$1005,$B20,'الحركات الشهرية'!$A$6:$A$1005,$C$3))</f>
        <v/>
      </c>
      <c r="P20" s="111" t="str">
        <f aca="false">IF($B20="","",O20*(الموظفون!$P20+الموظفون!$L20*cfg_OT_P)/cfg_DAYS_M/cfg_HRS)</f>
        <v/>
      </c>
      <c r="Q20" s="111" t="str">
        <f aca="false">IF($B20="","",SUMIFS('الحركات الشهرية'!$G$6:$G$1005,'الحركات الشهرية'!$B$6:$B$1005,$B20,'الحركات الشهرية'!$A$6:$A$1005,$C$3))</f>
        <v/>
      </c>
      <c r="R20" s="111" t="str">
        <f aca="false">IF($B20="","",SUMIFS('الحركات الشهرية'!$H$6:$H$1005,'الحركات الشهرية'!$B$6:$B$1005,$B20,'الحركات الشهرية'!$A$6:$A$1005,$C$3))</f>
        <v/>
      </c>
      <c r="S20" s="111" t="str">
        <f aca="false">IF($B20="","",SUMIFS('سجل الإجازات والحالات'!$N$6:$N$505,'سجل الإجازات والحالات'!$B$6:$B$505,$B20,'سجل الإجازات والحالات'!$O$6:$O$505,$C$3))</f>
        <v/>
      </c>
      <c r="T20" s="152" t="str">
        <f aca="false">IF($B20="","",SUM(K20:N20)+SUM(P20:S20))</f>
        <v/>
      </c>
      <c r="U20" s="111" t="str">
        <f aca="false">IF($B20="","",الموظفون!$S20*IF(E20="سعودي",cfg_G_SE,cfg_G_NE)*G20/cfg_DAYS_M)</f>
        <v/>
      </c>
      <c r="V20" s="111" t="str">
        <f aca="false">IF($B20="","",SUMIFS('الحركات الشهرية'!$I$6:$I$1005,'الحركات الشهرية'!$B$6:$B$1005,$B20,'الحركات الشهرية'!$A$6:$A$1005,$C$3))</f>
        <v/>
      </c>
      <c r="W20" s="111" t="str">
        <f aca="false">IF($B20="","",SUMIFS('الحركات الشهرية'!$J$6:$J$1005,'الحركات الشهرية'!$B$6:$B$1005,$B20,'الحركات الشهرية'!$A$6:$A$1005,$C$3))</f>
        <v/>
      </c>
      <c r="X20" s="111" t="str">
        <f aca="false">IF($B20="","",SUM(U20:W20))</f>
        <v/>
      </c>
      <c r="Y20" s="153" t="str">
        <f aca="false">IF($B20="","",T20-X20)</f>
        <v/>
      </c>
      <c r="Z20" s="111" t="str">
        <f aca="false">IF($B20="","",الموظفون!$S20*IF(E20="سعودي",cfg_G_SR,cfg_G_NR)*G20/cfg_DAYS_M)</f>
        <v/>
      </c>
      <c r="AA20" s="111" t="str">
        <f aca="false">IF($B20="","",الموظفون!$Q20*(cfg_EOS_R1*(MIN(AH20,cfg_EOS_TH)-MIN(AI20,cfg_EOS_TH))+cfg_EOS_R2*(MAX(AH20-cfg_EOS_TH,0)-MAX(AI20-cfg_EOS_TH,0))))</f>
        <v/>
      </c>
      <c r="AB20" s="111" t="str">
        <f aca="false">IF($B20="","",IF(الموظفون!$T20&lt;&gt;"",الموظفون!$T20,IF(AH20&gt;=cfg_LV_TH,cfg_LV_D2,cfg_LV_D1))/cfg_DAYS_Y*AJ20*الموظفون!$R20/cfg_DAYS_M)</f>
        <v/>
      </c>
      <c r="AC20" s="111" t="str">
        <f aca="false">IF($B20="","",IF(AND(الموظفون!$U20="نعم",N(الموظفون!$W20)&gt;0),الموظفون!$V20/الموظفون!$W20*12/cfg_DAYS_Y*AJ20,0))</f>
        <v/>
      </c>
      <c r="AD20" s="111" t="str">
        <f aca="false">IF($B20="","",(IF(الموظفون!$X20&lt;&gt;"",الموظفون!$X20,IF(الموظفون!$E20="غير سعودي",cfg_IQ,0))+IF(الموظفون!$Y20&lt;&gt;"",الموظفون!$Y20,IF(الموظفون!$E20="غير سعودي",cfg_WP,0)))/12*G20/cfg_DAYS_M)</f>
        <v/>
      </c>
      <c r="AE20" s="111" t="str">
        <f aca="false">IF($B20="","",IF(الموظفون!$Z20&lt;&gt;"",الموظفون!$Z20,cfg_MED)/12*G20/cfg_DAYS_M)</f>
        <v/>
      </c>
      <c r="AF20" s="111" t="str">
        <f aca="false">IF($B20="","",N(الموظفون!$AA20)/12*G20/cfg_DAYS_M)</f>
        <v/>
      </c>
      <c r="AG20" s="154" t="str">
        <f aca="false">IF($B20="","",T20+SUM(Z20:AF20))</f>
        <v/>
      </c>
      <c r="AH20" s="155" t="str">
        <f aca="false">IF($B20="","",MAX(0,IF(OR(الموظفون!$AE20="",الموظفون!$AE20&gt;$F$3),$F$3,الموظفون!$AE20)-الموظفون!$H20+1-SUMIFS('سجل الإجازات والحالات'!$AN$6:$AN$505,'سجل الإجازات والحالات'!$B$6:$B$505,$B20))/cfg_DAYS_Y)</f>
        <v/>
      </c>
      <c r="AI20" s="155" t="str">
        <f aca="false">IF($B20="","",MAX(0,IF(OR(الموظفون!$AE20="",الموظفون!$AE20&gt;($E$3-1)),($E$3-1),الموظفون!$AE20)-الموظفون!$H20+1-SUMIFS('سجل الإجازات والحالات'!$AM$6:$AM$505,'سجل الإجازات والحالات'!$B$6:$B$505,$B20))/cfg_DAYS_Y)</f>
        <v/>
      </c>
      <c r="AJ20" s="65" t="str">
        <f aca="false">IF($B20="","",MAX(0,AK20-(SUMIFS('سجل الإجازات والحالات'!$AN$6:$AN$505,'سجل الإجازات والحالات'!$B$6:$B$505,$B20)-SUMIFS('سجل الإجازات والحالات'!$AM$6:$AM$505,'سجل الإجازات والحالات'!$B$6:$B$505,$B20))))</f>
        <v/>
      </c>
      <c r="AK20" s="65" t="str">
        <f aca="false">IF($B20="","",MAX(0,IF(OR(الموظفون!$AE20="",الموظفون!$AE20&gt;$F$3),$F$3,الموظفون!$AE20)-MAX($E$3,الموظفون!$H20)+1))</f>
        <v/>
      </c>
      <c r="AL20" s="151" t="str">
        <f aca="false">IF($B20="","",SUMIFS('سجل الإجازات والحالات'!$AZ$6:$AZ$505,'سجل الإجازات والحالات'!$B$6:$B$505,$B20)+SUMIFS('الحركات الشهرية'!$K$6:$K$1005,'الحركات الشهرية'!$B$6:$B$1005,$B20,'الحركات الشهرية'!$A$6:$A$1005,$C$3))</f>
        <v/>
      </c>
      <c r="AM20" s="111" t="str">
        <f aca="false">IF($B20="","",AL20*الموظفون!$R20/cfg_DAYS_M+S20)</f>
        <v/>
      </c>
      <c r="AN20" s="151" t="str">
        <f aca="false">IF($B20="","",SUMIFS('سجل الإجازات والحالات'!$AB$6:$AB$505,'سجل الإجازات والحالات'!$B$6:$B$505,$B20))</f>
        <v/>
      </c>
    </row>
    <row r="21" customFormat="false" ht="15" hidden="false" customHeight="false" outlineLevel="0" collapsed="false">
      <c r="A21" s="115" t="str">
        <f aca="false">IF($B21="","",الموظفون!$A21)</f>
        <v/>
      </c>
      <c r="B21" s="117" t="str">
        <f aca="false">IF(الموظفون!$B21="","",الموظفون!$B21)</f>
        <v/>
      </c>
      <c r="C21" s="117" t="str">
        <f aca="false">IF($B21="","",الموظفون!$C21)</f>
        <v/>
      </c>
      <c r="D21" s="117" t="str">
        <f aca="false">IF($B21="","",الموظفون!$F21)</f>
        <v/>
      </c>
      <c r="E21" s="117" t="str">
        <f aca="false">IF($B21="","",الموظفون!$E21)</f>
        <v/>
      </c>
      <c r="F21" s="117" t="str">
        <f aca="false">IF($B21="","",IF(AK21=0,IF(AND(الموظفون!$AE21&lt;&gt;"",الموظفون!$AE21&lt;$E$3),"✖ منتهي الخدمة","⏳ لم يباشر"),IF(S21&gt;0,"✈ راتب إجازة مقدم",IF(J21=0,"⛔ بدون راتب هذا الشهر",IF(I21&gt;0,"✈ خصم "&amp;ROUND(I21,2)&amp;" يوم بدون أجر",IF(AL21&gt;0,"🌴 إجازة سنوية "&amp;ROUND(AL21,2)&amp;" يوم",IF(H21&gt;0,"⚠ غياب "&amp;ROUND(H21,2)&amp;" يوم","✔ على رأس العمل")))))))</f>
        <v/>
      </c>
      <c r="G21" s="156" t="str">
        <f aca="false">IF($B21="","",IF(AK21&gt;=DAY($F$3),cfg_DAYS_M,MIN(AK21,cfg_DAYS_M)))</f>
        <v/>
      </c>
      <c r="H21" s="156" t="str">
        <f aca="false">IF($B21="","",SUMIFS('الحركات الشهرية'!$D$6:$D$1005,'الحركات الشهرية'!$B$6:$B$1005,$B21,'الحركات الشهرية'!$A$6:$A$1005,$C$3))</f>
        <v/>
      </c>
      <c r="I21" s="156" t="str">
        <f aca="false">IF($B21="","",MIN(G21,IF(AND(AK21&gt;0,AN21&gt;=AK21),G21,AN21)+SUMIFS('الحركات الشهرية'!$E$6:$E$1005,'الحركات الشهرية'!$B$6:$B$1005,$B21,'الحركات الشهرية'!$A$6:$A$1005,$C$3)))</f>
        <v/>
      </c>
      <c r="J21" s="156" t="str">
        <f aca="false">IF($B21="","",MAX(0,G21-H21-I21))</f>
        <v/>
      </c>
      <c r="K21" s="116" t="str">
        <f aca="false">IF($B21="","",الموظفون!$L21*$J21/cfg_DAYS_M)</f>
        <v/>
      </c>
      <c r="L21" s="116" t="str">
        <f aca="false">IF($B21="","",الموظفون!$M21*$J21/cfg_DAYS_M)</f>
        <v/>
      </c>
      <c r="M21" s="116" t="str">
        <f aca="false">IF($B21="","",الموظفون!$N21*$J21/cfg_DAYS_M)</f>
        <v/>
      </c>
      <c r="N21" s="116" t="str">
        <f aca="false">IF($B21="","",الموظفون!$O21*$J21/cfg_DAYS_M)</f>
        <v/>
      </c>
      <c r="O21" s="156" t="str">
        <f aca="false">IF($B21="","",SUMIFS('الحركات الشهرية'!$F$6:$F$1005,'الحركات الشهرية'!$B$6:$B$1005,$B21,'الحركات الشهرية'!$A$6:$A$1005,$C$3))</f>
        <v/>
      </c>
      <c r="P21" s="116" t="str">
        <f aca="false">IF($B21="","",O21*(الموظفون!$P21+الموظفون!$L21*cfg_OT_P)/cfg_DAYS_M/cfg_HRS)</f>
        <v/>
      </c>
      <c r="Q21" s="116" t="str">
        <f aca="false">IF($B21="","",SUMIFS('الحركات الشهرية'!$G$6:$G$1005,'الحركات الشهرية'!$B$6:$B$1005,$B21,'الحركات الشهرية'!$A$6:$A$1005,$C$3))</f>
        <v/>
      </c>
      <c r="R21" s="116" t="str">
        <f aca="false">IF($B21="","",SUMIFS('الحركات الشهرية'!$H$6:$H$1005,'الحركات الشهرية'!$B$6:$B$1005,$B21,'الحركات الشهرية'!$A$6:$A$1005,$C$3))</f>
        <v/>
      </c>
      <c r="S21" s="116" t="str">
        <f aca="false">IF($B21="","",SUMIFS('سجل الإجازات والحالات'!$N$6:$N$505,'سجل الإجازات والحالات'!$B$6:$B$505,$B21,'سجل الإجازات والحالات'!$O$6:$O$505,$C$3))</f>
        <v/>
      </c>
      <c r="T21" s="157" t="str">
        <f aca="false">IF($B21="","",SUM(K21:N21)+SUM(P21:S21))</f>
        <v/>
      </c>
      <c r="U21" s="116" t="str">
        <f aca="false">IF($B21="","",الموظفون!$S21*IF(E21="سعودي",cfg_G_SE,cfg_G_NE)*G21/cfg_DAYS_M)</f>
        <v/>
      </c>
      <c r="V21" s="116" t="str">
        <f aca="false">IF($B21="","",SUMIFS('الحركات الشهرية'!$I$6:$I$1005,'الحركات الشهرية'!$B$6:$B$1005,$B21,'الحركات الشهرية'!$A$6:$A$1005,$C$3))</f>
        <v/>
      </c>
      <c r="W21" s="116" t="str">
        <f aca="false">IF($B21="","",SUMIFS('الحركات الشهرية'!$J$6:$J$1005,'الحركات الشهرية'!$B$6:$B$1005,$B21,'الحركات الشهرية'!$A$6:$A$1005,$C$3))</f>
        <v/>
      </c>
      <c r="X21" s="116" t="str">
        <f aca="false">IF($B21="","",SUM(U21:W21))</f>
        <v/>
      </c>
      <c r="Y21" s="158" t="str">
        <f aca="false">IF($B21="","",T21-X21)</f>
        <v/>
      </c>
      <c r="Z21" s="116" t="str">
        <f aca="false">IF($B21="","",الموظفون!$S21*IF(E21="سعودي",cfg_G_SR,cfg_G_NR)*G21/cfg_DAYS_M)</f>
        <v/>
      </c>
      <c r="AA21" s="116" t="str">
        <f aca="false">IF($B21="","",الموظفون!$Q21*(cfg_EOS_R1*(MIN(AH21,cfg_EOS_TH)-MIN(AI21,cfg_EOS_TH))+cfg_EOS_R2*(MAX(AH21-cfg_EOS_TH,0)-MAX(AI21-cfg_EOS_TH,0))))</f>
        <v/>
      </c>
      <c r="AB21" s="116" t="str">
        <f aca="false">IF($B21="","",IF(الموظفون!$T21&lt;&gt;"",الموظفون!$T21,IF(AH21&gt;=cfg_LV_TH,cfg_LV_D2,cfg_LV_D1))/cfg_DAYS_Y*AJ21*الموظفون!$R21/cfg_DAYS_M)</f>
        <v/>
      </c>
      <c r="AC21" s="116" t="str">
        <f aca="false">IF($B21="","",IF(AND(الموظفون!$U21="نعم",N(الموظفون!$W21)&gt;0),الموظفون!$V21/الموظفون!$W21*12/cfg_DAYS_Y*AJ21,0))</f>
        <v/>
      </c>
      <c r="AD21" s="116" t="str">
        <f aca="false">IF($B21="","",(IF(الموظفون!$X21&lt;&gt;"",الموظفون!$X21,IF(الموظفون!$E21="غير سعودي",cfg_IQ,0))+IF(الموظفون!$Y21&lt;&gt;"",الموظفون!$Y21,IF(الموظفون!$E21="غير سعودي",cfg_WP,0)))/12*G21/cfg_DAYS_M)</f>
        <v/>
      </c>
      <c r="AE21" s="116" t="str">
        <f aca="false">IF($B21="","",IF(الموظفون!$Z21&lt;&gt;"",الموظفون!$Z21,cfg_MED)/12*G21/cfg_DAYS_M)</f>
        <v/>
      </c>
      <c r="AF21" s="116" t="str">
        <f aca="false">IF($B21="","",N(الموظفون!$AA21)/12*G21/cfg_DAYS_M)</f>
        <v/>
      </c>
      <c r="AG21" s="159" t="str">
        <f aca="false">IF($B21="","",T21+SUM(Z21:AF21))</f>
        <v/>
      </c>
      <c r="AH21" s="160" t="str">
        <f aca="false">IF($B21="","",MAX(0,IF(OR(الموظفون!$AE21="",الموظفون!$AE21&gt;$F$3),$F$3,الموظفون!$AE21)-الموظفون!$H21+1-SUMIFS('سجل الإجازات والحالات'!$AN$6:$AN$505,'سجل الإجازات والحالات'!$B$6:$B$505,$B21))/cfg_DAYS_Y)</f>
        <v/>
      </c>
      <c r="AI21" s="160" t="str">
        <f aca="false">IF($B21="","",MAX(0,IF(OR(الموظفون!$AE21="",الموظفون!$AE21&gt;($E$3-1)),($E$3-1),الموظفون!$AE21)-الموظفون!$H21+1-SUMIFS('سجل الإجازات والحالات'!$AM$6:$AM$505,'سجل الإجازات والحالات'!$B$6:$B$505,$B21))/cfg_DAYS_Y)</f>
        <v/>
      </c>
      <c r="AJ21" s="133" t="str">
        <f aca="false">IF($B21="","",MAX(0,AK21-(SUMIFS('سجل الإجازات والحالات'!$AN$6:$AN$505,'سجل الإجازات والحالات'!$B$6:$B$505,$B21)-SUMIFS('سجل الإجازات والحالات'!$AM$6:$AM$505,'سجل الإجازات والحالات'!$B$6:$B$505,$B21))))</f>
        <v/>
      </c>
      <c r="AK21" s="133" t="str">
        <f aca="false">IF($B21="","",MAX(0,IF(OR(الموظفون!$AE21="",الموظفون!$AE21&gt;$F$3),$F$3,الموظفون!$AE21)-MAX($E$3,الموظفون!$H21)+1))</f>
        <v/>
      </c>
      <c r="AL21" s="156" t="str">
        <f aca="false">IF($B21="","",SUMIFS('سجل الإجازات والحالات'!$AZ$6:$AZ$505,'سجل الإجازات والحالات'!$B$6:$B$505,$B21)+SUMIFS('الحركات الشهرية'!$K$6:$K$1005,'الحركات الشهرية'!$B$6:$B$1005,$B21,'الحركات الشهرية'!$A$6:$A$1005,$C$3))</f>
        <v/>
      </c>
      <c r="AM21" s="116" t="str">
        <f aca="false">IF($B21="","",AL21*الموظفون!$R21/cfg_DAYS_M+S21)</f>
        <v/>
      </c>
      <c r="AN21" s="156" t="str">
        <f aca="false">IF($B21="","",SUMIFS('سجل الإجازات والحالات'!$AB$6:$AB$505,'سجل الإجازات والحالات'!$B$6:$B$505,$B21))</f>
        <v/>
      </c>
    </row>
    <row r="22" customFormat="false" ht="15" hidden="false" customHeight="false" outlineLevel="0" collapsed="false">
      <c r="A22" s="106" t="str">
        <f aca="false">IF($B22="","",الموظفون!$A22)</f>
        <v/>
      </c>
      <c r="B22" s="114" t="str">
        <f aca="false">IF(الموظفون!$B22="","",الموظفون!$B22)</f>
        <v/>
      </c>
      <c r="C22" s="114" t="str">
        <f aca="false">IF($B22="","",الموظفون!$C22)</f>
        <v/>
      </c>
      <c r="D22" s="114" t="str">
        <f aca="false">IF($B22="","",الموظفون!$F22)</f>
        <v/>
      </c>
      <c r="E22" s="114" t="str">
        <f aca="false">IF($B22="","",الموظفون!$E22)</f>
        <v/>
      </c>
      <c r="F22" s="114" t="str">
        <f aca="false">IF($B22="","",IF(AK22=0,IF(AND(الموظفون!$AE22&lt;&gt;"",الموظفون!$AE22&lt;$E$3),"✖ منتهي الخدمة","⏳ لم يباشر"),IF(S22&gt;0,"✈ راتب إجازة مقدم",IF(J22=0,"⛔ بدون راتب هذا الشهر",IF(I22&gt;0,"✈ خصم "&amp;ROUND(I22,2)&amp;" يوم بدون أجر",IF(AL22&gt;0,"🌴 إجازة سنوية "&amp;ROUND(AL22,2)&amp;" يوم",IF(H22&gt;0,"⚠ غياب "&amp;ROUND(H22,2)&amp;" يوم","✔ على رأس العمل")))))))</f>
        <v/>
      </c>
      <c r="G22" s="151" t="str">
        <f aca="false">IF($B22="","",IF(AK22&gt;=DAY($F$3),cfg_DAYS_M,MIN(AK22,cfg_DAYS_M)))</f>
        <v/>
      </c>
      <c r="H22" s="151" t="str">
        <f aca="false">IF($B22="","",SUMIFS('الحركات الشهرية'!$D$6:$D$1005,'الحركات الشهرية'!$B$6:$B$1005,$B22,'الحركات الشهرية'!$A$6:$A$1005,$C$3))</f>
        <v/>
      </c>
      <c r="I22" s="151" t="str">
        <f aca="false">IF($B22="","",MIN(G22,IF(AND(AK22&gt;0,AN22&gt;=AK22),G22,AN22)+SUMIFS('الحركات الشهرية'!$E$6:$E$1005,'الحركات الشهرية'!$B$6:$B$1005,$B22,'الحركات الشهرية'!$A$6:$A$1005,$C$3)))</f>
        <v/>
      </c>
      <c r="J22" s="151" t="str">
        <f aca="false">IF($B22="","",MAX(0,G22-H22-I22))</f>
        <v/>
      </c>
      <c r="K22" s="111" t="str">
        <f aca="false">IF($B22="","",الموظفون!$L22*$J22/cfg_DAYS_M)</f>
        <v/>
      </c>
      <c r="L22" s="111" t="str">
        <f aca="false">IF($B22="","",الموظفون!$M22*$J22/cfg_DAYS_M)</f>
        <v/>
      </c>
      <c r="M22" s="111" t="str">
        <f aca="false">IF($B22="","",الموظفون!$N22*$J22/cfg_DAYS_M)</f>
        <v/>
      </c>
      <c r="N22" s="111" t="str">
        <f aca="false">IF($B22="","",الموظفون!$O22*$J22/cfg_DAYS_M)</f>
        <v/>
      </c>
      <c r="O22" s="151" t="str">
        <f aca="false">IF($B22="","",SUMIFS('الحركات الشهرية'!$F$6:$F$1005,'الحركات الشهرية'!$B$6:$B$1005,$B22,'الحركات الشهرية'!$A$6:$A$1005,$C$3))</f>
        <v/>
      </c>
      <c r="P22" s="111" t="str">
        <f aca="false">IF($B22="","",O22*(الموظفون!$P22+الموظفون!$L22*cfg_OT_P)/cfg_DAYS_M/cfg_HRS)</f>
        <v/>
      </c>
      <c r="Q22" s="111" t="str">
        <f aca="false">IF($B22="","",SUMIFS('الحركات الشهرية'!$G$6:$G$1005,'الحركات الشهرية'!$B$6:$B$1005,$B22,'الحركات الشهرية'!$A$6:$A$1005,$C$3))</f>
        <v/>
      </c>
      <c r="R22" s="111" t="str">
        <f aca="false">IF($B22="","",SUMIFS('الحركات الشهرية'!$H$6:$H$1005,'الحركات الشهرية'!$B$6:$B$1005,$B22,'الحركات الشهرية'!$A$6:$A$1005,$C$3))</f>
        <v/>
      </c>
      <c r="S22" s="111" t="str">
        <f aca="false">IF($B22="","",SUMIFS('سجل الإجازات والحالات'!$N$6:$N$505,'سجل الإجازات والحالات'!$B$6:$B$505,$B22,'سجل الإجازات والحالات'!$O$6:$O$505,$C$3))</f>
        <v/>
      </c>
      <c r="T22" s="152" t="str">
        <f aca="false">IF($B22="","",SUM(K22:N22)+SUM(P22:S22))</f>
        <v/>
      </c>
      <c r="U22" s="111" t="str">
        <f aca="false">IF($B22="","",الموظفون!$S22*IF(E22="سعودي",cfg_G_SE,cfg_G_NE)*G22/cfg_DAYS_M)</f>
        <v/>
      </c>
      <c r="V22" s="111" t="str">
        <f aca="false">IF($B22="","",SUMIFS('الحركات الشهرية'!$I$6:$I$1005,'الحركات الشهرية'!$B$6:$B$1005,$B22,'الحركات الشهرية'!$A$6:$A$1005,$C$3))</f>
        <v/>
      </c>
      <c r="W22" s="111" t="str">
        <f aca="false">IF($B22="","",SUMIFS('الحركات الشهرية'!$J$6:$J$1005,'الحركات الشهرية'!$B$6:$B$1005,$B22,'الحركات الشهرية'!$A$6:$A$1005,$C$3))</f>
        <v/>
      </c>
      <c r="X22" s="111" t="str">
        <f aca="false">IF($B22="","",SUM(U22:W22))</f>
        <v/>
      </c>
      <c r="Y22" s="153" t="str">
        <f aca="false">IF($B22="","",T22-X22)</f>
        <v/>
      </c>
      <c r="Z22" s="111" t="str">
        <f aca="false">IF($B22="","",الموظفون!$S22*IF(E22="سعودي",cfg_G_SR,cfg_G_NR)*G22/cfg_DAYS_M)</f>
        <v/>
      </c>
      <c r="AA22" s="111" t="str">
        <f aca="false">IF($B22="","",الموظفون!$Q22*(cfg_EOS_R1*(MIN(AH22,cfg_EOS_TH)-MIN(AI22,cfg_EOS_TH))+cfg_EOS_R2*(MAX(AH22-cfg_EOS_TH,0)-MAX(AI22-cfg_EOS_TH,0))))</f>
        <v/>
      </c>
      <c r="AB22" s="111" t="str">
        <f aca="false">IF($B22="","",IF(الموظفون!$T22&lt;&gt;"",الموظفون!$T22,IF(AH22&gt;=cfg_LV_TH,cfg_LV_D2,cfg_LV_D1))/cfg_DAYS_Y*AJ22*الموظفون!$R22/cfg_DAYS_M)</f>
        <v/>
      </c>
      <c r="AC22" s="111" t="str">
        <f aca="false">IF($B22="","",IF(AND(الموظفون!$U22="نعم",N(الموظفون!$W22)&gt;0),الموظفون!$V22/الموظفون!$W22*12/cfg_DAYS_Y*AJ22,0))</f>
        <v/>
      </c>
      <c r="AD22" s="111" t="str">
        <f aca="false">IF($B22="","",(IF(الموظفون!$X22&lt;&gt;"",الموظفون!$X22,IF(الموظفون!$E22="غير سعودي",cfg_IQ,0))+IF(الموظفون!$Y22&lt;&gt;"",الموظفون!$Y22,IF(الموظفون!$E22="غير سعودي",cfg_WP,0)))/12*G22/cfg_DAYS_M)</f>
        <v/>
      </c>
      <c r="AE22" s="111" t="str">
        <f aca="false">IF($B22="","",IF(الموظفون!$Z22&lt;&gt;"",الموظفون!$Z22,cfg_MED)/12*G22/cfg_DAYS_M)</f>
        <v/>
      </c>
      <c r="AF22" s="111" t="str">
        <f aca="false">IF($B22="","",N(الموظفون!$AA22)/12*G22/cfg_DAYS_M)</f>
        <v/>
      </c>
      <c r="AG22" s="154" t="str">
        <f aca="false">IF($B22="","",T22+SUM(Z22:AF22))</f>
        <v/>
      </c>
      <c r="AH22" s="155" t="str">
        <f aca="false">IF($B22="","",MAX(0,IF(OR(الموظفون!$AE22="",الموظفون!$AE22&gt;$F$3),$F$3,الموظفون!$AE22)-الموظفون!$H22+1-SUMIFS('سجل الإجازات والحالات'!$AN$6:$AN$505,'سجل الإجازات والحالات'!$B$6:$B$505,$B22))/cfg_DAYS_Y)</f>
        <v/>
      </c>
      <c r="AI22" s="155" t="str">
        <f aca="false">IF($B22="","",MAX(0,IF(OR(الموظفون!$AE22="",الموظفون!$AE22&gt;($E$3-1)),($E$3-1),الموظفون!$AE22)-الموظفون!$H22+1-SUMIFS('سجل الإجازات والحالات'!$AM$6:$AM$505,'سجل الإجازات والحالات'!$B$6:$B$505,$B22))/cfg_DAYS_Y)</f>
        <v/>
      </c>
      <c r="AJ22" s="65" t="str">
        <f aca="false">IF($B22="","",MAX(0,AK22-(SUMIFS('سجل الإجازات والحالات'!$AN$6:$AN$505,'سجل الإجازات والحالات'!$B$6:$B$505,$B22)-SUMIFS('سجل الإجازات والحالات'!$AM$6:$AM$505,'سجل الإجازات والحالات'!$B$6:$B$505,$B22))))</f>
        <v/>
      </c>
      <c r="AK22" s="65" t="str">
        <f aca="false">IF($B22="","",MAX(0,IF(OR(الموظفون!$AE22="",الموظفون!$AE22&gt;$F$3),$F$3,الموظفون!$AE22)-MAX($E$3,الموظفون!$H22)+1))</f>
        <v/>
      </c>
      <c r="AL22" s="151" t="str">
        <f aca="false">IF($B22="","",SUMIFS('سجل الإجازات والحالات'!$AZ$6:$AZ$505,'سجل الإجازات والحالات'!$B$6:$B$505,$B22)+SUMIFS('الحركات الشهرية'!$K$6:$K$1005,'الحركات الشهرية'!$B$6:$B$1005,$B22,'الحركات الشهرية'!$A$6:$A$1005,$C$3))</f>
        <v/>
      </c>
      <c r="AM22" s="111" t="str">
        <f aca="false">IF($B22="","",AL22*الموظفون!$R22/cfg_DAYS_M+S22)</f>
        <v/>
      </c>
      <c r="AN22" s="151" t="str">
        <f aca="false">IF($B22="","",SUMIFS('سجل الإجازات والحالات'!$AB$6:$AB$505,'سجل الإجازات والحالات'!$B$6:$B$505,$B22))</f>
        <v/>
      </c>
    </row>
    <row r="23" customFormat="false" ht="15" hidden="false" customHeight="false" outlineLevel="0" collapsed="false">
      <c r="A23" s="115" t="str">
        <f aca="false">IF($B23="","",الموظفون!$A23)</f>
        <v/>
      </c>
      <c r="B23" s="117" t="str">
        <f aca="false">IF(الموظفون!$B23="","",الموظفون!$B23)</f>
        <v/>
      </c>
      <c r="C23" s="117" t="str">
        <f aca="false">IF($B23="","",الموظفون!$C23)</f>
        <v/>
      </c>
      <c r="D23" s="117" t="str">
        <f aca="false">IF($B23="","",الموظفون!$F23)</f>
        <v/>
      </c>
      <c r="E23" s="117" t="str">
        <f aca="false">IF($B23="","",الموظفون!$E23)</f>
        <v/>
      </c>
      <c r="F23" s="117" t="str">
        <f aca="false">IF($B23="","",IF(AK23=0,IF(AND(الموظفون!$AE23&lt;&gt;"",الموظفون!$AE23&lt;$E$3),"✖ منتهي الخدمة","⏳ لم يباشر"),IF(S23&gt;0,"✈ راتب إجازة مقدم",IF(J23=0,"⛔ بدون راتب هذا الشهر",IF(I23&gt;0,"✈ خصم "&amp;ROUND(I23,2)&amp;" يوم بدون أجر",IF(AL23&gt;0,"🌴 إجازة سنوية "&amp;ROUND(AL23,2)&amp;" يوم",IF(H23&gt;0,"⚠ غياب "&amp;ROUND(H23,2)&amp;" يوم","✔ على رأس العمل")))))))</f>
        <v/>
      </c>
      <c r="G23" s="156" t="str">
        <f aca="false">IF($B23="","",IF(AK23&gt;=DAY($F$3),cfg_DAYS_M,MIN(AK23,cfg_DAYS_M)))</f>
        <v/>
      </c>
      <c r="H23" s="156" t="str">
        <f aca="false">IF($B23="","",SUMIFS('الحركات الشهرية'!$D$6:$D$1005,'الحركات الشهرية'!$B$6:$B$1005,$B23,'الحركات الشهرية'!$A$6:$A$1005,$C$3))</f>
        <v/>
      </c>
      <c r="I23" s="156" t="str">
        <f aca="false">IF($B23="","",MIN(G23,IF(AND(AK23&gt;0,AN23&gt;=AK23),G23,AN23)+SUMIFS('الحركات الشهرية'!$E$6:$E$1005,'الحركات الشهرية'!$B$6:$B$1005,$B23,'الحركات الشهرية'!$A$6:$A$1005,$C$3)))</f>
        <v/>
      </c>
      <c r="J23" s="156" t="str">
        <f aca="false">IF($B23="","",MAX(0,G23-H23-I23))</f>
        <v/>
      </c>
      <c r="K23" s="116" t="str">
        <f aca="false">IF($B23="","",الموظفون!$L23*$J23/cfg_DAYS_M)</f>
        <v/>
      </c>
      <c r="L23" s="116" t="str">
        <f aca="false">IF($B23="","",الموظفون!$M23*$J23/cfg_DAYS_M)</f>
        <v/>
      </c>
      <c r="M23" s="116" t="str">
        <f aca="false">IF($B23="","",الموظفون!$N23*$J23/cfg_DAYS_M)</f>
        <v/>
      </c>
      <c r="N23" s="116" t="str">
        <f aca="false">IF($B23="","",الموظفون!$O23*$J23/cfg_DAYS_M)</f>
        <v/>
      </c>
      <c r="O23" s="156" t="str">
        <f aca="false">IF($B23="","",SUMIFS('الحركات الشهرية'!$F$6:$F$1005,'الحركات الشهرية'!$B$6:$B$1005,$B23,'الحركات الشهرية'!$A$6:$A$1005,$C$3))</f>
        <v/>
      </c>
      <c r="P23" s="116" t="str">
        <f aca="false">IF($B23="","",O23*(الموظفون!$P23+الموظفون!$L23*cfg_OT_P)/cfg_DAYS_M/cfg_HRS)</f>
        <v/>
      </c>
      <c r="Q23" s="116" t="str">
        <f aca="false">IF($B23="","",SUMIFS('الحركات الشهرية'!$G$6:$G$1005,'الحركات الشهرية'!$B$6:$B$1005,$B23,'الحركات الشهرية'!$A$6:$A$1005,$C$3))</f>
        <v/>
      </c>
      <c r="R23" s="116" t="str">
        <f aca="false">IF($B23="","",SUMIFS('الحركات الشهرية'!$H$6:$H$1005,'الحركات الشهرية'!$B$6:$B$1005,$B23,'الحركات الشهرية'!$A$6:$A$1005,$C$3))</f>
        <v/>
      </c>
      <c r="S23" s="116" t="str">
        <f aca="false">IF($B23="","",SUMIFS('سجل الإجازات والحالات'!$N$6:$N$505,'سجل الإجازات والحالات'!$B$6:$B$505,$B23,'سجل الإجازات والحالات'!$O$6:$O$505,$C$3))</f>
        <v/>
      </c>
      <c r="T23" s="157" t="str">
        <f aca="false">IF($B23="","",SUM(K23:N23)+SUM(P23:S23))</f>
        <v/>
      </c>
      <c r="U23" s="116" t="str">
        <f aca="false">IF($B23="","",الموظفون!$S23*IF(E23="سعودي",cfg_G_SE,cfg_G_NE)*G23/cfg_DAYS_M)</f>
        <v/>
      </c>
      <c r="V23" s="116" t="str">
        <f aca="false">IF($B23="","",SUMIFS('الحركات الشهرية'!$I$6:$I$1005,'الحركات الشهرية'!$B$6:$B$1005,$B23,'الحركات الشهرية'!$A$6:$A$1005,$C$3))</f>
        <v/>
      </c>
      <c r="W23" s="116" t="str">
        <f aca="false">IF($B23="","",SUMIFS('الحركات الشهرية'!$J$6:$J$1005,'الحركات الشهرية'!$B$6:$B$1005,$B23,'الحركات الشهرية'!$A$6:$A$1005,$C$3))</f>
        <v/>
      </c>
      <c r="X23" s="116" t="str">
        <f aca="false">IF($B23="","",SUM(U23:W23))</f>
        <v/>
      </c>
      <c r="Y23" s="158" t="str">
        <f aca="false">IF($B23="","",T23-X23)</f>
        <v/>
      </c>
      <c r="Z23" s="116" t="str">
        <f aca="false">IF($B23="","",الموظفون!$S23*IF(E23="سعودي",cfg_G_SR,cfg_G_NR)*G23/cfg_DAYS_M)</f>
        <v/>
      </c>
      <c r="AA23" s="116" t="str">
        <f aca="false">IF($B23="","",الموظفون!$Q23*(cfg_EOS_R1*(MIN(AH23,cfg_EOS_TH)-MIN(AI23,cfg_EOS_TH))+cfg_EOS_R2*(MAX(AH23-cfg_EOS_TH,0)-MAX(AI23-cfg_EOS_TH,0))))</f>
        <v/>
      </c>
      <c r="AB23" s="116" t="str">
        <f aca="false">IF($B23="","",IF(الموظفون!$T23&lt;&gt;"",الموظفون!$T23,IF(AH23&gt;=cfg_LV_TH,cfg_LV_D2,cfg_LV_D1))/cfg_DAYS_Y*AJ23*الموظفون!$R23/cfg_DAYS_M)</f>
        <v/>
      </c>
      <c r="AC23" s="116" t="str">
        <f aca="false">IF($B23="","",IF(AND(الموظفون!$U23="نعم",N(الموظفون!$W23)&gt;0),الموظفون!$V23/الموظفون!$W23*12/cfg_DAYS_Y*AJ23,0))</f>
        <v/>
      </c>
      <c r="AD23" s="116" t="str">
        <f aca="false">IF($B23="","",(IF(الموظفون!$X23&lt;&gt;"",الموظفون!$X23,IF(الموظفون!$E23="غير سعودي",cfg_IQ,0))+IF(الموظفون!$Y23&lt;&gt;"",الموظفون!$Y23,IF(الموظفون!$E23="غير سعودي",cfg_WP,0)))/12*G23/cfg_DAYS_M)</f>
        <v/>
      </c>
      <c r="AE23" s="116" t="str">
        <f aca="false">IF($B23="","",IF(الموظفون!$Z23&lt;&gt;"",الموظفون!$Z23,cfg_MED)/12*G23/cfg_DAYS_M)</f>
        <v/>
      </c>
      <c r="AF23" s="116" t="str">
        <f aca="false">IF($B23="","",N(الموظفون!$AA23)/12*G23/cfg_DAYS_M)</f>
        <v/>
      </c>
      <c r="AG23" s="159" t="str">
        <f aca="false">IF($B23="","",T23+SUM(Z23:AF23))</f>
        <v/>
      </c>
      <c r="AH23" s="160" t="str">
        <f aca="false">IF($B23="","",MAX(0,IF(OR(الموظفون!$AE23="",الموظفون!$AE23&gt;$F$3),$F$3,الموظفون!$AE23)-الموظفون!$H23+1-SUMIFS('سجل الإجازات والحالات'!$AN$6:$AN$505,'سجل الإجازات والحالات'!$B$6:$B$505,$B23))/cfg_DAYS_Y)</f>
        <v/>
      </c>
      <c r="AI23" s="160" t="str">
        <f aca="false">IF($B23="","",MAX(0,IF(OR(الموظفون!$AE23="",الموظفون!$AE23&gt;($E$3-1)),($E$3-1),الموظفون!$AE23)-الموظفون!$H23+1-SUMIFS('سجل الإجازات والحالات'!$AM$6:$AM$505,'سجل الإجازات والحالات'!$B$6:$B$505,$B23))/cfg_DAYS_Y)</f>
        <v/>
      </c>
      <c r="AJ23" s="133" t="str">
        <f aca="false">IF($B23="","",MAX(0,AK23-(SUMIFS('سجل الإجازات والحالات'!$AN$6:$AN$505,'سجل الإجازات والحالات'!$B$6:$B$505,$B23)-SUMIFS('سجل الإجازات والحالات'!$AM$6:$AM$505,'سجل الإجازات والحالات'!$B$6:$B$505,$B23))))</f>
        <v/>
      </c>
      <c r="AK23" s="133" t="str">
        <f aca="false">IF($B23="","",MAX(0,IF(OR(الموظفون!$AE23="",الموظفون!$AE23&gt;$F$3),$F$3,الموظفون!$AE23)-MAX($E$3,الموظفون!$H23)+1))</f>
        <v/>
      </c>
      <c r="AL23" s="156" t="str">
        <f aca="false">IF($B23="","",SUMIFS('سجل الإجازات والحالات'!$AZ$6:$AZ$505,'سجل الإجازات والحالات'!$B$6:$B$505,$B23)+SUMIFS('الحركات الشهرية'!$K$6:$K$1005,'الحركات الشهرية'!$B$6:$B$1005,$B23,'الحركات الشهرية'!$A$6:$A$1005,$C$3))</f>
        <v/>
      </c>
      <c r="AM23" s="116" t="str">
        <f aca="false">IF($B23="","",AL23*الموظفون!$R23/cfg_DAYS_M+S23)</f>
        <v/>
      </c>
      <c r="AN23" s="156" t="str">
        <f aca="false">IF($B23="","",SUMIFS('سجل الإجازات والحالات'!$AB$6:$AB$505,'سجل الإجازات والحالات'!$B$6:$B$505,$B23))</f>
        <v/>
      </c>
    </row>
    <row r="24" customFormat="false" ht="15" hidden="false" customHeight="false" outlineLevel="0" collapsed="false">
      <c r="A24" s="106" t="str">
        <f aca="false">IF($B24="","",الموظفون!$A24)</f>
        <v/>
      </c>
      <c r="B24" s="114" t="str">
        <f aca="false">IF(الموظفون!$B24="","",الموظفون!$B24)</f>
        <v/>
      </c>
      <c r="C24" s="114" t="str">
        <f aca="false">IF($B24="","",الموظفون!$C24)</f>
        <v/>
      </c>
      <c r="D24" s="114" t="str">
        <f aca="false">IF($B24="","",الموظفون!$F24)</f>
        <v/>
      </c>
      <c r="E24" s="114" t="str">
        <f aca="false">IF($B24="","",الموظفون!$E24)</f>
        <v/>
      </c>
      <c r="F24" s="114" t="str">
        <f aca="false">IF($B24="","",IF(AK24=0,IF(AND(الموظفون!$AE24&lt;&gt;"",الموظفون!$AE24&lt;$E$3),"✖ منتهي الخدمة","⏳ لم يباشر"),IF(S24&gt;0,"✈ راتب إجازة مقدم",IF(J24=0,"⛔ بدون راتب هذا الشهر",IF(I24&gt;0,"✈ خصم "&amp;ROUND(I24,2)&amp;" يوم بدون أجر",IF(AL24&gt;0,"🌴 إجازة سنوية "&amp;ROUND(AL24,2)&amp;" يوم",IF(H24&gt;0,"⚠ غياب "&amp;ROUND(H24,2)&amp;" يوم","✔ على رأس العمل")))))))</f>
        <v/>
      </c>
      <c r="G24" s="151" t="str">
        <f aca="false">IF($B24="","",IF(AK24&gt;=DAY($F$3),cfg_DAYS_M,MIN(AK24,cfg_DAYS_M)))</f>
        <v/>
      </c>
      <c r="H24" s="151" t="str">
        <f aca="false">IF($B24="","",SUMIFS('الحركات الشهرية'!$D$6:$D$1005,'الحركات الشهرية'!$B$6:$B$1005,$B24,'الحركات الشهرية'!$A$6:$A$1005,$C$3))</f>
        <v/>
      </c>
      <c r="I24" s="151" t="str">
        <f aca="false">IF($B24="","",MIN(G24,IF(AND(AK24&gt;0,AN24&gt;=AK24),G24,AN24)+SUMIFS('الحركات الشهرية'!$E$6:$E$1005,'الحركات الشهرية'!$B$6:$B$1005,$B24,'الحركات الشهرية'!$A$6:$A$1005,$C$3)))</f>
        <v/>
      </c>
      <c r="J24" s="151" t="str">
        <f aca="false">IF($B24="","",MAX(0,G24-H24-I24))</f>
        <v/>
      </c>
      <c r="K24" s="111" t="str">
        <f aca="false">IF($B24="","",الموظفون!$L24*$J24/cfg_DAYS_M)</f>
        <v/>
      </c>
      <c r="L24" s="111" t="str">
        <f aca="false">IF($B24="","",الموظفون!$M24*$J24/cfg_DAYS_M)</f>
        <v/>
      </c>
      <c r="M24" s="111" t="str">
        <f aca="false">IF($B24="","",الموظفون!$N24*$J24/cfg_DAYS_M)</f>
        <v/>
      </c>
      <c r="N24" s="111" t="str">
        <f aca="false">IF($B24="","",الموظفون!$O24*$J24/cfg_DAYS_M)</f>
        <v/>
      </c>
      <c r="O24" s="151" t="str">
        <f aca="false">IF($B24="","",SUMIFS('الحركات الشهرية'!$F$6:$F$1005,'الحركات الشهرية'!$B$6:$B$1005,$B24,'الحركات الشهرية'!$A$6:$A$1005,$C$3))</f>
        <v/>
      </c>
      <c r="P24" s="111" t="str">
        <f aca="false">IF($B24="","",O24*(الموظفون!$P24+الموظفون!$L24*cfg_OT_P)/cfg_DAYS_M/cfg_HRS)</f>
        <v/>
      </c>
      <c r="Q24" s="111" t="str">
        <f aca="false">IF($B24="","",SUMIFS('الحركات الشهرية'!$G$6:$G$1005,'الحركات الشهرية'!$B$6:$B$1005,$B24,'الحركات الشهرية'!$A$6:$A$1005,$C$3))</f>
        <v/>
      </c>
      <c r="R24" s="111" t="str">
        <f aca="false">IF($B24="","",SUMIFS('الحركات الشهرية'!$H$6:$H$1005,'الحركات الشهرية'!$B$6:$B$1005,$B24,'الحركات الشهرية'!$A$6:$A$1005,$C$3))</f>
        <v/>
      </c>
      <c r="S24" s="111" t="str">
        <f aca="false">IF($B24="","",SUMIFS('سجل الإجازات والحالات'!$N$6:$N$505,'سجل الإجازات والحالات'!$B$6:$B$505,$B24,'سجل الإجازات والحالات'!$O$6:$O$505,$C$3))</f>
        <v/>
      </c>
      <c r="T24" s="152" t="str">
        <f aca="false">IF($B24="","",SUM(K24:N24)+SUM(P24:S24))</f>
        <v/>
      </c>
      <c r="U24" s="111" t="str">
        <f aca="false">IF($B24="","",الموظفون!$S24*IF(E24="سعودي",cfg_G_SE,cfg_G_NE)*G24/cfg_DAYS_M)</f>
        <v/>
      </c>
      <c r="V24" s="111" t="str">
        <f aca="false">IF($B24="","",SUMIFS('الحركات الشهرية'!$I$6:$I$1005,'الحركات الشهرية'!$B$6:$B$1005,$B24,'الحركات الشهرية'!$A$6:$A$1005,$C$3))</f>
        <v/>
      </c>
      <c r="W24" s="111" t="str">
        <f aca="false">IF($B24="","",SUMIFS('الحركات الشهرية'!$J$6:$J$1005,'الحركات الشهرية'!$B$6:$B$1005,$B24,'الحركات الشهرية'!$A$6:$A$1005,$C$3))</f>
        <v/>
      </c>
      <c r="X24" s="111" t="str">
        <f aca="false">IF($B24="","",SUM(U24:W24))</f>
        <v/>
      </c>
      <c r="Y24" s="153" t="str">
        <f aca="false">IF($B24="","",T24-X24)</f>
        <v/>
      </c>
      <c r="Z24" s="111" t="str">
        <f aca="false">IF($B24="","",الموظفون!$S24*IF(E24="سعودي",cfg_G_SR,cfg_G_NR)*G24/cfg_DAYS_M)</f>
        <v/>
      </c>
      <c r="AA24" s="111" t="str">
        <f aca="false">IF($B24="","",الموظفون!$Q24*(cfg_EOS_R1*(MIN(AH24,cfg_EOS_TH)-MIN(AI24,cfg_EOS_TH))+cfg_EOS_R2*(MAX(AH24-cfg_EOS_TH,0)-MAX(AI24-cfg_EOS_TH,0))))</f>
        <v/>
      </c>
      <c r="AB24" s="111" t="str">
        <f aca="false">IF($B24="","",IF(الموظفون!$T24&lt;&gt;"",الموظفون!$T24,IF(AH24&gt;=cfg_LV_TH,cfg_LV_D2,cfg_LV_D1))/cfg_DAYS_Y*AJ24*الموظفون!$R24/cfg_DAYS_M)</f>
        <v/>
      </c>
      <c r="AC24" s="111" t="str">
        <f aca="false">IF($B24="","",IF(AND(الموظفون!$U24="نعم",N(الموظفون!$W24)&gt;0),الموظفون!$V24/الموظفون!$W24*12/cfg_DAYS_Y*AJ24,0))</f>
        <v/>
      </c>
      <c r="AD24" s="111" t="str">
        <f aca="false">IF($B24="","",(IF(الموظفون!$X24&lt;&gt;"",الموظفون!$X24,IF(الموظفون!$E24="غير سعودي",cfg_IQ,0))+IF(الموظفون!$Y24&lt;&gt;"",الموظفون!$Y24,IF(الموظفون!$E24="غير سعودي",cfg_WP,0)))/12*G24/cfg_DAYS_M)</f>
        <v/>
      </c>
      <c r="AE24" s="111" t="str">
        <f aca="false">IF($B24="","",IF(الموظفون!$Z24&lt;&gt;"",الموظفون!$Z24,cfg_MED)/12*G24/cfg_DAYS_M)</f>
        <v/>
      </c>
      <c r="AF24" s="111" t="str">
        <f aca="false">IF($B24="","",N(الموظفون!$AA24)/12*G24/cfg_DAYS_M)</f>
        <v/>
      </c>
      <c r="AG24" s="154" t="str">
        <f aca="false">IF($B24="","",T24+SUM(Z24:AF24))</f>
        <v/>
      </c>
      <c r="AH24" s="155" t="str">
        <f aca="false">IF($B24="","",MAX(0,IF(OR(الموظفون!$AE24="",الموظفون!$AE24&gt;$F$3),$F$3,الموظفون!$AE24)-الموظفون!$H24+1-SUMIFS('سجل الإجازات والحالات'!$AN$6:$AN$505,'سجل الإجازات والحالات'!$B$6:$B$505,$B24))/cfg_DAYS_Y)</f>
        <v/>
      </c>
      <c r="AI24" s="155" t="str">
        <f aca="false">IF($B24="","",MAX(0,IF(OR(الموظفون!$AE24="",الموظفون!$AE24&gt;($E$3-1)),($E$3-1),الموظفون!$AE24)-الموظفون!$H24+1-SUMIFS('سجل الإجازات والحالات'!$AM$6:$AM$505,'سجل الإجازات والحالات'!$B$6:$B$505,$B24))/cfg_DAYS_Y)</f>
        <v/>
      </c>
      <c r="AJ24" s="65" t="str">
        <f aca="false">IF($B24="","",MAX(0,AK24-(SUMIFS('سجل الإجازات والحالات'!$AN$6:$AN$505,'سجل الإجازات والحالات'!$B$6:$B$505,$B24)-SUMIFS('سجل الإجازات والحالات'!$AM$6:$AM$505,'سجل الإجازات والحالات'!$B$6:$B$505,$B24))))</f>
        <v/>
      </c>
      <c r="AK24" s="65" t="str">
        <f aca="false">IF($B24="","",MAX(0,IF(OR(الموظفون!$AE24="",الموظفون!$AE24&gt;$F$3),$F$3,الموظفون!$AE24)-MAX($E$3,الموظفون!$H24)+1))</f>
        <v/>
      </c>
      <c r="AL24" s="151" t="str">
        <f aca="false">IF($B24="","",SUMIFS('سجل الإجازات والحالات'!$AZ$6:$AZ$505,'سجل الإجازات والحالات'!$B$6:$B$505,$B24)+SUMIFS('الحركات الشهرية'!$K$6:$K$1005,'الحركات الشهرية'!$B$6:$B$1005,$B24,'الحركات الشهرية'!$A$6:$A$1005,$C$3))</f>
        <v/>
      </c>
      <c r="AM24" s="111" t="str">
        <f aca="false">IF($B24="","",AL24*الموظفون!$R24/cfg_DAYS_M+S24)</f>
        <v/>
      </c>
      <c r="AN24" s="151" t="str">
        <f aca="false">IF($B24="","",SUMIFS('سجل الإجازات والحالات'!$AB$6:$AB$505,'سجل الإجازات والحالات'!$B$6:$B$505,$B24))</f>
        <v/>
      </c>
    </row>
    <row r="25" customFormat="false" ht="15" hidden="false" customHeight="false" outlineLevel="0" collapsed="false">
      <c r="A25" s="115" t="str">
        <f aca="false">IF($B25="","",الموظفون!$A25)</f>
        <v/>
      </c>
      <c r="B25" s="117" t="str">
        <f aca="false">IF(الموظفون!$B25="","",الموظفون!$B25)</f>
        <v/>
      </c>
      <c r="C25" s="117" t="str">
        <f aca="false">IF($B25="","",الموظفون!$C25)</f>
        <v/>
      </c>
      <c r="D25" s="117" t="str">
        <f aca="false">IF($B25="","",الموظفون!$F25)</f>
        <v/>
      </c>
      <c r="E25" s="117" t="str">
        <f aca="false">IF($B25="","",الموظفون!$E25)</f>
        <v/>
      </c>
      <c r="F25" s="117" t="str">
        <f aca="false">IF($B25="","",IF(AK25=0,IF(AND(الموظفون!$AE25&lt;&gt;"",الموظفون!$AE25&lt;$E$3),"✖ منتهي الخدمة","⏳ لم يباشر"),IF(S25&gt;0,"✈ راتب إجازة مقدم",IF(J25=0,"⛔ بدون راتب هذا الشهر",IF(I25&gt;0,"✈ خصم "&amp;ROUND(I25,2)&amp;" يوم بدون أجر",IF(AL25&gt;0,"🌴 إجازة سنوية "&amp;ROUND(AL25,2)&amp;" يوم",IF(H25&gt;0,"⚠ غياب "&amp;ROUND(H25,2)&amp;" يوم","✔ على رأس العمل")))))))</f>
        <v/>
      </c>
      <c r="G25" s="156" t="str">
        <f aca="false">IF($B25="","",IF(AK25&gt;=DAY($F$3),cfg_DAYS_M,MIN(AK25,cfg_DAYS_M)))</f>
        <v/>
      </c>
      <c r="H25" s="156" t="str">
        <f aca="false">IF($B25="","",SUMIFS('الحركات الشهرية'!$D$6:$D$1005,'الحركات الشهرية'!$B$6:$B$1005,$B25,'الحركات الشهرية'!$A$6:$A$1005,$C$3))</f>
        <v/>
      </c>
      <c r="I25" s="156" t="str">
        <f aca="false">IF($B25="","",MIN(G25,IF(AND(AK25&gt;0,AN25&gt;=AK25),G25,AN25)+SUMIFS('الحركات الشهرية'!$E$6:$E$1005,'الحركات الشهرية'!$B$6:$B$1005,$B25,'الحركات الشهرية'!$A$6:$A$1005,$C$3)))</f>
        <v/>
      </c>
      <c r="J25" s="156" t="str">
        <f aca="false">IF($B25="","",MAX(0,G25-H25-I25))</f>
        <v/>
      </c>
      <c r="K25" s="116" t="str">
        <f aca="false">IF($B25="","",الموظفون!$L25*$J25/cfg_DAYS_M)</f>
        <v/>
      </c>
      <c r="L25" s="116" t="str">
        <f aca="false">IF($B25="","",الموظفون!$M25*$J25/cfg_DAYS_M)</f>
        <v/>
      </c>
      <c r="M25" s="116" t="str">
        <f aca="false">IF($B25="","",الموظفون!$N25*$J25/cfg_DAYS_M)</f>
        <v/>
      </c>
      <c r="N25" s="116" t="str">
        <f aca="false">IF($B25="","",الموظفون!$O25*$J25/cfg_DAYS_M)</f>
        <v/>
      </c>
      <c r="O25" s="156" t="str">
        <f aca="false">IF($B25="","",SUMIFS('الحركات الشهرية'!$F$6:$F$1005,'الحركات الشهرية'!$B$6:$B$1005,$B25,'الحركات الشهرية'!$A$6:$A$1005,$C$3))</f>
        <v/>
      </c>
      <c r="P25" s="116" t="str">
        <f aca="false">IF($B25="","",O25*(الموظفون!$P25+الموظفون!$L25*cfg_OT_P)/cfg_DAYS_M/cfg_HRS)</f>
        <v/>
      </c>
      <c r="Q25" s="116" t="str">
        <f aca="false">IF($B25="","",SUMIFS('الحركات الشهرية'!$G$6:$G$1005,'الحركات الشهرية'!$B$6:$B$1005,$B25,'الحركات الشهرية'!$A$6:$A$1005,$C$3))</f>
        <v/>
      </c>
      <c r="R25" s="116" t="str">
        <f aca="false">IF($B25="","",SUMIFS('الحركات الشهرية'!$H$6:$H$1005,'الحركات الشهرية'!$B$6:$B$1005,$B25,'الحركات الشهرية'!$A$6:$A$1005,$C$3))</f>
        <v/>
      </c>
      <c r="S25" s="116" t="str">
        <f aca="false">IF($B25="","",SUMIFS('سجل الإجازات والحالات'!$N$6:$N$505,'سجل الإجازات والحالات'!$B$6:$B$505,$B25,'سجل الإجازات والحالات'!$O$6:$O$505,$C$3))</f>
        <v/>
      </c>
      <c r="T25" s="157" t="str">
        <f aca="false">IF($B25="","",SUM(K25:N25)+SUM(P25:S25))</f>
        <v/>
      </c>
      <c r="U25" s="116" t="str">
        <f aca="false">IF($B25="","",الموظفون!$S25*IF(E25="سعودي",cfg_G_SE,cfg_G_NE)*G25/cfg_DAYS_M)</f>
        <v/>
      </c>
      <c r="V25" s="116" t="str">
        <f aca="false">IF($B25="","",SUMIFS('الحركات الشهرية'!$I$6:$I$1005,'الحركات الشهرية'!$B$6:$B$1005,$B25,'الحركات الشهرية'!$A$6:$A$1005,$C$3))</f>
        <v/>
      </c>
      <c r="W25" s="116" t="str">
        <f aca="false">IF($B25="","",SUMIFS('الحركات الشهرية'!$J$6:$J$1005,'الحركات الشهرية'!$B$6:$B$1005,$B25,'الحركات الشهرية'!$A$6:$A$1005,$C$3))</f>
        <v/>
      </c>
      <c r="X25" s="116" t="str">
        <f aca="false">IF($B25="","",SUM(U25:W25))</f>
        <v/>
      </c>
      <c r="Y25" s="158" t="str">
        <f aca="false">IF($B25="","",T25-X25)</f>
        <v/>
      </c>
      <c r="Z25" s="116" t="str">
        <f aca="false">IF($B25="","",الموظفون!$S25*IF(E25="سعودي",cfg_G_SR,cfg_G_NR)*G25/cfg_DAYS_M)</f>
        <v/>
      </c>
      <c r="AA25" s="116" t="str">
        <f aca="false">IF($B25="","",الموظفون!$Q25*(cfg_EOS_R1*(MIN(AH25,cfg_EOS_TH)-MIN(AI25,cfg_EOS_TH))+cfg_EOS_R2*(MAX(AH25-cfg_EOS_TH,0)-MAX(AI25-cfg_EOS_TH,0))))</f>
        <v/>
      </c>
      <c r="AB25" s="116" t="str">
        <f aca="false">IF($B25="","",IF(الموظفون!$T25&lt;&gt;"",الموظفون!$T25,IF(AH25&gt;=cfg_LV_TH,cfg_LV_D2,cfg_LV_D1))/cfg_DAYS_Y*AJ25*الموظفون!$R25/cfg_DAYS_M)</f>
        <v/>
      </c>
      <c r="AC25" s="116" t="str">
        <f aca="false">IF($B25="","",IF(AND(الموظفون!$U25="نعم",N(الموظفون!$W25)&gt;0),الموظفون!$V25/الموظفون!$W25*12/cfg_DAYS_Y*AJ25,0))</f>
        <v/>
      </c>
      <c r="AD25" s="116" t="str">
        <f aca="false">IF($B25="","",(IF(الموظفون!$X25&lt;&gt;"",الموظفون!$X25,IF(الموظفون!$E25="غير سعودي",cfg_IQ,0))+IF(الموظفون!$Y25&lt;&gt;"",الموظفون!$Y25,IF(الموظفون!$E25="غير سعودي",cfg_WP,0)))/12*G25/cfg_DAYS_M)</f>
        <v/>
      </c>
      <c r="AE25" s="116" t="str">
        <f aca="false">IF($B25="","",IF(الموظفون!$Z25&lt;&gt;"",الموظفون!$Z25,cfg_MED)/12*G25/cfg_DAYS_M)</f>
        <v/>
      </c>
      <c r="AF25" s="116" t="str">
        <f aca="false">IF($B25="","",N(الموظفون!$AA25)/12*G25/cfg_DAYS_M)</f>
        <v/>
      </c>
      <c r="AG25" s="159" t="str">
        <f aca="false">IF($B25="","",T25+SUM(Z25:AF25))</f>
        <v/>
      </c>
      <c r="AH25" s="160" t="str">
        <f aca="false">IF($B25="","",MAX(0,IF(OR(الموظفون!$AE25="",الموظفون!$AE25&gt;$F$3),$F$3,الموظفون!$AE25)-الموظفون!$H25+1-SUMIFS('سجل الإجازات والحالات'!$AN$6:$AN$505,'سجل الإجازات والحالات'!$B$6:$B$505,$B25))/cfg_DAYS_Y)</f>
        <v/>
      </c>
      <c r="AI25" s="160" t="str">
        <f aca="false">IF($B25="","",MAX(0,IF(OR(الموظفون!$AE25="",الموظفون!$AE25&gt;($E$3-1)),($E$3-1),الموظفون!$AE25)-الموظفون!$H25+1-SUMIFS('سجل الإجازات والحالات'!$AM$6:$AM$505,'سجل الإجازات والحالات'!$B$6:$B$505,$B25))/cfg_DAYS_Y)</f>
        <v/>
      </c>
      <c r="AJ25" s="133" t="str">
        <f aca="false">IF($B25="","",MAX(0,AK25-(SUMIFS('سجل الإجازات والحالات'!$AN$6:$AN$505,'سجل الإجازات والحالات'!$B$6:$B$505,$B25)-SUMIFS('سجل الإجازات والحالات'!$AM$6:$AM$505,'سجل الإجازات والحالات'!$B$6:$B$505,$B25))))</f>
        <v/>
      </c>
      <c r="AK25" s="133" t="str">
        <f aca="false">IF($B25="","",MAX(0,IF(OR(الموظفون!$AE25="",الموظفون!$AE25&gt;$F$3),$F$3,الموظفون!$AE25)-MAX($E$3,الموظفون!$H25)+1))</f>
        <v/>
      </c>
      <c r="AL25" s="156" t="str">
        <f aca="false">IF($B25="","",SUMIFS('سجل الإجازات والحالات'!$AZ$6:$AZ$505,'سجل الإجازات والحالات'!$B$6:$B$505,$B25)+SUMIFS('الحركات الشهرية'!$K$6:$K$1005,'الحركات الشهرية'!$B$6:$B$1005,$B25,'الحركات الشهرية'!$A$6:$A$1005,$C$3))</f>
        <v/>
      </c>
      <c r="AM25" s="116" t="str">
        <f aca="false">IF($B25="","",AL25*الموظفون!$R25/cfg_DAYS_M+S25)</f>
        <v/>
      </c>
      <c r="AN25" s="156" t="str">
        <f aca="false">IF($B25="","",SUMIFS('سجل الإجازات والحالات'!$AB$6:$AB$505,'سجل الإجازات والحالات'!$B$6:$B$505,$B25))</f>
        <v/>
      </c>
    </row>
    <row r="26" customFormat="false" ht="15" hidden="false" customHeight="false" outlineLevel="0" collapsed="false">
      <c r="A26" s="106" t="str">
        <f aca="false">IF($B26="","",الموظفون!$A26)</f>
        <v/>
      </c>
      <c r="B26" s="114" t="str">
        <f aca="false">IF(الموظفون!$B26="","",الموظفون!$B26)</f>
        <v/>
      </c>
      <c r="C26" s="114" t="str">
        <f aca="false">IF($B26="","",الموظفون!$C26)</f>
        <v/>
      </c>
      <c r="D26" s="114" t="str">
        <f aca="false">IF($B26="","",الموظفون!$F26)</f>
        <v/>
      </c>
      <c r="E26" s="114" t="str">
        <f aca="false">IF($B26="","",الموظفون!$E26)</f>
        <v/>
      </c>
      <c r="F26" s="114" t="str">
        <f aca="false">IF($B26="","",IF(AK26=0,IF(AND(الموظفون!$AE26&lt;&gt;"",الموظفون!$AE26&lt;$E$3),"✖ منتهي الخدمة","⏳ لم يباشر"),IF(S26&gt;0,"✈ راتب إجازة مقدم",IF(J26=0,"⛔ بدون راتب هذا الشهر",IF(I26&gt;0,"✈ خصم "&amp;ROUND(I26,2)&amp;" يوم بدون أجر",IF(AL26&gt;0,"🌴 إجازة سنوية "&amp;ROUND(AL26,2)&amp;" يوم",IF(H26&gt;0,"⚠ غياب "&amp;ROUND(H26,2)&amp;" يوم","✔ على رأس العمل")))))))</f>
        <v/>
      </c>
      <c r="G26" s="151" t="str">
        <f aca="false">IF($B26="","",IF(AK26&gt;=DAY($F$3),cfg_DAYS_M,MIN(AK26,cfg_DAYS_M)))</f>
        <v/>
      </c>
      <c r="H26" s="151" t="str">
        <f aca="false">IF($B26="","",SUMIFS('الحركات الشهرية'!$D$6:$D$1005,'الحركات الشهرية'!$B$6:$B$1005,$B26,'الحركات الشهرية'!$A$6:$A$1005,$C$3))</f>
        <v/>
      </c>
      <c r="I26" s="151" t="str">
        <f aca="false">IF($B26="","",MIN(G26,IF(AND(AK26&gt;0,AN26&gt;=AK26),G26,AN26)+SUMIFS('الحركات الشهرية'!$E$6:$E$1005,'الحركات الشهرية'!$B$6:$B$1005,$B26,'الحركات الشهرية'!$A$6:$A$1005,$C$3)))</f>
        <v/>
      </c>
      <c r="J26" s="151" t="str">
        <f aca="false">IF($B26="","",MAX(0,G26-H26-I26))</f>
        <v/>
      </c>
      <c r="K26" s="111" t="str">
        <f aca="false">IF($B26="","",الموظفون!$L26*$J26/cfg_DAYS_M)</f>
        <v/>
      </c>
      <c r="L26" s="111" t="str">
        <f aca="false">IF($B26="","",الموظفون!$M26*$J26/cfg_DAYS_M)</f>
        <v/>
      </c>
      <c r="M26" s="111" t="str">
        <f aca="false">IF($B26="","",الموظفون!$N26*$J26/cfg_DAYS_M)</f>
        <v/>
      </c>
      <c r="N26" s="111" t="str">
        <f aca="false">IF($B26="","",الموظفون!$O26*$J26/cfg_DAYS_M)</f>
        <v/>
      </c>
      <c r="O26" s="151" t="str">
        <f aca="false">IF($B26="","",SUMIFS('الحركات الشهرية'!$F$6:$F$1005,'الحركات الشهرية'!$B$6:$B$1005,$B26,'الحركات الشهرية'!$A$6:$A$1005,$C$3))</f>
        <v/>
      </c>
      <c r="P26" s="111" t="str">
        <f aca="false">IF($B26="","",O26*(الموظفون!$P26+الموظفون!$L26*cfg_OT_P)/cfg_DAYS_M/cfg_HRS)</f>
        <v/>
      </c>
      <c r="Q26" s="111" t="str">
        <f aca="false">IF($B26="","",SUMIFS('الحركات الشهرية'!$G$6:$G$1005,'الحركات الشهرية'!$B$6:$B$1005,$B26,'الحركات الشهرية'!$A$6:$A$1005,$C$3))</f>
        <v/>
      </c>
      <c r="R26" s="111" t="str">
        <f aca="false">IF($B26="","",SUMIFS('الحركات الشهرية'!$H$6:$H$1005,'الحركات الشهرية'!$B$6:$B$1005,$B26,'الحركات الشهرية'!$A$6:$A$1005,$C$3))</f>
        <v/>
      </c>
      <c r="S26" s="111" t="str">
        <f aca="false">IF($B26="","",SUMIFS('سجل الإجازات والحالات'!$N$6:$N$505,'سجل الإجازات والحالات'!$B$6:$B$505,$B26,'سجل الإجازات والحالات'!$O$6:$O$505,$C$3))</f>
        <v/>
      </c>
      <c r="T26" s="152" t="str">
        <f aca="false">IF($B26="","",SUM(K26:N26)+SUM(P26:S26))</f>
        <v/>
      </c>
      <c r="U26" s="111" t="str">
        <f aca="false">IF($B26="","",الموظفون!$S26*IF(E26="سعودي",cfg_G_SE,cfg_G_NE)*G26/cfg_DAYS_M)</f>
        <v/>
      </c>
      <c r="V26" s="111" t="str">
        <f aca="false">IF($B26="","",SUMIFS('الحركات الشهرية'!$I$6:$I$1005,'الحركات الشهرية'!$B$6:$B$1005,$B26,'الحركات الشهرية'!$A$6:$A$1005,$C$3))</f>
        <v/>
      </c>
      <c r="W26" s="111" t="str">
        <f aca="false">IF($B26="","",SUMIFS('الحركات الشهرية'!$J$6:$J$1005,'الحركات الشهرية'!$B$6:$B$1005,$B26,'الحركات الشهرية'!$A$6:$A$1005,$C$3))</f>
        <v/>
      </c>
      <c r="X26" s="111" t="str">
        <f aca="false">IF($B26="","",SUM(U26:W26))</f>
        <v/>
      </c>
      <c r="Y26" s="153" t="str">
        <f aca="false">IF($B26="","",T26-X26)</f>
        <v/>
      </c>
      <c r="Z26" s="111" t="str">
        <f aca="false">IF($B26="","",الموظفون!$S26*IF(E26="سعودي",cfg_G_SR,cfg_G_NR)*G26/cfg_DAYS_M)</f>
        <v/>
      </c>
      <c r="AA26" s="111" t="str">
        <f aca="false">IF($B26="","",الموظفون!$Q26*(cfg_EOS_R1*(MIN(AH26,cfg_EOS_TH)-MIN(AI26,cfg_EOS_TH))+cfg_EOS_R2*(MAX(AH26-cfg_EOS_TH,0)-MAX(AI26-cfg_EOS_TH,0))))</f>
        <v/>
      </c>
      <c r="AB26" s="111" t="str">
        <f aca="false">IF($B26="","",IF(الموظفون!$T26&lt;&gt;"",الموظفون!$T26,IF(AH26&gt;=cfg_LV_TH,cfg_LV_D2,cfg_LV_D1))/cfg_DAYS_Y*AJ26*الموظفون!$R26/cfg_DAYS_M)</f>
        <v/>
      </c>
      <c r="AC26" s="111" t="str">
        <f aca="false">IF($B26="","",IF(AND(الموظفون!$U26="نعم",N(الموظفون!$W26)&gt;0),الموظفون!$V26/الموظفون!$W26*12/cfg_DAYS_Y*AJ26,0))</f>
        <v/>
      </c>
      <c r="AD26" s="111" t="str">
        <f aca="false">IF($B26="","",(IF(الموظفون!$X26&lt;&gt;"",الموظفون!$X26,IF(الموظفون!$E26="غير سعودي",cfg_IQ,0))+IF(الموظفون!$Y26&lt;&gt;"",الموظفون!$Y26,IF(الموظفون!$E26="غير سعودي",cfg_WP,0)))/12*G26/cfg_DAYS_M)</f>
        <v/>
      </c>
      <c r="AE26" s="111" t="str">
        <f aca="false">IF($B26="","",IF(الموظفون!$Z26&lt;&gt;"",الموظفون!$Z26,cfg_MED)/12*G26/cfg_DAYS_M)</f>
        <v/>
      </c>
      <c r="AF26" s="111" t="str">
        <f aca="false">IF($B26="","",N(الموظفون!$AA26)/12*G26/cfg_DAYS_M)</f>
        <v/>
      </c>
      <c r="AG26" s="154" t="str">
        <f aca="false">IF($B26="","",T26+SUM(Z26:AF26))</f>
        <v/>
      </c>
      <c r="AH26" s="155" t="str">
        <f aca="false">IF($B26="","",MAX(0,IF(OR(الموظفون!$AE26="",الموظفون!$AE26&gt;$F$3),$F$3,الموظفون!$AE26)-الموظفون!$H26+1-SUMIFS('سجل الإجازات والحالات'!$AN$6:$AN$505,'سجل الإجازات والحالات'!$B$6:$B$505,$B26))/cfg_DAYS_Y)</f>
        <v/>
      </c>
      <c r="AI26" s="155" t="str">
        <f aca="false">IF($B26="","",MAX(0,IF(OR(الموظفون!$AE26="",الموظفون!$AE26&gt;($E$3-1)),($E$3-1),الموظفون!$AE26)-الموظفون!$H26+1-SUMIFS('سجل الإجازات والحالات'!$AM$6:$AM$505,'سجل الإجازات والحالات'!$B$6:$B$505,$B26))/cfg_DAYS_Y)</f>
        <v/>
      </c>
      <c r="AJ26" s="65" t="str">
        <f aca="false">IF($B26="","",MAX(0,AK26-(SUMIFS('سجل الإجازات والحالات'!$AN$6:$AN$505,'سجل الإجازات والحالات'!$B$6:$B$505,$B26)-SUMIFS('سجل الإجازات والحالات'!$AM$6:$AM$505,'سجل الإجازات والحالات'!$B$6:$B$505,$B26))))</f>
        <v/>
      </c>
      <c r="AK26" s="65" t="str">
        <f aca="false">IF($B26="","",MAX(0,IF(OR(الموظفون!$AE26="",الموظفون!$AE26&gt;$F$3),$F$3,الموظفون!$AE26)-MAX($E$3,الموظفون!$H26)+1))</f>
        <v/>
      </c>
      <c r="AL26" s="151" t="str">
        <f aca="false">IF($B26="","",SUMIFS('سجل الإجازات والحالات'!$AZ$6:$AZ$505,'سجل الإجازات والحالات'!$B$6:$B$505,$B26)+SUMIFS('الحركات الشهرية'!$K$6:$K$1005,'الحركات الشهرية'!$B$6:$B$1005,$B26,'الحركات الشهرية'!$A$6:$A$1005,$C$3))</f>
        <v/>
      </c>
      <c r="AM26" s="111" t="str">
        <f aca="false">IF($B26="","",AL26*الموظفون!$R26/cfg_DAYS_M+S26)</f>
        <v/>
      </c>
      <c r="AN26" s="151" t="str">
        <f aca="false">IF($B26="","",SUMIFS('سجل الإجازات والحالات'!$AB$6:$AB$505,'سجل الإجازات والحالات'!$B$6:$B$505,$B26))</f>
        <v/>
      </c>
    </row>
    <row r="27" customFormat="false" ht="15" hidden="false" customHeight="false" outlineLevel="0" collapsed="false">
      <c r="A27" s="115" t="str">
        <f aca="false">IF($B27="","",الموظفون!$A27)</f>
        <v/>
      </c>
      <c r="B27" s="117" t="str">
        <f aca="false">IF(الموظفون!$B27="","",الموظفون!$B27)</f>
        <v/>
      </c>
      <c r="C27" s="117" t="str">
        <f aca="false">IF($B27="","",الموظفون!$C27)</f>
        <v/>
      </c>
      <c r="D27" s="117" t="str">
        <f aca="false">IF($B27="","",الموظفون!$F27)</f>
        <v/>
      </c>
      <c r="E27" s="117" t="str">
        <f aca="false">IF($B27="","",الموظفون!$E27)</f>
        <v/>
      </c>
      <c r="F27" s="117" t="str">
        <f aca="false">IF($B27="","",IF(AK27=0,IF(AND(الموظفون!$AE27&lt;&gt;"",الموظفون!$AE27&lt;$E$3),"✖ منتهي الخدمة","⏳ لم يباشر"),IF(S27&gt;0,"✈ راتب إجازة مقدم",IF(J27=0,"⛔ بدون راتب هذا الشهر",IF(I27&gt;0,"✈ خصم "&amp;ROUND(I27,2)&amp;" يوم بدون أجر",IF(AL27&gt;0,"🌴 إجازة سنوية "&amp;ROUND(AL27,2)&amp;" يوم",IF(H27&gt;0,"⚠ غياب "&amp;ROUND(H27,2)&amp;" يوم","✔ على رأس العمل")))))))</f>
        <v/>
      </c>
      <c r="G27" s="156" t="str">
        <f aca="false">IF($B27="","",IF(AK27&gt;=DAY($F$3),cfg_DAYS_M,MIN(AK27,cfg_DAYS_M)))</f>
        <v/>
      </c>
      <c r="H27" s="156" t="str">
        <f aca="false">IF($B27="","",SUMIFS('الحركات الشهرية'!$D$6:$D$1005,'الحركات الشهرية'!$B$6:$B$1005,$B27,'الحركات الشهرية'!$A$6:$A$1005,$C$3))</f>
        <v/>
      </c>
      <c r="I27" s="156" t="str">
        <f aca="false">IF($B27="","",MIN(G27,IF(AND(AK27&gt;0,AN27&gt;=AK27),G27,AN27)+SUMIFS('الحركات الشهرية'!$E$6:$E$1005,'الحركات الشهرية'!$B$6:$B$1005,$B27,'الحركات الشهرية'!$A$6:$A$1005,$C$3)))</f>
        <v/>
      </c>
      <c r="J27" s="156" t="str">
        <f aca="false">IF($B27="","",MAX(0,G27-H27-I27))</f>
        <v/>
      </c>
      <c r="K27" s="116" t="str">
        <f aca="false">IF($B27="","",الموظفون!$L27*$J27/cfg_DAYS_M)</f>
        <v/>
      </c>
      <c r="L27" s="116" t="str">
        <f aca="false">IF($B27="","",الموظفون!$M27*$J27/cfg_DAYS_M)</f>
        <v/>
      </c>
      <c r="M27" s="116" t="str">
        <f aca="false">IF($B27="","",الموظفون!$N27*$J27/cfg_DAYS_M)</f>
        <v/>
      </c>
      <c r="N27" s="116" t="str">
        <f aca="false">IF($B27="","",الموظفون!$O27*$J27/cfg_DAYS_M)</f>
        <v/>
      </c>
      <c r="O27" s="156" t="str">
        <f aca="false">IF($B27="","",SUMIFS('الحركات الشهرية'!$F$6:$F$1005,'الحركات الشهرية'!$B$6:$B$1005,$B27,'الحركات الشهرية'!$A$6:$A$1005,$C$3))</f>
        <v/>
      </c>
      <c r="P27" s="116" t="str">
        <f aca="false">IF($B27="","",O27*(الموظفون!$P27+الموظفون!$L27*cfg_OT_P)/cfg_DAYS_M/cfg_HRS)</f>
        <v/>
      </c>
      <c r="Q27" s="116" t="str">
        <f aca="false">IF($B27="","",SUMIFS('الحركات الشهرية'!$G$6:$G$1005,'الحركات الشهرية'!$B$6:$B$1005,$B27,'الحركات الشهرية'!$A$6:$A$1005,$C$3))</f>
        <v/>
      </c>
      <c r="R27" s="116" t="str">
        <f aca="false">IF($B27="","",SUMIFS('الحركات الشهرية'!$H$6:$H$1005,'الحركات الشهرية'!$B$6:$B$1005,$B27,'الحركات الشهرية'!$A$6:$A$1005,$C$3))</f>
        <v/>
      </c>
      <c r="S27" s="116" t="str">
        <f aca="false">IF($B27="","",SUMIFS('سجل الإجازات والحالات'!$N$6:$N$505,'سجل الإجازات والحالات'!$B$6:$B$505,$B27,'سجل الإجازات والحالات'!$O$6:$O$505,$C$3))</f>
        <v/>
      </c>
      <c r="T27" s="157" t="str">
        <f aca="false">IF($B27="","",SUM(K27:N27)+SUM(P27:S27))</f>
        <v/>
      </c>
      <c r="U27" s="116" t="str">
        <f aca="false">IF($B27="","",الموظفون!$S27*IF(E27="سعودي",cfg_G_SE,cfg_G_NE)*G27/cfg_DAYS_M)</f>
        <v/>
      </c>
      <c r="V27" s="116" t="str">
        <f aca="false">IF($B27="","",SUMIFS('الحركات الشهرية'!$I$6:$I$1005,'الحركات الشهرية'!$B$6:$B$1005,$B27,'الحركات الشهرية'!$A$6:$A$1005,$C$3))</f>
        <v/>
      </c>
      <c r="W27" s="116" t="str">
        <f aca="false">IF($B27="","",SUMIFS('الحركات الشهرية'!$J$6:$J$1005,'الحركات الشهرية'!$B$6:$B$1005,$B27,'الحركات الشهرية'!$A$6:$A$1005,$C$3))</f>
        <v/>
      </c>
      <c r="X27" s="116" t="str">
        <f aca="false">IF($B27="","",SUM(U27:W27))</f>
        <v/>
      </c>
      <c r="Y27" s="158" t="str">
        <f aca="false">IF($B27="","",T27-X27)</f>
        <v/>
      </c>
      <c r="Z27" s="116" t="str">
        <f aca="false">IF($B27="","",الموظفون!$S27*IF(E27="سعودي",cfg_G_SR,cfg_G_NR)*G27/cfg_DAYS_M)</f>
        <v/>
      </c>
      <c r="AA27" s="116" t="str">
        <f aca="false">IF($B27="","",الموظفون!$Q27*(cfg_EOS_R1*(MIN(AH27,cfg_EOS_TH)-MIN(AI27,cfg_EOS_TH))+cfg_EOS_R2*(MAX(AH27-cfg_EOS_TH,0)-MAX(AI27-cfg_EOS_TH,0))))</f>
        <v/>
      </c>
      <c r="AB27" s="116" t="str">
        <f aca="false">IF($B27="","",IF(الموظفون!$T27&lt;&gt;"",الموظفون!$T27,IF(AH27&gt;=cfg_LV_TH,cfg_LV_D2,cfg_LV_D1))/cfg_DAYS_Y*AJ27*الموظفون!$R27/cfg_DAYS_M)</f>
        <v/>
      </c>
      <c r="AC27" s="116" t="str">
        <f aca="false">IF($B27="","",IF(AND(الموظفون!$U27="نعم",N(الموظفون!$W27)&gt;0),الموظفون!$V27/الموظفون!$W27*12/cfg_DAYS_Y*AJ27,0))</f>
        <v/>
      </c>
      <c r="AD27" s="116" t="str">
        <f aca="false">IF($B27="","",(IF(الموظفون!$X27&lt;&gt;"",الموظفون!$X27,IF(الموظفون!$E27="غير سعودي",cfg_IQ,0))+IF(الموظفون!$Y27&lt;&gt;"",الموظفون!$Y27,IF(الموظفون!$E27="غير سعودي",cfg_WP,0)))/12*G27/cfg_DAYS_M)</f>
        <v/>
      </c>
      <c r="AE27" s="116" t="str">
        <f aca="false">IF($B27="","",IF(الموظفون!$Z27&lt;&gt;"",الموظفون!$Z27,cfg_MED)/12*G27/cfg_DAYS_M)</f>
        <v/>
      </c>
      <c r="AF27" s="116" t="str">
        <f aca="false">IF($B27="","",N(الموظفون!$AA27)/12*G27/cfg_DAYS_M)</f>
        <v/>
      </c>
      <c r="AG27" s="159" t="str">
        <f aca="false">IF($B27="","",T27+SUM(Z27:AF27))</f>
        <v/>
      </c>
      <c r="AH27" s="160" t="str">
        <f aca="false">IF($B27="","",MAX(0,IF(OR(الموظفون!$AE27="",الموظفون!$AE27&gt;$F$3),$F$3,الموظفون!$AE27)-الموظفون!$H27+1-SUMIFS('سجل الإجازات والحالات'!$AN$6:$AN$505,'سجل الإجازات والحالات'!$B$6:$B$505,$B27))/cfg_DAYS_Y)</f>
        <v/>
      </c>
      <c r="AI27" s="160" t="str">
        <f aca="false">IF($B27="","",MAX(0,IF(OR(الموظفون!$AE27="",الموظفون!$AE27&gt;($E$3-1)),($E$3-1),الموظفون!$AE27)-الموظفون!$H27+1-SUMIFS('سجل الإجازات والحالات'!$AM$6:$AM$505,'سجل الإجازات والحالات'!$B$6:$B$505,$B27))/cfg_DAYS_Y)</f>
        <v/>
      </c>
      <c r="AJ27" s="133" t="str">
        <f aca="false">IF($B27="","",MAX(0,AK27-(SUMIFS('سجل الإجازات والحالات'!$AN$6:$AN$505,'سجل الإجازات والحالات'!$B$6:$B$505,$B27)-SUMIFS('سجل الإجازات والحالات'!$AM$6:$AM$505,'سجل الإجازات والحالات'!$B$6:$B$505,$B27))))</f>
        <v/>
      </c>
      <c r="AK27" s="133" t="str">
        <f aca="false">IF($B27="","",MAX(0,IF(OR(الموظفون!$AE27="",الموظفون!$AE27&gt;$F$3),$F$3,الموظفون!$AE27)-MAX($E$3,الموظفون!$H27)+1))</f>
        <v/>
      </c>
      <c r="AL27" s="156" t="str">
        <f aca="false">IF($B27="","",SUMIFS('سجل الإجازات والحالات'!$AZ$6:$AZ$505,'سجل الإجازات والحالات'!$B$6:$B$505,$B27)+SUMIFS('الحركات الشهرية'!$K$6:$K$1005,'الحركات الشهرية'!$B$6:$B$1005,$B27,'الحركات الشهرية'!$A$6:$A$1005,$C$3))</f>
        <v/>
      </c>
      <c r="AM27" s="116" t="str">
        <f aca="false">IF($B27="","",AL27*الموظفون!$R27/cfg_DAYS_M+S27)</f>
        <v/>
      </c>
      <c r="AN27" s="156" t="str">
        <f aca="false">IF($B27="","",SUMIFS('سجل الإجازات والحالات'!$AB$6:$AB$505,'سجل الإجازات والحالات'!$B$6:$B$505,$B27))</f>
        <v/>
      </c>
    </row>
    <row r="28" customFormat="false" ht="15" hidden="false" customHeight="false" outlineLevel="0" collapsed="false">
      <c r="A28" s="106" t="str">
        <f aca="false">IF($B28="","",الموظفون!$A28)</f>
        <v/>
      </c>
      <c r="B28" s="114" t="str">
        <f aca="false">IF(الموظفون!$B28="","",الموظفون!$B28)</f>
        <v/>
      </c>
      <c r="C28" s="114" t="str">
        <f aca="false">IF($B28="","",الموظفون!$C28)</f>
        <v/>
      </c>
      <c r="D28" s="114" t="str">
        <f aca="false">IF($B28="","",الموظفون!$F28)</f>
        <v/>
      </c>
      <c r="E28" s="114" t="str">
        <f aca="false">IF($B28="","",الموظفون!$E28)</f>
        <v/>
      </c>
      <c r="F28" s="114" t="str">
        <f aca="false">IF($B28="","",IF(AK28=0,IF(AND(الموظفون!$AE28&lt;&gt;"",الموظفون!$AE28&lt;$E$3),"✖ منتهي الخدمة","⏳ لم يباشر"),IF(S28&gt;0,"✈ راتب إجازة مقدم",IF(J28=0,"⛔ بدون راتب هذا الشهر",IF(I28&gt;0,"✈ خصم "&amp;ROUND(I28,2)&amp;" يوم بدون أجر",IF(AL28&gt;0,"🌴 إجازة سنوية "&amp;ROUND(AL28,2)&amp;" يوم",IF(H28&gt;0,"⚠ غياب "&amp;ROUND(H28,2)&amp;" يوم","✔ على رأس العمل")))))))</f>
        <v/>
      </c>
      <c r="G28" s="151" t="str">
        <f aca="false">IF($B28="","",IF(AK28&gt;=DAY($F$3),cfg_DAYS_M,MIN(AK28,cfg_DAYS_M)))</f>
        <v/>
      </c>
      <c r="H28" s="151" t="str">
        <f aca="false">IF($B28="","",SUMIFS('الحركات الشهرية'!$D$6:$D$1005,'الحركات الشهرية'!$B$6:$B$1005,$B28,'الحركات الشهرية'!$A$6:$A$1005,$C$3))</f>
        <v/>
      </c>
      <c r="I28" s="151" t="str">
        <f aca="false">IF($B28="","",MIN(G28,IF(AND(AK28&gt;0,AN28&gt;=AK28),G28,AN28)+SUMIFS('الحركات الشهرية'!$E$6:$E$1005,'الحركات الشهرية'!$B$6:$B$1005,$B28,'الحركات الشهرية'!$A$6:$A$1005,$C$3)))</f>
        <v/>
      </c>
      <c r="J28" s="151" t="str">
        <f aca="false">IF($B28="","",MAX(0,G28-H28-I28))</f>
        <v/>
      </c>
      <c r="K28" s="111" t="str">
        <f aca="false">IF($B28="","",الموظفون!$L28*$J28/cfg_DAYS_M)</f>
        <v/>
      </c>
      <c r="L28" s="111" t="str">
        <f aca="false">IF($B28="","",الموظفون!$M28*$J28/cfg_DAYS_M)</f>
        <v/>
      </c>
      <c r="M28" s="111" t="str">
        <f aca="false">IF($B28="","",الموظفون!$N28*$J28/cfg_DAYS_M)</f>
        <v/>
      </c>
      <c r="N28" s="111" t="str">
        <f aca="false">IF($B28="","",الموظفون!$O28*$J28/cfg_DAYS_M)</f>
        <v/>
      </c>
      <c r="O28" s="151" t="str">
        <f aca="false">IF($B28="","",SUMIFS('الحركات الشهرية'!$F$6:$F$1005,'الحركات الشهرية'!$B$6:$B$1005,$B28,'الحركات الشهرية'!$A$6:$A$1005,$C$3))</f>
        <v/>
      </c>
      <c r="P28" s="111" t="str">
        <f aca="false">IF($B28="","",O28*(الموظفون!$P28+الموظفون!$L28*cfg_OT_P)/cfg_DAYS_M/cfg_HRS)</f>
        <v/>
      </c>
      <c r="Q28" s="111" t="str">
        <f aca="false">IF($B28="","",SUMIFS('الحركات الشهرية'!$G$6:$G$1005,'الحركات الشهرية'!$B$6:$B$1005,$B28,'الحركات الشهرية'!$A$6:$A$1005,$C$3))</f>
        <v/>
      </c>
      <c r="R28" s="111" t="str">
        <f aca="false">IF($B28="","",SUMIFS('الحركات الشهرية'!$H$6:$H$1005,'الحركات الشهرية'!$B$6:$B$1005,$B28,'الحركات الشهرية'!$A$6:$A$1005,$C$3))</f>
        <v/>
      </c>
      <c r="S28" s="111" t="str">
        <f aca="false">IF($B28="","",SUMIFS('سجل الإجازات والحالات'!$N$6:$N$505,'سجل الإجازات والحالات'!$B$6:$B$505,$B28,'سجل الإجازات والحالات'!$O$6:$O$505,$C$3))</f>
        <v/>
      </c>
      <c r="T28" s="152" t="str">
        <f aca="false">IF($B28="","",SUM(K28:N28)+SUM(P28:S28))</f>
        <v/>
      </c>
      <c r="U28" s="111" t="str">
        <f aca="false">IF($B28="","",الموظفون!$S28*IF(E28="سعودي",cfg_G_SE,cfg_G_NE)*G28/cfg_DAYS_M)</f>
        <v/>
      </c>
      <c r="V28" s="111" t="str">
        <f aca="false">IF($B28="","",SUMIFS('الحركات الشهرية'!$I$6:$I$1005,'الحركات الشهرية'!$B$6:$B$1005,$B28,'الحركات الشهرية'!$A$6:$A$1005,$C$3))</f>
        <v/>
      </c>
      <c r="W28" s="111" t="str">
        <f aca="false">IF($B28="","",SUMIFS('الحركات الشهرية'!$J$6:$J$1005,'الحركات الشهرية'!$B$6:$B$1005,$B28,'الحركات الشهرية'!$A$6:$A$1005,$C$3))</f>
        <v/>
      </c>
      <c r="X28" s="111" t="str">
        <f aca="false">IF($B28="","",SUM(U28:W28))</f>
        <v/>
      </c>
      <c r="Y28" s="153" t="str">
        <f aca="false">IF($B28="","",T28-X28)</f>
        <v/>
      </c>
      <c r="Z28" s="111" t="str">
        <f aca="false">IF($B28="","",الموظفون!$S28*IF(E28="سعودي",cfg_G_SR,cfg_G_NR)*G28/cfg_DAYS_M)</f>
        <v/>
      </c>
      <c r="AA28" s="111" t="str">
        <f aca="false">IF($B28="","",الموظفون!$Q28*(cfg_EOS_R1*(MIN(AH28,cfg_EOS_TH)-MIN(AI28,cfg_EOS_TH))+cfg_EOS_R2*(MAX(AH28-cfg_EOS_TH,0)-MAX(AI28-cfg_EOS_TH,0))))</f>
        <v/>
      </c>
      <c r="AB28" s="111" t="str">
        <f aca="false">IF($B28="","",IF(الموظفون!$T28&lt;&gt;"",الموظفون!$T28,IF(AH28&gt;=cfg_LV_TH,cfg_LV_D2,cfg_LV_D1))/cfg_DAYS_Y*AJ28*الموظفون!$R28/cfg_DAYS_M)</f>
        <v/>
      </c>
      <c r="AC28" s="111" t="str">
        <f aca="false">IF($B28="","",IF(AND(الموظفون!$U28="نعم",N(الموظفون!$W28)&gt;0),الموظفون!$V28/الموظفون!$W28*12/cfg_DAYS_Y*AJ28,0))</f>
        <v/>
      </c>
      <c r="AD28" s="111" t="str">
        <f aca="false">IF($B28="","",(IF(الموظفون!$X28&lt;&gt;"",الموظفون!$X28,IF(الموظفون!$E28="غير سعودي",cfg_IQ,0))+IF(الموظفون!$Y28&lt;&gt;"",الموظفون!$Y28,IF(الموظفون!$E28="غير سعودي",cfg_WP,0)))/12*G28/cfg_DAYS_M)</f>
        <v/>
      </c>
      <c r="AE28" s="111" t="str">
        <f aca="false">IF($B28="","",IF(الموظفون!$Z28&lt;&gt;"",الموظفون!$Z28,cfg_MED)/12*G28/cfg_DAYS_M)</f>
        <v/>
      </c>
      <c r="AF28" s="111" t="str">
        <f aca="false">IF($B28="","",N(الموظفون!$AA28)/12*G28/cfg_DAYS_M)</f>
        <v/>
      </c>
      <c r="AG28" s="154" t="str">
        <f aca="false">IF($B28="","",T28+SUM(Z28:AF28))</f>
        <v/>
      </c>
      <c r="AH28" s="155" t="str">
        <f aca="false">IF($B28="","",MAX(0,IF(OR(الموظفون!$AE28="",الموظفون!$AE28&gt;$F$3),$F$3,الموظفون!$AE28)-الموظفون!$H28+1-SUMIFS('سجل الإجازات والحالات'!$AN$6:$AN$505,'سجل الإجازات والحالات'!$B$6:$B$505,$B28))/cfg_DAYS_Y)</f>
        <v/>
      </c>
      <c r="AI28" s="155" t="str">
        <f aca="false">IF($B28="","",MAX(0,IF(OR(الموظفون!$AE28="",الموظفون!$AE28&gt;($E$3-1)),($E$3-1),الموظفون!$AE28)-الموظفون!$H28+1-SUMIFS('سجل الإجازات والحالات'!$AM$6:$AM$505,'سجل الإجازات والحالات'!$B$6:$B$505,$B28))/cfg_DAYS_Y)</f>
        <v/>
      </c>
      <c r="AJ28" s="65" t="str">
        <f aca="false">IF($B28="","",MAX(0,AK28-(SUMIFS('سجل الإجازات والحالات'!$AN$6:$AN$505,'سجل الإجازات والحالات'!$B$6:$B$505,$B28)-SUMIFS('سجل الإجازات والحالات'!$AM$6:$AM$505,'سجل الإجازات والحالات'!$B$6:$B$505,$B28))))</f>
        <v/>
      </c>
      <c r="AK28" s="65" t="str">
        <f aca="false">IF($B28="","",MAX(0,IF(OR(الموظفون!$AE28="",الموظفون!$AE28&gt;$F$3),$F$3,الموظفون!$AE28)-MAX($E$3,الموظفون!$H28)+1))</f>
        <v/>
      </c>
      <c r="AL28" s="151" t="str">
        <f aca="false">IF($B28="","",SUMIFS('سجل الإجازات والحالات'!$AZ$6:$AZ$505,'سجل الإجازات والحالات'!$B$6:$B$505,$B28)+SUMIFS('الحركات الشهرية'!$K$6:$K$1005,'الحركات الشهرية'!$B$6:$B$1005,$B28,'الحركات الشهرية'!$A$6:$A$1005,$C$3))</f>
        <v/>
      </c>
      <c r="AM28" s="111" t="str">
        <f aca="false">IF($B28="","",AL28*الموظفون!$R28/cfg_DAYS_M+S28)</f>
        <v/>
      </c>
      <c r="AN28" s="151" t="str">
        <f aca="false">IF($B28="","",SUMIFS('سجل الإجازات والحالات'!$AB$6:$AB$505,'سجل الإجازات والحالات'!$B$6:$B$505,$B28))</f>
        <v/>
      </c>
    </row>
    <row r="29" customFormat="false" ht="15" hidden="false" customHeight="false" outlineLevel="0" collapsed="false">
      <c r="A29" s="115" t="str">
        <f aca="false">IF($B29="","",الموظفون!$A29)</f>
        <v/>
      </c>
      <c r="B29" s="117" t="str">
        <f aca="false">IF(الموظفون!$B29="","",الموظفون!$B29)</f>
        <v/>
      </c>
      <c r="C29" s="117" t="str">
        <f aca="false">IF($B29="","",الموظفون!$C29)</f>
        <v/>
      </c>
      <c r="D29" s="117" t="str">
        <f aca="false">IF($B29="","",الموظفون!$F29)</f>
        <v/>
      </c>
      <c r="E29" s="117" t="str">
        <f aca="false">IF($B29="","",الموظفون!$E29)</f>
        <v/>
      </c>
      <c r="F29" s="117" t="str">
        <f aca="false">IF($B29="","",IF(AK29=0,IF(AND(الموظفون!$AE29&lt;&gt;"",الموظفون!$AE29&lt;$E$3),"✖ منتهي الخدمة","⏳ لم يباشر"),IF(S29&gt;0,"✈ راتب إجازة مقدم",IF(J29=0,"⛔ بدون راتب هذا الشهر",IF(I29&gt;0,"✈ خصم "&amp;ROUND(I29,2)&amp;" يوم بدون أجر",IF(AL29&gt;0,"🌴 إجازة سنوية "&amp;ROUND(AL29,2)&amp;" يوم",IF(H29&gt;0,"⚠ غياب "&amp;ROUND(H29,2)&amp;" يوم","✔ على رأس العمل")))))))</f>
        <v/>
      </c>
      <c r="G29" s="156" t="str">
        <f aca="false">IF($B29="","",IF(AK29&gt;=DAY($F$3),cfg_DAYS_M,MIN(AK29,cfg_DAYS_M)))</f>
        <v/>
      </c>
      <c r="H29" s="156" t="str">
        <f aca="false">IF($B29="","",SUMIFS('الحركات الشهرية'!$D$6:$D$1005,'الحركات الشهرية'!$B$6:$B$1005,$B29,'الحركات الشهرية'!$A$6:$A$1005,$C$3))</f>
        <v/>
      </c>
      <c r="I29" s="156" t="str">
        <f aca="false">IF($B29="","",MIN(G29,IF(AND(AK29&gt;0,AN29&gt;=AK29),G29,AN29)+SUMIFS('الحركات الشهرية'!$E$6:$E$1005,'الحركات الشهرية'!$B$6:$B$1005,$B29,'الحركات الشهرية'!$A$6:$A$1005,$C$3)))</f>
        <v/>
      </c>
      <c r="J29" s="156" t="str">
        <f aca="false">IF($B29="","",MAX(0,G29-H29-I29))</f>
        <v/>
      </c>
      <c r="K29" s="116" t="str">
        <f aca="false">IF($B29="","",الموظفون!$L29*$J29/cfg_DAYS_M)</f>
        <v/>
      </c>
      <c r="L29" s="116" t="str">
        <f aca="false">IF($B29="","",الموظفون!$M29*$J29/cfg_DAYS_M)</f>
        <v/>
      </c>
      <c r="M29" s="116" t="str">
        <f aca="false">IF($B29="","",الموظفون!$N29*$J29/cfg_DAYS_M)</f>
        <v/>
      </c>
      <c r="N29" s="116" t="str">
        <f aca="false">IF($B29="","",الموظفون!$O29*$J29/cfg_DAYS_M)</f>
        <v/>
      </c>
      <c r="O29" s="156" t="str">
        <f aca="false">IF($B29="","",SUMIFS('الحركات الشهرية'!$F$6:$F$1005,'الحركات الشهرية'!$B$6:$B$1005,$B29,'الحركات الشهرية'!$A$6:$A$1005,$C$3))</f>
        <v/>
      </c>
      <c r="P29" s="116" t="str">
        <f aca="false">IF($B29="","",O29*(الموظفون!$P29+الموظفون!$L29*cfg_OT_P)/cfg_DAYS_M/cfg_HRS)</f>
        <v/>
      </c>
      <c r="Q29" s="116" t="str">
        <f aca="false">IF($B29="","",SUMIFS('الحركات الشهرية'!$G$6:$G$1005,'الحركات الشهرية'!$B$6:$B$1005,$B29,'الحركات الشهرية'!$A$6:$A$1005,$C$3))</f>
        <v/>
      </c>
      <c r="R29" s="116" t="str">
        <f aca="false">IF($B29="","",SUMIFS('الحركات الشهرية'!$H$6:$H$1005,'الحركات الشهرية'!$B$6:$B$1005,$B29,'الحركات الشهرية'!$A$6:$A$1005,$C$3))</f>
        <v/>
      </c>
      <c r="S29" s="116" t="str">
        <f aca="false">IF($B29="","",SUMIFS('سجل الإجازات والحالات'!$N$6:$N$505,'سجل الإجازات والحالات'!$B$6:$B$505,$B29,'سجل الإجازات والحالات'!$O$6:$O$505,$C$3))</f>
        <v/>
      </c>
      <c r="T29" s="157" t="str">
        <f aca="false">IF($B29="","",SUM(K29:N29)+SUM(P29:S29))</f>
        <v/>
      </c>
      <c r="U29" s="116" t="str">
        <f aca="false">IF($B29="","",الموظفون!$S29*IF(E29="سعودي",cfg_G_SE,cfg_G_NE)*G29/cfg_DAYS_M)</f>
        <v/>
      </c>
      <c r="V29" s="116" t="str">
        <f aca="false">IF($B29="","",SUMIFS('الحركات الشهرية'!$I$6:$I$1005,'الحركات الشهرية'!$B$6:$B$1005,$B29,'الحركات الشهرية'!$A$6:$A$1005,$C$3))</f>
        <v/>
      </c>
      <c r="W29" s="116" t="str">
        <f aca="false">IF($B29="","",SUMIFS('الحركات الشهرية'!$J$6:$J$1005,'الحركات الشهرية'!$B$6:$B$1005,$B29,'الحركات الشهرية'!$A$6:$A$1005,$C$3))</f>
        <v/>
      </c>
      <c r="X29" s="116" t="str">
        <f aca="false">IF($B29="","",SUM(U29:W29))</f>
        <v/>
      </c>
      <c r="Y29" s="158" t="str">
        <f aca="false">IF($B29="","",T29-X29)</f>
        <v/>
      </c>
      <c r="Z29" s="116" t="str">
        <f aca="false">IF($B29="","",الموظفون!$S29*IF(E29="سعودي",cfg_G_SR,cfg_G_NR)*G29/cfg_DAYS_M)</f>
        <v/>
      </c>
      <c r="AA29" s="116" t="str">
        <f aca="false">IF($B29="","",الموظفون!$Q29*(cfg_EOS_R1*(MIN(AH29,cfg_EOS_TH)-MIN(AI29,cfg_EOS_TH))+cfg_EOS_R2*(MAX(AH29-cfg_EOS_TH,0)-MAX(AI29-cfg_EOS_TH,0))))</f>
        <v/>
      </c>
      <c r="AB29" s="116" t="str">
        <f aca="false">IF($B29="","",IF(الموظفون!$T29&lt;&gt;"",الموظفون!$T29,IF(AH29&gt;=cfg_LV_TH,cfg_LV_D2,cfg_LV_D1))/cfg_DAYS_Y*AJ29*الموظفون!$R29/cfg_DAYS_M)</f>
        <v/>
      </c>
      <c r="AC29" s="116" t="str">
        <f aca="false">IF($B29="","",IF(AND(الموظفون!$U29="نعم",N(الموظفون!$W29)&gt;0),الموظفون!$V29/الموظفون!$W29*12/cfg_DAYS_Y*AJ29,0))</f>
        <v/>
      </c>
      <c r="AD29" s="116" t="str">
        <f aca="false">IF($B29="","",(IF(الموظفون!$X29&lt;&gt;"",الموظفون!$X29,IF(الموظفون!$E29="غير سعودي",cfg_IQ,0))+IF(الموظفون!$Y29&lt;&gt;"",الموظفون!$Y29,IF(الموظفون!$E29="غير سعودي",cfg_WP,0)))/12*G29/cfg_DAYS_M)</f>
        <v/>
      </c>
      <c r="AE29" s="116" t="str">
        <f aca="false">IF($B29="","",IF(الموظفون!$Z29&lt;&gt;"",الموظفون!$Z29,cfg_MED)/12*G29/cfg_DAYS_M)</f>
        <v/>
      </c>
      <c r="AF29" s="116" t="str">
        <f aca="false">IF($B29="","",N(الموظفون!$AA29)/12*G29/cfg_DAYS_M)</f>
        <v/>
      </c>
      <c r="AG29" s="159" t="str">
        <f aca="false">IF($B29="","",T29+SUM(Z29:AF29))</f>
        <v/>
      </c>
      <c r="AH29" s="160" t="str">
        <f aca="false">IF($B29="","",MAX(0,IF(OR(الموظفون!$AE29="",الموظفون!$AE29&gt;$F$3),$F$3,الموظفون!$AE29)-الموظفون!$H29+1-SUMIFS('سجل الإجازات والحالات'!$AN$6:$AN$505,'سجل الإجازات والحالات'!$B$6:$B$505,$B29))/cfg_DAYS_Y)</f>
        <v/>
      </c>
      <c r="AI29" s="160" t="str">
        <f aca="false">IF($B29="","",MAX(0,IF(OR(الموظفون!$AE29="",الموظفون!$AE29&gt;($E$3-1)),($E$3-1),الموظفون!$AE29)-الموظفون!$H29+1-SUMIFS('سجل الإجازات والحالات'!$AM$6:$AM$505,'سجل الإجازات والحالات'!$B$6:$B$505,$B29))/cfg_DAYS_Y)</f>
        <v/>
      </c>
      <c r="AJ29" s="133" t="str">
        <f aca="false">IF($B29="","",MAX(0,AK29-(SUMIFS('سجل الإجازات والحالات'!$AN$6:$AN$505,'سجل الإجازات والحالات'!$B$6:$B$505,$B29)-SUMIFS('سجل الإجازات والحالات'!$AM$6:$AM$505,'سجل الإجازات والحالات'!$B$6:$B$505,$B29))))</f>
        <v/>
      </c>
      <c r="AK29" s="133" t="str">
        <f aca="false">IF($B29="","",MAX(0,IF(OR(الموظفون!$AE29="",الموظفون!$AE29&gt;$F$3),$F$3,الموظفون!$AE29)-MAX($E$3,الموظفون!$H29)+1))</f>
        <v/>
      </c>
      <c r="AL29" s="156" t="str">
        <f aca="false">IF($B29="","",SUMIFS('سجل الإجازات والحالات'!$AZ$6:$AZ$505,'سجل الإجازات والحالات'!$B$6:$B$505,$B29)+SUMIFS('الحركات الشهرية'!$K$6:$K$1005,'الحركات الشهرية'!$B$6:$B$1005,$B29,'الحركات الشهرية'!$A$6:$A$1005,$C$3))</f>
        <v/>
      </c>
      <c r="AM29" s="116" t="str">
        <f aca="false">IF($B29="","",AL29*الموظفون!$R29/cfg_DAYS_M+S29)</f>
        <v/>
      </c>
      <c r="AN29" s="156" t="str">
        <f aca="false">IF($B29="","",SUMIFS('سجل الإجازات والحالات'!$AB$6:$AB$505,'سجل الإجازات والحالات'!$B$6:$B$505,$B29))</f>
        <v/>
      </c>
    </row>
    <row r="30" customFormat="false" ht="15" hidden="false" customHeight="false" outlineLevel="0" collapsed="false">
      <c r="A30" s="106" t="str">
        <f aca="false">IF($B30="","",الموظفون!$A30)</f>
        <v/>
      </c>
      <c r="B30" s="114" t="str">
        <f aca="false">IF(الموظفون!$B30="","",الموظفون!$B30)</f>
        <v/>
      </c>
      <c r="C30" s="114" t="str">
        <f aca="false">IF($B30="","",الموظفون!$C30)</f>
        <v/>
      </c>
      <c r="D30" s="114" t="str">
        <f aca="false">IF($B30="","",الموظفون!$F30)</f>
        <v/>
      </c>
      <c r="E30" s="114" t="str">
        <f aca="false">IF($B30="","",الموظفون!$E30)</f>
        <v/>
      </c>
      <c r="F30" s="114" t="str">
        <f aca="false">IF($B30="","",IF(AK30=0,IF(AND(الموظفون!$AE30&lt;&gt;"",الموظفون!$AE30&lt;$E$3),"✖ منتهي الخدمة","⏳ لم يباشر"),IF(S30&gt;0,"✈ راتب إجازة مقدم",IF(J30=0,"⛔ بدون راتب هذا الشهر",IF(I30&gt;0,"✈ خصم "&amp;ROUND(I30,2)&amp;" يوم بدون أجر",IF(AL30&gt;0,"🌴 إجازة سنوية "&amp;ROUND(AL30,2)&amp;" يوم",IF(H30&gt;0,"⚠ غياب "&amp;ROUND(H30,2)&amp;" يوم","✔ على رأس العمل")))))))</f>
        <v/>
      </c>
      <c r="G30" s="151" t="str">
        <f aca="false">IF($B30="","",IF(AK30&gt;=DAY($F$3),cfg_DAYS_M,MIN(AK30,cfg_DAYS_M)))</f>
        <v/>
      </c>
      <c r="H30" s="151" t="str">
        <f aca="false">IF($B30="","",SUMIFS('الحركات الشهرية'!$D$6:$D$1005,'الحركات الشهرية'!$B$6:$B$1005,$B30,'الحركات الشهرية'!$A$6:$A$1005,$C$3))</f>
        <v/>
      </c>
      <c r="I30" s="151" t="str">
        <f aca="false">IF($B30="","",MIN(G30,IF(AND(AK30&gt;0,AN30&gt;=AK30),G30,AN30)+SUMIFS('الحركات الشهرية'!$E$6:$E$1005,'الحركات الشهرية'!$B$6:$B$1005,$B30,'الحركات الشهرية'!$A$6:$A$1005,$C$3)))</f>
        <v/>
      </c>
      <c r="J30" s="151" t="str">
        <f aca="false">IF($B30="","",MAX(0,G30-H30-I30))</f>
        <v/>
      </c>
      <c r="K30" s="111" t="str">
        <f aca="false">IF($B30="","",الموظفون!$L30*$J30/cfg_DAYS_M)</f>
        <v/>
      </c>
      <c r="L30" s="111" t="str">
        <f aca="false">IF($B30="","",الموظفون!$M30*$J30/cfg_DAYS_M)</f>
        <v/>
      </c>
      <c r="M30" s="111" t="str">
        <f aca="false">IF($B30="","",الموظفون!$N30*$J30/cfg_DAYS_M)</f>
        <v/>
      </c>
      <c r="N30" s="111" t="str">
        <f aca="false">IF($B30="","",الموظفون!$O30*$J30/cfg_DAYS_M)</f>
        <v/>
      </c>
      <c r="O30" s="151" t="str">
        <f aca="false">IF($B30="","",SUMIFS('الحركات الشهرية'!$F$6:$F$1005,'الحركات الشهرية'!$B$6:$B$1005,$B30,'الحركات الشهرية'!$A$6:$A$1005,$C$3))</f>
        <v/>
      </c>
      <c r="P30" s="111" t="str">
        <f aca="false">IF($B30="","",O30*(الموظفون!$P30+الموظفون!$L30*cfg_OT_P)/cfg_DAYS_M/cfg_HRS)</f>
        <v/>
      </c>
      <c r="Q30" s="111" t="str">
        <f aca="false">IF($B30="","",SUMIFS('الحركات الشهرية'!$G$6:$G$1005,'الحركات الشهرية'!$B$6:$B$1005,$B30,'الحركات الشهرية'!$A$6:$A$1005,$C$3))</f>
        <v/>
      </c>
      <c r="R30" s="111" t="str">
        <f aca="false">IF($B30="","",SUMIFS('الحركات الشهرية'!$H$6:$H$1005,'الحركات الشهرية'!$B$6:$B$1005,$B30,'الحركات الشهرية'!$A$6:$A$1005,$C$3))</f>
        <v/>
      </c>
      <c r="S30" s="111" t="str">
        <f aca="false">IF($B30="","",SUMIFS('سجل الإجازات والحالات'!$N$6:$N$505,'سجل الإجازات والحالات'!$B$6:$B$505,$B30,'سجل الإجازات والحالات'!$O$6:$O$505,$C$3))</f>
        <v/>
      </c>
      <c r="T30" s="152" t="str">
        <f aca="false">IF($B30="","",SUM(K30:N30)+SUM(P30:S30))</f>
        <v/>
      </c>
      <c r="U30" s="111" t="str">
        <f aca="false">IF($B30="","",الموظفون!$S30*IF(E30="سعودي",cfg_G_SE,cfg_G_NE)*G30/cfg_DAYS_M)</f>
        <v/>
      </c>
      <c r="V30" s="111" t="str">
        <f aca="false">IF($B30="","",SUMIFS('الحركات الشهرية'!$I$6:$I$1005,'الحركات الشهرية'!$B$6:$B$1005,$B30,'الحركات الشهرية'!$A$6:$A$1005,$C$3))</f>
        <v/>
      </c>
      <c r="W30" s="111" t="str">
        <f aca="false">IF($B30="","",SUMIFS('الحركات الشهرية'!$J$6:$J$1005,'الحركات الشهرية'!$B$6:$B$1005,$B30,'الحركات الشهرية'!$A$6:$A$1005,$C$3))</f>
        <v/>
      </c>
      <c r="X30" s="111" t="str">
        <f aca="false">IF($B30="","",SUM(U30:W30))</f>
        <v/>
      </c>
      <c r="Y30" s="153" t="str">
        <f aca="false">IF($B30="","",T30-X30)</f>
        <v/>
      </c>
      <c r="Z30" s="111" t="str">
        <f aca="false">IF($B30="","",الموظفون!$S30*IF(E30="سعودي",cfg_G_SR,cfg_G_NR)*G30/cfg_DAYS_M)</f>
        <v/>
      </c>
      <c r="AA30" s="111" t="str">
        <f aca="false">IF($B30="","",الموظفون!$Q30*(cfg_EOS_R1*(MIN(AH30,cfg_EOS_TH)-MIN(AI30,cfg_EOS_TH))+cfg_EOS_R2*(MAX(AH30-cfg_EOS_TH,0)-MAX(AI30-cfg_EOS_TH,0))))</f>
        <v/>
      </c>
      <c r="AB30" s="111" t="str">
        <f aca="false">IF($B30="","",IF(الموظفون!$T30&lt;&gt;"",الموظفون!$T30,IF(AH30&gt;=cfg_LV_TH,cfg_LV_D2,cfg_LV_D1))/cfg_DAYS_Y*AJ30*الموظفون!$R30/cfg_DAYS_M)</f>
        <v/>
      </c>
      <c r="AC30" s="111" t="str">
        <f aca="false">IF($B30="","",IF(AND(الموظفون!$U30="نعم",N(الموظفون!$W30)&gt;0),الموظفون!$V30/الموظفون!$W30*12/cfg_DAYS_Y*AJ30,0))</f>
        <v/>
      </c>
      <c r="AD30" s="111" t="str">
        <f aca="false">IF($B30="","",(IF(الموظفون!$X30&lt;&gt;"",الموظفون!$X30,IF(الموظفون!$E30="غير سعودي",cfg_IQ,0))+IF(الموظفون!$Y30&lt;&gt;"",الموظفون!$Y30,IF(الموظفون!$E30="غير سعودي",cfg_WP,0)))/12*G30/cfg_DAYS_M)</f>
        <v/>
      </c>
      <c r="AE30" s="111" t="str">
        <f aca="false">IF($B30="","",IF(الموظفون!$Z30&lt;&gt;"",الموظفون!$Z30,cfg_MED)/12*G30/cfg_DAYS_M)</f>
        <v/>
      </c>
      <c r="AF30" s="111" t="str">
        <f aca="false">IF($B30="","",N(الموظفون!$AA30)/12*G30/cfg_DAYS_M)</f>
        <v/>
      </c>
      <c r="AG30" s="154" t="str">
        <f aca="false">IF($B30="","",T30+SUM(Z30:AF30))</f>
        <v/>
      </c>
      <c r="AH30" s="155" t="str">
        <f aca="false">IF($B30="","",MAX(0,IF(OR(الموظفون!$AE30="",الموظفون!$AE30&gt;$F$3),$F$3,الموظفون!$AE30)-الموظفون!$H30+1-SUMIFS('سجل الإجازات والحالات'!$AN$6:$AN$505,'سجل الإجازات والحالات'!$B$6:$B$505,$B30))/cfg_DAYS_Y)</f>
        <v/>
      </c>
      <c r="AI30" s="155" t="str">
        <f aca="false">IF($B30="","",MAX(0,IF(OR(الموظفون!$AE30="",الموظفون!$AE30&gt;($E$3-1)),($E$3-1),الموظفون!$AE30)-الموظفون!$H30+1-SUMIFS('سجل الإجازات والحالات'!$AM$6:$AM$505,'سجل الإجازات والحالات'!$B$6:$B$505,$B30))/cfg_DAYS_Y)</f>
        <v/>
      </c>
      <c r="AJ30" s="65" t="str">
        <f aca="false">IF($B30="","",MAX(0,AK30-(SUMIFS('سجل الإجازات والحالات'!$AN$6:$AN$505,'سجل الإجازات والحالات'!$B$6:$B$505,$B30)-SUMIFS('سجل الإجازات والحالات'!$AM$6:$AM$505,'سجل الإجازات والحالات'!$B$6:$B$505,$B30))))</f>
        <v/>
      </c>
      <c r="AK30" s="65" t="str">
        <f aca="false">IF($B30="","",MAX(0,IF(OR(الموظفون!$AE30="",الموظفون!$AE30&gt;$F$3),$F$3,الموظفون!$AE30)-MAX($E$3,الموظفون!$H30)+1))</f>
        <v/>
      </c>
      <c r="AL30" s="151" t="str">
        <f aca="false">IF($B30="","",SUMIFS('سجل الإجازات والحالات'!$AZ$6:$AZ$505,'سجل الإجازات والحالات'!$B$6:$B$505,$B30)+SUMIFS('الحركات الشهرية'!$K$6:$K$1005,'الحركات الشهرية'!$B$6:$B$1005,$B30,'الحركات الشهرية'!$A$6:$A$1005,$C$3))</f>
        <v/>
      </c>
      <c r="AM30" s="111" t="str">
        <f aca="false">IF($B30="","",AL30*الموظفون!$R30/cfg_DAYS_M+S30)</f>
        <v/>
      </c>
      <c r="AN30" s="151" t="str">
        <f aca="false">IF($B30="","",SUMIFS('سجل الإجازات والحالات'!$AB$6:$AB$505,'سجل الإجازات والحالات'!$B$6:$B$505,$B30))</f>
        <v/>
      </c>
    </row>
    <row r="31" customFormat="false" ht="15" hidden="false" customHeight="false" outlineLevel="0" collapsed="false">
      <c r="A31" s="115" t="str">
        <f aca="false">IF($B31="","",الموظفون!$A31)</f>
        <v/>
      </c>
      <c r="B31" s="117" t="str">
        <f aca="false">IF(الموظفون!$B31="","",الموظفون!$B31)</f>
        <v/>
      </c>
      <c r="C31" s="117" t="str">
        <f aca="false">IF($B31="","",الموظفون!$C31)</f>
        <v/>
      </c>
      <c r="D31" s="117" t="str">
        <f aca="false">IF($B31="","",الموظفون!$F31)</f>
        <v/>
      </c>
      <c r="E31" s="117" t="str">
        <f aca="false">IF($B31="","",الموظفون!$E31)</f>
        <v/>
      </c>
      <c r="F31" s="117" t="str">
        <f aca="false">IF($B31="","",IF(AK31=0,IF(AND(الموظفون!$AE31&lt;&gt;"",الموظفون!$AE31&lt;$E$3),"✖ منتهي الخدمة","⏳ لم يباشر"),IF(S31&gt;0,"✈ راتب إجازة مقدم",IF(J31=0,"⛔ بدون راتب هذا الشهر",IF(I31&gt;0,"✈ خصم "&amp;ROUND(I31,2)&amp;" يوم بدون أجر",IF(AL31&gt;0,"🌴 إجازة سنوية "&amp;ROUND(AL31,2)&amp;" يوم",IF(H31&gt;0,"⚠ غياب "&amp;ROUND(H31,2)&amp;" يوم","✔ على رأس العمل")))))))</f>
        <v/>
      </c>
      <c r="G31" s="156" t="str">
        <f aca="false">IF($B31="","",IF(AK31&gt;=DAY($F$3),cfg_DAYS_M,MIN(AK31,cfg_DAYS_M)))</f>
        <v/>
      </c>
      <c r="H31" s="156" t="str">
        <f aca="false">IF($B31="","",SUMIFS('الحركات الشهرية'!$D$6:$D$1005,'الحركات الشهرية'!$B$6:$B$1005,$B31,'الحركات الشهرية'!$A$6:$A$1005,$C$3))</f>
        <v/>
      </c>
      <c r="I31" s="156" t="str">
        <f aca="false">IF($B31="","",MIN(G31,IF(AND(AK31&gt;0,AN31&gt;=AK31),G31,AN31)+SUMIFS('الحركات الشهرية'!$E$6:$E$1005,'الحركات الشهرية'!$B$6:$B$1005,$B31,'الحركات الشهرية'!$A$6:$A$1005,$C$3)))</f>
        <v/>
      </c>
      <c r="J31" s="156" t="str">
        <f aca="false">IF($B31="","",MAX(0,G31-H31-I31))</f>
        <v/>
      </c>
      <c r="K31" s="116" t="str">
        <f aca="false">IF($B31="","",الموظفون!$L31*$J31/cfg_DAYS_M)</f>
        <v/>
      </c>
      <c r="L31" s="116" t="str">
        <f aca="false">IF($B31="","",الموظفون!$M31*$J31/cfg_DAYS_M)</f>
        <v/>
      </c>
      <c r="M31" s="116" t="str">
        <f aca="false">IF($B31="","",الموظفون!$N31*$J31/cfg_DAYS_M)</f>
        <v/>
      </c>
      <c r="N31" s="116" t="str">
        <f aca="false">IF($B31="","",الموظفون!$O31*$J31/cfg_DAYS_M)</f>
        <v/>
      </c>
      <c r="O31" s="156" t="str">
        <f aca="false">IF($B31="","",SUMIFS('الحركات الشهرية'!$F$6:$F$1005,'الحركات الشهرية'!$B$6:$B$1005,$B31,'الحركات الشهرية'!$A$6:$A$1005,$C$3))</f>
        <v/>
      </c>
      <c r="P31" s="116" t="str">
        <f aca="false">IF($B31="","",O31*(الموظفون!$P31+الموظفون!$L31*cfg_OT_P)/cfg_DAYS_M/cfg_HRS)</f>
        <v/>
      </c>
      <c r="Q31" s="116" t="str">
        <f aca="false">IF($B31="","",SUMIFS('الحركات الشهرية'!$G$6:$G$1005,'الحركات الشهرية'!$B$6:$B$1005,$B31,'الحركات الشهرية'!$A$6:$A$1005,$C$3))</f>
        <v/>
      </c>
      <c r="R31" s="116" t="str">
        <f aca="false">IF($B31="","",SUMIFS('الحركات الشهرية'!$H$6:$H$1005,'الحركات الشهرية'!$B$6:$B$1005,$B31,'الحركات الشهرية'!$A$6:$A$1005,$C$3))</f>
        <v/>
      </c>
      <c r="S31" s="116" t="str">
        <f aca="false">IF($B31="","",SUMIFS('سجل الإجازات والحالات'!$N$6:$N$505,'سجل الإجازات والحالات'!$B$6:$B$505,$B31,'سجل الإجازات والحالات'!$O$6:$O$505,$C$3))</f>
        <v/>
      </c>
      <c r="T31" s="157" t="str">
        <f aca="false">IF($B31="","",SUM(K31:N31)+SUM(P31:S31))</f>
        <v/>
      </c>
      <c r="U31" s="116" t="str">
        <f aca="false">IF($B31="","",الموظفون!$S31*IF(E31="سعودي",cfg_G_SE,cfg_G_NE)*G31/cfg_DAYS_M)</f>
        <v/>
      </c>
      <c r="V31" s="116" t="str">
        <f aca="false">IF($B31="","",SUMIFS('الحركات الشهرية'!$I$6:$I$1005,'الحركات الشهرية'!$B$6:$B$1005,$B31,'الحركات الشهرية'!$A$6:$A$1005,$C$3))</f>
        <v/>
      </c>
      <c r="W31" s="116" t="str">
        <f aca="false">IF($B31="","",SUMIFS('الحركات الشهرية'!$J$6:$J$1005,'الحركات الشهرية'!$B$6:$B$1005,$B31,'الحركات الشهرية'!$A$6:$A$1005,$C$3))</f>
        <v/>
      </c>
      <c r="X31" s="116" t="str">
        <f aca="false">IF($B31="","",SUM(U31:W31))</f>
        <v/>
      </c>
      <c r="Y31" s="158" t="str">
        <f aca="false">IF($B31="","",T31-X31)</f>
        <v/>
      </c>
      <c r="Z31" s="116" t="str">
        <f aca="false">IF($B31="","",الموظفون!$S31*IF(E31="سعودي",cfg_G_SR,cfg_G_NR)*G31/cfg_DAYS_M)</f>
        <v/>
      </c>
      <c r="AA31" s="116" t="str">
        <f aca="false">IF($B31="","",الموظفون!$Q31*(cfg_EOS_R1*(MIN(AH31,cfg_EOS_TH)-MIN(AI31,cfg_EOS_TH))+cfg_EOS_R2*(MAX(AH31-cfg_EOS_TH,0)-MAX(AI31-cfg_EOS_TH,0))))</f>
        <v/>
      </c>
      <c r="AB31" s="116" t="str">
        <f aca="false">IF($B31="","",IF(الموظفون!$T31&lt;&gt;"",الموظفون!$T31,IF(AH31&gt;=cfg_LV_TH,cfg_LV_D2,cfg_LV_D1))/cfg_DAYS_Y*AJ31*الموظفون!$R31/cfg_DAYS_M)</f>
        <v/>
      </c>
      <c r="AC31" s="116" t="str">
        <f aca="false">IF($B31="","",IF(AND(الموظفون!$U31="نعم",N(الموظفون!$W31)&gt;0),الموظفون!$V31/الموظفون!$W31*12/cfg_DAYS_Y*AJ31,0))</f>
        <v/>
      </c>
      <c r="AD31" s="116" t="str">
        <f aca="false">IF($B31="","",(IF(الموظفون!$X31&lt;&gt;"",الموظفون!$X31,IF(الموظفون!$E31="غير سعودي",cfg_IQ,0))+IF(الموظفون!$Y31&lt;&gt;"",الموظفون!$Y31,IF(الموظفون!$E31="غير سعودي",cfg_WP,0)))/12*G31/cfg_DAYS_M)</f>
        <v/>
      </c>
      <c r="AE31" s="116" t="str">
        <f aca="false">IF($B31="","",IF(الموظفون!$Z31&lt;&gt;"",الموظفون!$Z31,cfg_MED)/12*G31/cfg_DAYS_M)</f>
        <v/>
      </c>
      <c r="AF31" s="116" t="str">
        <f aca="false">IF($B31="","",N(الموظفون!$AA31)/12*G31/cfg_DAYS_M)</f>
        <v/>
      </c>
      <c r="AG31" s="159" t="str">
        <f aca="false">IF($B31="","",T31+SUM(Z31:AF31))</f>
        <v/>
      </c>
      <c r="AH31" s="160" t="str">
        <f aca="false">IF($B31="","",MAX(0,IF(OR(الموظفون!$AE31="",الموظفون!$AE31&gt;$F$3),$F$3,الموظفون!$AE31)-الموظفون!$H31+1-SUMIFS('سجل الإجازات والحالات'!$AN$6:$AN$505,'سجل الإجازات والحالات'!$B$6:$B$505,$B31))/cfg_DAYS_Y)</f>
        <v/>
      </c>
      <c r="AI31" s="160" t="str">
        <f aca="false">IF($B31="","",MAX(0,IF(OR(الموظفون!$AE31="",الموظفون!$AE31&gt;($E$3-1)),($E$3-1),الموظفون!$AE31)-الموظفون!$H31+1-SUMIFS('سجل الإجازات والحالات'!$AM$6:$AM$505,'سجل الإجازات والحالات'!$B$6:$B$505,$B31))/cfg_DAYS_Y)</f>
        <v/>
      </c>
      <c r="AJ31" s="133" t="str">
        <f aca="false">IF($B31="","",MAX(0,AK31-(SUMIFS('سجل الإجازات والحالات'!$AN$6:$AN$505,'سجل الإجازات والحالات'!$B$6:$B$505,$B31)-SUMIFS('سجل الإجازات والحالات'!$AM$6:$AM$505,'سجل الإجازات والحالات'!$B$6:$B$505,$B31))))</f>
        <v/>
      </c>
      <c r="AK31" s="133" t="str">
        <f aca="false">IF($B31="","",MAX(0,IF(OR(الموظفون!$AE31="",الموظفون!$AE31&gt;$F$3),$F$3,الموظفون!$AE31)-MAX($E$3,الموظفون!$H31)+1))</f>
        <v/>
      </c>
      <c r="AL31" s="156" t="str">
        <f aca="false">IF($B31="","",SUMIFS('سجل الإجازات والحالات'!$AZ$6:$AZ$505,'سجل الإجازات والحالات'!$B$6:$B$505,$B31)+SUMIFS('الحركات الشهرية'!$K$6:$K$1005,'الحركات الشهرية'!$B$6:$B$1005,$B31,'الحركات الشهرية'!$A$6:$A$1005,$C$3))</f>
        <v/>
      </c>
      <c r="AM31" s="116" t="str">
        <f aca="false">IF($B31="","",AL31*الموظفون!$R31/cfg_DAYS_M+S31)</f>
        <v/>
      </c>
      <c r="AN31" s="156" t="str">
        <f aca="false">IF($B31="","",SUMIFS('سجل الإجازات والحالات'!$AB$6:$AB$505,'سجل الإجازات والحالات'!$B$6:$B$505,$B31))</f>
        <v/>
      </c>
    </row>
    <row r="32" customFormat="false" ht="15" hidden="false" customHeight="false" outlineLevel="0" collapsed="false">
      <c r="A32" s="106" t="str">
        <f aca="false">IF($B32="","",الموظفون!$A32)</f>
        <v/>
      </c>
      <c r="B32" s="114" t="str">
        <f aca="false">IF(الموظفون!$B32="","",الموظفون!$B32)</f>
        <v/>
      </c>
      <c r="C32" s="114" t="str">
        <f aca="false">IF($B32="","",الموظفون!$C32)</f>
        <v/>
      </c>
      <c r="D32" s="114" t="str">
        <f aca="false">IF($B32="","",الموظفون!$F32)</f>
        <v/>
      </c>
      <c r="E32" s="114" t="str">
        <f aca="false">IF($B32="","",الموظفون!$E32)</f>
        <v/>
      </c>
      <c r="F32" s="114" t="str">
        <f aca="false">IF($B32="","",IF(AK32=0,IF(AND(الموظفون!$AE32&lt;&gt;"",الموظفون!$AE32&lt;$E$3),"✖ منتهي الخدمة","⏳ لم يباشر"),IF(S32&gt;0,"✈ راتب إجازة مقدم",IF(J32=0,"⛔ بدون راتب هذا الشهر",IF(I32&gt;0,"✈ خصم "&amp;ROUND(I32,2)&amp;" يوم بدون أجر",IF(AL32&gt;0,"🌴 إجازة سنوية "&amp;ROUND(AL32,2)&amp;" يوم",IF(H32&gt;0,"⚠ غياب "&amp;ROUND(H32,2)&amp;" يوم","✔ على رأس العمل")))))))</f>
        <v/>
      </c>
      <c r="G32" s="151" t="str">
        <f aca="false">IF($B32="","",IF(AK32&gt;=DAY($F$3),cfg_DAYS_M,MIN(AK32,cfg_DAYS_M)))</f>
        <v/>
      </c>
      <c r="H32" s="151" t="str">
        <f aca="false">IF($B32="","",SUMIFS('الحركات الشهرية'!$D$6:$D$1005,'الحركات الشهرية'!$B$6:$B$1005,$B32,'الحركات الشهرية'!$A$6:$A$1005,$C$3))</f>
        <v/>
      </c>
      <c r="I32" s="151" t="str">
        <f aca="false">IF($B32="","",MIN(G32,IF(AND(AK32&gt;0,AN32&gt;=AK32),G32,AN32)+SUMIFS('الحركات الشهرية'!$E$6:$E$1005,'الحركات الشهرية'!$B$6:$B$1005,$B32,'الحركات الشهرية'!$A$6:$A$1005,$C$3)))</f>
        <v/>
      </c>
      <c r="J32" s="151" t="str">
        <f aca="false">IF($B32="","",MAX(0,G32-H32-I32))</f>
        <v/>
      </c>
      <c r="K32" s="111" t="str">
        <f aca="false">IF($B32="","",الموظفون!$L32*$J32/cfg_DAYS_M)</f>
        <v/>
      </c>
      <c r="L32" s="111" t="str">
        <f aca="false">IF($B32="","",الموظفون!$M32*$J32/cfg_DAYS_M)</f>
        <v/>
      </c>
      <c r="M32" s="111" t="str">
        <f aca="false">IF($B32="","",الموظفون!$N32*$J32/cfg_DAYS_M)</f>
        <v/>
      </c>
      <c r="N32" s="111" t="str">
        <f aca="false">IF($B32="","",الموظفون!$O32*$J32/cfg_DAYS_M)</f>
        <v/>
      </c>
      <c r="O32" s="151" t="str">
        <f aca="false">IF($B32="","",SUMIFS('الحركات الشهرية'!$F$6:$F$1005,'الحركات الشهرية'!$B$6:$B$1005,$B32,'الحركات الشهرية'!$A$6:$A$1005,$C$3))</f>
        <v/>
      </c>
      <c r="P32" s="111" t="str">
        <f aca="false">IF($B32="","",O32*(الموظفون!$P32+الموظفون!$L32*cfg_OT_P)/cfg_DAYS_M/cfg_HRS)</f>
        <v/>
      </c>
      <c r="Q32" s="111" t="str">
        <f aca="false">IF($B32="","",SUMIFS('الحركات الشهرية'!$G$6:$G$1005,'الحركات الشهرية'!$B$6:$B$1005,$B32,'الحركات الشهرية'!$A$6:$A$1005,$C$3))</f>
        <v/>
      </c>
      <c r="R32" s="111" t="str">
        <f aca="false">IF($B32="","",SUMIFS('الحركات الشهرية'!$H$6:$H$1005,'الحركات الشهرية'!$B$6:$B$1005,$B32,'الحركات الشهرية'!$A$6:$A$1005,$C$3))</f>
        <v/>
      </c>
      <c r="S32" s="111" t="str">
        <f aca="false">IF($B32="","",SUMIFS('سجل الإجازات والحالات'!$N$6:$N$505,'سجل الإجازات والحالات'!$B$6:$B$505,$B32,'سجل الإجازات والحالات'!$O$6:$O$505,$C$3))</f>
        <v/>
      </c>
      <c r="T32" s="152" t="str">
        <f aca="false">IF($B32="","",SUM(K32:N32)+SUM(P32:S32))</f>
        <v/>
      </c>
      <c r="U32" s="111" t="str">
        <f aca="false">IF($B32="","",الموظفون!$S32*IF(E32="سعودي",cfg_G_SE,cfg_G_NE)*G32/cfg_DAYS_M)</f>
        <v/>
      </c>
      <c r="V32" s="111" t="str">
        <f aca="false">IF($B32="","",SUMIFS('الحركات الشهرية'!$I$6:$I$1005,'الحركات الشهرية'!$B$6:$B$1005,$B32,'الحركات الشهرية'!$A$6:$A$1005,$C$3))</f>
        <v/>
      </c>
      <c r="W32" s="111" t="str">
        <f aca="false">IF($B32="","",SUMIFS('الحركات الشهرية'!$J$6:$J$1005,'الحركات الشهرية'!$B$6:$B$1005,$B32,'الحركات الشهرية'!$A$6:$A$1005,$C$3))</f>
        <v/>
      </c>
      <c r="X32" s="111" t="str">
        <f aca="false">IF($B32="","",SUM(U32:W32))</f>
        <v/>
      </c>
      <c r="Y32" s="153" t="str">
        <f aca="false">IF($B32="","",T32-X32)</f>
        <v/>
      </c>
      <c r="Z32" s="111" t="str">
        <f aca="false">IF($B32="","",الموظفون!$S32*IF(E32="سعودي",cfg_G_SR,cfg_G_NR)*G32/cfg_DAYS_M)</f>
        <v/>
      </c>
      <c r="AA32" s="111" t="str">
        <f aca="false">IF($B32="","",الموظفون!$Q32*(cfg_EOS_R1*(MIN(AH32,cfg_EOS_TH)-MIN(AI32,cfg_EOS_TH))+cfg_EOS_R2*(MAX(AH32-cfg_EOS_TH,0)-MAX(AI32-cfg_EOS_TH,0))))</f>
        <v/>
      </c>
      <c r="AB32" s="111" t="str">
        <f aca="false">IF($B32="","",IF(الموظفون!$T32&lt;&gt;"",الموظفون!$T32,IF(AH32&gt;=cfg_LV_TH,cfg_LV_D2,cfg_LV_D1))/cfg_DAYS_Y*AJ32*الموظفون!$R32/cfg_DAYS_M)</f>
        <v/>
      </c>
      <c r="AC32" s="111" t="str">
        <f aca="false">IF($B32="","",IF(AND(الموظفون!$U32="نعم",N(الموظفون!$W32)&gt;0),الموظفون!$V32/الموظفون!$W32*12/cfg_DAYS_Y*AJ32,0))</f>
        <v/>
      </c>
      <c r="AD32" s="111" t="str">
        <f aca="false">IF($B32="","",(IF(الموظفون!$X32&lt;&gt;"",الموظفون!$X32,IF(الموظفون!$E32="غير سعودي",cfg_IQ,0))+IF(الموظفون!$Y32&lt;&gt;"",الموظفون!$Y32,IF(الموظفون!$E32="غير سعودي",cfg_WP,0)))/12*G32/cfg_DAYS_M)</f>
        <v/>
      </c>
      <c r="AE32" s="111" t="str">
        <f aca="false">IF($B32="","",IF(الموظفون!$Z32&lt;&gt;"",الموظفون!$Z32,cfg_MED)/12*G32/cfg_DAYS_M)</f>
        <v/>
      </c>
      <c r="AF32" s="111" t="str">
        <f aca="false">IF($B32="","",N(الموظفون!$AA32)/12*G32/cfg_DAYS_M)</f>
        <v/>
      </c>
      <c r="AG32" s="154" t="str">
        <f aca="false">IF($B32="","",T32+SUM(Z32:AF32))</f>
        <v/>
      </c>
      <c r="AH32" s="155" t="str">
        <f aca="false">IF($B32="","",MAX(0,IF(OR(الموظفون!$AE32="",الموظفون!$AE32&gt;$F$3),$F$3,الموظفون!$AE32)-الموظفون!$H32+1-SUMIFS('سجل الإجازات والحالات'!$AN$6:$AN$505,'سجل الإجازات والحالات'!$B$6:$B$505,$B32))/cfg_DAYS_Y)</f>
        <v/>
      </c>
      <c r="AI32" s="155" t="str">
        <f aca="false">IF($B32="","",MAX(0,IF(OR(الموظفون!$AE32="",الموظفون!$AE32&gt;($E$3-1)),($E$3-1),الموظفون!$AE32)-الموظفون!$H32+1-SUMIFS('سجل الإجازات والحالات'!$AM$6:$AM$505,'سجل الإجازات والحالات'!$B$6:$B$505,$B32))/cfg_DAYS_Y)</f>
        <v/>
      </c>
      <c r="AJ32" s="65" t="str">
        <f aca="false">IF($B32="","",MAX(0,AK32-(SUMIFS('سجل الإجازات والحالات'!$AN$6:$AN$505,'سجل الإجازات والحالات'!$B$6:$B$505,$B32)-SUMIFS('سجل الإجازات والحالات'!$AM$6:$AM$505,'سجل الإجازات والحالات'!$B$6:$B$505,$B32))))</f>
        <v/>
      </c>
      <c r="AK32" s="65" t="str">
        <f aca="false">IF($B32="","",MAX(0,IF(OR(الموظفون!$AE32="",الموظفون!$AE32&gt;$F$3),$F$3,الموظفون!$AE32)-MAX($E$3,الموظفون!$H32)+1))</f>
        <v/>
      </c>
      <c r="AL32" s="151" t="str">
        <f aca="false">IF($B32="","",SUMIFS('سجل الإجازات والحالات'!$AZ$6:$AZ$505,'سجل الإجازات والحالات'!$B$6:$B$505,$B32)+SUMIFS('الحركات الشهرية'!$K$6:$K$1005,'الحركات الشهرية'!$B$6:$B$1005,$B32,'الحركات الشهرية'!$A$6:$A$1005,$C$3))</f>
        <v/>
      </c>
      <c r="AM32" s="111" t="str">
        <f aca="false">IF($B32="","",AL32*الموظفون!$R32/cfg_DAYS_M+S32)</f>
        <v/>
      </c>
      <c r="AN32" s="151" t="str">
        <f aca="false">IF($B32="","",SUMIFS('سجل الإجازات والحالات'!$AB$6:$AB$505,'سجل الإجازات والحالات'!$B$6:$B$505,$B32))</f>
        <v/>
      </c>
    </row>
    <row r="33" customFormat="false" ht="15" hidden="false" customHeight="false" outlineLevel="0" collapsed="false">
      <c r="A33" s="115" t="str">
        <f aca="false">IF($B33="","",الموظفون!$A33)</f>
        <v/>
      </c>
      <c r="B33" s="117" t="str">
        <f aca="false">IF(الموظفون!$B33="","",الموظفون!$B33)</f>
        <v/>
      </c>
      <c r="C33" s="117" t="str">
        <f aca="false">IF($B33="","",الموظفون!$C33)</f>
        <v/>
      </c>
      <c r="D33" s="117" t="str">
        <f aca="false">IF($B33="","",الموظفون!$F33)</f>
        <v/>
      </c>
      <c r="E33" s="117" t="str">
        <f aca="false">IF($B33="","",الموظفون!$E33)</f>
        <v/>
      </c>
      <c r="F33" s="117" t="str">
        <f aca="false">IF($B33="","",IF(AK33=0,IF(AND(الموظفون!$AE33&lt;&gt;"",الموظفون!$AE33&lt;$E$3),"✖ منتهي الخدمة","⏳ لم يباشر"),IF(S33&gt;0,"✈ راتب إجازة مقدم",IF(J33=0,"⛔ بدون راتب هذا الشهر",IF(I33&gt;0,"✈ خصم "&amp;ROUND(I33,2)&amp;" يوم بدون أجر",IF(AL33&gt;0,"🌴 إجازة سنوية "&amp;ROUND(AL33,2)&amp;" يوم",IF(H33&gt;0,"⚠ غياب "&amp;ROUND(H33,2)&amp;" يوم","✔ على رأس العمل")))))))</f>
        <v/>
      </c>
      <c r="G33" s="156" t="str">
        <f aca="false">IF($B33="","",IF(AK33&gt;=DAY($F$3),cfg_DAYS_M,MIN(AK33,cfg_DAYS_M)))</f>
        <v/>
      </c>
      <c r="H33" s="156" t="str">
        <f aca="false">IF($B33="","",SUMIFS('الحركات الشهرية'!$D$6:$D$1005,'الحركات الشهرية'!$B$6:$B$1005,$B33,'الحركات الشهرية'!$A$6:$A$1005,$C$3))</f>
        <v/>
      </c>
      <c r="I33" s="156" t="str">
        <f aca="false">IF($B33="","",MIN(G33,IF(AND(AK33&gt;0,AN33&gt;=AK33),G33,AN33)+SUMIFS('الحركات الشهرية'!$E$6:$E$1005,'الحركات الشهرية'!$B$6:$B$1005,$B33,'الحركات الشهرية'!$A$6:$A$1005,$C$3)))</f>
        <v/>
      </c>
      <c r="J33" s="156" t="str">
        <f aca="false">IF($B33="","",MAX(0,G33-H33-I33))</f>
        <v/>
      </c>
      <c r="K33" s="116" t="str">
        <f aca="false">IF($B33="","",الموظفون!$L33*$J33/cfg_DAYS_M)</f>
        <v/>
      </c>
      <c r="L33" s="116" t="str">
        <f aca="false">IF($B33="","",الموظفون!$M33*$J33/cfg_DAYS_M)</f>
        <v/>
      </c>
      <c r="M33" s="116" t="str">
        <f aca="false">IF($B33="","",الموظفون!$N33*$J33/cfg_DAYS_M)</f>
        <v/>
      </c>
      <c r="N33" s="116" t="str">
        <f aca="false">IF($B33="","",الموظفون!$O33*$J33/cfg_DAYS_M)</f>
        <v/>
      </c>
      <c r="O33" s="156" t="str">
        <f aca="false">IF($B33="","",SUMIFS('الحركات الشهرية'!$F$6:$F$1005,'الحركات الشهرية'!$B$6:$B$1005,$B33,'الحركات الشهرية'!$A$6:$A$1005,$C$3))</f>
        <v/>
      </c>
      <c r="P33" s="116" t="str">
        <f aca="false">IF($B33="","",O33*(الموظفون!$P33+الموظفون!$L33*cfg_OT_P)/cfg_DAYS_M/cfg_HRS)</f>
        <v/>
      </c>
      <c r="Q33" s="116" t="str">
        <f aca="false">IF($B33="","",SUMIFS('الحركات الشهرية'!$G$6:$G$1005,'الحركات الشهرية'!$B$6:$B$1005,$B33,'الحركات الشهرية'!$A$6:$A$1005,$C$3))</f>
        <v/>
      </c>
      <c r="R33" s="116" t="str">
        <f aca="false">IF($B33="","",SUMIFS('الحركات الشهرية'!$H$6:$H$1005,'الحركات الشهرية'!$B$6:$B$1005,$B33,'الحركات الشهرية'!$A$6:$A$1005,$C$3))</f>
        <v/>
      </c>
      <c r="S33" s="116" t="str">
        <f aca="false">IF($B33="","",SUMIFS('سجل الإجازات والحالات'!$N$6:$N$505,'سجل الإجازات والحالات'!$B$6:$B$505,$B33,'سجل الإجازات والحالات'!$O$6:$O$505,$C$3))</f>
        <v/>
      </c>
      <c r="T33" s="157" t="str">
        <f aca="false">IF($B33="","",SUM(K33:N33)+SUM(P33:S33))</f>
        <v/>
      </c>
      <c r="U33" s="116" t="str">
        <f aca="false">IF($B33="","",الموظفون!$S33*IF(E33="سعودي",cfg_G_SE,cfg_G_NE)*G33/cfg_DAYS_M)</f>
        <v/>
      </c>
      <c r="V33" s="116" t="str">
        <f aca="false">IF($B33="","",SUMIFS('الحركات الشهرية'!$I$6:$I$1005,'الحركات الشهرية'!$B$6:$B$1005,$B33,'الحركات الشهرية'!$A$6:$A$1005,$C$3))</f>
        <v/>
      </c>
      <c r="W33" s="116" t="str">
        <f aca="false">IF($B33="","",SUMIFS('الحركات الشهرية'!$J$6:$J$1005,'الحركات الشهرية'!$B$6:$B$1005,$B33,'الحركات الشهرية'!$A$6:$A$1005,$C$3))</f>
        <v/>
      </c>
      <c r="X33" s="116" t="str">
        <f aca="false">IF($B33="","",SUM(U33:W33))</f>
        <v/>
      </c>
      <c r="Y33" s="158" t="str">
        <f aca="false">IF($B33="","",T33-X33)</f>
        <v/>
      </c>
      <c r="Z33" s="116" t="str">
        <f aca="false">IF($B33="","",الموظفون!$S33*IF(E33="سعودي",cfg_G_SR,cfg_G_NR)*G33/cfg_DAYS_M)</f>
        <v/>
      </c>
      <c r="AA33" s="116" t="str">
        <f aca="false">IF($B33="","",الموظفون!$Q33*(cfg_EOS_R1*(MIN(AH33,cfg_EOS_TH)-MIN(AI33,cfg_EOS_TH))+cfg_EOS_R2*(MAX(AH33-cfg_EOS_TH,0)-MAX(AI33-cfg_EOS_TH,0))))</f>
        <v/>
      </c>
      <c r="AB33" s="116" t="str">
        <f aca="false">IF($B33="","",IF(الموظفون!$T33&lt;&gt;"",الموظفون!$T33,IF(AH33&gt;=cfg_LV_TH,cfg_LV_D2,cfg_LV_D1))/cfg_DAYS_Y*AJ33*الموظفون!$R33/cfg_DAYS_M)</f>
        <v/>
      </c>
      <c r="AC33" s="116" t="str">
        <f aca="false">IF($B33="","",IF(AND(الموظفون!$U33="نعم",N(الموظفون!$W33)&gt;0),الموظفون!$V33/الموظفون!$W33*12/cfg_DAYS_Y*AJ33,0))</f>
        <v/>
      </c>
      <c r="AD33" s="116" t="str">
        <f aca="false">IF($B33="","",(IF(الموظفون!$X33&lt;&gt;"",الموظفون!$X33,IF(الموظفون!$E33="غير سعودي",cfg_IQ,0))+IF(الموظفون!$Y33&lt;&gt;"",الموظفون!$Y33,IF(الموظفون!$E33="غير سعودي",cfg_WP,0)))/12*G33/cfg_DAYS_M)</f>
        <v/>
      </c>
      <c r="AE33" s="116" t="str">
        <f aca="false">IF($B33="","",IF(الموظفون!$Z33&lt;&gt;"",الموظفون!$Z33,cfg_MED)/12*G33/cfg_DAYS_M)</f>
        <v/>
      </c>
      <c r="AF33" s="116" t="str">
        <f aca="false">IF($B33="","",N(الموظفون!$AA33)/12*G33/cfg_DAYS_M)</f>
        <v/>
      </c>
      <c r="AG33" s="159" t="str">
        <f aca="false">IF($B33="","",T33+SUM(Z33:AF33))</f>
        <v/>
      </c>
      <c r="AH33" s="160" t="str">
        <f aca="false">IF($B33="","",MAX(0,IF(OR(الموظفون!$AE33="",الموظفون!$AE33&gt;$F$3),$F$3,الموظفون!$AE33)-الموظفون!$H33+1-SUMIFS('سجل الإجازات والحالات'!$AN$6:$AN$505,'سجل الإجازات والحالات'!$B$6:$B$505,$B33))/cfg_DAYS_Y)</f>
        <v/>
      </c>
      <c r="AI33" s="160" t="str">
        <f aca="false">IF($B33="","",MAX(0,IF(OR(الموظفون!$AE33="",الموظفون!$AE33&gt;($E$3-1)),($E$3-1),الموظفون!$AE33)-الموظفون!$H33+1-SUMIFS('سجل الإجازات والحالات'!$AM$6:$AM$505,'سجل الإجازات والحالات'!$B$6:$B$505,$B33))/cfg_DAYS_Y)</f>
        <v/>
      </c>
      <c r="AJ33" s="133" t="str">
        <f aca="false">IF($B33="","",MAX(0,AK33-(SUMIFS('سجل الإجازات والحالات'!$AN$6:$AN$505,'سجل الإجازات والحالات'!$B$6:$B$505,$B33)-SUMIFS('سجل الإجازات والحالات'!$AM$6:$AM$505,'سجل الإجازات والحالات'!$B$6:$B$505,$B33))))</f>
        <v/>
      </c>
      <c r="AK33" s="133" t="str">
        <f aca="false">IF($B33="","",MAX(0,IF(OR(الموظفون!$AE33="",الموظفون!$AE33&gt;$F$3),$F$3,الموظفون!$AE33)-MAX($E$3,الموظفون!$H33)+1))</f>
        <v/>
      </c>
      <c r="AL33" s="156" t="str">
        <f aca="false">IF($B33="","",SUMIFS('سجل الإجازات والحالات'!$AZ$6:$AZ$505,'سجل الإجازات والحالات'!$B$6:$B$505,$B33)+SUMIFS('الحركات الشهرية'!$K$6:$K$1005,'الحركات الشهرية'!$B$6:$B$1005,$B33,'الحركات الشهرية'!$A$6:$A$1005,$C$3))</f>
        <v/>
      </c>
      <c r="AM33" s="116" t="str">
        <f aca="false">IF($B33="","",AL33*الموظفون!$R33/cfg_DAYS_M+S33)</f>
        <v/>
      </c>
      <c r="AN33" s="156" t="str">
        <f aca="false">IF($B33="","",SUMIFS('سجل الإجازات والحالات'!$AB$6:$AB$505,'سجل الإجازات والحالات'!$B$6:$B$505,$B33))</f>
        <v/>
      </c>
    </row>
    <row r="34" customFormat="false" ht="15" hidden="false" customHeight="false" outlineLevel="0" collapsed="false">
      <c r="A34" s="106" t="str">
        <f aca="false">IF($B34="","",الموظفون!$A34)</f>
        <v/>
      </c>
      <c r="B34" s="114" t="str">
        <f aca="false">IF(الموظفون!$B34="","",الموظفون!$B34)</f>
        <v/>
      </c>
      <c r="C34" s="114" t="str">
        <f aca="false">IF($B34="","",الموظفون!$C34)</f>
        <v/>
      </c>
      <c r="D34" s="114" t="str">
        <f aca="false">IF($B34="","",الموظفون!$F34)</f>
        <v/>
      </c>
      <c r="E34" s="114" t="str">
        <f aca="false">IF($B34="","",الموظفون!$E34)</f>
        <v/>
      </c>
      <c r="F34" s="114" t="str">
        <f aca="false">IF($B34="","",IF(AK34=0,IF(AND(الموظفون!$AE34&lt;&gt;"",الموظفون!$AE34&lt;$E$3),"✖ منتهي الخدمة","⏳ لم يباشر"),IF(S34&gt;0,"✈ راتب إجازة مقدم",IF(J34=0,"⛔ بدون راتب هذا الشهر",IF(I34&gt;0,"✈ خصم "&amp;ROUND(I34,2)&amp;" يوم بدون أجر",IF(AL34&gt;0,"🌴 إجازة سنوية "&amp;ROUND(AL34,2)&amp;" يوم",IF(H34&gt;0,"⚠ غياب "&amp;ROUND(H34,2)&amp;" يوم","✔ على رأس العمل")))))))</f>
        <v/>
      </c>
      <c r="G34" s="151" t="str">
        <f aca="false">IF($B34="","",IF(AK34&gt;=DAY($F$3),cfg_DAYS_M,MIN(AK34,cfg_DAYS_M)))</f>
        <v/>
      </c>
      <c r="H34" s="151" t="str">
        <f aca="false">IF($B34="","",SUMIFS('الحركات الشهرية'!$D$6:$D$1005,'الحركات الشهرية'!$B$6:$B$1005,$B34,'الحركات الشهرية'!$A$6:$A$1005,$C$3))</f>
        <v/>
      </c>
      <c r="I34" s="151" t="str">
        <f aca="false">IF($B34="","",MIN(G34,IF(AND(AK34&gt;0,AN34&gt;=AK34),G34,AN34)+SUMIFS('الحركات الشهرية'!$E$6:$E$1005,'الحركات الشهرية'!$B$6:$B$1005,$B34,'الحركات الشهرية'!$A$6:$A$1005,$C$3)))</f>
        <v/>
      </c>
      <c r="J34" s="151" t="str">
        <f aca="false">IF($B34="","",MAX(0,G34-H34-I34))</f>
        <v/>
      </c>
      <c r="K34" s="111" t="str">
        <f aca="false">IF($B34="","",الموظفون!$L34*$J34/cfg_DAYS_M)</f>
        <v/>
      </c>
      <c r="L34" s="111" t="str">
        <f aca="false">IF($B34="","",الموظفون!$M34*$J34/cfg_DAYS_M)</f>
        <v/>
      </c>
      <c r="M34" s="111" t="str">
        <f aca="false">IF($B34="","",الموظفون!$N34*$J34/cfg_DAYS_M)</f>
        <v/>
      </c>
      <c r="N34" s="111" t="str">
        <f aca="false">IF($B34="","",الموظفون!$O34*$J34/cfg_DAYS_M)</f>
        <v/>
      </c>
      <c r="O34" s="151" t="str">
        <f aca="false">IF($B34="","",SUMIFS('الحركات الشهرية'!$F$6:$F$1005,'الحركات الشهرية'!$B$6:$B$1005,$B34,'الحركات الشهرية'!$A$6:$A$1005,$C$3))</f>
        <v/>
      </c>
      <c r="P34" s="111" t="str">
        <f aca="false">IF($B34="","",O34*(الموظفون!$P34+الموظفون!$L34*cfg_OT_P)/cfg_DAYS_M/cfg_HRS)</f>
        <v/>
      </c>
      <c r="Q34" s="111" t="str">
        <f aca="false">IF($B34="","",SUMIFS('الحركات الشهرية'!$G$6:$G$1005,'الحركات الشهرية'!$B$6:$B$1005,$B34,'الحركات الشهرية'!$A$6:$A$1005,$C$3))</f>
        <v/>
      </c>
      <c r="R34" s="111" t="str">
        <f aca="false">IF($B34="","",SUMIFS('الحركات الشهرية'!$H$6:$H$1005,'الحركات الشهرية'!$B$6:$B$1005,$B34,'الحركات الشهرية'!$A$6:$A$1005,$C$3))</f>
        <v/>
      </c>
      <c r="S34" s="111" t="str">
        <f aca="false">IF($B34="","",SUMIFS('سجل الإجازات والحالات'!$N$6:$N$505,'سجل الإجازات والحالات'!$B$6:$B$505,$B34,'سجل الإجازات والحالات'!$O$6:$O$505,$C$3))</f>
        <v/>
      </c>
      <c r="T34" s="152" t="str">
        <f aca="false">IF($B34="","",SUM(K34:N34)+SUM(P34:S34))</f>
        <v/>
      </c>
      <c r="U34" s="111" t="str">
        <f aca="false">IF($B34="","",الموظفون!$S34*IF(E34="سعودي",cfg_G_SE,cfg_G_NE)*G34/cfg_DAYS_M)</f>
        <v/>
      </c>
      <c r="V34" s="111" t="str">
        <f aca="false">IF($B34="","",SUMIFS('الحركات الشهرية'!$I$6:$I$1005,'الحركات الشهرية'!$B$6:$B$1005,$B34,'الحركات الشهرية'!$A$6:$A$1005,$C$3))</f>
        <v/>
      </c>
      <c r="W34" s="111" t="str">
        <f aca="false">IF($B34="","",SUMIFS('الحركات الشهرية'!$J$6:$J$1005,'الحركات الشهرية'!$B$6:$B$1005,$B34,'الحركات الشهرية'!$A$6:$A$1005,$C$3))</f>
        <v/>
      </c>
      <c r="X34" s="111" t="str">
        <f aca="false">IF($B34="","",SUM(U34:W34))</f>
        <v/>
      </c>
      <c r="Y34" s="153" t="str">
        <f aca="false">IF($B34="","",T34-X34)</f>
        <v/>
      </c>
      <c r="Z34" s="111" t="str">
        <f aca="false">IF($B34="","",الموظفون!$S34*IF(E34="سعودي",cfg_G_SR,cfg_G_NR)*G34/cfg_DAYS_M)</f>
        <v/>
      </c>
      <c r="AA34" s="111" t="str">
        <f aca="false">IF($B34="","",الموظفون!$Q34*(cfg_EOS_R1*(MIN(AH34,cfg_EOS_TH)-MIN(AI34,cfg_EOS_TH))+cfg_EOS_R2*(MAX(AH34-cfg_EOS_TH,0)-MAX(AI34-cfg_EOS_TH,0))))</f>
        <v/>
      </c>
      <c r="AB34" s="111" t="str">
        <f aca="false">IF($B34="","",IF(الموظفون!$T34&lt;&gt;"",الموظفون!$T34,IF(AH34&gt;=cfg_LV_TH,cfg_LV_D2,cfg_LV_D1))/cfg_DAYS_Y*AJ34*الموظفون!$R34/cfg_DAYS_M)</f>
        <v/>
      </c>
      <c r="AC34" s="111" t="str">
        <f aca="false">IF($B34="","",IF(AND(الموظفون!$U34="نعم",N(الموظفون!$W34)&gt;0),الموظفون!$V34/الموظفون!$W34*12/cfg_DAYS_Y*AJ34,0))</f>
        <v/>
      </c>
      <c r="AD34" s="111" t="str">
        <f aca="false">IF($B34="","",(IF(الموظفون!$X34&lt;&gt;"",الموظفون!$X34,IF(الموظفون!$E34="غير سعودي",cfg_IQ,0))+IF(الموظفون!$Y34&lt;&gt;"",الموظفون!$Y34,IF(الموظفون!$E34="غير سعودي",cfg_WP,0)))/12*G34/cfg_DAYS_M)</f>
        <v/>
      </c>
      <c r="AE34" s="111" t="str">
        <f aca="false">IF($B34="","",IF(الموظفون!$Z34&lt;&gt;"",الموظفون!$Z34,cfg_MED)/12*G34/cfg_DAYS_M)</f>
        <v/>
      </c>
      <c r="AF34" s="111" t="str">
        <f aca="false">IF($B34="","",N(الموظفون!$AA34)/12*G34/cfg_DAYS_M)</f>
        <v/>
      </c>
      <c r="AG34" s="154" t="str">
        <f aca="false">IF($B34="","",T34+SUM(Z34:AF34))</f>
        <v/>
      </c>
      <c r="AH34" s="155" t="str">
        <f aca="false">IF($B34="","",MAX(0,IF(OR(الموظفون!$AE34="",الموظفون!$AE34&gt;$F$3),$F$3,الموظفون!$AE34)-الموظفون!$H34+1-SUMIFS('سجل الإجازات والحالات'!$AN$6:$AN$505,'سجل الإجازات والحالات'!$B$6:$B$505,$B34))/cfg_DAYS_Y)</f>
        <v/>
      </c>
      <c r="AI34" s="155" t="str">
        <f aca="false">IF($B34="","",MAX(0,IF(OR(الموظفون!$AE34="",الموظفون!$AE34&gt;($E$3-1)),($E$3-1),الموظفون!$AE34)-الموظفون!$H34+1-SUMIFS('سجل الإجازات والحالات'!$AM$6:$AM$505,'سجل الإجازات والحالات'!$B$6:$B$505,$B34))/cfg_DAYS_Y)</f>
        <v/>
      </c>
      <c r="AJ34" s="65" t="str">
        <f aca="false">IF($B34="","",MAX(0,AK34-(SUMIFS('سجل الإجازات والحالات'!$AN$6:$AN$505,'سجل الإجازات والحالات'!$B$6:$B$505,$B34)-SUMIFS('سجل الإجازات والحالات'!$AM$6:$AM$505,'سجل الإجازات والحالات'!$B$6:$B$505,$B34))))</f>
        <v/>
      </c>
      <c r="AK34" s="65" t="str">
        <f aca="false">IF($B34="","",MAX(0,IF(OR(الموظفون!$AE34="",الموظفون!$AE34&gt;$F$3),$F$3,الموظفون!$AE34)-MAX($E$3,الموظفون!$H34)+1))</f>
        <v/>
      </c>
      <c r="AL34" s="151" t="str">
        <f aca="false">IF($B34="","",SUMIFS('سجل الإجازات والحالات'!$AZ$6:$AZ$505,'سجل الإجازات والحالات'!$B$6:$B$505,$B34)+SUMIFS('الحركات الشهرية'!$K$6:$K$1005,'الحركات الشهرية'!$B$6:$B$1005,$B34,'الحركات الشهرية'!$A$6:$A$1005,$C$3))</f>
        <v/>
      </c>
      <c r="AM34" s="111" t="str">
        <f aca="false">IF($B34="","",AL34*الموظفون!$R34/cfg_DAYS_M+S34)</f>
        <v/>
      </c>
      <c r="AN34" s="151" t="str">
        <f aca="false">IF($B34="","",SUMIFS('سجل الإجازات والحالات'!$AB$6:$AB$505,'سجل الإجازات والحالات'!$B$6:$B$505,$B34))</f>
        <v/>
      </c>
    </row>
    <row r="35" customFormat="false" ht="15" hidden="false" customHeight="false" outlineLevel="0" collapsed="false">
      <c r="A35" s="115" t="str">
        <f aca="false">IF($B35="","",الموظفون!$A35)</f>
        <v/>
      </c>
      <c r="B35" s="117" t="str">
        <f aca="false">IF(الموظفون!$B35="","",الموظفون!$B35)</f>
        <v/>
      </c>
      <c r="C35" s="117" t="str">
        <f aca="false">IF($B35="","",الموظفون!$C35)</f>
        <v/>
      </c>
      <c r="D35" s="117" t="str">
        <f aca="false">IF($B35="","",الموظفون!$F35)</f>
        <v/>
      </c>
      <c r="E35" s="117" t="str">
        <f aca="false">IF($B35="","",الموظفون!$E35)</f>
        <v/>
      </c>
      <c r="F35" s="117" t="str">
        <f aca="false">IF($B35="","",IF(AK35=0,IF(AND(الموظفون!$AE35&lt;&gt;"",الموظفون!$AE35&lt;$E$3),"✖ منتهي الخدمة","⏳ لم يباشر"),IF(S35&gt;0,"✈ راتب إجازة مقدم",IF(J35=0,"⛔ بدون راتب هذا الشهر",IF(I35&gt;0,"✈ خصم "&amp;ROUND(I35,2)&amp;" يوم بدون أجر",IF(AL35&gt;0,"🌴 إجازة سنوية "&amp;ROUND(AL35,2)&amp;" يوم",IF(H35&gt;0,"⚠ غياب "&amp;ROUND(H35,2)&amp;" يوم","✔ على رأس العمل")))))))</f>
        <v/>
      </c>
      <c r="G35" s="156" t="str">
        <f aca="false">IF($B35="","",IF(AK35&gt;=DAY($F$3),cfg_DAYS_M,MIN(AK35,cfg_DAYS_M)))</f>
        <v/>
      </c>
      <c r="H35" s="156" t="str">
        <f aca="false">IF($B35="","",SUMIFS('الحركات الشهرية'!$D$6:$D$1005,'الحركات الشهرية'!$B$6:$B$1005,$B35,'الحركات الشهرية'!$A$6:$A$1005,$C$3))</f>
        <v/>
      </c>
      <c r="I35" s="156" t="str">
        <f aca="false">IF($B35="","",MIN(G35,IF(AND(AK35&gt;0,AN35&gt;=AK35),G35,AN35)+SUMIFS('الحركات الشهرية'!$E$6:$E$1005,'الحركات الشهرية'!$B$6:$B$1005,$B35,'الحركات الشهرية'!$A$6:$A$1005,$C$3)))</f>
        <v/>
      </c>
      <c r="J35" s="156" t="str">
        <f aca="false">IF($B35="","",MAX(0,G35-H35-I35))</f>
        <v/>
      </c>
      <c r="K35" s="116" t="str">
        <f aca="false">IF($B35="","",الموظفون!$L35*$J35/cfg_DAYS_M)</f>
        <v/>
      </c>
      <c r="L35" s="116" t="str">
        <f aca="false">IF($B35="","",الموظفون!$M35*$J35/cfg_DAYS_M)</f>
        <v/>
      </c>
      <c r="M35" s="116" t="str">
        <f aca="false">IF($B35="","",الموظفون!$N35*$J35/cfg_DAYS_M)</f>
        <v/>
      </c>
      <c r="N35" s="116" t="str">
        <f aca="false">IF($B35="","",الموظفون!$O35*$J35/cfg_DAYS_M)</f>
        <v/>
      </c>
      <c r="O35" s="156" t="str">
        <f aca="false">IF($B35="","",SUMIFS('الحركات الشهرية'!$F$6:$F$1005,'الحركات الشهرية'!$B$6:$B$1005,$B35,'الحركات الشهرية'!$A$6:$A$1005,$C$3))</f>
        <v/>
      </c>
      <c r="P35" s="116" t="str">
        <f aca="false">IF($B35="","",O35*(الموظفون!$P35+الموظفون!$L35*cfg_OT_P)/cfg_DAYS_M/cfg_HRS)</f>
        <v/>
      </c>
      <c r="Q35" s="116" t="str">
        <f aca="false">IF($B35="","",SUMIFS('الحركات الشهرية'!$G$6:$G$1005,'الحركات الشهرية'!$B$6:$B$1005,$B35,'الحركات الشهرية'!$A$6:$A$1005,$C$3))</f>
        <v/>
      </c>
      <c r="R35" s="116" t="str">
        <f aca="false">IF($B35="","",SUMIFS('الحركات الشهرية'!$H$6:$H$1005,'الحركات الشهرية'!$B$6:$B$1005,$B35,'الحركات الشهرية'!$A$6:$A$1005,$C$3))</f>
        <v/>
      </c>
      <c r="S35" s="116" t="str">
        <f aca="false">IF($B35="","",SUMIFS('سجل الإجازات والحالات'!$N$6:$N$505,'سجل الإجازات والحالات'!$B$6:$B$505,$B35,'سجل الإجازات والحالات'!$O$6:$O$505,$C$3))</f>
        <v/>
      </c>
      <c r="T35" s="157" t="str">
        <f aca="false">IF($B35="","",SUM(K35:N35)+SUM(P35:S35))</f>
        <v/>
      </c>
      <c r="U35" s="116" t="str">
        <f aca="false">IF($B35="","",الموظفون!$S35*IF(E35="سعودي",cfg_G_SE,cfg_G_NE)*G35/cfg_DAYS_M)</f>
        <v/>
      </c>
      <c r="V35" s="116" t="str">
        <f aca="false">IF($B35="","",SUMIFS('الحركات الشهرية'!$I$6:$I$1005,'الحركات الشهرية'!$B$6:$B$1005,$B35,'الحركات الشهرية'!$A$6:$A$1005,$C$3))</f>
        <v/>
      </c>
      <c r="W35" s="116" t="str">
        <f aca="false">IF($B35="","",SUMIFS('الحركات الشهرية'!$J$6:$J$1005,'الحركات الشهرية'!$B$6:$B$1005,$B35,'الحركات الشهرية'!$A$6:$A$1005,$C$3))</f>
        <v/>
      </c>
      <c r="X35" s="116" t="str">
        <f aca="false">IF($B35="","",SUM(U35:W35))</f>
        <v/>
      </c>
      <c r="Y35" s="158" t="str">
        <f aca="false">IF($B35="","",T35-X35)</f>
        <v/>
      </c>
      <c r="Z35" s="116" t="str">
        <f aca="false">IF($B35="","",الموظفون!$S35*IF(E35="سعودي",cfg_G_SR,cfg_G_NR)*G35/cfg_DAYS_M)</f>
        <v/>
      </c>
      <c r="AA35" s="116" t="str">
        <f aca="false">IF($B35="","",الموظفون!$Q35*(cfg_EOS_R1*(MIN(AH35,cfg_EOS_TH)-MIN(AI35,cfg_EOS_TH))+cfg_EOS_R2*(MAX(AH35-cfg_EOS_TH,0)-MAX(AI35-cfg_EOS_TH,0))))</f>
        <v/>
      </c>
      <c r="AB35" s="116" t="str">
        <f aca="false">IF($B35="","",IF(الموظفون!$T35&lt;&gt;"",الموظفون!$T35,IF(AH35&gt;=cfg_LV_TH,cfg_LV_D2,cfg_LV_D1))/cfg_DAYS_Y*AJ35*الموظفون!$R35/cfg_DAYS_M)</f>
        <v/>
      </c>
      <c r="AC35" s="116" t="str">
        <f aca="false">IF($B35="","",IF(AND(الموظفون!$U35="نعم",N(الموظفون!$W35)&gt;0),الموظفون!$V35/الموظفون!$W35*12/cfg_DAYS_Y*AJ35,0))</f>
        <v/>
      </c>
      <c r="AD35" s="116" t="str">
        <f aca="false">IF($B35="","",(IF(الموظفون!$X35&lt;&gt;"",الموظفون!$X35,IF(الموظفون!$E35="غير سعودي",cfg_IQ,0))+IF(الموظفون!$Y35&lt;&gt;"",الموظفون!$Y35,IF(الموظفون!$E35="غير سعودي",cfg_WP,0)))/12*G35/cfg_DAYS_M)</f>
        <v/>
      </c>
      <c r="AE35" s="116" t="str">
        <f aca="false">IF($B35="","",IF(الموظفون!$Z35&lt;&gt;"",الموظفون!$Z35,cfg_MED)/12*G35/cfg_DAYS_M)</f>
        <v/>
      </c>
      <c r="AF35" s="116" t="str">
        <f aca="false">IF($B35="","",N(الموظفون!$AA35)/12*G35/cfg_DAYS_M)</f>
        <v/>
      </c>
      <c r="AG35" s="159" t="str">
        <f aca="false">IF($B35="","",T35+SUM(Z35:AF35))</f>
        <v/>
      </c>
      <c r="AH35" s="160" t="str">
        <f aca="false">IF($B35="","",MAX(0,IF(OR(الموظفون!$AE35="",الموظفون!$AE35&gt;$F$3),$F$3,الموظفون!$AE35)-الموظفون!$H35+1-SUMIFS('سجل الإجازات والحالات'!$AN$6:$AN$505,'سجل الإجازات والحالات'!$B$6:$B$505,$B35))/cfg_DAYS_Y)</f>
        <v/>
      </c>
      <c r="AI35" s="160" t="str">
        <f aca="false">IF($B35="","",MAX(0,IF(OR(الموظفون!$AE35="",الموظفون!$AE35&gt;($E$3-1)),($E$3-1),الموظفون!$AE35)-الموظفون!$H35+1-SUMIFS('سجل الإجازات والحالات'!$AM$6:$AM$505,'سجل الإجازات والحالات'!$B$6:$B$505,$B35))/cfg_DAYS_Y)</f>
        <v/>
      </c>
      <c r="AJ35" s="133" t="str">
        <f aca="false">IF($B35="","",MAX(0,AK35-(SUMIFS('سجل الإجازات والحالات'!$AN$6:$AN$505,'سجل الإجازات والحالات'!$B$6:$B$505,$B35)-SUMIFS('سجل الإجازات والحالات'!$AM$6:$AM$505,'سجل الإجازات والحالات'!$B$6:$B$505,$B35))))</f>
        <v/>
      </c>
      <c r="AK35" s="133" t="str">
        <f aca="false">IF($B35="","",MAX(0,IF(OR(الموظفون!$AE35="",الموظفون!$AE35&gt;$F$3),$F$3,الموظفون!$AE35)-MAX($E$3,الموظفون!$H35)+1))</f>
        <v/>
      </c>
      <c r="AL35" s="156" t="str">
        <f aca="false">IF($B35="","",SUMIFS('سجل الإجازات والحالات'!$AZ$6:$AZ$505,'سجل الإجازات والحالات'!$B$6:$B$505,$B35)+SUMIFS('الحركات الشهرية'!$K$6:$K$1005,'الحركات الشهرية'!$B$6:$B$1005,$B35,'الحركات الشهرية'!$A$6:$A$1005,$C$3))</f>
        <v/>
      </c>
      <c r="AM35" s="116" t="str">
        <f aca="false">IF($B35="","",AL35*الموظفون!$R35/cfg_DAYS_M+S35)</f>
        <v/>
      </c>
      <c r="AN35" s="156" t="str">
        <f aca="false">IF($B35="","",SUMIFS('سجل الإجازات والحالات'!$AB$6:$AB$505,'سجل الإجازات والحالات'!$B$6:$B$505,$B35))</f>
        <v/>
      </c>
    </row>
    <row r="36" customFormat="false" ht="15" hidden="false" customHeight="false" outlineLevel="0" collapsed="false">
      <c r="A36" s="106" t="str">
        <f aca="false">IF($B36="","",الموظفون!$A36)</f>
        <v/>
      </c>
      <c r="B36" s="114" t="str">
        <f aca="false">IF(الموظفون!$B36="","",الموظفون!$B36)</f>
        <v/>
      </c>
      <c r="C36" s="114" t="str">
        <f aca="false">IF($B36="","",الموظفون!$C36)</f>
        <v/>
      </c>
      <c r="D36" s="114" t="str">
        <f aca="false">IF($B36="","",الموظفون!$F36)</f>
        <v/>
      </c>
      <c r="E36" s="114" t="str">
        <f aca="false">IF($B36="","",الموظفون!$E36)</f>
        <v/>
      </c>
      <c r="F36" s="114" t="str">
        <f aca="false">IF($B36="","",IF(AK36=0,IF(AND(الموظفون!$AE36&lt;&gt;"",الموظفون!$AE36&lt;$E$3),"✖ منتهي الخدمة","⏳ لم يباشر"),IF(S36&gt;0,"✈ راتب إجازة مقدم",IF(J36=0,"⛔ بدون راتب هذا الشهر",IF(I36&gt;0,"✈ خصم "&amp;ROUND(I36,2)&amp;" يوم بدون أجر",IF(AL36&gt;0,"🌴 إجازة سنوية "&amp;ROUND(AL36,2)&amp;" يوم",IF(H36&gt;0,"⚠ غياب "&amp;ROUND(H36,2)&amp;" يوم","✔ على رأس العمل")))))))</f>
        <v/>
      </c>
      <c r="G36" s="151" t="str">
        <f aca="false">IF($B36="","",IF(AK36&gt;=DAY($F$3),cfg_DAYS_M,MIN(AK36,cfg_DAYS_M)))</f>
        <v/>
      </c>
      <c r="H36" s="151" t="str">
        <f aca="false">IF($B36="","",SUMIFS('الحركات الشهرية'!$D$6:$D$1005,'الحركات الشهرية'!$B$6:$B$1005,$B36,'الحركات الشهرية'!$A$6:$A$1005,$C$3))</f>
        <v/>
      </c>
      <c r="I36" s="151" t="str">
        <f aca="false">IF($B36="","",MIN(G36,IF(AND(AK36&gt;0,AN36&gt;=AK36),G36,AN36)+SUMIFS('الحركات الشهرية'!$E$6:$E$1005,'الحركات الشهرية'!$B$6:$B$1005,$B36,'الحركات الشهرية'!$A$6:$A$1005,$C$3)))</f>
        <v/>
      </c>
      <c r="J36" s="151" t="str">
        <f aca="false">IF($B36="","",MAX(0,G36-H36-I36))</f>
        <v/>
      </c>
      <c r="K36" s="111" t="str">
        <f aca="false">IF($B36="","",الموظفون!$L36*$J36/cfg_DAYS_M)</f>
        <v/>
      </c>
      <c r="L36" s="111" t="str">
        <f aca="false">IF($B36="","",الموظفون!$M36*$J36/cfg_DAYS_M)</f>
        <v/>
      </c>
      <c r="M36" s="111" t="str">
        <f aca="false">IF($B36="","",الموظفون!$N36*$J36/cfg_DAYS_M)</f>
        <v/>
      </c>
      <c r="N36" s="111" t="str">
        <f aca="false">IF($B36="","",الموظفون!$O36*$J36/cfg_DAYS_M)</f>
        <v/>
      </c>
      <c r="O36" s="151" t="str">
        <f aca="false">IF($B36="","",SUMIFS('الحركات الشهرية'!$F$6:$F$1005,'الحركات الشهرية'!$B$6:$B$1005,$B36,'الحركات الشهرية'!$A$6:$A$1005,$C$3))</f>
        <v/>
      </c>
      <c r="P36" s="111" t="str">
        <f aca="false">IF($B36="","",O36*(الموظفون!$P36+الموظفون!$L36*cfg_OT_P)/cfg_DAYS_M/cfg_HRS)</f>
        <v/>
      </c>
      <c r="Q36" s="111" t="str">
        <f aca="false">IF($B36="","",SUMIFS('الحركات الشهرية'!$G$6:$G$1005,'الحركات الشهرية'!$B$6:$B$1005,$B36,'الحركات الشهرية'!$A$6:$A$1005,$C$3))</f>
        <v/>
      </c>
      <c r="R36" s="111" t="str">
        <f aca="false">IF($B36="","",SUMIFS('الحركات الشهرية'!$H$6:$H$1005,'الحركات الشهرية'!$B$6:$B$1005,$B36,'الحركات الشهرية'!$A$6:$A$1005,$C$3))</f>
        <v/>
      </c>
      <c r="S36" s="111" t="str">
        <f aca="false">IF($B36="","",SUMIFS('سجل الإجازات والحالات'!$N$6:$N$505,'سجل الإجازات والحالات'!$B$6:$B$505,$B36,'سجل الإجازات والحالات'!$O$6:$O$505,$C$3))</f>
        <v/>
      </c>
      <c r="T36" s="152" t="str">
        <f aca="false">IF($B36="","",SUM(K36:N36)+SUM(P36:S36))</f>
        <v/>
      </c>
      <c r="U36" s="111" t="str">
        <f aca="false">IF($B36="","",الموظفون!$S36*IF(E36="سعودي",cfg_G_SE,cfg_G_NE)*G36/cfg_DAYS_M)</f>
        <v/>
      </c>
      <c r="V36" s="111" t="str">
        <f aca="false">IF($B36="","",SUMIFS('الحركات الشهرية'!$I$6:$I$1005,'الحركات الشهرية'!$B$6:$B$1005,$B36,'الحركات الشهرية'!$A$6:$A$1005,$C$3))</f>
        <v/>
      </c>
      <c r="W36" s="111" t="str">
        <f aca="false">IF($B36="","",SUMIFS('الحركات الشهرية'!$J$6:$J$1005,'الحركات الشهرية'!$B$6:$B$1005,$B36,'الحركات الشهرية'!$A$6:$A$1005,$C$3))</f>
        <v/>
      </c>
      <c r="X36" s="111" t="str">
        <f aca="false">IF($B36="","",SUM(U36:W36))</f>
        <v/>
      </c>
      <c r="Y36" s="153" t="str">
        <f aca="false">IF($B36="","",T36-X36)</f>
        <v/>
      </c>
      <c r="Z36" s="111" t="str">
        <f aca="false">IF($B36="","",الموظفون!$S36*IF(E36="سعودي",cfg_G_SR,cfg_G_NR)*G36/cfg_DAYS_M)</f>
        <v/>
      </c>
      <c r="AA36" s="111" t="str">
        <f aca="false">IF($B36="","",الموظفون!$Q36*(cfg_EOS_R1*(MIN(AH36,cfg_EOS_TH)-MIN(AI36,cfg_EOS_TH))+cfg_EOS_R2*(MAX(AH36-cfg_EOS_TH,0)-MAX(AI36-cfg_EOS_TH,0))))</f>
        <v/>
      </c>
      <c r="AB36" s="111" t="str">
        <f aca="false">IF($B36="","",IF(الموظفون!$T36&lt;&gt;"",الموظفون!$T36,IF(AH36&gt;=cfg_LV_TH,cfg_LV_D2,cfg_LV_D1))/cfg_DAYS_Y*AJ36*الموظفون!$R36/cfg_DAYS_M)</f>
        <v/>
      </c>
      <c r="AC36" s="111" t="str">
        <f aca="false">IF($B36="","",IF(AND(الموظفون!$U36="نعم",N(الموظفون!$W36)&gt;0),الموظفون!$V36/الموظفون!$W36*12/cfg_DAYS_Y*AJ36,0))</f>
        <v/>
      </c>
      <c r="AD36" s="111" t="str">
        <f aca="false">IF($B36="","",(IF(الموظفون!$X36&lt;&gt;"",الموظفون!$X36,IF(الموظفون!$E36="غير سعودي",cfg_IQ,0))+IF(الموظفون!$Y36&lt;&gt;"",الموظفون!$Y36,IF(الموظفون!$E36="غير سعودي",cfg_WP,0)))/12*G36/cfg_DAYS_M)</f>
        <v/>
      </c>
      <c r="AE36" s="111" t="str">
        <f aca="false">IF($B36="","",IF(الموظفون!$Z36&lt;&gt;"",الموظفون!$Z36,cfg_MED)/12*G36/cfg_DAYS_M)</f>
        <v/>
      </c>
      <c r="AF36" s="111" t="str">
        <f aca="false">IF($B36="","",N(الموظفون!$AA36)/12*G36/cfg_DAYS_M)</f>
        <v/>
      </c>
      <c r="AG36" s="154" t="str">
        <f aca="false">IF($B36="","",T36+SUM(Z36:AF36))</f>
        <v/>
      </c>
      <c r="AH36" s="155" t="str">
        <f aca="false">IF($B36="","",MAX(0,IF(OR(الموظفون!$AE36="",الموظفون!$AE36&gt;$F$3),$F$3,الموظفون!$AE36)-الموظفون!$H36+1-SUMIFS('سجل الإجازات والحالات'!$AN$6:$AN$505,'سجل الإجازات والحالات'!$B$6:$B$505,$B36))/cfg_DAYS_Y)</f>
        <v/>
      </c>
      <c r="AI36" s="155" t="str">
        <f aca="false">IF($B36="","",MAX(0,IF(OR(الموظفون!$AE36="",الموظفون!$AE36&gt;($E$3-1)),($E$3-1),الموظفون!$AE36)-الموظفون!$H36+1-SUMIFS('سجل الإجازات والحالات'!$AM$6:$AM$505,'سجل الإجازات والحالات'!$B$6:$B$505,$B36))/cfg_DAYS_Y)</f>
        <v/>
      </c>
      <c r="AJ36" s="65" t="str">
        <f aca="false">IF($B36="","",MAX(0,AK36-(SUMIFS('سجل الإجازات والحالات'!$AN$6:$AN$505,'سجل الإجازات والحالات'!$B$6:$B$505,$B36)-SUMIFS('سجل الإجازات والحالات'!$AM$6:$AM$505,'سجل الإجازات والحالات'!$B$6:$B$505,$B36))))</f>
        <v/>
      </c>
      <c r="AK36" s="65" t="str">
        <f aca="false">IF($B36="","",MAX(0,IF(OR(الموظفون!$AE36="",الموظفون!$AE36&gt;$F$3),$F$3,الموظفون!$AE36)-MAX($E$3,الموظفون!$H36)+1))</f>
        <v/>
      </c>
      <c r="AL36" s="151" t="str">
        <f aca="false">IF($B36="","",SUMIFS('سجل الإجازات والحالات'!$AZ$6:$AZ$505,'سجل الإجازات والحالات'!$B$6:$B$505,$B36)+SUMIFS('الحركات الشهرية'!$K$6:$K$1005,'الحركات الشهرية'!$B$6:$B$1005,$B36,'الحركات الشهرية'!$A$6:$A$1005,$C$3))</f>
        <v/>
      </c>
      <c r="AM36" s="111" t="str">
        <f aca="false">IF($B36="","",AL36*الموظفون!$R36/cfg_DAYS_M+S36)</f>
        <v/>
      </c>
      <c r="AN36" s="151" t="str">
        <f aca="false">IF($B36="","",SUMIFS('سجل الإجازات والحالات'!$AB$6:$AB$505,'سجل الإجازات والحالات'!$B$6:$B$505,$B36))</f>
        <v/>
      </c>
    </row>
    <row r="37" customFormat="false" ht="15" hidden="false" customHeight="false" outlineLevel="0" collapsed="false">
      <c r="A37" s="115" t="str">
        <f aca="false">IF($B37="","",الموظفون!$A37)</f>
        <v/>
      </c>
      <c r="B37" s="117" t="str">
        <f aca="false">IF(الموظفون!$B37="","",الموظفون!$B37)</f>
        <v/>
      </c>
      <c r="C37" s="117" t="str">
        <f aca="false">IF($B37="","",الموظفون!$C37)</f>
        <v/>
      </c>
      <c r="D37" s="117" t="str">
        <f aca="false">IF($B37="","",الموظفون!$F37)</f>
        <v/>
      </c>
      <c r="E37" s="117" t="str">
        <f aca="false">IF($B37="","",الموظفون!$E37)</f>
        <v/>
      </c>
      <c r="F37" s="117" t="str">
        <f aca="false">IF($B37="","",IF(AK37=0,IF(AND(الموظفون!$AE37&lt;&gt;"",الموظفون!$AE37&lt;$E$3),"✖ منتهي الخدمة","⏳ لم يباشر"),IF(S37&gt;0,"✈ راتب إجازة مقدم",IF(J37=0,"⛔ بدون راتب هذا الشهر",IF(I37&gt;0,"✈ خصم "&amp;ROUND(I37,2)&amp;" يوم بدون أجر",IF(AL37&gt;0,"🌴 إجازة سنوية "&amp;ROUND(AL37,2)&amp;" يوم",IF(H37&gt;0,"⚠ غياب "&amp;ROUND(H37,2)&amp;" يوم","✔ على رأس العمل")))))))</f>
        <v/>
      </c>
      <c r="G37" s="156" t="str">
        <f aca="false">IF($B37="","",IF(AK37&gt;=DAY($F$3),cfg_DAYS_M,MIN(AK37,cfg_DAYS_M)))</f>
        <v/>
      </c>
      <c r="H37" s="156" t="str">
        <f aca="false">IF($B37="","",SUMIFS('الحركات الشهرية'!$D$6:$D$1005,'الحركات الشهرية'!$B$6:$B$1005,$B37,'الحركات الشهرية'!$A$6:$A$1005,$C$3))</f>
        <v/>
      </c>
      <c r="I37" s="156" t="str">
        <f aca="false">IF($B37="","",MIN(G37,IF(AND(AK37&gt;0,AN37&gt;=AK37),G37,AN37)+SUMIFS('الحركات الشهرية'!$E$6:$E$1005,'الحركات الشهرية'!$B$6:$B$1005,$B37,'الحركات الشهرية'!$A$6:$A$1005,$C$3)))</f>
        <v/>
      </c>
      <c r="J37" s="156" t="str">
        <f aca="false">IF($B37="","",MAX(0,G37-H37-I37))</f>
        <v/>
      </c>
      <c r="K37" s="116" t="str">
        <f aca="false">IF($B37="","",الموظفون!$L37*$J37/cfg_DAYS_M)</f>
        <v/>
      </c>
      <c r="L37" s="116" t="str">
        <f aca="false">IF($B37="","",الموظفون!$M37*$J37/cfg_DAYS_M)</f>
        <v/>
      </c>
      <c r="M37" s="116" t="str">
        <f aca="false">IF($B37="","",الموظفون!$N37*$J37/cfg_DAYS_M)</f>
        <v/>
      </c>
      <c r="N37" s="116" t="str">
        <f aca="false">IF($B37="","",الموظفون!$O37*$J37/cfg_DAYS_M)</f>
        <v/>
      </c>
      <c r="O37" s="156" t="str">
        <f aca="false">IF($B37="","",SUMIFS('الحركات الشهرية'!$F$6:$F$1005,'الحركات الشهرية'!$B$6:$B$1005,$B37,'الحركات الشهرية'!$A$6:$A$1005,$C$3))</f>
        <v/>
      </c>
      <c r="P37" s="116" t="str">
        <f aca="false">IF($B37="","",O37*(الموظفون!$P37+الموظفون!$L37*cfg_OT_P)/cfg_DAYS_M/cfg_HRS)</f>
        <v/>
      </c>
      <c r="Q37" s="116" t="str">
        <f aca="false">IF($B37="","",SUMIFS('الحركات الشهرية'!$G$6:$G$1005,'الحركات الشهرية'!$B$6:$B$1005,$B37,'الحركات الشهرية'!$A$6:$A$1005,$C$3))</f>
        <v/>
      </c>
      <c r="R37" s="116" t="str">
        <f aca="false">IF($B37="","",SUMIFS('الحركات الشهرية'!$H$6:$H$1005,'الحركات الشهرية'!$B$6:$B$1005,$B37,'الحركات الشهرية'!$A$6:$A$1005,$C$3))</f>
        <v/>
      </c>
      <c r="S37" s="116" t="str">
        <f aca="false">IF($B37="","",SUMIFS('سجل الإجازات والحالات'!$N$6:$N$505,'سجل الإجازات والحالات'!$B$6:$B$505,$B37,'سجل الإجازات والحالات'!$O$6:$O$505,$C$3))</f>
        <v/>
      </c>
      <c r="T37" s="157" t="str">
        <f aca="false">IF($B37="","",SUM(K37:N37)+SUM(P37:S37))</f>
        <v/>
      </c>
      <c r="U37" s="116" t="str">
        <f aca="false">IF($B37="","",الموظفون!$S37*IF(E37="سعودي",cfg_G_SE,cfg_G_NE)*G37/cfg_DAYS_M)</f>
        <v/>
      </c>
      <c r="V37" s="116" t="str">
        <f aca="false">IF($B37="","",SUMIFS('الحركات الشهرية'!$I$6:$I$1005,'الحركات الشهرية'!$B$6:$B$1005,$B37,'الحركات الشهرية'!$A$6:$A$1005,$C$3))</f>
        <v/>
      </c>
      <c r="W37" s="116" t="str">
        <f aca="false">IF($B37="","",SUMIFS('الحركات الشهرية'!$J$6:$J$1005,'الحركات الشهرية'!$B$6:$B$1005,$B37,'الحركات الشهرية'!$A$6:$A$1005,$C$3))</f>
        <v/>
      </c>
      <c r="X37" s="116" t="str">
        <f aca="false">IF($B37="","",SUM(U37:W37))</f>
        <v/>
      </c>
      <c r="Y37" s="158" t="str">
        <f aca="false">IF($B37="","",T37-X37)</f>
        <v/>
      </c>
      <c r="Z37" s="116" t="str">
        <f aca="false">IF($B37="","",الموظفون!$S37*IF(E37="سعودي",cfg_G_SR,cfg_G_NR)*G37/cfg_DAYS_M)</f>
        <v/>
      </c>
      <c r="AA37" s="116" t="str">
        <f aca="false">IF($B37="","",الموظفون!$Q37*(cfg_EOS_R1*(MIN(AH37,cfg_EOS_TH)-MIN(AI37,cfg_EOS_TH))+cfg_EOS_R2*(MAX(AH37-cfg_EOS_TH,0)-MAX(AI37-cfg_EOS_TH,0))))</f>
        <v/>
      </c>
      <c r="AB37" s="116" t="str">
        <f aca="false">IF($B37="","",IF(الموظفون!$T37&lt;&gt;"",الموظفون!$T37,IF(AH37&gt;=cfg_LV_TH,cfg_LV_D2,cfg_LV_D1))/cfg_DAYS_Y*AJ37*الموظفون!$R37/cfg_DAYS_M)</f>
        <v/>
      </c>
      <c r="AC37" s="116" t="str">
        <f aca="false">IF($B37="","",IF(AND(الموظفون!$U37="نعم",N(الموظفون!$W37)&gt;0),الموظفون!$V37/الموظفون!$W37*12/cfg_DAYS_Y*AJ37,0))</f>
        <v/>
      </c>
      <c r="AD37" s="116" t="str">
        <f aca="false">IF($B37="","",(IF(الموظفون!$X37&lt;&gt;"",الموظفون!$X37,IF(الموظفون!$E37="غير سعودي",cfg_IQ,0))+IF(الموظفون!$Y37&lt;&gt;"",الموظفون!$Y37,IF(الموظفون!$E37="غير سعودي",cfg_WP,0)))/12*G37/cfg_DAYS_M)</f>
        <v/>
      </c>
      <c r="AE37" s="116" t="str">
        <f aca="false">IF($B37="","",IF(الموظفون!$Z37&lt;&gt;"",الموظفون!$Z37,cfg_MED)/12*G37/cfg_DAYS_M)</f>
        <v/>
      </c>
      <c r="AF37" s="116" t="str">
        <f aca="false">IF($B37="","",N(الموظفون!$AA37)/12*G37/cfg_DAYS_M)</f>
        <v/>
      </c>
      <c r="AG37" s="159" t="str">
        <f aca="false">IF($B37="","",T37+SUM(Z37:AF37))</f>
        <v/>
      </c>
      <c r="AH37" s="160" t="str">
        <f aca="false">IF($B37="","",MAX(0,IF(OR(الموظفون!$AE37="",الموظفون!$AE37&gt;$F$3),$F$3,الموظفون!$AE37)-الموظفون!$H37+1-SUMIFS('سجل الإجازات والحالات'!$AN$6:$AN$505,'سجل الإجازات والحالات'!$B$6:$B$505,$B37))/cfg_DAYS_Y)</f>
        <v/>
      </c>
      <c r="AI37" s="160" t="str">
        <f aca="false">IF($B37="","",MAX(0,IF(OR(الموظفون!$AE37="",الموظفون!$AE37&gt;($E$3-1)),($E$3-1),الموظفون!$AE37)-الموظفون!$H37+1-SUMIFS('سجل الإجازات والحالات'!$AM$6:$AM$505,'سجل الإجازات والحالات'!$B$6:$B$505,$B37))/cfg_DAYS_Y)</f>
        <v/>
      </c>
      <c r="AJ37" s="133" t="str">
        <f aca="false">IF($B37="","",MAX(0,AK37-(SUMIFS('سجل الإجازات والحالات'!$AN$6:$AN$505,'سجل الإجازات والحالات'!$B$6:$B$505,$B37)-SUMIFS('سجل الإجازات والحالات'!$AM$6:$AM$505,'سجل الإجازات والحالات'!$B$6:$B$505,$B37))))</f>
        <v/>
      </c>
      <c r="AK37" s="133" t="str">
        <f aca="false">IF($B37="","",MAX(0,IF(OR(الموظفون!$AE37="",الموظفون!$AE37&gt;$F$3),$F$3,الموظفون!$AE37)-MAX($E$3,الموظفون!$H37)+1))</f>
        <v/>
      </c>
      <c r="AL37" s="156" t="str">
        <f aca="false">IF($B37="","",SUMIFS('سجل الإجازات والحالات'!$AZ$6:$AZ$505,'سجل الإجازات والحالات'!$B$6:$B$505,$B37)+SUMIFS('الحركات الشهرية'!$K$6:$K$1005,'الحركات الشهرية'!$B$6:$B$1005,$B37,'الحركات الشهرية'!$A$6:$A$1005,$C$3))</f>
        <v/>
      </c>
      <c r="AM37" s="116" t="str">
        <f aca="false">IF($B37="","",AL37*الموظفون!$R37/cfg_DAYS_M+S37)</f>
        <v/>
      </c>
      <c r="AN37" s="156" t="str">
        <f aca="false">IF($B37="","",SUMIFS('سجل الإجازات والحالات'!$AB$6:$AB$505,'سجل الإجازات والحالات'!$B$6:$B$505,$B37))</f>
        <v/>
      </c>
    </row>
    <row r="38" customFormat="false" ht="15" hidden="false" customHeight="false" outlineLevel="0" collapsed="false">
      <c r="A38" s="106" t="str">
        <f aca="false">IF($B38="","",الموظفون!$A38)</f>
        <v/>
      </c>
      <c r="B38" s="114" t="str">
        <f aca="false">IF(الموظفون!$B38="","",الموظفون!$B38)</f>
        <v/>
      </c>
      <c r="C38" s="114" t="str">
        <f aca="false">IF($B38="","",الموظفون!$C38)</f>
        <v/>
      </c>
      <c r="D38" s="114" t="str">
        <f aca="false">IF($B38="","",الموظفون!$F38)</f>
        <v/>
      </c>
      <c r="E38" s="114" t="str">
        <f aca="false">IF($B38="","",الموظفون!$E38)</f>
        <v/>
      </c>
      <c r="F38" s="114" t="str">
        <f aca="false">IF($B38="","",IF(AK38=0,IF(AND(الموظفون!$AE38&lt;&gt;"",الموظفون!$AE38&lt;$E$3),"✖ منتهي الخدمة","⏳ لم يباشر"),IF(S38&gt;0,"✈ راتب إجازة مقدم",IF(J38=0,"⛔ بدون راتب هذا الشهر",IF(I38&gt;0,"✈ خصم "&amp;ROUND(I38,2)&amp;" يوم بدون أجر",IF(AL38&gt;0,"🌴 إجازة سنوية "&amp;ROUND(AL38,2)&amp;" يوم",IF(H38&gt;0,"⚠ غياب "&amp;ROUND(H38,2)&amp;" يوم","✔ على رأس العمل")))))))</f>
        <v/>
      </c>
      <c r="G38" s="151" t="str">
        <f aca="false">IF($B38="","",IF(AK38&gt;=DAY($F$3),cfg_DAYS_M,MIN(AK38,cfg_DAYS_M)))</f>
        <v/>
      </c>
      <c r="H38" s="151" t="str">
        <f aca="false">IF($B38="","",SUMIFS('الحركات الشهرية'!$D$6:$D$1005,'الحركات الشهرية'!$B$6:$B$1005,$B38,'الحركات الشهرية'!$A$6:$A$1005,$C$3))</f>
        <v/>
      </c>
      <c r="I38" s="151" t="str">
        <f aca="false">IF($B38="","",MIN(G38,IF(AND(AK38&gt;0,AN38&gt;=AK38),G38,AN38)+SUMIFS('الحركات الشهرية'!$E$6:$E$1005,'الحركات الشهرية'!$B$6:$B$1005,$B38,'الحركات الشهرية'!$A$6:$A$1005,$C$3)))</f>
        <v/>
      </c>
      <c r="J38" s="151" t="str">
        <f aca="false">IF($B38="","",MAX(0,G38-H38-I38))</f>
        <v/>
      </c>
      <c r="K38" s="111" t="str">
        <f aca="false">IF($B38="","",الموظفون!$L38*$J38/cfg_DAYS_M)</f>
        <v/>
      </c>
      <c r="L38" s="111" t="str">
        <f aca="false">IF($B38="","",الموظفون!$M38*$J38/cfg_DAYS_M)</f>
        <v/>
      </c>
      <c r="M38" s="111" t="str">
        <f aca="false">IF($B38="","",الموظفون!$N38*$J38/cfg_DAYS_M)</f>
        <v/>
      </c>
      <c r="N38" s="111" t="str">
        <f aca="false">IF($B38="","",الموظفون!$O38*$J38/cfg_DAYS_M)</f>
        <v/>
      </c>
      <c r="O38" s="151" t="str">
        <f aca="false">IF($B38="","",SUMIFS('الحركات الشهرية'!$F$6:$F$1005,'الحركات الشهرية'!$B$6:$B$1005,$B38,'الحركات الشهرية'!$A$6:$A$1005,$C$3))</f>
        <v/>
      </c>
      <c r="P38" s="111" t="str">
        <f aca="false">IF($B38="","",O38*(الموظفون!$P38+الموظفون!$L38*cfg_OT_P)/cfg_DAYS_M/cfg_HRS)</f>
        <v/>
      </c>
      <c r="Q38" s="111" t="str">
        <f aca="false">IF($B38="","",SUMIFS('الحركات الشهرية'!$G$6:$G$1005,'الحركات الشهرية'!$B$6:$B$1005,$B38,'الحركات الشهرية'!$A$6:$A$1005,$C$3))</f>
        <v/>
      </c>
      <c r="R38" s="111" t="str">
        <f aca="false">IF($B38="","",SUMIFS('الحركات الشهرية'!$H$6:$H$1005,'الحركات الشهرية'!$B$6:$B$1005,$B38,'الحركات الشهرية'!$A$6:$A$1005,$C$3))</f>
        <v/>
      </c>
      <c r="S38" s="111" t="str">
        <f aca="false">IF($B38="","",SUMIFS('سجل الإجازات والحالات'!$N$6:$N$505,'سجل الإجازات والحالات'!$B$6:$B$505,$B38,'سجل الإجازات والحالات'!$O$6:$O$505,$C$3))</f>
        <v/>
      </c>
      <c r="T38" s="152" t="str">
        <f aca="false">IF($B38="","",SUM(K38:N38)+SUM(P38:S38))</f>
        <v/>
      </c>
      <c r="U38" s="111" t="str">
        <f aca="false">IF($B38="","",الموظفون!$S38*IF(E38="سعودي",cfg_G_SE,cfg_G_NE)*G38/cfg_DAYS_M)</f>
        <v/>
      </c>
      <c r="V38" s="111" t="str">
        <f aca="false">IF($B38="","",SUMIFS('الحركات الشهرية'!$I$6:$I$1005,'الحركات الشهرية'!$B$6:$B$1005,$B38,'الحركات الشهرية'!$A$6:$A$1005,$C$3))</f>
        <v/>
      </c>
      <c r="W38" s="111" t="str">
        <f aca="false">IF($B38="","",SUMIFS('الحركات الشهرية'!$J$6:$J$1005,'الحركات الشهرية'!$B$6:$B$1005,$B38,'الحركات الشهرية'!$A$6:$A$1005,$C$3))</f>
        <v/>
      </c>
      <c r="X38" s="111" t="str">
        <f aca="false">IF($B38="","",SUM(U38:W38))</f>
        <v/>
      </c>
      <c r="Y38" s="153" t="str">
        <f aca="false">IF($B38="","",T38-X38)</f>
        <v/>
      </c>
      <c r="Z38" s="111" t="str">
        <f aca="false">IF($B38="","",الموظفون!$S38*IF(E38="سعودي",cfg_G_SR,cfg_G_NR)*G38/cfg_DAYS_M)</f>
        <v/>
      </c>
      <c r="AA38" s="111" t="str">
        <f aca="false">IF($B38="","",الموظفون!$Q38*(cfg_EOS_R1*(MIN(AH38,cfg_EOS_TH)-MIN(AI38,cfg_EOS_TH))+cfg_EOS_R2*(MAX(AH38-cfg_EOS_TH,0)-MAX(AI38-cfg_EOS_TH,0))))</f>
        <v/>
      </c>
      <c r="AB38" s="111" t="str">
        <f aca="false">IF($B38="","",IF(الموظفون!$T38&lt;&gt;"",الموظفون!$T38,IF(AH38&gt;=cfg_LV_TH,cfg_LV_D2,cfg_LV_D1))/cfg_DAYS_Y*AJ38*الموظفون!$R38/cfg_DAYS_M)</f>
        <v/>
      </c>
      <c r="AC38" s="111" t="str">
        <f aca="false">IF($B38="","",IF(AND(الموظفون!$U38="نعم",N(الموظفون!$W38)&gt;0),الموظفون!$V38/الموظفون!$W38*12/cfg_DAYS_Y*AJ38,0))</f>
        <v/>
      </c>
      <c r="AD38" s="111" t="str">
        <f aca="false">IF($B38="","",(IF(الموظفون!$X38&lt;&gt;"",الموظفون!$X38,IF(الموظفون!$E38="غير سعودي",cfg_IQ,0))+IF(الموظفون!$Y38&lt;&gt;"",الموظفون!$Y38,IF(الموظفون!$E38="غير سعودي",cfg_WP,0)))/12*G38/cfg_DAYS_M)</f>
        <v/>
      </c>
      <c r="AE38" s="111" t="str">
        <f aca="false">IF($B38="","",IF(الموظفون!$Z38&lt;&gt;"",الموظفون!$Z38,cfg_MED)/12*G38/cfg_DAYS_M)</f>
        <v/>
      </c>
      <c r="AF38" s="111" t="str">
        <f aca="false">IF($B38="","",N(الموظفون!$AA38)/12*G38/cfg_DAYS_M)</f>
        <v/>
      </c>
      <c r="AG38" s="154" t="str">
        <f aca="false">IF($B38="","",T38+SUM(Z38:AF38))</f>
        <v/>
      </c>
      <c r="AH38" s="155" t="str">
        <f aca="false">IF($B38="","",MAX(0,IF(OR(الموظفون!$AE38="",الموظفون!$AE38&gt;$F$3),$F$3,الموظفون!$AE38)-الموظفون!$H38+1-SUMIFS('سجل الإجازات والحالات'!$AN$6:$AN$505,'سجل الإجازات والحالات'!$B$6:$B$505,$B38))/cfg_DAYS_Y)</f>
        <v/>
      </c>
      <c r="AI38" s="155" t="str">
        <f aca="false">IF($B38="","",MAX(0,IF(OR(الموظفون!$AE38="",الموظفون!$AE38&gt;($E$3-1)),($E$3-1),الموظفون!$AE38)-الموظفون!$H38+1-SUMIFS('سجل الإجازات والحالات'!$AM$6:$AM$505,'سجل الإجازات والحالات'!$B$6:$B$505,$B38))/cfg_DAYS_Y)</f>
        <v/>
      </c>
      <c r="AJ38" s="65" t="str">
        <f aca="false">IF($B38="","",MAX(0,AK38-(SUMIFS('سجل الإجازات والحالات'!$AN$6:$AN$505,'سجل الإجازات والحالات'!$B$6:$B$505,$B38)-SUMIFS('سجل الإجازات والحالات'!$AM$6:$AM$505,'سجل الإجازات والحالات'!$B$6:$B$505,$B38))))</f>
        <v/>
      </c>
      <c r="AK38" s="65" t="str">
        <f aca="false">IF($B38="","",MAX(0,IF(OR(الموظفون!$AE38="",الموظفون!$AE38&gt;$F$3),$F$3,الموظفون!$AE38)-MAX($E$3,الموظفون!$H38)+1))</f>
        <v/>
      </c>
      <c r="AL38" s="151" t="str">
        <f aca="false">IF($B38="","",SUMIFS('سجل الإجازات والحالات'!$AZ$6:$AZ$505,'سجل الإجازات والحالات'!$B$6:$B$505,$B38)+SUMIFS('الحركات الشهرية'!$K$6:$K$1005,'الحركات الشهرية'!$B$6:$B$1005,$B38,'الحركات الشهرية'!$A$6:$A$1005,$C$3))</f>
        <v/>
      </c>
      <c r="AM38" s="111" t="str">
        <f aca="false">IF($B38="","",AL38*الموظفون!$R38/cfg_DAYS_M+S38)</f>
        <v/>
      </c>
      <c r="AN38" s="151" t="str">
        <f aca="false">IF($B38="","",SUMIFS('سجل الإجازات والحالات'!$AB$6:$AB$505,'سجل الإجازات والحالات'!$B$6:$B$505,$B38))</f>
        <v/>
      </c>
    </row>
    <row r="39" customFormat="false" ht="15" hidden="false" customHeight="false" outlineLevel="0" collapsed="false">
      <c r="A39" s="115" t="str">
        <f aca="false">IF($B39="","",الموظفون!$A39)</f>
        <v/>
      </c>
      <c r="B39" s="117" t="str">
        <f aca="false">IF(الموظفون!$B39="","",الموظفون!$B39)</f>
        <v/>
      </c>
      <c r="C39" s="117" t="str">
        <f aca="false">IF($B39="","",الموظفون!$C39)</f>
        <v/>
      </c>
      <c r="D39" s="117" t="str">
        <f aca="false">IF($B39="","",الموظفون!$F39)</f>
        <v/>
      </c>
      <c r="E39" s="117" t="str">
        <f aca="false">IF($B39="","",الموظفون!$E39)</f>
        <v/>
      </c>
      <c r="F39" s="117" t="str">
        <f aca="false">IF($B39="","",IF(AK39=0,IF(AND(الموظفون!$AE39&lt;&gt;"",الموظفون!$AE39&lt;$E$3),"✖ منتهي الخدمة","⏳ لم يباشر"),IF(S39&gt;0,"✈ راتب إجازة مقدم",IF(J39=0,"⛔ بدون راتب هذا الشهر",IF(I39&gt;0,"✈ خصم "&amp;ROUND(I39,2)&amp;" يوم بدون أجر",IF(AL39&gt;0,"🌴 إجازة سنوية "&amp;ROUND(AL39,2)&amp;" يوم",IF(H39&gt;0,"⚠ غياب "&amp;ROUND(H39,2)&amp;" يوم","✔ على رأس العمل")))))))</f>
        <v/>
      </c>
      <c r="G39" s="156" t="str">
        <f aca="false">IF($B39="","",IF(AK39&gt;=DAY($F$3),cfg_DAYS_M,MIN(AK39,cfg_DAYS_M)))</f>
        <v/>
      </c>
      <c r="H39" s="156" t="str">
        <f aca="false">IF($B39="","",SUMIFS('الحركات الشهرية'!$D$6:$D$1005,'الحركات الشهرية'!$B$6:$B$1005,$B39,'الحركات الشهرية'!$A$6:$A$1005,$C$3))</f>
        <v/>
      </c>
      <c r="I39" s="156" t="str">
        <f aca="false">IF($B39="","",MIN(G39,IF(AND(AK39&gt;0,AN39&gt;=AK39),G39,AN39)+SUMIFS('الحركات الشهرية'!$E$6:$E$1005,'الحركات الشهرية'!$B$6:$B$1005,$B39,'الحركات الشهرية'!$A$6:$A$1005,$C$3)))</f>
        <v/>
      </c>
      <c r="J39" s="156" t="str">
        <f aca="false">IF($B39="","",MAX(0,G39-H39-I39))</f>
        <v/>
      </c>
      <c r="K39" s="116" t="str">
        <f aca="false">IF($B39="","",الموظفون!$L39*$J39/cfg_DAYS_M)</f>
        <v/>
      </c>
      <c r="L39" s="116" t="str">
        <f aca="false">IF($B39="","",الموظفون!$M39*$J39/cfg_DAYS_M)</f>
        <v/>
      </c>
      <c r="M39" s="116" t="str">
        <f aca="false">IF($B39="","",الموظفون!$N39*$J39/cfg_DAYS_M)</f>
        <v/>
      </c>
      <c r="N39" s="116" t="str">
        <f aca="false">IF($B39="","",الموظفون!$O39*$J39/cfg_DAYS_M)</f>
        <v/>
      </c>
      <c r="O39" s="156" t="str">
        <f aca="false">IF($B39="","",SUMIFS('الحركات الشهرية'!$F$6:$F$1005,'الحركات الشهرية'!$B$6:$B$1005,$B39,'الحركات الشهرية'!$A$6:$A$1005,$C$3))</f>
        <v/>
      </c>
      <c r="P39" s="116" t="str">
        <f aca="false">IF($B39="","",O39*(الموظفون!$P39+الموظفون!$L39*cfg_OT_P)/cfg_DAYS_M/cfg_HRS)</f>
        <v/>
      </c>
      <c r="Q39" s="116" t="str">
        <f aca="false">IF($B39="","",SUMIFS('الحركات الشهرية'!$G$6:$G$1005,'الحركات الشهرية'!$B$6:$B$1005,$B39,'الحركات الشهرية'!$A$6:$A$1005,$C$3))</f>
        <v/>
      </c>
      <c r="R39" s="116" t="str">
        <f aca="false">IF($B39="","",SUMIFS('الحركات الشهرية'!$H$6:$H$1005,'الحركات الشهرية'!$B$6:$B$1005,$B39,'الحركات الشهرية'!$A$6:$A$1005,$C$3))</f>
        <v/>
      </c>
      <c r="S39" s="116" t="str">
        <f aca="false">IF($B39="","",SUMIFS('سجل الإجازات والحالات'!$N$6:$N$505,'سجل الإجازات والحالات'!$B$6:$B$505,$B39,'سجل الإجازات والحالات'!$O$6:$O$505,$C$3))</f>
        <v/>
      </c>
      <c r="T39" s="157" t="str">
        <f aca="false">IF($B39="","",SUM(K39:N39)+SUM(P39:S39))</f>
        <v/>
      </c>
      <c r="U39" s="116" t="str">
        <f aca="false">IF($B39="","",الموظفون!$S39*IF(E39="سعودي",cfg_G_SE,cfg_G_NE)*G39/cfg_DAYS_M)</f>
        <v/>
      </c>
      <c r="V39" s="116" t="str">
        <f aca="false">IF($B39="","",SUMIFS('الحركات الشهرية'!$I$6:$I$1005,'الحركات الشهرية'!$B$6:$B$1005,$B39,'الحركات الشهرية'!$A$6:$A$1005,$C$3))</f>
        <v/>
      </c>
      <c r="W39" s="116" t="str">
        <f aca="false">IF($B39="","",SUMIFS('الحركات الشهرية'!$J$6:$J$1005,'الحركات الشهرية'!$B$6:$B$1005,$B39,'الحركات الشهرية'!$A$6:$A$1005,$C$3))</f>
        <v/>
      </c>
      <c r="X39" s="116" t="str">
        <f aca="false">IF($B39="","",SUM(U39:W39))</f>
        <v/>
      </c>
      <c r="Y39" s="158" t="str">
        <f aca="false">IF($B39="","",T39-X39)</f>
        <v/>
      </c>
      <c r="Z39" s="116" t="str">
        <f aca="false">IF($B39="","",الموظفون!$S39*IF(E39="سعودي",cfg_G_SR,cfg_G_NR)*G39/cfg_DAYS_M)</f>
        <v/>
      </c>
      <c r="AA39" s="116" t="str">
        <f aca="false">IF($B39="","",الموظفون!$Q39*(cfg_EOS_R1*(MIN(AH39,cfg_EOS_TH)-MIN(AI39,cfg_EOS_TH))+cfg_EOS_R2*(MAX(AH39-cfg_EOS_TH,0)-MAX(AI39-cfg_EOS_TH,0))))</f>
        <v/>
      </c>
      <c r="AB39" s="116" t="str">
        <f aca="false">IF($B39="","",IF(الموظفون!$T39&lt;&gt;"",الموظفون!$T39,IF(AH39&gt;=cfg_LV_TH,cfg_LV_D2,cfg_LV_D1))/cfg_DAYS_Y*AJ39*الموظفون!$R39/cfg_DAYS_M)</f>
        <v/>
      </c>
      <c r="AC39" s="116" t="str">
        <f aca="false">IF($B39="","",IF(AND(الموظفون!$U39="نعم",N(الموظفون!$W39)&gt;0),الموظفون!$V39/الموظفون!$W39*12/cfg_DAYS_Y*AJ39,0))</f>
        <v/>
      </c>
      <c r="AD39" s="116" t="str">
        <f aca="false">IF($B39="","",(IF(الموظفون!$X39&lt;&gt;"",الموظفون!$X39,IF(الموظفون!$E39="غير سعودي",cfg_IQ,0))+IF(الموظفون!$Y39&lt;&gt;"",الموظفون!$Y39,IF(الموظفون!$E39="غير سعودي",cfg_WP,0)))/12*G39/cfg_DAYS_M)</f>
        <v/>
      </c>
      <c r="AE39" s="116" t="str">
        <f aca="false">IF($B39="","",IF(الموظفون!$Z39&lt;&gt;"",الموظفون!$Z39,cfg_MED)/12*G39/cfg_DAYS_M)</f>
        <v/>
      </c>
      <c r="AF39" s="116" t="str">
        <f aca="false">IF($B39="","",N(الموظفون!$AA39)/12*G39/cfg_DAYS_M)</f>
        <v/>
      </c>
      <c r="AG39" s="159" t="str">
        <f aca="false">IF($B39="","",T39+SUM(Z39:AF39))</f>
        <v/>
      </c>
      <c r="AH39" s="160" t="str">
        <f aca="false">IF($B39="","",MAX(0,IF(OR(الموظفون!$AE39="",الموظفون!$AE39&gt;$F$3),$F$3,الموظفون!$AE39)-الموظفون!$H39+1-SUMIFS('سجل الإجازات والحالات'!$AN$6:$AN$505,'سجل الإجازات والحالات'!$B$6:$B$505,$B39))/cfg_DAYS_Y)</f>
        <v/>
      </c>
      <c r="AI39" s="160" t="str">
        <f aca="false">IF($B39="","",MAX(0,IF(OR(الموظفون!$AE39="",الموظفون!$AE39&gt;($E$3-1)),($E$3-1),الموظفون!$AE39)-الموظفون!$H39+1-SUMIFS('سجل الإجازات والحالات'!$AM$6:$AM$505,'سجل الإجازات والحالات'!$B$6:$B$505,$B39))/cfg_DAYS_Y)</f>
        <v/>
      </c>
      <c r="AJ39" s="133" t="str">
        <f aca="false">IF($B39="","",MAX(0,AK39-(SUMIFS('سجل الإجازات والحالات'!$AN$6:$AN$505,'سجل الإجازات والحالات'!$B$6:$B$505,$B39)-SUMIFS('سجل الإجازات والحالات'!$AM$6:$AM$505,'سجل الإجازات والحالات'!$B$6:$B$505,$B39))))</f>
        <v/>
      </c>
      <c r="AK39" s="133" t="str">
        <f aca="false">IF($B39="","",MAX(0,IF(OR(الموظفون!$AE39="",الموظفون!$AE39&gt;$F$3),$F$3,الموظفون!$AE39)-MAX($E$3,الموظفون!$H39)+1))</f>
        <v/>
      </c>
      <c r="AL39" s="156" t="str">
        <f aca="false">IF($B39="","",SUMIFS('سجل الإجازات والحالات'!$AZ$6:$AZ$505,'سجل الإجازات والحالات'!$B$6:$B$505,$B39)+SUMIFS('الحركات الشهرية'!$K$6:$K$1005,'الحركات الشهرية'!$B$6:$B$1005,$B39,'الحركات الشهرية'!$A$6:$A$1005,$C$3))</f>
        <v/>
      </c>
      <c r="AM39" s="116" t="str">
        <f aca="false">IF($B39="","",AL39*الموظفون!$R39/cfg_DAYS_M+S39)</f>
        <v/>
      </c>
      <c r="AN39" s="156" t="str">
        <f aca="false">IF($B39="","",SUMIFS('سجل الإجازات والحالات'!$AB$6:$AB$505,'سجل الإجازات والحالات'!$B$6:$B$505,$B39))</f>
        <v/>
      </c>
    </row>
    <row r="40" customFormat="false" ht="15" hidden="false" customHeight="false" outlineLevel="0" collapsed="false">
      <c r="A40" s="106" t="str">
        <f aca="false">IF($B40="","",الموظفون!$A40)</f>
        <v/>
      </c>
      <c r="B40" s="114" t="str">
        <f aca="false">IF(الموظفون!$B40="","",الموظفون!$B40)</f>
        <v/>
      </c>
      <c r="C40" s="114" t="str">
        <f aca="false">IF($B40="","",الموظفون!$C40)</f>
        <v/>
      </c>
      <c r="D40" s="114" t="str">
        <f aca="false">IF($B40="","",الموظفون!$F40)</f>
        <v/>
      </c>
      <c r="E40" s="114" t="str">
        <f aca="false">IF($B40="","",الموظفون!$E40)</f>
        <v/>
      </c>
      <c r="F40" s="114" t="str">
        <f aca="false">IF($B40="","",IF(AK40=0,IF(AND(الموظفون!$AE40&lt;&gt;"",الموظفون!$AE40&lt;$E$3),"✖ منتهي الخدمة","⏳ لم يباشر"),IF(S40&gt;0,"✈ راتب إجازة مقدم",IF(J40=0,"⛔ بدون راتب هذا الشهر",IF(I40&gt;0,"✈ خصم "&amp;ROUND(I40,2)&amp;" يوم بدون أجر",IF(AL40&gt;0,"🌴 إجازة سنوية "&amp;ROUND(AL40,2)&amp;" يوم",IF(H40&gt;0,"⚠ غياب "&amp;ROUND(H40,2)&amp;" يوم","✔ على رأس العمل")))))))</f>
        <v/>
      </c>
      <c r="G40" s="151" t="str">
        <f aca="false">IF($B40="","",IF(AK40&gt;=DAY($F$3),cfg_DAYS_M,MIN(AK40,cfg_DAYS_M)))</f>
        <v/>
      </c>
      <c r="H40" s="151" t="str">
        <f aca="false">IF($B40="","",SUMIFS('الحركات الشهرية'!$D$6:$D$1005,'الحركات الشهرية'!$B$6:$B$1005,$B40,'الحركات الشهرية'!$A$6:$A$1005,$C$3))</f>
        <v/>
      </c>
      <c r="I40" s="151" t="str">
        <f aca="false">IF($B40="","",MIN(G40,IF(AND(AK40&gt;0,AN40&gt;=AK40),G40,AN40)+SUMIFS('الحركات الشهرية'!$E$6:$E$1005,'الحركات الشهرية'!$B$6:$B$1005,$B40,'الحركات الشهرية'!$A$6:$A$1005,$C$3)))</f>
        <v/>
      </c>
      <c r="J40" s="151" t="str">
        <f aca="false">IF($B40="","",MAX(0,G40-H40-I40))</f>
        <v/>
      </c>
      <c r="K40" s="111" t="str">
        <f aca="false">IF($B40="","",الموظفون!$L40*$J40/cfg_DAYS_M)</f>
        <v/>
      </c>
      <c r="L40" s="111" t="str">
        <f aca="false">IF($B40="","",الموظفون!$M40*$J40/cfg_DAYS_M)</f>
        <v/>
      </c>
      <c r="M40" s="111" t="str">
        <f aca="false">IF($B40="","",الموظفون!$N40*$J40/cfg_DAYS_M)</f>
        <v/>
      </c>
      <c r="N40" s="111" t="str">
        <f aca="false">IF($B40="","",الموظفون!$O40*$J40/cfg_DAYS_M)</f>
        <v/>
      </c>
      <c r="O40" s="151" t="str">
        <f aca="false">IF($B40="","",SUMIFS('الحركات الشهرية'!$F$6:$F$1005,'الحركات الشهرية'!$B$6:$B$1005,$B40,'الحركات الشهرية'!$A$6:$A$1005,$C$3))</f>
        <v/>
      </c>
      <c r="P40" s="111" t="str">
        <f aca="false">IF($B40="","",O40*(الموظفون!$P40+الموظفون!$L40*cfg_OT_P)/cfg_DAYS_M/cfg_HRS)</f>
        <v/>
      </c>
      <c r="Q40" s="111" t="str">
        <f aca="false">IF($B40="","",SUMIFS('الحركات الشهرية'!$G$6:$G$1005,'الحركات الشهرية'!$B$6:$B$1005,$B40,'الحركات الشهرية'!$A$6:$A$1005,$C$3))</f>
        <v/>
      </c>
      <c r="R40" s="111" t="str">
        <f aca="false">IF($B40="","",SUMIFS('الحركات الشهرية'!$H$6:$H$1005,'الحركات الشهرية'!$B$6:$B$1005,$B40,'الحركات الشهرية'!$A$6:$A$1005,$C$3))</f>
        <v/>
      </c>
      <c r="S40" s="111" t="str">
        <f aca="false">IF($B40="","",SUMIFS('سجل الإجازات والحالات'!$N$6:$N$505,'سجل الإجازات والحالات'!$B$6:$B$505,$B40,'سجل الإجازات والحالات'!$O$6:$O$505,$C$3))</f>
        <v/>
      </c>
      <c r="T40" s="152" t="str">
        <f aca="false">IF($B40="","",SUM(K40:N40)+SUM(P40:S40))</f>
        <v/>
      </c>
      <c r="U40" s="111" t="str">
        <f aca="false">IF($B40="","",الموظفون!$S40*IF(E40="سعودي",cfg_G_SE,cfg_G_NE)*G40/cfg_DAYS_M)</f>
        <v/>
      </c>
      <c r="V40" s="111" t="str">
        <f aca="false">IF($B40="","",SUMIFS('الحركات الشهرية'!$I$6:$I$1005,'الحركات الشهرية'!$B$6:$B$1005,$B40,'الحركات الشهرية'!$A$6:$A$1005,$C$3))</f>
        <v/>
      </c>
      <c r="W40" s="111" t="str">
        <f aca="false">IF($B40="","",SUMIFS('الحركات الشهرية'!$J$6:$J$1005,'الحركات الشهرية'!$B$6:$B$1005,$B40,'الحركات الشهرية'!$A$6:$A$1005,$C$3))</f>
        <v/>
      </c>
      <c r="X40" s="111" t="str">
        <f aca="false">IF($B40="","",SUM(U40:W40))</f>
        <v/>
      </c>
      <c r="Y40" s="153" t="str">
        <f aca="false">IF($B40="","",T40-X40)</f>
        <v/>
      </c>
      <c r="Z40" s="111" t="str">
        <f aca="false">IF($B40="","",الموظفون!$S40*IF(E40="سعودي",cfg_G_SR,cfg_G_NR)*G40/cfg_DAYS_M)</f>
        <v/>
      </c>
      <c r="AA40" s="111" t="str">
        <f aca="false">IF($B40="","",الموظفون!$Q40*(cfg_EOS_R1*(MIN(AH40,cfg_EOS_TH)-MIN(AI40,cfg_EOS_TH))+cfg_EOS_R2*(MAX(AH40-cfg_EOS_TH,0)-MAX(AI40-cfg_EOS_TH,0))))</f>
        <v/>
      </c>
      <c r="AB40" s="111" t="str">
        <f aca="false">IF($B40="","",IF(الموظفون!$T40&lt;&gt;"",الموظفون!$T40,IF(AH40&gt;=cfg_LV_TH,cfg_LV_D2,cfg_LV_D1))/cfg_DAYS_Y*AJ40*الموظفون!$R40/cfg_DAYS_M)</f>
        <v/>
      </c>
      <c r="AC40" s="111" t="str">
        <f aca="false">IF($B40="","",IF(AND(الموظفون!$U40="نعم",N(الموظفون!$W40)&gt;0),الموظفون!$V40/الموظفون!$W40*12/cfg_DAYS_Y*AJ40,0))</f>
        <v/>
      </c>
      <c r="AD40" s="111" t="str">
        <f aca="false">IF($B40="","",(IF(الموظفون!$X40&lt;&gt;"",الموظفون!$X40,IF(الموظفون!$E40="غير سعودي",cfg_IQ,0))+IF(الموظفون!$Y40&lt;&gt;"",الموظفون!$Y40,IF(الموظفون!$E40="غير سعودي",cfg_WP,0)))/12*G40/cfg_DAYS_M)</f>
        <v/>
      </c>
      <c r="AE40" s="111" t="str">
        <f aca="false">IF($B40="","",IF(الموظفون!$Z40&lt;&gt;"",الموظفون!$Z40,cfg_MED)/12*G40/cfg_DAYS_M)</f>
        <v/>
      </c>
      <c r="AF40" s="111" t="str">
        <f aca="false">IF($B40="","",N(الموظفون!$AA40)/12*G40/cfg_DAYS_M)</f>
        <v/>
      </c>
      <c r="AG40" s="154" t="str">
        <f aca="false">IF($B40="","",T40+SUM(Z40:AF40))</f>
        <v/>
      </c>
      <c r="AH40" s="155" t="str">
        <f aca="false">IF($B40="","",MAX(0,IF(OR(الموظفون!$AE40="",الموظفون!$AE40&gt;$F$3),$F$3,الموظفون!$AE40)-الموظفون!$H40+1-SUMIFS('سجل الإجازات والحالات'!$AN$6:$AN$505,'سجل الإجازات والحالات'!$B$6:$B$505,$B40))/cfg_DAYS_Y)</f>
        <v/>
      </c>
      <c r="AI40" s="155" t="str">
        <f aca="false">IF($B40="","",MAX(0,IF(OR(الموظفون!$AE40="",الموظفون!$AE40&gt;($E$3-1)),($E$3-1),الموظفون!$AE40)-الموظفون!$H40+1-SUMIFS('سجل الإجازات والحالات'!$AM$6:$AM$505,'سجل الإجازات والحالات'!$B$6:$B$505,$B40))/cfg_DAYS_Y)</f>
        <v/>
      </c>
      <c r="AJ40" s="65" t="str">
        <f aca="false">IF($B40="","",MAX(0,AK40-(SUMIFS('سجل الإجازات والحالات'!$AN$6:$AN$505,'سجل الإجازات والحالات'!$B$6:$B$505,$B40)-SUMIFS('سجل الإجازات والحالات'!$AM$6:$AM$505,'سجل الإجازات والحالات'!$B$6:$B$505,$B40))))</f>
        <v/>
      </c>
      <c r="AK40" s="65" t="str">
        <f aca="false">IF($B40="","",MAX(0,IF(OR(الموظفون!$AE40="",الموظفون!$AE40&gt;$F$3),$F$3,الموظفون!$AE40)-MAX($E$3,الموظفون!$H40)+1))</f>
        <v/>
      </c>
      <c r="AL40" s="151" t="str">
        <f aca="false">IF($B40="","",SUMIFS('سجل الإجازات والحالات'!$AZ$6:$AZ$505,'سجل الإجازات والحالات'!$B$6:$B$505,$B40)+SUMIFS('الحركات الشهرية'!$K$6:$K$1005,'الحركات الشهرية'!$B$6:$B$1005,$B40,'الحركات الشهرية'!$A$6:$A$1005,$C$3))</f>
        <v/>
      </c>
      <c r="AM40" s="111" t="str">
        <f aca="false">IF($B40="","",AL40*الموظفون!$R40/cfg_DAYS_M+S40)</f>
        <v/>
      </c>
      <c r="AN40" s="151" t="str">
        <f aca="false">IF($B40="","",SUMIFS('سجل الإجازات والحالات'!$AB$6:$AB$505,'سجل الإجازات والحالات'!$B$6:$B$505,$B40))</f>
        <v/>
      </c>
    </row>
    <row r="41" customFormat="false" ht="15" hidden="false" customHeight="false" outlineLevel="0" collapsed="false">
      <c r="A41" s="115" t="str">
        <f aca="false">IF($B41="","",الموظفون!$A41)</f>
        <v/>
      </c>
      <c r="B41" s="117" t="str">
        <f aca="false">IF(الموظفون!$B41="","",الموظفون!$B41)</f>
        <v/>
      </c>
      <c r="C41" s="117" t="str">
        <f aca="false">IF($B41="","",الموظفون!$C41)</f>
        <v/>
      </c>
      <c r="D41" s="117" t="str">
        <f aca="false">IF($B41="","",الموظفون!$F41)</f>
        <v/>
      </c>
      <c r="E41" s="117" t="str">
        <f aca="false">IF($B41="","",الموظفون!$E41)</f>
        <v/>
      </c>
      <c r="F41" s="117" t="str">
        <f aca="false">IF($B41="","",IF(AK41=0,IF(AND(الموظفون!$AE41&lt;&gt;"",الموظفون!$AE41&lt;$E$3),"✖ منتهي الخدمة","⏳ لم يباشر"),IF(S41&gt;0,"✈ راتب إجازة مقدم",IF(J41=0,"⛔ بدون راتب هذا الشهر",IF(I41&gt;0,"✈ خصم "&amp;ROUND(I41,2)&amp;" يوم بدون أجر",IF(AL41&gt;0,"🌴 إجازة سنوية "&amp;ROUND(AL41,2)&amp;" يوم",IF(H41&gt;0,"⚠ غياب "&amp;ROUND(H41,2)&amp;" يوم","✔ على رأس العمل")))))))</f>
        <v/>
      </c>
      <c r="G41" s="156" t="str">
        <f aca="false">IF($B41="","",IF(AK41&gt;=DAY($F$3),cfg_DAYS_M,MIN(AK41,cfg_DAYS_M)))</f>
        <v/>
      </c>
      <c r="H41" s="156" t="str">
        <f aca="false">IF($B41="","",SUMIFS('الحركات الشهرية'!$D$6:$D$1005,'الحركات الشهرية'!$B$6:$B$1005,$B41,'الحركات الشهرية'!$A$6:$A$1005,$C$3))</f>
        <v/>
      </c>
      <c r="I41" s="156" t="str">
        <f aca="false">IF($B41="","",MIN(G41,IF(AND(AK41&gt;0,AN41&gt;=AK41),G41,AN41)+SUMIFS('الحركات الشهرية'!$E$6:$E$1005,'الحركات الشهرية'!$B$6:$B$1005,$B41,'الحركات الشهرية'!$A$6:$A$1005,$C$3)))</f>
        <v/>
      </c>
      <c r="J41" s="156" t="str">
        <f aca="false">IF($B41="","",MAX(0,G41-H41-I41))</f>
        <v/>
      </c>
      <c r="K41" s="116" t="str">
        <f aca="false">IF($B41="","",الموظفون!$L41*$J41/cfg_DAYS_M)</f>
        <v/>
      </c>
      <c r="L41" s="116" t="str">
        <f aca="false">IF($B41="","",الموظفون!$M41*$J41/cfg_DAYS_M)</f>
        <v/>
      </c>
      <c r="M41" s="116" t="str">
        <f aca="false">IF($B41="","",الموظفون!$N41*$J41/cfg_DAYS_M)</f>
        <v/>
      </c>
      <c r="N41" s="116" t="str">
        <f aca="false">IF($B41="","",الموظفون!$O41*$J41/cfg_DAYS_M)</f>
        <v/>
      </c>
      <c r="O41" s="156" t="str">
        <f aca="false">IF($B41="","",SUMIFS('الحركات الشهرية'!$F$6:$F$1005,'الحركات الشهرية'!$B$6:$B$1005,$B41,'الحركات الشهرية'!$A$6:$A$1005,$C$3))</f>
        <v/>
      </c>
      <c r="P41" s="116" t="str">
        <f aca="false">IF($B41="","",O41*(الموظفون!$P41+الموظفون!$L41*cfg_OT_P)/cfg_DAYS_M/cfg_HRS)</f>
        <v/>
      </c>
      <c r="Q41" s="116" t="str">
        <f aca="false">IF($B41="","",SUMIFS('الحركات الشهرية'!$G$6:$G$1005,'الحركات الشهرية'!$B$6:$B$1005,$B41,'الحركات الشهرية'!$A$6:$A$1005,$C$3))</f>
        <v/>
      </c>
      <c r="R41" s="116" t="str">
        <f aca="false">IF($B41="","",SUMIFS('الحركات الشهرية'!$H$6:$H$1005,'الحركات الشهرية'!$B$6:$B$1005,$B41,'الحركات الشهرية'!$A$6:$A$1005,$C$3))</f>
        <v/>
      </c>
      <c r="S41" s="116" t="str">
        <f aca="false">IF($B41="","",SUMIFS('سجل الإجازات والحالات'!$N$6:$N$505,'سجل الإجازات والحالات'!$B$6:$B$505,$B41,'سجل الإجازات والحالات'!$O$6:$O$505,$C$3))</f>
        <v/>
      </c>
      <c r="T41" s="157" t="str">
        <f aca="false">IF($B41="","",SUM(K41:N41)+SUM(P41:S41))</f>
        <v/>
      </c>
      <c r="U41" s="116" t="str">
        <f aca="false">IF($B41="","",الموظفون!$S41*IF(E41="سعودي",cfg_G_SE,cfg_G_NE)*G41/cfg_DAYS_M)</f>
        <v/>
      </c>
      <c r="V41" s="116" t="str">
        <f aca="false">IF($B41="","",SUMIFS('الحركات الشهرية'!$I$6:$I$1005,'الحركات الشهرية'!$B$6:$B$1005,$B41,'الحركات الشهرية'!$A$6:$A$1005,$C$3))</f>
        <v/>
      </c>
      <c r="W41" s="116" t="str">
        <f aca="false">IF($B41="","",SUMIFS('الحركات الشهرية'!$J$6:$J$1005,'الحركات الشهرية'!$B$6:$B$1005,$B41,'الحركات الشهرية'!$A$6:$A$1005,$C$3))</f>
        <v/>
      </c>
      <c r="X41" s="116" t="str">
        <f aca="false">IF($B41="","",SUM(U41:W41))</f>
        <v/>
      </c>
      <c r="Y41" s="158" t="str">
        <f aca="false">IF($B41="","",T41-X41)</f>
        <v/>
      </c>
      <c r="Z41" s="116" t="str">
        <f aca="false">IF($B41="","",الموظفون!$S41*IF(E41="سعودي",cfg_G_SR,cfg_G_NR)*G41/cfg_DAYS_M)</f>
        <v/>
      </c>
      <c r="AA41" s="116" t="str">
        <f aca="false">IF($B41="","",الموظفون!$Q41*(cfg_EOS_R1*(MIN(AH41,cfg_EOS_TH)-MIN(AI41,cfg_EOS_TH))+cfg_EOS_R2*(MAX(AH41-cfg_EOS_TH,0)-MAX(AI41-cfg_EOS_TH,0))))</f>
        <v/>
      </c>
      <c r="AB41" s="116" t="str">
        <f aca="false">IF($B41="","",IF(الموظفون!$T41&lt;&gt;"",الموظفون!$T41,IF(AH41&gt;=cfg_LV_TH,cfg_LV_D2,cfg_LV_D1))/cfg_DAYS_Y*AJ41*الموظفون!$R41/cfg_DAYS_M)</f>
        <v/>
      </c>
      <c r="AC41" s="116" t="str">
        <f aca="false">IF($B41="","",IF(AND(الموظفون!$U41="نعم",N(الموظفون!$W41)&gt;0),الموظفون!$V41/الموظفون!$W41*12/cfg_DAYS_Y*AJ41,0))</f>
        <v/>
      </c>
      <c r="AD41" s="116" t="str">
        <f aca="false">IF($B41="","",(IF(الموظفون!$X41&lt;&gt;"",الموظفون!$X41,IF(الموظفون!$E41="غير سعودي",cfg_IQ,0))+IF(الموظفون!$Y41&lt;&gt;"",الموظفون!$Y41,IF(الموظفون!$E41="غير سعودي",cfg_WP,0)))/12*G41/cfg_DAYS_M)</f>
        <v/>
      </c>
      <c r="AE41" s="116" t="str">
        <f aca="false">IF($B41="","",IF(الموظفون!$Z41&lt;&gt;"",الموظفون!$Z41,cfg_MED)/12*G41/cfg_DAYS_M)</f>
        <v/>
      </c>
      <c r="AF41" s="116" t="str">
        <f aca="false">IF($B41="","",N(الموظفون!$AA41)/12*G41/cfg_DAYS_M)</f>
        <v/>
      </c>
      <c r="AG41" s="159" t="str">
        <f aca="false">IF($B41="","",T41+SUM(Z41:AF41))</f>
        <v/>
      </c>
      <c r="AH41" s="160" t="str">
        <f aca="false">IF($B41="","",MAX(0,IF(OR(الموظفون!$AE41="",الموظفون!$AE41&gt;$F$3),$F$3,الموظفون!$AE41)-الموظفون!$H41+1-SUMIFS('سجل الإجازات والحالات'!$AN$6:$AN$505,'سجل الإجازات والحالات'!$B$6:$B$505,$B41))/cfg_DAYS_Y)</f>
        <v/>
      </c>
      <c r="AI41" s="160" t="str">
        <f aca="false">IF($B41="","",MAX(0,IF(OR(الموظفون!$AE41="",الموظفون!$AE41&gt;($E$3-1)),($E$3-1),الموظفون!$AE41)-الموظفون!$H41+1-SUMIFS('سجل الإجازات والحالات'!$AM$6:$AM$505,'سجل الإجازات والحالات'!$B$6:$B$505,$B41))/cfg_DAYS_Y)</f>
        <v/>
      </c>
      <c r="AJ41" s="133" t="str">
        <f aca="false">IF($B41="","",MAX(0,AK41-(SUMIFS('سجل الإجازات والحالات'!$AN$6:$AN$505,'سجل الإجازات والحالات'!$B$6:$B$505,$B41)-SUMIFS('سجل الإجازات والحالات'!$AM$6:$AM$505,'سجل الإجازات والحالات'!$B$6:$B$505,$B41))))</f>
        <v/>
      </c>
      <c r="AK41" s="133" t="str">
        <f aca="false">IF($B41="","",MAX(0,IF(OR(الموظفون!$AE41="",الموظفون!$AE41&gt;$F$3),$F$3,الموظفون!$AE41)-MAX($E$3,الموظفون!$H41)+1))</f>
        <v/>
      </c>
      <c r="AL41" s="156" t="str">
        <f aca="false">IF($B41="","",SUMIFS('سجل الإجازات والحالات'!$AZ$6:$AZ$505,'سجل الإجازات والحالات'!$B$6:$B$505,$B41)+SUMIFS('الحركات الشهرية'!$K$6:$K$1005,'الحركات الشهرية'!$B$6:$B$1005,$B41,'الحركات الشهرية'!$A$6:$A$1005,$C$3))</f>
        <v/>
      </c>
      <c r="AM41" s="116" t="str">
        <f aca="false">IF($B41="","",AL41*الموظفون!$R41/cfg_DAYS_M+S41)</f>
        <v/>
      </c>
      <c r="AN41" s="156" t="str">
        <f aca="false">IF($B41="","",SUMIFS('سجل الإجازات والحالات'!$AB$6:$AB$505,'سجل الإجازات والحالات'!$B$6:$B$505,$B41))</f>
        <v/>
      </c>
    </row>
    <row r="42" customFormat="false" ht="15" hidden="false" customHeight="false" outlineLevel="0" collapsed="false">
      <c r="A42" s="106" t="str">
        <f aca="false">IF($B42="","",الموظفون!$A42)</f>
        <v/>
      </c>
      <c r="B42" s="114" t="str">
        <f aca="false">IF(الموظفون!$B42="","",الموظفون!$B42)</f>
        <v/>
      </c>
      <c r="C42" s="114" t="str">
        <f aca="false">IF($B42="","",الموظفون!$C42)</f>
        <v/>
      </c>
      <c r="D42" s="114" t="str">
        <f aca="false">IF($B42="","",الموظفون!$F42)</f>
        <v/>
      </c>
      <c r="E42" s="114" t="str">
        <f aca="false">IF($B42="","",الموظفون!$E42)</f>
        <v/>
      </c>
      <c r="F42" s="114" t="str">
        <f aca="false">IF($B42="","",IF(AK42=0,IF(AND(الموظفون!$AE42&lt;&gt;"",الموظفون!$AE42&lt;$E$3),"✖ منتهي الخدمة","⏳ لم يباشر"),IF(S42&gt;0,"✈ راتب إجازة مقدم",IF(J42=0,"⛔ بدون راتب هذا الشهر",IF(I42&gt;0,"✈ خصم "&amp;ROUND(I42,2)&amp;" يوم بدون أجر",IF(AL42&gt;0,"🌴 إجازة سنوية "&amp;ROUND(AL42,2)&amp;" يوم",IF(H42&gt;0,"⚠ غياب "&amp;ROUND(H42,2)&amp;" يوم","✔ على رأس العمل")))))))</f>
        <v/>
      </c>
      <c r="G42" s="151" t="str">
        <f aca="false">IF($B42="","",IF(AK42&gt;=DAY($F$3),cfg_DAYS_M,MIN(AK42,cfg_DAYS_M)))</f>
        <v/>
      </c>
      <c r="H42" s="151" t="str">
        <f aca="false">IF($B42="","",SUMIFS('الحركات الشهرية'!$D$6:$D$1005,'الحركات الشهرية'!$B$6:$B$1005,$B42,'الحركات الشهرية'!$A$6:$A$1005,$C$3))</f>
        <v/>
      </c>
      <c r="I42" s="151" t="str">
        <f aca="false">IF($B42="","",MIN(G42,IF(AND(AK42&gt;0,AN42&gt;=AK42),G42,AN42)+SUMIFS('الحركات الشهرية'!$E$6:$E$1005,'الحركات الشهرية'!$B$6:$B$1005,$B42,'الحركات الشهرية'!$A$6:$A$1005,$C$3)))</f>
        <v/>
      </c>
      <c r="J42" s="151" t="str">
        <f aca="false">IF($B42="","",MAX(0,G42-H42-I42))</f>
        <v/>
      </c>
      <c r="K42" s="111" t="str">
        <f aca="false">IF($B42="","",الموظفون!$L42*$J42/cfg_DAYS_M)</f>
        <v/>
      </c>
      <c r="L42" s="111" t="str">
        <f aca="false">IF($B42="","",الموظفون!$M42*$J42/cfg_DAYS_M)</f>
        <v/>
      </c>
      <c r="M42" s="111" t="str">
        <f aca="false">IF($B42="","",الموظفون!$N42*$J42/cfg_DAYS_M)</f>
        <v/>
      </c>
      <c r="N42" s="111" t="str">
        <f aca="false">IF($B42="","",الموظفون!$O42*$J42/cfg_DAYS_M)</f>
        <v/>
      </c>
      <c r="O42" s="151" t="str">
        <f aca="false">IF($B42="","",SUMIFS('الحركات الشهرية'!$F$6:$F$1005,'الحركات الشهرية'!$B$6:$B$1005,$B42,'الحركات الشهرية'!$A$6:$A$1005,$C$3))</f>
        <v/>
      </c>
      <c r="P42" s="111" t="str">
        <f aca="false">IF($B42="","",O42*(الموظفون!$P42+الموظفون!$L42*cfg_OT_P)/cfg_DAYS_M/cfg_HRS)</f>
        <v/>
      </c>
      <c r="Q42" s="111" t="str">
        <f aca="false">IF($B42="","",SUMIFS('الحركات الشهرية'!$G$6:$G$1005,'الحركات الشهرية'!$B$6:$B$1005,$B42,'الحركات الشهرية'!$A$6:$A$1005,$C$3))</f>
        <v/>
      </c>
      <c r="R42" s="111" t="str">
        <f aca="false">IF($B42="","",SUMIFS('الحركات الشهرية'!$H$6:$H$1005,'الحركات الشهرية'!$B$6:$B$1005,$B42,'الحركات الشهرية'!$A$6:$A$1005,$C$3))</f>
        <v/>
      </c>
      <c r="S42" s="111" t="str">
        <f aca="false">IF($B42="","",SUMIFS('سجل الإجازات والحالات'!$N$6:$N$505,'سجل الإجازات والحالات'!$B$6:$B$505,$B42,'سجل الإجازات والحالات'!$O$6:$O$505,$C$3))</f>
        <v/>
      </c>
      <c r="T42" s="152" t="str">
        <f aca="false">IF($B42="","",SUM(K42:N42)+SUM(P42:S42))</f>
        <v/>
      </c>
      <c r="U42" s="111" t="str">
        <f aca="false">IF($B42="","",الموظفون!$S42*IF(E42="سعودي",cfg_G_SE,cfg_G_NE)*G42/cfg_DAYS_M)</f>
        <v/>
      </c>
      <c r="V42" s="111" t="str">
        <f aca="false">IF($B42="","",SUMIFS('الحركات الشهرية'!$I$6:$I$1005,'الحركات الشهرية'!$B$6:$B$1005,$B42,'الحركات الشهرية'!$A$6:$A$1005,$C$3))</f>
        <v/>
      </c>
      <c r="W42" s="111" t="str">
        <f aca="false">IF($B42="","",SUMIFS('الحركات الشهرية'!$J$6:$J$1005,'الحركات الشهرية'!$B$6:$B$1005,$B42,'الحركات الشهرية'!$A$6:$A$1005,$C$3))</f>
        <v/>
      </c>
      <c r="X42" s="111" t="str">
        <f aca="false">IF($B42="","",SUM(U42:W42))</f>
        <v/>
      </c>
      <c r="Y42" s="153" t="str">
        <f aca="false">IF($B42="","",T42-X42)</f>
        <v/>
      </c>
      <c r="Z42" s="111" t="str">
        <f aca="false">IF($B42="","",الموظفون!$S42*IF(E42="سعودي",cfg_G_SR,cfg_G_NR)*G42/cfg_DAYS_M)</f>
        <v/>
      </c>
      <c r="AA42" s="111" t="str">
        <f aca="false">IF($B42="","",الموظفون!$Q42*(cfg_EOS_R1*(MIN(AH42,cfg_EOS_TH)-MIN(AI42,cfg_EOS_TH))+cfg_EOS_R2*(MAX(AH42-cfg_EOS_TH,0)-MAX(AI42-cfg_EOS_TH,0))))</f>
        <v/>
      </c>
      <c r="AB42" s="111" t="str">
        <f aca="false">IF($B42="","",IF(الموظفون!$T42&lt;&gt;"",الموظفون!$T42,IF(AH42&gt;=cfg_LV_TH,cfg_LV_D2,cfg_LV_D1))/cfg_DAYS_Y*AJ42*الموظفون!$R42/cfg_DAYS_M)</f>
        <v/>
      </c>
      <c r="AC42" s="111" t="str">
        <f aca="false">IF($B42="","",IF(AND(الموظفون!$U42="نعم",N(الموظفون!$W42)&gt;0),الموظفون!$V42/الموظفون!$W42*12/cfg_DAYS_Y*AJ42,0))</f>
        <v/>
      </c>
      <c r="AD42" s="111" t="str">
        <f aca="false">IF($B42="","",(IF(الموظفون!$X42&lt;&gt;"",الموظفون!$X42,IF(الموظفون!$E42="غير سعودي",cfg_IQ,0))+IF(الموظفون!$Y42&lt;&gt;"",الموظفون!$Y42,IF(الموظفون!$E42="غير سعودي",cfg_WP,0)))/12*G42/cfg_DAYS_M)</f>
        <v/>
      </c>
      <c r="AE42" s="111" t="str">
        <f aca="false">IF($B42="","",IF(الموظفون!$Z42&lt;&gt;"",الموظفون!$Z42,cfg_MED)/12*G42/cfg_DAYS_M)</f>
        <v/>
      </c>
      <c r="AF42" s="111" t="str">
        <f aca="false">IF($B42="","",N(الموظفون!$AA42)/12*G42/cfg_DAYS_M)</f>
        <v/>
      </c>
      <c r="AG42" s="154" t="str">
        <f aca="false">IF($B42="","",T42+SUM(Z42:AF42))</f>
        <v/>
      </c>
      <c r="AH42" s="155" t="str">
        <f aca="false">IF($B42="","",MAX(0,IF(OR(الموظفون!$AE42="",الموظفون!$AE42&gt;$F$3),$F$3,الموظفون!$AE42)-الموظفون!$H42+1-SUMIFS('سجل الإجازات والحالات'!$AN$6:$AN$505,'سجل الإجازات والحالات'!$B$6:$B$505,$B42))/cfg_DAYS_Y)</f>
        <v/>
      </c>
      <c r="AI42" s="155" t="str">
        <f aca="false">IF($B42="","",MAX(0,IF(OR(الموظفون!$AE42="",الموظفون!$AE42&gt;($E$3-1)),($E$3-1),الموظفون!$AE42)-الموظفون!$H42+1-SUMIFS('سجل الإجازات والحالات'!$AM$6:$AM$505,'سجل الإجازات والحالات'!$B$6:$B$505,$B42))/cfg_DAYS_Y)</f>
        <v/>
      </c>
      <c r="AJ42" s="65" t="str">
        <f aca="false">IF($B42="","",MAX(0,AK42-(SUMIFS('سجل الإجازات والحالات'!$AN$6:$AN$505,'سجل الإجازات والحالات'!$B$6:$B$505,$B42)-SUMIFS('سجل الإجازات والحالات'!$AM$6:$AM$505,'سجل الإجازات والحالات'!$B$6:$B$505,$B42))))</f>
        <v/>
      </c>
      <c r="AK42" s="65" t="str">
        <f aca="false">IF($B42="","",MAX(0,IF(OR(الموظفون!$AE42="",الموظفون!$AE42&gt;$F$3),$F$3,الموظفون!$AE42)-MAX($E$3,الموظفون!$H42)+1))</f>
        <v/>
      </c>
      <c r="AL42" s="151" t="str">
        <f aca="false">IF($B42="","",SUMIFS('سجل الإجازات والحالات'!$AZ$6:$AZ$505,'سجل الإجازات والحالات'!$B$6:$B$505,$B42)+SUMIFS('الحركات الشهرية'!$K$6:$K$1005,'الحركات الشهرية'!$B$6:$B$1005,$B42,'الحركات الشهرية'!$A$6:$A$1005,$C$3))</f>
        <v/>
      </c>
      <c r="AM42" s="111" t="str">
        <f aca="false">IF($B42="","",AL42*الموظفون!$R42/cfg_DAYS_M+S42)</f>
        <v/>
      </c>
      <c r="AN42" s="151" t="str">
        <f aca="false">IF($B42="","",SUMIFS('سجل الإجازات والحالات'!$AB$6:$AB$505,'سجل الإجازات والحالات'!$B$6:$B$505,$B42))</f>
        <v/>
      </c>
    </row>
    <row r="43" customFormat="false" ht="15" hidden="false" customHeight="false" outlineLevel="0" collapsed="false">
      <c r="A43" s="115" t="str">
        <f aca="false">IF($B43="","",الموظفون!$A43)</f>
        <v/>
      </c>
      <c r="B43" s="117" t="str">
        <f aca="false">IF(الموظفون!$B43="","",الموظفون!$B43)</f>
        <v/>
      </c>
      <c r="C43" s="117" t="str">
        <f aca="false">IF($B43="","",الموظفون!$C43)</f>
        <v/>
      </c>
      <c r="D43" s="117" t="str">
        <f aca="false">IF($B43="","",الموظفون!$F43)</f>
        <v/>
      </c>
      <c r="E43" s="117" t="str">
        <f aca="false">IF($B43="","",الموظفون!$E43)</f>
        <v/>
      </c>
      <c r="F43" s="117" t="str">
        <f aca="false">IF($B43="","",IF(AK43=0,IF(AND(الموظفون!$AE43&lt;&gt;"",الموظفون!$AE43&lt;$E$3),"✖ منتهي الخدمة","⏳ لم يباشر"),IF(S43&gt;0,"✈ راتب إجازة مقدم",IF(J43=0,"⛔ بدون راتب هذا الشهر",IF(I43&gt;0,"✈ خصم "&amp;ROUND(I43,2)&amp;" يوم بدون أجر",IF(AL43&gt;0,"🌴 إجازة سنوية "&amp;ROUND(AL43,2)&amp;" يوم",IF(H43&gt;0,"⚠ غياب "&amp;ROUND(H43,2)&amp;" يوم","✔ على رأس العمل")))))))</f>
        <v/>
      </c>
      <c r="G43" s="156" t="str">
        <f aca="false">IF($B43="","",IF(AK43&gt;=DAY($F$3),cfg_DAYS_M,MIN(AK43,cfg_DAYS_M)))</f>
        <v/>
      </c>
      <c r="H43" s="156" t="str">
        <f aca="false">IF($B43="","",SUMIFS('الحركات الشهرية'!$D$6:$D$1005,'الحركات الشهرية'!$B$6:$B$1005,$B43,'الحركات الشهرية'!$A$6:$A$1005,$C$3))</f>
        <v/>
      </c>
      <c r="I43" s="156" t="str">
        <f aca="false">IF($B43="","",MIN(G43,IF(AND(AK43&gt;0,AN43&gt;=AK43),G43,AN43)+SUMIFS('الحركات الشهرية'!$E$6:$E$1005,'الحركات الشهرية'!$B$6:$B$1005,$B43,'الحركات الشهرية'!$A$6:$A$1005,$C$3)))</f>
        <v/>
      </c>
      <c r="J43" s="156" t="str">
        <f aca="false">IF($B43="","",MAX(0,G43-H43-I43))</f>
        <v/>
      </c>
      <c r="K43" s="116" t="str">
        <f aca="false">IF($B43="","",الموظفون!$L43*$J43/cfg_DAYS_M)</f>
        <v/>
      </c>
      <c r="L43" s="116" t="str">
        <f aca="false">IF($B43="","",الموظفون!$M43*$J43/cfg_DAYS_M)</f>
        <v/>
      </c>
      <c r="M43" s="116" t="str">
        <f aca="false">IF($B43="","",الموظفون!$N43*$J43/cfg_DAYS_M)</f>
        <v/>
      </c>
      <c r="N43" s="116" t="str">
        <f aca="false">IF($B43="","",الموظفون!$O43*$J43/cfg_DAYS_M)</f>
        <v/>
      </c>
      <c r="O43" s="156" t="str">
        <f aca="false">IF($B43="","",SUMIFS('الحركات الشهرية'!$F$6:$F$1005,'الحركات الشهرية'!$B$6:$B$1005,$B43,'الحركات الشهرية'!$A$6:$A$1005,$C$3))</f>
        <v/>
      </c>
      <c r="P43" s="116" t="str">
        <f aca="false">IF($B43="","",O43*(الموظفون!$P43+الموظفون!$L43*cfg_OT_P)/cfg_DAYS_M/cfg_HRS)</f>
        <v/>
      </c>
      <c r="Q43" s="116" t="str">
        <f aca="false">IF($B43="","",SUMIFS('الحركات الشهرية'!$G$6:$G$1005,'الحركات الشهرية'!$B$6:$B$1005,$B43,'الحركات الشهرية'!$A$6:$A$1005,$C$3))</f>
        <v/>
      </c>
      <c r="R43" s="116" t="str">
        <f aca="false">IF($B43="","",SUMIFS('الحركات الشهرية'!$H$6:$H$1005,'الحركات الشهرية'!$B$6:$B$1005,$B43,'الحركات الشهرية'!$A$6:$A$1005,$C$3))</f>
        <v/>
      </c>
      <c r="S43" s="116" t="str">
        <f aca="false">IF($B43="","",SUMIFS('سجل الإجازات والحالات'!$N$6:$N$505,'سجل الإجازات والحالات'!$B$6:$B$505,$B43,'سجل الإجازات والحالات'!$O$6:$O$505,$C$3))</f>
        <v/>
      </c>
      <c r="T43" s="157" t="str">
        <f aca="false">IF($B43="","",SUM(K43:N43)+SUM(P43:S43))</f>
        <v/>
      </c>
      <c r="U43" s="116" t="str">
        <f aca="false">IF($B43="","",الموظفون!$S43*IF(E43="سعودي",cfg_G_SE,cfg_G_NE)*G43/cfg_DAYS_M)</f>
        <v/>
      </c>
      <c r="V43" s="116" t="str">
        <f aca="false">IF($B43="","",SUMIFS('الحركات الشهرية'!$I$6:$I$1005,'الحركات الشهرية'!$B$6:$B$1005,$B43,'الحركات الشهرية'!$A$6:$A$1005,$C$3))</f>
        <v/>
      </c>
      <c r="W43" s="116" t="str">
        <f aca="false">IF($B43="","",SUMIFS('الحركات الشهرية'!$J$6:$J$1005,'الحركات الشهرية'!$B$6:$B$1005,$B43,'الحركات الشهرية'!$A$6:$A$1005,$C$3))</f>
        <v/>
      </c>
      <c r="X43" s="116" t="str">
        <f aca="false">IF($B43="","",SUM(U43:W43))</f>
        <v/>
      </c>
      <c r="Y43" s="158" t="str">
        <f aca="false">IF($B43="","",T43-X43)</f>
        <v/>
      </c>
      <c r="Z43" s="116" t="str">
        <f aca="false">IF($B43="","",الموظفون!$S43*IF(E43="سعودي",cfg_G_SR,cfg_G_NR)*G43/cfg_DAYS_M)</f>
        <v/>
      </c>
      <c r="AA43" s="116" t="str">
        <f aca="false">IF($B43="","",الموظفون!$Q43*(cfg_EOS_R1*(MIN(AH43,cfg_EOS_TH)-MIN(AI43,cfg_EOS_TH))+cfg_EOS_R2*(MAX(AH43-cfg_EOS_TH,0)-MAX(AI43-cfg_EOS_TH,0))))</f>
        <v/>
      </c>
      <c r="AB43" s="116" t="str">
        <f aca="false">IF($B43="","",IF(الموظفون!$T43&lt;&gt;"",الموظفون!$T43,IF(AH43&gt;=cfg_LV_TH,cfg_LV_D2,cfg_LV_D1))/cfg_DAYS_Y*AJ43*الموظفون!$R43/cfg_DAYS_M)</f>
        <v/>
      </c>
      <c r="AC43" s="116" t="str">
        <f aca="false">IF($B43="","",IF(AND(الموظفون!$U43="نعم",N(الموظفون!$W43)&gt;0),الموظفون!$V43/الموظفون!$W43*12/cfg_DAYS_Y*AJ43,0))</f>
        <v/>
      </c>
      <c r="AD43" s="116" t="str">
        <f aca="false">IF($B43="","",(IF(الموظفون!$X43&lt;&gt;"",الموظفون!$X43,IF(الموظفون!$E43="غير سعودي",cfg_IQ,0))+IF(الموظفون!$Y43&lt;&gt;"",الموظفون!$Y43,IF(الموظفون!$E43="غير سعودي",cfg_WP,0)))/12*G43/cfg_DAYS_M)</f>
        <v/>
      </c>
      <c r="AE43" s="116" t="str">
        <f aca="false">IF($B43="","",IF(الموظفون!$Z43&lt;&gt;"",الموظفون!$Z43,cfg_MED)/12*G43/cfg_DAYS_M)</f>
        <v/>
      </c>
      <c r="AF43" s="116" t="str">
        <f aca="false">IF($B43="","",N(الموظفون!$AA43)/12*G43/cfg_DAYS_M)</f>
        <v/>
      </c>
      <c r="AG43" s="159" t="str">
        <f aca="false">IF($B43="","",T43+SUM(Z43:AF43))</f>
        <v/>
      </c>
      <c r="AH43" s="160" t="str">
        <f aca="false">IF($B43="","",MAX(0,IF(OR(الموظفون!$AE43="",الموظفون!$AE43&gt;$F$3),$F$3,الموظفون!$AE43)-الموظفون!$H43+1-SUMIFS('سجل الإجازات والحالات'!$AN$6:$AN$505,'سجل الإجازات والحالات'!$B$6:$B$505,$B43))/cfg_DAYS_Y)</f>
        <v/>
      </c>
      <c r="AI43" s="160" t="str">
        <f aca="false">IF($B43="","",MAX(0,IF(OR(الموظفون!$AE43="",الموظفون!$AE43&gt;($E$3-1)),($E$3-1),الموظفون!$AE43)-الموظفون!$H43+1-SUMIFS('سجل الإجازات والحالات'!$AM$6:$AM$505,'سجل الإجازات والحالات'!$B$6:$B$505,$B43))/cfg_DAYS_Y)</f>
        <v/>
      </c>
      <c r="AJ43" s="133" t="str">
        <f aca="false">IF($B43="","",MAX(0,AK43-(SUMIFS('سجل الإجازات والحالات'!$AN$6:$AN$505,'سجل الإجازات والحالات'!$B$6:$B$505,$B43)-SUMIFS('سجل الإجازات والحالات'!$AM$6:$AM$505,'سجل الإجازات والحالات'!$B$6:$B$505,$B43))))</f>
        <v/>
      </c>
      <c r="AK43" s="133" t="str">
        <f aca="false">IF($B43="","",MAX(0,IF(OR(الموظفون!$AE43="",الموظفون!$AE43&gt;$F$3),$F$3,الموظفون!$AE43)-MAX($E$3,الموظفون!$H43)+1))</f>
        <v/>
      </c>
      <c r="AL43" s="156" t="str">
        <f aca="false">IF($B43="","",SUMIFS('سجل الإجازات والحالات'!$AZ$6:$AZ$505,'سجل الإجازات والحالات'!$B$6:$B$505,$B43)+SUMIFS('الحركات الشهرية'!$K$6:$K$1005,'الحركات الشهرية'!$B$6:$B$1005,$B43,'الحركات الشهرية'!$A$6:$A$1005,$C$3))</f>
        <v/>
      </c>
      <c r="AM43" s="116" t="str">
        <f aca="false">IF($B43="","",AL43*الموظفون!$R43/cfg_DAYS_M+S43)</f>
        <v/>
      </c>
      <c r="AN43" s="156" t="str">
        <f aca="false">IF($B43="","",SUMIFS('سجل الإجازات والحالات'!$AB$6:$AB$505,'سجل الإجازات والحالات'!$B$6:$B$505,$B43))</f>
        <v/>
      </c>
    </row>
    <row r="44" customFormat="false" ht="15" hidden="false" customHeight="false" outlineLevel="0" collapsed="false">
      <c r="A44" s="106" t="str">
        <f aca="false">IF($B44="","",الموظفون!$A44)</f>
        <v/>
      </c>
      <c r="B44" s="114" t="str">
        <f aca="false">IF(الموظفون!$B44="","",الموظفون!$B44)</f>
        <v/>
      </c>
      <c r="C44" s="114" t="str">
        <f aca="false">IF($B44="","",الموظفون!$C44)</f>
        <v/>
      </c>
      <c r="D44" s="114" t="str">
        <f aca="false">IF($B44="","",الموظفون!$F44)</f>
        <v/>
      </c>
      <c r="E44" s="114" t="str">
        <f aca="false">IF($B44="","",الموظفون!$E44)</f>
        <v/>
      </c>
      <c r="F44" s="114" t="str">
        <f aca="false">IF($B44="","",IF(AK44=0,IF(AND(الموظفون!$AE44&lt;&gt;"",الموظفون!$AE44&lt;$E$3),"✖ منتهي الخدمة","⏳ لم يباشر"),IF(S44&gt;0,"✈ راتب إجازة مقدم",IF(J44=0,"⛔ بدون راتب هذا الشهر",IF(I44&gt;0,"✈ خصم "&amp;ROUND(I44,2)&amp;" يوم بدون أجر",IF(AL44&gt;0,"🌴 إجازة سنوية "&amp;ROUND(AL44,2)&amp;" يوم",IF(H44&gt;0,"⚠ غياب "&amp;ROUND(H44,2)&amp;" يوم","✔ على رأس العمل")))))))</f>
        <v/>
      </c>
      <c r="G44" s="151" t="str">
        <f aca="false">IF($B44="","",IF(AK44&gt;=DAY($F$3),cfg_DAYS_M,MIN(AK44,cfg_DAYS_M)))</f>
        <v/>
      </c>
      <c r="H44" s="151" t="str">
        <f aca="false">IF($B44="","",SUMIFS('الحركات الشهرية'!$D$6:$D$1005,'الحركات الشهرية'!$B$6:$B$1005,$B44,'الحركات الشهرية'!$A$6:$A$1005,$C$3))</f>
        <v/>
      </c>
      <c r="I44" s="151" t="str">
        <f aca="false">IF($B44="","",MIN(G44,IF(AND(AK44&gt;0,AN44&gt;=AK44),G44,AN44)+SUMIFS('الحركات الشهرية'!$E$6:$E$1005,'الحركات الشهرية'!$B$6:$B$1005,$B44,'الحركات الشهرية'!$A$6:$A$1005,$C$3)))</f>
        <v/>
      </c>
      <c r="J44" s="151" t="str">
        <f aca="false">IF($B44="","",MAX(0,G44-H44-I44))</f>
        <v/>
      </c>
      <c r="K44" s="111" t="str">
        <f aca="false">IF($B44="","",الموظفون!$L44*$J44/cfg_DAYS_M)</f>
        <v/>
      </c>
      <c r="L44" s="111" t="str">
        <f aca="false">IF($B44="","",الموظفون!$M44*$J44/cfg_DAYS_M)</f>
        <v/>
      </c>
      <c r="M44" s="111" t="str">
        <f aca="false">IF($B44="","",الموظفون!$N44*$J44/cfg_DAYS_M)</f>
        <v/>
      </c>
      <c r="N44" s="111" t="str">
        <f aca="false">IF($B44="","",الموظفون!$O44*$J44/cfg_DAYS_M)</f>
        <v/>
      </c>
      <c r="O44" s="151" t="str">
        <f aca="false">IF($B44="","",SUMIFS('الحركات الشهرية'!$F$6:$F$1005,'الحركات الشهرية'!$B$6:$B$1005,$B44,'الحركات الشهرية'!$A$6:$A$1005,$C$3))</f>
        <v/>
      </c>
      <c r="P44" s="111" t="str">
        <f aca="false">IF($B44="","",O44*(الموظفون!$P44+الموظفون!$L44*cfg_OT_P)/cfg_DAYS_M/cfg_HRS)</f>
        <v/>
      </c>
      <c r="Q44" s="111" t="str">
        <f aca="false">IF($B44="","",SUMIFS('الحركات الشهرية'!$G$6:$G$1005,'الحركات الشهرية'!$B$6:$B$1005,$B44,'الحركات الشهرية'!$A$6:$A$1005,$C$3))</f>
        <v/>
      </c>
      <c r="R44" s="111" t="str">
        <f aca="false">IF($B44="","",SUMIFS('الحركات الشهرية'!$H$6:$H$1005,'الحركات الشهرية'!$B$6:$B$1005,$B44,'الحركات الشهرية'!$A$6:$A$1005,$C$3))</f>
        <v/>
      </c>
      <c r="S44" s="111" t="str">
        <f aca="false">IF($B44="","",SUMIFS('سجل الإجازات والحالات'!$N$6:$N$505,'سجل الإجازات والحالات'!$B$6:$B$505,$B44,'سجل الإجازات والحالات'!$O$6:$O$505,$C$3))</f>
        <v/>
      </c>
      <c r="T44" s="152" t="str">
        <f aca="false">IF($B44="","",SUM(K44:N44)+SUM(P44:S44))</f>
        <v/>
      </c>
      <c r="U44" s="111" t="str">
        <f aca="false">IF($B44="","",الموظفون!$S44*IF(E44="سعودي",cfg_G_SE,cfg_G_NE)*G44/cfg_DAYS_M)</f>
        <v/>
      </c>
      <c r="V44" s="111" t="str">
        <f aca="false">IF($B44="","",SUMIFS('الحركات الشهرية'!$I$6:$I$1005,'الحركات الشهرية'!$B$6:$B$1005,$B44,'الحركات الشهرية'!$A$6:$A$1005,$C$3))</f>
        <v/>
      </c>
      <c r="W44" s="111" t="str">
        <f aca="false">IF($B44="","",SUMIFS('الحركات الشهرية'!$J$6:$J$1005,'الحركات الشهرية'!$B$6:$B$1005,$B44,'الحركات الشهرية'!$A$6:$A$1005,$C$3))</f>
        <v/>
      </c>
      <c r="X44" s="111" t="str">
        <f aca="false">IF($B44="","",SUM(U44:W44))</f>
        <v/>
      </c>
      <c r="Y44" s="153" t="str">
        <f aca="false">IF($B44="","",T44-X44)</f>
        <v/>
      </c>
      <c r="Z44" s="111" t="str">
        <f aca="false">IF($B44="","",الموظفون!$S44*IF(E44="سعودي",cfg_G_SR,cfg_G_NR)*G44/cfg_DAYS_M)</f>
        <v/>
      </c>
      <c r="AA44" s="111" t="str">
        <f aca="false">IF($B44="","",الموظفون!$Q44*(cfg_EOS_R1*(MIN(AH44,cfg_EOS_TH)-MIN(AI44,cfg_EOS_TH))+cfg_EOS_R2*(MAX(AH44-cfg_EOS_TH,0)-MAX(AI44-cfg_EOS_TH,0))))</f>
        <v/>
      </c>
      <c r="AB44" s="111" t="str">
        <f aca="false">IF($B44="","",IF(الموظفون!$T44&lt;&gt;"",الموظفون!$T44,IF(AH44&gt;=cfg_LV_TH,cfg_LV_D2,cfg_LV_D1))/cfg_DAYS_Y*AJ44*الموظفون!$R44/cfg_DAYS_M)</f>
        <v/>
      </c>
      <c r="AC44" s="111" t="str">
        <f aca="false">IF($B44="","",IF(AND(الموظفون!$U44="نعم",N(الموظفون!$W44)&gt;0),الموظفون!$V44/الموظفون!$W44*12/cfg_DAYS_Y*AJ44,0))</f>
        <v/>
      </c>
      <c r="AD44" s="111" t="str">
        <f aca="false">IF($B44="","",(IF(الموظفون!$X44&lt;&gt;"",الموظفون!$X44,IF(الموظفون!$E44="غير سعودي",cfg_IQ,0))+IF(الموظفون!$Y44&lt;&gt;"",الموظفون!$Y44,IF(الموظفون!$E44="غير سعودي",cfg_WP,0)))/12*G44/cfg_DAYS_M)</f>
        <v/>
      </c>
      <c r="AE44" s="111" t="str">
        <f aca="false">IF($B44="","",IF(الموظفون!$Z44&lt;&gt;"",الموظفون!$Z44,cfg_MED)/12*G44/cfg_DAYS_M)</f>
        <v/>
      </c>
      <c r="AF44" s="111" t="str">
        <f aca="false">IF($B44="","",N(الموظفون!$AA44)/12*G44/cfg_DAYS_M)</f>
        <v/>
      </c>
      <c r="AG44" s="154" t="str">
        <f aca="false">IF($B44="","",T44+SUM(Z44:AF44))</f>
        <v/>
      </c>
      <c r="AH44" s="155" t="str">
        <f aca="false">IF($B44="","",MAX(0,IF(OR(الموظفون!$AE44="",الموظفون!$AE44&gt;$F$3),$F$3,الموظفون!$AE44)-الموظفون!$H44+1-SUMIFS('سجل الإجازات والحالات'!$AN$6:$AN$505,'سجل الإجازات والحالات'!$B$6:$B$505,$B44))/cfg_DAYS_Y)</f>
        <v/>
      </c>
      <c r="AI44" s="155" t="str">
        <f aca="false">IF($B44="","",MAX(0,IF(OR(الموظفون!$AE44="",الموظفون!$AE44&gt;($E$3-1)),($E$3-1),الموظفون!$AE44)-الموظفون!$H44+1-SUMIFS('سجل الإجازات والحالات'!$AM$6:$AM$505,'سجل الإجازات والحالات'!$B$6:$B$505,$B44))/cfg_DAYS_Y)</f>
        <v/>
      </c>
      <c r="AJ44" s="65" t="str">
        <f aca="false">IF($B44="","",MAX(0,AK44-(SUMIFS('سجل الإجازات والحالات'!$AN$6:$AN$505,'سجل الإجازات والحالات'!$B$6:$B$505,$B44)-SUMIFS('سجل الإجازات والحالات'!$AM$6:$AM$505,'سجل الإجازات والحالات'!$B$6:$B$505,$B44))))</f>
        <v/>
      </c>
      <c r="AK44" s="65" t="str">
        <f aca="false">IF($B44="","",MAX(0,IF(OR(الموظفون!$AE44="",الموظفون!$AE44&gt;$F$3),$F$3,الموظفون!$AE44)-MAX($E$3,الموظفون!$H44)+1))</f>
        <v/>
      </c>
      <c r="AL44" s="151" t="str">
        <f aca="false">IF($B44="","",SUMIFS('سجل الإجازات والحالات'!$AZ$6:$AZ$505,'سجل الإجازات والحالات'!$B$6:$B$505,$B44)+SUMIFS('الحركات الشهرية'!$K$6:$K$1005,'الحركات الشهرية'!$B$6:$B$1005,$B44,'الحركات الشهرية'!$A$6:$A$1005,$C$3))</f>
        <v/>
      </c>
      <c r="AM44" s="111" t="str">
        <f aca="false">IF($B44="","",AL44*الموظفون!$R44/cfg_DAYS_M+S44)</f>
        <v/>
      </c>
      <c r="AN44" s="151" t="str">
        <f aca="false">IF($B44="","",SUMIFS('سجل الإجازات والحالات'!$AB$6:$AB$505,'سجل الإجازات والحالات'!$B$6:$B$505,$B44))</f>
        <v/>
      </c>
    </row>
    <row r="45" customFormat="false" ht="15" hidden="false" customHeight="false" outlineLevel="0" collapsed="false">
      <c r="A45" s="115" t="str">
        <f aca="false">IF($B45="","",الموظفون!$A45)</f>
        <v/>
      </c>
      <c r="B45" s="117" t="str">
        <f aca="false">IF(الموظفون!$B45="","",الموظفون!$B45)</f>
        <v/>
      </c>
      <c r="C45" s="117" t="str">
        <f aca="false">IF($B45="","",الموظفون!$C45)</f>
        <v/>
      </c>
      <c r="D45" s="117" t="str">
        <f aca="false">IF($B45="","",الموظفون!$F45)</f>
        <v/>
      </c>
      <c r="E45" s="117" t="str">
        <f aca="false">IF($B45="","",الموظفون!$E45)</f>
        <v/>
      </c>
      <c r="F45" s="117" t="str">
        <f aca="false">IF($B45="","",IF(AK45=0,IF(AND(الموظفون!$AE45&lt;&gt;"",الموظفون!$AE45&lt;$E$3),"✖ منتهي الخدمة","⏳ لم يباشر"),IF(S45&gt;0,"✈ راتب إجازة مقدم",IF(J45=0,"⛔ بدون راتب هذا الشهر",IF(I45&gt;0,"✈ خصم "&amp;ROUND(I45,2)&amp;" يوم بدون أجر",IF(AL45&gt;0,"🌴 إجازة سنوية "&amp;ROUND(AL45,2)&amp;" يوم",IF(H45&gt;0,"⚠ غياب "&amp;ROUND(H45,2)&amp;" يوم","✔ على رأس العمل")))))))</f>
        <v/>
      </c>
      <c r="G45" s="156" t="str">
        <f aca="false">IF($B45="","",IF(AK45&gt;=DAY($F$3),cfg_DAYS_M,MIN(AK45,cfg_DAYS_M)))</f>
        <v/>
      </c>
      <c r="H45" s="156" t="str">
        <f aca="false">IF($B45="","",SUMIFS('الحركات الشهرية'!$D$6:$D$1005,'الحركات الشهرية'!$B$6:$B$1005,$B45,'الحركات الشهرية'!$A$6:$A$1005,$C$3))</f>
        <v/>
      </c>
      <c r="I45" s="156" t="str">
        <f aca="false">IF($B45="","",MIN(G45,IF(AND(AK45&gt;0,AN45&gt;=AK45),G45,AN45)+SUMIFS('الحركات الشهرية'!$E$6:$E$1005,'الحركات الشهرية'!$B$6:$B$1005,$B45,'الحركات الشهرية'!$A$6:$A$1005,$C$3)))</f>
        <v/>
      </c>
      <c r="J45" s="156" t="str">
        <f aca="false">IF($B45="","",MAX(0,G45-H45-I45))</f>
        <v/>
      </c>
      <c r="K45" s="116" t="str">
        <f aca="false">IF($B45="","",الموظفون!$L45*$J45/cfg_DAYS_M)</f>
        <v/>
      </c>
      <c r="L45" s="116" t="str">
        <f aca="false">IF($B45="","",الموظفون!$M45*$J45/cfg_DAYS_M)</f>
        <v/>
      </c>
      <c r="M45" s="116" t="str">
        <f aca="false">IF($B45="","",الموظفون!$N45*$J45/cfg_DAYS_M)</f>
        <v/>
      </c>
      <c r="N45" s="116" t="str">
        <f aca="false">IF($B45="","",الموظفون!$O45*$J45/cfg_DAYS_M)</f>
        <v/>
      </c>
      <c r="O45" s="156" t="str">
        <f aca="false">IF($B45="","",SUMIFS('الحركات الشهرية'!$F$6:$F$1005,'الحركات الشهرية'!$B$6:$B$1005,$B45,'الحركات الشهرية'!$A$6:$A$1005,$C$3))</f>
        <v/>
      </c>
      <c r="P45" s="116" t="str">
        <f aca="false">IF($B45="","",O45*(الموظفون!$P45+الموظفون!$L45*cfg_OT_P)/cfg_DAYS_M/cfg_HRS)</f>
        <v/>
      </c>
      <c r="Q45" s="116" t="str">
        <f aca="false">IF($B45="","",SUMIFS('الحركات الشهرية'!$G$6:$G$1005,'الحركات الشهرية'!$B$6:$B$1005,$B45,'الحركات الشهرية'!$A$6:$A$1005,$C$3))</f>
        <v/>
      </c>
      <c r="R45" s="116" t="str">
        <f aca="false">IF($B45="","",SUMIFS('الحركات الشهرية'!$H$6:$H$1005,'الحركات الشهرية'!$B$6:$B$1005,$B45,'الحركات الشهرية'!$A$6:$A$1005,$C$3))</f>
        <v/>
      </c>
      <c r="S45" s="116" t="str">
        <f aca="false">IF($B45="","",SUMIFS('سجل الإجازات والحالات'!$N$6:$N$505,'سجل الإجازات والحالات'!$B$6:$B$505,$B45,'سجل الإجازات والحالات'!$O$6:$O$505,$C$3))</f>
        <v/>
      </c>
      <c r="T45" s="157" t="str">
        <f aca="false">IF($B45="","",SUM(K45:N45)+SUM(P45:S45))</f>
        <v/>
      </c>
      <c r="U45" s="116" t="str">
        <f aca="false">IF($B45="","",الموظفون!$S45*IF(E45="سعودي",cfg_G_SE,cfg_G_NE)*G45/cfg_DAYS_M)</f>
        <v/>
      </c>
      <c r="V45" s="116" t="str">
        <f aca="false">IF($B45="","",SUMIFS('الحركات الشهرية'!$I$6:$I$1005,'الحركات الشهرية'!$B$6:$B$1005,$B45,'الحركات الشهرية'!$A$6:$A$1005,$C$3))</f>
        <v/>
      </c>
      <c r="W45" s="116" t="str">
        <f aca="false">IF($B45="","",SUMIFS('الحركات الشهرية'!$J$6:$J$1005,'الحركات الشهرية'!$B$6:$B$1005,$B45,'الحركات الشهرية'!$A$6:$A$1005,$C$3))</f>
        <v/>
      </c>
      <c r="X45" s="116" t="str">
        <f aca="false">IF($B45="","",SUM(U45:W45))</f>
        <v/>
      </c>
      <c r="Y45" s="158" t="str">
        <f aca="false">IF($B45="","",T45-X45)</f>
        <v/>
      </c>
      <c r="Z45" s="116" t="str">
        <f aca="false">IF($B45="","",الموظفون!$S45*IF(E45="سعودي",cfg_G_SR,cfg_G_NR)*G45/cfg_DAYS_M)</f>
        <v/>
      </c>
      <c r="AA45" s="116" t="str">
        <f aca="false">IF($B45="","",الموظفون!$Q45*(cfg_EOS_R1*(MIN(AH45,cfg_EOS_TH)-MIN(AI45,cfg_EOS_TH))+cfg_EOS_R2*(MAX(AH45-cfg_EOS_TH,0)-MAX(AI45-cfg_EOS_TH,0))))</f>
        <v/>
      </c>
      <c r="AB45" s="116" t="str">
        <f aca="false">IF($B45="","",IF(الموظفون!$T45&lt;&gt;"",الموظفون!$T45,IF(AH45&gt;=cfg_LV_TH,cfg_LV_D2,cfg_LV_D1))/cfg_DAYS_Y*AJ45*الموظفون!$R45/cfg_DAYS_M)</f>
        <v/>
      </c>
      <c r="AC45" s="116" t="str">
        <f aca="false">IF($B45="","",IF(AND(الموظفون!$U45="نعم",N(الموظفون!$W45)&gt;0),الموظفون!$V45/الموظفون!$W45*12/cfg_DAYS_Y*AJ45,0))</f>
        <v/>
      </c>
      <c r="AD45" s="116" t="str">
        <f aca="false">IF($B45="","",(IF(الموظفون!$X45&lt;&gt;"",الموظفون!$X45,IF(الموظفون!$E45="غير سعودي",cfg_IQ,0))+IF(الموظفون!$Y45&lt;&gt;"",الموظفون!$Y45,IF(الموظفون!$E45="غير سعودي",cfg_WP,0)))/12*G45/cfg_DAYS_M)</f>
        <v/>
      </c>
      <c r="AE45" s="116" t="str">
        <f aca="false">IF($B45="","",IF(الموظفون!$Z45&lt;&gt;"",الموظفون!$Z45,cfg_MED)/12*G45/cfg_DAYS_M)</f>
        <v/>
      </c>
      <c r="AF45" s="116" t="str">
        <f aca="false">IF($B45="","",N(الموظفون!$AA45)/12*G45/cfg_DAYS_M)</f>
        <v/>
      </c>
      <c r="AG45" s="159" t="str">
        <f aca="false">IF($B45="","",T45+SUM(Z45:AF45))</f>
        <v/>
      </c>
      <c r="AH45" s="160" t="str">
        <f aca="false">IF($B45="","",MAX(0,IF(OR(الموظفون!$AE45="",الموظفون!$AE45&gt;$F$3),$F$3,الموظفون!$AE45)-الموظفون!$H45+1-SUMIFS('سجل الإجازات والحالات'!$AN$6:$AN$505,'سجل الإجازات والحالات'!$B$6:$B$505,$B45))/cfg_DAYS_Y)</f>
        <v/>
      </c>
      <c r="AI45" s="160" t="str">
        <f aca="false">IF($B45="","",MAX(0,IF(OR(الموظفون!$AE45="",الموظفون!$AE45&gt;($E$3-1)),($E$3-1),الموظفون!$AE45)-الموظفون!$H45+1-SUMIFS('سجل الإجازات والحالات'!$AM$6:$AM$505,'سجل الإجازات والحالات'!$B$6:$B$505,$B45))/cfg_DAYS_Y)</f>
        <v/>
      </c>
      <c r="AJ45" s="133" t="str">
        <f aca="false">IF($B45="","",MAX(0,AK45-(SUMIFS('سجل الإجازات والحالات'!$AN$6:$AN$505,'سجل الإجازات والحالات'!$B$6:$B$505,$B45)-SUMIFS('سجل الإجازات والحالات'!$AM$6:$AM$505,'سجل الإجازات والحالات'!$B$6:$B$505,$B45))))</f>
        <v/>
      </c>
      <c r="AK45" s="133" t="str">
        <f aca="false">IF($B45="","",MAX(0,IF(OR(الموظفون!$AE45="",الموظفون!$AE45&gt;$F$3),$F$3,الموظفون!$AE45)-MAX($E$3,الموظفون!$H45)+1))</f>
        <v/>
      </c>
      <c r="AL45" s="156" t="str">
        <f aca="false">IF($B45="","",SUMIFS('سجل الإجازات والحالات'!$AZ$6:$AZ$505,'سجل الإجازات والحالات'!$B$6:$B$505,$B45)+SUMIFS('الحركات الشهرية'!$K$6:$K$1005,'الحركات الشهرية'!$B$6:$B$1005,$B45,'الحركات الشهرية'!$A$6:$A$1005,$C$3))</f>
        <v/>
      </c>
      <c r="AM45" s="116" t="str">
        <f aca="false">IF($B45="","",AL45*الموظفون!$R45/cfg_DAYS_M+S45)</f>
        <v/>
      </c>
      <c r="AN45" s="156" t="str">
        <f aca="false">IF($B45="","",SUMIFS('سجل الإجازات والحالات'!$AB$6:$AB$505,'سجل الإجازات والحالات'!$B$6:$B$505,$B45))</f>
        <v/>
      </c>
    </row>
    <row r="46" customFormat="false" ht="15" hidden="false" customHeight="false" outlineLevel="0" collapsed="false">
      <c r="A46" s="106" t="str">
        <f aca="false">IF($B46="","",الموظفون!$A46)</f>
        <v/>
      </c>
      <c r="B46" s="114" t="str">
        <f aca="false">IF(الموظفون!$B46="","",الموظفون!$B46)</f>
        <v/>
      </c>
      <c r="C46" s="114" t="str">
        <f aca="false">IF($B46="","",الموظفون!$C46)</f>
        <v/>
      </c>
      <c r="D46" s="114" t="str">
        <f aca="false">IF($B46="","",الموظفون!$F46)</f>
        <v/>
      </c>
      <c r="E46" s="114" t="str">
        <f aca="false">IF($B46="","",الموظفون!$E46)</f>
        <v/>
      </c>
      <c r="F46" s="114" t="str">
        <f aca="false">IF($B46="","",IF(AK46=0,IF(AND(الموظفون!$AE46&lt;&gt;"",الموظفون!$AE46&lt;$E$3),"✖ منتهي الخدمة","⏳ لم يباشر"),IF(S46&gt;0,"✈ راتب إجازة مقدم",IF(J46=0,"⛔ بدون راتب هذا الشهر",IF(I46&gt;0,"✈ خصم "&amp;ROUND(I46,2)&amp;" يوم بدون أجر",IF(AL46&gt;0,"🌴 إجازة سنوية "&amp;ROUND(AL46,2)&amp;" يوم",IF(H46&gt;0,"⚠ غياب "&amp;ROUND(H46,2)&amp;" يوم","✔ على رأس العمل")))))))</f>
        <v/>
      </c>
      <c r="G46" s="151" t="str">
        <f aca="false">IF($B46="","",IF(AK46&gt;=DAY($F$3),cfg_DAYS_M,MIN(AK46,cfg_DAYS_M)))</f>
        <v/>
      </c>
      <c r="H46" s="151" t="str">
        <f aca="false">IF($B46="","",SUMIFS('الحركات الشهرية'!$D$6:$D$1005,'الحركات الشهرية'!$B$6:$B$1005,$B46,'الحركات الشهرية'!$A$6:$A$1005,$C$3))</f>
        <v/>
      </c>
      <c r="I46" s="151" t="str">
        <f aca="false">IF($B46="","",MIN(G46,IF(AND(AK46&gt;0,AN46&gt;=AK46),G46,AN46)+SUMIFS('الحركات الشهرية'!$E$6:$E$1005,'الحركات الشهرية'!$B$6:$B$1005,$B46,'الحركات الشهرية'!$A$6:$A$1005,$C$3)))</f>
        <v/>
      </c>
      <c r="J46" s="151" t="str">
        <f aca="false">IF($B46="","",MAX(0,G46-H46-I46))</f>
        <v/>
      </c>
      <c r="K46" s="111" t="str">
        <f aca="false">IF($B46="","",الموظفون!$L46*$J46/cfg_DAYS_M)</f>
        <v/>
      </c>
      <c r="L46" s="111" t="str">
        <f aca="false">IF($B46="","",الموظفون!$M46*$J46/cfg_DAYS_M)</f>
        <v/>
      </c>
      <c r="M46" s="111" t="str">
        <f aca="false">IF($B46="","",الموظفون!$N46*$J46/cfg_DAYS_M)</f>
        <v/>
      </c>
      <c r="N46" s="111" t="str">
        <f aca="false">IF($B46="","",الموظفون!$O46*$J46/cfg_DAYS_M)</f>
        <v/>
      </c>
      <c r="O46" s="151" t="str">
        <f aca="false">IF($B46="","",SUMIFS('الحركات الشهرية'!$F$6:$F$1005,'الحركات الشهرية'!$B$6:$B$1005,$B46,'الحركات الشهرية'!$A$6:$A$1005,$C$3))</f>
        <v/>
      </c>
      <c r="P46" s="111" t="str">
        <f aca="false">IF($B46="","",O46*(الموظفون!$P46+الموظفون!$L46*cfg_OT_P)/cfg_DAYS_M/cfg_HRS)</f>
        <v/>
      </c>
      <c r="Q46" s="111" t="str">
        <f aca="false">IF($B46="","",SUMIFS('الحركات الشهرية'!$G$6:$G$1005,'الحركات الشهرية'!$B$6:$B$1005,$B46,'الحركات الشهرية'!$A$6:$A$1005,$C$3))</f>
        <v/>
      </c>
      <c r="R46" s="111" t="str">
        <f aca="false">IF($B46="","",SUMIFS('الحركات الشهرية'!$H$6:$H$1005,'الحركات الشهرية'!$B$6:$B$1005,$B46,'الحركات الشهرية'!$A$6:$A$1005,$C$3))</f>
        <v/>
      </c>
      <c r="S46" s="111" t="str">
        <f aca="false">IF($B46="","",SUMIFS('سجل الإجازات والحالات'!$N$6:$N$505,'سجل الإجازات والحالات'!$B$6:$B$505,$B46,'سجل الإجازات والحالات'!$O$6:$O$505,$C$3))</f>
        <v/>
      </c>
      <c r="T46" s="152" t="str">
        <f aca="false">IF($B46="","",SUM(K46:N46)+SUM(P46:S46))</f>
        <v/>
      </c>
      <c r="U46" s="111" t="str">
        <f aca="false">IF($B46="","",الموظفون!$S46*IF(E46="سعودي",cfg_G_SE,cfg_G_NE)*G46/cfg_DAYS_M)</f>
        <v/>
      </c>
      <c r="V46" s="111" t="str">
        <f aca="false">IF($B46="","",SUMIFS('الحركات الشهرية'!$I$6:$I$1005,'الحركات الشهرية'!$B$6:$B$1005,$B46,'الحركات الشهرية'!$A$6:$A$1005,$C$3))</f>
        <v/>
      </c>
      <c r="W46" s="111" t="str">
        <f aca="false">IF($B46="","",SUMIFS('الحركات الشهرية'!$J$6:$J$1005,'الحركات الشهرية'!$B$6:$B$1005,$B46,'الحركات الشهرية'!$A$6:$A$1005,$C$3))</f>
        <v/>
      </c>
      <c r="X46" s="111" t="str">
        <f aca="false">IF($B46="","",SUM(U46:W46))</f>
        <v/>
      </c>
      <c r="Y46" s="153" t="str">
        <f aca="false">IF($B46="","",T46-X46)</f>
        <v/>
      </c>
      <c r="Z46" s="111" t="str">
        <f aca="false">IF($B46="","",الموظفون!$S46*IF(E46="سعودي",cfg_G_SR,cfg_G_NR)*G46/cfg_DAYS_M)</f>
        <v/>
      </c>
      <c r="AA46" s="111" t="str">
        <f aca="false">IF($B46="","",الموظفون!$Q46*(cfg_EOS_R1*(MIN(AH46,cfg_EOS_TH)-MIN(AI46,cfg_EOS_TH))+cfg_EOS_R2*(MAX(AH46-cfg_EOS_TH,0)-MAX(AI46-cfg_EOS_TH,0))))</f>
        <v/>
      </c>
      <c r="AB46" s="111" t="str">
        <f aca="false">IF($B46="","",IF(الموظفون!$T46&lt;&gt;"",الموظفون!$T46,IF(AH46&gt;=cfg_LV_TH,cfg_LV_D2,cfg_LV_D1))/cfg_DAYS_Y*AJ46*الموظفون!$R46/cfg_DAYS_M)</f>
        <v/>
      </c>
      <c r="AC46" s="111" t="str">
        <f aca="false">IF($B46="","",IF(AND(الموظفون!$U46="نعم",N(الموظفون!$W46)&gt;0),الموظفون!$V46/الموظفون!$W46*12/cfg_DAYS_Y*AJ46,0))</f>
        <v/>
      </c>
      <c r="AD46" s="111" t="str">
        <f aca="false">IF($B46="","",(IF(الموظفون!$X46&lt;&gt;"",الموظفون!$X46,IF(الموظفون!$E46="غير سعودي",cfg_IQ,0))+IF(الموظفون!$Y46&lt;&gt;"",الموظفون!$Y46,IF(الموظفون!$E46="غير سعودي",cfg_WP,0)))/12*G46/cfg_DAYS_M)</f>
        <v/>
      </c>
      <c r="AE46" s="111" t="str">
        <f aca="false">IF($B46="","",IF(الموظفون!$Z46&lt;&gt;"",الموظفون!$Z46,cfg_MED)/12*G46/cfg_DAYS_M)</f>
        <v/>
      </c>
      <c r="AF46" s="111" t="str">
        <f aca="false">IF($B46="","",N(الموظفون!$AA46)/12*G46/cfg_DAYS_M)</f>
        <v/>
      </c>
      <c r="AG46" s="154" t="str">
        <f aca="false">IF($B46="","",T46+SUM(Z46:AF46))</f>
        <v/>
      </c>
      <c r="AH46" s="155" t="str">
        <f aca="false">IF($B46="","",MAX(0,IF(OR(الموظفون!$AE46="",الموظفون!$AE46&gt;$F$3),$F$3,الموظفون!$AE46)-الموظفون!$H46+1-SUMIFS('سجل الإجازات والحالات'!$AN$6:$AN$505,'سجل الإجازات والحالات'!$B$6:$B$505,$B46))/cfg_DAYS_Y)</f>
        <v/>
      </c>
      <c r="AI46" s="155" t="str">
        <f aca="false">IF($B46="","",MAX(0,IF(OR(الموظفون!$AE46="",الموظفون!$AE46&gt;($E$3-1)),($E$3-1),الموظفون!$AE46)-الموظفون!$H46+1-SUMIFS('سجل الإجازات والحالات'!$AM$6:$AM$505,'سجل الإجازات والحالات'!$B$6:$B$505,$B46))/cfg_DAYS_Y)</f>
        <v/>
      </c>
      <c r="AJ46" s="65" t="str">
        <f aca="false">IF($B46="","",MAX(0,AK46-(SUMIFS('سجل الإجازات والحالات'!$AN$6:$AN$505,'سجل الإجازات والحالات'!$B$6:$B$505,$B46)-SUMIFS('سجل الإجازات والحالات'!$AM$6:$AM$505,'سجل الإجازات والحالات'!$B$6:$B$505,$B46))))</f>
        <v/>
      </c>
      <c r="AK46" s="65" t="str">
        <f aca="false">IF($B46="","",MAX(0,IF(OR(الموظفون!$AE46="",الموظفون!$AE46&gt;$F$3),$F$3,الموظفون!$AE46)-MAX($E$3,الموظفون!$H46)+1))</f>
        <v/>
      </c>
      <c r="AL46" s="151" t="str">
        <f aca="false">IF($B46="","",SUMIFS('سجل الإجازات والحالات'!$AZ$6:$AZ$505,'سجل الإجازات والحالات'!$B$6:$B$505,$B46)+SUMIFS('الحركات الشهرية'!$K$6:$K$1005,'الحركات الشهرية'!$B$6:$B$1005,$B46,'الحركات الشهرية'!$A$6:$A$1005,$C$3))</f>
        <v/>
      </c>
      <c r="AM46" s="111" t="str">
        <f aca="false">IF($B46="","",AL46*الموظفون!$R46/cfg_DAYS_M+S46)</f>
        <v/>
      </c>
      <c r="AN46" s="151" t="str">
        <f aca="false">IF($B46="","",SUMIFS('سجل الإجازات والحالات'!$AB$6:$AB$505,'سجل الإجازات والحالات'!$B$6:$B$505,$B46))</f>
        <v/>
      </c>
    </row>
    <row r="47" customFormat="false" ht="15" hidden="false" customHeight="false" outlineLevel="0" collapsed="false">
      <c r="A47" s="115" t="str">
        <f aca="false">IF($B47="","",الموظفون!$A47)</f>
        <v/>
      </c>
      <c r="B47" s="117" t="str">
        <f aca="false">IF(الموظفون!$B47="","",الموظفون!$B47)</f>
        <v/>
      </c>
      <c r="C47" s="117" t="str">
        <f aca="false">IF($B47="","",الموظفون!$C47)</f>
        <v/>
      </c>
      <c r="D47" s="117" t="str">
        <f aca="false">IF($B47="","",الموظفون!$F47)</f>
        <v/>
      </c>
      <c r="E47" s="117" t="str">
        <f aca="false">IF($B47="","",الموظفون!$E47)</f>
        <v/>
      </c>
      <c r="F47" s="117" t="str">
        <f aca="false">IF($B47="","",IF(AK47=0,IF(AND(الموظفون!$AE47&lt;&gt;"",الموظفون!$AE47&lt;$E$3),"✖ منتهي الخدمة","⏳ لم يباشر"),IF(S47&gt;0,"✈ راتب إجازة مقدم",IF(J47=0,"⛔ بدون راتب هذا الشهر",IF(I47&gt;0,"✈ خصم "&amp;ROUND(I47,2)&amp;" يوم بدون أجر",IF(AL47&gt;0,"🌴 إجازة سنوية "&amp;ROUND(AL47,2)&amp;" يوم",IF(H47&gt;0,"⚠ غياب "&amp;ROUND(H47,2)&amp;" يوم","✔ على رأس العمل")))))))</f>
        <v/>
      </c>
      <c r="G47" s="156" t="str">
        <f aca="false">IF($B47="","",IF(AK47&gt;=DAY($F$3),cfg_DAYS_M,MIN(AK47,cfg_DAYS_M)))</f>
        <v/>
      </c>
      <c r="H47" s="156" t="str">
        <f aca="false">IF($B47="","",SUMIFS('الحركات الشهرية'!$D$6:$D$1005,'الحركات الشهرية'!$B$6:$B$1005,$B47,'الحركات الشهرية'!$A$6:$A$1005,$C$3))</f>
        <v/>
      </c>
      <c r="I47" s="156" t="str">
        <f aca="false">IF($B47="","",MIN(G47,IF(AND(AK47&gt;0,AN47&gt;=AK47),G47,AN47)+SUMIFS('الحركات الشهرية'!$E$6:$E$1005,'الحركات الشهرية'!$B$6:$B$1005,$B47,'الحركات الشهرية'!$A$6:$A$1005,$C$3)))</f>
        <v/>
      </c>
      <c r="J47" s="156" t="str">
        <f aca="false">IF($B47="","",MAX(0,G47-H47-I47))</f>
        <v/>
      </c>
      <c r="K47" s="116" t="str">
        <f aca="false">IF($B47="","",الموظفون!$L47*$J47/cfg_DAYS_M)</f>
        <v/>
      </c>
      <c r="L47" s="116" t="str">
        <f aca="false">IF($B47="","",الموظفون!$M47*$J47/cfg_DAYS_M)</f>
        <v/>
      </c>
      <c r="M47" s="116" t="str">
        <f aca="false">IF($B47="","",الموظفون!$N47*$J47/cfg_DAYS_M)</f>
        <v/>
      </c>
      <c r="N47" s="116" t="str">
        <f aca="false">IF($B47="","",الموظفون!$O47*$J47/cfg_DAYS_M)</f>
        <v/>
      </c>
      <c r="O47" s="156" t="str">
        <f aca="false">IF($B47="","",SUMIFS('الحركات الشهرية'!$F$6:$F$1005,'الحركات الشهرية'!$B$6:$B$1005,$B47,'الحركات الشهرية'!$A$6:$A$1005,$C$3))</f>
        <v/>
      </c>
      <c r="P47" s="116" t="str">
        <f aca="false">IF($B47="","",O47*(الموظفون!$P47+الموظفون!$L47*cfg_OT_P)/cfg_DAYS_M/cfg_HRS)</f>
        <v/>
      </c>
      <c r="Q47" s="116" t="str">
        <f aca="false">IF($B47="","",SUMIFS('الحركات الشهرية'!$G$6:$G$1005,'الحركات الشهرية'!$B$6:$B$1005,$B47,'الحركات الشهرية'!$A$6:$A$1005,$C$3))</f>
        <v/>
      </c>
      <c r="R47" s="116" t="str">
        <f aca="false">IF($B47="","",SUMIFS('الحركات الشهرية'!$H$6:$H$1005,'الحركات الشهرية'!$B$6:$B$1005,$B47,'الحركات الشهرية'!$A$6:$A$1005,$C$3))</f>
        <v/>
      </c>
      <c r="S47" s="116" t="str">
        <f aca="false">IF($B47="","",SUMIFS('سجل الإجازات والحالات'!$N$6:$N$505,'سجل الإجازات والحالات'!$B$6:$B$505,$B47,'سجل الإجازات والحالات'!$O$6:$O$505,$C$3))</f>
        <v/>
      </c>
      <c r="T47" s="157" t="str">
        <f aca="false">IF($B47="","",SUM(K47:N47)+SUM(P47:S47))</f>
        <v/>
      </c>
      <c r="U47" s="116" t="str">
        <f aca="false">IF($B47="","",الموظفون!$S47*IF(E47="سعودي",cfg_G_SE,cfg_G_NE)*G47/cfg_DAYS_M)</f>
        <v/>
      </c>
      <c r="V47" s="116" t="str">
        <f aca="false">IF($B47="","",SUMIFS('الحركات الشهرية'!$I$6:$I$1005,'الحركات الشهرية'!$B$6:$B$1005,$B47,'الحركات الشهرية'!$A$6:$A$1005,$C$3))</f>
        <v/>
      </c>
      <c r="W47" s="116" t="str">
        <f aca="false">IF($B47="","",SUMIFS('الحركات الشهرية'!$J$6:$J$1005,'الحركات الشهرية'!$B$6:$B$1005,$B47,'الحركات الشهرية'!$A$6:$A$1005,$C$3))</f>
        <v/>
      </c>
      <c r="X47" s="116" t="str">
        <f aca="false">IF($B47="","",SUM(U47:W47))</f>
        <v/>
      </c>
      <c r="Y47" s="158" t="str">
        <f aca="false">IF($B47="","",T47-X47)</f>
        <v/>
      </c>
      <c r="Z47" s="116" t="str">
        <f aca="false">IF($B47="","",الموظفون!$S47*IF(E47="سعودي",cfg_G_SR,cfg_G_NR)*G47/cfg_DAYS_M)</f>
        <v/>
      </c>
      <c r="AA47" s="116" t="str">
        <f aca="false">IF($B47="","",الموظفون!$Q47*(cfg_EOS_R1*(MIN(AH47,cfg_EOS_TH)-MIN(AI47,cfg_EOS_TH))+cfg_EOS_R2*(MAX(AH47-cfg_EOS_TH,0)-MAX(AI47-cfg_EOS_TH,0))))</f>
        <v/>
      </c>
      <c r="AB47" s="116" t="str">
        <f aca="false">IF($B47="","",IF(الموظفون!$T47&lt;&gt;"",الموظفون!$T47,IF(AH47&gt;=cfg_LV_TH,cfg_LV_D2,cfg_LV_D1))/cfg_DAYS_Y*AJ47*الموظفون!$R47/cfg_DAYS_M)</f>
        <v/>
      </c>
      <c r="AC47" s="116" t="str">
        <f aca="false">IF($B47="","",IF(AND(الموظفون!$U47="نعم",N(الموظفون!$W47)&gt;0),الموظفون!$V47/الموظفون!$W47*12/cfg_DAYS_Y*AJ47,0))</f>
        <v/>
      </c>
      <c r="AD47" s="116" t="str">
        <f aca="false">IF($B47="","",(IF(الموظفون!$X47&lt;&gt;"",الموظفون!$X47,IF(الموظفون!$E47="غير سعودي",cfg_IQ,0))+IF(الموظفون!$Y47&lt;&gt;"",الموظفون!$Y47,IF(الموظفون!$E47="غير سعودي",cfg_WP,0)))/12*G47/cfg_DAYS_M)</f>
        <v/>
      </c>
      <c r="AE47" s="116" t="str">
        <f aca="false">IF($B47="","",IF(الموظفون!$Z47&lt;&gt;"",الموظفون!$Z47,cfg_MED)/12*G47/cfg_DAYS_M)</f>
        <v/>
      </c>
      <c r="AF47" s="116" t="str">
        <f aca="false">IF($B47="","",N(الموظفون!$AA47)/12*G47/cfg_DAYS_M)</f>
        <v/>
      </c>
      <c r="AG47" s="159" t="str">
        <f aca="false">IF($B47="","",T47+SUM(Z47:AF47))</f>
        <v/>
      </c>
      <c r="AH47" s="160" t="str">
        <f aca="false">IF($B47="","",MAX(0,IF(OR(الموظفون!$AE47="",الموظفون!$AE47&gt;$F$3),$F$3,الموظفون!$AE47)-الموظفون!$H47+1-SUMIFS('سجل الإجازات والحالات'!$AN$6:$AN$505,'سجل الإجازات والحالات'!$B$6:$B$505,$B47))/cfg_DAYS_Y)</f>
        <v/>
      </c>
      <c r="AI47" s="160" t="str">
        <f aca="false">IF($B47="","",MAX(0,IF(OR(الموظفون!$AE47="",الموظفون!$AE47&gt;($E$3-1)),($E$3-1),الموظفون!$AE47)-الموظفون!$H47+1-SUMIFS('سجل الإجازات والحالات'!$AM$6:$AM$505,'سجل الإجازات والحالات'!$B$6:$B$505,$B47))/cfg_DAYS_Y)</f>
        <v/>
      </c>
      <c r="AJ47" s="133" t="str">
        <f aca="false">IF($B47="","",MAX(0,AK47-(SUMIFS('سجل الإجازات والحالات'!$AN$6:$AN$505,'سجل الإجازات والحالات'!$B$6:$B$505,$B47)-SUMIFS('سجل الإجازات والحالات'!$AM$6:$AM$505,'سجل الإجازات والحالات'!$B$6:$B$505,$B47))))</f>
        <v/>
      </c>
      <c r="AK47" s="133" t="str">
        <f aca="false">IF($B47="","",MAX(0,IF(OR(الموظفون!$AE47="",الموظفون!$AE47&gt;$F$3),$F$3,الموظفون!$AE47)-MAX($E$3,الموظفون!$H47)+1))</f>
        <v/>
      </c>
      <c r="AL47" s="156" t="str">
        <f aca="false">IF($B47="","",SUMIFS('سجل الإجازات والحالات'!$AZ$6:$AZ$505,'سجل الإجازات والحالات'!$B$6:$B$505,$B47)+SUMIFS('الحركات الشهرية'!$K$6:$K$1005,'الحركات الشهرية'!$B$6:$B$1005,$B47,'الحركات الشهرية'!$A$6:$A$1005,$C$3))</f>
        <v/>
      </c>
      <c r="AM47" s="116" t="str">
        <f aca="false">IF($B47="","",AL47*الموظفون!$R47/cfg_DAYS_M+S47)</f>
        <v/>
      </c>
      <c r="AN47" s="156" t="str">
        <f aca="false">IF($B47="","",SUMIFS('سجل الإجازات والحالات'!$AB$6:$AB$505,'سجل الإجازات والحالات'!$B$6:$B$505,$B47))</f>
        <v/>
      </c>
    </row>
    <row r="48" customFormat="false" ht="15" hidden="false" customHeight="false" outlineLevel="0" collapsed="false">
      <c r="A48" s="106" t="str">
        <f aca="false">IF($B48="","",الموظفون!$A48)</f>
        <v/>
      </c>
      <c r="B48" s="114" t="str">
        <f aca="false">IF(الموظفون!$B48="","",الموظفون!$B48)</f>
        <v/>
      </c>
      <c r="C48" s="114" t="str">
        <f aca="false">IF($B48="","",الموظفون!$C48)</f>
        <v/>
      </c>
      <c r="D48" s="114" t="str">
        <f aca="false">IF($B48="","",الموظفون!$F48)</f>
        <v/>
      </c>
      <c r="E48" s="114" t="str">
        <f aca="false">IF($B48="","",الموظفون!$E48)</f>
        <v/>
      </c>
      <c r="F48" s="114" t="str">
        <f aca="false">IF($B48="","",IF(AK48=0,IF(AND(الموظفون!$AE48&lt;&gt;"",الموظفون!$AE48&lt;$E$3),"✖ منتهي الخدمة","⏳ لم يباشر"),IF(S48&gt;0,"✈ راتب إجازة مقدم",IF(J48=0,"⛔ بدون راتب هذا الشهر",IF(I48&gt;0,"✈ خصم "&amp;ROUND(I48,2)&amp;" يوم بدون أجر",IF(AL48&gt;0,"🌴 إجازة سنوية "&amp;ROUND(AL48,2)&amp;" يوم",IF(H48&gt;0,"⚠ غياب "&amp;ROUND(H48,2)&amp;" يوم","✔ على رأس العمل")))))))</f>
        <v/>
      </c>
      <c r="G48" s="151" t="str">
        <f aca="false">IF($B48="","",IF(AK48&gt;=DAY($F$3),cfg_DAYS_M,MIN(AK48,cfg_DAYS_M)))</f>
        <v/>
      </c>
      <c r="H48" s="151" t="str">
        <f aca="false">IF($B48="","",SUMIFS('الحركات الشهرية'!$D$6:$D$1005,'الحركات الشهرية'!$B$6:$B$1005,$B48,'الحركات الشهرية'!$A$6:$A$1005,$C$3))</f>
        <v/>
      </c>
      <c r="I48" s="151" t="str">
        <f aca="false">IF($B48="","",MIN(G48,IF(AND(AK48&gt;0,AN48&gt;=AK48),G48,AN48)+SUMIFS('الحركات الشهرية'!$E$6:$E$1005,'الحركات الشهرية'!$B$6:$B$1005,$B48,'الحركات الشهرية'!$A$6:$A$1005,$C$3)))</f>
        <v/>
      </c>
      <c r="J48" s="151" t="str">
        <f aca="false">IF($B48="","",MAX(0,G48-H48-I48))</f>
        <v/>
      </c>
      <c r="K48" s="111" t="str">
        <f aca="false">IF($B48="","",الموظفون!$L48*$J48/cfg_DAYS_M)</f>
        <v/>
      </c>
      <c r="L48" s="111" t="str">
        <f aca="false">IF($B48="","",الموظفون!$M48*$J48/cfg_DAYS_M)</f>
        <v/>
      </c>
      <c r="M48" s="111" t="str">
        <f aca="false">IF($B48="","",الموظفون!$N48*$J48/cfg_DAYS_M)</f>
        <v/>
      </c>
      <c r="N48" s="111" t="str">
        <f aca="false">IF($B48="","",الموظفون!$O48*$J48/cfg_DAYS_M)</f>
        <v/>
      </c>
      <c r="O48" s="151" t="str">
        <f aca="false">IF($B48="","",SUMIFS('الحركات الشهرية'!$F$6:$F$1005,'الحركات الشهرية'!$B$6:$B$1005,$B48,'الحركات الشهرية'!$A$6:$A$1005,$C$3))</f>
        <v/>
      </c>
      <c r="P48" s="111" t="str">
        <f aca="false">IF($B48="","",O48*(الموظفون!$P48+الموظفون!$L48*cfg_OT_P)/cfg_DAYS_M/cfg_HRS)</f>
        <v/>
      </c>
      <c r="Q48" s="111" t="str">
        <f aca="false">IF($B48="","",SUMIFS('الحركات الشهرية'!$G$6:$G$1005,'الحركات الشهرية'!$B$6:$B$1005,$B48,'الحركات الشهرية'!$A$6:$A$1005,$C$3))</f>
        <v/>
      </c>
      <c r="R48" s="111" t="str">
        <f aca="false">IF($B48="","",SUMIFS('الحركات الشهرية'!$H$6:$H$1005,'الحركات الشهرية'!$B$6:$B$1005,$B48,'الحركات الشهرية'!$A$6:$A$1005,$C$3))</f>
        <v/>
      </c>
      <c r="S48" s="111" t="str">
        <f aca="false">IF($B48="","",SUMIFS('سجل الإجازات والحالات'!$N$6:$N$505,'سجل الإجازات والحالات'!$B$6:$B$505,$B48,'سجل الإجازات والحالات'!$O$6:$O$505,$C$3))</f>
        <v/>
      </c>
      <c r="T48" s="152" t="str">
        <f aca="false">IF($B48="","",SUM(K48:N48)+SUM(P48:S48))</f>
        <v/>
      </c>
      <c r="U48" s="111" t="str">
        <f aca="false">IF($B48="","",الموظفون!$S48*IF(E48="سعودي",cfg_G_SE,cfg_G_NE)*G48/cfg_DAYS_M)</f>
        <v/>
      </c>
      <c r="V48" s="111" t="str">
        <f aca="false">IF($B48="","",SUMIFS('الحركات الشهرية'!$I$6:$I$1005,'الحركات الشهرية'!$B$6:$B$1005,$B48,'الحركات الشهرية'!$A$6:$A$1005,$C$3))</f>
        <v/>
      </c>
      <c r="W48" s="111" t="str">
        <f aca="false">IF($B48="","",SUMIFS('الحركات الشهرية'!$J$6:$J$1005,'الحركات الشهرية'!$B$6:$B$1005,$B48,'الحركات الشهرية'!$A$6:$A$1005,$C$3))</f>
        <v/>
      </c>
      <c r="X48" s="111" t="str">
        <f aca="false">IF($B48="","",SUM(U48:W48))</f>
        <v/>
      </c>
      <c r="Y48" s="153" t="str">
        <f aca="false">IF($B48="","",T48-X48)</f>
        <v/>
      </c>
      <c r="Z48" s="111" t="str">
        <f aca="false">IF($B48="","",الموظفون!$S48*IF(E48="سعودي",cfg_G_SR,cfg_G_NR)*G48/cfg_DAYS_M)</f>
        <v/>
      </c>
      <c r="AA48" s="111" t="str">
        <f aca="false">IF($B48="","",الموظفون!$Q48*(cfg_EOS_R1*(MIN(AH48,cfg_EOS_TH)-MIN(AI48,cfg_EOS_TH))+cfg_EOS_R2*(MAX(AH48-cfg_EOS_TH,0)-MAX(AI48-cfg_EOS_TH,0))))</f>
        <v/>
      </c>
      <c r="AB48" s="111" t="str">
        <f aca="false">IF($B48="","",IF(الموظفون!$T48&lt;&gt;"",الموظفون!$T48,IF(AH48&gt;=cfg_LV_TH,cfg_LV_D2,cfg_LV_D1))/cfg_DAYS_Y*AJ48*الموظفون!$R48/cfg_DAYS_M)</f>
        <v/>
      </c>
      <c r="AC48" s="111" t="str">
        <f aca="false">IF($B48="","",IF(AND(الموظفون!$U48="نعم",N(الموظفون!$W48)&gt;0),الموظفون!$V48/الموظفون!$W48*12/cfg_DAYS_Y*AJ48,0))</f>
        <v/>
      </c>
      <c r="AD48" s="111" t="str">
        <f aca="false">IF($B48="","",(IF(الموظفون!$X48&lt;&gt;"",الموظفون!$X48,IF(الموظفون!$E48="غير سعودي",cfg_IQ,0))+IF(الموظفون!$Y48&lt;&gt;"",الموظفون!$Y48,IF(الموظفون!$E48="غير سعودي",cfg_WP,0)))/12*G48/cfg_DAYS_M)</f>
        <v/>
      </c>
      <c r="AE48" s="111" t="str">
        <f aca="false">IF($B48="","",IF(الموظفون!$Z48&lt;&gt;"",الموظفون!$Z48,cfg_MED)/12*G48/cfg_DAYS_M)</f>
        <v/>
      </c>
      <c r="AF48" s="111" t="str">
        <f aca="false">IF($B48="","",N(الموظفون!$AA48)/12*G48/cfg_DAYS_M)</f>
        <v/>
      </c>
      <c r="AG48" s="154" t="str">
        <f aca="false">IF($B48="","",T48+SUM(Z48:AF48))</f>
        <v/>
      </c>
      <c r="AH48" s="155" t="str">
        <f aca="false">IF($B48="","",MAX(0,IF(OR(الموظفون!$AE48="",الموظفون!$AE48&gt;$F$3),$F$3,الموظفون!$AE48)-الموظفون!$H48+1-SUMIFS('سجل الإجازات والحالات'!$AN$6:$AN$505,'سجل الإجازات والحالات'!$B$6:$B$505,$B48))/cfg_DAYS_Y)</f>
        <v/>
      </c>
      <c r="AI48" s="155" t="str">
        <f aca="false">IF($B48="","",MAX(0,IF(OR(الموظفون!$AE48="",الموظفون!$AE48&gt;($E$3-1)),($E$3-1),الموظفون!$AE48)-الموظفون!$H48+1-SUMIFS('سجل الإجازات والحالات'!$AM$6:$AM$505,'سجل الإجازات والحالات'!$B$6:$B$505,$B48))/cfg_DAYS_Y)</f>
        <v/>
      </c>
      <c r="AJ48" s="65" t="str">
        <f aca="false">IF($B48="","",MAX(0,AK48-(SUMIFS('سجل الإجازات والحالات'!$AN$6:$AN$505,'سجل الإجازات والحالات'!$B$6:$B$505,$B48)-SUMIFS('سجل الإجازات والحالات'!$AM$6:$AM$505,'سجل الإجازات والحالات'!$B$6:$B$505,$B48))))</f>
        <v/>
      </c>
      <c r="AK48" s="65" t="str">
        <f aca="false">IF($B48="","",MAX(0,IF(OR(الموظفون!$AE48="",الموظفون!$AE48&gt;$F$3),$F$3,الموظفون!$AE48)-MAX($E$3,الموظفون!$H48)+1))</f>
        <v/>
      </c>
      <c r="AL48" s="151" t="str">
        <f aca="false">IF($B48="","",SUMIFS('سجل الإجازات والحالات'!$AZ$6:$AZ$505,'سجل الإجازات والحالات'!$B$6:$B$505,$B48)+SUMIFS('الحركات الشهرية'!$K$6:$K$1005,'الحركات الشهرية'!$B$6:$B$1005,$B48,'الحركات الشهرية'!$A$6:$A$1005,$C$3))</f>
        <v/>
      </c>
      <c r="AM48" s="111" t="str">
        <f aca="false">IF($B48="","",AL48*الموظفون!$R48/cfg_DAYS_M+S48)</f>
        <v/>
      </c>
      <c r="AN48" s="151" t="str">
        <f aca="false">IF($B48="","",SUMIFS('سجل الإجازات والحالات'!$AB$6:$AB$505,'سجل الإجازات والحالات'!$B$6:$B$505,$B48))</f>
        <v/>
      </c>
    </row>
    <row r="49" customFormat="false" ht="15" hidden="false" customHeight="false" outlineLevel="0" collapsed="false">
      <c r="A49" s="115" t="str">
        <f aca="false">IF($B49="","",الموظفون!$A49)</f>
        <v/>
      </c>
      <c r="B49" s="117" t="str">
        <f aca="false">IF(الموظفون!$B49="","",الموظفون!$B49)</f>
        <v/>
      </c>
      <c r="C49" s="117" t="str">
        <f aca="false">IF($B49="","",الموظفون!$C49)</f>
        <v/>
      </c>
      <c r="D49" s="117" t="str">
        <f aca="false">IF($B49="","",الموظفون!$F49)</f>
        <v/>
      </c>
      <c r="E49" s="117" t="str">
        <f aca="false">IF($B49="","",الموظفون!$E49)</f>
        <v/>
      </c>
      <c r="F49" s="117" t="str">
        <f aca="false">IF($B49="","",IF(AK49=0,IF(AND(الموظفون!$AE49&lt;&gt;"",الموظفون!$AE49&lt;$E$3),"✖ منتهي الخدمة","⏳ لم يباشر"),IF(S49&gt;0,"✈ راتب إجازة مقدم",IF(J49=0,"⛔ بدون راتب هذا الشهر",IF(I49&gt;0,"✈ خصم "&amp;ROUND(I49,2)&amp;" يوم بدون أجر",IF(AL49&gt;0,"🌴 إجازة سنوية "&amp;ROUND(AL49,2)&amp;" يوم",IF(H49&gt;0,"⚠ غياب "&amp;ROUND(H49,2)&amp;" يوم","✔ على رأس العمل")))))))</f>
        <v/>
      </c>
      <c r="G49" s="156" t="str">
        <f aca="false">IF($B49="","",IF(AK49&gt;=DAY($F$3),cfg_DAYS_M,MIN(AK49,cfg_DAYS_M)))</f>
        <v/>
      </c>
      <c r="H49" s="156" t="str">
        <f aca="false">IF($B49="","",SUMIFS('الحركات الشهرية'!$D$6:$D$1005,'الحركات الشهرية'!$B$6:$B$1005,$B49,'الحركات الشهرية'!$A$6:$A$1005,$C$3))</f>
        <v/>
      </c>
      <c r="I49" s="156" t="str">
        <f aca="false">IF($B49="","",MIN(G49,IF(AND(AK49&gt;0,AN49&gt;=AK49),G49,AN49)+SUMIFS('الحركات الشهرية'!$E$6:$E$1005,'الحركات الشهرية'!$B$6:$B$1005,$B49,'الحركات الشهرية'!$A$6:$A$1005,$C$3)))</f>
        <v/>
      </c>
      <c r="J49" s="156" t="str">
        <f aca="false">IF($B49="","",MAX(0,G49-H49-I49))</f>
        <v/>
      </c>
      <c r="K49" s="116" t="str">
        <f aca="false">IF($B49="","",الموظفون!$L49*$J49/cfg_DAYS_M)</f>
        <v/>
      </c>
      <c r="L49" s="116" t="str">
        <f aca="false">IF($B49="","",الموظفون!$M49*$J49/cfg_DAYS_M)</f>
        <v/>
      </c>
      <c r="M49" s="116" t="str">
        <f aca="false">IF($B49="","",الموظفون!$N49*$J49/cfg_DAYS_M)</f>
        <v/>
      </c>
      <c r="N49" s="116" t="str">
        <f aca="false">IF($B49="","",الموظفون!$O49*$J49/cfg_DAYS_M)</f>
        <v/>
      </c>
      <c r="O49" s="156" t="str">
        <f aca="false">IF($B49="","",SUMIFS('الحركات الشهرية'!$F$6:$F$1005,'الحركات الشهرية'!$B$6:$B$1005,$B49,'الحركات الشهرية'!$A$6:$A$1005,$C$3))</f>
        <v/>
      </c>
      <c r="P49" s="116" t="str">
        <f aca="false">IF($B49="","",O49*(الموظفون!$P49+الموظفون!$L49*cfg_OT_P)/cfg_DAYS_M/cfg_HRS)</f>
        <v/>
      </c>
      <c r="Q49" s="116" t="str">
        <f aca="false">IF($B49="","",SUMIFS('الحركات الشهرية'!$G$6:$G$1005,'الحركات الشهرية'!$B$6:$B$1005,$B49,'الحركات الشهرية'!$A$6:$A$1005,$C$3))</f>
        <v/>
      </c>
      <c r="R49" s="116" t="str">
        <f aca="false">IF($B49="","",SUMIFS('الحركات الشهرية'!$H$6:$H$1005,'الحركات الشهرية'!$B$6:$B$1005,$B49,'الحركات الشهرية'!$A$6:$A$1005,$C$3))</f>
        <v/>
      </c>
      <c r="S49" s="116" t="str">
        <f aca="false">IF($B49="","",SUMIFS('سجل الإجازات والحالات'!$N$6:$N$505,'سجل الإجازات والحالات'!$B$6:$B$505,$B49,'سجل الإجازات والحالات'!$O$6:$O$505,$C$3))</f>
        <v/>
      </c>
      <c r="T49" s="157" t="str">
        <f aca="false">IF($B49="","",SUM(K49:N49)+SUM(P49:S49))</f>
        <v/>
      </c>
      <c r="U49" s="116" t="str">
        <f aca="false">IF($B49="","",الموظفون!$S49*IF(E49="سعودي",cfg_G_SE,cfg_G_NE)*G49/cfg_DAYS_M)</f>
        <v/>
      </c>
      <c r="V49" s="116" t="str">
        <f aca="false">IF($B49="","",SUMIFS('الحركات الشهرية'!$I$6:$I$1005,'الحركات الشهرية'!$B$6:$B$1005,$B49,'الحركات الشهرية'!$A$6:$A$1005,$C$3))</f>
        <v/>
      </c>
      <c r="W49" s="116" t="str">
        <f aca="false">IF($B49="","",SUMIFS('الحركات الشهرية'!$J$6:$J$1005,'الحركات الشهرية'!$B$6:$B$1005,$B49,'الحركات الشهرية'!$A$6:$A$1005,$C$3))</f>
        <v/>
      </c>
      <c r="X49" s="116" t="str">
        <f aca="false">IF($B49="","",SUM(U49:W49))</f>
        <v/>
      </c>
      <c r="Y49" s="158" t="str">
        <f aca="false">IF($B49="","",T49-X49)</f>
        <v/>
      </c>
      <c r="Z49" s="116" t="str">
        <f aca="false">IF($B49="","",الموظفون!$S49*IF(E49="سعودي",cfg_G_SR,cfg_G_NR)*G49/cfg_DAYS_M)</f>
        <v/>
      </c>
      <c r="AA49" s="116" t="str">
        <f aca="false">IF($B49="","",الموظفون!$Q49*(cfg_EOS_R1*(MIN(AH49,cfg_EOS_TH)-MIN(AI49,cfg_EOS_TH))+cfg_EOS_R2*(MAX(AH49-cfg_EOS_TH,0)-MAX(AI49-cfg_EOS_TH,0))))</f>
        <v/>
      </c>
      <c r="AB49" s="116" t="str">
        <f aca="false">IF($B49="","",IF(الموظفون!$T49&lt;&gt;"",الموظفون!$T49,IF(AH49&gt;=cfg_LV_TH,cfg_LV_D2,cfg_LV_D1))/cfg_DAYS_Y*AJ49*الموظفون!$R49/cfg_DAYS_M)</f>
        <v/>
      </c>
      <c r="AC49" s="116" t="str">
        <f aca="false">IF($B49="","",IF(AND(الموظفون!$U49="نعم",N(الموظفون!$W49)&gt;0),الموظفون!$V49/الموظفون!$W49*12/cfg_DAYS_Y*AJ49,0))</f>
        <v/>
      </c>
      <c r="AD49" s="116" t="str">
        <f aca="false">IF($B49="","",(IF(الموظفون!$X49&lt;&gt;"",الموظفون!$X49,IF(الموظفون!$E49="غير سعودي",cfg_IQ,0))+IF(الموظفون!$Y49&lt;&gt;"",الموظفون!$Y49,IF(الموظفون!$E49="غير سعودي",cfg_WP,0)))/12*G49/cfg_DAYS_M)</f>
        <v/>
      </c>
      <c r="AE49" s="116" t="str">
        <f aca="false">IF($B49="","",IF(الموظفون!$Z49&lt;&gt;"",الموظفون!$Z49,cfg_MED)/12*G49/cfg_DAYS_M)</f>
        <v/>
      </c>
      <c r="AF49" s="116" t="str">
        <f aca="false">IF($B49="","",N(الموظفون!$AA49)/12*G49/cfg_DAYS_M)</f>
        <v/>
      </c>
      <c r="AG49" s="159" t="str">
        <f aca="false">IF($B49="","",T49+SUM(Z49:AF49))</f>
        <v/>
      </c>
      <c r="AH49" s="160" t="str">
        <f aca="false">IF($B49="","",MAX(0,IF(OR(الموظفون!$AE49="",الموظفون!$AE49&gt;$F$3),$F$3,الموظفون!$AE49)-الموظفون!$H49+1-SUMIFS('سجل الإجازات والحالات'!$AN$6:$AN$505,'سجل الإجازات والحالات'!$B$6:$B$505,$B49))/cfg_DAYS_Y)</f>
        <v/>
      </c>
      <c r="AI49" s="160" t="str">
        <f aca="false">IF($B49="","",MAX(0,IF(OR(الموظفون!$AE49="",الموظفون!$AE49&gt;($E$3-1)),($E$3-1),الموظفون!$AE49)-الموظفون!$H49+1-SUMIFS('سجل الإجازات والحالات'!$AM$6:$AM$505,'سجل الإجازات والحالات'!$B$6:$B$505,$B49))/cfg_DAYS_Y)</f>
        <v/>
      </c>
      <c r="AJ49" s="133" t="str">
        <f aca="false">IF($B49="","",MAX(0,AK49-(SUMIFS('سجل الإجازات والحالات'!$AN$6:$AN$505,'سجل الإجازات والحالات'!$B$6:$B$505,$B49)-SUMIFS('سجل الإجازات والحالات'!$AM$6:$AM$505,'سجل الإجازات والحالات'!$B$6:$B$505,$B49))))</f>
        <v/>
      </c>
      <c r="AK49" s="133" t="str">
        <f aca="false">IF($B49="","",MAX(0,IF(OR(الموظفون!$AE49="",الموظفون!$AE49&gt;$F$3),$F$3,الموظفون!$AE49)-MAX($E$3,الموظفون!$H49)+1))</f>
        <v/>
      </c>
      <c r="AL49" s="156" t="str">
        <f aca="false">IF($B49="","",SUMIFS('سجل الإجازات والحالات'!$AZ$6:$AZ$505,'سجل الإجازات والحالات'!$B$6:$B$505,$B49)+SUMIFS('الحركات الشهرية'!$K$6:$K$1005,'الحركات الشهرية'!$B$6:$B$1005,$B49,'الحركات الشهرية'!$A$6:$A$1005,$C$3))</f>
        <v/>
      </c>
      <c r="AM49" s="116" t="str">
        <f aca="false">IF($B49="","",AL49*الموظفون!$R49/cfg_DAYS_M+S49)</f>
        <v/>
      </c>
      <c r="AN49" s="156" t="str">
        <f aca="false">IF($B49="","",SUMIFS('سجل الإجازات والحالات'!$AB$6:$AB$505,'سجل الإجازات والحالات'!$B$6:$B$505,$B49))</f>
        <v/>
      </c>
    </row>
    <row r="50" customFormat="false" ht="15" hidden="false" customHeight="false" outlineLevel="0" collapsed="false">
      <c r="A50" s="106" t="str">
        <f aca="false">IF($B50="","",الموظفون!$A50)</f>
        <v/>
      </c>
      <c r="B50" s="114" t="str">
        <f aca="false">IF(الموظفون!$B50="","",الموظفون!$B50)</f>
        <v/>
      </c>
      <c r="C50" s="114" t="str">
        <f aca="false">IF($B50="","",الموظفون!$C50)</f>
        <v/>
      </c>
      <c r="D50" s="114" t="str">
        <f aca="false">IF($B50="","",الموظفون!$F50)</f>
        <v/>
      </c>
      <c r="E50" s="114" t="str">
        <f aca="false">IF($B50="","",الموظفون!$E50)</f>
        <v/>
      </c>
      <c r="F50" s="114" t="str">
        <f aca="false">IF($B50="","",IF(AK50=0,IF(AND(الموظفون!$AE50&lt;&gt;"",الموظفون!$AE50&lt;$E$3),"✖ منتهي الخدمة","⏳ لم يباشر"),IF(S50&gt;0,"✈ راتب إجازة مقدم",IF(J50=0,"⛔ بدون راتب هذا الشهر",IF(I50&gt;0,"✈ خصم "&amp;ROUND(I50,2)&amp;" يوم بدون أجر",IF(AL50&gt;0,"🌴 إجازة سنوية "&amp;ROUND(AL50,2)&amp;" يوم",IF(H50&gt;0,"⚠ غياب "&amp;ROUND(H50,2)&amp;" يوم","✔ على رأس العمل")))))))</f>
        <v/>
      </c>
      <c r="G50" s="151" t="str">
        <f aca="false">IF($B50="","",IF(AK50&gt;=DAY($F$3),cfg_DAYS_M,MIN(AK50,cfg_DAYS_M)))</f>
        <v/>
      </c>
      <c r="H50" s="151" t="str">
        <f aca="false">IF($B50="","",SUMIFS('الحركات الشهرية'!$D$6:$D$1005,'الحركات الشهرية'!$B$6:$B$1005,$B50,'الحركات الشهرية'!$A$6:$A$1005,$C$3))</f>
        <v/>
      </c>
      <c r="I50" s="151" t="str">
        <f aca="false">IF($B50="","",MIN(G50,IF(AND(AK50&gt;0,AN50&gt;=AK50),G50,AN50)+SUMIFS('الحركات الشهرية'!$E$6:$E$1005,'الحركات الشهرية'!$B$6:$B$1005,$B50,'الحركات الشهرية'!$A$6:$A$1005,$C$3)))</f>
        <v/>
      </c>
      <c r="J50" s="151" t="str">
        <f aca="false">IF($B50="","",MAX(0,G50-H50-I50))</f>
        <v/>
      </c>
      <c r="K50" s="111" t="str">
        <f aca="false">IF($B50="","",الموظفون!$L50*$J50/cfg_DAYS_M)</f>
        <v/>
      </c>
      <c r="L50" s="111" t="str">
        <f aca="false">IF($B50="","",الموظفون!$M50*$J50/cfg_DAYS_M)</f>
        <v/>
      </c>
      <c r="M50" s="111" t="str">
        <f aca="false">IF($B50="","",الموظفون!$N50*$J50/cfg_DAYS_M)</f>
        <v/>
      </c>
      <c r="N50" s="111" t="str">
        <f aca="false">IF($B50="","",الموظفون!$O50*$J50/cfg_DAYS_M)</f>
        <v/>
      </c>
      <c r="O50" s="151" t="str">
        <f aca="false">IF($B50="","",SUMIFS('الحركات الشهرية'!$F$6:$F$1005,'الحركات الشهرية'!$B$6:$B$1005,$B50,'الحركات الشهرية'!$A$6:$A$1005,$C$3))</f>
        <v/>
      </c>
      <c r="P50" s="111" t="str">
        <f aca="false">IF($B50="","",O50*(الموظفون!$P50+الموظفون!$L50*cfg_OT_P)/cfg_DAYS_M/cfg_HRS)</f>
        <v/>
      </c>
      <c r="Q50" s="111" t="str">
        <f aca="false">IF($B50="","",SUMIFS('الحركات الشهرية'!$G$6:$G$1005,'الحركات الشهرية'!$B$6:$B$1005,$B50,'الحركات الشهرية'!$A$6:$A$1005,$C$3))</f>
        <v/>
      </c>
      <c r="R50" s="111" t="str">
        <f aca="false">IF($B50="","",SUMIFS('الحركات الشهرية'!$H$6:$H$1005,'الحركات الشهرية'!$B$6:$B$1005,$B50,'الحركات الشهرية'!$A$6:$A$1005,$C$3))</f>
        <v/>
      </c>
      <c r="S50" s="111" t="str">
        <f aca="false">IF($B50="","",SUMIFS('سجل الإجازات والحالات'!$N$6:$N$505,'سجل الإجازات والحالات'!$B$6:$B$505,$B50,'سجل الإجازات والحالات'!$O$6:$O$505,$C$3))</f>
        <v/>
      </c>
      <c r="T50" s="152" t="str">
        <f aca="false">IF($B50="","",SUM(K50:N50)+SUM(P50:S50))</f>
        <v/>
      </c>
      <c r="U50" s="111" t="str">
        <f aca="false">IF($B50="","",الموظفون!$S50*IF(E50="سعودي",cfg_G_SE,cfg_G_NE)*G50/cfg_DAYS_M)</f>
        <v/>
      </c>
      <c r="V50" s="111" t="str">
        <f aca="false">IF($B50="","",SUMIFS('الحركات الشهرية'!$I$6:$I$1005,'الحركات الشهرية'!$B$6:$B$1005,$B50,'الحركات الشهرية'!$A$6:$A$1005,$C$3))</f>
        <v/>
      </c>
      <c r="W50" s="111" t="str">
        <f aca="false">IF($B50="","",SUMIFS('الحركات الشهرية'!$J$6:$J$1005,'الحركات الشهرية'!$B$6:$B$1005,$B50,'الحركات الشهرية'!$A$6:$A$1005,$C$3))</f>
        <v/>
      </c>
      <c r="X50" s="111" t="str">
        <f aca="false">IF($B50="","",SUM(U50:W50))</f>
        <v/>
      </c>
      <c r="Y50" s="153" t="str">
        <f aca="false">IF($B50="","",T50-X50)</f>
        <v/>
      </c>
      <c r="Z50" s="111" t="str">
        <f aca="false">IF($B50="","",الموظفون!$S50*IF(E50="سعودي",cfg_G_SR,cfg_G_NR)*G50/cfg_DAYS_M)</f>
        <v/>
      </c>
      <c r="AA50" s="111" t="str">
        <f aca="false">IF($B50="","",الموظفون!$Q50*(cfg_EOS_R1*(MIN(AH50,cfg_EOS_TH)-MIN(AI50,cfg_EOS_TH))+cfg_EOS_R2*(MAX(AH50-cfg_EOS_TH,0)-MAX(AI50-cfg_EOS_TH,0))))</f>
        <v/>
      </c>
      <c r="AB50" s="111" t="str">
        <f aca="false">IF($B50="","",IF(الموظفون!$T50&lt;&gt;"",الموظفون!$T50,IF(AH50&gt;=cfg_LV_TH,cfg_LV_D2,cfg_LV_D1))/cfg_DAYS_Y*AJ50*الموظفون!$R50/cfg_DAYS_M)</f>
        <v/>
      </c>
      <c r="AC50" s="111" t="str">
        <f aca="false">IF($B50="","",IF(AND(الموظفون!$U50="نعم",N(الموظفون!$W50)&gt;0),الموظفون!$V50/الموظفون!$W50*12/cfg_DAYS_Y*AJ50,0))</f>
        <v/>
      </c>
      <c r="AD50" s="111" t="str">
        <f aca="false">IF($B50="","",(IF(الموظفون!$X50&lt;&gt;"",الموظفون!$X50,IF(الموظفون!$E50="غير سعودي",cfg_IQ,0))+IF(الموظفون!$Y50&lt;&gt;"",الموظفون!$Y50,IF(الموظفون!$E50="غير سعودي",cfg_WP,0)))/12*G50/cfg_DAYS_M)</f>
        <v/>
      </c>
      <c r="AE50" s="111" t="str">
        <f aca="false">IF($B50="","",IF(الموظفون!$Z50&lt;&gt;"",الموظفون!$Z50,cfg_MED)/12*G50/cfg_DAYS_M)</f>
        <v/>
      </c>
      <c r="AF50" s="111" t="str">
        <f aca="false">IF($B50="","",N(الموظفون!$AA50)/12*G50/cfg_DAYS_M)</f>
        <v/>
      </c>
      <c r="AG50" s="154" t="str">
        <f aca="false">IF($B50="","",T50+SUM(Z50:AF50))</f>
        <v/>
      </c>
      <c r="AH50" s="155" t="str">
        <f aca="false">IF($B50="","",MAX(0,IF(OR(الموظفون!$AE50="",الموظفون!$AE50&gt;$F$3),$F$3,الموظفون!$AE50)-الموظفون!$H50+1-SUMIFS('سجل الإجازات والحالات'!$AN$6:$AN$505,'سجل الإجازات والحالات'!$B$6:$B$505,$B50))/cfg_DAYS_Y)</f>
        <v/>
      </c>
      <c r="AI50" s="155" t="str">
        <f aca="false">IF($B50="","",MAX(0,IF(OR(الموظفون!$AE50="",الموظفون!$AE50&gt;($E$3-1)),($E$3-1),الموظفون!$AE50)-الموظفون!$H50+1-SUMIFS('سجل الإجازات والحالات'!$AM$6:$AM$505,'سجل الإجازات والحالات'!$B$6:$B$505,$B50))/cfg_DAYS_Y)</f>
        <v/>
      </c>
      <c r="AJ50" s="65" t="str">
        <f aca="false">IF($B50="","",MAX(0,AK50-(SUMIFS('سجل الإجازات والحالات'!$AN$6:$AN$505,'سجل الإجازات والحالات'!$B$6:$B$505,$B50)-SUMIFS('سجل الإجازات والحالات'!$AM$6:$AM$505,'سجل الإجازات والحالات'!$B$6:$B$505,$B50))))</f>
        <v/>
      </c>
      <c r="AK50" s="65" t="str">
        <f aca="false">IF($B50="","",MAX(0,IF(OR(الموظفون!$AE50="",الموظفون!$AE50&gt;$F$3),$F$3,الموظفون!$AE50)-MAX($E$3,الموظفون!$H50)+1))</f>
        <v/>
      </c>
      <c r="AL50" s="151" t="str">
        <f aca="false">IF($B50="","",SUMIFS('سجل الإجازات والحالات'!$AZ$6:$AZ$505,'سجل الإجازات والحالات'!$B$6:$B$505,$B50)+SUMIFS('الحركات الشهرية'!$K$6:$K$1005,'الحركات الشهرية'!$B$6:$B$1005,$B50,'الحركات الشهرية'!$A$6:$A$1005,$C$3))</f>
        <v/>
      </c>
      <c r="AM50" s="111" t="str">
        <f aca="false">IF($B50="","",AL50*الموظفون!$R50/cfg_DAYS_M+S50)</f>
        <v/>
      </c>
      <c r="AN50" s="151" t="str">
        <f aca="false">IF($B50="","",SUMIFS('سجل الإجازات والحالات'!$AB$6:$AB$505,'سجل الإجازات والحالات'!$B$6:$B$505,$B50))</f>
        <v/>
      </c>
    </row>
    <row r="51" customFormat="false" ht="15" hidden="false" customHeight="false" outlineLevel="0" collapsed="false">
      <c r="A51" s="115" t="str">
        <f aca="false">IF($B51="","",الموظفون!$A51)</f>
        <v/>
      </c>
      <c r="B51" s="117" t="str">
        <f aca="false">IF(الموظفون!$B51="","",الموظفون!$B51)</f>
        <v/>
      </c>
      <c r="C51" s="117" t="str">
        <f aca="false">IF($B51="","",الموظفون!$C51)</f>
        <v/>
      </c>
      <c r="D51" s="117" t="str">
        <f aca="false">IF($B51="","",الموظفون!$F51)</f>
        <v/>
      </c>
      <c r="E51" s="117" t="str">
        <f aca="false">IF($B51="","",الموظفون!$E51)</f>
        <v/>
      </c>
      <c r="F51" s="117" t="str">
        <f aca="false">IF($B51="","",IF(AK51=0,IF(AND(الموظفون!$AE51&lt;&gt;"",الموظفون!$AE51&lt;$E$3),"✖ منتهي الخدمة","⏳ لم يباشر"),IF(S51&gt;0,"✈ راتب إجازة مقدم",IF(J51=0,"⛔ بدون راتب هذا الشهر",IF(I51&gt;0,"✈ خصم "&amp;ROUND(I51,2)&amp;" يوم بدون أجر",IF(AL51&gt;0,"🌴 إجازة سنوية "&amp;ROUND(AL51,2)&amp;" يوم",IF(H51&gt;0,"⚠ غياب "&amp;ROUND(H51,2)&amp;" يوم","✔ على رأس العمل")))))))</f>
        <v/>
      </c>
      <c r="G51" s="156" t="str">
        <f aca="false">IF($B51="","",IF(AK51&gt;=DAY($F$3),cfg_DAYS_M,MIN(AK51,cfg_DAYS_M)))</f>
        <v/>
      </c>
      <c r="H51" s="156" t="str">
        <f aca="false">IF($B51="","",SUMIFS('الحركات الشهرية'!$D$6:$D$1005,'الحركات الشهرية'!$B$6:$B$1005,$B51,'الحركات الشهرية'!$A$6:$A$1005,$C$3))</f>
        <v/>
      </c>
      <c r="I51" s="156" t="str">
        <f aca="false">IF($B51="","",MIN(G51,IF(AND(AK51&gt;0,AN51&gt;=AK51),G51,AN51)+SUMIFS('الحركات الشهرية'!$E$6:$E$1005,'الحركات الشهرية'!$B$6:$B$1005,$B51,'الحركات الشهرية'!$A$6:$A$1005,$C$3)))</f>
        <v/>
      </c>
      <c r="J51" s="156" t="str">
        <f aca="false">IF($B51="","",MAX(0,G51-H51-I51))</f>
        <v/>
      </c>
      <c r="K51" s="116" t="str">
        <f aca="false">IF($B51="","",الموظفون!$L51*$J51/cfg_DAYS_M)</f>
        <v/>
      </c>
      <c r="L51" s="116" t="str">
        <f aca="false">IF($B51="","",الموظفون!$M51*$J51/cfg_DAYS_M)</f>
        <v/>
      </c>
      <c r="M51" s="116" t="str">
        <f aca="false">IF($B51="","",الموظفون!$N51*$J51/cfg_DAYS_M)</f>
        <v/>
      </c>
      <c r="N51" s="116" t="str">
        <f aca="false">IF($B51="","",الموظفون!$O51*$J51/cfg_DAYS_M)</f>
        <v/>
      </c>
      <c r="O51" s="156" t="str">
        <f aca="false">IF($B51="","",SUMIFS('الحركات الشهرية'!$F$6:$F$1005,'الحركات الشهرية'!$B$6:$B$1005,$B51,'الحركات الشهرية'!$A$6:$A$1005,$C$3))</f>
        <v/>
      </c>
      <c r="P51" s="116" t="str">
        <f aca="false">IF($B51="","",O51*(الموظفون!$P51+الموظفون!$L51*cfg_OT_P)/cfg_DAYS_M/cfg_HRS)</f>
        <v/>
      </c>
      <c r="Q51" s="116" t="str">
        <f aca="false">IF($B51="","",SUMIFS('الحركات الشهرية'!$G$6:$G$1005,'الحركات الشهرية'!$B$6:$B$1005,$B51,'الحركات الشهرية'!$A$6:$A$1005,$C$3))</f>
        <v/>
      </c>
      <c r="R51" s="116" t="str">
        <f aca="false">IF($B51="","",SUMIFS('الحركات الشهرية'!$H$6:$H$1005,'الحركات الشهرية'!$B$6:$B$1005,$B51,'الحركات الشهرية'!$A$6:$A$1005,$C$3))</f>
        <v/>
      </c>
      <c r="S51" s="116" t="str">
        <f aca="false">IF($B51="","",SUMIFS('سجل الإجازات والحالات'!$N$6:$N$505,'سجل الإجازات والحالات'!$B$6:$B$505,$B51,'سجل الإجازات والحالات'!$O$6:$O$505,$C$3))</f>
        <v/>
      </c>
      <c r="T51" s="157" t="str">
        <f aca="false">IF($B51="","",SUM(K51:N51)+SUM(P51:S51))</f>
        <v/>
      </c>
      <c r="U51" s="116" t="str">
        <f aca="false">IF($B51="","",الموظفون!$S51*IF(E51="سعودي",cfg_G_SE,cfg_G_NE)*G51/cfg_DAYS_M)</f>
        <v/>
      </c>
      <c r="V51" s="116" t="str">
        <f aca="false">IF($B51="","",SUMIFS('الحركات الشهرية'!$I$6:$I$1005,'الحركات الشهرية'!$B$6:$B$1005,$B51,'الحركات الشهرية'!$A$6:$A$1005,$C$3))</f>
        <v/>
      </c>
      <c r="W51" s="116" t="str">
        <f aca="false">IF($B51="","",SUMIFS('الحركات الشهرية'!$J$6:$J$1005,'الحركات الشهرية'!$B$6:$B$1005,$B51,'الحركات الشهرية'!$A$6:$A$1005,$C$3))</f>
        <v/>
      </c>
      <c r="X51" s="116" t="str">
        <f aca="false">IF($B51="","",SUM(U51:W51))</f>
        <v/>
      </c>
      <c r="Y51" s="158" t="str">
        <f aca="false">IF($B51="","",T51-X51)</f>
        <v/>
      </c>
      <c r="Z51" s="116" t="str">
        <f aca="false">IF($B51="","",الموظفون!$S51*IF(E51="سعودي",cfg_G_SR,cfg_G_NR)*G51/cfg_DAYS_M)</f>
        <v/>
      </c>
      <c r="AA51" s="116" t="str">
        <f aca="false">IF($B51="","",الموظفون!$Q51*(cfg_EOS_R1*(MIN(AH51,cfg_EOS_TH)-MIN(AI51,cfg_EOS_TH))+cfg_EOS_R2*(MAX(AH51-cfg_EOS_TH,0)-MAX(AI51-cfg_EOS_TH,0))))</f>
        <v/>
      </c>
      <c r="AB51" s="116" t="str">
        <f aca="false">IF($B51="","",IF(الموظفون!$T51&lt;&gt;"",الموظفون!$T51,IF(AH51&gt;=cfg_LV_TH,cfg_LV_D2,cfg_LV_D1))/cfg_DAYS_Y*AJ51*الموظفون!$R51/cfg_DAYS_M)</f>
        <v/>
      </c>
      <c r="AC51" s="116" t="str">
        <f aca="false">IF($B51="","",IF(AND(الموظفون!$U51="نعم",N(الموظفون!$W51)&gt;0),الموظفون!$V51/الموظفون!$W51*12/cfg_DAYS_Y*AJ51,0))</f>
        <v/>
      </c>
      <c r="AD51" s="116" t="str">
        <f aca="false">IF($B51="","",(IF(الموظفون!$X51&lt;&gt;"",الموظفون!$X51,IF(الموظفون!$E51="غير سعودي",cfg_IQ,0))+IF(الموظفون!$Y51&lt;&gt;"",الموظفون!$Y51,IF(الموظفون!$E51="غير سعودي",cfg_WP,0)))/12*G51/cfg_DAYS_M)</f>
        <v/>
      </c>
      <c r="AE51" s="116" t="str">
        <f aca="false">IF($B51="","",IF(الموظفون!$Z51&lt;&gt;"",الموظفون!$Z51,cfg_MED)/12*G51/cfg_DAYS_M)</f>
        <v/>
      </c>
      <c r="AF51" s="116" t="str">
        <f aca="false">IF($B51="","",N(الموظفون!$AA51)/12*G51/cfg_DAYS_M)</f>
        <v/>
      </c>
      <c r="AG51" s="159" t="str">
        <f aca="false">IF($B51="","",T51+SUM(Z51:AF51))</f>
        <v/>
      </c>
      <c r="AH51" s="160" t="str">
        <f aca="false">IF($B51="","",MAX(0,IF(OR(الموظفون!$AE51="",الموظفون!$AE51&gt;$F$3),$F$3,الموظفون!$AE51)-الموظفون!$H51+1-SUMIFS('سجل الإجازات والحالات'!$AN$6:$AN$505,'سجل الإجازات والحالات'!$B$6:$B$505,$B51))/cfg_DAYS_Y)</f>
        <v/>
      </c>
      <c r="AI51" s="160" t="str">
        <f aca="false">IF($B51="","",MAX(0,IF(OR(الموظفون!$AE51="",الموظفون!$AE51&gt;($E$3-1)),($E$3-1),الموظفون!$AE51)-الموظفون!$H51+1-SUMIFS('سجل الإجازات والحالات'!$AM$6:$AM$505,'سجل الإجازات والحالات'!$B$6:$B$505,$B51))/cfg_DAYS_Y)</f>
        <v/>
      </c>
      <c r="AJ51" s="133" t="str">
        <f aca="false">IF($B51="","",MAX(0,AK51-(SUMIFS('سجل الإجازات والحالات'!$AN$6:$AN$505,'سجل الإجازات والحالات'!$B$6:$B$505,$B51)-SUMIFS('سجل الإجازات والحالات'!$AM$6:$AM$505,'سجل الإجازات والحالات'!$B$6:$B$505,$B51))))</f>
        <v/>
      </c>
      <c r="AK51" s="133" t="str">
        <f aca="false">IF($B51="","",MAX(0,IF(OR(الموظفون!$AE51="",الموظفون!$AE51&gt;$F$3),$F$3,الموظفون!$AE51)-MAX($E$3,الموظفون!$H51)+1))</f>
        <v/>
      </c>
      <c r="AL51" s="156" t="str">
        <f aca="false">IF($B51="","",SUMIFS('سجل الإجازات والحالات'!$AZ$6:$AZ$505,'سجل الإجازات والحالات'!$B$6:$B$505,$B51)+SUMIFS('الحركات الشهرية'!$K$6:$K$1005,'الحركات الشهرية'!$B$6:$B$1005,$B51,'الحركات الشهرية'!$A$6:$A$1005,$C$3))</f>
        <v/>
      </c>
      <c r="AM51" s="116" t="str">
        <f aca="false">IF($B51="","",AL51*الموظفون!$R51/cfg_DAYS_M+S51)</f>
        <v/>
      </c>
      <c r="AN51" s="156" t="str">
        <f aca="false">IF($B51="","",SUMIFS('سجل الإجازات والحالات'!$AB$6:$AB$505,'سجل الإجازات والحالات'!$B$6:$B$505,$B51))</f>
        <v/>
      </c>
    </row>
    <row r="52" customFormat="false" ht="15" hidden="false" customHeight="false" outlineLevel="0" collapsed="false">
      <c r="A52" s="106" t="str">
        <f aca="false">IF($B52="","",الموظفون!$A52)</f>
        <v/>
      </c>
      <c r="B52" s="114" t="str">
        <f aca="false">IF(الموظفون!$B52="","",الموظفون!$B52)</f>
        <v/>
      </c>
      <c r="C52" s="114" t="str">
        <f aca="false">IF($B52="","",الموظفون!$C52)</f>
        <v/>
      </c>
      <c r="D52" s="114" t="str">
        <f aca="false">IF($B52="","",الموظفون!$F52)</f>
        <v/>
      </c>
      <c r="E52" s="114" t="str">
        <f aca="false">IF($B52="","",الموظفون!$E52)</f>
        <v/>
      </c>
      <c r="F52" s="114" t="str">
        <f aca="false">IF($B52="","",IF(AK52=0,IF(AND(الموظفون!$AE52&lt;&gt;"",الموظفون!$AE52&lt;$E$3),"✖ منتهي الخدمة","⏳ لم يباشر"),IF(S52&gt;0,"✈ راتب إجازة مقدم",IF(J52=0,"⛔ بدون راتب هذا الشهر",IF(I52&gt;0,"✈ خصم "&amp;ROUND(I52,2)&amp;" يوم بدون أجر",IF(AL52&gt;0,"🌴 إجازة سنوية "&amp;ROUND(AL52,2)&amp;" يوم",IF(H52&gt;0,"⚠ غياب "&amp;ROUND(H52,2)&amp;" يوم","✔ على رأس العمل")))))))</f>
        <v/>
      </c>
      <c r="G52" s="151" t="str">
        <f aca="false">IF($B52="","",IF(AK52&gt;=DAY($F$3),cfg_DAYS_M,MIN(AK52,cfg_DAYS_M)))</f>
        <v/>
      </c>
      <c r="H52" s="151" t="str">
        <f aca="false">IF($B52="","",SUMIFS('الحركات الشهرية'!$D$6:$D$1005,'الحركات الشهرية'!$B$6:$B$1005,$B52,'الحركات الشهرية'!$A$6:$A$1005,$C$3))</f>
        <v/>
      </c>
      <c r="I52" s="151" t="str">
        <f aca="false">IF($B52="","",MIN(G52,IF(AND(AK52&gt;0,AN52&gt;=AK52),G52,AN52)+SUMIFS('الحركات الشهرية'!$E$6:$E$1005,'الحركات الشهرية'!$B$6:$B$1005,$B52,'الحركات الشهرية'!$A$6:$A$1005,$C$3)))</f>
        <v/>
      </c>
      <c r="J52" s="151" t="str">
        <f aca="false">IF($B52="","",MAX(0,G52-H52-I52))</f>
        <v/>
      </c>
      <c r="K52" s="111" t="str">
        <f aca="false">IF($B52="","",الموظفون!$L52*$J52/cfg_DAYS_M)</f>
        <v/>
      </c>
      <c r="L52" s="111" t="str">
        <f aca="false">IF($B52="","",الموظفون!$M52*$J52/cfg_DAYS_M)</f>
        <v/>
      </c>
      <c r="M52" s="111" t="str">
        <f aca="false">IF($B52="","",الموظفون!$N52*$J52/cfg_DAYS_M)</f>
        <v/>
      </c>
      <c r="N52" s="111" t="str">
        <f aca="false">IF($B52="","",الموظفون!$O52*$J52/cfg_DAYS_M)</f>
        <v/>
      </c>
      <c r="O52" s="151" t="str">
        <f aca="false">IF($B52="","",SUMIFS('الحركات الشهرية'!$F$6:$F$1005,'الحركات الشهرية'!$B$6:$B$1005,$B52,'الحركات الشهرية'!$A$6:$A$1005,$C$3))</f>
        <v/>
      </c>
      <c r="P52" s="111" t="str">
        <f aca="false">IF($B52="","",O52*(الموظفون!$P52+الموظفون!$L52*cfg_OT_P)/cfg_DAYS_M/cfg_HRS)</f>
        <v/>
      </c>
      <c r="Q52" s="111" t="str">
        <f aca="false">IF($B52="","",SUMIFS('الحركات الشهرية'!$G$6:$G$1005,'الحركات الشهرية'!$B$6:$B$1005,$B52,'الحركات الشهرية'!$A$6:$A$1005,$C$3))</f>
        <v/>
      </c>
      <c r="R52" s="111" t="str">
        <f aca="false">IF($B52="","",SUMIFS('الحركات الشهرية'!$H$6:$H$1005,'الحركات الشهرية'!$B$6:$B$1005,$B52,'الحركات الشهرية'!$A$6:$A$1005,$C$3))</f>
        <v/>
      </c>
      <c r="S52" s="111" t="str">
        <f aca="false">IF($B52="","",SUMIFS('سجل الإجازات والحالات'!$N$6:$N$505,'سجل الإجازات والحالات'!$B$6:$B$505,$B52,'سجل الإجازات والحالات'!$O$6:$O$505,$C$3))</f>
        <v/>
      </c>
      <c r="T52" s="152" t="str">
        <f aca="false">IF($B52="","",SUM(K52:N52)+SUM(P52:S52))</f>
        <v/>
      </c>
      <c r="U52" s="111" t="str">
        <f aca="false">IF($B52="","",الموظفون!$S52*IF(E52="سعودي",cfg_G_SE,cfg_G_NE)*G52/cfg_DAYS_M)</f>
        <v/>
      </c>
      <c r="V52" s="111" t="str">
        <f aca="false">IF($B52="","",SUMIFS('الحركات الشهرية'!$I$6:$I$1005,'الحركات الشهرية'!$B$6:$B$1005,$B52,'الحركات الشهرية'!$A$6:$A$1005,$C$3))</f>
        <v/>
      </c>
      <c r="W52" s="111" t="str">
        <f aca="false">IF($B52="","",SUMIFS('الحركات الشهرية'!$J$6:$J$1005,'الحركات الشهرية'!$B$6:$B$1005,$B52,'الحركات الشهرية'!$A$6:$A$1005,$C$3))</f>
        <v/>
      </c>
      <c r="X52" s="111" t="str">
        <f aca="false">IF($B52="","",SUM(U52:W52))</f>
        <v/>
      </c>
      <c r="Y52" s="153" t="str">
        <f aca="false">IF($B52="","",T52-X52)</f>
        <v/>
      </c>
      <c r="Z52" s="111" t="str">
        <f aca="false">IF($B52="","",الموظفون!$S52*IF(E52="سعودي",cfg_G_SR,cfg_G_NR)*G52/cfg_DAYS_M)</f>
        <v/>
      </c>
      <c r="AA52" s="111" t="str">
        <f aca="false">IF($B52="","",الموظفون!$Q52*(cfg_EOS_R1*(MIN(AH52,cfg_EOS_TH)-MIN(AI52,cfg_EOS_TH))+cfg_EOS_R2*(MAX(AH52-cfg_EOS_TH,0)-MAX(AI52-cfg_EOS_TH,0))))</f>
        <v/>
      </c>
      <c r="AB52" s="111" t="str">
        <f aca="false">IF($B52="","",IF(الموظفون!$T52&lt;&gt;"",الموظفون!$T52,IF(AH52&gt;=cfg_LV_TH,cfg_LV_D2,cfg_LV_D1))/cfg_DAYS_Y*AJ52*الموظفون!$R52/cfg_DAYS_M)</f>
        <v/>
      </c>
      <c r="AC52" s="111" t="str">
        <f aca="false">IF($B52="","",IF(AND(الموظفون!$U52="نعم",N(الموظفون!$W52)&gt;0),الموظفون!$V52/الموظفون!$W52*12/cfg_DAYS_Y*AJ52,0))</f>
        <v/>
      </c>
      <c r="AD52" s="111" t="str">
        <f aca="false">IF($B52="","",(IF(الموظفون!$X52&lt;&gt;"",الموظفون!$X52,IF(الموظفون!$E52="غير سعودي",cfg_IQ,0))+IF(الموظفون!$Y52&lt;&gt;"",الموظفون!$Y52,IF(الموظفون!$E52="غير سعودي",cfg_WP,0)))/12*G52/cfg_DAYS_M)</f>
        <v/>
      </c>
      <c r="AE52" s="111" t="str">
        <f aca="false">IF($B52="","",IF(الموظفون!$Z52&lt;&gt;"",الموظفون!$Z52,cfg_MED)/12*G52/cfg_DAYS_M)</f>
        <v/>
      </c>
      <c r="AF52" s="111" t="str">
        <f aca="false">IF($B52="","",N(الموظفون!$AA52)/12*G52/cfg_DAYS_M)</f>
        <v/>
      </c>
      <c r="AG52" s="154" t="str">
        <f aca="false">IF($B52="","",T52+SUM(Z52:AF52))</f>
        <v/>
      </c>
      <c r="AH52" s="155" t="str">
        <f aca="false">IF($B52="","",MAX(0,IF(OR(الموظفون!$AE52="",الموظفون!$AE52&gt;$F$3),$F$3,الموظفون!$AE52)-الموظفون!$H52+1-SUMIFS('سجل الإجازات والحالات'!$AN$6:$AN$505,'سجل الإجازات والحالات'!$B$6:$B$505,$B52))/cfg_DAYS_Y)</f>
        <v/>
      </c>
      <c r="AI52" s="155" t="str">
        <f aca="false">IF($B52="","",MAX(0,IF(OR(الموظفون!$AE52="",الموظفون!$AE52&gt;($E$3-1)),($E$3-1),الموظفون!$AE52)-الموظفون!$H52+1-SUMIFS('سجل الإجازات والحالات'!$AM$6:$AM$505,'سجل الإجازات والحالات'!$B$6:$B$505,$B52))/cfg_DAYS_Y)</f>
        <v/>
      </c>
      <c r="AJ52" s="65" t="str">
        <f aca="false">IF($B52="","",MAX(0,AK52-(SUMIFS('سجل الإجازات والحالات'!$AN$6:$AN$505,'سجل الإجازات والحالات'!$B$6:$B$505,$B52)-SUMIFS('سجل الإجازات والحالات'!$AM$6:$AM$505,'سجل الإجازات والحالات'!$B$6:$B$505,$B52))))</f>
        <v/>
      </c>
      <c r="AK52" s="65" t="str">
        <f aca="false">IF($B52="","",MAX(0,IF(OR(الموظفون!$AE52="",الموظفون!$AE52&gt;$F$3),$F$3,الموظفون!$AE52)-MAX($E$3,الموظفون!$H52)+1))</f>
        <v/>
      </c>
      <c r="AL52" s="151" t="str">
        <f aca="false">IF($B52="","",SUMIFS('سجل الإجازات والحالات'!$AZ$6:$AZ$505,'سجل الإجازات والحالات'!$B$6:$B$505,$B52)+SUMIFS('الحركات الشهرية'!$K$6:$K$1005,'الحركات الشهرية'!$B$6:$B$1005,$B52,'الحركات الشهرية'!$A$6:$A$1005,$C$3))</f>
        <v/>
      </c>
      <c r="AM52" s="111" t="str">
        <f aca="false">IF($B52="","",AL52*الموظفون!$R52/cfg_DAYS_M+S52)</f>
        <v/>
      </c>
      <c r="AN52" s="151" t="str">
        <f aca="false">IF($B52="","",SUMIFS('سجل الإجازات والحالات'!$AB$6:$AB$505,'سجل الإجازات والحالات'!$B$6:$B$505,$B52))</f>
        <v/>
      </c>
    </row>
    <row r="53" customFormat="false" ht="15" hidden="false" customHeight="false" outlineLevel="0" collapsed="false">
      <c r="A53" s="115" t="str">
        <f aca="false">IF($B53="","",الموظفون!$A53)</f>
        <v/>
      </c>
      <c r="B53" s="117" t="str">
        <f aca="false">IF(الموظفون!$B53="","",الموظفون!$B53)</f>
        <v/>
      </c>
      <c r="C53" s="117" t="str">
        <f aca="false">IF($B53="","",الموظفون!$C53)</f>
        <v/>
      </c>
      <c r="D53" s="117" t="str">
        <f aca="false">IF($B53="","",الموظفون!$F53)</f>
        <v/>
      </c>
      <c r="E53" s="117" t="str">
        <f aca="false">IF($B53="","",الموظفون!$E53)</f>
        <v/>
      </c>
      <c r="F53" s="117" t="str">
        <f aca="false">IF($B53="","",IF(AK53=0,IF(AND(الموظفون!$AE53&lt;&gt;"",الموظفون!$AE53&lt;$E$3),"✖ منتهي الخدمة","⏳ لم يباشر"),IF(S53&gt;0,"✈ راتب إجازة مقدم",IF(J53=0,"⛔ بدون راتب هذا الشهر",IF(I53&gt;0,"✈ خصم "&amp;ROUND(I53,2)&amp;" يوم بدون أجر",IF(AL53&gt;0,"🌴 إجازة سنوية "&amp;ROUND(AL53,2)&amp;" يوم",IF(H53&gt;0,"⚠ غياب "&amp;ROUND(H53,2)&amp;" يوم","✔ على رأس العمل")))))))</f>
        <v/>
      </c>
      <c r="G53" s="156" t="str">
        <f aca="false">IF($B53="","",IF(AK53&gt;=DAY($F$3),cfg_DAYS_M,MIN(AK53,cfg_DAYS_M)))</f>
        <v/>
      </c>
      <c r="H53" s="156" t="str">
        <f aca="false">IF($B53="","",SUMIFS('الحركات الشهرية'!$D$6:$D$1005,'الحركات الشهرية'!$B$6:$B$1005,$B53,'الحركات الشهرية'!$A$6:$A$1005,$C$3))</f>
        <v/>
      </c>
      <c r="I53" s="156" t="str">
        <f aca="false">IF($B53="","",MIN(G53,IF(AND(AK53&gt;0,AN53&gt;=AK53),G53,AN53)+SUMIFS('الحركات الشهرية'!$E$6:$E$1005,'الحركات الشهرية'!$B$6:$B$1005,$B53,'الحركات الشهرية'!$A$6:$A$1005,$C$3)))</f>
        <v/>
      </c>
      <c r="J53" s="156" t="str">
        <f aca="false">IF($B53="","",MAX(0,G53-H53-I53))</f>
        <v/>
      </c>
      <c r="K53" s="116" t="str">
        <f aca="false">IF($B53="","",الموظفون!$L53*$J53/cfg_DAYS_M)</f>
        <v/>
      </c>
      <c r="L53" s="116" t="str">
        <f aca="false">IF($B53="","",الموظفون!$M53*$J53/cfg_DAYS_M)</f>
        <v/>
      </c>
      <c r="M53" s="116" t="str">
        <f aca="false">IF($B53="","",الموظفون!$N53*$J53/cfg_DAYS_M)</f>
        <v/>
      </c>
      <c r="N53" s="116" t="str">
        <f aca="false">IF($B53="","",الموظفون!$O53*$J53/cfg_DAYS_M)</f>
        <v/>
      </c>
      <c r="O53" s="156" t="str">
        <f aca="false">IF($B53="","",SUMIFS('الحركات الشهرية'!$F$6:$F$1005,'الحركات الشهرية'!$B$6:$B$1005,$B53,'الحركات الشهرية'!$A$6:$A$1005,$C$3))</f>
        <v/>
      </c>
      <c r="P53" s="116" t="str">
        <f aca="false">IF($B53="","",O53*(الموظفون!$P53+الموظفون!$L53*cfg_OT_P)/cfg_DAYS_M/cfg_HRS)</f>
        <v/>
      </c>
      <c r="Q53" s="116" t="str">
        <f aca="false">IF($B53="","",SUMIFS('الحركات الشهرية'!$G$6:$G$1005,'الحركات الشهرية'!$B$6:$B$1005,$B53,'الحركات الشهرية'!$A$6:$A$1005,$C$3))</f>
        <v/>
      </c>
      <c r="R53" s="116" t="str">
        <f aca="false">IF($B53="","",SUMIFS('الحركات الشهرية'!$H$6:$H$1005,'الحركات الشهرية'!$B$6:$B$1005,$B53,'الحركات الشهرية'!$A$6:$A$1005,$C$3))</f>
        <v/>
      </c>
      <c r="S53" s="116" t="str">
        <f aca="false">IF($B53="","",SUMIFS('سجل الإجازات والحالات'!$N$6:$N$505,'سجل الإجازات والحالات'!$B$6:$B$505,$B53,'سجل الإجازات والحالات'!$O$6:$O$505,$C$3))</f>
        <v/>
      </c>
      <c r="T53" s="157" t="str">
        <f aca="false">IF($B53="","",SUM(K53:N53)+SUM(P53:S53))</f>
        <v/>
      </c>
      <c r="U53" s="116" t="str">
        <f aca="false">IF($B53="","",الموظفون!$S53*IF(E53="سعودي",cfg_G_SE,cfg_G_NE)*G53/cfg_DAYS_M)</f>
        <v/>
      </c>
      <c r="V53" s="116" t="str">
        <f aca="false">IF($B53="","",SUMIFS('الحركات الشهرية'!$I$6:$I$1005,'الحركات الشهرية'!$B$6:$B$1005,$B53,'الحركات الشهرية'!$A$6:$A$1005,$C$3))</f>
        <v/>
      </c>
      <c r="W53" s="116" t="str">
        <f aca="false">IF($B53="","",SUMIFS('الحركات الشهرية'!$J$6:$J$1005,'الحركات الشهرية'!$B$6:$B$1005,$B53,'الحركات الشهرية'!$A$6:$A$1005,$C$3))</f>
        <v/>
      </c>
      <c r="X53" s="116" t="str">
        <f aca="false">IF($B53="","",SUM(U53:W53))</f>
        <v/>
      </c>
      <c r="Y53" s="158" t="str">
        <f aca="false">IF($B53="","",T53-X53)</f>
        <v/>
      </c>
      <c r="Z53" s="116" t="str">
        <f aca="false">IF($B53="","",الموظفون!$S53*IF(E53="سعودي",cfg_G_SR,cfg_G_NR)*G53/cfg_DAYS_M)</f>
        <v/>
      </c>
      <c r="AA53" s="116" t="str">
        <f aca="false">IF($B53="","",الموظفون!$Q53*(cfg_EOS_R1*(MIN(AH53,cfg_EOS_TH)-MIN(AI53,cfg_EOS_TH))+cfg_EOS_R2*(MAX(AH53-cfg_EOS_TH,0)-MAX(AI53-cfg_EOS_TH,0))))</f>
        <v/>
      </c>
      <c r="AB53" s="116" t="str">
        <f aca="false">IF($B53="","",IF(الموظفون!$T53&lt;&gt;"",الموظفون!$T53,IF(AH53&gt;=cfg_LV_TH,cfg_LV_D2,cfg_LV_D1))/cfg_DAYS_Y*AJ53*الموظفون!$R53/cfg_DAYS_M)</f>
        <v/>
      </c>
      <c r="AC53" s="116" t="str">
        <f aca="false">IF($B53="","",IF(AND(الموظفون!$U53="نعم",N(الموظفون!$W53)&gt;0),الموظفون!$V53/الموظفون!$W53*12/cfg_DAYS_Y*AJ53,0))</f>
        <v/>
      </c>
      <c r="AD53" s="116" t="str">
        <f aca="false">IF($B53="","",(IF(الموظفون!$X53&lt;&gt;"",الموظفون!$X53,IF(الموظفون!$E53="غير سعودي",cfg_IQ,0))+IF(الموظفون!$Y53&lt;&gt;"",الموظفون!$Y53,IF(الموظفون!$E53="غير سعودي",cfg_WP,0)))/12*G53/cfg_DAYS_M)</f>
        <v/>
      </c>
      <c r="AE53" s="116" t="str">
        <f aca="false">IF($B53="","",IF(الموظفون!$Z53&lt;&gt;"",الموظفون!$Z53,cfg_MED)/12*G53/cfg_DAYS_M)</f>
        <v/>
      </c>
      <c r="AF53" s="116" t="str">
        <f aca="false">IF($B53="","",N(الموظفون!$AA53)/12*G53/cfg_DAYS_M)</f>
        <v/>
      </c>
      <c r="AG53" s="159" t="str">
        <f aca="false">IF($B53="","",T53+SUM(Z53:AF53))</f>
        <v/>
      </c>
      <c r="AH53" s="160" t="str">
        <f aca="false">IF($B53="","",MAX(0,IF(OR(الموظفون!$AE53="",الموظفون!$AE53&gt;$F$3),$F$3,الموظفون!$AE53)-الموظفون!$H53+1-SUMIFS('سجل الإجازات والحالات'!$AN$6:$AN$505,'سجل الإجازات والحالات'!$B$6:$B$505,$B53))/cfg_DAYS_Y)</f>
        <v/>
      </c>
      <c r="AI53" s="160" t="str">
        <f aca="false">IF($B53="","",MAX(0,IF(OR(الموظفون!$AE53="",الموظفون!$AE53&gt;($E$3-1)),($E$3-1),الموظفون!$AE53)-الموظفون!$H53+1-SUMIFS('سجل الإجازات والحالات'!$AM$6:$AM$505,'سجل الإجازات والحالات'!$B$6:$B$505,$B53))/cfg_DAYS_Y)</f>
        <v/>
      </c>
      <c r="AJ53" s="133" t="str">
        <f aca="false">IF($B53="","",MAX(0,AK53-(SUMIFS('سجل الإجازات والحالات'!$AN$6:$AN$505,'سجل الإجازات والحالات'!$B$6:$B$505,$B53)-SUMIFS('سجل الإجازات والحالات'!$AM$6:$AM$505,'سجل الإجازات والحالات'!$B$6:$B$505,$B53))))</f>
        <v/>
      </c>
      <c r="AK53" s="133" t="str">
        <f aca="false">IF($B53="","",MAX(0,IF(OR(الموظفون!$AE53="",الموظفون!$AE53&gt;$F$3),$F$3,الموظفون!$AE53)-MAX($E$3,الموظفون!$H53)+1))</f>
        <v/>
      </c>
      <c r="AL53" s="156" t="str">
        <f aca="false">IF($B53="","",SUMIFS('سجل الإجازات والحالات'!$AZ$6:$AZ$505,'سجل الإجازات والحالات'!$B$6:$B$505,$B53)+SUMIFS('الحركات الشهرية'!$K$6:$K$1005,'الحركات الشهرية'!$B$6:$B$1005,$B53,'الحركات الشهرية'!$A$6:$A$1005,$C$3))</f>
        <v/>
      </c>
      <c r="AM53" s="116" t="str">
        <f aca="false">IF($B53="","",AL53*الموظفون!$R53/cfg_DAYS_M+S53)</f>
        <v/>
      </c>
      <c r="AN53" s="156" t="str">
        <f aca="false">IF($B53="","",SUMIFS('سجل الإجازات والحالات'!$AB$6:$AB$505,'سجل الإجازات والحالات'!$B$6:$B$505,$B53))</f>
        <v/>
      </c>
    </row>
    <row r="54" customFormat="false" ht="15" hidden="false" customHeight="false" outlineLevel="0" collapsed="false">
      <c r="A54" s="106" t="str">
        <f aca="false">IF($B54="","",الموظفون!$A54)</f>
        <v/>
      </c>
      <c r="B54" s="114" t="str">
        <f aca="false">IF(الموظفون!$B54="","",الموظفون!$B54)</f>
        <v/>
      </c>
      <c r="C54" s="114" t="str">
        <f aca="false">IF($B54="","",الموظفون!$C54)</f>
        <v/>
      </c>
      <c r="D54" s="114" t="str">
        <f aca="false">IF($B54="","",الموظفون!$F54)</f>
        <v/>
      </c>
      <c r="E54" s="114" t="str">
        <f aca="false">IF($B54="","",الموظفون!$E54)</f>
        <v/>
      </c>
      <c r="F54" s="114" t="str">
        <f aca="false">IF($B54="","",IF(AK54=0,IF(AND(الموظفون!$AE54&lt;&gt;"",الموظفون!$AE54&lt;$E$3),"✖ منتهي الخدمة","⏳ لم يباشر"),IF(S54&gt;0,"✈ راتب إجازة مقدم",IF(J54=0,"⛔ بدون راتب هذا الشهر",IF(I54&gt;0,"✈ خصم "&amp;ROUND(I54,2)&amp;" يوم بدون أجر",IF(AL54&gt;0,"🌴 إجازة سنوية "&amp;ROUND(AL54,2)&amp;" يوم",IF(H54&gt;0,"⚠ غياب "&amp;ROUND(H54,2)&amp;" يوم","✔ على رأس العمل")))))))</f>
        <v/>
      </c>
      <c r="G54" s="151" t="str">
        <f aca="false">IF($B54="","",IF(AK54&gt;=DAY($F$3),cfg_DAYS_M,MIN(AK54,cfg_DAYS_M)))</f>
        <v/>
      </c>
      <c r="H54" s="151" t="str">
        <f aca="false">IF($B54="","",SUMIFS('الحركات الشهرية'!$D$6:$D$1005,'الحركات الشهرية'!$B$6:$B$1005,$B54,'الحركات الشهرية'!$A$6:$A$1005,$C$3))</f>
        <v/>
      </c>
      <c r="I54" s="151" t="str">
        <f aca="false">IF($B54="","",MIN(G54,IF(AND(AK54&gt;0,AN54&gt;=AK54),G54,AN54)+SUMIFS('الحركات الشهرية'!$E$6:$E$1005,'الحركات الشهرية'!$B$6:$B$1005,$B54,'الحركات الشهرية'!$A$6:$A$1005,$C$3)))</f>
        <v/>
      </c>
      <c r="J54" s="151" t="str">
        <f aca="false">IF($B54="","",MAX(0,G54-H54-I54))</f>
        <v/>
      </c>
      <c r="K54" s="111" t="str">
        <f aca="false">IF($B54="","",الموظفون!$L54*$J54/cfg_DAYS_M)</f>
        <v/>
      </c>
      <c r="L54" s="111" t="str">
        <f aca="false">IF($B54="","",الموظفون!$M54*$J54/cfg_DAYS_M)</f>
        <v/>
      </c>
      <c r="M54" s="111" t="str">
        <f aca="false">IF($B54="","",الموظفون!$N54*$J54/cfg_DAYS_M)</f>
        <v/>
      </c>
      <c r="N54" s="111" t="str">
        <f aca="false">IF($B54="","",الموظفون!$O54*$J54/cfg_DAYS_M)</f>
        <v/>
      </c>
      <c r="O54" s="151" t="str">
        <f aca="false">IF($B54="","",SUMIFS('الحركات الشهرية'!$F$6:$F$1005,'الحركات الشهرية'!$B$6:$B$1005,$B54,'الحركات الشهرية'!$A$6:$A$1005,$C$3))</f>
        <v/>
      </c>
      <c r="P54" s="111" t="str">
        <f aca="false">IF($B54="","",O54*(الموظفون!$P54+الموظفون!$L54*cfg_OT_P)/cfg_DAYS_M/cfg_HRS)</f>
        <v/>
      </c>
      <c r="Q54" s="111" t="str">
        <f aca="false">IF($B54="","",SUMIFS('الحركات الشهرية'!$G$6:$G$1005,'الحركات الشهرية'!$B$6:$B$1005,$B54,'الحركات الشهرية'!$A$6:$A$1005,$C$3))</f>
        <v/>
      </c>
      <c r="R54" s="111" t="str">
        <f aca="false">IF($B54="","",SUMIFS('الحركات الشهرية'!$H$6:$H$1005,'الحركات الشهرية'!$B$6:$B$1005,$B54,'الحركات الشهرية'!$A$6:$A$1005,$C$3))</f>
        <v/>
      </c>
      <c r="S54" s="111" t="str">
        <f aca="false">IF($B54="","",SUMIFS('سجل الإجازات والحالات'!$N$6:$N$505,'سجل الإجازات والحالات'!$B$6:$B$505,$B54,'سجل الإجازات والحالات'!$O$6:$O$505,$C$3))</f>
        <v/>
      </c>
      <c r="T54" s="152" t="str">
        <f aca="false">IF($B54="","",SUM(K54:N54)+SUM(P54:S54))</f>
        <v/>
      </c>
      <c r="U54" s="111" t="str">
        <f aca="false">IF($B54="","",الموظفون!$S54*IF(E54="سعودي",cfg_G_SE,cfg_G_NE)*G54/cfg_DAYS_M)</f>
        <v/>
      </c>
      <c r="V54" s="111" t="str">
        <f aca="false">IF($B54="","",SUMIFS('الحركات الشهرية'!$I$6:$I$1005,'الحركات الشهرية'!$B$6:$B$1005,$B54,'الحركات الشهرية'!$A$6:$A$1005,$C$3))</f>
        <v/>
      </c>
      <c r="W54" s="111" t="str">
        <f aca="false">IF($B54="","",SUMIFS('الحركات الشهرية'!$J$6:$J$1005,'الحركات الشهرية'!$B$6:$B$1005,$B54,'الحركات الشهرية'!$A$6:$A$1005,$C$3))</f>
        <v/>
      </c>
      <c r="X54" s="111" t="str">
        <f aca="false">IF($B54="","",SUM(U54:W54))</f>
        <v/>
      </c>
      <c r="Y54" s="153" t="str">
        <f aca="false">IF($B54="","",T54-X54)</f>
        <v/>
      </c>
      <c r="Z54" s="111" t="str">
        <f aca="false">IF($B54="","",الموظفون!$S54*IF(E54="سعودي",cfg_G_SR,cfg_G_NR)*G54/cfg_DAYS_M)</f>
        <v/>
      </c>
      <c r="AA54" s="111" t="str">
        <f aca="false">IF($B54="","",الموظفون!$Q54*(cfg_EOS_R1*(MIN(AH54,cfg_EOS_TH)-MIN(AI54,cfg_EOS_TH))+cfg_EOS_R2*(MAX(AH54-cfg_EOS_TH,0)-MAX(AI54-cfg_EOS_TH,0))))</f>
        <v/>
      </c>
      <c r="AB54" s="111" t="str">
        <f aca="false">IF($B54="","",IF(الموظفون!$T54&lt;&gt;"",الموظفون!$T54,IF(AH54&gt;=cfg_LV_TH,cfg_LV_D2,cfg_LV_D1))/cfg_DAYS_Y*AJ54*الموظفون!$R54/cfg_DAYS_M)</f>
        <v/>
      </c>
      <c r="AC54" s="111" t="str">
        <f aca="false">IF($B54="","",IF(AND(الموظفون!$U54="نعم",N(الموظفون!$W54)&gt;0),الموظفون!$V54/الموظفون!$W54*12/cfg_DAYS_Y*AJ54,0))</f>
        <v/>
      </c>
      <c r="AD54" s="111" t="str">
        <f aca="false">IF($B54="","",(IF(الموظفون!$X54&lt;&gt;"",الموظفون!$X54,IF(الموظفون!$E54="غير سعودي",cfg_IQ,0))+IF(الموظفون!$Y54&lt;&gt;"",الموظفون!$Y54,IF(الموظفون!$E54="غير سعودي",cfg_WP,0)))/12*G54/cfg_DAYS_M)</f>
        <v/>
      </c>
      <c r="AE54" s="111" t="str">
        <f aca="false">IF($B54="","",IF(الموظفون!$Z54&lt;&gt;"",الموظفون!$Z54,cfg_MED)/12*G54/cfg_DAYS_M)</f>
        <v/>
      </c>
      <c r="AF54" s="111" t="str">
        <f aca="false">IF($B54="","",N(الموظفون!$AA54)/12*G54/cfg_DAYS_M)</f>
        <v/>
      </c>
      <c r="AG54" s="154" t="str">
        <f aca="false">IF($B54="","",T54+SUM(Z54:AF54))</f>
        <v/>
      </c>
      <c r="AH54" s="155" t="str">
        <f aca="false">IF($B54="","",MAX(0,IF(OR(الموظفون!$AE54="",الموظفون!$AE54&gt;$F$3),$F$3,الموظفون!$AE54)-الموظفون!$H54+1-SUMIFS('سجل الإجازات والحالات'!$AN$6:$AN$505,'سجل الإجازات والحالات'!$B$6:$B$505,$B54))/cfg_DAYS_Y)</f>
        <v/>
      </c>
      <c r="AI54" s="155" t="str">
        <f aca="false">IF($B54="","",MAX(0,IF(OR(الموظفون!$AE54="",الموظفون!$AE54&gt;($E$3-1)),($E$3-1),الموظفون!$AE54)-الموظفون!$H54+1-SUMIFS('سجل الإجازات والحالات'!$AM$6:$AM$505,'سجل الإجازات والحالات'!$B$6:$B$505,$B54))/cfg_DAYS_Y)</f>
        <v/>
      </c>
      <c r="AJ54" s="65" t="str">
        <f aca="false">IF($B54="","",MAX(0,AK54-(SUMIFS('سجل الإجازات والحالات'!$AN$6:$AN$505,'سجل الإجازات والحالات'!$B$6:$B$505,$B54)-SUMIFS('سجل الإجازات والحالات'!$AM$6:$AM$505,'سجل الإجازات والحالات'!$B$6:$B$505,$B54))))</f>
        <v/>
      </c>
      <c r="AK54" s="65" t="str">
        <f aca="false">IF($B54="","",MAX(0,IF(OR(الموظفون!$AE54="",الموظفون!$AE54&gt;$F$3),$F$3,الموظفون!$AE54)-MAX($E$3,الموظفون!$H54)+1))</f>
        <v/>
      </c>
      <c r="AL54" s="151" t="str">
        <f aca="false">IF($B54="","",SUMIFS('سجل الإجازات والحالات'!$AZ$6:$AZ$505,'سجل الإجازات والحالات'!$B$6:$B$505,$B54)+SUMIFS('الحركات الشهرية'!$K$6:$K$1005,'الحركات الشهرية'!$B$6:$B$1005,$B54,'الحركات الشهرية'!$A$6:$A$1005,$C$3))</f>
        <v/>
      </c>
      <c r="AM54" s="111" t="str">
        <f aca="false">IF($B54="","",AL54*الموظفون!$R54/cfg_DAYS_M+S54)</f>
        <v/>
      </c>
      <c r="AN54" s="151" t="str">
        <f aca="false">IF($B54="","",SUMIFS('سجل الإجازات والحالات'!$AB$6:$AB$505,'سجل الإجازات والحالات'!$B$6:$B$505,$B54))</f>
        <v/>
      </c>
    </row>
    <row r="55" customFormat="false" ht="15" hidden="false" customHeight="false" outlineLevel="0" collapsed="false">
      <c r="A55" s="115" t="str">
        <f aca="false">IF($B55="","",الموظفون!$A55)</f>
        <v/>
      </c>
      <c r="B55" s="117" t="str">
        <f aca="false">IF(الموظفون!$B55="","",الموظفون!$B55)</f>
        <v/>
      </c>
      <c r="C55" s="117" t="str">
        <f aca="false">IF($B55="","",الموظفون!$C55)</f>
        <v/>
      </c>
      <c r="D55" s="117" t="str">
        <f aca="false">IF($B55="","",الموظفون!$F55)</f>
        <v/>
      </c>
      <c r="E55" s="117" t="str">
        <f aca="false">IF($B55="","",الموظفون!$E55)</f>
        <v/>
      </c>
      <c r="F55" s="117" t="str">
        <f aca="false">IF($B55="","",IF(AK55=0,IF(AND(الموظفون!$AE55&lt;&gt;"",الموظفون!$AE55&lt;$E$3),"✖ منتهي الخدمة","⏳ لم يباشر"),IF(S55&gt;0,"✈ راتب إجازة مقدم",IF(J55=0,"⛔ بدون راتب هذا الشهر",IF(I55&gt;0,"✈ خصم "&amp;ROUND(I55,2)&amp;" يوم بدون أجر",IF(AL55&gt;0,"🌴 إجازة سنوية "&amp;ROUND(AL55,2)&amp;" يوم",IF(H55&gt;0,"⚠ غياب "&amp;ROUND(H55,2)&amp;" يوم","✔ على رأس العمل")))))))</f>
        <v/>
      </c>
      <c r="G55" s="156" t="str">
        <f aca="false">IF($B55="","",IF(AK55&gt;=DAY($F$3),cfg_DAYS_M,MIN(AK55,cfg_DAYS_M)))</f>
        <v/>
      </c>
      <c r="H55" s="156" t="str">
        <f aca="false">IF($B55="","",SUMIFS('الحركات الشهرية'!$D$6:$D$1005,'الحركات الشهرية'!$B$6:$B$1005,$B55,'الحركات الشهرية'!$A$6:$A$1005,$C$3))</f>
        <v/>
      </c>
      <c r="I55" s="156" t="str">
        <f aca="false">IF($B55="","",MIN(G55,IF(AND(AK55&gt;0,AN55&gt;=AK55),G55,AN55)+SUMIFS('الحركات الشهرية'!$E$6:$E$1005,'الحركات الشهرية'!$B$6:$B$1005,$B55,'الحركات الشهرية'!$A$6:$A$1005,$C$3)))</f>
        <v/>
      </c>
      <c r="J55" s="156" t="str">
        <f aca="false">IF($B55="","",MAX(0,G55-H55-I55))</f>
        <v/>
      </c>
      <c r="K55" s="116" t="str">
        <f aca="false">IF($B55="","",الموظفون!$L55*$J55/cfg_DAYS_M)</f>
        <v/>
      </c>
      <c r="L55" s="116" t="str">
        <f aca="false">IF($B55="","",الموظفون!$M55*$J55/cfg_DAYS_M)</f>
        <v/>
      </c>
      <c r="M55" s="116" t="str">
        <f aca="false">IF($B55="","",الموظفون!$N55*$J55/cfg_DAYS_M)</f>
        <v/>
      </c>
      <c r="N55" s="116" t="str">
        <f aca="false">IF($B55="","",الموظفون!$O55*$J55/cfg_DAYS_M)</f>
        <v/>
      </c>
      <c r="O55" s="156" t="str">
        <f aca="false">IF($B55="","",SUMIFS('الحركات الشهرية'!$F$6:$F$1005,'الحركات الشهرية'!$B$6:$B$1005,$B55,'الحركات الشهرية'!$A$6:$A$1005,$C$3))</f>
        <v/>
      </c>
      <c r="P55" s="116" t="str">
        <f aca="false">IF($B55="","",O55*(الموظفون!$P55+الموظفون!$L55*cfg_OT_P)/cfg_DAYS_M/cfg_HRS)</f>
        <v/>
      </c>
      <c r="Q55" s="116" t="str">
        <f aca="false">IF($B55="","",SUMIFS('الحركات الشهرية'!$G$6:$G$1005,'الحركات الشهرية'!$B$6:$B$1005,$B55,'الحركات الشهرية'!$A$6:$A$1005,$C$3))</f>
        <v/>
      </c>
      <c r="R55" s="116" t="str">
        <f aca="false">IF($B55="","",SUMIFS('الحركات الشهرية'!$H$6:$H$1005,'الحركات الشهرية'!$B$6:$B$1005,$B55,'الحركات الشهرية'!$A$6:$A$1005,$C$3))</f>
        <v/>
      </c>
      <c r="S55" s="116" t="str">
        <f aca="false">IF($B55="","",SUMIFS('سجل الإجازات والحالات'!$N$6:$N$505,'سجل الإجازات والحالات'!$B$6:$B$505,$B55,'سجل الإجازات والحالات'!$O$6:$O$505,$C$3))</f>
        <v/>
      </c>
      <c r="T55" s="157" t="str">
        <f aca="false">IF($B55="","",SUM(K55:N55)+SUM(P55:S55))</f>
        <v/>
      </c>
      <c r="U55" s="116" t="str">
        <f aca="false">IF($B55="","",الموظفون!$S55*IF(E55="سعودي",cfg_G_SE,cfg_G_NE)*G55/cfg_DAYS_M)</f>
        <v/>
      </c>
      <c r="V55" s="116" t="str">
        <f aca="false">IF($B55="","",SUMIFS('الحركات الشهرية'!$I$6:$I$1005,'الحركات الشهرية'!$B$6:$B$1005,$B55,'الحركات الشهرية'!$A$6:$A$1005,$C$3))</f>
        <v/>
      </c>
      <c r="W55" s="116" t="str">
        <f aca="false">IF($B55="","",SUMIFS('الحركات الشهرية'!$J$6:$J$1005,'الحركات الشهرية'!$B$6:$B$1005,$B55,'الحركات الشهرية'!$A$6:$A$1005,$C$3))</f>
        <v/>
      </c>
      <c r="X55" s="116" t="str">
        <f aca="false">IF($B55="","",SUM(U55:W55))</f>
        <v/>
      </c>
      <c r="Y55" s="158" t="str">
        <f aca="false">IF($B55="","",T55-X55)</f>
        <v/>
      </c>
      <c r="Z55" s="116" t="str">
        <f aca="false">IF($B55="","",الموظفون!$S55*IF(E55="سعودي",cfg_G_SR,cfg_G_NR)*G55/cfg_DAYS_M)</f>
        <v/>
      </c>
      <c r="AA55" s="116" t="str">
        <f aca="false">IF($B55="","",الموظفون!$Q55*(cfg_EOS_R1*(MIN(AH55,cfg_EOS_TH)-MIN(AI55,cfg_EOS_TH))+cfg_EOS_R2*(MAX(AH55-cfg_EOS_TH,0)-MAX(AI55-cfg_EOS_TH,0))))</f>
        <v/>
      </c>
      <c r="AB55" s="116" t="str">
        <f aca="false">IF($B55="","",IF(الموظفون!$T55&lt;&gt;"",الموظفون!$T55,IF(AH55&gt;=cfg_LV_TH,cfg_LV_D2,cfg_LV_D1))/cfg_DAYS_Y*AJ55*الموظفون!$R55/cfg_DAYS_M)</f>
        <v/>
      </c>
      <c r="AC55" s="116" t="str">
        <f aca="false">IF($B55="","",IF(AND(الموظفون!$U55="نعم",N(الموظفون!$W55)&gt;0),الموظفون!$V55/الموظفون!$W55*12/cfg_DAYS_Y*AJ55,0))</f>
        <v/>
      </c>
      <c r="AD55" s="116" t="str">
        <f aca="false">IF($B55="","",(IF(الموظفون!$X55&lt;&gt;"",الموظفون!$X55,IF(الموظفون!$E55="غير سعودي",cfg_IQ,0))+IF(الموظفون!$Y55&lt;&gt;"",الموظفون!$Y55,IF(الموظفون!$E55="غير سعودي",cfg_WP,0)))/12*G55/cfg_DAYS_M)</f>
        <v/>
      </c>
      <c r="AE55" s="116" t="str">
        <f aca="false">IF($B55="","",IF(الموظفون!$Z55&lt;&gt;"",الموظفون!$Z55,cfg_MED)/12*G55/cfg_DAYS_M)</f>
        <v/>
      </c>
      <c r="AF55" s="116" t="str">
        <f aca="false">IF($B55="","",N(الموظفون!$AA55)/12*G55/cfg_DAYS_M)</f>
        <v/>
      </c>
      <c r="AG55" s="159" t="str">
        <f aca="false">IF($B55="","",T55+SUM(Z55:AF55))</f>
        <v/>
      </c>
      <c r="AH55" s="160" t="str">
        <f aca="false">IF($B55="","",MAX(0,IF(OR(الموظفون!$AE55="",الموظفون!$AE55&gt;$F$3),$F$3,الموظفون!$AE55)-الموظفون!$H55+1-SUMIFS('سجل الإجازات والحالات'!$AN$6:$AN$505,'سجل الإجازات والحالات'!$B$6:$B$505,$B55))/cfg_DAYS_Y)</f>
        <v/>
      </c>
      <c r="AI55" s="160" t="str">
        <f aca="false">IF($B55="","",MAX(0,IF(OR(الموظفون!$AE55="",الموظفون!$AE55&gt;($E$3-1)),($E$3-1),الموظفون!$AE55)-الموظفون!$H55+1-SUMIFS('سجل الإجازات والحالات'!$AM$6:$AM$505,'سجل الإجازات والحالات'!$B$6:$B$505,$B55))/cfg_DAYS_Y)</f>
        <v/>
      </c>
      <c r="AJ55" s="133" t="str">
        <f aca="false">IF($B55="","",MAX(0,AK55-(SUMIFS('سجل الإجازات والحالات'!$AN$6:$AN$505,'سجل الإجازات والحالات'!$B$6:$B$505,$B55)-SUMIFS('سجل الإجازات والحالات'!$AM$6:$AM$505,'سجل الإجازات والحالات'!$B$6:$B$505,$B55))))</f>
        <v/>
      </c>
      <c r="AK55" s="133" t="str">
        <f aca="false">IF($B55="","",MAX(0,IF(OR(الموظفون!$AE55="",الموظفون!$AE55&gt;$F$3),$F$3,الموظفون!$AE55)-MAX($E$3,الموظفون!$H55)+1))</f>
        <v/>
      </c>
      <c r="AL55" s="156" t="str">
        <f aca="false">IF($B55="","",SUMIFS('سجل الإجازات والحالات'!$AZ$6:$AZ$505,'سجل الإجازات والحالات'!$B$6:$B$505,$B55)+SUMIFS('الحركات الشهرية'!$K$6:$K$1005,'الحركات الشهرية'!$B$6:$B$1005,$B55,'الحركات الشهرية'!$A$6:$A$1005,$C$3))</f>
        <v/>
      </c>
      <c r="AM55" s="116" t="str">
        <f aca="false">IF($B55="","",AL55*الموظفون!$R55/cfg_DAYS_M+S55)</f>
        <v/>
      </c>
      <c r="AN55" s="156" t="str">
        <f aca="false">IF($B55="","",SUMIFS('سجل الإجازات والحالات'!$AB$6:$AB$505,'سجل الإجازات والحالات'!$B$6:$B$505,$B55))</f>
        <v/>
      </c>
    </row>
    <row r="56" customFormat="false" ht="15" hidden="false" customHeight="false" outlineLevel="0" collapsed="false">
      <c r="A56" s="106" t="str">
        <f aca="false">IF($B56="","",الموظفون!$A56)</f>
        <v/>
      </c>
      <c r="B56" s="114" t="str">
        <f aca="false">IF(الموظفون!$B56="","",الموظفون!$B56)</f>
        <v/>
      </c>
      <c r="C56" s="114" t="str">
        <f aca="false">IF($B56="","",الموظفون!$C56)</f>
        <v/>
      </c>
      <c r="D56" s="114" t="str">
        <f aca="false">IF($B56="","",الموظفون!$F56)</f>
        <v/>
      </c>
      <c r="E56" s="114" t="str">
        <f aca="false">IF($B56="","",الموظفون!$E56)</f>
        <v/>
      </c>
      <c r="F56" s="114" t="str">
        <f aca="false">IF($B56="","",IF(AK56=0,IF(AND(الموظفون!$AE56&lt;&gt;"",الموظفون!$AE56&lt;$E$3),"✖ منتهي الخدمة","⏳ لم يباشر"),IF(S56&gt;0,"✈ راتب إجازة مقدم",IF(J56=0,"⛔ بدون راتب هذا الشهر",IF(I56&gt;0,"✈ خصم "&amp;ROUND(I56,2)&amp;" يوم بدون أجر",IF(AL56&gt;0,"🌴 إجازة سنوية "&amp;ROUND(AL56,2)&amp;" يوم",IF(H56&gt;0,"⚠ غياب "&amp;ROUND(H56,2)&amp;" يوم","✔ على رأس العمل")))))))</f>
        <v/>
      </c>
      <c r="G56" s="151" t="str">
        <f aca="false">IF($B56="","",IF(AK56&gt;=DAY($F$3),cfg_DAYS_M,MIN(AK56,cfg_DAYS_M)))</f>
        <v/>
      </c>
      <c r="H56" s="151" t="str">
        <f aca="false">IF($B56="","",SUMIFS('الحركات الشهرية'!$D$6:$D$1005,'الحركات الشهرية'!$B$6:$B$1005,$B56,'الحركات الشهرية'!$A$6:$A$1005,$C$3))</f>
        <v/>
      </c>
      <c r="I56" s="151" t="str">
        <f aca="false">IF($B56="","",MIN(G56,IF(AND(AK56&gt;0,AN56&gt;=AK56),G56,AN56)+SUMIFS('الحركات الشهرية'!$E$6:$E$1005,'الحركات الشهرية'!$B$6:$B$1005,$B56,'الحركات الشهرية'!$A$6:$A$1005,$C$3)))</f>
        <v/>
      </c>
      <c r="J56" s="151" t="str">
        <f aca="false">IF($B56="","",MAX(0,G56-H56-I56))</f>
        <v/>
      </c>
      <c r="K56" s="111" t="str">
        <f aca="false">IF($B56="","",الموظفون!$L56*$J56/cfg_DAYS_M)</f>
        <v/>
      </c>
      <c r="L56" s="111" t="str">
        <f aca="false">IF($B56="","",الموظفون!$M56*$J56/cfg_DAYS_M)</f>
        <v/>
      </c>
      <c r="M56" s="111" t="str">
        <f aca="false">IF($B56="","",الموظفون!$N56*$J56/cfg_DAYS_M)</f>
        <v/>
      </c>
      <c r="N56" s="111" t="str">
        <f aca="false">IF($B56="","",الموظفون!$O56*$J56/cfg_DAYS_M)</f>
        <v/>
      </c>
      <c r="O56" s="151" t="str">
        <f aca="false">IF($B56="","",SUMIFS('الحركات الشهرية'!$F$6:$F$1005,'الحركات الشهرية'!$B$6:$B$1005,$B56,'الحركات الشهرية'!$A$6:$A$1005,$C$3))</f>
        <v/>
      </c>
      <c r="P56" s="111" t="str">
        <f aca="false">IF($B56="","",O56*(الموظفون!$P56+الموظفون!$L56*cfg_OT_P)/cfg_DAYS_M/cfg_HRS)</f>
        <v/>
      </c>
      <c r="Q56" s="111" t="str">
        <f aca="false">IF($B56="","",SUMIFS('الحركات الشهرية'!$G$6:$G$1005,'الحركات الشهرية'!$B$6:$B$1005,$B56,'الحركات الشهرية'!$A$6:$A$1005,$C$3))</f>
        <v/>
      </c>
      <c r="R56" s="111" t="str">
        <f aca="false">IF($B56="","",SUMIFS('الحركات الشهرية'!$H$6:$H$1005,'الحركات الشهرية'!$B$6:$B$1005,$B56,'الحركات الشهرية'!$A$6:$A$1005,$C$3))</f>
        <v/>
      </c>
      <c r="S56" s="111" t="str">
        <f aca="false">IF($B56="","",SUMIFS('سجل الإجازات والحالات'!$N$6:$N$505,'سجل الإجازات والحالات'!$B$6:$B$505,$B56,'سجل الإجازات والحالات'!$O$6:$O$505,$C$3))</f>
        <v/>
      </c>
      <c r="T56" s="152" t="str">
        <f aca="false">IF($B56="","",SUM(K56:N56)+SUM(P56:S56))</f>
        <v/>
      </c>
      <c r="U56" s="111" t="str">
        <f aca="false">IF($B56="","",الموظفون!$S56*IF(E56="سعودي",cfg_G_SE,cfg_G_NE)*G56/cfg_DAYS_M)</f>
        <v/>
      </c>
      <c r="V56" s="111" t="str">
        <f aca="false">IF($B56="","",SUMIFS('الحركات الشهرية'!$I$6:$I$1005,'الحركات الشهرية'!$B$6:$B$1005,$B56,'الحركات الشهرية'!$A$6:$A$1005,$C$3))</f>
        <v/>
      </c>
      <c r="W56" s="111" t="str">
        <f aca="false">IF($B56="","",SUMIFS('الحركات الشهرية'!$J$6:$J$1005,'الحركات الشهرية'!$B$6:$B$1005,$B56,'الحركات الشهرية'!$A$6:$A$1005,$C$3))</f>
        <v/>
      </c>
      <c r="X56" s="111" t="str">
        <f aca="false">IF($B56="","",SUM(U56:W56))</f>
        <v/>
      </c>
      <c r="Y56" s="153" t="str">
        <f aca="false">IF($B56="","",T56-X56)</f>
        <v/>
      </c>
      <c r="Z56" s="111" t="str">
        <f aca="false">IF($B56="","",الموظفون!$S56*IF(E56="سعودي",cfg_G_SR,cfg_G_NR)*G56/cfg_DAYS_M)</f>
        <v/>
      </c>
      <c r="AA56" s="111" t="str">
        <f aca="false">IF($B56="","",الموظفون!$Q56*(cfg_EOS_R1*(MIN(AH56,cfg_EOS_TH)-MIN(AI56,cfg_EOS_TH))+cfg_EOS_R2*(MAX(AH56-cfg_EOS_TH,0)-MAX(AI56-cfg_EOS_TH,0))))</f>
        <v/>
      </c>
      <c r="AB56" s="111" t="str">
        <f aca="false">IF($B56="","",IF(الموظفون!$T56&lt;&gt;"",الموظفون!$T56,IF(AH56&gt;=cfg_LV_TH,cfg_LV_D2,cfg_LV_D1))/cfg_DAYS_Y*AJ56*الموظفون!$R56/cfg_DAYS_M)</f>
        <v/>
      </c>
      <c r="AC56" s="111" t="str">
        <f aca="false">IF($B56="","",IF(AND(الموظفون!$U56="نعم",N(الموظفون!$W56)&gt;0),الموظفون!$V56/الموظفون!$W56*12/cfg_DAYS_Y*AJ56,0))</f>
        <v/>
      </c>
      <c r="AD56" s="111" t="str">
        <f aca="false">IF($B56="","",(IF(الموظفون!$X56&lt;&gt;"",الموظفون!$X56,IF(الموظفون!$E56="غير سعودي",cfg_IQ,0))+IF(الموظفون!$Y56&lt;&gt;"",الموظفون!$Y56,IF(الموظفون!$E56="غير سعودي",cfg_WP,0)))/12*G56/cfg_DAYS_M)</f>
        <v/>
      </c>
      <c r="AE56" s="111" t="str">
        <f aca="false">IF($B56="","",IF(الموظفون!$Z56&lt;&gt;"",الموظفون!$Z56,cfg_MED)/12*G56/cfg_DAYS_M)</f>
        <v/>
      </c>
      <c r="AF56" s="111" t="str">
        <f aca="false">IF($B56="","",N(الموظفون!$AA56)/12*G56/cfg_DAYS_M)</f>
        <v/>
      </c>
      <c r="AG56" s="154" t="str">
        <f aca="false">IF($B56="","",T56+SUM(Z56:AF56))</f>
        <v/>
      </c>
      <c r="AH56" s="155" t="str">
        <f aca="false">IF($B56="","",MAX(0,IF(OR(الموظفون!$AE56="",الموظفون!$AE56&gt;$F$3),$F$3,الموظفون!$AE56)-الموظفون!$H56+1-SUMIFS('سجل الإجازات والحالات'!$AN$6:$AN$505,'سجل الإجازات والحالات'!$B$6:$B$505,$B56))/cfg_DAYS_Y)</f>
        <v/>
      </c>
      <c r="AI56" s="155" t="str">
        <f aca="false">IF($B56="","",MAX(0,IF(OR(الموظفون!$AE56="",الموظفون!$AE56&gt;($E$3-1)),($E$3-1),الموظفون!$AE56)-الموظفون!$H56+1-SUMIFS('سجل الإجازات والحالات'!$AM$6:$AM$505,'سجل الإجازات والحالات'!$B$6:$B$505,$B56))/cfg_DAYS_Y)</f>
        <v/>
      </c>
      <c r="AJ56" s="65" t="str">
        <f aca="false">IF($B56="","",MAX(0,AK56-(SUMIFS('سجل الإجازات والحالات'!$AN$6:$AN$505,'سجل الإجازات والحالات'!$B$6:$B$505,$B56)-SUMIFS('سجل الإجازات والحالات'!$AM$6:$AM$505,'سجل الإجازات والحالات'!$B$6:$B$505,$B56))))</f>
        <v/>
      </c>
      <c r="AK56" s="65" t="str">
        <f aca="false">IF($B56="","",MAX(0,IF(OR(الموظفون!$AE56="",الموظفون!$AE56&gt;$F$3),$F$3,الموظفون!$AE56)-MAX($E$3,الموظفون!$H56)+1))</f>
        <v/>
      </c>
      <c r="AL56" s="151" t="str">
        <f aca="false">IF($B56="","",SUMIFS('سجل الإجازات والحالات'!$AZ$6:$AZ$505,'سجل الإجازات والحالات'!$B$6:$B$505,$B56)+SUMIFS('الحركات الشهرية'!$K$6:$K$1005,'الحركات الشهرية'!$B$6:$B$1005,$B56,'الحركات الشهرية'!$A$6:$A$1005,$C$3))</f>
        <v/>
      </c>
      <c r="AM56" s="111" t="str">
        <f aca="false">IF($B56="","",AL56*الموظفون!$R56/cfg_DAYS_M+S56)</f>
        <v/>
      </c>
      <c r="AN56" s="151" t="str">
        <f aca="false">IF($B56="","",SUMIFS('سجل الإجازات والحالات'!$AB$6:$AB$505,'سجل الإجازات والحالات'!$B$6:$B$505,$B56))</f>
        <v/>
      </c>
    </row>
    <row r="57" customFormat="false" ht="15" hidden="false" customHeight="false" outlineLevel="0" collapsed="false">
      <c r="A57" s="115" t="str">
        <f aca="false">IF($B57="","",الموظفون!$A57)</f>
        <v/>
      </c>
      <c r="B57" s="117" t="str">
        <f aca="false">IF(الموظفون!$B57="","",الموظفون!$B57)</f>
        <v/>
      </c>
      <c r="C57" s="117" t="str">
        <f aca="false">IF($B57="","",الموظفون!$C57)</f>
        <v/>
      </c>
      <c r="D57" s="117" t="str">
        <f aca="false">IF($B57="","",الموظفون!$F57)</f>
        <v/>
      </c>
      <c r="E57" s="117" t="str">
        <f aca="false">IF($B57="","",الموظفون!$E57)</f>
        <v/>
      </c>
      <c r="F57" s="117" t="str">
        <f aca="false">IF($B57="","",IF(AK57=0,IF(AND(الموظفون!$AE57&lt;&gt;"",الموظفون!$AE57&lt;$E$3),"✖ منتهي الخدمة","⏳ لم يباشر"),IF(S57&gt;0,"✈ راتب إجازة مقدم",IF(J57=0,"⛔ بدون راتب هذا الشهر",IF(I57&gt;0,"✈ خصم "&amp;ROUND(I57,2)&amp;" يوم بدون أجر",IF(AL57&gt;0,"🌴 إجازة سنوية "&amp;ROUND(AL57,2)&amp;" يوم",IF(H57&gt;0,"⚠ غياب "&amp;ROUND(H57,2)&amp;" يوم","✔ على رأس العمل")))))))</f>
        <v/>
      </c>
      <c r="G57" s="156" t="str">
        <f aca="false">IF($B57="","",IF(AK57&gt;=DAY($F$3),cfg_DAYS_M,MIN(AK57,cfg_DAYS_M)))</f>
        <v/>
      </c>
      <c r="H57" s="156" t="str">
        <f aca="false">IF($B57="","",SUMIFS('الحركات الشهرية'!$D$6:$D$1005,'الحركات الشهرية'!$B$6:$B$1005,$B57,'الحركات الشهرية'!$A$6:$A$1005,$C$3))</f>
        <v/>
      </c>
      <c r="I57" s="156" t="str">
        <f aca="false">IF($B57="","",MIN(G57,IF(AND(AK57&gt;0,AN57&gt;=AK57),G57,AN57)+SUMIFS('الحركات الشهرية'!$E$6:$E$1005,'الحركات الشهرية'!$B$6:$B$1005,$B57,'الحركات الشهرية'!$A$6:$A$1005,$C$3)))</f>
        <v/>
      </c>
      <c r="J57" s="156" t="str">
        <f aca="false">IF($B57="","",MAX(0,G57-H57-I57))</f>
        <v/>
      </c>
      <c r="K57" s="116" t="str">
        <f aca="false">IF($B57="","",الموظفون!$L57*$J57/cfg_DAYS_M)</f>
        <v/>
      </c>
      <c r="L57" s="116" t="str">
        <f aca="false">IF($B57="","",الموظفون!$M57*$J57/cfg_DAYS_M)</f>
        <v/>
      </c>
      <c r="M57" s="116" t="str">
        <f aca="false">IF($B57="","",الموظفون!$N57*$J57/cfg_DAYS_M)</f>
        <v/>
      </c>
      <c r="N57" s="116" t="str">
        <f aca="false">IF($B57="","",الموظفون!$O57*$J57/cfg_DAYS_M)</f>
        <v/>
      </c>
      <c r="O57" s="156" t="str">
        <f aca="false">IF($B57="","",SUMIFS('الحركات الشهرية'!$F$6:$F$1005,'الحركات الشهرية'!$B$6:$B$1005,$B57,'الحركات الشهرية'!$A$6:$A$1005,$C$3))</f>
        <v/>
      </c>
      <c r="P57" s="116" t="str">
        <f aca="false">IF($B57="","",O57*(الموظفون!$P57+الموظفون!$L57*cfg_OT_P)/cfg_DAYS_M/cfg_HRS)</f>
        <v/>
      </c>
      <c r="Q57" s="116" t="str">
        <f aca="false">IF($B57="","",SUMIFS('الحركات الشهرية'!$G$6:$G$1005,'الحركات الشهرية'!$B$6:$B$1005,$B57,'الحركات الشهرية'!$A$6:$A$1005,$C$3))</f>
        <v/>
      </c>
      <c r="R57" s="116" t="str">
        <f aca="false">IF($B57="","",SUMIFS('الحركات الشهرية'!$H$6:$H$1005,'الحركات الشهرية'!$B$6:$B$1005,$B57,'الحركات الشهرية'!$A$6:$A$1005,$C$3))</f>
        <v/>
      </c>
      <c r="S57" s="116" t="str">
        <f aca="false">IF($B57="","",SUMIFS('سجل الإجازات والحالات'!$N$6:$N$505,'سجل الإجازات والحالات'!$B$6:$B$505,$B57,'سجل الإجازات والحالات'!$O$6:$O$505,$C$3))</f>
        <v/>
      </c>
      <c r="T57" s="157" t="str">
        <f aca="false">IF($B57="","",SUM(K57:N57)+SUM(P57:S57))</f>
        <v/>
      </c>
      <c r="U57" s="116" t="str">
        <f aca="false">IF($B57="","",الموظفون!$S57*IF(E57="سعودي",cfg_G_SE,cfg_G_NE)*G57/cfg_DAYS_M)</f>
        <v/>
      </c>
      <c r="V57" s="116" t="str">
        <f aca="false">IF($B57="","",SUMIFS('الحركات الشهرية'!$I$6:$I$1005,'الحركات الشهرية'!$B$6:$B$1005,$B57,'الحركات الشهرية'!$A$6:$A$1005,$C$3))</f>
        <v/>
      </c>
      <c r="W57" s="116" t="str">
        <f aca="false">IF($B57="","",SUMIFS('الحركات الشهرية'!$J$6:$J$1005,'الحركات الشهرية'!$B$6:$B$1005,$B57,'الحركات الشهرية'!$A$6:$A$1005,$C$3))</f>
        <v/>
      </c>
      <c r="X57" s="116" t="str">
        <f aca="false">IF($B57="","",SUM(U57:W57))</f>
        <v/>
      </c>
      <c r="Y57" s="158" t="str">
        <f aca="false">IF($B57="","",T57-X57)</f>
        <v/>
      </c>
      <c r="Z57" s="116" t="str">
        <f aca="false">IF($B57="","",الموظفون!$S57*IF(E57="سعودي",cfg_G_SR,cfg_G_NR)*G57/cfg_DAYS_M)</f>
        <v/>
      </c>
      <c r="AA57" s="116" t="str">
        <f aca="false">IF($B57="","",الموظفون!$Q57*(cfg_EOS_R1*(MIN(AH57,cfg_EOS_TH)-MIN(AI57,cfg_EOS_TH))+cfg_EOS_R2*(MAX(AH57-cfg_EOS_TH,0)-MAX(AI57-cfg_EOS_TH,0))))</f>
        <v/>
      </c>
      <c r="AB57" s="116" t="str">
        <f aca="false">IF($B57="","",IF(الموظفون!$T57&lt;&gt;"",الموظفون!$T57,IF(AH57&gt;=cfg_LV_TH,cfg_LV_D2,cfg_LV_D1))/cfg_DAYS_Y*AJ57*الموظفون!$R57/cfg_DAYS_M)</f>
        <v/>
      </c>
      <c r="AC57" s="116" t="str">
        <f aca="false">IF($B57="","",IF(AND(الموظفون!$U57="نعم",N(الموظفون!$W57)&gt;0),الموظفون!$V57/الموظفون!$W57*12/cfg_DAYS_Y*AJ57,0))</f>
        <v/>
      </c>
      <c r="AD57" s="116" t="str">
        <f aca="false">IF($B57="","",(IF(الموظفون!$X57&lt;&gt;"",الموظفون!$X57,IF(الموظفون!$E57="غير سعودي",cfg_IQ,0))+IF(الموظفون!$Y57&lt;&gt;"",الموظفون!$Y57,IF(الموظفون!$E57="غير سعودي",cfg_WP,0)))/12*G57/cfg_DAYS_M)</f>
        <v/>
      </c>
      <c r="AE57" s="116" t="str">
        <f aca="false">IF($B57="","",IF(الموظفون!$Z57&lt;&gt;"",الموظفون!$Z57,cfg_MED)/12*G57/cfg_DAYS_M)</f>
        <v/>
      </c>
      <c r="AF57" s="116" t="str">
        <f aca="false">IF($B57="","",N(الموظفون!$AA57)/12*G57/cfg_DAYS_M)</f>
        <v/>
      </c>
      <c r="AG57" s="159" t="str">
        <f aca="false">IF($B57="","",T57+SUM(Z57:AF57))</f>
        <v/>
      </c>
      <c r="AH57" s="160" t="str">
        <f aca="false">IF($B57="","",MAX(0,IF(OR(الموظفون!$AE57="",الموظفون!$AE57&gt;$F$3),$F$3,الموظفون!$AE57)-الموظفون!$H57+1-SUMIFS('سجل الإجازات والحالات'!$AN$6:$AN$505,'سجل الإجازات والحالات'!$B$6:$B$505,$B57))/cfg_DAYS_Y)</f>
        <v/>
      </c>
      <c r="AI57" s="160" t="str">
        <f aca="false">IF($B57="","",MAX(0,IF(OR(الموظفون!$AE57="",الموظفون!$AE57&gt;($E$3-1)),($E$3-1),الموظفون!$AE57)-الموظفون!$H57+1-SUMIFS('سجل الإجازات والحالات'!$AM$6:$AM$505,'سجل الإجازات والحالات'!$B$6:$B$505,$B57))/cfg_DAYS_Y)</f>
        <v/>
      </c>
      <c r="AJ57" s="133" t="str">
        <f aca="false">IF($B57="","",MAX(0,AK57-(SUMIFS('سجل الإجازات والحالات'!$AN$6:$AN$505,'سجل الإجازات والحالات'!$B$6:$B$505,$B57)-SUMIFS('سجل الإجازات والحالات'!$AM$6:$AM$505,'سجل الإجازات والحالات'!$B$6:$B$505,$B57))))</f>
        <v/>
      </c>
      <c r="AK57" s="133" t="str">
        <f aca="false">IF($B57="","",MAX(0,IF(OR(الموظفون!$AE57="",الموظفون!$AE57&gt;$F$3),$F$3,الموظفون!$AE57)-MAX($E$3,الموظفون!$H57)+1))</f>
        <v/>
      </c>
      <c r="AL57" s="156" t="str">
        <f aca="false">IF($B57="","",SUMIFS('سجل الإجازات والحالات'!$AZ$6:$AZ$505,'سجل الإجازات والحالات'!$B$6:$B$505,$B57)+SUMIFS('الحركات الشهرية'!$K$6:$K$1005,'الحركات الشهرية'!$B$6:$B$1005,$B57,'الحركات الشهرية'!$A$6:$A$1005,$C$3))</f>
        <v/>
      </c>
      <c r="AM57" s="116" t="str">
        <f aca="false">IF($B57="","",AL57*الموظفون!$R57/cfg_DAYS_M+S57)</f>
        <v/>
      </c>
      <c r="AN57" s="156" t="str">
        <f aca="false">IF($B57="","",SUMIFS('سجل الإجازات والحالات'!$AB$6:$AB$505,'سجل الإجازات والحالات'!$B$6:$B$505,$B57))</f>
        <v/>
      </c>
    </row>
    <row r="58" customFormat="false" ht="15" hidden="false" customHeight="false" outlineLevel="0" collapsed="false">
      <c r="A58" s="106" t="str">
        <f aca="false">IF($B58="","",الموظفون!$A58)</f>
        <v/>
      </c>
      <c r="B58" s="114" t="str">
        <f aca="false">IF(الموظفون!$B58="","",الموظفون!$B58)</f>
        <v/>
      </c>
      <c r="C58" s="114" t="str">
        <f aca="false">IF($B58="","",الموظفون!$C58)</f>
        <v/>
      </c>
      <c r="D58" s="114" t="str">
        <f aca="false">IF($B58="","",الموظفون!$F58)</f>
        <v/>
      </c>
      <c r="E58" s="114" t="str">
        <f aca="false">IF($B58="","",الموظفون!$E58)</f>
        <v/>
      </c>
      <c r="F58" s="114" t="str">
        <f aca="false">IF($B58="","",IF(AK58=0,IF(AND(الموظفون!$AE58&lt;&gt;"",الموظفون!$AE58&lt;$E$3),"✖ منتهي الخدمة","⏳ لم يباشر"),IF(S58&gt;0,"✈ راتب إجازة مقدم",IF(J58=0,"⛔ بدون راتب هذا الشهر",IF(I58&gt;0,"✈ خصم "&amp;ROUND(I58,2)&amp;" يوم بدون أجر",IF(AL58&gt;0,"🌴 إجازة سنوية "&amp;ROUND(AL58,2)&amp;" يوم",IF(H58&gt;0,"⚠ غياب "&amp;ROUND(H58,2)&amp;" يوم","✔ على رأس العمل")))))))</f>
        <v/>
      </c>
      <c r="G58" s="151" t="str">
        <f aca="false">IF($B58="","",IF(AK58&gt;=DAY($F$3),cfg_DAYS_M,MIN(AK58,cfg_DAYS_M)))</f>
        <v/>
      </c>
      <c r="H58" s="151" t="str">
        <f aca="false">IF($B58="","",SUMIFS('الحركات الشهرية'!$D$6:$D$1005,'الحركات الشهرية'!$B$6:$B$1005,$B58,'الحركات الشهرية'!$A$6:$A$1005,$C$3))</f>
        <v/>
      </c>
      <c r="I58" s="151" t="str">
        <f aca="false">IF($B58="","",MIN(G58,IF(AND(AK58&gt;0,AN58&gt;=AK58),G58,AN58)+SUMIFS('الحركات الشهرية'!$E$6:$E$1005,'الحركات الشهرية'!$B$6:$B$1005,$B58,'الحركات الشهرية'!$A$6:$A$1005,$C$3)))</f>
        <v/>
      </c>
      <c r="J58" s="151" t="str">
        <f aca="false">IF($B58="","",MAX(0,G58-H58-I58))</f>
        <v/>
      </c>
      <c r="K58" s="111" t="str">
        <f aca="false">IF($B58="","",الموظفون!$L58*$J58/cfg_DAYS_M)</f>
        <v/>
      </c>
      <c r="L58" s="111" t="str">
        <f aca="false">IF($B58="","",الموظفون!$M58*$J58/cfg_DAYS_M)</f>
        <v/>
      </c>
      <c r="M58" s="111" t="str">
        <f aca="false">IF($B58="","",الموظفون!$N58*$J58/cfg_DAYS_M)</f>
        <v/>
      </c>
      <c r="N58" s="111" t="str">
        <f aca="false">IF($B58="","",الموظفون!$O58*$J58/cfg_DAYS_M)</f>
        <v/>
      </c>
      <c r="O58" s="151" t="str">
        <f aca="false">IF($B58="","",SUMIFS('الحركات الشهرية'!$F$6:$F$1005,'الحركات الشهرية'!$B$6:$B$1005,$B58,'الحركات الشهرية'!$A$6:$A$1005,$C$3))</f>
        <v/>
      </c>
      <c r="P58" s="111" t="str">
        <f aca="false">IF($B58="","",O58*(الموظفون!$P58+الموظفون!$L58*cfg_OT_P)/cfg_DAYS_M/cfg_HRS)</f>
        <v/>
      </c>
      <c r="Q58" s="111" t="str">
        <f aca="false">IF($B58="","",SUMIFS('الحركات الشهرية'!$G$6:$G$1005,'الحركات الشهرية'!$B$6:$B$1005,$B58,'الحركات الشهرية'!$A$6:$A$1005,$C$3))</f>
        <v/>
      </c>
      <c r="R58" s="111" t="str">
        <f aca="false">IF($B58="","",SUMIFS('الحركات الشهرية'!$H$6:$H$1005,'الحركات الشهرية'!$B$6:$B$1005,$B58,'الحركات الشهرية'!$A$6:$A$1005,$C$3))</f>
        <v/>
      </c>
      <c r="S58" s="111" t="str">
        <f aca="false">IF($B58="","",SUMIFS('سجل الإجازات والحالات'!$N$6:$N$505,'سجل الإجازات والحالات'!$B$6:$B$505,$B58,'سجل الإجازات والحالات'!$O$6:$O$505,$C$3))</f>
        <v/>
      </c>
      <c r="T58" s="152" t="str">
        <f aca="false">IF($B58="","",SUM(K58:N58)+SUM(P58:S58))</f>
        <v/>
      </c>
      <c r="U58" s="111" t="str">
        <f aca="false">IF($B58="","",الموظفون!$S58*IF(E58="سعودي",cfg_G_SE,cfg_G_NE)*G58/cfg_DAYS_M)</f>
        <v/>
      </c>
      <c r="V58" s="111" t="str">
        <f aca="false">IF($B58="","",SUMIFS('الحركات الشهرية'!$I$6:$I$1005,'الحركات الشهرية'!$B$6:$B$1005,$B58,'الحركات الشهرية'!$A$6:$A$1005,$C$3))</f>
        <v/>
      </c>
      <c r="W58" s="111" t="str">
        <f aca="false">IF($B58="","",SUMIFS('الحركات الشهرية'!$J$6:$J$1005,'الحركات الشهرية'!$B$6:$B$1005,$B58,'الحركات الشهرية'!$A$6:$A$1005,$C$3))</f>
        <v/>
      </c>
      <c r="X58" s="111" t="str">
        <f aca="false">IF($B58="","",SUM(U58:W58))</f>
        <v/>
      </c>
      <c r="Y58" s="153" t="str">
        <f aca="false">IF($B58="","",T58-X58)</f>
        <v/>
      </c>
      <c r="Z58" s="111" t="str">
        <f aca="false">IF($B58="","",الموظفون!$S58*IF(E58="سعودي",cfg_G_SR,cfg_G_NR)*G58/cfg_DAYS_M)</f>
        <v/>
      </c>
      <c r="AA58" s="111" t="str">
        <f aca="false">IF($B58="","",الموظفون!$Q58*(cfg_EOS_R1*(MIN(AH58,cfg_EOS_TH)-MIN(AI58,cfg_EOS_TH))+cfg_EOS_R2*(MAX(AH58-cfg_EOS_TH,0)-MAX(AI58-cfg_EOS_TH,0))))</f>
        <v/>
      </c>
      <c r="AB58" s="111" t="str">
        <f aca="false">IF($B58="","",IF(الموظفون!$T58&lt;&gt;"",الموظفون!$T58,IF(AH58&gt;=cfg_LV_TH,cfg_LV_D2,cfg_LV_D1))/cfg_DAYS_Y*AJ58*الموظفون!$R58/cfg_DAYS_M)</f>
        <v/>
      </c>
      <c r="AC58" s="111" t="str">
        <f aca="false">IF($B58="","",IF(AND(الموظفون!$U58="نعم",N(الموظفون!$W58)&gt;0),الموظفون!$V58/الموظفون!$W58*12/cfg_DAYS_Y*AJ58,0))</f>
        <v/>
      </c>
      <c r="AD58" s="111" t="str">
        <f aca="false">IF($B58="","",(IF(الموظفون!$X58&lt;&gt;"",الموظفون!$X58,IF(الموظفون!$E58="غير سعودي",cfg_IQ,0))+IF(الموظفون!$Y58&lt;&gt;"",الموظفون!$Y58,IF(الموظفون!$E58="غير سعودي",cfg_WP,0)))/12*G58/cfg_DAYS_M)</f>
        <v/>
      </c>
      <c r="AE58" s="111" t="str">
        <f aca="false">IF($B58="","",IF(الموظفون!$Z58&lt;&gt;"",الموظفون!$Z58,cfg_MED)/12*G58/cfg_DAYS_M)</f>
        <v/>
      </c>
      <c r="AF58" s="111" t="str">
        <f aca="false">IF($B58="","",N(الموظفون!$AA58)/12*G58/cfg_DAYS_M)</f>
        <v/>
      </c>
      <c r="AG58" s="154" t="str">
        <f aca="false">IF($B58="","",T58+SUM(Z58:AF58))</f>
        <v/>
      </c>
      <c r="AH58" s="155" t="str">
        <f aca="false">IF($B58="","",MAX(0,IF(OR(الموظفون!$AE58="",الموظفون!$AE58&gt;$F$3),$F$3,الموظفون!$AE58)-الموظفون!$H58+1-SUMIFS('سجل الإجازات والحالات'!$AN$6:$AN$505,'سجل الإجازات والحالات'!$B$6:$B$505,$B58))/cfg_DAYS_Y)</f>
        <v/>
      </c>
      <c r="AI58" s="155" t="str">
        <f aca="false">IF($B58="","",MAX(0,IF(OR(الموظفون!$AE58="",الموظفون!$AE58&gt;($E$3-1)),($E$3-1),الموظفون!$AE58)-الموظفون!$H58+1-SUMIFS('سجل الإجازات والحالات'!$AM$6:$AM$505,'سجل الإجازات والحالات'!$B$6:$B$505,$B58))/cfg_DAYS_Y)</f>
        <v/>
      </c>
      <c r="AJ58" s="65" t="str">
        <f aca="false">IF($B58="","",MAX(0,AK58-(SUMIFS('سجل الإجازات والحالات'!$AN$6:$AN$505,'سجل الإجازات والحالات'!$B$6:$B$505,$B58)-SUMIFS('سجل الإجازات والحالات'!$AM$6:$AM$505,'سجل الإجازات والحالات'!$B$6:$B$505,$B58))))</f>
        <v/>
      </c>
      <c r="AK58" s="65" t="str">
        <f aca="false">IF($B58="","",MAX(0,IF(OR(الموظفون!$AE58="",الموظفون!$AE58&gt;$F$3),$F$3,الموظفون!$AE58)-MAX($E$3,الموظفون!$H58)+1))</f>
        <v/>
      </c>
      <c r="AL58" s="151" t="str">
        <f aca="false">IF($B58="","",SUMIFS('سجل الإجازات والحالات'!$AZ$6:$AZ$505,'سجل الإجازات والحالات'!$B$6:$B$505,$B58)+SUMIFS('الحركات الشهرية'!$K$6:$K$1005,'الحركات الشهرية'!$B$6:$B$1005,$B58,'الحركات الشهرية'!$A$6:$A$1005,$C$3))</f>
        <v/>
      </c>
      <c r="AM58" s="111" t="str">
        <f aca="false">IF($B58="","",AL58*الموظفون!$R58/cfg_DAYS_M+S58)</f>
        <v/>
      </c>
      <c r="AN58" s="151" t="str">
        <f aca="false">IF($B58="","",SUMIFS('سجل الإجازات والحالات'!$AB$6:$AB$505,'سجل الإجازات والحالات'!$B$6:$B$505,$B58))</f>
        <v/>
      </c>
    </row>
    <row r="59" customFormat="false" ht="15" hidden="false" customHeight="false" outlineLevel="0" collapsed="false">
      <c r="A59" s="115" t="str">
        <f aca="false">IF($B59="","",الموظفون!$A59)</f>
        <v/>
      </c>
      <c r="B59" s="117" t="str">
        <f aca="false">IF(الموظفون!$B59="","",الموظفون!$B59)</f>
        <v/>
      </c>
      <c r="C59" s="117" t="str">
        <f aca="false">IF($B59="","",الموظفون!$C59)</f>
        <v/>
      </c>
      <c r="D59" s="117" t="str">
        <f aca="false">IF($B59="","",الموظفون!$F59)</f>
        <v/>
      </c>
      <c r="E59" s="117" t="str">
        <f aca="false">IF($B59="","",الموظفون!$E59)</f>
        <v/>
      </c>
      <c r="F59" s="117" t="str">
        <f aca="false">IF($B59="","",IF(AK59=0,IF(AND(الموظفون!$AE59&lt;&gt;"",الموظفون!$AE59&lt;$E$3),"✖ منتهي الخدمة","⏳ لم يباشر"),IF(S59&gt;0,"✈ راتب إجازة مقدم",IF(J59=0,"⛔ بدون راتب هذا الشهر",IF(I59&gt;0,"✈ خصم "&amp;ROUND(I59,2)&amp;" يوم بدون أجر",IF(AL59&gt;0,"🌴 إجازة سنوية "&amp;ROUND(AL59,2)&amp;" يوم",IF(H59&gt;0,"⚠ غياب "&amp;ROUND(H59,2)&amp;" يوم","✔ على رأس العمل")))))))</f>
        <v/>
      </c>
      <c r="G59" s="156" t="str">
        <f aca="false">IF($B59="","",IF(AK59&gt;=DAY($F$3),cfg_DAYS_M,MIN(AK59,cfg_DAYS_M)))</f>
        <v/>
      </c>
      <c r="H59" s="156" t="str">
        <f aca="false">IF($B59="","",SUMIFS('الحركات الشهرية'!$D$6:$D$1005,'الحركات الشهرية'!$B$6:$B$1005,$B59,'الحركات الشهرية'!$A$6:$A$1005,$C$3))</f>
        <v/>
      </c>
      <c r="I59" s="156" t="str">
        <f aca="false">IF($B59="","",MIN(G59,IF(AND(AK59&gt;0,AN59&gt;=AK59),G59,AN59)+SUMIFS('الحركات الشهرية'!$E$6:$E$1005,'الحركات الشهرية'!$B$6:$B$1005,$B59,'الحركات الشهرية'!$A$6:$A$1005,$C$3)))</f>
        <v/>
      </c>
      <c r="J59" s="156" t="str">
        <f aca="false">IF($B59="","",MAX(0,G59-H59-I59))</f>
        <v/>
      </c>
      <c r="K59" s="116" t="str">
        <f aca="false">IF($B59="","",الموظفون!$L59*$J59/cfg_DAYS_M)</f>
        <v/>
      </c>
      <c r="L59" s="116" t="str">
        <f aca="false">IF($B59="","",الموظفون!$M59*$J59/cfg_DAYS_M)</f>
        <v/>
      </c>
      <c r="M59" s="116" t="str">
        <f aca="false">IF($B59="","",الموظفون!$N59*$J59/cfg_DAYS_M)</f>
        <v/>
      </c>
      <c r="N59" s="116" t="str">
        <f aca="false">IF($B59="","",الموظفون!$O59*$J59/cfg_DAYS_M)</f>
        <v/>
      </c>
      <c r="O59" s="156" t="str">
        <f aca="false">IF($B59="","",SUMIFS('الحركات الشهرية'!$F$6:$F$1005,'الحركات الشهرية'!$B$6:$B$1005,$B59,'الحركات الشهرية'!$A$6:$A$1005,$C$3))</f>
        <v/>
      </c>
      <c r="P59" s="116" t="str">
        <f aca="false">IF($B59="","",O59*(الموظفون!$P59+الموظفون!$L59*cfg_OT_P)/cfg_DAYS_M/cfg_HRS)</f>
        <v/>
      </c>
      <c r="Q59" s="116" t="str">
        <f aca="false">IF($B59="","",SUMIFS('الحركات الشهرية'!$G$6:$G$1005,'الحركات الشهرية'!$B$6:$B$1005,$B59,'الحركات الشهرية'!$A$6:$A$1005,$C$3))</f>
        <v/>
      </c>
      <c r="R59" s="116" t="str">
        <f aca="false">IF($B59="","",SUMIFS('الحركات الشهرية'!$H$6:$H$1005,'الحركات الشهرية'!$B$6:$B$1005,$B59,'الحركات الشهرية'!$A$6:$A$1005,$C$3))</f>
        <v/>
      </c>
      <c r="S59" s="116" t="str">
        <f aca="false">IF($B59="","",SUMIFS('سجل الإجازات والحالات'!$N$6:$N$505,'سجل الإجازات والحالات'!$B$6:$B$505,$B59,'سجل الإجازات والحالات'!$O$6:$O$505,$C$3))</f>
        <v/>
      </c>
      <c r="T59" s="157" t="str">
        <f aca="false">IF($B59="","",SUM(K59:N59)+SUM(P59:S59))</f>
        <v/>
      </c>
      <c r="U59" s="116" t="str">
        <f aca="false">IF($B59="","",الموظفون!$S59*IF(E59="سعودي",cfg_G_SE,cfg_G_NE)*G59/cfg_DAYS_M)</f>
        <v/>
      </c>
      <c r="V59" s="116" t="str">
        <f aca="false">IF($B59="","",SUMIFS('الحركات الشهرية'!$I$6:$I$1005,'الحركات الشهرية'!$B$6:$B$1005,$B59,'الحركات الشهرية'!$A$6:$A$1005,$C$3))</f>
        <v/>
      </c>
      <c r="W59" s="116" t="str">
        <f aca="false">IF($B59="","",SUMIFS('الحركات الشهرية'!$J$6:$J$1005,'الحركات الشهرية'!$B$6:$B$1005,$B59,'الحركات الشهرية'!$A$6:$A$1005,$C$3))</f>
        <v/>
      </c>
      <c r="X59" s="116" t="str">
        <f aca="false">IF($B59="","",SUM(U59:W59))</f>
        <v/>
      </c>
      <c r="Y59" s="158" t="str">
        <f aca="false">IF($B59="","",T59-X59)</f>
        <v/>
      </c>
      <c r="Z59" s="116" t="str">
        <f aca="false">IF($B59="","",الموظفون!$S59*IF(E59="سعودي",cfg_G_SR,cfg_G_NR)*G59/cfg_DAYS_M)</f>
        <v/>
      </c>
      <c r="AA59" s="116" t="str">
        <f aca="false">IF($B59="","",الموظفون!$Q59*(cfg_EOS_R1*(MIN(AH59,cfg_EOS_TH)-MIN(AI59,cfg_EOS_TH))+cfg_EOS_R2*(MAX(AH59-cfg_EOS_TH,0)-MAX(AI59-cfg_EOS_TH,0))))</f>
        <v/>
      </c>
      <c r="AB59" s="116" t="str">
        <f aca="false">IF($B59="","",IF(الموظفون!$T59&lt;&gt;"",الموظفون!$T59,IF(AH59&gt;=cfg_LV_TH,cfg_LV_D2,cfg_LV_D1))/cfg_DAYS_Y*AJ59*الموظفون!$R59/cfg_DAYS_M)</f>
        <v/>
      </c>
      <c r="AC59" s="116" t="str">
        <f aca="false">IF($B59="","",IF(AND(الموظفون!$U59="نعم",N(الموظفون!$W59)&gt;0),الموظفون!$V59/الموظفون!$W59*12/cfg_DAYS_Y*AJ59,0))</f>
        <v/>
      </c>
      <c r="AD59" s="116" t="str">
        <f aca="false">IF($B59="","",(IF(الموظفون!$X59&lt;&gt;"",الموظفون!$X59,IF(الموظفون!$E59="غير سعودي",cfg_IQ,0))+IF(الموظفون!$Y59&lt;&gt;"",الموظفون!$Y59,IF(الموظفون!$E59="غير سعودي",cfg_WP,0)))/12*G59/cfg_DAYS_M)</f>
        <v/>
      </c>
      <c r="AE59" s="116" t="str">
        <f aca="false">IF($B59="","",IF(الموظفون!$Z59&lt;&gt;"",الموظفون!$Z59,cfg_MED)/12*G59/cfg_DAYS_M)</f>
        <v/>
      </c>
      <c r="AF59" s="116" t="str">
        <f aca="false">IF($B59="","",N(الموظفون!$AA59)/12*G59/cfg_DAYS_M)</f>
        <v/>
      </c>
      <c r="AG59" s="159" t="str">
        <f aca="false">IF($B59="","",T59+SUM(Z59:AF59))</f>
        <v/>
      </c>
      <c r="AH59" s="160" t="str">
        <f aca="false">IF($B59="","",MAX(0,IF(OR(الموظفون!$AE59="",الموظفون!$AE59&gt;$F$3),$F$3,الموظفون!$AE59)-الموظفون!$H59+1-SUMIFS('سجل الإجازات والحالات'!$AN$6:$AN$505,'سجل الإجازات والحالات'!$B$6:$B$505,$B59))/cfg_DAYS_Y)</f>
        <v/>
      </c>
      <c r="AI59" s="160" t="str">
        <f aca="false">IF($B59="","",MAX(0,IF(OR(الموظفون!$AE59="",الموظفون!$AE59&gt;($E$3-1)),($E$3-1),الموظفون!$AE59)-الموظفون!$H59+1-SUMIFS('سجل الإجازات والحالات'!$AM$6:$AM$505,'سجل الإجازات والحالات'!$B$6:$B$505,$B59))/cfg_DAYS_Y)</f>
        <v/>
      </c>
      <c r="AJ59" s="133" t="str">
        <f aca="false">IF($B59="","",MAX(0,AK59-(SUMIFS('سجل الإجازات والحالات'!$AN$6:$AN$505,'سجل الإجازات والحالات'!$B$6:$B$505,$B59)-SUMIFS('سجل الإجازات والحالات'!$AM$6:$AM$505,'سجل الإجازات والحالات'!$B$6:$B$505,$B59))))</f>
        <v/>
      </c>
      <c r="AK59" s="133" t="str">
        <f aca="false">IF($B59="","",MAX(0,IF(OR(الموظفون!$AE59="",الموظفون!$AE59&gt;$F$3),$F$3,الموظفون!$AE59)-MAX($E$3,الموظفون!$H59)+1))</f>
        <v/>
      </c>
      <c r="AL59" s="156" t="str">
        <f aca="false">IF($B59="","",SUMIFS('سجل الإجازات والحالات'!$AZ$6:$AZ$505,'سجل الإجازات والحالات'!$B$6:$B$505,$B59)+SUMIFS('الحركات الشهرية'!$K$6:$K$1005,'الحركات الشهرية'!$B$6:$B$1005,$B59,'الحركات الشهرية'!$A$6:$A$1005,$C$3))</f>
        <v/>
      </c>
      <c r="AM59" s="116" t="str">
        <f aca="false">IF($B59="","",AL59*الموظفون!$R59/cfg_DAYS_M+S59)</f>
        <v/>
      </c>
      <c r="AN59" s="156" t="str">
        <f aca="false">IF($B59="","",SUMIFS('سجل الإجازات والحالات'!$AB$6:$AB$505,'سجل الإجازات والحالات'!$B$6:$B$505,$B59))</f>
        <v/>
      </c>
    </row>
    <row r="60" customFormat="false" ht="15" hidden="false" customHeight="false" outlineLevel="0" collapsed="false">
      <c r="A60" s="106" t="str">
        <f aca="false">IF($B60="","",الموظفون!$A60)</f>
        <v/>
      </c>
      <c r="B60" s="114" t="str">
        <f aca="false">IF(الموظفون!$B60="","",الموظفون!$B60)</f>
        <v/>
      </c>
      <c r="C60" s="114" t="str">
        <f aca="false">IF($B60="","",الموظفون!$C60)</f>
        <v/>
      </c>
      <c r="D60" s="114" t="str">
        <f aca="false">IF($B60="","",الموظفون!$F60)</f>
        <v/>
      </c>
      <c r="E60" s="114" t="str">
        <f aca="false">IF($B60="","",الموظفون!$E60)</f>
        <v/>
      </c>
      <c r="F60" s="114" t="str">
        <f aca="false">IF($B60="","",IF(AK60=0,IF(AND(الموظفون!$AE60&lt;&gt;"",الموظفون!$AE60&lt;$E$3),"✖ منتهي الخدمة","⏳ لم يباشر"),IF(S60&gt;0,"✈ راتب إجازة مقدم",IF(J60=0,"⛔ بدون راتب هذا الشهر",IF(I60&gt;0,"✈ خصم "&amp;ROUND(I60,2)&amp;" يوم بدون أجر",IF(AL60&gt;0,"🌴 إجازة سنوية "&amp;ROUND(AL60,2)&amp;" يوم",IF(H60&gt;0,"⚠ غياب "&amp;ROUND(H60,2)&amp;" يوم","✔ على رأس العمل")))))))</f>
        <v/>
      </c>
      <c r="G60" s="151" t="str">
        <f aca="false">IF($B60="","",IF(AK60&gt;=DAY($F$3),cfg_DAYS_M,MIN(AK60,cfg_DAYS_M)))</f>
        <v/>
      </c>
      <c r="H60" s="151" t="str">
        <f aca="false">IF($B60="","",SUMIFS('الحركات الشهرية'!$D$6:$D$1005,'الحركات الشهرية'!$B$6:$B$1005,$B60,'الحركات الشهرية'!$A$6:$A$1005,$C$3))</f>
        <v/>
      </c>
      <c r="I60" s="151" t="str">
        <f aca="false">IF($B60="","",MIN(G60,IF(AND(AK60&gt;0,AN60&gt;=AK60),G60,AN60)+SUMIFS('الحركات الشهرية'!$E$6:$E$1005,'الحركات الشهرية'!$B$6:$B$1005,$B60,'الحركات الشهرية'!$A$6:$A$1005,$C$3)))</f>
        <v/>
      </c>
      <c r="J60" s="151" t="str">
        <f aca="false">IF($B60="","",MAX(0,G60-H60-I60))</f>
        <v/>
      </c>
      <c r="K60" s="111" t="str">
        <f aca="false">IF($B60="","",الموظفون!$L60*$J60/cfg_DAYS_M)</f>
        <v/>
      </c>
      <c r="L60" s="111" t="str">
        <f aca="false">IF($B60="","",الموظفون!$M60*$J60/cfg_DAYS_M)</f>
        <v/>
      </c>
      <c r="M60" s="111" t="str">
        <f aca="false">IF($B60="","",الموظفون!$N60*$J60/cfg_DAYS_M)</f>
        <v/>
      </c>
      <c r="N60" s="111" t="str">
        <f aca="false">IF($B60="","",الموظفون!$O60*$J60/cfg_DAYS_M)</f>
        <v/>
      </c>
      <c r="O60" s="151" t="str">
        <f aca="false">IF($B60="","",SUMIFS('الحركات الشهرية'!$F$6:$F$1005,'الحركات الشهرية'!$B$6:$B$1005,$B60,'الحركات الشهرية'!$A$6:$A$1005,$C$3))</f>
        <v/>
      </c>
      <c r="P60" s="111" t="str">
        <f aca="false">IF($B60="","",O60*(الموظفون!$P60+الموظفون!$L60*cfg_OT_P)/cfg_DAYS_M/cfg_HRS)</f>
        <v/>
      </c>
      <c r="Q60" s="111" t="str">
        <f aca="false">IF($B60="","",SUMIFS('الحركات الشهرية'!$G$6:$G$1005,'الحركات الشهرية'!$B$6:$B$1005,$B60,'الحركات الشهرية'!$A$6:$A$1005,$C$3))</f>
        <v/>
      </c>
      <c r="R60" s="111" t="str">
        <f aca="false">IF($B60="","",SUMIFS('الحركات الشهرية'!$H$6:$H$1005,'الحركات الشهرية'!$B$6:$B$1005,$B60,'الحركات الشهرية'!$A$6:$A$1005,$C$3))</f>
        <v/>
      </c>
      <c r="S60" s="111" t="str">
        <f aca="false">IF($B60="","",SUMIFS('سجل الإجازات والحالات'!$N$6:$N$505,'سجل الإجازات والحالات'!$B$6:$B$505,$B60,'سجل الإجازات والحالات'!$O$6:$O$505,$C$3))</f>
        <v/>
      </c>
      <c r="T60" s="152" t="str">
        <f aca="false">IF($B60="","",SUM(K60:N60)+SUM(P60:S60))</f>
        <v/>
      </c>
      <c r="U60" s="111" t="str">
        <f aca="false">IF($B60="","",الموظفون!$S60*IF(E60="سعودي",cfg_G_SE,cfg_G_NE)*G60/cfg_DAYS_M)</f>
        <v/>
      </c>
      <c r="V60" s="111" t="str">
        <f aca="false">IF($B60="","",SUMIFS('الحركات الشهرية'!$I$6:$I$1005,'الحركات الشهرية'!$B$6:$B$1005,$B60,'الحركات الشهرية'!$A$6:$A$1005,$C$3))</f>
        <v/>
      </c>
      <c r="W60" s="111" t="str">
        <f aca="false">IF($B60="","",SUMIFS('الحركات الشهرية'!$J$6:$J$1005,'الحركات الشهرية'!$B$6:$B$1005,$B60,'الحركات الشهرية'!$A$6:$A$1005,$C$3))</f>
        <v/>
      </c>
      <c r="X60" s="111" t="str">
        <f aca="false">IF($B60="","",SUM(U60:W60))</f>
        <v/>
      </c>
      <c r="Y60" s="153" t="str">
        <f aca="false">IF($B60="","",T60-X60)</f>
        <v/>
      </c>
      <c r="Z60" s="111" t="str">
        <f aca="false">IF($B60="","",الموظفون!$S60*IF(E60="سعودي",cfg_G_SR,cfg_G_NR)*G60/cfg_DAYS_M)</f>
        <v/>
      </c>
      <c r="AA60" s="111" t="str">
        <f aca="false">IF($B60="","",الموظفون!$Q60*(cfg_EOS_R1*(MIN(AH60,cfg_EOS_TH)-MIN(AI60,cfg_EOS_TH))+cfg_EOS_R2*(MAX(AH60-cfg_EOS_TH,0)-MAX(AI60-cfg_EOS_TH,0))))</f>
        <v/>
      </c>
      <c r="AB60" s="111" t="str">
        <f aca="false">IF($B60="","",IF(الموظفون!$T60&lt;&gt;"",الموظفون!$T60,IF(AH60&gt;=cfg_LV_TH,cfg_LV_D2,cfg_LV_D1))/cfg_DAYS_Y*AJ60*الموظفون!$R60/cfg_DAYS_M)</f>
        <v/>
      </c>
      <c r="AC60" s="111" t="str">
        <f aca="false">IF($B60="","",IF(AND(الموظفون!$U60="نعم",N(الموظفون!$W60)&gt;0),الموظفون!$V60/الموظفون!$W60*12/cfg_DAYS_Y*AJ60,0))</f>
        <v/>
      </c>
      <c r="AD60" s="111" t="str">
        <f aca="false">IF($B60="","",(IF(الموظفون!$X60&lt;&gt;"",الموظفون!$X60,IF(الموظفون!$E60="غير سعودي",cfg_IQ,0))+IF(الموظفون!$Y60&lt;&gt;"",الموظفون!$Y60,IF(الموظفون!$E60="غير سعودي",cfg_WP,0)))/12*G60/cfg_DAYS_M)</f>
        <v/>
      </c>
      <c r="AE60" s="111" t="str">
        <f aca="false">IF($B60="","",IF(الموظفون!$Z60&lt;&gt;"",الموظفون!$Z60,cfg_MED)/12*G60/cfg_DAYS_M)</f>
        <v/>
      </c>
      <c r="AF60" s="111" t="str">
        <f aca="false">IF($B60="","",N(الموظفون!$AA60)/12*G60/cfg_DAYS_M)</f>
        <v/>
      </c>
      <c r="AG60" s="154" t="str">
        <f aca="false">IF($B60="","",T60+SUM(Z60:AF60))</f>
        <v/>
      </c>
      <c r="AH60" s="155" t="str">
        <f aca="false">IF($B60="","",MAX(0,IF(OR(الموظفون!$AE60="",الموظفون!$AE60&gt;$F$3),$F$3,الموظفون!$AE60)-الموظفون!$H60+1-SUMIFS('سجل الإجازات والحالات'!$AN$6:$AN$505,'سجل الإجازات والحالات'!$B$6:$B$505,$B60))/cfg_DAYS_Y)</f>
        <v/>
      </c>
      <c r="AI60" s="155" t="str">
        <f aca="false">IF($B60="","",MAX(0,IF(OR(الموظفون!$AE60="",الموظفون!$AE60&gt;($E$3-1)),($E$3-1),الموظفون!$AE60)-الموظفون!$H60+1-SUMIFS('سجل الإجازات والحالات'!$AM$6:$AM$505,'سجل الإجازات والحالات'!$B$6:$B$505,$B60))/cfg_DAYS_Y)</f>
        <v/>
      </c>
      <c r="AJ60" s="65" t="str">
        <f aca="false">IF($B60="","",MAX(0,AK60-(SUMIFS('سجل الإجازات والحالات'!$AN$6:$AN$505,'سجل الإجازات والحالات'!$B$6:$B$505,$B60)-SUMIFS('سجل الإجازات والحالات'!$AM$6:$AM$505,'سجل الإجازات والحالات'!$B$6:$B$505,$B60))))</f>
        <v/>
      </c>
      <c r="AK60" s="65" t="str">
        <f aca="false">IF($B60="","",MAX(0,IF(OR(الموظفون!$AE60="",الموظفون!$AE60&gt;$F$3),$F$3,الموظفون!$AE60)-MAX($E$3,الموظفون!$H60)+1))</f>
        <v/>
      </c>
      <c r="AL60" s="151" t="str">
        <f aca="false">IF($B60="","",SUMIFS('سجل الإجازات والحالات'!$AZ$6:$AZ$505,'سجل الإجازات والحالات'!$B$6:$B$505,$B60)+SUMIFS('الحركات الشهرية'!$K$6:$K$1005,'الحركات الشهرية'!$B$6:$B$1005,$B60,'الحركات الشهرية'!$A$6:$A$1005,$C$3))</f>
        <v/>
      </c>
      <c r="AM60" s="111" t="str">
        <f aca="false">IF($B60="","",AL60*الموظفون!$R60/cfg_DAYS_M+S60)</f>
        <v/>
      </c>
      <c r="AN60" s="151" t="str">
        <f aca="false">IF($B60="","",SUMIFS('سجل الإجازات والحالات'!$AB$6:$AB$505,'سجل الإجازات والحالات'!$B$6:$B$505,$B60))</f>
        <v/>
      </c>
    </row>
    <row r="61" customFormat="false" ht="15" hidden="false" customHeight="false" outlineLevel="0" collapsed="false">
      <c r="A61" s="115" t="str">
        <f aca="false">IF($B61="","",الموظفون!$A61)</f>
        <v/>
      </c>
      <c r="B61" s="117" t="str">
        <f aca="false">IF(الموظفون!$B61="","",الموظفون!$B61)</f>
        <v/>
      </c>
      <c r="C61" s="117" t="str">
        <f aca="false">IF($B61="","",الموظفون!$C61)</f>
        <v/>
      </c>
      <c r="D61" s="117" t="str">
        <f aca="false">IF($B61="","",الموظفون!$F61)</f>
        <v/>
      </c>
      <c r="E61" s="117" t="str">
        <f aca="false">IF($B61="","",الموظفون!$E61)</f>
        <v/>
      </c>
      <c r="F61" s="117" t="str">
        <f aca="false">IF($B61="","",IF(AK61=0,IF(AND(الموظفون!$AE61&lt;&gt;"",الموظفون!$AE61&lt;$E$3),"✖ منتهي الخدمة","⏳ لم يباشر"),IF(S61&gt;0,"✈ راتب إجازة مقدم",IF(J61=0,"⛔ بدون راتب هذا الشهر",IF(I61&gt;0,"✈ خصم "&amp;ROUND(I61,2)&amp;" يوم بدون أجر",IF(AL61&gt;0,"🌴 إجازة سنوية "&amp;ROUND(AL61,2)&amp;" يوم",IF(H61&gt;0,"⚠ غياب "&amp;ROUND(H61,2)&amp;" يوم","✔ على رأس العمل")))))))</f>
        <v/>
      </c>
      <c r="G61" s="156" t="str">
        <f aca="false">IF($B61="","",IF(AK61&gt;=DAY($F$3),cfg_DAYS_M,MIN(AK61,cfg_DAYS_M)))</f>
        <v/>
      </c>
      <c r="H61" s="156" t="str">
        <f aca="false">IF($B61="","",SUMIFS('الحركات الشهرية'!$D$6:$D$1005,'الحركات الشهرية'!$B$6:$B$1005,$B61,'الحركات الشهرية'!$A$6:$A$1005,$C$3))</f>
        <v/>
      </c>
      <c r="I61" s="156" t="str">
        <f aca="false">IF($B61="","",MIN(G61,IF(AND(AK61&gt;0,AN61&gt;=AK61),G61,AN61)+SUMIFS('الحركات الشهرية'!$E$6:$E$1005,'الحركات الشهرية'!$B$6:$B$1005,$B61,'الحركات الشهرية'!$A$6:$A$1005,$C$3)))</f>
        <v/>
      </c>
      <c r="J61" s="156" t="str">
        <f aca="false">IF($B61="","",MAX(0,G61-H61-I61))</f>
        <v/>
      </c>
      <c r="K61" s="116" t="str">
        <f aca="false">IF($B61="","",الموظفون!$L61*$J61/cfg_DAYS_M)</f>
        <v/>
      </c>
      <c r="L61" s="116" t="str">
        <f aca="false">IF($B61="","",الموظفون!$M61*$J61/cfg_DAYS_M)</f>
        <v/>
      </c>
      <c r="M61" s="116" t="str">
        <f aca="false">IF($B61="","",الموظفون!$N61*$J61/cfg_DAYS_M)</f>
        <v/>
      </c>
      <c r="N61" s="116" t="str">
        <f aca="false">IF($B61="","",الموظفون!$O61*$J61/cfg_DAYS_M)</f>
        <v/>
      </c>
      <c r="O61" s="156" t="str">
        <f aca="false">IF($B61="","",SUMIFS('الحركات الشهرية'!$F$6:$F$1005,'الحركات الشهرية'!$B$6:$B$1005,$B61,'الحركات الشهرية'!$A$6:$A$1005,$C$3))</f>
        <v/>
      </c>
      <c r="P61" s="116" t="str">
        <f aca="false">IF($B61="","",O61*(الموظفون!$P61+الموظفون!$L61*cfg_OT_P)/cfg_DAYS_M/cfg_HRS)</f>
        <v/>
      </c>
      <c r="Q61" s="116" t="str">
        <f aca="false">IF($B61="","",SUMIFS('الحركات الشهرية'!$G$6:$G$1005,'الحركات الشهرية'!$B$6:$B$1005,$B61,'الحركات الشهرية'!$A$6:$A$1005,$C$3))</f>
        <v/>
      </c>
      <c r="R61" s="116" t="str">
        <f aca="false">IF($B61="","",SUMIFS('الحركات الشهرية'!$H$6:$H$1005,'الحركات الشهرية'!$B$6:$B$1005,$B61,'الحركات الشهرية'!$A$6:$A$1005,$C$3))</f>
        <v/>
      </c>
      <c r="S61" s="116" t="str">
        <f aca="false">IF($B61="","",SUMIFS('سجل الإجازات والحالات'!$N$6:$N$505,'سجل الإجازات والحالات'!$B$6:$B$505,$B61,'سجل الإجازات والحالات'!$O$6:$O$505,$C$3))</f>
        <v/>
      </c>
      <c r="T61" s="157" t="str">
        <f aca="false">IF($B61="","",SUM(K61:N61)+SUM(P61:S61))</f>
        <v/>
      </c>
      <c r="U61" s="116" t="str">
        <f aca="false">IF($B61="","",الموظفون!$S61*IF(E61="سعودي",cfg_G_SE,cfg_G_NE)*G61/cfg_DAYS_M)</f>
        <v/>
      </c>
      <c r="V61" s="116" t="str">
        <f aca="false">IF($B61="","",SUMIFS('الحركات الشهرية'!$I$6:$I$1005,'الحركات الشهرية'!$B$6:$B$1005,$B61,'الحركات الشهرية'!$A$6:$A$1005,$C$3))</f>
        <v/>
      </c>
      <c r="W61" s="116" t="str">
        <f aca="false">IF($B61="","",SUMIFS('الحركات الشهرية'!$J$6:$J$1005,'الحركات الشهرية'!$B$6:$B$1005,$B61,'الحركات الشهرية'!$A$6:$A$1005,$C$3))</f>
        <v/>
      </c>
      <c r="X61" s="116" t="str">
        <f aca="false">IF($B61="","",SUM(U61:W61))</f>
        <v/>
      </c>
      <c r="Y61" s="158" t="str">
        <f aca="false">IF($B61="","",T61-X61)</f>
        <v/>
      </c>
      <c r="Z61" s="116" t="str">
        <f aca="false">IF($B61="","",الموظفون!$S61*IF(E61="سعودي",cfg_G_SR,cfg_G_NR)*G61/cfg_DAYS_M)</f>
        <v/>
      </c>
      <c r="AA61" s="116" t="str">
        <f aca="false">IF($B61="","",الموظفون!$Q61*(cfg_EOS_R1*(MIN(AH61,cfg_EOS_TH)-MIN(AI61,cfg_EOS_TH))+cfg_EOS_R2*(MAX(AH61-cfg_EOS_TH,0)-MAX(AI61-cfg_EOS_TH,0))))</f>
        <v/>
      </c>
      <c r="AB61" s="116" t="str">
        <f aca="false">IF($B61="","",IF(الموظفون!$T61&lt;&gt;"",الموظفون!$T61,IF(AH61&gt;=cfg_LV_TH,cfg_LV_D2,cfg_LV_D1))/cfg_DAYS_Y*AJ61*الموظفون!$R61/cfg_DAYS_M)</f>
        <v/>
      </c>
      <c r="AC61" s="116" t="str">
        <f aca="false">IF($B61="","",IF(AND(الموظفون!$U61="نعم",N(الموظفون!$W61)&gt;0),الموظفون!$V61/الموظفون!$W61*12/cfg_DAYS_Y*AJ61,0))</f>
        <v/>
      </c>
      <c r="AD61" s="116" t="str">
        <f aca="false">IF($B61="","",(IF(الموظفون!$X61&lt;&gt;"",الموظفون!$X61,IF(الموظفون!$E61="غير سعودي",cfg_IQ,0))+IF(الموظفون!$Y61&lt;&gt;"",الموظفون!$Y61,IF(الموظفون!$E61="غير سعودي",cfg_WP,0)))/12*G61/cfg_DAYS_M)</f>
        <v/>
      </c>
      <c r="AE61" s="116" t="str">
        <f aca="false">IF($B61="","",IF(الموظفون!$Z61&lt;&gt;"",الموظفون!$Z61,cfg_MED)/12*G61/cfg_DAYS_M)</f>
        <v/>
      </c>
      <c r="AF61" s="116" t="str">
        <f aca="false">IF($B61="","",N(الموظفون!$AA61)/12*G61/cfg_DAYS_M)</f>
        <v/>
      </c>
      <c r="AG61" s="159" t="str">
        <f aca="false">IF($B61="","",T61+SUM(Z61:AF61))</f>
        <v/>
      </c>
      <c r="AH61" s="160" t="str">
        <f aca="false">IF($B61="","",MAX(0,IF(OR(الموظفون!$AE61="",الموظفون!$AE61&gt;$F$3),$F$3,الموظفون!$AE61)-الموظفون!$H61+1-SUMIFS('سجل الإجازات والحالات'!$AN$6:$AN$505,'سجل الإجازات والحالات'!$B$6:$B$505,$B61))/cfg_DAYS_Y)</f>
        <v/>
      </c>
      <c r="AI61" s="160" t="str">
        <f aca="false">IF($B61="","",MAX(0,IF(OR(الموظفون!$AE61="",الموظفون!$AE61&gt;($E$3-1)),($E$3-1),الموظفون!$AE61)-الموظفون!$H61+1-SUMIFS('سجل الإجازات والحالات'!$AM$6:$AM$505,'سجل الإجازات والحالات'!$B$6:$B$505,$B61))/cfg_DAYS_Y)</f>
        <v/>
      </c>
      <c r="AJ61" s="133" t="str">
        <f aca="false">IF($B61="","",MAX(0,AK61-(SUMIFS('سجل الإجازات والحالات'!$AN$6:$AN$505,'سجل الإجازات والحالات'!$B$6:$B$505,$B61)-SUMIFS('سجل الإجازات والحالات'!$AM$6:$AM$505,'سجل الإجازات والحالات'!$B$6:$B$505,$B61))))</f>
        <v/>
      </c>
      <c r="AK61" s="133" t="str">
        <f aca="false">IF($B61="","",MAX(0,IF(OR(الموظفون!$AE61="",الموظفون!$AE61&gt;$F$3),$F$3,الموظفون!$AE61)-MAX($E$3,الموظفون!$H61)+1))</f>
        <v/>
      </c>
      <c r="AL61" s="156" t="str">
        <f aca="false">IF($B61="","",SUMIFS('سجل الإجازات والحالات'!$AZ$6:$AZ$505,'سجل الإجازات والحالات'!$B$6:$B$505,$B61)+SUMIFS('الحركات الشهرية'!$K$6:$K$1005,'الحركات الشهرية'!$B$6:$B$1005,$B61,'الحركات الشهرية'!$A$6:$A$1005,$C$3))</f>
        <v/>
      </c>
      <c r="AM61" s="116" t="str">
        <f aca="false">IF($B61="","",AL61*الموظفون!$R61/cfg_DAYS_M+S61)</f>
        <v/>
      </c>
      <c r="AN61" s="156" t="str">
        <f aca="false">IF($B61="","",SUMIFS('سجل الإجازات والحالات'!$AB$6:$AB$505,'سجل الإجازات والحالات'!$B$6:$B$505,$B61))</f>
        <v/>
      </c>
    </row>
    <row r="62" customFormat="false" ht="15" hidden="false" customHeight="false" outlineLevel="0" collapsed="false">
      <c r="A62" s="106" t="str">
        <f aca="false">IF($B62="","",الموظفون!$A62)</f>
        <v/>
      </c>
      <c r="B62" s="114" t="str">
        <f aca="false">IF(الموظفون!$B62="","",الموظفون!$B62)</f>
        <v/>
      </c>
      <c r="C62" s="114" t="str">
        <f aca="false">IF($B62="","",الموظفون!$C62)</f>
        <v/>
      </c>
      <c r="D62" s="114" t="str">
        <f aca="false">IF($B62="","",الموظفون!$F62)</f>
        <v/>
      </c>
      <c r="E62" s="114" t="str">
        <f aca="false">IF($B62="","",الموظفون!$E62)</f>
        <v/>
      </c>
      <c r="F62" s="114" t="str">
        <f aca="false">IF($B62="","",IF(AK62=0,IF(AND(الموظفون!$AE62&lt;&gt;"",الموظفون!$AE62&lt;$E$3),"✖ منتهي الخدمة","⏳ لم يباشر"),IF(S62&gt;0,"✈ راتب إجازة مقدم",IF(J62=0,"⛔ بدون راتب هذا الشهر",IF(I62&gt;0,"✈ خصم "&amp;ROUND(I62,2)&amp;" يوم بدون أجر",IF(AL62&gt;0,"🌴 إجازة سنوية "&amp;ROUND(AL62,2)&amp;" يوم",IF(H62&gt;0,"⚠ غياب "&amp;ROUND(H62,2)&amp;" يوم","✔ على رأس العمل")))))))</f>
        <v/>
      </c>
      <c r="G62" s="151" t="str">
        <f aca="false">IF($B62="","",IF(AK62&gt;=DAY($F$3),cfg_DAYS_M,MIN(AK62,cfg_DAYS_M)))</f>
        <v/>
      </c>
      <c r="H62" s="151" t="str">
        <f aca="false">IF($B62="","",SUMIFS('الحركات الشهرية'!$D$6:$D$1005,'الحركات الشهرية'!$B$6:$B$1005,$B62,'الحركات الشهرية'!$A$6:$A$1005,$C$3))</f>
        <v/>
      </c>
      <c r="I62" s="151" t="str">
        <f aca="false">IF($B62="","",MIN(G62,IF(AND(AK62&gt;0,AN62&gt;=AK62),G62,AN62)+SUMIFS('الحركات الشهرية'!$E$6:$E$1005,'الحركات الشهرية'!$B$6:$B$1005,$B62,'الحركات الشهرية'!$A$6:$A$1005,$C$3)))</f>
        <v/>
      </c>
      <c r="J62" s="151" t="str">
        <f aca="false">IF($B62="","",MAX(0,G62-H62-I62))</f>
        <v/>
      </c>
      <c r="K62" s="111" t="str">
        <f aca="false">IF($B62="","",الموظفون!$L62*$J62/cfg_DAYS_M)</f>
        <v/>
      </c>
      <c r="L62" s="111" t="str">
        <f aca="false">IF($B62="","",الموظفون!$M62*$J62/cfg_DAYS_M)</f>
        <v/>
      </c>
      <c r="M62" s="111" t="str">
        <f aca="false">IF($B62="","",الموظفون!$N62*$J62/cfg_DAYS_M)</f>
        <v/>
      </c>
      <c r="N62" s="111" t="str">
        <f aca="false">IF($B62="","",الموظفون!$O62*$J62/cfg_DAYS_M)</f>
        <v/>
      </c>
      <c r="O62" s="151" t="str">
        <f aca="false">IF($B62="","",SUMIFS('الحركات الشهرية'!$F$6:$F$1005,'الحركات الشهرية'!$B$6:$B$1005,$B62,'الحركات الشهرية'!$A$6:$A$1005,$C$3))</f>
        <v/>
      </c>
      <c r="P62" s="111" t="str">
        <f aca="false">IF($B62="","",O62*(الموظفون!$P62+الموظفون!$L62*cfg_OT_P)/cfg_DAYS_M/cfg_HRS)</f>
        <v/>
      </c>
      <c r="Q62" s="111" t="str">
        <f aca="false">IF($B62="","",SUMIFS('الحركات الشهرية'!$G$6:$G$1005,'الحركات الشهرية'!$B$6:$B$1005,$B62,'الحركات الشهرية'!$A$6:$A$1005,$C$3))</f>
        <v/>
      </c>
      <c r="R62" s="111" t="str">
        <f aca="false">IF($B62="","",SUMIFS('الحركات الشهرية'!$H$6:$H$1005,'الحركات الشهرية'!$B$6:$B$1005,$B62,'الحركات الشهرية'!$A$6:$A$1005,$C$3))</f>
        <v/>
      </c>
      <c r="S62" s="111" t="str">
        <f aca="false">IF($B62="","",SUMIFS('سجل الإجازات والحالات'!$N$6:$N$505,'سجل الإجازات والحالات'!$B$6:$B$505,$B62,'سجل الإجازات والحالات'!$O$6:$O$505,$C$3))</f>
        <v/>
      </c>
      <c r="T62" s="152" t="str">
        <f aca="false">IF($B62="","",SUM(K62:N62)+SUM(P62:S62))</f>
        <v/>
      </c>
      <c r="U62" s="111" t="str">
        <f aca="false">IF($B62="","",الموظفون!$S62*IF(E62="سعودي",cfg_G_SE,cfg_G_NE)*G62/cfg_DAYS_M)</f>
        <v/>
      </c>
      <c r="V62" s="111" t="str">
        <f aca="false">IF($B62="","",SUMIFS('الحركات الشهرية'!$I$6:$I$1005,'الحركات الشهرية'!$B$6:$B$1005,$B62,'الحركات الشهرية'!$A$6:$A$1005,$C$3))</f>
        <v/>
      </c>
      <c r="W62" s="111" t="str">
        <f aca="false">IF($B62="","",SUMIFS('الحركات الشهرية'!$J$6:$J$1005,'الحركات الشهرية'!$B$6:$B$1005,$B62,'الحركات الشهرية'!$A$6:$A$1005,$C$3))</f>
        <v/>
      </c>
      <c r="X62" s="111" t="str">
        <f aca="false">IF($B62="","",SUM(U62:W62))</f>
        <v/>
      </c>
      <c r="Y62" s="153" t="str">
        <f aca="false">IF($B62="","",T62-X62)</f>
        <v/>
      </c>
      <c r="Z62" s="111" t="str">
        <f aca="false">IF($B62="","",الموظفون!$S62*IF(E62="سعودي",cfg_G_SR,cfg_G_NR)*G62/cfg_DAYS_M)</f>
        <v/>
      </c>
      <c r="AA62" s="111" t="str">
        <f aca="false">IF($B62="","",الموظفون!$Q62*(cfg_EOS_R1*(MIN(AH62,cfg_EOS_TH)-MIN(AI62,cfg_EOS_TH))+cfg_EOS_R2*(MAX(AH62-cfg_EOS_TH,0)-MAX(AI62-cfg_EOS_TH,0))))</f>
        <v/>
      </c>
      <c r="AB62" s="111" t="str">
        <f aca="false">IF($B62="","",IF(الموظفون!$T62&lt;&gt;"",الموظفون!$T62,IF(AH62&gt;=cfg_LV_TH,cfg_LV_D2,cfg_LV_D1))/cfg_DAYS_Y*AJ62*الموظفون!$R62/cfg_DAYS_M)</f>
        <v/>
      </c>
      <c r="AC62" s="111" t="str">
        <f aca="false">IF($B62="","",IF(AND(الموظفون!$U62="نعم",N(الموظفون!$W62)&gt;0),الموظفون!$V62/الموظفون!$W62*12/cfg_DAYS_Y*AJ62,0))</f>
        <v/>
      </c>
      <c r="AD62" s="111" t="str">
        <f aca="false">IF($B62="","",(IF(الموظفون!$X62&lt;&gt;"",الموظفون!$X62,IF(الموظفون!$E62="غير سعودي",cfg_IQ,0))+IF(الموظفون!$Y62&lt;&gt;"",الموظفون!$Y62,IF(الموظفون!$E62="غير سعودي",cfg_WP,0)))/12*G62/cfg_DAYS_M)</f>
        <v/>
      </c>
      <c r="AE62" s="111" t="str">
        <f aca="false">IF($B62="","",IF(الموظفون!$Z62&lt;&gt;"",الموظفون!$Z62,cfg_MED)/12*G62/cfg_DAYS_M)</f>
        <v/>
      </c>
      <c r="AF62" s="111" t="str">
        <f aca="false">IF($B62="","",N(الموظفون!$AA62)/12*G62/cfg_DAYS_M)</f>
        <v/>
      </c>
      <c r="AG62" s="154" t="str">
        <f aca="false">IF($B62="","",T62+SUM(Z62:AF62))</f>
        <v/>
      </c>
      <c r="AH62" s="155" t="str">
        <f aca="false">IF($B62="","",MAX(0,IF(OR(الموظفون!$AE62="",الموظفون!$AE62&gt;$F$3),$F$3,الموظفون!$AE62)-الموظفون!$H62+1-SUMIFS('سجل الإجازات والحالات'!$AN$6:$AN$505,'سجل الإجازات والحالات'!$B$6:$B$505,$B62))/cfg_DAYS_Y)</f>
        <v/>
      </c>
      <c r="AI62" s="155" t="str">
        <f aca="false">IF($B62="","",MAX(0,IF(OR(الموظفون!$AE62="",الموظفون!$AE62&gt;($E$3-1)),($E$3-1),الموظفون!$AE62)-الموظفون!$H62+1-SUMIFS('سجل الإجازات والحالات'!$AM$6:$AM$505,'سجل الإجازات والحالات'!$B$6:$B$505,$B62))/cfg_DAYS_Y)</f>
        <v/>
      </c>
      <c r="AJ62" s="65" t="str">
        <f aca="false">IF($B62="","",MAX(0,AK62-(SUMIFS('سجل الإجازات والحالات'!$AN$6:$AN$505,'سجل الإجازات والحالات'!$B$6:$B$505,$B62)-SUMIFS('سجل الإجازات والحالات'!$AM$6:$AM$505,'سجل الإجازات والحالات'!$B$6:$B$505,$B62))))</f>
        <v/>
      </c>
      <c r="AK62" s="65" t="str">
        <f aca="false">IF($B62="","",MAX(0,IF(OR(الموظفون!$AE62="",الموظفون!$AE62&gt;$F$3),$F$3,الموظفون!$AE62)-MAX($E$3,الموظفون!$H62)+1))</f>
        <v/>
      </c>
      <c r="AL62" s="151" t="str">
        <f aca="false">IF($B62="","",SUMIFS('سجل الإجازات والحالات'!$AZ$6:$AZ$505,'سجل الإجازات والحالات'!$B$6:$B$505,$B62)+SUMIFS('الحركات الشهرية'!$K$6:$K$1005,'الحركات الشهرية'!$B$6:$B$1005,$B62,'الحركات الشهرية'!$A$6:$A$1005,$C$3))</f>
        <v/>
      </c>
      <c r="AM62" s="111" t="str">
        <f aca="false">IF($B62="","",AL62*الموظفون!$R62/cfg_DAYS_M+S62)</f>
        <v/>
      </c>
      <c r="AN62" s="151" t="str">
        <f aca="false">IF($B62="","",SUMIFS('سجل الإجازات والحالات'!$AB$6:$AB$505,'سجل الإجازات والحالات'!$B$6:$B$505,$B62))</f>
        <v/>
      </c>
    </row>
    <row r="63" customFormat="false" ht="15" hidden="false" customHeight="false" outlineLevel="0" collapsed="false">
      <c r="A63" s="115" t="str">
        <f aca="false">IF($B63="","",الموظفون!$A63)</f>
        <v/>
      </c>
      <c r="B63" s="117" t="str">
        <f aca="false">IF(الموظفون!$B63="","",الموظفون!$B63)</f>
        <v/>
      </c>
      <c r="C63" s="117" t="str">
        <f aca="false">IF($B63="","",الموظفون!$C63)</f>
        <v/>
      </c>
      <c r="D63" s="117" t="str">
        <f aca="false">IF($B63="","",الموظفون!$F63)</f>
        <v/>
      </c>
      <c r="E63" s="117" t="str">
        <f aca="false">IF($B63="","",الموظفون!$E63)</f>
        <v/>
      </c>
      <c r="F63" s="117" t="str">
        <f aca="false">IF($B63="","",IF(AK63=0,IF(AND(الموظفون!$AE63&lt;&gt;"",الموظفون!$AE63&lt;$E$3),"✖ منتهي الخدمة","⏳ لم يباشر"),IF(S63&gt;0,"✈ راتب إجازة مقدم",IF(J63=0,"⛔ بدون راتب هذا الشهر",IF(I63&gt;0,"✈ خصم "&amp;ROUND(I63,2)&amp;" يوم بدون أجر",IF(AL63&gt;0,"🌴 إجازة سنوية "&amp;ROUND(AL63,2)&amp;" يوم",IF(H63&gt;0,"⚠ غياب "&amp;ROUND(H63,2)&amp;" يوم","✔ على رأس العمل")))))))</f>
        <v/>
      </c>
      <c r="G63" s="156" t="str">
        <f aca="false">IF($B63="","",IF(AK63&gt;=DAY($F$3),cfg_DAYS_M,MIN(AK63,cfg_DAYS_M)))</f>
        <v/>
      </c>
      <c r="H63" s="156" t="str">
        <f aca="false">IF($B63="","",SUMIFS('الحركات الشهرية'!$D$6:$D$1005,'الحركات الشهرية'!$B$6:$B$1005,$B63,'الحركات الشهرية'!$A$6:$A$1005,$C$3))</f>
        <v/>
      </c>
      <c r="I63" s="156" t="str">
        <f aca="false">IF($B63="","",MIN(G63,IF(AND(AK63&gt;0,AN63&gt;=AK63),G63,AN63)+SUMIFS('الحركات الشهرية'!$E$6:$E$1005,'الحركات الشهرية'!$B$6:$B$1005,$B63,'الحركات الشهرية'!$A$6:$A$1005,$C$3)))</f>
        <v/>
      </c>
      <c r="J63" s="156" t="str">
        <f aca="false">IF($B63="","",MAX(0,G63-H63-I63))</f>
        <v/>
      </c>
      <c r="K63" s="116" t="str">
        <f aca="false">IF($B63="","",الموظفون!$L63*$J63/cfg_DAYS_M)</f>
        <v/>
      </c>
      <c r="L63" s="116" t="str">
        <f aca="false">IF($B63="","",الموظفون!$M63*$J63/cfg_DAYS_M)</f>
        <v/>
      </c>
      <c r="M63" s="116" t="str">
        <f aca="false">IF($B63="","",الموظفون!$N63*$J63/cfg_DAYS_M)</f>
        <v/>
      </c>
      <c r="N63" s="116" t="str">
        <f aca="false">IF($B63="","",الموظفون!$O63*$J63/cfg_DAYS_M)</f>
        <v/>
      </c>
      <c r="O63" s="156" t="str">
        <f aca="false">IF($B63="","",SUMIFS('الحركات الشهرية'!$F$6:$F$1005,'الحركات الشهرية'!$B$6:$B$1005,$B63,'الحركات الشهرية'!$A$6:$A$1005,$C$3))</f>
        <v/>
      </c>
      <c r="P63" s="116" t="str">
        <f aca="false">IF($B63="","",O63*(الموظفون!$P63+الموظفون!$L63*cfg_OT_P)/cfg_DAYS_M/cfg_HRS)</f>
        <v/>
      </c>
      <c r="Q63" s="116" t="str">
        <f aca="false">IF($B63="","",SUMIFS('الحركات الشهرية'!$G$6:$G$1005,'الحركات الشهرية'!$B$6:$B$1005,$B63,'الحركات الشهرية'!$A$6:$A$1005,$C$3))</f>
        <v/>
      </c>
      <c r="R63" s="116" t="str">
        <f aca="false">IF($B63="","",SUMIFS('الحركات الشهرية'!$H$6:$H$1005,'الحركات الشهرية'!$B$6:$B$1005,$B63,'الحركات الشهرية'!$A$6:$A$1005,$C$3))</f>
        <v/>
      </c>
      <c r="S63" s="116" t="str">
        <f aca="false">IF($B63="","",SUMIFS('سجل الإجازات والحالات'!$N$6:$N$505,'سجل الإجازات والحالات'!$B$6:$B$505,$B63,'سجل الإجازات والحالات'!$O$6:$O$505,$C$3))</f>
        <v/>
      </c>
      <c r="T63" s="157" t="str">
        <f aca="false">IF($B63="","",SUM(K63:N63)+SUM(P63:S63))</f>
        <v/>
      </c>
      <c r="U63" s="116" t="str">
        <f aca="false">IF($B63="","",الموظفون!$S63*IF(E63="سعودي",cfg_G_SE,cfg_G_NE)*G63/cfg_DAYS_M)</f>
        <v/>
      </c>
      <c r="V63" s="116" t="str">
        <f aca="false">IF($B63="","",SUMIFS('الحركات الشهرية'!$I$6:$I$1005,'الحركات الشهرية'!$B$6:$B$1005,$B63,'الحركات الشهرية'!$A$6:$A$1005,$C$3))</f>
        <v/>
      </c>
      <c r="W63" s="116" t="str">
        <f aca="false">IF($B63="","",SUMIFS('الحركات الشهرية'!$J$6:$J$1005,'الحركات الشهرية'!$B$6:$B$1005,$B63,'الحركات الشهرية'!$A$6:$A$1005,$C$3))</f>
        <v/>
      </c>
      <c r="X63" s="116" t="str">
        <f aca="false">IF($B63="","",SUM(U63:W63))</f>
        <v/>
      </c>
      <c r="Y63" s="158" t="str">
        <f aca="false">IF($B63="","",T63-X63)</f>
        <v/>
      </c>
      <c r="Z63" s="116" t="str">
        <f aca="false">IF($B63="","",الموظفون!$S63*IF(E63="سعودي",cfg_G_SR,cfg_G_NR)*G63/cfg_DAYS_M)</f>
        <v/>
      </c>
      <c r="AA63" s="116" t="str">
        <f aca="false">IF($B63="","",الموظفون!$Q63*(cfg_EOS_R1*(MIN(AH63,cfg_EOS_TH)-MIN(AI63,cfg_EOS_TH))+cfg_EOS_R2*(MAX(AH63-cfg_EOS_TH,0)-MAX(AI63-cfg_EOS_TH,0))))</f>
        <v/>
      </c>
      <c r="AB63" s="116" t="str">
        <f aca="false">IF($B63="","",IF(الموظفون!$T63&lt;&gt;"",الموظفون!$T63,IF(AH63&gt;=cfg_LV_TH,cfg_LV_D2,cfg_LV_D1))/cfg_DAYS_Y*AJ63*الموظفون!$R63/cfg_DAYS_M)</f>
        <v/>
      </c>
      <c r="AC63" s="116" t="str">
        <f aca="false">IF($B63="","",IF(AND(الموظفون!$U63="نعم",N(الموظفون!$W63)&gt;0),الموظفون!$V63/الموظفون!$W63*12/cfg_DAYS_Y*AJ63,0))</f>
        <v/>
      </c>
      <c r="AD63" s="116" t="str">
        <f aca="false">IF($B63="","",(IF(الموظفون!$X63&lt;&gt;"",الموظفون!$X63,IF(الموظفون!$E63="غير سعودي",cfg_IQ,0))+IF(الموظفون!$Y63&lt;&gt;"",الموظفون!$Y63,IF(الموظفون!$E63="غير سعودي",cfg_WP,0)))/12*G63/cfg_DAYS_M)</f>
        <v/>
      </c>
      <c r="AE63" s="116" t="str">
        <f aca="false">IF($B63="","",IF(الموظفون!$Z63&lt;&gt;"",الموظفون!$Z63,cfg_MED)/12*G63/cfg_DAYS_M)</f>
        <v/>
      </c>
      <c r="AF63" s="116" t="str">
        <f aca="false">IF($B63="","",N(الموظفون!$AA63)/12*G63/cfg_DAYS_M)</f>
        <v/>
      </c>
      <c r="AG63" s="159" t="str">
        <f aca="false">IF($B63="","",T63+SUM(Z63:AF63))</f>
        <v/>
      </c>
      <c r="AH63" s="160" t="str">
        <f aca="false">IF($B63="","",MAX(0,IF(OR(الموظفون!$AE63="",الموظفون!$AE63&gt;$F$3),$F$3,الموظفون!$AE63)-الموظفون!$H63+1-SUMIFS('سجل الإجازات والحالات'!$AN$6:$AN$505,'سجل الإجازات والحالات'!$B$6:$B$505,$B63))/cfg_DAYS_Y)</f>
        <v/>
      </c>
      <c r="AI63" s="160" t="str">
        <f aca="false">IF($B63="","",MAX(0,IF(OR(الموظفون!$AE63="",الموظفون!$AE63&gt;($E$3-1)),($E$3-1),الموظفون!$AE63)-الموظفون!$H63+1-SUMIFS('سجل الإجازات والحالات'!$AM$6:$AM$505,'سجل الإجازات والحالات'!$B$6:$B$505,$B63))/cfg_DAYS_Y)</f>
        <v/>
      </c>
      <c r="AJ63" s="133" t="str">
        <f aca="false">IF($B63="","",MAX(0,AK63-(SUMIFS('سجل الإجازات والحالات'!$AN$6:$AN$505,'سجل الإجازات والحالات'!$B$6:$B$505,$B63)-SUMIFS('سجل الإجازات والحالات'!$AM$6:$AM$505,'سجل الإجازات والحالات'!$B$6:$B$505,$B63))))</f>
        <v/>
      </c>
      <c r="AK63" s="133" t="str">
        <f aca="false">IF($B63="","",MAX(0,IF(OR(الموظفون!$AE63="",الموظفون!$AE63&gt;$F$3),$F$3,الموظفون!$AE63)-MAX($E$3,الموظفون!$H63)+1))</f>
        <v/>
      </c>
      <c r="AL63" s="156" t="str">
        <f aca="false">IF($B63="","",SUMIFS('سجل الإجازات والحالات'!$AZ$6:$AZ$505,'سجل الإجازات والحالات'!$B$6:$B$505,$B63)+SUMIFS('الحركات الشهرية'!$K$6:$K$1005,'الحركات الشهرية'!$B$6:$B$1005,$B63,'الحركات الشهرية'!$A$6:$A$1005,$C$3))</f>
        <v/>
      </c>
      <c r="AM63" s="116" t="str">
        <f aca="false">IF($B63="","",AL63*الموظفون!$R63/cfg_DAYS_M+S63)</f>
        <v/>
      </c>
      <c r="AN63" s="156" t="str">
        <f aca="false">IF($B63="","",SUMIFS('سجل الإجازات والحالات'!$AB$6:$AB$505,'سجل الإجازات والحالات'!$B$6:$B$505,$B63))</f>
        <v/>
      </c>
    </row>
    <row r="64" customFormat="false" ht="15" hidden="false" customHeight="false" outlineLevel="0" collapsed="false">
      <c r="A64" s="106" t="str">
        <f aca="false">IF($B64="","",الموظفون!$A64)</f>
        <v/>
      </c>
      <c r="B64" s="114" t="str">
        <f aca="false">IF(الموظفون!$B64="","",الموظفون!$B64)</f>
        <v/>
      </c>
      <c r="C64" s="114" t="str">
        <f aca="false">IF($B64="","",الموظفون!$C64)</f>
        <v/>
      </c>
      <c r="D64" s="114" t="str">
        <f aca="false">IF($B64="","",الموظفون!$F64)</f>
        <v/>
      </c>
      <c r="E64" s="114" t="str">
        <f aca="false">IF($B64="","",الموظفون!$E64)</f>
        <v/>
      </c>
      <c r="F64" s="114" t="str">
        <f aca="false">IF($B64="","",IF(AK64=0,IF(AND(الموظفون!$AE64&lt;&gt;"",الموظفون!$AE64&lt;$E$3),"✖ منتهي الخدمة","⏳ لم يباشر"),IF(S64&gt;0,"✈ راتب إجازة مقدم",IF(J64=0,"⛔ بدون راتب هذا الشهر",IF(I64&gt;0,"✈ خصم "&amp;ROUND(I64,2)&amp;" يوم بدون أجر",IF(AL64&gt;0,"🌴 إجازة سنوية "&amp;ROUND(AL64,2)&amp;" يوم",IF(H64&gt;0,"⚠ غياب "&amp;ROUND(H64,2)&amp;" يوم","✔ على رأس العمل")))))))</f>
        <v/>
      </c>
      <c r="G64" s="151" t="str">
        <f aca="false">IF($B64="","",IF(AK64&gt;=DAY($F$3),cfg_DAYS_M,MIN(AK64,cfg_DAYS_M)))</f>
        <v/>
      </c>
      <c r="H64" s="151" t="str">
        <f aca="false">IF($B64="","",SUMIFS('الحركات الشهرية'!$D$6:$D$1005,'الحركات الشهرية'!$B$6:$B$1005,$B64,'الحركات الشهرية'!$A$6:$A$1005,$C$3))</f>
        <v/>
      </c>
      <c r="I64" s="151" t="str">
        <f aca="false">IF($B64="","",MIN(G64,IF(AND(AK64&gt;0,AN64&gt;=AK64),G64,AN64)+SUMIFS('الحركات الشهرية'!$E$6:$E$1005,'الحركات الشهرية'!$B$6:$B$1005,$B64,'الحركات الشهرية'!$A$6:$A$1005,$C$3)))</f>
        <v/>
      </c>
      <c r="J64" s="151" t="str">
        <f aca="false">IF($B64="","",MAX(0,G64-H64-I64))</f>
        <v/>
      </c>
      <c r="K64" s="111" t="str">
        <f aca="false">IF($B64="","",الموظفون!$L64*$J64/cfg_DAYS_M)</f>
        <v/>
      </c>
      <c r="L64" s="111" t="str">
        <f aca="false">IF($B64="","",الموظفون!$M64*$J64/cfg_DAYS_M)</f>
        <v/>
      </c>
      <c r="M64" s="111" t="str">
        <f aca="false">IF($B64="","",الموظفون!$N64*$J64/cfg_DAYS_M)</f>
        <v/>
      </c>
      <c r="N64" s="111" t="str">
        <f aca="false">IF($B64="","",الموظفون!$O64*$J64/cfg_DAYS_M)</f>
        <v/>
      </c>
      <c r="O64" s="151" t="str">
        <f aca="false">IF($B64="","",SUMIFS('الحركات الشهرية'!$F$6:$F$1005,'الحركات الشهرية'!$B$6:$B$1005,$B64,'الحركات الشهرية'!$A$6:$A$1005,$C$3))</f>
        <v/>
      </c>
      <c r="P64" s="111" t="str">
        <f aca="false">IF($B64="","",O64*(الموظفون!$P64+الموظفون!$L64*cfg_OT_P)/cfg_DAYS_M/cfg_HRS)</f>
        <v/>
      </c>
      <c r="Q64" s="111" t="str">
        <f aca="false">IF($B64="","",SUMIFS('الحركات الشهرية'!$G$6:$G$1005,'الحركات الشهرية'!$B$6:$B$1005,$B64,'الحركات الشهرية'!$A$6:$A$1005,$C$3))</f>
        <v/>
      </c>
      <c r="R64" s="111" t="str">
        <f aca="false">IF($B64="","",SUMIFS('الحركات الشهرية'!$H$6:$H$1005,'الحركات الشهرية'!$B$6:$B$1005,$B64,'الحركات الشهرية'!$A$6:$A$1005,$C$3))</f>
        <v/>
      </c>
      <c r="S64" s="111" t="str">
        <f aca="false">IF($B64="","",SUMIFS('سجل الإجازات والحالات'!$N$6:$N$505,'سجل الإجازات والحالات'!$B$6:$B$505,$B64,'سجل الإجازات والحالات'!$O$6:$O$505,$C$3))</f>
        <v/>
      </c>
      <c r="T64" s="152" t="str">
        <f aca="false">IF($B64="","",SUM(K64:N64)+SUM(P64:S64))</f>
        <v/>
      </c>
      <c r="U64" s="111" t="str">
        <f aca="false">IF($B64="","",الموظفون!$S64*IF(E64="سعودي",cfg_G_SE,cfg_G_NE)*G64/cfg_DAYS_M)</f>
        <v/>
      </c>
      <c r="V64" s="111" t="str">
        <f aca="false">IF($B64="","",SUMIFS('الحركات الشهرية'!$I$6:$I$1005,'الحركات الشهرية'!$B$6:$B$1005,$B64,'الحركات الشهرية'!$A$6:$A$1005,$C$3))</f>
        <v/>
      </c>
      <c r="W64" s="111" t="str">
        <f aca="false">IF($B64="","",SUMIFS('الحركات الشهرية'!$J$6:$J$1005,'الحركات الشهرية'!$B$6:$B$1005,$B64,'الحركات الشهرية'!$A$6:$A$1005,$C$3))</f>
        <v/>
      </c>
      <c r="X64" s="111" t="str">
        <f aca="false">IF($B64="","",SUM(U64:W64))</f>
        <v/>
      </c>
      <c r="Y64" s="153" t="str">
        <f aca="false">IF($B64="","",T64-X64)</f>
        <v/>
      </c>
      <c r="Z64" s="111" t="str">
        <f aca="false">IF($B64="","",الموظفون!$S64*IF(E64="سعودي",cfg_G_SR,cfg_G_NR)*G64/cfg_DAYS_M)</f>
        <v/>
      </c>
      <c r="AA64" s="111" t="str">
        <f aca="false">IF($B64="","",الموظفون!$Q64*(cfg_EOS_R1*(MIN(AH64,cfg_EOS_TH)-MIN(AI64,cfg_EOS_TH))+cfg_EOS_R2*(MAX(AH64-cfg_EOS_TH,0)-MAX(AI64-cfg_EOS_TH,0))))</f>
        <v/>
      </c>
      <c r="AB64" s="111" t="str">
        <f aca="false">IF($B64="","",IF(الموظفون!$T64&lt;&gt;"",الموظفون!$T64,IF(AH64&gt;=cfg_LV_TH,cfg_LV_D2,cfg_LV_D1))/cfg_DAYS_Y*AJ64*الموظفون!$R64/cfg_DAYS_M)</f>
        <v/>
      </c>
      <c r="AC64" s="111" t="str">
        <f aca="false">IF($B64="","",IF(AND(الموظفون!$U64="نعم",N(الموظفون!$W64)&gt;0),الموظفون!$V64/الموظفون!$W64*12/cfg_DAYS_Y*AJ64,0))</f>
        <v/>
      </c>
      <c r="AD64" s="111" t="str">
        <f aca="false">IF($B64="","",(IF(الموظفون!$X64&lt;&gt;"",الموظفون!$X64,IF(الموظفون!$E64="غير سعودي",cfg_IQ,0))+IF(الموظفون!$Y64&lt;&gt;"",الموظفون!$Y64,IF(الموظفون!$E64="غير سعودي",cfg_WP,0)))/12*G64/cfg_DAYS_M)</f>
        <v/>
      </c>
      <c r="AE64" s="111" t="str">
        <f aca="false">IF($B64="","",IF(الموظفون!$Z64&lt;&gt;"",الموظفون!$Z64,cfg_MED)/12*G64/cfg_DAYS_M)</f>
        <v/>
      </c>
      <c r="AF64" s="111" t="str">
        <f aca="false">IF($B64="","",N(الموظفون!$AA64)/12*G64/cfg_DAYS_M)</f>
        <v/>
      </c>
      <c r="AG64" s="154" t="str">
        <f aca="false">IF($B64="","",T64+SUM(Z64:AF64))</f>
        <v/>
      </c>
      <c r="AH64" s="155" t="str">
        <f aca="false">IF($B64="","",MAX(0,IF(OR(الموظفون!$AE64="",الموظفون!$AE64&gt;$F$3),$F$3,الموظفون!$AE64)-الموظفون!$H64+1-SUMIFS('سجل الإجازات والحالات'!$AN$6:$AN$505,'سجل الإجازات والحالات'!$B$6:$B$505,$B64))/cfg_DAYS_Y)</f>
        <v/>
      </c>
      <c r="AI64" s="155" t="str">
        <f aca="false">IF($B64="","",MAX(0,IF(OR(الموظفون!$AE64="",الموظفون!$AE64&gt;($E$3-1)),($E$3-1),الموظفون!$AE64)-الموظفون!$H64+1-SUMIFS('سجل الإجازات والحالات'!$AM$6:$AM$505,'سجل الإجازات والحالات'!$B$6:$B$505,$B64))/cfg_DAYS_Y)</f>
        <v/>
      </c>
      <c r="AJ64" s="65" t="str">
        <f aca="false">IF($B64="","",MAX(0,AK64-(SUMIFS('سجل الإجازات والحالات'!$AN$6:$AN$505,'سجل الإجازات والحالات'!$B$6:$B$505,$B64)-SUMIFS('سجل الإجازات والحالات'!$AM$6:$AM$505,'سجل الإجازات والحالات'!$B$6:$B$505,$B64))))</f>
        <v/>
      </c>
      <c r="AK64" s="65" t="str">
        <f aca="false">IF($B64="","",MAX(0,IF(OR(الموظفون!$AE64="",الموظفون!$AE64&gt;$F$3),$F$3,الموظفون!$AE64)-MAX($E$3,الموظفون!$H64)+1))</f>
        <v/>
      </c>
      <c r="AL64" s="151" t="str">
        <f aca="false">IF($B64="","",SUMIFS('سجل الإجازات والحالات'!$AZ$6:$AZ$505,'سجل الإجازات والحالات'!$B$6:$B$505,$B64)+SUMIFS('الحركات الشهرية'!$K$6:$K$1005,'الحركات الشهرية'!$B$6:$B$1005,$B64,'الحركات الشهرية'!$A$6:$A$1005,$C$3))</f>
        <v/>
      </c>
      <c r="AM64" s="111" t="str">
        <f aca="false">IF($B64="","",AL64*الموظفون!$R64/cfg_DAYS_M+S64)</f>
        <v/>
      </c>
      <c r="AN64" s="151" t="str">
        <f aca="false">IF($B64="","",SUMIFS('سجل الإجازات والحالات'!$AB$6:$AB$505,'سجل الإجازات والحالات'!$B$6:$B$505,$B64))</f>
        <v/>
      </c>
    </row>
    <row r="65" customFormat="false" ht="15" hidden="false" customHeight="false" outlineLevel="0" collapsed="false">
      <c r="A65" s="115" t="str">
        <f aca="false">IF($B65="","",الموظفون!$A65)</f>
        <v/>
      </c>
      <c r="B65" s="117" t="str">
        <f aca="false">IF(الموظفون!$B65="","",الموظفون!$B65)</f>
        <v/>
      </c>
      <c r="C65" s="117" t="str">
        <f aca="false">IF($B65="","",الموظفون!$C65)</f>
        <v/>
      </c>
      <c r="D65" s="117" t="str">
        <f aca="false">IF($B65="","",الموظفون!$F65)</f>
        <v/>
      </c>
      <c r="E65" s="117" t="str">
        <f aca="false">IF($B65="","",الموظفون!$E65)</f>
        <v/>
      </c>
      <c r="F65" s="117" t="str">
        <f aca="false">IF($B65="","",IF(AK65=0,IF(AND(الموظفون!$AE65&lt;&gt;"",الموظفون!$AE65&lt;$E$3),"✖ منتهي الخدمة","⏳ لم يباشر"),IF(S65&gt;0,"✈ راتب إجازة مقدم",IF(J65=0,"⛔ بدون راتب هذا الشهر",IF(I65&gt;0,"✈ خصم "&amp;ROUND(I65,2)&amp;" يوم بدون أجر",IF(AL65&gt;0,"🌴 إجازة سنوية "&amp;ROUND(AL65,2)&amp;" يوم",IF(H65&gt;0,"⚠ غياب "&amp;ROUND(H65,2)&amp;" يوم","✔ على رأس العمل")))))))</f>
        <v/>
      </c>
      <c r="G65" s="156" t="str">
        <f aca="false">IF($B65="","",IF(AK65&gt;=DAY($F$3),cfg_DAYS_M,MIN(AK65,cfg_DAYS_M)))</f>
        <v/>
      </c>
      <c r="H65" s="156" t="str">
        <f aca="false">IF($B65="","",SUMIFS('الحركات الشهرية'!$D$6:$D$1005,'الحركات الشهرية'!$B$6:$B$1005,$B65,'الحركات الشهرية'!$A$6:$A$1005,$C$3))</f>
        <v/>
      </c>
      <c r="I65" s="156" t="str">
        <f aca="false">IF($B65="","",MIN(G65,IF(AND(AK65&gt;0,AN65&gt;=AK65),G65,AN65)+SUMIFS('الحركات الشهرية'!$E$6:$E$1005,'الحركات الشهرية'!$B$6:$B$1005,$B65,'الحركات الشهرية'!$A$6:$A$1005,$C$3)))</f>
        <v/>
      </c>
      <c r="J65" s="156" t="str">
        <f aca="false">IF($B65="","",MAX(0,G65-H65-I65))</f>
        <v/>
      </c>
      <c r="K65" s="116" t="str">
        <f aca="false">IF($B65="","",الموظفون!$L65*$J65/cfg_DAYS_M)</f>
        <v/>
      </c>
      <c r="L65" s="116" t="str">
        <f aca="false">IF($B65="","",الموظفون!$M65*$J65/cfg_DAYS_M)</f>
        <v/>
      </c>
      <c r="M65" s="116" t="str">
        <f aca="false">IF($B65="","",الموظفون!$N65*$J65/cfg_DAYS_M)</f>
        <v/>
      </c>
      <c r="N65" s="116" t="str">
        <f aca="false">IF($B65="","",الموظفون!$O65*$J65/cfg_DAYS_M)</f>
        <v/>
      </c>
      <c r="O65" s="156" t="str">
        <f aca="false">IF($B65="","",SUMIFS('الحركات الشهرية'!$F$6:$F$1005,'الحركات الشهرية'!$B$6:$B$1005,$B65,'الحركات الشهرية'!$A$6:$A$1005,$C$3))</f>
        <v/>
      </c>
      <c r="P65" s="116" t="str">
        <f aca="false">IF($B65="","",O65*(الموظفون!$P65+الموظفون!$L65*cfg_OT_P)/cfg_DAYS_M/cfg_HRS)</f>
        <v/>
      </c>
      <c r="Q65" s="116" t="str">
        <f aca="false">IF($B65="","",SUMIFS('الحركات الشهرية'!$G$6:$G$1005,'الحركات الشهرية'!$B$6:$B$1005,$B65,'الحركات الشهرية'!$A$6:$A$1005,$C$3))</f>
        <v/>
      </c>
      <c r="R65" s="116" t="str">
        <f aca="false">IF($B65="","",SUMIFS('الحركات الشهرية'!$H$6:$H$1005,'الحركات الشهرية'!$B$6:$B$1005,$B65,'الحركات الشهرية'!$A$6:$A$1005,$C$3))</f>
        <v/>
      </c>
      <c r="S65" s="116" t="str">
        <f aca="false">IF($B65="","",SUMIFS('سجل الإجازات والحالات'!$N$6:$N$505,'سجل الإجازات والحالات'!$B$6:$B$505,$B65,'سجل الإجازات والحالات'!$O$6:$O$505,$C$3))</f>
        <v/>
      </c>
      <c r="T65" s="157" t="str">
        <f aca="false">IF($B65="","",SUM(K65:N65)+SUM(P65:S65))</f>
        <v/>
      </c>
      <c r="U65" s="116" t="str">
        <f aca="false">IF($B65="","",الموظفون!$S65*IF(E65="سعودي",cfg_G_SE,cfg_G_NE)*G65/cfg_DAYS_M)</f>
        <v/>
      </c>
      <c r="V65" s="116" t="str">
        <f aca="false">IF($B65="","",SUMIFS('الحركات الشهرية'!$I$6:$I$1005,'الحركات الشهرية'!$B$6:$B$1005,$B65,'الحركات الشهرية'!$A$6:$A$1005,$C$3))</f>
        <v/>
      </c>
      <c r="W65" s="116" t="str">
        <f aca="false">IF($B65="","",SUMIFS('الحركات الشهرية'!$J$6:$J$1005,'الحركات الشهرية'!$B$6:$B$1005,$B65,'الحركات الشهرية'!$A$6:$A$1005,$C$3))</f>
        <v/>
      </c>
      <c r="X65" s="116" t="str">
        <f aca="false">IF($B65="","",SUM(U65:W65))</f>
        <v/>
      </c>
      <c r="Y65" s="158" t="str">
        <f aca="false">IF($B65="","",T65-X65)</f>
        <v/>
      </c>
      <c r="Z65" s="116" t="str">
        <f aca="false">IF($B65="","",الموظفون!$S65*IF(E65="سعودي",cfg_G_SR,cfg_G_NR)*G65/cfg_DAYS_M)</f>
        <v/>
      </c>
      <c r="AA65" s="116" t="str">
        <f aca="false">IF($B65="","",الموظفون!$Q65*(cfg_EOS_R1*(MIN(AH65,cfg_EOS_TH)-MIN(AI65,cfg_EOS_TH))+cfg_EOS_R2*(MAX(AH65-cfg_EOS_TH,0)-MAX(AI65-cfg_EOS_TH,0))))</f>
        <v/>
      </c>
      <c r="AB65" s="116" t="str">
        <f aca="false">IF($B65="","",IF(الموظفون!$T65&lt;&gt;"",الموظفون!$T65,IF(AH65&gt;=cfg_LV_TH,cfg_LV_D2,cfg_LV_D1))/cfg_DAYS_Y*AJ65*الموظفون!$R65/cfg_DAYS_M)</f>
        <v/>
      </c>
      <c r="AC65" s="116" t="str">
        <f aca="false">IF($B65="","",IF(AND(الموظفون!$U65="نعم",N(الموظفون!$W65)&gt;0),الموظفون!$V65/الموظفون!$W65*12/cfg_DAYS_Y*AJ65,0))</f>
        <v/>
      </c>
      <c r="AD65" s="116" t="str">
        <f aca="false">IF($B65="","",(IF(الموظفون!$X65&lt;&gt;"",الموظفون!$X65,IF(الموظفون!$E65="غير سعودي",cfg_IQ,0))+IF(الموظفون!$Y65&lt;&gt;"",الموظفون!$Y65,IF(الموظفون!$E65="غير سعودي",cfg_WP,0)))/12*G65/cfg_DAYS_M)</f>
        <v/>
      </c>
      <c r="AE65" s="116" t="str">
        <f aca="false">IF($B65="","",IF(الموظفون!$Z65&lt;&gt;"",الموظفون!$Z65,cfg_MED)/12*G65/cfg_DAYS_M)</f>
        <v/>
      </c>
      <c r="AF65" s="116" t="str">
        <f aca="false">IF($B65="","",N(الموظفون!$AA65)/12*G65/cfg_DAYS_M)</f>
        <v/>
      </c>
      <c r="AG65" s="159" t="str">
        <f aca="false">IF($B65="","",T65+SUM(Z65:AF65))</f>
        <v/>
      </c>
      <c r="AH65" s="160" t="str">
        <f aca="false">IF($B65="","",MAX(0,IF(OR(الموظفون!$AE65="",الموظفون!$AE65&gt;$F$3),$F$3,الموظفون!$AE65)-الموظفون!$H65+1-SUMIFS('سجل الإجازات والحالات'!$AN$6:$AN$505,'سجل الإجازات والحالات'!$B$6:$B$505,$B65))/cfg_DAYS_Y)</f>
        <v/>
      </c>
      <c r="AI65" s="160" t="str">
        <f aca="false">IF($B65="","",MAX(0,IF(OR(الموظفون!$AE65="",الموظفون!$AE65&gt;($E$3-1)),($E$3-1),الموظفون!$AE65)-الموظفون!$H65+1-SUMIFS('سجل الإجازات والحالات'!$AM$6:$AM$505,'سجل الإجازات والحالات'!$B$6:$B$505,$B65))/cfg_DAYS_Y)</f>
        <v/>
      </c>
      <c r="AJ65" s="133" t="str">
        <f aca="false">IF($B65="","",MAX(0,AK65-(SUMIFS('سجل الإجازات والحالات'!$AN$6:$AN$505,'سجل الإجازات والحالات'!$B$6:$B$505,$B65)-SUMIFS('سجل الإجازات والحالات'!$AM$6:$AM$505,'سجل الإجازات والحالات'!$B$6:$B$505,$B65))))</f>
        <v/>
      </c>
      <c r="AK65" s="133" t="str">
        <f aca="false">IF($B65="","",MAX(0,IF(OR(الموظفون!$AE65="",الموظفون!$AE65&gt;$F$3),$F$3,الموظفون!$AE65)-MAX($E$3,الموظفون!$H65)+1))</f>
        <v/>
      </c>
      <c r="AL65" s="156" t="str">
        <f aca="false">IF($B65="","",SUMIFS('سجل الإجازات والحالات'!$AZ$6:$AZ$505,'سجل الإجازات والحالات'!$B$6:$B$505,$B65)+SUMIFS('الحركات الشهرية'!$K$6:$K$1005,'الحركات الشهرية'!$B$6:$B$1005,$B65,'الحركات الشهرية'!$A$6:$A$1005,$C$3))</f>
        <v/>
      </c>
      <c r="AM65" s="116" t="str">
        <f aca="false">IF($B65="","",AL65*الموظفون!$R65/cfg_DAYS_M+S65)</f>
        <v/>
      </c>
      <c r="AN65" s="156" t="str">
        <f aca="false">IF($B65="","",SUMIFS('سجل الإجازات والحالات'!$AB$6:$AB$505,'سجل الإجازات والحالات'!$B$6:$B$505,$B65))</f>
        <v/>
      </c>
    </row>
    <row r="66" customFormat="false" ht="15" hidden="false" customHeight="false" outlineLevel="0" collapsed="false">
      <c r="A66" s="106" t="str">
        <f aca="false">IF($B66="","",الموظفون!$A66)</f>
        <v/>
      </c>
      <c r="B66" s="114" t="str">
        <f aca="false">IF(الموظفون!$B66="","",الموظفون!$B66)</f>
        <v/>
      </c>
      <c r="C66" s="114" t="str">
        <f aca="false">IF($B66="","",الموظفون!$C66)</f>
        <v/>
      </c>
      <c r="D66" s="114" t="str">
        <f aca="false">IF($B66="","",الموظفون!$F66)</f>
        <v/>
      </c>
      <c r="E66" s="114" t="str">
        <f aca="false">IF($B66="","",الموظفون!$E66)</f>
        <v/>
      </c>
      <c r="F66" s="114" t="str">
        <f aca="false">IF($B66="","",IF(AK66=0,IF(AND(الموظفون!$AE66&lt;&gt;"",الموظفون!$AE66&lt;$E$3),"✖ منتهي الخدمة","⏳ لم يباشر"),IF(S66&gt;0,"✈ راتب إجازة مقدم",IF(J66=0,"⛔ بدون راتب هذا الشهر",IF(I66&gt;0,"✈ خصم "&amp;ROUND(I66,2)&amp;" يوم بدون أجر",IF(AL66&gt;0,"🌴 إجازة سنوية "&amp;ROUND(AL66,2)&amp;" يوم",IF(H66&gt;0,"⚠ غياب "&amp;ROUND(H66,2)&amp;" يوم","✔ على رأس العمل")))))))</f>
        <v/>
      </c>
      <c r="G66" s="151" t="str">
        <f aca="false">IF($B66="","",IF(AK66&gt;=DAY($F$3),cfg_DAYS_M,MIN(AK66,cfg_DAYS_M)))</f>
        <v/>
      </c>
      <c r="H66" s="151" t="str">
        <f aca="false">IF($B66="","",SUMIFS('الحركات الشهرية'!$D$6:$D$1005,'الحركات الشهرية'!$B$6:$B$1005,$B66,'الحركات الشهرية'!$A$6:$A$1005,$C$3))</f>
        <v/>
      </c>
      <c r="I66" s="151" t="str">
        <f aca="false">IF($B66="","",MIN(G66,IF(AND(AK66&gt;0,AN66&gt;=AK66),G66,AN66)+SUMIFS('الحركات الشهرية'!$E$6:$E$1005,'الحركات الشهرية'!$B$6:$B$1005,$B66,'الحركات الشهرية'!$A$6:$A$1005,$C$3)))</f>
        <v/>
      </c>
      <c r="J66" s="151" t="str">
        <f aca="false">IF($B66="","",MAX(0,G66-H66-I66))</f>
        <v/>
      </c>
      <c r="K66" s="111" t="str">
        <f aca="false">IF($B66="","",الموظفون!$L66*$J66/cfg_DAYS_M)</f>
        <v/>
      </c>
      <c r="L66" s="111" t="str">
        <f aca="false">IF($B66="","",الموظفون!$M66*$J66/cfg_DAYS_M)</f>
        <v/>
      </c>
      <c r="M66" s="111" t="str">
        <f aca="false">IF($B66="","",الموظفون!$N66*$J66/cfg_DAYS_M)</f>
        <v/>
      </c>
      <c r="N66" s="111" t="str">
        <f aca="false">IF($B66="","",الموظفون!$O66*$J66/cfg_DAYS_M)</f>
        <v/>
      </c>
      <c r="O66" s="151" t="str">
        <f aca="false">IF($B66="","",SUMIFS('الحركات الشهرية'!$F$6:$F$1005,'الحركات الشهرية'!$B$6:$B$1005,$B66,'الحركات الشهرية'!$A$6:$A$1005,$C$3))</f>
        <v/>
      </c>
      <c r="P66" s="111" t="str">
        <f aca="false">IF($B66="","",O66*(الموظفون!$P66+الموظفون!$L66*cfg_OT_P)/cfg_DAYS_M/cfg_HRS)</f>
        <v/>
      </c>
      <c r="Q66" s="111" t="str">
        <f aca="false">IF($B66="","",SUMIFS('الحركات الشهرية'!$G$6:$G$1005,'الحركات الشهرية'!$B$6:$B$1005,$B66,'الحركات الشهرية'!$A$6:$A$1005,$C$3))</f>
        <v/>
      </c>
      <c r="R66" s="111" t="str">
        <f aca="false">IF($B66="","",SUMIFS('الحركات الشهرية'!$H$6:$H$1005,'الحركات الشهرية'!$B$6:$B$1005,$B66,'الحركات الشهرية'!$A$6:$A$1005,$C$3))</f>
        <v/>
      </c>
      <c r="S66" s="111" t="str">
        <f aca="false">IF($B66="","",SUMIFS('سجل الإجازات والحالات'!$N$6:$N$505,'سجل الإجازات والحالات'!$B$6:$B$505,$B66,'سجل الإجازات والحالات'!$O$6:$O$505,$C$3))</f>
        <v/>
      </c>
      <c r="T66" s="152" t="str">
        <f aca="false">IF($B66="","",SUM(K66:N66)+SUM(P66:S66))</f>
        <v/>
      </c>
      <c r="U66" s="111" t="str">
        <f aca="false">IF($B66="","",الموظفون!$S66*IF(E66="سعودي",cfg_G_SE,cfg_G_NE)*G66/cfg_DAYS_M)</f>
        <v/>
      </c>
      <c r="V66" s="111" t="str">
        <f aca="false">IF($B66="","",SUMIFS('الحركات الشهرية'!$I$6:$I$1005,'الحركات الشهرية'!$B$6:$B$1005,$B66,'الحركات الشهرية'!$A$6:$A$1005,$C$3))</f>
        <v/>
      </c>
      <c r="W66" s="111" t="str">
        <f aca="false">IF($B66="","",SUMIFS('الحركات الشهرية'!$J$6:$J$1005,'الحركات الشهرية'!$B$6:$B$1005,$B66,'الحركات الشهرية'!$A$6:$A$1005,$C$3))</f>
        <v/>
      </c>
      <c r="X66" s="111" t="str">
        <f aca="false">IF($B66="","",SUM(U66:W66))</f>
        <v/>
      </c>
      <c r="Y66" s="153" t="str">
        <f aca="false">IF($B66="","",T66-X66)</f>
        <v/>
      </c>
      <c r="Z66" s="111" t="str">
        <f aca="false">IF($B66="","",الموظفون!$S66*IF(E66="سعودي",cfg_G_SR,cfg_G_NR)*G66/cfg_DAYS_M)</f>
        <v/>
      </c>
      <c r="AA66" s="111" t="str">
        <f aca="false">IF($B66="","",الموظفون!$Q66*(cfg_EOS_R1*(MIN(AH66,cfg_EOS_TH)-MIN(AI66,cfg_EOS_TH))+cfg_EOS_R2*(MAX(AH66-cfg_EOS_TH,0)-MAX(AI66-cfg_EOS_TH,0))))</f>
        <v/>
      </c>
      <c r="AB66" s="111" t="str">
        <f aca="false">IF($B66="","",IF(الموظفون!$T66&lt;&gt;"",الموظفون!$T66,IF(AH66&gt;=cfg_LV_TH,cfg_LV_D2,cfg_LV_D1))/cfg_DAYS_Y*AJ66*الموظفون!$R66/cfg_DAYS_M)</f>
        <v/>
      </c>
      <c r="AC66" s="111" t="str">
        <f aca="false">IF($B66="","",IF(AND(الموظفون!$U66="نعم",N(الموظفون!$W66)&gt;0),الموظفون!$V66/الموظفون!$W66*12/cfg_DAYS_Y*AJ66,0))</f>
        <v/>
      </c>
      <c r="AD66" s="111" t="str">
        <f aca="false">IF($B66="","",(IF(الموظفون!$X66&lt;&gt;"",الموظفون!$X66,IF(الموظفون!$E66="غير سعودي",cfg_IQ,0))+IF(الموظفون!$Y66&lt;&gt;"",الموظفون!$Y66,IF(الموظفون!$E66="غير سعودي",cfg_WP,0)))/12*G66/cfg_DAYS_M)</f>
        <v/>
      </c>
      <c r="AE66" s="111" t="str">
        <f aca="false">IF($B66="","",IF(الموظفون!$Z66&lt;&gt;"",الموظفون!$Z66,cfg_MED)/12*G66/cfg_DAYS_M)</f>
        <v/>
      </c>
      <c r="AF66" s="111" t="str">
        <f aca="false">IF($B66="","",N(الموظفون!$AA66)/12*G66/cfg_DAYS_M)</f>
        <v/>
      </c>
      <c r="AG66" s="154" t="str">
        <f aca="false">IF($B66="","",T66+SUM(Z66:AF66))</f>
        <v/>
      </c>
      <c r="AH66" s="155" t="str">
        <f aca="false">IF($B66="","",MAX(0,IF(OR(الموظفون!$AE66="",الموظفون!$AE66&gt;$F$3),$F$3,الموظفون!$AE66)-الموظفون!$H66+1-SUMIFS('سجل الإجازات والحالات'!$AN$6:$AN$505,'سجل الإجازات والحالات'!$B$6:$B$505,$B66))/cfg_DAYS_Y)</f>
        <v/>
      </c>
      <c r="AI66" s="155" t="str">
        <f aca="false">IF($B66="","",MAX(0,IF(OR(الموظفون!$AE66="",الموظفون!$AE66&gt;($E$3-1)),($E$3-1),الموظفون!$AE66)-الموظفون!$H66+1-SUMIFS('سجل الإجازات والحالات'!$AM$6:$AM$505,'سجل الإجازات والحالات'!$B$6:$B$505,$B66))/cfg_DAYS_Y)</f>
        <v/>
      </c>
      <c r="AJ66" s="65" t="str">
        <f aca="false">IF($B66="","",MAX(0,AK66-(SUMIFS('سجل الإجازات والحالات'!$AN$6:$AN$505,'سجل الإجازات والحالات'!$B$6:$B$505,$B66)-SUMIFS('سجل الإجازات والحالات'!$AM$6:$AM$505,'سجل الإجازات والحالات'!$B$6:$B$505,$B66))))</f>
        <v/>
      </c>
      <c r="AK66" s="65" t="str">
        <f aca="false">IF($B66="","",MAX(0,IF(OR(الموظفون!$AE66="",الموظفون!$AE66&gt;$F$3),$F$3,الموظفون!$AE66)-MAX($E$3,الموظفون!$H66)+1))</f>
        <v/>
      </c>
      <c r="AL66" s="151" t="str">
        <f aca="false">IF($B66="","",SUMIFS('سجل الإجازات والحالات'!$AZ$6:$AZ$505,'سجل الإجازات والحالات'!$B$6:$B$505,$B66)+SUMIFS('الحركات الشهرية'!$K$6:$K$1005,'الحركات الشهرية'!$B$6:$B$1005,$B66,'الحركات الشهرية'!$A$6:$A$1005,$C$3))</f>
        <v/>
      </c>
      <c r="AM66" s="111" t="str">
        <f aca="false">IF($B66="","",AL66*الموظفون!$R66/cfg_DAYS_M+S66)</f>
        <v/>
      </c>
      <c r="AN66" s="151" t="str">
        <f aca="false">IF($B66="","",SUMIFS('سجل الإجازات والحالات'!$AB$6:$AB$505,'سجل الإجازات والحالات'!$B$6:$B$505,$B66))</f>
        <v/>
      </c>
    </row>
    <row r="67" customFormat="false" ht="15" hidden="false" customHeight="false" outlineLevel="0" collapsed="false">
      <c r="A67" s="115" t="str">
        <f aca="false">IF($B67="","",الموظفون!$A67)</f>
        <v/>
      </c>
      <c r="B67" s="117" t="str">
        <f aca="false">IF(الموظفون!$B67="","",الموظفون!$B67)</f>
        <v/>
      </c>
      <c r="C67" s="117" t="str">
        <f aca="false">IF($B67="","",الموظفون!$C67)</f>
        <v/>
      </c>
      <c r="D67" s="117" t="str">
        <f aca="false">IF($B67="","",الموظفون!$F67)</f>
        <v/>
      </c>
      <c r="E67" s="117" t="str">
        <f aca="false">IF($B67="","",الموظفون!$E67)</f>
        <v/>
      </c>
      <c r="F67" s="117" t="str">
        <f aca="false">IF($B67="","",IF(AK67=0,IF(AND(الموظفون!$AE67&lt;&gt;"",الموظفون!$AE67&lt;$E$3),"✖ منتهي الخدمة","⏳ لم يباشر"),IF(S67&gt;0,"✈ راتب إجازة مقدم",IF(J67=0,"⛔ بدون راتب هذا الشهر",IF(I67&gt;0,"✈ خصم "&amp;ROUND(I67,2)&amp;" يوم بدون أجر",IF(AL67&gt;0,"🌴 إجازة سنوية "&amp;ROUND(AL67,2)&amp;" يوم",IF(H67&gt;0,"⚠ غياب "&amp;ROUND(H67,2)&amp;" يوم","✔ على رأس العمل")))))))</f>
        <v/>
      </c>
      <c r="G67" s="156" t="str">
        <f aca="false">IF($B67="","",IF(AK67&gt;=DAY($F$3),cfg_DAYS_M,MIN(AK67,cfg_DAYS_M)))</f>
        <v/>
      </c>
      <c r="H67" s="156" t="str">
        <f aca="false">IF($B67="","",SUMIFS('الحركات الشهرية'!$D$6:$D$1005,'الحركات الشهرية'!$B$6:$B$1005,$B67,'الحركات الشهرية'!$A$6:$A$1005,$C$3))</f>
        <v/>
      </c>
      <c r="I67" s="156" t="str">
        <f aca="false">IF($B67="","",MIN(G67,IF(AND(AK67&gt;0,AN67&gt;=AK67),G67,AN67)+SUMIFS('الحركات الشهرية'!$E$6:$E$1005,'الحركات الشهرية'!$B$6:$B$1005,$B67,'الحركات الشهرية'!$A$6:$A$1005,$C$3)))</f>
        <v/>
      </c>
      <c r="J67" s="156" t="str">
        <f aca="false">IF($B67="","",MAX(0,G67-H67-I67))</f>
        <v/>
      </c>
      <c r="K67" s="116" t="str">
        <f aca="false">IF($B67="","",الموظفون!$L67*$J67/cfg_DAYS_M)</f>
        <v/>
      </c>
      <c r="L67" s="116" t="str">
        <f aca="false">IF($B67="","",الموظفون!$M67*$J67/cfg_DAYS_M)</f>
        <v/>
      </c>
      <c r="M67" s="116" t="str">
        <f aca="false">IF($B67="","",الموظفون!$N67*$J67/cfg_DAYS_M)</f>
        <v/>
      </c>
      <c r="N67" s="116" t="str">
        <f aca="false">IF($B67="","",الموظفون!$O67*$J67/cfg_DAYS_M)</f>
        <v/>
      </c>
      <c r="O67" s="156" t="str">
        <f aca="false">IF($B67="","",SUMIFS('الحركات الشهرية'!$F$6:$F$1005,'الحركات الشهرية'!$B$6:$B$1005,$B67,'الحركات الشهرية'!$A$6:$A$1005,$C$3))</f>
        <v/>
      </c>
      <c r="P67" s="116" t="str">
        <f aca="false">IF($B67="","",O67*(الموظفون!$P67+الموظفون!$L67*cfg_OT_P)/cfg_DAYS_M/cfg_HRS)</f>
        <v/>
      </c>
      <c r="Q67" s="116" t="str">
        <f aca="false">IF($B67="","",SUMIFS('الحركات الشهرية'!$G$6:$G$1005,'الحركات الشهرية'!$B$6:$B$1005,$B67,'الحركات الشهرية'!$A$6:$A$1005,$C$3))</f>
        <v/>
      </c>
      <c r="R67" s="116" t="str">
        <f aca="false">IF($B67="","",SUMIFS('الحركات الشهرية'!$H$6:$H$1005,'الحركات الشهرية'!$B$6:$B$1005,$B67,'الحركات الشهرية'!$A$6:$A$1005,$C$3))</f>
        <v/>
      </c>
      <c r="S67" s="116" t="str">
        <f aca="false">IF($B67="","",SUMIFS('سجل الإجازات والحالات'!$N$6:$N$505,'سجل الإجازات والحالات'!$B$6:$B$505,$B67,'سجل الإجازات والحالات'!$O$6:$O$505,$C$3))</f>
        <v/>
      </c>
      <c r="T67" s="157" t="str">
        <f aca="false">IF($B67="","",SUM(K67:N67)+SUM(P67:S67))</f>
        <v/>
      </c>
      <c r="U67" s="116" t="str">
        <f aca="false">IF($B67="","",الموظفون!$S67*IF(E67="سعودي",cfg_G_SE,cfg_G_NE)*G67/cfg_DAYS_M)</f>
        <v/>
      </c>
      <c r="V67" s="116" t="str">
        <f aca="false">IF($B67="","",SUMIFS('الحركات الشهرية'!$I$6:$I$1005,'الحركات الشهرية'!$B$6:$B$1005,$B67,'الحركات الشهرية'!$A$6:$A$1005,$C$3))</f>
        <v/>
      </c>
      <c r="W67" s="116" t="str">
        <f aca="false">IF($B67="","",SUMIFS('الحركات الشهرية'!$J$6:$J$1005,'الحركات الشهرية'!$B$6:$B$1005,$B67,'الحركات الشهرية'!$A$6:$A$1005,$C$3))</f>
        <v/>
      </c>
      <c r="X67" s="116" t="str">
        <f aca="false">IF($B67="","",SUM(U67:W67))</f>
        <v/>
      </c>
      <c r="Y67" s="158" t="str">
        <f aca="false">IF($B67="","",T67-X67)</f>
        <v/>
      </c>
      <c r="Z67" s="116" t="str">
        <f aca="false">IF($B67="","",الموظفون!$S67*IF(E67="سعودي",cfg_G_SR,cfg_G_NR)*G67/cfg_DAYS_M)</f>
        <v/>
      </c>
      <c r="AA67" s="116" t="str">
        <f aca="false">IF($B67="","",الموظفون!$Q67*(cfg_EOS_R1*(MIN(AH67,cfg_EOS_TH)-MIN(AI67,cfg_EOS_TH))+cfg_EOS_R2*(MAX(AH67-cfg_EOS_TH,0)-MAX(AI67-cfg_EOS_TH,0))))</f>
        <v/>
      </c>
      <c r="AB67" s="116" t="str">
        <f aca="false">IF($B67="","",IF(الموظفون!$T67&lt;&gt;"",الموظفون!$T67,IF(AH67&gt;=cfg_LV_TH,cfg_LV_D2,cfg_LV_D1))/cfg_DAYS_Y*AJ67*الموظفون!$R67/cfg_DAYS_M)</f>
        <v/>
      </c>
      <c r="AC67" s="116" t="str">
        <f aca="false">IF($B67="","",IF(AND(الموظفون!$U67="نعم",N(الموظفون!$W67)&gt;0),الموظفون!$V67/الموظفون!$W67*12/cfg_DAYS_Y*AJ67,0))</f>
        <v/>
      </c>
      <c r="AD67" s="116" t="str">
        <f aca="false">IF($B67="","",(IF(الموظفون!$X67&lt;&gt;"",الموظفون!$X67,IF(الموظفون!$E67="غير سعودي",cfg_IQ,0))+IF(الموظفون!$Y67&lt;&gt;"",الموظفون!$Y67,IF(الموظفون!$E67="غير سعودي",cfg_WP,0)))/12*G67/cfg_DAYS_M)</f>
        <v/>
      </c>
      <c r="AE67" s="116" t="str">
        <f aca="false">IF($B67="","",IF(الموظفون!$Z67&lt;&gt;"",الموظفون!$Z67,cfg_MED)/12*G67/cfg_DAYS_M)</f>
        <v/>
      </c>
      <c r="AF67" s="116" t="str">
        <f aca="false">IF($B67="","",N(الموظفون!$AA67)/12*G67/cfg_DAYS_M)</f>
        <v/>
      </c>
      <c r="AG67" s="159" t="str">
        <f aca="false">IF($B67="","",T67+SUM(Z67:AF67))</f>
        <v/>
      </c>
      <c r="AH67" s="160" t="str">
        <f aca="false">IF($B67="","",MAX(0,IF(OR(الموظفون!$AE67="",الموظفون!$AE67&gt;$F$3),$F$3,الموظفون!$AE67)-الموظفون!$H67+1-SUMIFS('سجل الإجازات والحالات'!$AN$6:$AN$505,'سجل الإجازات والحالات'!$B$6:$B$505,$B67))/cfg_DAYS_Y)</f>
        <v/>
      </c>
      <c r="AI67" s="160" t="str">
        <f aca="false">IF($B67="","",MAX(0,IF(OR(الموظفون!$AE67="",الموظفون!$AE67&gt;($E$3-1)),($E$3-1),الموظفون!$AE67)-الموظفون!$H67+1-SUMIFS('سجل الإجازات والحالات'!$AM$6:$AM$505,'سجل الإجازات والحالات'!$B$6:$B$505,$B67))/cfg_DAYS_Y)</f>
        <v/>
      </c>
      <c r="AJ67" s="133" t="str">
        <f aca="false">IF($B67="","",MAX(0,AK67-(SUMIFS('سجل الإجازات والحالات'!$AN$6:$AN$505,'سجل الإجازات والحالات'!$B$6:$B$505,$B67)-SUMIFS('سجل الإجازات والحالات'!$AM$6:$AM$505,'سجل الإجازات والحالات'!$B$6:$B$505,$B67))))</f>
        <v/>
      </c>
      <c r="AK67" s="133" t="str">
        <f aca="false">IF($B67="","",MAX(0,IF(OR(الموظفون!$AE67="",الموظفون!$AE67&gt;$F$3),$F$3,الموظفون!$AE67)-MAX($E$3,الموظفون!$H67)+1))</f>
        <v/>
      </c>
      <c r="AL67" s="156" t="str">
        <f aca="false">IF($B67="","",SUMIFS('سجل الإجازات والحالات'!$AZ$6:$AZ$505,'سجل الإجازات والحالات'!$B$6:$B$505,$B67)+SUMIFS('الحركات الشهرية'!$K$6:$K$1005,'الحركات الشهرية'!$B$6:$B$1005,$B67,'الحركات الشهرية'!$A$6:$A$1005,$C$3))</f>
        <v/>
      </c>
      <c r="AM67" s="116" t="str">
        <f aca="false">IF($B67="","",AL67*الموظفون!$R67/cfg_DAYS_M+S67)</f>
        <v/>
      </c>
      <c r="AN67" s="156" t="str">
        <f aca="false">IF($B67="","",SUMIFS('سجل الإجازات والحالات'!$AB$6:$AB$505,'سجل الإجازات والحالات'!$B$6:$B$505,$B67))</f>
        <v/>
      </c>
    </row>
    <row r="68" customFormat="false" ht="15" hidden="false" customHeight="false" outlineLevel="0" collapsed="false">
      <c r="A68" s="106" t="str">
        <f aca="false">IF($B68="","",الموظفون!$A68)</f>
        <v/>
      </c>
      <c r="B68" s="114" t="str">
        <f aca="false">IF(الموظفون!$B68="","",الموظفون!$B68)</f>
        <v/>
      </c>
      <c r="C68" s="114" t="str">
        <f aca="false">IF($B68="","",الموظفون!$C68)</f>
        <v/>
      </c>
      <c r="D68" s="114" t="str">
        <f aca="false">IF($B68="","",الموظفون!$F68)</f>
        <v/>
      </c>
      <c r="E68" s="114" t="str">
        <f aca="false">IF($B68="","",الموظفون!$E68)</f>
        <v/>
      </c>
      <c r="F68" s="114" t="str">
        <f aca="false">IF($B68="","",IF(AK68=0,IF(AND(الموظفون!$AE68&lt;&gt;"",الموظفون!$AE68&lt;$E$3),"✖ منتهي الخدمة","⏳ لم يباشر"),IF(S68&gt;0,"✈ راتب إجازة مقدم",IF(J68=0,"⛔ بدون راتب هذا الشهر",IF(I68&gt;0,"✈ خصم "&amp;ROUND(I68,2)&amp;" يوم بدون أجر",IF(AL68&gt;0,"🌴 إجازة سنوية "&amp;ROUND(AL68,2)&amp;" يوم",IF(H68&gt;0,"⚠ غياب "&amp;ROUND(H68,2)&amp;" يوم","✔ على رأس العمل")))))))</f>
        <v/>
      </c>
      <c r="G68" s="151" t="str">
        <f aca="false">IF($B68="","",IF(AK68&gt;=DAY($F$3),cfg_DAYS_M,MIN(AK68,cfg_DAYS_M)))</f>
        <v/>
      </c>
      <c r="H68" s="151" t="str">
        <f aca="false">IF($B68="","",SUMIFS('الحركات الشهرية'!$D$6:$D$1005,'الحركات الشهرية'!$B$6:$B$1005,$B68,'الحركات الشهرية'!$A$6:$A$1005,$C$3))</f>
        <v/>
      </c>
      <c r="I68" s="151" t="str">
        <f aca="false">IF($B68="","",MIN(G68,IF(AND(AK68&gt;0,AN68&gt;=AK68),G68,AN68)+SUMIFS('الحركات الشهرية'!$E$6:$E$1005,'الحركات الشهرية'!$B$6:$B$1005,$B68,'الحركات الشهرية'!$A$6:$A$1005,$C$3)))</f>
        <v/>
      </c>
      <c r="J68" s="151" t="str">
        <f aca="false">IF($B68="","",MAX(0,G68-H68-I68))</f>
        <v/>
      </c>
      <c r="K68" s="111" t="str">
        <f aca="false">IF($B68="","",الموظفون!$L68*$J68/cfg_DAYS_M)</f>
        <v/>
      </c>
      <c r="L68" s="111" t="str">
        <f aca="false">IF($B68="","",الموظفون!$M68*$J68/cfg_DAYS_M)</f>
        <v/>
      </c>
      <c r="M68" s="111" t="str">
        <f aca="false">IF($B68="","",الموظفون!$N68*$J68/cfg_DAYS_M)</f>
        <v/>
      </c>
      <c r="N68" s="111" t="str">
        <f aca="false">IF($B68="","",الموظفون!$O68*$J68/cfg_DAYS_M)</f>
        <v/>
      </c>
      <c r="O68" s="151" t="str">
        <f aca="false">IF($B68="","",SUMIFS('الحركات الشهرية'!$F$6:$F$1005,'الحركات الشهرية'!$B$6:$B$1005,$B68,'الحركات الشهرية'!$A$6:$A$1005,$C$3))</f>
        <v/>
      </c>
      <c r="P68" s="111" t="str">
        <f aca="false">IF($B68="","",O68*(الموظفون!$P68+الموظفون!$L68*cfg_OT_P)/cfg_DAYS_M/cfg_HRS)</f>
        <v/>
      </c>
      <c r="Q68" s="111" t="str">
        <f aca="false">IF($B68="","",SUMIFS('الحركات الشهرية'!$G$6:$G$1005,'الحركات الشهرية'!$B$6:$B$1005,$B68,'الحركات الشهرية'!$A$6:$A$1005,$C$3))</f>
        <v/>
      </c>
      <c r="R68" s="111" t="str">
        <f aca="false">IF($B68="","",SUMIFS('الحركات الشهرية'!$H$6:$H$1005,'الحركات الشهرية'!$B$6:$B$1005,$B68,'الحركات الشهرية'!$A$6:$A$1005,$C$3))</f>
        <v/>
      </c>
      <c r="S68" s="111" t="str">
        <f aca="false">IF($B68="","",SUMIFS('سجل الإجازات والحالات'!$N$6:$N$505,'سجل الإجازات والحالات'!$B$6:$B$505,$B68,'سجل الإجازات والحالات'!$O$6:$O$505,$C$3))</f>
        <v/>
      </c>
      <c r="T68" s="152" t="str">
        <f aca="false">IF($B68="","",SUM(K68:N68)+SUM(P68:S68))</f>
        <v/>
      </c>
      <c r="U68" s="111" t="str">
        <f aca="false">IF($B68="","",الموظفون!$S68*IF(E68="سعودي",cfg_G_SE,cfg_G_NE)*G68/cfg_DAYS_M)</f>
        <v/>
      </c>
      <c r="V68" s="111" t="str">
        <f aca="false">IF($B68="","",SUMIFS('الحركات الشهرية'!$I$6:$I$1005,'الحركات الشهرية'!$B$6:$B$1005,$B68,'الحركات الشهرية'!$A$6:$A$1005,$C$3))</f>
        <v/>
      </c>
      <c r="W68" s="111" t="str">
        <f aca="false">IF($B68="","",SUMIFS('الحركات الشهرية'!$J$6:$J$1005,'الحركات الشهرية'!$B$6:$B$1005,$B68,'الحركات الشهرية'!$A$6:$A$1005,$C$3))</f>
        <v/>
      </c>
      <c r="X68" s="111" t="str">
        <f aca="false">IF($B68="","",SUM(U68:W68))</f>
        <v/>
      </c>
      <c r="Y68" s="153" t="str">
        <f aca="false">IF($B68="","",T68-X68)</f>
        <v/>
      </c>
      <c r="Z68" s="111" t="str">
        <f aca="false">IF($B68="","",الموظفون!$S68*IF(E68="سعودي",cfg_G_SR,cfg_G_NR)*G68/cfg_DAYS_M)</f>
        <v/>
      </c>
      <c r="AA68" s="111" t="str">
        <f aca="false">IF($B68="","",الموظفون!$Q68*(cfg_EOS_R1*(MIN(AH68,cfg_EOS_TH)-MIN(AI68,cfg_EOS_TH))+cfg_EOS_R2*(MAX(AH68-cfg_EOS_TH,0)-MAX(AI68-cfg_EOS_TH,0))))</f>
        <v/>
      </c>
      <c r="AB68" s="111" t="str">
        <f aca="false">IF($B68="","",IF(الموظفون!$T68&lt;&gt;"",الموظفون!$T68,IF(AH68&gt;=cfg_LV_TH,cfg_LV_D2,cfg_LV_D1))/cfg_DAYS_Y*AJ68*الموظفون!$R68/cfg_DAYS_M)</f>
        <v/>
      </c>
      <c r="AC68" s="111" t="str">
        <f aca="false">IF($B68="","",IF(AND(الموظفون!$U68="نعم",N(الموظفون!$W68)&gt;0),الموظفون!$V68/الموظفون!$W68*12/cfg_DAYS_Y*AJ68,0))</f>
        <v/>
      </c>
      <c r="AD68" s="111" t="str">
        <f aca="false">IF($B68="","",(IF(الموظفون!$X68&lt;&gt;"",الموظفون!$X68,IF(الموظفون!$E68="غير سعودي",cfg_IQ,0))+IF(الموظفون!$Y68&lt;&gt;"",الموظفون!$Y68,IF(الموظفون!$E68="غير سعودي",cfg_WP,0)))/12*G68/cfg_DAYS_M)</f>
        <v/>
      </c>
      <c r="AE68" s="111" t="str">
        <f aca="false">IF($B68="","",IF(الموظفون!$Z68&lt;&gt;"",الموظفون!$Z68,cfg_MED)/12*G68/cfg_DAYS_M)</f>
        <v/>
      </c>
      <c r="AF68" s="111" t="str">
        <f aca="false">IF($B68="","",N(الموظفون!$AA68)/12*G68/cfg_DAYS_M)</f>
        <v/>
      </c>
      <c r="AG68" s="154" t="str">
        <f aca="false">IF($B68="","",T68+SUM(Z68:AF68))</f>
        <v/>
      </c>
      <c r="AH68" s="155" t="str">
        <f aca="false">IF($B68="","",MAX(0,IF(OR(الموظفون!$AE68="",الموظفون!$AE68&gt;$F$3),$F$3,الموظفون!$AE68)-الموظفون!$H68+1-SUMIFS('سجل الإجازات والحالات'!$AN$6:$AN$505,'سجل الإجازات والحالات'!$B$6:$B$505,$B68))/cfg_DAYS_Y)</f>
        <v/>
      </c>
      <c r="AI68" s="155" t="str">
        <f aca="false">IF($B68="","",MAX(0,IF(OR(الموظفون!$AE68="",الموظفون!$AE68&gt;($E$3-1)),($E$3-1),الموظفون!$AE68)-الموظفون!$H68+1-SUMIFS('سجل الإجازات والحالات'!$AM$6:$AM$505,'سجل الإجازات والحالات'!$B$6:$B$505,$B68))/cfg_DAYS_Y)</f>
        <v/>
      </c>
      <c r="AJ68" s="65" t="str">
        <f aca="false">IF($B68="","",MAX(0,AK68-(SUMIFS('سجل الإجازات والحالات'!$AN$6:$AN$505,'سجل الإجازات والحالات'!$B$6:$B$505,$B68)-SUMIFS('سجل الإجازات والحالات'!$AM$6:$AM$505,'سجل الإجازات والحالات'!$B$6:$B$505,$B68))))</f>
        <v/>
      </c>
      <c r="AK68" s="65" t="str">
        <f aca="false">IF($B68="","",MAX(0,IF(OR(الموظفون!$AE68="",الموظفون!$AE68&gt;$F$3),$F$3,الموظفون!$AE68)-MAX($E$3,الموظفون!$H68)+1))</f>
        <v/>
      </c>
      <c r="AL68" s="151" t="str">
        <f aca="false">IF($B68="","",SUMIFS('سجل الإجازات والحالات'!$AZ$6:$AZ$505,'سجل الإجازات والحالات'!$B$6:$B$505,$B68)+SUMIFS('الحركات الشهرية'!$K$6:$K$1005,'الحركات الشهرية'!$B$6:$B$1005,$B68,'الحركات الشهرية'!$A$6:$A$1005,$C$3))</f>
        <v/>
      </c>
      <c r="AM68" s="111" t="str">
        <f aca="false">IF($B68="","",AL68*الموظفون!$R68/cfg_DAYS_M+S68)</f>
        <v/>
      </c>
      <c r="AN68" s="151" t="str">
        <f aca="false">IF($B68="","",SUMIFS('سجل الإجازات والحالات'!$AB$6:$AB$505,'سجل الإجازات والحالات'!$B$6:$B$505,$B68))</f>
        <v/>
      </c>
    </row>
    <row r="69" customFormat="false" ht="15" hidden="false" customHeight="false" outlineLevel="0" collapsed="false">
      <c r="A69" s="115" t="str">
        <f aca="false">IF($B69="","",الموظفون!$A69)</f>
        <v/>
      </c>
      <c r="B69" s="117" t="str">
        <f aca="false">IF(الموظفون!$B69="","",الموظفون!$B69)</f>
        <v/>
      </c>
      <c r="C69" s="117" t="str">
        <f aca="false">IF($B69="","",الموظفون!$C69)</f>
        <v/>
      </c>
      <c r="D69" s="117" t="str">
        <f aca="false">IF($B69="","",الموظفون!$F69)</f>
        <v/>
      </c>
      <c r="E69" s="117" t="str">
        <f aca="false">IF($B69="","",الموظفون!$E69)</f>
        <v/>
      </c>
      <c r="F69" s="117" t="str">
        <f aca="false">IF($B69="","",IF(AK69=0,IF(AND(الموظفون!$AE69&lt;&gt;"",الموظفون!$AE69&lt;$E$3),"✖ منتهي الخدمة","⏳ لم يباشر"),IF(S69&gt;0,"✈ راتب إجازة مقدم",IF(J69=0,"⛔ بدون راتب هذا الشهر",IF(I69&gt;0,"✈ خصم "&amp;ROUND(I69,2)&amp;" يوم بدون أجر",IF(AL69&gt;0,"🌴 إجازة سنوية "&amp;ROUND(AL69,2)&amp;" يوم",IF(H69&gt;0,"⚠ غياب "&amp;ROUND(H69,2)&amp;" يوم","✔ على رأس العمل")))))))</f>
        <v/>
      </c>
      <c r="G69" s="156" t="str">
        <f aca="false">IF($B69="","",IF(AK69&gt;=DAY($F$3),cfg_DAYS_M,MIN(AK69,cfg_DAYS_M)))</f>
        <v/>
      </c>
      <c r="H69" s="156" t="str">
        <f aca="false">IF($B69="","",SUMIFS('الحركات الشهرية'!$D$6:$D$1005,'الحركات الشهرية'!$B$6:$B$1005,$B69,'الحركات الشهرية'!$A$6:$A$1005,$C$3))</f>
        <v/>
      </c>
      <c r="I69" s="156" t="str">
        <f aca="false">IF($B69="","",MIN(G69,IF(AND(AK69&gt;0,AN69&gt;=AK69),G69,AN69)+SUMIFS('الحركات الشهرية'!$E$6:$E$1005,'الحركات الشهرية'!$B$6:$B$1005,$B69,'الحركات الشهرية'!$A$6:$A$1005,$C$3)))</f>
        <v/>
      </c>
      <c r="J69" s="156" t="str">
        <f aca="false">IF($B69="","",MAX(0,G69-H69-I69))</f>
        <v/>
      </c>
      <c r="K69" s="116" t="str">
        <f aca="false">IF($B69="","",الموظفون!$L69*$J69/cfg_DAYS_M)</f>
        <v/>
      </c>
      <c r="L69" s="116" t="str">
        <f aca="false">IF($B69="","",الموظفون!$M69*$J69/cfg_DAYS_M)</f>
        <v/>
      </c>
      <c r="M69" s="116" t="str">
        <f aca="false">IF($B69="","",الموظفون!$N69*$J69/cfg_DAYS_M)</f>
        <v/>
      </c>
      <c r="N69" s="116" t="str">
        <f aca="false">IF($B69="","",الموظفون!$O69*$J69/cfg_DAYS_M)</f>
        <v/>
      </c>
      <c r="O69" s="156" t="str">
        <f aca="false">IF($B69="","",SUMIFS('الحركات الشهرية'!$F$6:$F$1005,'الحركات الشهرية'!$B$6:$B$1005,$B69,'الحركات الشهرية'!$A$6:$A$1005,$C$3))</f>
        <v/>
      </c>
      <c r="P69" s="116" t="str">
        <f aca="false">IF($B69="","",O69*(الموظفون!$P69+الموظفون!$L69*cfg_OT_P)/cfg_DAYS_M/cfg_HRS)</f>
        <v/>
      </c>
      <c r="Q69" s="116" t="str">
        <f aca="false">IF($B69="","",SUMIFS('الحركات الشهرية'!$G$6:$G$1005,'الحركات الشهرية'!$B$6:$B$1005,$B69,'الحركات الشهرية'!$A$6:$A$1005,$C$3))</f>
        <v/>
      </c>
      <c r="R69" s="116" t="str">
        <f aca="false">IF($B69="","",SUMIFS('الحركات الشهرية'!$H$6:$H$1005,'الحركات الشهرية'!$B$6:$B$1005,$B69,'الحركات الشهرية'!$A$6:$A$1005,$C$3))</f>
        <v/>
      </c>
      <c r="S69" s="116" t="str">
        <f aca="false">IF($B69="","",SUMIFS('سجل الإجازات والحالات'!$N$6:$N$505,'سجل الإجازات والحالات'!$B$6:$B$505,$B69,'سجل الإجازات والحالات'!$O$6:$O$505,$C$3))</f>
        <v/>
      </c>
      <c r="T69" s="157" t="str">
        <f aca="false">IF($B69="","",SUM(K69:N69)+SUM(P69:S69))</f>
        <v/>
      </c>
      <c r="U69" s="116" t="str">
        <f aca="false">IF($B69="","",الموظفون!$S69*IF(E69="سعودي",cfg_G_SE,cfg_G_NE)*G69/cfg_DAYS_M)</f>
        <v/>
      </c>
      <c r="V69" s="116" t="str">
        <f aca="false">IF($B69="","",SUMIFS('الحركات الشهرية'!$I$6:$I$1005,'الحركات الشهرية'!$B$6:$B$1005,$B69,'الحركات الشهرية'!$A$6:$A$1005,$C$3))</f>
        <v/>
      </c>
      <c r="W69" s="116" t="str">
        <f aca="false">IF($B69="","",SUMIFS('الحركات الشهرية'!$J$6:$J$1005,'الحركات الشهرية'!$B$6:$B$1005,$B69,'الحركات الشهرية'!$A$6:$A$1005,$C$3))</f>
        <v/>
      </c>
      <c r="X69" s="116" t="str">
        <f aca="false">IF($B69="","",SUM(U69:W69))</f>
        <v/>
      </c>
      <c r="Y69" s="158" t="str">
        <f aca="false">IF($B69="","",T69-X69)</f>
        <v/>
      </c>
      <c r="Z69" s="116" t="str">
        <f aca="false">IF($B69="","",الموظفون!$S69*IF(E69="سعودي",cfg_G_SR,cfg_G_NR)*G69/cfg_DAYS_M)</f>
        <v/>
      </c>
      <c r="AA69" s="116" t="str">
        <f aca="false">IF($B69="","",الموظفون!$Q69*(cfg_EOS_R1*(MIN(AH69,cfg_EOS_TH)-MIN(AI69,cfg_EOS_TH))+cfg_EOS_R2*(MAX(AH69-cfg_EOS_TH,0)-MAX(AI69-cfg_EOS_TH,0))))</f>
        <v/>
      </c>
      <c r="AB69" s="116" t="str">
        <f aca="false">IF($B69="","",IF(الموظفون!$T69&lt;&gt;"",الموظفون!$T69,IF(AH69&gt;=cfg_LV_TH,cfg_LV_D2,cfg_LV_D1))/cfg_DAYS_Y*AJ69*الموظفون!$R69/cfg_DAYS_M)</f>
        <v/>
      </c>
      <c r="AC69" s="116" t="str">
        <f aca="false">IF($B69="","",IF(AND(الموظفون!$U69="نعم",N(الموظفون!$W69)&gt;0),الموظفون!$V69/الموظفون!$W69*12/cfg_DAYS_Y*AJ69,0))</f>
        <v/>
      </c>
      <c r="AD69" s="116" t="str">
        <f aca="false">IF($B69="","",(IF(الموظفون!$X69&lt;&gt;"",الموظفون!$X69,IF(الموظفون!$E69="غير سعودي",cfg_IQ,0))+IF(الموظفون!$Y69&lt;&gt;"",الموظفون!$Y69,IF(الموظفون!$E69="غير سعودي",cfg_WP,0)))/12*G69/cfg_DAYS_M)</f>
        <v/>
      </c>
      <c r="AE69" s="116" t="str">
        <f aca="false">IF($B69="","",IF(الموظفون!$Z69&lt;&gt;"",الموظفون!$Z69,cfg_MED)/12*G69/cfg_DAYS_M)</f>
        <v/>
      </c>
      <c r="AF69" s="116" t="str">
        <f aca="false">IF($B69="","",N(الموظفون!$AA69)/12*G69/cfg_DAYS_M)</f>
        <v/>
      </c>
      <c r="AG69" s="159" t="str">
        <f aca="false">IF($B69="","",T69+SUM(Z69:AF69))</f>
        <v/>
      </c>
      <c r="AH69" s="160" t="str">
        <f aca="false">IF($B69="","",MAX(0,IF(OR(الموظفون!$AE69="",الموظفون!$AE69&gt;$F$3),$F$3,الموظفون!$AE69)-الموظفون!$H69+1-SUMIFS('سجل الإجازات والحالات'!$AN$6:$AN$505,'سجل الإجازات والحالات'!$B$6:$B$505,$B69))/cfg_DAYS_Y)</f>
        <v/>
      </c>
      <c r="AI69" s="160" t="str">
        <f aca="false">IF($B69="","",MAX(0,IF(OR(الموظفون!$AE69="",الموظفون!$AE69&gt;($E$3-1)),($E$3-1),الموظفون!$AE69)-الموظفون!$H69+1-SUMIFS('سجل الإجازات والحالات'!$AM$6:$AM$505,'سجل الإجازات والحالات'!$B$6:$B$505,$B69))/cfg_DAYS_Y)</f>
        <v/>
      </c>
      <c r="AJ69" s="133" t="str">
        <f aca="false">IF($B69="","",MAX(0,AK69-(SUMIFS('سجل الإجازات والحالات'!$AN$6:$AN$505,'سجل الإجازات والحالات'!$B$6:$B$505,$B69)-SUMIFS('سجل الإجازات والحالات'!$AM$6:$AM$505,'سجل الإجازات والحالات'!$B$6:$B$505,$B69))))</f>
        <v/>
      </c>
      <c r="AK69" s="133" t="str">
        <f aca="false">IF($B69="","",MAX(0,IF(OR(الموظفون!$AE69="",الموظفون!$AE69&gt;$F$3),$F$3,الموظفون!$AE69)-MAX($E$3,الموظفون!$H69)+1))</f>
        <v/>
      </c>
      <c r="AL69" s="156" t="str">
        <f aca="false">IF($B69="","",SUMIFS('سجل الإجازات والحالات'!$AZ$6:$AZ$505,'سجل الإجازات والحالات'!$B$6:$B$505,$B69)+SUMIFS('الحركات الشهرية'!$K$6:$K$1005,'الحركات الشهرية'!$B$6:$B$1005,$B69,'الحركات الشهرية'!$A$6:$A$1005,$C$3))</f>
        <v/>
      </c>
      <c r="AM69" s="116" t="str">
        <f aca="false">IF($B69="","",AL69*الموظفون!$R69/cfg_DAYS_M+S69)</f>
        <v/>
      </c>
      <c r="AN69" s="156" t="str">
        <f aca="false">IF($B69="","",SUMIFS('سجل الإجازات والحالات'!$AB$6:$AB$505,'سجل الإجازات والحالات'!$B$6:$B$505,$B69))</f>
        <v/>
      </c>
    </row>
    <row r="70" customFormat="false" ht="15" hidden="false" customHeight="false" outlineLevel="0" collapsed="false">
      <c r="A70" s="106" t="str">
        <f aca="false">IF($B70="","",الموظفون!$A70)</f>
        <v/>
      </c>
      <c r="B70" s="114" t="str">
        <f aca="false">IF(الموظفون!$B70="","",الموظفون!$B70)</f>
        <v/>
      </c>
      <c r="C70" s="114" t="str">
        <f aca="false">IF($B70="","",الموظفون!$C70)</f>
        <v/>
      </c>
      <c r="D70" s="114" t="str">
        <f aca="false">IF($B70="","",الموظفون!$F70)</f>
        <v/>
      </c>
      <c r="E70" s="114" t="str">
        <f aca="false">IF($B70="","",الموظفون!$E70)</f>
        <v/>
      </c>
      <c r="F70" s="114" t="str">
        <f aca="false">IF($B70="","",IF(AK70=0,IF(AND(الموظفون!$AE70&lt;&gt;"",الموظفون!$AE70&lt;$E$3),"✖ منتهي الخدمة","⏳ لم يباشر"),IF(S70&gt;0,"✈ راتب إجازة مقدم",IF(J70=0,"⛔ بدون راتب هذا الشهر",IF(I70&gt;0,"✈ خصم "&amp;ROUND(I70,2)&amp;" يوم بدون أجر",IF(AL70&gt;0,"🌴 إجازة سنوية "&amp;ROUND(AL70,2)&amp;" يوم",IF(H70&gt;0,"⚠ غياب "&amp;ROUND(H70,2)&amp;" يوم","✔ على رأس العمل")))))))</f>
        <v/>
      </c>
      <c r="G70" s="151" t="str">
        <f aca="false">IF($B70="","",IF(AK70&gt;=DAY($F$3),cfg_DAYS_M,MIN(AK70,cfg_DAYS_M)))</f>
        <v/>
      </c>
      <c r="H70" s="151" t="str">
        <f aca="false">IF($B70="","",SUMIFS('الحركات الشهرية'!$D$6:$D$1005,'الحركات الشهرية'!$B$6:$B$1005,$B70,'الحركات الشهرية'!$A$6:$A$1005,$C$3))</f>
        <v/>
      </c>
      <c r="I70" s="151" t="str">
        <f aca="false">IF($B70="","",MIN(G70,IF(AND(AK70&gt;0,AN70&gt;=AK70),G70,AN70)+SUMIFS('الحركات الشهرية'!$E$6:$E$1005,'الحركات الشهرية'!$B$6:$B$1005,$B70,'الحركات الشهرية'!$A$6:$A$1005,$C$3)))</f>
        <v/>
      </c>
      <c r="J70" s="151" t="str">
        <f aca="false">IF($B70="","",MAX(0,G70-H70-I70))</f>
        <v/>
      </c>
      <c r="K70" s="111" t="str">
        <f aca="false">IF($B70="","",الموظفون!$L70*$J70/cfg_DAYS_M)</f>
        <v/>
      </c>
      <c r="L70" s="111" t="str">
        <f aca="false">IF($B70="","",الموظفون!$M70*$J70/cfg_DAYS_M)</f>
        <v/>
      </c>
      <c r="M70" s="111" t="str">
        <f aca="false">IF($B70="","",الموظفون!$N70*$J70/cfg_DAYS_M)</f>
        <v/>
      </c>
      <c r="N70" s="111" t="str">
        <f aca="false">IF($B70="","",الموظفون!$O70*$J70/cfg_DAYS_M)</f>
        <v/>
      </c>
      <c r="O70" s="151" t="str">
        <f aca="false">IF($B70="","",SUMIFS('الحركات الشهرية'!$F$6:$F$1005,'الحركات الشهرية'!$B$6:$B$1005,$B70,'الحركات الشهرية'!$A$6:$A$1005,$C$3))</f>
        <v/>
      </c>
      <c r="P70" s="111" t="str">
        <f aca="false">IF($B70="","",O70*(الموظفون!$P70+الموظفون!$L70*cfg_OT_P)/cfg_DAYS_M/cfg_HRS)</f>
        <v/>
      </c>
      <c r="Q70" s="111" t="str">
        <f aca="false">IF($B70="","",SUMIFS('الحركات الشهرية'!$G$6:$G$1005,'الحركات الشهرية'!$B$6:$B$1005,$B70,'الحركات الشهرية'!$A$6:$A$1005,$C$3))</f>
        <v/>
      </c>
      <c r="R70" s="111" t="str">
        <f aca="false">IF($B70="","",SUMIFS('الحركات الشهرية'!$H$6:$H$1005,'الحركات الشهرية'!$B$6:$B$1005,$B70,'الحركات الشهرية'!$A$6:$A$1005,$C$3))</f>
        <v/>
      </c>
      <c r="S70" s="111" t="str">
        <f aca="false">IF($B70="","",SUMIFS('سجل الإجازات والحالات'!$N$6:$N$505,'سجل الإجازات والحالات'!$B$6:$B$505,$B70,'سجل الإجازات والحالات'!$O$6:$O$505,$C$3))</f>
        <v/>
      </c>
      <c r="T70" s="152" t="str">
        <f aca="false">IF($B70="","",SUM(K70:N70)+SUM(P70:S70))</f>
        <v/>
      </c>
      <c r="U70" s="111" t="str">
        <f aca="false">IF($B70="","",الموظفون!$S70*IF(E70="سعودي",cfg_G_SE,cfg_G_NE)*G70/cfg_DAYS_M)</f>
        <v/>
      </c>
      <c r="V70" s="111" t="str">
        <f aca="false">IF($B70="","",SUMIFS('الحركات الشهرية'!$I$6:$I$1005,'الحركات الشهرية'!$B$6:$B$1005,$B70,'الحركات الشهرية'!$A$6:$A$1005,$C$3))</f>
        <v/>
      </c>
      <c r="W70" s="111" t="str">
        <f aca="false">IF($B70="","",SUMIFS('الحركات الشهرية'!$J$6:$J$1005,'الحركات الشهرية'!$B$6:$B$1005,$B70,'الحركات الشهرية'!$A$6:$A$1005,$C$3))</f>
        <v/>
      </c>
      <c r="X70" s="111" t="str">
        <f aca="false">IF($B70="","",SUM(U70:W70))</f>
        <v/>
      </c>
      <c r="Y70" s="153" t="str">
        <f aca="false">IF($B70="","",T70-X70)</f>
        <v/>
      </c>
      <c r="Z70" s="111" t="str">
        <f aca="false">IF($B70="","",الموظفون!$S70*IF(E70="سعودي",cfg_G_SR,cfg_G_NR)*G70/cfg_DAYS_M)</f>
        <v/>
      </c>
      <c r="AA70" s="111" t="str">
        <f aca="false">IF($B70="","",الموظفون!$Q70*(cfg_EOS_R1*(MIN(AH70,cfg_EOS_TH)-MIN(AI70,cfg_EOS_TH))+cfg_EOS_R2*(MAX(AH70-cfg_EOS_TH,0)-MAX(AI70-cfg_EOS_TH,0))))</f>
        <v/>
      </c>
      <c r="AB70" s="111" t="str">
        <f aca="false">IF($B70="","",IF(الموظفون!$T70&lt;&gt;"",الموظفون!$T70,IF(AH70&gt;=cfg_LV_TH,cfg_LV_D2,cfg_LV_D1))/cfg_DAYS_Y*AJ70*الموظفون!$R70/cfg_DAYS_M)</f>
        <v/>
      </c>
      <c r="AC70" s="111" t="str">
        <f aca="false">IF($B70="","",IF(AND(الموظفون!$U70="نعم",N(الموظفون!$W70)&gt;0),الموظفون!$V70/الموظفون!$W70*12/cfg_DAYS_Y*AJ70,0))</f>
        <v/>
      </c>
      <c r="AD70" s="111" t="str">
        <f aca="false">IF($B70="","",(IF(الموظفون!$X70&lt;&gt;"",الموظفون!$X70,IF(الموظفون!$E70="غير سعودي",cfg_IQ,0))+IF(الموظفون!$Y70&lt;&gt;"",الموظفون!$Y70,IF(الموظفون!$E70="غير سعودي",cfg_WP,0)))/12*G70/cfg_DAYS_M)</f>
        <v/>
      </c>
      <c r="AE70" s="111" t="str">
        <f aca="false">IF($B70="","",IF(الموظفون!$Z70&lt;&gt;"",الموظفون!$Z70,cfg_MED)/12*G70/cfg_DAYS_M)</f>
        <v/>
      </c>
      <c r="AF70" s="111" t="str">
        <f aca="false">IF($B70="","",N(الموظفون!$AA70)/12*G70/cfg_DAYS_M)</f>
        <v/>
      </c>
      <c r="AG70" s="154" t="str">
        <f aca="false">IF($B70="","",T70+SUM(Z70:AF70))</f>
        <v/>
      </c>
      <c r="AH70" s="155" t="str">
        <f aca="false">IF($B70="","",MAX(0,IF(OR(الموظفون!$AE70="",الموظفون!$AE70&gt;$F$3),$F$3,الموظفون!$AE70)-الموظفون!$H70+1-SUMIFS('سجل الإجازات والحالات'!$AN$6:$AN$505,'سجل الإجازات والحالات'!$B$6:$B$505,$B70))/cfg_DAYS_Y)</f>
        <v/>
      </c>
      <c r="AI70" s="155" t="str">
        <f aca="false">IF($B70="","",MAX(0,IF(OR(الموظفون!$AE70="",الموظفون!$AE70&gt;($E$3-1)),($E$3-1),الموظفون!$AE70)-الموظفون!$H70+1-SUMIFS('سجل الإجازات والحالات'!$AM$6:$AM$505,'سجل الإجازات والحالات'!$B$6:$B$505,$B70))/cfg_DAYS_Y)</f>
        <v/>
      </c>
      <c r="AJ70" s="65" t="str">
        <f aca="false">IF($B70="","",MAX(0,AK70-(SUMIFS('سجل الإجازات والحالات'!$AN$6:$AN$505,'سجل الإجازات والحالات'!$B$6:$B$505,$B70)-SUMIFS('سجل الإجازات والحالات'!$AM$6:$AM$505,'سجل الإجازات والحالات'!$B$6:$B$505,$B70))))</f>
        <v/>
      </c>
      <c r="AK70" s="65" t="str">
        <f aca="false">IF($B70="","",MAX(0,IF(OR(الموظفون!$AE70="",الموظفون!$AE70&gt;$F$3),$F$3,الموظفون!$AE70)-MAX($E$3,الموظفون!$H70)+1))</f>
        <v/>
      </c>
      <c r="AL70" s="151" t="str">
        <f aca="false">IF($B70="","",SUMIFS('سجل الإجازات والحالات'!$AZ$6:$AZ$505,'سجل الإجازات والحالات'!$B$6:$B$505,$B70)+SUMIFS('الحركات الشهرية'!$K$6:$K$1005,'الحركات الشهرية'!$B$6:$B$1005,$B70,'الحركات الشهرية'!$A$6:$A$1005,$C$3))</f>
        <v/>
      </c>
      <c r="AM70" s="111" t="str">
        <f aca="false">IF($B70="","",AL70*الموظفون!$R70/cfg_DAYS_M+S70)</f>
        <v/>
      </c>
      <c r="AN70" s="151" t="str">
        <f aca="false">IF($B70="","",SUMIFS('سجل الإجازات والحالات'!$AB$6:$AB$505,'سجل الإجازات والحالات'!$B$6:$B$505,$B70))</f>
        <v/>
      </c>
    </row>
    <row r="71" customFormat="false" ht="15" hidden="false" customHeight="false" outlineLevel="0" collapsed="false">
      <c r="A71" s="115" t="str">
        <f aca="false">IF($B71="","",الموظفون!$A71)</f>
        <v/>
      </c>
      <c r="B71" s="117" t="str">
        <f aca="false">IF(الموظفون!$B71="","",الموظفون!$B71)</f>
        <v/>
      </c>
      <c r="C71" s="117" t="str">
        <f aca="false">IF($B71="","",الموظفون!$C71)</f>
        <v/>
      </c>
      <c r="D71" s="117" t="str">
        <f aca="false">IF($B71="","",الموظفون!$F71)</f>
        <v/>
      </c>
      <c r="E71" s="117" t="str">
        <f aca="false">IF($B71="","",الموظفون!$E71)</f>
        <v/>
      </c>
      <c r="F71" s="117" t="str">
        <f aca="false">IF($B71="","",IF(AK71=0,IF(AND(الموظفون!$AE71&lt;&gt;"",الموظفون!$AE71&lt;$E$3),"✖ منتهي الخدمة","⏳ لم يباشر"),IF(S71&gt;0,"✈ راتب إجازة مقدم",IF(J71=0,"⛔ بدون راتب هذا الشهر",IF(I71&gt;0,"✈ خصم "&amp;ROUND(I71,2)&amp;" يوم بدون أجر",IF(AL71&gt;0,"🌴 إجازة سنوية "&amp;ROUND(AL71,2)&amp;" يوم",IF(H71&gt;0,"⚠ غياب "&amp;ROUND(H71,2)&amp;" يوم","✔ على رأس العمل")))))))</f>
        <v/>
      </c>
      <c r="G71" s="156" t="str">
        <f aca="false">IF($B71="","",IF(AK71&gt;=DAY($F$3),cfg_DAYS_M,MIN(AK71,cfg_DAYS_M)))</f>
        <v/>
      </c>
      <c r="H71" s="156" t="str">
        <f aca="false">IF($B71="","",SUMIFS('الحركات الشهرية'!$D$6:$D$1005,'الحركات الشهرية'!$B$6:$B$1005,$B71,'الحركات الشهرية'!$A$6:$A$1005,$C$3))</f>
        <v/>
      </c>
      <c r="I71" s="156" t="str">
        <f aca="false">IF($B71="","",MIN(G71,IF(AND(AK71&gt;0,AN71&gt;=AK71),G71,AN71)+SUMIFS('الحركات الشهرية'!$E$6:$E$1005,'الحركات الشهرية'!$B$6:$B$1005,$B71,'الحركات الشهرية'!$A$6:$A$1005,$C$3)))</f>
        <v/>
      </c>
      <c r="J71" s="156" t="str">
        <f aca="false">IF($B71="","",MAX(0,G71-H71-I71))</f>
        <v/>
      </c>
      <c r="K71" s="116" t="str">
        <f aca="false">IF($B71="","",الموظفون!$L71*$J71/cfg_DAYS_M)</f>
        <v/>
      </c>
      <c r="L71" s="116" t="str">
        <f aca="false">IF($B71="","",الموظفون!$M71*$J71/cfg_DAYS_M)</f>
        <v/>
      </c>
      <c r="M71" s="116" t="str">
        <f aca="false">IF($B71="","",الموظفون!$N71*$J71/cfg_DAYS_M)</f>
        <v/>
      </c>
      <c r="N71" s="116" t="str">
        <f aca="false">IF($B71="","",الموظفون!$O71*$J71/cfg_DAYS_M)</f>
        <v/>
      </c>
      <c r="O71" s="156" t="str">
        <f aca="false">IF($B71="","",SUMIFS('الحركات الشهرية'!$F$6:$F$1005,'الحركات الشهرية'!$B$6:$B$1005,$B71,'الحركات الشهرية'!$A$6:$A$1005,$C$3))</f>
        <v/>
      </c>
      <c r="P71" s="116" t="str">
        <f aca="false">IF($B71="","",O71*(الموظفون!$P71+الموظفون!$L71*cfg_OT_P)/cfg_DAYS_M/cfg_HRS)</f>
        <v/>
      </c>
      <c r="Q71" s="116" t="str">
        <f aca="false">IF($B71="","",SUMIFS('الحركات الشهرية'!$G$6:$G$1005,'الحركات الشهرية'!$B$6:$B$1005,$B71,'الحركات الشهرية'!$A$6:$A$1005,$C$3))</f>
        <v/>
      </c>
      <c r="R71" s="116" t="str">
        <f aca="false">IF($B71="","",SUMIFS('الحركات الشهرية'!$H$6:$H$1005,'الحركات الشهرية'!$B$6:$B$1005,$B71,'الحركات الشهرية'!$A$6:$A$1005,$C$3))</f>
        <v/>
      </c>
      <c r="S71" s="116" t="str">
        <f aca="false">IF($B71="","",SUMIFS('سجل الإجازات والحالات'!$N$6:$N$505,'سجل الإجازات والحالات'!$B$6:$B$505,$B71,'سجل الإجازات والحالات'!$O$6:$O$505,$C$3))</f>
        <v/>
      </c>
      <c r="T71" s="157" t="str">
        <f aca="false">IF($B71="","",SUM(K71:N71)+SUM(P71:S71))</f>
        <v/>
      </c>
      <c r="U71" s="116" t="str">
        <f aca="false">IF($B71="","",الموظفون!$S71*IF(E71="سعودي",cfg_G_SE,cfg_G_NE)*G71/cfg_DAYS_M)</f>
        <v/>
      </c>
      <c r="V71" s="116" t="str">
        <f aca="false">IF($B71="","",SUMIFS('الحركات الشهرية'!$I$6:$I$1005,'الحركات الشهرية'!$B$6:$B$1005,$B71,'الحركات الشهرية'!$A$6:$A$1005,$C$3))</f>
        <v/>
      </c>
      <c r="W71" s="116" t="str">
        <f aca="false">IF($B71="","",SUMIFS('الحركات الشهرية'!$J$6:$J$1005,'الحركات الشهرية'!$B$6:$B$1005,$B71,'الحركات الشهرية'!$A$6:$A$1005,$C$3))</f>
        <v/>
      </c>
      <c r="X71" s="116" t="str">
        <f aca="false">IF($B71="","",SUM(U71:W71))</f>
        <v/>
      </c>
      <c r="Y71" s="158" t="str">
        <f aca="false">IF($B71="","",T71-X71)</f>
        <v/>
      </c>
      <c r="Z71" s="116" t="str">
        <f aca="false">IF($B71="","",الموظفون!$S71*IF(E71="سعودي",cfg_G_SR,cfg_G_NR)*G71/cfg_DAYS_M)</f>
        <v/>
      </c>
      <c r="AA71" s="116" t="str">
        <f aca="false">IF($B71="","",الموظفون!$Q71*(cfg_EOS_R1*(MIN(AH71,cfg_EOS_TH)-MIN(AI71,cfg_EOS_TH))+cfg_EOS_R2*(MAX(AH71-cfg_EOS_TH,0)-MAX(AI71-cfg_EOS_TH,0))))</f>
        <v/>
      </c>
      <c r="AB71" s="116" t="str">
        <f aca="false">IF($B71="","",IF(الموظفون!$T71&lt;&gt;"",الموظفون!$T71,IF(AH71&gt;=cfg_LV_TH,cfg_LV_D2,cfg_LV_D1))/cfg_DAYS_Y*AJ71*الموظفون!$R71/cfg_DAYS_M)</f>
        <v/>
      </c>
      <c r="AC71" s="116" t="str">
        <f aca="false">IF($B71="","",IF(AND(الموظفون!$U71="نعم",N(الموظفون!$W71)&gt;0),الموظفون!$V71/الموظفون!$W71*12/cfg_DAYS_Y*AJ71,0))</f>
        <v/>
      </c>
      <c r="AD71" s="116" t="str">
        <f aca="false">IF($B71="","",(IF(الموظفون!$X71&lt;&gt;"",الموظفون!$X71,IF(الموظفون!$E71="غير سعودي",cfg_IQ,0))+IF(الموظفون!$Y71&lt;&gt;"",الموظفون!$Y71,IF(الموظفون!$E71="غير سعودي",cfg_WP,0)))/12*G71/cfg_DAYS_M)</f>
        <v/>
      </c>
      <c r="AE71" s="116" t="str">
        <f aca="false">IF($B71="","",IF(الموظفون!$Z71&lt;&gt;"",الموظفون!$Z71,cfg_MED)/12*G71/cfg_DAYS_M)</f>
        <v/>
      </c>
      <c r="AF71" s="116" t="str">
        <f aca="false">IF($B71="","",N(الموظفون!$AA71)/12*G71/cfg_DAYS_M)</f>
        <v/>
      </c>
      <c r="AG71" s="159" t="str">
        <f aca="false">IF($B71="","",T71+SUM(Z71:AF71))</f>
        <v/>
      </c>
      <c r="AH71" s="160" t="str">
        <f aca="false">IF($B71="","",MAX(0,IF(OR(الموظفون!$AE71="",الموظفون!$AE71&gt;$F$3),$F$3,الموظفون!$AE71)-الموظفون!$H71+1-SUMIFS('سجل الإجازات والحالات'!$AN$6:$AN$505,'سجل الإجازات والحالات'!$B$6:$B$505,$B71))/cfg_DAYS_Y)</f>
        <v/>
      </c>
      <c r="AI71" s="160" t="str">
        <f aca="false">IF($B71="","",MAX(0,IF(OR(الموظفون!$AE71="",الموظفون!$AE71&gt;($E$3-1)),($E$3-1),الموظفون!$AE71)-الموظفون!$H71+1-SUMIFS('سجل الإجازات والحالات'!$AM$6:$AM$505,'سجل الإجازات والحالات'!$B$6:$B$505,$B71))/cfg_DAYS_Y)</f>
        <v/>
      </c>
      <c r="AJ71" s="133" t="str">
        <f aca="false">IF($B71="","",MAX(0,AK71-(SUMIFS('سجل الإجازات والحالات'!$AN$6:$AN$505,'سجل الإجازات والحالات'!$B$6:$B$505,$B71)-SUMIFS('سجل الإجازات والحالات'!$AM$6:$AM$505,'سجل الإجازات والحالات'!$B$6:$B$505,$B71))))</f>
        <v/>
      </c>
      <c r="AK71" s="133" t="str">
        <f aca="false">IF($B71="","",MAX(0,IF(OR(الموظفون!$AE71="",الموظفون!$AE71&gt;$F$3),$F$3,الموظفون!$AE71)-MAX($E$3,الموظفون!$H71)+1))</f>
        <v/>
      </c>
      <c r="AL71" s="156" t="str">
        <f aca="false">IF($B71="","",SUMIFS('سجل الإجازات والحالات'!$AZ$6:$AZ$505,'سجل الإجازات والحالات'!$B$6:$B$505,$B71)+SUMIFS('الحركات الشهرية'!$K$6:$K$1005,'الحركات الشهرية'!$B$6:$B$1005,$B71,'الحركات الشهرية'!$A$6:$A$1005,$C$3))</f>
        <v/>
      </c>
      <c r="AM71" s="116" t="str">
        <f aca="false">IF($B71="","",AL71*الموظفون!$R71/cfg_DAYS_M+S71)</f>
        <v/>
      </c>
      <c r="AN71" s="156" t="str">
        <f aca="false">IF($B71="","",SUMIFS('سجل الإجازات والحالات'!$AB$6:$AB$505,'سجل الإجازات والحالات'!$B$6:$B$505,$B71))</f>
        <v/>
      </c>
    </row>
    <row r="72" customFormat="false" ht="15" hidden="false" customHeight="false" outlineLevel="0" collapsed="false">
      <c r="A72" s="106" t="str">
        <f aca="false">IF($B72="","",الموظفون!$A72)</f>
        <v/>
      </c>
      <c r="B72" s="114" t="str">
        <f aca="false">IF(الموظفون!$B72="","",الموظفون!$B72)</f>
        <v/>
      </c>
      <c r="C72" s="114" t="str">
        <f aca="false">IF($B72="","",الموظفون!$C72)</f>
        <v/>
      </c>
      <c r="D72" s="114" t="str">
        <f aca="false">IF($B72="","",الموظفون!$F72)</f>
        <v/>
      </c>
      <c r="E72" s="114" t="str">
        <f aca="false">IF($B72="","",الموظفون!$E72)</f>
        <v/>
      </c>
      <c r="F72" s="114" t="str">
        <f aca="false">IF($B72="","",IF(AK72=0,IF(AND(الموظفون!$AE72&lt;&gt;"",الموظفون!$AE72&lt;$E$3),"✖ منتهي الخدمة","⏳ لم يباشر"),IF(S72&gt;0,"✈ راتب إجازة مقدم",IF(J72=0,"⛔ بدون راتب هذا الشهر",IF(I72&gt;0,"✈ خصم "&amp;ROUND(I72,2)&amp;" يوم بدون أجر",IF(AL72&gt;0,"🌴 إجازة سنوية "&amp;ROUND(AL72,2)&amp;" يوم",IF(H72&gt;0,"⚠ غياب "&amp;ROUND(H72,2)&amp;" يوم","✔ على رأس العمل")))))))</f>
        <v/>
      </c>
      <c r="G72" s="151" t="str">
        <f aca="false">IF($B72="","",IF(AK72&gt;=DAY($F$3),cfg_DAYS_M,MIN(AK72,cfg_DAYS_M)))</f>
        <v/>
      </c>
      <c r="H72" s="151" t="str">
        <f aca="false">IF($B72="","",SUMIFS('الحركات الشهرية'!$D$6:$D$1005,'الحركات الشهرية'!$B$6:$B$1005,$B72,'الحركات الشهرية'!$A$6:$A$1005,$C$3))</f>
        <v/>
      </c>
      <c r="I72" s="151" t="str">
        <f aca="false">IF($B72="","",MIN(G72,IF(AND(AK72&gt;0,AN72&gt;=AK72),G72,AN72)+SUMIFS('الحركات الشهرية'!$E$6:$E$1005,'الحركات الشهرية'!$B$6:$B$1005,$B72,'الحركات الشهرية'!$A$6:$A$1005,$C$3)))</f>
        <v/>
      </c>
      <c r="J72" s="151" t="str">
        <f aca="false">IF($B72="","",MAX(0,G72-H72-I72))</f>
        <v/>
      </c>
      <c r="K72" s="111" t="str">
        <f aca="false">IF($B72="","",الموظفون!$L72*$J72/cfg_DAYS_M)</f>
        <v/>
      </c>
      <c r="L72" s="111" t="str">
        <f aca="false">IF($B72="","",الموظفون!$M72*$J72/cfg_DAYS_M)</f>
        <v/>
      </c>
      <c r="M72" s="111" t="str">
        <f aca="false">IF($B72="","",الموظفون!$N72*$J72/cfg_DAYS_M)</f>
        <v/>
      </c>
      <c r="N72" s="111" t="str">
        <f aca="false">IF($B72="","",الموظفون!$O72*$J72/cfg_DAYS_M)</f>
        <v/>
      </c>
      <c r="O72" s="151" t="str">
        <f aca="false">IF($B72="","",SUMIFS('الحركات الشهرية'!$F$6:$F$1005,'الحركات الشهرية'!$B$6:$B$1005,$B72,'الحركات الشهرية'!$A$6:$A$1005,$C$3))</f>
        <v/>
      </c>
      <c r="P72" s="111" t="str">
        <f aca="false">IF($B72="","",O72*(الموظفون!$P72+الموظفون!$L72*cfg_OT_P)/cfg_DAYS_M/cfg_HRS)</f>
        <v/>
      </c>
      <c r="Q72" s="111" t="str">
        <f aca="false">IF($B72="","",SUMIFS('الحركات الشهرية'!$G$6:$G$1005,'الحركات الشهرية'!$B$6:$B$1005,$B72,'الحركات الشهرية'!$A$6:$A$1005,$C$3))</f>
        <v/>
      </c>
      <c r="R72" s="111" t="str">
        <f aca="false">IF($B72="","",SUMIFS('الحركات الشهرية'!$H$6:$H$1005,'الحركات الشهرية'!$B$6:$B$1005,$B72,'الحركات الشهرية'!$A$6:$A$1005,$C$3))</f>
        <v/>
      </c>
      <c r="S72" s="111" t="str">
        <f aca="false">IF($B72="","",SUMIFS('سجل الإجازات والحالات'!$N$6:$N$505,'سجل الإجازات والحالات'!$B$6:$B$505,$B72,'سجل الإجازات والحالات'!$O$6:$O$505,$C$3))</f>
        <v/>
      </c>
      <c r="T72" s="152" t="str">
        <f aca="false">IF($B72="","",SUM(K72:N72)+SUM(P72:S72))</f>
        <v/>
      </c>
      <c r="U72" s="111" t="str">
        <f aca="false">IF($B72="","",الموظفون!$S72*IF(E72="سعودي",cfg_G_SE,cfg_G_NE)*G72/cfg_DAYS_M)</f>
        <v/>
      </c>
      <c r="V72" s="111" t="str">
        <f aca="false">IF($B72="","",SUMIFS('الحركات الشهرية'!$I$6:$I$1005,'الحركات الشهرية'!$B$6:$B$1005,$B72,'الحركات الشهرية'!$A$6:$A$1005,$C$3))</f>
        <v/>
      </c>
      <c r="W72" s="111" t="str">
        <f aca="false">IF($B72="","",SUMIFS('الحركات الشهرية'!$J$6:$J$1005,'الحركات الشهرية'!$B$6:$B$1005,$B72,'الحركات الشهرية'!$A$6:$A$1005,$C$3))</f>
        <v/>
      </c>
      <c r="X72" s="111" t="str">
        <f aca="false">IF($B72="","",SUM(U72:W72))</f>
        <v/>
      </c>
      <c r="Y72" s="153" t="str">
        <f aca="false">IF($B72="","",T72-X72)</f>
        <v/>
      </c>
      <c r="Z72" s="111" t="str">
        <f aca="false">IF($B72="","",الموظفون!$S72*IF(E72="سعودي",cfg_G_SR,cfg_G_NR)*G72/cfg_DAYS_M)</f>
        <v/>
      </c>
      <c r="AA72" s="111" t="str">
        <f aca="false">IF($B72="","",الموظفون!$Q72*(cfg_EOS_R1*(MIN(AH72,cfg_EOS_TH)-MIN(AI72,cfg_EOS_TH))+cfg_EOS_R2*(MAX(AH72-cfg_EOS_TH,0)-MAX(AI72-cfg_EOS_TH,0))))</f>
        <v/>
      </c>
      <c r="AB72" s="111" t="str">
        <f aca="false">IF($B72="","",IF(الموظفون!$T72&lt;&gt;"",الموظفون!$T72,IF(AH72&gt;=cfg_LV_TH,cfg_LV_D2,cfg_LV_D1))/cfg_DAYS_Y*AJ72*الموظفون!$R72/cfg_DAYS_M)</f>
        <v/>
      </c>
      <c r="AC72" s="111" t="str">
        <f aca="false">IF($B72="","",IF(AND(الموظفون!$U72="نعم",N(الموظفون!$W72)&gt;0),الموظفون!$V72/الموظفون!$W72*12/cfg_DAYS_Y*AJ72,0))</f>
        <v/>
      </c>
      <c r="AD72" s="111" t="str">
        <f aca="false">IF($B72="","",(IF(الموظفون!$X72&lt;&gt;"",الموظفون!$X72,IF(الموظفون!$E72="غير سعودي",cfg_IQ,0))+IF(الموظفون!$Y72&lt;&gt;"",الموظفون!$Y72,IF(الموظفون!$E72="غير سعودي",cfg_WP,0)))/12*G72/cfg_DAYS_M)</f>
        <v/>
      </c>
      <c r="AE72" s="111" t="str">
        <f aca="false">IF($B72="","",IF(الموظفون!$Z72&lt;&gt;"",الموظفون!$Z72,cfg_MED)/12*G72/cfg_DAYS_M)</f>
        <v/>
      </c>
      <c r="AF72" s="111" t="str">
        <f aca="false">IF($B72="","",N(الموظفون!$AA72)/12*G72/cfg_DAYS_M)</f>
        <v/>
      </c>
      <c r="AG72" s="154" t="str">
        <f aca="false">IF($B72="","",T72+SUM(Z72:AF72))</f>
        <v/>
      </c>
      <c r="AH72" s="155" t="str">
        <f aca="false">IF($B72="","",MAX(0,IF(OR(الموظفون!$AE72="",الموظفون!$AE72&gt;$F$3),$F$3,الموظفون!$AE72)-الموظفون!$H72+1-SUMIFS('سجل الإجازات والحالات'!$AN$6:$AN$505,'سجل الإجازات والحالات'!$B$6:$B$505,$B72))/cfg_DAYS_Y)</f>
        <v/>
      </c>
      <c r="AI72" s="155" t="str">
        <f aca="false">IF($B72="","",MAX(0,IF(OR(الموظفون!$AE72="",الموظفون!$AE72&gt;($E$3-1)),($E$3-1),الموظفون!$AE72)-الموظفون!$H72+1-SUMIFS('سجل الإجازات والحالات'!$AM$6:$AM$505,'سجل الإجازات والحالات'!$B$6:$B$505,$B72))/cfg_DAYS_Y)</f>
        <v/>
      </c>
      <c r="AJ72" s="65" t="str">
        <f aca="false">IF($B72="","",MAX(0,AK72-(SUMIFS('سجل الإجازات والحالات'!$AN$6:$AN$505,'سجل الإجازات والحالات'!$B$6:$B$505,$B72)-SUMIFS('سجل الإجازات والحالات'!$AM$6:$AM$505,'سجل الإجازات والحالات'!$B$6:$B$505,$B72))))</f>
        <v/>
      </c>
      <c r="AK72" s="65" t="str">
        <f aca="false">IF($B72="","",MAX(0,IF(OR(الموظفون!$AE72="",الموظفون!$AE72&gt;$F$3),$F$3,الموظفون!$AE72)-MAX($E$3,الموظفون!$H72)+1))</f>
        <v/>
      </c>
      <c r="AL72" s="151" t="str">
        <f aca="false">IF($B72="","",SUMIFS('سجل الإجازات والحالات'!$AZ$6:$AZ$505,'سجل الإجازات والحالات'!$B$6:$B$505,$B72)+SUMIFS('الحركات الشهرية'!$K$6:$K$1005,'الحركات الشهرية'!$B$6:$B$1005,$B72,'الحركات الشهرية'!$A$6:$A$1005,$C$3))</f>
        <v/>
      </c>
      <c r="AM72" s="111" t="str">
        <f aca="false">IF($B72="","",AL72*الموظفون!$R72/cfg_DAYS_M+S72)</f>
        <v/>
      </c>
      <c r="AN72" s="151" t="str">
        <f aca="false">IF($B72="","",SUMIFS('سجل الإجازات والحالات'!$AB$6:$AB$505,'سجل الإجازات والحالات'!$B$6:$B$505,$B72))</f>
        <v/>
      </c>
    </row>
    <row r="73" customFormat="false" ht="15" hidden="false" customHeight="false" outlineLevel="0" collapsed="false">
      <c r="A73" s="115" t="str">
        <f aca="false">IF($B73="","",الموظفون!$A73)</f>
        <v/>
      </c>
      <c r="B73" s="117" t="str">
        <f aca="false">IF(الموظفون!$B73="","",الموظفون!$B73)</f>
        <v/>
      </c>
      <c r="C73" s="117" t="str">
        <f aca="false">IF($B73="","",الموظفون!$C73)</f>
        <v/>
      </c>
      <c r="D73" s="117" t="str">
        <f aca="false">IF($B73="","",الموظفون!$F73)</f>
        <v/>
      </c>
      <c r="E73" s="117" t="str">
        <f aca="false">IF($B73="","",الموظفون!$E73)</f>
        <v/>
      </c>
      <c r="F73" s="117" t="str">
        <f aca="false">IF($B73="","",IF(AK73=0,IF(AND(الموظفون!$AE73&lt;&gt;"",الموظفون!$AE73&lt;$E$3),"✖ منتهي الخدمة","⏳ لم يباشر"),IF(S73&gt;0,"✈ راتب إجازة مقدم",IF(J73=0,"⛔ بدون راتب هذا الشهر",IF(I73&gt;0,"✈ خصم "&amp;ROUND(I73,2)&amp;" يوم بدون أجر",IF(AL73&gt;0,"🌴 إجازة سنوية "&amp;ROUND(AL73,2)&amp;" يوم",IF(H73&gt;0,"⚠ غياب "&amp;ROUND(H73,2)&amp;" يوم","✔ على رأس العمل")))))))</f>
        <v/>
      </c>
      <c r="G73" s="156" t="str">
        <f aca="false">IF($B73="","",IF(AK73&gt;=DAY($F$3),cfg_DAYS_M,MIN(AK73,cfg_DAYS_M)))</f>
        <v/>
      </c>
      <c r="H73" s="156" t="str">
        <f aca="false">IF($B73="","",SUMIFS('الحركات الشهرية'!$D$6:$D$1005,'الحركات الشهرية'!$B$6:$B$1005,$B73,'الحركات الشهرية'!$A$6:$A$1005,$C$3))</f>
        <v/>
      </c>
      <c r="I73" s="156" t="str">
        <f aca="false">IF($B73="","",MIN(G73,IF(AND(AK73&gt;0,AN73&gt;=AK73),G73,AN73)+SUMIFS('الحركات الشهرية'!$E$6:$E$1005,'الحركات الشهرية'!$B$6:$B$1005,$B73,'الحركات الشهرية'!$A$6:$A$1005,$C$3)))</f>
        <v/>
      </c>
      <c r="J73" s="156" t="str">
        <f aca="false">IF($B73="","",MAX(0,G73-H73-I73))</f>
        <v/>
      </c>
      <c r="K73" s="116" t="str">
        <f aca="false">IF($B73="","",الموظفون!$L73*$J73/cfg_DAYS_M)</f>
        <v/>
      </c>
      <c r="L73" s="116" t="str">
        <f aca="false">IF($B73="","",الموظفون!$M73*$J73/cfg_DAYS_M)</f>
        <v/>
      </c>
      <c r="M73" s="116" t="str">
        <f aca="false">IF($B73="","",الموظفون!$N73*$J73/cfg_DAYS_M)</f>
        <v/>
      </c>
      <c r="N73" s="116" t="str">
        <f aca="false">IF($B73="","",الموظفون!$O73*$J73/cfg_DAYS_M)</f>
        <v/>
      </c>
      <c r="O73" s="156" t="str">
        <f aca="false">IF($B73="","",SUMIFS('الحركات الشهرية'!$F$6:$F$1005,'الحركات الشهرية'!$B$6:$B$1005,$B73,'الحركات الشهرية'!$A$6:$A$1005,$C$3))</f>
        <v/>
      </c>
      <c r="P73" s="116" t="str">
        <f aca="false">IF($B73="","",O73*(الموظفون!$P73+الموظفون!$L73*cfg_OT_P)/cfg_DAYS_M/cfg_HRS)</f>
        <v/>
      </c>
      <c r="Q73" s="116" t="str">
        <f aca="false">IF($B73="","",SUMIFS('الحركات الشهرية'!$G$6:$G$1005,'الحركات الشهرية'!$B$6:$B$1005,$B73,'الحركات الشهرية'!$A$6:$A$1005,$C$3))</f>
        <v/>
      </c>
      <c r="R73" s="116" t="str">
        <f aca="false">IF($B73="","",SUMIFS('الحركات الشهرية'!$H$6:$H$1005,'الحركات الشهرية'!$B$6:$B$1005,$B73,'الحركات الشهرية'!$A$6:$A$1005,$C$3))</f>
        <v/>
      </c>
      <c r="S73" s="116" t="str">
        <f aca="false">IF($B73="","",SUMIFS('سجل الإجازات والحالات'!$N$6:$N$505,'سجل الإجازات والحالات'!$B$6:$B$505,$B73,'سجل الإجازات والحالات'!$O$6:$O$505,$C$3))</f>
        <v/>
      </c>
      <c r="T73" s="157" t="str">
        <f aca="false">IF($B73="","",SUM(K73:N73)+SUM(P73:S73))</f>
        <v/>
      </c>
      <c r="U73" s="116" t="str">
        <f aca="false">IF($B73="","",الموظفون!$S73*IF(E73="سعودي",cfg_G_SE,cfg_G_NE)*G73/cfg_DAYS_M)</f>
        <v/>
      </c>
      <c r="V73" s="116" t="str">
        <f aca="false">IF($B73="","",SUMIFS('الحركات الشهرية'!$I$6:$I$1005,'الحركات الشهرية'!$B$6:$B$1005,$B73,'الحركات الشهرية'!$A$6:$A$1005,$C$3))</f>
        <v/>
      </c>
      <c r="W73" s="116" t="str">
        <f aca="false">IF($B73="","",SUMIFS('الحركات الشهرية'!$J$6:$J$1005,'الحركات الشهرية'!$B$6:$B$1005,$B73,'الحركات الشهرية'!$A$6:$A$1005,$C$3))</f>
        <v/>
      </c>
      <c r="X73" s="116" t="str">
        <f aca="false">IF($B73="","",SUM(U73:W73))</f>
        <v/>
      </c>
      <c r="Y73" s="158" t="str">
        <f aca="false">IF($B73="","",T73-X73)</f>
        <v/>
      </c>
      <c r="Z73" s="116" t="str">
        <f aca="false">IF($B73="","",الموظفون!$S73*IF(E73="سعودي",cfg_G_SR,cfg_G_NR)*G73/cfg_DAYS_M)</f>
        <v/>
      </c>
      <c r="AA73" s="116" t="str">
        <f aca="false">IF($B73="","",الموظفون!$Q73*(cfg_EOS_R1*(MIN(AH73,cfg_EOS_TH)-MIN(AI73,cfg_EOS_TH))+cfg_EOS_R2*(MAX(AH73-cfg_EOS_TH,0)-MAX(AI73-cfg_EOS_TH,0))))</f>
        <v/>
      </c>
      <c r="AB73" s="116" t="str">
        <f aca="false">IF($B73="","",IF(الموظفون!$T73&lt;&gt;"",الموظفون!$T73,IF(AH73&gt;=cfg_LV_TH,cfg_LV_D2,cfg_LV_D1))/cfg_DAYS_Y*AJ73*الموظفون!$R73/cfg_DAYS_M)</f>
        <v/>
      </c>
      <c r="AC73" s="116" t="str">
        <f aca="false">IF($B73="","",IF(AND(الموظفون!$U73="نعم",N(الموظفون!$W73)&gt;0),الموظفون!$V73/الموظفون!$W73*12/cfg_DAYS_Y*AJ73,0))</f>
        <v/>
      </c>
      <c r="AD73" s="116" t="str">
        <f aca="false">IF($B73="","",(IF(الموظفون!$X73&lt;&gt;"",الموظفون!$X73,IF(الموظفون!$E73="غير سعودي",cfg_IQ,0))+IF(الموظفون!$Y73&lt;&gt;"",الموظفون!$Y73,IF(الموظفون!$E73="غير سعودي",cfg_WP,0)))/12*G73/cfg_DAYS_M)</f>
        <v/>
      </c>
      <c r="AE73" s="116" t="str">
        <f aca="false">IF($B73="","",IF(الموظفون!$Z73&lt;&gt;"",الموظفون!$Z73,cfg_MED)/12*G73/cfg_DAYS_M)</f>
        <v/>
      </c>
      <c r="AF73" s="116" t="str">
        <f aca="false">IF($B73="","",N(الموظفون!$AA73)/12*G73/cfg_DAYS_M)</f>
        <v/>
      </c>
      <c r="AG73" s="159" t="str">
        <f aca="false">IF($B73="","",T73+SUM(Z73:AF73))</f>
        <v/>
      </c>
      <c r="AH73" s="160" t="str">
        <f aca="false">IF($B73="","",MAX(0,IF(OR(الموظفون!$AE73="",الموظفون!$AE73&gt;$F$3),$F$3,الموظفون!$AE73)-الموظفون!$H73+1-SUMIFS('سجل الإجازات والحالات'!$AN$6:$AN$505,'سجل الإجازات والحالات'!$B$6:$B$505,$B73))/cfg_DAYS_Y)</f>
        <v/>
      </c>
      <c r="AI73" s="160" t="str">
        <f aca="false">IF($B73="","",MAX(0,IF(OR(الموظفون!$AE73="",الموظفون!$AE73&gt;($E$3-1)),($E$3-1),الموظفون!$AE73)-الموظفون!$H73+1-SUMIFS('سجل الإجازات والحالات'!$AM$6:$AM$505,'سجل الإجازات والحالات'!$B$6:$B$505,$B73))/cfg_DAYS_Y)</f>
        <v/>
      </c>
      <c r="AJ73" s="133" t="str">
        <f aca="false">IF($B73="","",MAX(0,AK73-(SUMIFS('سجل الإجازات والحالات'!$AN$6:$AN$505,'سجل الإجازات والحالات'!$B$6:$B$505,$B73)-SUMIFS('سجل الإجازات والحالات'!$AM$6:$AM$505,'سجل الإجازات والحالات'!$B$6:$B$505,$B73))))</f>
        <v/>
      </c>
      <c r="AK73" s="133" t="str">
        <f aca="false">IF($B73="","",MAX(0,IF(OR(الموظفون!$AE73="",الموظفون!$AE73&gt;$F$3),$F$3,الموظفون!$AE73)-MAX($E$3,الموظفون!$H73)+1))</f>
        <v/>
      </c>
      <c r="AL73" s="156" t="str">
        <f aca="false">IF($B73="","",SUMIFS('سجل الإجازات والحالات'!$AZ$6:$AZ$505,'سجل الإجازات والحالات'!$B$6:$B$505,$B73)+SUMIFS('الحركات الشهرية'!$K$6:$K$1005,'الحركات الشهرية'!$B$6:$B$1005,$B73,'الحركات الشهرية'!$A$6:$A$1005,$C$3))</f>
        <v/>
      </c>
      <c r="AM73" s="116" t="str">
        <f aca="false">IF($B73="","",AL73*الموظفون!$R73/cfg_DAYS_M+S73)</f>
        <v/>
      </c>
      <c r="AN73" s="156" t="str">
        <f aca="false">IF($B73="","",SUMIFS('سجل الإجازات والحالات'!$AB$6:$AB$505,'سجل الإجازات والحالات'!$B$6:$B$505,$B73))</f>
        <v/>
      </c>
    </row>
    <row r="74" customFormat="false" ht="15" hidden="false" customHeight="false" outlineLevel="0" collapsed="false">
      <c r="A74" s="106" t="str">
        <f aca="false">IF($B74="","",الموظفون!$A74)</f>
        <v/>
      </c>
      <c r="B74" s="114" t="str">
        <f aca="false">IF(الموظفون!$B74="","",الموظفون!$B74)</f>
        <v/>
      </c>
      <c r="C74" s="114" t="str">
        <f aca="false">IF($B74="","",الموظفون!$C74)</f>
        <v/>
      </c>
      <c r="D74" s="114" t="str">
        <f aca="false">IF($B74="","",الموظفون!$F74)</f>
        <v/>
      </c>
      <c r="E74" s="114" t="str">
        <f aca="false">IF($B74="","",الموظفون!$E74)</f>
        <v/>
      </c>
      <c r="F74" s="114" t="str">
        <f aca="false">IF($B74="","",IF(AK74=0,IF(AND(الموظفون!$AE74&lt;&gt;"",الموظفون!$AE74&lt;$E$3),"✖ منتهي الخدمة","⏳ لم يباشر"),IF(S74&gt;0,"✈ راتب إجازة مقدم",IF(J74=0,"⛔ بدون راتب هذا الشهر",IF(I74&gt;0,"✈ خصم "&amp;ROUND(I74,2)&amp;" يوم بدون أجر",IF(AL74&gt;0,"🌴 إجازة سنوية "&amp;ROUND(AL74,2)&amp;" يوم",IF(H74&gt;0,"⚠ غياب "&amp;ROUND(H74,2)&amp;" يوم","✔ على رأس العمل")))))))</f>
        <v/>
      </c>
      <c r="G74" s="151" t="str">
        <f aca="false">IF($B74="","",IF(AK74&gt;=DAY($F$3),cfg_DAYS_M,MIN(AK74,cfg_DAYS_M)))</f>
        <v/>
      </c>
      <c r="H74" s="151" t="str">
        <f aca="false">IF($B74="","",SUMIFS('الحركات الشهرية'!$D$6:$D$1005,'الحركات الشهرية'!$B$6:$B$1005,$B74,'الحركات الشهرية'!$A$6:$A$1005,$C$3))</f>
        <v/>
      </c>
      <c r="I74" s="151" t="str">
        <f aca="false">IF($B74="","",MIN(G74,IF(AND(AK74&gt;0,AN74&gt;=AK74),G74,AN74)+SUMIFS('الحركات الشهرية'!$E$6:$E$1005,'الحركات الشهرية'!$B$6:$B$1005,$B74,'الحركات الشهرية'!$A$6:$A$1005,$C$3)))</f>
        <v/>
      </c>
      <c r="J74" s="151" t="str">
        <f aca="false">IF($B74="","",MAX(0,G74-H74-I74))</f>
        <v/>
      </c>
      <c r="K74" s="111" t="str">
        <f aca="false">IF($B74="","",الموظفون!$L74*$J74/cfg_DAYS_M)</f>
        <v/>
      </c>
      <c r="L74" s="111" t="str">
        <f aca="false">IF($B74="","",الموظفون!$M74*$J74/cfg_DAYS_M)</f>
        <v/>
      </c>
      <c r="M74" s="111" t="str">
        <f aca="false">IF($B74="","",الموظفون!$N74*$J74/cfg_DAYS_M)</f>
        <v/>
      </c>
      <c r="N74" s="111" t="str">
        <f aca="false">IF($B74="","",الموظفون!$O74*$J74/cfg_DAYS_M)</f>
        <v/>
      </c>
      <c r="O74" s="151" t="str">
        <f aca="false">IF($B74="","",SUMIFS('الحركات الشهرية'!$F$6:$F$1005,'الحركات الشهرية'!$B$6:$B$1005,$B74,'الحركات الشهرية'!$A$6:$A$1005,$C$3))</f>
        <v/>
      </c>
      <c r="P74" s="111" t="str">
        <f aca="false">IF($B74="","",O74*(الموظفون!$P74+الموظفون!$L74*cfg_OT_P)/cfg_DAYS_M/cfg_HRS)</f>
        <v/>
      </c>
      <c r="Q74" s="111" t="str">
        <f aca="false">IF($B74="","",SUMIFS('الحركات الشهرية'!$G$6:$G$1005,'الحركات الشهرية'!$B$6:$B$1005,$B74,'الحركات الشهرية'!$A$6:$A$1005,$C$3))</f>
        <v/>
      </c>
      <c r="R74" s="111" t="str">
        <f aca="false">IF($B74="","",SUMIFS('الحركات الشهرية'!$H$6:$H$1005,'الحركات الشهرية'!$B$6:$B$1005,$B74,'الحركات الشهرية'!$A$6:$A$1005,$C$3))</f>
        <v/>
      </c>
      <c r="S74" s="111" t="str">
        <f aca="false">IF($B74="","",SUMIFS('سجل الإجازات والحالات'!$N$6:$N$505,'سجل الإجازات والحالات'!$B$6:$B$505,$B74,'سجل الإجازات والحالات'!$O$6:$O$505,$C$3))</f>
        <v/>
      </c>
      <c r="T74" s="152" t="str">
        <f aca="false">IF($B74="","",SUM(K74:N74)+SUM(P74:S74))</f>
        <v/>
      </c>
      <c r="U74" s="111" t="str">
        <f aca="false">IF($B74="","",الموظفون!$S74*IF(E74="سعودي",cfg_G_SE,cfg_G_NE)*G74/cfg_DAYS_M)</f>
        <v/>
      </c>
      <c r="V74" s="111" t="str">
        <f aca="false">IF($B74="","",SUMIFS('الحركات الشهرية'!$I$6:$I$1005,'الحركات الشهرية'!$B$6:$B$1005,$B74,'الحركات الشهرية'!$A$6:$A$1005,$C$3))</f>
        <v/>
      </c>
      <c r="W74" s="111" t="str">
        <f aca="false">IF($B74="","",SUMIFS('الحركات الشهرية'!$J$6:$J$1005,'الحركات الشهرية'!$B$6:$B$1005,$B74,'الحركات الشهرية'!$A$6:$A$1005,$C$3))</f>
        <v/>
      </c>
      <c r="X74" s="111" t="str">
        <f aca="false">IF($B74="","",SUM(U74:W74))</f>
        <v/>
      </c>
      <c r="Y74" s="153" t="str">
        <f aca="false">IF($B74="","",T74-X74)</f>
        <v/>
      </c>
      <c r="Z74" s="111" t="str">
        <f aca="false">IF($B74="","",الموظفون!$S74*IF(E74="سعودي",cfg_G_SR,cfg_G_NR)*G74/cfg_DAYS_M)</f>
        <v/>
      </c>
      <c r="AA74" s="111" t="str">
        <f aca="false">IF($B74="","",الموظفون!$Q74*(cfg_EOS_R1*(MIN(AH74,cfg_EOS_TH)-MIN(AI74,cfg_EOS_TH))+cfg_EOS_R2*(MAX(AH74-cfg_EOS_TH,0)-MAX(AI74-cfg_EOS_TH,0))))</f>
        <v/>
      </c>
      <c r="AB74" s="111" t="str">
        <f aca="false">IF($B74="","",IF(الموظفون!$T74&lt;&gt;"",الموظفون!$T74,IF(AH74&gt;=cfg_LV_TH,cfg_LV_D2,cfg_LV_D1))/cfg_DAYS_Y*AJ74*الموظفون!$R74/cfg_DAYS_M)</f>
        <v/>
      </c>
      <c r="AC74" s="111" t="str">
        <f aca="false">IF($B74="","",IF(AND(الموظفون!$U74="نعم",N(الموظفون!$W74)&gt;0),الموظفون!$V74/الموظفون!$W74*12/cfg_DAYS_Y*AJ74,0))</f>
        <v/>
      </c>
      <c r="AD74" s="111" t="str">
        <f aca="false">IF($B74="","",(IF(الموظفون!$X74&lt;&gt;"",الموظفون!$X74,IF(الموظفون!$E74="غير سعودي",cfg_IQ,0))+IF(الموظفون!$Y74&lt;&gt;"",الموظفون!$Y74,IF(الموظفون!$E74="غير سعودي",cfg_WP,0)))/12*G74/cfg_DAYS_M)</f>
        <v/>
      </c>
      <c r="AE74" s="111" t="str">
        <f aca="false">IF($B74="","",IF(الموظفون!$Z74&lt;&gt;"",الموظفون!$Z74,cfg_MED)/12*G74/cfg_DAYS_M)</f>
        <v/>
      </c>
      <c r="AF74" s="111" t="str">
        <f aca="false">IF($B74="","",N(الموظفون!$AA74)/12*G74/cfg_DAYS_M)</f>
        <v/>
      </c>
      <c r="AG74" s="154" t="str">
        <f aca="false">IF($B74="","",T74+SUM(Z74:AF74))</f>
        <v/>
      </c>
      <c r="AH74" s="155" t="str">
        <f aca="false">IF($B74="","",MAX(0,IF(OR(الموظفون!$AE74="",الموظفون!$AE74&gt;$F$3),$F$3,الموظفون!$AE74)-الموظفون!$H74+1-SUMIFS('سجل الإجازات والحالات'!$AN$6:$AN$505,'سجل الإجازات والحالات'!$B$6:$B$505,$B74))/cfg_DAYS_Y)</f>
        <v/>
      </c>
      <c r="AI74" s="155" t="str">
        <f aca="false">IF($B74="","",MAX(0,IF(OR(الموظفون!$AE74="",الموظفون!$AE74&gt;($E$3-1)),($E$3-1),الموظفون!$AE74)-الموظفون!$H74+1-SUMIFS('سجل الإجازات والحالات'!$AM$6:$AM$505,'سجل الإجازات والحالات'!$B$6:$B$505,$B74))/cfg_DAYS_Y)</f>
        <v/>
      </c>
      <c r="AJ74" s="65" t="str">
        <f aca="false">IF($B74="","",MAX(0,AK74-(SUMIFS('سجل الإجازات والحالات'!$AN$6:$AN$505,'سجل الإجازات والحالات'!$B$6:$B$505,$B74)-SUMIFS('سجل الإجازات والحالات'!$AM$6:$AM$505,'سجل الإجازات والحالات'!$B$6:$B$505,$B74))))</f>
        <v/>
      </c>
      <c r="AK74" s="65" t="str">
        <f aca="false">IF($B74="","",MAX(0,IF(OR(الموظفون!$AE74="",الموظفون!$AE74&gt;$F$3),$F$3,الموظفون!$AE74)-MAX($E$3,الموظفون!$H74)+1))</f>
        <v/>
      </c>
      <c r="AL74" s="151" t="str">
        <f aca="false">IF($B74="","",SUMIFS('سجل الإجازات والحالات'!$AZ$6:$AZ$505,'سجل الإجازات والحالات'!$B$6:$B$505,$B74)+SUMIFS('الحركات الشهرية'!$K$6:$K$1005,'الحركات الشهرية'!$B$6:$B$1005,$B74,'الحركات الشهرية'!$A$6:$A$1005,$C$3))</f>
        <v/>
      </c>
      <c r="AM74" s="111" t="str">
        <f aca="false">IF($B74="","",AL74*الموظفون!$R74/cfg_DAYS_M+S74)</f>
        <v/>
      </c>
      <c r="AN74" s="151" t="str">
        <f aca="false">IF($B74="","",SUMIFS('سجل الإجازات والحالات'!$AB$6:$AB$505,'سجل الإجازات والحالات'!$B$6:$B$505,$B74))</f>
        <v/>
      </c>
    </row>
    <row r="75" customFormat="false" ht="15" hidden="false" customHeight="false" outlineLevel="0" collapsed="false">
      <c r="A75" s="115" t="str">
        <f aca="false">IF($B75="","",الموظفون!$A75)</f>
        <v/>
      </c>
      <c r="B75" s="117" t="str">
        <f aca="false">IF(الموظفون!$B75="","",الموظفون!$B75)</f>
        <v/>
      </c>
      <c r="C75" s="117" t="str">
        <f aca="false">IF($B75="","",الموظفون!$C75)</f>
        <v/>
      </c>
      <c r="D75" s="117" t="str">
        <f aca="false">IF($B75="","",الموظفون!$F75)</f>
        <v/>
      </c>
      <c r="E75" s="117" t="str">
        <f aca="false">IF($B75="","",الموظفون!$E75)</f>
        <v/>
      </c>
      <c r="F75" s="117" t="str">
        <f aca="false">IF($B75="","",IF(AK75=0,IF(AND(الموظفون!$AE75&lt;&gt;"",الموظفون!$AE75&lt;$E$3),"✖ منتهي الخدمة","⏳ لم يباشر"),IF(S75&gt;0,"✈ راتب إجازة مقدم",IF(J75=0,"⛔ بدون راتب هذا الشهر",IF(I75&gt;0,"✈ خصم "&amp;ROUND(I75,2)&amp;" يوم بدون أجر",IF(AL75&gt;0,"🌴 إجازة سنوية "&amp;ROUND(AL75,2)&amp;" يوم",IF(H75&gt;0,"⚠ غياب "&amp;ROUND(H75,2)&amp;" يوم","✔ على رأس العمل")))))))</f>
        <v/>
      </c>
      <c r="G75" s="156" t="str">
        <f aca="false">IF($B75="","",IF(AK75&gt;=DAY($F$3),cfg_DAYS_M,MIN(AK75,cfg_DAYS_M)))</f>
        <v/>
      </c>
      <c r="H75" s="156" t="str">
        <f aca="false">IF($B75="","",SUMIFS('الحركات الشهرية'!$D$6:$D$1005,'الحركات الشهرية'!$B$6:$B$1005,$B75,'الحركات الشهرية'!$A$6:$A$1005,$C$3))</f>
        <v/>
      </c>
      <c r="I75" s="156" t="str">
        <f aca="false">IF($B75="","",MIN(G75,IF(AND(AK75&gt;0,AN75&gt;=AK75),G75,AN75)+SUMIFS('الحركات الشهرية'!$E$6:$E$1005,'الحركات الشهرية'!$B$6:$B$1005,$B75,'الحركات الشهرية'!$A$6:$A$1005,$C$3)))</f>
        <v/>
      </c>
      <c r="J75" s="156" t="str">
        <f aca="false">IF($B75="","",MAX(0,G75-H75-I75))</f>
        <v/>
      </c>
      <c r="K75" s="116" t="str">
        <f aca="false">IF($B75="","",الموظفون!$L75*$J75/cfg_DAYS_M)</f>
        <v/>
      </c>
      <c r="L75" s="116" t="str">
        <f aca="false">IF($B75="","",الموظفون!$M75*$J75/cfg_DAYS_M)</f>
        <v/>
      </c>
      <c r="M75" s="116" t="str">
        <f aca="false">IF($B75="","",الموظفون!$N75*$J75/cfg_DAYS_M)</f>
        <v/>
      </c>
      <c r="N75" s="116" t="str">
        <f aca="false">IF($B75="","",الموظفون!$O75*$J75/cfg_DAYS_M)</f>
        <v/>
      </c>
      <c r="O75" s="156" t="str">
        <f aca="false">IF($B75="","",SUMIFS('الحركات الشهرية'!$F$6:$F$1005,'الحركات الشهرية'!$B$6:$B$1005,$B75,'الحركات الشهرية'!$A$6:$A$1005,$C$3))</f>
        <v/>
      </c>
      <c r="P75" s="116" t="str">
        <f aca="false">IF($B75="","",O75*(الموظفون!$P75+الموظفون!$L75*cfg_OT_P)/cfg_DAYS_M/cfg_HRS)</f>
        <v/>
      </c>
      <c r="Q75" s="116" t="str">
        <f aca="false">IF($B75="","",SUMIFS('الحركات الشهرية'!$G$6:$G$1005,'الحركات الشهرية'!$B$6:$B$1005,$B75,'الحركات الشهرية'!$A$6:$A$1005,$C$3))</f>
        <v/>
      </c>
      <c r="R75" s="116" t="str">
        <f aca="false">IF($B75="","",SUMIFS('الحركات الشهرية'!$H$6:$H$1005,'الحركات الشهرية'!$B$6:$B$1005,$B75,'الحركات الشهرية'!$A$6:$A$1005,$C$3))</f>
        <v/>
      </c>
      <c r="S75" s="116" t="str">
        <f aca="false">IF($B75="","",SUMIFS('سجل الإجازات والحالات'!$N$6:$N$505,'سجل الإجازات والحالات'!$B$6:$B$505,$B75,'سجل الإجازات والحالات'!$O$6:$O$505,$C$3))</f>
        <v/>
      </c>
      <c r="T75" s="157" t="str">
        <f aca="false">IF($B75="","",SUM(K75:N75)+SUM(P75:S75))</f>
        <v/>
      </c>
      <c r="U75" s="116" t="str">
        <f aca="false">IF($B75="","",الموظفون!$S75*IF(E75="سعودي",cfg_G_SE,cfg_G_NE)*G75/cfg_DAYS_M)</f>
        <v/>
      </c>
      <c r="V75" s="116" t="str">
        <f aca="false">IF($B75="","",SUMIFS('الحركات الشهرية'!$I$6:$I$1005,'الحركات الشهرية'!$B$6:$B$1005,$B75,'الحركات الشهرية'!$A$6:$A$1005,$C$3))</f>
        <v/>
      </c>
      <c r="W75" s="116" t="str">
        <f aca="false">IF($B75="","",SUMIFS('الحركات الشهرية'!$J$6:$J$1005,'الحركات الشهرية'!$B$6:$B$1005,$B75,'الحركات الشهرية'!$A$6:$A$1005,$C$3))</f>
        <v/>
      </c>
      <c r="X75" s="116" t="str">
        <f aca="false">IF($B75="","",SUM(U75:W75))</f>
        <v/>
      </c>
      <c r="Y75" s="158" t="str">
        <f aca="false">IF($B75="","",T75-X75)</f>
        <v/>
      </c>
      <c r="Z75" s="116" t="str">
        <f aca="false">IF($B75="","",الموظفون!$S75*IF(E75="سعودي",cfg_G_SR,cfg_G_NR)*G75/cfg_DAYS_M)</f>
        <v/>
      </c>
      <c r="AA75" s="116" t="str">
        <f aca="false">IF($B75="","",الموظفون!$Q75*(cfg_EOS_R1*(MIN(AH75,cfg_EOS_TH)-MIN(AI75,cfg_EOS_TH))+cfg_EOS_R2*(MAX(AH75-cfg_EOS_TH,0)-MAX(AI75-cfg_EOS_TH,0))))</f>
        <v/>
      </c>
      <c r="AB75" s="116" t="str">
        <f aca="false">IF($B75="","",IF(الموظفون!$T75&lt;&gt;"",الموظفون!$T75,IF(AH75&gt;=cfg_LV_TH,cfg_LV_D2,cfg_LV_D1))/cfg_DAYS_Y*AJ75*الموظفون!$R75/cfg_DAYS_M)</f>
        <v/>
      </c>
      <c r="AC75" s="116" t="str">
        <f aca="false">IF($B75="","",IF(AND(الموظفون!$U75="نعم",N(الموظفون!$W75)&gt;0),الموظفون!$V75/الموظفون!$W75*12/cfg_DAYS_Y*AJ75,0))</f>
        <v/>
      </c>
      <c r="AD75" s="116" t="str">
        <f aca="false">IF($B75="","",(IF(الموظفون!$X75&lt;&gt;"",الموظفون!$X75,IF(الموظفون!$E75="غير سعودي",cfg_IQ,0))+IF(الموظفون!$Y75&lt;&gt;"",الموظفون!$Y75,IF(الموظفون!$E75="غير سعودي",cfg_WP,0)))/12*G75/cfg_DAYS_M)</f>
        <v/>
      </c>
      <c r="AE75" s="116" t="str">
        <f aca="false">IF($B75="","",IF(الموظفون!$Z75&lt;&gt;"",الموظفون!$Z75,cfg_MED)/12*G75/cfg_DAYS_M)</f>
        <v/>
      </c>
      <c r="AF75" s="116" t="str">
        <f aca="false">IF($B75="","",N(الموظفون!$AA75)/12*G75/cfg_DAYS_M)</f>
        <v/>
      </c>
      <c r="AG75" s="159" t="str">
        <f aca="false">IF($B75="","",T75+SUM(Z75:AF75))</f>
        <v/>
      </c>
      <c r="AH75" s="160" t="str">
        <f aca="false">IF($B75="","",MAX(0,IF(OR(الموظفون!$AE75="",الموظفون!$AE75&gt;$F$3),$F$3,الموظفون!$AE75)-الموظفون!$H75+1-SUMIFS('سجل الإجازات والحالات'!$AN$6:$AN$505,'سجل الإجازات والحالات'!$B$6:$B$505,$B75))/cfg_DAYS_Y)</f>
        <v/>
      </c>
      <c r="AI75" s="160" t="str">
        <f aca="false">IF($B75="","",MAX(0,IF(OR(الموظفون!$AE75="",الموظفون!$AE75&gt;($E$3-1)),($E$3-1),الموظفون!$AE75)-الموظفون!$H75+1-SUMIFS('سجل الإجازات والحالات'!$AM$6:$AM$505,'سجل الإجازات والحالات'!$B$6:$B$505,$B75))/cfg_DAYS_Y)</f>
        <v/>
      </c>
      <c r="AJ75" s="133" t="str">
        <f aca="false">IF($B75="","",MAX(0,AK75-(SUMIFS('سجل الإجازات والحالات'!$AN$6:$AN$505,'سجل الإجازات والحالات'!$B$6:$B$505,$B75)-SUMIFS('سجل الإجازات والحالات'!$AM$6:$AM$505,'سجل الإجازات والحالات'!$B$6:$B$505,$B75))))</f>
        <v/>
      </c>
      <c r="AK75" s="133" t="str">
        <f aca="false">IF($B75="","",MAX(0,IF(OR(الموظفون!$AE75="",الموظفون!$AE75&gt;$F$3),$F$3,الموظفون!$AE75)-MAX($E$3,الموظفون!$H75)+1))</f>
        <v/>
      </c>
      <c r="AL75" s="156" t="str">
        <f aca="false">IF($B75="","",SUMIFS('سجل الإجازات والحالات'!$AZ$6:$AZ$505,'سجل الإجازات والحالات'!$B$6:$B$505,$B75)+SUMIFS('الحركات الشهرية'!$K$6:$K$1005,'الحركات الشهرية'!$B$6:$B$1005,$B75,'الحركات الشهرية'!$A$6:$A$1005,$C$3))</f>
        <v/>
      </c>
      <c r="AM75" s="116" t="str">
        <f aca="false">IF($B75="","",AL75*الموظفون!$R75/cfg_DAYS_M+S75)</f>
        <v/>
      </c>
      <c r="AN75" s="156" t="str">
        <f aca="false">IF($B75="","",SUMIFS('سجل الإجازات والحالات'!$AB$6:$AB$505,'سجل الإجازات والحالات'!$B$6:$B$505,$B75))</f>
        <v/>
      </c>
    </row>
    <row r="76" customFormat="false" ht="15" hidden="false" customHeight="false" outlineLevel="0" collapsed="false">
      <c r="A76" s="106" t="str">
        <f aca="false">IF($B76="","",الموظفون!$A76)</f>
        <v/>
      </c>
      <c r="B76" s="114" t="str">
        <f aca="false">IF(الموظفون!$B76="","",الموظفون!$B76)</f>
        <v/>
      </c>
      <c r="C76" s="114" t="str">
        <f aca="false">IF($B76="","",الموظفون!$C76)</f>
        <v/>
      </c>
      <c r="D76" s="114" t="str">
        <f aca="false">IF($B76="","",الموظفون!$F76)</f>
        <v/>
      </c>
      <c r="E76" s="114" t="str">
        <f aca="false">IF($B76="","",الموظفون!$E76)</f>
        <v/>
      </c>
      <c r="F76" s="114" t="str">
        <f aca="false">IF($B76="","",IF(AK76=0,IF(AND(الموظفون!$AE76&lt;&gt;"",الموظفون!$AE76&lt;$E$3),"✖ منتهي الخدمة","⏳ لم يباشر"),IF(S76&gt;0,"✈ راتب إجازة مقدم",IF(J76=0,"⛔ بدون راتب هذا الشهر",IF(I76&gt;0,"✈ خصم "&amp;ROUND(I76,2)&amp;" يوم بدون أجر",IF(AL76&gt;0,"🌴 إجازة سنوية "&amp;ROUND(AL76,2)&amp;" يوم",IF(H76&gt;0,"⚠ غياب "&amp;ROUND(H76,2)&amp;" يوم","✔ على رأس العمل")))))))</f>
        <v/>
      </c>
      <c r="G76" s="151" t="str">
        <f aca="false">IF($B76="","",IF(AK76&gt;=DAY($F$3),cfg_DAYS_M,MIN(AK76,cfg_DAYS_M)))</f>
        <v/>
      </c>
      <c r="H76" s="151" t="str">
        <f aca="false">IF($B76="","",SUMIFS('الحركات الشهرية'!$D$6:$D$1005,'الحركات الشهرية'!$B$6:$B$1005,$B76,'الحركات الشهرية'!$A$6:$A$1005,$C$3))</f>
        <v/>
      </c>
      <c r="I76" s="151" t="str">
        <f aca="false">IF($B76="","",MIN(G76,IF(AND(AK76&gt;0,AN76&gt;=AK76),G76,AN76)+SUMIFS('الحركات الشهرية'!$E$6:$E$1005,'الحركات الشهرية'!$B$6:$B$1005,$B76,'الحركات الشهرية'!$A$6:$A$1005,$C$3)))</f>
        <v/>
      </c>
      <c r="J76" s="151" t="str">
        <f aca="false">IF($B76="","",MAX(0,G76-H76-I76))</f>
        <v/>
      </c>
      <c r="K76" s="111" t="str">
        <f aca="false">IF($B76="","",الموظفون!$L76*$J76/cfg_DAYS_M)</f>
        <v/>
      </c>
      <c r="L76" s="111" t="str">
        <f aca="false">IF($B76="","",الموظفون!$M76*$J76/cfg_DAYS_M)</f>
        <v/>
      </c>
      <c r="M76" s="111" t="str">
        <f aca="false">IF($B76="","",الموظفون!$N76*$J76/cfg_DAYS_M)</f>
        <v/>
      </c>
      <c r="N76" s="111" t="str">
        <f aca="false">IF($B76="","",الموظفون!$O76*$J76/cfg_DAYS_M)</f>
        <v/>
      </c>
      <c r="O76" s="151" t="str">
        <f aca="false">IF($B76="","",SUMIFS('الحركات الشهرية'!$F$6:$F$1005,'الحركات الشهرية'!$B$6:$B$1005,$B76,'الحركات الشهرية'!$A$6:$A$1005,$C$3))</f>
        <v/>
      </c>
      <c r="P76" s="111" t="str">
        <f aca="false">IF($B76="","",O76*(الموظفون!$P76+الموظفون!$L76*cfg_OT_P)/cfg_DAYS_M/cfg_HRS)</f>
        <v/>
      </c>
      <c r="Q76" s="111" t="str">
        <f aca="false">IF($B76="","",SUMIFS('الحركات الشهرية'!$G$6:$G$1005,'الحركات الشهرية'!$B$6:$B$1005,$B76,'الحركات الشهرية'!$A$6:$A$1005,$C$3))</f>
        <v/>
      </c>
      <c r="R76" s="111" t="str">
        <f aca="false">IF($B76="","",SUMIFS('الحركات الشهرية'!$H$6:$H$1005,'الحركات الشهرية'!$B$6:$B$1005,$B76,'الحركات الشهرية'!$A$6:$A$1005,$C$3))</f>
        <v/>
      </c>
      <c r="S76" s="111" t="str">
        <f aca="false">IF($B76="","",SUMIFS('سجل الإجازات والحالات'!$N$6:$N$505,'سجل الإجازات والحالات'!$B$6:$B$505,$B76,'سجل الإجازات والحالات'!$O$6:$O$505,$C$3))</f>
        <v/>
      </c>
      <c r="T76" s="152" t="str">
        <f aca="false">IF($B76="","",SUM(K76:N76)+SUM(P76:S76))</f>
        <v/>
      </c>
      <c r="U76" s="111" t="str">
        <f aca="false">IF($B76="","",الموظفون!$S76*IF(E76="سعودي",cfg_G_SE,cfg_G_NE)*G76/cfg_DAYS_M)</f>
        <v/>
      </c>
      <c r="V76" s="111" t="str">
        <f aca="false">IF($B76="","",SUMIFS('الحركات الشهرية'!$I$6:$I$1005,'الحركات الشهرية'!$B$6:$B$1005,$B76,'الحركات الشهرية'!$A$6:$A$1005,$C$3))</f>
        <v/>
      </c>
      <c r="W76" s="111" t="str">
        <f aca="false">IF($B76="","",SUMIFS('الحركات الشهرية'!$J$6:$J$1005,'الحركات الشهرية'!$B$6:$B$1005,$B76,'الحركات الشهرية'!$A$6:$A$1005,$C$3))</f>
        <v/>
      </c>
      <c r="X76" s="111" t="str">
        <f aca="false">IF($B76="","",SUM(U76:W76))</f>
        <v/>
      </c>
      <c r="Y76" s="153" t="str">
        <f aca="false">IF($B76="","",T76-X76)</f>
        <v/>
      </c>
      <c r="Z76" s="111" t="str">
        <f aca="false">IF($B76="","",الموظفون!$S76*IF(E76="سعودي",cfg_G_SR,cfg_G_NR)*G76/cfg_DAYS_M)</f>
        <v/>
      </c>
      <c r="AA76" s="111" t="str">
        <f aca="false">IF($B76="","",الموظفون!$Q76*(cfg_EOS_R1*(MIN(AH76,cfg_EOS_TH)-MIN(AI76,cfg_EOS_TH))+cfg_EOS_R2*(MAX(AH76-cfg_EOS_TH,0)-MAX(AI76-cfg_EOS_TH,0))))</f>
        <v/>
      </c>
      <c r="AB76" s="111" t="str">
        <f aca="false">IF($B76="","",IF(الموظفون!$T76&lt;&gt;"",الموظفون!$T76,IF(AH76&gt;=cfg_LV_TH,cfg_LV_D2,cfg_LV_D1))/cfg_DAYS_Y*AJ76*الموظفون!$R76/cfg_DAYS_M)</f>
        <v/>
      </c>
      <c r="AC76" s="111" t="str">
        <f aca="false">IF($B76="","",IF(AND(الموظفون!$U76="نعم",N(الموظفون!$W76)&gt;0),الموظفون!$V76/الموظفون!$W76*12/cfg_DAYS_Y*AJ76,0))</f>
        <v/>
      </c>
      <c r="AD76" s="111" t="str">
        <f aca="false">IF($B76="","",(IF(الموظفون!$X76&lt;&gt;"",الموظفون!$X76,IF(الموظفون!$E76="غير سعودي",cfg_IQ,0))+IF(الموظفون!$Y76&lt;&gt;"",الموظفون!$Y76,IF(الموظفون!$E76="غير سعودي",cfg_WP,0)))/12*G76/cfg_DAYS_M)</f>
        <v/>
      </c>
      <c r="AE76" s="111" t="str">
        <f aca="false">IF($B76="","",IF(الموظفون!$Z76&lt;&gt;"",الموظفون!$Z76,cfg_MED)/12*G76/cfg_DAYS_M)</f>
        <v/>
      </c>
      <c r="AF76" s="111" t="str">
        <f aca="false">IF($B76="","",N(الموظفون!$AA76)/12*G76/cfg_DAYS_M)</f>
        <v/>
      </c>
      <c r="AG76" s="154" t="str">
        <f aca="false">IF($B76="","",T76+SUM(Z76:AF76))</f>
        <v/>
      </c>
      <c r="AH76" s="155" t="str">
        <f aca="false">IF($B76="","",MAX(0,IF(OR(الموظفون!$AE76="",الموظفون!$AE76&gt;$F$3),$F$3,الموظفون!$AE76)-الموظفون!$H76+1-SUMIFS('سجل الإجازات والحالات'!$AN$6:$AN$505,'سجل الإجازات والحالات'!$B$6:$B$505,$B76))/cfg_DAYS_Y)</f>
        <v/>
      </c>
      <c r="AI76" s="155" t="str">
        <f aca="false">IF($B76="","",MAX(0,IF(OR(الموظفون!$AE76="",الموظفون!$AE76&gt;($E$3-1)),($E$3-1),الموظفون!$AE76)-الموظفون!$H76+1-SUMIFS('سجل الإجازات والحالات'!$AM$6:$AM$505,'سجل الإجازات والحالات'!$B$6:$B$505,$B76))/cfg_DAYS_Y)</f>
        <v/>
      </c>
      <c r="AJ76" s="65" t="str">
        <f aca="false">IF($B76="","",MAX(0,AK76-(SUMIFS('سجل الإجازات والحالات'!$AN$6:$AN$505,'سجل الإجازات والحالات'!$B$6:$B$505,$B76)-SUMIFS('سجل الإجازات والحالات'!$AM$6:$AM$505,'سجل الإجازات والحالات'!$B$6:$B$505,$B76))))</f>
        <v/>
      </c>
      <c r="AK76" s="65" t="str">
        <f aca="false">IF($B76="","",MAX(0,IF(OR(الموظفون!$AE76="",الموظفون!$AE76&gt;$F$3),$F$3,الموظفون!$AE76)-MAX($E$3,الموظفون!$H76)+1))</f>
        <v/>
      </c>
      <c r="AL76" s="151" t="str">
        <f aca="false">IF($B76="","",SUMIFS('سجل الإجازات والحالات'!$AZ$6:$AZ$505,'سجل الإجازات والحالات'!$B$6:$B$505,$B76)+SUMIFS('الحركات الشهرية'!$K$6:$K$1005,'الحركات الشهرية'!$B$6:$B$1005,$B76,'الحركات الشهرية'!$A$6:$A$1005,$C$3))</f>
        <v/>
      </c>
      <c r="AM76" s="111" t="str">
        <f aca="false">IF($B76="","",AL76*الموظفون!$R76/cfg_DAYS_M+S76)</f>
        <v/>
      </c>
      <c r="AN76" s="151" t="str">
        <f aca="false">IF($B76="","",SUMIFS('سجل الإجازات والحالات'!$AB$6:$AB$505,'سجل الإجازات والحالات'!$B$6:$B$505,$B76))</f>
        <v/>
      </c>
    </row>
    <row r="77" customFormat="false" ht="15" hidden="false" customHeight="false" outlineLevel="0" collapsed="false">
      <c r="A77" s="115" t="str">
        <f aca="false">IF($B77="","",الموظفون!$A77)</f>
        <v/>
      </c>
      <c r="B77" s="117" t="str">
        <f aca="false">IF(الموظفون!$B77="","",الموظفون!$B77)</f>
        <v/>
      </c>
      <c r="C77" s="117" t="str">
        <f aca="false">IF($B77="","",الموظفون!$C77)</f>
        <v/>
      </c>
      <c r="D77" s="117" t="str">
        <f aca="false">IF($B77="","",الموظفون!$F77)</f>
        <v/>
      </c>
      <c r="E77" s="117" t="str">
        <f aca="false">IF($B77="","",الموظفون!$E77)</f>
        <v/>
      </c>
      <c r="F77" s="117" t="str">
        <f aca="false">IF($B77="","",IF(AK77=0,IF(AND(الموظفون!$AE77&lt;&gt;"",الموظفون!$AE77&lt;$E$3),"✖ منتهي الخدمة","⏳ لم يباشر"),IF(S77&gt;0,"✈ راتب إجازة مقدم",IF(J77=0,"⛔ بدون راتب هذا الشهر",IF(I77&gt;0,"✈ خصم "&amp;ROUND(I77,2)&amp;" يوم بدون أجر",IF(AL77&gt;0,"🌴 إجازة سنوية "&amp;ROUND(AL77,2)&amp;" يوم",IF(H77&gt;0,"⚠ غياب "&amp;ROUND(H77,2)&amp;" يوم","✔ على رأس العمل")))))))</f>
        <v/>
      </c>
      <c r="G77" s="156" t="str">
        <f aca="false">IF($B77="","",IF(AK77&gt;=DAY($F$3),cfg_DAYS_M,MIN(AK77,cfg_DAYS_M)))</f>
        <v/>
      </c>
      <c r="H77" s="156" t="str">
        <f aca="false">IF($B77="","",SUMIFS('الحركات الشهرية'!$D$6:$D$1005,'الحركات الشهرية'!$B$6:$B$1005,$B77,'الحركات الشهرية'!$A$6:$A$1005,$C$3))</f>
        <v/>
      </c>
      <c r="I77" s="156" t="str">
        <f aca="false">IF($B77="","",MIN(G77,IF(AND(AK77&gt;0,AN77&gt;=AK77),G77,AN77)+SUMIFS('الحركات الشهرية'!$E$6:$E$1005,'الحركات الشهرية'!$B$6:$B$1005,$B77,'الحركات الشهرية'!$A$6:$A$1005,$C$3)))</f>
        <v/>
      </c>
      <c r="J77" s="156" t="str">
        <f aca="false">IF($B77="","",MAX(0,G77-H77-I77))</f>
        <v/>
      </c>
      <c r="K77" s="116" t="str">
        <f aca="false">IF($B77="","",الموظفون!$L77*$J77/cfg_DAYS_M)</f>
        <v/>
      </c>
      <c r="L77" s="116" t="str">
        <f aca="false">IF($B77="","",الموظفون!$M77*$J77/cfg_DAYS_M)</f>
        <v/>
      </c>
      <c r="M77" s="116" t="str">
        <f aca="false">IF($B77="","",الموظفون!$N77*$J77/cfg_DAYS_M)</f>
        <v/>
      </c>
      <c r="N77" s="116" t="str">
        <f aca="false">IF($B77="","",الموظفون!$O77*$J77/cfg_DAYS_M)</f>
        <v/>
      </c>
      <c r="O77" s="156" t="str">
        <f aca="false">IF($B77="","",SUMIFS('الحركات الشهرية'!$F$6:$F$1005,'الحركات الشهرية'!$B$6:$B$1005,$B77,'الحركات الشهرية'!$A$6:$A$1005,$C$3))</f>
        <v/>
      </c>
      <c r="P77" s="116" t="str">
        <f aca="false">IF($B77="","",O77*(الموظفون!$P77+الموظفون!$L77*cfg_OT_P)/cfg_DAYS_M/cfg_HRS)</f>
        <v/>
      </c>
      <c r="Q77" s="116" t="str">
        <f aca="false">IF($B77="","",SUMIFS('الحركات الشهرية'!$G$6:$G$1005,'الحركات الشهرية'!$B$6:$B$1005,$B77,'الحركات الشهرية'!$A$6:$A$1005,$C$3))</f>
        <v/>
      </c>
      <c r="R77" s="116" t="str">
        <f aca="false">IF($B77="","",SUMIFS('الحركات الشهرية'!$H$6:$H$1005,'الحركات الشهرية'!$B$6:$B$1005,$B77,'الحركات الشهرية'!$A$6:$A$1005,$C$3))</f>
        <v/>
      </c>
      <c r="S77" s="116" t="str">
        <f aca="false">IF($B77="","",SUMIFS('سجل الإجازات والحالات'!$N$6:$N$505,'سجل الإجازات والحالات'!$B$6:$B$505,$B77,'سجل الإجازات والحالات'!$O$6:$O$505,$C$3))</f>
        <v/>
      </c>
      <c r="T77" s="157" t="str">
        <f aca="false">IF($B77="","",SUM(K77:N77)+SUM(P77:S77))</f>
        <v/>
      </c>
      <c r="U77" s="116" t="str">
        <f aca="false">IF($B77="","",الموظفون!$S77*IF(E77="سعودي",cfg_G_SE,cfg_G_NE)*G77/cfg_DAYS_M)</f>
        <v/>
      </c>
      <c r="V77" s="116" t="str">
        <f aca="false">IF($B77="","",SUMIFS('الحركات الشهرية'!$I$6:$I$1005,'الحركات الشهرية'!$B$6:$B$1005,$B77,'الحركات الشهرية'!$A$6:$A$1005,$C$3))</f>
        <v/>
      </c>
      <c r="W77" s="116" t="str">
        <f aca="false">IF($B77="","",SUMIFS('الحركات الشهرية'!$J$6:$J$1005,'الحركات الشهرية'!$B$6:$B$1005,$B77,'الحركات الشهرية'!$A$6:$A$1005,$C$3))</f>
        <v/>
      </c>
      <c r="X77" s="116" t="str">
        <f aca="false">IF($B77="","",SUM(U77:W77))</f>
        <v/>
      </c>
      <c r="Y77" s="158" t="str">
        <f aca="false">IF($B77="","",T77-X77)</f>
        <v/>
      </c>
      <c r="Z77" s="116" t="str">
        <f aca="false">IF($B77="","",الموظفون!$S77*IF(E77="سعودي",cfg_G_SR,cfg_G_NR)*G77/cfg_DAYS_M)</f>
        <v/>
      </c>
      <c r="AA77" s="116" t="str">
        <f aca="false">IF($B77="","",الموظفون!$Q77*(cfg_EOS_R1*(MIN(AH77,cfg_EOS_TH)-MIN(AI77,cfg_EOS_TH))+cfg_EOS_R2*(MAX(AH77-cfg_EOS_TH,0)-MAX(AI77-cfg_EOS_TH,0))))</f>
        <v/>
      </c>
      <c r="AB77" s="116" t="str">
        <f aca="false">IF($B77="","",IF(الموظفون!$T77&lt;&gt;"",الموظفون!$T77,IF(AH77&gt;=cfg_LV_TH,cfg_LV_D2,cfg_LV_D1))/cfg_DAYS_Y*AJ77*الموظفون!$R77/cfg_DAYS_M)</f>
        <v/>
      </c>
      <c r="AC77" s="116" t="str">
        <f aca="false">IF($B77="","",IF(AND(الموظفون!$U77="نعم",N(الموظفون!$W77)&gt;0),الموظفون!$V77/الموظفون!$W77*12/cfg_DAYS_Y*AJ77,0))</f>
        <v/>
      </c>
      <c r="AD77" s="116" t="str">
        <f aca="false">IF($B77="","",(IF(الموظفون!$X77&lt;&gt;"",الموظفون!$X77,IF(الموظفون!$E77="غير سعودي",cfg_IQ,0))+IF(الموظفون!$Y77&lt;&gt;"",الموظفون!$Y77,IF(الموظفون!$E77="غير سعودي",cfg_WP,0)))/12*G77/cfg_DAYS_M)</f>
        <v/>
      </c>
      <c r="AE77" s="116" t="str">
        <f aca="false">IF($B77="","",IF(الموظفون!$Z77&lt;&gt;"",الموظفون!$Z77,cfg_MED)/12*G77/cfg_DAYS_M)</f>
        <v/>
      </c>
      <c r="AF77" s="116" t="str">
        <f aca="false">IF($B77="","",N(الموظفون!$AA77)/12*G77/cfg_DAYS_M)</f>
        <v/>
      </c>
      <c r="AG77" s="159" t="str">
        <f aca="false">IF($B77="","",T77+SUM(Z77:AF77))</f>
        <v/>
      </c>
      <c r="AH77" s="160" t="str">
        <f aca="false">IF($B77="","",MAX(0,IF(OR(الموظفون!$AE77="",الموظفون!$AE77&gt;$F$3),$F$3,الموظفون!$AE77)-الموظفون!$H77+1-SUMIFS('سجل الإجازات والحالات'!$AN$6:$AN$505,'سجل الإجازات والحالات'!$B$6:$B$505,$B77))/cfg_DAYS_Y)</f>
        <v/>
      </c>
      <c r="AI77" s="160" t="str">
        <f aca="false">IF($B77="","",MAX(0,IF(OR(الموظفون!$AE77="",الموظفون!$AE77&gt;($E$3-1)),($E$3-1),الموظفون!$AE77)-الموظفون!$H77+1-SUMIFS('سجل الإجازات والحالات'!$AM$6:$AM$505,'سجل الإجازات والحالات'!$B$6:$B$505,$B77))/cfg_DAYS_Y)</f>
        <v/>
      </c>
      <c r="AJ77" s="133" t="str">
        <f aca="false">IF($B77="","",MAX(0,AK77-(SUMIFS('سجل الإجازات والحالات'!$AN$6:$AN$505,'سجل الإجازات والحالات'!$B$6:$B$505,$B77)-SUMIFS('سجل الإجازات والحالات'!$AM$6:$AM$505,'سجل الإجازات والحالات'!$B$6:$B$505,$B77))))</f>
        <v/>
      </c>
      <c r="AK77" s="133" t="str">
        <f aca="false">IF($B77="","",MAX(0,IF(OR(الموظفون!$AE77="",الموظفون!$AE77&gt;$F$3),$F$3,الموظفون!$AE77)-MAX($E$3,الموظفون!$H77)+1))</f>
        <v/>
      </c>
      <c r="AL77" s="156" t="str">
        <f aca="false">IF($B77="","",SUMIFS('سجل الإجازات والحالات'!$AZ$6:$AZ$505,'سجل الإجازات والحالات'!$B$6:$B$505,$B77)+SUMIFS('الحركات الشهرية'!$K$6:$K$1005,'الحركات الشهرية'!$B$6:$B$1005,$B77,'الحركات الشهرية'!$A$6:$A$1005,$C$3))</f>
        <v/>
      </c>
      <c r="AM77" s="116" t="str">
        <f aca="false">IF($B77="","",AL77*الموظفون!$R77/cfg_DAYS_M+S77)</f>
        <v/>
      </c>
      <c r="AN77" s="156" t="str">
        <f aca="false">IF($B77="","",SUMIFS('سجل الإجازات والحالات'!$AB$6:$AB$505,'سجل الإجازات والحالات'!$B$6:$B$505,$B77))</f>
        <v/>
      </c>
    </row>
    <row r="78" customFormat="false" ht="15" hidden="false" customHeight="false" outlineLevel="0" collapsed="false">
      <c r="A78" s="106" t="str">
        <f aca="false">IF($B78="","",الموظفون!$A78)</f>
        <v/>
      </c>
      <c r="B78" s="114" t="str">
        <f aca="false">IF(الموظفون!$B78="","",الموظفون!$B78)</f>
        <v/>
      </c>
      <c r="C78" s="114" t="str">
        <f aca="false">IF($B78="","",الموظفون!$C78)</f>
        <v/>
      </c>
      <c r="D78" s="114" t="str">
        <f aca="false">IF($B78="","",الموظفون!$F78)</f>
        <v/>
      </c>
      <c r="E78" s="114" t="str">
        <f aca="false">IF($B78="","",الموظفون!$E78)</f>
        <v/>
      </c>
      <c r="F78" s="114" t="str">
        <f aca="false">IF($B78="","",IF(AK78=0,IF(AND(الموظفون!$AE78&lt;&gt;"",الموظفون!$AE78&lt;$E$3),"✖ منتهي الخدمة","⏳ لم يباشر"),IF(S78&gt;0,"✈ راتب إجازة مقدم",IF(J78=0,"⛔ بدون راتب هذا الشهر",IF(I78&gt;0,"✈ خصم "&amp;ROUND(I78,2)&amp;" يوم بدون أجر",IF(AL78&gt;0,"🌴 إجازة سنوية "&amp;ROUND(AL78,2)&amp;" يوم",IF(H78&gt;0,"⚠ غياب "&amp;ROUND(H78,2)&amp;" يوم","✔ على رأس العمل")))))))</f>
        <v/>
      </c>
      <c r="G78" s="151" t="str">
        <f aca="false">IF($B78="","",IF(AK78&gt;=DAY($F$3),cfg_DAYS_M,MIN(AK78,cfg_DAYS_M)))</f>
        <v/>
      </c>
      <c r="H78" s="151" t="str">
        <f aca="false">IF($B78="","",SUMIFS('الحركات الشهرية'!$D$6:$D$1005,'الحركات الشهرية'!$B$6:$B$1005,$B78,'الحركات الشهرية'!$A$6:$A$1005,$C$3))</f>
        <v/>
      </c>
      <c r="I78" s="151" t="str">
        <f aca="false">IF($B78="","",MIN(G78,IF(AND(AK78&gt;0,AN78&gt;=AK78),G78,AN78)+SUMIFS('الحركات الشهرية'!$E$6:$E$1005,'الحركات الشهرية'!$B$6:$B$1005,$B78,'الحركات الشهرية'!$A$6:$A$1005,$C$3)))</f>
        <v/>
      </c>
      <c r="J78" s="151" t="str">
        <f aca="false">IF($B78="","",MAX(0,G78-H78-I78))</f>
        <v/>
      </c>
      <c r="K78" s="111" t="str">
        <f aca="false">IF($B78="","",الموظفون!$L78*$J78/cfg_DAYS_M)</f>
        <v/>
      </c>
      <c r="L78" s="111" t="str">
        <f aca="false">IF($B78="","",الموظفون!$M78*$J78/cfg_DAYS_M)</f>
        <v/>
      </c>
      <c r="M78" s="111" t="str">
        <f aca="false">IF($B78="","",الموظفون!$N78*$J78/cfg_DAYS_M)</f>
        <v/>
      </c>
      <c r="N78" s="111" t="str">
        <f aca="false">IF($B78="","",الموظفون!$O78*$J78/cfg_DAYS_M)</f>
        <v/>
      </c>
      <c r="O78" s="151" t="str">
        <f aca="false">IF($B78="","",SUMIFS('الحركات الشهرية'!$F$6:$F$1005,'الحركات الشهرية'!$B$6:$B$1005,$B78,'الحركات الشهرية'!$A$6:$A$1005,$C$3))</f>
        <v/>
      </c>
      <c r="P78" s="111" t="str">
        <f aca="false">IF($B78="","",O78*(الموظفون!$P78+الموظفون!$L78*cfg_OT_P)/cfg_DAYS_M/cfg_HRS)</f>
        <v/>
      </c>
      <c r="Q78" s="111" t="str">
        <f aca="false">IF($B78="","",SUMIFS('الحركات الشهرية'!$G$6:$G$1005,'الحركات الشهرية'!$B$6:$B$1005,$B78,'الحركات الشهرية'!$A$6:$A$1005,$C$3))</f>
        <v/>
      </c>
      <c r="R78" s="111" t="str">
        <f aca="false">IF($B78="","",SUMIFS('الحركات الشهرية'!$H$6:$H$1005,'الحركات الشهرية'!$B$6:$B$1005,$B78,'الحركات الشهرية'!$A$6:$A$1005,$C$3))</f>
        <v/>
      </c>
      <c r="S78" s="111" t="str">
        <f aca="false">IF($B78="","",SUMIFS('سجل الإجازات والحالات'!$N$6:$N$505,'سجل الإجازات والحالات'!$B$6:$B$505,$B78,'سجل الإجازات والحالات'!$O$6:$O$505,$C$3))</f>
        <v/>
      </c>
      <c r="T78" s="152" t="str">
        <f aca="false">IF($B78="","",SUM(K78:N78)+SUM(P78:S78))</f>
        <v/>
      </c>
      <c r="U78" s="111" t="str">
        <f aca="false">IF($B78="","",الموظفون!$S78*IF(E78="سعودي",cfg_G_SE,cfg_G_NE)*G78/cfg_DAYS_M)</f>
        <v/>
      </c>
      <c r="V78" s="111" t="str">
        <f aca="false">IF($B78="","",SUMIFS('الحركات الشهرية'!$I$6:$I$1005,'الحركات الشهرية'!$B$6:$B$1005,$B78,'الحركات الشهرية'!$A$6:$A$1005,$C$3))</f>
        <v/>
      </c>
      <c r="W78" s="111" t="str">
        <f aca="false">IF($B78="","",SUMIFS('الحركات الشهرية'!$J$6:$J$1005,'الحركات الشهرية'!$B$6:$B$1005,$B78,'الحركات الشهرية'!$A$6:$A$1005,$C$3))</f>
        <v/>
      </c>
      <c r="X78" s="111" t="str">
        <f aca="false">IF($B78="","",SUM(U78:W78))</f>
        <v/>
      </c>
      <c r="Y78" s="153" t="str">
        <f aca="false">IF($B78="","",T78-X78)</f>
        <v/>
      </c>
      <c r="Z78" s="111" t="str">
        <f aca="false">IF($B78="","",الموظفون!$S78*IF(E78="سعودي",cfg_G_SR,cfg_G_NR)*G78/cfg_DAYS_M)</f>
        <v/>
      </c>
      <c r="AA78" s="111" t="str">
        <f aca="false">IF($B78="","",الموظفون!$Q78*(cfg_EOS_R1*(MIN(AH78,cfg_EOS_TH)-MIN(AI78,cfg_EOS_TH))+cfg_EOS_R2*(MAX(AH78-cfg_EOS_TH,0)-MAX(AI78-cfg_EOS_TH,0))))</f>
        <v/>
      </c>
      <c r="AB78" s="111" t="str">
        <f aca="false">IF($B78="","",IF(الموظفون!$T78&lt;&gt;"",الموظفون!$T78,IF(AH78&gt;=cfg_LV_TH,cfg_LV_D2,cfg_LV_D1))/cfg_DAYS_Y*AJ78*الموظفون!$R78/cfg_DAYS_M)</f>
        <v/>
      </c>
      <c r="AC78" s="111" t="str">
        <f aca="false">IF($B78="","",IF(AND(الموظفون!$U78="نعم",N(الموظفون!$W78)&gt;0),الموظفون!$V78/الموظفون!$W78*12/cfg_DAYS_Y*AJ78,0))</f>
        <v/>
      </c>
      <c r="AD78" s="111" t="str">
        <f aca="false">IF($B78="","",(IF(الموظفون!$X78&lt;&gt;"",الموظفون!$X78,IF(الموظفون!$E78="غير سعودي",cfg_IQ,0))+IF(الموظفون!$Y78&lt;&gt;"",الموظفون!$Y78,IF(الموظفون!$E78="غير سعودي",cfg_WP,0)))/12*G78/cfg_DAYS_M)</f>
        <v/>
      </c>
      <c r="AE78" s="111" t="str">
        <f aca="false">IF($B78="","",IF(الموظفون!$Z78&lt;&gt;"",الموظفون!$Z78,cfg_MED)/12*G78/cfg_DAYS_M)</f>
        <v/>
      </c>
      <c r="AF78" s="111" t="str">
        <f aca="false">IF($B78="","",N(الموظفون!$AA78)/12*G78/cfg_DAYS_M)</f>
        <v/>
      </c>
      <c r="AG78" s="154" t="str">
        <f aca="false">IF($B78="","",T78+SUM(Z78:AF78))</f>
        <v/>
      </c>
      <c r="AH78" s="155" t="str">
        <f aca="false">IF($B78="","",MAX(0,IF(OR(الموظفون!$AE78="",الموظفون!$AE78&gt;$F$3),$F$3,الموظفون!$AE78)-الموظفون!$H78+1-SUMIFS('سجل الإجازات والحالات'!$AN$6:$AN$505,'سجل الإجازات والحالات'!$B$6:$B$505,$B78))/cfg_DAYS_Y)</f>
        <v/>
      </c>
      <c r="AI78" s="155" t="str">
        <f aca="false">IF($B78="","",MAX(0,IF(OR(الموظفون!$AE78="",الموظفون!$AE78&gt;($E$3-1)),($E$3-1),الموظفون!$AE78)-الموظفون!$H78+1-SUMIFS('سجل الإجازات والحالات'!$AM$6:$AM$505,'سجل الإجازات والحالات'!$B$6:$B$505,$B78))/cfg_DAYS_Y)</f>
        <v/>
      </c>
      <c r="AJ78" s="65" t="str">
        <f aca="false">IF($B78="","",MAX(0,AK78-(SUMIFS('سجل الإجازات والحالات'!$AN$6:$AN$505,'سجل الإجازات والحالات'!$B$6:$B$505,$B78)-SUMIFS('سجل الإجازات والحالات'!$AM$6:$AM$505,'سجل الإجازات والحالات'!$B$6:$B$505,$B78))))</f>
        <v/>
      </c>
      <c r="AK78" s="65" t="str">
        <f aca="false">IF($B78="","",MAX(0,IF(OR(الموظفون!$AE78="",الموظفون!$AE78&gt;$F$3),$F$3,الموظفون!$AE78)-MAX($E$3,الموظفون!$H78)+1))</f>
        <v/>
      </c>
      <c r="AL78" s="151" t="str">
        <f aca="false">IF($B78="","",SUMIFS('سجل الإجازات والحالات'!$AZ$6:$AZ$505,'سجل الإجازات والحالات'!$B$6:$B$505,$B78)+SUMIFS('الحركات الشهرية'!$K$6:$K$1005,'الحركات الشهرية'!$B$6:$B$1005,$B78,'الحركات الشهرية'!$A$6:$A$1005,$C$3))</f>
        <v/>
      </c>
      <c r="AM78" s="111" t="str">
        <f aca="false">IF($B78="","",AL78*الموظفون!$R78/cfg_DAYS_M+S78)</f>
        <v/>
      </c>
      <c r="AN78" s="151" t="str">
        <f aca="false">IF($B78="","",SUMIFS('سجل الإجازات والحالات'!$AB$6:$AB$505,'سجل الإجازات والحالات'!$B$6:$B$505,$B78))</f>
        <v/>
      </c>
    </row>
    <row r="79" customFormat="false" ht="15" hidden="false" customHeight="false" outlineLevel="0" collapsed="false">
      <c r="A79" s="115" t="str">
        <f aca="false">IF($B79="","",الموظفون!$A79)</f>
        <v/>
      </c>
      <c r="B79" s="117" t="str">
        <f aca="false">IF(الموظفون!$B79="","",الموظفون!$B79)</f>
        <v/>
      </c>
      <c r="C79" s="117" t="str">
        <f aca="false">IF($B79="","",الموظفون!$C79)</f>
        <v/>
      </c>
      <c r="D79" s="117" t="str">
        <f aca="false">IF($B79="","",الموظفون!$F79)</f>
        <v/>
      </c>
      <c r="E79" s="117" t="str">
        <f aca="false">IF($B79="","",الموظفون!$E79)</f>
        <v/>
      </c>
      <c r="F79" s="117" t="str">
        <f aca="false">IF($B79="","",IF(AK79=0,IF(AND(الموظفون!$AE79&lt;&gt;"",الموظفون!$AE79&lt;$E$3),"✖ منتهي الخدمة","⏳ لم يباشر"),IF(S79&gt;0,"✈ راتب إجازة مقدم",IF(J79=0,"⛔ بدون راتب هذا الشهر",IF(I79&gt;0,"✈ خصم "&amp;ROUND(I79,2)&amp;" يوم بدون أجر",IF(AL79&gt;0,"🌴 إجازة سنوية "&amp;ROUND(AL79,2)&amp;" يوم",IF(H79&gt;0,"⚠ غياب "&amp;ROUND(H79,2)&amp;" يوم","✔ على رأس العمل")))))))</f>
        <v/>
      </c>
      <c r="G79" s="156" t="str">
        <f aca="false">IF($B79="","",IF(AK79&gt;=DAY($F$3),cfg_DAYS_M,MIN(AK79,cfg_DAYS_M)))</f>
        <v/>
      </c>
      <c r="H79" s="156" t="str">
        <f aca="false">IF($B79="","",SUMIFS('الحركات الشهرية'!$D$6:$D$1005,'الحركات الشهرية'!$B$6:$B$1005,$B79,'الحركات الشهرية'!$A$6:$A$1005,$C$3))</f>
        <v/>
      </c>
      <c r="I79" s="156" t="str">
        <f aca="false">IF($B79="","",MIN(G79,IF(AND(AK79&gt;0,AN79&gt;=AK79),G79,AN79)+SUMIFS('الحركات الشهرية'!$E$6:$E$1005,'الحركات الشهرية'!$B$6:$B$1005,$B79,'الحركات الشهرية'!$A$6:$A$1005,$C$3)))</f>
        <v/>
      </c>
      <c r="J79" s="156" t="str">
        <f aca="false">IF($B79="","",MAX(0,G79-H79-I79))</f>
        <v/>
      </c>
      <c r="K79" s="116" t="str">
        <f aca="false">IF($B79="","",الموظفون!$L79*$J79/cfg_DAYS_M)</f>
        <v/>
      </c>
      <c r="L79" s="116" t="str">
        <f aca="false">IF($B79="","",الموظفون!$M79*$J79/cfg_DAYS_M)</f>
        <v/>
      </c>
      <c r="M79" s="116" t="str">
        <f aca="false">IF($B79="","",الموظفون!$N79*$J79/cfg_DAYS_M)</f>
        <v/>
      </c>
      <c r="N79" s="116" t="str">
        <f aca="false">IF($B79="","",الموظفون!$O79*$J79/cfg_DAYS_M)</f>
        <v/>
      </c>
      <c r="O79" s="156" t="str">
        <f aca="false">IF($B79="","",SUMIFS('الحركات الشهرية'!$F$6:$F$1005,'الحركات الشهرية'!$B$6:$B$1005,$B79,'الحركات الشهرية'!$A$6:$A$1005,$C$3))</f>
        <v/>
      </c>
      <c r="P79" s="116" t="str">
        <f aca="false">IF($B79="","",O79*(الموظفون!$P79+الموظفون!$L79*cfg_OT_P)/cfg_DAYS_M/cfg_HRS)</f>
        <v/>
      </c>
      <c r="Q79" s="116" t="str">
        <f aca="false">IF($B79="","",SUMIFS('الحركات الشهرية'!$G$6:$G$1005,'الحركات الشهرية'!$B$6:$B$1005,$B79,'الحركات الشهرية'!$A$6:$A$1005,$C$3))</f>
        <v/>
      </c>
      <c r="R79" s="116" t="str">
        <f aca="false">IF($B79="","",SUMIFS('الحركات الشهرية'!$H$6:$H$1005,'الحركات الشهرية'!$B$6:$B$1005,$B79,'الحركات الشهرية'!$A$6:$A$1005,$C$3))</f>
        <v/>
      </c>
      <c r="S79" s="116" t="str">
        <f aca="false">IF($B79="","",SUMIFS('سجل الإجازات والحالات'!$N$6:$N$505,'سجل الإجازات والحالات'!$B$6:$B$505,$B79,'سجل الإجازات والحالات'!$O$6:$O$505,$C$3))</f>
        <v/>
      </c>
      <c r="T79" s="157" t="str">
        <f aca="false">IF($B79="","",SUM(K79:N79)+SUM(P79:S79))</f>
        <v/>
      </c>
      <c r="U79" s="116" t="str">
        <f aca="false">IF($B79="","",الموظفون!$S79*IF(E79="سعودي",cfg_G_SE,cfg_G_NE)*G79/cfg_DAYS_M)</f>
        <v/>
      </c>
      <c r="V79" s="116" t="str">
        <f aca="false">IF($B79="","",SUMIFS('الحركات الشهرية'!$I$6:$I$1005,'الحركات الشهرية'!$B$6:$B$1005,$B79,'الحركات الشهرية'!$A$6:$A$1005,$C$3))</f>
        <v/>
      </c>
      <c r="W79" s="116" t="str">
        <f aca="false">IF($B79="","",SUMIFS('الحركات الشهرية'!$J$6:$J$1005,'الحركات الشهرية'!$B$6:$B$1005,$B79,'الحركات الشهرية'!$A$6:$A$1005,$C$3))</f>
        <v/>
      </c>
      <c r="X79" s="116" t="str">
        <f aca="false">IF($B79="","",SUM(U79:W79))</f>
        <v/>
      </c>
      <c r="Y79" s="158" t="str">
        <f aca="false">IF($B79="","",T79-X79)</f>
        <v/>
      </c>
      <c r="Z79" s="116" t="str">
        <f aca="false">IF($B79="","",الموظفون!$S79*IF(E79="سعودي",cfg_G_SR,cfg_G_NR)*G79/cfg_DAYS_M)</f>
        <v/>
      </c>
      <c r="AA79" s="116" t="str">
        <f aca="false">IF($B79="","",الموظفون!$Q79*(cfg_EOS_R1*(MIN(AH79,cfg_EOS_TH)-MIN(AI79,cfg_EOS_TH))+cfg_EOS_R2*(MAX(AH79-cfg_EOS_TH,0)-MAX(AI79-cfg_EOS_TH,0))))</f>
        <v/>
      </c>
      <c r="AB79" s="116" t="str">
        <f aca="false">IF($B79="","",IF(الموظفون!$T79&lt;&gt;"",الموظفون!$T79,IF(AH79&gt;=cfg_LV_TH,cfg_LV_D2,cfg_LV_D1))/cfg_DAYS_Y*AJ79*الموظفون!$R79/cfg_DAYS_M)</f>
        <v/>
      </c>
      <c r="AC79" s="116" t="str">
        <f aca="false">IF($B79="","",IF(AND(الموظفون!$U79="نعم",N(الموظفون!$W79)&gt;0),الموظفون!$V79/الموظفون!$W79*12/cfg_DAYS_Y*AJ79,0))</f>
        <v/>
      </c>
      <c r="AD79" s="116" t="str">
        <f aca="false">IF($B79="","",(IF(الموظفون!$X79&lt;&gt;"",الموظفون!$X79,IF(الموظفون!$E79="غير سعودي",cfg_IQ,0))+IF(الموظفون!$Y79&lt;&gt;"",الموظفون!$Y79,IF(الموظفون!$E79="غير سعودي",cfg_WP,0)))/12*G79/cfg_DAYS_M)</f>
        <v/>
      </c>
      <c r="AE79" s="116" t="str">
        <f aca="false">IF($B79="","",IF(الموظفون!$Z79&lt;&gt;"",الموظفون!$Z79,cfg_MED)/12*G79/cfg_DAYS_M)</f>
        <v/>
      </c>
      <c r="AF79" s="116" t="str">
        <f aca="false">IF($B79="","",N(الموظفون!$AA79)/12*G79/cfg_DAYS_M)</f>
        <v/>
      </c>
      <c r="AG79" s="159" t="str">
        <f aca="false">IF($B79="","",T79+SUM(Z79:AF79))</f>
        <v/>
      </c>
      <c r="AH79" s="160" t="str">
        <f aca="false">IF($B79="","",MAX(0,IF(OR(الموظفون!$AE79="",الموظفون!$AE79&gt;$F$3),$F$3,الموظفون!$AE79)-الموظفون!$H79+1-SUMIFS('سجل الإجازات والحالات'!$AN$6:$AN$505,'سجل الإجازات والحالات'!$B$6:$B$505,$B79))/cfg_DAYS_Y)</f>
        <v/>
      </c>
      <c r="AI79" s="160" t="str">
        <f aca="false">IF($B79="","",MAX(0,IF(OR(الموظفون!$AE79="",الموظفون!$AE79&gt;($E$3-1)),($E$3-1),الموظفون!$AE79)-الموظفون!$H79+1-SUMIFS('سجل الإجازات والحالات'!$AM$6:$AM$505,'سجل الإجازات والحالات'!$B$6:$B$505,$B79))/cfg_DAYS_Y)</f>
        <v/>
      </c>
      <c r="AJ79" s="133" t="str">
        <f aca="false">IF($B79="","",MAX(0,AK79-(SUMIFS('سجل الإجازات والحالات'!$AN$6:$AN$505,'سجل الإجازات والحالات'!$B$6:$B$505,$B79)-SUMIFS('سجل الإجازات والحالات'!$AM$6:$AM$505,'سجل الإجازات والحالات'!$B$6:$B$505,$B79))))</f>
        <v/>
      </c>
      <c r="AK79" s="133" t="str">
        <f aca="false">IF($B79="","",MAX(0,IF(OR(الموظفون!$AE79="",الموظفون!$AE79&gt;$F$3),$F$3,الموظفون!$AE79)-MAX($E$3,الموظفون!$H79)+1))</f>
        <v/>
      </c>
      <c r="AL79" s="156" t="str">
        <f aca="false">IF($B79="","",SUMIFS('سجل الإجازات والحالات'!$AZ$6:$AZ$505,'سجل الإجازات والحالات'!$B$6:$B$505,$B79)+SUMIFS('الحركات الشهرية'!$K$6:$K$1005,'الحركات الشهرية'!$B$6:$B$1005,$B79,'الحركات الشهرية'!$A$6:$A$1005,$C$3))</f>
        <v/>
      </c>
      <c r="AM79" s="116" t="str">
        <f aca="false">IF($B79="","",AL79*الموظفون!$R79/cfg_DAYS_M+S79)</f>
        <v/>
      </c>
      <c r="AN79" s="156" t="str">
        <f aca="false">IF($B79="","",SUMIFS('سجل الإجازات والحالات'!$AB$6:$AB$505,'سجل الإجازات والحالات'!$B$6:$B$505,$B79))</f>
        <v/>
      </c>
    </row>
    <row r="80" customFormat="false" ht="15" hidden="false" customHeight="false" outlineLevel="0" collapsed="false">
      <c r="A80" s="106" t="str">
        <f aca="false">IF($B80="","",الموظفون!$A80)</f>
        <v/>
      </c>
      <c r="B80" s="114" t="str">
        <f aca="false">IF(الموظفون!$B80="","",الموظفون!$B80)</f>
        <v/>
      </c>
      <c r="C80" s="114" t="str">
        <f aca="false">IF($B80="","",الموظفون!$C80)</f>
        <v/>
      </c>
      <c r="D80" s="114" t="str">
        <f aca="false">IF($B80="","",الموظفون!$F80)</f>
        <v/>
      </c>
      <c r="E80" s="114" t="str">
        <f aca="false">IF($B80="","",الموظفون!$E80)</f>
        <v/>
      </c>
      <c r="F80" s="114" t="str">
        <f aca="false">IF($B80="","",IF(AK80=0,IF(AND(الموظفون!$AE80&lt;&gt;"",الموظفون!$AE80&lt;$E$3),"✖ منتهي الخدمة","⏳ لم يباشر"),IF(S80&gt;0,"✈ راتب إجازة مقدم",IF(J80=0,"⛔ بدون راتب هذا الشهر",IF(I80&gt;0,"✈ خصم "&amp;ROUND(I80,2)&amp;" يوم بدون أجر",IF(AL80&gt;0,"🌴 إجازة سنوية "&amp;ROUND(AL80,2)&amp;" يوم",IF(H80&gt;0,"⚠ غياب "&amp;ROUND(H80,2)&amp;" يوم","✔ على رأس العمل")))))))</f>
        <v/>
      </c>
      <c r="G80" s="151" t="str">
        <f aca="false">IF($B80="","",IF(AK80&gt;=DAY($F$3),cfg_DAYS_M,MIN(AK80,cfg_DAYS_M)))</f>
        <v/>
      </c>
      <c r="H80" s="151" t="str">
        <f aca="false">IF($B80="","",SUMIFS('الحركات الشهرية'!$D$6:$D$1005,'الحركات الشهرية'!$B$6:$B$1005,$B80,'الحركات الشهرية'!$A$6:$A$1005,$C$3))</f>
        <v/>
      </c>
      <c r="I80" s="151" t="str">
        <f aca="false">IF($B80="","",MIN(G80,IF(AND(AK80&gt;0,AN80&gt;=AK80),G80,AN80)+SUMIFS('الحركات الشهرية'!$E$6:$E$1005,'الحركات الشهرية'!$B$6:$B$1005,$B80,'الحركات الشهرية'!$A$6:$A$1005,$C$3)))</f>
        <v/>
      </c>
      <c r="J80" s="151" t="str">
        <f aca="false">IF($B80="","",MAX(0,G80-H80-I80))</f>
        <v/>
      </c>
      <c r="K80" s="111" t="str">
        <f aca="false">IF($B80="","",الموظفون!$L80*$J80/cfg_DAYS_M)</f>
        <v/>
      </c>
      <c r="L80" s="111" t="str">
        <f aca="false">IF($B80="","",الموظفون!$M80*$J80/cfg_DAYS_M)</f>
        <v/>
      </c>
      <c r="M80" s="111" t="str">
        <f aca="false">IF($B80="","",الموظفون!$N80*$J80/cfg_DAYS_M)</f>
        <v/>
      </c>
      <c r="N80" s="111" t="str">
        <f aca="false">IF($B80="","",الموظفون!$O80*$J80/cfg_DAYS_M)</f>
        <v/>
      </c>
      <c r="O80" s="151" t="str">
        <f aca="false">IF($B80="","",SUMIFS('الحركات الشهرية'!$F$6:$F$1005,'الحركات الشهرية'!$B$6:$B$1005,$B80,'الحركات الشهرية'!$A$6:$A$1005,$C$3))</f>
        <v/>
      </c>
      <c r="P80" s="111" t="str">
        <f aca="false">IF($B80="","",O80*(الموظفون!$P80+الموظفون!$L80*cfg_OT_P)/cfg_DAYS_M/cfg_HRS)</f>
        <v/>
      </c>
      <c r="Q80" s="111" t="str">
        <f aca="false">IF($B80="","",SUMIFS('الحركات الشهرية'!$G$6:$G$1005,'الحركات الشهرية'!$B$6:$B$1005,$B80,'الحركات الشهرية'!$A$6:$A$1005,$C$3))</f>
        <v/>
      </c>
      <c r="R80" s="111" t="str">
        <f aca="false">IF($B80="","",SUMIFS('الحركات الشهرية'!$H$6:$H$1005,'الحركات الشهرية'!$B$6:$B$1005,$B80,'الحركات الشهرية'!$A$6:$A$1005,$C$3))</f>
        <v/>
      </c>
      <c r="S80" s="111" t="str">
        <f aca="false">IF($B80="","",SUMIFS('سجل الإجازات والحالات'!$N$6:$N$505,'سجل الإجازات والحالات'!$B$6:$B$505,$B80,'سجل الإجازات والحالات'!$O$6:$O$505,$C$3))</f>
        <v/>
      </c>
      <c r="T80" s="152" t="str">
        <f aca="false">IF($B80="","",SUM(K80:N80)+SUM(P80:S80))</f>
        <v/>
      </c>
      <c r="U80" s="111" t="str">
        <f aca="false">IF($B80="","",الموظفون!$S80*IF(E80="سعودي",cfg_G_SE,cfg_G_NE)*G80/cfg_DAYS_M)</f>
        <v/>
      </c>
      <c r="V80" s="111" t="str">
        <f aca="false">IF($B80="","",SUMIFS('الحركات الشهرية'!$I$6:$I$1005,'الحركات الشهرية'!$B$6:$B$1005,$B80,'الحركات الشهرية'!$A$6:$A$1005,$C$3))</f>
        <v/>
      </c>
      <c r="W80" s="111" t="str">
        <f aca="false">IF($B80="","",SUMIFS('الحركات الشهرية'!$J$6:$J$1005,'الحركات الشهرية'!$B$6:$B$1005,$B80,'الحركات الشهرية'!$A$6:$A$1005,$C$3))</f>
        <v/>
      </c>
      <c r="X80" s="111" t="str">
        <f aca="false">IF($B80="","",SUM(U80:W80))</f>
        <v/>
      </c>
      <c r="Y80" s="153" t="str">
        <f aca="false">IF($B80="","",T80-X80)</f>
        <v/>
      </c>
      <c r="Z80" s="111" t="str">
        <f aca="false">IF($B80="","",الموظفون!$S80*IF(E80="سعودي",cfg_G_SR,cfg_G_NR)*G80/cfg_DAYS_M)</f>
        <v/>
      </c>
      <c r="AA80" s="111" t="str">
        <f aca="false">IF($B80="","",الموظفون!$Q80*(cfg_EOS_R1*(MIN(AH80,cfg_EOS_TH)-MIN(AI80,cfg_EOS_TH))+cfg_EOS_R2*(MAX(AH80-cfg_EOS_TH,0)-MAX(AI80-cfg_EOS_TH,0))))</f>
        <v/>
      </c>
      <c r="AB80" s="111" t="str">
        <f aca="false">IF($B80="","",IF(الموظفون!$T80&lt;&gt;"",الموظفون!$T80,IF(AH80&gt;=cfg_LV_TH,cfg_LV_D2,cfg_LV_D1))/cfg_DAYS_Y*AJ80*الموظفون!$R80/cfg_DAYS_M)</f>
        <v/>
      </c>
      <c r="AC80" s="111" t="str">
        <f aca="false">IF($B80="","",IF(AND(الموظفون!$U80="نعم",N(الموظفون!$W80)&gt;0),الموظفون!$V80/الموظفون!$W80*12/cfg_DAYS_Y*AJ80,0))</f>
        <v/>
      </c>
      <c r="AD80" s="111" t="str">
        <f aca="false">IF($B80="","",(IF(الموظفون!$X80&lt;&gt;"",الموظفون!$X80,IF(الموظفون!$E80="غير سعودي",cfg_IQ,0))+IF(الموظفون!$Y80&lt;&gt;"",الموظفون!$Y80,IF(الموظفون!$E80="غير سعودي",cfg_WP,0)))/12*G80/cfg_DAYS_M)</f>
        <v/>
      </c>
      <c r="AE80" s="111" t="str">
        <f aca="false">IF($B80="","",IF(الموظفون!$Z80&lt;&gt;"",الموظفون!$Z80,cfg_MED)/12*G80/cfg_DAYS_M)</f>
        <v/>
      </c>
      <c r="AF80" s="111" t="str">
        <f aca="false">IF($B80="","",N(الموظفون!$AA80)/12*G80/cfg_DAYS_M)</f>
        <v/>
      </c>
      <c r="AG80" s="154" t="str">
        <f aca="false">IF($B80="","",T80+SUM(Z80:AF80))</f>
        <v/>
      </c>
      <c r="AH80" s="155" t="str">
        <f aca="false">IF($B80="","",MAX(0,IF(OR(الموظفون!$AE80="",الموظفون!$AE80&gt;$F$3),$F$3,الموظفون!$AE80)-الموظفون!$H80+1-SUMIFS('سجل الإجازات والحالات'!$AN$6:$AN$505,'سجل الإجازات والحالات'!$B$6:$B$505,$B80))/cfg_DAYS_Y)</f>
        <v/>
      </c>
      <c r="AI80" s="155" t="str">
        <f aca="false">IF($B80="","",MAX(0,IF(OR(الموظفون!$AE80="",الموظفون!$AE80&gt;($E$3-1)),($E$3-1),الموظفون!$AE80)-الموظفون!$H80+1-SUMIFS('سجل الإجازات والحالات'!$AM$6:$AM$505,'سجل الإجازات والحالات'!$B$6:$B$505,$B80))/cfg_DAYS_Y)</f>
        <v/>
      </c>
      <c r="AJ80" s="65" t="str">
        <f aca="false">IF($B80="","",MAX(0,AK80-(SUMIFS('سجل الإجازات والحالات'!$AN$6:$AN$505,'سجل الإجازات والحالات'!$B$6:$B$505,$B80)-SUMIFS('سجل الإجازات والحالات'!$AM$6:$AM$505,'سجل الإجازات والحالات'!$B$6:$B$505,$B80))))</f>
        <v/>
      </c>
      <c r="AK80" s="65" t="str">
        <f aca="false">IF($B80="","",MAX(0,IF(OR(الموظفون!$AE80="",الموظفون!$AE80&gt;$F$3),$F$3,الموظفون!$AE80)-MAX($E$3,الموظفون!$H80)+1))</f>
        <v/>
      </c>
      <c r="AL80" s="151" t="str">
        <f aca="false">IF($B80="","",SUMIFS('سجل الإجازات والحالات'!$AZ$6:$AZ$505,'سجل الإجازات والحالات'!$B$6:$B$505,$B80)+SUMIFS('الحركات الشهرية'!$K$6:$K$1005,'الحركات الشهرية'!$B$6:$B$1005,$B80,'الحركات الشهرية'!$A$6:$A$1005,$C$3))</f>
        <v/>
      </c>
      <c r="AM80" s="111" t="str">
        <f aca="false">IF($B80="","",AL80*الموظفون!$R80/cfg_DAYS_M+S80)</f>
        <v/>
      </c>
      <c r="AN80" s="151" t="str">
        <f aca="false">IF($B80="","",SUMIFS('سجل الإجازات والحالات'!$AB$6:$AB$505,'سجل الإجازات والحالات'!$B$6:$B$505,$B80))</f>
        <v/>
      </c>
    </row>
    <row r="81" customFormat="false" ht="15" hidden="false" customHeight="false" outlineLevel="0" collapsed="false">
      <c r="A81" s="115" t="str">
        <f aca="false">IF($B81="","",الموظفون!$A81)</f>
        <v/>
      </c>
      <c r="B81" s="117" t="str">
        <f aca="false">IF(الموظفون!$B81="","",الموظفون!$B81)</f>
        <v/>
      </c>
      <c r="C81" s="117" t="str">
        <f aca="false">IF($B81="","",الموظفون!$C81)</f>
        <v/>
      </c>
      <c r="D81" s="117" t="str">
        <f aca="false">IF($B81="","",الموظفون!$F81)</f>
        <v/>
      </c>
      <c r="E81" s="117" t="str">
        <f aca="false">IF($B81="","",الموظفون!$E81)</f>
        <v/>
      </c>
      <c r="F81" s="117" t="str">
        <f aca="false">IF($B81="","",IF(AK81=0,IF(AND(الموظفون!$AE81&lt;&gt;"",الموظفون!$AE81&lt;$E$3),"✖ منتهي الخدمة","⏳ لم يباشر"),IF(S81&gt;0,"✈ راتب إجازة مقدم",IF(J81=0,"⛔ بدون راتب هذا الشهر",IF(I81&gt;0,"✈ خصم "&amp;ROUND(I81,2)&amp;" يوم بدون أجر",IF(AL81&gt;0,"🌴 إجازة سنوية "&amp;ROUND(AL81,2)&amp;" يوم",IF(H81&gt;0,"⚠ غياب "&amp;ROUND(H81,2)&amp;" يوم","✔ على رأس العمل")))))))</f>
        <v/>
      </c>
      <c r="G81" s="156" t="str">
        <f aca="false">IF($B81="","",IF(AK81&gt;=DAY($F$3),cfg_DAYS_M,MIN(AK81,cfg_DAYS_M)))</f>
        <v/>
      </c>
      <c r="H81" s="156" t="str">
        <f aca="false">IF($B81="","",SUMIFS('الحركات الشهرية'!$D$6:$D$1005,'الحركات الشهرية'!$B$6:$B$1005,$B81,'الحركات الشهرية'!$A$6:$A$1005,$C$3))</f>
        <v/>
      </c>
      <c r="I81" s="156" t="str">
        <f aca="false">IF($B81="","",MIN(G81,IF(AND(AK81&gt;0,AN81&gt;=AK81),G81,AN81)+SUMIFS('الحركات الشهرية'!$E$6:$E$1005,'الحركات الشهرية'!$B$6:$B$1005,$B81,'الحركات الشهرية'!$A$6:$A$1005,$C$3)))</f>
        <v/>
      </c>
      <c r="J81" s="156" t="str">
        <f aca="false">IF($B81="","",MAX(0,G81-H81-I81))</f>
        <v/>
      </c>
      <c r="K81" s="116" t="str">
        <f aca="false">IF($B81="","",الموظفون!$L81*$J81/cfg_DAYS_M)</f>
        <v/>
      </c>
      <c r="L81" s="116" t="str">
        <f aca="false">IF($B81="","",الموظفون!$M81*$J81/cfg_DAYS_M)</f>
        <v/>
      </c>
      <c r="M81" s="116" t="str">
        <f aca="false">IF($B81="","",الموظفون!$N81*$J81/cfg_DAYS_M)</f>
        <v/>
      </c>
      <c r="N81" s="116" t="str">
        <f aca="false">IF($B81="","",الموظفون!$O81*$J81/cfg_DAYS_M)</f>
        <v/>
      </c>
      <c r="O81" s="156" t="str">
        <f aca="false">IF($B81="","",SUMIFS('الحركات الشهرية'!$F$6:$F$1005,'الحركات الشهرية'!$B$6:$B$1005,$B81,'الحركات الشهرية'!$A$6:$A$1005,$C$3))</f>
        <v/>
      </c>
      <c r="P81" s="116" t="str">
        <f aca="false">IF($B81="","",O81*(الموظفون!$P81+الموظفون!$L81*cfg_OT_P)/cfg_DAYS_M/cfg_HRS)</f>
        <v/>
      </c>
      <c r="Q81" s="116" t="str">
        <f aca="false">IF($B81="","",SUMIFS('الحركات الشهرية'!$G$6:$G$1005,'الحركات الشهرية'!$B$6:$B$1005,$B81,'الحركات الشهرية'!$A$6:$A$1005,$C$3))</f>
        <v/>
      </c>
      <c r="R81" s="116" t="str">
        <f aca="false">IF($B81="","",SUMIFS('الحركات الشهرية'!$H$6:$H$1005,'الحركات الشهرية'!$B$6:$B$1005,$B81,'الحركات الشهرية'!$A$6:$A$1005,$C$3))</f>
        <v/>
      </c>
      <c r="S81" s="116" t="str">
        <f aca="false">IF($B81="","",SUMIFS('سجل الإجازات والحالات'!$N$6:$N$505,'سجل الإجازات والحالات'!$B$6:$B$505,$B81,'سجل الإجازات والحالات'!$O$6:$O$505,$C$3))</f>
        <v/>
      </c>
      <c r="T81" s="157" t="str">
        <f aca="false">IF($B81="","",SUM(K81:N81)+SUM(P81:S81))</f>
        <v/>
      </c>
      <c r="U81" s="116" t="str">
        <f aca="false">IF($B81="","",الموظفون!$S81*IF(E81="سعودي",cfg_G_SE,cfg_G_NE)*G81/cfg_DAYS_M)</f>
        <v/>
      </c>
      <c r="V81" s="116" t="str">
        <f aca="false">IF($B81="","",SUMIFS('الحركات الشهرية'!$I$6:$I$1005,'الحركات الشهرية'!$B$6:$B$1005,$B81,'الحركات الشهرية'!$A$6:$A$1005,$C$3))</f>
        <v/>
      </c>
      <c r="W81" s="116" t="str">
        <f aca="false">IF($B81="","",SUMIFS('الحركات الشهرية'!$J$6:$J$1005,'الحركات الشهرية'!$B$6:$B$1005,$B81,'الحركات الشهرية'!$A$6:$A$1005,$C$3))</f>
        <v/>
      </c>
      <c r="X81" s="116" t="str">
        <f aca="false">IF($B81="","",SUM(U81:W81))</f>
        <v/>
      </c>
      <c r="Y81" s="158" t="str">
        <f aca="false">IF($B81="","",T81-X81)</f>
        <v/>
      </c>
      <c r="Z81" s="116" t="str">
        <f aca="false">IF($B81="","",الموظفون!$S81*IF(E81="سعودي",cfg_G_SR,cfg_G_NR)*G81/cfg_DAYS_M)</f>
        <v/>
      </c>
      <c r="AA81" s="116" t="str">
        <f aca="false">IF($B81="","",الموظفون!$Q81*(cfg_EOS_R1*(MIN(AH81,cfg_EOS_TH)-MIN(AI81,cfg_EOS_TH))+cfg_EOS_R2*(MAX(AH81-cfg_EOS_TH,0)-MAX(AI81-cfg_EOS_TH,0))))</f>
        <v/>
      </c>
      <c r="AB81" s="116" t="str">
        <f aca="false">IF($B81="","",IF(الموظفون!$T81&lt;&gt;"",الموظفون!$T81,IF(AH81&gt;=cfg_LV_TH,cfg_LV_D2,cfg_LV_D1))/cfg_DAYS_Y*AJ81*الموظفون!$R81/cfg_DAYS_M)</f>
        <v/>
      </c>
      <c r="AC81" s="116" t="str">
        <f aca="false">IF($B81="","",IF(AND(الموظفون!$U81="نعم",N(الموظفون!$W81)&gt;0),الموظفون!$V81/الموظفون!$W81*12/cfg_DAYS_Y*AJ81,0))</f>
        <v/>
      </c>
      <c r="AD81" s="116" t="str">
        <f aca="false">IF($B81="","",(IF(الموظفون!$X81&lt;&gt;"",الموظفون!$X81,IF(الموظفون!$E81="غير سعودي",cfg_IQ,0))+IF(الموظفون!$Y81&lt;&gt;"",الموظفون!$Y81,IF(الموظفون!$E81="غير سعودي",cfg_WP,0)))/12*G81/cfg_DAYS_M)</f>
        <v/>
      </c>
      <c r="AE81" s="116" t="str">
        <f aca="false">IF($B81="","",IF(الموظفون!$Z81&lt;&gt;"",الموظفون!$Z81,cfg_MED)/12*G81/cfg_DAYS_M)</f>
        <v/>
      </c>
      <c r="AF81" s="116" t="str">
        <f aca="false">IF($B81="","",N(الموظفون!$AA81)/12*G81/cfg_DAYS_M)</f>
        <v/>
      </c>
      <c r="AG81" s="159" t="str">
        <f aca="false">IF($B81="","",T81+SUM(Z81:AF81))</f>
        <v/>
      </c>
      <c r="AH81" s="160" t="str">
        <f aca="false">IF($B81="","",MAX(0,IF(OR(الموظفون!$AE81="",الموظفون!$AE81&gt;$F$3),$F$3,الموظفون!$AE81)-الموظفون!$H81+1-SUMIFS('سجل الإجازات والحالات'!$AN$6:$AN$505,'سجل الإجازات والحالات'!$B$6:$B$505,$B81))/cfg_DAYS_Y)</f>
        <v/>
      </c>
      <c r="AI81" s="160" t="str">
        <f aca="false">IF($B81="","",MAX(0,IF(OR(الموظفون!$AE81="",الموظفون!$AE81&gt;($E$3-1)),($E$3-1),الموظفون!$AE81)-الموظفون!$H81+1-SUMIFS('سجل الإجازات والحالات'!$AM$6:$AM$505,'سجل الإجازات والحالات'!$B$6:$B$505,$B81))/cfg_DAYS_Y)</f>
        <v/>
      </c>
      <c r="AJ81" s="133" t="str">
        <f aca="false">IF($B81="","",MAX(0,AK81-(SUMIFS('سجل الإجازات والحالات'!$AN$6:$AN$505,'سجل الإجازات والحالات'!$B$6:$B$505,$B81)-SUMIFS('سجل الإجازات والحالات'!$AM$6:$AM$505,'سجل الإجازات والحالات'!$B$6:$B$505,$B81))))</f>
        <v/>
      </c>
      <c r="AK81" s="133" t="str">
        <f aca="false">IF($B81="","",MAX(0,IF(OR(الموظفون!$AE81="",الموظفون!$AE81&gt;$F$3),$F$3,الموظفون!$AE81)-MAX($E$3,الموظفون!$H81)+1))</f>
        <v/>
      </c>
      <c r="AL81" s="156" t="str">
        <f aca="false">IF($B81="","",SUMIFS('سجل الإجازات والحالات'!$AZ$6:$AZ$505,'سجل الإجازات والحالات'!$B$6:$B$505,$B81)+SUMIFS('الحركات الشهرية'!$K$6:$K$1005,'الحركات الشهرية'!$B$6:$B$1005,$B81,'الحركات الشهرية'!$A$6:$A$1005,$C$3))</f>
        <v/>
      </c>
      <c r="AM81" s="116" t="str">
        <f aca="false">IF($B81="","",AL81*الموظفون!$R81/cfg_DAYS_M+S81)</f>
        <v/>
      </c>
      <c r="AN81" s="156" t="str">
        <f aca="false">IF($B81="","",SUMIFS('سجل الإجازات والحالات'!$AB$6:$AB$505,'سجل الإجازات والحالات'!$B$6:$B$505,$B81))</f>
        <v/>
      </c>
    </row>
    <row r="82" customFormat="false" ht="15" hidden="false" customHeight="false" outlineLevel="0" collapsed="false">
      <c r="A82" s="106" t="str">
        <f aca="false">IF($B82="","",الموظفون!$A82)</f>
        <v/>
      </c>
      <c r="B82" s="114" t="str">
        <f aca="false">IF(الموظفون!$B82="","",الموظفون!$B82)</f>
        <v/>
      </c>
      <c r="C82" s="114" t="str">
        <f aca="false">IF($B82="","",الموظفون!$C82)</f>
        <v/>
      </c>
      <c r="D82" s="114" t="str">
        <f aca="false">IF($B82="","",الموظفون!$F82)</f>
        <v/>
      </c>
      <c r="E82" s="114" t="str">
        <f aca="false">IF($B82="","",الموظفون!$E82)</f>
        <v/>
      </c>
      <c r="F82" s="114" t="str">
        <f aca="false">IF($B82="","",IF(AK82=0,IF(AND(الموظفون!$AE82&lt;&gt;"",الموظفون!$AE82&lt;$E$3),"✖ منتهي الخدمة","⏳ لم يباشر"),IF(S82&gt;0,"✈ راتب إجازة مقدم",IF(J82=0,"⛔ بدون راتب هذا الشهر",IF(I82&gt;0,"✈ خصم "&amp;ROUND(I82,2)&amp;" يوم بدون أجر",IF(AL82&gt;0,"🌴 إجازة سنوية "&amp;ROUND(AL82,2)&amp;" يوم",IF(H82&gt;0,"⚠ غياب "&amp;ROUND(H82,2)&amp;" يوم","✔ على رأس العمل")))))))</f>
        <v/>
      </c>
      <c r="G82" s="151" t="str">
        <f aca="false">IF($B82="","",IF(AK82&gt;=DAY($F$3),cfg_DAYS_M,MIN(AK82,cfg_DAYS_M)))</f>
        <v/>
      </c>
      <c r="H82" s="151" t="str">
        <f aca="false">IF($B82="","",SUMIFS('الحركات الشهرية'!$D$6:$D$1005,'الحركات الشهرية'!$B$6:$B$1005,$B82,'الحركات الشهرية'!$A$6:$A$1005,$C$3))</f>
        <v/>
      </c>
      <c r="I82" s="151" t="str">
        <f aca="false">IF($B82="","",MIN(G82,IF(AND(AK82&gt;0,AN82&gt;=AK82),G82,AN82)+SUMIFS('الحركات الشهرية'!$E$6:$E$1005,'الحركات الشهرية'!$B$6:$B$1005,$B82,'الحركات الشهرية'!$A$6:$A$1005,$C$3)))</f>
        <v/>
      </c>
      <c r="J82" s="151" t="str">
        <f aca="false">IF($B82="","",MAX(0,G82-H82-I82))</f>
        <v/>
      </c>
      <c r="K82" s="111" t="str">
        <f aca="false">IF($B82="","",الموظفون!$L82*$J82/cfg_DAYS_M)</f>
        <v/>
      </c>
      <c r="L82" s="111" t="str">
        <f aca="false">IF($B82="","",الموظفون!$M82*$J82/cfg_DAYS_M)</f>
        <v/>
      </c>
      <c r="M82" s="111" t="str">
        <f aca="false">IF($B82="","",الموظفون!$N82*$J82/cfg_DAYS_M)</f>
        <v/>
      </c>
      <c r="N82" s="111" t="str">
        <f aca="false">IF($B82="","",الموظفون!$O82*$J82/cfg_DAYS_M)</f>
        <v/>
      </c>
      <c r="O82" s="151" t="str">
        <f aca="false">IF($B82="","",SUMIFS('الحركات الشهرية'!$F$6:$F$1005,'الحركات الشهرية'!$B$6:$B$1005,$B82,'الحركات الشهرية'!$A$6:$A$1005,$C$3))</f>
        <v/>
      </c>
      <c r="P82" s="111" t="str">
        <f aca="false">IF($B82="","",O82*(الموظفون!$P82+الموظفون!$L82*cfg_OT_P)/cfg_DAYS_M/cfg_HRS)</f>
        <v/>
      </c>
      <c r="Q82" s="111" t="str">
        <f aca="false">IF($B82="","",SUMIFS('الحركات الشهرية'!$G$6:$G$1005,'الحركات الشهرية'!$B$6:$B$1005,$B82,'الحركات الشهرية'!$A$6:$A$1005,$C$3))</f>
        <v/>
      </c>
      <c r="R82" s="111" t="str">
        <f aca="false">IF($B82="","",SUMIFS('الحركات الشهرية'!$H$6:$H$1005,'الحركات الشهرية'!$B$6:$B$1005,$B82,'الحركات الشهرية'!$A$6:$A$1005,$C$3))</f>
        <v/>
      </c>
      <c r="S82" s="111" t="str">
        <f aca="false">IF($B82="","",SUMIFS('سجل الإجازات والحالات'!$N$6:$N$505,'سجل الإجازات والحالات'!$B$6:$B$505,$B82,'سجل الإجازات والحالات'!$O$6:$O$505,$C$3))</f>
        <v/>
      </c>
      <c r="T82" s="152" t="str">
        <f aca="false">IF($B82="","",SUM(K82:N82)+SUM(P82:S82))</f>
        <v/>
      </c>
      <c r="U82" s="111" t="str">
        <f aca="false">IF($B82="","",الموظفون!$S82*IF(E82="سعودي",cfg_G_SE,cfg_G_NE)*G82/cfg_DAYS_M)</f>
        <v/>
      </c>
      <c r="V82" s="111" t="str">
        <f aca="false">IF($B82="","",SUMIFS('الحركات الشهرية'!$I$6:$I$1005,'الحركات الشهرية'!$B$6:$B$1005,$B82,'الحركات الشهرية'!$A$6:$A$1005,$C$3))</f>
        <v/>
      </c>
      <c r="W82" s="111" t="str">
        <f aca="false">IF($B82="","",SUMIFS('الحركات الشهرية'!$J$6:$J$1005,'الحركات الشهرية'!$B$6:$B$1005,$B82,'الحركات الشهرية'!$A$6:$A$1005,$C$3))</f>
        <v/>
      </c>
      <c r="X82" s="111" t="str">
        <f aca="false">IF($B82="","",SUM(U82:W82))</f>
        <v/>
      </c>
      <c r="Y82" s="153" t="str">
        <f aca="false">IF($B82="","",T82-X82)</f>
        <v/>
      </c>
      <c r="Z82" s="111" t="str">
        <f aca="false">IF($B82="","",الموظفون!$S82*IF(E82="سعودي",cfg_G_SR,cfg_G_NR)*G82/cfg_DAYS_M)</f>
        <v/>
      </c>
      <c r="AA82" s="111" t="str">
        <f aca="false">IF($B82="","",الموظفون!$Q82*(cfg_EOS_R1*(MIN(AH82,cfg_EOS_TH)-MIN(AI82,cfg_EOS_TH))+cfg_EOS_R2*(MAX(AH82-cfg_EOS_TH,0)-MAX(AI82-cfg_EOS_TH,0))))</f>
        <v/>
      </c>
      <c r="AB82" s="111" t="str">
        <f aca="false">IF($B82="","",IF(الموظفون!$T82&lt;&gt;"",الموظفون!$T82,IF(AH82&gt;=cfg_LV_TH,cfg_LV_D2,cfg_LV_D1))/cfg_DAYS_Y*AJ82*الموظفون!$R82/cfg_DAYS_M)</f>
        <v/>
      </c>
      <c r="AC82" s="111" t="str">
        <f aca="false">IF($B82="","",IF(AND(الموظفون!$U82="نعم",N(الموظفون!$W82)&gt;0),الموظفون!$V82/الموظفون!$W82*12/cfg_DAYS_Y*AJ82,0))</f>
        <v/>
      </c>
      <c r="AD82" s="111" t="str">
        <f aca="false">IF($B82="","",(IF(الموظفون!$X82&lt;&gt;"",الموظفون!$X82,IF(الموظفون!$E82="غير سعودي",cfg_IQ,0))+IF(الموظفون!$Y82&lt;&gt;"",الموظفون!$Y82,IF(الموظفون!$E82="غير سعودي",cfg_WP,0)))/12*G82/cfg_DAYS_M)</f>
        <v/>
      </c>
      <c r="AE82" s="111" t="str">
        <f aca="false">IF($B82="","",IF(الموظفون!$Z82&lt;&gt;"",الموظفون!$Z82,cfg_MED)/12*G82/cfg_DAYS_M)</f>
        <v/>
      </c>
      <c r="AF82" s="111" t="str">
        <f aca="false">IF($B82="","",N(الموظفون!$AA82)/12*G82/cfg_DAYS_M)</f>
        <v/>
      </c>
      <c r="AG82" s="154" t="str">
        <f aca="false">IF($B82="","",T82+SUM(Z82:AF82))</f>
        <v/>
      </c>
      <c r="AH82" s="155" t="str">
        <f aca="false">IF($B82="","",MAX(0,IF(OR(الموظفون!$AE82="",الموظفون!$AE82&gt;$F$3),$F$3,الموظفون!$AE82)-الموظفون!$H82+1-SUMIFS('سجل الإجازات والحالات'!$AN$6:$AN$505,'سجل الإجازات والحالات'!$B$6:$B$505,$B82))/cfg_DAYS_Y)</f>
        <v/>
      </c>
      <c r="AI82" s="155" t="str">
        <f aca="false">IF($B82="","",MAX(0,IF(OR(الموظفون!$AE82="",الموظفون!$AE82&gt;($E$3-1)),($E$3-1),الموظفون!$AE82)-الموظفون!$H82+1-SUMIFS('سجل الإجازات والحالات'!$AM$6:$AM$505,'سجل الإجازات والحالات'!$B$6:$B$505,$B82))/cfg_DAYS_Y)</f>
        <v/>
      </c>
      <c r="AJ82" s="65" t="str">
        <f aca="false">IF($B82="","",MAX(0,AK82-(SUMIFS('سجل الإجازات والحالات'!$AN$6:$AN$505,'سجل الإجازات والحالات'!$B$6:$B$505,$B82)-SUMIFS('سجل الإجازات والحالات'!$AM$6:$AM$505,'سجل الإجازات والحالات'!$B$6:$B$505,$B82))))</f>
        <v/>
      </c>
      <c r="AK82" s="65" t="str">
        <f aca="false">IF($B82="","",MAX(0,IF(OR(الموظفون!$AE82="",الموظفون!$AE82&gt;$F$3),$F$3,الموظفون!$AE82)-MAX($E$3,الموظفون!$H82)+1))</f>
        <v/>
      </c>
      <c r="AL82" s="151" t="str">
        <f aca="false">IF($B82="","",SUMIFS('سجل الإجازات والحالات'!$AZ$6:$AZ$505,'سجل الإجازات والحالات'!$B$6:$B$505,$B82)+SUMIFS('الحركات الشهرية'!$K$6:$K$1005,'الحركات الشهرية'!$B$6:$B$1005,$B82,'الحركات الشهرية'!$A$6:$A$1005,$C$3))</f>
        <v/>
      </c>
      <c r="AM82" s="111" t="str">
        <f aca="false">IF($B82="","",AL82*الموظفون!$R82/cfg_DAYS_M+S82)</f>
        <v/>
      </c>
      <c r="AN82" s="151" t="str">
        <f aca="false">IF($B82="","",SUMIFS('سجل الإجازات والحالات'!$AB$6:$AB$505,'سجل الإجازات والحالات'!$B$6:$B$505,$B82))</f>
        <v/>
      </c>
    </row>
    <row r="83" customFormat="false" ht="15" hidden="false" customHeight="false" outlineLevel="0" collapsed="false">
      <c r="A83" s="115" t="str">
        <f aca="false">IF($B83="","",الموظفون!$A83)</f>
        <v/>
      </c>
      <c r="B83" s="117" t="str">
        <f aca="false">IF(الموظفون!$B83="","",الموظفون!$B83)</f>
        <v/>
      </c>
      <c r="C83" s="117" t="str">
        <f aca="false">IF($B83="","",الموظفون!$C83)</f>
        <v/>
      </c>
      <c r="D83" s="117" t="str">
        <f aca="false">IF($B83="","",الموظفون!$F83)</f>
        <v/>
      </c>
      <c r="E83" s="117" t="str">
        <f aca="false">IF($B83="","",الموظفون!$E83)</f>
        <v/>
      </c>
      <c r="F83" s="117" t="str">
        <f aca="false">IF($B83="","",IF(AK83=0,IF(AND(الموظفون!$AE83&lt;&gt;"",الموظفون!$AE83&lt;$E$3),"✖ منتهي الخدمة","⏳ لم يباشر"),IF(S83&gt;0,"✈ راتب إجازة مقدم",IF(J83=0,"⛔ بدون راتب هذا الشهر",IF(I83&gt;0,"✈ خصم "&amp;ROUND(I83,2)&amp;" يوم بدون أجر",IF(AL83&gt;0,"🌴 إجازة سنوية "&amp;ROUND(AL83,2)&amp;" يوم",IF(H83&gt;0,"⚠ غياب "&amp;ROUND(H83,2)&amp;" يوم","✔ على رأس العمل")))))))</f>
        <v/>
      </c>
      <c r="G83" s="156" t="str">
        <f aca="false">IF($B83="","",IF(AK83&gt;=DAY($F$3),cfg_DAYS_M,MIN(AK83,cfg_DAYS_M)))</f>
        <v/>
      </c>
      <c r="H83" s="156" t="str">
        <f aca="false">IF($B83="","",SUMIFS('الحركات الشهرية'!$D$6:$D$1005,'الحركات الشهرية'!$B$6:$B$1005,$B83,'الحركات الشهرية'!$A$6:$A$1005,$C$3))</f>
        <v/>
      </c>
      <c r="I83" s="156" t="str">
        <f aca="false">IF($B83="","",MIN(G83,IF(AND(AK83&gt;0,AN83&gt;=AK83),G83,AN83)+SUMIFS('الحركات الشهرية'!$E$6:$E$1005,'الحركات الشهرية'!$B$6:$B$1005,$B83,'الحركات الشهرية'!$A$6:$A$1005,$C$3)))</f>
        <v/>
      </c>
      <c r="J83" s="156" t="str">
        <f aca="false">IF($B83="","",MAX(0,G83-H83-I83))</f>
        <v/>
      </c>
      <c r="K83" s="116" t="str">
        <f aca="false">IF($B83="","",الموظفون!$L83*$J83/cfg_DAYS_M)</f>
        <v/>
      </c>
      <c r="L83" s="116" t="str">
        <f aca="false">IF($B83="","",الموظفون!$M83*$J83/cfg_DAYS_M)</f>
        <v/>
      </c>
      <c r="M83" s="116" t="str">
        <f aca="false">IF($B83="","",الموظفون!$N83*$J83/cfg_DAYS_M)</f>
        <v/>
      </c>
      <c r="N83" s="116" t="str">
        <f aca="false">IF($B83="","",الموظفون!$O83*$J83/cfg_DAYS_M)</f>
        <v/>
      </c>
      <c r="O83" s="156" t="str">
        <f aca="false">IF($B83="","",SUMIFS('الحركات الشهرية'!$F$6:$F$1005,'الحركات الشهرية'!$B$6:$B$1005,$B83,'الحركات الشهرية'!$A$6:$A$1005,$C$3))</f>
        <v/>
      </c>
      <c r="P83" s="116" t="str">
        <f aca="false">IF($B83="","",O83*(الموظفون!$P83+الموظفون!$L83*cfg_OT_P)/cfg_DAYS_M/cfg_HRS)</f>
        <v/>
      </c>
      <c r="Q83" s="116" t="str">
        <f aca="false">IF($B83="","",SUMIFS('الحركات الشهرية'!$G$6:$G$1005,'الحركات الشهرية'!$B$6:$B$1005,$B83,'الحركات الشهرية'!$A$6:$A$1005,$C$3))</f>
        <v/>
      </c>
      <c r="R83" s="116" t="str">
        <f aca="false">IF($B83="","",SUMIFS('الحركات الشهرية'!$H$6:$H$1005,'الحركات الشهرية'!$B$6:$B$1005,$B83,'الحركات الشهرية'!$A$6:$A$1005,$C$3))</f>
        <v/>
      </c>
      <c r="S83" s="116" t="str">
        <f aca="false">IF($B83="","",SUMIFS('سجل الإجازات والحالات'!$N$6:$N$505,'سجل الإجازات والحالات'!$B$6:$B$505,$B83,'سجل الإجازات والحالات'!$O$6:$O$505,$C$3))</f>
        <v/>
      </c>
      <c r="T83" s="157" t="str">
        <f aca="false">IF($B83="","",SUM(K83:N83)+SUM(P83:S83))</f>
        <v/>
      </c>
      <c r="U83" s="116" t="str">
        <f aca="false">IF($B83="","",الموظفون!$S83*IF(E83="سعودي",cfg_G_SE,cfg_G_NE)*G83/cfg_DAYS_M)</f>
        <v/>
      </c>
      <c r="V83" s="116" t="str">
        <f aca="false">IF($B83="","",SUMIFS('الحركات الشهرية'!$I$6:$I$1005,'الحركات الشهرية'!$B$6:$B$1005,$B83,'الحركات الشهرية'!$A$6:$A$1005,$C$3))</f>
        <v/>
      </c>
      <c r="W83" s="116" t="str">
        <f aca="false">IF($B83="","",SUMIFS('الحركات الشهرية'!$J$6:$J$1005,'الحركات الشهرية'!$B$6:$B$1005,$B83,'الحركات الشهرية'!$A$6:$A$1005,$C$3))</f>
        <v/>
      </c>
      <c r="X83" s="116" t="str">
        <f aca="false">IF($B83="","",SUM(U83:W83))</f>
        <v/>
      </c>
      <c r="Y83" s="158" t="str">
        <f aca="false">IF($B83="","",T83-X83)</f>
        <v/>
      </c>
      <c r="Z83" s="116" t="str">
        <f aca="false">IF($B83="","",الموظفون!$S83*IF(E83="سعودي",cfg_G_SR,cfg_G_NR)*G83/cfg_DAYS_M)</f>
        <v/>
      </c>
      <c r="AA83" s="116" t="str">
        <f aca="false">IF($B83="","",الموظفون!$Q83*(cfg_EOS_R1*(MIN(AH83,cfg_EOS_TH)-MIN(AI83,cfg_EOS_TH))+cfg_EOS_R2*(MAX(AH83-cfg_EOS_TH,0)-MAX(AI83-cfg_EOS_TH,0))))</f>
        <v/>
      </c>
      <c r="AB83" s="116" t="str">
        <f aca="false">IF($B83="","",IF(الموظفون!$T83&lt;&gt;"",الموظفون!$T83,IF(AH83&gt;=cfg_LV_TH,cfg_LV_D2,cfg_LV_D1))/cfg_DAYS_Y*AJ83*الموظفون!$R83/cfg_DAYS_M)</f>
        <v/>
      </c>
      <c r="AC83" s="116" t="str">
        <f aca="false">IF($B83="","",IF(AND(الموظفون!$U83="نعم",N(الموظفون!$W83)&gt;0),الموظفون!$V83/الموظفون!$W83*12/cfg_DAYS_Y*AJ83,0))</f>
        <v/>
      </c>
      <c r="AD83" s="116" t="str">
        <f aca="false">IF($B83="","",(IF(الموظفون!$X83&lt;&gt;"",الموظفون!$X83,IF(الموظفون!$E83="غير سعودي",cfg_IQ,0))+IF(الموظفون!$Y83&lt;&gt;"",الموظفون!$Y83,IF(الموظفون!$E83="غير سعودي",cfg_WP,0)))/12*G83/cfg_DAYS_M)</f>
        <v/>
      </c>
      <c r="AE83" s="116" t="str">
        <f aca="false">IF($B83="","",IF(الموظفون!$Z83&lt;&gt;"",الموظفون!$Z83,cfg_MED)/12*G83/cfg_DAYS_M)</f>
        <v/>
      </c>
      <c r="AF83" s="116" t="str">
        <f aca="false">IF($B83="","",N(الموظفون!$AA83)/12*G83/cfg_DAYS_M)</f>
        <v/>
      </c>
      <c r="AG83" s="159" t="str">
        <f aca="false">IF($B83="","",T83+SUM(Z83:AF83))</f>
        <v/>
      </c>
      <c r="AH83" s="160" t="str">
        <f aca="false">IF($B83="","",MAX(0,IF(OR(الموظفون!$AE83="",الموظفون!$AE83&gt;$F$3),$F$3,الموظفون!$AE83)-الموظفون!$H83+1-SUMIFS('سجل الإجازات والحالات'!$AN$6:$AN$505,'سجل الإجازات والحالات'!$B$6:$B$505,$B83))/cfg_DAYS_Y)</f>
        <v/>
      </c>
      <c r="AI83" s="160" t="str">
        <f aca="false">IF($B83="","",MAX(0,IF(OR(الموظفون!$AE83="",الموظفون!$AE83&gt;($E$3-1)),($E$3-1),الموظفون!$AE83)-الموظفون!$H83+1-SUMIFS('سجل الإجازات والحالات'!$AM$6:$AM$505,'سجل الإجازات والحالات'!$B$6:$B$505,$B83))/cfg_DAYS_Y)</f>
        <v/>
      </c>
      <c r="AJ83" s="133" t="str">
        <f aca="false">IF($B83="","",MAX(0,AK83-(SUMIFS('سجل الإجازات والحالات'!$AN$6:$AN$505,'سجل الإجازات والحالات'!$B$6:$B$505,$B83)-SUMIFS('سجل الإجازات والحالات'!$AM$6:$AM$505,'سجل الإجازات والحالات'!$B$6:$B$505,$B83))))</f>
        <v/>
      </c>
      <c r="AK83" s="133" t="str">
        <f aca="false">IF($B83="","",MAX(0,IF(OR(الموظفون!$AE83="",الموظفون!$AE83&gt;$F$3),$F$3,الموظفون!$AE83)-MAX($E$3,الموظفون!$H83)+1))</f>
        <v/>
      </c>
      <c r="AL83" s="156" t="str">
        <f aca="false">IF($B83="","",SUMIFS('سجل الإجازات والحالات'!$AZ$6:$AZ$505,'سجل الإجازات والحالات'!$B$6:$B$505,$B83)+SUMIFS('الحركات الشهرية'!$K$6:$K$1005,'الحركات الشهرية'!$B$6:$B$1005,$B83,'الحركات الشهرية'!$A$6:$A$1005,$C$3))</f>
        <v/>
      </c>
      <c r="AM83" s="116" t="str">
        <f aca="false">IF($B83="","",AL83*الموظفون!$R83/cfg_DAYS_M+S83)</f>
        <v/>
      </c>
      <c r="AN83" s="156" t="str">
        <f aca="false">IF($B83="","",SUMIFS('سجل الإجازات والحالات'!$AB$6:$AB$505,'سجل الإجازات والحالات'!$B$6:$B$505,$B83))</f>
        <v/>
      </c>
    </row>
    <row r="84" customFormat="false" ht="15" hidden="false" customHeight="false" outlineLevel="0" collapsed="false">
      <c r="A84" s="106" t="str">
        <f aca="false">IF($B84="","",الموظفون!$A84)</f>
        <v/>
      </c>
      <c r="B84" s="114" t="str">
        <f aca="false">IF(الموظفون!$B84="","",الموظفون!$B84)</f>
        <v/>
      </c>
      <c r="C84" s="114" t="str">
        <f aca="false">IF($B84="","",الموظفون!$C84)</f>
        <v/>
      </c>
      <c r="D84" s="114" t="str">
        <f aca="false">IF($B84="","",الموظفون!$F84)</f>
        <v/>
      </c>
      <c r="E84" s="114" t="str">
        <f aca="false">IF($B84="","",الموظفون!$E84)</f>
        <v/>
      </c>
      <c r="F84" s="114" t="str">
        <f aca="false">IF($B84="","",IF(AK84=0,IF(AND(الموظفون!$AE84&lt;&gt;"",الموظفون!$AE84&lt;$E$3),"✖ منتهي الخدمة","⏳ لم يباشر"),IF(S84&gt;0,"✈ راتب إجازة مقدم",IF(J84=0,"⛔ بدون راتب هذا الشهر",IF(I84&gt;0,"✈ خصم "&amp;ROUND(I84,2)&amp;" يوم بدون أجر",IF(AL84&gt;0,"🌴 إجازة سنوية "&amp;ROUND(AL84,2)&amp;" يوم",IF(H84&gt;0,"⚠ غياب "&amp;ROUND(H84,2)&amp;" يوم","✔ على رأس العمل")))))))</f>
        <v/>
      </c>
      <c r="G84" s="151" t="str">
        <f aca="false">IF($B84="","",IF(AK84&gt;=DAY($F$3),cfg_DAYS_M,MIN(AK84,cfg_DAYS_M)))</f>
        <v/>
      </c>
      <c r="H84" s="151" t="str">
        <f aca="false">IF($B84="","",SUMIFS('الحركات الشهرية'!$D$6:$D$1005,'الحركات الشهرية'!$B$6:$B$1005,$B84,'الحركات الشهرية'!$A$6:$A$1005,$C$3))</f>
        <v/>
      </c>
      <c r="I84" s="151" t="str">
        <f aca="false">IF($B84="","",MIN(G84,IF(AND(AK84&gt;0,AN84&gt;=AK84),G84,AN84)+SUMIFS('الحركات الشهرية'!$E$6:$E$1005,'الحركات الشهرية'!$B$6:$B$1005,$B84,'الحركات الشهرية'!$A$6:$A$1005,$C$3)))</f>
        <v/>
      </c>
      <c r="J84" s="151" t="str">
        <f aca="false">IF($B84="","",MAX(0,G84-H84-I84))</f>
        <v/>
      </c>
      <c r="K84" s="111" t="str">
        <f aca="false">IF($B84="","",الموظفون!$L84*$J84/cfg_DAYS_M)</f>
        <v/>
      </c>
      <c r="L84" s="111" t="str">
        <f aca="false">IF($B84="","",الموظفون!$M84*$J84/cfg_DAYS_M)</f>
        <v/>
      </c>
      <c r="M84" s="111" t="str">
        <f aca="false">IF($B84="","",الموظفون!$N84*$J84/cfg_DAYS_M)</f>
        <v/>
      </c>
      <c r="N84" s="111" t="str">
        <f aca="false">IF($B84="","",الموظفون!$O84*$J84/cfg_DAYS_M)</f>
        <v/>
      </c>
      <c r="O84" s="151" t="str">
        <f aca="false">IF($B84="","",SUMIFS('الحركات الشهرية'!$F$6:$F$1005,'الحركات الشهرية'!$B$6:$B$1005,$B84,'الحركات الشهرية'!$A$6:$A$1005,$C$3))</f>
        <v/>
      </c>
      <c r="P84" s="111" t="str">
        <f aca="false">IF($B84="","",O84*(الموظفون!$P84+الموظفون!$L84*cfg_OT_P)/cfg_DAYS_M/cfg_HRS)</f>
        <v/>
      </c>
      <c r="Q84" s="111" t="str">
        <f aca="false">IF($B84="","",SUMIFS('الحركات الشهرية'!$G$6:$G$1005,'الحركات الشهرية'!$B$6:$B$1005,$B84,'الحركات الشهرية'!$A$6:$A$1005,$C$3))</f>
        <v/>
      </c>
      <c r="R84" s="111" t="str">
        <f aca="false">IF($B84="","",SUMIFS('الحركات الشهرية'!$H$6:$H$1005,'الحركات الشهرية'!$B$6:$B$1005,$B84,'الحركات الشهرية'!$A$6:$A$1005,$C$3))</f>
        <v/>
      </c>
      <c r="S84" s="111" t="str">
        <f aca="false">IF($B84="","",SUMIFS('سجل الإجازات والحالات'!$N$6:$N$505,'سجل الإجازات والحالات'!$B$6:$B$505,$B84,'سجل الإجازات والحالات'!$O$6:$O$505,$C$3))</f>
        <v/>
      </c>
      <c r="T84" s="152" t="str">
        <f aca="false">IF($B84="","",SUM(K84:N84)+SUM(P84:S84))</f>
        <v/>
      </c>
      <c r="U84" s="111" t="str">
        <f aca="false">IF($B84="","",الموظفون!$S84*IF(E84="سعودي",cfg_G_SE,cfg_G_NE)*G84/cfg_DAYS_M)</f>
        <v/>
      </c>
      <c r="V84" s="111" t="str">
        <f aca="false">IF($B84="","",SUMIFS('الحركات الشهرية'!$I$6:$I$1005,'الحركات الشهرية'!$B$6:$B$1005,$B84,'الحركات الشهرية'!$A$6:$A$1005,$C$3))</f>
        <v/>
      </c>
      <c r="W84" s="111" t="str">
        <f aca="false">IF($B84="","",SUMIFS('الحركات الشهرية'!$J$6:$J$1005,'الحركات الشهرية'!$B$6:$B$1005,$B84,'الحركات الشهرية'!$A$6:$A$1005,$C$3))</f>
        <v/>
      </c>
      <c r="X84" s="111" t="str">
        <f aca="false">IF($B84="","",SUM(U84:W84))</f>
        <v/>
      </c>
      <c r="Y84" s="153" t="str">
        <f aca="false">IF($B84="","",T84-X84)</f>
        <v/>
      </c>
      <c r="Z84" s="111" t="str">
        <f aca="false">IF($B84="","",الموظفون!$S84*IF(E84="سعودي",cfg_G_SR,cfg_G_NR)*G84/cfg_DAYS_M)</f>
        <v/>
      </c>
      <c r="AA84" s="111" t="str">
        <f aca="false">IF($B84="","",الموظفون!$Q84*(cfg_EOS_R1*(MIN(AH84,cfg_EOS_TH)-MIN(AI84,cfg_EOS_TH))+cfg_EOS_R2*(MAX(AH84-cfg_EOS_TH,0)-MAX(AI84-cfg_EOS_TH,0))))</f>
        <v/>
      </c>
      <c r="AB84" s="111" t="str">
        <f aca="false">IF($B84="","",IF(الموظفون!$T84&lt;&gt;"",الموظفون!$T84,IF(AH84&gt;=cfg_LV_TH,cfg_LV_D2,cfg_LV_D1))/cfg_DAYS_Y*AJ84*الموظفون!$R84/cfg_DAYS_M)</f>
        <v/>
      </c>
      <c r="AC84" s="111" t="str">
        <f aca="false">IF($B84="","",IF(AND(الموظفون!$U84="نعم",N(الموظفون!$W84)&gt;0),الموظفون!$V84/الموظفون!$W84*12/cfg_DAYS_Y*AJ84,0))</f>
        <v/>
      </c>
      <c r="AD84" s="111" t="str">
        <f aca="false">IF($B84="","",(IF(الموظفون!$X84&lt;&gt;"",الموظفون!$X84,IF(الموظفون!$E84="غير سعودي",cfg_IQ,0))+IF(الموظفون!$Y84&lt;&gt;"",الموظفون!$Y84,IF(الموظفون!$E84="غير سعودي",cfg_WP,0)))/12*G84/cfg_DAYS_M)</f>
        <v/>
      </c>
      <c r="AE84" s="111" t="str">
        <f aca="false">IF($B84="","",IF(الموظفون!$Z84&lt;&gt;"",الموظفون!$Z84,cfg_MED)/12*G84/cfg_DAYS_M)</f>
        <v/>
      </c>
      <c r="AF84" s="111" t="str">
        <f aca="false">IF($B84="","",N(الموظفون!$AA84)/12*G84/cfg_DAYS_M)</f>
        <v/>
      </c>
      <c r="AG84" s="154" t="str">
        <f aca="false">IF($B84="","",T84+SUM(Z84:AF84))</f>
        <v/>
      </c>
      <c r="AH84" s="155" t="str">
        <f aca="false">IF($B84="","",MAX(0,IF(OR(الموظفون!$AE84="",الموظفون!$AE84&gt;$F$3),$F$3,الموظفون!$AE84)-الموظفون!$H84+1-SUMIFS('سجل الإجازات والحالات'!$AN$6:$AN$505,'سجل الإجازات والحالات'!$B$6:$B$505,$B84))/cfg_DAYS_Y)</f>
        <v/>
      </c>
      <c r="AI84" s="155" t="str">
        <f aca="false">IF($B84="","",MAX(0,IF(OR(الموظفون!$AE84="",الموظفون!$AE84&gt;($E$3-1)),($E$3-1),الموظفون!$AE84)-الموظفون!$H84+1-SUMIFS('سجل الإجازات والحالات'!$AM$6:$AM$505,'سجل الإجازات والحالات'!$B$6:$B$505,$B84))/cfg_DAYS_Y)</f>
        <v/>
      </c>
      <c r="AJ84" s="65" t="str">
        <f aca="false">IF($B84="","",MAX(0,AK84-(SUMIFS('سجل الإجازات والحالات'!$AN$6:$AN$505,'سجل الإجازات والحالات'!$B$6:$B$505,$B84)-SUMIFS('سجل الإجازات والحالات'!$AM$6:$AM$505,'سجل الإجازات والحالات'!$B$6:$B$505,$B84))))</f>
        <v/>
      </c>
      <c r="AK84" s="65" t="str">
        <f aca="false">IF($B84="","",MAX(0,IF(OR(الموظفون!$AE84="",الموظفون!$AE84&gt;$F$3),$F$3,الموظفون!$AE84)-MAX($E$3,الموظفون!$H84)+1))</f>
        <v/>
      </c>
      <c r="AL84" s="151" t="str">
        <f aca="false">IF($B84="","",SUMIFS('سجل الإجازات والحالات'!$AZ$6:$AZ$505,'سجل الإجازات والحالات'!$B$6:$B$505,$B84)+SUMIFS('الحركات الشهرية'!$K$6:$K$1005,'الحركات الشهرية'!$B$6:$B$1005,$B84,'الحركات الشهرية'!$A$6:$A$1005,$C$3))</f>
        <v/>
      </c>
      <c r="AM84" s="111" t="str">
        <f aca="false">IF($B84="","",AL84*الموظفون!$R84/cfg_DAYS_M+S84)</f>
        <v/>
      </c>
      <c r="AN84" s="151" t="str">
        <f aca="false">IF($B84="","",SUMIFS('سجل الإجازات والحالات'!$AB$6:$AB$505,'سجل الإجازات والحالات'!$B$6:$B$505,$B84))</f>
        <v/>
      </c>
    </row>
    <row r="85" customFormat="false" ht="15" hidden="false" customHeight="false" outlineLevel="0" collapsed="false">
      <c r="A85" s="115" t="str">
        <f aca="false">IF($B85="","",الموظفون!$A85)</f>
        <v/>
      </c>
      <c r="B85" s="117" t="str">
        <f aca="false">IF(الموظفون!$B85="","",الموظفون!$B85)</f>
        <v/>
      </c>
      <c r="C85" s="117" t="str">
        <f aca="false">IF($B85="","",الموظفون!$C85)</f>
        <v/>
      </c>
      <c r="D85" s="117" t="str">
        <f aca="false">IF($B85="","",الموظفون!$F85)</f>
        <v/>
      </c>
      <c r="E85" s="117" t="str">
        <f aca="false">IF($B85="","",الموظفون!$E85)</f>
        <v/>
      </c>
      <c r="F85" s="117" t="str">
        <f aca="false">IF($B85="","",IF(AK85=0,IF(AND(الموظفون!$AE85&lt;&gt;"",الموظفون!$AE85&lt;$E$3),"✖ منتهي الخدمة","⏳ لم يباشر"),IF(S85&gt;0,"✈ راتب إجازة مقدم",IF(J85=0,"⛔ بدون راتب هذا الشهر",IF(I85&gt;0,"✈ خصم "&amp;ROUND(I85,2)&amp;" يوم بدون أجر",IF(AL85&gt;0,"🌴 إجازة سنوية "&amp;ROUND(AL85,2)&amp;" يوم",IF(H85&gt;0,"⚠ غياب "&amp;ROUND(H85,2)&amp;" يوم","✔ على رأس العمل")))))))</f>
        <v/>
      </c>
      <c r="G85" s="156" t="str">
        <f aca="false">IF($B85="","",IF(AK85&gt;=DAY($F$3),cfg_DAYS_M,MIN(AK85,cfg_DAYS_M)))</f>
        <v/>
      </c>
      <c r="H85" s="156" t="str">
        <f aca="false">IF($B85="","",SUMIFS('الحركات الشهرية'!$D$6:$D$1005,'الحركات الشهرية'!$B$6:$B$1005,$B85,'الحركات الشهرية'!$A$6:$A$1005,$C$3))</f>
        <v/>
      </c>
      <c r="I85" s="156" t="str">
        <f aca="false">IF($B85="","",MIN(G85,IF(AND(AK85&gt;0,AN85&gt;=AK85),G85,AN85)+SUMIFS('الحركات الشهرية'!$E$6:$E$1005,'الحركات الشهرية'!$B$6:$B$1005,$B85,'الحركات الشهرية'!$A$6:$A$1005,$C$3)))</f>
        <v/>
      </c>
      <c r="J85" s="156" t="str">
        <f aca="false">IF($B85="","",MAX(0,G85-H85-I85))</f>
        <v/>
      </c>
      <c r="K85" s="116" t="str">
        <f aca="false">IF($B85="","",الموظفون!$L85*$J85/cfg_DAYS_M)</f>
        <v/>
      </c>
      <c r="L85" s="116" t="str">
        <f aca="false">IF($B85="","",الموظفون!$M85*$J85/cfg_DAYS_M)</f>
        <v/>
      </c>
      <c r="M85" s="116" t="str">
        <f aca="false">IF($B85="","",الموظفون!$N85*$J85/cfg_DAYS_M)</f>
        <v/>
      </c>
      <c r="N85" s="116" t="str">
        <f aca="false">IF($B85="","",الموظفون!$O85*$J85/cfg_DAYS_M)</f>
        <v/>
      </c>
      <c r="O85" s="156" t="str">
        <f aca="false">IF($B85="","",SUMIFS('الحركات الشهرية'!$F$6:$F$1005,'الحركات الشهرية'!$B$6:$B$1005,$B85,'الحركات الشهرية'!$A$6:$A$1005,$C$3))</f>
        <v/>
      </c>
      <c r="P85" s="116" t="str">
        <f aca="false">IF($B85="","",O85*(الموظفون!$P85+الموظفون!$L85*cfg_OT_P)/cfg_DAYS_M/cfg_HRS)</f>
        <v/>
      </c>
      <c r="Q85" s="116" t="str">
        <f aca="false">IF($B85="","",SUMIFS('الحركات الشهرية'!$G$6:$G$1005,'الحركات الشهرية'!$B$6:$B$1005,$B85,'الحركات الشهرية'!$A$6:$A$1005,$C$3))</f>
        <v/>
      </c>
      <c r="R85" s="116" t="str">
        <f aca="false">IF($B85="","",SUMIFS('الحركات الشهرية'!$H$6:$H$1005,'الحركات الشهرية'!$B$6:$B$1005,$B85,'الحركات الشهرية'!$A$6:$A$1005,$C$3))</f>
        <v/>
      </c>
      <c r="S85" s="116" t="str">
        <f aca="false">IF($B85="","",SUMIFS('سجل الإجازات والحالات'!$N$6:$N$505,'سجل الإجازات والحالات'!$B$6:$B$505,$B85,'سجل الإجازات والحالات'!$O$6:$O$505,$C$3))</f>
        <v/>
      </c>
      <c r="T85" s="157" t="str">
        <f aca="false">IF($B85="","",SUM(K85:N85)+SUM(P85:S85))</f>
        <v/>
      </c>
      <c r="U85" s="116" t="str">
        <f aca="false">IF($B85="","",الموظفون!$S85*IF(E85="سعودي",cfg_G_SE,cfg_G_NE)*G85/cfg_DAYS_M)</f>
        <v/>
      </c>
      <c r="V85" s="116" t="str">
        <f aca="false">IF($B85="","",SUMIFS('الحركات الشهرية'!$I$6:$I$1005,'الحركات الشهرية'!$B$6:$B$1005,$B85,'الحركات الشهرية'!$A$6:$A$1005,$C$3))</f>
        <v/>
      </c>
      <c r="W85" s="116" t="str">
        <f aca="false">IF($B85="","",SUMIFS('الحركات الشهرية'!$J$6:$J$1005,'الحركات الشهرية'!$B$6:$B$1005,$B85,'الحركات الشهرية'!$A$6:$A$1005,$C$3))</f>
        <v/>
      </c>
      <c r="X85" s="116" t="str">
        <f aca="false">IF($B85="","",SUM(U85:W85))</f>
        <v/>
      </c>
      <c r="Y85" s="158" t="str">
        <f aca="false">IF($B85="","",T85-X85)</f>
        <v/>
      </c>
      <c r="Z85" s="116" t="str">
        <f aca="false">IF($B85="","",الموظفون!$S85*IF(E85="سعودي",cfg_G_SR,cfg_G_NR)*G85/cfg_DAYS_M)</f>
        <v/>
      </c>
      <c r="AA85" s="116" t="str">
        <f aca="false">IF($B85="","",الموظفون!$Q85*(cfg_EOS_R1*(MIN(AH85,cfg_EOS_TH)-MIN(AI85,cfg_EOS_TH))+cfg_EOS_R2*(MAX(AH85-cfg_EOS_TH,0)-MAX(AI85-cfg_EOS_TH,0))))</f>
        <v/>
      </c>
      <c r="AB85" s="116" t="str">
        <f aca="false">IF($B85="","",IF(الموظفون!$T85&lt;&gt;"",الموظفون!$T85,IF(AH85&gt;=cfg_LV_TH,cfg_LV_D2,cfg_LV_D1))/cfg_DAYS_Y*AJ85*الموظفون!$R85/cfg_DAYS_M)</f>
        <v/>
      </c>
      <c r="AC85" s="116" t="str">
        <f aca="false">IF($B85="","",IF(AND(الموظفون!$U85="نعم",N(الموظفون!$W85)&gt;0),الموظفون!$V85/الموظفون!$W85*12/cfg_DAYS_Y*AJ85,0))</f>
        <v/>
      </c>
      <c r="AD85" s="116" t="str">
        <f aca="false">IF($B85="","",(IF(الموظفون!$X85&lt;&gt;"",الموظفون!$X85,IF(الموظفون!$E85="غير سعودي",cfg_IQ,0))+IF(الموظفون!$Y85&lt;&gt;"",الموظفون!$Y85,IF(الموظفون!$E85="غير سعودي",cfg_WP,0)))/12*G85/cfg_DAYS_M)</f>
        <v/>
      </c>
      <c r="AE85" s="116" t="str">
        <f aca="false">IF($B85="","",IF(الموظفون!$Z85&lt;&gt;"",الموظفون!$Z85,cfg_MED)/12*G85/cfg_DAYS_M)</f>
        <v/>
      </c>
      <c r="AF85" s="116" t="str">
        <f aca="false">IF($B85="","",N(الموظفون!$AA85)/12*G85/cfg_DAYS_M)</f>
        <v/>
      </c>
      <c r="AG85" s="159" t="str">
        <f aca="false">IF($B85="","",T85+SUM(Z85:AF85))</f>
        <v/>
      </c>
      <c r="AH85" s="160" t="str">
        <f aca="false">IF($B85="","",MAX(0,IF(OR(الموظفون!$AE85="",الموظفون!$AE85&gt;$F$3),$F$3,الموظفون!$AE85)-الموظفون!$H85+1-SUMIFS('سجل الإجازات والحالات'!$AN$6:$AN$505,'سجل الإجازات والحالات'!$B$6:$B$505,$B85))/cfg_DAYS_Y)</f>
        <v/>
      </c>
      <c r="AI85" s="160" t="str">
        <f aca="false">IF($B85="","",MAX(0,IF(OR(الموظفون!$AE85="",الموظفون!$AE85&gt;($E$3-1)),($E$3-1),الموظفون!$AE85)-الموظفون!$H85+1-SUMIFS('سجل الإجازات والحالات'!$AM$6:$AM$505,'سجل الإجازات والحالات'!$B$6:$B$505,$B85))/cfg_DAYS_Y)</f>
        <v/>
      </c>
      <c r="AJ85" s="133" t="str">
        <f aca="false">IF($B85="","",MAX(0,AK85-(SUMIFS('سجل الإجازات والحالات'!$AN$6:$AN$505,'سجل الإجازات والحالات'!$B$6:$B$505,$B85)-SUMIFS('سجل الإجازات والحالات'!$AM$6:$AM$505,'سجل الإجازات والحالات'!$B$6:$B$505,$B85))))</f>
        <v/>
      </c>
      <c r="AK85" s="133" t="str">
        <f aca="false">IF($B85="","",MAX(0,IF(OR(الموظفون!$AE85="",الموظفون!$AE85&gt;$F$3),$F$3,الموظفون!$AE85)-MAX($E$3,الموظفون!$H85)+1))</f>
        <v/>
      </c>
      <c r="AL85" s="156" t="str">
        <f aca="false">IF($B85="","",SUMIFS('سجل الإجازات والحالات'!$AZ$6:$AZ$505,'سجل الإجازات والحالات'!$B$6:$B$505,$B85)+SUMIFS('الحركات الشهرية'!$K$6:$K$1005,'الحركات الشهرية'!$B$6:$B$1005,$B85,'الحركات الشهرية'!$A$6:$A$1005,$C$3))</f>
        <v/>
      </c>
      <c r="AM85" s="116" t="str">
        <f aca="false">IF($B85="","",AL85*الموظفون!$R85/cfg_DAYS_M+S85)</f>
        <v/>
      </c>
      <c r="AN85" s="156" t="str">
        <f aca="false">IF($B85="","",SUMIFS('سجل الإجازات والحالات'!$AB$6:$AB$505,'سجل الإجازات والحالات'!$B$6:$B$505,$B85))</f>
        <v/>
      </c>
    </row>
    <row r="86" customFormat="false" ht="15" hidden="false" customHeight="false" outlineLevel="0" collapsed="false">
      <c r="A86" s="106" t="str">
        <f aca="false">IF($B86="","",الموظفون!$A86)</f>
        <v/>
      </c>
      <c r="B86" s="114" t="str">
        <f aca="false">IF(الموظفون!$B86="","",الموظفون!$B86)</f>
        <v/>
      </c>
      <c r="C86" s="114" t="str">
        <f aca="false">IF($B86="","",الموظفون!$C86)</f>
        <v/>
      </c>
      <c r="D86" s="114" t="str">
        <f aca="false">IF($B86="","",الموظفون!$F86)</f>
        <v/>
      </c>
      <c r="E86" s="114" t="str">
        <f aca="false">IF($B86="","",الموظفون!$E86)</f>
        <v/>
      </c>
      <c r="F86" s="114" t="str">
        <f aca="false">IF($B86="","",IF(AK86=0,IF(AND(الموظفون!$AE86&lt;&gt;"",الموظفون!$AE86&lt;$E$3),"✖ منتهي الخدمة","⏳ لم يباشر"),IF(S86&gt;0,"✈ راتب إجازة مقدم",IF(J86=0,"⛔ بدون راتب هذا الشهر",IF(I86&gt;0,"✈ خصم "&amp;ROUND(I86,2)&amp;" يوم بدون أجر",IF(AL86&gt;0,"🌴 إجازة سنوية "&amp;ROUND(AL86,2)&amp;" يوم",IF(H86&gt;0,"⚠ غياب "&amp;ROUND(H86,2)&amp;" يوم","✔ على رأس العمل")))))))</f>
        <v/>
      </c>
      <c r="G86" s="151" t="str">
        <f aca="false">IF($B86="","",IF(AK86&gt;=DAY($F$3),cfg_DAYS_M,MIN(AK86,cfg_DAYS_M)))</f>
        <v/>
      </c>
      <c r="H86" s="151" t="str">
        <f aca="false">IF($B86="","",SUMIFS('الحركات الشهرية'!$D$6:$D$1005,'الحركات الشهرية'!$B$6:$B$1005,$B86,'الحركات الشهرية'!$A$6:$A$1005,$C$3))</f>
        <v/>
      </c>
      <c r="I86" s="151" t="str">
        <f aca="false">IF($B86="","",MIN(G86,IF(AND(AK86&gt;0,AN86&gt;=AK86),G86,AN86)+SUMIFS('الحركات الشهرية'!$E$6:$E$1005,'الحركات الشهرية'!$B$6:$B$1005,$B86,'الحركات الشهرية'!$A$6:$A$1005,$C$3)))</f>
        <v/>
      </c>
      <c r="J86" s="151" t="str">
        <f aca="false">IF($B86="","",MAX(0,G86-H86-I86))</f>
        <v/>
      </c>
      <c r="K86" s="111" t="str">
        <f aca="false">IF($B86="","",الموظفون!$L86*$J86/cfg_DAYS_M)</f>
        <v/>
      </c>
      <c r="L86" s="111" t="str">
        <f aca="false">IF($B86="","",الموظفون!$M86*$J86/cfg_DAYS_M)</f>
        <v/>
      </c>
      <c r="M86" s="111" t="str">
        <f aca="false">IF($B86="","",الموظفون!$N86*$J86/cfg_DAYS_M)</f>
        <v/>
      </c>
      <c r="N86" s="111" t="str">
        <f aca="false">IF($B86="","",الموظفون!$O86*$J86/cfg_DAYS_M)</f>
        <v/>
      </c>
      <c r="O86" s="151" t="str">
        <f aca="false">IF($B86="","",SUMIFS('الحركات الشهرية'!$F$6:$F$1005,'الحركات الشهرية'!$B$6:$B$1005,$B86,'الحركات الشهرية'!$A$6:$A$1005,$C$3))</f>
        <v/>
      </c>
      <c r="P86" s="111" t="str">
        <f aca="false">IF($B86="","",O86*(الموظفون!$P86+الموظفون!$L86*cfg_OT_P)/cfg_DAYS_M/cfg_HRS)</f>
        <v/>
      </c>
      <c r="Q86" s="111" t="str">
        <f aca="false">IF($B86="","",SUMIFS('الحركات الشهرية'!$G$6:$G$1005,'الحركات الشهرية'!$B$6:$B$1005,$B86,'الحركات الشهرية'!$A$6:$A$1005,$C$3))</f>
        <v/>
      </c>
      <c r="R86" s="111" t="str">
        <f aca="false">IF($B86="","",SUMIFS('الحركات الشهرية'!$H$6:$H$1005,'الحركات الشهرية'!$B$6:$B$1005,$B86,'الحركات الشهرية'!$A$6:$A$1005,$C$3))</f>
        <v/>
      </c>
      <c r="S86" s="111" t="str">
        <f aca="false">IF($B86="","",SUMIFS('سجل الإجازات والحالات'!$N$6:$N$505,'سجل الإجازات والحالات'!$B$6:$B$505,$B86,'سجل الإجازات والحالات'!$O$6:$O$505,$C$3))</f>
        <v/>
      </c>
      <c r="T86" s="152" t="str">
        <f aca="false">IF($B86="","",SUM(K86:N86)+SUM(P86:S86))</f>
        <v/>
      </c>
      <c r="U86" s="111" t="str">
        <f aca="false">IF($B86="","",الموظفون!$S86*IF(E86="سعودي",cfg_G_SE,cfg_G_NE)*G86/cfg_DAYS_M)</f>
        <v/>
      </c>
      <c r="V86" s="111" t="str">
        <f aca="false">IF($B86="","",SUMIFS('الحركات الشهرية'!$I$6:$I$1005,'الحركات الشهرية'!$B$6:$B$1005,$B86,'الحركات الشهرية'!$A$6:$A$1005,$C$3))</f>
        <v/>
      </c>
      <c r="W86" s="111" t="str">
        <f aca="false">IF($B86="","",SUMIFS('الحركات الشهرية'!$J$6:$J$1005,'الحركات الشهرية'!$B$6:$B$1005,$B86,'الحركات الشهرية'!$A$6:$A$1005,$C$3))</f>
        <v/>
      </c>
      <c r="X86" s="111" t="str">
        <f aca="false">IF($B86="","",SUM(U86:W86))</f>
        <v/>
      </c>
      <c r="Y86" s="153" t="str">
        <f aca="false">IF($B86="","",T86-X86)</f>
        <v/>
      </c>
      <c r="Z86" s="111" t="str">
        <f aca="false">IF($B86="","",الموظفون!$S86*IF(E86="سعودي",cfg_G_SR,cfg_G_NR)*G86/cfg_DAYS_M)</f>
        <v/>
      </c>
      <c r="AA86" s="111" t="str">
        <f aca="false">IF($B86="","",الموظفون!$Q86*(cfg_EOS_R1*(MIN(AH86,cfg_EOS_TH)-MIN(AI86,cfg_EOS_TH))+cfg_EOS_R2*(MAX(AH86-cfg_EOS_TH,0)-MAX(AI86-cfg_EOS_TH,0))))</f>
        <v/>
      </c>
      <c r="AB86" s="111" t="str">
        <f aca="false">IF($B86="","",IF(الموظفون!$T86&lt;&gt;"",الموظفون!$T86,IF(AH86&gt;=cfg_LV_TH,cfg_LV_D2,cfg_LV_D1))/cfg_DAYS_Y*AJ86*الموظفون!$R86/cfg_DAYS_M)</f>
        <v/>
      </c>
      <c r="AC86" s="111" t="str">
        <f aca="false">IF($B86="","",IF(AND(الموظفون!$U86="نعم",N(الموظفون!$W86)&gt;0),الموظفون!$V86/الموظفون!$W86*12/cfg_DAYS_Y*AJ86,0))</f>
        <v/>
      </c>
      <c r="AD86" s="111" t="str">
        <f aca="false">IF($B86="","",(IF(الموظفون!$X86&lt;&gt;"",الموظفون!$X86,IF(الموظفون!$E86="غير سعودي",cfg_IQ,0))+IF(الموظفون!$Y86&lt;&gt;"",الموظفون!$Y86,IF(الموظفون!$E86="غير سعودي",cfg_WP,0)))/12*G86/cfg_DAYS_M)</f>
        <v/>
      </c>
      <c r="AE86" s="111" t="str">
        <f aca="false">IF($B86="","",IF(الموظفون!$Z86&lt;&gt;"",الموظفون!$Z86,cfg_MED)/12*G86/cfg_DAYS_M)</f>
        <v/>
      </c>
      <c r="AF86" s="111" t="str">
        <f aca="false">IF($B86="","",N(الموظفون!$AA86)/12*G86/cfg_DAYS_M)</f>
        <v/>
      </c>
      <c r="AG86" s="154" t="str">
        <f aca="false">IF($B86="","",T86+SUM(Z86:AF86))</f>
        <v/>
      </c>
      <c r="AH86" s="155" t="str">
        <f aca="false">IF($B86="","",MAX(0,IF(OR(الموظفون!$AE86="",الموظفون!$AE86&gt;$F$3),$F$3,الموظفون!$AE86)-الموظفون!$H86+1-SUMIFS('سجل الإجازات والحالات'!$AN$6:$AN$505,'سجل الإجازات والحالات'!$B$6:$B$505,$B86))/cfg_DAYS_Y)</f>
        <v/>
      </c>
      <c r="AI86" s="155" t="str">
        <f aca="false">IF($B86="","",MAX(0,IF(OR(الموظفون!$AE86="",الموظفون!$AE86&gt;($E$3-1)),($E$3-1),الموظفون!$AE86)-الموظفون!$H86+1-SUMIFS('سجل الإجازات والحالات'!$AM$6:$AM$505,'سجل الإجازات والحالات'!$B$6:$B$505,$B86))/cfg_DAYS_Y)</f>
        <v/>
      </c>
      <c r="AJ86" s="65" t="str">
        <f aca="false">IF($B86="","",MAX(0,AK86-(SUMIFS('سجل الإجازات والحالات'!$AN$6:$AN$505,'سجل الإجازات والحالات'!$B$6:$B$505,$B86)-SUMIFS('سجل الإجازات والحالات'!$AM$6:$AM$505,'سجل الإجازات والحالات'!$B$6:$B$505,$B86))))</f>
        <v/>
      </c>
      <c r="AK86" s="65" t="str">
        <f aca="false">IF($B86="","",MAX(0,IF(OR(الموظفون!$AE86="",الموظفون!$AE86&gt;$F$3),$F$3,الموظفون!$AE86)-MAX($E$3,الموظفون!$H86)+1))</f>
        <v/>
      </c>
      <c r="AL86" s="151" t="str">
        <f aca="false">IF($B86="","",SUMIFS('سجل الإجازات والحالات'!$AZ$6:$AZ$505,'سجل الإجازات والحالات'!$B$6:$B$505,$B86)+SUMIFS('الحركات الشهرية'!$K$6:$K$1005,'الحركات الشهرية'!$B$6:$B$1005,$B86,'الحركات الشهرية'!$A$6:$A$1005,$C$3))</f>
        <v/>
      </c>
      <c r="AM86" s="111" t="str">
        <f aca="false">IF($B86="","",AL86*الموظفون!$R86/cfg_DAYS_M+S86)</f>
        <v/>
      </c>
      <c r="AN86" s="151" t="str">
        <f aca="false">IF($B86="","",SUMIFS('سجل الإجازات والحالات'!$AB$6:$AB$505,'سجل الإجازات والحالات'!$B$6:$B$505,$B86))</f>
        <v/>
      </c>
    </row>
    <row r="87" customFormat="false" ht="15" hidden="false" customHeight="false" outlineLevel="0" collapsed="false">
      <c r="A87" s="115" t="str">
        <f aca="false">IF($B87="","",الموظفون!$A87)</f>
        <v/>
      </c>
      <c r="B87" s="117" t="str">
        <f aca="false">IF(الموظفون!$B87="","",الموظفون!$B87)</f>
        <v/>
      </c>
      <c r="C87" s="117" t="str">
        <f aca="false">IF($B87="","",الموظفون!$C87)</f>
        <v/>
      </c>
      <c r="D87" s="117" t="str">
        <f aca="false">IF($B87="","",الموظفون!$F87)</f>
        <v/>
      </c>
      <c r="E87" s="117" t="str">
        <f aca="false">IF($B87="","",الموظفون!$E87)</f>
        <v/>
      </c>
      <c r="F87" s="117" t="str">
        <f aca="false">IF($B87="","",IF(AK87=0,IF(AND(الموظفون!$AE87&lt;&gt;"",الموظفون!$AE87&lt;$E$3),"✖ منتهي الخدمة","⏳ لم يباشر"),IF(S87&gt;0,"✈ راتب إجازة مقدم",IF(J87=0,"⛔ بدون راتب هذا الشهر",IF(I87&gt;0,"✈ خصم "&amp;ROUND(I87,2)&amp;" يوم بدون أجر",IF(AL87&gt;0,"🌴 إجازة سنوية "&amp;ROUND(AL87,2)&amp;" يوم",IF(H87&gt;0,"⚠ غياب "&amp;ROUND(H87,2)&amp;" يوم","✔ على رأس العمل")))))))</f>
        <v/>
      </c>
      <c r="G87" s="156" t="str">
        <f aca="false">IF($B87="","",IF(AK87&gt;=DAY($F$3),cfg_DAYS_M,MIN(AK87,cfg_DAYS_M)))</f>
        <v/>
      </c>
      <c r="H87" s="156" t="str">
        <f aca="false">IF($B87="","",SUMIFS('الحركات الشهرية'!$D$6:$D$1005,'الحركات الشهرية'!$B$6:$B$1005,$B87,'الحركات الشهرية'!$A$6:$A$1005,$C$3))</f>
        <v/>
      </c>
      <c r="I87" s="156" t="str">
        <f aca="false">IF($B87="","",MIN(G87,IF(AND(AK87&gt;0,AN87&gt;=AK87),G87,AN87)+SUMIFS('الحركات الشهرية'!$E$6:$E$1005,'الحركات الشهرية'!$B$6:$B$1005,$B87,'الحركات الشهرية'!$A$6:$A$1005,$C$3)))</f>
        <v/>
      </c>
      <c r="J87" s="156" t="str">
        <f aca="false">IF($B87="","",MAX(0,G87-H87-I87))</f>
        <v/>
      </c>
      <c r="K87" s="116" t="str">
        <f aca="false">IF($B87="","",الموظفون!$L87*$J87/cfg_DAYS_M)</f>
        <v/>
      </c>
      <c r="L87" s="116" t="str">
        <f aca="false">IF($B87="","",الموظفون!$M87*$J87/cfg_DAYS_M)</f>
        <v/>
      </c>
      <c r="M87" s="116" t="str">
        <f aca="false">IF($B87="","",الموظفون!$N87*$J87/cfg_DAYS_M)</f>
        <v/>
      </c>
      <c r="N87" s="116" t="str">
        <f aca="false">IF($B87="","",الموظفون!$O87*$J87/cfg_DAYS_M)</f>
        <v/>
      </c>
      <c r="O87" s="156" t="str">
        <f aca="false">IF($B87="","",SUMIFS('الحركات الشهرية'!$F$6:$F$1005,'الحركات الشهرية'!$B$6:$B$1005,$B87,'الحركات الشهرية'!$A$6:$A$1005,$C$3))</f>
        <v/>
      </c>
      <c r="P87" s="116" t="str">
        <f aca="false">IF($B87="","",O87*(الموظفون!$P87+الموظفون!$L87*cfg_OT_P)/cfg_DAYS_M/cfg_HRS)</f>
        <v/>
      </c>
      <c r="Q87" s="116" t="str">
        <f aca="false">IF($B87="","",SUMIFS('الحركات الشهرية'!$G$6:$G$1005,'الحركات الشهرية'!$B$6:$B$1005,$B87,'الحركات الشهرية'!$A$6:$A$1005,$C$3))</f>
        <v/>
      </c>
      <c r="R87" s="116" t="str">
        <f aca="false">IF($B87="","",SUMIFS('الحركات الشهرية'!$H$6:$H$1005,'الحركات الشهرية'!$B$6:$B$1005,$B87,'الحركات الشهرية'!$A$6:$A$1005,$C$3))</f>
        <v/>
      </c>
      <c r="S87" s="116" t="str">
        <f aca="false">IF($B87="","",SUMIFS('سجل الإجازات والحالات'!$N$6:$N$505,'سجل الإجازات والحالات'!$B$6:$B$505,$B87,'سجل الإجازات والحالات'!$O$6:$O$505,$C$3))</f>
        <v/>
      </c>
      <c r="T87" s="157" t="str">
        <f aca="false">IF($B87="","",SUM(K87:N87)+SUM(P87:S87))</f>
        <v/>
      </c>
      <c r="U87" s="116" t="str">
        <f aca="false">IF($B87="","",الموظفون!$S87*IF(E87="سعودي",cfg_G_SE,cfg_G_NE)*G87/cfg_DAYS_M)</f>
        <v/>
      </c>
      <c r="V87" s="116" t="str">
        <f aca="false">IF($B87="","",SUMIFS('الحركات الشهرية'!$I$6:$I$1005,'الحركات الشهرية'!$B$6:$B$1005,$B87,'الحركات الشهرية'!$A$6:$A$1005,$C$3))</f>
        <v/>
      </c>
      <c r="W87" s="116" t="str">
        <f aca="false">IF($B87="","",SUMIFS('الحركات الشهرية'!$J$6:$J$1005,'الحركات الشهرية'!$B$6:$B$1005,$B87,'الحركات الشهرية'!$A$6:$A$1005,$C$3))</f>
        <v/>
      </c>
      <c r="X87" s="116" t="str">
        <f aca="false">IF($B87="","",SUM(U87:W87))</f>
        <v/>
      </c>
      <c r="Y87" s="158" t="str">
        <f aca="false">IF($B87="","",T87-X87)</f>
        <v/>
      </c>
      <c r="Z87" s="116" t="str">
        <f aca="false">IF($B87="","",الموظفون!$S87*IF(E87="سعودي",cfg_G_SR,cfg_G_NR)*G87/cfg_DAYS_M)</f>
        <v/>
      </c>
      <c r="AA87" s="116" t="str">
        <f aca="false">IF($B87="","",الموظفون!$Q87*(cfg_EOS_R1*(MIN(AH87,cfg_EOS_TH)-MIN(AI87,cfg_EOS_TH))+cfg_EOS_R2*(MAX(AH87-cfg_EOS_TH,0)-MAX(AI87-cfg_EOS_TH,0))))</f>
        <v/>
      </c>
      <c r="AB87" s="116" t="str">
        <f aca="false">IF($B87="","",IF(الموظفون!$T87&lt;&gt;"",الموظفون!$T87,IF(AH87&gt;=cfg_LV_TH,cfg_LV_D2,cfg_LV_D1))/cfg_DAYS_Y*AJ87*الموظفون!$R87/cfg_DAYS_M)</f>
        <v/>
      </c>
      <c r="AC87" s="116" t="str">
        <f aca="false">IF($B87="","",IF(AND(الموظفون!$U87="نعم",N(الموظفون!$W87)&gt;0),الموظفون!$V87/الموظفون!$W87*12/cfg_DAYS_Y*AJ87,0))</f>
        <v/>
      </c>
      <c r="AD87" s="116" t="str">
        <f aca="false">IF($B87="","",(IF(الموظفون!$X87&lt;&gt;"",الموظفون!$X87,IF(الموظفون!$E87="غير سعودي",cfg_IQ,0))+IF(الموظفون!$Y87&lt;&gt;"",الموظفون!$Y87,IF(الموظفون!$E87="غير سعودي",cfg_WP,0)))/12*G87/cfg_DAYS_M)</f>
        <v/>
      </c>
      <c r="AE87" s="116" t="str">
        <f aca="false">IF($B87="","",IF(الموظفون!$Z87&lt;&gt;"",الموظفون!$Z87,cfg_MED)/12*G87/cfg_DAYS_M)</f>
        <v/>
      </c>
      <c r="AF87" s="116" t="str">
        <f aca="false">IF($B87="","",N(الموظفون!$AA87)/12*G87/cfg_DAYS_M)</f>
        <v/>
      </c>
      <c r="AG87" s="159" t="str">
        <f aca="false">IF($B87="","",T87+SUM(Z87:AF87))</f>
        <v/>
      </c>
      <c r="AH87" s="160" t="str">
        <f aca="false">IF($B87="","",MAX(0,IF(OR(الموظفون!$AE87="",الموظفون!$AE87&gt;$F$3),$F$3,الموظفون!$AE87)-الموظفون!$H87+1-SUMIFS('سجل الإجازات والحالات'!$AN$6:$AN$505,'سجل الإجازات والحالات'!$B$6:$B$505,$B87))/cfg_DAYS_Y)</f>
        <v/>
      </c>
      <c r="AI87" s="160" t="str">
        <f aca="false">IF($B87="","",MAX(0,IF(OR(الموظفون!$AE87="",الموظفون!$AE87&gt;($E$3-1)),($E$3-1),الموظفون!$AE87)-الموظفون!$H87+1-SUMIFS('سجل الإجازات والحالات'!$AM$6:$AM$505,'سجل الإجازات والحالات'!$B$6:$B$505,$B87))/cfg_DAYS_Y)</f>
        <v/>
      </c>
      <c r="AJ87" s="133" t="str">
        <f aca="false">IF($B87="","",MAX(0,AK87-(SUMIFS('سجل الإجازات والحالات'!$AN$6:$AN$505,'سجل الإجازات والحالات'!$B$6:$B$505,$B87)-SUMIFS('سجل الإجازات والحالات'!$AM$6:$AM$505,'سجل الإجازات والحالات'!$B$6:$B$505,$B87))))</f>
        <v/>
      </c>
      <c r="AK87" s="133" t="str">
        <f aca="false">IF($B87="","",MAX(0,IF(OR(الموظفون!$AE87="",الموظفون!$AE87&gt;$F$3),$F$3,الموظفون!$AE87)-MAX($E$3,الموظفون!$H87)+1))</f>
        <v/>
      </c>
      <c r="AL87" s="156" t="str">
        <f aca="false">IF($B87="","",SUMIFS('سجل الإجازات والحالات'!$AZ$6:$AZ$505,'سجل الإجازات والحالات'!$B$6:$B$505,$B87)+SUMIFS('الحركات الشهرية'!$K$6:$K$1005,'الحركات الشهرية'!$B$6:$B$1005,$B87,'الحركات الشهرية'!$A$6:$A$1005,$C$3))</f>
        <v/>
      </c>
      <c r="AM87" s="116" t="str">
        <f aca="false">IF($B87="","",AL87*الموظفون!$R87/cfg_DAYS_M+S87)</f>
        <v/>
      </c>
      <c r="AN87" s="156" t="str">
        <f aca="false">IF($B87="","",SUMIFS('سجل الإجازات والحالات'!$AB$6:$AB$505,'سجل الإجازات والحالات'!$B$6:$B$505,$B87))</f>
        <v/>
      </c>
    </row>
    <row r="88" customFormat="false" ht="15" hidden="false" customHeight="false" outlineLevel="0" collapsed="false">
      <c r="A88" s="106" t="str">
        <f aca="false">IF($B88="","",الموظفون!$A88)</f>
        <v/>
      </c>
      <c r="B88" s="114" t="str">
        <f aca="false">IF(الموظفون!$B88="","",الموظفون!$B88)</f>
        <v/>
      </c>
      <c r="C88" s="114" t="str">
        <f aca="false">IF($B88="","",الموظفون!$C88)</f>
        <v/>
      </c>
      <c r="D88" s="114" t="str">
        <f aca="false">IF($B88="","",الموظفون!$F88)</f>
        <v/>
      </c>
      <c r="E88" s="114" t="str">
        <f aca="false">IF($B88="","",الموظفون!$E88)</f>
        <v/>
      </c>
      <c r="F88" s="114" t="str">
        <f aca="false">IF($B88="","",IF(AK88=0,IF(AND(الموظفون!$AE88&lt;&gt;"",الموظفون!$AE88&lt;$E$3),"✖ منتهي الخدمة","⏳ لم يباشر"),IF(S88&gt;0,"✈ راتب إجازة مقدم",IF(J88=0,"⛔ بدون راتب هذا الشهر",IF(I88&gt;0,"✈ خصم "&amp;ROUND(I88,2)&amp;" يوم بدون أجر",IF(AL88&gt;0,"🌴 إجازة سنوية "&amp;ROUND(AL88,2)&amp;" يوم",IF(H88&gt;0,"⚠ غياب "&amp;ROUND(H88,2)&amp;" يوم","✔ على رأس العمل")))))))</f>
        <v/>
      </c>
      <c r="G88" s="151" t="str">
        <f aca="false">IF($B88="","",IF(AK88&gt;=DAY($F$3),cfg_DAYS_M,MIN(AK88,cfg_DAYS_M)))</f>
        <v/>
      </c>
      <c r="H88" s="151" t="str">
        <f aca="false">IF($B88="","",SUMIFS('الحركات الشهرية'!$D$6:$D$1005,'الحركات الشهرية'!$B$6:$B$1005,$B88,'الحركات الشهرية'!$A$6:$A$1005,$C$3))</f>
        <v/>
      </c>
      <c r="I88" s="151" t="str">
        <f aca="false">IF($B88="","",MIN(G88,IF(AND(AK88&gt;0,AN88&gt;=AK88),G88,AN88)+SUMIFS('الحركات الشهرية'!$E$6:$E$1005,'الحركات الشهرية'!$B$6:$B$1005,$B88,'الحركات الشهرية'!$A$6:$A$1005,$C$3)))</f>
        <v/>
      </c>
      <c r="J88" s="151" t="str">
        <f aca="false">IF($B88="","",MAX(0,G88-H88-I88))</f>
        <v/>
      </c>
      <c r="K88" s="111" t="str">
        <f aca="false">IF($B88="","",الموظفون!$L88*$J88/cfg_DAYS_M)</f>
        <v/>
      </c>
      <c r="L88" s="111" t="str">
        <f aca="false">IF($B88="","",الموظفون!$M88*$J88/cfg_DAYS_M)</f>
        <v/>
      </c>
      <c r="M88" s="111" t="str">
        <f aca="false">IF($B88="","",الموظفون!$N88*$J88/cfg_DAYS_M)</f>
        <v/>
      </c>
      <c r="N88" s="111" t="str">
        <f aca="false">IF($B88="","",الموظفون!$O88*$J88/cfg_DAYS_M)</f>
        <v/>
      </c>
      <c r="O88" s="151" t="str">
        <f aca="false">IF($B88="","",SUMIFS('الحركات الشهرية'!$F$6:$F$1005,'الحركات الشهرية'!$B$6:$B$1005,$B88,'الحركات الشهرية'!$A$6:$A$1005,$C$3))</f>
        <v/>
      </c>
      <c r="P88" s="111" t="str">
        <f aca="false">IF($B88="","",O88*(الموظفون!$P88+الموظفون!$L88*cfg_OT_P)/cfg_DAYS_M/cfg_HRS)</f>
        <v/>
      </c>
      <c r="Q88" s="111" t="str">
        <f aca="false">IF($B88="","",SUMIFS('الحركات الشهرية'!$G$6:$G$1005,'الحركات الشهرية'!$B$6:$B$1005,$B88,'الحركات الشهرية'!$A$6:$A$1005,$C$3))</f>
        <v/>
      </c>
      <c r="R88" s="111" t="str">
        <f aca="false">IF($B88="","",SUMIFS('الحركات الشهرية'!$H$6:$H$1005,'الحركات الشهرية'!$B$6:$B$1005,$B88,'الحركات الشهرية'!$A$6:$A$1005,$C$3))</f>
        <v/>
      </c>
      <c r="S88" s="111" t="str">
        <f aca="false">IF($B88="","",SUMIFS('سجل الإجازات والحالات'!$N$6:$N$505,'سجل الإجازات والحالات'!$B$6:$B$505,$B88,'سجل الإجازات والحالات'!$O$6:$O$505,$C$3))</f>
        <v/>
      </c>
      <c r="T88" s="152" t="str">
        <f aca="false">IF($B88="","",SUM(K88:N88)+SUM(P88:S88))</f>
        <v/>
      </c>
      <c r="U88" s="111" t="str">
        <f aca="false">IF($B88="","",الموظفون!$S88*IF(E88="سعودي",cfg_G_SE,cfg_G_NE)*G88/cfg_DAYS_M)</f>
        <v/>
      </c>
      <c r="V88" s="111" t="str">
        <f aca="false">IF($B88="","",SUMIFS('الحركات الشهرية'!$I$6:$I$1005,'الحركات الشهرية'!$B$6:$B$1005,$B88,'الحركات الشهرية'!$A$6:$A$1005,$C$3))</f>
        <v/>
      </c>
      <c r="W88" s="111" t="str">
        <f aca="false">IF($B88="","",SUMIFS('الحركات الشهرية'!$J$6:$J$1005,'الحركات الشهرية'!$B$6:$B$1005,$B88,'الحركات الشهرية'!$A$6:$A$1005,$C$3))</f>
        <v/>
      </c>
      <c r="X88" s="111" t="str">
        <f aca="false">IF($B88="","",SUM(U88:W88))</f>
        <v/>
      </c>
      <c r="Y88" s="153" t="str">
        <f aca="false">IF($B88="","",T88-X88)</f>
        <v/>
      </c>
      <c r="Z88" s="111" t="str">
        <f aca="false">IF($B88="","",الموظفون!$S88*IF(E88="سعودي",cfg_G_SR,cfg_G_NR)*G88/cfg_DAYS_M)</f>
        <v/>
      </c>
      <c r="AA88" s="111" t="str">
        <f aca="false">IF($B88="","",الموظفون!$Q88*(cfg_EOS_R1*(MIN(AH88,cfg_EOS_TH)-MIN(AI88,cfg_EOS_TH))+cfg_EOS_R2*(MAX(AH88-cfg_EOS_TH,0)-MAX(AI88-cfg_EOS_TH,0))))</f>
        <v/>
      </c>
      <c r="AB88" s="111" t="str">
        <f aca="false">IF($B88="","",IF(الموظفون!$T88&lt;&gt;"",الموظفون!$T88,IF(AH88&gt;=cfg_LV_TH,cfg_LV_D2,cfg_LV_D1))/cfg_DAYS_Y*AJ88*الموظفون!$R88/cfg_DAYS_M)</f>
        <v/>
      </c>
      <c r="AC88" s="111" t="str">
        <f aca="false">IF($B88="","",IF(AND(الموظفون!$U88="نعم",N(الموظفون!$W88)&gt;0),الموظفون!$V88/الموظفون!$W88*12/cfg_DAYS_Y*AJ88,0))</f>
        <v/>
      </c>
      <c r="AD88" s="111" t="str">
        <f aca="false">IF($B88="","",(IF(الموظفون!$X88&lt;&gt;"",الموظفون!$X88,IF(الموظفون!$E88="غير سعودي",cfg_IQ,0))+IF(الموظفون!$Y88&lt;&gt;"",الموظفون!$Y88,IF(الموظفون!$E88="غير سعودي",cfg_WP,0)))/12*G88/cfg_DAYS_M)</f>
        <v/>
      </c>
      <c r="AE88" s="111" t="str">
        <f aca="false">IF($B88="","",IF(الموظفون!$Z88&lt;&gt;"",الموظفون!$Z88,cfg_MED)/12*G88/cfg_DAYS_M)</f>
        <v/>
      </c>
      <c r="AF88" s="111" t="str">
        <f aca="false">IF($B88="","",N(الموظفون!$AA88)/12*G88/cfg_DAYS_M)</f>
        <v/>
      </c>
      <c r="AG88" s="154" t="str">
        <f aca="false">IF($B88="","",T88+SUM(Z88:AF88))</f>
        <v/>
      </c>
      <c r="AH88" s="155" t="str">
        <f aca="false">IF($B88="","",MAX(0,IF(OR(الموظفون!$AE88="",الموظفون!$AE88&gt;$F$3),$F$3,الموظفون!$AE88)-الموظفون!$H88+1-SUMIFS('سجل الإجازات والحالات'!$AN$6:$AN$505,'سجل الإجازات والحالات'!$B$6:$B$505,$B88))/cfg_DAYS_Y)</f>
        <v/>
      </c>
      <c r="AI88" s="155" t="str">
        <f aca="false">IF($B88="","",MAX(0,IF(OR(الموظفون!$AE88="",الموظفون!$AE88&gt;($E$3-1)),($E$3-1),الموظفون!$AE88)-الموظفون!$H88+1-SUMIFS('سجل الإجازات والحالات'!$AM$6:$AM$505,'سجل الإجازات والحالات'!$B$6:$B$505,$B88))/cfg_DAYS_Y)</f>
        <v/>
      </c>
      <c r="AJ88" s="65" t="str">
        <f aca="false">IF($B88="","",MAX(0,AK88-(SUMIFS('سجل الإجازات والحالات'!$AN$6:$AN$505,'سجل الإجازات والحالات'!$B$6:$B$505,$B88)-SUMIFS('سجل الإجازات والحالات'!$AM$6:$AM$505,'سجل الإجازات والحالات'!$B$6:$B$505,$B88))))</f>
        <v/>
      </c>
      <c r="AK88" s="65" t="str">
        <f aca="false">IF($B88="","",MAX(0,IF(OR(الموظفون!$AE88="",الموظفون!$AE88&gt;$F$3),$F$3,الموظفون!$AE88)-MAX($E$3,الموظفون!$H88)+1))</f>
        <v/>
      </c>
      <c r="AL88" s="151" t="str">
        <f aca="false">IF($B88="","",SUMIFS('سجل الإجازات والحالات'!$AZ$6:$AZ$505,'سجل الإجازات والحالات'!$B$6:$B$505,$B88)+SUMIFS('الحركات الشهرية'!$K$6:$K$1005,'الحركات الشهرية'!$B$6:$B$1005,$B88,'الحركات الشهرية'!$A$6:$A$1005,$C$3))</f>
        <v/>
      </c>
      <c r="AM88" s="111" t="str">
        <f aca="false">IF($B88="","",AL88*الموظفون!$R88/cfg_DAYS_M+S88)</f>
        <v/>
      </c>
      <c r="AN88" s="151" t="str">
        <f aca="false">IF($B88="","",SUMIFS('سجل الإجازات والحالات'!$AB$6:$AB$505,'سجل الإجازات والحالات'!$B$6:$B$505,$B88))</f>
        <v/>
      </c>
    </row>
    <row r="89" customFormat="false" ht="15" hidden="false" customHeight="false" outlineLevel="0" collapsed="false">
      <c r="A89" s="115" t="str">
        <f aca="false">IF($B89="","",الموظفون!$A89)</f>
        <v/>
      </c>
      <c r="B89" s="117" t="str">
        <f aca="false">IF(الموظفون!$B89="","",الموظفون!$B89)</f>
        <v/>
      </c>
      <c r="C89" s="117" t="str">
        <f aca="false">IF($B89="","",الموظفون!$C89)</f>
        <v/>
      </c>
      <c r="D89" s="117" t="str">
        <f aca="false">IF($B89="","",الموظفون!$F89)</f>
        <v/>
      </c>
      <c r="E89" s="117" t="str">
        <f aca="false">IF($B89="","",الموظفون!$E89)</f>
        <v/>
      </c>
      <c r="F89" s="117" t="str">
        <f aca="false">IF($B89="","",IF(AK89=0,IF(AND(الموظفون!$AE89&lt;&gt;"",الموظفون!$AE89&lt;$E$3),"✖ منتهي الخدمة","⏳ لم يباشر"),IF(S89&gt;0,"✈ راتب إجازة مقدم",IF(J89=0,"⛔ بدون راتب هذا الشهر",IF(I89&gt;0,"✈ خصم "&amp;ROUND(I89,2)&amp;" يوم بدون أجر",IF(AL89&gt;0,"🌴 إجازة سنوية "&amp;ROUND(AL89,2)&amp;" يوم",IF(H89&gt;0,"⚠ غياب "&amp;ROUND(H89,2)&amp;" يوم","✔ على رأس العمل")))))))</f>
        <v/>
      </c>
      <c r="G89" s="156" t="str">
        <f aca="false">IF($B89="","",IF(AK89&gt;=DAY($F$3),cfg_DAYS_M,MIN(AK89,cfg_DAYS_M)))</f>
        <v/>
      </c>
      <c r="H89" s="156" t="str">
        <f aca="false">IF($B89="","",SUMIFS('الحركات الشهرية'!$D$6:$D$1005,'الحركات الشهرية'!$B$6:$B$1005,$B89,'الحركات الشهرية'!$A$6:$A$1005,$C$3))</f>
        <v/>
      </c>
      <c r="I89" s="156" t="str">
        <f aca="false">IF($B89="","",MIN(G89,IF(AND(AK89&gt;0,AN89&gt;=AK89),G89,AN89)+SUMIFS('الحركات الشهرية'!$E$6:$E$1005,'الحركات الشهرية'!$B$6:$B$1005,$B89,'الحركات الشهرية'!$A$6:$A$1005,$C$3)))</f>
        <v/>
      </c>
      <c r="J89" s="156" t="str">
        <f aca="false">IF($B89="","",MAX(0,G89-H89-I89))</f>
        <v/>
      </c>
      <c r="K89" s="116" t="str">
        <f aca="false">IF($B89="","",الموظفون!$L89*$J89/cfg_DAYS_M)</f>
        <v/>
      </c>
      <c r="L89" s="116" t="str">
        <f aca="false">IF($B89="","",الموظفون!$M89*$J89/cfg_DAYS_M)</f>
        <v/>
      </c>
      <c r="M89" s="116" t="str">
        <f aca="false">IF($B89="","",الموظفون!$N89*$J89/cfg_DAYS_M)</f>
        <v/>
      </c>
      <c r="N89" s="116" t="str">
        <f aca="false">IF($B89="","",الموظفون!$O89*$J89/cfg_DAYS_M)</f>
        <v/>
      </c>
      <c r="O89" s="156" t="str">
        <f aca="false">IF($B89="","",SUMIFS('الحركات الشهرية'!$F$6:$F$1005,'الحركات الشهرية'!$B$6:$B$1005,$B89,'الحركات الشهرية'!$A$6:$A$1005,$C$3))</f>
        <v/>
      </c>
      <c r="P89" s="116" t="str">
        <f aca="false">IF($B89="","",O89*(الموظفون!$P89+الموظفون!$L89*cfg_OT_P)/cfg_DAYS_M/cfg_HRS)</f>
        <v/>
      </c>
      <c r="Q89" s="116" t="str">
        <f aca="false">IF($B89="","",SUMIFS('الحركات الشهرية'!$G$6:$G$1005,'الحركات الشهرية'!$B$6:$B$1005,$B89,'الحركات الشهرية'!$A$6:$A$1005,$C$3))</f>
        <v/>
      </c>
      <c r="R89" s="116" t="str">
        <f aca="false">IF($B89="","",SUMIFS('الحركات الشهرية'!$H$6:$H$1005,'الحركات الشهرية'!$B$6:$B$1005,$B89,'الحركات الشهرية'!$A$6:$A$1005,$C$3))</f>
        <v/>
      </c>
      <c r="S89" s="116" t="str">
        <f aca="false">IF($B89="","",SUMIFS('سجل الإجازات والحالات'!$N$6:$N$505,'سجل الإجازات والحالات'!$B$6:$B$505,$B89,'سجل الإجازات والحالات'!$O$6:$O$505,$C$3))</f>
        <v/>
      </c>
      <c r="T89" s="157" t="str">
        <f aca="false">IF($B89="","",SUM(K89:N89)+SUM(P89:S89))</f>
        <v/>
      </c>
      <c r="U89" s="116" t="str">
        <f aca="false">IF($B89="","",الموظفون!$S89*IF(E89="سعودي",cfg_G_SE,cfg_G_NE)*G89/cfg_DAYS_M)</f>
        <v/>
      </c>
      <c r="V89" s="116" t="str">
        <f aca="false">IF($B89="","",SUMIFS('الحركات الشهرية'!$I$6:$I$1005,'الحركات الشهرية'!$B$6:$B$1005,$B89,'الحركات الشهرية'!$A$6:$A$1005,$C$3))</f>
        <v/>
      </c>
      <c r="W89" s="116" t="str">
        <f aca="false">IF($B89="","",SUMIFS('الحركات الشهرية'!$J$6:$J$1005,'الحركات الشهرية'!$B$6:$B$1005,$B89,'الحركات الشهرية'!$A$6:$A$1005,$C$3))</f>
        <v/>
      </c>
      <c r="X89" s="116" t="str">
        <f aca="false">IF($B89="","",SUM(U89:W89))</f>
        <v/>
      </c>
      <c r="Y89" s="158" t="str">
        <f aca="false">IF($B89="","",T89-X89)</f>
        <v/>
      </c>
      <c r="Z89" s="116" t="str">
        <f aca="false">IF($B89="","",الموظفون!$S89*IF(E89="سعودي",cfg_G_SR,cfg_G_NR)*G89/cfg_DAYS_M)</f>
        <v/>
      </c>
      <c r="AA89" s="116" t="str">
        <f aca="false">IF($B89="","",الموظفون!$Q89*(cfg_EOS_R1*(MIN(AH89,cfg_EOS_TH)-MIN(AI89,cfg_EOS_TH))+cfg_EOS_R2*(MAX(AH89-cfg_EOS_TH,0)-MAX(AI89-cfg_EOS_TH,0))))</f>
        <v/>
      </c>
      <c r="AB89" s="116" t="str">
        <f aca="false">IF($B89="","",IF(الموظفون!$T89&lt;&gt;"",الموظفون!$T89,IF(AH89&gt;=cfg_LV_TH,cfg_LV_D2,cfg_LV_D1))/cfg_DAYS_Y*AJ89*الموظفون!$R89/cfg_DAYS_M)</f>
        <v/>
      </c>
      <c r="AC89" s="116" t="str">
        <f aca="false">IF($B89="","",IF(AND(الموظفون!$U89="نعم",N(الموظفون!$W89)&gt;0),الموظفون!$V89/الموظفون!$W89*12/cfg_DAYS_Y*AJ89,0))</f>
        <v/>
      </c>
      <c r="AD89" s="116" t="str">
        <f aca="false">IF($B89="","",(IF(الموظفون!$X89&lt;&gt;"",الموظفون!$X89,IF(الموظفون!$E89="غير سعودي",cfg_IQ,0))+IF(الموظفون!$Y89&lt;&gt;"",الموظفون!$Y89,IF(الموظفون!$E89="غير سعودي",cfg_WP,0)))/12*G89/cfg_DAYS_M)</f>
        <v/>
      </c>
      <c r="AE89" s="116" t="str">
        <f aca="false">IF($B89="","",IF(الموظفون!$Z89&lt;&gt;"",الموظفون!$Z89,cfg_MED)/12*G89/cfg_DAYS_M)</f>
        <v/>
      </c>
      <c r="AF89" s="116" t="str">
        <f aca="false">IF($B89="","",N(الموظفون!$AA89)/12*G89/cfg_DAYS_M)</f>
        <v/>
      </c>
      <c r="AG89" s="159" t="str">
        <f aca="false">IF($B89="","",T89+SUM(Z89:AF89))</f>
        <v/>
      </c>
      <c r="AH89" s="160" t="str">
        <f aca="false">IF($B89="","",MAX(0,IF(OR(الموظفون!$AE89="",الموظفون!$AE89&gt;$F$3),$F$3,الموظفون!$AE89)-الموظفون!$H89+1-SUMIFS('سجل الإجازات والحالات'!$AN$6:$AN$505,'سجل الإجازات والحالات'!$B$6:$B$505,$B89))/cfg_DAYS_Y)</f>
        <v/>
      </c>
      <c r="AI89" s="160" t="str">
        <f aca="false">IF($B89="","",MAX(0,IF(OR(الموظفون!$AE89="",الموظفون!$AE89&gt;($E$3-1)),($E$3-1),الموظفون!$AE89)-الموظفون!$H89+1-SUMIFS('سجل الإجازات والحالات'!$AM$6:$AM$505,'سجل الإجازات والحالات'!$B$6:$B$505,$B89))/cfg_DAYS_Y)</f>
        <v/>
      </c>
      <c r="AJ89" s="133" t="str">
        <f aca="false">IF($B89="","",MAX(0,AK89-(SUMIFS('سجل الإجازات والحالات'!$AN$6:$AN$505,'سجل الإجازات والحالات'!$B$6:$B$505,$B89)-SUMIFS('سجل الإجازات والحالات'!$AM$6:$AM$505,'سجل الإجازات والحالات'!$B$6:$B$505,$B89))))</f>
        <v/>
      </c>
      <c r="AK89" s="133" t="str">
        <f aca="false">IF($B89="","",MAX(0,IF(OR(الموظفون!$AE89="",الموظفون!$AE89&gt;$F$3),$F$3,الموظفون!$AE89)-MAX($E$3,الموظفون!$H89)+1))</f>
        <v/>
      </c>
      <c r="AL89" s="156" t="str">
        <f aca="false">IF($B89="","",SUMIFS('سجل الإجازات والحالات'!$AZ$6:$AZ$505,'سجل الإجازات والحالات'!$B$6:$B$505,$B89)+SUMIFS('الحركات الشهرية'!$K$6:$K$1005,'الحركات الشهرية'!$B$6:$B$1005,$B89,'الحركات الشهرية'!$A$6:$A$1005,$C$3))</f>
        <v/>
      </c>
      <c r="AM89" s="116" t="str">
        <f aca="false">IF($B89="","",AL89*الموظفون!$R89/cfg_DAYS_M+S89)</f>
        <v/>
      </c>
      <c r="AN89" s="156" t="str">
        <f aca="false">IF($B89="","",SUMIFS('سجل الإجازات والحالات'!$AB$6:$AB$505,'سجل الإجازات والحالات'!$B$6:$B$505,$B89))</f>
        <v/>
      </c>
    </row>
    <row r="90" customFormat="false" ht="15" hidden="false" customHeight="false" outlineLevel="0" collapsed="false">
      <c r="A90" s="106" t="str">
        <f aca="false">IF($B90="","",الموظفون!$A90)</f>
        <v/>
      </c>
      <c r="B90" s="114" t="str">
        <f aca="false">IF(الموظفون!$B90="","",الموظفون!$B90)</f>
        <v/>
      </c>
      <c r="C90" s="114" t="str">
        <f aca="false">IF($B90="","",الموظفون!$C90)</f>
        <v/>
      </c>
      <c r="D90" s="114" t="str">
        <f aca="false">IF($B90="","",الموظفون!$F90)</f>
        <v/>
      </c>
      <c r="E90" s="114" t="str">
        <f aca="false">IF($B90="","",الموظفون!$E90)</f>
        <v/>
      </c>
      <c r="F90" s="114" t="str">
        <f aca="false">IF($B90="","",IF(AK90=0,IF(AND(الموظفون!$AE90&lt;&gt;"",الموظفون!$AE90&lt;$E$3),"✖ منتهي الخدمة","⏳ لم يباشر"),IF(S90&gt;0,"✈ راتب إجازة مقدم",IF(J90=0,"⛔ بدون راتب هذا الشهر",IF(I90&gt;0,"✈ خصم "&amp;ROUND(I90,2)&amp;" يوم بدون أجر",IF(AL90&gt;0,"🌴 إجازة سنوية "&amp;ROUND(AL90,2)&amp;" يوم",IF(H90&gt;0,"⚠ غياب "&amp;ROUND(H90,2)&amp;" يوم","✔ على رأس العمل")))))))</f>
        <v/>
      </c>
      <c r="G90" s="151" t="str">
        <f aca="false">IF($B90="","",IF(AK90&gt;=DAY($F$3),cfg_DAYS_M,MIN(AK90,cfg_DAYS_M)))</f>
        <v/>
      </c>
      <c r="H90" s="151" t="str">
        <f aca="false">IF($B90="","",SUMIFS('الحركات الشهرية'!$D$6:$D$1005,'الحركات الشهرية'!$B$6:$B$1005,$B90,'الحركات الشهرية'!$A$6:$A$1005,$C$3))</f>
        <v/>
      </c>
      <c r="I90" s="151" t="str">
        <f aca="false">IF($B90="","",MIN(G90,IF(AND(AK90&gt;0,AN90&gt;=AK90),G90,AN90)+SUMIFS('الحركات الشهرية'!$E$6:$E$1005,'الحركات الشهرية'!$B$6:$B$1005,$B90,'الحركات الشهرية'!$A$6:$A$1005,$C$3)))</f>
        <v/>
      </c>
      <c r="J90" s="151" t="str">
        <f aca="false">IF($B90="","",MAX(0,G90-H90-I90))</f>
        <v/>
      </c>
      <c r="K90" s="111" t="str">
        <f aca="false">IF($B90="","",الموظفون!$L90*$J90/cfg_DAYS_M)</f>
        <v/>
      </c>
      <c r="L90" s="111" t="str">
        <f aca="false">IF($B90="","",الموظفون!$M90*$J90/cfg_DAYS_M)</f>
        <v/>
      </c>
      <c r="M90" s="111" t="str">
        <f aca="false">IF($B90="","",الموظفون!$N90*$J90/cfg_DAYS_M)</f>
        <v/>
      </c>
      <c r="N90" s="111" t="str">
        <f aca="false">IF($B90="","",الموظفون!$O90*$J90/cfg_DAYS_M)</f>
        <v/>
      </c>
      <c r="O90" s="151" t="str">
        <f aca="false">IF($B90="","",SUMIFS('الحركات الشهرية'!$F$6:$F$1005,'الحركات الشهرية'!$B$6:$B$1005,$B90,'الحركات الشهرية'!$A$6:$A$1005,$C$3))</f>
        <v/>
      </c>
      <c r="P90" s="111" t="str">
        <f aca="false">IF($B90="","",O90*(الموظفون!$P90+الموظفون!$L90*cfg_OT_P)/cfg_DAYS_M/cfg_HRS)</f>
        <v/>
      </c>
      <c r="Q90" s="111" t="str">
        <f aca="false">IF($B90="","",SUMIFS('الحركات الشهرية'!$G$6:$G$1005,'الحركات الشهرية'!$B$6:$B$1005,$B90,'الحركات الشهرية'!$A$6:$A$1005,$C$3))</f>
        <v/>
      </c>
      <c r="R90" s="111" t="str">
        <f aca="false">IF($B90="","",SUMIFS('الحركات الشهرية'!$H$6:$H$1005,'الحركات الشهرية'!$B$6:$B$1005,$B90,'الحركات الشهرية'!$A$6:$A$1005,$C$3))</f>
        <v/>
      </c>
      <c r="S90" s="111" t="str">
        <f aca="false">IF($B90="","",SUMIFS('سجل الإجازات والحالات'!$N$6:$N$505,'سجل الإجازات والحالات'!$B$6:$B$505,$B90,'سجل الإجازات والحالات'!$O$6:$O$505,$C$3))</f>
        <v/>
      </c>
      <c r="T90" s="152" t="str">
        <f aca="false">IF($B90="","",SUM(K90:N90)+SUM(P90:S90))</f>
        <v/>
      </c>
      <c r="U90" s="111" t="str">
        <f aca="false">IF($B90="","",الموظفون!$S90*IF(E90="سعودي",cfg_G_SE,cfg_G_NE)*G90/cfg_DAYS_M)</f>
        <v/>
      </c>
      <c r="V90" s="111" t="str">
        <f aca="false">IF($B90="","",SUMIFS('الحركات الشهرية'!$I$6:$I$1005,'الحركات الشهرية'!$B$6:$B$1005,$B90,'الحركات الشهرية'!$A$6:$A$1005,$C$3))</f>
        <v/>
      </c>
      <c r="W90" s="111" t="str">
        <f aca="false">IF($B90="","",SUMIFS('الحركات الشهرية'!$J$6:$J$1005,'الحركات الشهرية'!$B$6:$B$1005,$B90,'الحركات الشهرية'!$A$6:$A$1005,$C$3))</f>
        <v/>
      </c>
      <c r="X90" s="111" t="str">
        <f aca="false">IF($B90="","",SUM(U90:W90))</f>
        <v/>
      </c>
      <c r="Y90" s="153" t="str">
        <f aca="false">IF($B90="","",T90-X90)</f>
        <v/>
      </c>
      <c r="Z90" s="111" t="str">
        <f aca="false">IF($B90="","",الموظفون!$S90*IF(E90="سعودي",cfg_G_SR,cfg_G_NR)*G90/cfg_DAYS_M)</f>
        <v/>
      </c>
      <c r="AA90" s="111" t="str">
        <f aca="false">IF($B90="","",الموظفون!$Q90*(cfg_EOS_R1*(MIN(AH90,cfg_EOS_TH)-MIN(AI90,cfg_EOS_TH))+cfg_EOS_R2*(MAX(AH90-cfg_EOS_TH,0)-MAX(AI90-cfg_EOS_TH,0))))</f>
        <v/>
      </c>
      <c r="AB90" s="111" t="str">
        <f aca="false">IF($B90="","",IF(الموظفون!$T90&lt;&gt;"",الموظفون!$T90,IF(AH90&gt;=cfg_LV_TH,cfg_LV_D2,cfg_LV_D1))/cfg_DAYS_Y*AJ90*الموظفون!$R90/cfg_DAYS_M)</f>
        <v/>
      </c>
      <c r="AC90" s="111" t="str">
        <f aca="false">IF($B90="","",IF(AND(الموظفون!$U90="نعم",N(الموظفون!$W90)&gt;0),الموظفون!$V90/الموظفون!$W90*12/cfg_DAYS_Y*AJ90,0))</f>
        <v/>
      </c>
      <c r="AD90" s="111" t="str">
        <f aca="false">IF($B90="","",(IF(الموظفون!$X90&lt;&gt;"",الموظفون!$X90,IF(الموظفون!$E90="غير سعودي",cfg_IQ,0))+IF(الموظفون!$Y90&lt;&gt;"",الموظفون!$Y90,IF(الموظفون!$E90="غير سعودي",cfg_WP,0)))/12*G90/cfg_DAYS_M)</f>
        <v/>
      </c>
      <c r="AE90" s="111" t="str">
        <f aca="false">IF($B90="","",IF(الموظفون!$Z90&lt;&gt;"",الموظفون!$Z90,cfg_MED)/12*G90/cfg_DAYS_M)</f>
        <v/>
      </c>
      <c r="AF90" s="111" t="str">
        <f aca="false">IF($B90="","",N(الموظفون!$AA90)/12*G90/cfg_DAYS_M)</f>
        <v/>
      </c>
      <c r="AG90" s="154" t="str">
        <f aca="false">IF($B90="","",T90+SUM(Z90:AF90))</f>
        <v/>
      </c>
      <c r="AH90" s="155" t="str">
        <f aca="false">IF($B90="","",MAX(0,IF(OR(الموظفون!$AE90="",الموظفون!$AE90&gt;$F$3),$F$3,الموظفون!$AE90)-الموظفون!$H90+1-SUMIFS('سجل الإجازات والحالات'!$AN$6:$AN$505,'سجل الإجازات والحالات'!$B$6:$B$505,$B90))/cfg_DAYS_Y)</f>
        <v/>
      </c>
      <c r="AI90" s="155" t="str">
        <f aca="false">IF($B90="","",MAX(0,IF(OR(الموظفون!$AE90="",الموظفون!$AE90&gt;($E$3-1)),($E$3-1),الموظفون!$AE90)-الموظفون!$H90+1-SUMIFS('سجل الإجازات والحالات'!$AM$6:$AM$505,'سجل الإجازات والحالات'!$B$6:$B$505,$B90))/cfg_DAYS_Y)</f>
        <v/>
      </c>
      <c r="AJ90" s="65" t="str">
        <f aca="false">IF($B90="","",MAX(0,AK90-(SUMIFS('سجل الإجازات والحالات'!$AN$6:$AN$505,'سجل الإجازات والحالات'!$B$6:$B$505,$B90)-SUMIFS('سجل الإجازات والحالات'!$AM$6:$AM$505,'سجل الإجازات والحالات'!$B$6:$B$505,$B90))))</f>
        <v/>
      </c>
      <c r="AK90" s="65" t="str">
        <f aca="false">IF($B90="","",MAX(0,IF(OR(الموظفون!$AE90="",الموظفون!$AE90&gt;$F$3),$F$3,الموظفون!$AE90)-MAX($E$3,الموظفون!$H90)+1))</f>
        <v/>
      </c>
      <c r="AL90" s="151" t="str">
        <f aca="false">IF($B90="","",SUMIFS('سجل الإجازات والحالات'!$AZ$6:$AZ$505,'سجل الإجازات والحالات'!$B$6:$B$505,$B90)+SUMIFS('الحركات الشهرية'!$K$6:$K$1005,'الحركات الشهرية'!$B$6:$B$1005,$B90,'الحركات الشهرية'!$A$6:$A$1005,$C$3))</f>
        <v/>
      </c>
      <c r="AM90" s="111" t="str">
        <f aca="false">IF($B90="","",AL90*الموظفون!$R90/cfg_DAYS_M+S90)</f>
        <v/>
      </c>
      <c r="AN90" s="151" t="str">
        <f aca="false">IF($B90="","",SUMIFS('سجل الإجازات والحالات'!$AB$6:$AB$505,'سجل الإجازات والحالات'!$B$6:$B$505,$B90))</f>
        <v/>
      </c>
    </row>
    <row r="91" customFormat="false" ht="15" hidden="false" customHeight="false" outlineLevel="0" collapsed="false">
      <c r="A91" s="115" t="str">
        <f aca="false">IF($B91="","",الموظفون!$A91)</f>
        <v/>
      </c>
      <c r="B91" s="117" t="str">
        <f aca="false">IF(الموظفون!$B91="","",الموظفون!$B91)</f>
        <v/>
      </c>
      <c r="C91" s="117" t="str">
        <f aca="false">IF($B91="","",الموظفون!$C91)</f>
        <v/>
      </c>
      <c r="D91" s="117" t="str">
        <f aca="false">IF($B91="","",الموظفون!$F91)</f>
        <v/>
      </c>
      <c r="E91" s="117" t="str">
        <f aca="false">IF($B91="","",الموظفون!$E91)</f>
        <v/>
      </c>
      <c r="F91" s="117" t="str">
        <f aca="false">IF($B91="","",IF(AK91=0,IF(AND(الموظفون!$AE91&lt;&gt;"",الموظفون!$AE91&lt;$E$3),"✖ منتهي الخدمة","⏳ لم يباشر"),IF(S91&gt;0,"✈ راتب إجازة مقدم",IF(J91=0,"⛔ بدون راتب هذا الشهر",IF(I91&gt;0,"✈ خصم "&amp;ROUND(I91,2)&amp;" يوم بدون أجر",IF(AL91&gt;0,"🌴 إجازة سنوية "&amp;ROUND(AL91,2)&amp;" يوم",IF(H91&gt;0,"⚠ غياب "&amp;ROUND(H91,2)&amp;" يوم","✔ على رأس العمل")))))))</f>
        <v/>
      </c>
      <c r="G91" s="156" t="str">
        <f aca="false">IF($B91="","",IF(AK91&gt;=DAY($F$3),cfg_DAYS_M,MIN(AK91,cfg_DAYS_M)))</f>
        <v/>
      </c>
      <c r="H91" s="156" t="str">
        <f aca="false">IF($B91="","",SUMIFS('الحركات الشهرية'!$D$6:$D$1005,'الحركات الشهرية'!$B$6:$B$1005,$B91,'الحركات الشهرية'!$A$6:$A$1005,$C$3))</f>
        <v/>
      </c>
      <c r="I91" s="156" t="str">
        <f aca="false">IF($B91="","",MIN(G91,IF(AND(AK91&gt;0,AN91&gt;=AK91),G91,AN91)+SUMIFS('الحركات الشهرية'!$E$6:$E$1005,'الحركات الشهرية'!$B$6:$B$1005,$B91,'الحركات الشهرية'!$A$6:$A$1005,$C$3)))</f>
        <v/>
      </c>
      <c r="J91" s="156" t="str">
        <f aca="false">IF($B91="","",MAX(0,G91-H91-I91))</f>
        <v/>
      </c>
      <c r="K91" s="116" t="str">
        <f aca="false">IF($B91="","",الموظفون!$L91*$J91/cfg_DAYS_M)</f>
        <v/>
      </c>
      <c r="L91" s="116" t="str">
        <f aca="false">IF($B91="","",الموظفون!$M91*$J91/cfg_DAYS_M)</f>
        <v/>
      </c>
      <c r="M91" s="116" t="str">
        <f aca="false">IF($B91="","",الموظفون!$N91*$J91/cfg_DAYS_M)</f>
        <v/>
      </c>
      <c r="N91" s="116" t="str">
        <f aca="false">IF($B91="","",الموظفون!$O91*$J91/cfg_DAYS_M)</f>
        <v/>
      </c>
      <c r="O91" s="156" t="str">
        <f aca="false">IF($B91="","",SUMIFS('الحركات الشهرية'!$F$6:$F$1005,'الحركات الشهرية'!$B$6:$B$1005,$B91,'الحركات الشهرية'!$A$6:$A$1005,$C$3))</f>
        <v/>
      </c>
      <c r="P91" s="116" t="str">
        <f aca="false">IF($B91="","",O91*(الموظفون!$P91+الموظفون!$L91*cfg_OT_P)/cfg_DAYS_M/cfg_HRS)</f>
        <v/>
      </c>
      <c r="Q91" s="116" t="str">
        <f aca="false">IF($B91="","",SUMIFS('الحركات الشهرية'!$G$6:$G$1005,'الحركات الشهرية'!$B$6:$B$1005,$B91,'الحركات الشهرية'!$A$6:$A$1005,$C$3))</f>
        <v/>
      </c>
      <c r="R91" s="116" t="str">
        <f aca="false">IF($B91="","",SUMIFS('الحركات الشهرية'!$H$6:$H$1005,'الحركات الشهرية'!$B$6:$B$1005,$B91,'الحركات الشهرية'!$A$6:$A$1005,$C$3))</f>
        <v/>
      </c>
      <c r="S91" s="116" t="str">
        <f aca="false">IF($B91="","",SUMIFS('سجل الإجازات والحالات'!$N$6:$N$505,'سجل الإجازات والحالات'!$B$6:$B$505,$B91,'سجل الإجازات والحالات'!$O$6:$O$505,$C$3))</f>
        <v/>
      </c>
      <c r="T91" s="157" t="str">
        <f aca="false">IF($B91="","",SUM(K91:N91)+SUM(P91:S91))</f>
        <v/>
      </c>
      <c r="U91" s="116" t="str">
        <f aca="false">IF($B91="","",الموظفون!$S91*IF(E91="سعودي",cfg_G_SE,cfg_G_NE)*G91/cfg_DAYS_M)</f>
        <v/>
      </c>
      <c r="V91" s="116" t="str">
        <f aca="false">IF($B91="","",SUMIFS('الحركات الشهرية'!$I$6:$I$1005,'الحركات الشهرية'!$B$6:$B$1005,$B91,'الحركات الشهرية'!$A$6:$A$1005,$C$3))</f>
        <v/>
      </c>
      <c r="W91" s="116" t="str">
        <f aca="false">IF($B91="","",SUMIFS('الحركات الشهرية'!$J$6:$J$1005,'الحركات الشهرية'!$B$6:$B$1005,$B91,'الحركات الشهرية'!$A$6:$A$1005,$C$3))</f>
        <v/>
      </c>
      <c r="X91" s="116" t="str">
        <f aca="false">IF($B91="","",SUM(U91:W91))</f>
        <v/>
      </c>
      <c r="Y91" s="158" t="str">
        <f aca="false">IF($B91="","",T91-X91)</f>
        <v/>
      </c>
      <c r="Z91" s="116" t="str">
        <f aca="false">IF($B91="","",الموظفون!$S91*IF(E91="سعودي",cfg_G_SR,cfg_G_NR)*G91/cfg_DAYS_M)</f>
        <v/>
      </c>
      <c r="AA91" s="116" t="str">
        <f aca="false">IF($B91="","",الموظفون!$Q91*(cfg_EOS_R1*(MIN(AH91,cfg_EOS_TH)-MIN(AI91,cfg_EOS_TH))+cfg_EOS_R2*(MAX(AH91-cfg_EOS_TH,0)-MAX(AI91-cfg_EOS_TH,0))))</f>
        <v/>
      </c>
      <c r="AB91" s="116" t="str">
        <f aca="false">IF($B91="","",IF(الموظفون!$T91&lt;&gt;"",الموظفون!$T91,IF(AH91&gt;=cfg_LV_TH,cfg_LV_D2,cfg_LV_D1))/cfg_DAYS_Y*AJ91*الموظفون!$R91/cfg_DAYS_M)</f>
        <v/>
      </c>
      <c r="AC91" s="116" t="str">
        <f aca="false">IF($B91="","",IF(AND(الموظفون!$U91="نعم",N(الموظفون!$W91)&gt;0),الموظفون!$V91/الموظفون!$W91*12/cfg_DAYS_Y*AJ91,0))</f>
        <v/>
      </c>
      <c r="AD91" s="116" t="str">
        <f aca="false">IF($B91="","",(IF(الموظفون!$X91&lt;&gt;"",الموظفون!$X91,IF(الموظفون!$E91="غير سعودي",cfg_IQ,0))+IF(الموظفون!$Y91&lt;&gt;"",الموظفون!$Y91,IF(الموظفون!$E91="غير سعودي",cfg_WP,0)))/12*G91/cfg_DAYS_M)</f>
        <v/>
      </c>
      <c r="AE91" s="116" t="str">
        <f aca="false">IF($B91="","",IF(الموظفون!$Z91&lt;&gt;"",الموظفون!$Z91,cfg_MED)/12*G91/cfg_DAYS_M)</f>
        <v/>
      </c>
      <c r="AF91" s="116" t="str">
        <f aca="false">IF($B91="","",N(الموظفون!$AA91)/12*G91/cfg_DAYS_M)</f>
        <v/>
      </c>
      <c r="AG91" s="159" t="str">
        <f aca="false">IF($B91="","",T91+SUM(Z91:AF91))</f>
        <v/>
      </c>
      <c r="AH91" s="160" t="str">
        <f aca="false">IF($B91="","",MAX(0,IF(OR(الموظفون!$AE91="",الموظفون!$AE91&gt;$F$3),$F$3,الموظفون!$AE91)-الموظفون!$H91+1-SUMIFS('سجل الإجازات والحالات'!$AN$6:$AN$505,'سجل الإجازات والحالات'!$B$6:$B$505,$B91))/cfg_DAYS_Y)</f>
        <v/>
      </c>
      <c r="AI91" s="160" t="str">
        <f aca="false">IF($B91="","",MAX(0,IF(OR(الموظفون!$AE91="",الموظفون!$AE91&gt;($E$3-1)),($E$3-1),الموظفون!$AE91)-الموظفون!$H91+1-SUMIFS('سجل الإجازات والحالات'!$AM$6:$AM$505,'سجل الإجازات والحالات'!$B$6:$B$505,$B91))/cfg_DAYS_Y)</f>
        <v/>
      </c>
      <c r="AJ91" s="133" t="str">
        <f aca="false">IF($B91="","",MAX(0,AK91-(SUMIFS('سجل الإجازات والحالات'!$AN$6:$AN$505,'سجل الإجازات والحالات'!$B$6:$B$505,$B91)-SUMIFS('سجل الإجازات والحالات'!$AM$6:$AM$505,'سجل الإجازات والحالات'!$B$6:$B$505,$B91))))</f>
        <v/>
      </c>
      <c r="AK91" s="133" t="str">
        <f aca="false">IF($B91="","",MAX(0,IF(OR(الموظفون!$AE91="",الموظفون!$AE91&gt;$F$3),$F$3,الموظفون!$AE91)-MAX($E$3,الموظفون!$H91)+1))</f>
        <v/>
      </c>
      <c r="AL91" s="156" t="str">
        <f aca="false">IF($B91="","",SUMIFS('سجل الإجازات والحالات'!$AZ$6:$AZ$505,'سجل الإجازات والحالات'!$B$6:$B$505,$B91)+SUMIFS('الحركات الشهرية'!$K$6:$K$1005,'الحركات الشهرية'!$B$6:$B$1005,$B91,'الحركات الشهرية'!$A$6:$A$1005,$C$3))</f>
        <v/>
      </c>
      <c r="AM91" s="116" t="str">
        <f aca="false">IF($B91="","",AL91*الموظفون!$R91/cfg_DAYS_M+S91)</f>
        <v/>
      </c>
      <c r="AN91" s="156" t="str">
        <f aca="false">IF($B91="","",SUMIFS('سجل الإجازات والحالات'!$AB$6:$AB$505,'سجل الإجازات والحالات'!$B$6:$B$505,$B91))</f>
        <v/>
      </c>
    </row>
    <row r="92" customFormat="false" ht="15" hidden="false" customHeight="false" outlineLevel="0" collapsed="false">
      <c r="A92" s="106" t="str">
        <f aca="false">IF($B92="","",الموظفون!$A92)</f>
        <v/>
      </c>
      <c r="B92" s="114" t="str">
        <f aca="false">IF(الموظفون!$B92="","",الموظفون!$B92)</f>
        <v/>
      </c>
      <c r="C92" s="114" t="str">
        <f aca="false">IF($B92="","",الموظفون!$C92)</f>
        <v/>
      </c>
      <c r="D92" s="114" t="str">
        <f aca="false">IF($B92="","",الموظفون!$F92)</f>
        <v/>
      </c>
      <c r="E92" s="114" t="str">
        <f aca="false">IF($B92="","",الموظفون!$E92)</f>
        <v/>
      </c>
      <c r="F92" s="114" t="str">
        <f aca="false">IF($B92="","",IF(AK92=0,IF(AND(الموظفون!$AE92&lt;&gt;"",الموظفون!$AE92&lt;$E$3),"✖ منتهي الخدمة","⏳ لم يباشر"),IF(S92&gt;0,"✈ راتب إجازة مقدم",IF(J92=0,"⛔ بدون راتب هذا الشهر",IF(I92&gt;0,"✈ خصم "&amp;ROUND(I92,2)&amp;" يوم بدون أجر",IF(AL92&gt;0,"🌴 إجازة سنوية "&amp;ROUND(AL92,2)&amp;" يوم",IF(H92&gt;0,"⚠ غياب "&amp;ROUND(H92,2)&amp;" يوم","✔ على رأس العمل")))))))</f>
        <v/>
      </c>
      <c r="G92" s="151" t="str">
        <f aca="false">IF($B92="","",IF(AK92&gt;=DAY($F$3),cfg_DAYS_M,MIN(AK92,cfg_DAYS_M)))</f>
        <v/>
      </c>
      <c r="H92" s="151" t="str">
        <f aca="false">IF($B92="","",SUMIFS('الحركات الشهرية'!$D$6:$D$1005,'الحركات الشهرية'!$B$6:$B$1005,$B92,'الحركات الشهرية'!$A$6:$A$1005,$C$3))</f>
        <v/>
      </c>
      <c r="I92" s="151" t="str">
        <f aca="false">IF($B92="","",MIN(G92,IF(AND(AK92&gt;0,AN92&gt;=AK92),G92,AN92)+SUMIFS('الحركات الشهرية'!$E$6:$E$1005,'الحركات الشهرية'!$B$6:$B$1005,$B92,'الحركات الشهرية'!$A$6:$A$1005,$C$3)))</f>
        <v/>
      </c>
      <c r="J92" s="151" t="str">
        <f aca="false">IF($B92="","",MAX(0,G92-H92-I92))</f>
        <v/>
      </c>
      <c r="K92" s="111" t="str">
        <f aca="false">IF($B92="","",الموظفون!$L92*$J92/cfg_DAYS_M)</f>
        <v/>
      </c>
      <c r="L92" s="111" t="str">
        <f aca="false">IF($B92="","",الموظفون!$M92*$J92/cfg_DAYS_M)</f>
        <v/>
      </c>
      <c r="M92" s="111" t="str">
        <f aca="false">IF($B92="","",الموظفون!$N92*$J92/cfg_DAYS_M)</f>
        <v/>
      </c>
      <c r="N92" s="111" t="str">
        <f aca="false">IF($B92="","",الموظفون!$O92*$J92/cfg_DAYS_M)</f>
        <v/>
      </c>
      <c r="O92" s="151" t="str">
        <f aca="false">IF($B92="","",SUMIFS('الحركات الشهرية'!$F$6:$F$1005,'الحركات الشهرية'!$B$6:$B$1005,$B92,'الحركات الشهرية'!$A$6:$A$1005,$C$3))</f>
        <v/>
      </c>
      <c r="P92" s="111" t="str">
        <f aca="false">IF($B92="","",O92*(الموظفون!$P92+الموظفون!$L92*cfg_OT_P)/cfg_DAYS_M/cfg_HRS)</f>
        <v/>
      </c>
      <c r="Q92" s="111" t="str">
        <f aca="false">IF($B92="","",SUMIFS('الحركات الشهرية'!$G$6:$G$1005,'الحركات الشهرية'!$B$6:$B$1005,$B92,'الحركات الشهرية'!$A$6:$A$1005,$C$3))</f>
        <v/>
      </c>
      <c r="R92" s="111" t="str">
        <f aca="false">IF($B92="","",SUMIFS('الحركات الشهرية'!$H$6:$H$1005,'الحركات الشهرية'!$B$6:$B$1005,$B92,'الحركات الشهرية'!$A$6:$A$1005,$C$3))</f>
        <v/>
      </c>
      <c r="S92" s="111" t="str">
        <f aca="false">IF($B92="","",SUMIFS('سجل الإجازات والحالات'!$N$6:$N$505,'سجل الإجازات والحالات'!$B$6:$B$505,$B92,'سجل الإجازات والحالات'!$O$6:$O$505,$C$3))</f>
        <v/>
      </c>
      <c r="T92" s="152" t="str">
        <f aca="false">IF($B92="","",SUM(K92:N92)+SUM(P92:S92))</f>
        <v/>
      </c>
      <c r="U92" s="111" t="str">
        <f aca="false">IF($B92="","",الموظفون!$S92*IF(E92="سعودي",cfg_G_SE,cfg_G_NE)*G92/cfg_DAYS_M)</f>
        <v/>
      </c>
      <c r="V92" s="111" t="str">
        <f aca="false">IF($B92="","",SUMIFS('الحركات الشهرية'!$I$6:$I$1005,'الحركات الشهرية'!$B$6:$B$1005,$B92,'الحركات الشهرية'!$A$6:$A$1005,$C$3))</f>
        <v/>
      </c>
      <c r="W92" s="111" t="str">
        <f aca="false">IF($B92="","",SUMIFS('الحركات الشهرية'!$J$6:$J$1005,'الحركات الشهرية'!$B$6:$B$1005,$B92,'الحركات الشهرية'!$A$6:$A$1005,$C$3))</f>
        <v/>
      </c>
      <c r="X92" s="111" t="str">
        <f aca="false">IF($B92="","",SUM(U92:W92))</f>
        <v/>
      </c>
      <c r="Y92" s="153" t="str">
        <f aca="false">IF($B92="","",T92-X92)</f>
        <v/>
      </c>
      <c r="Z92" s="111" t="str">
        <f aca="false">IF($B92="","",الموظفون!$S92*IF(E92="سعودي",cfg_G_SR,cfg_G_NR)*G92/cfg_DAYS_M)</f>
        <v/>
      </c>
      <c r="AA92" s="111" t="str">
        <f aca="false">IF($B92="","",الموظفون!$Q92*(cfg_EOS_R1*(MIN(AH92,cfg_EOS_TH)-MIN(AI92,cfg_EOS_TH))+cfg_EOS_R2*(MAX(AH92-cfg_EOS_TH,0)-MAX(AI92-cfg_EOS_TH,0))))</f>
        <v/>
      </c>
      <c r="AB92" s="111" t="str">
        <f aca="false">IF($B92="","",IF(الموظفون!$T92&lt;&gt;"",الموظفون!$T92,IF(AH92&gt;=cfg_LV_TH,cfg_LV_D2,cfg_LV_D1))/cfg_DAYS_Y*AJ92*الموظفون!$R92/cfg_DAYS_M)</f>
        <v/>
      </c>
      <c r="AC92" s="111" t="str">
        <f aca="false">IF($B92="","",IF(AND(الموظفون!$U92="نعم",N(الموظفون!$W92)&gt;0),الموظفون!$V92/الموظفون!$W92*12/cfg_DAYS_Y*AJ92,0))</f>
        <v/>
      </c>
      <c r="AD92" s="111" t="str">
        <f aca="false">IF($B92="","",(IF(الموظفون!$X92&lt;&gt;"",الموظفون!$X92,IF(الموظفون!$E92="غير سعودي",cfg_IQ,0))+IF(الموظفون!$Y92&lt;&gt;"",الموظفون!$Y92,IF(الموظفون!$E92="غير سعودي",cfg_WP,0)))/12*G92/cfg_DAYS_M)</f>
        <v/>
      </c>
      <c r="AE92" s="111" t="str">
        <f aca="false">IF($B92="","",IF(الموظفون!$Z92&lt;&gt;"",الموظفون!$Z92,cfg_MED)/12*G92/cfg_DAYS_M)</f>
        <v/>
      </c>
      <c r="AF92" s="111" t="str">
        <f aca="false">IF($B92="","",N(الموظفون!$AA92)/12*G92/cfg_DAYS_M)</f>
        <v/>
      </c>
      <c r="AG92" s="154" t="str">
        <f aca="false">IF($B92="","",T92+SUM(Z92:AF92))</f>
        <v/>
      </c>
      <c r="AH92" s="155" t="str">
        <f aca="false">IF($B92="","",MAX(0,IF(OR(الموظفون!$AE92="",الموظفون!$AE92&gt;$F$3),$F$3,الموظفون!$AE92)-الموظفون!$H92+1-SUMIFS('سجل الإجازات والحالات'!$AN$6:$AN$505,'سجل الإجازات والحالات'!$B$6:$B$505,$B92))/cfg_DAYS_Y)</f>
        <v/>
      </c>
      <c r="AI92" s="155" t="str">
        <f aca="false">IF($B92="","",MAX(0,IF(OR(الموظفون!$AE92="",الموظفون!$AE92&gt;($E$3-1)),($E$3-1),الموظفون!$AE92)-الموظفون!$H92+1-SUMIFS('سجل الإجازات والحالات'!$AM$6:$AM$505,'سجل الإجازات والحالات'!$B$6:$B$505,$B92))/cfg_DAYS_Y)</f>
        <v/>
      </c>
      <c r="AJ92" s="65" t="str">
        <f aca="false">IF($B92="","",MAX(0,AK92-(SUMIFS('سجل الإجازات والحالات'!$AN$6:$AN$505,'سجل الإجازات والحالات'!$B$6:$B$505,$B92)-SUMIFS('سجل الإجازات والحالات'!$AM$6:$AM$505,'سجل الإجازات والحالات'!$B$6:$B$505,$B92))))</f>
        <v/>
      </c>
      <c r="AK92" s="65" t="str">
        <f aca="false">IF($B92="","",MAX(0,IF(OR(الموظفون!$AE92="",الموظفون!$AE92&gt;$F$3),$F$3,الموظفون!$AE92)-MAX($E$3,الموظفون!$H92)+1))</f>
        <v/>
      </c>
      <c r="AL92" s="151" t="str">
        <f aca="false">IF($B92="","",SUMIFS('سجل الإجازات والحالات'!$AZ$6:$AZ$505,'سجل الإجازات والحالات'!$B$6:$B$505,$B92)+SUMIFS('الحركات الشهرية'!$K$6:$K$1005,'الحركات الشهرية'!$B$6:$B$1005,$B92,'الحركات الشهرية'!$A$6:$A$1005,$C$3))</f>
        <v/>
      </c>
      <c r="AM92" s="111" t="str">
        <f aca="false">IF($B92="","",AL92*الموظفون!$R92/cfg_DAYS_M+S92)</f>
        <v/>
      </c>
      <c r="AN92" s="151" t="str">
        <f aca="false">IF($B92="","",SUMIFS('سجل الإجازات والحالات'!$AB$6:$AB$505,'سجل الإجازات والحالات'!$B$6:$B$505,$B92))</f>
        <v/>
      </c>
    </row>
    <row r="93" customFormat="false" ht="15" hidden="false" customHeight="false" outlineLevel="0" collapsed="false">
      <c r="A93" s="115" t="str">
        <f aca="false">IF($B93="","",الموظفون!$A93)</f>
        <v/>
      </c>
      <c r="B93" s="117" t="str">
        <f aca="false">IF(الموظفون!$B93="","",الموظفون!$B93)</f>
        <v/>
      </c>
      <c r="C93" s="117" t="str">
        <f aca="false">IF($B93="","",الموظفون!$C93)</f>
        <v/>
      </c>
      <c r="D93" s="117" t="str">
        <f aca="false">IF($B93="","",الموظفون!$F93)</f>
        <v/>
      </c>
      <c r="E93" s="117" t="str">
        <f aca="false">IF($B93="","",الموظفون!$E93)</f>
        <v/>
      </c>
      <c r="F93" s="117" t="str">
        <f aca="false">IF($B93="","",IF(AK93=0,IF(AND(الموظفون!$AE93&lt;&gt;"",الموظفون!$AE93&lt;$E$3),"✖ منتهي الخدمة","⏳ لم يباشر"),IF(S93&gt;0,"✈ راتب إجازة مقدم",IF(J93=0,"⛔ بدون راتب هذا الشهر",IF(I93&gt;0,"✈ خصم "&amp;ROUND(I93,2)&amp;" يوم بدون أجر",IF(AL93&gt;0,"🌴 إجازة سنوية "&amp;ROUND(AL93,2)&amp;" يوم",IF(H93&gt;0,"⚠ غياب "&amp;ROUND(H93,2)&amp;" يوم","✔ على رأس العمل")))))))</f>
        <v/>
      </c>
      <c r="G93" s="156" t="str">
        <f aca="false">IF($B93="","",IF(AK93&gt;=DAY($F$3),cfg_DAYS_M,MIN(AK93,cfg_DAYS_M)))</f>
        <v/>
      </c>
      <c r="H93" s="156" t="str">
        <f aca="false">IF($B93="","",SUMIFS('الحركات الشهرية'!$D$6:$D$1005,'الحركات الشهرية'!$B$6:$B$1005,$B93,'الحركات الشهرية'!$A$6:$A$1005,$C$3))</f>
        <v/>
      </c>
      <c r="I93" s="156" t="str">
        <f aca="false">IF($B93="","",MIN(G93,IF(AND(AK93&gt;0,AN93&gt;=AK93),G93,AN93)+SUMIFS('الحركات الشهرية'!$E$6:$E$1005,'الحركات الشهرية'!$B$6:$B$1005,$B93,'الحركات الشهرية'!$A$6:$A$1005,$C$3)))</f>
        <v/>
      </c>
      <c r="J93" s="156" t="str">
        <f aca="false">IF($B93="","",MAX(0,G93-H93-I93))</f>
        <v/>
      </c>
      <c r="K93" s="116" t="str">
        <f aca="false">IF($B93="","",الموظفون!$L93*$J93/cfg_DAYS_M)</f>
        <v/>
      </c>
      <c r="L93" s="116" t="str">
        <f aca="false">IF($B93="","",الموظفون!$M93*$J93/cfg_DAYS_M)</f>
        <v/>
      </c>
      <c r="M93" s="116" t="str">
        <f aca="false">IF($B93="","",الموظفون!$N93*$J93/cfg_DAYS_M)</f>
        <v/>
      </c>
      <c r="N93" s="116" t="str">
        <f aca="false">IF($B93="","",الموظفون!$O93*$J93/cfg_DAYS_M)</f>
        <v/>
      </c>
      <c r="O93" s="156" t="str">
        <f aca="false">IF($B93="","",SUMIFS('الحركات الشهرية'!$F$6:$F$1005,'الحركات الشهرية'!$B$6:$B$1005,$B93,'الحركات الشهرية'!$A$6:$A$1005,$C$3))</f>
        <v/>
      </c>
      <c r="P93" s="116" t="str">
        <f aca="false">IF($B93="","",O93*(الموظفون!$P93+الموظفون!$L93*cfg_OT_P)/cfg_DAYS_M/cfg_HRS)</f>
        <v/>
      </c>
      <c r="Q93" s="116" t="str">
        <f aca="false">IF($B93="","",SUMIFS('الحركات الشهرية'!$G$6:$G$1005,'الحركات الشهرية'!$B$6:$B$1005,$B93,'الحركات الشهرية'!$A$6:$A$1005,$C$3))</f>
        <v/>
      </c>
      <c r="R93" s="116" t="str">
        <f aca="false">IF($B93="","",SUMIFS('الحركات الشهرية'!$H$6:$H$1005,'الحركات الشهرية'!$B$6:$B$1005,$B93,'الحركات الشهرية'!$A$6:$A$1005,$C$3))</f>
        <v/>
      </c>
      <c r="S93" s="116" t="str">
        <f aca="false">IF($B93="","",SUMIFS('سجل الإجازات والحالات'!$N$6:$N$505,'سجل الإجازات والحالات'!$B$6:$B$505,$B93,'سجل الإجازات والحالات'!$O$6:$O$505,$C$3))</f>
        <v/>
      </c>
      <c r="T93" s="157" t="str">
        <f aca="false">IF($B93="","",SUM(K93:N93)+SUM(P93:S93))</f>
        <v/>
      </c>
      <c r="U93" s="116" t="str">
        <f aca="false">IF($B93="","",الموظفون!$S93*IF(E93="سعودي",cfg_G_SE,cfg_G_NE)*G93/cfg_DAYS_M)</f>
        <v/>
      </c>
      <c r="V93" s="116" t="str">
        <f aca="false">IF($B93="","",SUMIFS('الحركات الشهرية'!$I$6:$I$1005,'الحركات الشهرية'!$B$6:$B$1005,$B93,'الحركات الشهرية'!$A$6:$A$1005,$C$3))</f>
        <v/>
      </c>
      <c r="W93" s="116" t="str">
        <f aca="false">IF($B93="","",SUMIFS('الحركات الشهرية'!$J$6:$J$1005,'الحركات الشهرية'!$B$6:$B$1005,$B93,'الحركات الشهرية'!$A$6:$A$1005,$C$3))</f>
        <v/>
      </c>
      <c r="X93" s="116" t="str">
        <f aca="false">IF($B93="","",SUM(U93:W93))</f>
        <v/>
      </c>
      <c r="Y93" s="158" t="str">
        <f aca="false">IF($B93="","",T93-X93)</f>
        <v/>
      </c>
      <c r="Z93" s="116" t="str">
        <f aca="false">IF($B93="","",الموظفون!$S93*IF(E93="سعودي",cfg_G_SR,cfg_G_NR)*G93/cfg_DAYS_M)</f>
        <v/>
      </c>
      <c r="AA93" s="116" t="str">
        <f aca="false">IF($B93="","",الموظفون!$Q93*(cfg_EOS_R1*(MIN(AH93,cfg_EOS_TH)-MIN(AI93,cfg_EOS_TH))+cfg_EOS_R2*(MAX(AH93-cfg_EOS_TH,0)-MAX(AI93-cfg_EOS_TH,0))))</f>
        <v/>
      </c>
      <c r="AB93" s="116" t="str">
        <f aca="false">IF($B93="","",IF(الموظفون!$T93&lt;&gt;"",الموظفون!$T93,IF(AH93&gt;=cfg_LV_TH,cfg_LV_D2,cfg_LV_D1))/cfg_DAYS_Y*AJ93*الموظفون!$R93/cfg_DAYS_M)</f>
        <v/>
      </c>
      <c r="AC93" s="116" t="str">
        <f aca="false">IF($B93="","",IF(AND(الموظفون!$U93="نعم",N(الموظفون!$W93)&gt;0),الموظفون!$V93/الموظفون!$W93*12/cfg_DAYS_Y*AJ93,0))</f>
        <v/>
      </c>
      <c r="AD93" s="116" t="str">
        <f aca="false">IF($B93="","",(IF(الموظفون!$X93&lt;&gt;"",الموظفون!$X93,IF(الموظفون!$E93="غير سعودي",cfg_IQ,0))+IF(الموظفون!$Y93&lt;&gt;"",الموظفون!$Y93,IF(الموظفون!$E93="غير سعودي",cfg_WP,0)))/12*G93/cfg_DAYS_M)</f>
        <v/>
      </c>
      <c r="AE93" s="116" t="str">
        <f aca="false">IF($B93="","",IF(الموظفون!$Z93&lt;&gt;"",الموظفون!$Z93,cfg_MED)/12*G93/cfg_DAYS_M)</f>
        <v/>
      </c>
      <c r="AF93" s="116" t="str">
        <f aca="false">IF($B93="","",N(الموظفون!$AA93)/12*G93/cfg_DAYS_M)</f>
        <v/>
      </c>
      <c r="AG93" s="159" t="str">
        <f aca="false">IF($B93="","",T93+SUM(Z93:AF93))</f>
        <v/>
      </c>
      <c r="AH93" s="160" t="str">
        <f aca="false">IF($B93="","",MAX(0,IF(OR(الموظفون!$AE93="",الموظفون!$AE93&gt;$F$3),$F$3,الموظفون!$AE93)-الموظفون!$H93+1-SUMIFS('سجل الإجازات والحالات'!$AN$6:$AN$505,'سجل الإجازات والحالات'!$B$6:$B$505,$B93))/cfg_DAYS_Y)</f>
        <v/>
      </c>
      <c r="AI93" s="160" t="str">
        <f aca="false">IF($B93="","",MAX(0,IF(OR(الموظفون!$AE93="",الموظفون!$AE93&gt;($E$3-1)),($E$3-1),الموظفون!$AE93)-الموظفون!$H93+1-SUMIFS('سجل الإجازات والحالات'!$AM$6:$AM$505,'سجل الإجازات والحالات'!$B$6:$B$505,$B93))/cfg_DAYS_Y)</f>
        <v/>
      </c>
      <c r="AJ93" s="133" t="str">
        <f aca="false">IF($B93="","",MAX(0,AK93-(SUMIFS('سجل الإجازات والحالات'!$AN$6:$AN$505,'سجل الإجازات والحالات'!$B$6:$B$505,$B93)-SUMIFS('سجل الإجازات والحالات'!$AM$6:$AM$505,'سجل الإجازات والحالات'!$B$6:$B$505,$B93))))</f>
        <v/>
      </c>
      <c r="AK93" s="133" t="str">
        <f aca="false">IF($B93="","",MAX(0,IF(OR(الموظفون!$AE93="",الموظفون!$AE93&gt;$F$3),$F$3,الموظفون!$AE93)-MAX($E$3,الموظفون!$H93)+1))</f>
        <v/>
      </c>
      <c r="AL93" s="156" t="str">
        <f aca="false">IF($B93="","",SUMIFS('سجل الإجازات والحالات'!$AZ$6:$AZ$505,'سجل الإجازات والحالات'!$B$6:$B$505,$B93)+SUMIFS('الحركات الشهرية'!$K$6:$K$1005,'الحركات الشهرية'!$B$6:$B$1005,$B93,'الحركات الشهرية'!$A$6:$A$1005,$C$3))</f>
        <v/>
      </c>
      <c r="AM93" s="116" t="str">
        <f aca="false">IF($B93="","",AL93*الموظفون!$R93/cfg_DAYS_M+S93)</f>
        <v/>
      </c>
      <c r="AN93" s="156" t="str">
        <f aca="false">IF($B93="","",SUMIFS('سجل الإجازات والحالات'!$AB$6:$AB$505,'سجل الإجازات والحالات'!$B$6:$B$505,$B93))</f>
        <v/>
      </c>
    </row>
    <row r="94" customFormat="false" ht="15" hidden="false" customHeight="false" outlineLevel="0" collapsed="false">
      <c r="A94" s="106" t="str">
        <f aca="false">IF($B94="","",الموظفون!$A94)</f>
        <v/>
      </c>
      <c r="B94" s="114" t="str">
        <f aca="false">IF(الموظفون!$B94="","",الموظفون!$B94)</f>
        <v/>
      </c>
      <c r="C94" s="114" t="str">
        <f aca="false">IF($B94="","",الموظفون!$C94)</f>
        <v/>
      </c>
      <c r="D94" s="114" t="str">
        <f aca="false">IF($B94="","",الموظفون!$F94)</f>
        <v/>
      </c>
      <c r="E94" s="114" t="str">
        <f aca="false">IF($B94="","",الموظفون!$E94)</f>
        <v/>
      </c>
      <c r="F94" s="114" t="str">
        <f aca="false">IF($B94="","",IF(AK94=0,IF(AND(الموظفون!$AE94&lt;&gt;"",الموظفون!$AE94&lt;$E$3),"✖ منتهي الخدمة","⏳ لم يباشر"),IF(S94&gt;0,"✈ راتب إجازة مقدم",IF(J94=0,"⛔ بدون راتب هذا الشهر",IF(I94&gt;0,"✈ خصم "&amp;ROUND(I94,2)&amp;" يوم بدون أجر",IF(AL94&gt;0,"🌴 إجازة سنوية "&amp;ROUND(AL94,2)&amp;" يوم",IF(H94&gt;0,"⚠ غياب "&amp;ROUND(H94,2)&amp;" يوم","✔ على رأس العمل")))))))</f>
        <v/>
      </c>
      <c r="G94" s="151" t="str">
        <f aca="false">IF($B94="","",IF(AK94&gt;=DAY($F$3),cfg_DAYS_M,MIN(AK94,cfg_DAYS_M)))</f>
        <v/>
      </c>
      <c r="H94" s="151" t="str">
        <f aca="false">IF($B94="","",SUMIFS('الحركات الشهرية'!$D$6:$D$1005,'الحركات الشهرية'!$B$6:$B$1005,$B94,'الحركات الشهرية'!$A$6:$A$1005,$C$3))</f>
        <v/>
      </c>
      <c r="I94" s="151" t="str">
        <f aca="false">IF($B94="","",MIN(G94,IF(AND(AK94&gt;0,AN94&gt;=AK94),G94,AN94)+SUMIFS('الحركات الشهرية'!$E$6:$E$1005,'الحركات الشهرية'!$B$6:$B$1005,$B94,'الحركات الشهرية'!$A$6:$A$1005,$C$3)))</f>
        <v/>
      </c>
      <c r="J94" s="151" t="str">
        <f aca="false">IF($B94="","",MAX(0,G94-H94-I94))</f>
        <v/>
      </c>
      <c r="K94" s="111" t="str">
        <f aca="false">IF($B94="","",الموظفون!$L94*$J94/cfg_DAYS_M)</f>
        <v/>
      </c>
      <c r="L94" s="111" t="str">
        <f aca="false">IF($B94="","",الموظفون!$M94*$J94/cfg_DAYS_M)</f>
        <v/>
      </c>
      <c r="M94" s="111" t="str">
        <f aca="false">IF($B94="","",الموظفون!$N94*$J94/cfg_DAYS_M)</f>
        <v/>
      </c>
      <c r="N94" s="111" t="str">
        <f aca="false">IF($B94="","",الموظفون!$O94*$J94/cfg_DAYS_M)</f>
        <v/>
      </c>
      <c r="O94" s="151" t="str">
        <f aca="false">IF($B94="","",SUMIFS('الحركات الشهرية'!$F$6:$F$1005,'الحركات الشهرية'!$B$6:$B$1005,$B94,'الحركات الشهرية'!$A$6:$A$1005,$C$3))</f>
        <v/>
      </c>
      <c r="P94" s="111" t="str">
        <f aca="false">IF($B94="","",O94*(الموظفون!$P94+الموظفون!$L94*cfg_OT_P)/cfg_DAYS_M/cfg_HRS)</f>
        <v/>
      </c>
      <c r="Q94" s="111" t="str">
        <f aca="false">IF($B94="","",SUMIFS('الحركات الشهرية'!$G$6:$G$1005,'الحركات الشهرية'!$B$6:$B$1005,$B94,'الحركات الشهرية'!$A$6:$A$1005,$C$3))</f>
        <v/>
      </c>
      <c r="R94" s="111" t="str">
        <f aca="false">IF($B94="","",SUMIFS('الحركات الشهرية'!$H$6:$H$1005,'الحركات الشهرية'!$B$6:$B$1005,$B94,'الحركات الشهرية'!$A$6:$A$1005,$C$3))</f>
        <v/>
      </c>
      <c r="S94" s="111" t="str">
        <f aca="false">IF($B94="","",SUMIFS('سجل الإجازات والحالات'!$N$6:$N$505,'سجل الإجازات والحالات'!$B$6:$B$505,$B94,'سجل الإجازات والحالات'!$O$6:$O$505,$C$3))</f>
        <v/>
      </c>
      <c r="T94" s="152" t="str">
        <f aca="false">IF($B94="","",SUM(K94:N94)+SUM(P94:S94))</f>
        <v/>
      </c>
      <c r="U94" s="111" t="str">
        <f aca="false">IF($B94="","",الموظفون!$S94*IF(E94="سعودي",cfg_G_SE,cfg_G_NE)*G94/cfg_DAYS_M)</f>
        <v/>
      </c>
      <c r="V94" s="111" t="str">
        <f aca="false">IF($B94="","",SUMIFS('الحركات الشهرية'!$I$6:$I$1005,'الحركات الشهرية'!$B$6:$B$1005,$B94,'الحركات الشهرية'!$A$6:$A$1005,$C$3))</f>
        <v/>
      </c>
      <c r="W94" s="111" t="str">
        <f aca="false">IF($B94="","",SUMIFS('الحركات الشهرية'!$J$6:$J$1005,'الحركات الشهرية'!$B$6:$B$1005,$B94,'الحركات الشهرية'!$A$6:$A$1005,$C$3))</f>
        <v/>
      </c>
      <c r="X94" s="111" t="str">
        <f aca="false">IF($B94="","",SUM(U94:W94))</f>
        <v/>
      </c>
      <c r="Y94" s="153" t="str">
        <f aca="false">IF($B94="","",T94-X94)</f>
        <v/>
      </c>
      <c r="Z94" s="111" t="str">
        <f aca="false">IF($B94="","",الموظفون!$S94*IF(E94="سعودي",cfg_G_SR,cfg_G_NR)*G94/cfg_DAYS_M)</f>
        <v/>
      </c>
      <c r="AA94" s="111" t="str">
        <f aca="false">IF($B94="","",الموظفون!$Q94*(cfg_EOS_R1*(MIN(AH94,cfg_EOS_TH)-MIN(AI94,cfg_EOS_TH))+cfg_EOS_R2*(MAX(AH94-cfg_EOS_TH,0)-MAX(AI94-cfg_EOS_TH,0))))</f>
        <v/>
      </c>
      <c r="AB94" s="111" t="str">
        <f aca="false">IF($B94="","",IF(الموظفون!$T94&lt;&gt;"",الموظفون!$T94,IF(AH94&gt;=cfg_LV_TH,cfg_LV_D2,cfg_LV_D1))/cfg_DAYS_Y*AJ94*الموظفون!$R94/cfg_DAYS_M)</f>
        <v/>
      </c>
      <c r="AC94" s="111" t="str">
        <f aca="false">IF($B94="","",IF(AND(الموظفون!$U94="نعم",N(الموظفون!$W94)&gt;0),الموظفون!$V94/الموظفون!$W94*12/cfg_DAYS_Y*AJ94,0))</f>
        <v/>
      </c>
      <c r="AD94" s="111" t="str">
        <f aca="false">IF($B94="","",(IF(الموظفون!$X94&lt;&gt;"",الموظفون!$X94,IF(الموظفون!$E94="غير سعودي",cfg_IQ,0))+IF(الموظفون!$Y94&lt;&gt;"",الموظفون!$Y94,IF(الموظفون!$E94="غير سعودي",cfg_WP,0)))/12*G94/cfg_DAYS_M)</f>
        <v/>
      </c>
      <c r="AE94" s="111" t="str">
        <f aca="false">IF($B94="","",IF(الموظفون!$Z94&lt;&gt;"",الموظفون!$Z94,cfg_MED)/12*G94/cfg_DAYS_M)</f>
        <v/>
      </c>
      <c r="AF94" s="111" t="str">
        <f aca="false">IF($B94="","",N(الموظفون!$AA94)/12*G94/cfg_DAYS_M)</f>
        <v/>
      </c>
      <c r="AG94" s="154" t="str">
        <f aca="false">IF($B94="","",T94+SUM(Z94:AF94))</f>
        <v/>
      </c>
      <c r="AH94" s="155" t="str">
        <f aca="false">IF($B94="","",MAX(0,IF(OR(الموظفون!$AE94="",الموظفون!$AE94&gt;$F$3),$F$3,الموظفون!$AE94)-الموظفون!$H94+1-SUMIFS('سجل الإجازات والحالات'!$AN$6:$AN$505,'سجل الإجازات والحالات'!$B$6:$B$505,$B94))/cfg_DAYS_Y)</f>
        <v/>
      </c>
      <c r="AI94" s="155" t="str">
        <f aca="false">IF($B94="","",MAX(0,IF(OR(الموظفون!$AE94="",الموظفون!$AE94&gt;($E$3-1)),($E$3-1),الموظفون!$AE94)-الموظفون!$H94+1-SUMIFS('سجل الإجازات والحالات'!$AM$6:$AM$505,'سجل الإجازات والحالات'!$B$6:$B$505,$B94))/cfg_DAYS_Y)</f>
        <v/>
      </c>
      <c r="AJ94" s="65" t="str">
        <f aca="false">IF($B94="","",MAX(0,AK94-(SUMIFS('سجل الإجازات والحالات'!$AN$6:$AN$505,'سجل الإجازات والحالات'!$B$6:$B$505,$B94)-SUMIFS('سجل الإجازات والحالات'!$AM$6:$AM$505,'سجل الإجازات والحالات'!$B$6:$B$505,$B94))))</f>
        <v/>
      </c>
      <c r="AK94" s="65" t="str">
        <f aca="false">IF($B94="","",MAX(0,IF(OR(الموظفون!$AE94="",الموظفون!$AE94&gt;$F$3),$F$3,الموظفون!$AE94)-MAX($E$3,الموظفون!$H94)+1))</f>
        <v/>
      </c>
      <c r="AL94" s="151" t="str">
        <f aca="false">IF($B94="","",SUMIFS('سجل الإجازات والحالات'!$AZ$6:$AZ$505,'سجل الإجازات والحالات'!$B$6:$B$505,$B94)+SUMIFS('الحركات الشهرية'!$K$6:$K$1005,'الحركات الشهرية'!$B$6:$B$1005,$B94,'الحركات الشهرية'!$A$6:$A$1005,$C$3))</f>
        <v/>
      </c>
      <c r="AM94" s="111" t="str">
        <f aca="false">IF($B94="","",AL94*الموظفون!$R94/cfg_DAYS_M+S94)</f>
        <v/>
      </c>
      <c r="AN94" s="151" t="str">
        <f aca="false">IF($B94="","",SUMIFS('سجل الإجازات والحالات'!$AB$6:$AB$505,'سجل الإجازات والحالات'!$B$6:$B$505,$B94))</f>
        <v/>
      </c>
    </row>
    <row r="95" customFormat="false" ht="15" hidden="false" customHeight="false" outlineLevel="0" collapsed="false">
      <c r="A95" s="115" t="str">
        <f aca="false">IF($B95="","",الموظفون!$A95)</f>
        <v/>
      </c>
      <c r="B95" s="117" t="str">
        <f aca="false">IF(الموظفون!$B95="","",الموظفون!$B95)</f>
        <v/>
      </c>
      <c r="C95" s="117" t="str">
        <f aca="false">IF($B95="","",الموظفون!$C95)</f>
        <v/>
      </c>
      <c r="D95" s="117" t="str">
        <f aca="false">IF($B95="","",الموظفون!$F95)</f>
        <v/>
      </c>
      <c r="E95" s="117" t="str">
        <f aca="false">IF($B95="","",الموظفون!$E95)</f>
        <v/>
      </c>
      <c r="F95" s="117" t="str">
        <f aca="false">IF($B95="","",IF(AK95=0,IF(AND(الموظفون!$AE95&lt;&gt;"",الموظفون!$AE95&lt;$E$3),"✖ منتهي الخدمة","⏳ لم يباشر"),IF(S95&gt;0,"✈ راتب إجازة مقدم",IF(J95=0,"⛔ بدون راتب هذا الشهر",IF(I95&gt;0,"✈ خصم "&amp;ROUND(I95,2)&amp;" يوم بدون أجر",IF(AL95&gt;0,"🌴 إجازة سنوية "&amp;ROUND(AL95,2)&amp;" يوم",IF(H95&gt;0,"⚠ غياب "&amp;ROUND(H95,2)&amp;" يوم","✔ على رأس العمل")))))))</f>
        <v/>
      </c>
      <c r="G95" s="156" t="str">
        <f aca="false">IF($B95="","",IF(AK95&gt;=DAY($F$3),cfg_DAYS_M,MIN(AK95,cfg_DAYS_M)))</f>
        <v/>
      </c>
      <c r="H95" s="156" t="str">
        <f aca="false">IF($B95="","",SUMIFS('الحركات الشهرية'!$D$6:$D$1005,'الحركات الشهرية'!$B$6:$B$1005,$B95,'الحركات الشهرية'!$A$6:$A$1005,$C$3))</f>
        <v/>
      </c>
      <c r="I95" s="156" t="str">
        <f aca="false">IF($B95="","",MIN(G95,IF(AND(AK95&gt;0,AN95&gt;=AK95),G95,AN95)+SUMIFS('الحركات الشهرية'!$E$6:$E$1005,'الحركات الشهرية'!$B$6:$B$1005,$B95,'الحركات الشهرية'!$A$6:$A$1005,$C$3)))</f>
        <v/>
      </c>
      <c r="J95" s="156" t="str">
        <f aca="false">IF($B95="","",MAX(0,G95-H95-I95))</f>
        <v/>
      </c>
      <c r="K95" s="116" t="str">
        <f aca="false">IF($B95="","",الموظفون!$L95*$J95/cfg_DAYS_M)</f>
        <v/>
      </c>
      <c r="L95" s="116" t="str">
        <f aca="false">IF($B95="","",الموظفون!$M95*$J95/cfg_DAYS_M)</f>
        <v/>
      </c>
      <c r="M95" s="116" t="str">
        <f aca="false">IF($B95="","",الموظفون!$N95*$J95/cfg_DAYS_M)</f>
        <v/>
      </c>
      <c r="N95" s="116" t="str">
        <f aca="false">IF($B95="","",الموظفون!$O95*$J95/cfg_DAYS_M)</f>
        <v/>
      </c>
      <c r="O95" s="156" t="str">
        <f aca="false">IF($B95="","",SUMIFS('الحركات الشهرية'!$F$6:$F$1005,'الحركات الشهرية'!$B$6:$B$1005,$B95,'الحركات الشهرية'!$A$6:$A$1005,$C$3))</f>
        <v/>
      </c>
      <c r="P95" s="116" t="str">
        <f aca="false">IF($B95="","",O95*(الموظفون!$P95+الموظفون!$L95*cfg_OT_P)/cfg_DAYS_M/cfg_HRS)</f>
        <v/>
      </c>
      <c r="Q95" s="116" t="str">
        <f aca="false">IF($B95="","",SUMIFS('الحركات الشهرية'!$G$6:$G$1005,'الحركات الشهرية'!$B$6:$B$1005,$B95,'الحركات الشهرية'!$A$6:$A$1005,$C$3))</f>
        <v/>
      </c>
      <c r="R95" s="116" t="str">
        <f aca="false">IF($B95="","",SUMIFS('الحركات الشهرية'!$H$6:$H$1005,'الحركات الشهرية'!$B$6:$B$1005,$B95,'الحركات الشهرية'!$A$6:$A$1005,$C$3))</f>
        <v/>
      </c>
      <c r="S95" s="116" t="str">
        <f aca="false">IF($B95="","",SUMIFS('سجل الإجازات والحالات'!$N$6:$N$505,'سجل الإجازات والحالات'!$B$6:$B$505,$B95,'سجل الإجازات والحالات'!$O$6:$O$505,$C$3))</f>
        <v/>
      </c>
      <c r="T95" s="157" t="str">
        <f aca="false">IF($B95="","",SUM(K95:N95)+SUM(P95:S95))</f>
        <v/>
      </c>
      <c r="U95" s="116" t="str">
        <f aca="false">IF($B95="","",الموظفون!$S95*IF(E95="سعودي",cfg_G_SE,cfg_G_NE)*G95/cfg_DAYS_M)</f>
        <v/>
      </c>
      <c r="V95" s="116" t="str">
        <f aca="false">IF($B95="","",SUMIFS('الحركات الشهرية'!$I$6:$I$1005,'الحركات الشهرية'!$B$6:$B$1005,$B95,'الحركات الشهرية'!$A$6:$A$1005,$C$3))</f>
        <v/>
      </c>
      <c r="W95" s="116" t="str">
        <f aca="false">IF($B95="","",SUMIFS('الحركات الشهرية'!$J$6:$J$1005,'الحركات الشهرية'!$B$6:$B$1005,$B95,'الحركات الشهرية'!$A$6:$A$1005,$C$3))</f>
        <v/>
      </c>
      <c r="X95" s="116" t="str">
        <f aca="false">IF($B95="","",SUM(U95:W95))</f>
        <v/>
      </c>
      <c r="Y95" s="158" t="str">
        <f aca="false">IF($B95="","",T95-X95)</f>
        <v/>
      </c>
      <c r="Z95" s="116" t="str">
        <f aca="false">IF($B95="","",الموظفون!$S95*IF(E95="سعودي",cfg_G_SR,cfg_G_NR)*G95/cfg_DAYS_M)</f>
        <v/>
      </c>
      <c r="AA95" s="116" t="str">
        <f aca="false">IF($B95="","",الموظفون!$Q95*(cfg_EOS_R1*(MIN(AH95,cfg_EOS_TH)-MIN(AI95,cfg_EOS_TH))+cfg_EOS_R2*(MAX(AH95-cfg_EOS_TH,0)-MAX(AI95-cfg_EOS_TH,0))))</f>
        <v/>
      </c>
      <c r="AB95" s="116" t="str">
        <f aca="false">IF($B95="","",IF(الموظفون!$T95&lt;&gt;"",الموظفون!$T95,IF(AH95&gt;=cfg_LV_TH,cfg_LV_D2,cfg_LV_D1))/cfg_DAYS_Y*AJ95*الموظفون!$R95/cfg_DAYS_M)</f>
        <v/>
      </c>
      <c r="AC95" s="116" t="str">
        <f aca="false">IF($B95="","",IF(AND(الموظفون!$U95="نعم",N(الموظفون!$W95)&gt;0),الموظفون!$V95/الموظفون!$W95*12/cfg_DAYS_Y*AJ95,0))</f>
        <v/>
      </c>
      <c r="AD95" s="116" t="str">
        <f aca="false">IF($B95="","",(IF(الموظفون!$X95&lt;&gt;"",الموظفون!$X95,IF(الموظفون!$E95="غير سعودي",cfg_IQ,0))+IF(الموظفون!$Y95&lt;&gt;"",الموظفون!$Y95,IF(الموظفون!$E95="غير سعودي",cfg_WP,0)))/12*G95/cfg_DAYS_M)</f>
        <v/>
      </c>
      <c r="AE95" s="116" t="str">
        <f aca="false">IF($B95="","",IF(الموظفون!$Z95&lt;&gt;"",الموظفون!$Z95,cfg_MED)/12*G95/cfg_DAYS_M)</f>
        <v/>
      </c>
      <c r="AF95" s="116" t="str">
        <f aca="false">IF($B95="","",N(الموظفون!$AA95)/12*G95/cfg_DAYS_M)</f>
        <v/>
      </c>
      <c r="AG95" s="159" t="str">
        <f aca="false">IF($B95="","",T95+SUM(Z95:AF95))</f>
        <v/>
      </c>
      <c r="AH95" s="160" t="str">
        <f aca="false">IF($B95="","",MAX(0,IF(OR(الموظفون!$AE95="",الموظفون!$AE95&gt;$F$3),$F$3,الموظفون!$AE95)-الموظفون!$H95+1-SUMIFS('سجل الإجازات والحالات'!$AN$6:$AN$505,'سجل الإجازات والحالات'!$B$6:$B$505,$B95))/cfg_DAYS_Y)</f>
        <v/>
      </c>
      <c r="AI95" s="160" t="str">
        <f aca="false">IF($B95="","",MAX(0,IF(OR(الموظفون!$AE95="",الموظفون!$AE95&gt;($E$3-1)),($E$3-1),الموظفون!$AE95)-الموظفون!$H95+1-SUMIFS('سجل الإجازات والحالات'!$AM$6:$AM$505,'سجل الإجازات والحالات'!$B$6:$B$505,$B95))/cfg_DAYS_Y)</f>
        <v/>
      </c>
      <c r="AJ95" s="133" t="str">
        <f aca="false">IF($B95="","",MAX(0,AK95-(SUMIFS('سجل الإجازات والحالات'!$AN$6:$AN$505,'سجل الإجازات والحالات'!$B$6:$B$505,$B95)-SUMIFS('سجل الإجازات والحالات'!$AM$6:$AM$505,'سجل الإجازات والحالات'!$B$6:$B$505,$B95))))</f>
        <v/>
      </c>
      <c r="AK95" s="133" t="str">
        <f aca="false">IF($B95="","",MAX(0,IF(OR(الموظفون!$AE95="",الموظفون!$AE95&gt;$F$3),$F$3,الموظفون!$AE95)-MAX($E$3,الموظفون!$H95)+1))</f>
        <v/>
      </c>
      <c r="AL95" s="156" t="str">
        <f aca="false">IF($B95="","",SUMIFS('سجل الإجازات والحالات'!$AZ$6:$AZ$505,'سجل الإجازات والحالات'!$B$6:$B$505,$B95)+SUMIFS('الحركات الشهرية'!$K$6:$K$1005,'الحركات الشهرية'!$B$6:$B$1005,$B95,'الحركات الشهرية'!$A$6:$A$1005,$C$3))</f>
        <v/>
      </c>
      <c r="AM95" s="116" t="str">
        <f aca="false">IF($B95="","",AL95*الموظفون!$R95/cfg_DAYS_M+S95)</f>
        <v/>
      </c>
      <c r="AN95" s="156" t="str">
        <f aca="false">IF($B95="","",SUMIFS('سجل الإجازات والحالات'!$AB$6:$AB$505,'سجل الإجازات والحالات'!$B$6:$B$505,$B95))</f>
        <v/>
      </c>
    </row>
    <row r="96" customFormat="false" ht="15" hidden="false" customHeight="false" outlineLevel="0" collapsed="false">
      <c r="A96" s="106" t="str">
        <f aca="false">IF($B96="","",الموظفون!$A96)</f>
        <v/>
      </c>
      <c r="B96" s="114" t="str">
        <f aca="false">IF(الموظفون!$B96="","",الموظفون!$B96)</f>
        <v/>
      </c>
      <c r="C96" s="114" t="str">
        <f aca="false">IF($B96="","",الموظفون!$C96)</f>
        <v/>
      </c>
      <c r="D96" s="114" t="str">
        <f aca="false">IF($B96="","",الموظفون!$F96)</f>
        <v/>
      </c>
      <c r="E96" s="114" t="str">
        <f aca="false">IF($B96="","",الموظفون!$E96)</f>
        <v/>
      </c>
      <c r="F96" s="114" t="str">
        <f aca="false">IF($B96="","",IF(AK96=0,IF(AND(الموظفون!$AE96&lt;&gt;"",الموظفون!$AE96&lt;$E$3),"✖ منتهي الخدمة","⏳ لم يباشر"),IF(S96&gt;0,"✈ راتب إجازة مقدم",IF(J96=0,"⛔ بدون راتب هذا الشهر",IF(I96&gt;0,"✈ خصم "&amp;ROUND(I96,2)&amp;" يوم بدون أجر",IF(AL96&gt;0,"🌴 إجازة سنوية "&amp;ROUND(AL96,2)&amp;" يوم",IF(H96&gt;0,"⚠ غياب "&amp;ROUND(H96,2)&amp;" يوم","✔ على رأس العمل")))))))</f>
        <v/>
      </c>
      <c r="G96" s="151" t="str">
        <f aca="false">IF($B96="","",IF(AK96&gt;=DAY($F$3),cfg_DAYS_M,MIN(AK96,cfg_DAYS_M)))</f>
        <v/>
      </c>
      <c r="H96" s="151" t="str">
        <f aca="false">IF($B96="","",SUMIFS('الحركات الشهرية'!$D$6:$D$1005,'الحركات الشهرية'!$B$6:$B$1005,$B96,'الحركات الشهرية'!$A$6:$A$1005,$C$3))</f>
        <v/>
      </c>
      <c r="I96" s="151" t="str">
        <f aca="false">IF($B96="","",MIN(G96,IF(AND(AK96&gt;0,AN96&gt;=AK96),G96,AN96)+SUMIFS('الحركات الشهرية'!$E$6:$E$1005,'الحركات الشهرية'!$B$6:$B$1005,$B96,'الحركات الشهرية'!$A$6:$A$1005,$C$3)))</f>
        <v/>
      </c>
      <c r="J96" s="151" t="str">
        <f aca="false">IF($B96="","",MAX(0,G96-H96-I96))</f>
        <v/>
      </c>
      <c r="K96" s="111" t="str">
        <f aca="false">IF($B96="","",الموظفون!$L96*$J96/cfg_DAYS_M)</f>
        <v/>
      </c>
      <c r="L96" s="111" t="str">
        <f aca="false">IF($B96="","",الموظفون!$M96*$J96/cfg_DAYS_M)</f>
        <v/>
      </c>
      <c r="M96" s="111" t="str">
        <f aca="false">IF($B96="","",الموظفون!$N96*$J96/cfg_DAYS_M)</f>
        <v/>
      </c>
      <c r="N96" s="111" t="str">
        <f aca="false">IF($B96="","",الموظفون!$O96*$J96/cfg_DAYS_M)</f>
        <v/>
      </c>
      <c r="O96" s="151" t="str">
        <f aca="false">IF($B96="","",SUMIFS('الحركات الشهرية'!$F$6:$F$1005,'الحركات الشهرية'!$B$6:$B$1005,$B96,'الحركات الشهرية'!$A$6:$A$1005,$C$3))</f>
        <v/>
      </c>
      <c r="P96" s="111" t="str">
        <f aca="false">IF($B96="","",O96*(الموظفون!$P96+الموظفون!$L96*cfg_OT_P)/cfg_DAYS_M/cfg_HRS)</f>
        <v/>
      </c>
      <c r="Q96" s="111" t="str">
        <f aca="false">IF($B96="","",SUMIFS('الحركات الشهرية'!$G$6:$G$1005,'الحركات الشهرية'!$B$6:$B$1005,$B96,'الحركات الشهرية'!$A$6:$A$1005,$C$3))</f>
        <v/>
      </c>
      <c r="R96" s="111" t="str">
        <f aca="false">IF($B96="","",SUMIFS('الحركات الشهرية'!$H$6:$H$1005,'الحركات الشهرية'!$B$6:$B$1005,$B96,'الحركات الشهرية'!$A$6:$A$1005,$C$3))</f>
        <v/>
      </c>
      <c r="S96" s="111" t="str">
        <f aca="false">IF($B96="","",SUMIFS('سجل الإجازات والحالات'!$N$6:$N$505,'سجل الإجازات والحالات'!$B$6:$B$505,$B96,'سجل الإجازات والحالات'!$O$6:$O$505,$C$3))</f>
        <v/>
      </c>
      <c r="T96" s="152" t="str">
        <f aca="false">IF($B96="","",SUM(K96:N96)+SUM(P96:S96))</f>
        <v/>
      </c>
      <c r="U96" s="111" t="str">
        <f aca="false">IF($B96="","",الموظفون!$S96*IF(E96="سعودي",cfg_G_SE,cfg_G_NE)*G96/cfg_DAYS_M)</f>
        <v/>
      </c>
      <c r="V96" s="111" t="str">
        <f aca="false">IF($B96="","",SUMIFS('الحركات الشهرية'!$I$6:$I$1005,'الحركات الشهرية'!$B$6:$B$1005,$B96,'الحركات الشهرية'!$A$6:$A$1005,$C$3))</f>
        <v/>
      </c>
      <c r="W96" s="111" t="str">
        <f aca="false">IF($B96="","",SUMIFS('الحركات الشهرية'!$J$6:$J$1005,'الحركات الشهرية'!$B$6:$B$1005,$B96,'الحركات الشهرية'!$A$6:$A$1005,$C$3))</f>
        <v/>
      </c>
      <c r="X96" s="111" t="str">
        <f aca="false">IF($B96="","",SUM(U96:W96))</f>
        <v/>
      </c>
      <c r="Y96" s="153" t="str">
        <f aca="false">IF($B96="","",T96-X96)</f>
        <v/>
      </c>
      <c r="Z96" s="111" t="str">
        <f aca="false">IF($B96="","",الموظفون!$S96*IF(E96="سعودي",cfg_G_SR,cfg_G_NR)*G96/cfg_DAYS_M)</f>
        <v/>
      </c>
      <c r="AA96" s="111" t="str">
        <f aca="false">IF($B96="","",الموظفون!$Q96*(cfg_EOS_R1*(MIN(AH96,cfg_EOS_TH)-MIN(AI96,cfg_EOS_TH))+cfg_EOS_R2*(MAX(AH96-cfg_EOS_TH,0)-MAX(AI96-cfg_EOS_TH,0))))</f>
        <v/>
      </c>
      <c r="AB96" s="111" t="str">
        <f aca="false">IF($B96="","",IF(الموظفون!$T96&lt;&gt;"",الموظفون!$T96,IF(AH96&gt;=cfg_LV_TH,cfg_LV_D2,cfg_LV_D1))/cfg_DAYS_Y*AJ96*الموظفون!$R96/cfg_DAYS_M)</f>
        <v/>
      </c>
      <c r="AC96" s="111" t="str">
        <f aca="false">IF($B96="","",IF(AND(الموظفون!$U96="نعم",N(الموظفون!$W96)&gt;0),الموظفون!$V96/الموظفون!$W96*12/cfg_DAYS_Y*AJ96,0))</f>
        <v/>
      </c>
      <c r="AD96" s="111" t="str">
        <f aca="false">IF($B96="","",(IF(الموظفون!$X96&lt;&gt;"",الموظفون!$X96,IF(الموظفون!$E96="غير سعودي",cfg_IQ,0))+IF(الموظفون!$Y96&lt;&gt;"",الموظفون!$Y96,IF(الموظفون!$E96="غير سعودي",cfg_WP,0)))/12*G96/cfg_DAYS_M)</f>
        <v/>
      </c>
      <c r="AE96" s="111" t="str">
        <f aca="false">IF($B96="","",IF(الموظفون!$Z96&lt;&gt;"",الموظفون!$Z96,cfg_MED)/12*G96/cfg_DAYS_M)</f>
        <v/>
      </c>
      <c r="AF96" s="111" t="str">
        <f aca="false">IF($B96="","",N(الموظفون!$AA96)/12*G96/cfg_DAYS_M)</f>
        <v/>
      </c>
      <c r="AG96" s="154" t="str">
        <f aca="false">IF($B96="","",T96+SUM(Z96:AF96))</f>
        <v/>
      </c>
      <c r="AH96" s="155" t="str">
        <f aca="false">IF($B96="","",MAX(0,IF(OR(الموظفون!$AE96="",الموظفون!$AE96&gt;$F$3),$F$3,الموظفون!$AE96)-الموظفون!$H96+1-SUMIFS('سجل الإجازات والحالات'!$AN$6:$AN$505,'سجل الإجازات والحالات'!$B$6:$B$505,$B96))/cfg_DAYS_Y)</f>
        <v/>
      </c>
      <c r="AI96" s="155" t="str">
        <f aca="false">IF($B96="","",MAX(0,IF(OR(الموظفون!$AE96="",الموظفون!$AE96&gt;($E$3-1)),($E$3-1),الموظفون!$AE96)-الموظفون!$H96+1-SUMIFS('سجل الإجازات والحالات'!$AM$6:$AM$505,'سجل الإجازات والحالات'!$B$6:$B$505,$B96))/cfg_DAYS_Y)</f>
        <v/>
      </c>
      <c r="AJ96" s="65" t="str">
        <f aca="false">IF($B96="","",MAX(0,AK96-(SUMIFS('سجل الإجازات والحالات'!$AN$6:$AN$505,'سجل الإجازات والحالات'!$B$6:$B$505,$B96)-SUMIFS('سجل الإجازات والحالات'!$AM$6:$AM$505,'سجل الإجازات والحالات'!$B$6:$B$505,$B96))))</f>
        <v/>
      </c>
      <c r="AK96" s="65" t="str">
        <f aca="false">IF($B96="","",MAX(0,IF(OR(الموظفون!$AE96="",الموظفون!$AE96&gt;$F$3),$F$3,الموظفون!$AE96)-MAX($E$3,الموظفون!$H96)+1))</f>
        <v/>
      </c>
      <c r="AL96" s="151" t="str">
        <f aca="false">IF($B96="","",SUMIFS('سجل الإجازات والحالات'!$AZ$6:$AZ$505,'سجل الإجازات والحالات'!$B$6:$B$505,$B96)+SUMIFS('الحركات الشهرية'!$K$6:$K$1005,'الحركات الشهرية'!$B$6:$B$1005,$B96,'الحركات الشهرية'!$A$6:$A$1005,$C$3))</f>
        <v/>
      </c>
      <c r="AM96" s="111" t="str">
        <f aca="false">IF($B96="","",AL96*الموظفون!$R96/cfg_DAYS_M+S96)</f>
        <v/>
      </c>
      <c r="AN96" s="151" t="str">
        <f aca="false">IF($B96="","",SUMIFS('سجل الإجازات والحالات'!$AB$6:$AB$505,'سجل الإجازات والحالات'!$B$6:$B$505,$B96))</f>
        <v/>
      </c>
    </row>
    <row r="97" customFormat="false" ht="15" hidden="false" customHeight="false" outlineLevel="0" collapsed="false">
      <c r="A97" s="115" t="str">
        <f aca="false">IF($B97="","",الموظفون!$A97)</f>
        <v/>
      </c>
      <c r="B97" s="117" t="str">
        <f aca="false">IF(الموظفون!$B97="","",الموظفون!$B97)</f>
        <v/>
      </c>
      <c r="C97" s="117" t="str">
        <f aca="false">IF($B97="","",الموظفون!$C97)</f>
        <v/>
      </c>
      <c r="D97" s="117" t="str">
        <f aca="false">IF($B97="","",الموظفون!$F97)</f>
        <v/>
      </c>
      <c r="E97" s="117" t="str">
        <f aca="false">IF($B97="","",الموظفون!$E97)</f>
        <v/>
      </c>
      <c r="F97" s="117" t="str">
        <f aca="false">IF($B97="","",IF(AK97=0,IF(AND(الموظفون!$AE97&lt;&gt;"",الموظفون!$AE97&lt;$E$3),"✖ منتهي الخدمة","⏳ لم يباشر"),IF(S97&gt;0,"✈ راتب إجازة مقدم",IF(J97=0,"⛔ بدون راتب هذا الشهر",IF(I97&gt;0,"✈ خصم "&amp;ROUND(I97,2)&amp;" يوم بدون أجر",IF(AL97&gt;0,"🌴 إجازة سنوية "&amp;ROUND(AL97,2)&amp;" يوم",IF(H97&gt;0,"⚠ غياب "&amp;ROUND(H97,2)&amp;" يوم","✔ على رأس العمل")))))))</f>
        <v/>
      </c>
      <c r="G97" s="156" t="str">
        <f aca="false">IF($B97="","",IF(AK97&gt;=DAY($F$3),cfg_DAYS_M,MIN(AK97,cfg_DAYS_M)))</f>
        <v/>
      </c>
      <c r="H97" s="156" t="str">
        <f aca="false">IF($B97="","",SUMIFS('الحركات الشهرية'!$D$6:$D$1005,'الحركات الشهرية'!$B$6:$B$1005,$B97,'الحركات الشهرية'!$A$6:$A$1005,$C$3))</f>
        <v/>
      </c>
      <c r="I97" s="156" t="str">
        <f aca="false">IF($B97="","",MIN(G97,IF(AND(AK97&gt;0,AN97&gt;=AK97),G97,AN97)+SUMIFS('الحركات الشهرية'!$E$6:$E$1005,'الحركات الشهرية'!$B$6:$B$1005,$B97,'الحركات الشهرية'!$A$6:$A$1005,$C$3)))</f>
        <v/>
      </c>
      <c r="J97" s="156" t="str">
        <f aca="false">IF($B97="","",MAX(0,G97-H97-I97))</f>
        <v/>
      </c>
      <c r="K97" s="116" t="str">
        <f aca="false">IF($B97="","",الموظفون!$L97*$J97/cfg_DAYS_M)</f>
        <v/>
      </c>
      <c r="L97" s="116" t="str">
        <f aca="false">IF($B97="","",الموظفون!$M97*$J97/cfg_DAYS_M)</f>
        <v/>
      </c>
      <c r="M97" s="116" t="str">
        <f aca="false">IF($B97="","",الموظفون!$N97*$J97/cfg_DAYS_M)</f>
        <v/>
      </c>
      <c r="N97" s="116" t="str">
        <f aca="false">IF($B97="","",الموظفون!$O97*$J97/cfg_DAYS_M)</f>
        <v/>
      </c>
      <c r="O97" s="156" t="str">
        <f aca="false">IF($B97="","",SUMIFS('الحركات الشهرية'!$F$6:$F$1005,'الحركات الشهرية'!$B$6:$B$1005,$B97,'الحركات الشهرية'!$A$6:$A$1005,$C$3))</f>
        <v/>
      </c>
      <c r="P97" s="116" t="str">
        <f aca="false">IF($B97="","",O97*(الموظفون!$P97+الموظفون!$L97*cfg_OT_P)/cfg_DAYS_M/cfg_HRS)</f>
        <v/>
      </c>
      <c r="Q97" s="116" t="str">
        <f aca="false">IF($B97="","",SUMIFS('الحركات الشهرية'!$G$6:$G$1005,'الحركات الشهرية'!$B$6:$B$1005,$B97,'الحركات الشهرية'!$A$6:$A$1005,$C$3))</f>
        <v/>
      </c>
      <c r="R97" s="116" t="str">
        <f aca="false">IF($B97="","",SUMIFS('الحركات الشهرية'!$H$6:$H$1005,'الحركات الشهرية'!$B$6:$B$1005,$B97,'الحركات الشهرية'!$A$6:$A$1005,$C$3))</f>
        <v/>
      </c>
      <c r="S97" s="116" t="str">
        <f aca="false">IF($B97="","",SUMIFS('سجل الإجازات والحالات'!$N$6:$N$505,'سجل الإجازات والحالات'!$B$6:$B$505,$B97,'سجل الإجازات والحالات'!$O$6:$O$505,$C$3))</f>
        <v/>
      </c>
      <c r="T97" s="157" t="str">
        <f aca="false">IF($B97="","",SUM(K97:N97)+SUM(P97:S97))</f>
        <v/>
      </c>
      <c r="U97" s="116" t="str">
        <f aca="false">IF($B97="","",الموظفون!$S97*IF(E97="سعودي",cfg_G_SE,cfg_G_NE)*G97/cfg_DAYS_M)</f>
        <v/>
      </c>
      <c r="V97" s="116" t="str">
        <f aca="false">IF($B97="","",SUMIFS('الحركات الشهرية'!$I$6:$I$1005,'الحركات الشهرية'!$B$6:$B$1005,$B97,'الحركات الشهرية'!$A$6:$A$1005,$C$3))</f>
        <v/>
      </c>
      <c r="W97" s="116" t="str">
        <f aca="false">IF($B97="","",SUMIFS('الحركات الشهرية'!$J$6:$J$1005,'الحركات الشهرية'!$B$6:$B$1005,$B97,'الحركات الشهرية'!$A$6:$A$1005,$C$3))</f>
        <v/>
      </c>
      <c r="X97" s="116" t="str">
        <f aca="false">IF($B97="","",SUM(U97:W97))</f>
        <v/>
      </c>
      <c r="Y97" s="158" t="str">
        <f aca="false">IF($B97="","",T97-X97)</f>
        <v/>
      </c>
      <c r="Z97" s="116" t="str">
        <f aca="false">IF($B97="","",الموظفون!$S97*IF(E97="سعودي",cfg_G_SR,cfg_G_NR)*G97/cfg_DAYS_M)</f>
        <v/>
      </c>
      <c r="AA97" s="116" t="str">
        <f aca="false">IF($B97="","",الموظفون!$Q97*(cfg_EOS_R1*(MIN(AH97,cfg_EOS_TH)-MIN(AI97,cfg_EOS_TH))+cfg_EOS_R2*(MAX(AH97-cfg_EOS_TH,0)-MAX(AI97-cfg_EOS_TH,0))))</f>
        <v/>
      </c>
      <c r="AB97" s="116" t="str">
        <f aca="false">IF($B97="","",IF(الموظفون!$T97&lt;&gt;"",الموظفون!$T97,IF(AH97&gt;=cfg_LV_TH,cfg_LV_D2,cfg_LV_D1))/cfg_DAYS_Y*AJ97*الموظفون!$R97/cfg_DAYS_M)</f>
        <v/>
      </c>
      <c r="AC97" s="116" t="str">
        <f aca="false">IF($B97="","",IF(AND(الموظفون!$U97="نعم",N(الموظفون!$W97)&gt;0),الموظفون!$V97/الموظفون!$W97*12/cfg_DAYS_Y*AJ97,0))</f>
        <v/>
      </c>
      <c r="AD97" s="116" t="str">
        <f aca="false">IF($B97="","",(IF(الموظفون!$X97&lt;&gt;"",الموظفون!$X97,IF(الموظفون!$E97="غير سعودي",cfg_IQ,0))+IF(الموظفون!$Y97&lt;&gt;"",الموظفون!$Y97,IF(الموظفون!$E97="غير سعودي",cfg_WP,0)))/12*G97/cfg_DAYS_M)</f>
        <v/>
      </c>
      <c r="AE97" s="116" t="str">
        <f aca="false">IF($B97="","",IF(الموظفون!$Z97&lt;&gt;"",الموظفون!$Z97,cfg_MED)/12*G97/cfg_DAYS_M)</f>
        <v/>
      </c>
      <c r="AF97" s="116" t="str">
        <f aca="false">IF($B97="","",N(الموظفون!$AA97)/12*G97/cfg_DAYS_M)</f>
        <v/>
      </c>
      <c r="AG97" s="159" t="str">
        <f aca="false">IF($B97="","",T97+SUM(Z97:AF97))</f>
        <v/>
      </c>
      <c r="AH97" s="160" t="str">
        <f aca="false">IF($B97="","",MAX(0,IF(OR(الموظفون!$AE97="",الموظفون!$AE97&gt;$F$3),$F$3,الموظفون!$AE97)-الموظفون!$H97+1-SUMIFS('سجل الإجازات والحالات'!$AN$6:$AN$505,'سجل الإجازات والحالات'!$B$6:$B$505,$B97))/cfg_DAYS_Y)</f>
        <v/>
      </c>
      <c r="AI97" s="160" t="str">
        <f aca="false">IF($B97="","",MAX(0,IF(OR(الموظفون!$AE97="",الموظفون!$AE97&gt;($E$3-1)),($E$3-1),الموظفون!$AE97)-الموظفون!$H97+1-SUMIFS('سجل الإجازات والحالات'!$AM$6:$AM$505,'سجل الإجازات والحالات'!$B$6:$B$505,$B97))/cfg_DAYS_Y)</f>
        <v/>
      </c>
      <c r="AJ97" s="133" t="str">
        <f aca="false">IF($B97="","",MAX(0,AK97-(SUMIFS('سجل الإجازات والحالات'!$AN$6:$AN$505,'سجل الإجازات والحالات'!$B$6:$B$505,$B97)-SUMIFS('سجل الإجازات والحالات'!$AM$6:$AM$505,'سجل الإجازات والحالات'!$B$6:$B$505,$B97))))</f>
        <v/>
      </c>
      <c r="AK97" s="133" t="str">
        <f aca="false">IF($B97="","",MAX(0,IF(OR(الموظفون!$AE97="",الموظفون!$AE97&gt;$F$3),$F$3,الموظفون!$AE97)-MAX($E$3,الموظفون!$H97)+1))</f>
        <v/>
      </c>
      <c r="AL97" s="156" t="str">
        <f aca="false">IF($B97="","",SUMIFS('سجل الإجازات والحالات'!$AZ$6:$AZ$505,'سجل الإجازات والحالات'!$B$6:$B$505,$B97)+SUMIFS('الحركات الشهرية'!$K$6:$K$1005,'الحركات الشهرية'!$B$6:$B$1005,$B97,'الحركات الشهرية'!$A$6:$A$1005,$C$3))</f>
        <v/>
      </c>
      <c r="AM97" s="116" t="str">
        <f aca="false">IF($B97="","",AL97*الموظفون!$R97/cfg_DAYS_M+S97)</f>
        <v/>
      </c>
      <c r="AN97" s="156" t="str">
        <f aca="false">IF($B97="","",SUMIFS('سجل الإجازات والحالات'!$AB$6:$AB$505,'سجل الإجازات والحالات'!$B$6:$B$505,$B97))</f>
        <v/>
      </c>
    </row>
    <row r="98" customFormat="false" ht="15" hidden="false" customHeight="false" outlineLevel="0" collapsed="false">
      <c r="A98" s="106" t="str">
        <f aca="false">IF($B98="","",الموظفون!$A98)</f>
        <v/>
      </c>
      <c r="B98" s="114" t="str">
        <f aca="false">IF(الموظفون!$B98="","",الموظفون!$B98)</f>
        <v/>
      </c>
      <c r="C98" s="114" t="str">
        <f aca="false">IF($B98="","",الموظفون!$C98)</f>
        <v/>
      </c>
      <c r="D98" s="114" t="str">
        <f aca="false">IF($B98="","",الموظفون!$F98)</f>
        <v/>
      </c>
      <c r="E98" s="114" t="str">
        <f aca="false">IF($B98="","",الموظفون!$E98)</f>
        <v/>
      </c>
      <c r="F98" s="114" t="str">
        <f aca="false">IF($B98="","",IF(AK98=0,IF(AND(الموظفون!$AE98&lt;&gt;"",الموظفون!$AE98&lt;$E$3),"✖ منتهي الخدمة","⏳ لم يباشر"),IF(S98&gt;0,"✈ راتب إجازة مقدم",IF(J98=0,"⛔ بدون راتب هذا الشهر",IF(I98&gt;0,"✈ خصم "&amp;ROUND(I98,2)&amp;" يوم بدون أجر",IF(AL98&gt;0,"🌴 إجازة سنوية "&amp;ROUND(AL98,2)&amp;" يوم",IF(H98&gt;0,"⚠ غياب "&amp;ROUND(H98,2)&amp;" يوم","✔ على رأس العمل")))))))</f>
        <v/>
      </c>
      <c r="G98" s="151" t="str">
        <f aca="false">IF($B98="","",IF(AK98&gt;=DAY($F$3),cfg_DAYS_M,MIN(AK98,cfg_DAYS_M)))</f>
        <v/>
      </c>
      <c r="H98" s="151" t="str">
        <f aca="false">IF($B98="","",SUMIFS('الحركات الشهرية'!$D$6:$D$1005,'الحركات الشهرية'!$B$6:$B$1005,$B98,'الحركات الشهرية'!$A$6:$A$1005,$C$3))</f>
        <v/>
      </c>
      <c r="I98" s="151" t="str">
        <f aca="false">IF($B98="","",MIN(G98,IF(AND(AK98&gt;0,AN98&gt;=AK98),G98,AN98)+SUMIFS('الحركات الشهرية'!$E$6:$E$1005,'الحركات الشهرية'!$B$6:$B$1005,$B98,'الحركات الشهرية'!$A$6:$A$1005,$C$3)))</f>
        <v/>
      </c>
      <c r="J98" s="151" t="str">
        <f aca="false">IF($B98="","",MAX(0,G98-H98-I98))</f>
        <v/>
      </c>
      <c r="K98" s="111" t="str">
        <f aca="false">IF($B98="","",الموظفون!$L98*$J98/cfg_DAYS_M)</f>
        <v/>
      </c>
      <c r="L98" s="111" t="str">
        <f aca="false">IF($B98="","",الموظفون!$M98*$J98/cfg_DAYS_M)</f>
        <v/>
      </c>
      <c r="M98" s="111" t="str">
        <f aca="false">IF($B98="","",الموظفون!$N98*$J98/cfg_DAYS_M)</f>
        <v/>
      </c>
      <c r="N98" s="111" t="str">
        <f aca="false">IF($B98="","",الموظفون!$O98*$J98/cfg_DAYS_M)</f>
        <v/>
      </c>
      <c r="O98" s="151" t="str">
        <f aca="false">IF($B98="","",SUMIFS('الحركات الشهرية'!$F$6:$F$1005,'الحركات الشهرية'!$B$6:$B$1005,$B98,'الحركات الشهرية'!$A$6:$A$1005,$C$3))</f>
        <v/>
      </c>
      <c r="P98" s="111" t="str">
        <f aca="false">IF($B98="","",O98*(الموظفون!$P98+الموظفون!$L98*cfg_OT_P)/cfg_DAYS_M/cfg_HRS)</f>
        <v/>
      </c>
      <c r="Q98" s="111" t="str">
        <f aca="false">IF($B98="","",SUMIFS('الحركات الشهرية'!$G$6:$G$1005,'الحركات الشهرية'!$B$6:$B$1005,$B98,'الحركات الشهرية'!$A$6:$A$1005,$C$3))</f>
        <v/>
      </c>
      <c r="R98" s="111" t="str">
        <f aca="false">IF($B98="","",SUMIFS('الحركات الشهرية'!$H$6:$H$1005,'الحركات الشهرية'!$B$6:$B$1005,$B98,'الحركات الشهرية'!$A$6:$A$1005,$C$3))</f>
        <v/>
      </c>
      <c r="S98" s="111" t="str">
        <f aca="false">IF($B98="","",SUMIFS('سجل الإجازات والحالات'!$N$6:$N$505,'سجل الإجازات والحالات'!$B$6:$B$505,$B98,'سجل الإجازات والحالات'!$O$6:$O$505,$C$3))</f>
        <v/>
      </c>
      <c r="T98" s="152" t="str">
        <f aca="false">IF($B98="","",SUM(K98:N98)+SUM(P98:S98))</f>
        <v/>
      </c>
      <c r="U98" s="111" t="str">
        <f aca="false">IF($B98="","",الموظفون!$S98*IF(E98="سعودي",cfg_G_SE,cfg_G_NE)*G98/cfg_DAYS_M)</f>
        <v/>
      </c>
      <c r="V98" s="111" t="str">
        <f aca="false">IF($B98="","",SUMIFS('الحركات الشهرية'!$I$6:$I$1005,'الحركات الشهرية'!$B$6:$B$1005,$B98,'الحركات الشهرية'!$A$6:$A$1005,$C$3))</f>
        <v/>
      </c>
      <c r="W98" s="111" t="str">
        <f aca="false">IF($B98="","",SUMIFS('الحركات الشهرية'!$J$6:$J$1005,'الحركات الشهرية'!$B$6:$B$1005,$B98,'الحركات الشهرية'!$A$6:$A$1005,$C$3))</f>
        <v/>
      </c>
      <c r="X98" s="111" t="str">
        <f aca="false">IF($B98="","",SUM(U98:W98))</f>
        <v/>
      </c>
      <c r="Y98" s="153" t="str">
        <f aca="false">IF($B98="","",T98-X98)</f>
        <v/>
      </c>
      <c r="Z98" s="111" t="str">
        <f aca="false">IF($B98="","",الموظفون!$S98*IF(E98="سعودي",cfg_G_SR,cfg_G_NR)*G98/cfg_DAYS_M)</f>
        <v/>
      </c>
      <c r="AA98" s="111" t="str">
        <f aca="false">IF($B98="","",الموظفون!$Q98*(cfg_EOS_R1*(MIN(AH98,cfg_EOS_TH)-MIN(AI98,cfg_EOS_TH))+cfg_EOS_R2*(MAX(AH98-cfg_EOS_TH,0)-MAX(AI98-cfg_EOS_TH,0))))</f>
        <v/>
      </c>
      <c r="AB98" s="111" t="str">
        <f aca="false">IF($B98="","",IF(الموظفون!$T98&lt;&gt;"",الموظفون!$T98,IF(AH98&gt;=cfg_LV_TH,cfg_LV_D2,cfg_LV_D1))/cfg_DAYS_Y*AJ98*الموظفون!$R98/cfg_DAYS_M)</f>
        <v/>
      </c>
      <c r="AC98" s="111" t="str">
        <f aca="false">IF($B98="","",IF(AND(الموظفون!$U98="نعم",N(الموظفون!$W98)&gt;0),الموظفون!$V98/الموظفون!$W98*12/cfg_DAYS_Y*AJ98,0))</f>
        <v/>
      </c>
      <c r="AD98" s="111" t="str">
        <f aca="false">IF($B98="","",(IF(الموظفون!$X98&lt;&gt;"",الموظفون!$X98,IF(الموظفون!$E98="غير سعودي",cfg_IQ,0))+IF(الموظفون!$Y98&lt;&gt;"",الموظفون!$Y98,IF(الموظفون!$E98="غير سعودي",cfg_WP,0)))/12*G98/cfg_DAYS_M)</f>
        <v/>
      </c>
      <c r="AE98" s="111" t="str">
        <f aca="false">IF($B98="","",IF(الموظفون!$Z98&lt;&gt;"",الموظفون!$Z98,cfg_MED)/12*G98/cfg_DAYS_M)</f>
        <v/>
      </c>
      <c r="AF98" s="111" t="str">
        <f aca="false">IF($B98="","",N(الموظفون!$AA98)/12*G98/cfg_DAYS_M)</f>
        <v/>
      </c>
      <c r="AG98" s="154" t="str">
        <f aca="false">IF($B98="","",T98+SUM(Z98:AF98))</f>
        <v/>
      </c>
      <c r="AH98" s="155" t="str">
        <f aca="false">IF($B98="","",MAX(0,IF(OR(الموظفون!$AE98="",الموظفون!$AE98&gt;$F$3),$F$3,الموظفون!$AE98)-الموظفون!$H98+1-SUMIFS('سجل الإجازات والحالات'!$AN$6:$AN$505,'سجل الإجازات والحالات'!$B$6:$B$505,$B98))/cfg_DAYS_Y)</f>
        <v/>
      </c>
      <c r="AI98" s="155" t="str">
        <f aca="false">IF($B98="","",MAX(0,IF(OR(الموظفون!$AE98="",الموظفون!$AE98&gt;($E$3-1)),($E$3-1),الموظفون!$AE98)-الموظفون!$H98+1-SUMIFS('سجل الإجازات والحالات'!$AM$6:$AM$505,'سجل الإجازات والحالات'!$B$6:$B$505,$B98))/cfg_DAYS_Y)</f>
        <v/>
      </c>
      <c r="AJ98" s="65" t="str">
        <f aca="false">IF($B98="","",MAX(0,AK98-(SUMIFS('سجل الإجازات والحالات'!$AN$6:$AN$505,'سجل الإجازات والحالات'!$B$6:$B$505,$B98)-SUMIFS('سجل الإجازات والحالات'!$AM$6:$AM$505,'سجل الإجازات والحالات'!$B$6:$B$505,$B98))))</f>
        <v/>
      </c>
      <c r="AK98" s="65" t="str">
        <f aca="false">IF($B98="","",MAX(0,IF(OR(الموظفون!$AE98="",الموظفون!$AE98&gt;$F$3),$F$3,الموظفون!$AE98)-MAX($E$3,الموظفون!$H98)+1))</f>
        <v/>
      </c>
      <c r="AL98" s="151" t="str">
        <f aca="false">IF($B98="","",SUMIFS('سجل الإجازات والحالات'!$AZ$6:$AZ$505,'سجل الإجازات والحالات'!$B$6:$B$505,$B98)+SUMIFS('الحركات الشهرية'!$K$6:$K$1005,'الحركات الشهرية'!$B$6:$B$1005,$B98,'الحركات الشهرية'!$A$6:$A$1005,$C$3))</f>
        <v/>
      </c>
      <c r="AM98" s="111" t="str">
        <f aca="false">IF($B98="","",AL98*الموظفون!$R98/cfg_DAYS_M+S98)</f>
        <v/>
      </c>
      <c r="AN98" s="151" t="str">
        <f aca="false">IF($B98="","",SUMIFS('سجل الإجازات والحالات'!$AB$6:$AB$505,'سجل الإجازات والحالات'!$B$6:$B$505,$B98))</f>
        <v/>
      </c>
    </row>
    <row r="99" customFormat="false" ht="15" hidden="false" customHeight="false" outlineLevel="0" collapsed="false">
      <c r="A99" s="115" t="str">
        <f aca="false">IF($B99="","",الموظفون!$A99)</f>
        <v/>
      </c>
      <c r="B99" s="117" t="str">
        <f aca="false">IF(الموظفون!$B99="","",الموظفون!$B99)</f>
        <v/>
      </c>
      <c r="C99" s="117" t="str">
        <f aca="false">IF($B99="","",الموظفون!$C99)</f>
        <v/>
      </c>
      <c r="D99" s="117" t="str">
        <f aca="false">IF($B99="","",الموظفون!$F99)</f>
        <v/>
      </c>
      <c r="E99" s="117" t="str">
        <f aca="false">IF($B99="","",الموظفون!$E99)</f>
        <v/>
      </c>
      <c r="F99" s="117" t="str">
        <f aca="false">IF($B99="","",IF(AK99=0,IF(AND(الموظفون!$AE99&lt;&gt;"",الموظفون!$AE99&lt;$E$3),"✖ منتهي الخدمة","⏳ لم يباشر"),IF(S99&gt;0,"✈ راتب إجازة مقدم",IF(J99=0,"⛔ بدون راتب هذا الشهر",IF(I99&gt;0,"✈ خصم "&amp;ROUND(I99,2)&amp;" يوم بدون أجر",IF(AL99&gt;0,"🌴 إجازة سنوية "&amp;ROUND(AL99,2)&amp;" يوم",IF(H99&gt;0,"⚠ غياب "&amp;ROUND(H99,2)&amp;" يوم","✔ على رأس العمل")))))))</f>
        <v/>
      </c>
      <c r="G99" s="156" t="str">
        <f aca="false">IF($B99="","",IF(AK99&gt;=DAY($F$3),cfg_DAYS_M,MIN(AK99,cfg_DAYS_M)))</f>
        <v/>
      </c>
      <c r="H99" s="156" t="str">
        <f aca="false">IF($B99="","",SUMIFS('الحركات الشهرية'!$D$6:$D$1005,'الحركات الشهرية'!$B$6:$B$1005,$B99,'الحركات الشهرية'!$A$6:$A$1005,$C$3))</f>
        <v/>
      </c>
      <c r="I99" s="156" t="str">
        <f aca="false">IF($B99="","",MIN(G99,IF(AND(AK99&gt;0,AN99&gt;=AK99),G99,AN99)+SUMIFS('الحركات الشهرية'!$E$6:$E$1005,'الحركات الشهرية'!$B$6:$B$1005,$B99,'الحركات الشهرية'!$A$6:$A$1005,$C$3)))</f>
        <v/>
      </c>
      <c r="J99" s="156" t="str">
        <f aca="false">IF($B99="","",MAX(0,G99-H99-I99))</f>
        <v/>
      </c>
      <c r="K99" s="116" t="str">
        <f aca="false">IF($B99="","",الموظفون!$L99*$J99/cfg_DAYS_M)</f>
        <v/>
      </c>
      <c r="L99" s="116" t="str">
        <f aca="false">IF($B99="","",الموظفون!$M99*$J99/cfg_DAYS_M)</f>
        <v/>
      </c>
      <c r="M99" s="116" t="str">
        <f aca="false">IF($B99="","",الموظفون!$N99*$J99/cfg_DAYS_M)</f>
        <v/>
      </c>
      <c r="N99" s="116" t="str">
        <f aca="false">IF($B99="","",الموظفون!$O99*$J99/cfg_DAYS_M)</f>
        <v/>
      </c>
      <c r="O99" s="156" t="str">
        <f aca="false">IF($B99="","",SUMIFS('الحركات الشهرية'!$F$6:$F$1005,'الحركات الشهرية'!$B$6:$B$1005,$B99,'الحركات الشهرية'!$A$6:$A$1005,$C$3))</f>
        <v/>
      </c>
      <c r="P99" s="116" t="str">
        <f aca="false">IF($B99="","",O99*(الموظفون!$P99+الموظفون!$L99*cfg_OT_P)/cfg_DAYS_M/cfg_HRS)</f>
        <v/>
      </c>
      <c r="Q99" s="116" t="str">
        <f aca="false">IF($B99="","",SUMIFS('الحركات الشهرية'!$G$6:$G$1005,'الحركات الشهرية'!$B$6:$B$1005,$B99,'الحركات الشهرية'!$A$6:$A$1005,$C$3))</f>
        <v/>
      </c>
      <c r="R99" s="116" t="str">
        <f aca="false">IF($B99="","",SUMIFS('الحركات الشهرية'!$H$6:$H$1005,'الحركات الشهرية'!$B$6:$B$1005,$B99,'الحركات الشهرية'!$A$6:$A$1005,$C$3))</f>
        <v/>
      </c>
      <c r="S99" s="116" t="str">
        <f aca="false">IF($B99="","",SUMIFS('سجل الإجازات والحالات'!$N$6:$N$505,'سجل الإجازات والحالات'!$B$6:$B$505,$B99,'سجل الإجازات والحالات'!$O$6:$O$505,$C$3))</f>
        <v/>
      </c>
      <c r="T99" s="157" t="str">
        <f aca="false">IF($B99="","",SUM(K99:N99)+SUM(P99:S99))</f>
        <v/>
      </c>
      <c r="U99" s="116" t="str">
        <f aca="false">IF($B99="","",الموظفون!$S99*IF(E99="سعودي",cfg_G_SE,cfg_G_NE)*G99/cfg_DAYS_M)</f>
        <v/>
      </c>
      <c r="V99" s="116" t="str">
        <f aca="false">IF($B99="","",SUMIFS('الحركات الشهرية'!$I$6:$I$1005,'الحركات الشهرية'!$B$6:$B$1005,$B99,'الحركات الشهرية'!$A$6:$A$1005,$C$3))</f>
        <v/>
      </c>
      <c r="W99" s="116" t="str">
        <f aca="false">IF($B99="","",SUMIFS('الحركات الشهرية'!$J$6:$J$1005,'الحركات الشهرية'!$B$6:$B$1005,$B99,'الحركات الشهرية'!$A$6:$A$1005,$C$3))</f>
        <v/>
      </c>
      <c r="X99" s="116" t="str">
        <f aca="false">IF($B99="","",SUM(U99:W99))</f>
        <v/>
      </c>
      <c r="Y99" s="158" t="str">
        <f aca="false">IF($B99="","",T99-X99)</f>
        <v/>
      </c>
      <c r="Z99" s="116" t="str">
        <f aca="false">IF($B99="","",الموظفون!$S99*IF(E99="سعودي",cfg_G_SR,cfg_G_NR)*G99/cfg_DAYS_M)</f>
        <v/>
      </c>
      <c r="AA99" s="116" t="str">
        <f aca="false">IF($B99="","",الموظفون!$Q99*(cfg_EOS_R1*(MIN(AH99,cfg_EOS_TH)-MIN(AI99,cfg_EOS_TH))+cfg_EOS_R2*(MAX(AH99-cfg_EOS_TH,0)-MAX(AI99-cfg_EOS_TH,0))))</f>
        <v/>
      </c>
      <c r="AB99" s="116" t="str">
        <f aca="false">IF($B99="","",IF(الموظفون!$T99&lt;&gt;"",الموظفون!$T99,IF(AH99&gt;=cfg_LV_TH,cfg_LV_D2,cfg_LV_D1))/cfg_DAYS_Y*AJ99*الموظفون!$R99/cfg_DAYS_M)</f>
        <v/>
      </c>
      <c r="AC99" s="116" t="str">
        <f aca="false">IF($B99="","",IF(AND(الموظفون!$U99="نعم",N(الموظفون!$W99)&gt;0),الموظفون!$V99/الموظفون!$W99*12/cfg_DAYS_Y*AJ99,0))</f>
        <v/>
      </c>
      <c r="AD99" s="116" t="str">
        <f aca="false">IF($B99="","",(IF(الموظفون!$X99&lt;&gt;"",الموظفون!$X99,IF(الموظفون!$E99="غير سعودي",cfg_IQ,0))+IF(الموظفون!$Y99&lt;&gt;"",الموظفون!$Y99,IF(الموظفون!$E99="غير سعودي",cfg_WP,0)))/12*G99/cfg_DAYS_M)</f>
        <v/>
      </c>
      <c r="AE99" s="116" t="str">
        <f aca="false">IF($B99="","",IF(الموظفون!$Z99&lt;&gt;"",الموظفون!$Z99,cfg_MED)/12*G99/cfg_DAYS_M)</f>
        <v/>
      </c>
      <c r="AF99" s="116" t="str">
        <f aca="false">IF($B99="","",N(الموظفون!$AA99)/12*G99/cfg_DAYS_M)</f>
        <v/>
      </c>
      <c r="AG99" s="159" t="str">
        <f aca="false">IF($B99="","",T99+SUM(Z99:AF99))</f>
        <v/>
      </c>
      <c r="AH99" s="160" t="str">
        <f aca="false">IF($B99="","",MAX(0,IF(OR(الموظفون!$AE99="",الموظفون!$AE99&gt;$F$3),$F$3,الموظفون!$AE99)-الموظفون!$H99+1-SUMIFS('سجل الإجازات والحالات'!$AN$6:$AN$505,'سجل الإجازات والحالات'!$B$6:$B$505,$B99))/cfg_DAYS_Y)</f>
        <v/>
      </c>
      <c r="AI99" s="160" t="str">
        <f aca="false">IF($B99="","",MAX(0,IF(OR(الموظفون!$AE99="",الموظفون!$AE99&gt;($E$3-1)),($E$3-1),الموظفون!$AE99)-الموظفون!$H99+1-SUMIFS('سجل الإجازات والحالات'!$AM$6:$AM$505,'سجل الإجازات والحالات'!$B$6:$B$505,$B99))/cfg_DAYS_Y)</f>
        <v/>
      </c>
      <c r="AJ99" s="133" t="str">
        <f aca="false">IF($B99="","",MAX(0,AK99-(SUMIFS('سجل الإجازات والحالات'!$AN$6:$AN$505,'سجل الإجازات والحالات'!$B$6:$B$505,$B99)-SUMIFS('سجل الإجازات والحالات'!$AM$6:$AM$505,'سجل الإجازات والحالات'!$B$6:$B$505,$B99))))</f>
        <v/>
      </c>
      <c r="AK99" s="133" t="str">
        <f aca="false">IF($B99="","",MAX(0,IF(OR(الموظفون!$AE99="",الموظفون!$AE99&gt;$F$3),$F$3,الموظفون!$AE99)-MAX($E$3,الموظفون!$H99)+1))</f>
        <v/>
      </c>
      <c r="AL99" s="156" t="str">
        <f aca="false">IF($B99="","",SUMIFS('سجل الإجازات والحالات'!$AZ$6:$AZ$505,'سجل الإجازات والحالات'!$B$6:$B$505,$B99)+SUMIFS('الحركات الشهرية'!$K$6:$K$1005,'الحركات الشهرية'!$B$6:$B$1005,$B99,'الحركات الشهرية'!$A$6:$A$1005,$C$3))</f>
        <v/>
      </c>
      <c r="AM99" s="116" t="str">
        <f aca="false">IF($B99="","",AL99*الموظفون!$R99/cfg_DAYS_M+S99)</f>
        <v/>
      </c>
      <c r="AN99" s="156" t="str">
        <f aca="false">IF($B99="","",SUMIFS('سجل الإجازات والحالات'!$AB$6:$AB$505,'سجل الإجازات والحالات'!$B$6:$B$505,$B99))</f>
        <v/>
      </c>
    </row>
    <row r="100" customFormat="false" ht="15" hidden="false" customHeight="false" outlineLevel="0" collapsed="false">
      <c r="A100" s="106" t="str">
        <f aca="false">IF($B100="","",الموظفون!$A100)</f>
        <v/>
      </c>
      <c r="B100" s="114" t="str">
        <f aca="false">IF(الموظفون!$B100="","",الموظفون!$B100)</f>
        <v/>
      </c>
      <c r="C100" s="114" t="str">
        <f aca="false">IF($B100="","",الموظفون!$C100)</f>
        <v/>
      </c>
      <c r="D100" s="114" t="str">
        <f aca="false">IF($B100="","",الموظفون!$F100)</f>
        <v/>
      </c>
      <c r="E100" s="114" t="str">
        <f aca="false">IF($B100="","",الموظفون!$E100)</f>
        <v/>
      </c>
      <c r="F100" s="114" t="str">
        <f aca="false">IF($B100="","",IF(AK100=0,IF(AND(الموظفون!$AE100&lt;&gt;"",الموظفون!$AE100&lt;$E$3),"✖ منتهي الخدمة","⏳ لم يباشر"),IF(S100&gt;0,"✈ راتب إجازة مقدم",IF(J100=0,"⛔ بدون راتب هذا الشهر",IF(I100&gt;0,"✈ خصم "&amp;ROUND(I100,2)&amp;" يوم بدون أجر",IF(AL100&gt;0,"🌴 إجازة سنوية "&amp;ROUND(AL100,2)&amp;" يوم",IF(H100&gt;0,"⚠ غياب "&amp;ROUND(H100,2)&amp;" يوم","✔ على رأس العمل")))))))</f>
        <v/>
      </c>
      <c r="G100" s="151" t="str">
        <f aca="false">IF($B100="","",IF(AK100&gt;=DAY($F$3),cfg_DAYS_M,MIN(AK100,cfg_DAYS_M)))</f>
        <v/>
      </c>
      <c r="H100" s="151" t="str">
        <f aca="false">IF($B100="","",SUMIFS('الحركات الشهرية'!$D$6:$D$1005,'الحركات الشهرية'!$B$6:$B$1005,$B100,'الحركات الشهرية'!$A$6:$A$1005,$C$3))</f>
        <v/>
      </c>
      <c r="I100" s="151" t="str">
        <f aca="false">IF($B100="","",MIN(G100,IF(AND(AK100&gt;0,AN100&gt;=AK100),G100,AN100)+SUMIFS('الحركات الشهرية'!$E$6:$E$1005,'الحركات الشهرية'!$B$6:$B$1005,$B100,'الحركات الشهرية'!$A$6:$A$1005,$C$3)))</f>
        <v/>
      </c>
      <c r="J100" s="151" t="str">
        <f aca="false">IF($B100="","",MAX(0,G100-H100-I100))</f>
        <v/>
      </c>
      <c r="K100" s="111" t="str">
        <f aca="false">IF($B100="","",الموظفون!$L100*$J100/cfg_DAYS_M)</f>
        <v/>
      </c>
      <c r="L100" s="111" t="str">
        <f aca="false">IF($B100="","",الموظفون!$M100*$J100/cfg_DAYS_M)</f>
        <v/>
      </c>
      <c r="M100" s="111" t="str">
        <f aca="false">IF($B100="","",الموظفون!$N100*$J100/cfg_DAYS_M)</f>
        <v/>
      </c>
      <c r="N100" s="111" t="str">
        <f aca="false">IF($B100="","",الموظفون!$O100*$J100/cfg_DAYS_M)</f>
        <v/>
      </c>
      <c r="O100" s="151" t="str">
        <f aca="false">IF($B100="","",SUMIFS('الحركات الشهرية'!$F$6:$F$1005,'الحركات الشهرية'!$B$6:$B$1005,$B100,'الحركات الشهرية'!$A$6:$A$1005,$C$3))</f>
        <v/>
      </c>
      <c r="P100" s="111" t="str">
        <f aca="false">IF($B100="","",O100*(الموظفون!$P100+الموظفون!$L100*cfg_OT_P)/cfg_DAYS_M/cfg_HRS)</f>
        <v/>
      </c>
      <c r="Q100" s="111" t="str">
        <f aca="false">IF($B100="","",SUMIFS('الحركات الشهرية'!$G$6:$G$1005,'الحركات الشهرية'!$B$6:$B$1005,$B100,'الحركات الشهرية'!$A$6:$A$1005,$C$3))</f>
        <v/>
      </c>
      <c r="R100" s="111" t="str">
        <f aca="false">IF($B100="","",SUMIFS('الحركات الشهرية'!$H$6:$H$1005,'الحركات الشهرية'!$B$6:$B$1005,$B100,'الحركات الشهرية'!$A$6:$A$1005,$C$3))</f>
        <v/>
      </c>
      <c r="S100" s="111" t="str">
        <f aca="false">IF($B100="","",SUMIFS('سجل الإجازات والحالات'!$N$6:$N$505,'سجل الإجازات والحالات'!$B$6:$B$505,$B100,'سجل الإجازات والحالات'!$O$6:$O$505,$C$3))</f>
        <v/>
      </c>
      <c r="T100" s="152" t="str">
        <f aca="false">IF($B100="","",SUM(K100:N100)+SUM(P100:S100))</f>
        <v/>
      </c>
      <c r="U100" s="111" t="str">
        <f aca="false">IF($B100="","",الموظفون!$S100*IF(E100="سعودي",cfg_G_SE,cfg_G_NE)*G100/cfg_DAYS_M)</f>
        <v/>
      </c>
      <c r="V100" s="111" t="str">
        <f aca="false">IF($B100="","",SUMIFS('الحركات الشهرية'!$I$6:$I$1005,'الحركات الشهرية'!$B$6:$B$1005,$B100,'الحركات الشهرية'!$A$6:$A$1005,$C$3))</f>
        <v/>
      </c>
      <c r="W100" s="111" t="str">
        <f aca="false">IF($B100="","",SUMIFS('الحركات الشهرية'!$J$6:$J$1005,'الحركات الشهرية'!$B$6:$B$1005,$B100,'الحركات الشهرية'!$A$6:$A$1005,$C$3))</f>
        <v/>
      </c>
      <c r="X100" s="111" t="str">
        <f aca="false">IF($B100="","",SUM(U100:W100))</f>
        <v/>
      </c>
      <c r="Y100" s="153" t="str">
        <f aca="false">IF($B100="","",T100-X100)</f>
        <v/>
      </c>
      <c r="Z100" s="111" t="str">
        <f aca="false">IF($B100="","",الموظفون!$S100*IF(E100="سعودي",cfg_G_SR,cfg_G_NR)*G100/cfg_DAYS_M)</f>
        <v/>
      </c>
      <c r="AA100" s="111" t="str">
        <f aca="false">IF($B100="","",الموظفون!$Q100*(cfg_EOS_R1*(MIN(AH100,cfg_EOS_TH)-MIN(AI100,cfg_EOS_TH))+cfg_EOS_R2*(MAX(AH100-cfg_EOS_TH,0)-MAX(AI100-cfg_EOS_TH,0))))</f>
        <v/>
      </c>
      <c r="AB100" s="111" t="str">
        <f aca="false">IF($B100="","",IF(الموظفون!$T100&lt;&gt;"",الموظفون!$T100,IF(AH100&gt;=cfg_LV_TH,cfg_LV_D2,cfg_LV_D1))/cfg_DAYS_Y*AJ100*الموظفون!$R100/cfg_DAYS_M)</f>
        <v/>
      </c>
      <c r="AC100" s="111" t="str">
        <f aca="false">IF($B100="","",IF(AND(الموظفون!$U100="نعم",N(الموظفون!$W100)&gt;0),الموظفون!$V100/الموظفون!$W100*12/cfg_DAYS_Y*AJ100,0))</f>
        <v/>
      </c>
      <c r="AD100" s="111" t="str">
        <f aca="false">IF($B100="","",(IF(الموظفون!$X100&lt;&gt;"",الموظفون!$X100,IF(الموظفون!$E100="غير سعودي",cfg_IQ,0))+IF(الموظفون!$Y100&lt;&gt;"",الموظفون!$Y100,IF(الموظفون!$E100="غير سعودي",cfg_WP,0)))/12*G100/cfg_DAYS_M)</f>
        <v/>
      </c>
      <c r="AE100" s="111" t="str">
        <f aca="false">IF($B100="","",IF(الموظفون!$Z100&lt;&gt;"",الموظفون!$Z100,cfg_MED)/12*G100/cfg_DAYS_M)</f>
        <v/>
      </c>
      <c r="AF100" s="111" t="str">
        <f aca="false">IF($B100="","",N(الموظفون!$AA100)/12*G100/cfg_DAYS_M)</f>
        <v/>
      </c>
      <c r="AG100" s="154" t="str">
        <f aca="false">IF($B100="","",T100+SUM(Z100:AF100))</f>
        <v/>
      </c>
      <c r="AH100" s="155" t="str">
        <f aca="false">IF($B100="","",MAX(0,IF(OR(الموظفون!$AE100="",الموظفون!$AE100&gt;$F$3),$F$3,الموظفون!$AE100)-الموظفون!$H100+1-SUMIFS('سجل الإجازات والحالات'!$AN$6:$AN$505,'سجل الإجازات والحالات'!$B$6:$B$505,$B100))/cfg_DAYS_Y)</f>
        <v/>
      </c>
      <c r="AI100" s="155" t="str">
        <f aca="false">IF($B100="","",MAX(0,IF(OR(الموظفون!$AE100="",الموظفون!$AE100&gt;($E$3-1)),($E$3-1),الموظفون!$AE100)-الموظفون!$H100+1-SUMIFS('سجل الإجازات والحالات'!$AM$6:$AM$505,'سجل الإجازات والحالات'!$B$6:$B$505,$B100))/cfg_DAYS_Y)</f>
        <v/>
      </c>
      <c r="AJ100" s="65" t="str">
        <f aca="false">IF($B100="","",MAX(0,AK100-(SUMIFS('سجل الإجازات والحالات'!$AN$6:$AN$505,'سجل الإجازات والحالات'!$B$6:$B$505,$B100)-SUMIFS('سجل الإجازات والحالات'!$AM$6:$AM$505,'سجل الإجازات والحالات'!$B$6:$B$505,$B100))))</f>
        <v/>
      </c>
      <c r="AK100" s="65" t="str">
        <f aca="false">IF($B100="","",MAX(0,IF(OR(الموظفون!$AE100="",الموظفون!$AE100&gt;$F$3),$F$3,الموظفون!$AE100)-MAX($E$3,الموظفون!$H100)+1))</f>
        <v/>
      </c>
      <c r="AL100" s="151" t="str">
        <f aca="false">IF($B100="","",SUMIFS('سجل الإجازات والحالات'!$AZ$6:$AZ$505,'سجل الإجازات والحالات'!$B$6:$B$505,$B100)+SUMIFS('الحركات الشهرية'!$K$6:$K$1005,'الحركات الشهرية'!$B$6:$B$1005,$B100,'الحركات الشهرية'!$A$6:$A$1005,$C$3))</f>
        <v/>
      </c>
      <c r="AM100" s="111" t="str">
        <f aca="false">IF($B100="","",AL100*الموظفون!$R100/cfg_DAYS_M+S100)</f>
        <v/>
      </c>
      <c r="AN100" s="151" t="str">
        <f aca="false">IF($B100="","",SUMIFS('سجل الإجازات والحالات'!$AB$6:$AB$505,'سجل الإجازات والحالات'!$B$6:$B$505,$B100))</f>
        <v/>
      </c>
    </row>
    <row r="101" customFormat="false" ht="15" hidden="false" customHeight="false" outlineLevel="0" collapsed="false">
      <c r="A101" s="115" t="str">
        <f aca="false">IF($B101="","",الموظفون!$A101)</f>
        <v/>
      </c>
      <c r="B101" s="117" t="str">
        <f aca="false">IF(الموظفون!$B101="","",الموظفون!$B101)</f>
        <v/>
      </c>
      <c r="C101" s="117" t="str">
        <f aca="false">IF($B101="","",الموظفون!$C101)</f>
        <v/>
      </c>
      <c r="D101" s="117" t="str">
        <f aca="false">IF($B101="","",الموظفون!$F101)</f>
        <v/>
      </c>
      <c r="E101" s="117" t="str">
        <f aca="false">IF($B101="","",الموظفون!$E101)</f>
        <v/>
      </c>
      <c r="F101" s="117" t="str">
        <f aca="false">IF($B101="","",IF(AK101=0,IF(AND(الموظفون!$AE101&lt;&gt;"",الموظفون!$AE101&lt;$E$3),"✖ منتهي الخدمة","⏳ لم يباشر"),IF(S101&gt;0,"✈ راتب إجازة مقدم",IF(J101=0,"⛔ بدون راتب هذا الشهر",IF(I101&gt;0,"✈ خصم "&amp;ROUND(I101,2)&amp;" يوم بدون أجر",IF(AL101&gt;0,"🌴 إجازة سنوية "&amp;ROUND(AL101,2)&amp;" يوم",IF(H101&gt;0,"⚠ غياب "&amp;ROUND(H101,2)&amp;" يوم","✔ على رأس العمل")))))))</f>
        <v/>
      </c>
      <c r="G101" s="156" t="str">
        <f aca="false">IF($B101="","",IF(AK101&gt;=DAY($F$3),cfg_DAYS_M,MIN(AK101,cfg_DAYS_M)))</f>
        <v/>
      </c>
      <c r="H101" s="156" t="str">
        <f aca="false">IF($B101="","",SUMIFS('الحركات الشهرية'!$D$6:$D$1005,'الحركات الشهرية'!$B$6:$B$1005,$B101,'الحركات الشهرية'!$A$6:$A$1005,$C$3))</f>
        <v/>
      </c>
      <c r="I101" s="156" t="str">
        <f aca="false">IF($B101="","",MIN(G101,IF(AND(AK101&gt;0,AN101&gt;=AK101),G101,AN101)+SUMIFS('الحركات الشهرية'!$E$6:$E$1005,'الحركات الشهرية'!$B$6:$B$1005,$B101,'الحركات الشهرية'!$A$6:$A$1005,$C$3)))</f>
        <v/>
      </c>
      <c r="J101" s="156" t="str">
        <f aca="false">IF($B101="","",MAX(0,G101-H101-I101))</f>
        <v/>
      </c>
      <c r="K101" s="116" t="str">
        <f aca="false">IF($B101="","",الموظفون!$L101*$J101/cfg_DAYS_M)</f>
        <v/>
      </c>
      <c r="L101" s="116" t="str">
        <f aca="false">IF($B101="","",الموظفون!$M101*$J101/cfg_DAYS_M)</f>
        <v/>
      </c>
      <c r="M101" s="116" t="str">
        <f aca="false">IF($B101="","",الموظفون!$N101*$J101/cfg_DAYS_M)</f>
        <v/>
      </c>
      <c r="N101" s="116" t="str">
        <f aca="false">IF($B101="","",الموظفون!$O101*$J101/cfg_DAYS_M)</f>
        <v/>
      </c>
      <c r="O101" s="156" t="str">
        <f aca="false">IF($B101="","",SUMIFS('الحركات الشهرية'!$F$6:$F$1005,'الحركات الشهرية'!$B$6:$B$1005,$B101,'الحركات الشهرية'!$A$6:$A$1005,$C$3))</f>
        <v/>
      </c>
      <c r="P101" s="116" t="str">
        <f aca="false">IF($B101="","",O101*(الموظفون!$P101+الموظفون!$L101*cfg_OT_P)/cfg_DAYS_M/cfg_HRS)</f>
        <v/>
      </c>
      <c r="Q101" s="116" t="str">
        <f aca="false">IF($B101="","",SUMIFS('الحركات الشهرية'!$G$6:$G$1005,'الحركات الشهرية'!$B$6:$B$1005,$B101,'الحركات الشهرية'!$A$6:$A$1005,$C$3))</f>
        <v/>
      </c>
      <c r="R101" s="116" t="str">
        <f aca="false">IF($B101="","",SUMIFS('الحركات الشهرية'!$H$6:$H$1005,'الحركات الشهرية'!$B$6:$B$1005,$B101,'الحركات الشهرية'!$A$6:$A$1005,$C$3))</f>
        <v/>
      </c>
      <c r="S101" s="116" t="str">
        <f aca="false">IF($B101="","",SUMIFS('سجل الإجازات والحالات'!$N$6:$N$505,'سجل الإجازات والحالات'!$B$6:$B$505,$B101,'سجل الإجازات والحالات'!$O$6:$O$505,$C$3))</f>
        <v/>
      </c>
      <c r="T101" s="157" t="str">
        <f aca="false">IF($B101="","",SUM(K101:N101)+SUM(P101:S101))</f>
        <v/>
      </c>
      <c r="U101" s="116" t="str">
        <f aca="false">IF($B101="","",الموظفون!$S101*IF(E101="سعودي",cfg_G_SE,cfg_G_NE)*G101/cfg_DAYS_M)</f>
        <v/>
      </c>
      <c r="V101" s="116" t="str">
        <f aca="false">IF($B101="","",SUMIFS('الحركات الشهرية'!$I$6:$I$1005,'الحركات الشهرية'!$B$6:$B$1005,$B101,'الحركات الشهرية'!$A$6:$A$1005,$C$3))</f>
        <v/>
      </c>
      <c r="W101" s="116" t="str">
        <f aca="false">IF($B101="","",SUMIFS('الحركات الشهرية'!$J$6:$J$1005,'الحركات الشهرية'!$B$6:$B$1005,$B101,'الحركات الشهرية'!$A$6:$A$1005,$C$3))</f>
        <v/>
      </c>
      <c r="X101" s="116" t="str">
        <f aca="false">IF($B101="","",SUM(U101:W101))</f>
        <v/>
      </c>
      <c r="Y101" s="158" t="str">
        <f aca="false">IF($B101="","",T101-X101)</f>
        <v/>
      </c>
      <c r="Z101" s="116" t="str">
        <f aca="false">IF($B101="","",الموظفون!$S101*IF(E101="سعودي",cfg_G_SR,cfg_G_NR)*G101/cfg_DAYS_M)</f>
        <v/>
      </c>
      <c r="AA101" s="116" t="str">
        <f aca="false">IF($B101="","",الموظفون!$Q101*(cfg_EOS_R1*(MIN(AH101,cfg_EOS_TH)-MIN(AI101,cfg_EOS_TH))+cfg_EOS_R2*(MAX(AH101-cfg_EOS_TH,0)-MAX(AI101-cfg_EOS_TH,0))))</f>
        <v/>
      </c>
      <c r="AB101" s="116" t="str">
        <f aca="false">IF($B101="","",IF(الموظفون!$T101&lt;&gt;"",الموظفون!$T101,IF(AH101&gt;=cfg_LV_TH,cfg_LV_D2,cfg_LV_D1))/cfg_DAYS_Y*AJ101*الموظفون!$R101/cfg_DAYS_M)</f>
        <v/>
      </c>
      <c r="AC101" s="116" t="str">
        <f aca="false">IF($B101="","",IF(AND(الموظفون!$U101="نعم",N(الموظفون!$W101)&gt;0),الموظفون!$V101/الموظفون!$W101*12/cfg_DAYS_Y*AJ101,0))</f>
        <v/>
      </c>
      <c r="AD101" s="116" t="str">
        <f aca="false">IF($B101="","",(IF(الموظفون!$X101&lt;&gt;"",الموظفون!$X101,IF(الموظفون!$E101="غير سعودي",cfg_IQ,0))+IF(الموظفون!$Y101&lt;&gt;"",الموظفون!$Y101,IF(الموظفون!$E101="غير سعودي",cfg_WP,0)))/12*G101/cfg_DAYS_M)</f>
        <v/>
      </c>
      <c r="AE101" s="116" t="str">
        <f aca="false">IF($B101="","",IF(الموظفون!$Z101&lt;&gt;"",الموظفون!$Z101,cfg_MED)/12*G101/cfg_DAYS_M)</f>
        <v/>
      </c>
      <c r="AF101" s="116" t="str">
        <f aca="false">IF($B101="","",N(الموظفون!$AA101)/12*G101/cfg_DAYS_M)</f>
        <v/>
      </c>
      <c r="AG101" s="159" t="str">
        <f aca="false">IF($B101="","",T101+SUM(Z101:AF101))</f>
        <v/>
      </c>
      <c r="AH101" s="160" t="str">
        <f aca="false">IF($B101="","",MAX(0,IF(OR(الموظفون!$AE101="",الموظفون!$AE101&gt;$F$3),$F$3,الموظفون!$AE101)-الموظفون!$H101+1-SUMIFS('سجل الإجازات والحالات'!$AN$6:$AN$505,'سجل الإجازات والحالات'!$B$6:$B$505,$B101))/cfg_DAYS_Y)</f>
        <v/>
      </c>
      <c r="AI101" s="160" t="str">
        <f aca="false">IF($B101="","",MAX(0,IF(OR(الموظفون!$AE101="",الموظفون!$AE101&gt;($E$3-1)),($E$3-1),الموظفون!$AE101)-الموظفون!$H101+1-SUMIFS('سجل الإجازات والحالات'!$AM$6:$AM$505,'سجل الإجازات والحالات'!$B$6:$B$505,$B101))/cfg_DAYS_Y)</f>
        <v/>
      </c>
      <c r="AJ101" s="133" t="str">
        <f aca="false">IF($B101="","",MAX(0,AK101-(SUMIFS('سجل الإجازات والحالات'!$AN$6:$AN$505,'سجل الإجازات والحالات'!$B$6:$B$505,$B101)-SUMIFS('سجل الإجازات والحالات'!$AM$6:$AM$505,'سجل الإجازات والحالات'!$B$6:$B$505,$B101))))</f>
        <v/>
      </c>
      <c r="AK101" s="133" t="str">
        <f aca="false">IF($B101="","",MAX(0,IF(OR(الموظفون!$AE101="",الموظفون!$AE101&gt;$F$3),$F$3,الموظفون!$AE101)-MAX($E$3,الموظفون!$H101)+1))</f>
        <v/>
      </c>
      <c r="AL101" s="156" t="str">
        <f aca="false">IF($B101="","",SUMIFS('سجل الإجازات والحالات'!$AZ$6:$AZ$505,'سجل الإجازات والحالات'!$B$6:$B$505,$B101)+SUMIFS('الحركات الشهرية'!$K$6:$K$1005,'الحركات الشهرية'!$B$6:$B$1005,$B101,'الحركات الشهرية'!$A$6:$A$1005,$C$3))</f>
        <v/>
      </c>
      <c r="AM101" s="116" t="str">
        <f aca="false">IF($B101="","",AL101*الموظفون!$R101/cfg_DAYS_M+S101)</f>
        <v/>
      </c>
      <c r="AN101" s="156" t="str">
        <f aca="false">IF($B101="","",SUMIFS('سجل الإجازات والحالات'!$AB$6:$AB$505,'سجل الإجازات والحالات'!$B$6:$B$505,$B101))</f>
        <v/>
      </c>
    </row>
    <row r="102" customFormat="false" ht="15" hidden="false" customHeight="false" outlineLevel="0" collapsed="false">
      <c r="A102" s="106" t="str">
        <f aca="false">IF($B102="","",الموظفون!$A102)</f>
        <v/>
      </c>
      <c r="B102" s="114" t="str">
        <f aca="false">IF(الموظفون!$B102="","",الموظفون!$B102)</f>
        <v/>
      </c>
      <c r="C102" s="114" t="str">
        <f aca="false">IF($B102="","",الموظفون!$C102)</f>
        <v/>
      </c>
      <c r="D102" s="114" t="str">
        <f aca="false">IF($B102="","",الموظفون!$F102)</f>
        <v/>
      </c>
      <c r="E102" s="114" t="str">
        <f aca="false">IF($B102="","",الموظفون!$E102)</f>
        <v/>
      </c>
      <c r="F102" s="114" t="str">
        <f aca="false">IF($B102="","",IF(AK102=0,IF(AND(الموظفون!$AE102&lt;&gt;"",الموظفون!$AE102&lt;$E$3),"✖ منتهي الخدمة","⏳ لم يباشر"),IF(S102&gt;0,"✈ راتب إجازة مقدم",IF(J102=0,"⛔ بدون راتب هذا الشهر",IF(I102&gt;0,"✈ خصم "&amp;ROUND(I102,2)&amp;" يوم بدون أجر",IF(AL102&gt;0,"🌴 إجازة سنوية "&amp;ROUND(AL102,2)&amp;" يوم",IF(H102&gt;0,"⚠ غياب "&amp;ROUND(H102,2)&amp;" يوم","✔ على رأس العمل")))))))</f>
        <v/>
      </c>
      <c r="G102" s="151" t="str">
        <f aca="false">IF($B102="","",IF(AK102&gt;=DAY($F$3),cfg_DAYS_M,MIN(AK102,cfg_DAYS_M)))</f>
        <v/>
      </c>
      <c r="H102" s="151" t="str">
        <f aca="false">IF($B102="","",SUMIFS('الحركات الشهرية'!$D$6:$D$1005,'الحركات الشهرية'!$B$6:$B$1005,$B102,'الحركات الشهرية'!$A$6:$A$1005,$C$3))</f>
        <v/>
      </c>
      <c r="I102" s="151" t="str">
        <f aca="false">IF($B102="","",MIN(G102,IF(AND(AK102&gt;0,AN102&gt;=AK102),G102,AN102)+SUMIFS('الحركات الشهرية'!$E$6:$E$1005,'الحركات الشهرية'!$B$6:$B$1005,$B102,'الحركات الشهرية'!$A$6:$A$1005,$C$3)))</f>
        <v/>
      </c>
      <c r="J102" s="151" t="str">
        <f aca="false">IF($B102="","",MAX(0,G102-H102-I102))</f>
        <v/>
      </c>
      <c r="K102" s="111" t="str">
        <f aca="false">IF($B102="","",الموظفون!$L102*$J102/cfg_DAYS_M)</f>
        <v/>
      </c>
      <c r="L102" s="111" t="str">
        <f aca="false">IF($B102="","",الموظفون!$M102*$J102/cfg_DAYS_M)</f>
        <v/>
      </c>
      <c r="M102" s="111" t="str">
        <f aca="false">IF($B102="","",الموظفون!$N102*$J102/cfg_DAYS_M)</f>
        <v/>
      </c>
      <c r="N102" s="111" t="str">
        <f aca="false">IF($B102="","",الموظفون!$O102*$J102/cfg_DAYS_M)</f>
        <v/>
      </c>
      <c r="O102" s="151" t="str">
        <f aca="false">IF($B102="","",SUMIFS('الحركات الشهرية'!$F$6:$F$1005,'الحركات الشهرية'!$B$6:$B$1005,$B102,'الحركات الشهرية'!$A$6:$A$1005,$C$3))</f>
        <v/>
      </c>
      <c r="P102" s="111" t="str">
        <f aca="false">IF($B102="","",O102*(الموظفون!$P102+الموظفون!$L102*cfg_OT_P)/cfg_DAYS_M/cfg_HRS)</f>
        <v/>
      </c>
      <c r="Q102" s="111" t="str">
        <f aca="false">IF($B102="","",SUMIFS('الحركات الشهرية'!$G$6:$G$1005,'الحركات الشهرية'!$B$6:$B$1005,$B102,'الحركات الشهرية'!$A$6:$A$1005,$C$3))</f>
        <v/>
      </c>
      <c r="R102" s="111" t="str">
        <f aca="false">IF($B102="","",SUMIFS('الحركات الشهرية'!$H$6:$H$1005,'الحركات الشهرية'!$B$6:$B$1005,$B102,'الحركات الشهرية'!$A$6:$A$1005,$C$3))</f>
        <v/>
      </c>
      <c r="S102" s="111" t="str">
        <f aca="false">IF($B102="","",SUMIFS('سجل الإجازات والحالات'!$N$6:$N$505,'سجل الإجازات والحالات'!$B$6:$B$505,$B102,'سجل الإجازات والحالات'!$O$6:$O$505,$C$3))</f>
        <v/>
      </c>
      <c r="T102" s="152" t="str">
        <f aca="false">IF($B102="","",SUM(K102:N102)+SUM(P102:S102))</f>
        <v/>
      </c>
      <c r="U102" s="111" t="str">
        <f aca="false">IF($B102="","",الموظفون!$S102*IF(E102="سعودي",cfg_G_SE,cfg_G_NE)*G102/cfg_DAYS_M)</f>
        <v/>
      </c>
      <c r="V102" s="111" t="str">
        <f aca="false">IF($B102="","",SUMIFS('الحركات الشهرية'!$I$6:$I$1005,'الحركات الشهرية'!$B$6:$B$1005,$B102,'الحركات الشهرية'!$A$6:$A$1005,$C$3))</f>
        <v/>
      </c>
      <c r="W102" s="111" t="str">
        <f aca="false">IF($B102="","",SUMIFS('الحركات الشهرية'!$J$6:$J$1005,'الحركات الشهرية'!$B$6:$B$1005,$B102,'الحركات الشهرية'!$A$6:$A$1005,$C$3))</f>
        <v/>
      </c>
      <c r="X102" s="111" t="str">
        <f aca="false">IF($B102="","",SUM(U102:W102))</f>
        <v/>
      </c>
      <c r="Y102" s="153" t="str">
        <f aca="false">IF($B102="","",T102-X102)</f>
        <v/>
      </c>
      <c r="Z102" s="111" t="str">
        <f aca="false">IF($B102="","",الموظفون!$S102*IF(E102="سعودي",cfg_G_SR,cfg_G_NR)*G102/cfg_DAYS_M)</f>
        <v/>
      </c>
      <c r="AA102" s="111" t="str">
        <f aca="false">IF($B102="","",الموظفون!$Q102*(cfg_EOS_R1*(MIN(AH102,cfg_EOS_TH)-MIN(AI102,cfg_EOS_TH))+cfg_EOS_R2*(MAX(AH102-cfg_EOS_TH,0)-MAX(AI102-cfg_EOS_TH,0))))</f>
        <v/>
      </c>
      <c r="AB102" s="111" t="str">
        <f aca="false">IF($B102="","",IF(الموظفون!$T102&lt;&gt;"",الموظفون!$T102,IF(AH102&gt;=cfg_LV_TH,cfg_LV_D2,cfg_LV_D1))/cfg_DAYS_Y*AJ102*الموظفون!$R102/cfg_DAYS_M)</f>
        <v/>
      </c>
      <c r="AC102" s="111" t="str">
        <f aca="false">IF($B102="","",IF(AND(الموظفون!$U102="نعم",N(الموظفون!$W102)&gt;0),الموظفون!$V102/الموظفون!$W102*12/cfg_DAYS_Y*AJ102,0))</f>
        <v/>
      </c>
      <c r="AD102" s="111" t="str">
        <f aca="false">IF($B102="","",(IF(الموظفون!$X102&lt;&gt;"",الموظفون!$X102,IF(الموظفون!$E102="غير سعودي",cfg_IQ,0))+IF(الموظفون!$Y102&lt;&gt;"",الموظفون!$Y102,IF(الموظفون!$E102="غير سعودي",cfg_WP,0)))/12*G102/cfg_DAYS_M)</f>
        <v/>
      </c>
      <c r="AE102" s="111" t="str">
        <f aca="false">IF($B102="","",IF(الموظفون!$Z102&lt;&gt;"",الموظفون!$Z102,cfg_MED)/12*G102/cfg_DAYS_M)</f>
        <v/>
      </c>
      <c r="AF102" s="111" t="str">
        <f aca="false">IF($B102="","",N(الموظفون!$AA102)/12*G102/cfg_DAYS_M)</f>
        <v/>
      </c>
      <c r="AG102" s="154" t="str">
        <f aca="false">IF($B102="","",T102+SUM(Z102:AF102))</f>
        <v/>
      </c>
      <c r="AH102" s="155" t="str">
        <f aca="false">IF($B102="","",MAX(0,IF(OR(الموظفون!$AE102="",الموظفون!$AE102&gt;$F$3),$F$3,الموظفون!$AE102)-الموظفون!$H102+1-SUMIFS('سجل الإجازات والحالات'!$AN$6:$AN$505,'سجل الإجازات والحالات'!$B$6:$B$505,$B102))/cfg_DAYS_Y)</f>
        <v/>
      </c>
      <c r="AI102" s="155" t="str">
        <f aca="false">IF($B102="","",MAX(0,IF(OR(الموظفون!$AE102="",الموظفون!$AE102&gt;($E$3-1)),($E$3-1),الموظفون!$AE102)-الموظفون!$H102+1-SUMIFS('سجل الإجازات والحالات'!$AM$6:$AM$505,'سجل الإجازات والحالات'!$B$6:$B$505,$B102))/cfg_DAYS_Y)</f>
        <v/>
      </c>
      <c r="AJ102" s="65" t="str">
        <f aca="false">IF($B102="","",MAX(0,AK102-(SUMIFS('سجل الإجازات والحالات'!$AN$6:$AN$505,'سجل الإجازات والحالات'!$B$6:$B$505,$B102)-SUMIFS('سجل الإجازات والحالات'!$AM$6:$AM$505,'سجل الإجازات والحالات'!$B$6:$B$505,$B102))))</f>
        <v/>
      </c>
      <c r="AK102" s="65" t="str">
        <f aca="false">IF($B102="","",MAX(0,IF(OR(الموظفون!$AE102="",الموظفون!$AE102&gt;$F$3),$F$3,الموظفون!$AE102)-MAX($E$3,الموظفون!$H102)+1))</f>
        <v/>
      </c>
      <c r="AL102" s="151" t="str">
        <f aca="false">IF($B102="","",SUMIFS('سجل الإجازات والحالات'!$AZ$6:$AZ$505,'سجل الإجازات والحالات'!$B$6:$B$505,$B102)+SUMIFS('الحركات الشهرية'!$K$6:$K$1005,'الحركات الشهرية'!$B$6:$B$1005,$B102,'الحركات الشهرية'!$A$6:$A$1005,$C$3))</f>
        <v/>
      </c>
      <c r="AM102" s="111" t="str">
        <f aca="false">IF($B102="","",AL102*الموظفون!$R102/cfg_DAYS_M+S102)</f>
        <v/>
      </c>
      <c r="AN102" s="151" t="str">
        <f aca="false">IF($B102="","",SUMIFS('سجل الإجازات والحالات'!$AB$6:$AB$505,'سجل الإجازات والحالات'!$B$6:$B$505,$B102))</f>
        <v/>
      </c>
    </row>
    <row r="103" customFormat="false" ht="15" hidden="false" customHeight="false" outlineLevel="0" collapsed="false">
      <c r="A103" s="115" t="str">
        <f aca="false">IF($B103="","",الموظفون!$A103)</f>
        <v/>
      </c>
      <c r="B103" s="117" t="str">
        <f aca="false">IF(الموظفون!$B103="","",الموظفون!$B103)</f>
        <v/>
      </c>
      <c r="C103" s="117" t="str">
        <f aca="false">IF($B103="","",الموظفون!$C103)</f>
        <v/>
      </c>
      <c r="D103" s="117" t="str">
        <f aca="false">IF($B103="","",الموظفون!$F103)</f>
        <v/>
      </c>
      <c r="E103" s="117" t="str">
        <f aca="false">IF($B103="","",الموظفون!$E103)</f>
        <v/>
      </c>
      <c r="F103" s="117" t="str">
        <f aca="false">IF($B103="","",IF(AK103=0,IF(AND(الموظفون!$AE103&lt;&gt;"",الموظفون!$AE103&lt;$E$3),"✖ منتهي الخدمة","⏳ لم يباشر"),IF(S103&gt;0,"✈ راتب إجازة مقدم",IF(J103=0,"⛔ بدون راتب هذا الشهر",IF(I103&gt;0,"✈ خصم "&amp;ROUND(I103,2)&amp;" يوم بدون أجر",IF(AL103&gt;0,"🌴 إجازة سنوية "&amp;ROUND(AL103,2)&amp;" يوم",IF(H103&gt;0,"⚠ غياب "&amp;ROUND(H103,2)&amp;" يوم","✔ على رأس العمل")))))))</f>
        <v/>
      </c>
      <c r="G103" s="156" t="str">
        <f aca="false">IF($B103="","",IF(AK103&gt;=DAY($F$3),cfg_DAYS_M,MIN(AK103,cfg_DAYS_M)))</f>
        <v/>
      </c>
      <c r="H103" s="156" t="str">
        <f aca="false">IF($B103="","",SUMIFS('الحركات الشهرية'!$D$6:$D$1005,'الحركات الشهرية'!$B$6:$B$1005,$B103,'الحركات الشهرية'!$A$6:$A$1005,$C$3))</f>
        <v/>
      </c>
      <c r="I103" s="156" t="str">
        <f aca="false">IF($B103="","",MIN(G103,IF(AND(AK103&gt;0,AN103&gt;=AK103),G103,AN103)+SUMIFS('الحركات الشهرية'!$E$6:$E$1005,'الحركات الشهرية'!$B$6:$B$1005,$B103,'الحركات الشهرية'!$A$6:$A$1005,$C$3)))</f>
        <v/>
      </c>
      <c r="J103" s="156" t="str">
        <f aca="false">IF($B103="","",MAX(0,G103-H103-I103))</f>
        <v/>
      </c>
      <c r="K103" s="116" t="str">
        <f aca="false">IF($B103="","",الموظفون!$L103*$J103/cfg_DAYS_M)</f>
        <v/>
      </c>
      <c r="L103" s="116" t="str">
        <f aca="false">IF($B103="","",الموظفون!$M103*$J103/cfg_DAYS_M)</f>
        <v/>
      </c>
      <c r="M103" s="116" t="str">
        <f aca="false">IF($B103="","",الموظفون!$N103*$J103/cfg_DAYS_M)</f>
        <v/>
      </c>
      <c r="N103" s="116" t="str">
        <f aca="false">IF($B103="","",الموظفون!$O103*$J103/cfg_DAYS_M)</f>
        <v/>
      </c>
      <c r="O103" s="156" t="str">
        <f aca="false">IF($B103="","",SUMIFS('الحركات الشهرية'!$F$6:$F$1005,'الحركات الشهرية'!$B$6:$B$1005,$B103,'الحركات الشهرية'!$A$6:$A$1005,$C$3))</f>
        <v/>
      </c>
      <c r="P103" s="116" t="str">
        <f aca="false">IF($B103="","",O103*(الموظفون!$P103+الموظفون!$L103*cfg_OT_P)/cfg_DAYS_M/cfg_HRS)</f>
        <v/>
      </c>
      <c r="Q103" s="116" t="str">
        <f aca="false">IF($B103="","",SUMIFS('الحركات الشهرية'!$G$6:$G$1005,'الحركات الشهرية'!$B$6:$B$1005,$B103,'الحركات الشهرية'!$A$6:$A$1005,$C$3))</f>
        <v/>
      </c>
      <c r="R103" s="116" t="str">
        <f aca="false">IF($B103="","",SUMIFS('الحركات الشهرية'!$H$6:$H$1005,'الحركات الشهرية'!$B$6:$B$1005,$B103,'الحركات الشهرية'!$A$6:$A$1005,$C$3))</f>
        <v/>
      </c>
      <c r="S103" s="116" t="str">
        <f aca="false">IF($B103="","",SUMIFS('سجل الإجازات والحالات'!$N$6:$N$505,'سجل الإجازات والحالات'!$B$6:$B$505,$B103,'سجل الإجازات والحالات'!$O$6:$O$505,$C$3))</f>
        <v/>
      </c>
      <c r="T103" s="157" t="str">
        <f aca="false">IF($B103="","",SUM(K103:N103)+SUM(P103:S103))</f>
        <v/>
      </c>
      <c r="U103" s="116" t="str">
        <f aca="false">IF($B103="","",الموظفون!$S103*IF(E103="سعودي",cfg_G_SE,cfg_G_NE)*G103/cfg_DAYS_M)</f>
        <v/>
      </c>
      <c r="V103" s="116" t="str">
        <f aca="false">IF($B103="","",SUMIFS('الحركات الشهرية'!$I$6:$I$1005,'الحركات الشهرية'!$B$6:$B$1005,$B103,'الحركات الشهرية'!$A$6:$A$1005,$C$3))</f>
        <v/>
      </c>
      <c r="W103" s="116" t="str">
        <f aca="false">IF($B103="","",SUMIFS('الحركات الشهرية'!$J$6:$J$1005,'الحركات الشهرية'!$B$6:$B$1005,$B103,'الحركات الشهرية'!$A$6:$A$1005,$C$3))</f>
        <v/>
      </c>
      <c r="X103" s="116" t="str">
        <f aca="false">IF($B103="","",SUM(U103:W103))</f>
        <v/>
      </c>
      <c r="Y103" s="158" t="str">
        <f aca="false">IF($B103="","",T103-X103)</f>
        <v/>
      </c>
      <c r="Z103" s="116" t="str">
        <f aca="false">IF($B103="","",الموظفون!$S103*IF(E103="سعودي",cfg_G_SR,cfg_G_NR)*G103/cfg_DAYS_M)</f>
        <v/>
      </c>
      <c r="AA103" s="116" t="str">
        <f aca="false">IF($B103="","",الموظفون!$Q103*(cfg_EOS_R1*(MIN(AH103,cfg_EOS_TH)-MIN(AI103,cfg_EOS_TH))+cfg_EOS_R2*(MAX(AH103-cfg_EOS_TH,0)-MAX(AI103-cfg_EOS_TH,0))))</f>
        <v/>
      </c>
      <c r="AB103" s="116" t="str">
        <f aca="false">IF($B103="","",IF(الموظفون!$T103&lt;&gt;"",الموظفون!$T103,IF(AH103&gt;=cfg_LV_TH,cfg_LV_D2,cfg_LV_D1))/cfg_DAYS_Y*AJ103*الموظفون!$R103/cfg_DAYS_M)</f>
        <v/>
      </c>
      <c r="AC103" s="116" t="str">
        <f aca="false">IF($B103="","",IF(AND(الموظفون!$U103="نعم",N(الموظفون!$W103)&gt;0),الموظفون!$V103/الموظفون!$W103*12/cfg_DAYS_Y*AJ103,0))</f>
        <v/>
      </c>
      <c r="AD103" s="116" t="str">
        <f aca="false">IF($B103="","",(IF(الموظفون!$X103&lt;&gt;"",الموظفون!$X103,IF(الموظفون!$E103="غير سعودي",cfg_IQ,0))+IF(الموظفون!$Y103&lt;&gt;"",الموظفون!$Y103,IF(الموظفون!$E103="غير سعودي",cfg_WP,0)))/12*G103/cfg_DAYS_M)</f>
        <v/>
      </c>
      <c r="AE103" s="116" t="str">
        <f aca="false">IF($B103="","",IF(الموظفون!$Z103&lt;&gt;"",الموظفون!$Z103,cfg_MED)/12*G103/cfg_DAYS_M)</f>
        <v/>
      </c>
      <c r="AF103" s="116" t="str">
        <f aca="false">IF($B103="","",N(الموظفون!$AA103)/12*G103/cfg_DAYS_M)</f>
        <v/>
      </c>
      <c r="AG103" s="159" t="str">
        <f aca="false">IF($B103="","",T103+SUM(Z103:AF103))</f>
        <v/>
      </c>
      <c r="AH103" s="160" t="str">
        <f aca="false">IF($B103="","",MAX(0,IF(OR(الموظفون!$AE103="",الموظفون!$AE103&gt;$F$3),$F$3,الموظفون!$AE103)-الموظفون!$H103+1-SUMIFS('سجل الإجازات والحالات'!$AN$6:$AN$505,'سجل الإجازات والحالات'!$B$6:$B$505,$B103))/cfg_DAYS_Y)</f>
        <v/>
      </c>
      <c r="AI103" s="160" t="str">
        <f aca="false">IF($B103="","",MAX(0,IF(OR(الموظفون!$AE103="",الموظفون!$AE103&gt;($E$3-1)),($E$3-1),الموظفون!$AE103)-الموظفون!$H103+1-SUMIFS('سجل الإجازات والحالات'!$AM$6:$AM$505,'سجل الإجازات والحالات'!$B$6:$B$505,$B103))/cfg_DAYS_Y)</f>
        <v/>
      </c>
      <c r="AJ103" s="133" t="str">
        <f aca="false">IF($B103="","",MAX(0,AK103-(SUMIFS('سجل الإجازات والحالات'!$AN$6:$AN$505,'سجل الإجازات والحالات'!$B$6:$B$505,$B103)-SUMIFS('سجل الإجازات والحالات'!$AM$6:$AM$505,'سجل الإجازات والحالات'!$B$6:$B$505,$B103))))</f>
        <v/>
      </c>
      <c r="AK103" s="133" t="str">
        <f aca="false">IF($B103="","",MAX(0,IF(OR(الموظفون!$AE103="",الموظفون!$AE103&gt;$F$3),$F$3,الموظفون!$AE103)-MAX($E$3,الموظفون!$H103)+1))</f>
        <v/>
      </c>
      <c r="AL103" s="156" t="str">
        <f aca="false">IF($B103="","",SUMIFS('سجل الإجازات والحالات'!$AZ$6:$AZ$505,'سجل الإجازات والحالات'!$B$6:$B$505,$B103)+SUMIFS('الحركات الشهرية'!$K$6:$K$1005,'الحركات الشهرية'!$B$6:$B$1005,$B103,'الحركات الشهرية'!$A$6:$A$1005,$C$3))</f>
        <v/>
      </c>
      <c r="AM103" s="116" t="str">
        <f aca="false">IF($B103="","",AL103*الموظفون!$R103/cfg_DAYS_M+S103)</f>
        <v/>
      </c>
      <c r="AN103" s="156" t="str">
        <f aca="false">IF($B103="","",SUMIFS('سجل الإجازات والحالات'!$AB$6:$AB$505,'سجل الإجازات والحالات'!$B$6:$B$505,$B103))</f>
        <v/>
      </c>
    </row>
    <row r="104" customFormat="false" ht="15" hidden="false" customHeight="false" outlineLevel="0" collapsed="false">
      <c r="A104" s="106" t="str">
        <f aca="false">IF($B104="","",الموظفون!$A104)</f>
        <v/>
      </c>
      <c r="B104" s="114" t="str">
        <f aca="false">IF(الموظفون!$B104="","",الموظفون!$B104)</f>
        <v/>
      </c>
      <c r="C104" s="114" t="str">
        <f aca="false">IF($B104="","",الموظفون!$C104)</f>
        <v/>
      </c>
      <c r="D104" s="114" t="str">
        <f aca="false">IF($B104="","",الموظفون!$F104)</f>
        <v/>
      </c>
      <c r="E104" s="114" t="str">
        <f aca="false">IF($B104="","",الموظفون!$E104)</f>
        <v/>
      </c>
      <c r="F104" s="114" t="str">
        <f aca="false">IF($B104="","",IF(AK104=0,IF(AND(الموظفون!$AE104&lt;&gt;"",الموظفون!$AE104&lt;$E$3),"✖ منتهي الخدمة","⏳ لم يباشر"),IF(S104&gt;0,"✈ راتب إجازة مقدم",IF(J104=0,"⛔ بدون راتب هذا الشهر",IF(I104&gt;0,"✈ خصم "&amp;ROUND(I104,2)&amp;" يوم بدون أجر",IF(AL104&gt;0,"🌴 إجازة سنوية "&amp;ROUND(AL104,2)&amp;" يوم",IF(H104&gt;0,"⚠ غياب "&amp;ROUND(H104,2)&amp;" يوم","✔ على رأس العمل")))))))</f>
        <v/>
      </c>
      <c r="G104" s="151" t="str">
        <f aca="false">IF($B104="","",IF(AK104&gt;=DAY($F$3),cfg_DAYS_M,MIN(AK104,cfg_DAYS_M)))</f>
        <v/>
      </c>
      <c r="H104" s="151" t="str">
        <f aca="false">IF($B104="","",SUMIFS('الحركات الشهرية'!$D$6:$D$1005,'الحركات الشهرية'!$B$6:$B$1005,$B104,'الحركات الشهرية'!$A$6:$A$1005,$C$3))</f>
        <v/>
      </c>
      <c r="I104" s="151" t="str">
        <f aca="false">IF($B104="","",MIN(G104,IF(AND(AK104&gt;0,AN104&gt;=AK104),G104,AN104)+SUMIFS('الحركات الشهرية'!$E$6:$E$1005,'الحركات الشهرية'!$B$6:$B$1005,$B104,'الحركات الشهرية'!$A$6:$A$1005,$C$3)))</f>
        <v/>
      </c>
      <c r="J104" s="151" t="str">
        <f aca="false">IF($B104="","",MAX(0,G104-H104-I104))</f>
        <v/>
      </c>
      <c r="K104" s="111" t="str">
        <f aca="false">IF($B104="","",الموظفون!$L104*$J104/cfg_DAYS_M)</f>
        <v/>
      </c>
      <c r="L104" s="111" t="str">
        <f aca="false">IF($B104="","",الموظفون!$M104*$J104/cfg_DAYS_M)</f>
        <v/>
      </c>
      <c r="M104" s="111" t="str">
        <f aca="false">IF($B104="","",الموظفون!$N104*$J104/cfg_DAYS_M)</f>
        <v/>
      </c>
      <c r="N104" s="111" t="str">
        <f aca="false">IF($B104="","",الموظفون!$O104*$J104/cfg_DAYS_M)</f>
        <v/>
      </c>
      <c r="O104" s="151" t="str">
        <f aca="false">IF($B104="","",SUMIFS('الحركات الشهرية'!$F$6:$F$1005,'الحركات الشهرية'!$B$6:$B$1005,$B104,'الحركات الشهرية'!$A$6:$A$1005,$C$3))</f>
        <v/>
      </c>
      <c r="P104" s="111" t="str">
        <f aca="false">IF($B104="","",O104*(الموظفون!$P104+الموظفون!$L104*cfg_OT_P)/cfg_DAYS_M/cfg_HRS)</f>
        <v/>
      </c>
      <c r="Q104" s="111" t="str">
        <f aca="false">IF($B104="","",SUMIFS('الحركات الشهرية'!$G$6:$G$1005,'الحركات الشهرية'!$B$6:$B$1005,$B104,'الحركات الشهرية'!$A$6:$A$1005,$C$3))</f>
        <v/>
      </c>
      <c r="R104" s="111" t="str">
        <f aca="false">IF($B104="","",SUMIFS('الحركات الشهرية'!$H$6:$H$1005,'الحركات الشهرية'!$B$6:$B$1005,$B104,'الحركات الشهرية'!$A$6:$A$1005,$C$3))</f>
        <v/>
      </c>
      <c r="S104" s="111" t="str">
        <f aca="false">IF($B104="","",SUMIFS('سجل الإجازات والحالات'!$N$6:$N$505,'سجل الإجازات والحالات'!$B$6:$B$505,$B104,'سجل الإجازات والحالات'!$O$6:$O$505,$C$3))</f>
        <v/>
      </c>
      <c r="T104" s="152" t="str">
        <f aca="false">IF($B104="","",SUM(K104:N104)+SUM(P104:S104))</f>
        <v/>
      </c>
      <c r="U104" s="111" t="str">
        <f aca="false">IF($B104="","",الموظفون!$S104*IF(E104="سعودي",cfg_G_SE,cfg_G_NE)*G104/cfg_DAYS_M)</f>
        <v/>
      </c>
      <c r="V104" s="111" t="str">
        <f aca="false">IF($B104="","",SUMIFS('الحركات الشهرية'!$I$6:$I$1005,'الحركات الشهرية'!$B$6:$B$1005,$B104,'الحركات الشهرية'!$A$6:$A$1005,$C$3))</f>
        <v/>
      </c>
      <c r="W104" s="111" t="str">
        <f aca="false">IF($B104="","",SUMIFS('الحركات الشهرية'!$J$6:$J$1005,'الحركات الشهرية'!$B$6:$B$1005,$B104,'الحركات الشهرية'!$A$6:$A$1005,$C$3))</f>
        <v/>
      </c>
      <c r="X104" s="111" t="str">
        <f aca="false">IF($B104="","",SUM(U104:W104))</f>
        <v/>
      </c>
      <c r="Y104" s="153" t="str">
        <f aca="false">IF($B104="","",T104-X104)</f>
        <v/>
      </c>
      <c r="Z104" s="111" t="str">
        <f aca="false">IF($B104="","",الموظفون!$S104*IF(E104="سعودي",cfg_G_SR,cfg_G_NR)*G104/cfg_DAYS_M)</f>
        <v/>
      </c>
      <c r="AA104" s="111" t="str">
        <f aca="false">IF($B104="","",الموظفون!$Q104*(cfg_EOS_R1*(MIN(AH104,cfg_EOS_TH)-MIN(AI104,cfg_EOS_TH))+cfg_EOS_R2*(MAX(AH104-cfg_EOS_TH,0)-MAX(AI104-cfg_EOS_TH,0))))</f>
        <v/>
      </c>
      <c r="AB104" s="111" t="str">
        <f aca="false">IF($B104="","",IF(الموظفون!$T104&lt;&gt;"",الموظفون!$T104,IF(AH104&gt;=cfg_LV_TH,cfg_LV_D2,cfg_LV_D1))/cfg_DAYS_Y*AJ104*الموظفون!$R104/cfg_DAYS_M)</f>
        <v/>
      </c>
      <c r="AC104" s="111" t="str">
        <f aca="false">IF($B104="","",IF(AND(الموظفون!$U104="نعم",N(الموظفون!$W104)&gt;0),الموظفون!$V104/الموظفون!$W104*12/cfg_DAYS_Y*AJ104,0))</f>
        <v/>
      </c>
      <c r="AD104" s="111" t="str">
        <f aca="false">IF($B104="","",(IF(الموظفون!$X104&lt;&gt;"",الموظفون!$X104,IF(الموظفون!$E104="غير سعودي",cfg_IQ,0))+IF(الموظفون!$Y104&lt;&gt;"",الموظفون!$Y104,IF(الموظفون!$E104="غير سعودي",cfg_WP,0)))/12*G104/cfg_DAYS_M)</f>
        <v/>
      </c>
      <c r="AE104" s="111" t="str">
        <f aca="false">IF($B104="","",IF(الموظفون!$Z104&lt;&gt;"",الموظفون!$Z104,cfg_MED)/12*G104/cfg_DAYS_M)</f>
        <v/>
      </c>
      <c r="AF104" s="111" t="str">
        <f aca="false">IF($B104="","",N(الموظفون!$AA104)/12*G104/cfg_DAYS_M)</f>
        <v/>
      </c>
      <c r="AG104" s="154" t="str">
        <f aca="false">IF($B104="","",T104+SUM(Z104:AF104))</f>
        <v/>
      </c>
      <c r="AH104" s="155" t="str">
        <f aca="false">IF($B104="","",MAX(0,IF(OR(الموظفون!$AE104="",الموظفون!$AE104&gt;$F$3),$F$3,الموظفون!$AE104)-الموظفون!$H104+1-SUMIFS('سجل الإجازات والحالات'!$AN$6:$AN$505,'سجل الإجازات والحالات'!$B$6:$B$505,$B104))/cfg_DAYS_Y)</f>
        <v/>
      </c>
      <c r="AI104" s="155" t="str">
        <f aca="false">IF($B104="","",MAX(0,IF(OR(الموظفون!$AE104="",الموظفون!$AE104&gt;($E$3-1)),($E$3-1),الموظفون!$AE104)-الموظفون!$H104+1-SUMIFS('سجل الإجازات والحالات'!$AM$6:$AM$505,'سجل الإجازات والحالات'!$B$6:$B$505,$B104))/cfg_DAYS_Y)</f>
        <v/>
      </c>
      <c r="AJ104" s="65" t="str">
        <f aca="false">IF($B104="","",MAX(0,AK104-(SUMIFS('سجل الإجازات والحالات'!$AN$6:$AN$505,'سجل الإجازات والحالات'!$B$6:$B$505,$B104)-SUMIFS('سجل الإجازات والحالات'!$AM$6:$AM$505,'سجل الإجازات والحالات'!$B$6:$B$505,$B104))))</f>
        <v/>
      </c>
      <c r="AK104" s="65" t="str">
        <f aca="false">IF($B104="","",MAX(0,IF(OR(الموظفون!$AE104="",الموظفون!$AE104&gt;$F$3),$F$3,الموظفون!$AE104)-MAX($E$3,الموظفون!$H104)+1))</f>
        <v/>
      </c>
      <c r="AL104" s="151" t="str">
        <f aca="false">IF($B104="","",SUMIFS('سجل الإجازات والحالات'!$AZ$6:$AZ$505,'سجل الإجازات والحالات'!$B$6:$B$505,$B104)+SUMIFS('الحركات الشهرية'!$K$6:$K$1005,'الحركات الشهرية'!$B$6:$B$1005,$B104,'الحركات الشهرية'!$A$6:$A$1005,$C$3))</f>
        <v/>
      </c>
      <c r="AM104" s="111" t="str">
        <f aca="false">IF($B104="","",AL104*الموظفون!$R104/cfg_DAYS_M+S104)</f>
        <v/>
      </c>
      <c r="AN104" s="151" t="str">
        <f aca="false">IF($B104="","",SUMIFS('سجل الإجازات والحالات'!$AB$6:$AB$505,'سجل الإجازات والحالات'!$B$6:$B$505,$B104))</f>
        <v/>
      </c>
    </row>
    <row r="105" customFormat="false" ht="15" hidden="false" customHeight="false" outlineLevel="0" collapsed="false">
      <c r="A105" s="115" t="str">
        <f aca="false">IF($B105="","",الموظفون!$A105)</f>
        <v/>
      </c>
      <c r="B105" s="117" t="str">
        <f aca="false">IF(الموظفون!$B105="","",الموظفون!$B105)</f>
        <v/>
      </c>
      <c r="C105" s="117" t="str">
        <f aca="false">IF($B105="","",الموظفون!$C105)</f>
        <v/>
      </c>
      <c r="D105" s="117" t="str">
        <f aca="false">IF($B105="","",الموظفون!$F105)</f>
        <v/>
      </c>
      <c r="E105" s="117" t="str">
        <f aca="false">IF($B105="","",الموظفون!$E105)</f>
        <v/>
      </c>
      <c r="F105" s="117" t="str">
        <f aca="false">IF($B105="","",IF(AK105=0,IF(AND(الموظفون!$AE105&lt;&gt;"",الموظفون!$AE105&lt;$E$3),"✖ منتهي الخدمة","⏳ لم يباشر"),IF(S105&gt;0,"✈ راتب إجازة مقدم",IF(J105=0,"⛔ بدون راتب هذا الشهر",IF(I105&gt;0,"✈ خصم "&amp;ROUND(I105,2)&amp;" يوم بدون أجر",IF(AL105&gt;0,"🌴 إجازة سنوية "&amp;ROUND(AL105,2)&amp;" يوم",IF(H105&gt;0,"⚠ غياب "&amp;ROUND(H105,2)&amp;" يوم","✔ على رأس العمل")))))))</f>
        <v/>
      </c>
      <c r="G105" s="156" t="str">
        <f aca="false">IF($B105="","",IF(AK105&gt;=DAY($F$3),cfg_DAYS_M,MIN(AK105,cfg_DAYS_M)))</f>
        <v/>
      </c>
      <c r="H105" s="156" t="str">
        <f aca="false">IF($B105="","",SUMIFS('الحركات الشهرية'!$D$6:$D$1005,'الحركات الشهرية'!$B$6:$B$1005,$B105,'الحركات الشهرية'!$A$6:$A$1005,$C$3))</f>
        <v/>
      </c>
      <c r="I105" s="156" t="str">
        <f aca="false">IF($B105="","",MIN(G105,IF(AND(AK105&gt;0,AN105&gt;=AK105),G105,AN105)+SUMIFS('الحركات الشهرية'!$E$6:$E$1005,'الحركات الشهرية'!$B$6:$B$1005,$B105,'الحركات الشهرية'!$A$6:$A$1005,$C$3)))</f>
        <v/>
      </c>
      <c r="J105" s="156" t="str">
        <f aca="false">IF($B105="","",MAX(0,G105-H105-I105))</f>
        <v/>
      </c>
      <c r="K105" s="116" t="str">
        <f aca="false">IF($B105="","",الموظفون!$L105*$J105/cfg_DAYS_M)</f>
        <v/>
      </c>
      <c r="L105" s="116" t="str">
        <f aca="false">IF($B105="","",الموظفون!$M105*$J105/cfg_DAYS_M)</f>
        <v/>
      </c>
      <c r="M105" s="116" t="str">
        <f aca="false">IF($B105="","",الموظفون!$N105*$J105/cfg_DAYS_M)</f>
        <v/>
      </c>
      <c r="N105" s="116" t="str">
        <f aca="false">IF($B105="","",الموظفون!$O105*$J105/cfg_DAYS_M)</f>
        <v/>
      </c>
      <c r="O105" s="156" t="str">
        <f aca="false">IF($B105="","",SUMIFS('الحركات الشهرية'!$F$6:$F$1005,'الحركات الشهرية'!$B$6:$B$1005,$B105,'الحركات الشهرية'!$A$6:$A$1005,$C$3))</f>
        <v/>
      </c>
      <c r="P105" s="116" t="str">
        <f aca="false">IF($B105="","",O105*(الموظفون!$P105+الموظفون!$L105*cfg_OT_P)/cfg_DAYS_M/cfg_HRS)</f>
        <v/>
      </c>
      <c r="Q105" s="116" t="str">
        <f aca="false">IF($B105="","",SUMIFS('الحركات الشهرية'!$G$6:$G$1005,'الحركات الشهرية'!$B$6:$B$1005,$B105,'الحركات الشهرية'!$A$6:$A$1005,$C$3))</f>
        <v/>
      </c>
      <c r="R105" s="116" t="str">
        <f aca="false">IF($B105="","",SUMIFS('الحركات الشهرية'!$H$6:$H$1005,'الحركات الشهرية'!$B$6:$B$1005,$B105,'الحركات الشهرية'!$A$6:$A$1005,$C$3))</f>
        <v/>
      </c>
      <c r="S105" s="116" t="str">
        <f aca="false">IF($B105="","",SUMIFS('سجل الإجازات والحالات'!$N$6:$N$505,'سجل الإجازات والحالات'!$B$6:$B$505,$B105,'سجل الإجازات والحالات'!$O$6:$O$505,$C$3))</f>
        <v/>
      </c>
      <c r="T105" s="157" t="str">
        <f aca="false">IF($B105="","",SUM(K105:N105)+SUM(P105:S105))</f>
        <v/>
      </c>
      <c r="U105" s="116" t="str">
        <f aca="false">IF($B105="","",الموظفون!$S105*IF(E105="سعودي",cfg_G_SE,cfg_G_NE)*G105/cfg_DAYS_M)</f>
        <v/>
      </c>
      <c r="V105" s="116" t="str">
        <f aca="false">IF($B105="","",SUMIFS('الحركات الشهرية'!$I$6:$I$1005,'الحركات الشهرية'!$B$6:$B$1005,$B105,'الحركات الشهرية'!$A$6:$A$1005,$C$3))</f>
        <v/>
      </c>
      <c r="W105" s="116" t="str">
        <f aca="false">IF($B105="","",SUMIFS('الحركات الشهرية'!$J$6:$J$1005,'الحركات الشهرية'!$B$6:$B$1005,$B105,'الحركات الشهرية'!$A$6:$A$1005,$C$3))</f>
        <v/>
      </c>
      <c r="X105" s="116" t="str">
        <f aca="false">IF($B105="","",SUM(U105:W105))</f>
        <v/>
      </c>
      <c r="Y105" s="158" t="str">
        <f aca="false">IF($B105="","",T105-X105)</f>
        <v/>
      </c>
      <c r="Z105" s="116" t="str">
        <f aca="false">IF($B105="","",الموظفون!$S105*IF(E105="سعودي",cfg_G_SR,cfg_G_NR)*G105/cfg_DAYS_M)</f>
        <v/>
      </c>
      <c r="AA105" s="116" t="str">
        <f aca="false">IF($B105="","",الموظفون!$Q105*(cfg_EOS_R1*(MIN(AH105,cfg_EOS_TH)-MIN(AI105,cfg_EOS_TH))+cfg_EOS_R2*(MAX(AH105-cfg_EOS_TH,0)-MAX(AI105-cfg_EOS_TH,0))))</f>
        <v/>
      </c>
      <c r="AB105" s="116" t="str">
        <f aca="false">IF($B105="","",IF(الموظفون!$T105&lt;&gt;"",الموظفون!$T105,IF(AH105&gt;=cfg_LV_TH,cfg_LV_D2,cfg_LV_D1))/cfg_DAYS_Y*AJ105*الموظفون!$R105/cfg_DAYS_M)</f>
        <v/>
      </c>
      <c r="AC105" s="116" t="str">
        <f aca="false">IF($B105="","",IF(AND(الموظفون!$U105="نعم",N(الموظفون!$W105)&gt;0),الموظفون!$V105/الموظفون!$W105*12/cfg_DAYS_Y*AJ105,0))</f>
        <v/>
      </c>
      <c r="AD105" s="116" t="str">
        <f aca="false">IF($B105="","",(IF(الموظفون!$X105&lt;&gt;"",الموظفون!$X105,IF(الموظفون!$E105="غير سعودي",cfg_IQ,0))+IF(الموظفون!$Y105&lt;&gt;"",الموظفون!$Y105,IF(الموظفون!$E105="غير سعودي",cfg_WP,0)))/12*G105/cfg_DAYS_M)</f>
        <v/>
      </c>
      <c r="AE105" s="116" t="str">
        <f aca="false">IF($B105="","",IF(الموظفون!$Z105&lt;&gt;"",الموظفون!$Z105,cfg_MED)/12*G105/cfg_DAYS_M)</f>
        <v/>
      </c>
      <c r="AF105" s="116" t="str">
        <f aca="false">IF($B105="","",N(الموظفون!$AA105)/12*G105/cfg_DAYS_M)</f>
        <v/>
      </c>
      <c r="AG105" s="159" t="str">
        <f aca="false">IF($B105="","",T105+SUM(Z105:AF105))</f>
        <v/>
      </c>
      <c r="AH105" s="160" t="str">
        <f aca="false">IF($B105="","",MAX(0,IF(OR(الموظفون!$AE105="",الموظفون!$AE105&gt;$F$3),$F$3,الموظفون!$AE105)-الموظفون!$H105+1-SUMIFS('سجل الإجازات والحالات'!$AN$6:$AN$505,'سجل الإجازات والحالات'!$B$6:$B$505,$B105))/cfg_DAYS_Y)</f>
        <v/>
      </c>
      <c r="AI105" s="160" t="str">
        <f aca="false">IF($B105="","",MAX(0,IF(OR(الموظفون!$AE105="",الموظفون!$AE105&gt;($E$3-1)),($E$3-1),الموظفون!$AE105)-الموظفون!$H105+1-SUMIFS('سجل الإجازات والحالات'!$AM$6:$AM$505,'سجل الإجازات والحالات'!$B$6:$B$505,$B105))/cfg_DAYS_Y)</f>
        <v/>
      </c>
      <c r="AJ105" s="133" t="str">
        <f aca="false">IF($B105="","",MAX(0,AK105-(SUMIFS('سجل الإجازات والحالات'!$AN$6:$AN$505,'سجل الإجازات والحالات'!$B$6:$B$505,$B105)-SUMIFS('سجل الإجازات والحالات'!$AM$6:$AM$505,'سجل الإجازات والحالات'!$B$6:$B$505,$B105))))</f>
        <v/>
      </c>
      <c r="AK105" s="133" t="str">
        <f aca="false">IF($B105="","",MAX(0,IF(OR(الموظفون!$AE105="",الموظفون!$AE105&gt;$F$3),$F$3,الموظفون!$AE105)-MAX($E$3,الموظفون!$H105)+1))</f>
        <v/>
      </c>
      <c r="AL105" s="156" t="str">
        <f aca="false">IF($B105="","",SUMIFS('سجل الإجازات والحالات'!$AZ$6:$AZ$505,'سجل الإجازات والحالات'!$B$6:$B$505,$B105)+SUMIFS('الحركات الشهرية'!$K$6:$K$1005,'الحركات الشهرية'!$B$6:$B$1005,$B105,'الحركات الشهرية'!$A$6:$A$1005,$C$3))</f>
        <v/>
      </c>
      <c r="AM105" s="116" t="str">
        <f aca="false">IF($B105="","",AL105*الموظفون!$R105/cfg_DAYS_M+S105)</f>
        <v/>
      </c>
      <c r="AN105" s="156" t="str">
        <f aca="false">IF($B105="","",SUMIFS('سجل الإجازات والحالات'!$AB$6:$AB$505,'سجل الإجازات والحالات'!$B$6:$B$505,$B105))</f>
        <v/>
      </c>
    </row>
    <row r="106" customFormat="false" ht="24" hidden="false" customHeight="true" outlineLevel="0" collapsed="false">
      <c r="A106" s="124"/>
      <c r="B106" s="125" t="str">
        <f aca="false">COUNTIF(G6:G105,"&gt;0")&amp;" موظف"</f>
        <v>11 موظف</v>
      </c>
      <c r="C106" s="124" t="s">
        <v>161</v>
      </c>
      <c r="D106" s="124"/>
      <c r="E106" s="124"/>
      <c r="F106" s="125" t="str">
        <f aca="false">COUNTIFS(G6:G105,"&gt;0",J6:J105,0)&amp;" بدون راتب"</f>
        <v>0 بدون راتب</v>
      </c>
      <c r="G106" s="124"/>
      <c r="H106" s="161" t="n">
        <f aca="false">SUM(H6:H105)</f>
        <v>0</v>
      </c>
      <c r="I106" s="161" t="n">
        <f aca="false">SUM(I6:I105)</f>
        <v>0</v>
      </c>
      <c r="J106" s="161" t="n">
        <f aca="false">SUM(J6:J105)</f>
        <v>330</v>
      </c>
      <c r="K106" s="125" t="n">
        <f aca="false">SUM(K6:K105)</f>
        <v>136500</v>
      </c>
      <c r="L106" s="125" t="n">
        <f aca="false">SUM(L6:L105)</f>
        <v>34125</v>
      </c>
      <c r="M106" s="125" t="n">
        <f aca="false">SUM(M6:M105)</f>
        <v>13650</v>
      </c>
      <c r="N106" s="125" t="n">
        <f aca="false">SUM(N6:N105)</f>
        <v>10300</v>
      </c>
      <c r="O106" s="161" t="n">
        <f aca="false">SUM(O6:O105)</f>
        <v>0</v>
      </c>
      <c r="P106" s="125" t="n">
        <f aca="false">SUM(P6:P105)</f>
        <v>0</v>
      </c>
      <c r="Q106" s="125" t="n">
        <f aca="false">SUM(Q6:Q105)</f>
        <v>0</v>
      </c>
      <c r="R106" s="125" t="n">
        <f aca="false">SUM(R6:R105)</f>
        <v>8297.2602739726</v>
      </c>
      <c r="S106" s="125" t="n">
        <f aca="false">SUM(S6:S105)</f>
        <v>0</v>
      </c>
      <c r="T106" s="125" t="n">
        <f aca="false">SUM(T6:T105)</f>
        <v>202872.260273973</v>
      </c>
      <c r="U106" s="125" t="n">
        <f aca="false">SUM(U6:U105)</f>
        <v>12370.3125</v>
      </c>
      <c r="V106" s="125" t="n">
        <f aca="false">SUM(V6:V105)</f>
        <v>0</v>
      </c>
      <c r="W106" s="125" t="n">
        <f aca="false">SUM(W6:W105)</f>
        <v>0</v>
      </c>
      <c r="X106" s="125" t="n">
        <f aca="false">SUM(X6:X105)</f>
        <v>12370.3125</v>
      </c>
      <c r="Y106" s="125" t="n">
        <f aca="false">SUM(Y6:Y105)</f>
        <v>190501.947773973</v>
      </c>
      <c r="Z106" s="125" t="n">
        <f aca="false">SUM(Z6:Z105)</f>
        <v>15782.8125</v>
      </c>
      <c r="AA106" s="125" t="n">
        <f aca="false">SUM(AA6:AA105)</f>
        <v>14016.8835616438</v>
      </c>
      <c r="AB106" s="125" t="n">
        <f aca="false">SUM(AB6:AB105)</f>
        <v>14670.4315068493</v>
      </c>
      <c r="AC106" s="125" t="n">
        <f aca="false">SUM(AC6:AC105)</f>
        <v>849.315068493151</v>
      </c>
      <c r="AD106" s="125" t="n">
        <f aca="false">SUM(AD6:AD105)</f>
        <v>3416.66666666667</v>
      </c>
      <c r="AE106" s="125" t="n">
        <f aca="false">SUM(AE6:AE105)</f>
        <v>2650</v>
      </c>
      <c r="AF106" s="125" t="n">
        <f aca="false">SUM(AF6:AF105)</f>
        <v>400</v>
      </c>
      <c r="AG106" s="125" t="n">
        <f aca="false">SUM(AG6:AG105)</f>
        <v>254658.369577626</v>
      </c>
      <c r="AH106" s="124"/>
      <c r="AI106" s="124"/>
      <c r="AJ106" s="124"/>
      <c r="AK106" s="124"/>
      <c r="AL106" s="161" t="n">
        <f aca="false">SUM(AL6:AL105)</f>
        <v>35</v>
      </c>
      <c r="AM106" s="125" t="n">
        <f aca="false">SUM(AM6:AM105)</f>
        <v>25650</v>
      </c>
      <c r="AN106" s="124"/>
    </row>
    <row r="107" customFormat="false" ht="48" hidden="false" customHeight="true" outlineLevel="0" collapsed="false">
      <c r="A107" s="24" t="s">
        <v>505</v>
      </c>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row>
  </sheetData>
  <sheetProtection sheet="true" password="ffa5" objects="true" scenarios="true"/>
  <autoFilter ref="A5:AN105"/>
  <mergeCells count="6">
    <mergeCell ref="A1:AG1"/>
    <mergeCell ref="A2:AG2"/>
    <mergeCell ref="G3:H3"/>
    <mergeCell ref="J3:K3"/>
    <mergeCell ref="L3:M3"/>
    <mergeCell ref="A107:AN107"/>
  </mergeCells>
  <conditionalFormatting sqref="G3">
    <cfRule type="expression" priority="2" aboveAverage="0" equalAverage="0" bottom="0" percent="0" rank="0" text="" dxfId="0">
      <formula>ISNUMBER(SEARCH("✔",G3))</formula>
    </cfRule>
    <cfRule type="expression" priority="3" aboveAverage="0" equalAverage="0" bottom="0" percent="0" rank="0" text="" dxfId="1">
      <formula>ISNUMBER(SEARCH("✖",G3))</formula>
    </cfRule>
    <cfRule type="expression" priority="4" aboveAverage="0" equalAverage="0" bottom="0" percent="0" rank="0" text="" dxfId="2">
      <formula>ISNUMBER(SEARCH("⚠",G3))</formula>
    </cfRule>
    <cfRule type="expression" priority="5" aboveAverage="0" equalAverage="0" bottom="0" percent="0" rank="0" text="" dxfId="3">
      <formula>ISNUMBER(SEARCH("✈",G3))</formula>
    </cfRule>
    <cfRule type="expression" priority="6" aboveAverage="0" equalAverage="0" bottom="0" percent="0" rank="0" text="" dxfId="1">
      <formula>ISNUMBER(SEARCH("⛔",G3))</formula>
    </cfRule>
    <cfRule type="expression" priority="7" aboveAverage="0" equalAverage="0" bottom="0" percent="0" rank="0" text="" dxfId="0">
      <formula>ISNUMBER(SEARCH("🌴",G3))</formula>
    </cfRule>
    <cfRule type="expression" priority="8" aboveAverage="0" equalAverage="0" bottom="0" percent="0" rank="0" text="" dxfId="4">
      <formula>ISNUMBER(SEARCH("⏳",G3))</formula>
    </cfRule>
  </conditionalFormatting>
  <conditionalFormatting sqref="F6:F105">
    <cfRule type="expression" priority="9" aboveAverage="0" equalAverage="0" bottom="0" percent="0" rank="0" text="" dxfId="0">
      <formula>ISNUMBER(SEARCH("✔",F6))</formula>
    </cfRule>
    <cfRule type="expression" priority="10" aboveAverage="0" equalAverage="0" bottom="0" percent="0" rank="0" text="" dxfId="1">
      <formula>ISNUMBER(SEARCH("✖",F6))</formula>
    </cfRule>
    <cfRule type="expression" priority="11" aboveAverage="0" equalAverage="0" bottom="0" percent="0" rank="0" text="" dxfId="2">
      <formula>ISNUMBER(SEARCH("⚠",F6))</formula>
    </cfRule>
    <cfRule type="expression" priority="12" aboveAverage="0" equalAverage="0" bottom="0" percent="0" rank="0" text="" dxfId="3">
      <formula>ISNUMBER(SEARCH("✈",F6))</formula>
    </cfRule>
    <cfRule type="expression" priority="13" aboveAverage="0" equalAverage="0" bottom="0" percent="0" rank="0" text="" dxfId="1">
      <formula>ISNUMBER(SEARCH("⛔",F6))</formula>
    </cfRule>
    <cfRule type="expression" priority="14" aboveAverage="0" equalAverage="0" bottom="0" percent="0" rank="0" text="" dxfId="0">
      <formula>ISNUMBER(SEARCH("🌴",F6))</formula>
    </cfRule>
    <cfRule type="expression" priority="15" aboveAverage="0" equalAverage="0" bottom="0" percent="0" rank="0" text="" dxfId="4">
      <formula>ISNUMBER(SEARCH("⏳",F6))</formula>
    </cfRule>
  </conditionalFormatting>
  <conditionalFormatting sqref="G6:AN105">
    <cfRule type="expression" priority="16" aboveAverage="0" equalAverage="0" bottom="0" percent="0" rank="0" text="" dxfId="31">
      <formula>AND($B6&lt;&gt;"",$J6=0)</formula>
    </cfRule>
  </conditionalFormatting>
  <conditionalFormatting sqref="Y6:Y105">
    <cfRule type="expression" priority="17" aboveAverage="0" equalAverage="0" bottom="0" percent="0" rank="0" text="" dxfId="1">
      <formula>AND(ISNUMBER(Y6),Y6&lt;0)</formula>
    </cfRule>
  </conditionalFormatting>
  <hyperlinks>
    <hyperlink ref="A2" r:id="rId1" display="https://accopro.net/"/>
    <hyperlink ref="J3" location="'مسير يونيو'!A1" display="◀ الشهر السابق"/>
    <hyperlink ref="L3" location="'مسير أغسطس'!A1" display="الشهر التالي ▶"/>
    <hyperlink ref="O3" location="'الرئيسية'!A1" display="🏠 الرئيسية"/>
    <hyperlink ref="P3" location="'لوحة التحكم'!A1" display="📊 لوحة التحكم"/>
    <hyperlink ref="R3" location="'الموظفون'!A1" display="👥 الموظفون"/>
    <hyperlink ref="S3" location="'سجل الإجازات والحالات'!A1" display="🌴 سجل الإجازات"/>
    <hyperlink ref="U3" location="'الحركات الشهرية'!A1" display="✍ الحركات"/>
    <hyperlink ref="W3" location="'الملخص الشهري'!A1" display="📅 الملخص الشهري"/>
    <hyperlink ref="Y3" location="'قيود الرواتب'!A1" display="🧾 القيود"/>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&amp;Cنسخة تجريبية — النسخة الكاملة: accopro.net</oddHeader>
    <oddFooter>&amp;CAccoPro — https://accopro.net</oddFooter>
  </headerFooter>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N107"/>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24"/>
    <col collapsed="false" customWidth="true" hidden="false" outlineLevel="0" max="4" min="4" style="0" width="14"/>
    <col collapsed="false" customWidth="true" hidden="false" outlineLevel="0" max="5" min="5" style="0" width="10"/>
    <col collapsed="false" customWidth="true" hidden="false" outlineLevel="0" max="6" min="6" style="0" width="20"/>
    <col collapsed="false" customWidth="true" hidden="false" outlineLevel="0" max="8" min="7" style="0" width="8"/>
    <col collapsed="false" customWidth="true" hidden="false" outlineLevel="0" max="9" min="9" style="0" width="9"/>
    <col collapsed="false" customWidth="true" hidden="false" outlineLevel="0" max="10" min="10" style="0" width="8"/>
    <col collapsed="false" customWidth="true" hidden="false" outlineLevel="0" max="11" min="11" style="0" width="12"/>
    <col collapsed="false" customWidth="true" hidden="false" outlineLevel="0" max="12" min="12" style="0" width="11"/>
    <col collapsed="false" customWidth="true" hidden="false" outlineLevel="0" max="14" min="13" style="0" width="10"/>
    <col collapsed="false" customWidth="true" hidden="false" outlineLevel="0" max="15" min="15" style="0" width="7"/>
    <col collapsed="false" customWidth="true" hidden="false" outlineLevel="0" max="19" min="16" style="0" width="11"/>
    <col collapsed="false" customWidth="true" hidden="false" outlineLevel="0" max="20" min="20" style="0" width="13"/>
    <col collapsed="false" customWidth="true" hidden="false" outlineLevel="0" max="21" min="21" style="0" width="11"/>
    <col collapsed="false" customWidth="true" hidden="false" outlineLevel="0" max="23" min="22" style="0" width="10"/>
    <col collapsed="false" customWidth="true" hidden="false" outlineLevel="0" max="24" min="24" style="0" width="12"/>
    <col collapsed="false" customWidth="true" hidden="false" outlineLevel="0" max="25" min="25" style="0" width="13"/>
    <col collapsed="false" customWidth="true" hidden="false" outlineLevel="0" max="26" min="26" style="0" width="11"/>
    <col collapsed="false" customWidth="true" hidden="false" outlineLevel="0" max="27" min="27" style="0" width="12"/>
    <col collapsed="false" customWidth="true" hidden="false" outlineLevel="0" max="29" min="28" style="0" width="11"/>
    <col collapsed="false" customWidth="true" hidden="false" outlineLevel="0" max="30" min="30" style="0" width="12"/>
    <col collapsed="false" customWidth="true" hidden="false" outlineLevel="0" max="31" min="31" style="0" width="11"/>
    <col collapsed="false" customWidth="true" hidden="false" outlineLevel="0" max="32" min="32" style="0" width="10"/>
    <col collapsed="false" customWidth="true" hidden="false" outlineLevel="0" max="33" min="33" style="0" width="14"/>
    <col collapsed="false" customWidth="true" hidden="true" outlineLevel="0" max="38" min="34" style="0" width="9"/>
    <col collapsed="false" customWidth="true" hidden="true" outlineLevel="0" max="39" min="39" style="0" width="11"/>
    <col collapsed="false" customWidth="true" hidden="true" outlineLevel="0" max="40" min="40" style="0" width="9"/>
  </cols>
  <sheetData>
    <row r="1" customFormat="false" ht="37.5" hidden="false" customHeight="true" outlineLevel="0" collapsed="false">
      <c r="A1" s="136" t="str">
        <f aca="false">"💵 مسير رواتب شهر أغسطس "&amp;cfg_FY&amp;"   🔒 نسخة تجريبية"</f>
        <v>💵 مسير رواتب شهر أغسطس 2026   🔒 نسخة تجريبية</v>
      </c>
      <c r="B1" s="136"/>
      <c r="C1" s="136"/>
      <c r="D1" s="136"/>
      <c r="E1" s="136"/>
      <c r="F1" s="136"/>
      <c r="G1" s="136"/>
      <c r="H1" s="136"/>
      <c r="I1" s="136"/>
      <c r="J1" s="136"/>
      <c r="K1" s="136"/>
      <c r="L1" s="136"/>
      <c r="M1" s="136"/>
      <c r="N1" s="136"/>
      <c r="O1" s="136"/>
      <c r="P1" s="136"/>
      <c r="Q1" s="136"/>
      <c r="R1" s="136"/>
      <c r="S1" s="136"/>
      <c r="T1" s="136"/>
      <c r="U1" s="136"/>
      <c r="V1" s="136"/>
      <c r="W1" s="136"/>
      <c r="X1" s="136"/>
      <c r="Y1" s="136"/>
      <c r="Z1" s="136"/>
      <c r="AA1" s="136"/>
      <c r="AB1" s="136"/>
      <c r="AC1" s="136"/>
      <c r="AD1" s="136"/>
      <c r="AE1" s="136"/>
      <c r="AF1" s="136"/>
      <c r="AG1" s="136"/>
    </row>
    <row r="2" customFormat="false" ht="19.5" hidden="false" customHeight="true" outlineLevel="0" collapsed="false">
      <c r="A2" s="2" t="str">
        <f aca="false">"🛒 نسخة تجريبية — للنسخة الكاملة اضغط هنا ← accopro.net   |   "&amp;cfg_CO&amp;"   |   السنة المالية "&amp;cfg_FY&amp;"   |   شهر التقرير: "&amp;INDEX(L_MONTH,cfg_VAL_M)&amp;"   |   المبالغ بـ "&amp;cfg_CUR</f>
        <v>🛒 نسخة تجريبية — للنسخة الكاملة اضغط هنا ← accopro.net   |   شركة النخبة للتجارة والمقاولات   |   السنة المالية 2026   |   شهر التقرير: سبتمبر   |   المبالغ بـ ريال سعودي</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row>
    <row r="3" customFormat="false" ht="25.5" hidden="false" customHeight="true" outlineLevel="0" collapsed="false">
      <c r="B3" s="137" t="s">
        <v>163</v>
      </c>
      <c r="C3" s="138" t="n">
        <v>8</v>
      </c>
      <c r="D3" s="137" t="s">
        <v>472</v>
      </c>
      <c r="E3" s="139" t="n">
        <f aca="false">DATE(cfg_FY,C3,1)</f>
        <v>46235</v>
      </c>
      <c r="F3" s="139" t="n">
        <f aca="false">EOMONTH(E3,0)</f>
        <v>46265</v>
      </c>
      <c r="G3" s="140" t="str">
        <f aca="false">IF(C3&lt;=cfg_VAL_M,"✔ فعلي","⚠ متوقع")</f>
        <v>✔ فعلي</v>
      </c>
      <c r="H3" s="140"/>
      <c r="J3" s="141" t="s">
        <v>506</v>
      </c>
      <c r="K3" s="141"/>
      <c r="L3" s="141" t="s">
        <v>473</v>
      </c>
      <c r="M3" s="141"/>
      <c r="O3" s="31" t="s">
        <v>114</v>
      </c>
      <c r="P3" s="12" t="s">
        <v>172</v>
      </c>
      <c r="R3" s="32" t="s">
        <v>116</v>
      </c>
      <c r="S3" s="33" t="s">
        <v>117</v>
      </c>
      <c r="U3" s="32" t="s">
        <v>118</v>
      </c>
      <c r="W3" s="32" t="s">
        <v>39</v>
      </c>
      <c r="Y3" s="32" t="s">
        <v>173</v>
      </c>
    </row>
    <row r="4" customFormat="false" ht="7.5" hidden="false" customHeight="true" outlineLevel="0" collapsed="false"/>
    <row r="5" customFormat="false" ht="51.75" hidden="false" customHeight="true" outlineLevel="0" collapsed="false">
      <c r="A5" s="142" t="s">
        <v>308</v>
      </c>
      <c r="B5" s="142" t="s">
        <v>309</v>
      </c>
      <c r="C5" s="142" t="s">
        <v>310</v>
      </c>
      <c r="D5" s="142" t="s">
        <v>156</v>
      </c>
      <c r="E5" s="142" t="s">
        <v>142</v>
      </c>
      <c r="F5" s="142" t="s">
        <v>474</v>
      </c>
      <c r="G5" s="143" t="s">
        <v>475</v>
      </c>
      <c r="H5" s="143" t="s">
        <v>476</v>
      </c>
      <c r="I5" s="143" t="s">
        <v>477</v>
      </c>
      <c r="J5" s="143" t="s">
        <v>478</v>
      </c>
      <c r="K5" s="144" t="s">
        <v>479</v>
      </c>
      <c r="L5" s="144" t="s">
        <v>480</v>
      </c>
      <c r="M5" s="144" t="s">
        <v>481</v>
      </c>
      <c r="N5" s="144" t="s">
        <v>482</v>
      </c>
      <c r="O5" s="144" t="s">
        <v>483</v>
      </c>
      <c r="P5" s="144" t="s">
        <v>484</v>
      </c>
      <c r="Q5" s="144" t="s">
        <v>451</v>
      </c>
      <c r="R5" s="144" t="s">
        <v>485</v>
      </c>
      <c r="S5" s="144" t="s">
        <v>486</v>
      </c>
      <c r="T5" s="144" t="s">
        <v>127</v>
      </c>
      <c r="U5" s="145" t="s">
        <v>487</v>
      </c>
      <c r="V5" s="145" t="s">
        <v>453</v>
      </c>
      <c r="W5" s="145" t="s">
        <v>454</v>
      </c>
      <c r="X5" s="145" t="s">
        <v>488</v>
      </c>
      <c r="Y5" s="146" t="s">
        <v>489</v>
      </c>
      <c r="Z5" s="147" t="s">
        <v>490</v>
      </c>
      <c r="AA5" s="147" t="s">
        <v>491</v>
      </c>
      <c r="AB5" s="147" t="s">
        <v>492</v>
      </c>
      <c r="AC5" s="147" t="s">
        <v>493</v>
      </c>
      <c r="AD5" s="148" t="s">
        <v>494</v>
      </c>
      <c r="AE5" s="148" t="s">
        <v>495</v>
      </c>
      <c r="AF5" s="148" t="s">
        <v>496</v>
      </c>
      <c r="AG5" s="149" t="s">
        <v>497</v>
      </c>
      <c r="AH5" s="150" t="s">
        <v>498</v>
      </c>
      <c r="AI5" s="150" t="s">
        <v>499</v>
      </c>
      <c r="AJ5" s="150" t="s">
        <v>500</v>
      </c>
      <c r="AK5" s="150" t="s">
        <v>501</v>
      </c>
      <c r="AL5" s="150" t="s">
        <v>502</v>
      </c>
      <c r="AM5" s="150" t="s">
        <v>503</v>
      </c>
      <c r="AN5" s="150" t="s">
        <v>504</v>
      </c>
    </row>
    <row r="6" customFormat="false" ht="15" hidden="false" customHeight="false" outlineLevel="0" collapsed="false">
      <c r="A6" s="106" t="n">
        <f aca="false">IF($B6="","",الموظفون!$A6)</f>
        <v>1</v>
      </c>
      <c r="B6" s="114" t="str">
        <f aca="false">IF(الموظفون!$B6="","",الموظفون!$B6)</f>
        <v>E001</v>
      </c>
      <c r="C6" s="114" t="str">
        <f aca="false">IF($B6="","",الموظفون!$C6)</f>
        <v>عبدالله محمد العتيبي</v>
      </c>
      <c r="D6" s="114" t="str">
        <f aca="false">IF($B6="","",الموظفون!$F6)</f>
        <v>الإدارة العليا</v>
      </c>
      <c r="E6" s="114" t="str">
        <f aca="false">IF($B6="","",الموظفون!$E6)</f>
        <v>سعودي</v>
      </c>
      <c r="F6" s="114" t="str">
        <f aca="false">IF($B6="","",IF(AK6=0,IF(AND(الموظفون!$AE6&lt;&gt;"",الموظفون!$AE6&lt;$E$3),"✖ منتهي الخدمة","⏳ لم يباشر"),IF(S6&gt;0,"✈ راتب إجازة مقدم",IF(J6=0,"⛔ بدون راتب هذا الشهر",IF(I6&gt;0,"✈ خصم "&amp;ROUND(I6,2)&amp;" يوم بدون أجر",IF(AL6&gt;0,"🌴 إجازة سنوية "&amp;ROUND(AL6,2)&amp;" يوم",IF(H6&gt;0,"⚠ غياب "&amp;ROUND(H6,2)&amp;" يوم","✔ على رأس العمل")))))))</f>
        <v>✔ على رأس العمل</v>
      </c>
      <c r="G6" s="151" t="n">
        <f aca="false">IF($B6="","",IF(AK6&gt;=DAY($F$3),cfg_DAYS_M,MIN(AK6,cfg_DAYS_M)))</f>
        <v>30</v>
      </c>
      <c r="H6" s="151" t="n">
        <f aca="false">IF($B6="","",SUMIFS('الحركات الشهرية'!$D$6:$D$1005,'الحركات الشهرية'!$B$6:$B$1005,$B6,'الحركات الشهرية'!$A$6:$A$1005,$C$3))</f>
        <v>0</v>
      </c>
      <c r="I6" s="151" t="n">
        <f aca="false">IF($B6="","",MIN(G6,IF(AND(AK6&gt;0,AN6&gt;=AK6),G6,AN6)+SUMIFS('الحركات الشهرية'!$E$6:$E$1005,'الحركات الشهرية'!$B$6:$B$1005,$B6,'الحركات الشهرية'!$A$6:$A$1005,$C$3)))</f>
        <v>0</v>
      </c>
      <c r="J6" s="151" t="n">
        <f aca="false">IF($B6="","",MAX(0,G6-H6-I6))</f>
        <v>30</v>
      </c>
      <c r="K6" s="111" t="n">
        <f aca="false">IF($B6="","",الموظفون!$L6*$J6/cfg_DAYS_M)</f>
        <v>28000</v>
      </c>
      <c r="L6" s="111" t="n">
        <f aca="false">IF($B6="","",الموظفون!$M6*$J6/cfg_DAYS_M)</f>
        <v>7000</v>
      </c>
      <c r="M6" s="111" t="n">
        <f aca="false">IF($B6="","",الموظفون!$N6*$J6/cfg_DAYS_M)</f>
        <v>2800</v>
      </c>
      <c r="N6" s="111" t="n">
        <f aca="false">IF($B6="","",الموظفون!$O6*$J6/cfg_DAYS_M)</f>
        <v>3000</v>
      </c>
      <c r="O6" s="151" t="n">
        <f aca="false">IF($B6="","",SUMIFS('الحركات الشهرية'!$F$6:$F$1005,'الحركات الشهرية'!$B$6:$B$1005,$B6,'الحركات الشهرية'!$A$6:$A$1005,$C$3))</f>
        <v>0</v>
      </c>
      <c r="P6" s="111" t="n">
        <f aca="false">IF($B6="","",O6*(الموظفون!$P6+الموظفون!$L6*cfg_OT_P)/cfg_DAYS_M/cfg_HRS)</f>
        <v>0</v>
      </c>
      <c r="Q6" s="111" t="n">
        <f aca="false">IF($B6="","",SUMIFS('الحركات الشهرية'!$G$6:$G$1005,'الحركات الشهرية'!$B$6:$B$1005,$B6,'الحركات الشهرية'!$A$6:$A$1005,$C$3))</f>
        <v>0</v>
      </c>
      <c r="R6" s="111" t="n">
        <f aca="false">IF($B6="","",SUMIFS('الحركات الشهرية'!$H$6:$H$1005,'الحركات الشهرية'!$B$6:$B$1005,$B6,'الحركات الشهرية'!$A$6:$A$1005,$C$3))</f>
        <v>0</v>
      </c>
      <c r="S6" s="111" t="n">
        <f aca="false">IF($B6="","",SUMIFS('سجل الإجازات والحالات'!$N$6:$N$505,'سجل الإجازات والحالات'!$B$6:$B$505,$B6,'سجل الإجازات والحالات'!$O$6:$O$505,$C$3))</f>
        <v>0</v>
      </c>
      <c r="T6" s="152" t="n">
        <f aca="false">IF($B6="","",SUM(K6:N6)+SUM(P6:S6))</f>
        <v>40800</v>
      </c>
      <c r="U6" s="111" t="n">
        <f aca="false">IF($B6="","",الموظفون!$S6*IF(E6="سعودي",cfg_G_SE,cfg_G_NE)*G6/cfg_DAYS_M)</f>
        <v>3412.5</v>
      </c>
      <c r="V6" s="111" t="n">
        <f aca="false">IF($B6="","",SUMIFS('الحركات الشهرية'!$I$6:$I$1005,'الحركات الشهرية'!$B$6:$B$1005,$B6,'الحركات الشهرية'!$A$6:$A$1005,$C$3))</f>
        <v>0</v>
      </c>
      <c r="W6" s="111" t="n">
        <f aca="false">IF($B6="","",SUMIFS('الحركات الشهرية'!$J$6:$J$1005,'الحركات الشهرية'!$B$6:$B$1005,$B6,'الحركات الشهرية'!$A$6:$A$1005,$C$3))</f>
        <v>0</v>
      </c>
      <c r="X6" s="111" t="n">
        <f aca="false">IF($B6="","",SUM(U6:W6))</f>
        <v>3412.5</v>
      </c>
      <c r="Y6" s="153" t="n">
        <f aca="false">IF($B6="","",T6-X6)</f>
        <v>37387.5</v>
      </c>
      <c r="Z6" s="111" t="n">
        <f aca="false">IF($B6="","",الموظفون!$S6*IF(E6="سعودي",cfg_G_SR,cfg_G_NR)*G6/cfg_DAYS_M)</f>
        <v>4112.5</v>
      </c>
      <c r="AA6" s="111" t="n">
        <f aca="false">IF($B6="","",الموظفون!$Q6*(cfg_EOS_R1*(MIN(AH6,cfg_EOS_TH)-MIN(AI6,cfg_EOS_TH))+cfg_EOS_R2*(MAX(AH6-cfg_EOS_TH,0)-MAX(AI6-cfg_EOS_TH,0))))</f>
        <v>3210.41095890406</v>
      </c>
      <c r="AB6" s="111" t="n">
        <f aca="false">IF($B6="","",IF(الموظفون!$T6&lt;&gt;"",الموظفون!$T6,IF(AH6&gt;=cfg_LV_TH,cfg_LV_D2,cfg_LV_D1))/cfg_DAYS_Y*AJ6*الموظفون!$R6/cfg_DAYS_M)</f>
        <v>3210.41095890411</v>
      </c>
      <c r="AC6" s="111" t="n">
        <f aca="false">IF($B6="","",IF(AND(الموظفون!$U6="نعم",N(الموظفون!$W6)&gt;0),الموظفون!$V6/الموظفون!$W6*12/cfg_DAYS_Y*AJ6,0))</f>
        <v>0</v>
      </c>
      <c r="AD6" s="111" t="n">
        <f aca="false">IF($B6="","",(IF(الموظفون!$X6&lt;&gt;"",الموظفون!$X6,IF(الموظفون!$E6="غير سعودي",cfg_IQ,0))+IF(الموظفون!$Y6&lt;&gt;"",الموظفون!$Y6,IF(الموظفون!$E6="غير سعودي",cfg_WP,0)))/12*G6/cfg_DAYS_M)</f>
        <v>0</v>
      </c>
      <c r="AE6" s="111" t="n">
        <f aca="false">IF($B6="","",IF(الموظفون!$Z6&lt;&gt;"",الموظفون!$Z6,cfg_MED)/12*G6/cfg_DAYS_M)</f>
        <v>400</v>
      </c>
      <c r="AF6" s="111" t="n">
        <f aca="false">IF($B6="","",N(الموظفون!$AA6)/12*G6/cfg_DAYS_M)</f>
        <v>0</v>
      </c>
      <c r="AG6" s="154" t="n">
        <f aca="false">IF($B6="","",T6+SUM(Z6:AF6))</f>
        <v>51733.3219178082</v>
      </c>
      <c r="AH6" s="155" t="n">
        <f aca="false">IF($B6="","",MAX(0,IF(OR(الموظفون!$AE6="",الموظفون!$AE6&gt;$F$3),$F$3,الموظفون!$AE6)-الموظفون!$H6+1-SUMIFS('سجل الإجازات والحالات'!$AO$6:$AO$505,'سجل الإجازات والحالات'!$B$6:$B$505,$B6))/cfg_DAYS_Y)</f>
        <v>14.6383561643836</v>
      </c>
      <c r="AI6" s="155" t="n">
        <f aca="false">IF($B6="","",MAX(0,IF(OR(الموظفون!$AE6="",الموظفون!$AE6&gt;($E$3-1)),($E$3-1),الموظفون!$AE6)-الموظفون!$H6+1-SUMIFS('سجل الإجازات والحالات'!$AN$6:$AN$505,'سجل الإجازات والحالات'!$B$6:$B$505,$B6))/cfg_DAYS_Y)</f>
        <v>14.5534246575342</v>
      </c>
      <c r="AJ6" s="65" t="n">
        <f aca="false">IF($B6="","",MAX(0,AK6-(SUMIFS('سجل الإجازات والحالات'!$AO$6:$AO$505,'سجل الإجازات والحالات'!$B$6:$B$505,$B6)-SUMIFS('سجل الإجازات والحالات'!$AN$6:$AN$505,'سجل الإجازات والحالات'!$B$6:$B$505,$B6))))</f>
        <v>31</v>
      </c>
      <c r="AK6" s="65" t="n">
        <f aca="false">IF($B6="","",MAX(0,IF(OR(الموظفون!$AE6="",الموظفون!$AE6&gt;$F$3),$F$3,الموظفون!$AE6)-MAX($E$3,الموظفون!$H6)+1))</f>
        <v>31</v>
      </c>
      <c r="AL6" s="151" t="n">
        <f aca="false">IF($B6="","",SUMIFS('سجل الإجازات والحالات'!$BA$6:$BA$505,'سجل الإجازات والحالات'!$B$6:$B$505,$B6)+SUMIFS('الحركات الشهرية'!$K$6:$K$1005,'الحركات الشهرية'!$B$6:$B$1005,$B6,'الحركات الشهرية'!$A$6:$A$1005,$C$3))</f>
        <v>0</v>
      </c>
      <c r="AM6" s="111" t="n">
        <f aca="false">IF($B6="","",AL6*الموظفون!$R6/cfg_DAYS_M+S6)</f>
        <v>0</v>
      </c>
      <c r="AN6" s="151" t="n">
        <f aca="false">IF($B6="","",SUMIFS('سجل الإجازات والحالات'!$AC$6:$AC$505,'سجل الإجازات والحالات'!$B$6:$B$505,$B6))</f>
        <v>0</v>
      </c>
    </row>
    <row r="7" customFormat="false" ht="15" hidden="false" customHeight="false" outlineLevel="0" collapsed="false">
      <c r="A7" s="115" t="n">
        <f aca="false">IF($B7="","",الموظفون!$A7)</f>
        <v>2</v>
      </c>
      <c r="B7" s="117" t="str">
        <f aca="false">IF(الموظفون!$B7="","",الموظفون!$B7)</f>
        <v>E002</v>
      </c>
      <c r="C7" s="117" t="str">
        <f aca="false">IF($B7="","",الموظفون!$C7)</f>
        <v>أحمد سعيد القحطاني</v>
      </c>
      <c r="D7" s="117" t="str">
        <f aca="false">IF($B7="","",الموظفون!$F7)</f>
        <v>المالية</v>
      </c>
      <c r="E7" s="117" t="str">
        <f aca="false">IF($B7="","",الموظفون!$E7)</f>
        <v>سعودي</v>
      </c>
      <c r="F7" s="117" t="str">
        <f aca="false">IF($B7="","",IF(AK7=0,IF(AND(الموظفون!$AE7&lt;&gt;"",الموظفون!$AE7&lt;$E$3),"✖ منتهي الخدمة","⏳ لم يباشر"),IF(S7&gt;0,"✈ راتب إجازة مقدم",IF(J7=0,"⛔ بدون راتب هذا الشهر",IF(I7&gt;0,"✈ خصم "&amp;ROUND(I7,2)&amp;" يوم بدون أجر",IF(AL7&gt;0,"🌴 إجازة سنوية "&amp;ROUND(AL7,2)&amp;" يوم",IF(H7&gt;0,"⚠ غياب "&amp;ROUND(H7,2)&amp;" يوم","✔ على رأس العمل")))))))</f>
        <v>✔ على رأس العمل</v>
      </c>
      <c r="G7" s="156" t="n">
        <f aca="false">IF($B7="","",IF(AK7&gt;=DAY($F$3),cfg_DAYS_M,MIN(AK7,cfg_DAYS_M)))</f>
        <v>30</v>
      </c>
      <c r="H7" s="156" t="n">
        <f aca="false">IF($B7="","",SUMIFS('الحركات الشهرية'!$D$6:$D$1005,'الحركات الشهرية'!$B$6:$B$1005,$B7,'الحركات الشهرية'!$A$6:$A$1005,$C$3))</f>
        <v>0</v>
      </c>
      <c r="I7" s="156" t="n">
        <f aca="false">IF($B7="","",MIN(G7,IF(AND(AK7&gt;0,AN7&gt;=AK7),G7,AN7)+SUMIFS('الحركات الشهرية'!$E$6:$E$1005,'الحركات الشهرية'!$B$6:$B$1005,$B7,'الحركات الشهرية'!$A$6:$A$1005,$C$3)))</f>
        <v>0</v>
      </c>
      <c r="J7" s="156" t="n">
        <f aca="false">IF($B7="","",MAX(0,G7-H7-I7))</f>
        <v>30</v>
      </c>
      <c r="K7" s="116" t="n">
        <f aca="false">IF($B7="","",الموظفون!$L7*$J7/cfg_DAYS_M)</f>
        <v>18000</v>
      </c>
      <c r="L7" s="116" t="n">
        <f aca="false">IF($B7="","",الموظفون!$M7*$J7/cfg_DAYS_M)</f>
        <v>4500</v>
      </c>
      <c r="M7" s="116" t="n">
        <f aca="false">IF($B7="","",الموظفون!$N7*$J7/cfg_DAYS_M)</f>
        <v>1800</v>
      </c>
      <c r="N7" s="116" t="n">
        <f aca="false">IF($B7="","",الموظفون!$O7*$J7/cfg_DAYS_M)</f>
        <v>1000</v>
      </c>
      <c r="O7" s="156" t="n">
        <f aca="false">IF($B7="","",SUMIFS('الحركات الشهرية'!$F$6:$F$1005,'الحركات الشهرية'!$B$6:$B$1005,$B7,'الحركات الشهرية'!$A$6:$A$1005,$C$3))</f>
        <v>0</v>
      </c>
      <c r="P7" s="116" t="n">
        <f aca="false">IF($B7="","",O7*(الموظفون!$P7+الموظفون!$L7*cfg_OT_P)/cfg_DAYS_M/cfg_HRS)</f>
        <v>0</v>
      </c>
      <c r="Q7" s="116" t="n">
        <f aca="false">IF($B7="","",SUMIFS('الحركات الشهرية'!$G$6:$G$1005,'الحركات الشهرية'!$B$6:$B$1005,$B7,'الحركات الشهرية'!$A$6:$A$1005,$C$3))</f>
        <v>0</v>
      </c>
      <c r="R7" s="116" t="n">
        <f aca="false">IF($B7="","",SUMIFS('الحركات الشهرية'!$H$6:$H$1005,'الحركات الشهرية'!$B$6:$B$1005,$B7,'الحركات الشهرية'!$A$6:$A$1005,$C$3))</f>
        <v>0</v>
      </c>
      <c r="S7" s="116" t="n">
        <f aca="false">IF($B7="","",SUMIFS('سجل الإجازات والحالات'!$N$6:$N$505,'سجل الإجازات والحالات'!$B$6:$B$505,$B7,'سجل الإجازات والحالات'!$O$6:$O$505,$C$3))</f>
        <v>0</v>
      </c>
      <c r="T7" s="157" t="n">
        <f aca="false">IF($B7="","",SUM(K7:N7)+SUM(P7:S7))</f>
        <v>25300</v>
      </c>
      <c r="U7" s="116" t="n">
        <f aca="false">IF($B7="","",الموظفون!$S7*IF(E7="سعودي",cfg_G_SE,cfg_G_NE)*G7/cfg_DAYS_M)</f>
        <v>2193.75</v>
      </c>
      <c r="V7" s="116" t="n">
        <f aca="false">IF($B7="","",SUMIFS('الحركات الشهرية'!$I$6:$I$1005,'الحركات الشهرية'!$B$6:$B$1005,$B7,'الحركات الشهرية'!$A$6:$A$1005,$C$3))</f>
        <v>0</v>
      </c>
      <c r="W7" s="116" t="n">
        <f aca="false">IF($B7="","",SUMIFS('الحركات الشهرية'!$J$6:$J$1005,'الحركات الشهرية'!$B$6:$B$1005,$B7,'الحركات الشهرية'!$A$6:$A$1005,$C$3))</f>
        <v>0</v>
      </c>
      <c r="X7" s="116" t="n">
        <f aca="false">IF($B7="","",SUM(U7:W7))</f>
        <v>2193.75</v>
      </c>
      <c r="Y7" s="158" t="n">
        <f aca="false">IF($B7="","",T7-X7)</f>
        <v>23106.25</v>
      </c>
      <c r="Z7" s="116" t="n">
        <f aca="false">IF($B7="","",الموظفون!$S7*IF(E7="سعودي",cfg_G_SR,cfg_G_NR)*G7/cfg_DAYS_M)</f>
        <v>2643.75</v>
      </c>
      <c r="AA7" s="116" t="n">
        <f aca="false">IF($B7="","",الموظفون!$Q7*(cfg_EOS_R1*(MIN(AH7,cfg_EOS_TH)-MIN(AI7,cfg_EOS_TH))+cfg_EOS_R2*(MAX(AH7-cfg_EOS_TH,0)-MAX(AI7-cfg_EOS_TH,0))))</f>
        <v>2063.83561643837</v>
      </c>
      <c r="AB7" s="116" t="n">
        <f aca="false">IF($B7="","",IF(الموظفون!$T7&lt;&gt;"",الموظفون!$T7,IF(AH7&gt;=cfg_LV_TH,cfg_LV_D2,cfg_LV_D1))/cfg_DAYS_Y*AJ7*الموظفون!$R7/cfg_DAYS_M)</f>
        <v>2063.83561643836</v>
      </c>
      <c r="AC7" s="116" t="n">
        <f aca="false">IF($B7="","",IF(AND(الموظفون!$U7="نعم",N(الموظفون!$W7)&gt;0),الموظفون!$V7/الموظفون!$W7*12/cfg_DAYS_Y*AJ7,0))</f>
        <v>0</v>
      </c>
      <c r="AD7" s="116" t="n">
        <f aca="false">IF($B7="","",(IF(الموظفون!$X7&lt;&gt;"",الموظفون!$X7,IF(الموظفون!$E7="غير سعودي",cfg_IQ,0))+IF(الموظفون!$Y7&lt;&gt;"",الموظفون!$Y7,IF(الموظفون!$E7="غير سعودي",cfg_WP,0)))/12*G7/cfg_DAYS_M)</f>
        <v>0</v>
      </c>
      <c r="AE7" s="116" t="n">
        <f aca="false">IF($B7="","",IF(الموظفون!$Z7&lt;&gt;"",الموظفون!$Z7,cfg_MED)/12*G7/cfg_DAYS_M)</f>
        <v>300</v>
      </c>
      <c r="AF7" s="116" t="n">
        <f aca="false">IF($B7="","",N(الموظفون!$AA7)/12*G7/cfg_DAYS_M)</f>
        <v>0</v>
      </c>
      <c r="AG7" s="159" t="n">
        <f aca="false">IF($B7="","",T7+SUM(Z7:AF7))</f>
        <v>32371.4212328767</v>
      </c>
      <c r="AH7" s="160" t="n">
        <f aca="false">IF($B7="","",MAX(0,IF(OR(الموظفون!$AE7="",الموظفون!$AE7&gt;$F$3),$F$3,الموظفون!$AE7)-الموظفون!$H7+1-SUMIFS('سجل الإجازات والحالات'!$AO$6:$AO$505,'سجل الإجازات والحالات'!$B$6:$B$505,$B7))/cfg_DAYS_Y)</f>
        <v>10.2575342465753</v>
      </c>
      <c r="AI7" s="160" t="n">
        <f aca="false">IF($B7="","",MAX(0,IF(OR(الموظفون!$AE7="",الموظفون!$AE7&gt;($E$3-1)),($E$3-1),الموظفون!$AE7)-الموظفون!$H7+1-SUMIFS('سجل الإجازات والحالات'!$AN$6:$AN$505,'سجل الإجازات والحالات'!$B$6:$B$505,$B7))/cfg_DAYS_Y)</f>
        <v>10.172602739726</v>
      </c>
      <c r="AJ7" s="133" t="n">
        <f aca="false">IF($B7="","",MAX(0,AK7-(SUMIFS('سجل الإجازات والحالات'!$AO$6:$AO$505,'سجل الإجازات والحالات'!$B$6:$B$505,$B7)-SUMIFS('سجل الإجازات والحالات'!$AN$6:$AN$505,'سجل الإجازات والحالات'!$B$6:$B$505,$B7))))</f>
        <v>31</v>
      </c>
      <c r="AK7" s="133" t="n">
        <f aca="false">IF($B7="","",MAX(0,IF(OR(الموظفون!$AE7="",الموظفون!$AE7&gt;$F$3),$F$3,الموظفون!$AE7)-MAX($E$3,الموظفون!$H7)+1))</f>
        <v>31</v>
      </c>
      <c r="AL7" s="156" t="n">
        <f aca="false">IF($B7="","",SUMIFS('سجل الإجازات والحالات'!$BA$6:$BA$505,'سجل الإجازات والحالات'!$B$6:$B$505,$B7)+SUMIFS('الحركات الشهرية'!$K$6:$K$1005,'الحركات الشهرية'!$B$6:$B$1005,$B7,'الحركات الشهرية'!$A$6:$A$1005,$C$3))</f>
        <v>0</v>
      </c>
      <c r="AM7" s="116" t="n">
        <f aca="false">IF($B7="","",AL7*الموظفون!$R7/cfg_DAYS_M+S7)</f>
        <v>0</v>
      </c>
      <c r="AN7" s="156" t="n">
        <f aca="false">IF($B7="","",SUMIFS('سجل الإجازات والحالات'!$AC$6:$AC$505,'سجل الإجازات والحالات'!$B$6:$B$505,$B7))</f>
        <v>0</v>
      </c>
    </row>
    <row r="8" customFormat="false" ht="15" hidden="false" customHeight="false" outlineLevel="0" collapsed="false">
      <c r="A8" s="106" t="n">
        <f aca="false">IF($B8="","",الموظفون!$A8)</f>
        <v>3</v>
      </c>
      <c r="B8" s="114" t="str">
        <f aca="false">IF(الموظفون!$B8="","",الموظفون!$B8)</f>
        <v>E003</v>
      </c>
      <c r="C8" s="114" t="str">
        <f aca="false">IF($B8="","",الموظفون!$C8)</f>
        <v>محمد علي حسن</v>
      </c>
      <c r="D8" s="114" t="str">
        <f aca="false">IF($B8="","",الموظفون!$F8)</f>
        <v>المالية</v>
      </c>
      <c r="E8" s="114" t="str">
        <f aca="false">IF($B8="","",الموظفون!$E8)</f>
        <v>غير سعودي</v>
      </c>
      <c r="F8" s="114" t="str">
        <f aca="false">IF($B8="","",IF(AK8=0,IF(AND(الموظفون!$AE8&lt;&gt;"",الموظفون!$AE8&lt;$E$3),"✖ منتهي الخدمة","⏳ لم يباشر"),IF(S8&gt;0,"✈ راتب إجازة مقدم",IF(J8=0,"⛔ بدون راتب هذا الشهر",IF(I8&gt;0,"✈ خصم "&amp;ROUND(I8,2)&amp;" يوم بدون أجر",IF(AL8&gt;0,"🌴 إجازة سنوية "&amp;ROUND(AL8,2)&amp;" يوم",IF(H8&gt;0,"⚠ غياب "&amp;ROUND(H8,2)&amp;" يوم","✔ على رأس العمل")))))))</f>
        <v>✔ على رأس العمل</v>
      </c>
      <c r="G8" s="151" t="n">
        <f aca="false">IF($B8="","",IF(AK8&gt;=DAY($F$3),cfg_DAYS_M,MIN(AK8,cfg_DAYS_M)))</f>
        <v>30</v>
      </c>
      <c r="H8" s="151" t="n">
        <f aca="false">IF($B8="","",SUMIFS('الحركات الشهرية'!$D$6:$D$1005,'الحركات الشهرية'!$B$6:$B$1005,$B8,'الحركات الشهرية'!$A$6:$A$1005,$C$3))</f>
        <v>0</v>
      </c>
      <c r="I8" s="151" t="n">
        <f aca="false">IF($B8="","",MIN(G8,IF(AND(AK8&gt;0,AN8&gt;=AK8),G8,AN8)+SUMIFS('الحركات الشهرية'!$E$6:$E$1005,'الحركات الشهرية'!$B$6:$B$1005,$B8,'الحركات الشهرية'!$A$6:$A$1005,$C$3)))</f>
        <v>0</v>
      </c>
      <c r="J8" s="151" t="n">
        <f aca="false">IF($B8="","",MAX(0,G8-H8-I8))</f>
        <v>30</v>
      </c>
      <c r="K8" s="111" t="n">
        <f aca="false">IF($B8="","",الموظفون!$L8*$J8/cfg_DAYS_M)</f>
        <v>8500</v>
      </c>
      <c r="L8" s="111" t="n">
        <f aca="false">IF($B8="","",الموظفون!$M8*$J8/cfg_DAYS_M)</f>
        <v>2125</v>
      </c>
      <c r="M8" s="111" t="n">
        <f aca="false">IF($B8="","",الموظفون!$N8*$J8/cfg_DAYS_M)</f>
        <v>850</v>
      </c>
      <c r="N8" s="111" t="n">
        <f aca="false">IF($B8="","",الموظفون!$O8*$J8/cfg_DAYS_M)</f>
        <v>500</v>
      </c>
      <c r="O8" s="151" t="n">
        <f aca="false">IF($B8="","",SUMIFS('الحركات الشهرية'!$F$6:$F$1005,'الحركات الشهرية'!$B$6:$B$1005,$B8,'الحركات الشهرية'!$A$6:$A$1005,$C$3))</f>
        <v>0</v>
      </c>
      <c r="P8" s="111" t="n">
        <f aca="false">IF($B8="","",O8*(الموظفون!$P8+الموظفون!$L8*cfg_OT_P)/cfg_DAYS_M/cfg_HRS)</f>
        <v>0</v>
      </c>
      <c r="Q8" s="111" t="n">
        <f aca="false">IF($B8="","",SUMIFS('الحركات الشهرية'!$G$6:$G$1005,'الحركات الشهرية'!$B$6:$B$1005,$B8,'الحركات الشهرية'!$A$6:$A$1005,$C$3))</f>
        <v>0</v>
      </c>
      <c r="R8" s="111" t="n">
        <f aca="false">IF($B8="","",SUMIFS('الحركات الشهرية'!$H$6:$H$1005,'الحركات الشهرية'!$B$6:$B$1005,$B8,'الحركات الشهرية'!$A$6:$A$1005,$C$3))</f>
        <v>0</v>
      </c>
      <c r="S8" s="111" t="n">
        <f aca="false">IF($B8="","",SUMIFS('سجل الإجازات والحالات'!$N$6:$N$505,'سجل الإجازات والحالات'!$B$6:$B$505,$B8,'سجل الإجازات والحالات'!$O$6:$O$505,$C$3))</f>
        <v>0</v>
      </c>
      <c r="T8" s="152" t="n">
        <f aca="false">IF($B8="","",SUM(K8:N8)+SUM(P8:S8))</f>
        <v>11975</v>
      </c>
      <c r="U8" s="111" t="n">
        <f aca="false">IF($B8="","",الموظفون!$S8*IF(E8="سعودي",cfg_G_SE,cfg_G_NE)*G8/cfg_DAYS_M)</f>
        <v>0</v>
      </c>
      <c r="V8" s="111" t="n">
        <f aca="false">IF($B8="","",SUMIFS('الحركات الشهرية'!$I$6:$I$1005,'الحركات الشهرية'!$B$6:$B$1005,$B8,'الحركات الشهرية'!$A$6:$A$1005,$C$3))</f>
        <v>0</v>
      </c>
      <c r="W8" s="111" t="n">
        <f aca="false">IF($B8="","",SUMIFS('الحركات الشهرية'!$J$6:$J$1005,'الحركات الشهرية'!$B$6:$B$1005,$B8,'الحركات الشهرية'!$A$6:$A$1005,$C$3))</f>
        <v>0</v>
      </c>
      <c r="X8" s="111" t="n">
        <f aca="false">IF($B8="","",SUM(U8:W8))</f>
        <v>0</v>
      </c>
      <c r="Y8" s="153" t="n">
        <f aca="false">IF($B8="","",T8-X8)</f>
        <v>11975</v>
      </c>
      <c r="Z8" s="111" t="n">
        <f aca="false">IF($B8="","",الموظفون!$S8*IF(E8="سعودي",cfg_G_SR,cfg_G_NR)*G8/cfg_DAYS_M)</f>
        <v>212.5</v>
      </c>
      <c r="AA8" s="111" t="n">
        <f aca="false">IF($B8="","",الموظفون!$Q8*(cfg_EOS_R1*(MIN(AH8,cfg_EOS_TH)-MIN(AI8,cfg_EOS_TH))+cfg_EOS_R2*(MAX(AH8-cfg_EOS_TH,0)-MAX(AI8-cfg_EOS_TH,0))))</f>
        <v>974.589041095895</v>
      </c>
      <c r="AB8" s="111" t="n">
        <f aca="false">IF($B8="","",IF(الموظفون!$T8&lt;&gt;"",الموظفون!$T8,IF(AH8&gt;=cfg_LV_TH,cfg_LV_D2,cfg_LV_D1))/cfg_DAYS_Y*AJ8*الموظفون!$R8/cfg_DAYS_M)</f>
        <v>974.589041095891</v>
      </c>
      <c r="AC8" s="111" t="n">
        <f aca="false">IF($B8="","",IF(AND(الموظفون!$U8="نعم",N(الموظفون!$W8)&gt;0),الموظفون!$V8/الموظفون!$W8*12/cfg_DAYS_Y*AJ8,0))</f>
        <v>135.890410958904</v>
      </c>
      <c r="AD8" s="111" t="n">
        <f aca="false">IF($B8="","",(IF(الموظفون!$X8&lt;&gt;"",الموظفون!$X8,IF(الموظفون!$E8="غير سعودي",cfg_IQ,0))+IF(الموظفون!$Y8&lt;&gt;"",الموظفون!$Y8,IF(الموظفون!$E8="غير سعودي",cfg_WP,0)))/12*G8/cfg_DAYS_M)</f>
        <v>854.166666666667</v>
      </c>
      <c r="AE8" s="111" t="n">
        <f aca="false">IF($B8="","",IF(الموظفون!$Z8&lt;&gt;"",الموظفون!$Z8,cfg_MED)/12*G8/cfg_DAYS_M)</f>
        <v>200</v>
      </c>
      <c r="AF8" s="111" t="n">
        <f aca="false">IF($B8="","",N(الموظفون!$AA8)/12*G8/cfg_DAYS_M)</f>
        <v>0</v>
      </c>
      <c r="AG8" s="154" t="n">
        <f aca="false">IF($B8="","",T8+SUM(Z8:AF8))</f>
        <v>15326.7351598174</v>
      </c>
      <c r="AH8" s="155" t="n">
        <f aca="false">IF($B8="","",MAX(0,IF(OR(الموظفون!$AE8="",الموظفون!$AE8&gt;$F$3),$F$3,الموظفون!$AE8)-الموظفون!$H8+1-SUMIFS('سجل الإجازات والحالات'!$AO$6:$AO$505,'سجل الإجازات والحالات'!$B$6:$B$505,$B8))/cfg_DAYS_Y)</f>
        <v>7.98082191780822</v>
      </c>
      <c r="AI8" s="155" t="n">
        <f aca="false">IF($B8="","",MAX(0,IF(OR(الموظفون!$AE8="",الموظفون!$AE8&gt;($E$3-1)),($E$3-1),الموظفون!$AE8)-الموظفون!$H8+1-SUMIFS('سجل الإجازات والحالات'!$AN$6:$AN$505,'سجل الإجازات والحالات'!$B$6:$B$505,$B8))/cfg_DAYS_Y)</f>
        <v>7.8958904109589</v>
      </c>
      <c r="AJ8" s="65" t="n">
        <f aca="false">IF($B8="","",MAX(0,AK8-(SUMIFS('سجل الإجازات والحالات'!$AO$6:$AO$505,'سجل الإجازات والحالات'!$B$6:$B$505,$B8)-SUMIFS('سجل الإجازات والحالات'!$AN$6:$AN$505,'سجل الإجازات والحالات'!$B$6:$B$505,$B8))))</f>
        <v>31</v>
      </c>
      <c r="AK8" s="65" t="n">
        <f aca="false">IF($B8="","",MAX(0,IF(OR(الموظفون!$AE8="",الموظفون!$AE8&gt;$F$3),$F$3,الموظفون!$AE8)-MAX($E$3,الموظفون!$H8)+1))</f>
        <v>31</v>
      </c>
      <c r="AL8" s="151" t="n">
        <f aca="false">IF($B8="","",SUMIFS('سجل الإجازات والحالات'!$BA$6:$BA$505,'سجل الإجازات والحالات'!$B$6:$B$505,$B8)+SUMIFS('الحركات الشهرية'!$K$6:$K$1005,'الحركات الشهرية'!$B$6:$B$1005,$B8,'الحركات الشهرية'!$A$6:$A$1005,$C$3))</f>
        <v>0</v>
      </c>
      <c r="AM8" s="111" t="n">
        <f aca="false">IF($B8="","",AL8*الموظفون!$R8/cfg_DAYS_M+S8)</f>
        <v>0</v>
      </c>
      <c r="AN8" s="151" t="n">
        <f aca="false">IF($B8="","",SUMIFS('سجل الإجازات والحالات'!$AC$6:$AC$505,'سجل الإجازات والحالات'!$B$6:$B$505,$B8))</f>
        <v>0</v>
      </c>
    </row>
    <row r="9" customFormat="false" ht="15" hidden="false" customHeight="false" outlineLevel="0" collapsed="false">
      <c r="A9" s="115" t="n">
        <f aca="false">IF($B9="","",الموظفون!$A9)</f>
        <v>4</v>
      </c>
      <c r="B9" s="117" t="str">
        <f aca="false">IF(الموظفون!$B9="","",الموظفون!$B9)</f>
        <v>E004</v>
      </c>
      <c r="C9" s="117" t="str">
        <f aca="false">IF($B9="","",الموظفون!$C9)</f>
        <v>نورة خالد الدوسري</v>
      </c>
      <c r="D9" s="117" t="str">
        <f aca="false">IF($B9="","",الموظفون!$F9)</f>
        <v>الموارد البشرية</v>
      </c>
      <c r="E9" s="117" t="str">
        <f aca="false">IF($B9="","",الموظفون!$E9)</f>
        <v>سعودي</v>
      </c>
      <c r="F9" s="117" t="str">
        <f aca="false">IF($B9="","",IF(AK9=0,IF(AND(الموظفون!$AE9&lt;&gt;"",الموظفون!$AE9&lt;$E$3),"✖ منتهي الخدمة","⏳ لم يباشر"),IF(S9&gt;0,"✈ راتب إجازة مقدم",IF(J9=0,"⛔ بدون راتب هذا الشهر",IF(I9&gt;0,"✈ خصم "&amp;ROUND(I9,2)&amp;" يوم بدون أجر",IF(AL9&gt;0,"🌴 إجازة سنوية "&amp;ROUND(AL9,2)&amp;" يوم",IF(H9&gt;0,"⚠ غياب "&amp;ROUND(H9,2)&amp;" يوم","✔ على رأس العمل")))))))</f>
        <v>✔ على رأس العمل</v>
      </c>
      <c r="G9" s="156" t="n">
        <f aca="false">IF($B9="","",IF(AK9&gt;=DAY($F$3),cfg_DAYS_M,MIN(AK9,cfg_DAYS_M)))</f>
        <v>30</v>
      </c>
      <c r="H9" s="156" t="n">
        <f aca="false">IF($B9="","",SUMIFS('الحركات الشهرية'!$D$6:$D$1005,'الحركات الشهرية'!$B$6:$B$1005,$B9,'الحركات الشهرية'!$A$6:$A$1005,$C$3))</f>
        <v>0</v>
      </c>
      <c r="I9" s="156" t="n">
        <f aca="false">IF($B9="","",MIN(G9,IF(AND(AK9&gt;0,AN9&gt;=AK9),G9,AN9)+SUMIFS('الحركات الشهرية'!$E$6:$E$1005,'الحركات الشهرية'!$B$6:$B$1005,$B9,'الحركات الشهرية'!$A$6:$A$1005,$C$3)))</f>
        <v>0</v>
      </c>
      <c r="J9" s="156" t="n">
        <f aca="false">IF($B9="","",MAX(0,G9-H9-I9))</f>
        <v>30</v>
      </c>
      <c r="K9" s="116" t="n">
        <f aca="false">IF($B9="","",الموظفون!$L9*$J9/cfg_DAYS_M)</f>
        <v>14000</v>
      </c>
      <c r="L9" s="116" t="n">
        <f aca="false">IF($B9="","",الموظفون!$M9*$J9/cfg_DAYS_M)</f>
        <v>3500</v>
      </c>
      <c r="M9" s="116" t="n">
        <f aca="false">IF($B9="","",الموظفون!$N9*$J9/cfg_DAYS_M)</f>
        <v>1400</v>
      </c>
      <c r="N9" s="116" t="n">
        <f aca="false">IF($B9="","",الموظفون!$O9*$J9/cfg_DAYS_M)</f>
        <v>0</v>
      </c>
      <c r="O9" s="156" t="n">
        <f aca="false">IF($B9="","",SUMIFS('الحركات الشهرية'!$F$6:$F$1005,'الحركات الشهرية'!$B$6:$B$1005,$B9,'الحركات الشهرية'!$A$6:$A$1005,$C$3))</f>
        <v>0</v>
      </c>
      <c r="P9" s="116" t="n">
        <f aca="false">IF($B9="","",O9*(الموظفون!$P9+الموظفون!$L9*cfg_OT_P)/cfg_DAYS_M/cfg_HRS)</f>
        <v>0</v>
      </c>
      <c r="Q9" s="116" t="n">
        <f aca="false">IF($B9="","",SUMIFS('الحركات الشهرية'!$G$6:$G$1005,'الحركات الشهرية'!$B$6:$B$1005,$B9,'الحركات الشهرية'!$A$6:$A$1005,$C$3))</f>
        <v>0</v>
      </c>
      <c r="R9" s="116" t="n">
        <f aca="false">IF($B9="","",SUMIFS('الحركات الشهرية'!$H$6:$H$1005,'الحركات الشهرية'!$B$6:$B$1005,$B9,'الحركات الشهرية'!$A$6:$A$1005,$C$3))</f>
        <v>0</v>
      </c>
      <c r="S9" s="116" t="n">
        <f aca="false">IF($B9="","",SUMIFS('سجل الإجازات والحالات'!$N$6:$N$505,'سجل الإجازات والحالات'!$B$6:$B$505,$B9,'سجل الإجازات والحالات'!$O$6:$O$505,$C$3))</f>
        <v>0</v>
      </c>
      <c r="T9" s="157" t="n">
        <f aca="false">IF($B9="","",SUM(K9:N9)+SUM(P9:S9))</f>
        <v>18900</v>
      </c>
      <c r="U9" s="116" t="n">
        <f aca="false">IF($B9="","",الموظفون!$S9*IF(E9="سعودي",cfg_G_SE,cfg_G_NE)*G9/cfg_DAYS_M)</f>
        <v>1706.25</v>
      </c>
      <c r="V9" s="116" t="n">
        <f aca="false">IF($B9="","",SUMIFS('الحركات الشهرية'!$I$6:$I$1005,'الحركات الشهرية'!$B$6:$B$1005,$B9,'الحركات الشهرية'!$A$6:$A$1005,$C$3))</f>
        <v>0</v>
      </c>
      <c r="W9" s="116" t="n">
        <f aca="false">IF($B9="","",SUMIFS('الحركات الشهرية'!$J$6:$J$1005,'الحركات الشهرية'!$B$6:$B$1005,$B9,'الحركات الشهرية'!$A$6:$A$1005,$C$3))</f>
        <v>0</v>
      </c>
      <c r="X9" s="116" t="n">
        <f aca="false">IF($B9="","",SUM(U9:W9))</f>
        <v>1706.25</v>
      </c>
      <c r="Y9" s="158" t="n">
        <f aca="false">IF($B9="","",T9-X9)</f>
        <v>17193.75</v>
      </c>
      <c r="Z9" s="116" t="n">
        <f aca="false">IF($B9="","",الموظفون!$S9*IF(E9="سعودي",cfg_G_SR,cfg_G_NR)*G9/cfg_DAYS_M)</f>
        <v>2056.25</v>
      </c>
      <c r="AA9" s="116" t="n">
        <f aca="false">IF($B9="","",الموظفون!$Q9*(cfg_EOS_R1*(MIN(AH9,cfg_EOS_TH)-MIN(AI9,cfg_EOS_TH))+cfg_EOS_R2*(MAX(AH9-cfg_EOS_TH,0)-MAX(AI9-cfg_EOS_TH,0))))</f>
        <v>1605.20547945206</v>
      </c>
      <c r="AB9" s="116" t="n">
        <f aca="false">IF($B9="","",IF(الموظفون!$T9&lt;&gt;"",الموظفون!$T9,IF(AH9&gt;=cfg_LV_TH,cfg_LV_D2,cfg_LV_D1))/cfg_DAYS_Y*AJ9*الموظفون!$R9/cfg_DAYS_M)</f>
        <v>1605.20547945205</v>
      </c>
      <c r="AC9" s="116" t="n">
        <f aca="false">IF($B9="","",IF(AND(الموظفون!$U9="نعم",N(الموظفون!$W9)&gt;0),الموظفون!$V9/الموظفون!$W9*12/cfg_DAYS_Y*AJ9,0))</f>
        <v>0</v>
      </c>
      <c r="AD9" s="116" t="n">
        <f aca="false">IF($B9="","",(IF(الموظفون!$X9&lt;&gt;"",الموظفون!$X9,IF(الموظفون!$E9="غير سعودي",cfg_IQ,0))+IF(الموظفون!$Y9&lt;&gt;"",الموظفون!$Y9,IF(الموظفون!$E9="غير سعودي",cfg_WP,0)))/12*G9/cfg_DAYS_M)</f>
        <v>0</v>
      </c>
      <c r="AE9" s="116" t="n">
        <f aca="false">IF($B9="","",IF(الموظفون!$Z9&lt;&gt;"",الموظفون!$Z9,cfg_MED)/12*G9/cfg_DAYS_M)</f>
        <v>300</v>
      </c>
      <c r="AF9" s="116" t="n">
        <f aca="false">IF($B9="","",N(الموظفون!$AA9)/12*G9/cfg_DAYS_M)</f>
        <v>0</v>
      </c>
      <c r="AG9" s="159" t="n">
        <f aca="false">IF($B9="","",T9+SUM(Z9:AF9))</f>
        <v>24466.6609589041</v>
      </c>
      <c r="AH9" s="160" t="n">
        <f aca="false">IF($B9="","",MAX(0,IF(OR(الموظفون!$AE9="",الموظفون!$AE9&gt;$F$3),$F$3,الموظفون!$AE9)-الموظفون!$H9+1-SUMIFS('سجل الإجازات والحالات'!$AO$6:$AO$505,'سجل الإجازات والحالات'!$B$6:$B$505,$B9))/cfg_DAYS_Y)</f>
        <v>7.58630136986301</v>
      </c>
      <c r="AI9" s="160" t="n">
        <f aca="false">IF($B9="","",MAX(0,IF(OR(الموظفون!$AE9="",الموظفون!$AE9&gt;($E$3-1)),($E$3-1),الموظفون!$AE9)-الموظفون!$H9+1-SUMIFS('سجل الإجازات والحالات'!$AN$6:$AN$505,'سجل الإجازات والحالات'!$B$6:$B$505,$B9))/cfg_DAYS_Y)</f>
        <v>7.5013698630137</v>
      </c>
      <c r="AJ9" s="133" t="n">
        <f aca="false">IF($B9="","",MAX(0,AK9-(SUMIFS('سجل الإجازات والحالات'!$AO$6:$AO$505,'سجل الإجازات والحالات'!$B$6:$B$505,$B9)-SUMIFS('سجل الإجازات والحالات'!$AN$6:$AN$505,'سجل الإجازات والحالات'!$B$6:$B$505,$B9))))</f>
        <v>31</v>
      </c>
      <c r="AK9" s="133" t="n">
        <f aca="false">IF($B9="","",MAX(0,IF(OR(الموظفون!$AE9="",الموظفون!$AE9&gt;$F$3),$F$3,الموظفون!$AE9)-MAX($E$3,الموظفون!$H9)+1))</f>
        <v>31</v>
      </c>
      <c r="AL9" s="156" t="n">
        <f aca="false">IF($B9="","",SUMIFS('سجل الإجازات والحالات'!$BA$6:$BA$505,'سجل الإجازات والحالات'!$B$6:$B$505,$B9)+SUMIFS('الحركات الشهرية'!$K$6:$K$1005,'الحركات الشهرية'!$B$6:$B$1005,$B9,'الحركات الشهرية'!$A$6:$A$1005,$C$3))</f>
        <v>0</v>
      </c>
      <c r="AM9" s="116" t="n">
        <f aca="false">IF($B9="","",AL9*الموظفون!$R9/cfg_DAYS_M+S9)</f>
        <v>0</v>
      </c>
      <c r="AN9" s="156" t="n">
        <f aca="false">IF($B9="","",SUMIFS('سجل الإجازات والحالات'!$AC$6:$AC$505,'سجل الإجازات والحالات'!$B$6:$B$505,$B9))</f>
        <v>0</v>
      </c>
    </row>
    <row r="10" customFormat="false" ht="15" hidden="false" customHeight="false" outlineLevel="0" collapsed="false">
      <c r="A10" s="106" t="n">
        <f aca="false">IF($B10="","",الموظفون!$A10)</f>
        <v>5</v>
      </c>
      <c r="B10" s="114" t="str">
        <f aca="false">IF(الموظفون!$B10="","",الموظفون!$B10)</f>
        <v>E005</v>
      </c>
      <c r="C10" s="114" t="str">
        <f aca="false">IF($B10="","",الموظفون!$C10)</f>
        <v>راجيش كومار</v>
      </c>
      <c r="D10" s="114" t="str">
        <f aca="false">IF($B10="","",الموظفون!$F10)</f>
        <v>تقنية المعلومات</v>
      </c>
      <c r="E10" s="114" t="str">
        <f aca="false">IF($B10="","",الموظفون!$E10)</f>
        <v>غير سعودي</v>
      </c>
      <c r="F10" s="114" t="str">
        <f aca="false">IF($B10="","",IF(AK10=0,IF(AND(الموظفون!$AE10&lt;&gt;"",الموظفون!$AE10&lt;$E$3),"✖ منتهي الخدمة","⏳ لم يباشر"),IF(S10&gt;0,"✈ راتب إجازة مقدم",IF(J10=0,"⛔ بدون راتب هذا الشهر",IF(I10&gt;0,"✈ خصم "&amp;ROUND(I10,2)&amp;" يوم بدون أجر",IF(AL10&gt;0,"🌴 إجازة سنوية "&amp;ROUND(AL10,2)&amp;" يوم",IF(H10&gt;0,"⚠ غياب "&amp;ROUND(H10,2)&amp;" يوم","✔ على رأس العمل")))))))</f>
        <v>✈ راتب إجازة مقدم</v>
      </c>
      <c r="G10" s="151" t="n">
        <f aca="false">IF($B10="","",IF(AK10&gt;=DAY($F$3),cfg_DAYS_M,MIN(AK10,cfg_DAYS_M)))</f>
        <v>30</v>
      </c>
      <c r="H10" s="151" t="n">
        <f aca="false">IF($B10="","",SUMIFS('الحركات الشهرية'!$D$6:$D$1005,'الحركات الشهرية'!$B$6:$B$1005,$B10,'الحركات الشهرية'!$A$6:$A$1005,$C$3))</f>
        <v>0</v>
      </c>
      <c r="I10" s="151" t="n">
        <f aca="false">IF($B10="","",MIN(G10,IF(AND(AK10&gt;0,AN10&gt;=AK10),G10,AN10)+SUMIFS('الحركات الشهرية'!$E$6:$E$1005,'الحركات الشهرية'!$B$6:$B$1005,$B10,'الحركات الشهرية'!$A$6:$A$1005,$C$3)))</f>
        <v>21</v>
      </c>
      <c r="J10" s="151" t="n">
        <f aca="false">IF($B10="","",MAX(0,G10-H10-I10))</f>
        <v>9</v>
      </c>
      <c r="K10" s="111" t="n">
        <f aca="false">IF($B10="","",الموظفون!$L10*$J10/cfg_DAYS_M)</f>
        <v>2700</v>
      </c>
      <c r="L10" s="111" t="n">
        <f aca="false">IF($B10="","",الموظفون!$M10*$J10/cfg_DAYS_M)</f>
        <v>675</v>
      </c>
      <c r="M10" s="111" t="n">
        <f aca="false">IF($B10="","",الموظفون!$N10*$J10/cfg_DAYS_M)</f>
        <v>270</v>
      </c>
      <c r="N10" s="111" t="n">
        <f aca="false">IF($B10="","",الموظفون!$O10*$J10/cfg_DAYS_M)</f>
        <v>210</v>
      </c>
      <c r="O10" s="151" t="n">
        <f aca="false">IF($B10="","",SUMIFS('الحركات الشهرية'!$F$6:$F$1005,'الحركات الشهرية'!$B$6:$B$1005,$B10,'الحركات الشهرية'!$A$6:$A$1005,$C$3))</f>
        <v>0</v>
      </c>
      <c r="P10" s="111" t="n">
        <f aca="false">IF($B10="","",O10*(الموظفون!$P10+الموظفون!$L10*cfg_OT_P)/cfg_DAYS_M/cfg_HRS)</f>
        <v>0</v>
      </c>
      <c r="Q10" s="111" t="n">
        <f aca="false">IF($B10="","",SUMIFS('الحركات الشهرية'!$G$6:$G$1005,'الحركات الشهرية'!$B$6:$B$1005,$B10,'الحركات الشهرية'!$A$6:$A$1005,$C$3))</f>
        <v>0</v>
      </c>
      <c r="R10" s="111" t="n">
        <f aca="false">IF($B10="","",SUMIFS('الحركات الشهرية'!$H$6:$H$1005,'الحركات الشهرية'!$B$6:$B$1005,$B10,'الحركات الشهرية'!$A$6:$A$1005,$C$3))</f>
        <v>0</v>
      </c>
      <c r="S10" s="111" t="n">
        <f aca="false">IF($B10="","",SUMIFS('سجل الإجازات والحالات'!$N$6:$N$505,'سجل الإجازات والحالات'!$B$6:$B$505,$B10,'سجل الإجازات والحالات'!$O$6:$O$505,$C$3))</f>
        <v>8505</v>
      </c>
      <c r="T10" s="152" t="n">
        <f aca="false">IF($B10="","",SUM(K10:N10)+SUM(P10:S10))</f>
        <v>12360</v>
      </c>
      <c r="U10" s="111" t="n">
        <f aca="false">IF($B10="","",الموظفون!$S10*IF(E10="سعودي",cfg_G_SE,cfg_G_NE)*G10/cfg_DAYS_M)</f>
        <v>0</v>
      </c>
      <c r="V10" s="111" t="n">
        <f aca="false">IF($B10="","",SUMIFS('الحركات الشهرية'!$I$6:$I$1005,'الحركات الشهرية'!$B$6:$B$1005,$B10,'الحركات الشهرية'!$A$6:$A$1005,$C$3))</f>
        <v>0</v>
      </c>
      <c r="W10" s="111" t="n">
        <f aca="false">IF($B10="","",SUMIFS('الحركات الشهرية'!$J$6:$J$1005,'الحركات الشهرية'!$B$6:$B$1005,$B10,'الحركات الشهرية'!$A$6:$A$1005,$C$3))</f>
        <v>0</v>
      </c>
      <c r="X10" s="111" t="n">
        <f aca="false">IF($B10="","",SUM(U10:W10))</f>
        <v>0</v>
      </c>
      <c r="Y10" s="153" t="n">
        <f aca="false">IF($B10="","",T10-X10)</f>
        <v>12360</v>
      </c>
      <c r="Z10" s="111" t="n">
        <f aca="false">IF($B10="","",الموظفون!$S10*IF(E10="سعودي",cfg_G_SR,cfg_G_NR)*G10/cfg_DAYS_M)</f>
        <v>225</v>
      </c>
      <c r="AA10" s="111" t="n">
        <f aca="false">IF($B10="","",الموظفون!$Q10*(cfg_EOS_R1*(MIN(AH10,cfg_EOS_TH)-MIN(AI10,cfg_EOS_TH))+cfg_EOS_R2*(MAX(AH10-cfg_EOS_TH,0)-MAX(AI10-cfg_EOS_TH,0))))</f>
        <v>1031.91780821918</v>
      </c>
      <c r="AB10" s="111" t="n">
        <f aca="false">IF($B10="","",IF(الموظفون!$T10&lt;&gt;"",الموظفون!$T10,IF(AH10&gt;=cfg_LV_TH,cfg_LV_D2,cfg_LV_D1))/cfg_DAYS_Y*AJ10*الموظفون!$R10/cfg_DAYS_M)</f>
        <v>1031.91780821918</v>
      </c>
      <c r="AC10" s="111" t="n">
        <f aca="false">IF($B10="","",IF(AND(الموظفون!$U10="نعم",N(الموظفون!$W10)&gt;0),الموظفون!$V10/الموظفون!$W10*12/cfg_DAYS_Y*AJ10,0))</f>
        <v>237.808219178082</v>
      </c>
      <c r="AD10" s="111" t="n">
        <f aca="false">IF($B10="","",(IF(الموظفون!$X10&lt;&gt;"",الموظفون!$X10,IF(الموظفون!$E10="غير سعودي",cfg_IQ,0))+IF(الموظفون!$Y10&lt;&gt;"",الموظفون!$Y10,IF(الموظفون!$E10="غير سعودي",cfg_WP,0)))/12*G10/cfg_DAYS_M)</f>
        <v>854.166666666667</v>
      </c>
      <c r="AE10" s="111" t="n">
        <f aca="false">IF($B10="","",IF(الموظفون!$Z10&lt;&gt;"",الموظفون!$Z10,cfg_MED)/12*G10/cfg_DAYS_M)</f>
        <v>200</v>
      </c>
      <c r="AF10" s="111" t="n">
        <f aca="false">IF($B10="","",N(الموظفون!$AA10)/12*G10/cfg_DAYS_M)</f>
        <v>0</v>
      </c>
      <c r="AG10" s="154" t="n">
        <f aca="false">IF($B10="","",T10+SUM(Z10:AF10))</f>
        <v>15940.8105022831</v>
      </c>
      <c r="AH10" s="155" t="n">
        <f aca="false">IF($B10="","",MAX(0,IF(OR(الموظفون!$AE10="",الموظفون!$AE10&gt;$F$3),$F$3,الموظفون!$AE10)-الموظفون!$H10+1-SUMIFS('سجل الإجازات والحالات'!$AO$6:$AO$505,'سجل الإجازات والحالات'!$B$6:$B$505,$B10))/cfg_DAYS_Y)</f>
        <v>6.39178082191781</v>
      </c>
      <c r="AI10" s="155" t="n">
        <f aca="false">IF($B10="","",MAX(0,IF(OR(الموظفون!$AE10="",الموظفون!$AE10&gt;($E$3-1)),($E$3-1),الموظفون!$AE10)-الموظفون!$H10+1-SUMIFS('سجل الإجازات والحالات'!$AN$6:$AN$505,'سجل الإجازات والحالات'!$B$6:$B$505,$B10))/cfg_DAYS_Y)</f>
        <v>6.30684931506849</v>
      </c>
      <c r="AJ10" s="65" t="n">
        <f aca="false">IF($B10="","",MAX(0,AK10-(SUMIFS('سجل الإجازات والحالات'!$AO$6:$AO$505,'سجل الإجازات والحالات'!$B$6:$B$505,$B10)-SUMIFS('سجل الإجازات والحالات'!$AN$6:$AN$505,'سجل الإجازات والحالات'!$B$6:$B$505,$B10))))</f>
        <v>31</v>
      </c>
      <c r="AK10" s="65" t="n">
        <f aca="false">IF($B10="","",MAX(0,IF(OR(الموظفون!$AE10="",الموظفون!$AE10&gt;$F$3),$F$3,الموظفون!$AE10)-MAX($E$3,الموظفون!$H10)+1))</f>
        <v>31</v>
      </c>
      <c r="AL10" s="151" t="n">
        <f aca="false">IF($B10="","",SUMIFS('سجل الإجازات والحالات'!$BA$6:$BA$505,'سجل الإجازات والحالات'!$B$6:$B$505,$B10)+SUMIFS('الحركات الشهرية'!$K$6:$K$1005,'الحركات الشهرية'!$B$6:$B$1005,$B10,'الحركات الشهرية'!$A$6:$A$1005,$C$3))</f>
        <v>0</v>
      </c>
      <c r="AM10" s="111" t="n">
        <f aca="false">IF($B10="","",AL10*الموظفون!$R10/cfg_DAYS_M+S10)</f>
        <v>8505</v>
      </c>
      <c r="AN10" s="151" t="n">
        <f aca="false">IF($B10="","",SUMIFS('سجل الإجازات والحالات'!$AC$6:$AC$505,'سجل الإجازات والحالات'!$B$6:$B$505,$B10))</f>
        <v>21</v>
      </c>
    </row>
    <row r="11" customFormat="false" ht="15" hidden="false" customHeight="false" outlineLevel="0" collapsed="false">
      <c r="A11" s="115" t="n">
        <f aca="false">IF($B11="","",الموظفون!$A11)</f>
        <v>6</v>
      </c>
      <c r="B11" s="117" t="str">
        <f aca="false">IF(الموظفون!$B11="","",الموظفون!$B11)</f>
        <v>E006</v>
      </c>
      <c r="C11" s="117" t="str">
        <f aca="false">IF($B11="","",الموظفون!$C11)</f>
        <v>فهد ناصر الشمري</v>
      </c>
      <c r="D11" s="117" t="str">
        <f aca="false">IF($B11="","",الموظفون!$F11)</f>
        <v>المبيعات</v>
      </c>
      <c r="E11" s="117" t="str">
        <f aca="false">IF($B11="","",الموظفون!$E11)</f>
        <v>سعودي</v>
      </c>
      <c r="F11" s="117" t="str">
        <f aca="false">IF($B11="","",IF(AK11=0,IF(AND(الموظفون!$AE11&lt;&gt;"",الموظفون!$AE11&lt;$E$3),"✖ منتهي الخدمة","⏳ لم يباشر"),IF(S11&gt;0,"✈ راتب إجازة مقدم",IF(J11=0,"⛔ بدون راتب هذا الشهر",IF(I11&gt;0,"✈ خصم "&amp;ROUND(I11,2)&amp;" يوم بدون أجر",IF(AL11&gt;0,"🌴 إجازة سنوية "&amp;ROUND(AL11,2)&amp;" يوم",IF(H11&gt;0,"⚠ غياب "&amp;ROUND(H11,2)&amp;" يوم","✔ على رأس العمل")))))))</f>
        <v>✔ على رأس العمل</v>
      </c>
      <c r="G11" s="156" t="n">
        <f aca="false">IF($B11="","",IF(AK11&gt;=DAY($F$3),cfg_DAYS_M,MIN(AK11,cfg_DAYS_M)))</f>
        <v>30</v>
      </c>
      <c r="H11" s="156" t="n">
        <f aca="false">IF($B11="","",SUMIFS('الحركات الشهرية'!$D$6:$D$1005,'الحركات الشهرية'!$B$6:$B$1005,$B11,'الحركات الشهرية'!$A$6:$A$1005,$C$3))</f>
        <v>0</v>
      </c>
      <c r="I11" s="156" t="n">
        <f aca="false">IF($B11="","",MIN(G11,IF(AND(AK11&gt;0,AN11&gt;=AK11),G11,AN11)+SUMIFS('الحركات الشهرية'!$E$6:$E$1005,'الحركات الشهرية'!$B$6:$B$1005,$B11,'الحركات الشهرية'!$A$6:$A$1005,$C$3)))</f>
        <v>0</v>
      </c>
      <c r="J11" s="156" t="n">
        <f aca="false">IF($B11="","",MAX(0,G11-H11-I11))</f>
        <v>30</v>
      </c>
      <c r="K11" s="116" t="n">
        <f aca="false">IF($B11="","",الموظفون!$L11*$J11/cfg_DAYS_M)</f>
        <v>13000</v>
      </c>
      <c r="L11" s="116" t="n">
        <f aca="false">IF($B11="","",الموظفون!$M11*$J11/cfg_DAYS_M)</f>
        <v>3250</v>
      </c>
      <c r="M11" s="116" t="n">
        <f aca="false">IF($B11="","",الموظفون!$N11*$J11/cfg_DAYS_M)</f>
        <v>1300</v>
      </c>
      <c r="N11" s="116" t="n">
        <f aca="false">IF($B11="","",الموظفون!$O11*$J11/cfg_DAYS_M)</f>
        <v>2500</v>
      </c>
      <c r="O11" s="156" t="n">
        <f aca="false">IF($B11="","",SUMIFS('الحركات الشهرية'!$F$6:$F$1005,'الحركات الشهرية'!$B$6:$B$1005,$B11,'الحركات الشهرية'!$A$6:$A$1005,$C$3))</f>
        <v>0</v>
      </c>
      <c r="P11" s="116" t="n">
        <f aca="false">IF($B11="","",O11*(الموظفون!$P11+الموظفون!$L11*cfg_OT_P)/cfg_DAYS_M/cfg_HRS)</f>
        <v>0</v>
      </c>
      <c r="Q11" s="116" t="n">
        <f aca="false">IF($B11="","",SUMIFS('الحركات الشهرية'!$G$6:$G$1005,'الحركات الشهرية'!$B$6:$B$1005,$B11,'الحركات الشهرية'!$A$6:$A$1005,$C$3))</f>
        <v>0</v>
      </c>
      <c r="R11" s="116" t="n">
        <f aca="false">IF($B11="","",SUMIFS('الحركات الشهرية'!$H$6:$H$1005,'الحركات الشهرية'!$B$6:$B$1005,$B11,'الحركات الشهرية'!$A$6:$A$1005,$C$3))</f>
        <v>0</v>
      </c>
      <c r="S11" s="116" t="n">
        <f aca="false">IF($B11="","",SUMIFS('سجل الإجازات والحالات'!$N$6:$N$505,'سجل الإجازات والحالات'!$B$6:$B$505,$B11,'سجل الإجازات والحالات'!$O$6:$O$505,$C$3))</f>
        <v>0</v>
      </c>
      <c r="T11" s="157" t="n">
        <f aca="false">IF($B11="","",SUM(K11:N11)+SUM(P11:S11))</f>
        <v>20050</v>
      </c>
      <c r="U11" s="116" t="n">
        <f aca="false">IF($B11="","",الموظفون!$S11*IF(E11="سعودي",cfg_G_SE,cfg_G_NE)*G11/cfg_DAYS_M)</f>
        <v>1584.375</v>
      </c>
      <c r="V11" s="116" t="n">
        <f aca="false">IF($B11="","",SUMIFS('الحركات الشهرية'!$I$6:$I$1005,'الحركات الشهرية'!$B$6:$B$1005,$B11,'الحركات الشهرية'!$A$6:$A$1005,$C$3))</f>
        <v>0</v>
      </c>
      <c r="W11" s="116" t="n">
        <f aca="false">IF($B11="","",SUMIFS('الحركات الشهرية'!$J$6:$J$1005,'الحركات الشهرية'!$B$6:$B$1005,$B11,'الحركات الشهرية'!$A$6:$A$1005,$C$3))</f>
        <v>0</v>
      </c>
      <c r="X11" s="116" t="n">
        <f aca="false">IF($B11="","",SUM(U11:W11))</f>
        <v>1584.375</v>
      </c>
      <c r="Y11" s="158" t="n">
        <f aca="false">IF($B11="","",T11-X11)</f>
        <v>18465.625</v>
      </c>
      <c r="Z11" s="116" t="n">
        <f aca="false">IF($B11="","",الموظفون!$S11*IF(E11="سعودي",cfg_G_SR,cfg_G_NR)*G11/cfg_DAYS_M)</f>
        <v>1909.375</v>
      </c>
      <c r="AA11" s="116" t="n">
        <f aca="false">IF($B11="","",الموظفون!$Q11*(cfg_EOS_R1*(MIN(AH11,cfg_EOS_TH)-MIN(AI11,cfg_EOS_TH))+cfg_EOS_R2*(MAX(AH11-cfg_EOS_TH,0)-MAX(AI11-cfg_EOS_TH,0))))</f>
        <v>1490.54794520549</v>
      </c>
      <c r="AB11" s="116" t="n">
        <f aca="false">IF($B11="","",IF(الموظفون!$T11&lt;&gt;"",الموظفون!$T11,IF(AH11&gt;=cfg_LV_TH,cfg_LV_D2,cfg_LV_D1))/cfg_DAYS_Y*AJ11*الموظفون!$R11/cfg_DAYS_M)</f>
        <v>1490.54794520548</v>
      </c>
      <c r="AC11" s="116" t="n">
        <f aca="false">IF($B11="","",IF(AND(الموظفون!$U11="نعم",N(الموظفون!$W11)&gt;0),الموظفون!$V11/الموظفون!$W11*12/cfg_DAYS_Y*AJ11,0))</f>
        <v>0</v>
      </c>
      <c r="AD11" s="116" t="n">
        <f aca="false">IF($B11="","",(IF(الموظفون!$X11&lt;&gt;"",الموظفون!$X11,IF(الموظفون!$E11="غير سعودي",cfg_IQ,0))+IF(الموظفون!$Y11&lt;&gt;"",الموظفون!$Y11,IF(الموظفون!$E11="غير سعودي",cfg_WP,0)))/12*G11/cfg_DAYS_M)</f>
        <v>0</v>
      </c>
      <c r="AE11" s="116" t="n">
        <f aca="false">IF($B11="","",IF(الموظفون!$Z11&lt;&gt;"",الموظفون!$Z11,cfg_MED)/12*G11/cfg_DAYS_M)</f>
        <v>300</v>
      </c>
      <c r="AF11" s="116" t="n">
        <f aca="false">IF($B11="","",N(الموظفون!$AA11)/12*G11/cfg_DAYS_M)</f>
        <v>0</v>
      </c>
      <c r="AG11" s="159" t="n">
        <f aca="false">IF($B11="","",T11+SUM(Z11:AF11))</f>
        <v>25240.470890411</v>
      </c>
      <c r="AH11" s="160" t="n">
        <f aca="false">IF($B11="","",MAX(0,IF(OR(الموظفون!$AE11="",الموظفون!$AE11&gt;$F$3),$F$3,الموظفون!$AE11)-الموظفون!$H11+1-SUMIFS('سجل الإجازات والحالات'!$AO$6:$AO$505,'سجل الإجازات والحالات'!$B$6:$B$505,$B11))/cfg_DAYS_Y)</f>
        <v>8.82739726027397</v>
      </c>
      <c r="AI11" s="160" t="n">
        <f aca="false">IF($B11="","",MAX(0,IF(OR(الموظفون!$AE11="",الموظفون!$AE11&gt;($E$3-1)),($E$3-1),الموظفون!$AE11)-الموظفون!$H11+1-SUMIFS('سجل الإجازات والحالات'!$AN$6:$AN$505,'سجل الإجازات والحالات'!$B$6:$B$505,$B11))/cfg_DAYS_Y)</f>
        <v>8.74246575342466</v>
      </c>
      <c r="AJ11" s="133" t="n">
        <f aca="false">IF($B11="","",MAX(0,AK11-(SUMIFS('سجل الإجازات والحالات'!$AO$6:$AO$505,'سجل الإجازات والحالات'!$B$6:$B$505,$B11)-SUMIFS('سجل الإجازات والحالات'!$AN$6:$AN$505,'سجل الإجازات والحالات'!$B$6:$B$505,$B11))))</f>
        <v>31</v>
      </c>
      <c r="AK11" s="133" t="n">
        <f aca="false">IF($B11="","",MAX(0,IF(OR(الموظفون!$AE11="",الموظفون!$AE11&gt;$F$3),$F$3,الموظفون!$AE11)-MAX($E$3,الموظفون!$H11)+1))</f>
        <v>31</v>
      </c>
      <c r="AL11" s="156" t="n">
        <f aca="false">IF($B11="","",SUMIFS('سجل الإجازات والحالات'!$BA$6:$BA$505,'سجل الإجازات والحالات'!$B$6:$B$505,$B11)+SUMIFS('الحركات الشهرية'!$K$6:$K$1005,'الحركات الشهرية'!$B$6:$B$1005,$B11,'الحركات الشهرية'!$A$6:$A$1005,$C$3))</f>
        <v>0</v>
      </c>
      <c r="AM11" s="116" t="n">
        <f aca="false">IF($B11="","",AL11*الموظفون!$R11/cfg_DAYS_M+S11)</f>
        <v>0</v>
      </c>
      <c r="AN11" s="156" t="n">
        <f aca="false">IF($B11="","",SUMIFS('سجل الإجازات والحالات'!$AC$6:$AC$505,'سجل الإجازات والحالات'!$B$6:$B$505,$B11))</f>
        <v>0</v>
      </c>
    </row>
    <row r="12" customFormat="false" ht="15" hidden="false" customHeight="false" outlineLevel="0" collapsed="false">
      <c r="A12" s="106" t="n">
        <f aca="false">IF($B12="","",الموظفون!$A12)</f>
        <v>7</v>
      </c>
      <c r="B12" s="114" t="str">
        <f aca="false">IF(الموظفون!$B12="","",الموظفون!$B12)</f>
        <v>E007</v>
      </c>
      <c r="C12" s="114" t="str">
        <f aca="false">IF($B12="","",الموظفون!$C12)</f>
        <v>خالد يوسف الأحمد</v>
      </c>
      <c r="D12" s="114" t="str">
        <f aca="false">IF($B12="","",الموظفون!$F12)</f>
        <v>المشاريع</v>
      </c>
      <c r="E12" s="114" t="str">
        <f aca="false">IF($B12="","",الموظفون!$E12)</f>
        <v>غير سعودي</v>
      </c>
      <c r="F12" s="114" t="str">
        <f aca="false">IF($B12="","",IF(AK12=0,IF(AND(الموظفون!$AE12&lt;&gt;"",الموظفون!$AE12&lt;$E$3),"✖ منتهي الخدمة","⏳ لم يباشر"),IF(S12&gt;0,"✈ راتب إجازة مقدم",IF(J12=0,"⛔ بدون راتب هذا الشهر",IF(I12&gt;0,"✈ خصم "&amp;ROUND(I12,2)&amp;" يوم بدون أجر",IF(AL12&gt;0,"🌴 إجازة سنوية "&amp;ROUND(AL12,2)&amp;" يوم",IF(H12&gt;0,"⚠ غياب "&amp;ROUND(H12,2)&amp;" يوم","✔ على رأس العمل")))))))</f>
        <v>✔ على رأس العمل</v>
      </c>
      <c r="G12" s="151" t="n">
        <f aca="false">IF($B12="","",IF(AK12&gt;=DAY($F$3),cfg_DAYS_M,MIN(AK12,cfg_DAYS_M)))</f>
        <v>30</v>
      </c>
      <c r="H12" s="151" t="n">
        <f aca="false">IF($B12="","",SUMIFS('الحركات الشهرية'!$D$6:$D$1005,'الحركات الشهرية'!$B$6:$B$1005,$B12,'الحركات الشهرية'!$A$6:$A$1005,$C$3))</f>
        <v>0</v>
      </c>
      <c r="I12" s="151" t="n">
        <f aca="false">IF($B12="","",MIN(G12,IF(AND(AK12&gt;0,AN12&gt;=AK12),G12,AN12)+SUMIFS('الحركات الشهرية'!$E$6:$E$1005,'الحركات الشهرية'!$B$6:$B$1005,$B12,'الحركات الشهرية'!$A$6:$A$1005,$C$3)))</f>
        <v>0</v>
      </c>
      <c r="J12" s="151" t="n">
        <f aca="false">IF($B12="","",MAX(0,G12-H12-I12))</f>
        <v>30</v>
      </c>
      <c r="K12" s="111" t="n">
        <f aca="false">IF($B12="","",الموظفون!$L12*$J12/cfg_DAYS_M)</f>
        <v>11000</v>
      </c>
      <c r="L12" s="111" t="n">
        <f aca="false">IF($B12="","",الموظفون!$M12*$J12/cfg_DAYS_M)</f>
        <v>2750</v>
      </c>
      <c r="M12" s="111" t="n">
        <f aca="false">IF($B12="","",الموظفون!$N12*$J12/cfg_DAYS_M)</f>
        <v>1100</v>
      </c>
      <c r="N12" s="111" t="n">
        <f aca="false">IF($B12="","",الموظفون!$O12*$J12/cfg_DAYS_M)</f>
        <v>800</v>
      </c>
      <c r="O12" s="151" t="n">
        <f aca="false">IF($B12="","",SUMIFS('الحركات الشهرية'!$F$6:$F$1005,'الحركات الشهرية'!$B$6:$B$1005,$B12,'الحركات الشهرية'!$A$6:$A$1005,$C$3))</f>
        <v>0</v>
      </c>
      <c r="P12" s="111" t="n">
        <f aca="false">IF($B12="","",O12*(الموظفون!$P12+الموظفون!$L12*cfg_OT_P)/cfg_DAYS_M/cfg_HRS)</f>
        <v>0</v>
      </c>
      <c r="Q12" s="111" t="n">
        <f aca="false">IF($B12="","",SUMIFS('الحركات الشهرية'!$G$6:$G$1005,'الحركات الشهرية'!$B$6:$B$1005,$B12,'الحركات الشهرية'!$A$6:$A$1005,$C$3))</f>
        <v>0</v>
      </c>
      <c r="R12" s="111" t="n">
        <f aca="false">IF($B12="","",SUMIFS('الحركات الشهرية'!$H$6:$H$1005,'الحركات الشهرية'!$B$6:$B$1005,$B12,'الحركات الشهرية'!$A$6:$A$1005,$C$3))</f>
        <v>0</v>
      </c>
      <c r="S12" s="111" t="n">
        <f aca="false">IF($B12="","",SUMIFS('سجل الإجازات والحالات'!$N$6:$N$505,'سجل الإجازات والحالات'!$B$6:$B$505,$B12,'سجل الإجازات والحالات'!$O$6:$O$505,$C$3))</f>
        <v>0</v>
      </c>
      <c r="T12" s="152" t="n">
        <f aca="false">IF($B12="","",SUM(K12:N12)+SUM(P12:S12))</f>
        <v>15650</v>
      </c>
      <c r="U12" s="111" t="n">
        <f aca="false">IF($B12="","",الموظفون!$S12*IF(E12="سعودي",cfg_G_SE,cfg_G_NE)*G12/cfg_DAYS_M)</f>
        <v>0</v>
      </c>
      <c r="V12" s="111" t="n">
        <f aca="false">IF($B12="","",SUMIFS('الحركات الشهرية'!$I$6:$I$1005,'الحركات الشهرية'!$B$6:$B$1005,$B12,'الحركات الشهرية'!$A$6:$A$1005,$C$3))</f>
        <v>0</v>
      </c>
      <c r="W12" s="111" t="n">
        <f aca="false">IF($B12="","",SUMIFS('الحركات الشهرية'!$J$6:$J$1005,'الحركات الشهرية'!$B$6:$B$1005,$B12,'الحركات الشهرية'!$A$6:$A$1005,$C$3))</f>
        <v>0</v>
      </c>
      <c r="X12" s="111" t="n">
        <f aca="false">IF($B12="","",SUM(U12:W12))</f>
        <v>0</v>
      </c>
      <c r="Y12" s="153" t="n">
        <f aca="false">IF($B12="","",T12-X12)</f>
        <v>15650</v>
      </c>
      <c r="Z12" s="111" t="n">
        <f aca="false">IF($B12="","",الموظفون!$S12*IF(E12="سعودي",cfg_G_SR,cfg_G_NR)*G12/cfg_DAYS_M)</f>
        <v>275</v>
      </c>
      <c r="AA12" s="111" t="n">
        <f aca="false">IF($B12="","",الموظفون!$Q12*(cfg_EOS_R1*(MIN(AH12,cfg_EOS_TH)-MIN(AI12,cfg_EOS_TH))+cfg_EOS_R2*(MAX(AH12-cfg_EOS_TH,0)-MAX(AI12-cfg_EOS_TH,0))))</f>
        <v>1261.23287671234</v>
      </c>
      <c r="AB12" s="111" t="n">
        <f aca="false">IF($B12="","",IF(الموظفون!$T12&lt;&gt;"",الموظفون!$T12,IF(AH12&gt;=cfg_LV_TH,cfg_LV_D2,cfg_LV_D1))/cfg_DAYS_Y*AJ12*الموظفون!$R12/cfg_DAYS_M)</f>
        <v>1261.23287671233</v>
      </c>
      <c r="AC12" s="111" t="n">
        <f aca="false">IF($B12="","",IF(AND(الموظفون!$U12="نعم",N(الموظفون!$W12)&gt;0),الموظفون!$V12/الموظفون!$W12*12/cfg_DAYS_Y*AJ12,0))</f>
        <v>382.191780821918</v>
      </c>
      <c r="AD12" s="111" t="n">
        <f aca="false">IF($B12="","",(IF(الموظفون!$X12&lt;&gt;"",الموظفون!$X12,IF(الموظفون!$E12="غير سعودي",cfg_IQ,0))+IF(الموظفون!$Y12&lt;&gt;"",الموظفون!$Y12,IF(الموظفون!$E12="غير سعودي",cfg_WP,0)))/12*G12/cfg_DAYS_M)</f>
        <v>854.166666666667</v>
      </c>
      <c r="AE12" s="111" t="n">
        <f aca="false">IF($B12="","",IF(الموظفون!$Z12&lt;&gt;"",الموظفون!$Z12,cfg_MED)/12*G12/cfg_DAYS_M)</f>
        <v>200</v>
      </c>
      <c r="AF12" s="111" t="n">
        <f aca="false">IF($B12="","",N(الموظفون!$AA12)/12*G12/cfg_DAYS_M)</f>
        <v>400</v>
      </c>
      <c r="AG12" s="154" t="n">
        <f aca="false">IF($B12="","",T12+SUM(Z12:AF12))</f>
        <v>20283.8242009133</v>
      </c>
      <c r="AH12" s="155" t="n">
        <f aca="false">IF($B12="","",MAX(0,IF(OR(الموظفون!$AE12="",الموظفون!$AE12&gt;$F$3),$F$3,الموظفون!$AE12)-الموظفون!$H12+1-SUMIFS('سجل الإجازات والحالات'!$AO$6:$AO$505,'سجل الإجازات والحالات'!$B$6:$B$505,$B12))/cfg_DAYS_Y)</f>
        <v>5.61643835616438</v>
      </c>
      <c r="AI12" s="155" t="n">
        <f aca="false">IF($B12="","",MAX(0,IF(OR(الموظفون!$AE12="",الموظفون!$AE12&gt;($E$3-1)),($E$3-1),الموظفون!$AE12)-الموظفون!$H12+1-SUMIFS('سجل الإجازات والحالات'!$AN$6:$AN$505,'سجل الإجازات والحالات'!$B$6:$B$505,$B12))/cfg_DAYS_Y)</f>
        <v>5.53150684931507</v>
      </c>
      <c r="AJ12" s="65" t="n">
        <f aca="false">IF($B12="","",MAX(0,AK12-(SUMIFS('سجل الإجازات والحالات'!$AO$6:$AO$505,'سجل الإجازات والحالات'!$B$6:$B$505,$B12)-SUMIFS('سجل الإجازات والحالات'!$AN$6:$AN$505,'سجل الإجازات والحالات'!$B$6:$B$505,$B12))))</f>
        <v>31</v>
      </c>
      <c r="AK12" s="65" t="n">
        <f aca="false">IF($B12="","",MAX(0,IF(OR(الموظفون!$AE12="",الموظفون!$AE12&gt;$F$3),$F$3,الموظفون!$AE12)-MAX($E$3,الموظفون!$H12)+1))</f>
        <v>31</v>
      </c>
      <c r="AL12" s="151" t="n">
        <f aca="false">IF($B12="","",SUMIFS('سجل الإجازات والحالات'!$BA$6:$BA$505,'سجل الإجازات والحالات'!$B$6:$B$505,$B12)+SUMIFS('الحركات الشهرية'!$K$6:$K$1005,'الحركات الشهرية'!$B$6:$B$1005,$B12,'الحركات الشهرية'!$A$6:$A$1005,$C$3))</f>
        <v>0</v>
      </c>
      <c r="AM12" s="111" t="n">
        <f aca="false">IF($B12="","",AL12*الموظفون!$R12/cfg_DAYS_M+S12)</f>
        <v>0</v>
      </c>
      <c r="AN12" s="151" t="n">
        <f aca="false">IF($B12="","",SUMIFS('سجل الإجازات والحالات'!$AC$6:$AC$505,'سجل الإجازات والحالات'!$B$6:$B$505,$B12))</f>
        <v>0</v>
      </c>
    </row>
    <row r="13" customFormat="false" ht="15" hidden="false" customHeight="false" outlineLevel="0" collapsed="false">
      <c r="A13" s="115" t="n">
        <f aca="false">IF($B13="","",الموظفون!$A13)</f>
        <v>8</v>
      </c>
      <c r="B13" s="117" t="str">
        <f aca="false">IF(الموظفون!$B13="","",الموظفون!$B13)</f>
        <v>E008</v>
      </c>
      <c r="C13" s="117" t="str">
        <f aca="false">IF($B13="","",الموظفون!$C13)</f>
        <v>سارة عبدالرحمن الزهراني</v>
      </c>
      <c r="D13" s="117" t="str">
        <f aca="false">IF($B13="","",الموظفون!$F13)</f>
        <v>المالية</v>
      </c>
      <c r="E13" s="117" t="str">
        <f aca="false">IF($B13="","",الموظفون!$E13)</f>
        <v>سعودي</v>
      </c>
      <c r="F13" s="117" t="str">
        <f aca="false">IF($B13="","",IF(AK13=0,IF(AND(الموظفون!$AE13&lt;&gt;"",الموظفون!$AE13&lt;$E$3),"✖ منتهي الخدمة","⏳ لم يباشر"),IF(S13&gt;0,"✈ راتب إجازة مقدم",IF(J13=0,"⛔ بدون راتب هذا الشهر",IF(I13&gt;0,"✈ خصم "&amp;ROUND(I13,2)&amp;" يوم بدون أجر",IF(AL13&gt;0,"🌴 إجازة سنوية "&amp;ROUND(AL13,2)&amp;" يوم",IF(H13&gt;0,"⚠ غياب "&amp;ROUND(H13,2)&amp;" يوم","✔ على رأس العمل")))))))</f>
        <v>✈ خصم 3 يوم بدون أجر</v>
      </c>
      <c r="G13" s="156" t="n">
        <f aca="false">IF($B13="","",IF(AK13&gt;=DAY($F$3),cfg_DAYS_M,MIN(AK13,cfg_DAYS_M)))</f>
        <v>30</v>
      </c>
      <c r="H13" s="156" t="n">
        <f aca="false">IF($B13="","",SUMIFS('الحركات الشهرية'!$D$6:$D$1005,'الحركات الشهرية'!$B$6:$B$1005,$B13,'الحركات الشهرية'!$A$6:$A$1005,$C$3))</f>
        <v>0</v>
      </c>
      <c r="I13" s="156" t="n">
        <f aca="false">IF($B13="","",MIN(G13,IF(AND(AK13&gt;0,AN13&gt;=AK13),G13,AN13)+SUMIFS('الحركات الشهرية'!$E$6:$E$1005,'الحركات الشهرية'!$B$6:$B$1005,$B13,'الحركات الشهرية'!$A$6:$A$1005,$C$3)))</f>
        <v>3</v>
      </c>
      <c r="J13" s="156" t="n">
        <f aca="false">IF($B13="","",MAX(0,G13-H13-I13))</f>
        <v>27</v>
      </c>
      <c r="K13" s="116" t="n">
        <f aca="false">IF($B13="","",الموظفون!$L13*$J13/cfg_DAYS_M)</f>
        <v>6750</v>
      </c>
      <c r="L13" s="116" t="n">
        <f aca="false">IF($B13="","",الموظفون!$M13*$J13/cfg_DAYS_M)</f>
        <v>1687.5</v>
      </c>
      <c r="M13" s="116" t="n">
        <f aca="false">IF($B13="","",الموظفون!$N13*$J13/cfg_DAYS_M)</f>
        <v>675</v>
      </c>
      <c r="N13" s="116" t="n">
        <f aca="false">IF($B13="","",الموظفون!$O13*$J13/cfg_DAYS_M)</f>
        <v>0</v>
      </c>
      <c r="O13" s="156" t="n">
        <f aca="false">IF($B13="","",SUMIFS('الحركات الشهرية'!$F$6:$F$1005,'الحركات الشهرية'!$B$6:$B$1005,$B13,'الحركات الشهرية'!$A$6:$A$1005,$C$3))</f>
        <v>0</v>
      </c>
      <c r="P13" s="116" t="n">
        <f aca="false">IF($B13="","",O13*(الموظفون!$P13+الموظفون!$L13*cfg_OT_P)/cfg_DAYS_M/cfg_HRS)</f>
        <v>0</v>
      </c>
      <c r="Q13" s="116" t="n">
        <f aca="false">IF($B13="","",SUMIFS('الحركات الشهرية'!$G$6:$G$1005,'الحركات الشهرية'!$B$6:$B$1005,$B13,'الحركات الشهرية'!$A$6:$A$1005,$C$3))</f>
        <v>0</v>
      </c>
      <c r="R13" s="116" t="n">
        <f aca="false">IF($B13="","",SUMIFS('الحركات الشهرية'!$H$6:$H$1005,'الحركات الشهرية'!$B$6:$B$1005,$B13,'الحركات الشهرية'!$A$6:$A$1005,$C$3))</f>
        <v>0</v>
      </c>
      <c r="S13" s="116" t="n">
        <f aca="false">IF($B13="","",SUMIFS('سجل الإجازات والحالات'!$N$6:$N$505,'سجل الإجازات والحالات'!$B$6:$B$505,$B13,'سجل الإجازات والحالات'!$O$6:$O$505,$C$3))</f>
        <v>0</v>
      </c>
      <c r="T13" s="157" t="n">
        <f aca="false">IF($B13="","",SUM(K13:N13)+SUM(P13:S13))</f>
        <v>9112.5</v>
      </c>
      <c r="U13" s="116" t="n">
        <f aca="false">IF($B13="","",الموظفون!$S13*IF(E13="سعودي",cfg_G_SE,cfg_G_NE)*G13/cfg_DAYS_M)</f>
        <v>914.0625</v>
      </c>
      <c r="V13" s="116" t="n">
        <f aca="false">IF($B13="","",SUMIFS('الحركات الشهرية'!$I$6:$I$1005,'الحركات الشهرية'!$B$6:$B$1005,$B13,'الحركات الشهرية'!$A$6:$A$1005,$C$3))</f>
        <v>0</v>
      </c>
      <c r="W13" s="116" t="n">
        <f aca="false">IF($B13="","",SUMIFS('الحركات الشهرية'!$J$6:$J$1005,'الحركات الشهرية'!$B$6:$B$1005,$B13,'الحركات الشهرية'!$A$6:$A$1005,$C$3))</f>
        <v>0</v>
      </c>
      <c r="X13" s="116" t="n">
        <f aca="false">IF($B13="","",SUM(U13:W13))</f>
        <v>914.0625</v>
      </c>
      <c r="Y13" s="158" t="n">
        <f aca="false">IF($B13="","",T13-X13)</f>
        <v>8198.4375</v>
      </c>
      <c r="Z13" s="116" t="n">
        <f aca="false">IF($B13="","",الموظفون!$S13*IF(E13="سعودي",cfg_G_SR,cfg_G_NR)*G13/cfg_DAYS_M)</f>
        <v>1101.5625</v>
      </c>
      <c r="AA13" s="116" t="n">
        <f aca="false">IF($B13="","",الموظفون!$Q13*(cfg_EOS_R1*(MIN(AH13,cfg_EOS_TH)-MIN(AI13,cfg_EOS_TH))+cfg_EOS_R2*(MAX(AH13-cfg_EOS_TH,0)-MAX(AI13-cfg_EOS_TH,0))))</f>
        <v>388.356164383562</v>
      </c>
      <c r="AB13" s="116" t="n">
        <f aca="false">IF($B13="","",IF(الموظفون!$T13&lt;&gt;"",الموظفون!$T13,IF(AH13&gt;=cfg_LV_TH,cfg_LV_D2,cfg_LV_D1))/cfg_DAYS_Y*AJ13*الموظفون!$R13/cfg_DAYS_M)</f>
        <v>543.698630136986</v>
      </c>
      <c r="AC13" s="116" t="n">
        <f aca="false">IF($B13="","",IF(AND(الموظفون!$U13="نعم",N(الموظفون!$W13)&gt;0),الموظفون!$V13/الموظفون!$W13*12/cfg_DAYS_Y*AJ13,0))</f>
        <v>0</v>
      </c>
      <c r="AD13" s="116" t="n">
        <f aca="false">IF($B13="","",(IF(الموظفون!$X13&lt;&gt;"",الموظفون!$X13,IF(الموظفون!$E13="غير سعودي",cfg_IQ,0))+IF(الموظفون!$Y13&lt;&gt;"",الموظفون!$Y13,IF(الموظفون!$E13="غير سعودي",cfg_WP,0)))/12*G13/cfg_DAYS_M)</f>
        <v>0</v>
      </c>
      <c r="AE13" s="116" t="n">
        <f aca="false">IF($B13="","",IF(الموظفون!$Z13&lt;&gt;"",الموظفون!$Z13,cfg_MED)/12*G13/cfg_DAYS_M)</f>
        <v>200</v>
      </c>
      <c r="AF13" s="116" t="n">
        <f aca="false">IF($B13="","",N(الموظفون!$AA13)/12*G13/cfg_DAYS_M)</f>
        <v>0</v>
      </c>
      <c r="AG13" s="159" t="n">
        <f aca="false">IF($B13="","",T13+SUM(Z13:AF13))</f>
        <v>11346.1172945205</v>
      </c>
      <c r="AH13" s="160" t="n">
        <f aca="false">IF($B13="","",MAX(0,IF(OR(الموظفون!$AE13="",الموظفون!$AE13&gt;$F$3),$F$3,الموظفون!$AE13)-الموظفون!$H13+1-SUMIFS('سجل الإجازات والحالات'!$AO$6:$AO$505,'سجل الإجازات والحالات'!$B$6:$B$505,$B13))/cfg_DAYS_Y)</f>
        <v>3.4986301369863</v>
      </c>
      <c r="AI13" s="160" t="n">
        <f aca="false">IF($B13="","",MAX(0,IF(OR(الموظفون!$AE13="",الموظفون!$AE13&gt;($E$3-1)),($E$3-1),الموظفون!$AE13)-الموظفون!$H13+1-SUMIFS('سجل الإجازات والحالات'!$AN$6:$AN$505,'سجل الإجازات والحالات'!$B$6:$B$505,$B13))/cfg_DAYS_Y)</f>
        <v>3.42191780821918</v>
      </c>
      <c r="AJ13" s="133" t="n">
        <f aca="false">IF($B13="","",MAX(0,AK13-(SUMIFS('سجل الإجازات والحالات'!$AO$6:$AO$505,'سجل الإجازات والحالات'!$B$6:$B$505,$B13)-SUMIFS('سجل الإجازات والحالات'!$AN$6:$AN$505,'سجل الإجازات والحالات'!$B$6:$B$505,$B13))))</f>
        <v>28</v>
      </c>
      <c r="AK13" s="133" t="n">
        <f aca="false">IF($B13="","",MAX(0,IF(OR(الموظفون!$AE13="",الموظفون!$AE13&gt;$F$3),$F$3,الموظفون!$AE13)-MAX($E$3,الموظفون!$H13)+1))</f>
        <v>31</v>
      </c>
      <c r="AL13" s="156" t="n">
        <f aca="false">IF($B13="","",SUMIFS('سجل الإجازات والحالات'!$BA$6:$BA$505,'سجل الإجازات والحالات'!$B$6:$B$505,$B13)+SUMIFS('الحركات الشهرية'!$K$6:$K$1005,'الحركات الشهرية'!$B$6:$B$1005,$B13,'الحركات الشهرية'!$A$6:$A$1005,$C$3))</f>
        <v>0</v>
      </c>
      <c r="AM13" s="116" t="n">
        <f aca="false">IF($B13="","",AL13*الموظفون!$R13/cfg_DAYS_M+S13)</f>
        <v>0</v>
      </c>
      <c r="AN13" s="156" t="n">
        <f aca="false">IF($B13="","",SUMIFS('سجل الإجازات والحالات'!$AC$6:$AC$505,'سجل الإجازات والحالات'!$B$6:$B$505,$B13))</f>
        <v>3</v>
      </c>
    </row>
    <row r="14" customFormat="false" ht="15" hidden="false" customHeight="false" outlineLevel="0" collapsed="false">
      <c r="A14" s="106" t="n">
        <f aca="false">IF($B14="","",الموظفون!$A14)</f>
        <v>9</v>
      </c>
      <c r="B14" s="114" t="str">
        <f aca="false">IF(الموظفون!$B14="","",الموظفون!$B14)</f>
        <v>E009</v>
      </c>
      <c r="C14" s="114" t="str">
        <f aca="false">IF($B14="","",الموظفون!$C14)</f>
        <v>محمد رفيق</v>
      </c>
      <c r="D14" s="114" t="str">
        <f aca="false">IF($B14="","",الموظفون!$F14)</f>
        <v>العمليات</v>
      </c>
      <c r="E14" s="114" t="str">
        <f aca="false">IF($B14="","",الموظفون!$E14)</f>
        <v>غير سعودي</v>
      </c>
      <c r="F14" s="114" t="str">
        <f aca="false">IF($B14="","",IF(AK14=0,IF(AND(الموظفون!$AE14&lt;&gt;"",الموظفون!$AE14&lt;$E$3),"✖ منتهي الخدمة","⏳ لم يباشر"),IF(S14&gt;0,"✈ راتب إجازة مقدم",IF(J14=0,"⛔ بدون راتب هذا الشهر",IF(I14&gt;0,"✈ خصم "&amp;ROUND(I14,2)&amp;" يوم بدون أجر",IF(AL14&gt;0,"🌴 إجازة سنوية "&amp;ROUND(AL14,2)&amp;" يوم",IF(H14&gt;0,"⚠ غياب "&amp;ROUND(H14,2)&amp;" يوم","✔ على رأس العمل")))))))</f>
        <v>✔ على رأس العمل</v>
      </c>
      <c r="G14" s="151" t="n">
        <f aca="false">IF($B14="","",IF(AK14&gt;=DAY($F$3),cfg_DAYS_M,MIN(AK14,cfg_DAYS_M)))</f>
        <v>30</v>
      </c>
      <c r="H14" s="151" t="n">
        <f aca="false">IF($B14="","",SUMIFS('الحركات الشهرية'!$D$6:$D$1005,'الحركات الشهرية'!$B$6:$B$1005,$B14,'الحركات الشهرية'!$A$6:$A$1005,$C$3))</f>
        <v>0</v>
      </c>
      <c r="I14" s="151" t="n">
        <f aca="false">IF($B14="","",MIN(G14,IF(AND(AK14&gt;0,AN14&gt;=AK14),G14,AN14)+SUMIFS('الحركات الشهرية'!$E$6:$E$1005,'الحركات الشهرية'!$B$6:$B$1005,$B14,'الحركات الشهرية'!$A$6:$A$1005,$C$3)))</f>
        <v>0</v>
      </c>
      <c r="J14" s="151" t="n">
        <f aca="false">IF($B14="","",MAX(0,G14-H14-I14))</f>
        <v>30</v>
      </c>
      <c r="K14" s="111" t="n">
        <f aca="false">IF($B14="","",الموظفون!$L14*$J14/cfg_DAYS_M)</f>
        <v>6500</v>
      </c>
      <c r="L14" s="111" t="n">
        <f aca="false">IF($B14="","",الموظفون!$M14*$J14/cfg_DAYS_M)</f>
        <v>1625</v>
      </c>
      <c r="M14" s="111" t="n">
        <f aca="false">IF($B14="","",الموظفون!$N14*$J14/cfg_DAYS_M)</f>
        <v>650</v>
      </c>
      <c r="N14" s="111" t="n">
        <f aca="false">IF($B14="","",الموظفون!$O14*$J14/cfg_DAYS_M)</f>
        <v>300</v>
      </c>
      <c r="O14" s="151" t="n">
        <f aca="false">IF($B14="","",SUMIFS('الحركات الشهرية'!$F$6:$F$1005,'الحركات الشهرية'!$B$6:$B$1005,$B14,'الحركات الشهرية'!$A$6:$A$1005,$C$3))</f>
        <v>0</v>
      </c>
      <c r="P14" s="111" t="n">
        <f aca="false">IF($B14="","",O14*(الموظفون!$P14+الموظفون!$L14*cfg_OT_P)/cfg_DAYS_M/cfg_HRS)</f>
        <v>0</v>
      </c>
      <c r="Q14" s="111" t="n">
        <f aca="false">IF($B14="","",SUMIFS('الحركات الشهرية'!$G$6:$G$1005,'الحركات الشهرية'!$B$6:$B$1005,$B14,'الحركات الشهرية'!$A$6:$A$1005,$C$3))</f>
        <v>0</v>
      </c>
      <c r="R14" s="111" t="n">
        <f aca="false">IF($B14="","",SUMIFS('الحركات الشهرية'!$H$6:$H$1005,'الحركات الشهرية'!$B$6:$B$1005,$B14,'الحركات الشهرية'!$A$6:$A$1005,$C$3))</f>
        <v>0</v>
      </c>
      <c r="S14" s="111" t="n">
        <f aca="false">IF($B14="","",SUMIFS('سجل الإجازات والحالات'!$N$6:$N$505,'سجل الإجازات والحالات'!$B$6:$B$505,$B14,'سجل الإجازات والحالات'!$O$6:$O$505,$C$3))</f>
        <v>0</v>
      </c>
      <c r="T14" s="152" t="n">
        <f aca="false">IF($B14="","",SUM(K14:N14)+SUM(P14:S14))</f>
        <v>9075</v>
      </c>
      <c r="U14" s="111" t="n">
        <f aca="false">IF($B14="","",الموظفون!$S14*IF(E14="سعودي",cfg_G_SE,cfg_G_NE)*G14/cfg_DAYS_M)</f>
        <v>0</v>
      </c>
      <c r="V14" s="111" t="n">
        <f aca="false">IF($B14="","",SUMIFS('الحركات الشهرية'!$I$6:$I$1005,'الحركات الشهرية'!$B$6:$B$1005,$B14,'الحركات الشهرية'!$A$6:$A$1005,$C$3))</f>
        <v>0</v>
      </c>
      <c r="W14" s="111" t="n">
        <f aca="false">IF($B14="","",SUMIFS('الحركات الشهرية'!$J$6:$J$1005,'الحركات الشهرية'!$B$6:$B$1005,$B14,'الحركات الشهرية'!$A$6:$A$1005,$C$3))</f>
        <v>0</v>
      </c>
      <c r="X14" s="111" t="n">
        <f aca="false">IF($B14="","",SUM(U14:W14))</f>
        <v>0</v>
      </c>
      <c r="Y14" s="153" t="n">
        <f aca="false">IF($B14="","",T14-X14)</f>
        <v>9075</v>
      </c>
      <c r="Z14" s="111" t="n">
        <f aca="false">IF($B14="","",الموظفون!$S14*IF(E14="سعودي",cfg_G_SR,cfg_G_NR)*G14/cfg_DAYS_M)</f>
        <v>162.5</v>
      </c>
      <c r="AA14" s="111" t="n">
        <f aca="false">IF($B14="","",الموظفون!$Q14*(cfg_EOS_R1*(MIN(AH14,cfg_EOS_TH)-MIN(AI14,cfg_EOS_TH))+cfg_EOS_R2*(MAX(AH14-cfg_EOS_TH,0)-MAX(AI14-cfg_EOS_TH,0))))</f>
        <v>745.273972602744</v>
      </c>
      <c r="AB14" s="111" t="n">
        <f aca="false">IF($B14="","",IF(الموظفون!$T14&lt;&gt;"",الموظفون!$T14,IF(AH14&gt;=cfg_LV_TH,cfg_LV_D2,cfg_LV_D1))/cfg_DAYS_Y*AJ14*الموظفون!$R14/cfg_DAYS_M)</f>
        <v>745.27397260274</v>
      </c>
      <c r="AC14" s="111" t="n">
        <f aca="false">IF($B14="","",IF(AND(الموظفون!$U14="نعم",N(الموظفون!$W14)&gt;0),الموظفون!$V14/الموظفون!$W14*12/cfg_DAYS_Y*AJ14,0))</f>
        <v>93.4246575342466</v>
      </c>
      <c r="AD14" s="111" t="n">
        <f aca="false">IF($B14="","",(IF(الموظفون!$X14&lt;&gt;"",الموظفون!$X14,IF(الموظفون!$E14="غير سعودي",cfg_IQ,0))+IF(الموظفون!$Y14&lt;&gt;"",الموظفون!$Y14,IF(الموظفون!$E14="غير سعودي",cfg_WP,0)))/12*G14/cfg_DAYS_M)</f>
        <v>854.166666666667</v>
      </c>
      <c r="AE14" s="111" t="n">
        <f aca="false">IF($B14="","",IF(الموظفون!$Z14&lt;&gt;"",الموظفون!$Z14,cfg_MED)/12*G14/cfg_DAYS_M)</f>
        <v>150</v>
      </c>
      <c r="AF14" s="111" t="n">
        <f aca="false">IF($B14="","",N(الموظفون!$AA14)/12*G14/cfg_DAYS_M)</f>
        <v>0</v>
      </c>
      <c r="AG14" s="154" t="n">
        <f aca="false">IF($B14="","",T14+SUM(Z14:AF14))</f>
        <v>11825.6392694064</v>
      </c>
      <c r="AH14" s="155" t="n">
        <f aca="false">IF($B14="","",MAX(0,IF(OR(الموظفون!$AE14="",الموظفون!$AE14&gt;$F$3),$F$3,الموظفون!$AE14)-الموظفون!$H14+1-SUMIFS('سجل الإجازات والحالات'!$AO$6:$AO$505,'سجل الإجازات والحالات'!$B$6:$B$505,$B14))/cfg_DAYS_Y)</f>
        <v>12.0465753424658</v>
      </c>
      <c r="AI14" s="155" t="n">
        <f aca="false">IF($B14="","",MAX(0,IF(OR(الموظفون!$AE14="",الموظفون!$AE14&gt;($E$3-1)),($E$3-1),الموظفون!$AE14)-الموظفون!$H14+1-SUMIFS('سجل الإجازات والحالات'!$AN$6:$AN$505,'سجل الإجازات والحالات'!$B$6:$B$505,$B14))/cfg_DAYS_Y)</f>
        <v>11.9616438356164</v>
      </c>
      <c r="AJ14" s="65" t="n">
        <f aca="false">IF($B14="","",MAX(0,AK14-(SUMIFS('سجل الإجازات والحالات'!$AO$6:$AO$505,'سجل الإجازات والحالات'!$B$6:$B$505,$B14)-SUMIFS('سجل الإجازات والحالات'!$AN$6:$AN$505,'سجل الإجازات والحالات'!$B$6:$B$505,$B14))))</f>
        <v>31</v>
      </c>
      <c r="AK14" s="65" t="n">
        <f aca="false">IF($B14="","",MAX(0,IF(OR(الموظفون!$AE14="",الموظفون!$AE14&gt;$F$3),$F$3,الموظفون!$AE14)-MAX($E$3,الموظفون!$H14)+1))</f>
        <v>31</v>
      </c>
      <c r="AL14" s="151" t="n">
        <f aca="false">IF($B14="","",SUMIFS('سجل الإجازات والحالات'!$BA$6:$BA$505,'سجل الإجازات والحالات'!$B$6:$B$505,$B14)+SUMIFS('الحركات الشهرية'!$K$6:$K$1005,'الحركات الشهرية'!$B$6:$B$1005,$B14,'الحركات الشهرية'!$A$6:$A$1005,$C$3))</f>
        <v>0</v>
      </c>
      <c r="AM14" s="111" t="n">
        <f aca="false">IF($B14="","",AL14*الموظفون!$R14/cfg_DAYS_M+S14)</f>
        <v>0</v>
      </c>
      <c r="AN14" s="151" t="n">
        <f aca="false">IF($B14="","",SUMIFS('سجل الإجازات والحالات'!$AC$6:$AC$505,'سجل الإجازات والحالات'!$B$6:$B$505,$B14))</f>
        <v>0</v>
      </c>
    </row>
    <row r="15" customFormat="false" ht="15" hidden="false" customHeight="false" outlineLevel="0" collapsed="false">
      <c r="A15" s="115" t="n">
        <f aca="false">IF($B15="","",الموظفون!$A15)</f>
        <v>10</v>
      </c>
      <c r="B15" s="117" t="str">
        <f aca="false">IF(الموظفون!$B15="","",الموظفون!$B15)</f>
        <v>E010</v>
      </c>
      <c r="C15" s="117" t="str">
        <f aca="false">IF($B15="","",الموظفون!$C15)</f>
        <v>ريم سلطان المطيري</v>
      </c>
      <c r="D15" s="117" t="str">
        <f aca="false">IF($B15="","",الموظفون!$F15)</f>
        <v>المبيعات</v>
      </c>
      <c r="E15" s="117" t="str">
        <f aca="false">IF($B15="","",الموظفون!$E15)</f>
        <v>سعودي</v>
      </c>
      <c r="F15" s="117" t="str">
        <f aca="false">IF($B15="","",IF(AK15=0,IF(AND(الموظفون!$AE15&lt;&gt;"",الموظفون!$AE15&lt;$E$3),"✖ منتهي الخدمة","⏳ لم يباشر"),IF(S15&gt;0,"✈ راتب إجازة مقدم",IF(J15=0,"⛔ بدون راتب هذا الشهر",IF(I15&gt;0,"✈ خصم "&amp;ROUND(I15,2)&amp;" يوم بدون أجر",IF(AL15&gt;0,"🌴 إجازة سنوية "&amp;ROUND(AL15,2)&amp;" يوم",IF(H15&gt;0,"⚠ غياب "&amp;ROUND(H15,2)&amp;" يوم","✔ على رأس العمل")))))))</f>
        <v>✔ على رأس العمل</v>
      </c>
      <c r="G15" s="156" t="n">
        <f aca="false">IF($B15="","",IF(AK15&gt;=DAY($F$3),cfg_DAYS_M,MIN(AK15,cfg_DAYS_M)))</f>
        <v>30</v>
      </c>
      <c r="H15" s="156" t="n">
        <f aca="false">IF($B15="","",SUMIFS('الحركات الشهرية'!$D$6:$D$1005,'الحركات الشهرية'!$B$6:$B$1005,$B15,'الحركات الشهرية'!$A$6:$A$1005,$C$3))</f>
        <v>0</v>
      </c>
      <c r="I15" s="156" t="n">
        <f aca="false">IF($B15="","",MIN(G15,IF(AND(AK15&gt;0,AN15&gt;=AK15),G15,AN15)+SUMIFS('الحركات الشهرية'!$E$6:$E$1005,'الحركات الشهرية'!$B$6:$B$1005,$B15,'الحركات الشهرية'!$A$6:$A$1005,$C$3)))</f>
        <v>0</v>
      </c>
      <c r="J15" s="156" t="n">
        <f aca="false">IF($B15="","",MAX(0,G15-H15-I15))</f>
        <v>30</v>
      </c>
      <c r="K15" s="116" t="n">
        <f aca="false">IF($B15="","",الموظفون!$L15*$J15/cfg_DAYS_M)</f>
        <v>9000</v>
      </c>
      <c r="L15" s="116" t="n">
        <f aca="false">IF($B15="","",الموظفون!$M15*$J15/cfg_DAYS_M)</f>
        <v>2250</v>
      </c>
      <c r="M15" s="116" t="n">
        <f aca="false">IF($B15="","",الموظفون!$N15*$J15/cfg_DAYS_M)</f>
        <v>900</v>
      </c>
      <c r="N15" s="116" t="n">
        <f aca="false">IF($B15="","",الموظفون!$O15*$J15/cfg_DAYS_M)</f>
        <v>0</v>
      </c>
      <c r="O15" s="156" t="n">
        <f aca="false">IF($B15="","",SUMIFS('الحركات الشهرية'!$F$6:$F$1005,'الحركات الشهرية'!$B$6:$B$1005,$B15,'الحركات الشهرية'!$A$6:$A$1005,$C$3))</f>
        <v>0</v>
      </c>
      <c r="P15" s="116" t="n">
        <f aca="false">IF($B15="","",O15*(الموظفون!$P15+الموظفون!$L15*cfg_OT_P)/cfg_DAYS_M/cfg_HRS)</f>
        <v>0</v>
      </c>
      <c r="Q15" s="116" t="n">
        <f aca="false">IF($B15="","",SUMIFS('الحركات الشهرية'!$G$6:$G$1005,'الحركات الشهرية'!$B$6:$B$1005,$B15,'الحركات الشهرية'!$A$6:$A$1005,$C$3))</f>
        <v>0</v>
      </c>
      <c r="R15" s="116" t="n">
        <f aca="false">IF($B15="","",SUMIFS('الحركات الشهرية'!$H$6:$H$1005,'الحركات الشهرية'!$B$6:$B$1005,$B15,'الحركات الشهرية'!$A$6:$A$1005,$C$3))</f>
        <v>0</v>
      </c>
      <c r="S15" s="116" t="n">
        <f aca="false">IF($B15="","",SUMIFS('سجل الإجازات والحالات'!$N$6:$N$505,'سجل الإجازات والحالات'!$B$6:$B$505,$B15,'سجل الإجازات والحالات'!$O$6:$O$505,$C$3))</f>
        <v>0</v>
      </c>
      <c r="T15" s="157" t="n">
        <f aca="false">IF($B15="","",SUM(K15:N15)+SUM(P15:S15))</f>
        <v>12150</v>
      </c>
      <c r="U15" s="116" t="n">
        <f aca="false">IF($B15="","",الموظفون!$S15*IF(E15="سعودي",cfg_G_SE,cfg_G_NE)*G15/cfg_DAYS_M)</f>
        <v>1096.875</v>
      </c>
      <c r="V15" s="116" t="n">
        <f aca="false">IF($B15="","",SUMIFS('الحركات الشهرية'!$I$6:$I$1005,'الحركات الشهرية'!$B$6:$B$1005,$B15,'الحركات الشهرية'!$A$6:$A$1005,$C$3))</f>
        <v>0</v>
      </c>
      <c r="W15" s="116" t="n">
        <f aca="false">IF($B15="","",SUMIFS('الحركات الشهرية'!$J$6:$J$1005,'الحركات الشهرية'!$B$6:$B$1005,$B15,'الحركات الشهرية'!$A$6:$A$1005,$C$3))</f>
        <v>0</v>
      </c>
      <c r="X15" s="116" t="n">
        <f aca="false">IF($B15="","",SUM(U15:W15))</f>
        <v>1096.875</v>
      </c>
      <c r="Y15" s="158" t="n">
        <f aca="false">IF($B15="","",T15-X15)</f>
        <v>11053.125</v>
      </c>
      <c r="Z15" s="116" t="n">
        <f aca="false">IF($B15="","",الموظفون!$S15*IF(E15="سعودي",cfg_G_SR,cfg_G_NR)*G15/cfg_DAYS_M)</f>
        <v>1321.875</v>
      </c>
      <c r="AA15" s="116" t="n">
        <f aca="false">IF($B15="","",الموظفون!$Q15*(cfg_EOS_R1*(MIN(AH15,cfg_EOS_TH)-MIN(AI15,cfg_EOS_TH))+cfg_EOS_R2*(MAX(AH15-cfg_EOS_TH,0)-MAX(AI15-cfg_EOS_TH,0))))</f>
        <v>515.958904109589</v>
      </c>
      <c r="AB15" s="116" t="n">
        <f aca="false">IF($B15="","",IF(الموظفون!$T15&lt;&gt;"",الموظفون!$T15,IF(AH15&gt;=cfg_LV_TH,cfg_LV_D2,cfg_LV_D1))/cfg_DAYS_Y*AJ15*الموظفون!$R15/cfg_DAYS_M)</f>
        <v>722.342465753425</v>
      </c>
      <c r="AC15" s="116" t="n">
        <f aca="false">IF($B15="","",IF(AND(الموظفون!$U15="نعم",N(الموظفون!$W15)&gt;0),الموظفون!$V15/الموظفون!$W15*12/cfg_DAYS_Y*AJ15,0))</f>
        <v>0</v>
      </c>
      <c r="AD15" s="116" t="n">
        <f aca="false">IF($B15="","",(IF(الموظفون!$X15&lt;&gt;"",الموظفون!$X15,IF(الموظفون!$E15="غير سعودي",cfg_IQ,0))+IF(الموظفون!$Y15&lt;&gt;"",الموظفون!$Y15,IF(الموظفون!$E15="غير سعودي",cfg_WP,0)))/12*G15/cfg_DAYS_M)</f>
        <v>0</v>
      </c>
      <c r="AE15" s="116" t="n">
        <f aca="false">IF($B15="","",IF(الموظفون!$Z15&lt;&gt;"",الموظفون!$Z15,cfg_MED)/12*G15/cfg_DAYS_M)</f>
        <v>200</v>
      </c>
      <c r="AF15" s="116" t="n">
        <f aca="false">IF($B15="","",N(الموظفون!$AA15)/12*G15/cfg_DAYS_M)</f>
        <v>0</v>
      </c>
      <c r="AG15" s="159" t="n">
        <f aca="false">IF($B15="","",T15+SUM(Z15:AF15))</f>
        <v>14910.176369863</v>
      </c>
      <c r="AH15" s="160" t="n">
        <f aca="false">IF($B15="","",MAX(0,IF(OR(الموظفون!$AE15="",الموظفون!$AE15&gt;$F$3),$F$3,الموظفون!$AE15)-الموظفون!$H15+1-SUMIFS('سجل الإجازات والحالات'!$AO$6:$AO$505,'سجل الإجازات والحالات'!$B$6:$B$505,$B15))/cfg_DAYS_Y)</f>
        <v>0.380821917808219</v>
      </c>
      <c r="AI15" s="160" t="n">
        <f aca="false">IF($B15="","",MAX(0,IF(OR(الموظفون!$AE15="",الموظفون!$AE15&gt;($E$3-1)),($E$3-1),الموظفون!$AE15)-الموظفون!$H15+1-SUMIFS('سجل الإجازات والحالات'!$AN$6:$AN$505,'سجل الإجازات والحالات'!$B$6:$B$505,$B15))/cfg_DAYS_Y)</f>
        <v>0.295890410958904</v>
      </c>
      <c r="AJ15" s="133" t="n">
        <f aca="false">IF($B15="","",MAX(0,AK15-(SUMIFS('سجل الإجازات والحالات'!$AO$6:$AO$505,'سجل الإجازات والحالات'!$B$6:$B$505,$B15)-SUMIFS('سجل الإجازات والحالات'!$AN$6:$AN$505,'سجل الإجازات والحالات'!$B$6:$B$505,$B15))))</f>
        <v>31</v>
      </c>
      <c r="AK15" s="133" t="n">
        <f aca="false">IF($B15="","",MAX(0,IF(OR(الموظفون!$AE15="",الموظفون!$AE15&gt;$F$3),$F$3,الموظفون!$AE15)-MAX($E$3,الموظفون!$H15)+1))</f>
        <v>31</v>
      </c>
      <c r="AL15" s="156" t="n">
        <f aca="false">IF($B15="","",SUMIFS('سجل الإجازات والحالات'!$BA$6:$BA$505,'سجل الإجازات والحالات'!$B$6:$B$505,$B15)+SUMIFS('الحركات الشهرية'!$K$6:$K$1005,'الحركات الشهرية'!$B$6:$B$1005,$B15,'الحركات الشهرية'!$A$6:$A$1005,$C$3))</f>
        <v>0</v>
      </c>
      <c r="AM15" s="116" t="n">
        <f aca="false">IF($B15="","",AL15*الموظفون!$R15/cfg_DAYS_M+S15)</f>
        <v>0</v>
      </c>
      <c r="AN15" s="156" t="n">
        <f aca="false">IF($B15="","",SUMIFS('سجل الإجازات والحالات'!$AC$6:$AC$505,'سجل الإجازات والحالات'!$B$6:$B$505,$B15))</f>
        <v>0</v>
      </c>
    </row>
    <row r="16" customFormat="false" ht="15" hidden="false" customHeight="false" outlineLevel="0" collapsed="false">
      <c r="A16" s="106" t="n">
        <f aca="false">IF($B16="","",الموظفون!$A16)</f>
        <v>11</v>
      </c>
      <c r="B16" s="114" t="str">
        <f aca="false">IF(الموظفون!$B16="","",الموظفون!$B16)</f>
        <v>E011</v>
      </c>
      <c r="C16" s="114" t="str">
        <f aca="false">IF($B16="","",الموظفون!$C16)</f>
        <v>جون ماتيو</v>
      </c>
      <c r="D16" s="114" t="str">
        <f aca="false">IF($B16="","",الموظفون!$F16)</f>
        <v>العمليات</v>
      </c>
      <c r="E16" s="114" t="str">
        <f aca="false">IF($B16="","",الموظفون!$E16)</f>
        <v>غير سعودي</v>
      </c>
      <c r="F16" s="114" t="str">
        <f aca="false">IF($B16="","",IF(AK16=0,IF(AND(الموظفون!$AE16&lt;&gt;"",الموظفون!$AE16&lt;$E$3),"✖ منتهي الخدمة","⏳ لم يباشر"),IF(S16&gt;0,"✈ راتب إجازة مقدم",IF(J16=0,"⛔ بدون راتب هذا الشهر",IF(I16&gt;0,"✈ خصم "&amp;ROUND(I16,2)&amp;" يوم بدون أجر",IF(AL16&gt;0,"🌴 إجازة سنوية "&amp;ROUND(AL16,2)&amp;" يوم",IF(H16&gt;0,"⚠ غياب "&amp;ROUND(H16,2)&amp;" يوم","✔ على رأس العمل")))))))</f>
        <v>✖ منتهي الخدمة</v>
      </c>
      <c r="G16" s="151" t="n">
        <f aca="false">IF($B16="","",IF(AK16&gt;=DAY($F$3),cfg_DAYS_M,MIN(AK16,cfg_DAYS_M)))</f>
        <v>0</v>
      </c>
      <c r="H16" s="151" t="n">
        <f aca="false">IF($B16="","",SUMIFS('الحركات الشهرية'!$D$6:$D$1005,'الحركات الشهرية'!$B$6:$B$1005,$B16,'الحركات الشهرية'!$A$6:$A$1005,$C$3))</f>
        <v>0</v>
      </c>
      <c r="I16" s="151" t="n">
        <f aca="false">IF($B16="","",MIN(G16,IF(AND(AK16&gt;0,AN16&gt;=AK16),G16,AN16)+SUMIFS('الحركات الشهرية'!$E$6:$E$1005,'الحركات الشهرية'!$B$6:$B$1005,$B16,'الحركات الشهرية'!$A$6:$A$1005,$C$3)))</f>
        <v>0</v>
      </c>
      <c r="J16" s="151" t="n">
        <f aca="false">IF($B16="","",MAX(0,G16-H16-I16))</f>
        <v>0</v>
      </c>
      <c r="K16" s="111" t="n">
        <f aca="false">IF($B16="","",الموظفون!$L16*$J16/cfg_DAYS_M)</f>
        <v>0</v>
      </c>
      <c r="L16" s="111" t="n">
        <f aca="false">IF($B16="","",الموظفون!$M16*$J16/cfg_DAYS_M)</f>
        <v>0</v>
      </c>
      <c r="M16" s="111" t="n">
        <f aca="false">IF($B16="","",الموظفون!$N16*$J16/cfg_DAYS_M)</f>
        <v>0</v>
      </c>
      <c r="N16" s="111" t="n">
        <f aca="false">IF($B16="","",الموظفون!$O16*$J16/cfg_DAYS_M)</f>
        <v>0</v>
      </c>
      <c r="O16" s="151" t="n">
        <f aca="false">IF($B16="","",SUMIFS('الحركات الشهرية'!$F$6:$F$1005,'الحركات الشهرية'!$B$6:$B$1005,$B16,'الحركات الشهرية'!$A$6:$A$1005,$C$3))</f>
        <v>0</v>
      </c>
      <c r="P16" s="111" t="n">
        <f aca="false">IF($B16="","",O16*(الموظفون!$P16+الموظفون!$L16*cfg_OT_P)/cfg_DAYS_M/cfg_HRS)</f>
        <v>0</v>
      </c>
      <c r="Q16" s="111" t="n">
        <f aca="false">IF($B16="","",SUMIFS('الحركات الشهرية'!$G$6:$G$1005,'الحركات الشهرية'!$B$6:$B$1005,$B16,'الحركات الشهرية'!$A$6:$A$1005,$C$3))</f>
        <v>0</v>
      </c>
      <c r="R16" s="111" t="n">
        <f aca="false">IF($B16="","",SUMIFS('الحركات الشهرية'!$H$6:$H$1005,'الحركات الشهرية'!$B$6:$B$1005,$B16,'الحركات الشهرية'!$A$6:$A$1005,$C$3))</f>
        <v>0</v>
      </c>
      <c r="S16" s="111" t="n">
        <f aca="false">IF($B16="","",SUMIFS('سجل الإجازات والحالات'!$N$6:$N$505,'سجل الإجازات والحالات'!$B$6:$B$505,$B16,'سجل الإجازات والحالات'!$O$6:$O$505,$C$3))</f>
        <v>0</v>
      </c>
      <c r="T16" s="152" t="n">
        <f aca="false">IF($B16="","",SUM(K16:N16)+SUM(P16:S16))</f>
        <v>0</v>
      </c>
      <c r="U16" s="111" t="n">
        <f aca="false">IF($B16="","",الموظفون!$S16*IF(E16="سعودي",cfg_G_SE,cfg_G_NE)*G16/cfg_DAYS_M)</f>
        <v>0</v>
      </c>
      <c r="V16" s="111" t="n">
        <f aca="false">IF($B16="","",SUMIFS('الحركات الشهرية'!$I$6:$I$1005,'الحركات الشهرية'!$B$6:$B$1005,$B16,'الحركات الشهرية'!$A$6:$A$1005,$C$3))</f>
        <v>0</v>
      </c>
      <c r="W16" s="111" t="n">
        <f aca="false">IF($B16="","",SUMIFS('الحركات الشهرية'!$J$6:$J$1005,'الحركات الشهرية'!$B$6:$B$1005,$B16,'الحركات الشهرية'!$A$6:$A$1005,$C$3))</f>
        <v>0</v>
      </c>
      <c r="X16" s="111" t="n">
        <f aca="false">IF($B16="","",SUM(U16:W16))</f>
        <v>0</v>
      </c>
      <c r="Y16" s="153" t="n">
        <f aca="false">IF($B16="","",T16-X16)</f>
        <v>0</v>
      </c>
      <c r="Z16" s="111" t="n">
        <f aca="false">IF($B16="","",الموظفون!$S16*IF(E16="سعودي",cfg_G_SR,cfg_G_NR)*G16/cfg_DAYS_M)</f>
        <v>0</v>
      </c>
      <c r="AA16" s="111" t="n">
        <f aca="false">IF($B16="","",الموظفون!$Q16*(cfg_EOS_R1*(MIN(AH16,cfg_EOS_TH)-MIN(AI16,cfg_EOS_TH))+cfg_EOS_R2*(MAX(AH16-cfg_EOS_TH,0)-MAX(AI16-cfg_EOS_TH,0))))</f>
        <v>0</v>
      </c>
      <c r="AB16" s="111" t="n">
        <f aca="false">IF($B16="","",IF(الموظفون!$T16&lt;&gt;"",الموظفون!$T16,IF(AH16&gt;=cfg_LV_TH,cfg_LV_D2,cfg_LV_D1))/cfg_DAYS_Y*AJ16*الموظفون!$R16/cfg_DAYS_M)</f>
        <v>0</v>
      </c>
      <c r="AC16" s="111" t="n">
        <f aca="false">IF($B16="","",IF(AND(الموظفون!$U16="نعم",N(الموظفون!$W16)&gt;0),الموظفون!$V16/الموظفون!$W16*12/cfg_DAYS_Y*AJ16,0))</f>
        <v>0</v>
      </c>
      <c r="AD16" s="111" t="n">
        <f aca="false">IF($B16="","",(IF(الموظفون!$X16&lt;&gt;"",الموظفون!$X16,IF(الموظفون!$E16="غير سعودي",cfg_IQ,0))+IF(الموظفون!$Y16&lt;&gt;"",الموظفون!$Y16,IF(الموظفون!$E16="غير سعودي",cfg_WP,0)))/12*G16/cfg_DAYS_M)</f>
        <v>0</v>
      </c>
      <c r="AE16" s="111" t="n">
        <f aca="false">IF($B16="","",IF(الموظفون!$Z16&lt;&gt;"",الموظفون!$Z16,cfg_MED)/12*G16/cfg_DAYS_M)</f>
        <v>0</v>
      </c>
      <c r="AF16" s="111" t="n">
        <f aca="false">IF($B16="","",N(الموظفون!$AA16)/12*G16/cfg_DAYS_M)</f>
        <v>0</v>
      </c>
      <c r="AG16" s="154" t="n">
        <f aca="false">IF($B16="","",T16+SUM(Z16:AF16))</f>
        <v>0</v>
      </c>
      <c r="AH16" s="155" t="n">
        <f aca="false">IF($B16="","",MAX(0,IF(OR(الموظفون!$AE16="",الموظفون!$AE16&gt;$F$3),$F$3,الموظفون!$AE16)-الموظفون!$H16+1-SUMIFS('سجل الإجازات والحالات'!$AO$6:$AO$505,'سجل الإجازات والحالات'!$B$6:$B$505,$B16))/cfg_DAYS_Y)</f>
        <v>7.33972602739726</v>
      </c>
      <c r="AI16" s="155" t="n">
        <f aca="false">IF($B16="","",MAX(0,IF(OR(الموظفون!$AE16="",الموظفون!$AE16&gt;($E$3-1)),($E$3-1),الموظفون!$AE16)-الموظفون!$H16+1-SUMIFS('سجل الإجازات والحالات'!$AN$6:$AN$505,'سجل الإجازات والحالات'!$B$6:$B$505,$B16))/cfg_DAYS_Y)</f>
        <v>7.33972602739726</v>
      </c>
      <c r="AJ16" s="65" t="n">
        <f aca="false">IF($B16="","",MAX(0,AK16-(SUMIFS('سجل الإجازات والحالات'!$AO$6:$AO$505,'سجل الإجازات والحالات'!$B$6:$B$505,$B16)-SUMIFS('سجل الإجازات والحالات'!$AN$6:$AN$505,'سجل الإجازات والحالات'!$B$6:$B$505,$B16))))</f>
        <v>0</v>
      </c>
      <c r="AK16" s="65" t="n">
        <f aca="false">IF($B16="","",MAX(0,IF(OR(الموظفون!$AE16="",الموظفون!$AE16&gt;$F$3),$F$3,الموظفون!$AE16)-MAX($E$3,الموظفون!$H16)+1))</f>
        <v>0</v>
      </c>
      <c r="AL16" s="151" t="n">
        <f aca="false">IF($B16="","",SUMIFS('سجل الإجازات والحالات'!$BA$6:$BA$505,'سجل الإجازات والحالات'!$B$6:$B$505,$B16)+SUMIFS('الحركات الشهرية'!$K$6:$K$1005,'الحركات الشهرية'!$B$6:$B$1005,$B16,'الحركات الشهرية'!$A$6:$A$1005,$C$3))</f>
        <v>0</v>
      </c>
      <c r="AM16" s="111" t="n">
        <f aca="false">IF($B16="","",AL16*الموظفون!$R16/cfg_DAYS_M+S16)</f>
        <v>0</v>
      </c>
      <c r="AN16" s="151" t="n">
        <f aca="false">IF($B16="","",SUMIFS('سجل الإجازات والحالات'!$AC$6:$AC$505,'سجل الإجازات والحالات'!$B$6:$B$505,$B16))</f>
        <v>0</v>
      </c>
    </row>
    <row r="17" customFormat="false" ht="15" hidden="false" customHeight="false" outlineLevel="0" collapsed="false">
      <c r="A17" s="115" t="n">
        <f aca="false">IF($B17="","",الموظفون!$A17)</f>
        <v>12</v>
      </c>
      <c r="B17" s="117" t="str">
        <f aca="false">IF(الموظفون!$B17="","",الموظفون!$B17)</f>
        <v>E012</v>
      </c>
      <c r="C17" s="117" t="str">
        <f aca="false">IF($B17="","",الموظفون!$C17)</f>
        <v>عمر حسين البيشي</v>
      </c>
      <c r="D17" s="117" t="str">
        <f aca="false">IF($B17="","",الموظفون!$F17)</f>
        <v>تقنية المعلومات</v>
      </c>
      <c r="E17" s="117" t="str">
        <f aca="false">IF($B17="","",الموظفون!$E17)</f>
        <v>سعودي</v>
      </c>
      <c r="F17" s="117" t="str">
        <f aca="false">IF($B17="","",IF(AK17=0,IF(AND(الموظفون!$AE17&lt;&gt;"",الموظفون!$AE17&lt;$E$3),"✖ منتهي الخدمة","⏳ لم يباشر"),IF(S17&gt;0,"✈ راتب إجازة مقدم",IF(J17=0,"⛔ بدون راتب هذا الشهر",IF(I17&gt;0,"✈ خصم "&amp;ROUND(I17,2)&amp;" يوم بدون أجر",IF(AL17&gt;0,"🌴 إجازة سنوية "&amp;ROUND(AL17,2)&amp;" يوم",IF(H17&gt;0,"⚠ غياب "&amp;ROUND(H17,2)&amp;" يوم","✔ على رأس العمل")))))))</f>
        <v>✔ على رأس العمل</v>
      </c>
      <c r="G17" s="156" t="n">
        <f aca="false">IF($B17="","",IF(AK17&gt;=DAY($F$3),cfg_DAYS_M,MIN(AK17,cfg_DAYS_M)))</f>
        <v>30</v>
      </c>
      <c r="H17" s="156" t="n">
        <f aca="false">IF($B17="","",SUMIFS('الحركات الشهرية'!$D$6:$D$1005,'الحركات الشهرية'!$B$6:$B$1005,$B17,'الحركات الشهرية'!$A$6:$A$1005,$C$3))</f>
        <v>0</v>
      </c>
      <c r="I17" s="156" t="n">
        <f aca="false">IF($B17="","",MIN(G17,IF(AND(AK17&gt;0,AN17&gt;=AK17),G17,AN17)+SUMIFS('الحركات الشهرية'!$E$6:$E$1005,'الحركات الشهرية'!$B$6:$B$1005,$B17,'الحركات الشهرية'!$A$6:$A$1005,$C$3)))</f>
        <v>0</v>
      </c>
      <c r="J17" s="156" t="n">
        <f aca="false">IF($B17="","",MAX(0,G17-H17-I17))</f>
        <v>30</v>
      </c>
      <c r="K17" s="116" t="n">
        <f aca="false">IF($B17="","",الموظفون!$L17*$J17/cfg_DAYS_M)</f>
        <v>12000</v>
      </c>
      <c r="L17" s="116" t="n">
        <f aca="false">IF($B17="","",الموظفون!$M17*$J17/cfg_DAYS_M)</f>
        <v>3000</v>
      </c>
      <c r="M17" s="116" t="n">
        <f aca="false">IF($B17="","",الموظفون!$N17*$J17/cfg_DAYS_M)</f>
        <v>1200</v>
      </c>
      <c r="N17" s="116" t="n">
        <f aca="false">IF($B17="","",الموظفون!$O17*$J17/cfg_DAYS_M)</f>
        <v>1500</v>
      </c>
      <c r="O17" s="156" t="n">
        <f aca="false">IF($B17="","",SUMIFS('الحركات الشهرية'!$F$6:$F$1005,'الحركات الشهرية'!$B$6:$B$1005,$B17,'الحركات الشهرية'!$A$6:$A$1005,$C$3))</f>
        <v>0</v>
      </c>
      <c r="P17" s="116" t="n">
        <f aca="false">IF($B17="","",O17*(الموظفون!$P17+الموظفون!$L17*cfg_OT_P)/cfg_DAYS_M/cfg_HRS)</f>
        <v>0</v>
      </c>
      <c r="Q17" s="116" t="n">
        <f aca="false">IF($B17="","",SUMIFS('الحركات الشهرية'!$G$6:$G$1005,'الحركات الشهرية'!$B$6:$B$1005,$B17,'الحركات الشهرية'!$A$6:$A$1005,$C$3))</f>
        <v>0</v>
      </c>
      <c r="R17" s="116" t="n">
        <f aca="false">IF($B17="","",SUMIFS('الحركات الشهرية'!$H$6:$H$1005,'الحركات الشهرية'!$B$6:$B$1005,$B17,'الحركات الشهرية'!$A$6:$A$1005,$C$3))</f>
        <v>0</v>
      </c>
      <c r="S17" s="116" t="n">
        <f aca="false">IF($B17="","",SUMIFS('سجل الإجازات والحالات'!$N$6:$N$505,'سجل الإجازات والحالات'!$B$6:$B$505,$B17,'سجل الإجازات والحالات'!$O$6:$O$505,$C$3))</f>
        <v>0</v>
      </c>
      <c r="T17" s="157" t="n">
        <f aca="false">IF($B17="","",SUM(K17:N17)+SUM(P17:S17))</f>
        <v>17700</v>
      </c>
      <c r="U17" s="116" t="n">
        <f aca="false">IF($B17="","",الموظفون!$S17*IF(E17="سعودي",cfg_G_SE,cfg_G_NE)*G17/cfg_DAYS_M)</f>
        <v>1462.5</v>
      </c>
      <c r="V17" s="116" t="n">
        <f aca="false">IF($B17="","",SUMIFS('الحركات الشهرية'!$I$6:$I$1005,'الحركات الشهرية'!$B$6:$B$1005,$B17,'الحركات الشهرية'!$A$6:$A$1005,$C$3))</f>
        <v>0</v>
      </c>
      <c r="W17" s="116" t="n">
        <f aca="false">IF($B17="","",SUMIFS('الحركات الشهرية'!$J$6:$J$1005,'الحركات الشهرية'!$B$6:$B$1005,$B17,'الحركات الشهرية'!$A$6:$A$1005,$C$3))</f>
        <v>0</v>
      </c>
      <c r="X17" s="116" t="n">
        <f aca="false">IF($B17="","",SUM(U17:W17))</f>
        <v>1462.5</v>
      </c>
      <c r="Y17" s="158" t="n">
        <f aca="false">IF($B17="","",T17-X17)</f>
        <v>16237.5</v>
      </c>
      <c r="Z17" s="116" t="n">
        <f aca="false">IF($B17="","",الموظفون!$S17*IF(E17="سعودي",cfg_G_SR,cfg_G_NR)*G17/cfg_DAYS_M)</f>
        <v>1762.5</v>
      </c>
      <c r="AA17" s="116" t="n">
        <f aca="false">IF($B17="","",الموظفون!$Q17*(cfg_EOS_R1*(MIN(AH17,cfg_EOS_TH)-MIN(AI17,cfg_EOS_TH))+cfg_EOS_R2*(MAX(AH17-cfg_EOS_TH,0)-MAX(AI17-cfg_EOS_TH,0))))</f>
        <v>687.945205479456</v>
      </c>
      <c r="AB17" s="116" t="n">
        <f aca="false">IF($B17="","",IF(الموظفون!$T17&lt;&gt;"",الموظفون!$T17,IF(AH17&gt;=cfg_LV_TH,cfg_LV_D2,cfg_LV_D1))/cfg_DAYS_Y*AJ17*الموظفون!$R17/cfg_DAYS_M)</f>
        <v>963.123287671233</v>
      </c>
      <c r="AC17" s="116" t="n">
        <f aca="false">IF($B17="","",IF(AND(الموظفون!$U17="نعم",N(الموظفون!$W17)&gt;0),الموظفون!$V17/الموظفون!$W17*12/cfg_DAYS_Y*AJ17,0))</f>
        <v>0</v>
      </c>
      <c r="AD17" s="116" t="n">
        <f aca="false">IF($B17="","",(IF(الموظفون!$X17&lt;&gt;"",الموظفون!$X17,IF(الموظفون!$E17="غير سعودي",cfg_IQ,0))+IF(الموظفون!$Y17&lt;&gt;"",الموظفون!$Y17,IF(الموظفون!$E17="غير سعودي",cfg_WP,0)))/12*G17/cfg_DAYS_M)</f>
        <v>0</v>
      </c>
      <c r="AE17" s="116" t="n">
        <f aca="false">IF($B17="","",IF(الموظفون!$Z17&lt;&gt;"",الموظفون!$Z17,cfg_MED)/12*G17/cfg_DAYS_M)</f>
        <v>200</v>
      </c>
      <c r="AF17" s="116" t="n">
        <f aca="false">IF($B17="","",N(الموظفون!$AA17)/12*G17/cfg_DAYS_M)</f>
        <v>0</v>
      </c>
      <c r="AG17" s="159" t="n">
        <f aca="false">IF($B17="","",T17+SUM(Z17:AF17))</f>
        <v>21313.5684931507</v>
      </c>
      <c r="AH17" s="160" t="n">
        <f aca="false">IF($B17="","",MAX(0,IF(OR(الموظفون!$AE17="",الموظفون!$AE17&gt;$F$3),$F$3,الموظفون!$AE17)-الموظفون!$H17+1-SUMIFS('سجل الإجازات والحالات'!$AO$6:$AO$505,'سجل الإجازات والحالات'!$B$6:$B$505,$B17))/cfg_DAYS_Y)</f>
        <v>4.14794520547945</v>
      </c>
      <c r="AI17" s="160" t="n">
        <f aca="false">IF($B17="","",MAX(0,IF(OR(الموظفون!$AE17="",الموظفون!$AE17&gt;($E$3-1)),($E$3-1),الموظفون!$AE17)-الموظفون!$H17+1-SUMIFS('سجل الإجازات والحالات'!$AN$6:$AN$505,'سجل الإجازات والحالات'!$B$6:$B$505,$B17))/cfg_DAYS_Y)</f>
        <v>4.06301369863014</v>
      </c>
      <c r="AJ17" s="133" t="n">
        <f aca="false">IF($B17="","",MAX(0,AK17-(SUMIFS('سجل الإجازات والحالات'!$AO$6:$AO$505,'سجل الإجازات والحالات'!$B$6:$B$505,$B17)-SUMIFS('سجل الإجازات والحالات'!$AN$6:$AN$505,'سجل الإجازات والحالات'!$B$6:$B$505,$B17))))</f>
        <v>31</v>
      </c>
      <c r="AK17" s="133" t="n">
        <f aca="false">IF($B17="","",MAX(0,IF(OR(الموظفون!$AE17="",الموظفون!$AE17&gt;$F$3),$F$3,الموظفون!$AE17)-MAX($E$3,الموظفون!$H17)+1))</f>
        <v>31</v>
      </c>
      <c r="AL17" s="156" t="n">
        <f aca="false">IF($B17="","",SUMIFS('سجل الإجازات والحالات'!$BA$6:$BA$505,'سجل الإجازات والحالات'!$B$6:$B$505,$B17)+SUMIFS('الحركات الشهرية'!$K$6:$K$1005,'الحركات الشهرية'!$B$6:$B$1005,$B17,'الحركات الشهرية'!$A$6:$A$1005,$C$3))</f>
        <v>0</v>
      </c>
      <c r="AM17" s="116" t="n">
        <f aca="false">IF($B17="","",AL17*الموظفون!$R17/cfg_DAYS_M+S17)</f>
        <v>0</v>
      </c>
      <c r="AN17" s="156" t="n">
        <f aca="false">IF($B17="","",SUMIFS('سجل الإجازات والحالات'!$AC$6:$AC$505,'سجل الإجازات والحالات'!$B$6:$B$505,$B17))</f>
        <v>0</v>
      </c>
    </row>
    <row r="18" customFormat="false" ht="15" hidden="false" customHeight="false" outlineLevel="0" collapsed="false">
      <c r="A18" s="106" t="str">
        <f aca="false">IF($B18="","",الموظفون!$A18)</f>
        <v/>
      </c>
      <c r="B18" s="114" t="str">
        <f aca="false">IF(الموظفون!$B18="","",الموظفون!$B18)</f>
        <v/>
      </c>
      <c r="C18" s="114" t="str">
        <f aca="false">IF($B18="","",الموظفون!$C18)</f>
        <v/>
      </c>
      <c r="D18" s="114" t="str">
        <f aca="false">IF($B18="","",الموظفون!$F18)</f>
        <v/>
      </c>
      <c r="E18" s="114" t="str">
        <f aca="false">IF($B18="","",الموظفون!$E18)</f>
        <v/>
      </c>
      <c r="F18" s="114" t="str">
        <f aca="false">IF($B18="","",IF(AK18=0,IF(AND(الموظفون!$AE18&lt;&gt;"",الموظفون!$AE18&lt;$E$3),"✖ منتهي الخدمة","⏳ لم يباشر"),IF(S18&gt;0,"✈ راتب إجازة مقدم",IF(J18=0,"⛔ بدون راتب هذا الشهر",IF(I18&gt;0,"✈ خصم "&amp;ROUND(I18,2)&amp;" يوم بدون أجر",IF(AL18&gt;0,"🌴 إجازة سنوية "&amp;ROUND(AL18,2)&amp;" يوم",IF(H18&gt;0,"⚠ غياب "&amp;ROUND(H18,2)&amp;" يوم","✔ على رأس العمل")))))))</f>
        <v/>
      </c>
      <c r="G18" s="151" t="str">
        <f aca="false">IF($B18="","",IF(AK18&gt;=DAY($F$3),cfg_DAYS_M,MIN(AK18,cfg_DAYS_M)))</f>
        <v/>
      </c>
      <c r="H18" s="151" t="str">
        <f aca="false">IF($B18="","",SUMIFS('الحركات الشهرية'!$D$6:$D$1005,'الحركات الشهرية'!$B$6:$B$1005,$B18,'الحركات الشهرية'!$A$6:$A$1005,$C$3))</f>
        <v/>
      </c>
      <c r="I18" s="151" t="str">
        <f aca="false">IF($B18="","",MIN(G18,IF(AND(AK18&gt;0,AN18&gt;=AK18),G18,AN18)+SUMIFS('الحركات الشهرية'!$E$6:$E$1005,'الحركات الشهرية'!$B$6:$B$1005,$B18,'الحركات الشهرية'!$A$6:$A$1005,$C$3)))</f>
        <v/>
      </c>
      <c r="J18" s="151" t="str">
        <f aca="false">IF($B18="","",MAX(0,G18-H18-I18))</f>
        <v/>
      </c>
      <c r="K18" s="111" t="str">
        <f aca="false">IF($B18="","",الموظفون!$L18*$J18/cfg_DAYS_M)</f>
        <v/>
      </c>
      <c r="L18" s="111" t="str">
        <f aca="false">IF($B18="","",الموظفون!$M18*$J18/cfg_DAYS_M)</f>
        <v/>
      </c>
      <c r="M18" s="111" t="str">
        <f aca="false">IF($B18="","",الموظفون!$N18*$J18/cfg_DAYS_M)</f>
        <v/>
      </c>
      <c r="N18" s="111" t="str">
        <f aca="false">IF($B18="","",الموظفون!$O18*$J18/cfg_DAYS_M)</f>
        <v/>
      </c>
      <c r="O18" s="151" t="str">
        <f aca="false">IF($B18="","",SUMIFS('الحركات الشهرية'!$F$6:$F$1005,'الحركات الشهرية'!$B$6:$B$1005,$B18,'الحركات الشهرية'!$A$6:$A$1005,$C$3))</f>
        <v/>
      </c>
      <c r="P18" s="111" t="str">
        <f aca="false">IF($B18="","",O18*(الموظفون!$P18+الموظفون!$L18*cfg_OT_P)/cfg_DAYS_M/cfg_HRS)</f>
        <v/>
      </c>
      <c r="Q18" s="111" t="str">
        <f aca="false">IF($B18="","",SUMIFS('الحركات الشهرية'!$G$6:$G$1005,'الحركات الشهرية'!$B$6:$B$1005,$B18,'الحركات الشهرية'!$A$6:$A$1005,$C$3))</f>
        <v/>
      </c>
      <c r="R18" s="111" t="str">
        <f aca="false">IF($B18="","",SUMIFS('الحركات الشهرية'!$H$6:$H$1005,'الحركات الشهرية'!$B$6:$B$1005,$B18,'الحركات الشهرية'!$A$6:$A$1005,$C$3))</f>
        <v/>
      </c>
      <c r="S18" s="111" t="str">
        <f aca="false">IF($B18="","",SUMIFS('سجل الإجازات والحالات'!$N$6:$N$505,'سجل الإجازات والحالات'!$B$6:$B$505,$B18,'سجل الإجازات والحالات'!$O$6:$O$505,$C$3))</f>
        <v/>
      </c>
      <c r="T18" s="152" t="str">
        <f aca="false">IF($B18="","",SUM(K18:N18)+SUM(P18:S18))</f>
        <v/>
      </c>
      <c r="U18" s="111" t="str">
        <f aca="false">IF($B18="","",الموظفون!$S18*IF(E18="سعودي",cfg_G_SE,cfg_G_NE)*G18/cfg_DAYS_M)</f>
        <v/>
      </c>
      <c r="V18" s="111" t="str">
        <f aca="false">IF($B18="","",SUMIFS('الحركات الشهرية'!$I$6:$I$1005,'الحركات الشهرية'!$B$6:$B$1005,$B18,'الحركات الشهرية'!$A$6:$A$1005,$C$3))</f>
        <v/>
      </c>
      <c r="W18" s="111" t="str">
        <f aca="false">IF($B18="","",SUMIFS('الحركات الشهرية'!$J$6:$J$1005,'الحركات الشهرية'!$B$6:$B$1005,$B18,'الحركات الشهرية'!$A$6:$A$1005,$C$3))</f>
        <v/>
      </c>
      <c r="X18" s="111" t="str">
        <f aca="false">IF($B18="","",SUM(U18:W18))</f>
        <v/>
      </c>
      <c r="Y18" s="153" t="str">
        <f aca="false">IF($B18="","",T18-X18)</f>
        <v/>
      </c>
      <c r="Z18" s="111" t="str">
        <f aca="false">IF($B18="","",الموظفون!$S18*IF(E18="سعودي",cfg_G_SR,cfg_G_NR)*G18/cfg_DAYS_M)</f>
        <v/>
      </c>
      <c r="AA18" s="111" t="str">
        <f aca="false">IF($B18="","",الموظفون!$Q18*(cfg_EOS_R1*(MIN(AH18,cfg_EOS_TH)-MIN(AI18,cfg_EOS_TH))+cfg_EOS_R2*(MAX(AH18-cfg_EOS_TH,0)-MAX(AI18-cfg_EOS_TH,0))))</f>
        <v/>
      </c>
      <c r="AB18" s="111" t="str">
        <f aca="false">IF($B18="","",IF(الموظفون!$T18&lt;&gt;"",الموظفون!$T18,IF(AH18&gt;=cfg_LV_TH,cfg_LV_D2,cfg_LV_D1))/cfg_DAYS_Y*AJ18*الموظفون!$R18/cfg_DAYS_M)</f>
        <v/>
      </c>
      <c r="AC18" s="111" t="str">
        <f aca="false">IF($B18="","",IF(AND(الموظفون!$U18="نعم",N(الموظفون!$W18)&gt;0),الموظفون!$V18/الموظفون!$W18*12/cfg_DAYS_Y*AJ18,0))</f>
        <v/>
      </c>
      <c r="AD18" s="111" t="str">
        <f aca="false">IF($B18="","",(IF(الموظفون!$X18&lt;&gt;"",الموظفون!$X18,IF(الموظفون!$E18="غير سعودي",cfg_IQ,0))+IF(الموظفون!$Y18&lt;&gt;"",الموظفون!$Y18,IF(الموظفون!$E18="غير سعودي",cfg_WP,0)))/12*G18/cfg_DAYS_M)</f>
        <v/>
      </c>
      <c r="AE18" s="111" t="str">
        <f aca="false">IF($B18="","",IF(الموظفون!$Z18&lt;&gt;"",الموظفون!$Z18,cfg_MED)/12*G18/cfg_DAYS_M)</f>
        <v/>
      </c>
      <c r="AF18" s="111" t="str">
        <f aca="false">IF($B18="","",N(الموظفون!$AA18)/12*G18/cfg_DAYS_M)</f>
        <v/>
      </c>
      <c r="AG18" s="154" t="str">
        <f aca="false">IF($B18="","",T18+SUM(Z18:AF18))</f>
        <v/>
      </c>
      <c r="AH18" s="155" t="str">
        <f aca="false">IF($B18="","",MAX(0,IF(OR(الموظفون!$AE18="",الموظفون!$AE18&gt;$F$3),$F$3,الموظفون!$AE18)-الموظفون!$H18+1-SUMIFS('سجل الإجازات والحالات'!$AO$6:$AO$505,'سجل الإجازات والحالات'!$B$6:$B$505,$B18))/cfg_DAYS_Y)</f>
        <v/>
      </c>
      <c r="AI18" s="155" t="str">
        <f aca="false">IF($B18="","",MAX(0,IF(OR(الموظفون!$AE18="",الموظفون!$AE18&gt;($E$3-1)),($E$3-1),الموظفون!$AE18)-الموظفون!$H18+1-SUMIFS('سجل الإجازات والحالات'!$AN$6:$AN$505,'سجل الإجازات والحالات'!$B$6:$B$505,$B18))/cfg_DAYS_Y)</f>
        <v/>
      </c>
      <c r="AJ18" s="65" t="str">
        <f aca="false">IF($B18="","",MAX(0,AK18-(SUMIFS('سجل الإجازات والحالات'!$AO$6:$AO$505,'سجل الإجازات والحالات'!$B$6:$B$505,$B18)-SUMIFS('سجل الإجازات والحالات'!$AN$6:$AN$505,'سجل الإجازات والحالات'!$B$6:$B$505,$B18))))</f>
        <v/>
      </c>
      <c r="AK18" s="65" t="str">
        <f aca="false">IF($B18="","",MAX(0,IF(OR(الموظفون!$AE18="",الموظفون!$AE18&gt;$F$3),$F$3,الموظفون!$AE18)-MAX($E$3,الموظفون!$H18)+1))</f>
        <v/>
      </c>
      <c r="AL18" s="151" t="str">
        <f aca="false">IF($B18="","",SUMIFS('سجل الإجازات والحالات'!$BA$6:$BA$505,'سجل الإجازات والحالات'!$B$6:$B$505,$B18)+SUMIFS('الحركات الشهرية'!$K$6:$K$1005,'الحركات الشهرية'!$B$6:$B$1005,$B18,'الحركات الشهرية'!$A$6:$A$1005,$C$3))</f>
        <v/>
      </c>
      <c r="AM18" s="111" t="str">
        <f aca="false">IF($B18="","",AL18*الموظفون!$R18/cfg_DAYS_M+S18)</f>
        <v/>
      </c>
      <c r="AN18" s="151" t="str">
        <f aca="false">IF($B18="","",SUMIFS('سجل الإجازات والحالات'!$AC$6:$AC$505,'سجل الإجازات والحالات'!$B$6:$B$505,$B18))</f>
        <v/>
      </c>
    </row>
    <row r="19" customFormat="false" ht="15" hidden="false" customHeight="false" outlineLevel="0" collapsed="false">
      <c r="A19" s="115" t="str">
        <f aca="false">IF($B19="","",الموظفون!$A19)</f>
        <v/>
      </c>
      <c r="B19" s="117" t="str">
        <f aca="false">IF(الموظفون!$B19="","",الموظفون!$B19)</f>
        <v/>
      </c>
      <c r="C19" s="117" t="str">
        <f aca="false">IF($B19="","",الموظفون!$C19)</f>
        <v/>
      </c>
      <c r="D19" s="117" t="str">
        <f aca="false">IF($B19="","",الموظفون!$F19)</f>
        <v/>
      </c>
      <c r="E19" s="117" t="str">
        <f aca="false">IF($B19="","",الموظفون!$E19)</f>
        <v/>
      </c>
      <c r="F19" s="117" t="str">
        <f aca="false">IF($B19="","",IF(AK19=0,IF(AND(الموظفون!$AE19&lt;&gt;"",الموظفون!$AE19&lt;$E$3),"✖ منتهي الخدمة","⏳ لم يباشر"),IF(S19&gt;0,"✈ راتب إجازة مقدم",IF(J19=0,"⛔ بدون راتب هذا الشهر",IF(I19&gt;0,"✈ خصم "&amp;ROUND(I19,2)&amp;" يوم بدون أجر",IF(AL19&gt;0,"🌴 إجازة سنوية "&amp;ROUND(AL19,2)&amp;" يوم",IF(H19&gt;0,"⚠ غياب "&amp;ROUND(H19,2)&amp;" يوم","✔ على رأس العمل")))))))</f>
        <v/>
      </c>
      <c r="G19" s="156" t="str">
        <f aca="false">IF($B19="","",IF(AK19&gt;=DAY($F$3),cfg_DAYS_M,MIN(AK19,cfg_DAYS_M)))</f>
        <v/>
      </c>
      <c r="H19" s="156" t="str">
        <f aca="false">IF($B19="","",SUMIFS('الحركات الشهرية'!$D$6:$D$1005,'الحركات الشهرية'!$B$6:$B$1005,$B19,'الحركات الشهرية'!$A$6:$A$1005,$C$3))</f>
        <v/>
      </c>
      <c r="I19" s="156" t="str">
        <f aca="false">IF($B19="","",MIN(G19,IF(AND(AK19&gt;0,AN19&gt;=AK19),G19,AN19)+SUMIFS('الحركات الشهرية'!$E$6:$E$1005,'الحركات الشهرية'!$B$6:$B$1005,$B19,'الحركات الشهرية'!$A$6:$A$1005,$C$3)))</f>
        <v/>
      </c>
      <c r="J19" s="156" t="str">
        <f aca="false">IF($B19="","",MAX(0,G19-H19-I19))</f>
        <v/>
      </c>
      <c r="K19" s="116" t="str">
        <f aca="false">IF($B19="","",الموظفون!$L19*$J19/cfg_DAYS_M)</f>
        <v/>
      </c>
      <c r="L19" s="116" t="str">
        <f aca="false">IF($B19="","",الموظفون!$M19*$J19/cfg_DAYS_M)</f>
        <v/>
      </c>
      <c r="M19" s="116" t="str">
        <f aca="false">IF($B19="","",الموظفون!$N19*$J19/cfg_DAYS_M)</f>
        <v/>
      </c>
      <c r="N19" s="116" t="str">
        <f aca="false">IF($B19="","",الموظفون!$O19*$J19/cfg_DAYS_M)</f>
        <v/>
      </c>
      <c r="O19" s="156" t="str">
        <f aca="false">IF($B19="","",SUMIFS('الحركات الشهرية'!$F$6:$F$1005,'الحركات الشهرية'!$B$6:$B$1005,$B19,'الحركات الشهرية'!$A$6:$A$1005,$C$3))</f>
        <v/>
      </c>
      <c r="P19" s="116" t="str">
        <f aca="false">IF($B19="","",O19*(الموظفون!$P19+الموظفون!$L19*cfg_OT_P)/cfg_DAYS_M/cfg_HRS)</f>
        <v/>
      </c>
      <c r="Q19" s="116" t="str">
        <f aca="false">IF($B19="","",SUMIFS('الحركات الشهرية'!$G$6:$G$1005,'الحركات الشهرية'!$B$6:$B$1005,$B19,'الحركات الشهرية'!$A$6:$A$1005,$C$3))</f>
        <v/>
      </c>
      <c r="R19" s="116" t="str">
        <f aca="false">IF($B19="","",SUMIFS('الحركات الشهرية'!$H$6:$H$1005,'الحركات الشهرية'!$B$6:$B$1005,$B19,'الحركات الشهرية'!$A$6:$A$1005,$C$3))</f>
        <v/>
      </c>
      <c r="S19" s="116" t="str">
        <f aca="false">IF($B19="","",SUMIFS('سجل الإجازات والحالات'!$N$6:$N$505,'سجل الإجازات والحالات'!$B$6:$B$505,$B19,'سجل الإجازات والحالات'!$O$6:$O$505,$C$3))</f>
        <v/>
      </c>
      <c r="T19" s="157" t="str">
        <f aca="false">IF($B19="","",SUM(K19:N19)+SUM(P19:S19))</f>
        <v/>
      </c>
      <c r="U19" s="116" t="str">
        <f aca="false">IF($B19="","",الموظفون!$S19*IF(E19="سعودي",cfg_G_SE,cfg_G_NE)*G19/cfg_DAYS_M)</f>
        <v/>
      </c>
      <c r="V19" s="116" t="str">
        <f aca="false">IF($B19="","",SUMIFS('الحركات الشهرية'!$I$6:$I$1005,'الحركات الشهرية'!$B$6:$B$1005,$B19,'الحركات الشهرية'!$A$6:$A$1005,$C$3))</f>
        <v/>
      </c>
      <c r="W19" s="116" t="str">
        <f aca="false">IF($B19="","",SUMIFS('الحركات الشهرية'!$J$6:$J$1005,'الحركات الشهرية'!$B$6:$B$1005,$B19,'الحركات الشهرية'!$A$6:$A$1005,$C$3))</f>
        <v/>
      </c>
      <c r="X19" s="116" t="str">
        <f aca="false">IF($B19="","",SUM(U19:W19))</f>
        <v/>
      </c>
      <c r="Y19" s="158" t="str">
        <f aca="false">IF($B19="","",T19-X19)</f>
        <v/>
      </c>
      <c r="Z19" s="116" t="str">
        <f aca="false">IF($B19="","",الموظفون!$S19*IF(E19="سعودي",cfg_G_SR,cfg_G_NR)*G19/cfg_DAYS_M)</f>
        <v/>
      </c>
      <c r="AA19" s="116" t="str">
        <f aca="false">IF($B19="","",الموظفون!$Q19*(cfg_EOS_R1*(MIN(AH19,cfg_EOS_TH)-MIN(AI19,cfg_EOS_TH))+cfg_EOS_R2*(MAX(AH19-cfg_EOS_TH,0)-MAX(AI19-cfg_EOS_TH,0))))</f>
        <v/>
      </c>
      <c r="AB19" s="116" t="str">
        <f aca="false">IF($B19="","",IF(الموظفون!$T19&lt;&gt;"",الموظفون!$T19,IF(AH19&gt;=cfg_LV_TH,cfg_LV_D2,cfg_LV_D1))/cfg_DAYS_Y*AJ19*الموظفون!$R19/cfg_DAYS_M)</f>
        <v/>
      </c>
      <c r="AC19" s="116" t="str">
        <f aca="false">IF($B19="","",IF(AND(الموظفون!$U19="نعم",N(الموظفون!$W19)&gt;0),الموظفون!$V19/الموظفون!$W19*12/cfg_DAYS_Y*AJ19,0))</f>
        <v/>
      </c>
      <c r="AD19" s="116" t="str">
        <f aca="false">IF($B19="","",(IF(الموظفون!$X19&lt;&gt;"",الموظفون!$X19,IF(الموظفون!$E19="غير سعودي",cfg_IQ,0))+IF(الموظفون!$Y19&lt;&gt;"",الموظفون!$Y19,IF(الموظفون!$E19="غير سعودي",cfg_WP,0)))/12*G19/cfg_DAYS_M)</f>
        <v/>
      </c>
      <c r="AE19" s="116" t="str">
        <f aca="false">IF($B19="","",IF(الموظفون!$Z19&lt;&gt;"",الموظفون!$Z19,cfg_MED)/12*G19/cfg_DAYS_M)</f>
        <v/>
      </c>
      <c r="AF19" s="116" t="str">
        <f aca="false">IF($B19="","",N(الموظفون!$AA19)/12*G19/cfg_DAYS_M)</f>
        <v/>
      </c>
      <c r="AG19" s="159" t="str">
        <f aca="false">IF($B19="","",T19+SUM(Z19:AF19))</f>
        <v/>
      </c>
      <c r="AH19" s="160" t="str">
        <f aca="false">IF($B19="","",MAX(0,IF(OR(الموظفون!$AE19="",الموظفون!$AE19&gt;$F$3),$F$3,الموظفون!$AE19)-الموظفون!$H19+1-SUMIFS('سجل الإجازات والحالات'!$AO$6:$AO$505,'سجل الإجازات والحالات'!$B$6:$B$505,$B19))/cfg_DAYS_Y)</f>
        <v/>
      </c>
      <c r="AI19" s="160" t="str">
        <f aca="false">IF($B19="","",MAX(0,IF(OR(الموظفون!$AE19="",الموظفون!$AE19&gt;($E$3-1)),($E$3-1),الموظفون!$AE19)-الموظفون!$H19+1-SUMIFS('سجل الإجازات والحالات'!$AN$6:$AN$505,'سجل الإجازات والحالات'!$B$6:$B$505,$B19))/cfg_DAYS_Y)</f>
        <v/>
      </c>
      <c r="AJ19" s="133" t="str">
        <f aca="false">IF($B19="","",MAX(0,AK19-(SUMIFS('سجل الإجازات والحالات'!$AO$6:$AO$505,'سجل الإجازات والحالات'!$B$6:$B$505,$B19)-SUMIFS('سجل الإجازات والحالات'!$AN$6:$AN$505,'سجل الإجازات والحالات'!$B$6:$B$505,$B19))))</f>
        <v/>
      </c>
      <c r="AK19" s="133" t="str">
        <f aca="false">IF($B19="","",MAX(0,IF(OR(الموظفون!$AE19="",الموظفون!$AE19&gt;$F$3),$F$3,الموظفون!$AE19)-MAX($E$3,الموظفون!$H19)+1))</f>
        <v/>
      </c>
      <c r="AL19" s="156" t="str">
        <f aca="false">IF($B19="","",SUMIFS('سجل الإجازات والحالات'!$BA$6:$BA$505,'سجل الإجازات والحالات'!$B$6:$B$505,$B19)+SUMIFS('الحركات الشهرية'!$K$6:$K$1005,'الحركات الشهرية'!$B$6:$B$1005,$B19,'الحركات الشهرية'!$A$6:$A$1005,$C$3))</f>
        <v/>
      </c>
      <c r="AM19" s="116" t="str">
        <f aca="false">IF($B19="","",AL19*الموظفون!$R19/cfg_DAYS_M+S19)</f>
        <v/>
      </c>
      <c r="AN19" s="156" t="str">
        <f aca="false">IF($B19="","",SUMIFS('سجل الإجازات والحالات'!$AC$6:$AC$505,'سجل الإجازات والحالات'!$B$6:$B$505,$B19))</f>
        <v/>
      </c>
    </row>
    <row r="20" customFormat="false" ht="15" hidden="false" customHeight="false" outlineLevel="0" collapsed="false">
      <c r="A20" s="106" t="str">
        <f aca="false">IF($B20="","",الموظفون!$A20)</f>
        <v/>
      </c>
      <c r="B20" s="114" t="str">
        <f aca="false">IF(الموظفون!$B20="","",الموظفون!$B20)</f>
        <v/>
      </c>
      <c r="C20" s="114" t="str">
        <f aca="false">IF($B20="","",الموظفون!$C20)</f>
        <v/>
      </c>
      <c r="D20" s="114" t="str">
        <f aca="false">IF($B20="","",الموظفون!$F20)</f>
        <v/>
      </c>
      <c r="E20" s="114" t="str">
        <f aca="false">IF($B20="","",الموظفون!$E20)</f>
        <v/>
      </c>
      <c r="F20" s="114" t="str">
        <f aca="false">IF($B20="","",IF(AK20=0,IF(AND(الموظفون!$AE20&lt;&gt;"",الموظفون!$AE20&lt;$E$3),"✖ منتهي الخدمة","⏳ لم يباشر"),IF(S20&gt;0,"✈ راتب إجازة مقدم",IF(J20=0,"⛔ بدون راتب هذا الشهر",IF(I20&gt;0,"✈ خصم "&amp;ROUND(I20,2)&amp;" يوم بدون أجر",IF(AL20&gt;0,"🌴 إجازة سنوية "&amp;ROUND(AL20,2)&amp;" يوم",IF(H20&gt;0,"⚠ غياب "&amp;ROUND(H20,2)&amp;" يوم","✔ على رأس العمل")))))))</f>
        <v/>
      </c>
      <c r="G20" s="151" t="str">
        <f aca="false">IF($B20="","",IF(AK20&gt;=DAY($F$3),cfg_DAYS_M,MIN(AK20,cfg_DAYS_M)))</f>
        <v/>
      </c>
      <c r="H20" s="151" t="str">
        <f aca="false">IF($B20="","",SUMIFS('الحركات الشهرية'!$D$6:$D$1005,'الحركات الشهرية'!$B$6:$B$1005,$B20,'الحركات الشهرية'!$A$6:$A$1005,$C$3))</f>
        <v/>
      </c>
      <c r="I20" s="151" t="str">
        <f aca="false">IF($B20="","",MIN(G20,IF(AND(AK20&gt;0,AN20&gt;=AK20),G20,AN20)+SUMIFS('الحركات الشهرية'!$E$6:$E$1005,'الحركات الشهرية'!$B$6:$B$1005,$B20,'الحركات الشهرية'!$A$6:$A$1005,$C$3)))</f>
        <v/>
      </c>
      <c r="J20" s="151" t="str">
        <f aca="false">IF($B20="","",MAX(0,G20-H20-I20))</f>
        <v/>
      </c>
      <c r="K20" s="111" t="str">
        <f aca="false">IF($B20="","",الموظفون!$L20*$J20/cfg_DAYS_M)</f>
        <v/>
      </c>
      <c r="L20" s="111" t="str">
        <f aca="false">IF($B20="","",الموظفون!$M20*$J20/cfg_DAYS_M)</f>
        <v/>
      </c>
      <c r="M20" s="111" t="str">
        <f aca="false">IF($B20="","",الموظفون!$N20*$J20/cfg_DAYS_M)</f>
        <v/>
      </c>
      <c r="N20" s="111" t="str">
        <f aca="false">IF($B20="","",الموظفون!$O20*$J20/cfg_DAYS_M)</f>
        <v/>
      </c>
      <c r="O20" s="151" t="str">
        <f aca="false">IF($B20="","",SUMIFS('الحركات الشهرية'!$F$6:$F$1005,'الحركات الشهرية'!$B$6:$B$1005,$B20,'الحركات الشهرية'!$A$6:$A$1005,$C$3))</f>
        <v/>
      </c>
      <c r="P20" s="111" t="str">
        <f aca="false">IF($B20="","",O20*(الموظفون!$P20+الموظفون!$L20*cfg_OT_P)/cfg_DAYS_M/cfg_HRS)</f>
        <v/>
      </c>
      <c r="Q20" s="111" t="str">
        <f aca="false">IF($B20="","",SUMIFS('الحركات الشهرية'!$G$6:$G$1005,'الحركات الشهرية'!$B$6:$B$1005,$B20,'الحركات الشهرية'!$A$6:$A$1005,$C$3))</f>
        <v/>
      </c>
      <c r="R20" s="111" t="str">
        <f aca="false">IF($B20="","",SUMIFS('الحركات الشهرية'!$H$6:$H$1005,'الحركات الشهرية'!$B$6:$B$1005,$B20,'الحركات الشهرية'!$A$6:$A$1005,$C$3))</f>
        <v/>
      </c>
      <c r="S20" s="111" t="str">
        <f aca="false">IF($B20="","",SUMIFS('سجل الإجازات والحالات'!$N$6:$N$505,'سجل الإجازات والحالات'!$B$6:$B$505,$B20,'سجل الإجازات والحالات'!$O$6:$O$505,$C$3))</f>
        <v/>
      </c>
      <c r="T20" s="152" t="str">
        <f aca="false">IF($B20="","",SUM(K20:N20)+SUM(P20:S20))</f>
        <v/>
      </c>
      <c r="U20" s="111" t="str">
        <f aca="false">IF($B20="","",الموظفون!$S20*IF(E20="سعودي",cfg_G_SE,cfg_G_NE)*G20/cfg_DAYS_M)</f>
        <v/>
      </c>
      <c r="V20" s="111" t="str">
        <f aca="false">IF($B20="","",SUMIFS('الحركات الشهرية'!$I$6:$I$1005,'الحركات الشهرية'!$B$6:$B$1005,$B20,'الحركات الشهرية'!$A$6:$A$1005,$C$3))</f>
        <v/>
      </c>
      <c r="W20" s="111" t="str">
        <f aca="false">IF($B20="","",SUMIFS('الحركات الشهرية'!$J$6:$J$1005,'الحركات الشهرية'!$B$6:$B$1005,$B20,'الحركات الشهرية'!$A$6:$A$1005,$C$3))</f>
        <v/>
      </c>
      <c r="X20" s="111" t="str">
        <f aca="false">IF($B20="","",SUM(U20:W20))</f>
        <v/>
      </c>
      <c r="Y20" s="153" t="str">
        <f aca="false">IF($B20="","",T20-X20)</f>
        <v/>
      </c>
      <c r="Z20" s="111" t="str">
        <f aca="false">IF($B20="","",الموظفون!$S20*IF(E20="سعودي",cfg_G_SR,cfg_G_NR)*G20/cfg_DAYS_M)</f>
        <v/>
      </c>
      <c r="AA20" s="111" t="str">
        <f aca="false">IF($B20="","",الموظفون!$Q20*(cfg_EOS_R1*(MIN(AH20,cfg_EOS_TH)-MIN(AI20,cfg_EOS_TH))+cfg_EOS_R2*(MAX(AH20-cfg_EOS_TH,0)-MAX(AI20-cfg_EOS_TH,0))))</f>
        <v/>
      </c>
      <c r="AB20" s="111" t="str">
        <f aca="false">IF($B20="","",IF(الموظفون!$T20&lt;&gt;"",الموظفون!$T20,IF(AH20&gt;=cfg_LV_TH,cfg_LV_D2,cfg_LV_D1))/cfg_DAYS_Y*AJ20*الموظفون!$R20/cfg_DAYS_M)</f>
        <v/>
      </c>
      <c r="AC20" s="111" t="str">
        <f aca="false">IF($B20="","",IF(AND(الموظفون!$U20="نعم",N(الموظفون!$W20)&gt;0),الموظفون!$V20/الموظفون!$W20*12/cfg_DAYS_Y*AJ20,0))</f>
        <v/>
      </c>
      <c r="AD20" s="111" t="str">
        <f aca="false">IF($B20="","",(IF(الموظفون!$X20&lt;&gt;"",الموظفون!$X20,IF(الموظفون!$E20="غير سعودي",cfg_IQ,0))+IF(الموظفون!$Y20&lt;&gt;"",الموظفون!$Y20,IF(الموظفون!$E20="غير سعودي",cfg_WP,0)))/12*G20/cfg_DAYS_M)</f>
        <v/>
      </c>
      <c r="AE20" s="111" t="str">
        <f aca="false">IF($B20="","",IF(الموظفون!$Z20&lt;&gt;"",الموظفون!$Z20,cfg_MED)/12*G20/cfg_DAYS_M)</f>
        <v/>
      </c>
      <c r="AF20" s="111" t="str">
        <f aca="false">IF($B20="","",N(الموظفون!$AA20)/12*G20/cfg_DAYS_M)</f>
        <v/>
      </c>
      <c r="AG20" s="154" t="str">
        <f aca="false">IF($B20="","",T20+SUM(Z20:AF20))</f>
        <v/>
      </c>
      <c r="AH20" s="155" t="str">
        <f aca="false">IF($B20="","",MAX(0,IF(OR(الموظفون!$AE20="",الموظفون!$AE20&gt;$F$3),$F$3,الموظفون!$AE20)-الموظفون!$H20+1-SUMIFS('سجل الإجازات والحالات'!$AO$6:$AO$505,'سجل الإجازات والحالات'!$B$6:$B$505,$B20))/cfg_DAYS_Y)</f>
        <v/>
      </c>
      <c r="AI20" s="155" t="str">
        <f aca="false">IF($B20="","",MAX(0,IF(OR(الموظفون!$AE20="",الموظفون!$AE20&gt;($E$3-1)),($E$3-1),الموظفون!$AE20)-الموظفون!$H20+1-SUMIFS('سجل الإجازات والحالات'!$AN$6:$AN$505,'سجل الإجازات والحالات'!$B$6:$B$505,$B20))/cfg_DAYS_Y)</f>
        <v/>
      </c>
      <c r="AJ20" s="65" t="str">
        <f aca="false">IF($B20="","",MAX(0,AK20-(SUMIFS('سجل الإجازات والحالات'!$AO$6:$AO$505,'سجل الإجازات والحالات'!$B$6:$B$505,$B20)-SUMIFS('سجل الإجازات والحالات'!$AN$6:$AN$505,'سجل الإجازات والحالات'!$B$6:$B$505,$B20))))</f>
        <v/>
      </c>
      <c r="AK20" s="65" t="str">
        <f aca="false">IF($B20="","",MAX(0,IF(OR(الموظفون!$AE20="",الموظفون!$AE20&gt;$F$3),$F$3,الموظفون!$AE20)-MAX($E$3,الموظفون!$H20)+1))</f>
        <v/>
      </c>
      <c r="AL20" s="151" t="str">
        <f aca="false">IF($B20="","",SUMIFS('سجل الإجازات والحالات'!$BA$6:$BA$505,'سجل الإجازات والحالات'!$B$6:$B$505,$B20)+SUMIFS('الحركات الشهرية'!$K$6:$K$1005,'الحركات الشهرية'!$B$6:$B$1005,$B20,'الحركات الشهرية'!$A$6:$A$1005,$C$3))</f>
        <v/>
      </c>
      <c r="AM20" s="111" t="str">
        <f aca="false">IF($B20="","",AL20*الموظفون!$R20/cfg_DAYS_M+S20)</f>
        <v/>
      </c>
      <c r="AN20" s="151" t="str">
        <f aca="false">IF($B20="","",SUMIFS('سجل الإجازات والحالات'!$AC$6:$AC$505,'سجل الإجازات والحالات'!$B$6:$B$505,$B20))</f>
        <v/>
      </c>
    </row>
    <row r="21" customFormat="false" ht="15" hidden="false" customHeight="false" outlineLevel="0" collapsed="false">
      <c r="A21" s="115" t="str">
        <f aca="false">IF($B21="","",الموظفون!$A21)</f>
        <v/>
      </c>
      <c r="B21" s="117" t="str">
        <f aca="false">IF(الموظفون!$B21="","",الموظفون!$B21)</f>
        <v/>
      </c>
      <c r="C21" s="117" t="str">
        <f aca="false">IF($B21="","",الموظفون!$C21)</f>
        <v/>
      </c>
      <c r="D21" s="117" t="str">
        <f aca="false">IF($B21="","",الموظفون!$F21)</f>
        <v/>
      </c>
      <c r="E21" s="117" t="str">
        <f aca="false">IF($B21="","",الموظفون!$E21)</f>
        <v/>
      </c>
      <c r="F21" s="117" t="str">
        <f aca="false">IF($B21="","",IF(AK21=0,IF(AND(الموظفون!$AE21&lt;&gt;"",الموظفون!$AE21&lt;$E$3),"✖ منتهي الخدمة","⏳ لم يباشر"),IF(S21&gt;0,"✈ راتب إجازة مقدم",IF(J21=0,"⛔ بدون راتب هذا الشهر",IF(I21&gt;0,"✈ خصم "&amp;ROUND(I21,2)&amp;" يوم بدون أجر",IF(AL21&gt;0,"🌴 إجازة سنوية "&amp;ROUND(AL21,2)&amp;" يوم",IF(H21&gt;0,"⚠ غياب "&amp;ROUND(H21,2)&amp;" يوم","✔ على رأس العمل")))))))</f>
        <v/>
      </c>
      <c r="G21" s="156" t="str">
        <f aca="false">IF($B21="","",IF(AK21&gt;=DAY($F$3),cfg_DAYS_M,MIN(AK21,cfg_DAYS_M)))</f>
        <v/>
      </c>
      <c r="H21" s="156" t="str">
        <f aca="false">IF($B21="","",SUMIFS('الحركات الشهرية'!$D$6:$D$1005,'الحركات الشهرية'!$B$6:$B$1005,$B21,'الحركات الشهرية'!$A$6:$A$1005,$C$3))</f>
        <v/>
      </c>
      <c r="I21" s="156" t="str">
        <f aca="false">IF($B21="","",MIN(G21,IF(AND(AK21&gt;0,AN21&gt;=AK21),G21,AN21)+SUMIFS('الحركات الشهرية'!$E$6:$E$1005,'الحركات الشهرية'!$B$6:$B$1005,$B21,'الحركات الشهرية'!$A$6:$A$1005,$C$3)))</f>
        <v/>
      </c>
      <c r="J21" s="156" t="str">
        <f aca="false">IF($B21="","",MAX(0,G21-H21-I21))</f>
        <v/>
      </c>
      <c r="K21" s="116" t="str">
        <f aca="false">IF($B21="","",الموظفون!$L21*$J21/cfg_DAYS_M)</f>
        <v/>
      </c>
      <c r="L21" s="116" t="str">
        <f aca="false">IF($B21="","",الموظفون!$M21*$J21/cfg_DAYS_M)</f>
        <v/>
      </c>
      <c r="M21" s="116" t="str">
        <f aca="false">IF($B21="","",الموظفون!$N21*$J21/cfg_DAYS_M)</f>
        <v/>
      </c>
      <c r="N21" s="116" t="str">
        <f aca="false">IF($B21="","",الموظفون!$O21*$J21/cfg_DAYS_M)</f>
        <v/>
      </c>
      <c r="O21" s="156" t="str">
        <f aca="false">IF($B21="","",SUMIFS('الحركات الشهرية'!$F$6:$F$1005,'الحركات الشهرية'!$B$6:$B$1005,$B21,'الحركات الشهرية'!$A$6:$A$1005,$C$3))</f>
        <v/>
      </c>
      <c r="P21" s="116" t="str">
        <f aca="false">IF($B21="","",O21*(الموظفون!$P21+الموظفون!$L21*cfg_OT_P)/cfg_DAYS_M/cfg_HRS)</f>
        <v/>
      </c>
      <c r="Q21" s="116" t="str">
        <f aca="false">IF($B21="","",SUMIFS('الحركات الشهرية'!$G$6:$G$1005,'الحركات الشهرية'!$B$6:$B$1005,$B21,'الحركات الشهرية'!$A$6:$A$1005,$C$3))</f>
        <v/>
      </c>
      <c r="R21" s="116" t="str">
        <f aca="false">IF($B21="","",SUMIFS('الحركات الشهرية'!$H$6:$H$1005,'الحركات الشهرية'!$B$6:$B$1005,$B21,'الحركات الشهرية'!$A$6:$A$1005,$C$3))</f>
        <v/>
      </c>
      <c r="S21" s="116" t="str">
        <f aca="false">IF($B21="","",SUMIFS('سجل الإجازات والحالات'!$N$6:$N$505,'سجل الإجازات والحالات'!$B$6:$B$505,$B21,'سجل الإجازات والحالات'!$O$6:$O$505,$C$3))</f>
        <v/>
      </c>
      <c r="T21" s="157" t="str">
        <f aca="false">IF($B21="","",SUM(K21:N21)+SUM(P21:S21))</f>
        <v/>
      </c>
      <c r="U21" s="116" t="str">
        <f aca="false">IF($B21="","",الموظفون!$S21*IF(E21="سعودي",cfg_G_SE,cfg_G_NE)*G21/cfg_DAYS_M)</f>
        <v/>
      </c>
      <c r="V21" s="116" t="str">
        <f aca="false">IF($B21="","",SUMIFS('الحركات الشهرية'!$I$6:$I$1005,'الحركات الشهرية'!$B$6:$B$1005,$B21,'الحركات الشهرية'!$A$6:$A$1005,$C$3))</f>
        <v/>
      </c>
      <c r="W21" s="116" t="str">
        <f aca="false">IF($B21="","",SUMIFS('الحركات الشهرية'!$J$6:$J$1005,'الحركات الشهرية'!$B$6:$B$1005,$B21,'الحركات الشهرية'!$A$6:$A$1005,$C$3))</f>
        <v/>
      </c>
      <c r="X21" s="116" t="str">
        <f aca="false">IF($B21="","",SUM(U21:W21))</f>
        <v/>
      </c>
      <c r="Y21" s="158" t="str">
        <f aca="false">IF($B21="","",T21-X21)</f>
        <v/>
      </c>
      <c r="Z21" s="116" t="str">
        <f aca="false">IF($B21="","",الموظفون!$S21*IF(E21="سعودي",cfg_G_SR,cfg_G_NR)*G21/cfg_DAYS_M)</f>
        <v/>
      </c>
      <c r="AA21" s="116" t="str">
        <f aca="false">IF($B21="","",الموظفون!$Q21*(cfg_EOS_R1*(MIN(AH21,cfg_EOS_TH)-MIN(AI21,cfg_EOS_TH))+cfg_EOS_R2*(MAX(AH21-cfg_EOS_TH,0)-MAX(AI21-cfg_EOS_TH,0))))</f>
        <v/>
      </c>
      <c r="AB21" s="116" t="str">
        <f aca="false">IF($B21="","",IF(الموظفون!$T21&lt;&gt;"",الموظفون!$T21,IF(AH21&gt;=cfg_LV_TH,cfg_LV_D2,cfg_LV_D1))/cfg_DAYS_Y*AJ21*الموظفون!$R21/cfg_DAYS_M)</f>
        <v/>
      </c>
      <c r="AC21" s="116" t="str">
        <f aca="false">IF($B21="","",IF(AND(الموظفون!$U21="نعم",N(الموظفون!$W21)&gt;0),الموظفون!$V21/الموظفون!$W21*12/cfg_DAYS_Y*AJ21,0))</f>
        <v/>
      </c>
      <c r="AD21" s="116" t="str">
        <f aca="false">IF($B21="","",(IF(الموظفون!$X21&lt;&gt;"",الموظفون!$X21,IF(الموظفون!$E21="غير سعودي",cfg_IQ,0))+IF(الموظفون!$Y21&lt;&gt;"",الموظفون!$Y21,IF(الموظفون!$E21="غير سعودي",cfg_WP,0)))/12*G21/cfg_DAYS_M)</f>
        <v/>
      </c>
      <c r="AE21" s="116" t="str">
        <f aca="false">IF($B21="","",IF(الموظفون!$Z21&lt;&gt;"",الموظفون!$Z21,cfg_MED)/12*G21/cfg_DAYS_M)</f>
        <v/>
      </c>
      <c r="AF21" s="116" t="str">
        <f aca="false">IF($B21="","",N(الموظفون!$AA21)/12*G21/cfg_DAYS_M)</f>
        <v/>
      </c>
      <c r="AG21" s="159" t="str">
        <f aca="false">IF($B21="","",T21+SUM(Z21:AF21))</f>
        <v/>
      </c>
      <c r="AH21" s="160" t="str">
        <f aca="false">IF($B21="","",MAX(0,IF(OR(الموظفون!$AE21="",الموظفون!$AE21&gt;$F$3),$F$3,الموظفون!$AE21)-الموظفون!$H21+1-SUMIFS('سجل الإجازات والحالات'!$AO$6:$AO$505,'سجل الإجازات والحالات'!$B$6:$B$505,$B21))/cfg_DAYS_Y)</f>
        <v/>
      </c>
      <c r="AI21" s="160" t="str">
        <f aca="false">IF($B21="","",MAX(0,IF(OR(الموظفون!$AE21="",الموظفون!$AE21&gt;($E$3-1)),($E$3-1),الموظفون!$AE21)-الموظفون!$H21+1-SUMIFS('سجل الإجازات والحالات'!$AN$6:$AN$505,'سجل الإجازات والحالات'!$B$6:$B$505,$B21))/cfg_DAYS_Y)</f>
        <v/>
      </c>
      <c r="AJ21" s="133" t="str">
        <f aca="false">IF($B21="","",MAX(0,AK21-(SUMIFS('سجل الإجازات والحالات'!$AO$6:$AO$505,'سجل الإجازات والحالات'!$B$6:$B$505,$B21)-SUMIFS('سجل الإجازات والحالات'!$AN$6:$AN$505,'سجل الإجازات والحالات'!$B$6:$B$505,$B21))))</f>
        <v/>
      </c>
      <c r="AK21" s="133" t="str">
        <f aca="false">IF($B21="","",MAX(0,IF(OR(الموظفون!$AE21="",الموظفون!$AE21&gt;$F$3),$F$3,الموظفون!$AE21)-MAX($E$3,الموظفون!$H21)+1))</f>
        <v/>
      </c>
      <c r="AL21" s="156" t="str">
        <f aca="false">IF($B21="","",SUMIFS('سجل الإجازات والحالات'!$BA$6:$BA$505,'سجل الإجازات والحالات'!$B$6:$B$505,$B21)+SUMIFS('الحركات الشهرية'!$K$6:$K$1005,'الحركات الشهرية'!$B$6:$B$1005,$B21,'الحركات الشهرية'!$A$6:$A$1005,$C$3))</f>
        <v/>
      </c>
      <c r="AM21" s="116" t="str">
        <f aca="false">IF($B21="","",AL21*الموظفون!$R21/cfg_DAYS_M+S21)</f>
        <v/>
      </c>
      <c r="AN21" s="156" t="str">
        <f aca="false">IF($B21="","",SUMIFS('سجل الإجازات والحالات'!$AC$6:$AC$505,'سجل الإجازات والحالات'!$B$6:$B$505,$B21))</f>
        <v/>
      </c>
    </row>
    <row r="22" customFormat="false" ht="15" hidden="false" customHeight="false" outlineLevel="0" collapsed="false">
      <c r="A22" s="106" t="str">
        <f aca="false">IF($B22="","",الموظفون!$A22)</f>
        <v/>
      </c>
      <c r="B22" s="114" t="str">
        <f aca="false">IF(الموظفون!$B22="","",الموظفون!$B22)</f>
        <v/>
      </c>
      <c r="C22" s="114" t="str">
        <f aca="false">IF($B22="","",الموظفون!$C22)</f>
        <v/>
      </c>
      <c r="D22" s="114" t="str">
        <f aca="false">IF($B22="","",الموظفون!$F22)</f>
        <v/>
      </c>
      <c r="E22" s="114" t="str">
        <f aca="false">IF($B22="","",الموظفون!$E22)</f>
        <v/>
      </c>
      <c r="F22" s="114" t="str">
        <f aca="false">IF($B22="","",IF(AK22=0,IF(AND(الموظفون!$AE22&lt;&gt;"",الموظفون!$AE22&lt;$E$3),"✖ منتهي الخدمة","⏳ لم يباشر"),IF(S22&gt;0,"✈ راتب إجازة مقدم",IF(J22=0,"⛔ بدون راتب هذا الشهر",IF(I22&gt;0,"✈ خصم "&amp;ROUND(I22,2)&amp;" يوم بدون أجر",IF(AL22&gt;0,"🌴 إجازة سنوية "&amp;ROUND(AL22,2)&amp;" يوم",IF(H22&gt;0,"⚠ غياب "&amp;ROUND(H22,2)&amp;" يوم","✔ على رأس العمل")))))))</f>
        <v/>
      </c>
      <c r="G22" s="151" t="str">
        <f aca="false">IF($B22="","",IF(AK22&gt;=DAY($F$3),cfg_DAYS_M,MIN(AK22,cfg_DAYS_M)))</f>
        <v/>
      </c>
      <c r="H22" s="151" t="str">
        <f aca="false">IF($B22="","",SUMIFS('الحركات الشهرية'!$D$6:$D$1005,'الحركات الشهرية'!$B$6:$B$1005,$B22,'الحركات الشهرية'!$A$6:$A$1005,$C$3))</f>
        <v/>
      </c>
      <c r="I22" s="151" t="str">
        <f aca="false">IF($B22="","",MIN(G22,IF(AND(AK22&gt;0,AN22&gt;=AK22),G22,AN22)+SUMIFS('الحركات الشهرية'!$E$6:$E$1005,'الحركات الشهرية'!$B$6:$B$1005,$B22,'الحركات الشهرية'!$A$6:$A$1005,$C$3)))</f>
        <v/>
      </c>
      <c r="J22" s="151" t="str">
        <f aca="false">IF($B22="","",MAX(0,G22-H22-I22))</f>
        <v/>
      </c>
      <c r="K22" s="111" t="str">
        <f aca="false">IF($B22="","",الموظفون!$L22*$J22/cfg_DAYS_M)</f>
        <v/>
      </c>
      <c r="L22" s="111" t="str">
        <f aca="false">IF($B22="","",الموظفون!$M22*$J22/cfg_DAYS_M)</f>
        <v/>
      </c>
      <c r="M22" s="111" t="str">
        <f aca="false">IF($B22="","",الموظفون!$N22*$J22/cfg_DAYS_M)</f>
        <v/>
      </c>
      <c r="N22" s="111" t="str">
        <f aca="false">IF($B22="","",الموظفون!$O22*$J22/cfg_DAYS_M)</f>
        <v/>
      </c>
      <c r="O22" s="151" t="str">
        <f aca="false">IF($B22="","",SUMIFS('الحركات الشهرية'!$F$6:$F$1005,'الحركات الشهرية'!$B$6:$B$1005,$B22,'الحركات الشهرية'!$A$6:$A$1005,$C$3))</f>
        <v/>
      </c>
      <c r="P22" s="111" t="str">
        <f aca="false">IF($B22="","",O22*(الموظفون!$P22+الموظفون!$L22*cfg_OT_P)/cfg_DAYS_M/cfg_HRS)</f>
        <v/>
      </c>
      <c r="Q22" s="111" t="str">
        <f aca="false">IF($B22="","",SUMIFS('الحركات الشهرية'!$G$6:$G$1005,'الحركات الشهرية'!$B$6:$B$1005,$B22,'الحركات الشهرية'!$A$6:$A$1005,$C$3))</f>
        <v/>
      </c>
      <c r="R22" s="111" t="str">
        <f aca="false">IF($B22="","",SUMIFS('الحركات الشهرية'!$H$6:$H$1005,'الحركات الشهرية'!$B$6:$B$1005,$B22,'الحركات الشهرية'!$A$6:$A$1005,$C$3))</f>
        <v/>
      </c>
      <c r="S22" s="111" t="str">
        <f aca="false">IF($B22="","",SUMIFS('سجل الإجازات والحالات'!$N$6:$N$505,'سجل الإجازات والحالات'!$B$6:$B$505,$B22,'سجل الإجازات والحالات'!$O$6:$O$505,$C$3))</f>
        <v/>
      </c>
      <c r="T22" s="152" t="str">
        <f aca="false">IF($B22="","",SUM(K22:N22)+SUM(P22:S22))</f>
        <v/>
      </c>
      <c r="U22" s="111" t="str">
        <f aca="false">IF($B22="","",الموظفون!$S22*IF(E22="سعودي",cfg_G_SE,cfg_G_NE)*G22/cfg_DAYS_M)</f>
        <v/>
      </c>
      <c r="V22" s="111" t="str">
        <f aca="false">IF($B22="","",SUMIFS('الحركات الشهرية'!$I$6:$I$1005,'الحركات الشهرية'!$B$6:$B$1005,$B22,'الحركات الشهرية'!$A$6:$A$1005,$C$3))</f>
        <v/>
      </c>
      <c r="W22" s="111" t="str">
        <f aca="false">IF($B22="","",SUMIFS('الحركات الشهرية'!$J$6:$J$1005,'الحركات الشهرية'!$B$6:$B$1005,$B22,'الحركات الشهرية'!$A$6:$A$1005,$C$3))</f>
        <v/>
      </c>
      <c r="X22" s="111" t="str">
        <f aca="false">IF($B22="","",SUM(U22:W22))</f>
        <v/>
      </c>
      <c r="Y22" s="153" t="str">
        <f aca="false">IF($B22="","",T22-X22)</f>
        <v/>
      </c>
      <c r="Z22" s="111" t="str">
        <f aca="false">IF($B22="","",الموظفون!$S22*IF(E22="سعودي",cfg_G_SR,cfg_G_NR)*G22/cfg_DAYS_M)</f>
        <v/>
      </c>
      <c r="AA22" s="111" t="str">
        <f aca="false">IF($B22="","",الموظفون!$Q22*(cfg_EOS_R1*(MIN(AH22,cfg_EOS_TH)-MIN(AI22,cfg_EOS_TH))+cfg_EOS_R2*(MAX(AH22-cfg_EOS_TH,0)-MAX(AI22-cfg_EOS_TH,0))))</f>
        <v/>
      </c>
      <c r="AB22" s="111" t="str">
        <f aca="false">IF($B22="","",IF(الموظفون!$T22&lt;&gt;"",الموظفون!$T22,IF(AH22&gt;=cfg_LV_TH,cfg_LV_D2,cfg_LV_D1))/cfg_DAYS_Y*AJ22*الموظفون!$R22/cfg_DAYS_M)</f>
        <v/>
      </c>
      <c r="AC22" s="111" t="str">
        <f aca="false">IF($B22="","",IF(AND(الموظفون!$U22="نعم",N(الموظفون!$W22)&gt;0),الموظفون!$V22/الموظفون!$W22*12/cfg_DAYS_Y*AJ22,0))</f>
        <v/>
      </c>
      <c r="AD22" s="111" t="str">
        <f aca="false">IF($B22="","",(IF(الموظفون!$X22&lt;&gt;"",الموظفون!$X22,IF(الموظفون!$E22="غير سعودي",cfg_IQ,0))+IF(الموظفون!$Y22&lt;&gt;"",الموظفون!$Y22,IF(الموظفون!$E22="غير سعودي",cfg_WP,0)))/12*G22/cfg_DAYS_M)</f>
        <v/>
      </c>
      <c r="AE22" s="111" t="str">
        <f aca="false">IF($B22="","",IF(الموظفون!$Z22&lt;&gt;"",الموظفون!$Z22,cfg_MED)/12*G22/cfg_DAYS_M)</f>
        <v/>
      </c>
      <c r="AF22" s="111" t="str">
        <f aca="false">IF($B22="","",N(الموظفون!$AA22)/12*G22/cfg_DAYS_M)</f>
        <v/>
      </c>
      <c r="AG22" s="154" t="str">
        <f aca="false">IF($B22="","",T22+SUM(Z22:AF22))</f>
        <v/>
      </c>
      <c r="AH22" s="155" t="str">
        <f aca="false">IF($B22="","",MAX(0,IF(OR(الموظفون!$AE22="",الموظفون!$AE22&gt;$F$3),$F$3,الموظفون!$AE22)-الموظفون!$H22+1-SUMIFS('سجل الإجازات والحالات'!$AO$6:$AO$505,'سجل الإجازات والحالات'!$B$6:$B$505,$B22))/cfg_DAYS_Y)</f>
        <v/>
      </c>
      <c r="AI22" s="155" t="str">
        <f aca="false">IF($B22="","",MAX(0,IF(OR(الموظفون!$AE22="",الموظفون!$AE22&gt;($E$3-1)),($E$3-1),الموظفون!$AE22)-الموظفون!$H22+1-SUMIFS('سجل الإجازات والحالات'!$AN$6:$AN$505,'سجل الإجازات والحالات'!$B$6:$B$505,$B22))/cfg_DAYS_Y)</f>
        <v/>
      </c>
      <c r="AJ22" s="65" t="str">
        <f aca="false">IF($B22="","",MAX(0,AK22-(SUMIFS('سجل الإجازات والحالات'!$AO$6:$AO$505,'سجل الإجازات والحالات'!$B$6:$B$505,$B22)-SUMIFS('سجل الإجازات والحالات'!$AN$6:$AN$505,'سجل الإجازات والحالات'!$B$6:$B$505,$B22))))</f>
        <v/>
      </c>
      <c r="AK22" s="65" t="str">
        <f aca="false">IF($B22="","",MAX(0,IF(OR(الموظفون!$AE22="",الموظفون!$AE22&gt;$F$3),$F$3,الموظفون!$AE22)-MAX($E$3,الموظفون!$H22)+1))</f>
        <v/>
      </c>
      <c r="AL22" s="151" t="str">
        <f aca="false">IF($B22="","",SUMIFS('سجل الإجازات والحالات'!$BA$6:$BA$505,'سجل الإجازات والحالات'!$B$6:$B$505,$B22)+SUMIFS('الحركات الشهرية'!$K$6:$K$1005,'الحركات الشهرية'!$B$6:$B$1005,$B22,'الحركات الشهرية'!$A$6:$A$1005,$C$3))</f>
        <v/>
      </c>
      <c r="AM22" s="111" t="str">
        <f aca="false">IF($B22="","",AL22*الموظفون!$R22/cfg_DAYS_M+S22)</f>
        <v/>
      </c>
      <c r="AN22" s="151" t="str">
        <f aca="false">IF($B22="","",SUMIFS('سجل الإجازات والحالات'!$AC$6:$AC$505,'سجل الإجازات والحالات'!$B$6:$B$505,$B22))</f>
        <v/>
      </c>
    </row>
    <row r="23" customFormat="false" ht="15" hidden="false" customHeight="false" outlineLevel="0" collapsed="false">
      <c r="A23" s="115" t="str">
        <f aca="false">IF($B23="","",الموظفون!$A23)</f>
        <v/>
      </c>
      <c r="B23" s="117" t="str">
        <f aca="false">IF(الموظفون!$B23="","",الموظفون!$B23)</f>
        <v/>
      </c>
      <c r="C23" s="117" t="str">
        <f aca="false">IF($B23="","",الموظفون!$C23)</f>
        <v/>
      </c>
      <c r="D23" s="117" t="str">
        <f aca="false">IF($B23="","",الموظفون!$F23)</f>
        <v/>
      </c>
      <c r="E23" s="117" t="str">
        <f aca="false">IF($B23="","",الموظفون!$E23)</f>
        <v/>
      </c>
      <c r="F23" s="117" t="str">
        <f aca="false">IF($B23="","",IF(AK23=0,IF(AND(الموظفون!$AE23&lt;&gt;"",الموظفون!$AE23&lt;$E$3),"✖ منتهي الخدمة","⏳ لم يباشر"),IF(S23&gt;0,"✈ راتب إجازة مقدم",IF(J23=0,"⛔ بدون راتب هذا الشهر",IF(I23&gt;0,"✈ خصم "&amp;ROUND(I23,2)&amp;" يوم بدون أجر",IF(AL23&gt;0,"🌴 إجازة سنوية "&amp;ROUND(AL23,2)&amp;" يوم",IF(H23&gt;0,"⚠ غياب "&amp;ROUND(H23,2)&amp;" يوم","✔ على رأس العمل")))))))</f>
        <v/>
      </c>
      <c r="G23" s="156" t="str">
        <f aca="false">IF($B23="","",IF(AK23&gt;=DAY($F$3),cfg_DAYS_M,MIN(AK23,cfg_DAYS_M)))</f>
        <v/>
      </c>
      <c r="H23" s="156" t="str">
        <f aca="false">IF($B23="","",SUMIFS('الحركات الشهرية'!$D$6:$D$1005,'الحركات الشهرية'!$B$6:$B$1005,$B23,'الحركات الشهرية'!$A$6:$A$1005,$C$3))</f>
        <v/>
      </c>
      <c r="I23" s="156" t="str">
        <f aca="false">IF($B23="","",MIN(G23,IF(AND(AK23&gt;0,AN23&gt;=AK23),G23,AN23)+SUMIFS('الحركات الشهرية'!$E$6:$E$1005,'الحركات الشهرية'!$B$6:$B$1005,$B23,'الحركات الشهرية'!$A$6:$A$1005,$C$3)))</f>
        <v/>
      </c>
      <c r="J23" s="156" t="str">
        <f aca="false">IF($B23="","",MAX(0,G23-H23-I23))</f>
        <v/>
      </c>
      <c r="K23" s="116" t="str">
        <f aca="false">IF($B23="","",الموظفون!$L23*$J23/cfg_DAYS_M)</f>
        <v/>
      </c>
      <c r="L23" s="116" t="str">
        <f aca="false">IF($B23="","",الموظفون!$M23*$J23/cfg_DAYS_M)</f>
        <v/>
      </c>
      <c r="M23" s="116" t="str">
        <f aca="false">IF($B23="","",الموظفون!$N23*$J23/cfg_DAYS_M)</f>
        <v/>
      </c>
      <c r="N23" s="116" t="str">
        <f aca="false">IF($B23="","",الموظفون!$O23*$J23/cfg_DAYS_M)</f>
        <v/>
      </c>
      <c r="O23" s="156" t="str">
        <f aca="false">IF($B23="","",SUMIFS('الحركات الشهرية'!$F$6:$F$1005,'الحركات الشهرية'!$B$6:$B$1005,$B23,'الحركات الشهرية'!$A$6:$A$1005,$C$3))</f>
        <v/>
      </c>
      <c r="P23" s="116" t="str">
        <f aca="false">IF($B23="","",O23*(الموظفون!$P23+الموظفون!$L23*cfg_OT_P)/cfg_DAYS_M/cfg_HRS)</f>
        <v/>
      </c>
      <c r="Q23" s="116" t="str">
        <f aca="false">IF($B23="","",SUMIFS('الحركات الشهرية'!$G$6:$G$1005,'الحركات الشهرية'!$B$6:$B$1005,$B23,'الحركات الشهرية'!$A$6:$A$1005,$C$3))</f>
        <v/>
      </c>
      <c r="R23" s="116" t="str">
        <f aca="false">IF($B23="","",SUMIFS('الحركات الشهرية'!$H$6:$H$1005,'الحركات الشهرية'!$B$6:$B$1005,$B23,'الحركات الشهرية'!$A$6:$A$1005,$C$3))</f>
        <v/>
      </c>
      <c r="S23" s="116" t="str">
        <f aca="false">IF($B23="","",SUMIFS('سجل الإجازات والحالات'!$N$6:$N$505,'سجل الإجازات والحالات'!$B$6:$B$505,$B23,'سجل الإجازات والحالات'!$O$6:$O$505,$C$3))</f>
        <v/>
      </c>
      <c r="T23" s="157" t="str">
        <f aca="false">IF($B23="","",SUM(K23:N23)+SUM(P23:S23))</f>
        <v/>
      </c>
      <c r="U23" s="116" t="str">
        <f aca="false">IF($B23="","",الموظفون!$S23*IF(E23="سعودي",cfg_G_SE,cfg_G_NE)*G23/cfg_DAYS_M)</f>
        <v/>
      </c>
      <c r="V23" s="116" t="str">
        <f aca="false">IF($B23="","",SUMIFS('الحركات الشهرية'!$I$6:$I$1005,'الحركات الشهرية'!$B$6:$B$1005,$B23,'الحركات الشهرية'!$A$6:$A$1005,$C$3))</f>
        <v/>
      </c>
      <c r="W23" s="116" t="str">
        <f aca="false">IF($B23="","",SUMIFS('الحركات الشهرية'!$J$6:$J$1005,'الحركات الشهرية'!$B$6:$B$1005,$B23,'الحركات الشهرية'!$A$6:$A$1005,$C$3))</f>
        <v/>
      </c>
      <c r="X23" s="116" t="str">
        <f aca="false">IF($B23="","",SUM(U23:W23))</f>
        <v/>
      </c>
      <c r="Y23" s="158" t="str">
        <f aca="false">IF($B23="","",T23-X23)</f>
        <v/>
      </c>
      <c r="Z23" s="116" t="str">
        <f aca="false">IF($B23="","",الموظفون!$S23*IF(E23="سعودي",cfg_G_SR,cfg_G_NR)*G23/cfg_DAYS_M)</f>
        <v/>
      </c>
      <c r="AA23" s="116" t="str">
        <f aca="false">IF($B23="","",الموظفون!$Q23*(cfg_EOS_R1*(MIN(AH23,cfg_EOS_TH)-MIN(AI23,cfg_EOS_TH))+cfg_EOS_R2*(MAX(AH23-cfg_EOS_TH,0)-MAX(AI23-cfg_EOS_TH,0))))</f>
        <v/>
      </c>
      <c r="AB23" s="116" t="str">
        <f aca="false">IF($B23="","",IF(الموظفون!$T23&lt;&gt;"",الموظفون!$T23,IF(AH23&gt;=cfg_LV_TH,cfg_LV_D2,cfg_LV_D1))/cfg_DAYS_Y*AJ23*الموظفون!$R23/cfg_DAYS_M)</f>
        <v/>
      </c>
      <c r="AC23" s="116" t="str">
        <f aca="false">IF($B23="","",IF(AND(الموظفون!$U23="نعم",N(الموظفون!$W23)&gt;0),الموظفون!$V23/الموظفون!$W23*12/cfg_DAYS_Y*AJ23,0))</f>
        <v/>
      </c>
      <c r="AD23" s="116" t="str">
        <f aca="false">IF($B23="","",(IF(الموظفون!$X23&lt;&gt;"",الموظفون!$X23,IF(الموظفون!$E23="غير سعودي",cfg_IQ,0))+IF(الموظفون!$Y23&lt;&gt;"",الموظفون!$Y23,IF(الموظفون!$E23="غير سعودي",cfg_WP,0)))/12*G23/cfg_DAYS_M)</f>
        <v/>
      </c>
      <c r="AE23" s="116" t="str">
        <f aca="false">IF($B23="","",IF(الموظفون!$Z23&lt;&gt;"",الموظفون!$Z23,cfg_MED)/12*G23/cfg_DAYS_M)</f>
        <v/>
      </c>
      <c r="AF23" s="116" t="str">
        <f aca="false">IF($B23="","",N(الموظفون!$AA23)/12*G23/cfg_DAYS_M)</f>
        <v/>
      </c>
      <c r="AG23" s="159" t="str">
        <f aca="false">IF($B23="","",T23+SUM(Z23:AF23))</f>
        <v/>
      </c>
      <c r="AH23" s="160" t="str">
        <f aca="false">IF($B23="","",MAX(0,IF(OR(الموظفون!$AE23="",الموظفون!$AE23&gt;$F$3),$F$3,الموظفون!$AE23)-الموظفون!$H23+1-SUMIFS('سجل الإجازات والحالات'!$AO$6:$AO$505,'سجل الإجازات والحالات'!$B$6:$B$505,$B23))/cfg_DAYS_Y)</f>
        <v/>
      </c>
      <c r="AI23" s="160" t="str">
        <f aca="false">IF($B23="","",MAX(0,IF(OR(الموظفون!$AE23="",الموظفون!$AE23&gt;($E$3-1)),($E$3-1),الموظفون!$AE23)-الموظفون!$H23+1-SUMIFS('سجل الإجازات والحالات'!$AN$6:$AN$505,'سجل الإجازات والحالات'!$B$6:$B$505,$B23))/cfg_DAYS_Y)</f>
        <v/>
      </c>
      <c r="AJ23" s="133" t="str">
        <f aca="false">IF($B23="","",MAX(0,AK23-(SUMIFS('سجل الإجازات والحالات'!$AO$6:$AO$505,'سجل الإجازات والحالات'!$B$6:$B$505,$B23)-SUMIFS('سجل الإجازات والحالات'!$AN$6:$AN$505,'سجل الإجازات والحالات'!$B$6:$B$505,$B23))))</f>
        <v/>
      </c>
      <c r="AK23" s="133" t="str">
        <f aca="false">IF($B23="","",MAX(0,IF(OR(الموظفون!$AE23="",الموظفون!$AE23&gt;$F$3),$F$3,الموظفون!$AE23)-MAX($E$3,الموظفون!$H23)+1))</f>
        <v/>
      </c>
      <c r="AL23" s="156" t="str">
        <f aca="false">IF($B23="","",SUMIFS('سجل الإجازات والحالات'!$BA$6:$BA$505,'سجل الإجازات والحالات'!$B$6:$B$505,$B23)+SUMIFS('الحركات الشهرية'!$K$6:$K$1005,'الحركات الشهرية'!$B$6:$B$1005,$B23,'الحركات الشهرية'!$A$6:$A$1005,$C$3))</f>
        <v/>
      </c>
      <c r="AM23" s="116" t="str">
        <f aca="false">IF($B23="","",AL23*الموظفون!$R23/cfg_DAYS_M+S23)</f>
        <v/>
      </c>
      <c r="AN23" s="156" t="str">
        <f aca="false">IF($B23="","",SUMIFS('سجل الإجازات والحالات'!$AC$6:$AC$505,'سجل الإجازات والحالات'!$B$6:$B$505,$B23))</f>
        <v/>
      </c>
    </row>
    <row r="24" customFormat="false" ht="15" hidden="false" customHeight="false" outlineLevel="0" collapsed="false">
      <c r="A24" s="106" t="str">
        <f aca="false">IF($B24="","",الموظفون!$A24)</f>
        <v/>
      </c>
      <c r="B24" s="114" t="str">
        <f aca="false">IF(الموظفون!$B24="","",الموظفون!$B24)</f>
        <v/>
      </c>
      <c r="C24" s="114" t="str">
        <f aca="false">IF($B24="","",الموظفون!$C24)</f>
        <v/>
      </c>
      <c r="D24" s="114" t="str">
        <f aca="false">IF($B24="","",الموظفون!$F24)</f>
        <v/>
      </c>
      <c r="E24" s="114" t="str">
        <f aca="false">IF($B24="","",الموظفون!$E24)</f>
        <v/>
      </c>
      <c r="F24" s="114" t="str">
        <f aca="false">IF($B24="","",IF(AK24=0,IF(AND(الموظفون!$AE24&lt;&gt;"",الموظفون!$AE24&lt;$E$3),"✖ منتهي الخدمة","⏳ لم يباشر"),IF(S24&gt;0,"✈ راتب إجازة مقدم",IF(J24=0,"⛔ بدون راتب هذا الشهر",IF(I24&gt;0,"✈ خصم "&amp;ROUND(I24,2)&amp;" يوم بدون أجر",IF(AL24&gt;0,"🌴 إجازة سنوية "&amp;ROUND(AL24,2)&amp;" يوم",IF(H24&gt;0,"⚠ غياب "&amp;ROUND(H24,2)&amp;" يوم","✔ على رأس العمل")))))))</f>
        <v/>
      </c>
      <c r="G24" s="151" t="str">
        <f aca="false">IF($B24="","",IF(AK24&gt;=DAY($F$3),cfg_DAYS_M,MIN(AK24,cfg_DAYS_M)))</f>
        <v/>
      </c>
      <c r="H24" s="151" t="str">
        <f aca="false">IF($B24="","",SUMIFS('الحركات الشهرية'!$D$6:$D$1005,'الحركات الشهرية'!$B$6:$B$1005,$B24,'الحركات الشهرية'!$A$6:$A$1005,$C$3))</f>
        <v/>
      </c>
      <c r="I24" s="151" t="str">
        <f aca="false">IF($B24="","",MIN(G24,IF(AND(AK24&gt;0,AN24&gt;=AK24),G24,AN24)+SUMIFS('الحركات الشهرية'!$E$6:$E$1005,'الحركات الشهرية'!$B$6:$B$1005,$B24,'الحركات الشهرية'!$A$6:$A$1005,$C$3)))</f>
        <v/>
      </c>
      <c r="J24" s="151" t="str">
        <f aca="false">IF($B24="","",MAX(0,G24-H24-I24))</f>
        <v/>
      </c>
      <c r="K24" s="111" t="str">
        <f aca="false">IF($B24="","",الموظفون!$L24*$J24/cfg_DAYS_M)</f>
        <v/>
      </c>
      <c r="L24" s="111" t="str">
        <f aca="false">IF($B24="","",الموظفون!$M24*$J24/cfg_DAYS_M)</f>
        <v/>
      </c>
      <c r="M24" s="111" t="str">
        <f aca="false">IF($B24="","",الموظفون!$N24*$J24/cfg_DAYS_M)</f>
        <v/>
      </c>
      <c r="N24" s="111" t="str">
        <f aca="false">IF($B24="","",الموظفون!$O24*$J24/cfg_DAYS_M)</f>
        <v/>
      </c>
      <c r="O24" s="151" t="str">
        <f aca="false">IF($B24="","",SUMIFS('الحركات الشهرية'!$F$6:$F$1005,'الحركات الشهرية'!$B$6:$B$1005,$B24,'الحركات الشهرية'!$A$6:$A$1005,$C$3))</f>
        <v/>
      </c>
      <c r="P24" s="111" t="str">
        <f aca="false">IF($B24="","",O24*(الموظفون!$P24+الموظفون!$L24*cfg_OT_P)/cfg_DAYS_M/cfg_HRS)</f>
        <v/>
      </c>
      <c r="Q24" s="111" t="str">
        <f aca="false">IF($B24="","",SUMIFS('الحركات الشهرية'!$G$6:$G$1005,'الحركات الشهرية'!$B$6:$B$1005,$B24,'الحركات الشهرية'!$A$6:$A$1005,$C$3))</f>
        <v/>
      </c>
      <c r="R24" s="111" t="str">
        <f aca="false">IF($B24="","",SUMIFS('الحركات الشهرية'!$H$6:$H$1005,'الحركات الشهرية'!$B$6:$B$1005,$B24,'الحركات الشهرية'!$A$6:$A$1005,$C$3))</f>
        <v/>
      </c>
      <c r="S24" s="111" t="str">
        <f aca="false">IF($B24="","",SUMIFS('سجل الإجازات والحالات'!$N$6:$N$505,'سجل الإجازات والحالات'!$B$6:$B$505,$B24,'سجل الإجازات والحالات'!$O$6:$O$505,$C$3))</f>
        <v/>
      </c>
      <c r="T24" s="152" t="str">
        <f aca="false">IF($B24="","",SUM(K24:N24)+SUM(P24:S24))</f>
        <v/>
      </c>
      <c r="U24" s="111" t="str">
        <f aca="false">IF($B24="","",الموظفون!$S24*IF(E24="سعودي",cfg_G_SE,cfg_G_NE)*G24/cfg_DAYS_M)</f>
        <v/>
      </c>
      <c r="V24" s="111" t="str">
        <f aca="false">IF($B24="","",SUMIFS('الحركات الشهرية'!$I$6:$I$1005,'الحركات الشهرية'!$B$6:$B$1005,$B24,'الحركات الشهرية'!$A$6:$A$1005,$C$3))</f>
        <v/>
      </c>
      <c r="W24" s="111" t="str">
        <f aca="false">IF($B24="","",SUMIFS('الحركات الشهرية'!$J$6:$J$1005,'الحركات الشهرية'!$B$6:$B$1005,$B24,'الحركات الشهرية'!$A$6:$A$1005,$C$3))</f>
        <v/>
      </c>
      <c r="X24" s="111" t="str">
        <f aca="false">IF($B24="","",SUM(U24:W24))</f>
        <v/>
      </c>
      <c r="Y24" s="153" t="str">
        <f aca="false">IF($B24="","",T24-X24)</f>
        <v/>
      </c>
      <c r="Z24" s="111" t="str">
        <f aca="false">IF($B24="","",الموظفون!$S24*IF(E24="سعودي",cfg_G_SR,cfg_G_NR)*G24/cfg_DAYS_M)</f>
        <v/>
      </c>
      <c r="AA24" s="111" t="str">
        <f aca="false">IF($B24="","",الموظفون!$Q24*(cfg_EOS_R1*(MIN(AH24,cfg_EOS_TH)-MIN(AI24,cfg_EOS_TH))+cfg_EOS_R2*(MAX(AH24-cfg_EOS_TH,0)-MAX(AI24-cfg_EOS_TH,0))))</f>
        <v/>
      </c>
      <c r="AB24" s="111" t="str">
        <f aca="false">IF($B24="","",IF(الموظفون!$T24&lt;&gt;"",الموظفون!$T24,IF(AH24&gt;=cfg_LV_TH,cfg_LV_D2,cfg_LV_D1))/cfg_DAYS_Y*AJ24*الموظفون!$R24/cfg_DAYS_M)</f>
        <v/>
      </c>
      <c r="AC24" s="111" t="str">
        <f aca="false">IF($B24="","",IF(AND(الموظفون!$U24="نعم",N(الموظفون!$W24)&gt;0),الموظفون!$V24/الموظفون!$W24*12/cfg_DAYS_Y*AJ24,0))</f>
        <v/>
      </c>
      <c r="AD24" s="111" t="str">
        <f aca="false">IF($B24="","",(IF(الموظفون!$X24&lt;&gt;"",الموظفون!$X24,IF(الموظفون!$E24="غير سعودي",cfg_IQ,0))+IF(الموظفون!$Y24&lt;&gt;"",الموظفون!$Y24,IF(الموظفون!$E24="غير سعودي",cfg_WP,0)))/12*G24/cfg_DAYS_M)</f>
        <v/>
      </c>
      <c r="AE24" s="111" t="str">
        <f aca="false">IF($B24="","",IF(الموظفون!$Z24&lt;&gt;"",الموظفون!$Z24,cfg_MED)/12*G24/cfg_DAYS_M)</f>
        <v/>
      </c>
      <c r="AF24" s="111" t="str">
        <f aca="false">IF($B24="","",N(الموظفون!$AA24)/12*G24/cfg_DAYS_M)</f>
        <v/>
      </c>
      <c r="AG24" s="154" t="str">
        <f aca="false">IF($B24="","",T24+SUM(Z24:AF24))</f>
        <v/>
      </c>
      <c r="AH24" s="155" t="str">
        <f aca="false">IF($B24="","",MAX(0,IF(OR(الموظفون!$AE24="",الموظفون!$AE24&gt;$F$3),$F$3,الموظفون!$AE24)-الموظفون!$H24+1-SUMIFS('سجل الإجازات والحالات'!$AO$6:$AO$505,'سجل الإجازات والحالات'!$B$6:$B$505,$B24))/cfg_DAYS_Y)</f>
        <v/>
      </c>
      <c r="AI24" s="155" t="str">
        <f aca="false">IF($B24="","",MAX(0,IF(OR(الموظفون!$AE24="",الموظفون!$AE24&gt;($E$3-1)),($E$3-1),الموظفون!$AE24)-الموظفون!$H24+1-SUMIFS('سجل الإجازات والحالات'!$AN$6:$AN$505,'سجل الإجازات والحالات'!$B$6:$B$505,$B24))/cfg_DAYS_Y)</f>
        <v/>
      </c>
      <c r="AJ24" s="65" t="str">
        <f aca="false">IF($B24="","",MAX(0,AK24-(SUMIFS('سجل الإجازات والحالات'!$AO$6:$AO$505,'سجل الإجازات والحالات'!$B$6:$B$505,$B24)-SUMIFS('سجل الإجازات والحالات'!$AN$6:$AN$505,'سجل الإجازات والحالات'!$B$6:$B$505,$B24))))</f>
        <v/>
      </c>
      <c r="AK24" s="65" t="str">
        <f aca="false">IF($B24="","",MAX(0,IF(OR(الموظفون!$AE24="",الموظفون!$AE24&gt;$F$3),$F$3,الموظفون!$AE24)-MAX($E$3,الموظفون!$H24)+1))</f>
        <v/>
      </c>
      <c r="AL24" s="151" t="str">
        <f aca="false">IF($B24="","",SUMIFS('سجل الإجازات والحالات'!$BA$6:$BA$505,'سجل الإجازات والحالات'!$B$6:$B$505,$B24)+SUMIFS('الحركات الشهرية'!$K$6:$K$1005,'الحركات الشهرية'!$B$6:$B$1005,$B24,'الحركات الشهرية'!$A$6:$A$1005,$C$3))</f>
        <v/>
      </c>
      <c r="AM24" s="111" t="str">
        <f aca="false">IF($B24="","",AL24*الموظفون!$R24/cfg_DAYS_M+S24)</f>
        <v/>
      </c>
      <c r="AN24" s="151" t="str">
        <f aca="false">IF($B24="","",SUMIFS('سجل الإجازات والحالات'!$AC$6:$AC$505,'سجل الإجازات والحالات'!$B$6:$B$505,$B24))</f>
        <v/>
      </c>
    </row>
    <row r="25" customFormat="false" ht="15" hidden="false" customHeight="false" outlineLevel="0" collapsed="false">
      <c r="A25" s="115" t="str">
        <f aca="false">IF($B25="","",الموظفون!$A25)</f>
        <v/>
      </c>
      <c r="B25" s="117" t="str">
        <f aca="false">IF(الموظفون!$B25="","",الموظفون!$B25)</f>
        <v/>
      </c>
      <c r="C25" s="117" t="str">
        <f aca="false">IF($B25="","",الموظفون!$C25)</f>
        <v/>
      </c>
      <c r="D25" s="117" t="str">
        <f aca="false">IF($B25="","",الموظفون!$F25)</f>
        <v/>
      </c>
      <c r="E25" s="117" t="str">
        <f aca="false">IF($B25="","",الموظفون!$E25)</f>
        <v/>
      </c>
      <c r="F25" s="117" t="str">
        <f aca="false">IF($B25="","",IF(AK25=0,IF(AND(الموظفون!$AE25&lt;&gt;"",الموظفون!$AE25&lt;$E$3),"✖ منتهي الخدمة","⏳ لم يباشر"),IF(S25&gt;0,"✈ راتب إجازة مقدم",IF(J25=0,"⛔ بدون راتب هذا الشهر",IF(I25&gt;0,"✈ خصم "&amp;ROUND(I25,2)&amp;" يوم بدون أجر",IF(AL25&gt;0,"🌴 إجازة سنوية "&amp;ROUND(AL25,2)&amp;" يوم",IF(H25&gt;0,"⚠ غياب "&amp;ROUND(H25,2)&amp;" يوم","✔ على رأس العمل")))))))</f>
        <v/>
      </c>
      <c r="G25" s="156" t="str">
        <f aca="false">IF($B25="","",IF(AK25&gt;=DAY($F$3),cfg_DAYS_M,MIN(AK25,cfg_DAYS_M)))</f>
        <v/>
      </c>
      <c r="H25" s="156" t="str">
        <f aca="false">IF($B25="","",SUMIFS('الحركات الشهرية'!$D$6:$D$1005,'الحركات الشهرية'!$B$6:$B$1005,$B25,'الحركات الشهرية'!$A$6:$A$1005,$C$3))</f>
        <v/>
      </c>
      <c r="I25" s="156" t="str">
        <f aca="false">IF($B25="","",MIN(G25,IF(AND(AK25&gt;0,AN25&gt;=AK25),G25,AN25)+SUMIFS('الحركات الشهرية'!$E$6:$E$1005,'الحركات الشهرية'!$B$6:$B$1005,$B25,'الحركات الشهرية'!$A$6:$A$1005,$C$3)))</f>
        <v/>
      </c>
      <c r="J25" s="156" t="str">
        <f aca="false">IF($B25="","",MAX(0,G25-H25-I25))</f>
        <v/>
      </c>
      <c r="K25" s="116" t="str">
        <f aca="false">IF($B25="","",الموظفون!$L25*$J25/cfg_DAYS_M)</f>
        <v/>
      </c>
      <c r="L25" s="116" t="str">
        <f aca="false">IF($B25="","",الموظفون!$M25*$J25/cfg_DAYS_M)</f>
        <v/>
      </c>
      <c r="M25" s="116" t="str">
        <f aca="false">IF($B25="","",الموظفون!$N25*$J25/cfg_DAYS_M)</f>
        <v/>
      </c>
      <c r="N25" s="116" t="str">
        <f aca="false">IF($B25="","",الموظفون!$O25*$J25/cfg_DAYS_M)</f>
        <v/>
      </c>
      <c r="O25" s="156" t="str">
        <f aca="false">IF($B25="","",SUMIFS('الحركات الشهرية'!$F$6:$F$1005,'الحركات الشهرية'!$B$6:$B$1005,$B25,'الحركات الشهرية'!$A$6:$A$1005,$C$3))</f>
        <v/>
      </c>
      <c r="P25" s="116" t="str">
        <f aca="false">IF($B25="","",O25*(الموظفون!$P25+الموظفون!$L25*cfg_OT_P)/cfg_DAYS_M/cfg_HRS)</f>
        <v/>
      </c>
      <c r="Q25" s="116" t="str">
        <f aca="false">IF($B25="","",SUMIFS('الحركات الشهرية'!$G$6:$G$1005,'الحركات الشهرية'!$B$6:$B$1005,$B25,'الحركات الشهرية'!$A$6:$A$1005,$C$3))</f>
        <v/>
      </c>
      <c r="R25" s="116" t="str">
        <f aca="false">IF($B25="","",SUMIFS('الحركات الشهرية'!$H$6:$H$1005,'الحركات الشهرية'!$B$6:$B$1005,$B25,'الحركات الشهرية'!$A$6:$A$1005,$C$3))</f>
        <v/>
      </c>
      <c r="S25" s="116" t="str">
        <f aca="false">IF($B25="","",SUMIFS('سجل الإجازات والحالات'!$N$6:$N$505,'سجل الإجازات والحالات'!$B$6:$B$505,$B25,'سجل الإجازات والحالات'!$O$6:$O$505,$C$3))</f>
        <v/>
      </c>
      <c r="T25" s="157" t="str">
        <f aca="false">IF($B25="","",SUM(K25:N25)+SUM(P25:S25))</f>
        <v/>
      </c>
      <c r="U25" s="116" t="str">
        <f aca="false">IF($B25="","",الموظفون!$S25*IF(E25="سعودي",cfg_G_SE,cfg_G_NE)*G25/cfg_DAYS_M)</f>
        <v/>
      </c>
      <c r="V25" s="116" t="str">
        <f aca="false">IF($B25="","",SUMIFS('الحركات الشهرية'!$I$6:$I$1005,'الحركات الشهرية'!$B$6:$B$1005,$B25,'الحركات الشهرية'!$A$6:$A$1005,$C$3))</f>
        <v/>
      </c>
      <c r="W25" s="116" t="str">
        <f aca="false">IF($B25="","",SUMIFS('الحركات الشهرية'!$J$6:$J$1005,'الحركات الشهرية'!$B$6:$B$1005,$B25,'الحركات الشهرية'!$A$6:$A$1005,$C$3))</f>
        <v/>
      </c>
      <c r="X25" s="116" t="str">
        <f aca="false">IF($B25="","",SUM(U25:W25))</f>
        <v/>
      </c>
      <c r="Y25" s="158" t="str">
        <f aca="false">IF($B25="","",T25-X25)</f>
        <v/>
      </c>
      <c r="Z25" s="116" t="str">
        <f aca="false">IF($B25="","",الموظفون!$S25*IF(E25="سعودي",cfg_G_SR,cfg_G_NR)*G25/cfg_DAYS_M)</f>
        <v/>
      </c>
      <c r="AA25" s="116" t="str">
        <f aca="false">IF($B25="","",الموظفون!$Q25*(cfg_EOS_R1*(MIN(AH25,cfg_EOS_TH)-MIN(AI25,cfg_EOS_TH))+cfg_EOS_R2*(MAX(AH25-cfg_EOS_TH,0)-MAX(AI25-cfg_EOS_TH,0))))</f>
        <v/>
      </c>
      <c r="AB25" s="116" t="str">
        <f aca="false">IF($B25="","",IF(الموظفون!$T25&lt;&gt;"",الموظفون!$T25,IF(AH25&gt;=cfg_LV_TH,cfg_LV_D2,cfg_LV_D1))/cfg_DAYS_Y*AJ25*الموظفون!$R25/cfg_DAYS_M)</f>
        <v/>
      </c>
      <c r="AC25" s="116" t="str">
        <f aca="false">IF($B25="","",IF(AND(الموظفون!$U25="نعم",N(الموظفون!$W25)&gt;0),الموظفون!$V25/الموظفون!$W25*12/cfg_DAYS_Y*AJ25,0))</f>
        <v/>
      </c>
      <c r="AD25" s="116" t="str">
        <f aca="false">IF($B25="","",(IF(الموظفون!$X25&lt;&gt;"",الموظفون!$X25,IF(الموظفون!$E25="غير سعودي",cfg_IQ,0))+IF(الموظفون!$Y25&lt;&gt;"",الموظفون!$Y25,IF(الموظفون!$E25="غير سعودي",cfg_WP,0)))/12*G25/cfg_DAYS_M)</f>
        <v/>
      </c>
      <c r="AE25" s="116" t="str">
        <f aca="false">IF($B25="","",IF(الموظفون!$Z25&lt;&gt;"",الموظفون!$Z25,cfg_MED)/12*G25/cfg_DAYS_M)</f>
        <v/>
      </c>
      <c r="AF25" s="116" t="str">
        <f aca="false">IF($B25="","",N(الموظفون!$AA25)/12*G25/cfg_DAYS_M)</f>
        <v/>
      </c>
      <c r="AG25" s="159" t="str">
        <f aca="false">IF($B25="","",T25+SUM(Z25:AF25))</f>
        <v/>
      </c>
      <c r="AH25" s="160" t="str">
        <f aca="false">IF($B25="","",MAX(0,IF(OR(الموظفون!$AE25="",الموظفون!$AE25&gt;$F$3),$F$3,الموظفون!$AE25)-الموظفون!$H25+1-SUMIFS('سجل الإجازات والحالات'!$AO$6:$AO$505,'سجل الإجازات والحالات'!$B$6:$B$505,$B25))/cfg_DAYS_Y)</f>
        <v/>
      </c>
      <c r="AI25" s="160" t="str">
        <f aca="false">IF($B25="","",MAX(0,IF(OR(الموظفون!$AE25="",الموظفون!$AE25&gt;($E$3-1)),($E$3-1),الموظفون!$AE25)-الموظفون!$H25+1-SUMIFS('سجل الإجازات والحالات'!$AN$6:$AN$505,'سجل الإجازات والحالات'!$B$6:$B$505,$B25))/cfg_DAYS_Y)</f>
        <v/>
      </c>
      <c r="AJ25" s="133" t="str">
        <f aca="false">IF($B25="","",MAX(0,AK25-(SUMIFS('سجل الإجازات والحالات'!$AO$6:$AO$505,'سجل الإجازات والحالات'!$B$6:$B$505,$B25)-SUMIFS('سجل الإجازات والحالات'!$AN$6:$AN$505,'سجل الإجازات والحالات'!$B$6:$B$505,$B25))))</f>
        <v/>
      </c>
      <c r="AK25" s="133" t="str">
        <f aca="false">IF($B25="","",MAX(0,IF(OR(الموظفون!$AE25="",الموظفون!$AE25&gt;$F$3),$F$3,الموظفون!$AE25)-MAX($E$3,الموظفون!$H25)+1))</f>
        <v/>
      </c>
      <c r="AL25" s="156" t="str">
        <f aca="false">IF($B25="","",SUMIFS('سجل الإجازات والحالات'!$BA$6:$BA$505,'سجل الإجازات والحالات'!$B$6:$B$505,$B25)+SUMIFS('الحركات الشهرية'!$K$6:$K$1005,'الحركات الشهرية'!$B$6:$B$1005,$B25,'الحركات الشهرية'!$A$6:$A$1005,$C$3))</f>
        <v/>
      </c>
      <c r="AM25" s="116" t="str">
        <f aca="false">IF($B25="","",AL25*الموظفون!$R25/cfg_DAYS_M+S25)</f>
        <v/>
      </c>
      <c r="AN25" s="156" t="str">
        <f aca="false">IF($B25="","",SUMIFS('سجل الإجازات والحالات'!$AC$6:$AC$505,'سجل الإجازات والحالات'!$B$6:$B$505,$B25))</f>
        <v/>
      </c>
    </row>
    <row r="26" customFormat="false" ht="15" hidden="false" customHeight="false" outlineLevel="0" collapsed="false">
      <c r="A26" s="106" t="str">
        <f aca="false">IF($B26="","",الموظفون!$A26)</f>
        <v/>
      </c>
      <c r="B26" s="114" t="str">
        <f aca="false">IF(الموظفون!$B26="","",الموظفون!$B26)</f>
        <v/>
      </c>
      <c r="C26" s="114" t="str">
        <f aca="false">IF($B26="","",الموظفون!$C26)</f>
        <v/>
      </c>
      <c r="D26" s="114" t="str">
        <f aca="false">IF($B26="","",الموظفون!$F26)</f>
        <v/>
      </c>
      <c r="E26" s="114" t="str">
        <f aca="false">IF($B26="","",الموظفون!$E26)</f>
        <v/>
      </c>
      <c r="F26" s="114" t="str">
        <f aca="false">IF($B26="","",IF(AK26=0,IF(AND(الموظفون!$AE26&lt;&gt;"",الموظفون!$AE26&lt;$E$3),"✖ منتهي الخدمة","⏳ لم يباشر"),IF(S26&gt;0,"✈ راتب إجازة مقدم",IF(J26=0,"⛔ بدون راتب هذا الشهر",IF(I26&gt;0,"✈ خصم "&amp;ROUND(I26,2)&amp;" يوم بدون أجر",IF(AL26&gt;0,"🌴 إجازة سنوية "&amp;ROUND(AL26,2)&amp;" يوم",IF(H26&gt;0,"⚠ غياب "&amp;ROUND(H26,2)&amp;" يوم","✔ على رأس العمل")))))))</f>
        <v/>
      </c>
      <c r="G26" s="151" t="str">
        <f aca="false">IF($B26="","",IF(AK26&gt;=DAY($F$3),cfg_DAYS_M,MIN(AK26,cfg_DAYS_M)))</f>
        <v/>
      </c>
      <c r="H26" s="151" t="str">
        <f aca="false">IF($B26="","",SUMIFS('الحركات الشهرية'!$D$6:$D$1005,'الحركات الشهرية'!$B$6:$B$1005,$B26,'الحركات الشهرية'!$A$6:$A$1005,$C$3))</f>
        <v/>
      </c>
      <c r="I26" s="151" t="str">
        <f aca="false">IF($B26="","",MIN(G26,IF(AND(AK26&gt;0,AN26&gt;=AK26),G26,AN26)+SUMIFS('الحركات الشهرية'!$E$6:$E$1005,'الحركات الشهرية'!$B$6:$B$1005,$B26,'الحركات الشهرية'!$A$6:$A$1005,$C$3)))</f>
        <v/>
      </c>
      <c r="J26" s="151" t="str">
        <f aca="false">IF($B26="","",MAX(0,G26-H26-I26))</f>
        <v/>
      </c>
      <c r="K26" s="111" t="str">
        <f aca="false">IF($B26="","",الموظفون!$L26*$J26/cfg_DAYS_M)</f>
        <v/>
      </c>
      <c r="L26" s="111" t="str">
        <f aca="false">IF($B26="","",الموظفون!$M26*$J26/cfg_DAYS_M)</f>
        <v/>
      </c>
      <c r="M26" s="111" t="str">
        <f aca="false">IF($B26="","",الموظفون!$N26*$J26/cfg_DAYS_M)</f>
        <v/>
      </c>
      <c r="N26" s="111" t="str">
        <f aca="false">IF($B26="","",الموظفون!$O26*$J26/cfg_DAYS_M)</f>
        <v/>
      </c>
      <c r="O26" s="151" t="str">
        <f aca="false">IF($B26="","",SUMIFS('الحركات الشهرية'!$F$6:$F$1005,'الحركات الشهرية'!$B$6:$B$1005,$B26,'الحركات الشهرية'!$A$6:$A$1005,$C$3))</f>
        <v/>
      </c>
      <c r="P26" s="111" t="str">
        <f aca="false">IF($B26="","",O26*(الموظفون!$P26+الموظفون!$L26*cfg_OT_P)/cfg_DAYS_M/cfg_HRS)</f>
        <v/>
      </c>
      <c r="Q26" s="111" t="str">
        <f aca="false">IF($B26="","",SUMIFS('الحركات الشهرية'!$G$6:$G$1005,'الحركات الشهرية'!$B$6:$B$1005,$B26,'الحركات الشهرية'!$A$6:$A$1005,$C$3))</f>
        <v/>
      </c>
      <c r="R26" s="111" t="str">
        <f aca="false">IF($B26="","",SUMIFS('الحركات الشهرية'!$H$6:$H$1005,'الحركات الشهرية'!$B$6:$B$1005,$B26,'الحركات الشهرية'!$A$6:$A$1005,$C$3))</f>
        <v/>
      </c>
      <c r="S26" s="111" t="str">
        <f aca="false">IF($B26="","",SUMIFS('سجل الإجازات والحالات'!$N$6:$N$505,'سجل الإجازات والحالات'!$B$6:$B$505,$B26,'سجل الإجازات والحالات'!$O$6:$O$505,$C$3))</f>
        <v/>
      </c>
      <c r="T26" s="152" t="str">
        <f aca="false">IF($B26="","",SUM(K26:N26)+SUM(P26:S26))</f>
        <v/>
      </c>
      <c r="U26" s="111" t="str">
        <f aca="false">IF($B26="","",الموظفون!$S26*IF(E26="سعودي",cfg_G_SE,cfg_G_NE)*G26/cfg_DAYS_M)</f>
        <v/>
      </c>
      <c r="V26" s="111" t="str">
        <f aca="false">IF($B26="","",SUMIFS('الحركات الشهرية'!$I$6:$I$1005,'الحركات الشهرية'!$B$6:$B$1005,$B26,'الحركات الشهرية'!$A$6:$A$1005,$C$3))</f>
        <v/>
      </c>
      <c r="W26" s="111" t="str">
        <f aca="false">IF($B26="","",SUMIFS('الحركات الشهرية'!$J$6:$J$1005,'الحركات الشهرية'!$B$6:$B$1005,$B26,'الحركات الشهرية'!$A$6:$A$1005,$C$3))</f>
        <v/>
      </c>
      <c r="X26" s="111" t="str">
        <f aca="false">IF($B26="","",SUM(U26:W26))</f>
        <v/>
      </c>
      <c r="Y26" s="153" t="str">
        <f aca="false">IF($B26="","",T26-X26)</f>
        <v/>
      </c>
      <c r="Z26" s="111" t="str">
        <f aca="false">IF($B26="","",الموظفون!$S26*IF(E26="سعودي",cfg_G_SR,cfg_G_NR)*G26/cfg_DAYS_M)</f>
        <v/>
      </c>
      <c r="AA26" s="111" t="str">
        <f aca="false">IF($B26="","",الموظفون!$Q26*(cfg_EOS_R1*(MIN(AH26,cfg_EOS_TH)-MIN(AI26,cfg_EOS_TH))+cfg_EOS_R2*(MAX(AH26-cfg_EOS_TH,0)-MAX(AI26-cfg_EOS_TH,0))))</f>
        <v/>
      </c>
      <c r="AB26" s="111" t="str">
        <f aca="false">IF($B26="","",IF(الموظفون!$T26&lt;&gt;"",الموظفون!$T26,IF(AH26&gt;=cfg_LV_TH,cfg_LV_D2,cfg_LV_D1))/cfg_DAYS_Y*AJ26*الموظفون!$R26/cfg_DAYS_M)</f>
        <v/>
      </c>
      <c r="AC26" s="111" t="str">
        <f aca="false">IF($B26="","",IF(AND(الموظفون!$U26="نعم",N(الموظفون!$W26)&gt;0),الموظفون!$V26/الموظفون!$W26*12/cfg_DAYS_Y*AJ26,0))</f>
        <v/>
      </c>
      <c r="AD26" s="111" t="str">
        <f aca="false">IF($B26="","",(IF(الموظفون!$X26&lt;&gt;"",الموظفون!$X26,IF(الموظفون!$E26="غير سعودي",cfg_IQ,0))+IF(الموظفون!$Y26&lt;&gt;"",الموظفون!$Y26,IF(الموظفون!$E26="غير سعودي",cfg_WP,0)))/12*G26/cfg_DAYS_M)</f>
        <v/>
      </c>
      <c r="AE26" s="111" t="str">
        <f aca="false">IF($B26="","",IF(الموظفون!$Z26&lt;&gt;"",الموظفون!$Z26,cfg_MED)/12*G26/cfg_DAYS_M)</f>
        <v/>
      </c>
      <c r="AF26" s="111" t="str">
        <f aca="false">IF($B26="","",N(الموظفون!$AA26)/12*G26/cfg_DAYS_M)</f>
        <v/>
      </c>
      <c r="AG26" s="154" t="str">
        <f aca="false">IF($B26="","",T26+SUM(Z26:AF26))</f>
        <v/>
      </c>
      <c r="AH26" s="155" t="str">
        <f aca="false">IF($B26="","",MAX(0,IF(OR(الموظفون!$AE26="",الموظفون!$AE26&gt;$F$3),$F$3,الموظفون!$AE26)-الموظفون!$H26+1-SUMIFS('سجل الإجازات والحالات'!$AO$6:$AO$505,'سجل الإجازات والحالات'!$B$6:$B$505,$B26))/cfg_DAYS_Y)</f>
        <v/>
      </c>
      <c r="AI26" s="155" t="str">
        <f aca="false">IF($B26="","",MAX(0,IF(OR(الموظفون!$AE26="",الموظفون!$AE26&gt;($E$3-1)),($E$3-1),الموظفون!$AE26)-الموظفون!$H26+1-SUMIFS('سجل الإجازات والحالات'!$AN$6:$AN$505,'سجل الإجازات والحالات'!$B$6:$B$505,$B26))/cfg_DAYS_Y)</f>
        <v/>
      </c>
      <c r="AJ26" s="65" t="str">
        <f aca="false">IF($B26="","",MAX(0,AK26-(SUMIFS('سجل الإجازات والحالات'!$AO$6:$AO$505,'سجل الإجازات والحالات'!$B$6:$B$505,$B26)-SUMIFS('سجل الإجازات والحالات'!$AN$6:$AN$505,'سجل الإجازات والحالات'!$B$6:$B$505,$B26))))</f>
        <v/>
      </c>
      <c r="AK26" s="65" t="str">
        <f aca="false">IF($B26="","",MAX(0,IF(OR(الموظفون!$AE26="",الموظفون!$AE26&gt;$F$3),$F$3,الموظفون!$AE26)-MAX($E$3,الموظفون!$H26)+1))</f>
        <v/>
      </c>
      <c r="AL26" s="151" t="str">
        <f aca="false">IF($B26="","",SUMIFS('سجل الإجازات والحالات'!$BA$6:$BA$505,'سجل الإجازات والحالات'!$B$6:$B$505,$B26)+SUMIFS('الحركات الشهرية'!$K$6:$K$1005,'الحركات الشهرية'!$B$6:$B$1005,$B26,'الحركات الشهرية'!$A$6:$A$1005,$C$3))</f>
        <v/>
      </c>
      <c r="AM26" s="111" t="str">
        <f aca="false">IF($B26="","",AL26*الموظفون!$R26/cfg_DAYS_M+S26)</f>
        <v/>
      </c>
      <c r="AN26" s="151" t="str">
        <f aca="false">IF($B26="","",SUMIFS('سجل الإجازات والحالات'!$AC$6:$AC$505,'سجل الإجازات والحالات'!$B$6:$B$505,$B26))</f>
        <v/>
      </c>
    </row>
    <row r="27" customFormat="false" ht="15" hidden="false" customHeight="false" outlineLevel="0" collapsed="false">
      <c r="A27" s="115" t="str">
        <f aca="false">IF($B27="","",الموظفون!$A27)</f>
        <v/>
      </c>
      <c r="B27" s="117" t="str">
        <f aca="false">IF(الموظفون!$B27="","",الموظفون!$B27)</f>
        <v/>
      </c>
      <c r="C27" s="117" t="str">
        <f aca="false">IF($B27="","",الموظفون!$C27)</f>
        <v/>
      </c>
      <c r="D27" s="117" t="str">
        <f aca="false">IF($B27="","",الموظفون!$F27)</f>
        <v/>
      </c>
      <c r="E27" s="117" t="str">
        <f aca="false">IF($B27="","",الموظفون!$E27)</f>
        <v/>
      </c>
      <c r="F27" s="117" t="str">
        <f aca="false">IF($B27="","",IF(AK27=0,IF(AND(الموظفون!$AE27&lt;&gt;"",الموظفون!$AE27&lt;$E$3),"✖ منتهي الخدمة","⏳ لم يباشر"),IF(S27&gt;0,"✈ راتب إجازة مقدم",IF(J27=0,"⛔ بدون راتب هذا الشهر",IF(I27&gt;0,"✈ خصم "&amp;ROUND(I27,2)&amp;" يوم بدون أجر",IF(AL27&gt;0,"🌴 إجازة سنوية "&amp;ROUND(AL27,2)&amp;" يوم",IF(H27&gt;0,"⚠ غياب "&amp;ROUND(H27,2)&amp;" يوم","✔ على رأس العمل")))))))</f>
        <v/>
      </c>
      <c r="G27" s="156" t="str">
        <f aca="false">IF($B27="","",IF(AK27&gt;=DAY($F$3),cfg_DAYS_M,MIN(AK27,cfg_DAYS_M)))</f>
        <v/>
      </c>
      <c r="H27" s="156" t="str">
        <f aca="false">IF($B27="","",SUMIFS('الحركات الشهرية'!$D$6:$D$1005,'الحركات الشهرية'!$B$6:$B$1005,$B27,'الحركات الشهرية'!$A$6:$A$1005,$C$3))</f>
        <v/>
      </c>
      <c r="I27" s="156" t="str">
        <f aca="false">IF($B27="","",MIN(G27,IF(AND(AK27&gt;0,AN27&gt;=AK27),G27,AN27)+SUMIFS('الحركات الشهرية'!$E$6:$E$1005,'الحركات الشهرية'!$B$6:$B$1005,$B27,'الحركات الشهرية'!$A$6:$A$1005,$C$3)))</f>
        <v/>
      </c>
      <c r="J27" s="156" t="str">
        <f aca="false">IF($B27="","",MAX(0,G27-H27-I27))</f>
        <v/>
      </c>
      <c r="K27" s="116" t="str">
        <f aca="false">IF($B27="","",الموظفون!$L27*$J27/cfg_DAYS_M)</f>
        <v/>
      </c>
      <c r="L27" s="116" t="str">
        <f aca="false">IF($B27="","",الموظفون!$M27*$J27/cfg_DAYS_M)</f>
        <v/>
      </c>
      <c r="M27" s="116" t="str">
        <f aca="false">IF($B27="","",الموظفون!$N27*$J27/cfg_DAYS_M)</f>
        <v/>
      </c>
      <c r="N27" s="116" t="str">
        <f aca="false">IF($B27="","",الموظفون!$O27*$J27/cfg_DAYS_M)</f>
        <v/>
      </c>
      <c r="O27" s="156" t="str">
        <f aca="false">IF($B27="","",SUMIFS('الحركات الشهرية'!$F$6:$F$1005,'الحركات الشهرية'!$B$6:$B$1005,$B27,'الحركات الشهرية'!$A$6:$A$1005,$C$3))</f>
        <v/>
      </c>
      <c r="P27" s="116" t="str">
        <f aca="false">IF($B27="","",O27*(الموظفون!$P27+الموظفون!$L27*cfg_OT_P)/cfg_DAYS_M/cfg_HRS)</f>
        <v/>
      </c>
      <c r="Q27" s="116" t="str">
        <f aca="false">IF($B27="","",SUMIFS('الحركات الشهرية'!$G$6:$G$1005,'الحركات الشهرية'!$B$6:$B$1005,$B27,'الحركات الشهرية'!$A$6:$A$1005,$C$3))</f>
        <v/>
      </c>
      <c r="R27" s="116" t="str">
        <f aca="false">IF($B27="","",SUMIFS('الحركات الشهرية'!$H$6:$H$1005,'الحركات الشهرية'!$B$6:$B$1005,$B27,'الحركات الشهرية'!$A$6:$A$1005,$C$3))</f>
        <v/>
      </c>
      <c r="S27" s="116" t="str">
        <f aca="false">IF($B27="","",SUMIFS('سجل الإجازات والحالات'!$N$6:$N$505,'سجل الإجازات والحالات'!$B$6:$B$505,$B27,'سجل الإجازات والحالات'!$O$6:$O$505,$C$3))</f>
        <v/>
      </c>
      <c r="T27" s="157" t="str">
        <f aca="false">IF($B27="","",SUM(K27:N27)+SUM(P27:S27))</f>
        <v/>
      </c>
      <c r="U27" s="116" t="str">
        <f aca="false">IF($B27="","",الموظفون!$S27*IF(E27="سعودي",cfg_G_SE,cfg_G_NE)*G27/cfg_DAYS_M)</f>
        <v/>
      </c>
      <c r="V27" s="116" t="str">
        <f aca="false">IF($B27="","",SUMIFS('الحركات الشهرية'!$I$6:$I$1005,'الحركات الشهرية'!$B$6:$B$1005,$B27,'الحركات الشهرية'!$A$6:$A$1005,$C$3))</f>
        <v/>
      </c>
      <c r="W27" s="116" t="str">
        <f aca="false">IF($B27="","",SUMIFS('الحركات الشهرية'!$J$6:$J$1005,'الحركات الشهرية'!$B$6:$B$1005,$B27,'الحركات الشهرية'!$A$6:$A$1005,$C$3))</f>
        <v/>
      </c>
      <c r="X27" s="116" t="str">
        <f aca="false">IF($B27="","",SUM(U27:W27))</f>
        <v/>
      </c>
      <c r="Y27" s="158" t="str">
        <f aca="false">IF($B27="","",T27-X27)</f>
        <v/>
      </c>
      <c r="Z27" s="116" t="str">
        <f aca="false">IF($B27="","",الموظفون!$S27*IF(E27="سعودي",cfg_G_SR,cfg_G_NR)*G27/cfg_DAYS_M)</f>
        <v/>
      </c>
      <c r="AA27" s="116" t="str">
        <f aca="false">IF($B27="","",الموظفون!$Q27*(cfg_EOS_R1*(MIN(AH27,cfg_EOS_TH)-MIN(AI27,cfg_EOS_TH))+cfg_EOS_R2*(MAX(AH27-cfg_EOS_TH,0)-MAX(AI27-cfg_EOS_TH,0))))</f>
        <v/>
      </c>
      <c r="AB27" s="116" t="str">
        <f aca="false">IF($B27="","",IF(الموظفون!$T27&lt;&gt;"",الموظفون!$T27,IF(AH27&gt;=cfg_LV_TH,cfg_LV_D2,cfg_LV_D1))/cfg_DAYS_Y*AJ27*الموظفون!$R27/cfg_DAYS_M)</f>
        <v/>
      </c>
      <c r="AC27" s="116" t="str">
        <f aca="false">IF($B27="","",IF(AND(الموظفون!$U27="نعم",N(الموظفون!$W27)&gt;0),الموظفون!$V27/الموظفون!$W27*12/cfg_DAYS_Y*AJ27,0))</f>
        <v/>
      </c>
      <c r="AD27" s="116" t="str">
        <f aca="false">IF($B27="","",(IF(الموظفون!$X27&lt;&gt;"",الموظفون!$X27,IF(الموظفون!$E27="غير سعودي",cfg_IQ,0))+IF(الموظفون!$Y27&lt;&gt;"",الموظفون!$Y27,IF(الموظفون!$E27="غير سعودي",cfg_WP,0)))/12*G27/cfg_DAYS_M)</f>
        <v/>
      </c>
      <c r="AE27" s="116" t="str">
        <f aca="false">IF($B27="","",IF(الموظفون!$Z27&lt;&gt;"",الموظفون!$Z27,cfg_MED)/12*G27/cfg_DAYS_M)</f>
        <v/>
      </c>
      <c r="AF27" s="116" t="str">
        <f aca="false">IF($B27="","",N(الموظفون!$AA27)/12*G27/cfg_DAYS_M)</f>
        <v/>
      </c>
      <c r="AG27" s="159" t="str">
        <f aca="false">IF($B27="","",T27+SUM(Z27:AF27))</f>
        <v/>
      </c>
      <c r="AH27" s="160" t="str">
        <f aca="false">IF($B27="","",MAX(0,IF(OR(الموظفون!$AE27="",الموظفون!$AE27&gt;$F$3),$F$3,الموظفون!$AE27)-الموظفون!$H27+1-SUMIFS('سجل الإجازات والحالات'!$AO$6:$AO$505,'سجل الإجازات والحالات'!$B$6:$B$505,$B27))/cfg_DAYS_Y)</f>
        <v/>
      </c>
      <c r="AI27" s="160" t="str">
        <f aca="false">IF($B27="","",MAX(0,IF(OR(الموظفون!$AE27="",الموظفون!$AE27&gt;($E$3-1)),($E$3-1),الموظفون!$AE27)-الموظفون!$H27+1-SUMIFS('سجل الإجازات والحالات'!$AN$6:$AN$505,'سجل الإجازات والحالات'!$B$6:$B$505,$B27))/cfg_DAYS_Y)</f>
        <v/>
      </c>
      <c r="AJ27" s="133" t="str">
        <f aca="false">IF($B27="","",MAX(0,AK27-(SUMIFS('سجل الإجازات والحالات'!$AO$6:$AO$505,'سجل الإجازات والحالات'!$B$6:$B$505,$B27)-SUMIFS('سجل الإجازات والحالات'!$AN$6:$AN$505,'سجل الإجازات والحالات'!$B$6:$B$505,$B27))))</f>
        <v/>
      </c>
      <c r="AK27" s="133" t="str">
        <f aca="false">IF($B27="","",MAX(0,IF(OR(الموظفون!$AE27="",الموظفون!$AE27&gt;$F$3),$F$3,الموظفون!$AE27)-MAX($E$3,الموظفون!$H27)+1))</f>
        <v/>
      </c>
      <c r="AL27" s="156" t="str">
        <f aca="false">IF($B27="","",SUMIFS('سجل الإجازات والحالات'!$BA$6:$BA$505,'سجل الإجازات والحالات'!$B$6:$B$505,$B27)+SUMIFS('الحركات الشهرية'!$K$6:$K$1005,'الحركات الشهرية'!$B$6:$B$1005,$B27,'الحركات الشهرية'!$A$6:$A$1005,$C$3))</f>
        <v/>
      </c>
      <c r="AM27" s="116" t="str">
        <f aca="false">IF($B27="","",AL27*الموظفون!$R27/cfg_DAYS_M+S27)</f>
        <v/>
      </c>
      <c r="AN27" s="156" t="str">
        <f aca="false">IF($B27="","",SUMIFS('سجل الإجازات والحالات'!$AC$6:$AC$505,'سجل الإجازات والحالات'!$B$6:$B$505,$B27))</f>
        <v/>
      </c>
    </row>
    <row r="28" customFormat="false" ht="15" hidden="false" customHeight="false" outlineLevel="0" collapsed="false">
      <c r="A28" s="106" t="str">
        <f aca="false">IF($B28="","",الموظفون!$A28)</f>
        <v/>
      </c>
      <c r="B28" s="114" t="str">
        <f aca="false">IF(الموظفون!$B28="","",الموظفون!$B28)</f>
        <v/>
      </c>
      <c r="C28" s="114" t="str">
        <f aca="false">IF($B28="","",الموظفون!$C28)</f>
        <v/>
      </c>
      <c r="D28" s="114" t="str">
        <f aca="false">IF($B28="","",الموظفون!$F28)</f>
        <v/>
      </c>
      <c r="E28" s="114" t="str">
        <f aca="false">IF($B28="","",الموظفون!$E28)</f>
        <v/>
      </c>
      <c r="F28" s="114" t="str">
        <f aca="false">IF($B28="","",IF(AK28=0,IF(AND(الموظفون!$AE28&lt;&gt;"",الموظفون!$AE28&lt;$E$3),"✖ منتهي الخدمة","⏳ لم يباشر"),IF(S28&gt;0,"✈ راتب إجازة مقدم",IF(J28=0,"⛔ بدون راتب هذا الشهر",IF(I28&gt;0,"✈ خصم "&amp;ROUND(I28,2)&amp;" يوم بدون أجر",IF(AL28&gt;0,"🌴 إجازة سنوية "&amp;ROUND(AL28,2)&amp;" يوم",IF(H28&gt;0,"⚠ غياب "&amp;ROUND(H28,2)&amp;" يوم","✔ على رأس العمل")))))))</f>
        <v/>
      </c>
      <c r="G28" s="151" t="str">
        <f aca="false">IF($B28="","",IF(AK28&gt;=DAY($F$3),cfg_DAYS_M,MIN(AK28,cfg_DAYS_M)))</f>
        <v/>
      </c>
      <c r="H28" s="151" t="str">
        <f aca="false">IF($B28="","",SUMIFS('الحركات الشهرية'!$D$6:$D$1005,'الحركات الشهرية'!$B$6:$B$1005,$B28,'الحركات الشهرية'!$A$6:$A$1005,$C$3))</f>
        <v/>
      </c>
      <c r="I28" s="151" t="str">
        <f aca="false">IF($B28="","",MIN(G28,IF(AND(AK28&gt;0,AN28&gt;=AK28),G28,AN28)+SUMIFS('الحركات الشهرية'!$E$6:$E$1005,'الحركات الشهرية'!$B$6:$B$1005,$B28,'الحركات الشهرية'!$A$6:$A$1005,$C$3)))</f>
        <v/>
      </c>
      <c r="J28" s="151" t="str">
        <f aca="false">IF($B28="","",MAX(0,G28-H28-I28))</f>
        <v/>
      </c>
      <c r="K28" s="111" t="str">
        <f aca="false">IF($B28="","",الموظفون!$L28*$J28/cfg_DAYS_M)</f>
        <v/>
      </c>
      <c r="L28" s="111" t="str">
        <f aca="false">IF($B28="","",الموظفون!$M28*$J28/cfg_DAYS_M)</f>
        <v/>
      </c>
      <c r="M28" s="111" t="str">
        <f aca="false">IF($B28="","",الموظفون!$N28*$J28/cfg_DAYS_M)</f>
        <v/>
      </c>
      <c r="N28" s="111" t="str">
        <f aca="false">IF($B28="","",الموظفون!$O28*$J28/cfg_DAYS_M)</f>
        <v/>
      </c>
      <c r="O28" s="151" t="str">
        <f aca="false">IF($B28="","",SUMIFS('الحركات الشهرية'!$F$6:$F$1005,'الحركات الشهرية'!$B$6:$B$1005,$B28,'الحركات الشهرية'!$A$6:$A$1005,$C$3))</f>
        <v/>
      </c>
      <c r="P28" s="111" t="str">
        <f aca="false">IF($B28="","",O28*(الموظفون!$P28+الموظفون!$L28*cfg_OT_P)/cfg_DAYS_M/cfg_HRS)</f>
        <v/>
      </c>
      <c r="Q28" s="111" t="str">
        <f aca="false">IF($B28="","",SUMIFS('الحركات الشهرية'!$G$6:$G$1005,'الحركات الشهرية'!$B$6:$B$1005,$B28,'الحركات الشهرية'!$A$6:$A$1005,$C$3))</f>
        <v/>
      </c>
      <c r="R28" s="111" t="str">
        <f aca="false">IF($B28="","",SUMIFS('الحركات الشهرية'!$H$6:$H$1005,'الحركات الشهرية'!$B$6:$B$1005,$B28,'الحركات الشهرية'!$A$6:$A$1005,$C$3))</f>
        <v/>
      </c>
      <c r="S28" s="111" t="str">
        <f aca="false">IF($B28="","",SUMIFS('سجل الإجازات والحالات'!$N$6:$N$505,'سجل الإجازات والحالات'!$B$6:$B$505,$B28,'سجل الإجازات والحالات'!$O$6:$O$505,$C$3))</f>
        <v/>
      </c>
      <c r="T28" s="152" t="str">
        <f aca="false">IF($B28="","",SUM(K28:N28)+SUM(P28:S28))</f>
        <v/>
      </c>
      <c r="U28" s="111" t="str">
        <f aca="false">IF($B28="","",الموظفون!$S28*IF(E28="سعودي",cfg_G_SE,cfg_G_NE)*G28/cfg_DAYS_M)</f>
        <v/>
      </c>
      <c r="V28" s="111" t="str">
        <f aca="false">IF($B28="","",SUMIFS('الحركات الشهرية'!$I$6:$I$1005,'الحركات الشهرية'!$B$6:$B$1005,$B28,'الحركات الشهرية'!$A$6:$A$1005,$C$3))</f>
        <v/>
      </c>
      <c r="W28" s="111" t="str">
        <f aca="false">IF($B28="","",SUMIFS('الحركات الشهرية'!$J$6:$J$1005,'الحركات الشهرية'!$B$6:$B$1005,$B28,'الحركات الشهرية'!$A$6:$A$1005,$C$3))</f>
        <v/>
      </c>
      <c r="X28" s="111" t="str">
        <f aca="false">IF($B28="","",SUM(U28:W28))</f>
        <v/>
      </c>
      <c r="Y28" s="153" t="str">
        <f aca="false">IF($B28="","",T28-X28)</f>
        <v/>
      </c>
      <c r="Z28" s="111" t="str">
        <f aca="false">IF($B28="","",الموظفون!$S28*IF(E28="سعودي",cfg_G_SR,cfg_G_NR)*G28/cfg_DAYS_M)</f>
        <v/>
      </c>
      <c r="AA28" s="111" t="str">
        <f aca="false">IF($B28="","",الموظفون!$Q28*(cfg_EOS_R1*(MIN(AH28,cfg_EOS_TH)-MIN(AI28,cfg_EOS_TH))+cfg_EOS_R2*(MAX(AH28-cfg_EOS_TH,0)-MAX(AI28-cfg_EOS_TH,0))))</f>
        <v/>
      </c>
      <c r="AB28" s="111" t="str">
        <f aca="false">IF($B28="","",IF(الموظفون!$T28&lt;&gt;"",الموظفون!$T28,IF(AH28&gt;=cfg_LV_TH,cfg_LV_D2,cfg_LV_D1))/cfg_DAYS_Y*AJ28*الموظفون!$R28/cfg_DAYS_M)</f>
        <v/>
      </c>
      <c r="AC28" s="111" t="str">
        <f aca="false">IF($B28="","",IF(AND(الموظفون!$U28="نعم",N(الموظفون!$W28)&gt;0),الموظفون!$V28/الموظفون!$W28*12/cfg_DAYS_Y*AJ28,0))</f>
        <v/>
      </c>
      <c r="AD28" s="111" t="str">
        <f aca="false">IF($B28="","",(IF(الموظفون!$X28&lt;&gt;"",الموظفون!$X28,IF(الموظفون!$E28="غير سعودي",cfg_IQ,0))+IF(الموظفون!$Y28&lt;&gt;"",الموظفون!$Y28,IF(الموظفون!$E28="غير سعودي",cfg_WP,0)))/12*G28/cfg_DAYS_M)</f>
        <v/>
      </c>
      <c r="AE28" s="111" t="str">
        <f aca="false">IF($B28="","",IF(الموظفون!$Z28&lt;&gt;"",الموظفون!$Z28,cfg_MED)/12*G28/cfg_DAYS_M)</f>
        <v/>
      </c>
      <c r="AF28" s="111" t="str">
        <f aca="false">IF($B28="","",N(الموظفون!$AA28)/12*G28/cfg_DAYS_M)</f>
        <v/>
      </c>
      <c r="AG28" s="154" t="str">
        <f aca="false">IF($B28="","",T28+SUM(Z28:AF28))</f>
        <v/>
      </c>
      <c r="AH28" s="155" t="str">
        <f aca="false">IF($B28="","",MAX(0,IF(OR(الموظفون!$AE28="",الموظفون!$AE28&gt;$F$3),$F$3,الموظفون!$AE28)-الموظفون!$H28+1-SUMIFS('سجل الإجازات والحالات'!$AO$6:$AO$505,'سجل الإجازات والحالات'!$B$6:$B$505,$B28))/cfg_DAYS_Y)</f>
        <v/>
      </c>
      <c r="AI28" s="155" t="str">
        <f aca="false">IF($B28="","",MAX(0,IF(OR(الموظفون!$AE28="",الموظفون!$AE28&gt;($E$3-1)),($E$3-1),الموظفون!$AE28)-الموظفون!$H28+1-SUMIFS('سجل الإجازات والحالات'!$AN$6:$AN$505,'سجل الإجازات والحالات'!$B$6:$B$505,$B28))/cfg_DAYS_Y)</f>
        <v/>
      </c>
      <c r="AJ28" s="65" t="str">
        <f aca="false">IF($B28="","",MAX(0,AK28-(SUMIFS('سجل الإجازات والحالات'!$AO$6:$AO$505,'سجل الإجازات والحالات'!$B$6:$B$505,$B28)-SUMIFS('سجل الإجازات والحالات'!$AN$6:$AN$505,'سجل الإجازات والحالات'!$B$6:$B$505,$B28))))</f>
        <v/>
      </c>
      <c r="AK28" s="65" t="str">
        <f aca="false">IF($B28="","",MAX(0,IF(OR(الموظفون!$AE28="",الموظفون!$AE28&gt;$F$3),$F$3,الموظفون!$AE28)-MAX($E$3,الموظفون!$H28)+1))</f>
        <v/>
      </c>
      <c r="AL28" s="151" t="str">
        <f aca="false">IF($B28="","",SUMIFS('سجل الإجازات والحالات'!$BA$6:$BA$505,'سجل الإجازات والحالات'!$B$6:$B$505,$B28)+SUMIFS('الحركات الشهرية'!$K$6:$K$1005,'الحركات الشهرية'!$B$6:$B$1005,$B28,'الحركات الشهرية'!$A$6:$A$1005,$C$3))</f>
        <v/>
      </c>
      <c r="AM28" s="111" t="str">
        <f aca="false">IF($B28="","",AL28*الموظفون!$R28/cfg_DAYS_M+S28)</f>
        <v/>
      </c>
      <c r="AN28" s="151" t="str">
        <f aca="false">IF($B28="","",SUMIFS('سجل الإجازات والحالات'!$AC$6:$AC$505,'سجل الإجازات والحالات'!$B$6:$B$505,$B28))</f>
        <v/>
      </c>
    </row>
    <row r="29" customFormat="false" ht="15" hidden="false" customHeight="false" outlineLevel="0" collapsed="false">
      <c r="A29" s="115" t="str">
        <f aca="false">IF($B29="","",الموظفون!$A29)</f>
        <v/>
      </c>
      <c r="B29" s="117" t="str">
        <f aca="false">IF(الموظفون!$B29="","",الموظفون!$B29)</f>
        <v/>
      </c>
      <c r="C29" s="117" t="str">
        <f aca="false">IF($B29="","",الموظفون!$C29)</f>
        <v/>
      </c>
      <c r="D29" s="117" t="str">
        <f aca="false">IF($B29="","",الموظفون!$F29)</f>
        <v/>
      </c>
      <c r="E29" s="117" t="str">
        <f aca="false">IF($B29="","",الموظفون!$E29)</f>
        <v/>
      </c>
      <c r="F29" s="117" t="str">
        <f aca="false">IF($B29="","",IF(AK29=0,IF(AND(الموظفون!$AE29&lt;&gt;"",الموظفون!$AE29&lt;$E$3),"✖ منتهي الخدمة","⏳ لم يباشر"),IF(S29&gt;0,"✈ راتب إجازة مقدم",IF(J29=0,"⛔ بدون راتب هذا الشهر",IF(I29&gt;0,"✈ خصم "&amp;ROUND(I29,2)&amp;" يوم بدون أجر",IF(AL29&gt;0,"🌴 إجازة سنوية "&amp;ROUND(AL29,2)&amp;" يوم",IF(H29&gt;0,"⚠ غياب "&amp;ROUND(H29,2)&amp;" يوم","✔ على رأس العمل")))))))</f>
        <v/>
      </c>
      <c r="G29" s="156" t="str">
        <f aca="false">IF($B29="","",IF(AK29&gt;=DAY($F$3),cfg_DAYS_M,MIN(AK29,cfg_DAYS_M)))</f>
        <v/>
      </c>
      <c r="H29" s="156" t="str">
        <f aca="false">IF($B29="","",SUMIFS('الحركات الشهرية'!$D$6:$D$1005,'الحركات الشهرية'!$B$6:$B$1005,$B29,'الحركات الشهرية'!$A$6:$A$1005,$C$3))</f>
        <v/>
      </c>
      <c r="I29" s="156" t="str">
        <f aca="false">IF($B29="","",MIN(G29,IF(AND(AK29&gt;0,AN29&gt;=AK29),G29,AN29)+SUMIFS('الحركات الشهرية'!$E$6:$E$1005,'الحركات الشهرية'!$B$6:$B$1005,$B29,'الحركات الشهرية'!$A$6:$A$1005,$C$3)))</f>
        <v/>
      </c>
      <c r="J29" s="156" t="str">
        <f aca="false">IF($B29="","",MAX(0,G29-H29-I29))</f>
        <v/>
      </c>
      <c r="K29" s="116" t="str">
        <f aca="false">IF($B29="","",الموظفون!$L29*$J29/cfg_DAYS_M)</f>
        <v/>
      </c>
      <c r="L29" s="116" t="str">
        <f aca="false">IF($B29="","",الموظفون!$M29*$J29/cfg_DAYS_M)</f>
        <v/>
      </c>
      <c r="M29" s="116" t="str">
        <f aca="false">IF($B29="","",الموظفون!$N29*$J29/cfg_DAYS_M)</f>
        <v/>
      </c>
      <c r="N29" s="116" t="str">
        <f aca="false">IF($B29="","",الموظفون!$O29*$J29/cfg_DAYS_M)</f>
        <v/>
      </c>
      <c r="O29" s="156" t="str">
        <f aca="false">IF($B29="","",SUMIFS('الحركات الشهرية'!$F$6:$F$1005,'الحركات الشهرية'!$B$6:$B$1005,$B29,'الحركات الشهرية'!$A$6:$A$1005,$C$3))</f>
        <v/>
      </c>
      <c r="P29" s="116" t="str">
        <f aca="false">IF($B29="","",O29*(الموظفون!$P29+الموظفون!$L29*cfg_OT_P)/cfg_DAYS_M/cfg_HRS)</f>
        <v/>
      </c>
      <c r="Q29" s="116" t="str">
        <f aca="false">IF($B29="","",SUMIFS('الحركات الشهرية'!$G$6:$G$1005,'الحركات الشهرية'!$B$6:$B$1005,$B29,'الحركات الشهرية'!$A$6:$A$1005,$C$3))</f>
        <v/>
      </c>
      <c r="R29" s="116" t="str">
        <f aca="false">IF($B29="","",SUMIFS('الحركات الشهرية'!$H$6:$H$1005,'الحركات الشهرية'!$B$6:$B$1005,$B29,'الحركات الشهرية'!$A$6:$A$1005,$C$3))</f>
        <v/>
      </c>
      <c r="S29" s="116" t="str">
        <f aca="false">IF($B29="","",SUMIFS('سجل الإجازات والحالات'!$N$6:$N$505,'سجل الإجازات والحالات'!$B$6:$B$505,$B29,'سجل الإجازات والحالات'!$O$6:$O$505,$C$3))</f>
        <v/>
      </c>
      <c r="T29" s="157" t="str">
        <f aca="false">IF($B29="","",SUM(K29:N29)+SUM(P29:S29))</f>
        <v/>
      </c>
      <c r="U29" s="116" t="str">
        <f aca="false">IF($B29="","",الموظفون!$S29*IF(E29="سعودي",cfg_G_SE,cfg_G_NE)*G29/cfg_DAYS_M)</f>
        <v/>
      </c>
      <c r="V29" s="116" t="str">
        <f aca="false">IF($B29="","",SUMIFS('الحركات الشهرية'!$I$6:$I$1005,'الحركات الشهرية'!$B$6:$B$1005,$B29,'الحركات الشهرية'!$A$6:$A$1005,$C$3))</f>
        <v/>
      </c>
      <c r="W29" s="116" t="str">
        <f aca="false">IF($B29="","",SUMIFS('الحركات الشهرية'!$J$6:$J$1005,'الحركات الشهرية'!$B$6:$B$1005,$B29,'الحركات الشهرية'!$A$6:$A$1005,$C$3))</f>
        <v/>
      </c>
      <c r="X29" s="116" t="str">
        <f aca="false">IF($B29="","",SUM(U29:W29))</f>
        <v/>
      </c>
      <c r="Y29" s="158" t="str">
        <f aca="false">IF($B29="","",T29-X29)</f>
        <v/>
      </c>
      <c r="Z29" s="116" t="str">
        <f aca="false">IF($B29="","",الموظفون!$S29*IF(E29="سعودي",cfg_G_SR,cfg_G_NR)*G29/cfg_DAYS_M)</f>
        <v/>
      </c>
      <c r="AA29" s="116" t="str">
        <f aca="false">IF($B29="","",الموظفون!$Q29*(cfg_EOS_R1*(MIN(AH29,cfg_EOS_TH)-MIN(AI29,cfg_EOS_TH))+cfg_EOS_R2*(MAX(AH29-cfg_EOS_TH,0)-MAX(AI29-cfg_EOS_TH,0))))</f>
        <v/>
      </c>
      <c r="AB29" s="116" t="str">
        <f aca="false">IF($B29="","",IF(الموظفون!$T29&lt;&gt;"",الموظفون!$T29,IF(AH29&gt;=cfg_LV_TH,cfg_LV_D2,cfg_LV_D1))/cfg_DAYS_Y*AJ29*الموظفون!$R29/cfg_DAYS_M)</f>
        <v/>
      </c>
      <c r="AC29" s="116" t="str">
        <f aca="false">IF($B29="","",IF(AND(الموظفون!$U29="نعم",N(الموظفون!$W29)&gt;0),الموظفون!$V29/الموظفون!$W29*12/cfg_DAYS_Y*AJ29,0))</f>
        <v/>
      </c>
      <c r="AD29" s="116" t="str">
        <f aca="false">IF($B29="","",(IF(الموظفون!$X29&lt;&gt;"",الموظفون!$X29,IF(الموظفون!$E29="غير سعودي",cfg_IQ,0))+IF(الموظفون!$Y29&lt;&gt;"",الموظفون!$Y29,IF(الموظفون!$E29="غير سعودي",cfg_WP,0)))/12*G29/cfg_DAYS_M)</f>
        <v/>
      </c>
      <c r="AE29" s="116" t="str">
        <f aca="false">IF($B29="","",IF(الموظفون!$Z29&lt;&gt;"",الموظفون!$Z29,cfg_MED)/12*G29/cfg_DAYS_M)</f>
        <v/>
      </c>
      <c r="AF29" s="116" t="str">
        <f aca="false">IF($B29="","",N(الموظفون!$AA29)/12*G29/cfg_DAYS_M)</f>
        <v/>
      </c>
      <c r="AG29" s="159" t="str">
        <f aca="false">IF($B29="","",T29+SUM(Z29:AF29))</f>
        <v/>
      </c>
      <c r="AH29" s="160" t="str">
        <f aca="false">IF($B29="","",MAX(0,IF(OR(الموظفون!$AE29="",الموظفون!$AE29&gt;$F$3),$F$3,الموظفون!$AE29)-الموظفون!$H29+1-SUMIFS('سجل الإجازات والحالات'!$AO$6:$AO$505,'سجل الإجازات والحالات'!$B$6:$B$505,$B29))/cfg_DAYS_Y)</f>
        <v/>
      </c>
      <c r="AI29" s="160" t="str">
        <f aca="false">IF($B29="","",MAX(0,IF(OR(الموظفون!$AE29="",الموظفون!$AE29&gt;($E$3-1)),($E$3-1),الموظفون!$AE29)-الموظفون!$H29+1-SUMIFS('سجل الإجازات والحالات'!$AN$6:$AN$505,'سجل الإجازات والحالات'!$B$6:$B$505,$B29))/cfg_DAYS_Y)</f>
        <v/>
      </c>
      <c r="AJ29" s="133" t="str">
        <f aca="false">IF($B29="","",MAX(0,AK29-(SUMIFS('سجل الإجازات والحالات'!$AO$6:$AO$505,'سجل الإجازات والحالات'!$B$6:$B$505,$B29)-SUMIFS('سجل الإجازات والحالات'!$AN$6:$AN$505,'سجل الإجازات والحالات'!$B$6:$B$505,$B29))))</f>
        <v/>
      </c>
      <c r="AK29" s="133" t="str">
        <f aca="false">IF($B29="","",MAX(0,IF(OR(الموظفون!$AE29="",الموظفون!$AE29&gt;$F$3),$F$3,الموظفون!$AE29)-MAX($E$3,الموظفون!$H29)+1))</f>
        <v/>
      </c>
      <c r="AL29" s="156" t="str">
        <f aca="false">IF($B29="","",SUMIFS('سجل الإجازات والحالات'!$BA$6:$BA$505,'سجل الإجازات والحالات'!$B$6:$B$505,$B29)+SUMIFS('الحركات الشهرية'!$K$6:$K$1005,'الحركات الشهرية'!$B$6:$B$1005,$B29,'الحركات الشهرية'!$A$6:$A$1005,$C$3))</f>
        <v/>
      </c>
      <c r="AM29" s="116" t="str">
        <f aca="false">IF($B29="","",AL29*الموظفون!$R29/cfg_DAYS_M+S29)</f>
        <v/>
      </c>
      <c r="AN29" s="156" t="str">
        <f aca="false">IF($B29="","",SUMIFS('سجل الإجازات والحالات'!$AC$6:$AC$505,'سجل الإجازات والحالات'!$B$6:$B$505,$B29))</f>
        <v/>
      </c>
    </row>
    <row r="30" customFormat="false" ht="15" hidden="false" customHeight="false" outlineLevel="0" collapsed="false">
      <c r="A30" s="106" t="str">
        <f aca="false">IF($B30="","",الموظفون!$A30)</f>
        <v/>
      </c>
      <c r="B30" s="114" t="str">
        <f aca="false">IF(الموظفون!$B30="","",الموظفون!$B30)</f>
        <v/>
      </c>
      <c r="C30" s="114" t="str">
        <f aca="false">IF($B30="","",الموظفون!$C30)</f>
        <v/>
      </c>
      <c r="D30" s="114" t="str">
        <f aca="false">IF($B30="","",الموظفون!$F30)</f>
        <v/>
      </c>
      <c r="E30" s="114" t="str">
        <f aca="false">IF($B30="","",الموظفون!$E30)</f>
        <v/>
      </c>
      <c r="F30" s="114" t="str">
        <f aca="false">IF($B30="","",IF(AK30=0,IF(AND(الموظفون!$AE30&lt;&gt;"",الموظفون!$AE30&lt;$E$3),"✖ منتهي الخدمة","⏳ لم يباشر"),IF(S30&gt;0,"✈ راتب إجازة مقدم",IF(J30=0,"⛔ بدون راتب هذا الشهر",IF(I30&gt;0,"✈ خصم "&amp;ROUND(I30,2)&amp;" يوم بدون أجر",IF(AL30&gt;0,"🌴 إجازة سنوية "&amp;ROUND(AL30,2)&amp;" يوم",IF(H30&gt;0,"⚠ غياب "&amp;ROUND(H30,2)&amp;" يوم","✔ على رأس العمل")))))))</f>
        <v/>
      </c>
      <c r="G30" s="151" t="str">
        <f aca="false">IF($B30="","",IF(AK30&gt;=DAY($F$3),cfg_DAYS_M,MIN(AK30,cfg_DAYS_M)))</f>
        <v/>
      </c>
      <c r="H30" s="151" t="str">
        <f aca="false">IF($B30="","",SUMIFS('الحركات الشهرية'!$D$6:$D$1005,'الحركات الشهرية'!$B$6:$B$1005,$B30,'الحركات الشهرية'!$A$6:$A$1005,$C$3))</f>
        <v/>
      </c>
      <c r="I30" s="151" t="str">
        <f aca="false">IF($B30="","",MIN(G30,IF(AND(AK30&gt;0,AN30&gt;=AK30),G30,AN30)+SUMIFS('الحركات الشهرية'!$E$6:$E$1005,'الحركات الشهرية'!$B$6:$B$1005,$B30,'الحركات الشهرية'!$A$6:$A$1005,$C$3)))</f>
        <v/>
      </c>
      <c r="J30" s="151" t="str">
        <f aca="false">IF($B30="","",MAX(0,G30-H30-I30))</f>
        <v/>
      </c>
      <c r="K30" s="111" t="str">
        <f aca="false">IF($B30="","",الموظفون!$L30*$J30/cfg_DAYS_M)</f>
        <v/>
      </c>
      <c r="L30" s="111" t="str">
        <f aca="false">IF($B30="","",الموظفون!$M30*$J30/cfg_DAYS_M)</f>
        <v/>
      </c>
      <c r="M30" s="111" t="str">
        <f aca="false">IF($B30="","",الموظفون!$N30*$J30/cfg_DAYS_M)</f>
        <v/>
      </c>
      <c r="N30" s="111" t="str">
        <f aca="false">IF($B30="","",الموظفون!$O30*$J30/cfg_DAYS_M)</f>
        <v/>
      </c>
      <c r="O30" s="151" t="str">
        <f aca="false">IF($B30="","",SUMIFS('الحركات الشهرية'!$F$6:$F$1005,'الحركات الشهرية'!$B$6:$B$1005,$B30,'الحركات الشهرية'!$A$6:$A$1005,$C$3))</f>
        <v/>
      </c>
      <c r="P30" s="111" t="str">
        <f aca="false">IF($B30="","",O30*(الموظفون!$P30+الموظفون!$L30*cfg_OT_P)/cfg_DAYS_M/cfg_HRS)</f>
        <v/>
      </c>
      <c r="Q30" s="111" t="str">
        <f aca="false">IF($B30="","",SUMIFS('الحركات الشهرية'!$G$6:$G$1005,'الحركات الشهرية'!$B$6:$B$1005,$B30,'الحركات الشهرية'!$A$6:$A$1005,$C$3))</f>
        <v/>
      </c>
      <c r="R30" s="111" t="str">
        <f aca="false">IF($B30="","",SUMIFS('الحركات الشهرية'!$H$6:$H$1005,'الحركات الشهرية'!$B$6:$B$1005,$B30,'الحركات الشهرية'!$A$6:$A$1005,$C$3))</f>
        <v/>
      </c>
      <c r="S30" s="111" t="str">
        <f aca="false">IF($B30="","",SUMIFS('سجل الإجازات والحالات'!$N$6:$N$505,'سجل الإجازات والحالات'!$B$6:$B$505,$B30,'سجل الإجازات والحالات'!$O$6:$O$505,$C$3))</f>
        <v/>
      </c>
      <c r="T30" s="152" t="str">
        <f aca="false">IF($B30="","",SUM(K30:N30)+SUM(P30:S30))</f>
        <v/>
      </c>
      <c r="U30" s="111" t="str">
        <f aca="false">IF($B30="","",الموظفون!$S30*IF(E30="سعودي",cfg_G_SE,cfg_G_NE)*G30/cfg_DAYS_M)</f>
        <v/>
      </c>
      <c r="V30" s="111" t="str">
        <f aca="false">IF($B30="","",SUMIFS('الحركات الشهرية'!$I$6:$I$1005,'الحركات الشهرية'!$B$6:$B$1005,$B30,'الحركات الشهرية'!$A$6:$A$1005,$C$3))</f>
        <v/>
      </c>
      <c r="W30" s="111" t="str">
        <f aca="false">IF($B30="","",SUMIFS('الحركات الشهرية'!$J$6:$J$1005,'الحركات الشهرية'!$B$6:$B$1005,$B30,'الحركات الشهرية'!$A$6:$A$1005,$C$3))</f>
        <v/>
      </c>
      <c r="X30" s="111" t="str">
        <f aca="false">IF($B30="","",SUM(U30:W30))</f>
        <v/>
      </c>
      <c r="Y30" s="153" t="str">
        <f aca="false">IF($B30="","",T30-X30)</f>
        <v/>
      </c>
      <c r="Z30" s="111" t="str">
        <f aca="false">IF($B30="","",الموظفون!$S30*IF(E30="سعودي",cfg_G_SR,cfg_G_NR)*G30/cfg_DAYS_M)</f>
        <v/>
      </c>
      <c r="AA30" s="111" t="str">
        <f aca="false">IF($B30="","",الموظفون!$Q30*(cfg_EOS_R1*(MIN(AH30,cfg_EOS_TH)-MIN(AI30,cfg_EOS_TH))+cfg_EOS_R2*(MAX(AH30-cfg_EOS_TH,0)-MAX(AI30-cfg_EOS_TH,0))))</f>
        <v/>
      </c>
      <c r="AB30" s="111" t="str">
        <f aca="false">IF($B30="","",IF(الموظفون!$T30&lt;&gt;"",الموظفون!$T30,IF(AH30&gt;=cfg_LV_TH,cfg_LV_D2,cfg_LV_D1))/cfg_DAYS_Y*AJ30*الموظفون!$R30/cfg_DAYS_M)</f>
        <v/>
      </c>
      <c r="AC30" s="111" t="str">
        <f aca="false">IF($B30="","",IF(AND(الموظفون!$U30="نعم",N(الموظفون!$W30)&gt;0),الموظفون!$V30/الموظفون!$W30*12/cfg_DAYS_Y*AJ30,0))</f>
        <v/>
      </c>
      <c r="AD30" s="111" t="str">
        <f aca="false">IF($B30="","",(IF(الموظفون!$X30&lt;&gt;"",الموظفون!$X30,IF(الموظفون!$E30="غير سعودي",cfg_IQ,0))+IF(الموظفون!$Y30&lt;&gt;"",الموظفون!$Y30,IF(الموظفون!$E30="غير سعودي",cfg_WP,0)))/12*G30/cfg_DAYS_M)</f>
        <v/>
      </c>
      <c r="AE30" s="111" t="str">
        <f aca="false">IF($B30="","",IF(الموظفون!$Z30&lt;&gt;"",الموظفون!$Z30,cfg_MED)/12*G30/cfg_DAYS_M)</f>
        <v/>
      </c>
      <c r="AF30" s="111" t="str">
        <f aca="false">IF($B30="","",N(الموظفون!$AA30)/12*G30/cfg_DAYS_M)</f>
        <v/>
      </c>
      <c r="AG30" s="154" t="str">
        <f aca="false">IF($B30="","",T30+SUM(Z30:AF30))</f>
        <v/>
      </c>
      <c r="AH30" s="155" t="str">
        <f aca="false">IF($B30="","",MAX(0,IF(OR(الموظفون!$AE30="",الموظفون!$AE30&gt;$F$3),$F$3,الموظفون!$AE30)-الموظفون!$H30+1-SUMIFS('سجل الإجازات والحالات'!$AO$6:$AO$505,'سجل الإجازات والحالات'!$B$6:$B$505,$B30))/cfg_DAYS_Y)</f>
        <v/>
      </c>
      <c r="AI30" s="155" t="str">
        <f aca="false">IF($B30="","",MAX(0,IF(OR(الموظفون!$AE30="",الموظفون!$AE30&gt;($E$3-1)),($E$3-1),الموظفون!$AE30)-الموظفون!$H30+1-SUMIFS('سجل الإجازات والحالات'!$AN$6:$AN$505,'سجل الإجازات والحالات'!$B$6:$B$505,$B30))/cfg_DAYS_Y)</f>
        <v/>
      </c>
      <c r="AJ30" s="65" t="str">
        <f aca="false">IF($B30="","",MAX(0,AK30-(SUMIFS('سجل الإجازات والحالات'!$AO$6:$AO$505,'سجل الإجازات والحالات'!$B$6:$B$505,$B30)-SUMIFS('سجل الإجازات والحالات'!$AN$6:$AN$505,'سجل الإجازات والحالات'!$B$6:$B$505,$B30))))</f>
        <v/>
      </c>
      <c r="AK30" s="65" t="str">
        <f aca="false">IF($B30="","",MAX(0,IF(OR(الموظفون!$AE30="",الموظفون!$AE30&gt;$F$3),$F$3,الموظفون!$AE30)-MAX($E$3,الموظفون!$H30)+1))</f>
        <v/>
      </c>
      <c r="AL30" s="151" t="str">
        <f aca="false">IF($B30="","",SUMIFS('سجل الإجازات والحالات'!$BA$6:$BA$505,'سجل الإجازات والحالات'!$B$6:$B$505,$B30)+SUMIFS('الحركات الشهرية'!$K$6:$K$1005,'الحركات الشهرية'!$B$6:$B$1005,$B30,'الحركات الشهرية'!$A$6:$A$1005,$C$3))</f>
        <v/>
      </c>
      <c r="AM30" s="111" t="str">
        <f aca="false">IF($B30="","",AL30*الموظفون!$R30/cfg_DAYS_M+S30)</f>
        <v/>
      </c>
      <c r="AN30" s="151" t="str">
        <f aca="false">IF($B30="","",SUMIFS('سجل الإجازات والحالات'!$AC$6:$AC$505,'سجل الإجازات والحالات'!$B$6:$B$505,$B30))</f>
        <v/>
      </c>
    </row>
    <row r="31" customFormat="false" ht="15" hidden="false" customHeight="false" outlineLevel="0" collapsed="false">
      <c r="A31" s="115" t="str">
        <f aca="false">IF($B31="","",الموظفون!$A31)</f>
        <v/>
      </c>
      <c r="B31" s="117" t="str">
        <f aca="false">IF(الموظفون!$B31="","",الموظفون!$B31)</f>
        <v/>
      </c>
      <c r="C31" s="117" t="str">
        <f aca="false">IF($B31="","",الموظفون!$C31)</f>
        <v/>
      </c>
      <c r="D31" s="117" t="str">
        <f aca="false">IF($B31="","",الموظفون!$F31)</f>
        <v/>
      </c>
      <c r="E31" s="117" t="str">
        <f aca="false">IF($B31="","",الموظفون!$E31)</f>
        <v/>
      </c>
      <c r="F31" s="117" t="str">
        <f aca="false">IF($B31="","",IF(AK31=0,IF(AND(الموظفون!$AE31&lt;&gt;"",الموظفون!$AE31&lt;$E$3),"✖ منتهي الخدمة","⏳ لم يباشر"),IF(S31&gt;0,"✈ راتب إجازة مقدم",IF(J31=0,"⛔ بدون راتب هذا الشهر",IF(I31&gt;0,"✈ خصم "&amp;ROUND(I31,2)&amp;" يوم بدون أجر",IF(AL31&gt;0,"🌴 إجازة سنوية "&amp;ROUND(AL31,2)&amp;" يوم",IF(H31&gt;0,"⚠ غياب "&amp;ROUND(H31,2)&amp;" يوم","✔ على رأس العمل")))))))</f>
        <v/>
      </c>
      <c r="G31" s="156" t="str">
        <f aca="false">IF($B31="","",IF(AK31&gt;=DAY($F$3),cfg_DAYS_M,MIN(AK31,cfg_DAYS_M)))</f>
        <v/>
      </c>
      <c r="H31" s="156" t="str">
        <f aca="false">IF($B31="","",SUMIFS('الحركات الشهرية'!$D$6:$D$1005,'الحركات الشهرية'!$B$6:$B$1005,$B31,'الحركات الشهرية'!$A$6:$A$1005,$C$3))</f>
        <v/>
      </c>
      <c r="I31" s="156" t="str">
        <f aca="false">IF($B31="","",MIN(G31,IF(AND(AK31&gt;0,AN31&gt;=AK31),G31,AN31)+SUMIFS('الحركات الشهرية'!$E$6:$E$1005,'الحركات الشهرية'!$B$6:$B$1005,$B31,'الحركات الشهرية'!$A$6:$A$1005,$C$3)))</f>
        <v/>
      </c>
      <c r="J31" s="156" t="str">
        <f aca="false">IF($B31="","",MAX(0,G31-H31-I31))</f>
        <v/>
      </c>
      <c r="K31" s="116" t="str">
        <f aca="false">IF($B31="","",الموظفون!$L31*$J31/cfg_DAYS_M)</f>
        <v/>
      </c>
      <c r="L31" s="116" t="str">
        <f aca="false">IF($B31="","",الموظفون!$M31*$J31/cfg_DAYS_M)</f>
        <v/>
      </c>
      <c r="M31" s="116" t="str">
        <f aca="false">IF($B31="","",الموظفون!$N31*$J31/cfg_DAYS_M)</f>
        <v/>
      </c>
      <c r="N31" s="116" t="str">
        <f aca="false">IF($B31="","",الموظفون!$O31*$J31/cfg_DAYS_M)</f>
        <v/>
      </c>
      <c r="O31" s="156" t="str">
        <f aca="false">IF($B31="","",SUMIFS('الحركات الشهرية'!$F$6:$F$1005,'الحركات الشهرية'!$B$6:$B$1005,$B31,'الحركات الشهرية'!$A$6:$A$1005,$C$3))</f>
        <v/>
      </c>
      <c r="P31" s="116" t="str">
        <f aca="false">IF($B31="","",O31*(الموظفون!$P31+الموظفون!$L31*cfg_OT_P)/cfg_DAYS_M/cfg_HRS)</f>
        <v/>
      </c>
      <c r="Q31" s="116" t="str">
        <f aca="false">IF($B31="","",SUMIFS('الحركات الشهرية'!$G$6:$G$1005,'الحركات الشهرية'!$B$6:$B$1005,$B31,'الحركات الشهرية'!$A$6:$A$1005,$C$3))</f>
        <v/>
      </c>
      <c r="R31" s="116" t="str">
        <f aca="false">IF($B31="","",SUMIFS('الحركات الشهرية'!$H$6:$H$1005,'الحركات الشهرية'!$B$6:$B$1005,$B31,'الحركات الشهرية'!$A$6:$A$1005,$C$3))</f>
        <v/>
      </c>
      <c r="S31" s="116" t="str">
        <f aca="false">IF($B31="","",SUMIFS('سجل الإجازات والحالات'!$N$6:$N$505,'سجل الإجازات والحالات'!$B$6:$B$505,$B31,'سجل الإجازات والحالات'!$O$6:$O$505,$C$3))</f>
        <v/>
      </c>
      <c r="T31" s="157" t="str">
        <f aca="false">IF($B31="","",SUM(K31:N31)+SUM(P31:S31))</f>
        <v/>
      </c>
      <c r="U31" s="116" t="str">
        <f aca="false">IF($B31="","",الموظفون!$S31*IF(E31="سعودي",cfg_G_SE,cfg_G_NE)*G31/cfg_DAYS_M)</f>
        <v/>
      </c>
      <c r="V31" s="116" t="str">
        <f aca="false">IF($B31="","",SUMIFS('الحركات الشهرية'!$I$6:$I$1005,'الحركات الشهرية'!$B$6:$B$1005,$B31,'الحركات الشهرية'!$A$6:$A$1005,$C$3))</f>
        <v/>
      </c>
      <c r="W31" s="116" t="str">
        <f aca="false">IF($B31="","",SUMIFS('الحركات الشهرية'!$J$6:$J$1005,'الحركات الشهرية'!$B$6:$B$1005,$B31,'الحركات الشهرية'!$A$6:$A$1005,$C$3))</f>
        <v/>
      </c>
      <c r="X31" s="116" t="str">
        <f aca="false">IF($B31="","",SUM(U31:W31))</f>
        <v/>
      </c>
      <c r="Y31" s="158" t="str">
        <f aca="false">IF($B31="","",T31-X31)</f>
        <v/>
      </c>
      <c r="Z31" s="116" t="str">
        <f aca="false">IF($B31="","",الموظفون!$S31*IF(E31="سعودي",cfg_G_SR,cfg_G_NR)*G31/cfg_DAYS_M)</f>
        <v/>
      </c>
      <c r="AA31" s="116" t="str">
        <f aca="false">IF($B31="","",الموظفون!$Q31*(cfg_EOS_R1*(MIN(AH31,cfg_EOS_TH)-MIN(AI31,cfg_EOS_TH))+cfg_EOS_R2*(MAX(AH31-cfg_EOS_TH,0)-MAX(AI31-cfg_EOS_TH,0))))</f>
        <v/>
      </c>
      <c r="AB31" s="116" t="str">
        <f aca="false">IF($B31="","",IF(الموظفون!$T31&lt;&gt;"",الموظفون!$T31,IF(AH31&gt;=cfg_LV_TH,cfg_LV_D2,cfg_LV_D1))/cfg_DAYS_Y*AJ31*الموظفون!$R31/cfg_DAYS_M)</f>
        <v/>
      </c>
      <c r="AC31" s="116" t="str">
        <f aca="false">IF($B31="","",IF(AND(الموظفون!$U31="نعم",N(الموظفون!$W31)&gt;0),الموظفون!$V31/الموظفون!$W31*12/cfg_DAYS_Y*AJ31,0))</f>
        <v/>
      </c>
      <c r="AD31" s="116" t="str">
        <f aca="false">IF($B31="","",(IF(الموظفون!$X31&lt;&gt;"",الموظفون!$X31,IF(الموظفون!$E31="غير سعودي",cfg_IQ,0))+IF(الموظفون!$Y31&lt;&gt;"",الموظفون!$Y31,IF(الموظفون!$E31="غير سعودي",cfg_WP,0)))/12*G31/cfg_DAYS_M)</f>
        <v/>
      </c>
      <c r="AE31" s="116" t="str">
        <f aca="false">IF($B31="","",IF(الموظفون!$Z31&lt;&gt;"",الموظفون!$Z31,cfg_MED)/12*G31/cfg_DAYS_M)</f>
        <v/>
      </c>
      <c r="AF31" s="116" t="str">
        <f aca="false">IF($B31="","",N(الموظفون!$AA31)/12*G31/cfg_DAYS_M)</f>
        <v/>
      </c>
      <c r="AG31" s="159" t="str">
        <f aca="false">IF($B31="","",T31+SUM(Z31:AF31))</f>
        <v/>
      </c>
      <c r="AH31" s="160" t="str">
        <f aca="false">IF($B31="","",MAX(0,IF(OR(الموظفون!$AE31="",الموظفون!$AE31&gt;$F$3),$F$3,الموظفون!$AE31)-الموظفون!$H31+1-SUMIFS('سجل الإجازات والحالات'!$AO$6:$AO$505,'سجل الإجازات والحالات'!$B$6:$B$505,$B31))/cfg_DAYS_Y)</f>
        <v/>
      </c>
      <c r="AI31" s="160" t="str">
        <f aca="false">IF($B31="","",MAX(0,IF(OR(الموظفون!$AE31="",الموظفون!$AE31&gt;($E$3-1)),($E$3-1),الموظفون!$AE31)-الموظفون!$H31+1-SUMIFS('سجل الإجازات والحالات'!$AN$6:$AN$505,'سجل الإجازات والحالات'!$B$6:$B$505,$B31))/cfg_DAYS_Y)</f>
        <v/>
      </c>
      <c r="AJ31" s="133" t="str">
        <f aca="false">IF($B31="","",MAX(0,AK31-(SUMIFS('سجل الإجازات والحالات'!$AO$6:$AO$505,'سجل الإجازات والحالات'!$B$6:$B$505,$B31)-SUMIFS('سجل الإجازات والحالات'!$AN$6:$AN$505,'سجل الإجازات والحالات'!$B$6:$B$505,$B31))))</f>
        <v/>
      </c>
      <c r="AK31" s="133" t="str">
        <f aca="false">IF($B31="","",MAX(0,IF(OR(الموظفون!$AE31="",الموظفون!$AE31&gt;$F$3),$F$3,الموظفون!$AE31)-MAX($E$3,الموظفون!$H31)+1))</f>
        <v/>
      </c>
      <c r="AL31" s="156" t="str">
        <f aca="false">IF($B31="","",SUMIFS('سجل الإجازات والحالات'!$BA$6:$BA$505,'سجل الإجازات والحالات'!$B$6:$B$505,$B31)+SUMIFS('الحركات الشهرية'!$K$6:$K$1005,'الحركات الشهرية'!$B$6:$B$1005,$B31,'الحركات الشهرية'!$A$6:$A$1005,$C$3))</f>
        <v/>
      </c>
      <c r="AM31" s="116" t="str">
        <f aca="false">IF($B31="","",AL31*الموظفون!$R31/cfg_DAYS_M+S31)</f>
        <v/>
      </c>
      <c r="AN31" s="156" t="str">
        <f aca="false">IF($B31="","",SUMIFS('سجل الإجازات والحالات'!$AC$6:$AC$505,'سجل الإجازات والحالات'!$B$6:$B$505,$B31))</f>
        <v/>
      </c>
    </row>
    <row r="32" customFormat="false" ht="15" hidden="false" customHeight="false" outlineLevel="0" collapsed="false">
      <c r="A32" s="106" t="str">
        <f aca="false">IF($B32="","",الموظفون!$A32)</f>
        <v/>
      </c>
      <c r="B32" s="114" t="str">
        <f aca="false">IF(الموظفون!$B32="","",الموظفون!$B32)</f>
        <v/>
      </c>
      <c r="C32" s="114" t="str">
        <f aca="false">IF($B32="","",الموظفون!$C32)</f>
        <v/>
      </c>
      <c r="D32" s="114" t="str">
        <f aca="false">IF($B32="","",الموظفون!$F32)</f>
        <v/>
      </c>
      <c r="E32" s="114" t="str">
        <f aca="false">IF($B32="","",الموظفون!$E32)</f>
        <v/>
      </c>
      <c r="F32" s="114" t="str">
        <f aca="false">IF($B32="","",IF(AK32=0,IF(AND(الموظفون!$AE32&lt;&gt;"",الموظفون!$AE32&lt;$E$3),"✖ منتهي الخدمة","⏳ لم يباشر"),IF(S32&gt;0,"✈ راتب إجازة مقدم",IF(J32=0,"⛔ بدون راتب هذا الشهر",IF(I32&gt;0,"✈ خصم "&amp;ROUND(I32,2)&amp;" يوم بدون أجر",IF(AL32&gt;0,"🌴 إجازة سنوية "&amp;ROUND(AL32,2)&amp;" يوم",IF(H32&gt;0,"⚠ غياب "&amp;ROUND(H32,2)&amp;" يوم","✔ على رأس العمل")))))))</f>
        <v/>
      </c>
      <c r="G32" s="151" t="str">
        <f aca="false">IF($B32="","",IF(AK32&gt;=DAY($F$3),cfg_DAYS_M,MIN(AK32,cfg_DAYS_M)))</f>
        <v/>
      </c>
      <c r="H32" s="151" t="str">
        <f aca="false">IF($B32="","",SUMIFS('الحركات الشهرية'!$D$6:$D$1005,'الحركات الشهرية'!$B$6:$B$1005,$B32,'الحركات الشهرية'!$A$6:$A$1005,$C$3))</f>
        <v/>
      </c>
      <c r="I32" s="151" t="str">
        <f aca="false">IF($B32="","",MIN(G32,IF(AND(AK32&gt;0,AN32&gt;=AK32),G32,AN32)+SUMIFS('الحركات الشهرية'!$E$6:$E$1005,'الحركات الشهرية'!$B$6:$B$1005,$B32,'الحركات الشهرية'!$A$6:$A$1005,$C$3)))</f>
        <v/>
      </c>
      <c r="J32" s="151" t="str">
        <f aca="false">IF($B32="","",MAX(0,G32-H32-I32))</f>
        <v/>
      </c>
      <c r="K32" s="111" t="str">
        <f aca="false">IF($B32="","",الموظفون!$L32*$J32/cfg_DAYS_M)</f>
        <v/>
      </c>
      <c r="L32" s="111" t="str">
        <f aca="false">IF($B32="","",الموظفون!$M32*$J32/cfg_DAYS_M)</f>
        <v/>
      </c>
      <c r="M32" s="111" t="str">
        <f aca="false">IF($B32="","",الموظفون!$N32*$J32/cfg_DAYS_M)</f>
        <v/>
      </c>
      <c r="N32" s="111" t="str">
        <f aca="false">IF($B32="","",الموظفون!$O32*$J32/cfg_DAYS_M)</f>
        <v/>
      </c>
      <c r="O32" s="151" t="str">
        <f aca="false">IF($B32="","",SUMIFS('الحركات الشهرية'!$F$6:$F$1005,'الحركات الشهرية'!$B$6:$B$1005,$B32,'الحركات الشهرية'!$A$6:$A$1005,$C$3))</f>
        <v/>
      </c>
      <c r="P32" s="111" t="str">
        <f aca="false">IF($B32="","",O32*(الموظفون!$P32+الموظفون!$L32*cfg_OT_P)/cfg_DAYS_M/cfg_HRS)</f>
        <v/>
      </c>
      <c r="Q32" s="111" t="str">
        <f aca="false">IF($B32="","",SUMIFS('الحركات الشهرية'!$G$6:$G$1005,'الحركات الشهرية'!$B$6:$B$1005,$B32,'الحركات الشهرية'!$A$6:$A$1005,$C$3))</f>
        <v/>
      </c>
      <c r="R32" s="111" t="str">
        <f aca="false">IF($B32="","",SUMIFS('الحركات الشهرية'!$H$6:$H$1005,'الحركات الشهرية'!$B$6:$B$1005,$B32,'الحركات الشهرية'!$A$6:$A$1005,$C$3))</f>
        <v/>
      </c>
      <c r="S32" s="111" t="str">
        <f aca="false">IF($B32="","",SUMIFS('سجل الإجازات والحالات'!$N$6:$N$505,'سجل الإجازات والحالات'!$B$6:$B$505,$B32,'سجل الإجازات والحالات'!$O$6:$O$505,$C$3))</f>
        <v/>
      </c>
      <c r="T32" s="152" t="str">
        <f aca="false">IF($B32="","",SUM(K32:N32)+SUM(P32:S32))</f>
        <v/>
      </c>
      <c r="U32" s="111" t="str">
        <f aca="false">IF($B32="","",الموظفون!$S32*IF(E32="سعودي",cfg_G_SE,cfg_G_NE)*G32/cfg_DAYS_M)</f>
        <v/>
      </c>
      <c r="V32" s="111" t="str">
        <f aca="false">IF($B32="","",SUMIFS('الحركات الشهرية'!$I$6:$I$1005,'الحركات الشهرية'!$B$6:$B$1005,$B32,'الحركات الشهرية'!$A$6:$A$1005,$C$3))</f>
        <v/>
      </c>
      <c r="W32" s="111" t="str">
        <f aca="false">IF($B32="","",SUMIFS('الحركات الشهرية'!$J$6:$J$1005,'الحركات الشهرية'!$B$6:$B$1005,$B32,'الحركات الشهرية'!$A$6:$A$1005,$C$3))</f>
        <v/>
      </c>
      <c r="X32" s="111" t="str">
        <f aca="false">IF($B32="","",SUM(U32:W32))</f>
        <v/>
      </c>
      <c r="Y32" s="153" t="str">
        <f aca="false">IF($B32="","",T32-X32)</f>
        <v/>
      </c>
      <c r="Z32" s="111" t="str">
        <f aca="false">IF($B32="","",الموظفون!$S32*IF(E32="سعودي",cfg_G_SR,cfg_G_NR)*G32/cfg_DAYS_M)</f>
        <v/>
      </c>
      <c r="AA32" s="111" t="str">
        <f aca="false">IF($B32="","",الموظفون!$Q32*(cfg_EOS_R1*(MIN(AH32,cfg_EOS_TH)-MIN(AI32,cfg_EOS_TH))+cfg_EOS_R2*(MAX(AH32-cfg_EOS_TH,0)-MAX(AI32-cfg_EOS_TH,0))))</f>
        <v/>
      </c>
      <c r="AB32" s="111" t="str">
        <f aca="false">IF($B32="","",IF(الموظفون!$T32&lt;&gt;"",الموظفون!$T32,IF(AH32&gt;=cfg_LV_TH,cfg_LV_D2,cfg_LV_D1))/cfg_DAYS_Y*AJ32*الموظفون!$R32/cfg_DAYS_M)</f>
        <v/>
      </c>
      <c r="AC32" s="111" t="str">
        <f aca="false">IF($B32="","",IF(AND(الموظفون!$U32="نعم",N(الموظفون!$W32)&gt;0),الموظفون!$V32/الموظفون!$W32*12/cfg_DAYS_Y*AJ32,0))</f>
        <v/>
      </c>
      <c r="AD32" s="111" t="str">
        <f aca="false">IF($B32="","",(IF(الموظفون!$X32&lt;&gt;"",الموظفون!$X32,IF(الموظفون!$E32="غير سعودي",cfg_IQ,0))+IF(الموظفون!$Y32&lt;&gt;"",الموظفون!$Y32,IF(الموظفون!$E32="غير سعودي",cfg_WP,0)))/12*G32/cfg_DAYS_M)</f>
        <v/>
      </c>
      <c r="AE32" s="111" t="str">
        <f aca="false">IF($B32="","",IF(الموظفون!$Z32&lt;&gt;"",الموظفون!$Z32,cfg_MED)/12*G32/cfg_DAYS_M)</f>
        <v/>
      </c>
      <c r="AF32" s="111" t="str">
        <f aca="false">IF($B32="","",N(الموظفون!$AA32)/12*G32/cfg_DAYS_M)</f>
        <v/>
      </c>
      <c r="AG32" s="154" t="str">
        <f aca="false">IF($B32="","",T32+SUM(Z32:AF32))</f>
        <v/>
      </c>
      <c r="AH32" s="155" t="str">
        <f aca="false">IF($B32="","",MAX(0,IF(OR(الموظفون!$AE32="",الموظفون!$AE32&gt;$F$3),$F$3,الموظفون!$AE32)-الموظفون!$H32+1-SUMIFS('سجل الإجازات والحالات'!$AO$6:$AO$505,'سجل الإجازات والحالات'!$B$6:$B$505,$B32))/cfg_DAYS_Y)</f>
        <v/>
      </c>
      <c r="AI32" s="155" t="str">
        <f aca="false">IF($B32="","",MAX(0,IF(OR(الموظفون!$AE32="",الموظفون!$AE32&gt;($E$3-1)),($E$3-1),الموظفون!$AE32)-الموظفون!$H32+1-SUMIFS('سجل الإجازات والحالات'!$AN$6:$AN$505,'سجل الإجازات والحالات'!$B$6:$B$505,$B32))/cfg_DAYS_Y)</f>
        <v/>
      </c>
      <c r="AJ32" s="65" t="str">
        <f aca="false">IF($B32="","",MAX(0,AK32-(SUMIFS('سجل الإجازات والحالات'!$AO$6:$AO$505,'سجل الإجازات والحالات'!$B$6:$B$505,$B32)-SUMIFS('سجل الإجازات والحالات'!$AN$6:$AN$505,'سجل الإجازات والحالات'!$B$6:$B$505,$B32))))</f>
        <v/>
      </c>
      <c r="AK32" s="65" t="str">
        <f aca="false">IF($B32="","",MAX(0,IF(OR(الموظفون!$AE32="",الموظفون!$AE32&gt;$F$3),$F$3,الموظفون!$AE32)-MAX($E$3,الموظفون!$H32)+1))</f>
        <v/>
      </c>
      <c r="AL32" s="151" t="str">
        <f aca="false">IF($B32="","",SUMIFS('سجل الإجازات والحالات'!$BA$6:$BA$505,'سجل الإجازات والحالات'!$B$6:$B$505,$B32)+SUMIFS('الحركات الشهرية'!$K$6:$K$1005,'الحركات الشهرية'!$B$6:$B$1005,$B32,'الحركات الشهرية'!$A$6:$A$1005,$C$3))</f>
        <v/>
      </c>
      <c r="AM32" s="111" t="str">
        <f aca="false">IF($B32="","",AL32*الموظفون!$R32/cfg_DAYS_M+S32)</f>
        <v/>
      </c>
      <c r="AN32" s="151" t="str">
        <f aca="false">IF($B32="","",SUMIFS('سجل الإجازات والحالات'!$AC$6:$AC$505,'سجل الإجازات والحالات'!$B$6:$B$505,$B32))</f>
        <v/>
      </c>
    </row>
    <row r="33" customFormat="false" ht="15" hidden="false" customHeight="false" outlineLevel="0" collapsed="false">
      <c r="A33" s="115" t="str">
        <f aca="false">IF($B33="","",الموظفون!$A33)</f>
        <v/>
      </c>
      <c r="B33" s="117" t="str">
        <f aca="false">IF(الموظفون!$B33="","",الموظفون!$B33)</f>
        <v/>
      </c>
      <c r="C33" s="117" t="str">
        <f aca="false">IF($B33="","",الموظفون!$C33)</f>
        <v/>
      </c>
      <c r="D33" s="117" t="str">
        <f aca="false">IF($B33="","",الموظفون!$F33)</f>
        <v/>
      </c>
      <c r="E33" s="117" t="str">
        <f aca="false">IF($B33="","",الموظفون!$E33)</f>
        <v/>
      </c>
      <c r="F33" s="117" t="str">
        <f aca="false">IF($B33="","",IF(AK33=0,IF(AND(الموظفون!$AE33&lt;&gt;"",الموظفون!$AE33&lt;$E$3),"✖ منتهي الخدمة","⏳ لم يباشر"),IF(S33&gt;0,"✈ راتب إجازة مقدم",IF(J33=0,"⛔ بدون راتب هذا الشهر",IF(I33&gt;0,"✈ خصم "&amp;ROUND(I33,2)&amp;" يوم بدون أجر",IF(AL33&gt;0,"🌴 إجازة سنوية "&amp;ROUND(AL33,2)&amp;" يوم",IF(H33&gt;0,"⚠ غياب "&amp;ROUND(H33,2)&amp;" يوم","✔ على رأس العمل")))))))</f>
        <v/>
      </c>
      <c r="G33" s="156" t="str">
        <f aca="false">IF($B33="","",IF(AK33&gt;=DAY($F$3),cfg_DAYS_M,MIN(AK33,cfg_DAYS_M)))</f>
        <v/>
      </c>
      <c r="H33" s="156" t="str">
        <f aca="false">IF($B33="","",SUMIFS('الحركات الشهرية'!$D$6:$D$1005,'الحركات الشهرية'!$B$6:$B$1005,$B33,'الحركات الشهرية'!$A$6:$A$1005,$C$3))</f>
        <v/>
      </c>
      <c r="I33" s="156" t="str">
        <f aca="false">IF($B33="","",MIN(G33,IF(AND(AK33&gt;0,AN33&gt;=AK33),G33,AN33)+SUMIFS('الحركات الشهرية'!$E$6:$E$1005,'الحركات الشهرية'!$B$6:$B$1005,$B33,'الحركات الشهرية'!$A$6:$A$1005,$C$3)))</f>
        <v/>
      </c>
      <c r="J33" s="156" t="str">
        <f aca="false">IF($B33="","",MAX(0,G33-H33-I33))</f>
        <v/>
      </c>
      <c r="K33" s="116" t="str">
        <f aca="false">IF($B33="","",الموظفون!$L33*$J33/cfg_DAYS_M)</f>
        <v/>
      </c>
      <c r="L33" s="116" t="str">
        <f aca="false">IF($B33="","",الموظفون!$M33*$J33/cfg_DAYS_M)</f>
        <v/>
      </c>
      <c r="M33" s="116" t="str">
        <f aca="false">IF($B33="","",الموظفون!$N33*$J33/cfg_DAYS_M)</f>
        <v/>
      </c>
      <c r="N33" s="116" t="str">
        <f aca="false">IF($B33="","",الموظفون!$O33*$J33/cfg_DAYS_M)</f>
        <v/>
      </c>
      <c r="O33" s="156" t="str">
        <f aca="false">IF($B33="","",SUMIFS('الحركات الشهرية'!$F$6:$F$1005,'الحركات الشهرية'!$B$6:$B$1005,$B33,'الحركات الشهرية'!$A$6:$A$1005,$C$3))</f>
        <v/>
      </c>
      <c r="P33" s="116" t="str">
        <f aca="false">IF($B33="","",O33*(الموظفون!$P33+الموظفون!$L33*cfg_OT_P)/cfg_DAYS_M/cfg_HRS)</f>
        <v/>
      </c>
      <c r="Q33" s="116" t="str">
        <f aca="false">IF($B33="","",SUMIFS('الحركات الشهرية'!$G$6:$G$1005,'الحركات الشهرية'!$B$6:$B$1005,$B33,'الحركات الشهرية'!$A$6:$A$1005,$C$3))</f>
        <v/>
      </c>
      <c r="R33" s="116" t="str">
        <f aca="false">IF($B33="","",SUMIFS('الحركات الشهرية'!$H$6:$H$1005,'الحركات الشهرية'!$B$6:$B$1005,$B33,'الحركات الشهرية'!$A$6:$A$1005,$C$3))</f>
        <v/>
      </c>
      <c r="S33" s="116" t="str">
        <f aca="false">IF($B33="","",SUMIFS('سجل الإجازات والحالات'!$N$6:$N$505,'سجل الإجازات والحالات'!$B$6:$B$505,$B33,'سجل الإجازات والحالات'!$O$6:$O$505,$C$3))</f>
        <v/>
      </c>
      <c r="T33" s="157" t="str">
        <f aca="false">IF($B33="","",SUM(K33:N33)+SUM(P33:S33))</f>
        <v/>
      </c>
      <c r="U33" s="116" t="str">
        <f aca="false">IF($B33="","",الموظفون!$S33*IF(E33="سعودي",cfg_G_SE,cfg_G_NE)*G33/cfg_DAYS_M)</f>
        <v/>
      </c>
      <c r="V33" s="116" t="str">
        <f aca="false">IF($B33="","",SUMIFS('الحركات الشهرية'!$I$6:$I$1005,'الحركات الشهرية'!$B$6:$B$1005,$B33,'الحركات الشهرية'!$A$6:$A$1005,$C$3))</f>
        <v/>
      </c>
      <c r="W33" s="116" t="str">
        <f aca="false">IF($B33="","",SUMIFS('الحركات الشهرية'!$J$6:$J$1005,'الحركات الشهرية'!$B$6:$B$1005,$B33,'الحركات الشهرية'!$A$6:$A$1005,$C$3))</f>
        <v/>
      </c>
      <c r="X33" s="116" t="str">
        <f aca="false">IF($B33="","",SUM(U33:W33))</f>
        <v/>
      </c>
      <c r="Y33" s="158" t="str">
        <f aca="false">IF($B33="","",T33-X33)</f>
        <v/>
      </c>
      <c r="Z33" s="116" t="str">
        <f aca="false">IF($B33="","",الموظفون!$S33*IF(E33="سعودي",cfg_G_SR,cfg_G_NR)*G33/cfg_DAYS_M)</f>
        <v/>
      </c>
      <c r="AA33" s="116" t="str">
        <f aca="false">IF($B33="","",الموظفون!$Q33*(cfg_EOS_R1*(MIN(AH33,cfg_EOS_TH)-MIN(AI33,cfg_EOS_TH))+cfg_EOS_R2*(MAX(AH33-cfg_EOS_TH,0)-MAX(AI33-cfg_EOS_TH,0))))</f>
        <v/>
      </c>
      <c r="AB33" s="116" t="str">
        <f aca="false">IF($B33="","",IF(الموظفون!$T33&lt;&gt;"",الموظفون!$T33,IF(AH33&gt;=cfg_LV_TH,cfg_LV_D2,cfg_LV_D1))/cfg_DAYS_Y*AJ33*الموظفون!$R33/cfg_DAYS_M)</f>
        <v/>
      </c>
      <c r="AC33" s="116" t="str">
        <f aca="false">IF($B33="","",IF(AND(الموظفون!$U33="نعم",N(الموظفون!$W33)&gt;0),الموظفون!$V33/الموظفون!$W33*12/cfg_DAYS_Y*AJ33,0))</f>
        <v/>
      </c>
      <c r="AD33" s="116" t="str">
        <f aca="false">IF($B33="","",(IF(الموظفون!$X33&lt;&gt;"",الموظفون!$X33,IF(الموظفون!$E33="غير سعودي",cfg_IQ,0))+IF(الموظفون!$Y33&lt;&gt;"",الموظفون!$Y33,IF(الموظفون!$E33="غير سعودي",cfg_WP,0)))/12*G33/cfg_DAYS_M)</f>
        <v/>
      </c>
      <c r="AE33" s="116" t="str">
        <f aca="false">IF($B33="","",IF(الموظفون!$Z33&lt;&gt;"",الموظفون!$Z33,cfg_MED)/12*G33/cfg_DAYS_M)</f>
        <v/>
      </c>
      <c r="AF33" s="116" t="str">
        <f aca="false">IF($B33="","",N(الموظفون!$AA33)/12*G33/cfg_DAYS_M)</f>
        <v/>
      </c>
      <c r="AG33" s="159" t="str">
        <f aca="false">IF($B33="","",T33+SUM(Z33:AF33))</f>
        <v/>
      </c>
      <c r="AH33" s="160" t="str">
        <f aca="false">IF($B33="","",MAX(0,IF(OR(الموظفون!$AE33="",الموظفون!$AE33&gt;$F$3),$F$3,الموظفون!$AE33)-الموظفون!$H33+1-SUMIFS('سجل الإجازات والحالات'!$AO$6:$AO$505,'سجل الإجازات والحالات'!$B$6:$B$505,$B33))/cfg_DAYS_Y)</f>
        <v/>
      </c>
      <c r="AI33" s="160" t="str">
        <f aca="false">IF($B33="","",MAX(0,IF(OR(الموظفون!$AE33="",الموظفون!$AE33&gt;($E$3-1)),($E$3-1),الموظفون!$AE33)-الموظفون!$H33+1-SUMIFS('سجل الإجازات والحالات'!$AN$6:$AN$505,'سجل الإجازات والحالات'!$B$6:$B$505,$B33))/cfg_DAYS_Y)</f>
        <v/>
      </c>
      <c r="AJ33" s="133" t="str">
        <f aca="false">IF($B33="","",MAX(0,AK33-(SUMIFS('سجل الإجازات والحالات'!$AO$6:$AO$505,'سجل الإجازات والحالات'!$B$6:$B$505,$B33)-SUMIFS('سجل الإجازات والحالات'!$AN$6:$AN$505,'سجل الإجازات والحالات'!$B$6:$B$505,$B33))))</f>
        <v/>
      </c>
      <c r="AK33" s="133" t="str">
        <f aca="false">IF($B33="","",MAX(0,IF(OR(الموظفون!$AE33="",الموظفون!$AE33&gt;$F$3),$F$3,الموظفون!$AE33)-MAX($E$3,الموظفون!$H33)+1))</f>
        <v/>
      </c>
      <c r="AL33" s="156" t="str">
        <f aca="false">IF($B33="","",SUMIFS('سجل الإجازات والحالات'!$BA$6:$BA$505,'سجل الإجازات والحالات'!$B$6:$B$505,$B33)+SUMIFS('الحركات الشهرية'!$K$6:$K$1005,'الحركات الشهرية'!$B$6:$B$1005,$B33,'الحركات الشهرية'!$A$6:$A$1005,$C$3))</f>
        <v/>
      </c>
      <c r="AM33" s="116" t="str">
        <f aca="false">IF($B33="","",AL33*الموظفون!$R33/cfg_DAYS_M+S33)</f>
        <v/>
      </c>
      <c r="AN33" s="156" t="str">
        <f aca="false">IF($B33="","",SUMIFS('سجل الإجازات والحالات'!$AC$6:$AC$505,'سجل الإجازات والحالات'!$B$6:$B$505,$B33))</f>
        <v/>
      </c>
    </row>
    <row r="34" customFormat="false" ht="15" hidden="false" customHeight="false" outlineLevel="0" collapsed="false">
      <c r="A34" s="106" t="str">
        <f aca="false">IF($B34="","",الموظفون!$A34)</f>
        <v/>
      </c>
      <c r="B34" s="114" t="str">
        <f aca="false">IF(الموظفون!$B34="","",الموظفون!$B34)</f>
        <v/>
      </c>
      <c r="C34" s="114" t="str">
        <f aca="false">IF($B34="","",الموظفون!$C34)</f>
        <v/>
      </c>
      <c r="D34" s="114" t="str">
        <f aca="false">IF($B34="","",الموظفون!$F34)</f>
        <v/>
      </c>
      <c r="E34" s="114" t="str">
        <f aca="false">IF($B34="","",الموظفون!$E34)</f>
        <v/>
      </c>
      <c r="F34" s="114" t="str">
        <f aca="false">IF($B34="","",IF(AK34=0,IF(AND(الموظفون!$AE34&lt;&gt;"",الموظفون!$AE34&lt;$E$3),"✖ منتهي الخدمة","⏳ لم يباشر"),IF(S34&gt;0,"✈ راتب إجازة مقدم",IF(J34=0,"⛔ بدون راتب هذا الشهر",IF(I34&gt;0,"✈ خصم "&amp;ROUND(I34,2)&amp;" يوم بدون أجر",IF(AL34&gt;0,"🌴 إجازة سنوية "&amp;ROUND(AL34,2)&amp;" يوم",IF(H34&gt;0,"⚠ غياب "&amp;ROUND(H34,2)&amp;" يوم","✔ على رأس العمل")))))))</f>
        <v/>
      </c>
      <c r="G34" s="151" t="str">
        <f aca="false">IF($B34="","",IF(AK34&gt;=DAY($F$3),cfg_DAYS_M,MIN(AK34,cfg_DAYS_M)))</f>
        <v/>
      </c>
      <c r="H34" s="151" t="str">
        <f aca="false">IF($B34="","",SUMIFS('الحركات الشهرية'!$D$6:$D$1005,'الحركات الشهرية'!$B$6:$B$1005,$B34,'الحركات الشهرية'!$A$6:$A$1005,$C$3))</f>
        <v/>
      </c>
      <c r="I34" s="151" t="str">
        <f aca="false">IF($B34="","",MIN(G34,IF(AND(AK34&gt;0,AN34&gt;=AK34),G34,AN34)+SUMIFS('الحركات الشهرية'!$E$6:$E$1005,'الحركات الشهرية'!$B$6:$B$1005,$B34,'الحركات الشهرية'!$A$6:$A$1005,$C$3)))</f>
        <v/>
      </c>
      <c r="J34" s="151" t="str">
        <f aca="false">IF($B34="","",MAX(0,G34-H34-I34))</f>
        <v/>
      </c>
      <c r="K34" s="111" t="str">
        <f aca="false">IF($B34="","",الموظفون!$L34*$J34/cfg_DAYS_M)</f>
        <v/>
      </c>
      <c r="L34" s="111" t="str">
        <f aca="false">IF($B34="","",الموظفون!$M34*$J34/cfg_DAYS_M)</f>
        <v/>
      </c>
      <c r="M34" s="111" t="str">
        <f aca="false">IF($B34="","",الموظفون!$N34*$J34/cfg_DAYS_M)</f>
        <v/>
      </c>
      <c r="N34" s="111" t="str">
        <f aca="false">IF($B34="","",الموظفون!$O34*$J34/cfg_DAYS_M)</f>
        <v/>
      </c>
      <c r="O34" s="151" t="str">
        <f aca="false">IF($B34="","",SUMIFS('الحركات الشهرية'!$F$6:$F$1005,'الحركات الشهرية'!$B$6:$B$1005,$B34,'الحركات الشهرية'!$A$6:$A$1005,$C$3))</f>
        <v/>
      </c>
      <c r="P34" s="111" t="str">
        <f aca="false">IF($B34="","",O34*(الموظفون!$P34+الموظفون!$L34*cfg_OT_P)/cfg_DAYS_M/cfg_HRS)</f>
        <v/>
      </c>
      <c r="Q34" s="111" t="str">
        <f aca="false">IF($B34="","",SUMIFS('الحركات الشهرية'!$G$6:$G$1005,'الحركات الشهرية'!$B$6:$B$1005,$B34,'الحركات الشهرية'!$A$6:$A$1005,$C$3))</f>
        <v/>
      </c>
      <c r="R34" s="111" t="str">
        <f aca="false">IF($B34="","",SUMIFS('الحركات الشهرية'!$H$6:$H$1005,'الحركات الشهرية'!$B$6:$B$1005,$B34,'الحركات الشهرية'!$A$6:$A$1005,$C$3))</f>
        <v/>
      </c>
      <c r="S34" s="111" t="str">
        <f aca="false">IF($B34="","",SUMIFS('سجل الإجازات والحالات'!$N$6:$N$505,'سجل الإجازات والحالات'!$B$6:$B$505,$B34,'سجل الإجازات والحالات'!$O$6:$O$505,$C$3))</f>
        <v/>
      </c>
      <c r="T34" s="152" t="str">
        <f aca="false">IF($B34="","",SUM(K34:N34)+SUM(P34:S34))</f>
        <v/>
      </c>
      <c r="U34" s="111" t="str">
        <f aca="false">IF($B34="","",الموظفون!$S34*IF(E34="سعودي",cfg_G_SE,cfg_G_NE)*G34/cfg_DAYS_M)</f>
        <v/>
      </c>
      <c r="V34" s="111" t="str">
        <f aca="false">IF($B34="","",SUMIFS('الحركات الشهرية'!$I$6:$I$1005,'الحركات الشهرية'!$B$6:$B$1005,$B34,'الحركات الشهرية'!$A$6:$A$1005,$C$3))</f>
        <v/>
      </c>
      <c r="W34" s="111" t="str">
        <f aca="false">IF($B34="","",SUMIFS('الحركات الشهرية'!$J$6:$J$1005,'الحركات الشهرية'!$B$6:$B$1005,$B34,'الحركات الشهرية'!$A$6:$A$1005,$C$3))</f>
        <v/>
      </c>
      <c r="X34" s="111" t="str">
        <f aca="false">IF($B34="","",SUM(U34:W34))</f>
        <v/>
      </c>
      <c r="Y34" s="153" t="str">
        <f aca="false">IF($B34="","",T34-X34)</f>
        <v/>
      </c>
      <c r="Z34" s="111" t="str">
        <f aca="false">IF($B34="","",الموظفون!$S34*IF(E34="سعودي",cfg_G_SR,cfg_G_NR)*G34/cfg_DAYS_M)</f>
        <v/>
      </c>
      <c r="AA34" s="111" t="str">
        <f aca="false">IF($B34="","",الموظفون!$Q34*(cfg_EOS_R1*(MIN(AH34,cfg_EOS_TH)-MIN(AI34,cfg_EOS_TH))+cfg_EOS_R2*(MAX(AH34-cfg_EOS_TH,0)-MAX(AI34-cfg_EOS_TH,0))))</f>
        <v/>
      </c>
      <c r="AB34" s="111" t="str">
        <f aca="false">IF($B34="","",IF(الموظفون!$T34&lt;&gt;"",الموظفون!$T34,IF(AH34&gt;=cfg_LV_TH,cfg_LV_D2,cfg_LV_D1))/cfg_DAYS_Y*AJ34*الموظفون!$R34/cfg_DAYS_M)</f>
        <v/>
      </c>
      <c r="AC34" s="111" t="str">
        <f aca="false">IF($B34="","",IF(AND(الموظفون!$U34="نعم",N(الموظفون!$W34)&gt;0),الموظفون!$V34/الموظفون!$W34*12/cfg_DAYS_Y*AJ34,0))</f>
        <v/>
      </c>
      <c r="AD34" s="111" t="str">
        <f aca="false">IF($B34="","",(IF(الموظفون!$X34&lt;&gt;"",الموظفون!$X34,IF(الموظفون!$E34="غير سعودي",cfg_IQ,0))+IF(الموظفون!$Y34&lt;&gt;"",الموظفون!$Y34,IF(الموظفون!$E34="غير سعودي",cfg_WP,0)))/12*G34/cfg_DAYS_M)</f>
        <v/>
      </c>
      <c r="AE34" s="111" t="str">
        <f aca="false">IF($B34="","",IF(الموظفون!$Z34&lt;&gt;"",الموظفون!$Z34,cfg_MED)/12*G34/cfg_DAYS_M)</f>
        <v/>
      </c>
      <c r="AF34" s="111" t="str">
        <f aca="false">IF($B34="","",N(الموظفون!$AA34)/12*G34/cfg_DAYS_M)</f>
        <v/>
      </c>
      <c r="AG34" s="154" t="str">
        <f aca="false">IF($B34="","",T34+SUM(Z34:AF34))</f>
        <v/>
      </c>
      <c r="AH34" s="155" t="str">
        <f aca="false">IF($B34="","",MAX(0,IF(OR(الموظفون!$AE34="",الموظفون!$AE34&gt;$F$3),$F$3,الموظفون!$AE34)-الموظفون!$H34+1-SUMIFS('سجل الإجازات والحالات'!$AO$6:$AO$505,'سجل الإجازات والحالات'!$B$6:$B$505,$B34))/cfg_DAYS_Y)</f>
        <v/>
      </c>
      <c r="AI34" s="155" t="str">
        <f aca="false">IF($B34="","",MAX(0,IF(OR(الموظفون!$AE34="",الموظفون!$AE34&gt;($E$3-1)),($E$3-1),الموظفون!$AE34)-الموظفون!$H34+1-SUMIFS('سجل الإجازات والحالات'!$AN$6:$AN$505,'سجل الإجازات والحالات'!$B$6:$B$505,$B34))/cfg_DAYS_Y)</f>
        <v/>
      </c>
      <c r="AJ34" s="65" t="str">
        <f aca="false">IF($B34="","",MAX(0,AK34-(SUMIFS('سجل الإجازات والحالات'!$AO$6:$AO$505,'سجل الإجازات والحالات'!$B$6:$B$505,$B34)-SUMIFS('سجل الإجازات والحالات'!$AN$6:$AN$505,'سجل الإجازات والحالات'!$B$6:$B$505,$B34))))</f>
        <v/>
      </c>
      <c r="AK34" s="65" t="str">
        <f aca="false">IF($B34="","",MAX(0,IF(OR(الموظفون!$AE34="",الموظفون!$AE34&gt;$F$3),$F$3,الموظفون!$AE34)-MAX($E$3,الموظفون!$H34)+1))</f>
        <v/>
      </c>
      <c r="AL34" s="151" t="str">
        <f aca="false">IF($B34="","",SUMIFS('سجل الإجازات والحالات'!$BA$6:$BA$505,'سجل الإجازات والحالات'!$B$6:$B$505,$B34)+SUMIFS('الحركات الشهرية'!$K$6:$K$1005,'الحركات الشهرية'!$B$6:$B$1005,$B34,'الحركات الشهرية'!$A$6:$A$1005,$C$3))</f>
        <v/>
      </c>
      <c r="AM34" s="111" t="str">
        <f aca="false">IF($B34="","",AL34*الموظفون!$R34/cfg_DAYS_M+S34)</f>
        <v/>
      </c>
      <c r="AN34" s="151" t="str">
        <f aca="false">IF($B34="","",SUMIFS('سجل الإجازات والحالات'!$AC$6:$AC$505,'سجل الإجازات والحالات'!$B$6:$B$505,$B34))</f>
        <v/>
      </c>
    </row>
    <row r="35" customFormat="false" ht="15" hidden="false" customHeight="false" outlineLevel="0" collapsed="false">
      <c r="A35" s="115" t="str">
        <f aca="false">IF($B35="","",الموظفون!$A35)</f>
        <v/>
      </c>
      <c r="B35" s="117" t="str">
        <f aca="false">IF(الموظفون!$B35="","",الموظفون!$B35)</f>
        <v/>
      </c>
      <c r="C35" s="117" t="str">
        <f aca="false">IF($B35="","",الموظفون!$C35)</f>
        <v/>
      </c>
      <c r="D35" s="117" t="str">
        <f aca="false">IF($B35="","",الموظفون!$F35)</f>
        <v/>
      </c>
      <c r="E35" s="117" t="str">
        <f aca="false">IF($B35="","",الموظفون!$E35)</f>
        <v/>
      </c>
      <c r="F35" s="117" t="str">
        <f aca="false">IF($B35="","",IF(AK35=0,IF(AND(الموظفون!$AE35&lt;&gt;"",الموظفون!$AE35&lt;$E$3),"✖ منتهي الخدمة","⏳ لم يباشر"),IF(S35&gt;0,"✈ راتب إجازة مقدم",IF(J35=0,"⛔ بدون راتب هذا الشهر",IF(I35&gt;0,"✈ خصم "&amp;ROUND(I35,2)&amp;" يوم بدون أجر",IF(AL35&gt;0,"🌴 إجازة سنوية "&amp;ROUND(AL35,2)&amp;" يوم",IF(H35&gt;0,"⚠ غياب "&amp;ROUND(H35,2)&amp;" يوم","✔ على رأس العمل")))))))</f>
        <v/>
      </c>
      <c r="G35" s="156" t="str">
        <f aca="false">IF($B35="","",IF(AK35&gt;=DAY($F$3),cfg_DAYS_M,MIN(AK35,cfg_DAYS_M)))</f>
        <v/>
      </c>
      <c r="H35" s="156" t="str">
        <f aca="false">IF($B35="","",SUMIFS('الحركات الشهرية'!$D$6:$D$1005,'الحركات الشهرية'!$B$6:$B$1005,$B35,'الحركات الشهرية'!$A$6:$A$1005,$C$3))</f>
        <v/>
      </c>
      <c r="I35" s="156" t="str">
        <f aca="false">IF($B35="","",MIN(G35,IF(AND(AK35&gt;0,AN35&gt;=AK35),G35,AN35)+SUMIFS('الحركات الشهرية'!$E$6:$E$1005,'الحركات الشهرية'!$B$6:$B$1005,$B35,'الحركات الشهرية'!$A$6:$A$1005,$C$3)))</f>
        <v/>
      </c>
      <c r="J35" s="156" t="str">
        <f aca="false">IF($B35="","",MAX(0,G35-H35-I35))</f>
        <v/>
      </c>
      <c r="K35" s="116" t="str">
        <f aca="false">IF($B35="","",الموظفون!$L35*$J35/cfg_DAYS_M)</f>
        <v/>
      </c>
      <c r="L35" s="116" t="str">
        <f aca="false">IF($B35="","",الموظفون!$M35*$J35/cfg_DAYS_M)</f>
        <v/>
      </c>
      <c r="M35" s="116" t="str">
        <f aca="false">IF($B35="","",الموظفون!$N35*$J35/cfg_DAYS_M)</f>
        <v/>
      </c>
      <c r="N35" s="116" t="str">
        <f aca="false">IF($B35="","",الموظفون!$O35*$J35/cfg_DAYS_M)</f>
        <v/>
      </c>
      <c r="O35" s="156" t="str">
        <f aca="false">IF($B35="","",SUMIFS('الحركات الشهرية'!$F$6:$F$1005,'الحركات الشهرية'!$B$6:$B$1005,$B35,'الحركات الشهرية'!$A$6:$A$1005,$C$3))</f>
        <v/>
      </c>
      <c r="P35" s="116" t="str">
        <f aca="false">IF($B35="","",O35*(الموظفون!$P35+الموظفون!$L35*cfg_OT_P)/cfg_DAYS_M/cfg_HRS)</f>
        <v/>
      </c>
      <c r="Q35" s="116" t="str">
        <f aca="false">IF($B35="","",SUMIFS('الحركات الشهرية'!$G$6:$G$1005,'الحركات الشهرية'!$B$6:$B$1005,$B35,'الحركات الشهرية'!$A$6:$A$1005,$C$3))</f>
        <v/>
      </c>
      <c r="R35" s="116" t="str">
        <f aca="false">IF($B35="","",SUMIFS('الحركات الشهرية'!$H$6:$H$1005,'الحركات الشهرية'!$B$6:$B$1005,$B35,'الحركات الشهرية'!$A$6:$A$1005,$C$3))</f>
        <v/>
      </c>
      <c r="S35" s="116" t="str">
        <f aca="false">IF($B35="","",SUMIFS('سجل الإجازات والحالات'!$N$6:$N$505,'سجل الإجازات والحالات'!$B$6:$B$505,$B35,'سجل الإجازات والحالات'!$O$6:$O$505,$C$3))</f>
        <v/>
      </c>
      <c r="T35" s="157" t="str">
        <f aca="false">IF($B35="","",SUM(K35:N35)+SUM(P35:S35))</f>
        <v/>
      </c>
      <c r="U35" s="116" t="str">
        <f aca="false">IF($B35="","",الموظفون!$S35*IF(E35="سعودي",cfg_G_SE,cfg_G_NE)*G35/cfg_DAYS_M)</f>
        <v/>
      </c>
      <c r="V35" s="116" t="str">
        <f aca="false">IF($B35="","",SUMIFS('الحركات الشهرية'!$I$6:$I$1005,'الحركات الشهرية'!$B$6:$B$1005,$B35,'الحركات الشهرية'!$A$6:$A$1005,$C$3))</f>
        <v/>
      </c>
      <c r="W35" s="116" t="str">
        <f aca="false">IF($B35="","",SUMIFS('الحركات الشهرية'!$J$6:$J$1005,'الحركات الشهرية'!$B$6:$B$1005,$B35,'الحركات الشهرية'!$A$6:$A$1005,$C$3))</f>
        <v/>
      </c>
      <c r="X35" s="116" t="str">
        <f aca="false">IF($B35="","",SUM(U35:W35))</f>
        <v/>
      </c>
      <c r="Y35" s="158" t="str">
        <f aca="false">IF($B35="","",T35-X35)</f>
        <v/>
      </c>
      <c r="Z35" s="116" t="str">
        <f aca="false">IF($B35="","",الموظفون!$S35*IF(E35="سعودي",cfg_G_SR,cfg_G_NR)*G35/cfg_DAYS_M)</f>
        <v/>
      </c>
      <c r="AA35" s="116" t="str">
        <f aca="false">IF($B35="","",الموظفون!$Q35*(cfg_EOS_R1*(MIN(AH35,cfg_EOS_TH)-MIN(AI35,cfg_EOS_TH))+cfg_EOS_R2*(MAX(AH35-cfg_EOS_TH,0)-MAX(AI35-cfg_EOS_TH,0))))</f>
        <v/>
      </c>
      <c r="AB35" s="116" t="str">
        <f aca="false">IF($B35="","",IF(الموظفون!$T35&lt;&gt;"",الموظفون!$T35,IF(AH35&gt;=cfg_LV_TH,cfg_LV_D2,cfg_LV_D1))/cfg_DAYS_Y*AJ35*الموظفون!$R35/cfg_DAYS_M)</f>
        <v/>
      </c>
      <c r="AC35" s="116" t="str">
        <f aca="false">IF($B35="","",IF(AND(الموظفون!$U35="نعم",N(الموظفون!$W35)&gt;0),الموظفون!$V35/الموظفون!$W35*12/cfg_DAYS_Y*AJ35,0))</f>
        <v/>
      </c>
      <c r="AD35" s="116" t="str">
        <f aca="false">IF($B35="","",(IF(الموظفون!$X35&lt;&gt;"",الموظفون!$X35,IF(الموظفون!$E35="غير سعودي",cfg_IQ,0))+IF(الموظفون!$Y35&lt;&gt;"",الموظفون!$Y35,IF(الموظفون!$E35="غير سعودي",cfg_WP,0)))/12*G35/cfg_DAYS_M)</f>
        <v/>
      </c>
      <c r="AE35" s="116" t="str">
        <f aca="false">IF($B35="","",IF(الموظفون!$Z35&lt;&gt;"",الموظفون!$Z35,cfg_MED)/12*G35/cfg_DAYS_M)</f>
        <v/>
      </c>
      <c r="AF35" s="116" t="str">
        <f aca="false">IF($B35="","",N(الموظفون!$AA35)/12*G35/cfg_DAYS_M)</f>
        <v/>
      </c>
      <c r="AG35" s="159" t="str">
        <f aca="false">IF($B35="","",T35+SUM(Z35:AF35))</f>
        <v/>
      </c>
      <c r="AH35" s="160" t="str">
        <f aca="false">IF($B35="","",MAX(0,IF(OR(الموظفون!$AE35="",الموظفون!$AE35&gt;$F$3),$F$3,الموظفون!$AE35)-الموظفون!$H35+1-SUMIFS('سجل الإجازات والحالات'!$AO$6:$AO$505,'سجل الإجازات والحالات'!$B$6:$B$505,$B35))/cfg_DAYS_Y)</f>
        <v/>
      </c>
      <c r="AI35" s="160" t="str">
        <f aca="false">IF($B35="","",MAX(0,IF(OR(الموظفون!$AE35="",الموظفون!$AE35&gt;($E$3-1)),($E$3-1),الموظفون!$AE35)-الموظفون!$H35+1-SUMIFS('سجل الإجازات والحالات'!$AN$6:$AN$505,'سجل الإجازات والحالات'!$B$6:$B$505,$B35))/cfg_DAYS_Y)</f>
        <v/>
      </c>
      <c r="AJ35" s="133" t="str">
        <f aca="false">IF($B35="","",MAX(0,AK35-(SUMIFS('سجل الإجازات والحالات'!$AO$6:$AO$505,'سجل الإجازات والحالات'!$B$6:$B$505,$B35)-SUMIFS('سجل الإجازات والحالات'!$AN$6:$AN$505,'سجل الإجازات والحالات'!$B$6:$B$505,$B35))))</f>
        <v/>
      </c>
      <c r="AK35" s="133" t="str">
        <f aca="false">IF($B35="","",MAX(0,IF(OR(الموظفون!$AE35="",الموظفون!$AE35&gt;$F$3),$F$3,الموظفون!$AE35)-MAX($E$3,الموظفون!$H35)+1))</f>
        <v/>
      </c>
      <c r="AL35" s="156" t="str">
        <f aca="false">IF($B35="","",SUMIFS('سجل الإجازات والحالات'!$BA$6:$BA$505,'سجل الإجازات والحالات'!$B$6:$B$505,$B35)+SUMIFS('الحركات الشهرية'!$K$6:$K$1005,'الحركات الشهرية'!$B$6:$B$1005,$B35,'الحركات الشهرية'!$A$6:$A$1005,$C$3))</f>
        <v/>
      </c>
      <c r="AM35" s="116" t="str">
        <f aca="false">IF($B35="","",AL35*الموظفون!$R35/cfg_DAYS_M+S35)</f>
        <v/>
      </c>
      <c r="AN35" s="156" t="str">
        <f aca="false">IF($B35="","",SUMIFS('سجل الإجازات والحالات'!$AC$6:$AC$505,'سجل الإجازات والحالات'!$B$6:$B$505,$B35))</f>
        <v/>
      </c>
    </row>
    <row r="36" customFormat="false" ht="15" hidden="false" customHeight="false" outlineLevel="0" collapsed="false">
      <c r="A36" s="106" t="str">
        <f aca="false">IF($B36="","",الموظفون!$A36)</f>
        <v/>
      </c>
      <c r="B36" s="114" t="str">
        <f aca="false">IF(الموظفون!$B36="","",الموظفون!$B36)</f>
        <v/>
      </c>
      <c r="C36" s="114" t="str">
        <f aca="false">IF($B36="","",الموظفون!$C36)</f>
        <v/>
      </c>
      <c r="D36" s="114" t="str">
        <f aca="false">IF($B36="","",الموظفون!$F36)</f>
        <v/>
      </c>
      <c r="E36" s="114" t="str">
        <f aca="false">IF($B36="","",الموظفون!$E36)</f>
        <v/>
      </c>
      <c r="F36" s="114" t="str">
        <f aca="false">IF($B36="","",IF(AK36=0,IF(AND(الموظفون!$AE36&lt;&gt;"",الموظفون!$AE36&lt;$E$3),"✖ منتهي الخدمة","⏳ لم يباشر"),IF(S36&gt;0,"✈ راتب إجازة مقدم",IF(J36=0,"⛔ بدون راتب هذا الشهر",IF(I36&gt;0,"✈ خصم "&amp;ROUND(I36,2)&amp;" يوم بدون أجر",IF(AL36&gt;0,"🌴 إجازة سنوية "&amp;ROUND(AL36,2)&amp;" يوم",IF(H36&gt;0,"⚠ غياب "&amp;ROUND(H36,2)&amp;" يوم","✔ على رأس العمل")))))))</f>
        <v/>
      </c>
      <c r="G36" s="151" t="str">
        <f aca="false">IF($B36="","",IF(AK36&gt;=DAY($F$3),cfg_DAYS_M,MIN(AK36,cfg_DAYS_M)))</f>
        <v/>
      </c>
      <c r="H36" s="151" t="str">
        <f aca="false">IF($B36="","",SUMIFS('الحركات الشهرية'!$D$6:$D$1005,'الحركات الشهرية'!$B$6:$B$1005,$B36,'الحركات الشهرية'!$A$6:$A$1005,$C$3))</f>
        <v/>
      </c>
      <c r="I36" s="151" t="str">
        <f aca="false">IF($B36="","",MIN(G36,IF(AND(AK36&gt;0,AN36&gt;=AK36),G36,AN36)+SUMIFS('الحركات الشهرية'!$E$6:$E$1005,'الحركات الشهرية'!$B$6:$B$1005,$B36,'الحركات الشهرية'!$A$6:$A$1005,$C$3)))</f>
        <v/>
      </c>
      <c r="J36" s="151" t="str">
        <f aca="false">IF($B36="","",MAX(0,G36-H36-I36))</f>
        <v/>
      </c>
      <c r="K36" s="111" t="str">
        <f aca="false">IF($B36="","",الموظفون!$L36*$J36/cfg_DAYS_M)</f>
        <v/>
      </c>
      <c r="L36" s="111" t="str">
        <f aca="false">IF($B36="","",الموظفون!$M36*$J36/cfg_DAYS_M)</f>
        <v/>
      </c>
      <c r="M36" s="111" t="str">
        <f aca="false">IF($B36="","",الموظفون!$N36*$J36/cfg_DAYS_M)</f>
        <v/>
      </c>
      <c r="N36" s="111" t="str">
        <f aca="false">IF($B36="","",الموظفون!$O36*$J36/cfg_DAYS_M)</f>
        <v/>
      </c>
      <c r="O36" s="151" t="str">
        <f aca="false">IF($B36="","",SUMIFS('الحركات الشهرية'!$F$6:$F$1005,'الحركات الشهرية'!$B$6:$B$1005,$B36,'الحركات الشهرية'!$A$6:$A$1005,$C$3))</f>
        <v/>
      </c>
      <c r="P36" s="111" t="str">
        <f aca="false">IF($B36="","",O36*(الموظفون!$P36+الموظفون!$L36*cfg_OT_P)/cfg_DAYS_M/cfg_HRS)</f>
        <v/>
      </c>
      <c r="Q36" s="111" t="str">
        <f aca="false">IF($B36="","",SUMIFS('الحركات الشهرية'!$G$6:$G$1005,'الحركات الشهرية'!$B$6:$B$1005,$B36,'الحركات الشهرية'!$A$6:$A$1005,$C$3))</f>
        <v/>
      </c>
      <c r="R36" s="111" t="str">
        <f aca="false">IF($B36="","",SUMIFS('الحركات الشهرية'!$H$6:$H$1005,'الحركات الشهرية'!$B$6:$B$1005,$B36,'الحركات الشهرية'!$A$6:$A$1005,$C$3))</f>
        <v/>
      </c>
      <c r="S36" s="111" t="str">
        <f aca="false">IF($B36="","",SUMIFS('سجل الإجازات والحالات'!$N$6:$N$505,'سجل الإجازات والحالات'!$B$6:$B$505,$B36,'سجل الإجازات والحالات'!$O$6:$O$505,$C$3))</f>
        <v/>
      </c>
      <c r="T36" s="152" t="str">
        <f aca="false">IF($B36="","",SUM(K36:N36)+SUM(P36:S36))</f>
        <v/>
      </c>
      <c r="U36" s="111" t="str">
        <f aca="false">IF($B36="","",الموظفون!$S36*IF(E36="سعودي",cfg_G_SE,cfg_G_NE)*G36/cfg_DAYS_M)</f>
        <v/>
      </c>
      <c r="V36" s="111" t="str">
        <f aca="false">IF($B36="","",SUMIFS('الحركات الشهرية'!$I$6:$I$1005,'الحركات الشهرية'!$B$6:$B$1005,$B36,'الحركات الشهرية'!$A$6:$A$1005,$C$3))</f>
        <v/>
      </c>
      <c r="W36" s="111" t="str">
        <f aca="false">IF($B36="","",SUMIFS('الحركات الشهرية'!$J$6:$J$1005,'الحركات الشهرية'!$B$6:$B$1005,$B36,'الحركات الشهرية'!$A$6:$A$1005,$C$3))</f>
        <v/>
      </c>
      <c r="X36" s="111" t="str">
        <f aca="false">IF($B36="","",SUM(U36:W36))</f>
        <v/>
      </c>
      <c r="Y36" s="153" t="str">
        <f aca="false">IF($B36="","",T36-X36)</f>
        <v/>
      </c>
      <c r="Z36" s="111" t="str">
        <f aca="false">IF($B36="","",الموظفون!$S36*IF(E36="سعودي",cfg_G_SR,cfg_G_NR)*G36/cfg_DAYS_M)</f>
        <v/>
      </c>
      <c r="AA36" s="111" t="str">
        <f aca="false">IF($B36="","",الموظفون!$Q36*(cfg_EOS_R1*(MIN(AH36,cfg_EOS_TH)-MIN(AI36,cfg_EOS_TH))+cfg_EOS_R2*(MAX(AH36-cfg_EOS_TH,0)-MAX(AI36-cfg_EOS_TH,0))))</f>
        <v/>
      </c>
      <c r="AB36" s="111" t="str">
        <f aca="false">IF($B36="","",IF(الموظفون!$T36&lt;&gt;"",الموظفون!$T36,IF(AH36&gt;=cfg_LV_TH,cfg_LV_D2,cfg_LV_D1))/cfg_DAYS_Y*AJ36*الموظفون!$R36/cfg_DAYS_M)</f>
        <v/>
      </c>
      <c r="AC36" s="111" t="str">
        <f aca="false">IF($B36="","",IF(AND(الموظفون!$U36="نعم",N(الموظفون!$W36)&gt;0),الموظفون!$V36/الموظفون!$W36*12/cfg_DAYS_Y*AJ36,0))</f>
        <v/>
      </c>
      <c r="AD36" s="111" t="str">
        <f aca="false">IF($B36="","",(IF(الموظفون!$X36&lt;&gt;"",الموظفون!$X36,IF(الموظفون!$E36="غير سعودي",cfg_IQ,0))+IF(الموظفون!$Y36&lt;&gt;"",الموظفون!$Y36,IF(الموظفون!$E36="غير سعودي",cfg_WP,0)))/12*G36/cfg_DAYS_M)</f>
        <v/>
      </c>
      <c r="AE36" s="111" t="str">
        <f aca="false">IF($B36="","",IF(الموظفون!$Z36&lt;&gt;"",الموظفون!$Z36,cfg_MED)/12*G36/cfg_DAYS_M)</f>
        <v/>
      </c>
      <c r="AF36" s="111" t="str">
        <f aca="false">IF($B36="","",N(الموظفون!$AA36)/12*G36/cfg_DAYS_M)</f>
        <v/>
      </c>
      <c r="AG36" s="154" t="str">
        <f aca="false">IF($B36="","",T36+SUM(Z36:AF36))</f>
        <v/>
      </c>
      <c r="AH36" s="155" t="str">
        <f aca="false">IF($B36="","",MAX(0,IF(OR(الموظفون!$AE36="",الموظفون!$AE36&gt;$F$3),$F$3,الموظفون!$AE36)-الموظفون!$H36+1-SUMIFS('سجل الإجازات والحالات'!$AO$6:$AO$505,'سجل الإجازات والحالات'!$B$6:$B$505,$B36))/cfg_DAYS_Y)</f>
        <v/>
      </c>
      <c r="AI36" s="155" t="str">
        <f aca="false">IF($B36="","",MAX(0,IF(OR(الموظفون!$AE36="",الموظفون!$AE36&gt;($E$3-1)),($E$3-1),الموظفون!$AE36)-الموظفون!$H36+1-SUMIFS('سجل الإجازات والحالات'!$AN$6:$AN$505,'سجل الإجازات والحالات'!$B$6:$B$505,$B36))/cfg_DAYS_Y)</f>
        <v/>
      </c>
      <c r="AJ36" s="65" t="str">
        <f aca="false">IF($B36="","",MAX(0,AK36-(SUMIFS('سجل الإجازات والحالات'!$AO$6:$AO$505,'سجل الإجازات والحالات'!$B$6:$B$505,$B36)-SUMIFS('سجل الإجازات والحالات'!$AN$6:$AN$505,'سجل الإجازات والحالات'!$B$6:$B$505,$B36))))</f>
        <v/>
      </c>
      <c r="AK36" s="65" t="str">
        <f aca="false">IF($B36="","",MAX(0,IF(OR(الموظفون!$AE36="",الموظفون!$AE36&gt;$F$3),$F$3,الموظفون!$AE36)-MAX($E$3,الموظفون!$H36)+1))</f>
        <v/>
      </c>
      <c r="AL36" s="151" t="str">
        <f aca="false">IF($B36="","",SUMIFS('سجل الإجازات والحالات'!$BA$6:$BA$505,'سجل الإجازات والحالات'!$B$6:$B$505,$B36)+SUMIFS('الحركات الشهرية'!$K$6:$K$1005,'الحركات الشهرية'!$B$6:$B$1005,$B36,'الحركات الشهرية'!$A$6:$A$1005,$C$3))</f>
        <v/>
      </c>
      <c r="AM36" s="111" t="str">
        <f aca="false">IF($B36="","",AL36*الموظفون!$R36/cfg_DAYS_M+S36)</f>
        <v/>
      </c>
      <c r="AN36" s="151" t="str">
        <f aca="false">IF($B36="","",SUMIFS('سجل الإجازات والحالات'!$AC$6:$AC$505,'سجل الإجازات والحالات'!$B$6:$B$505,$B36))</f>
        <v/>
      </c>
    </row>
    <row r="37" customFormat="false" ht="15" hidden="false" customHeight="false" outlineLevel="0" collapsed="false">
      <c r="A37" s="115" t="str">
        <f aca="false">IF($B37="","",الموظفون!$A37)</f>
        <v/>
      </c>
      <c r="B37" s="117" t="str">
        <f aca="false">IF(الموظفون!$B37="","",الموظفون!$B37)</f>
        <v/>
      </c>
      <c r="C37" s="117" t="str">
        <f aca="false">IF($B37="","",الموظفون!$C37)</f>
        <v/>
      </c>
      <c r="D37" s="117" t="str">
        <f aca="false">IF($B37="","",الموظفون!$F37)</f>
        <v/>
      </c>
      <c r="E37" s="117" t="str">
        <f aca="false">IF($B37="","",الموظفون!$E37)</f>
        <v/>
      </c>
      <c r="F37" s="117" t="str">
        <f aca="false">IF($B37="","",IF(AK37=0,IF(AND(الموظفون!$AE37&lt;&gt;"",الموظفون!$AE37&lt;$E$3),"✖ منتهي الخدمة","⏳ لم يباشر"),IF(S37&gt;0,"✈ راتب إجازة مقدم",IF(J37=0,"⛔ بدون راتب هذا الشهر",IF(I37&gt;0,"✈ خصم "&amp;ROUND(I37,2)&amp;" يوم بدون أجر",IF(AL37&gt;0,"🌴 إجازة سنوية "&amp;ROUND(AL37,2)&amp;" يوم",IF(H37&gt;0,"⚠ غياب "&amp;ROUND(H37,2)&amp;" يوم","✔ على رأس العمل")))))))</f>
        <v/>
      </c>
      <c r="G37" s="156" t="str">
        <f aca="false">IF($B37="","",IF(AK37&gt;=DAY($F$3),cfg_DAYS_M,MIN(AK37,cfg_DAYS_M)))</f>
        <v/>
      </c>
      <c r="H37" s="156" t="str">
        <f aca="false">IF($B37="","",SUMIFS('الحركات الشهرية'!$D$6:$D$1005,'الحركات الشهرية'!$B$6:$B$1005,$B37,'الحركات الشهرية'!$A$6:$A$1005,$C$3))</f>
        <v/>
      </c>
      <c r="I37" s="156" t="str">
        <f aca="false">IF($B37="","",MIN(G37,IF(AND(AK37&gt;0,AN37&gt;=AK37),G37,AN37)+SUMIFS('الحركات الشهرية'!$E$6:$E$1005,'الحركات الشهرية'!$B$6:$B$1005,$B37,'الحركات الشهرية'!$A$6:$A$1005,$C$3)))</f>
        <v/>
      </c>
      <c r="J37" s="156" t="str">
        <f aca="false">IF($B37="","",MAX(0,G37-H37-I37))</f>
        <v/>
      </c>
      <c r="K37" s="116" t="str">
        <f aca="false">IF($B37="","",الموظفون!$L37*$J37/cfg_DAYS_M)</f>
        <v/>
      </c>
      <c r="L37" s="116" t="str">
        <f aca="false">IF($B37="","",الموظفون!$M37*$J37/cfg_DAYS_M)</f>
        <v/>
      </c>
      <c r="M37" s="116" t="str">
        <f aca="false">IF($B37="","",الموظفون!$N37*$J37/cfg_DAYS_M)</f>
        <v/>
      </c>
      <c r="N37" s="116" t="str">
        <f aca="false">IF($B37="","",الموظفون!$O37*$J37/cfg_DAYS_M)</f>
        <v/>
      </c>
      <c r="O37" s="156" t="str">
        <f aca="false">IF($B37="","",SUMIFS('الحركات الشهرية'!$F$6:$F$1005,'الحركات الشهرية'!$B$6:$B$1005,$B37,'الحركات الشهرية'!$A$6:$A$1005,$C$3))</f>
        <v/>
      </c>
      <c r="P37" s="116" t="str">
        <f aca="false">IF($B37="","",O37*(الموظفون!$P37+الموظفون!$L37*cfg_OT_P)/cfg_DAYS_M/cfg_HRS)</f>
        <v/>
      </c>
      <c r="Q37" s="116" t="str">
        <f aca="false">IF($B37="","",SUMIFS('الحركات الشهرية'!$G$6:$G$1005,'الحركات الشهرية'!$B$6:$B$1005,$B37,'الحركات الشهرية'!$A$6:$A$1005,$C$3))</f>
        <v/>
      </c>
      <c r="R37" s="116" t="str">
        <f aca="false">IF($B37="","",SUMIFS('الحركات الشهرية'!$H$6:$H$1005,'الحركات الشهرية'!$B$6:$B$1005,$B37,'الحركات الشهرية'!$A$6:$A$1005,$C$3))</f>
        <v/>
      </c>
      <c r="S37" s="116" t="str">
        <f aca="false">IF($B37="","",SUMIFS('سجل الإجازات والحالات'!$N$6:$N$505,'سجل الإجازات والحالات'!$B$6:$B$505,$B37,'سجل الإجازات والحالات'!$O$6:$O$505,$C$3))</f>
        <v/>
      </c>
      <c r="T37" s="157" t="str">
        <f aca="false">IF($B37="","",SUM(K37:N37)+SUM(P37:S37))</f>
        <v/>
      </c>
      <c r="U37" s="116" t="str">
        <f aca="false">IF($B37="","",الموظفون!$S37*IF(E37="سعودي",cfg_G_SE,cfg_G_NE)*G37/cfg_DAYS_M)</f>
        <v/>
      </c>
      <c r="V37" s="116" t="str">
        <f aca="false">IF($B37="","",SUMIFS('الحركات الشهرية'!$I$6:$I$1005,'الحركات الشهرية'!$B$6:$B$1005,$B37,'الحركات الشهرية'!$A$6:$A$1005,$C$3))</f>
        <v/>
      </c>
      <c r="W37" s="116" t="str">
        <f aca="false">IF($B37="","",SUMIFS('الحركات الشهرية'!$J$6:$J$1005,'الحركات الشهرية'!$B$6:$B$1005,$B37,'الحركات الشهرية'!$A$6:$A$1005,$C$3))</f>
        <v/>
      </c>
      <c r="X37" s="116" t="str">
        <f aca="false">IF($B37="","",SUM(U37:W37))</f>
        <v/>
      </c>
      <c r="Y37" s="158" t="str">
        <f aca="false">IF($B37="","",T37-X37)</f>
        <v/>
      </c>
      <c r="Z37" s="116" t="str">
        <f aca="false">IF($B37="","",الموظفون!$S37*IF(E37="سعودي",cfg_G_SR,cfg_G_NR)*G37/cfg_DAYS_M)</f>
        <v/>
      </c>
      <c r="AA37" s="116" t="str">
        <f aca="false">IF($B37="","",الموظفون!$Q37*(cfg_EOS_R1*(MIN(AH37,cfg_EOS_TH)-MIN(AI37,cfg_EOS_TH))+cfg_EOS_R2*(MAX(AH37-cfg_EOS_TH,0)-MAX(AI37-cfg_EOS_TH,0))))</f>
        <v/>
      </c>
      <c r="AB37" s="116" t="str">
        <f aca="false">IF($B37="","",IF(الموظفون!$T37&lt;&gt;"",الموظفون!$T37,IF(AH37&gt;=cfg_LV_TH,cfg_LV_D2,cfg_LV_D1))/cfg_DAYS_Y*AJ37*الموظفون!$R37/cfg_DAYS_M)</f>
        <v/>
      </c>
      <c r="AC37" s="116" t="str">
        <f aca="false">IF($B37="","",IF(AND(الموظفون!$U37="نعم",N(الموظفون!$W37)&gt;0),الموظفون!$V37/الموظفون!$W37*12/cfg_DAYS_Y*AJ37,0))</f>
        <v/>
      </c>
      <c r="AD37" s="116" t="str">
        <f aca="false">IF($B37="","",(IF(الموظفون!$X37&lt;&gt;"",الموظفون!$X37,IF(الموظفون!$E37="غير سعودي",cfg_IQ,0))+IF(الموظفون!$Y37&lt;&gt;"",الموظفون!$Y37,IF(الموظفون!$E37="غير سعودي",cfg_WP,0)))/12*G37/cfg_DAYS_M)</f>
        <v/>
      </c>
      <c r="AE37" s="116" t="str">
        <f aca="false">IF($B37="","",IF(الموظفون!$Z37&lt;&gt;"",الموظفون!$Z37,cfg_MED)/12*G37/cfg_DAYS_M)</f>
        <v/>
      </c>
      <c r="AF37" s="116" t="str">
        <f aca="false">IF($B37="","",N(الموظفون!$AA37)/12*G37/cfg_DAYS_M)</f>
        <v/>
      </c>
      <c r="AG37" s="159" t="str">
        <f aca="false">IF($B37="","",T37+SUM(Z37:AF37))</f>
        <v/>
      </c>
      <c r="AH37" s="160" t="str">
        <f aca="false">IF($B37="","",MAX(0,IF(OR(الموظفون!$AE37="",الموظفون!$AE37&gt;$F$3),$F$3,الموظفون!$AE37)-الموظفون!$H37+1-SUMIFS('سجل الإجازات والحالات'!$AO$6:$AO$505,'سجل الإجازات والحالات'!$B$6:$B$505,$B37))/cfg_DAYS_Y)</f>
        <v/>
      </c>
      <c r="AI37" s="160" t="str">
        <f aca="false">IF($B37="","",MAX(0,IF(OR(الموظفون!$AE37="",الموظفون!$AE37&gt;($E$3-1)),($E$3-1),الموظفون!$AE37)-الموظفون!$H37+1-SUMIFS('سجل الإجازات والحالات'!$AN$6:$AN$505,'سجل الإجازات والحالات'!$B$6:$B$505,$B37))/cfg_DAYS_Y)</f>
        <v/>
      </c>
      <c r="AJ37" s="133" t="str">
        <f aca="false">IF($B37="","",MAX(0,AK37-(SUMIFS('سجل الإجازات والحالات'!$AO$6:$AO$505,'سجل الإجازات والحالات'!$B$6:$B$505,$B37)-SUMIFS('سجل الإجازات والحالات'!$AN$6:$AN$505,'سجل الإجازات والحالات'!$B$6:$B$505,$B37))))</f>
        <v/>
      </c>
      <c r="AK37" s="133" t="str">
        <f aca="false">IF($B37="","",MAX(0,IF(OR(الموظفون!$AE37="",الموظفون!$AE37&gt;$F$3),$F$3,الموظفون!$AE37)-MAX($E$3,الموظفون!$H37)+1))</f>
        <v/>
      </c>
      <c r="AL37" s="156" t="str">
        <f aca="false">IF($B37="","",SUMIFS('سجل الإجازات والحالات'!$BA$6:$BA$505,'سجل الإجازات والحالات'!$B$6:$B$505,$B37)+SUMIFS('الحركات الشهرية'!$K$6:$K$1005,'الحركات الشهرية'!$B$6:$B$1005,$B37,'الحركات الشهرية'!$A$6:$A$1005,$C$3))</f>
        <v/>
      </c>
      <c r="AM37" s="116" t="str">
        <f aca="false">IF($B37="","",AL37*الموظفون!$R37/cfg_DAYS_M+S37)</f>
        <v/>
      </c>
      <c r="AN37" s="156" t="str">
        <f aca="false">IF($B37="","",SUMIFS('سجل الإجازات والحالات'!$AC$6:$AC$505,'سجل الإجازات والحالات'!$B$6:$B$505,$B37))</f>
        <v/>
      </c>
    </row>
    <row r="38" customFormat="false" ht="15" hidden="false" customHeight="false" outlineLevel="0" collapsed="false">
      <c r="A38" s="106" t="str">
        <f aca="false">IF($B38="","",الموظفون!$A38)</f>
        <v/>
      </c>
      <c r="B38" s="114" t="str">
        <f aca="false">IF(الموظفون!$B38="","",الموظفون!$B38)</f>
        <v/>
      </c>
      <c r="C38" s="114" t="str">
        <f aca="false">IF($B38="","",الموظفون!$C38)</f>
        <v/>
      </c>
      <c r="D38" s="114" t="str">
        <f aca="false">IF($B38="","",الموظفون!$F38)</f>
        <v/>
      </c>
      <c r="E38" s="114" t="str">
        <f aca="false">IF($B38="","",الموظفون!$E38)</f>
        <v/>
      </c>
      <c r="F38" s="114" t="str">
        <f aca="false">IF($B38="","",IF(AK38=0,IF(AND(الموظفون!$AE38&lt;&gt;"",الموظفون!$AE38&lt;$E$3),"✖ منتهي الخدمة","⏳ لم يباشر"),IF(S38&gt;0,"✈ راتب إجازة مقدم",IF(J38=0,"⛔ بدون راتب هذا الشهر",IF(I38&gt;0,"✈ خصم "&amp;ROUND(I38,2)&amp;" يوم بدون أجر",IF(AL38&gt;0,"🌴 إجازة سنوية "&amp;ROUND(AL38,2)&amp;" يوم",IF(H38&gt;0,"⚠ غياب "&amp;ROUND(H38,2)&amp;" يوم","✔ على رأس العمل")))))))</f>
        <v/>
      </c>
      <c r="G38" s="151" t="str">
        <f aca="false">IF($B38="","",IF(AK38&gt;=DAY($F$3),cfg_DAYS_M,MIN(AK38,cfg_DAYS_M)))</f>
        <v/>
      </c>
      <c r="H38" s="151" t="str">
        <f aca="false">IF($B38="","",SUMIFS('الحركات الشهرية'!$D$6:$D$1005,'الحركات الشهرية'!$B$6:$B$1005,$B38,'الحركات الشهرية'!$A$6:$A$1005,$C$3))</f>
        <v/>
      </c>
      <c r="I38" s="151" t="str">
        <f aca="false">IF($B38="","",MIN(G38,IF(AND(AK38&gt;0,AN38&gt;=AK38),G38,AN38)+SUMIFS('الحركات الشهرية'!$E$6:$E$1005,'الحركات الشهرية'!$B$6:$B$1005,$B38,'الحركات الشهرية'!$A$6:$A$1005,$C$3)))</f>
        <v/>
      </c>
      <c r="J38" s="151" t="str">
        <f aca="false">IF($B38="","",MAX(0,G38-H38-I38))</f>
        <v/>
      </c>
      <c r="K38" s="111" t="str">
        <f aca="false">IF($B38="","",الموظفون!$L38*$J38/cfg_DAYS_M)</f>
        <v/>
      </c>
      <c r="L38" s="111" t="str">
        <f aca="false">IF($B38="","",الموظفون!$M38*$J38/cfg_DAYS_M)</f>
        <v/>
      </c>
      <c r="M38" s="111" t="str">
        <f aca="false">IF($B38="","",الموظفون!$N38*$J38/cfg_DAYS_M)</f>
        <v/>
      </c>
      <c r="N38" s="111" t="str">
        <f aca="false">IF($B38="","",الموظفون!$O38*$J38/cfg_DAYS_M)</f>
        <v/>
      </c>
      <c r="O38" s="151" t="str">
        <f aca="false">IF($B38="","",SUMIFS('الحركات الشهرية'!$F$6:$F$1005,'الحركات الشهرية'!$B$6:$B$1005,$B38,'الحركات الشهرية'!$A$6:$A$1005,$C$3))</f>
        <v/>
      </c>
      <c r="P38" s="111" t="str">
        <f aca="false">IF($B38="","",O38*(الموظفون!$P38+الموظفون!$L38*cfg_OT_P)/cfg_DAYS_M/cfg_HRS)</f>
        <v/>
      </c>
      <c r="Q38" s="111" t="str">
        <f aca="false">IF($B38="","",SUMIFS('الحركات الشهرية'!$G$6:$G$1005,'الحركات الشهرية'!$B$6:$B$1005,$B38,'الحركات الشهرية'!$A$6:$A$1005,$C$3))</f>
        <v/>
      </c>
      <c r="R38" s="111" t="str">
        <f aca="false">IF($B38="","",SUMIFS('الحركات الشهرية'!$H$6:$H$1005,'الحركات الشهرية'!$B$6:$B$1005,$B38,'الحركات الشهرية'!$A$6:$A$1005,$C$3))</f>
        <v/>
      </c>
      <c r="S38" s="111" t="str">
        <f aca="false">IF($B38="","",SUMIFS('سجل الإجازات والحالات'!$N$6:$N$505,'سجل الإجازات والحالات'!$B$6:$B$505,$B38,'سجل الإجازات والحالات'!$O$6:$O$505,$C$3))</f>
        <v/>
      </c>
      <c r="T38" s="152" t="str">
        <f aca="false">IF($B38="","",SUM(K38:N38)+SUM(P38:S38))</f>
        <v/>
      </c>
      <c r="U38" s="111" t="str">
        <f aca="false">IF($B38="","",الموظفون!$S38*IF(E38="سعودي",cfg_G_SE,cfg_G_NE)*G38/cfg_DAYS_M)</f>
        <v/>
      </c>
      <c r="V38" s="111" t="str">
        <f aca="false">IF($B38="","",SUMIFS('الحركات الشهرية'!$I$6:$I$1005,'الحركات الشهرية'!$B$6:$B$1005,$B38,'الحركات الشهرية'!$A$6:$A$1005,$C$3))</f>
        <v/>
      </c>
      <c r="W38" s="111" t="str">
        <f aca="false">IF($B38="","",SUMIFS('الحركات الشهرية'!$J$6:$J$1005,'الحركات الشهرية'!$B$6:$B$1005,$B38,'الحركات الشهرية'!$A$6:$A$1005,$C$3))</f>
        <v/>
      </c>
      <c r="X38" s="111" t="str">
        <f aca="false">IF($B38="","",SUM(U38:W38))</f>
        <v/>
      </c>
      <c r="Y38" s="153" t="str">
        <f aca="false">IF($B38="","",T38-X38)</f>
        <v/>
      </c>
      <c r="Z38" s="111" t="str">
        <f aca="false">IF($B38="","",الموظفون!$S38*IF(E38="سعودي",cfg_G_SR,cfg_G_NR)*G38/cfg_DAYS_M)</f>
        <v/>
      </c>
      <c r="AA38" s="111" t="str">
        <f aca="false">IF($B38="","",الموظفون!$Q38*(cfg_EOS_R1*(MIN(AH38,cfg_EOS_TH)-MIN(AI38,cfg_EOS_TH))+cfg_EOS_R2*(MAX(AH38-cfg_EOS_TH,0)-MAX(AI38-cfg_EOS_TH,0))))</f>
        <v/>
      </c>
      <c r="AB38" s="111" t="str">
        <f aca="false">IF($B38="","",IF(الموظفون!$T38&lt;&gt;"",الموظفون!$T38,IF(AH38&gt;=cfg_LV_TH,cfg_LV_D2,cfg_LV_D1))/cfg_DAYS_Y*AJ38*الموظفون!$R38/cfg_DAYS_M)</f>
        <v/>
      </c>
      <c r="AC38" s="111" t="str">
        <f aca="false">IF($B38="","",IF(AND(الموظفون!$U38="نعم",N(الموظفون!$W38)&gt;0),الموظفون!$V38/الموظفون!$W38*12/cfg_DAYS_Y*AJ38,0))</f>
        <v/>
      </c>
      <c r="AD38" s="111" t="str">
        <f aca="false">IF($B38="","",(IF(الموظفون!$X38&lt;&gt;"",الموظفون!$X38,IF(الموظفون!$E38="غير سعودي",cfg_IQ,0))+IF(الموظفون!$Y38&lt;&gt;"",الموظفون!$Y38,IF(الموظفون!$E38="غير سعودي",cfg_WP,0)))/12*G38/cfg_DAYS_M)</f>
        <v/>
      </c>
      <c r="AE38" s="111" t="str">
        <f aca="false">IF($B38="","",IF(الموظفون!$Z38&lt;&gt;"",الموظفون!$Z38,cfg_MED)/12*G38/cfg_DAYS_M)</f>
        <v/>
      </c>
      <c r="AF38" s="111" t="str">
        <f aca="false">IF($B38="","",N(الموظفون!$AA38)/12*G38/cfg_DAYS_M)</f>
        <v/>
      </c>
      <c r="AG38" s="154" t="str">
        <f aca="false">IF($B38="","",T38+SUM(Z38:AF38))</f>
        <v/>
      </c>
      <c r="AH38" s="155" t="str">
        <f aca="false">IF($B38="","",MAX(0,IF(OR(الموظفون!$AE38="",الموظفون!$AE38&gt;$F$3),$F$3,الموظفون!$AE38)-الموظفون!$H38+1-SUMIFS('سجل الإجازات والحالات'!$AO$6:$AO$505,'سجل الإجازات والحالات'!$B$6:$B$505,$B38))/cfg_DAYS_Y)</f>
        <v/>
      </c>
      <c r="AI38" s="155" t="str">
        <f aca="false">IF($B38="","",MAX(0,IF(OR(الموظفون!$AE38="",الموظفون!$AE38&gt;($E$3-1)),($E$3-1),الموظفون!$AE38)-الموظفون!$H38+1-SUMIFS('سجل الإجازات والحالات'!$AN$6:$AN$505,'سجل الإجازات والحالات'!$B$6:$B$505,$B38))/cfg_DAYS_Y)</f>
        <v/>
      </c>
      <c r="AJ38" s="65" t="str">
        <f aca="false">IF($B38="","",MAX(0,AK38-(SUMIFS('سجل الإجازات والحالات'!$AO$6:$AO$505,'سجل الإجازات والحالات'!$B$6:$B$505,$B38)-SUMIFS('سجل الإجازات والحالات'!$AN$6:$AN$505,'سجل الإجازات والحالات'!$B$6:$B$505,$B38))))</f>
        <v/>
      </c>
      <c r="AK38" s="65" t="str">
        <f aca="false">IF($B38="","",MAX(0,IF(OR(الموظفون!$AE38="",الموظفون!$AE38&gt;$F$3),$F$3,الموظفون!$AE38)-MAX($E$3,الموظفون!$H38)+1))</f>
        <v/>
      </c>
      <c r="AL38" s="151" t="str">
        <f aca="false">IF($B38="","",SUMIFS('سجل الإجازات والحالات'!$BA$6:$BA$505,'سجل الإجازات والحالات'!$B$6:$B$505,$B38)+SUMIFS('الحركات الشهرية'!$K$6:$K$1005,'الحركات الشهرية'!$B$6:$B$1005,$B38,'الحركات الشهرية'!$A$6:$A$1005,$C$3))</f>
        <v/>
      </c>
      <c r="AM38" s="111" t="str">
        <f aca="false">IF($B38="","",AL38*الموظفون!$R38/cfg_DAYS_M+S38)</f>
        <v/>
      </c>
      <c r="AN38" s="151" t="str">
        <f aca="false">IF($B38="","",SUMIFS('سجل الإجازات والحالات'!$AC$6:$AC$505,'سجل الإجازات والحالات'!$B$6:$B$505,$B38))</f>
        <v/>
      </c>
    </row>
    <row r="39" customFormat="false" ht="15" hidden="false" customHeight="false" outlineLevel="0" collapsed="false">
      <c r="A39" s="115" t="str">
        <f aca="false">IF($B39="","",الموظفون!$A39)</f>
        <v/>
      </c>
      <c r="B39" s="117" t="str">
        <f aca="false">IF(الموظفون!$B39="","",الموظفون!$B39)</f>
        <v/>
      </c>
      <c r="C39" s="117" t="str">
        <f aca="false">IF($B39="","",الموظفون!$C39)</f>
        <v/>
      </c>
      <c r="D39" s="117" t="str">
        <f aca="false">IF($B39="","",الموظفون!$F39)</f>
        <v/>
      </c>
      <c r="E39" s="117" t="str">
        <f aca="false">IF($B39="","",الموظفون!$E39)</f>
        <v/>
      </c>
      <c r="F39" s="117" t="str">
        <f aca="false">IF($B39="","",IF(AK39=0,IF(AND(الموظفون!$AE39&lt;&gt;"",الموظفون!$AE39&lt;$E$3),"✖ منتهي الخدمة","⏳ لم يباشر"),IF(S39&gt;0,"✈ راتب إجازة مقدم",IF(J39=0,"⛔ بدون راتب هذا الشهر",IF(I39&gt;0,"✈ خصم "&amp;ROUND(I39,2)&amp;" يوم بدون أجر",IF(AL39&gt;0,"🌴 إجازة سنوية "&amp;ROUND(AL39,2)&amp;" يوم",IF(H39&gt;0,"⚠ غياب "&amp;ROUND(H39,2)&amp;" يوم","✔ على رأس العمل")))))))</f>
        <v/>
      </c>
      <c r="G39" s="156" t="str">
        <f aca="false">IF($B39="","",IF(AK39&gt;=DAY($F$3),cfg_DAYS_M,MIN(AK39,cfg_DAYS_M)))</f>
        <v/>
      </c>
      <c r="H39" s="156" t="str">
        <f aca="false">IF($B39="","",SUMIFS('الحركات الشهرية'!$D$6:$D$1005,'الحركات الشهرية'!$B$6:$B$1005,$B39,'الحركات الشهرية'!$A$6:$A$1005,$C$3))</f>
        <v/>
      </c>
      <c r="I39" s="156" t="str">
        <f aca="false">IF($B39="","",MIN(G39,IF(AND(AK39&gt;0,AN39&gt;=AK39),G39,AN39)+SUMIFS('الحركات الشهرية'!$E$6:$E$1005,'الحركات الشهرية'!$B$6:$B$1005,$B39,'الحركات الشهرية'!$A$6:$A$1005,$C$3)))</f>
        <v/>
      </c>
      <c r="J39" s="156" t="str">
        <f aca="false">IF($B39="","",MAX(0,G39-H39-I39))</f>
        <v/>
      </c>
      <c r="K39" s="116" t="str">
        <f aca="false">IF($B39="","",الموظفون!$L39*$J39/cfg_DAYS_M)</f>
        <v/>
      </c>
      <c r="L39" s="116" t="str">
        <f aca="false">IF($B39="","",الموظفون!$M39*$J39/cfg_DAYS_M)</f>
        <v/>
      </c>
      <c r="M39" s="116" t="str">
        <f aca="false">IF($B39="","",الموظفون!$N39*$J39/cfg_DAYS_M)</f>
        <v/>
      </c>
      <c r="N39" s="116" t="str">
        <f aca="false">IF($B39="","",الموظفون!$O39*$J39/cfg_DAYS_M)</f>
        <v/>
      </c>
      <c r="O39" s="156" t="str">
        <f aca="false">IF($B39="","",SUMIFS('الحركات الشهرية'!$F$6:$F$1005,'الحركات الشهرية'!$B$6:$B$1005,$B39,'الحركات الشهرية'!$A$6:$A$1005,$C$3))</f>
        <v/>
      </c>
      <c r="P39" s="116" t="str">
        <f aca="false">IF($B39="","",O39*(الموظفون!$P39+الموظفون!$L39*cfg_OT_P)/cfg_DAYS_M/cfg_HRS)</f>
        <v/>
      </c>
      <c r="Q39" s="116" t="str">
        <f aca="false">IF($B39="","",SUMIFS('الحركات الشهرية'!$G$6:$G$1005,'الحركات الشهرية'!$B$6:$B$1005,$B39,'الحركات الشهرية'!$A$6:$A$1005,$C$3))</f>
        <v/>
      </c>
      <c r="R39" s="116" t="str">
        <f aca="false">IF($B39="","",SUMIFS('الحركات الشهرية'!$H$6:$H$1005,'الحركات الشهرية'!$B$6:$B$1005,$B39,'الحركات الشهرية'!$A$6:$A$1005,$C$3))</f>
        <v/>
      </c>
      <c r="S39" s="116" t="str">
        <f aca="false">IF($B39="","",SUMIFS('سجل الإجازات والحالات'!$N$6:$N$505,'سجل الإجازات والحالات'!$B$6:$B$505,$B39,'سجل الإجازات والحالات'!$O$6:$O$505,$C$3))</f>
        <v/>
      </c>
      <c r="T39" s="157" t="str">
        <f aca="false">IF($B39="","",SUM(K39:N39)+SUM(P39:S39))</f>
        <v/>
      </c>
      <c r="U39" s="116" t="str">
        <f aca="false">IF($B39="","",الموظفون!$S39*IF(E39="سعودي",cfg_G_SE,cfg_G_NE)*G39/cfg_DAYS_M)</f>
        <v/>
      </c>
      <c r="V39" s="116" t="str">
        <f aca="false">IF($B39="","",SUMIFS('الحركات الشهرية'!$I$6:$I$1005,'الحركات الشهرية'!$B$6:$B$1005,$B39,'الحركات الشهرية'!$A$6:$A$1005,$C$3))</f>
        <v/>
      </c>
      <c r="W39" s="116" t="str">
        <f aca="false">IF($B39="","",SUMIFS('الحركات الشهرية'!$J$6:$J$1005,'الحركات الشهرية'!$B$6:$B$1005,$B39,'الحركات الشهرية'!$A$6:$A$1005,$C$3))</f>
        <v/>
      </c>
      <c r="X39" s="116" t="str">
        <f aca="false">IF($B39="","",SUM(U39:W39))</f>
        <v/>
      </c>
      <c r="Y39" s="158" t="str">
        <f aca="false">IF($B39="","",T39-X39)</f>
        <v/>
      </c>
      <c r="Z39" s="116" t="str">
        <f aca="false">IF($B39="","",الموظفون!$S39*IF(E39="سعودي",cfg_G_SR,cfg_G_NR)*G39/cfg_DAYS_M)</f>
        <v/>
      </c>
      <c r="AA39" s="116" t="str">
        <f aca="false">IF($B39="","",الموظفون!$Q39*(cfg_EOS_R1*(MIN(AH39,cfg_EOS_TH)-MIN(AI39,cfg_EOS_TH))+cfg_EOS_R2*(MAX(AH39-cfg_EOS_TH,0)-MAX(AI39-cfg_EOS_TH,0))))</f>
        <v/>
      </c>
      <c r="AB39" s="116" t="str">
        <f aca="false">IF($B39="","",IF(الموظفون!$T39&lt;&gt;"",الموظفون!$T39,IF(AH39&gt;=cfg_LV_TH,cfg_LV_D2,cfg_LV_D1))/cfg_DAYS_Y*AJ39*الموظفون!$R39/cfg_DAYS_M)</f>
        <v/>
      </c>
      <c r="AC39" s="116" t="str">
        <f aca="false">IF($B39="","",IF(AND(الموظفون!$U39="نعم",N(الموظفون!$W39)&gt;0),الموظفون!$V39/الموظفون!$W39*12/cfg_DAYS_Y*AJ39,0))</f>
        <v/>
      </c>
      <c r="AD39" s="116" t="str">
        <f aca="false">IF($B39="","",(IF(الموظفون!$X39&lt;&gt;"",الموظفون!$X39,IF(الموظفون!$E39="غير سعودي",cfg_IQ,0))+IF(الموظفون!$Y39&lt;&gt;"",الموظفون!$Y39,IF(الموظفون!$E39="غير سعودي",cfg_WP,0)))/12*G39/cfg_DAYS_M)</f>
        <v/>
      </c>
      <c r="AE39" s="116" t="str">
        <f aca="false">IF($B39="","",IF(الموظفون!$Z39&lt;&gt;"",الموظفون!$Z39,cfg_MED)/12*G39/cfg_DAYS_M)</f>
        <v/>
      </c>
      <c r="AF39" s="116" t="str">
        <f aca="false">IF($B39="","",N(الموظفون!$AA39)/12*G39/cfg_DAYS_M)</f>
        <v/>
      </c>
      <c r="AG39" s="159" t="str">
        <f aca="false">IF($B39="","",T39+SUM(Z39:AF39))</f>
        <v/>
      </c>
      <c r="AH39" s="160" t="str">
        <f aca="false">IF($B39="","",MAX(0,IF(OR(الموظفون!$AE39="",الموظفون!$AE39&gt;$F$3),$F$3,الموظفون!$AE39)-الموظفون!$H39+1-SUMIFS('سجل الإجازات والحالات'!$AO$6:$AO$505,'سجل الإجازات والحالات'!$B$6:$B$505,$B39))/cfg_DAYS_Y)</f>
        <v/>
      </c>
      <c r="AI39" s="160" t="str">
        <f aca="false">IF($B39="","",MAX(0,IF(OR(الموظفون!$AE39="",الموظفون!$AE39&gt;($E$3-1)),($E$3-1),الموظفون!$AE39)-الموظفون!$H39+1-SUMIFS('سجل الإجازات والحالات'!$AN$6:$AN$505,'سجل الإجازات والحالات'!$B$6:$B$505,$B39))/cfg_DAYS_Y)</f>
        <v/>
      </c>
      <c r="AJ39" s="133" t="str">
        <f aca="false">IF($B39="","",MAX(0,AK39-(SUMIFS('سجل الإجازات والحالات'!$AO$6:$AO$505,'سجل الإجازات والحالات'!$B$6:$B$505,$B39)-SUMIFS('سجل الإجازات والحالات'!$AN$6:$AN$505,'سجل الإجازات والحالات'!$B$6:$B$505,$B39))))</f>
        <v/>
      </c>
      <c r="AK39" s="133" t="str">
        <f aca="false">IF($B39="","",MAX(0,IF(OR(الموظفون!$AE39="",الموظفون!$AE39&gt;$F$3),$F$3,الموظفون!$AE39)-MAX($E$3,الموظفون!$H39)+1))</f>
        <v/>
      </c>
      <c r="AL39" s="156" t="str">
        <f aca="false">IF($B39="","",SUMIFS('سجل الإجازات والحالات'!$BA$6:$BA$505,'سجل الإجازات والحالات'!$B$6:$B$505,$B39)+SUMIFS('الحركات الشهرية'!$K$6:$K$1005,'الحركات الشهرية'!$B$6:$B$1005,$B39,'الحركات الشهرية'!$A$6:$A$1005,$C$3))</f>
        <v/>
      </c>
      <c r="AM39" s="116" t="str">
        <f aca="false">IF($B39="","",AL39*الموظفون!$R39/cfg_DAYS_M+S39)</f>
        <v/>
      </c>
      <c r="AN39" s="156" t="str">
        <f aca="false">IF($B39="","",SUMIFS('سجل الإجازات والحالات'!$AC$6:$AC$505,'سجل الإجازات والحالات'!$B$6:$B$505,$B39))</f>
        <v/>
      </c>
    </row>
    <row r="40" customFormat="false" ht="15" hidden="false" customHeight="false" outlineLevel="0" collapsed="false">
      <c r="A40" s="106" t="str">
        <f aca="false">IF($B40="","",الموظفون!$A40)</f>
        <v/>
      </c>
      <c r="B40" s="114" t="str">
        <f aca="false">IF(الموظفون!$B40="","",الموظفون!$B40)</f>
        <v/>
      </c>
      <c r="C40" s="114" t="str">
        <f aca="false">IF($B40="","",الموظفون!$C40)</f>
        <v/>
      </c>
      <c r="D40" s="114" t="str">
        <f aca="false">IF($B40="","",الموظفون!$F40)</f>
        <v/>
      </c>
      <c r="E40" s="114" t="str">
        <f aca="false">IF($B40="","",الموظفون!$E40)</f>
        <v/>
      </c>
      <c r="F40" s="114" t="str">
        <f aca="false">IF($B40="","",IF(AK40=0,IF(AND(الموظفون!$AE40&lt;&gt;"",الموظفون!$AE40&lt;$E$3),"✖ منتهي الخدمة","⏳ لم يباشر"),IF(S40&gt;0,"✈ راتب إجازة مقدم",IF(J40=0,"⛔ بدون راتب هذا الشهر",IF(I40&gt;0,"✈ خصم "&amp;ROUND(I40,2)&amp;" يوم بدون أجر",IF(AL40&gt;0,"🌴 إجازة سنوية "&amp;ROUND(AL40,2)&amp;" يوم",IF(H40&gt;0,"⚠ غياب "&amp;ROUND(H40,2)&amp;" يوم","✔ على رأس العمل")))))))</f>
        <v/>
      </c>
      <c r="G40" s="151" t="str">
        <f aca="false">IF($B40="","",IF(AK40&gt;=DAY($F$3),cfg_DAYS_M,MIN(AK40,cfg_DAYS_M)))</f>
        <v/>
      </c>
      <c r="H40" s="151" t="str">
        <f aca="false">IF($B40="","",SUMIFS('الحركات الشهرية'!$D$6:$D$1005,'الحركات الشهرية'!$B$6:$B$1005,$B40,'الحركات الشهرية'!$A$6:$A$1005,$C$3))</f>
        <v/>
      </c>
      <c r="I40" s="151" t="str">
        <f aca="false">IF($B40="","",MIN(G40,IF(AND(AK40&gt;0,AN40&gt;=AK40),G40,AN40)+SUMIFS('الحركات الشهرية'!$E$6:$E$1005,'الحركات الشهرية'!$B$6:$B$1005,$B40,'الحركات الشهرية'!$A$6:$A$1005,$C$3)))</f>
        <v/>
      </c>
      <c r="J40" s="151" t="str">
        <f aca="false">IF($B40="","",MAX(0,G40-H40-I40))</f>
        <v/>
      </c>
      <c r="K40" s="111" t="str">
        <f aca="false">IF($B40="","",الموظفون!$L40*$J40/cfg_DAYS_M)</f>
        <v/>
      </c>
      <c r="L40" s="111" t="str">
        <f aca="false">IF($B40="","",الموظفون!$M40*$J40/cfg_DAYS_M)</f>
        <v/>
      </c>
      <c r="M40" s="111" t="str">
        <f aca="false">IF($B40="","",الموظفون!$N40*$J40/cfg_DAYS_M)</f>
        <v/>
      </c>
      <c r="N40" s="111" t="str">
        <f aca="false">IF($B40="","",الموظفون!$O40*$J40/cfg_DAYS_M)</f>
        <v/>
      </c>
      <c r="O40" s="151" t="str">
        <f aca="false">IF($B40="","",SUMIFS('الحركات الشهرية'!$F$6:$F$1005,'الحركات الشهرية'!$B$6:$B$1005,$B40,'الحركات الشهرية'!$A$6:$A$1005,$C$3))</f>
        <v/>
      </c>
      <c r="P40" s="111" t="str">
        <f aca="false">IF($B40="","",O40*(الموظفون!$P40+الموظفون!$L40*cfg_OT_P)/cfg_DAYS_M/cfg_HRS)</f>
        <v/>
      </c>
      <c r="Q40" s="111" t="str">
        <f aca="false">IF($B40="","",SUMIFS('الحركات الشهرية'!$G$6:$G$1005,'الحركات الشهرية'!$B$6:$B$1005,$B40,'الحركات الشهرية'!$A$6:$A$1005,$C$3))</f>
        <v/>
      </c>
      <c r="R40" s="111" t="str">
        <f aca="false">IF($B40="","",SUMIFS('الحركات الشهرية'!$H$6:$H$1005,'الحركات الشهرية'!$B$6:$B$1005,$B40,'الحركات الشهرية'!$A$6:$A$1005,$C$3))</f>
        <v/>
      </c>
      <c r="S40" s="111" t="str">
        <f aca="false">IF($B40="","",SUMIFS('سجل الإجازات والحالات'!$N$6:$N$505,'سجل الإجازات والحالات'!$B$6:$B$505,$B40,'سجل الإجازات والحالات'!$O$6:$O$505,$C$3))</f>
        <v/>
      </c>
      <c r="T40" s="152" t="str">
        <f aca="false">IF($B40="","",SUM(K40:N40)+SUM(P40:S40))</f>
        <v/>
      </c>
      <c r="U40" s="111" t="str">
        <f aca="false">IF($B40="","",الموظفون!$S40*IF(E40="سعودي",cfg_G_SE,cfg_G_NE)*G40/cfg_DAYS_M)</f>
        <v/>
      </c>
      <c r="V40" s="111" t="str">
        <f aca="false">IF($B40="","",SUMIFS('الحركات الشهرية'!$I$6:$I$1005,'الحركات الشهرية'!$B$6:$B$1005,$B40,'الحركات الشهرية'!$A$6:$A$1005,$C$3))</f>
        <v/>
      </c>
      <c r="W40" s="111" t="str">
        <f aca="false">IF($B40="","",SUMIFS('الحركات الشهرية'!$J$6:$J$1005,'الحركات الشهرية'!$B$6:$B$1005,$B40,'الحركات الشهرية'!$A$6:$A$1005,$C$3))</f>
        <v/>
      </c>
      <c r="X40" s="111" t="str">
        <f aca="false">IF($B40="","",SUM(U40:W40))</f>
        <v/>
      </c>
      <c r="Y40" s="153" t="str">
        <f aca="false">IF($B40="","",T40-X40)</f>
        <v/>
      </c>
      <c r="Z40" s="111" t="str">
        <f aca="false">IF($B40="","",الموظفون!$S40*IF(E40="سعودي",cfg_G_SR,cfg_G_NR)*G40/cfg_DAYS_M)</f>
        <v/>
      </c>
      <c r="AA40" s="111" t="str">
        <f aca="false">IF($B40="","",الموظفون!$Q40*(cfg_EOS_R1*(MIN(AH40,cfg_EOS_TH)-MIN(AI40,cfg_EOS_TH))+cfg_EOS_R2*(MAX(AH40-cfg_EOS_TH,0)-MAX(AI40-cfg_EOS_TH,0))))</f>
        <v/>
      </c>
      <c r="AB40" s="111" t="str">
        <f aca="false">IF($B40="","",IF(الموظفون!$T40&lt;&gt;"",الموظفون!$T40,IF(AH40&gt;=cfg_LV_TH,cfg_LV_D2,cfg_LV_D1))/cfg_DAYS_Y*AJ40*الموظفون!$R40/cfg_DAYS_M)</f>
        <v/>
      </c>
      <c r="AC40" s="111" t="str">
        <f aca="false">IF($B40="","",IF(AND(الموظفون!$U40="نعم",N(الموظفون!$W40)&gt;0),الموظفون!$V40/الموظفون!$W40*12/cfg_DAYS_Y*AJ40,0))</f>
        <v/>
      </c>
      <c r="AD40" s="111" t="str">
        <f aca="false">IF($B40="","",(IF(الموظفون!$X40&lt;&gt;"",الموظفون!$X40,IF(الموظفون!$E40="غير سعودي",cfg_IQ,0))+IF(الموظفون!$Y40&lt;&gt;"",الموظفون!$Y40,IF(الموظفون!$E40="غير سعودي",cfg_WP,0)))/12*G40/cfg_DAYS_M)</f>
        <v/>
      </c>
      <c r="AE40" s="111" t="str">
        <f aca="false">IF($B40="","",IF(الموظفون!$Z40&lt;&gt;"",الموظفون!$Z40,cfg_MED)/12*G40/cfg_DAYS_M)</f>
        <v/>
      </c>
      <c r="AF40" s="111" t="str">
        <f aca="false">IF($B40="","",N(الموظفون!$AA40)/12*G40/cfg_DAYS_M)</f>
        <v/>
      </c>
      <c r="AG40" s="154" t="str">
        <f aca="false">IF($B40="","",T40+SUM(Z40:AF40))</f>
        <v/>
      </c>
      <c r="AH40" s="155" t="str">
        <f aca="false">IF($B40="","",MAX(0,IF(OR(الموظفون!$AE40="",الموظفون!$AE40&gt;$F$3),$F$3,الموظفون!$AE40)-الموظفون!$H40+1-SUMIFS('سجل الإجازات والحالات'!$AO$6:$AO$505,'سجل الإجازات والحالات'!$B$6:$B$505,$B40))/cfg_DAYS_Y)</f>
        <v/>
      </c>
      <c r="AI40" s="155" t="str">
        <f aca="false">IF($B40="","",MAX(0,IF(OR(الموظفون!$AE40="",الموظفون!$AE40&gt;($E$3-1)),($E$3-1),الموظفون!$AE40)-الموظفون!$H40+1-SUMIFS('سجل الإجازات والحالات'!$AN$6:$AN$505,'سجل الإجازات والحالات'!$B$6:$B$505,$B40))/cfg_DAYS_Y)</f>
        <v/>
      </c>
      <c r="AJ40" s="65" t="str">
        <f aca="false">IF($B40="","",MAX(0,AK40-(SUMIFS('سجل الإجازات والحالات'!$AO$6:$AO$505,'سجل الإجازات والحالات'!$B$6:$B$505,$B40)-SUMIFS('سجل الإجازات والحالات'!$AN$6:$AN$505,'سجل الإجازات والحالات'!$B$6:$B$505,$B40))))</f>
        <v/>
      </c>
      <c r="AK40" s="65" t="str">
        <f aca="false">IF($B40="","",MAX(0,IF(OR(الموظفون!$AE40="",الموظفون!$AE40&gt;$F$3),$F$3,الموظفون!$AE40)-MAX($E$3,الموظفون!$H40)+1))</f>
        <v/>
      </c>
      <c r="AL40" s="151" t="str">
        <f aca="false">IF($B40="","",SUMIFS('سجل الإجازات والحالات'!$BA$6:$BA$505,'سجل الإجازات والحالات'!$B$6:$B$505,$B40)+SUMIFS('الحركات الشهرية'!$K$6:$K$1005,'الحركات الشهرية'!$B$6:$B$1005,$B40,'الحركات الشهرية'!$A$6:$A$1005,$C$3))</f>
        <v/>
      </c>
      <c r="AM40" s="111" t="str">
        <f aca="false">IF($B40="","",AL40*الموظفون!$R40/cfg_DAYS_M+S40)</f>
        <v/>
      </c>
      <c r="AN40" s="151" t="str">
        <f aca="false">IF($B40="","",SUMIFS('سجل الإجازات والحالات'!$AC$6:$AC$505,'سجل الإجازات والحالات'!$B$6:$B$505,$B40))</f>
        <v/>
      </c>
    </row>
    <row r="41" customFormat="false" ht="15" hidden="false" customHeight="false" outlineLevel="0" collapsed="false">
      <c r="A41" s="115" t="str">
        <f aca="false">IF($B41="","",الموظفون!$A41)</f>
        <v/>
      </c>
      <c r="B41" s="117" t="str">
        <f aca="false">IF(الموظفون!$B41="","",الموظفون!$B41)</f>
        <v/>
      </c>
      <c r="C41" s="117" t="str">
        <f aca="false">IF($B41="","",الموظفون!$C41)</f>
        <v/>
      </c>
      <c r="D41" s="117" t="str">
        <f aca="false">IF($B41="","",الموظفون!$F41)</f>
        <v/>
      </c>
      <c r="E41" s="117" t="str">
        <f aca="false">IF($B41="","",الموظفون!$E41)</f>
        <v/>
      </c>
      <c r="F41" s="117" t="str">
        <f aca="false">IF($B41="","",IF(AK41=0,IF(AND(الموظفون!$AE41&lt;&gt;"",الموظفون!$AE41&lt;$E$3),"✖ منتهي الخدمة","⏳ لم يباشر"),IF(S41&gt;0,"✈ راتب إجازة مقدم",IF(J41=0,"⛔ بدون راتب هذا الشهر",IF(I41&gt;0,"✈ خصم "&amp;ROUND(I41,2)&amp;" يوم بدون أجر",IF(AL41&gt;0,"🌴 إجازة سنوية "&amp;ROUND(AL41,2)&amp;" يوم",IF(H41&gt;0,"⚠ غياب "&amp;ROUND(H41,2)&amp;" يوم","✔ على رأس العمل")))))))</f>
        <v/>
      </c>
      <c r="G41" s="156" t="str">
        <f aca="false">IF($B41="","",IF(AK41&gt;=DAY($F$3),cfg_DAYS_M,MIN(AK41,cfg_DAYS_M)))</f>
        <v/>
      </c>
      <c r="H41" s="156" t="str">
        <f aca="false">IF($B41="","",SUMIFS('الحركات الشهرية'!$D$6:$D$1005,'الحركات الشهرية'!$B$6:$B$1005,$B41,'الحركات الشهرية'!$A$6:$A$1005,$C$3))</f>
        <v/>
      </c>
      <c r="I41" s="156" t="str">
        <f aca="false">IF($B41="","",MIN(G41,IF(AND(AK41&gt;0,AN41&gt;=AK41),G41,AN41)+SUMIFS('الحركات الشهرية'!$E$6:$E$1005,'الحركات الشهرية'!$B$6:$B$1005,$B41,'الحركات الشهرية'!$A$6:$A$1005,$C$3)))</f>
        <v/>
      </c>
      <c r="J41" s="156" t="str">
        <f aca="false">IF($B41="","",MAX(0,G41-H41-I41))</f>
        <v/>
      </c>
      <c r="K41" s="116" t="str">
        <f aca="false">IF($B41="","",الموظفون!$L41*$J41/cfg_DAYS_M)</f>
        <v/>
      </c>
      <c r="L41" s="116" t="str">
        <f aca="false">IF($B41="","",الموظفون!$M41*$J41/cfg_DAYS_M)</f>
        <v/>
      </c>
      <c r="M41" s="116" t="str">
        <f aca="false">IF($B41="","",الموظفون!$N41*$J41/cfg_DAYS_M)</f>
        <v/>
      </c>
      <c r="N41" s="116" t="str">
        <f aca="false">IF($B41="","",الموظفون!$O41*$J41/cfg_DAYS_M)</f>
        <v/>
      </c>
      <c r="O41" s="156" t="str">
        <f aca="false">IF($B41="","",SUMIFS('الحركات الشهرية'!$F$6:$F$1005,'الحركات الشهرية'!$B$6:$B$1005,$B41,'الحركات الشهرية'!$A$6:$A$1005,$C$3))</f>
        <v/>
      </c>
      <c r="P41" s="116" t="str">
        <f aca="false">IF($B41="","",O41*(الموظفون!$P41+الموظفون!$L41*cfg_OT_P)/cfg_DAYS_M/cfg_HRS)</f>
        <v/>
      </c>
      <c r="Q41" s="116" t="str">
        <f aca="false">IF($B41="","",SUMIFS('الحركات الشهرية'!$G$6:$G$1005,'الحركات الشهرية'!$B$6:$B$1005,$B41,'الحركات الشهرية'!$A$6:$A$1005,$C$3))</f>
        <v/>
      </c>
      <c r="R41" s="116" t="str">
        <f aca="false">IF($B41="","",SUMIFS('الحركات الشهرية'!$H$6:$H$1005,'الحركات الشهرية'!$B$6:$B$1005,$B41,'الحركات الشهرية'!$A$6:$A$1005,$C$3))</f>
        <v/>
      </c>
      <c r="S41" s="116" t="str">
        <f aca="false">IF($B41="","",SUMIFS('سجل الإجازات والحالات'!$N$6:$N$505,'سجل الإجازات والحالات'!$B$6:$B$505,$B41,'سجل الإجازات والحالات'!$O$6:$O$505,$C$3))</f>
        <v/>
      </c>
      <c r="T41" s="157" t="str">
        <f aca="false">IF($B41="","",SUM(K41:N41)+SUM(P41:S41))</f>
        <v/>
      </c>
      <c r="U41" s="116" t="str">
        <f aca="false">IF($B41="","",الموظفون!$S41*IF(E41="سعودي",cfg_G_SE,cfg_G_NE)*G41/cfg_DAYS_M)</f>
        <v/>
      </c>
      <c r="V41" s="116" t="str">
        <f aca="false">IF($B41="","",SUMIFS('الحركات الشهرية'!$I$6:$I$1005,'الحركات الشهرية'!$B$6:$B$1005,$B41,'الحركات الشهرية'!$A$6:$A$1005,$C$3))</f>
        <v/>
      </c>
      <c r="W41" s="116" t="str">
        <f aca="false">IF($B41="","",SUMIFS('الحركات الشهرية'!$J$6:$J$1005,'الحركات الشهرية'!$B$6:$B$1005,$B41,'الحركات الشهرية'!$A$6:$A$1005,$C$3))</f>
        <v/>
      </c>
      <c r="X41" s="116" t="str">
        <f aca="false">IF($B41="","",SUM(U41:W41))</f>
        <v/>
      </c>
      <c r="Y41" s="158" t="str">
        <f aca="false">IF($B41="","",T41-X41)</f>
        <v/>
      </c>
      <c r="Z41" s="116" t="str">
        <f aca="false">IF($B41="","",الموظفون!$S41*IF(E41="سعودي",cfg_G_SR,cfg_G_NR)*G41/cfg_DAYS_M)</f>
        <v/>
      </c>
      <c r="AA41" s="116" t="str">
        <f aca="false">IF($B41="","",الموظفون!$Q41*(cfg_EOS_R1*(MIN(AH41,cfg_EOS_TH)-MIN(AI41,cfg_EOS_TH))+cfg_EOS_R2*(MAX(AH41-cfg_EOS_TH,0)-MAX(AI41-cfg_EOS_TH,0))))</f>
        <v/>
      </c>
      <c r="AB41" s="116" t="str">
        <f aca="false">IF($B41="","",IF(الموظفون!$T41&lt;&gt;"",الموظفون!$T41,IF(AH41&gt;=cfg_LV_TH,cfg_LV_D2,cfg_LV_D1))/cfg_DAYS_Y*AJ41*الموظفون!$R41/cfg_DAYS_M)</f>
        <v/>
      </c>
      <c r="AC41" s="116" t="str">
        <f aca="false">IF($B41="","",IF(AND(الموظفون!$U41="نعم",N(الموظفون!$W41)&gt;0),الموظفون!$V41/الموظفون!$W41*12/cfg_DAYS_Y*AJ41,0))</f>
        <v/>
      </c>
      <c r="AD41" s="116" t="str">
        <f aca="false">IF($B41="","",(IF(الموظفون!$X41&lt;&gt;"",الموظفون!$X41,IF(الموظفون!$E41="غير سعودي",cfg_IQ,0))+IF(الموظفون!$Y41&lt;&gt;"",الموظفون!$Y41,IF(الموظفون!$E41="غير سعودي",cfg_WP,0)))/12*G41/cfg_DAYS_M)</f>
        <v/>
      </c>
      <c r="AE41" s="116" t="str">
        <f aca="false">IF($B41="","",IF(الموظفون!$Z41&lt;&gt;"",الموظفون!$Z41,cfg_MED)/12*G41/cfg_DAYS_M)</f>
        <v/>
      </c>
      <c r="AF41" s="116" t="str">
        <f aca="false">IF($B41="","",N(الموظفون!$AA41)/12*G41/cfg_DAYS_M)</f>
        <v/>
      </c>
      <c r="AG41" s="159" t="str">
        <f aca="false">IF($B41="","",T41+SUM(Z41:AF41))</f>
        <v/>
      </c>
      <c r="AH41" s="160" t="str">
        <f aca="false">IF($B41="","",MAX(0,IF(OR(الموظفون!$AE41="",الموظفون!$AE41&gt;$F$3),$F$3,الموظفون!$AE41)-الموظفون!$H41+1-SUMIFS('سجل الإجازات والحالات'!$AO$6:$AO$505,'سجل الإجازات والحالات'!$B$6:$B$505,$B41))/cfg_DAYS_Y)</f>
        <v/>
      </c>
      <c r="AI41" s="160" t="str">
        <f aca="false">IF($B41="","",MAX(0,IF(OR(الموظفون!$AE41="",الموظفون!$AE41&gt;($E$3-1)),($E$3-1),الموظفون!$AE41)-الموظفون!$H41+1-SUMIFS('سجل الإجازات والحالات'!$AN$6:$AN$505,'سجل الإجازات والحالات'!$B$6:$B$505,$B41))/cfg_DAYS_Y)</f>
        <v/>
      </c>
      <c r="AJ41" s="133" t="str">
        <f aca="false">IF($B41="","",MAX(0,AK41-(SUMIFS('سجل الإجازات والحالات'!$AO$6:$AO$505,'سجل الإجازات والحالات'!$B$6:$B$505,$B41)-SUMIFS('سجل الإجازات والحالات'!$AN$6:$AN$505,'سجل الإجازات والحالات'!$B$6:$B$505,$B41))))</f>
        <v/>
      </c>
      <c r="AK41" s="133" t="str">
        <f aca="false">IF($B41="","",MAX(0,IF(OR(الموظفون!$AE41="",الموظفون!$AE41&gt;$F$3),$F$3,الموظفون!$AE41)-MAX($E$3,الموظفون!$H41)+1))</f>
        <v/>
      </c>
      <c r="AL41" s="156" t="str">
        <f aca="false">IF($B41="","",SUMIFS('سجل الإجازات والحالات'!$BA$6:$BA$505,'سجل الإجازات والحالات'!$B$6:$B$505,$B41)+SUMIFS('الحركات الشهرية'!$K$6:$K$1005,'الحركات الشهرية'!$B$6:$B$1005,$B41,'الحركات الشهرية'!$A$6:$A$1005,$C$3))</f>
        <v/>
      </c>
      <c r="AM41" s="116" t="str">
        <f aca="false">IF($B41="","",AL41*الموظفون!$R41/cfg_DAYS_M+S41)</f>
        <v/>
      </c>
      <c r="AN41" s="156" t="str">
        <f aca="false">IF($B41="","",SUMIFS('سجل الإجازات والحالات'!$AC$6:$AC$505,'سجل الإجازات والحالات'!$B$6:$B$505,$B41))</f>
        <v/>
      </c>
    </row>
    <row r="42" customFormat="false" ht="15" hidden="false" customHeight="false" outlineLevel="0" collapsed="false">
      <c r="A42" s="106" t="str">
        <f aca="false">IF($B42="","",الموظفون!$A42)</f>
        <v/>
      </c>
      <c r="B42" s="114" t="str">
        <f aca="false">IF(الموظفون!$B42="","",الموظفون!$B42)</f>
        <v/>
      </c>
      <c r="C42" s="114" t="str">
        <f aca="false">IF($B42="","",الموظفون!$C42)</f>
        <v/>
      </c>
      <c r="D42" s="114" t="str">
        <f aca="false">IF($B42="","",الموظفون!$F42)</f>
        <v/>
      </c>
      <c r="E42" s="114" t="str">
        <f aca="false">IF($B42="","",الموظفون!$E42)</f>
        <v/>
      </c>
      <c r="F42" s="114" t="str">
        <f aca="false">IF($B42="","",IF(AK42=0,IF(AND(الموظفون!$AE42&lt;&gt;"",الموظفون!$AE42&lt;$E$3),"✖ منتهي الخدمة","⏳ لم يباشر"),IF(S42&gt;0,"✈ راتب إجازة مقدم",IF(J42=0,"⛔ بدون راتب هذا الشهر",IF(I42&gt;0,"✈ خصم "&amp;ROUND(I42,2)&amp;" يوم بدون أجر",IF(AL42&gt;0,"🌴 إجازة سنوية "&amp;ROUND(AL42,2)&amp;" يوم",IF(H42&gt;0,"⚠ غياب "&amp;ROUND(H42,2)&amp;" يوم","✔ على رأس العمل")))))))</f>
        <v/>
      </c>
      <c r="G42" s="151" t="str">
        <f aca="false">IF($B42="","",IF(AK42&gt;=DAY($F$3),cfg_DAYS_M,MIN(AK42,cfg_DAYS_M)))</f>
        <v/>
      </c>
      <c r="H42" s="151" t="str">
        <f aca="false">IF($B42="","",SUMIFS('الحركات الشهرية'!$D$6:$D$1005,'الحركات الشهرية'!$B$6:$B$1005,$B42,'الحركات الشهرية'!$A$6:$A$1005,$C$3))</f>
        <v/>
      </c>
      <c r="I42" s="151" t="str">
        <f aca="false">IF($B42="","",MIN(G42,IF(AND(AK42&gt;0,AN42&gt;=AK42),G42,AN42)+SUMIFS('الحركات الشهرية'!$E$6:$E$1005,'الحركات الشهرية'!$B$6:$B$1005,$B42,'الحركات الشهرية'!$A$6:$A$1005,$C$3)))</f>
        <v/>
      </c>
      <c r="J42" s="151" t="str">
        <f aca="false">IF($B42="","",MAX(0,G42-H42-I42))</f>
        <v/>
      </c>
      <c r="K42" s="111" t="str">
        <f aca="false">IF($B42="","",الموظفون!$L42*$J42/cfg_DAYS_M)</f>
        <v/>
      </c>
      <c r="L42" s="111" t="str">
        <f aca="false">IF($B42="","",الموظفون!$M42*$J42/cfg_DAYS_M)</f>
        <v/>
      </c>
      <c r="M42" s="111" t="str">
        <f aca="false">IF($B42="","",الموظفون!$N42*$J42/cfg_DAYS_M)</f>
        <v/>
      </c>
      <c r="N42" s="111" t="str">
        <f aca="false">IF($B42="","",الموظفون!$O42*$J42/cfg_DAYS_M)</f>
        <v/>
      </c>
      <c r="O42" s="151" t="str">
        <f aca="false">IF($B42="","",SUMIFS('الحركات الشهرية'!$F$6:$F$1005,'الحركات الشهرية'!$B$6:$B$1005,$B42,'الحركات الشهرية'!$A$6:$A$1005,$C$3))</f>
        <v/>
      </c>
      <c r="P42" s="111" t="str">
        <f aca="false">IF($B42="","",O42*(الموظفون!$P42+الموظفون!$L42*cfg_OT_P)/cfg_DAYS_M/cfg_HRS)</f>
        <v/>
      </c>
      <c r="Q42" s="111" t="str">
        <f aca="false">IF($B42="","",SUMIFS('الحركات الشهرية'!$G$6:$G$1005,'الحركات الشهرية'!$B$6:$B$1005,$B42,'الحركات الشهرية'!$A$6:$A$1005,$C$3))</f>
        <v/>
      </c>
      <c r="R42" s="111" t="str">
        <f aca="false">IF($B42="","",SUMIFS('الحركات الشهرية'!$H$6:$H$1005,'الحركات الشهرية'!$B$6:$B$1005,$B42,'الحركات الشهرية'!$A$6:$A$1005,$C$3))</f>
        <v/>
      </c>
      <c r="S42" s="111" t="str">
        <f aca="false">IF($B42="","",SUMIFS('سجل الإجازات والحالات'!$N$6:$N$505,'سجل الإجازات والحالات'!$B$6:$B$505,$B42,'سجل الإجازات والحالات'!$O$6:$O$505,$C$3))</f>
        <v/>
      </c>
      <c r="T42" s="152" t="str">
        <f aca="false">IF($B42="","",SUM(K42:N42)+SUM(P42:S42))</f>
        <v/>
      </c>
      <c r="U42" s="111" t="str">
        <f aca="false">IF($B42="","",الموظفون!$S42*IF(E42="سعودي",cfg_G_SE,cfg_G_NE)*G42/cfg_DAYS_M)</f>
        <v/>
      </c>
      <c r="V42" s="111" t="str">
        <f aca="false">IF($B42="","",SUMIFS('الحركات الشهرية'!$I$6:$I$1005,'الحركات الشهرية'!$B$6:$B$1005,$B42,'الحركات الشهرية'!$A$6:$A$1005,$C$3))</f>
        <v/>
      </c>
      <c r="W42" s="111" t="str">
        <f aca="false">IF($B42="","",SUMIFS('الحركات الشهرية'!$J$6:$J$1005,'الحركات الشهرية'!$B$6:$B$1005,$B42,'الحركات الشهرية'!$A$6:$A$1005,$C$3))</f>
        <v/>
      </c>
      <c r="X42" s="111" t="str">
        <f aca="false">IF($B42="","",SUM(U42:W42))</f>
        <v/>
      </c>
      <c r="Y42" s="153" t="str">
        <f aca="false">IF($B42="","",T42-X42)</f>
        <v/>
      </c>
      <c r="Z42" s="111" t="str">
        <f aca="false">IF($B42="","",الموظفون!$S42*IF(E42="سعودي",cfg_G_SR,cfg_G_NR)*G42/cfg_DAYS_M)</f>
        <v/>
      </c>
      <c r="AA42" s="111" t="str">
        <f aca="false">IF($B42="","",الموظفون!$Q42*(cfg_EOS_R1*(MIN(AH42,cfg_EOS_TH)-MIN(AI42,cfg_EOS_TH))+cfg_EOS_R2*(MAX(AH42-cfg_EOS_TH,0)-MAX(AI42-cfg_EOS_TH,0))))</f>
        <v/>
      </c>
      <c r="AB42" s="111" t="str">
        <f aca="false">IF($B42="","",IF(الموظفون!$T42&lt;&gt;"",الموظفون!$T42,IF(AH42&gt;=cfg_LV_TH,cfg_LV_D2,cfg_LV_D1))/cfg_DAYS_Y*AJ42*الموظفون!$R42/cfg_DAYS_M)</f>
        <v/>
      </c>
      <c r="AC42" s="111" t="str">
        <f aca="false">IF($B42="","",IF(AND(الموظفون!$U42="نعم",N(الموظفون!$W42)&gt;0),الموظفون!$V42/الموظفون!$W42*12/cfg_DAYS_Y*AJ42,0))</f>
        <v/>
      </c>
      <c r="AD42" s="111" t="str">
        <f aca="false">IF($B42="","",(IF(الموظفون!$X42&lt;&gt;"",الموظفون!$X42,IF(الموظفون!$E42="غير سعودي",cfg_IQ,0))+IF(الموظفون!$Y42&lt;&gt;"",الموظفون!$Y42,IF(الموظفون!$E42="غير سعودي",cfg_WP,0)))/12*G42/cfg_DAYS_M)</f>
        <v/>
      </c>
      <c r="AE42" s="111" t="str">
        <f aca="false">IF($B42="","",IF(الموظفون!$Z42&lt;&gt;"",الموظفون!$Z42,cfg_MED)/12*G42/cfg_DAYS_M)</f>
        <v/>
      </c>
      <c r="AF42" s="111" t="str">
        <f aca="false">IF($B42="","",N(الموظفون!$AA42)/12*G42/cfg_DAYS_M)</f>
        <v/>
      </c>
      <c r="AG42" s="154" t="str">
        <f aca="false">IF($B42="","",T42+SUM(Z42:AF42))</f>
        <v/>
      </c>
      <c r="AH42" s="155" t="str">
        <f aca="false">IF($B42="","",MAX(0,IF(OR(الموظفون!$AE42="",الموظفون!$AE42&gt;$F$3),$F$3,الموظفون!$AE42)-الموظفون!$H42+1-SUMIFS('سجل الإجازات والحالات'!$AO$6:$AO$505,'سجل الإجازات والحالات'!$B$6:$B$505,$B42))/cfg_DAYS_Y)</f>
        <v/>
      </c>
      <c r="AI42" s="155" t="str">
        <f aca="false">IF($B42="","",MAX(0,IF(OR(الموظفون!$AE42="",الموظفون!$AE42&gt;($E$3-1)),($E$3-1),الموظفون!$AE42)-الموظفون!$H42+1-SUMIFS('سجل الإجازات والحالات'!$AN$6:$AN$505,'سجل الإجازات والحالات'!$B$6:$B$505,$B42))/cfg_DAYS_Y)</f>
        <v/>
      </c>
      <c r="AJ42" s="65" t="str">
        <f aca="false">IF($B42="","",MAX(0,AK42-(SUMIFS('سجل الإجازات والحالات'!$AO$6:$AO$505,'سجل الإجازات والحالات'!$B$6:$B$505,$B42)-SUMIFS('سجل الإجازات والحالات'!$AN$6:$AN$505,'سجل الإجازات والحالات'!$B$6:$B$505,$B42))))</f>
        <v/>
      </c>
      <c r="AK42" s="65" t="str">
        <f aca="false">IF($B42="","",MAX(0,IF(OR(الموظفون!$AE42="",الموظفون!$AE42&gt;$F$3),$F$3,الموظفون!$AE42)-MAX($E$3,الموظفون!$H42)+1))</f>
        <v/>
      </c>
      <c r="AL42" s="151" t="str">
        <f aca="false">IF($B42="","",SUMIFS('سجل الإجازات والحالات'!$BA$6:$BA$505,'سجل الإجازات والحالات'!$B$6:$B$505,$B42)+SUMIFS('الحركات الشهرية'!$K$6:$K$1005,'الحركات الشهرية'!$B$6:$B$1005,$B42,'الحركات الشهرية'!$A$6:$A$1005,$C$3))</f>
        <v/>
      </c>
      <c r="AM42" s="111" t="str">
        <f aca="false">IF($B42="","",AL42*الموظفون!$R42/cfg_DAYS_M+S42)</f>
        <v/>
      </c>
      <c r="AN42" s="151" t="str">
        <f aca="false">IF($B42="","",SUMIFS('سجل الإجازات والحالات'!$AC$6:$AC$505,'سجل الإجازات والحالات'!$B$6:$B$505,$B42))</f>
        <v/>
      </c>
    </row>
    <row r="43" customFormat="false" ht="15" hidden="false" customHeight="false" outlineLevel="0" collapsed="false">
      <c r="A43" s="115" t="str">
        <f aca="false">IF($B43="","",الموظفون!$A43)</f>
        <v/>
      </c>
      <c r="B43" s="117" t="str">
        <f aca="false">IF(الموظفون!$B43="","",الموظفون!$B43)</f>
        <v/>
      </c>
      <c r="C43" s="117" t="str">
        <f aca="false">IF($B43="","",الموظفون!$C43)</f>
        <v/>
      </c>
      <c r="D43" s="117" t="str">
        <f aca="false">IF($B43="","",الموظفون!$F43)</f>
        <v/>
      </c>
      <c r="E43" s="117" t="str">
        <f aca="false">IF($B43="","",الموظفون!$E43)</f>
        <v/>
      </c>
      <c r="F43" s="117" t="str">
        <f aca="false">IF($B43="","",IF(AK43=0,IF(AND(الموظفون!$AE43&lt;&gt;"",الموظفون!$AE43&lt;$E$3),"✖ منتهي الخدمة","⏳ لم يباشر"),IF(S43&gt;0,"✈ راتب إجازة مقدم",IF(J43=0,"⛔ بدون راتب هذا الشهر",IF(I43&gt;0,"✈ خصم "&amp;ROUND(I43,2)&amp;" يوم بدون أجر",IF(AL43&gt;0,"🌴 إجازة سنوية "&amp;ROUND(AL43,2)&amp;" يوم",IF(H43&gt;0,"⚠ غياب "&amp;ROUND(H43,2)&amp;" يوم","✔ على رأس العمل")))))))</f>
        <v/>
      </c>
      <c r="G43" s="156" t="str">
        <f aca="false">IF($B43="","",IF(AK43&gt;=DAY($F$3),cfg_DAYS_M,MIN(AK43,cfg_DAYS_M)))</f>
        <v/>
      </c>
      <c r="H43" s="156" t="str">
        <f aca="false">IF($B43="","",SUMIFS('الحركات الشهرية'!$D$6:$D$1005,'الحركات الشهرية'!$B$6:$B$1005,$B43,'الحركات الشهرية'!$A$6:$A$1005,$C$3))</f>
        <v/>
      </c>
      <c r="I43" s="156" t="str">
        <f aca="false">IF($B43="","",MIN(G43,IF(AND(AK43&gt;0,AN43&gt;=AK43),G43,AN43)+SUMIFS('الحركات الشهرية'!$E$6:$E$1005,'الحركات الشهرية'!$B$6:$B$1005,$B43,'الحركات الشهرية'!$A$6:$A$1005,$C$3)))</f>
        <v/>
      </c>
      <c r="J43" s="156" t="str">
        <f aca="false">IF($B43="","",MAX(0,G43-H43-I43))</f>
        <v/>
      </c>
      <c r="K43" s="116" t="str">
        <f aca="false">IF($B43="","",الموظفون!$L43*$J43/cfg_DAYS_M)</f>
        <v/>
      </c>
      <c r="L43" s="116" t="str">
        <f aca="false">IF($B43="","",الموظفون!$M43*$J43/cfg_DAYS_M)</f>
        <v/>
      </c>
      <c r="M43" s="116" t="str">
        <f aca="false">IF($B43="","",الموظفون!$N43*$J43/cfg_DAYS_M)</f>
        <v/>
      </c>
      <c r="N43" s="116" t="str">
        <f aca="false">IF($B43="","",الموظفون!$O43*$J43/cfg_DAYS_M)</f>
        <v/>
      </c>
      <c r="O43" s="156" t="str">
        <f aca="false">IF($B43="","",SUMIFS('الحركات الشهرية'!$F$6:$F$1005,'الحركات الشهرية'!$B$6:$B$1005,$B43,'الحركات الشهرية'!$A$6:$A$1005,$C$3))</f>
        <v/>
      </c>
      <c r="P43" s="116" t="str">
        <f aca="false">IF($B43="","",O43*(الموظفون!$P43+الموظفون!$L43*cfg_OT_P)/cfg_DAYS_M/cfg_HRS)</f>
        <v/>
      </c>
      <c r="Q43" s="116" t="str">
        <f aca="false">IF($B43="","",SUMIFS('الحركات الشهرية'!$G$6:$G$1005,'الحركات الشهرية'!$B$6:$B$1005,$B43,'الحركات الشهرية'!$A$6:$A$1005,$C$3))</f>
        <v/>
      </c>
      <c r="R43" s="116" t="str">
        <f aca="false">IF($B43="","",SUMIFS('الحركات الشهرية'!$H$6:$H$1005,'الحركات الشهرية'!$B$6:$B$1005,$B43,'الحركات الشهرية'!$A$6:$A$1005,$C$3))</f>
        <v/>
      </c>
      <c r="S43" s="116" t="str">
        <f aca="false">IF($B43="","",SUMIFS('سجل الإجازات والحالات'!$N$6:$N$505,'سجل الإجازات والحالات'!$B$6:$B$505,$B43,'سجل الإجازات والحالات'!$O$6:$O$505,$C$3))</f>
        <v/>
      </c>
      <c r="T43" s="157" t="str">
        <f aca="false">IF($B43="","",SUM(K43:N43)+SUM(P43:S43))</f>
        <v/>
      </c>
      <c r="U43" s="116" t="str">
        <f aca="false">IF($B43="","",الموظفون!$S43*IF(E43="سعودي",cfg_G_SE,cfg_G_NE)*G43/cfg_DAYS_M)</f>
        <v/>
      </c>
      <c r="V43" s="116" t="str">
        <f aca="false">IF($B43="","",SUMIFS('الحركات الشهرية'!$I$6:$I$1005,'الحركات الشهرية'!$B$6:$B$1005,$B43,'الحركات الشهرية'!$A$6:$A$1005,$C$3))</f>
        <v/>
      </c>
      <c r="W43" s="116" t="str">
        <f aca="false">IF($B43="","",SUMIFS('الحركات الشهرية'!$J$6:$J$1005,'الحركات الشهرية'!$B$6:$B$1005,$B43,'الحركات الشهرية'!$A$6:$A$1005,$C$3))</f>
        <v/>
      </c>
      <c r="X43" s="116" t="str">
        <f aca="false">IF($B43="","",SUM(U43:W43))</f>
        <v/>
      </c>
      <c r="Y43" s="158" t="str">
        <f aca="false">IF($B43="","",T43-X43)</f>
        <v/>
      </c>
      <c r="Z43" s="116" t="str">
        <f aca="false">IF($B43="","",الموظفون!$S43*IF(E43="سعودي",cfg_G_SR,cfg_G_NR)*G43/cfg_DAYS_M)</f>
        <v/>
      </c>
      <c r="AA43" s="116" t="str">
        <f aca="false">IF($B43="","",الموظفون!$Q43*(cfg_EOS_R1*(MIN(AH43,cfg_EOS_TH)-MIN(AI43,cfg_EOS_TH))+cfg_EOS_R2*(MAX(AH43-cfg_EOS_TH,0)-MAX(AI43-cfg_EOS_TH,0))))</f>
        <v/>
      </c>
      <c r="AB43" s="116" t="str">
        <f aca="false">IF($B43="","",IF(الموظفون!$T43&lt;&gt;"",الموظفون!$T43,IF(AH43&gt;=cfg_LV_TH,cfg_LV_D2,cfg_LV_D1))/cfg_DAYS_Y*AJ43*الموظفون!$R43/cfg_DAYS_M)</f>
        <v/>
      </c>
      <c r="AC43" s="116" t="str">
        <f aca="false">IF($B43="","",IF(AND(الموظفون!$U43="نعم",N(الموظفون!$W43)&gt;0),الموظفون!$V43/الموظفون!$W43*12/cfg_DAYS_Y*AJ43,0))</f>
        <v/>
      </c>
      <c r="AD43" s="116" t="str">
        <f aca="false">IF($B43="","",(IF(الموظفون!$X43&lt;&gt;"",الموظفون!$X43,IF(الموظفون!$E43="غير سعودي",cfg_IQ,0))+IF(الموظفون!$Y43&lt;&gt;"",الموظفون!$Y43,IF(الموظفون!$E43="غير سعودي",cfg_WP,0)))/12*G43/cfg_DAYS_M)</f>
        <v/>
      </c>
      <c r="AE43" s="116" t="str">
        <f aca="false">IF($B43="","",IF(الموظفون!$Z43&lt;&gt;"",الموظفون!$Z43,cfg_MED)/12*G43/cfg_DAYS_M)</f>
        <v/>
      </c>
      <c r="AF43" s="116" t="str">
        <f aca="false">IF($B43="","",N(الموظفون!$AA43)/12*G43/cfg_DAYS_M)</f>
        <v/>
      </c>
      <c r="AG43" s="159" t="str">
        <f aca="false">IF($B43="","",T43+SUM(Z43:AF43))</f>
        <v/>
      </c>
      <c r="AH43" s="160" t="str">
        <f aca="false">IF($B43="","",MAX(0,IF(OR(الموظفون!$AE43="",الموظفون!$AE43&gt;$F$3),$F$3,الموظفون!$AE43)-الموظفون!$H43+1-SUMIFS('سجل الإجازات والحالات'!$AO$6:$AO$505,'سجل الإجازات والحالات'!$B$6:$B$505,$B43))/cfg_DAYS_Y)</f>
        <v/>
      </c>
      <c r="AI43" s="160" t="str">
        <f aca="false">IF($B43="","",MAX(0,IF(OR(الموظفون!$AE43="",الموظفون!$AE43&gt;($E$3-1)),($E$3-1),الموظفون!$AE43)-الموظفون!$H43+1-SUMIFS('سجل الإجازات والحالات'!$AN$6:$AN$505,'سجل الإجازات والحالات'!$B$6:$B$505,$B43))/cfg_DAYS_Y)</f>
        <v/>
      </c>
      <c r="AJ43" s="133" t="str">
        <f aca="false">IF($B43="","",MAX(0,AK43-(SUMIFS('سجل الإجازات والحالات'!$AO$6:$AO$505,'سجل الإجازات والحالات'!$B$6:$B$505,$B43)-SUMIFS('سجل الإجازات والحالات'!$AN$6:$AN$505,'سجل الإجازات والحالات'!$B$6:$B$505,$B43))))</f>
        <v/>
      </c>
      <c r="AK43" s="133" t="str">
        <f aca="false">IF($B43="","",MAX(0,IF(OR(الموظفون!$AE43="",الموظفون!$AE43&gt;$F$3),$F$3,الموظفون!$AE43)-MAX($E$3,الموظفون!$H43)+1))</f>
        <v/>
      </c>
      <c r="AL43" s="156" t="str">
        <f aca="false">IF($B43="","",SUMIFS('سجل الإجازات والحالات'!$BA$6:$BA$505,'سجل الإجازات والحالات'!$B$6:$B$505,$B43)+SUMIFS('الحركات الشهرية'!$K$6:$K$1005,'الحركات الشهرية'!$B$6:$B$1005,$B43,'الحركات الشهرية'!$A$6:$A$1005,$C$3))</f>
        <v/>
      </c>
      <c r="AM43" s="116" t="str">
        <f aca="false">IF($B43="","",AL43*الموظفون!$R43/cfg_DAYS_M+S43)</f>
        <v/>
      </c>
      <c r="AN43" s="156" t="str">
        <f aca="false">IF($B43="","",SUMIFS('سجل الإجازات والحالات'!$AC$6:$AC$505,'سجل الإجازات والحالات'!$B$6:$B$505,$B43))</f>
        <v/>
      </c>
    </row>
    <row r="44" customFormat="false" ht="15" hidden="false" customHeight="false" outlineLevel="0" collapsed="false">
      <c r="A44" s="106" t="str">
        <f aca="false">IF($B44="","",الموظفون!$A44)</f>
        <v/>
      </c>
      <c r="B44" s="114" t="str">
        <f aca="false">IF(الموظفون!$B44="","",الموظفون!$B44)</f>
        <v/>
      </c>
      <c r="C44" s="114" t="str">
        <f aca="false">IF($B44="","",الموظفون!$C44)</f>
        <v/>
      </c>
      <c r="D44" s="114" t="str">
        <f aca="false">IF($B44="","",الموظفون!$F44)</f>
        <v/>
      </c>
      <c r="E44" s="114" t="str">
        <f aca="false">IF($B44="","",الموظفون!$E44)</f>
        <v/>
      </c>
      <c r="F44" s="114" t="str">
        <f aca="false">IF($B44="","",IF(AK44=0,IF(AND(الموظفون!$AE44&lt;&gt;"",الموظفون!$AE44&lt;$E$3),"✖ منتهي الخدمة","⏳ لم يباشر"),IF(S44&gt;0,"✈ راتب إجازة مقدم",IF(J44=0,"⛔ بدون راتب هذا الشهر",IF(I44&gt;0,"✈ خصم "&amp;ROUND(I44,2)&amp;" يوم بدون أجر",IF(AL44&gt;0,"🌴 إجازة سنوية "&amp;ROUND(AL44,2)&amp;" يوم",IF(H44&gt;0,"⚠ غياب "&amp;ROUND(H44,2)&amp;" يوم","✔ على رأس العمل")))))))</f>
        <v/>
      </c>
      <c r="G44" s="151" t="str">
        <f aca="false">IF($B44="","",IF(AK44&gt;=DAY($F$3),cfg_DAYS_M,MIN(AK44,cfg_DAYS_M)))</f>
        <v/>
      </c>
      <c r="H44" s="151" t="str">
        <f aca="false">IF($B44="","",SUMIFS('الحركات الشهرية'!$D$6:$D$1005,'الحركات الشهرية'!$B$6:$B$1005,$B44,'الحركات الشهرية'!$A$6:$A$1005,$C$3))</f>
        <v/>
      </c>
      <c r="I44" s="151" t="str">
        <f aca="false">IF($B44="","",MIN(G44,IF(AND(AK44&gt;0,AN44&gt;=AK44),G44,AN44)+SUMIFS('الحركات الشهرية'!$E$6:$E$1005,'الحركات الشهرية'!$B$6:$B$1005,$B44,'الحركات الشهرية'!$A$6:$A$1005,$C$3)))</f>
        <v/>
      </c>
      <c r="J44" s="151" t="str">
        <f aca="false">IF($B44="","",MAX(0,G44-H44-I44))</f>
        <v/>
      </c>
      <c r="K44" s="111" t="str">
        <f aca="false">IF($B44="","",الموظفون!$L44*$J44/cfg_DAYS_M)</f>
        <v/>
      </c>
      <c r="L44" s="111" t="str">
        <f aca="false">IF($B44="","",الموظفون!$M44*$J44/cfg_DAYS_M)</f>
        <v/>
      </c>
      <c r="M44" s="111" t="str">
        <f aca="false">IF($B44="","",الموظفون!$N44*$J44/cfg_DAYS_M)</f>
        <v/>
      </c>
      <c r="N44" s="111" t="str">
        <f aca="false">IF($B44="","",الموظفون!$O44*$J44/cfg_DAYS_M)</f>
        <v/>
      </c>
      <c r="O44" s="151" t="str">
        <f aca="false">IF($B44="","",SUMIFS('الحركات الشهرية'!$F$6:$F$1005,'الحركات الشهرية'!$B$6:$B$1005,$B44,'الحركات الشهرية'!$A$6:$A$1005,$C$3))</f>
        <v/>
      </c>
      <c r="P44" s="111" t="str">
        <f aca="false">IF($B44="","",O44*(الموظفون!$P44+الموظفون!$L44*cfg_OT_P)/cfg_DAYS_M/cfg_HRS)</f>
        <v/>
      </c>
      <c r="Q44" s="111" t="str">
        <f aca="false">IF($B44="","",SUMIFS('الحركات الشهرية'!$G$6:$G$1005,'الحركات الشهرية'!$B$6:$B$1005,$B44,'الحركات الشهرية'!$A$6:$A$1005,$C$3))</f>
        <v/>
      </c>
      <c r="R44" s="111" t="str">
        <f aca="false">IF($B44="","",SUMIFS('الحركات الشهرية'!$H$6:$H$1005,'الحركات الشهرية'!$B$6:$B$1005,$B44,'الحركات الشهرية'!$A$6:$A$1005,$C$3))</f>
        <v/>
      </c>
      <c r="S44" s="111" t="str">
        <f aca="false">IF($B44="","",SUMIFS('سجل الإجازات والحالات'!$N$6:$N$505,'سجل الإجازات والحالات'!$B$6:$B$505,$B44,'سجل الإجازات والحالات'!$O$6:$O$505,$C$3))</f>
        <v/>
      </c>
      <c r="T44" s="152" t="str">
        <f aca="false">IF($B44="","",SUM(K44:N44)+SUM(P44:S44))</f>
        <v/>
      </c>
      <c r="U44" s="111" t="str">
        <f aca="false">IF($B44="","",الموظفون!$S44*IF(E44="سعودي",cfg_G_SE,cfg_G_NE)*G44/cfg_DAYS_M)</f>
        <v/>
      </c>
      <c r="V44" s="111" t="str">
        <f aca="false">IF($B44="","",SUMIFS('الحركات الشهرية'!$I$6:$I$1005,'الحركات الشهرية'!$B$6:$B$1005,$B44,'الحركات الشهرية'!$A$6:$A$1005,$C$3))</f>
        <v/>
      </c>
      <c r="W44" s="111" t="str">
        <f aca="false">IF($B44="","",SUMIFS('الحركات الشهرية'!$J$6:$J$1005,'الحركات الشهرية'!$B$6:$B$1005,$B44,'الحركات الشهرية'!$A$6:$A$1005,$C$3))</f>
        <v/>
      </c>
      <c r="X44" s="111" t="str">
        <f aca="false">IF($B44="","",SUM(U44:W44))</f>
        <v/>
      </c>
      <c r="Y44" s="153" t="str">
        <f aca="false">IF($B44="","",T44-X44)</f>
        <v/>
      </c>
      <c r="Z44" s="111" t="str">
        <f aca="false">IF($B44="","",الموظفون!$S44*IF(E44="سعودي",cfg_G_SR,cfg_G_NR)*G44/cfg_DAYS_M)</f>
        <v/>
      </c>
      <c r="AA44" s="111" t="str">
        <f aca="false">IF($B44="","",الموظفون!$Q44*(cfg_EOS_R1*(MIN(AH44,cfg_EOS_TH)-MIN(AI44,cfg_EOS_TH))+cfg_EOS_R2*(MAX(AH44-cfg_EOS_TH,0)-MAX(AI44-cfg_EOS_TH,0))))</f>
        <v/>
      </c>
      <c r="AB44" s="111" t="str">
        <f aca="false">IF($B44="","",IF(الموظفون!$T44&lt;&gt;"",الموظفون!$T44,IF(AH44&gt;=cfg_LV_TH,cfg_LV_D2,cfg_LV_D1))/cfg_DAYS_Y*AJ44*الموظفون!$R44/cfg_DAYS_M)</f>
        <v/>
      </c>
      <c r="AC44" s="111" t="str">
        <f aca="false">IF($B44="","",IF(AND(الموظفون!$U44="نعم",N(الموظفون!$W44)&gt;0),الموظفون!$V44/الموظفون!$W44*12/cfg_DAYS_Y*AJ44,0))</f>
        <v/>
      </c>
      <c r="AD44" s="111" t="str">
        <f aca="false">IF($B44="","",(IF(الموظفون!$X44&lt;&gt;"",الموظفون!$X44,IF(الموظفون!$E44="غير سعودي",cfg_IQ,0))+IF(الموظفون!$Y44&lt;&gt;"",الموظفون!$Y44,IF(الموظفون!$E44="غير سعودي",cfg_WP,0)))/12*G44/cfg_DAYS_M)</f>
        <v/>
      </c>
      <c r="AE44" s="111" t="str">
        <f aca="false">IF($B44="","",IF(الموظفون!$Z44&lt;&gt;"",الموظفون!$Z44,cfg_MED)/12*G44/cfg_DAYS_M)</f>
        <v/>
      </c>
      <c r="AF44" s="111" t="str">
        <f aca="false">IF($B44="","",N(الموظفون!$AA44)/12*G44/cfg_DAYS_M)</f>
        <v/>
      </c>
      <c r="AG44" s="154" t="str">
        <f aca="false">IF($B44="","",T44+SUM(Z44:AF44))</f>
        <v/>
      </c>
      <c r="AH44" s="155" t="str">
        <f aca="false">IF($B44="","",MAX(0,IF(OR(الموظفون!$AE44="",الموظفون!$AE44&gt;$F$3),$F$3,الموظفون!$AE44)-الموظفون!$H44+1-SUMIFS('سجل الإجازات والحالات'!$AO$6:$AO$505,'سجل الإجازات والحالات'!$B$6:$B$505,$B44))/cfg_DAYS_Y)</f>
        <v/>
      </c>
      <c r="AI44" s="155" t="str">
        <f aca="false">IF($B44="","",MAX(0,IF(OR(الموظفون!$AE44="",الموظفون!$AE44&gt;($E$3-1)),($E$3-1),الموظفون!$AE44)-الموظفون!$H44+1-SUMIFS('سجل الإجازات والحالات'!$AN$6:$AN$505,'سجل الإجازات والحالات'!$B$6:$B$505,$B44))/cfg_DAYS_Y)</f>
        <v/>
      </c>
      <c r="AJ44" s="65" t="str">
        <f aca="false">IF($B44="","",MAX(0,AK44-(SUMIFS('سجل الإجازات والحالات'!$AO$6:$AO$505,'سجل الإجازات والحالات'!$B$6:$B$505,$B44)-SUMIFS('سجل الإجازات والحالات'!$AN$6:$AN$505,'سجل الإجازات والحالات'!$B$6:$B$505,$B44))))</f>
        <v/>
      </c>
      <c r="AK44" s="65" t="str">
        <f aca="false">IF($B44="","",MAX(0,IF(OR(الموظفون!$AE44="",الموظفون!$AE44&gt;$F$3),$F$3,الموظفون!$AE44)-MAX($E$3,الموظفون!$H44)+1))</f>
        <v/>
      </c>
      <c r="AL44" s="151" t="str">
        <f aca="false">IF($B44="","",SUMIFS('سجل الإجازات والحالات'!$BA$6:$BA$505,'سجل الإجازات والحالات'!$B$6:$B$505,$B44)+SUMIFS('الحركات الشهرية'!$K$6:$K$1005,'الحركات الشهرية'!$B$6:$B$1005,$B44,'الحركات الشهرية'!$A$6:$A$1005,$C$3))</f>
        <v/>
      </c>
      <c r="AM44" s="111" t="str">
        <f aca="false">IF($B44="","",AL44*الموظفون!$R44/cfg_DAYS_M+S44)</f>
        <v/>
      </c>
      <c r="AN44" s="151" t="str">
        <f aca="false">IF($B44="","",SUMIFS('سجل الإجازات والحالات'!$AC$6:$AC$505,'سجل الإجازات والحالات'!$B$6:$B$505,$B44))</f>
        <v/>
      </c>
    </row>
    <row r="45" customFormat="false" ht="15" hidden="false" customHeight="false" outlineLevel="0" collapsed="false">
      <c r="A45" s="115" t="str">
        <f aca="false">IF($B45="","",الموظفون!$A45)</f>
        <v/>
      </c>
      <c r="B45" s="117" t="str">
        <f aca="false">IF(الموظفون!$B45="","",الموظفون!$B45)</f>
        <v/>
      </c>
      <c r="C45" s="117" t="str">
        <f aca="false">IF($B45="","",الموظفون!$C45)</f>
        <v/>
      </c>
      <c r="D45" s="117" t="str">
        <f aca="false">IF($B45="","",الموظفون!$F45)</f>
        <v/>
      </c>
      <c r="E45" s="117" t="str">
        <f aca="false">IF($B45="","",الموظفون!$E45)</f>
        <v/>
      </c>
      <c r="F45" s="117" t="str">
        <f aca="false">IF($B45="","",IF(AK45=0,IF(AND(الموظفون!$AE45&lt;&gt;"",الموظفون!$AE45&lt;$E$3),"✖ منتهي الخدمة","⏳ لم يباشر"),IF(S45&gt;0,"✈ راتب إجازة مقدم",IF(J45=0,"⛔ بدون راتب هذا الشهر",IF(I45&gt;0,"✈ خصم "&amp;ROUND(I45,2)&amp;" يوم بدون أجر",IF(AL45&gt;0,"🌴 إجازة سنوية "&amp;ROUND(AL45,2)&amp;" يوم",IF(H45&gt;0,"⚠ غياب "&amp;ROUND(H45,2)&amp;" يوم","✔ على رأس العمل")))))))</f>
        <v/>
      </c>
      <c r="G45" s="156" t="str">
        <f aca="false">IF($B45="","",IF(AK45&gt;=DAY($F$3),cfg_DAYS_M,MIN(AK45,cfg_DAYS_M)))</f>
        <v/>
      </c>
      <c r="H45" s="156" t="str">
        <f aca="false">IF($B45="","",SUMIFS('الحركات الشهرية'!$D$6:$D$1005,'الحركات الشهرية'!$B$6:$B$1005,$B45,'الحركات الشهرية'!$A$6:$A$1005,$C$3))</f>
        <v/>
      </c>
      <c r="I45" s="156" t="str">
        <f aca="false">IF($B45="","",MIN(G45,IF(AND(AK45&gt;0,AN45&gt;=AK45),G45,AN45)+SUMIFS('الحركات الشهرية'!$E$6:$E$1005,'الحركات الشهرية'!$B$6:$B$1005,$B45,'الحركات الشهرية'!$A$6:$A$1005,$C$3)))</f>
        <v/>
      </c>
      <c r="J45" s="156" t="str">
        <f aca="false">IF($B45="","",MAX(0,G45-H45-I45))</f>
        <v/>
      </c>
      <c r="K45" s="116" t="str">
        <f aca="false">IF($B45="","",الموظفون!$L45*$J45/cfg_DAYS_M)</f>
        <v/>
      </c>
      <c r="L45" s="116" t="str">
        <f aca="false">IF($B45="","",الموظفون!$M45*$J45/cfg_DAYS_M)</f>
        <v/>
      </c>
      <c r="M45" s="116" t="str">
        <f aca="false">IF($B45="","",الموظفون!$N45*$J45/cfg_DAYS_M)</f>
        <v/>
      </c>
      <c r="N45" s="116" t="str">
        <f aca="false">IF($B45="","",الموظفون!$O45*$J45/cfg_DAYS_M)</f>
        <v/>
      </c>
      <c r="O45" s="156" t="str">
        <f aca="false">IF($B45="","",SUMIFS('الحركات الشهرية'!$F$6:$F$1005,'الحركات الشهرية'!$B$6:$B$1005,$B45,'الحركات الشهرية'!$A$6:$A$1005,$C$3))</f>
        <v/>
      </c>
      <c r="P45" s="116" t="str">
        <f aca="false">IF($B45="","",O45*(الموظفون!$P45+الموظفون!$L45*cfg_OT_P)/cfg_DAYS_M/cfg_HRS)</f>
        <v/>
      </c>
      <c r="Q45" s="116" t="str">
        <f aca="false">IF($B45="","",SUMIFS('الحركات الشهرية'!$G$6:$G$1005,'الحركات الشهرية'!$B$6:$B$1005,$B45,'الحركات الشهرية'!$A$6:$A$1005,$C$3))</f>
        <v/>
      </c>
      <c r="R45" s="116" t="str">
        <f aca="false">IF($B45="","",SUMIFS('الحركات الشهرية'!$H$6:$H$1005,'الحركات الشهرية'!$B$6:$B$1005,$B45,'الحركات الشهرية'!$A$6:$A$1005,$C$3))</f>
        <v/>
      </c>
      <c r="S45" s="116" t="str">
        <f aca="false">IF($B45="","",SUMIFS('سجل الإجازات والحالات'!$N$6:$N$505,'سجل الإجازات والحالات'!$B$6:$B$505,$B45,'سجل الإجازات والحالات'!$O$6:$O$505,$C$3))</f>
        <v/>
      </c>
      <c r="T45" s="157" t="str">
        <f aca="false">IF($B45="","",SUM(K45:N45)+SUM(P45:S45))</f>
        <v/>
      </c>
      <c r="U45" s="116" t="str">
        <f aca="false">IF($B45="","",الموظفون!$S45*IF(E45="سعودي",cfg_G_SE,cfg_G_NE)*G45/cfg_DAYS_M)</f>
        <v/>
      </c>
      <c r="V45" s="116" t="str">
        <f aca="false">IF($B45="","",SUMIFS('الحركات الشهرية'!$I$6:$I$1005,'الحركات الشهرية'!$B$6:$B$1005,$B45,'الحركات الشهرية'!$A$6:$A$1005,$C$3))</f>
        <v/>
      </c>
      <c r="W45" s="116" t="str">
        <f aca="false">IF($B45="","",SUMIFS('الحركات الشهرية'!$J$6:$J$1005,'الحركات الشهرية'!$B$6:$B$1005,$B45,'الحركات الشهرية'!$A$6:$A$1005,$C$3))</f>
        <v/>
      </c>
      <c r="X45" s="116" t="str">
        <f aca="false">IF($B45="","",SUM(U45:W45))</f>
        <v/>
      </c>
      <c r="Y45" s="158" t="str">
        <f aca="false">IF($B45="","",T45-X45)</f>
        <v/>
      </c>
      <c r="Z45" s="116" t="str">
        <f aca="false">IF($B45="","",الموظفون!$S45*IF(E45="سعودي",cfg_G_SR,cfg_G_NR)*G45/cfg_DAYS_M)</f>
        <v/>
      </c>
      <c r="AA45" s="116" t="str">
        <f aca="false">IF($B45="","",الموظفون!$Q45*(cfg_EOS_R1*(MIN(AH45,cfg_EOS_TH)-MIN(AI45,cfg_EOS_TH))+cfg_EOS_R2*(MAX(AH45-cfg_EOS_TH,0)-MAX(AI45-cfg_EOS_TH,0))))</f>
        <v/>
      </c>
      <c r="AB45" s="116" t="str">
        <f aca="false">IF($B45="","",IF(الموظفون!$T45&lt;&gt;"",الموظفون!$T45,IF(AH45&gt;=cfg_LV_TH,cfg_LV_D2,cfg_LV_D1))/cfg_DAYS_Y*AJ45*الموظفون!$R45/cfg_DAYS_M)</f>
        <v/>
      </c>
      <c r="AC45" s="116" t="str">
        <f aca="false">IF($B45="","",IF(AND(الموظفون!$U45="نعم",N(الموظفون!$W45)&gt;0),الموظفون!$V45/الموظفون!$W45*12/cfg_DAYS_Y*AJ45,0))</f>
        <v/>
      </c>
      <c r="AD45" s="116" t="str">
        <f aca="false">IF($B45="","",(IF(الموظفون!$X45&lt;&gt;"",الموظفون!$X45,IF(الموظفون!$E45="غير سعودي",cfg_IQ,0))+IF(الموظفون!$Y45&lt;&gt;"",الموظفون!$Y45,IF(الموظفون!$E45="غير سعودي",cfg_WP,0)))/12*G45/cfg_DAYS_M)</f>
        <v/>
      </c>
      <c r="AE45" s="116" t="str">
        <f aca="false">IF($B45="","",IF(الموظفون!$Z45&lt;&gt;"",الموظفون!$Z45,cfg_MED)/12*G45/cfg_DAYS_M)</f>
        <v/>
      </c>
      <c r="AF45" s="116" t="str">
        <f aca="false">IF($B45="","",N(الموظفون!$AA45)/12*G45/cfg_DAYS_M)</f>
        <v/>
      </c>
      <c r="AG45" s="159" t="str">
        <f aca="false">IF($B45="","",T45+SUM(Z45:AF45))</f>
        <v/>
      </c>
      <c r="AH45" s="160" t="str">
        <f aca="false">IF($B45="","",MAX(0,IF(OR(الموظفون!$AE45="",الموظفون!$AE45&gt;$F$3),$F$3,الموظفون!$AE45)-الموظفون!$H45+1-SUMIFS('سجل الإجازات والحالات'!$AO$6:$AO$505,'سجل الإجازات والحالات'!$B$6:$B$505,$B45))/cfg_DAYS_Y)</f>
        <v/>
      </c>
      <c r="AI45" s="160" t="str">
        <f aca="false">IF($B45="","",MAX(0,IF(OR(الموظفون!$AE45="",الموظفون!$AE45&gt;($E$3-1)),($E$3-1),الموظفون!$AE45)-الموظفون!$H45+1-SUMIFS('سجل الإجازات والحالات'!$AN$6:$AN$505,'سجل الإجازات والحالات'!$B$6:$B$505,$B45))/cfg_DAYS_Y)</f>
        <v/>
      </c>
      <c r="AJ45" s="133" t="str">
        <f aca="false">IF($B45="","",MAX(0,AK45-(SUMIFS('سجل الإجازات والحالات'!$AO$6:$AO$505,'سجل الإجازات والحالات'!$B$6:$B$505,$B45)-SUMIFS('سجل الإجازات والحالات'!$AN$6:$AN$505,'سجل الإجازات والحالات'!$B$6:$B$505,$B45))))</f>
        <v/>
      </c>
      <c r="AK45" s="133" t="str">
        <f aca="false">IF($B45="","",MAX(0,IF(OR(الموظفون!$AE45="",الموظفون!$AE45&gt;$F$3),$F$3,الموظفون!$AE45)-MAX($E$3,الموظفون!$H45)+1))</f>
        <v/>
      </c>
      <c r="AL45" s="156" t="str">
        <f aca="false">IF($B45="","",SUMIFS('سجل الإجازات والحالات'!$BA$6:$BA$505,'سجل الإجازات والحالات'!$B$6:$B$505,$B45)+SUMIFS('الحركات الشهرية'!$K$6:$K$1005,'الحركات الشهرية'!$B$6:$B$1005,$B45,'الحركات الشهرية'!$A$6:$A$1005,$C$3))</f>
        <v/>
      </c>
      <c r="AM45" s="116" t="str">
        <f aca="false">IF($B45="","",AL45*الموظفون!$R45/cfg_DAYS_M+S45)</f>
        <v/>
      </c>
      <c r="AN45" s="156" t="str">
        <f aca="false">IF($B45="","",SUMIFS('سجل الإجازات والحالات'!$AC$6:$AC$505,'سجل الإجازات والحالات'!$B$6:$B$505,$B45))</f>
        <v/>
      </c>
    </row>
    <row r="46" customFormat="false" ht="15" hidden="false" customHeight="false" outlineLevel="0" collapsed="false">
      <c r="A46" s="106" t="str">
        <f aca="false">IF($B46="","",الموظفون!$A46)</f>
        <v/>
      </c>
      <c r="B46" s="114" t="str">
        <f aca="false">IF(الموظفون!$B46="","",الموظفون!$B46)</f>
        <v/>
      </c>
      <c r="C46" s="114" t="str">
        <f aca="false">IF($B46="","",الموظفون!$C46)</f>
        <v/>
      </c>
      <c r="D46" s="114" t="str">
        <f aca="false">IF($B46="","",الموظفون!$F46)</f>
        <v/>
      </c>
      <c r="E46" s="114" t="str">
        <f aca="false">IF($B46="","",الموظفون!$E46)</f>
        <v/>
      </c>
      <c r="F46" s="114" t="str">
        <f aca="false">IF($B46="","",IF(AK46=0,IF(AND(الموظفون!$AE46&lt;&gt;"",الموظفون!$AE46&lt;$E$3),"✖ منتهي الخدمة","⏳ لم يباشر"),IF(S46&gt;0,"✈ راتب إجازة مقدم",IF(J46=0,"⛔ بدون راتب هذا الشهر",IF(I46&gt;0,"✈ خصم "&amp;ROUND(I46,2)&amp;" يوم بدون أجر",IF(AL46&gt;0,"🌴 إجازة سنوية "&amp;ROUND(AL46,2)&amp;" يوم",IF(H46&gt;0,"⚠ غياب "&amp;ROUND(H46,2)&amp;" يوم","✔ على رأس العمل")))))))</f>
        <v/>
      </c>
      <c r="G46" s="151" t="str">
        <f aca="false">IF($B46="","",IF(AK46&gt;=DAY($F$3),cfg_DAYS_M,MIN(AK46,cfg_DAYS_M)))</f>
        <v/>
      </c>
      <c r="H46" s="151" t="str">
        <f aca="false">IF($B46="","",SUMIFS('الحركات الشهرية'!$D$6:$D$1005,'الحركات الشهرية'!$B$6:$B$1005,$B46,'الحركات الشهرية'!$A$6:$A$1005,$C$3))</f>
        <v/>
      </c>
      <c r="I46" s="151" t="str">
        <f aca="false">IF($B46="","",MIN(G46,IF(AND(AK46&gt;0,AN46&gt;=AK46),G46,AN46)+SUMIFS('الحركات الشهرية'!$E$6:$E$1005,'الحركات الشهرية'!$B$6:$B$1005,$B46,'الحركات الشهرية'!$A$6:$A$1005,$C$3)))</f>
        <v/>
      </c>
      <c r="J46" s="151" t="str">
        <f aca="false">IF($B46="","",MAX(0,G46-H46-I46))</f>
        <v/>
      </c>
      <c r="K46" s="111" t="str">
        <f aca="false">IF($B46="","",الموظفون!$L46*$J46/cfg_DAYS_M)</f>
        <v/>
      </c>
      <c r="L46" s="111" t="str">
        <f aca="false">IF($B46="","",الموظفون!$M46*$J46/cfg_DAYS_M)</f>
        <v/>
      </c>
      <c r="M46" s="111" t="str">
        <f aca="false">IF($B46="","",الموظفون!$N46*$J46/cfg_DAYS_M)</f>
        <v/>
      </c>
      <c r="N46" s="111" t="str">
        <f aca="false">IF($B46="","",الموظفون!$O46*$J46/cfg_DAYS_M)</f>
        <v/>
      </c>
      <c r="O46" s="151" t="str">
        <f aca="false">IF($B46="","",SUMIFS('الحركات الشهرية'!$F$6:$F$1005,'الحركات الشهرية'!$B$6:$B$1005,$B46,'الحركات الشهرية'!$A$6:$A$1005,$C$3))</f>
        <v/>
      </c>
      <c r="P46" s="111" t="str">
        <f aca="false">IF($B46="","",O46*(الموظفون!$P46+الموظفون!$L46*cfg_OT_P)/cfg_DAYS_M/cfg_HRS)</f>
        <v/>
      </c>
      <c r="Q46" s="111" t="str">
        <f aca="false">IF($B46="","",SUMIFS('الحركات الشهرية'!$G$6:$G$1005,'الحركات الشهرية'!$B$6:$B$1005,$B46,'الحركات الشهرية'!$A$6:$A$1005,$C$3))</f>
        <v/>
      </c>
      <c r="R46" s="111" t="str">
        <f aca="false">IF($B46="","",SUMIFS('الحركات الشهرية'!$H$6:$H$1005,'الحركات الشهرية'!$B$6:$B$1005,$B46,'الحركات الشهرية'!$A$6:$A$1005,$C$3))</f>
        <v/>
      </c>
      <c r="S46" s="111" t="str">
        <f aca="false">IF($B46="","",SUMIFS('سجل الإجازات والحالات'!$N$6:$N$505,'سجل الإجازات والحالات'!$B$6:$B$505,$B46,'سجل الإجازات والحالات'!$O$6:$O$505,$C$3))</f>
        <v/>
      </c>
      <c r="T46" s="152" t="str">
        <f aca="false">IF($B46="","",SUM(K46:N46)+SUM(P46:S46))</f>
        <v/>
      </c>
      <c r="U46" s="111" t="str">
        <f aca="false">IF($B46="","",الموظفون!$S46*IF(E46="سعودي",cfg_G_SE,cfg_G_NE)*G46/cfg_DAYS_M)</f>
        <v/>
      </c>
      <c r="V46" s="111" t="str">
        <f aca="false">IF($B46="","",SUMIFS('الحركات الشهرية'!$I$6:$I$1005,'الحركات الشهرية'!$B$6:$B$1005,$B46,'الحركات الشهرية'!$A$6:$A$1005,$C$3))</f>
        <v/>
      </c>
      <c r="W46" s="111" t="str">
        <f aca="false">IF($B46="","",SUMIFS('الحركات الشهرية'!$J$6:$J$1005,'الحركات الشهرية'!$B$6:$B$1005,$B46,'الحركات الشهرية'!$A$6:$A$1005,$C$3))</f>
        <v/>
      </c>
      <c r="X46" s="111" t="str">
        <f aca="false">IF($B46="","",SUM(U46:W46))</f>
        <v/>
      </c>
      <c r="Y46" s="153" t="str">
        <f aca="false">IF($B46="","",T46-X46)</f>
        <v/>
      </c>
      <c r="Z46" s="111" t="str">
        <f aca="false">IF($B46="","",الموظفون!$S46*IF(E46="سعودي",cfg_G_SR,cfg_G_NR)*G46/cfg_DAYS_M)</f>
        <v/>
      </c>
      <c r="AA46" s="111" t="str">
        <f aca="false">IF($B46="","",الموظفون!$Q46*(cfg_EOS_R1*(MIN(AH46,cfg_EOS_TH)-MIN(AI46,cfg_EOS_TH))+cfg_EOS_R2*(MAX(AH46-cfg_EOS_TH,0)-MAX(AI46-cfg_EOS_TH,0))))</f>
        <v/>
      </c>
      <c r="AB46" s="111" t="str">
        <f aca="false">IF($B46="","",IF(الموظفون!$T46&lt;&gt;"",الموظفون!$T46,IF(AH46&gt;=cfg_LV_TH,cfg_LV_D2,cfg_LV_D1))/cfg_DAYS_Y*AJ46*الموظفون!$R46/cfg_DAYS_M)</f>
        <v/>
      </c>
      <c r="AC46" s="111" t="str">
        <f aca="false">IF($B46="","",IF(AND(الموظفون!$U46="نعم",N(الموظفون!$W46)&gt;0),الموظفون!$V46/الموظفون!$W46*12/cfg_DAYS_Y*AJ46,0))</f>
        <v/>
      </c>
      <c r="AD46" s="111" t="str">
        <f aca="false">IF($B46="","",(IF(الموظفون!$X46&lt;&gt;"",الموظفون!$X46,IF(الموظفون!$E46="غير سعودي",cfg_IQ,0))+IF(الموظفون!$Y46&lt;&gt;"",الموظفون!$Y46,IF(الموظفون!$E46="غير سعودي",cfg_WP,0)))/12*G46/cfg_DAYS_M)</f>
        <v/>
      </c>
      <c r="AE46" s="111" t="str">
        <f aca="false">IF($B46="","",IF(الموظفون!$Z46&lt;&gt;"",الموظفون!$Z46,cfg_MED)/12*G46/cfg_DAYS_M)</f>
        <v/>
      </c>
      <c r="AF46" s="111" t="str">
        <f aca="false">IF($B46="","",N(الموظفون!$AA46)/12*G46/cfg_DAYS_M)</f>
        <v/>
      </c>
      <c r="AG46" s="154" t="str">
        <f aca="false">IF($B46="","",T46+SUM(Z46:AF46))</f>
        <v/>
      </c>
      <c r="AH46" s="155" t="str">
        <f aca="false">IF($B46="","",MAX(0,IF(OR(الموظفون!$AE46="",الموظفون!$AE46&gt;$F$3),$F$3,الموظفون!$AE46)-الموظفون!$H46+1-SUMIFS('سجل الإجازات والحالات'!$AO$6:$AO$505,'سجل الإجازات والحالات'!$B$6:$B$505,$B46))/cfg_DAYS_Y)</f>
        <v/>
      </c>
      <c r="AI46" s="155" t="str">
        <f aca="false">IF($B46="","",MAX(0,IF(OR(الموظفون!$AE46="",الموظفون!$AE46&gt;($E$3-1)),($E$3-1),الموظفون!$AE46)-الموظفون!$H46+1-SUMIFS('سجل الإجازات والحالات'!$AN$6:$AN$505,'سجل الإجازات والحالات'!$B$6:$B$505,$B46))/cfg_DAYS_Y)</f>
        <v/>
      </c>
      <c r="AJ46" s="65" t="str">
        <f aca="false">IF($B46="","",MAX(0,AK46-(SUMIFS('سجل الإجازات والحالات'!$AO$6:$AO$505,'سجل الإجازات والحالات'!$B$6:$B$505,$B46)-SUMIFS('سجل الإجازات والحالات'!$AN$6:$AN$505,'سجل الإجازات والحالات'!$B$6:$B$505,$B46))))</f>
        <v/>
      </c>
      <c r="AK46" s="65" t="str">
        <f aca="false">IF($B46="","",MAX(0,IF(OR(الموظفون!$AE46="",الموظفون!$AE46&gt;$F$3),$F$3,الموظفون!$AE46)-MAX($E$3,الموظفون!$H46)+1))</f>
        <v/>
      </c>
      <c r="AL46" s="151" t="str">
        <f aca="false">IF($B46="","",SUMIFS('سجل الإجازات والحالات'!$BA$6:$BA$505,'سجل الإجازات والحالات'!$B$6:$B$505,$B46)+SUMIFS('الحركات الشهرية'!$K$6:$K$1005,'الحركات الشهرية'!$B$6:$B$1005,$B46,'الحركات الشهرية'!$A$6:$A$1005,$C$3))</f>
        <v/>
      </c>
      <c r="AM46" s="111" t="str">
        <f aca="false">IF($B46="","",AL46*الموظفون!$R46/cfg_DAYS_M+S46)</f>
        <v/>
      </c>
      <c r="AN46" s="151" t="str">
        <f aca="false">IF($B46="","",SUMIFS('سجل الإجازات والحالات'!$AC$6:$AC$505,'سجل الإجازات والحالات'!$B$6:$B$505,$B46))</f>
        <v/>
      </c>
    </row>
    <row r="47" customFormat="false" ht="15" hidden="false" customHeight="false" outlineLevel="0" collapsed="false">
      <c r="A47" s="115" t="str">
        <f aca="false">IF($B47="","",الموظفون!$A47)</f>
        <v/>
      </c>
      <c r="B47" s="117" t="str">
        <f aca="false">IF(الموظفون!$B47="","",الموظفون!$B47)</f>
        <v/>
      </c>
      <c r="C47" s="117" t="str">
        <f aca="false">IF($B47="","",الموظفون!$C47)</f>
        <v/>
      </c>
      <c r="D47" s="117" t="str">
        <f aca="false">IF($B47="","",الموظفون!$F47)</f>
        <v/>
      </c>
      <c r="E47" s="117" t="str">
        <f aca="false">IF($B47="","",الموظفون!$E47)</f>
        <v/>
      </c>
      <c r="F47" s="117" t="str">
        <f aca="false">IF($B47="","",IF(AK47=0,IF(AND(الموظفون!$AE47&lt;&gt;"",الموظفون!$AE47&lt;$E$3),"✖ منتهي الخدمة","⏳ لم يباشر"),IF(S47&gt;0,"✈ راتب إجازة مقدم",IF(J47=0,"⛔ بدون راتب هذا الشهر",IF(I47&gt;0,"✈ خصم "&amp;ROUND(I47,2)&amp;" يوم بدون أجر",IF(AL47&gt;0,"🌴 إجازة سنوية "&amp;ROUND(AL47,2)&amp;" يوم",IF(H47&gt;0,"⚠ غياب "&amp;ROUND(H47,2)&amp;" يوم","✔ على رأس العمل")))))))</f>
        <v/>
      </c>
      <c r="G47" s="156" t="str">
        <f aca="false">IF($B47="","",IF(AK47&gt;=DAY($F$3),cfg_DAYS_M,MIN(AK47,cfg_DAYS_M)))</f>
        <v/>
      </c>
      <c r="H47" s="156" t="str">
        <f aca="false">IF($B47="","",SUMIFS('الحركات الشهرية'!$D$6:$D$1005,'الحركات الشهرية'!$B$6:$B$1005,$B47,'الحركات الشهرية'!$A$6:$A$1005,$C$3))</f>
        <v/>
      </c>
      <c r="I47" s="156" t="str">
        <f aca="false">IF($B47="","",MIN(G47,IF(AND(AK47&gt;0,AN47&gt;=AK47),G47,AN47)+SUMIFS('الحركات الشهرية'!$E$6:$E$1005,'الحركات الشهرية'!$B$6:$B$1005,$B47,'الحركات الشهرية'!$A$6:$A$1005,$C$3)))</f>
        <v/>
      </c>
      <c r="J47" s="156" t="str">
        <f aca="false">IF($B47="","",MAX(0,G47-H47-I47))</f>
        <v/>
      </c>
      <c r="K47" s="116" t="str">
        <f aca="false">IF($B47="","",الموظفون!$L47*$J47/cfg_DAYS_M)</f>
        <v/>
      </c>
      <c r="L47" s="116" t="str">
        <f aca="false">IF($B47="","",الموظفون!$M47*$J47/cfg_DAYS_M)</f>
        <v/>
      </c>
      <c r="M47" s="116" t="str">
        <f aca="false">IF($B47="","",الموظفون!$N47*$J47/cfg_DAYS_M)</f>
        <v/>
      </c>
      <c r="N47" s="116" t="str">
        <f aca="false">IF($B47="","",الموظفون!$O47*$J47/cfg_DAYS_M)</f>
        <v/>
      </c>
      <c r="O47" s="156" t="str">
        <f aca="false">IF($B47="","",SUMIFS('الحركات الشهرية'!$F$6:$F$1005,'الحركات الشهرية'!$B$6:$B$1005,$B47,'الحركات الشهرية'!$A$6:$A$1005,$C$3))</f>
        <v/>
      </c>
      <c r="P47" s="116" t="str">
        <f aca="false">IF($B47="","",O47*(الموظفون!$P47+الموظفون!$L47*cfg_OT_P)/cfg_DAYS_M/cfg_HRS)</f>
        <v/>
      </c>
      <c r="Q47" s="116" t="str">
        <f aca="false">IF($B47="","",SUMIFS('الحركات الشهرية'!$G$6:$G$1005,'الحركات الشهرية'!$B$6:$B$1005,$B47,'الحركات الشهرية'!$A$6:$A$1005,$C$3))</f>
        <v/>
      </c>
      <c r="R47" s="116" t="str">
        <f aca="false">IF($B47="","",SUMIFS('الحركات الشهرية'!$H$6:$H$1005,'الحركات الشهرية'!$B$6:$B$1005,$B47,'الحركات الشهرية'!$A$6:$A$1005,$C$3))</f>
        <v/>
      </c>
      <c r="S47" s="116" t="str">
        <f aca="false">IF($B47="","",SUMIFS('سجل الإجازات والحالات'!$N$6:$N$505,'سجل الإجازات والحالات'!$B$6:$B$505,$B47,'سجل الإجازات والحالات'!$O$6:$O$505,$C$3))</f>
        <v/>
      </c>
      <c r="T47" s="157" t="str">
        <f aca="false">IF($B47="","",SUM(K47:N47)+SUM(P47:S47))</f>
        <v/>
      </c>
      <c r="U47" s="116" t="str">
        <f aca="false">IF($B47="","",الموظفون!$S47*IF(E47="سعودي",cfg_G_SE,cfg_G_NE)*G47/cfg_DAYS_M)</f>
        <v/>
      </c>
      <c r="V47" s="116" t="str">
        <f aca="false">IF($B47="","",SUMIFS('الحركات الشهرية'!$I$6:$I$1005,'الحركات الشهرية'!$B$6:$B$1005,$B47,'الحركات الشهرية'!$A$6:$A$1005,$C$3))</f>
        <v/>
      </c>
      <c r="W47" s="116" t="str">
        <f aca="false">IF($B47="","",SUMIFS('الحركات الشهرية'!$J$6:$J$1005,'الحركات الشهرية'!$B$6:$B$1005,$B47,'الحركات الشهرية'!$A$6:$A$1005,$C$3))</f>
        <v/>
      </c>
      <c r="X47" s="116" t="str">
        <f aca="false">IF($B47="","",SUM(U47:W47))</f>
        <v/>
      </c>
      <c r="Y47" s="158" t="str">
        <f aca="false">IF($B47="","",T47-X47)</f>
        <v/>
      </c>
      <c r="Z47" s="116" t="str">
        <f aca="false">IF($B47="","",الموظفون!$S47*IF(E47="سعودي",cfg_G_SR,cfg_G_NR)*G47/cfg_DAYS_M)</f>
        <v/>
      </c>
      <c r="AA47" s="116" t="str">
        <f aca="false">IF($B47="","",الموظفون!$Q47*(cfg_EOS_R1*(MIN(AH47,cfg_EOS_TH)-MIN(AI47,cfg_EOS_TH))+cfg_EOS_R2*(MAX(AH47-cfg_EOS_TH,0)-MAX(AI47-cfg_EOS_TH,0))))</f>
        <v/>
      </c>
      <c r="AB47" s="116" t="str">
        <f aca="false">IF($B47="","",IF(الموظفون!$T47&lt;&gt;"",الموظفون!$T47,IF(AH47&gt;=cfg_LV_TH,cfg_LV_D2,cfg_LV_D1))/cfg_DAYS_Y*AJ47*الموظفون!$R47/cfg_DAYS_M)</f>
        <v/>
      </c>
      <c r="AC47" s="116" t="str">
        <f aca="false">IF($B47="","",IF(AND(الموظفون!$U47="نعم",N(الموظفون!$W47)&gt;0),الموظفون!$V47/الموظفون!$W47*12/cfg_DAYS_Y*AJ47,0))</f>
        <v/>
      </c>
      <c r="AD47" s="116" t="str">
        <f aca="false">IF($B47="","",(IF(الموظفون!$X47&lt;&gt;"",الموظفون!$X47,IF(الموظفون!$E47="غير سعودي",cfg_IQ,0))+IF(الموظفون!$Y47&lt;&gt;"",الموظفون!$Y47,IF(الموظفون!$E47="غير سعودي",cfg_WP,0)))/12*G47/cfg_DAYS_M)</f>
        <v/>
      </c>
      <c r="AE47" s="116" t="str">
        <f aca="false">IF($B47="","",IF(الموظفون!$Z47&lt;&gt;"",الموظفون!$Z47,cfg_MED)/12*G47/cfg_DAYS_M)</f>
        <v/>
      </c>
      <c r="AF47" s="116" t="str">
        <f aca="false">IF($B47="","",N(الموظفون!$AA47)/12*G47/cfg_DAYS_M)</f>
        <v/>
      </c>
      <c r="AG47" s="159" t="str">
        <f aca="false">IF($B47="","",T47+SUM(Z47:AF47))</f>
        <v/>
      </c>
      <c r="AH47" s="160" t="str">
        <f aca="false">IF($B47="","",MAX(0,IF(OR(الموظفون!$AE47="",الموظفون!$AE47&gt;$F$3),$F$3,الموظفون!$AE47)-الموظفون!$H47+1-SUMIFS('سجل الإجازات والحالات'!$AO$6:$AO$505,'سجل الإجازات والحالات'!$B$6:$B$505,$B47))/cfg_DAYS_Y)</f>
        <v/>
      </c>
      <c r="AI47" s="160" t="str">
        <f aca="false">IF($B47="","",MAX(0,IF(OR(الموظفون!$AE47="",الموظفون!$AE47&gt;($E$3-1)),($E$3-1),الموظفون!$AE47)-الموظفون!$H47+1-SUMIFS('سجل الإجازات والحالات'!$AN$6:$AN$505,'سجل الإجازات والحالات'!$B$6:$B$505,$B47))/cfg_DAYS_Y)</f>
        <v/>
      </c>
      <c r="AJ47" s="133" t="str">
        <f aca="false">IF($B47="","",MAX(0,AK47-(SUMIFS('سجل الإجازات والحالات'!$AO$6:$AO$505,'سجل الإجازات والحالات'!$B$6:$B$505,$B47)-SUMIFS('سجل الإجازات والحالات'!$AN$6:$AN$505,'سجل الإجازات والحالات'!$B$6:$B$505,$B47))))</f>
        <v/>
      </c>
      <c r="AK47" s="133" t="str">
        <f aca="false">IF($B47="","",MAX(0,IF(OR(الموظفون!$AE47="",الموظفون!$AE47&gt;$F$3),$F$3,الموظفون!$AE47)-MAX($E$3,الموظفون!$H47)+1))</f>
        <v/>
      </c>
      <c r="AL47" s="156" t="str">
        <f aca="false">IF($B47="","",SUMIFS('سجل الإجازات والحالات'!$BA$6:$BA$505,'سجل الإجازات والحالات'!$B$6:$B$505,$B47)+SUMIFS('الحركات الشهرية'!$K$6:$K$1005,'الحركات الشهرية'!$B$6:$B$1005,$B47,'الحركات الشهرية'!$A$6:$A$1005,$C$3))</f>
        <v/>
      </c>
      <c r="AM47" s="116" t="str">
        <f aca="false">IF($B47="","",AL47*الموظفون!$R47/cfg_DAYS_M+S47)</f>
        <v/>
      </c>
      <c r="AN47" s="156" t="str">
        <f aca="false">IF($B47="","",SUMIFS('سجل الإجازات والحالات'!$AC$6:$AC$505,'سجل الإجازات والحالات'!$B$6:$B$505,$B47))</f>
        <v/>
      </c>
    </row>
    <row r="48" customFormat="false" ht="15" hidden="false" customHeight="false" outlineLevel="0" collapsed="false">
      <c r="A48" s="106" t="str">
        <f aca="false">IF($B48="","",الموظفون!$A48)</f>
        <v/>
      </c>
      <c r="B48" s="114" t="str">
        <f aca="false">IF(الموظفون!$B48="","",الموظفون!$B48)</f>
        <v/>
      </c>
      <c r="C48" s="114" t="str">
        <f aca="false">IF($B48="","",الموظفون!$C48)</f>
        <v/>
      </c>
      <c r="D48" s="114" t="str">
        <f aca="false">IF($B48="","",الموظفون!$F48)</f>
        <v/>
      </c>
      <c r="E48" s="114" t="str">
        <f aca="false">IF($B48="","",الموظفون!$E48)</f>
        <v/>
      </c>
      <c r="F48" s="114" t="str">
        <f aca="false">IF($B48="","",IF(AK48=0,IF(AND(الموظفون!$AE48&lt;&gt;"",الموظفون!$AE48&lt;$E$3),"✖ منتهي الخدمة","⏳ لم يباشر"),IF(S48&gt;0,"✈ راتب إجازة مقدم",IF(J48=0,"⛔ بدون راتب هذا الشهر",IF(I48&gt;0,"✈ خصم "&amp;ROUND(I48,2)&amp;" يوم بدون أجر",IF(AL48&gt;0,"🌴 إجازة سنوية "&amp;ROUND(AL48,2)&amp;" يوم",IF(H48&gt;0,"⚠ غياب "&amp;ROUND(H48,2)&amp;" يوم","✔ على رأس العمل")))))))</f>
        <v/>
      </c>
      <c r="G48" s="151" t="str">
        <f aca="false">IF($B48="","",IF(AK48&gt;=DAY($F$3),cfg_DAYS_M,MIN(AK48,cfg_DAYS_M)))</f>
        <v/>
      </c>
      <c r="H48" s="151" t="str">
        <f aca="false">IF($B48="","",SUMIFS('الحركات الشهرية'!$D$6:$D$1005,'الحركات الشهرية'!$B$6:$B$1005,$B48,'الحركات الشهرية'!$A$6:$A$1005,$C$3))</f>
        <v/>
      </c>
      <c r="I48" s="151" t="str">
        <f aca="false">IF($B48="","",MIN(G48,IF(AND(AK48&gt;0,AN48&gt;=AK48),G48,AN48)+SUMIFS('الحركات الشهرية'!$E$6:$E$1005,'الحركات الشهرية'!$B$6:$B$1005,$B48,'الحركات الشهرية'!$A$6:$A$1005,$C$3)))</f>
        <v/>
      </c>
      <c r="J48" s="151" t="str">
        <f aca="false">IF($B48="","",MAX(0,G48-H48-I48))</f>
        <v/>
      </c>
      <c r="K48" s="111" t="str">
        <f aca="false">IF($B48="","",الموظفون!$L48*$J48/cfg_DAYS_M)</f>
        <v/>
      </c>
      <c r="L48" s="111" t="str">
        <f aca="false">IF($B48="","",الموظفون!$M48*$J48/cfg_DAYS_M)</f>
        <v/>
      </c>
      <c r="M48" s="111" t="str">
        <f aca="false">IF($B48="","",الموظفون!$N48*$J48/cfg_DAYS_M)</f>
        <v/>
      </c>
      <c r="N48" s="111" t="str">
        <f aca="false">IF($B48="","",الموظفون!$O48*$J48/cfg_DAYS_M)</f>
        <v/>
      </c>
      <c r="O48" s="151" t="str">
        <f aca="false">IF($B48="","",SUMIFS('الحركات الشهرية'!$F$6:$F$1005,'الحركات الشهرية'!$B$6:$B$1005,$B48,'الحركات الشهرية'!$A$6:$A$1005,$C$3))</f>
        <v/>
      </c>
      <c r="P48" s="111" t="str">
        <f aca="false">IF($B48="","",O48*(الموظفون!$P48+الموظفون!$L48*cfg_OT_P)/cfg_DAYS_M/cfg_HRS)</f>
        <v/>
      </c>
      <c r="Q48" s="111" t="str">
        <f aca="false">IF($B48="","",SUMIFS('الحركات الشهرية'!$G$6:$G$1005,'الحركات الشهرية'!$B$6:$B$1005,$B48,'الحركات الشهرية'!$A$6:$A$1005,$C$3))</f>
        <v/>
      </c>
      <c r="R48" s="111" t="str">
        <f aca="false">IF($B48="","",SUMIFS('الحركات الشهرية'!$H$6:$H$1005,'الحركات الشهرية'!$B$6:$B$1005,$B48,'الحركات الشهرية'!$A$6:$A$1005,$C$3))</f>
        <v/>
      </c>
      <c r="S48" s="111" t="str">
        <f aca="false">IF($B48="","",SUMIFS('سجل الإجازات والحالات'!$N$6:$N$505,'سجل الإجازات والحالات'!$B$6:$B$505,$B48,'سجل الإجازات والحالات'!$O$6:$O$505,$C$3))</f>
        <v/>
      </c>
      <c r="T48" s="152" t="str">
        <f aca="false">IF($B48="","",SUM(K48:N48)+SUM(P48:S48))</f>
        <v/>
      </c>
      <c r="U48" s="111" t="str">
        <f aca="false">IF($B48="","",الموظفون!$S48*IF(E48="سعودي",cfg_G_SE,cfg_G_NE)*G48/cfg_DAYS_M)</f>
        <v/>
      </c>
      <c r="V48" s="111" t="str">
        <f aca="false">IF($B48="","",SUMIFS('الحركات الشهرية'!$I$6:$I$1005,'الحركات الشهرية'!$B$6:$B$1005,$B48,'الحركات الشهرية'!$A$6:$A$1005,$C$3))</f>
        <v/>
      </c>
      <c r="W48" s="111" t="str">
        <f aca="false">IF($B48="","",SUMIFS('الحركات الشهرية'!$J$6:$J$1005,'الحركات الشهرية'!$B$6:$B$1005,$B48,'الحركات الشهرية'!$A$6:$A$1005,$C$3))</f>
        <v/>
      </c>
      <c r="X48" s="111" t="str">
        <f aca="false">IF($B48="","",SUM(U48:W48))</f>
        <v/>
      </c>
      <c r="Y48" s="153" t="str">
        <f aca="false">IF($B48="","",T48-X48)</f>
        <v/>
      </c>
      <c r="Z48" s="111" t="str">
        <f aca="false">IF($B48="","",الموظفون!$S48*IF(E48="سعودي",cfg_G_SR,cfg_G_NR)*G48/cfg_DAYS_M)</f>
        <v/>
      </c>
      <c r="AA48" s="111" t="str">
        <f aca="false">IF($B48="","",الموظفون!$Q48*(cfg_EOS_R1*(MIN(AH48,cfg_EOS_TH)-MIN(AI48,cfg_EOS_TH))+cfg_EOS_R2*(MAX(AH48-cfg_EOS_TH,0)-MAX(AI48-cfg_EOS_TH,0))))</f>
        <v/>
      </c>
      <c r="AB48" s="111" t="str">
        <f aca="false">IF($B48="","",IF(الموظفون!$T48&lt;&gt;"",الموظفون!$T48,IF(AH48&gt;=cfg_LV_TH,cfg_LV_D2,cfg_LV_D1))/cfg_DAYS_Y*AJ48*الموظفون!$R48/cfg_DAYS_M)</f>
        <v/>
      </c>
      <c r="AC48" s="111" t="str">
        <f aca="false">IF($B48="","",IF(AND(الموظفون!$U48="نعم",N(الموظفون!$W48)&gt;0),الموظفون!$V48/الموظفون!$W48*12/cfg_DAYS_Y*AJ48,0))</f>
        <v/>
      </c>
      <c r="AD48" s="111" t="str">
        <f aca="false">IF($B48="","",(IF(الموظفون!$X48&lt;&gt;"",الموظفون!$X48,IF(الموظفون!$E48="غير سعودي",cfg_IQ,0))+IF(الموظفون!$Y48&lt;&gt;"",الموظفون!$Y48,IF(الموظفون!$E48="غير سعودي",cfg_WP,0)))/12*G48/cfg_DAYS_M)</f>
        <v/>
      </c>
      <c r="AE48" s="111" t="str">
        <f aca="false">IF($B48="","",IF(الموظفون!$Z48&lt;&gt;"",الموظفون!$Z48,cfg_MED)/12*G48/cfg_DAYS_M)</f>
        <v/>
      </c>
      <c r="AF48" s="111" t="str">
        <f aca="false">IF($B48="","",N(الموظفون!$AA48)/12*G48/cfg_DAYS_M)</f>
        <v/>
      </c>
      <c r="AG48" s="154" t="str">
        <f aca="false">IF($B48="","",T48+SUM(Z48:AF48))</f>
        <v/>
      </c>
      <c r="AH48" s="155" t="str">
        <f aca="false">IF($B48="","",MAX(0,IF(OR(الموظفون!$AE48="",الموظفون!$AE48&gt;$F$3),$F$3,الموظفون!$AE48)-الموظفون!$H48+1-SUMIFS('سجل الإجازات والحالات'!$AO$6:$AO$505,'سجل الإجازات والحالات'!$B$6:$B$505,$B48))/cfg_DAYS_Y)</f>
        <v/>
      </c>
      <c r="AI48" s="155" t="str">
        <f aca="false">IF($B48="","",MAX(0,IF(OR(الموظفون!$AE48="",الموظفون!$AE48&gt;($E$3-1)),($E$3-1),الموظفون!$AE48)-الموظفون!$H48+1-SUMIFS('سجل الإجازات والحالات'!$AN$6:$AN$505,'سجل الإجازات والحالات'!$B$6:$B$505,$B48))/cfg_DAYS_Y)</f>
        <v/>
      </c>
      <c r="AJ48" s="65" t="str">
        <f aca="false">IF($B48="","",MAX(0,AK48-(SUMIFS('سجل الإجازات والحالات'!$AO$6:$AO$505,'سجل الإجازات والحالات'!$B$6:$B$505,$B48)-SUMIFS('سجل الإجازات والحالات'!$AN$6:$AN$505,'سجل الإجازات والحالات'!$B$6:$B$505,$B48))))</f>
        <v/>
      </c>
      <c r="AK48" s="65" t="str">
        <f aca="false">IF($B48="","",MAX(0,IF(OR(الموظفون!$AE48="",الموظفون!$AE48&gt;$F$3),$F$3,الموظفون!$AE48)-MAX($E$3,الموظفون!$H48)+1))</f>
        <v/>
      </c>
      <c r="AL48" s="151" t="str">
        <f aca="false">IF($B48="","",SUMIFS('سجل الإجازات والحالات'!$BA$6:$BA$505,'سجل الإجازات والحالات'!$B$6:$B$505,$B48)+SUMIFS('الحركات الشهرية'!$K$6:$K$1005,'الحركات الشهرية'!$B$6:$B$1005,$B48,'الحركات الشهرية'!$A$6:$A$1005,$C$3))</f>
        <v/>
      </c>
      <c r="AM48" s="111" t="str">
        <f aca="false">IF($B48="","",AL48*الموظفون!$R48/cfg_DAYS_M+S48)</f>
        <v/>
      </c>
      <c r="AN48" s="151" t="str">
        <f aca="false">IF($B48="","",SUMIFS('سجل الإجازات والحالات'!$AC$6:$AC$505,'سجل الإجازات والحالات'!$B$6:$B$505,$B48))</f>
        <v/>
      </c>
    </row>
    <row r="49" customFormat="false" ht="15" hidden="false" customHeight="false" outlineLevel="0" collapsed="false">
      <c r="A49" s="115" t="str">
        <f aca="false">IF($B49="","",الموظفون!$A49)</f>
        <v/>
      </c>
      <c r="B49" s="117" t="str">
        <f aca="false">IF(الموظفون!$B49="","",الموظفون!$B49)</f>
        <v/>
      </c>
      <c r="C49" s="117" t="str">
        <f aca="false">IF($B49="","",الموظفون!$C49)</f>
        <v/>
      </c>
      <c r="D49" s="117" t="str">
        <f aca="false">IF($B49="","",الموظفون!$F49)</f>
        <v/>
      </c>
      <c r="E49" s="117" t="str">
        <f aca="false">IF($B49="","",الموظفون!$E49)</f>
        <v/>
      </c>
      <c r="F49" s="117" t="str">
        <f aca="false">IF($B49="","",IF(AK49=0,IF(AND(الموظفون!$AE49&lt;&gt;"",الموظفون!$AE49&lt;$E$3),"✖ منتهي الخدمة","⏳ لم يباشر"),IF(S49&gt;0,"✈ راتب إجازة مقدم",IF(J49=0,"⛔ بدون راتب هذا الشهر",IF(I49&gt;0,"✈ خصم "&amp;ROUND(I49,2)&amp;" يوم بدون أجر",IF(AL49&gt;0,"🌴 إجازة سنوية "&amp;ROUND(AL49,2)&amp;" يوم",IF(H49&gt;0,"⚠ غياب "&amp;ROUND(H49,2)&amp;" يوم","✔ على رأس العمل")))))))</f>
        <v/>
      </c>
      <c r="G49" s="156" t="str">
        <f aca="false">IF($B49="","",IF(AK49&gt;=DAY($F$3),cfg_DAYS_M,MIN(AK49,cfg_DAYS_M)))</f>
        <v/>
      </c>
      <c r="H49" s="156" t="str">
        <f aca="false">IF($B49="","",SUMIFS('الحركات الشهرية'!$D$6:$D$1005,'الحركات الشهرية'!$B$6:$B$1005,$B49,'الحركات الشهرية'!$A$6:$A$1005,$C$3))</f>
        <v/>
      </c>
      <c r="I49" s="156" t="str">
        <f aca="false">IF($B49="","",MIN(G49,IF(AND(AK49&gt;0,AN49&gt;=AK49),G49,AN49)+SUMIFS('الحركات الشهرية'!$E$6:$E$1005,'الحركات الشهرية'!$B$6:$B$1005,$B49,'الحركات الشهرية'!$A$6:$A$1005,$C$3)))</f>
        <v/>
      </c>
      <c r="J49" s="156" t="str">
        <f aca="false">IF($B49="","",MAX(0,G49-H49-I49))</f>
        <v/>
      </c>
      <c r="K49" s="116" t="str">
        <f aca="false">IF($B49="","",الموظفون!$L49*$J49/cfg_DAYS_M)</f>
        <v/>
      </c>
      <c r="L49" s="116" t="str">
        <f aca="false">IF($B49="","",الموظفون!$M49*$J49/cfg_DAYS_M)</f>
        <v/>
      </c>
      <c r="M49" s="116" t="str">
        <f aca="false">IF($B49="","",الموظفون!$N49*$J49/cfg_DAYS_M)</f>
        <v/>
      </c>
      <c r="N49" s="116" t="str">
        <f aca="false">IF($B49="","",الموظفون!$O49*$J49/cfg_DAYS_M)</f>
        <v/>
      </c>
      <c r="O49" s="156" t="str">
        <f aca="false">IF($B49="","",SUMIFS('الحركات الشهرية'!$F$6:$F$1005,'الحركات الشهرية'!$B$6:$B$1005,$B49,'الحركات الشهرية'!$A$6:$A$1005,$C$3))</f>
        <v/>
      </c>
      <c r="P49" s="116" t="str">
        <f aca="false">IF($B49="","",O49*(الموظفون!$P49+الموظفون!$L49*cfg_OT_P)/cfg_DAYS_M/cfg_HRS)</f>
        <v/>
      </c>
      <c r="Q49" s="116" t="str">
        <f aca="false">IF($B49="","",SUMIFS('الحركات الشهرية'!$G$6:$G$1005,'الحركات الشهرية'!$B$6:$B$1005,$B49,'الحركات الشهرية'!$A$6:$A$1005,$C$3))</f>
        <v/>
      </c>
      <c r="R49" s="116" t="str">
        <f aca="false">IF($B49="","",SUMIFS('الحركات الشهرية'!$H$6:$H$1005,'الحركات الشهرية'!$B$6:$B$1005,$B49,'الحركات الشهرية'!$A$6:$A$1005,$C$3))</f>
        <v/>
      </c>
      <c r="S49" s="116" t="str">
        <f aca="false">IF($B49="","",SUMIFS('سجل الإجازات والحالات'!$N$6:$N$505,'سجل الإجازات والحالات'!$B$6:$B$505,$B49,'سجل الإجازات والحالات'!$O$6:$O$505,$C$3))</f>
        <v/>
      </c>
      <c r="T49" s="157" t="str">
        <f aca="false">IF($B49="","",SUM(K49:N49)+SUM(P49:S49))</f>
        <v/>
      </c>
      <c r="U49" s="116" t="str">
        <f aca="false">IF($B49="","",الموظفون!$S49*IF(E49="سعودي",cfg_G_SE,cfg_G_NE)*G49/cfg_DAYS_M)</f>
        <v/>
      </c>
      <c r="V49" s="116" t="str">
        <f aca="false">IF($B49="","",SUMIFS('الحركات الشهرية'!$I$6:$I$1005,'الحركات الشهرية'!$B$6:$B$1005,$B49,'الحركات الشهرية'!$A$6:$A$1005,$C$3))</f>
        <v/>
      </c>
      <c r="W49" s="116" t="str">
        <f aca="false">IF($B49="","",SUMIFS('الحركات الشهرية'!$J$6:$J$1005,'الحركات الشهرية'!$B$6:$B$1005,$B49,'الحركات الشهرية'!$A$6:$A$1005,$C$3))</f>
        <v/>
      </c>
      <c r="X49" s="116" t="str">
        <f aca="false">IF($B49="","",SUM(U49:W49))</f>
        <v/>
      </c>
      <c r="Y49" s="158" t="str">
        <f aca="false">IF($B49="","",T49-X49)</f>
        <v/>
      </c>
      <c r="Z49" s="116" t="str">
        <f aca="false">IF($B49="","",الموظفون!$S49*IF(E49="سعودي",cfg_G_SR,cfg_G_NR)*G49/cfg_DAYS_M)</f>
        <v/>
      </c>
      <c r="AA49" s="116" t="str">
        <f aca="false">IF($B49="","",الموظفون!$Q49*(cfg_EOS_R1*(MIN(AH49,cfg_EOS_TH)-MIN(AI49,cfg_EOS_TH))+cfg_EOS_R2*(MAX(AH49-cfg_EOS_TH,0)-MAX(AI49-cfg_EOS_TH,0))))</f>
        <v/>
      </c>
      <c r="AB49" s="116" t="str">
        <f aca="false">IF($B49="","",IF(الموظفون!$T49&lt;&gt;"",الموظفون!$T49,IF(AH49&gt;=cfg_LV_TH,cfg_LV_D2,cfg_LV_D1))/cfg_DAYS_Y*AJ49*الموظفون!$R49/cfg_DAYS_M)</f>
        <v/>
      </c>
      <c r="AC49" s="116" t="str">
        <f aca="false">IF($B49="","",IF(AND(الموظفون!$U49="نعم",N(الموظفون!$W49)&gt;0),الموظفون!$V49/الموظفون!$W49*12/cfg_DAYS_Y*AJ49,0))</f>
        <v/>
      </c>
      <c r="AD49" s="116" t="str">
        <f aca="false">IF($B49="","",(IF(الموظفون!$X49&lt;&gt;"",الموظفون!$X49,IF(الموظفون!$E49="غير سعودي",cfg_IQ,0))+IF(الموظفون!$Y49&lt;&gt;"",الموظفون!$Y49,IF(الموظفون!$E49="غير سعودي",cfg_WP,0)))/12*G49/cfg_DAYS_M)</f>
        <v/>
      </c>
      <c r="AE49" s="116" t="str">
        <f aca="false">IF($B49="","",IF(الموظفون!$Z49&lt;&gt;"",الموظفون!$Z49,cfg_MED)/12*G49/cfg_DAYS_M)</f>
        <v/>
      </c>
      <c r="AF49" s="116" t="str">
        <f aca="false">IF($B49="","",N(الموظفون!$AA49)/12*G49/cfg_DAYS_M)</f>
        <v/>
      </c>
      <c r="AG49" s="159" t="str">
        <f aca="false">IF($B49="","",T49+SUM(Z49:AF49))</f>
        <v/>
      </c>
      <c r="AH49" s="160" t="str">
        <f aca="false">IF($B49="","",MAX(0,IF(OR(الموظفون!$AE49="",الموظفون!$AE49&gt;$F$3),$F$3,الموظفون!$AE49)-الموظفون!$H49+1-SUMIFS('سجل الإجازات والحالات'!$AO$6:$AO$505,'سجل الإجازات والحالات'!$B$6:$B$505,$B49))/cfg_DAYS_Y)</f>
        <v/>
      </c>
      <c r="AI49" s="160" t="str">
        <f aca="false">IF($B49="","",MAX(0,IF(OR(الموظفون!$AE49="",الموظفون!$AE49&gt;($E$3-1)),($E$3-1),الموظفون!$AE49)-الموظفون!$H49+1-SUMIFS('سجل الإجازات والحالات'!$AN$6:$AN$505,'سجل الإجازات والحالات'!$B$6:$B$505,$B49))/cfg_DAYS_Y)</f>
        <v/>
      </c>
      <c r="AJ49" s="133" t="str">
        <f aca="false">IF($B49="","",MAX(0,AK49-(SUMIFS('سجل الإجازات والحالات'!$AO$6:$AO$505,'سجل الإجازات والحالات'!$B$6:$B$505,$B49)-SUMIFS('سجل الإجازات والحالات'!$AN$6:$AN$505,'سجل الإجازات والحالات'!$B$6:$B$505,$B49))))</f>
        <v/>
      </c>
      <c r="AK49" s="133" t="str">
        <f aca="false">IF($B49="","",MAX(0,IF(OR(الموظفون!$AE49="",الموظفون!$AE49&gt;$F$3),$F$3,الموظفون!$AE49)-MAX($E$3,الموظفون!$H49)+1))</f>
        <v/>
      </c>
      <c r="AL49" s="156" t="str">
        <f aca="false">IF($B49="","",SUMIFS('سجل الإجازات والحالات'!$BA$6:$BA$505,'سجل الإجازات والحالات'!$B$6:$B$505,$B49)+SUMIFS('الحركات الشهرية'!$K$6:$K$1005,'الحركات الشهرية'!$B$6:$B$1005,$B49,'الحركات الشهرية'!$A$6:$A$1005,$C$3))</f>
        <v/>
      </c>
      <c r="AM49" s="116" t="str">
        <f aca="false">IF($B49="","",AL49*الموظفون!$R49/cfg_DAYS_M+S49)</f>
        <v/>
      </c>
      <c r="AN49" s="156" t="str">
        <f aca="false">IF($B49="","",SUMIFS('سجل الإجازات والحالات'!$AC$6:$AC$505,'سجل الإجازات والحالات'!$B$6:$B$505,$B49))</f>
        <v/>
      </c>
    </row>
    <row r="50" customFormat="false" ht="15" hidden="false" customHeight="false" outlineLevel="0" collapsed="false">
      <c r="A50" s="106" t="str">
        <f aca="false">IF($B50="","",الموظفون!$A50)</f>
        <v/>
      </c>
      <c r="B50" s="114" t="str">
        <f aca="false">IF(الموظفون!$B50="","",الموظفون!$B50)</f>
        <v/>
      </c>
      <c r="C50" s="114" t="str">
        <f aca="false">IF($B50="","",الموظفون!$C50)</f>
        <v/>
      </c>
      <c r="D50" s="114" t="str">
        <f aca="false">IF($B50="","",الموظفون!$F50)</f>
        <v/>
      </c>
      <c r="E50" s="114" t="str">
        <f aca="false">IF($B50="","",الموظفون!$E50)</f>
        <v/>
      </c>
      <c r="F50" s="114" t="str">
        <f aca="false">IF($B50="","",IF(AK50=0,IF(AND(الموظفون!$AE50&lt;&gt;"",الموظفون!$AE50&lt;$E$3),"✖ منتهي الخدمة","⏳ لم يباشر"),IF(S50&gt;0,"✈ راتب إجازة مقدم",IF(J50=0,"⛔ بدون راتب هذا الشهر",IF(I50&gt;0,"✈ خصم "&amp;ROUND(I50,2)&amp;" يوم بدون أجر",IF(AL50&gt;0,"🌴 إجازة سنوية "&amp;ROUND(AL50,2)&amp;" يوم",IF(H50&gt;0,"⚠ غياب "&amp;ROUND(H50,2)&amp;" يوم","✔ على رأس العمل")))))))</f>
        <v/>
      </c>
      <c r="G50" s="151" t="str">
        <f aca="false">IF($B50="","",IF(AK50&gt;=DAY($F$3),cfg_DAYS_M,MIN(AK50,cfg_DAYS_M)))</f>
        <v/>
      </c>
      <c r="H50" s="151" t="str">
        <f aca="false">IF($B50="","",SUMIFS('الحركات الشهرية'!$D$6:$D$1005,'الحركات الشهرية'!$B$6:$B$1005,$B50,'الحركات الشهرية'!$A$6:$A$1005,$C$3))</f>
        <v/>
      </c>
      <c r="I50" s="151" t="str">
        <f aca="false">IF($B50="","",MIN(G50,IF(AND(AK50&gt;0,AN50&gt;=AK50),G50,AN50)+SUMIFS('الحركات الشهرية'!$E$6:$E$1005,'الحركات الشهرية'!$B$6:$B$1005,$B50,'الحركات الشهرية'!$A$6:$A$1005,$C$3)))</f>
        <v/>
      </c>
      <c r="J50" s="151" t="str">
        <f aca="false">IF($B50="","",MAX(0,G50-H50-I50))</f>
        <v/>
      </c>
      <c r="K50" s="111" t="str">
        <f aca="false">IF($B50="","",الموظفون!$L50*$J50/cfg_DAYS_M)</f>
        <v/>
      </c>
      <c r="L50" s="111" t="str">
        <f aca="false">IF($B50="","",الموظفون!$M50*$J50/cfg_DAYS_M)</f>
        <v/>
      </c>
      <c r="M50" s="111" t="str">
        <f aca="false">IF($B50="","",الموظفون!$N50*$J50/cfg_DAYS_M)</f>
        <v/>
      </c>
      <c r="N50" s="111" t="str">
        <f aca="false">IF($B50="","",الموظفون!$O50*$J50/cfg_DAYS_M)</f>
        <v/>
      </c>
      <c r="O50" s="151" t="str">
        <f aca="false">IF($B50="","",SUMIFS('الحركات الشهرية'!$F$6:$F$1005,'الحركات الشهرية'!$B$6:$B$1005,$B50,'الحركات الشهرية'!$A$6:$A$1005,$C$3))</f>
        <v/>
      </c>
      <c r="P50" s="111" t="str">
        <f aca="false">IF($B50="","",O50*(الموظفون!$P50+الموظفون!$L50*cfg_OT_P)/cfg_DAYS_M/cfg_HRS)</f>
        <v/>
      </c>
      <c r="Q50" s="111" t="str">
        <f aca="false">IF($B50="","",SUMIFS('الحركات الشهرية'!$G$6:$G$1005,'الحركات الشهرية'!$B$6:$B$1005,$B50,'الحركات الشهرية'!$A$6:$A$1005,$C$3))</f>
        <v/>
      </c>
      <c r="R50" s="111" t="str">
        <f aca="false">IF($B50="","",SUMIFS('الحركات الشهرية'!$H$6:$H$1005,'الحركات الشهرية'!$B$6:$B$1005,$B50,'الحركات الشهرية'!$A$6:$A$1005,$C$3))</f>
        <v/>
      </c>
      <c r="S50" s="111" t="str">
        <f aca="false">IF($B50="","",SUMIFS('سجل الإجازات والحالات'!$N$6:$N$505,'سجل الإجازات والحالات'!$B$6:$B$505,$B50,'سجل الإجازات والحالات'!$O$6:$O$505,$C$3))</f>
        <v/>
      </c>
      <c r="T50" s="152" t="str">
        <f aca="false">IF($B50="","",SUM(K50:N50)+SUM(P50:S50))</f>
        <v/>
      </c>
      <c r="U50" s="111" t="str">
        <f aca="false">IF($B50="","",الموظفون!$S50*IF(E50="سعودي",cfg_G_SE,cfg_G_NE)*G50/cfg_DAYS_M)</f>
        <v/>
      </c>
      <c r="V50" s="111" t="str">
        <f aca="false">IF($B50="","",SUMIFS('الحركات الشهرية'!$I$6:$I$1005,'الحركات الشهرية'!$B$6:$B$1005,$B50,'الحركات الشهرية'!$A$6:$A$1005,$C$3))</f>
        <v/>
      </c>
      <c r="W50" s="111" t="str">
        <f aca="false">IF($B50="","",SUMIFS('الحركات الشهرية'!$J$6:$J$1005,'الحركات الشهرية'!$B$6:$B$1005,$B50,'الحركات الشهرية'!$A$6:$A$1005,$C$3))</f>
        <v/>
      </c>
      <c r="X50" s="111" t="str">
        <f aca="false">IF($B50="","",SUM(U50:W50))</f>
        <v/>
      </c>
      <c r="Y50" s="153" t="str">
        <f aca="false">IF($B50="","",T50-X50)</f>
        <v/>
      </c>
      <c r="Z50" s="111" t="str">
        <f aca="false">IF($B50="","",الموظفون!$S50*IF(E50="سعودي",cfg_G_SR,cfg_G_NR)*G50/cfg_DAYS_M)</f>
        <v/>
      </c>
      <c r="AA50" s="111" t="str">
        <f aca="false">IF($B50="","",الموظفون!$Q50*(cfg_EOS_R1*(MIN(AH50,cfg_EOS_TH)-MIN(AI50,cfg_EOS_TH))+cfg_EOS_R2*(MAX(AH50-cfg_EOS_TH,0)-MAX(AI50-cfg_EOS_TH,0))))</f>
        <v/>
      </c>
      <c r="AB50" s="111" t="str">
        <f aca="false">IF($B50="","",IF(الموظفون!$T50&lt;&gt;"",الموظفون!$T50,IF(AH50&gt;=cfg_LV_TH,cfg_LV_D2,cfg_LV_D1))/cfg_DAYS_Y*AJ50*الموظفون!$R50/cfg_DAYS_M)</f>
        <v/>
      </c>
      <c r="AC50" s="111" t="str">
        <f aca="false">IF($B50="","",IF(AND(الموظفون!$U50="نعم",N(الموظفون!$W50)&gt;0),الموظفون!$V50/الموظفون!$W50*12/cfg_DAYS_Y*AJ50,0))</f>
        <v/>
      </c>
      <c r="AD50" s="111" t="str">
        <f aca="false">IF($B50="","",(IF(الموظفون!$X50&lt;&gt;"",الموظفون!$X50,IF(الموظفون!$E50="غير سعودي",cfg_IQ,0))+IF(الموظفون!$Y50&lt;&gt;"",الموظفون!$Y50,IF(الموظفون!$E50="غير سعودي",cfg_WP,0)))/12*G50/cfg_DAYS_M)</f>
        <v/>
      </c>
      <c r="AE50" s="111" t="str">
        <f aca="false">IF($B50="","",IF(الموظفون!$Z50&lt;&gt;"",الموظفون!$Z50,cfg_MED)/12*G50/cfg_DAYS_M)</f>
        <v/>
      </c>
      <c r="AF50" s="111" t="str">
        <f aca="false">IF($B50="","",N(الموظفون!$AA50)/12*G50/cfg_DAYS_M)</f>
        <v/>
      </c>
      <c r="AG50" s="154" t="str">
        <f aca="false">IF($B50="","",T50+SUM(Z50:AF50))</f>
        <v/>
      </c>
      <c r="AH50" s="155" t="str">
        <f aca="false">IF($B50="","",MAX(0,IF(OR(الموظفون!$AE50="",الموظفون!$AE50&gt;$F$3),$F$3,الموظفون!$AE50)-الموظفون!$H50+1-SUMIFS('سجل الإجازات والحالات'!$AO$6:$AO$505,'سجل الإجازات والحالات'!$B$6:$B$505,$B50))/cfg_DAYS_Y)</f>
        <v/>
      </c>
      <c r="AI50" s="155" t="str">
        <f aca="false">IF($B50="","",MAX(0,IF(OR(الموظفون!$AE50="",الموظفون!$AE50&gt;($E$3-1)),($E$3-1),الموظفون!$AE50)-الموظفون!$H50+1-SUMIFS('سجل الإجازات والحالات'!$AN$6:$AN$505,'سجل الإجازات والحالات'!$B$6:$B$505,$B50))/cfg_DAYS_Y)</f>
        <v/>
      </c>
      <c r="AJ50" s="65" t="str">
        <f aca="false">IF($B50="","",MAX(0,AK50-(SUMIFS('سجل الإجازات والحالات'!$AO$6:$AO$505,'سجل الإجازات والحالات'!$B$6:$B$505,$B50)-SUMIFS('سجل الإجازات والحالات'!$AN$6:$AN$505,'سجل الإجازات والحالات'!$B$6:$B$505,$B50))))</f>
        <v/>
      </c>
      <c r="AK50" s="65" t="str">
        <f aca="false">IF($B50="","",MAX(0,IF(OR(الموظفون!$AE50="",الموظفون!$AE50&gt;$F$3),$F$3,الموظفون!$AE50)-MAX($E$3,الموظفون!$H50)+1))</f>
        <v/>
      </c>
      <c r="AL50" s="151" t="str">
        <f aca="false">IF($B50="","",SUMIFS('سجل الإجازات والحالات'!$BA$6:$BA$505,'سجل الإجازات والحالات'!$B$6:$B$505,$B50)+SUMIFS('الحركات الشهرية'!$K$6:$K$1005,'الحركات الشهرية'!$B$6:$B$1005,$B50,'الحركات الشهرية'!$A$6:$A$1005,$C$3))</f>
        <v/>
      </c>
      <c r="AM50" s="111" t="str">
        <f aca="false">IF($B50="","",AL50*الموظفون!$R50/cfg_DAYS_M+S50)</f>
        <v/>
      </c>
      <c r="AN50" s="151" t="str">
        <f aca="false">IF($B50="","",SUMIFS('سجل الإجازات والحالات'!$AC$6:$AC$505,'سجل الإجازات والحالات'!$B$6:$B$505,$B50))</f>
        <v/>
      </c>
    </row>
    <row r="51" customFormat="false" ht="15" hidden="false" customHeight="false" outlineLevel="0" collapsed="false">
      <c r="A51" s="115" t="str">
        <f aca="false">IF($B51="","",الموظفون!$A51)</f>
        <v/>
      </c>
      <c r="B51" s="117" t="str">
        <f aca="false">IF(الموظفون!$B51="","",الموظفون!$B51)</f>
        <v/>
      </c>
      <c r="C51" s="117" t="str">
        <f aca="false">IF($B51="","",الموظفون!$C51)</f>
        <v/>
      </c>
      <c r="D51" s="117" t="str">
        <f aca="false">IF($B51="","",الموظفون!$F51)</f>
        <v/>
      </c>
      <c r="E51" s="117" t="str">
        <f aca="false">IF($B51="","",الموظفون!$E51)</f>
        <v/>
      </c>
      <c r="F51" s="117" t="str">
        <f aca="false">IF($B51="","",IF(AK51=0,IF(AND(الموظفون!$AE51&lt;&gt;"",الموظفون!$AE51&lt;$E$3),"✖ منتهي الخدمة","⏳ لم يباشر"),IF(S51&gt;0,"✈ راتب إجازة مقدم",IF(J51=0,"⛔ بدون راتب هذا الشهر",IF(I51&gt;0,"✈ خصم "&amp;ROUND(I51,2)&amp;" يوم بدون أجر",IF(AL51&gt;0,"🌴 إجازة سنوية "&amp;ROUND(AL51,2)&amp;" يوم",IF(H51&gt;0,"⚠ غياب "&amp;ROUND(H51,2)&amp;" يوم","✔ على رأس العمل")))))))</f>
        <v/>
      </c>
      <c r="G51" s="156" t="str">
        <f aca="false">IF($B51="","",IF(AK51&gt;=DAY($F$3),cfg_DAYS_M,MIN(AK51,cfg_DAYS_M)))</f>
        <v/>
      </c>
      <c r="H51" s="156" t="str">
        <f aca="false">IF($B51="","",SUMIFS('الحركات الشهرية'!$D$6:$D$1005,'الحركات الشهرية'!$B$6:$B$1005,$B51,'الحركات الشهرية'!$A$6:$A$1005,$C$3))</f>
        <v/>
      </c>
      <c r="I51" s="156" t="str">
        <f aca="false">IF($B51="","",MIN(G51,IF(AND(AK51&gt;0,AN51&gt;=AK51),G51,AN51)+SUMIFS('الحركات الشهرية'!$E$6:$E$1005,'الحركات الشهرية'!$B$6:$B$1005,$B51,'الحركات الشهرية'!$A$6:$A$1005,$C$3)))</f>
        <v/>
      </c>
      <c r="J51" s="156" t="str">
        <f aca="false">IF($B51="","",MAX(0,G51-H51-I51))</f>
        <v/>
      </c>
      <c r="K51" s="116" t="str">
        <f aca="false">IF($B51="","",الموظفون!$L51*$J51/cfg_DAYS_M)</f>
        <v/>
      </c>
      <c r="L51" s="116" t="str">
        <f aca="false">IF($B51="","",الموظفون!$M51*$J51/cfg_DAYS_M)</f>
        <v/>
      </c>
      <c r="M51" s="116" t="str">
        <f aca="false">IF($B51="","",الموظفون!$N51*$J51/cfg_DAYS_M)</f>
        <v/>
      </c>
      <c r="N51" s="116" t="str">
        <f aca="false">IF($B51="","",الموظفون!$O51*$J51/cfg_DAYS_M)</f>
        <v/>
      </c>
      <c r="O51" s="156" t="str">
        <f aca="false">IF($B51="","",SUMIFS('الحركات الشهرية'!$F$6:$F$1005,'الحركات الشهرية'!$B$6:$B$1005,$B51,'الحركات الشهرية'!$A$6:$A$1005,$C$3))</f>
        <v/>
      </c>
      <c r="P51" s="116" t="str">
        <f aca="false">IF($B51="","",O51*(الموظفون!$P51+الموظفون!$L51*cfg_OT_P)/cfg_DAYS_M/cfg_HRS)</f>
        <v/>
      </c>
      <c r="Q51" s="116" t="str">
        <f aca="false">IF($B51="","",SUMIFS('الحركات الشهرية'!$G$6:$G$1005,'الحركات الشهرية'!$B$6:$B$1005,$B51,'الحركات الشهرية'!$A$6:$A$1005,$C$3))</f>
        <v/>
      </c>
      <c r="R51" s="116" t="str">
        <f aca="false">IF($B51="","",SUMIFS('الحركات الشهرية'!$H$6:$H$1005,'الحركات الشهرية'!$B$6:$B$1005,$B51,'الحركات الشهرية'!$A$6:$A$1005,$C$3))</f>
        <v/>
      </c>
      <c r="S51" s="116" t="str">
        <f aca="false">IF($B51="","",SUMIFS('سجل الإجازات والحالات'!$N$6:$N$505,'سجل الإجازات والحالات'!$B$6:$B$505,$B51,'سجل الإجازات والحالات'!$O$6:$O$505,$C$3))</f>
        <v/>
      </c>
      <c r="T51" s="157" t="str">
        <f aca="false">IF($B51="","",SUM(K51:N51)+SUM(P51:S51))</f>
        <v/>
      </c>
      <c r="U51" s="116" t="str">
        <f aca="false">IF($B51="","",الموظفون!$S51*IF(E51="سعودي",cfg_G_SE,cfg_G_NE)*G51/cfg_DAYS_M)</f>
        <v/>
      </c>
      <c r="V51" s="116" t="str">
        <f aca="false">IF($B51="","",SUMIFS('الحركات الشهرية'!$I$6:$I$1005,'الحركات الشهرية'!$B$6:$B$1005,$B51,'الحركات الشهرية'!$A$6:$A$1005,$C$3))</f>
        <v/>
      </c>
      <c r="W51" s="116" t="str">
        <f aca="false">IF($B51="","",SUMIFS('الحركات الشهرية'!$J$6:$J$1005,'الحركات الشهرية'!$B$6:$B$1005,$B51,'الحركات الشهرية'!$A$6:$A$1005,$C$3))</f>
        <v/>
      </c>
      <c r="X51" s="116" t="str">
        <f aca="false">IF($B51="","",SUM(U51:W51))</f>
        <v/>
      </c>
      <c r="Y51" s="158" t="str">
        <f aca="false">IF($B51="","",T51-X51)</f>
        <v/>
      </c>
      <c r="Z51" s="116" t="str">
        <f aca="false">IF($B51="","",الموظفون!$S51*IF(E51="سعودي",cfg_G_SR,cfg_G_NR)*G51/cfg_DAYS_M)</f>
        <v/>
      </c>
      <c r="AA51" s="116" t="str">
        <f aca="false">IF($B51="","",الموظفون!$Q51*(cfg_EOS_R1*(MIN(AH51,cfg_EOS_TH)-MIN(AI51,cfg_EOS_TH))+cfg_EOS_R2*(MAX(AH51-cfg_EOS_TH,0)-MAX(AI51-cfg_EOS_TH,0))))</f>
        <v/>
      </c>
      <c r="AB51" s="116" t="str">
        <f aca="false">IF($B51="","",IF(الموظفون!$T51&lt;&gt;"",الموظفون!$T51,IF(AH51&gt;=cfg_LV_TH,cfg_LV_D2,cfg_LV_D1))/cfg_DAYS_Y*AJ51*الموظفون!$R51/cfg_DAYS_M)</f>
        <v/>
      </c>
      <c r="AC51" s="116" t="str">
        <f aca="false">IF($B51="","",IF(AND(الموظفون!$U51="نعم",N(الموظفون!$W51)&gt;0),الموظفون!$V51/الموظفون!$W51*12/cfg_DAYS_Y*AJ51,0))</f>
        <v/>
      </c>
      <c r="AD51" s="116" t="str">
        <f aca="false">IF($B51="","",(IF(الموظفون!$X51&lt;&gt;"",الموظفون!$X51,IF(الموظفون!$E51="غير سعودي",cfg_IQ,0))+IF(الموظفون!$Y51&lt;&gt;"",الموظفون!$Y51,IF(الموظفون!$E51="غير سعودي",cfg_WP,0)))/12*G51/cfg_DAYS_M)</f>
        <v/>
      </c>
      <c r="AE51" s="116" t="str">
        <f aca="false">IF($B51="","",IF(الموظفون!$Z51&lt;&gt;"",الموظفون!$Z51,cfg_MED)/12*G51/cfg_DAYS_M)</f>
        <v/>
      </c>
      <c r="AF51" s="116" t="str">
        <f aca="false">IF($B51="","",N(الموظفون!$AA51)/12*G51/cfg_DAYS_M)</f>
        <v/>
      </c>
      <c r="AG51" s="159" t="str">
        <f aca="false">IF($B51="","",T51+SUM(Z51:AF51))</f>
        <v/>
      </c>
      <c r="AH51" s="160" t="str">
        <f aca="false">IF($B51="","",MAX(0,IF(OR(الموظفون!$AE51="",الموظفون!$AE51&gt;$F$3),$F$3,الموظفون!$AE51)-الموظفون!$H51+1-SUMIFS('سجل الإجازات والحالات'!$AO$6:$AO$505,'سجل الإجازات والحالات'!$B$6:$B$505,$B51))/cfg_DAYS_Y)</f>
        <v/>
      </c>
      <c r="AI51" s="160" t="str">
        <f aca="false">IF($B51="","",MAX(0,IF(OR(الموظفون!$AE51="",الموظفون!$AE51&gt;($E$3-1)),($E$3-1),الموظفون!$AE51)-الموظفون!$H51+1-SUMIFS('سجل الإجازات والحالات'!$AN$6:$AN$505,'سجل الإجازات والحالات'!$B$6:$B$505,$B51))/cfg_DAYS_Y)</f>
        <v/>
      </c>
      <c r="AJ51" s="133" t="str">
        <f aca="false">IF($B51="","",MAX(0,AK51-(SUMIFS('سجل الإجازات والحالات'!$AO$6:$AO$505,'سجل الإجازات والحالات'!$B$6:$B$505,$B51)-SUMIFS('سجل الإجازات والحالات'!$AN$6:$AN$505,'سجل الإجازات والحالات'!$B$6:$B$505,$B51))))</f>
        <v/>
      </c>
      <c r="AK51" s="133" t="str">
        <f aca="false">IF($B51="","",MAX(0,IF(OR(الموظفون!$AE51="",الموظفون!$AE51&gt;$F$3),$F$3,الموظفون!$AE51)-MAX($E$3,الموظفون!$H51)+1))</f>
        <v/>
      </c>
      <c r="AL51" s="156" t="str">
        <f aca="false">IF($B51="","",SUMIFS('سجل الإجازات والحالات'!$BA$6:$BA$505,'سجل الإجازات والحالات'!$B$6:$B$505,$B51)+SUMIFS('الحركات الشهرية'!$K$6:$K$1005,'الحركات الشهرية'!$B$6:$B$1005,$B51,'الحركات الشهرية'!$A$6:$A$1005,$C$3))</f>
        <v/>
      </c>
      <c r="AM51" s="116" t="str">
        <f aca="false">IF($B51="","",AL51*الموظفون!$R51/cfg_DAYS_M+S51)</f>
        <v/>
      </c>
      <c r="AN51" s="156" t="str">
        <f aca="false">IF($B51="","",SUMIFS('سجل الإجازات والحالات'!$AC$6:$AC$505,'سجل الإجازات والحالات'!$B$6:$B$505,$B51))</f>
        <v/>
      </c>
    </row>
    <row r="52" customFormat="false" ht="15" hidden="false" customHeight="false" outlineLevel="0" collapsed="false">
      <c r="A52" s="106" t="str">
        <f aca="false">IF($B52="","",الموظفون!$A52)</f>
        <v/>
      </c>
      <c r="B52" s="114" t="str">
        <f aca="false">IF(الموظفون!$B52="","",الموظفون!$B52)</f>
        <v/>
      </c>
      <c r="C52" s="114" t="str">
        <f aca="false">IF($B52="","",الموظفون!$C52)</f>
        <v/>
      </c>
      <c r="D52" s="114" t="str">
        <f aca="false">IF($B52="","",الموظفون!$F52)</f>
        <v/>
      </c>
      <c r="E52" s="114" t="str">
        <f aca="false">IF($B52="","",الموظفون!$E52)</f>
        <v/>
      </c>
      <c r="F52" s="114" t="str">
        <f aca="false">IF($B52="","",IF(AK52=0,IF(AND(الموظفون!$AE52&lt;&gt;"",الموظفون!$AE52&lt;$E$3),"✖ منتهي الخدمة","⏳ لم يباشر"),IF(S52&gt;0,"✈ راتب إجازة مقدم",IF(J52=0,"⛔ بدون راتب هذا الشهر",IF(I52&gt;0,"✈ خصم "&amp;ROUND(I52,2)&amp;" يوم بدون أجر",IF(AL52&gt;0,"🌴 إجازة سنوية "&amp;ROUND(AL52,2)&amp;" يوم",IF(H52&gt;0,"⚠ غياب "&amp;ROUND(H52,2)&amp;" يوم","✔ على رأس العمل")))))))</f>
        <v/>
      </c>
      <c r="G52" s="151" t="str">
        <f aca="false">IF($B52="","",IF(AK52&gt;=DAY($F$3),cfg_DAYS_M,MIN(AK52,cfg_DAYS_M)))</f>
        <v/>
      </c>
      <c r="H52" s="151" t="str">
        <f aca="false">IF($B52="","",SUMIFS('الحركات الشهرية'!$D$6:$D$1005,'الحركات الشهرية'!$B$6:$B$1005,$B52,'الحركات الشهرية'!$A$6:$A$1005,$C$3))</f>
        <v/>
      </c>
      <c r="I52" s="151" t="str">
        <f aca="false">IF($B52="","",MIN(G52,IF(AND(AK52&gt;0,AN52&gt;=AK52),G52,AN52)+SUMIFS('الحركات الشهرية'!$E$6:$E$1005,'الحركات الشهرية'!$B$6:$B$1005,$B52,'الحركات الشهرية'!$A$6:$A$1005,$C$3)))</f>
        <v/>
      </c>
      <c r="J52" s="151" t="str">
        <f aca="false">IF($B52="","",MAX(0,G52-H52-I52))</f>
        <v/>
      </c>
      <c r="K52" s="111" t="str">
        <f aca="false">IF($B52="","",الموظفون!$L52*$J52/cfg_DAYS_M)</f>
        <v/>
      </c>
      <c r="L52" s="111" t="str">
        <f aca="false">IF($B52="","",الموظفون!$M52*$J52/cfg_DAYS_M)</f>
        <v/>
      </c>
      <c r="M52" s="111" t="str">
        <f aca="false">IF($B52="","",الموظفون!$N52*$J52/cfg_DAYS_M)</f>
        <v/>
      </c>
      <c r="N52" s="111" t="str">
        <f aca="false">IF($B52="","",الموظفون!$O52*$J52/cfg_DAYS_M)</f>
        <v/>
      </c>
      <c r="O52" s="151" t="str">
        <f aca="false">IF($B52="","",SUMIFS('الحركات الشهرية'!$F$6:$F$1005,'الحركات الشهرية'!$B$6:$B$1005,$B52,'الحركات الشهرية'!$A$6:$A$1005,$C$3))</f>
        <v/>
      </c>
      <c r="P52" s="111" t="str">
        <f aca="false">IF($B52="","",O52*(الموظفون!$P52+الموظفون!$L52*cfg_OT_P)/cfg_DAYS_M/cfg_HRS)</f>
        <v/>
      </c>
      <c r="Q52" s="111" t="str">
        <f aca="false">IF($B52="","",SUMIFS('الحركات الشهرية'!$G$6:$G$1005,'الحركات الشهرية'!$B$6:$B$1005,$B52,'الحركات الشهرية'!$A$6:$A$1005,$C$3))</f>
        <v/>
      </c>
      <c r="R52" s="111" t="str">
        <f aca="false">IF($B52="","",SUMIFS('الحركات الشهرية'!$H$6:$H$1005,'الحركات الشهرية'!$B$6:$B$1005,$B52,'الحركات الشهرية'!$A$6:$A$1005,$C$3))</f>
        <v/>
      </c>
      <c r="S52" s="111" t="str">
        <f aca="false">IF($B52="","",SUMIFS('سجل الإجازات والحالات'!$N$6:$N$505,'سجل الإجازات والحالات'!$B$6:$B$505,$B52,'سجل الإجازات والحالات'!$O$6:$O$505,$C$3))</f>
        <v/>
      </c>
      <c r="T52" s="152" t="str">
        <f aca="false">IF($B52="","",SUM(K52:N52)+SUM(P52:S52))</f>
        <v/>
      </c>
      <c r="U52" s="111" t="str">
        <f aca="false">IF($B52="","",الموظفون!$S52*IF(E52="سعودي",cfg_G_SE,cfg_G_NE)*G52/cfg_DAYS_M)</f>
        <v/>
      </c>
      <c r="V52" s="111" t="str">
        <f aca="false">IF($B52="","",SUMIFS('الحركات الشهرية'!$I$6:$I$1005,'الحركات الشهرية'!$B$6:$B$1005,$B52,'الحركات الشهرية'!$A$6:$A$1005,$C$3))</f>
        <v/>
      </c>
      <c r="W52" s="111" t="str">
        <f aca="false">IF($B52="","",SUMIFS('الحركات الشهرية'!$J$6:$J$1005,'الحركات الشهرية'!$B$6:$B$1005,$B52,'الحركات الشهرية'!$A$6:$A$1005,$C$3))</f>
        <v/>
      </c>
      <c r="X52" s="111" t="str">
        <f aca="false">IF($B52="","",SUM(U52:W52))</f>
        <v/>
      </c>
      <c r="Y52" s="153" t="str">
        <f aca="false">IF($B52="","",T52-X52)</f>
        <v/>
      </c>
      <c r="Z52" s="111" t="str">
        <f aca="false">IF($B52="","",الموظفون!$S52*IF(E52="سعودي",cfg_G_SR,cfg_G_NR)*G52/cfg_DAYS_M)</f>
        <v/>
      </c>
      <c r="AA52" s="111" t="str">
        <f aca="false">IF($B52="","",الموظفون!$Q52*(cfg_EOS_R1*(MIN(AH52,cfg_EOS_TH)-MIN(AI52,cfg_EOS_TH))+cfg_EOS_R2*(MAX(AH52-cfg_EOS_TH,0)-MAX(AI52-cfg_EOS_TH,0))))</f>
        <v/>
      </c>
      <c r="AB52" s="111" t="str">
        <f aca="false">IF($B52="","",IF(الموظفون!$T52&lt;&gt;"",الموظفون!$T52,IF(AH52&gt;=cfg_LV_TH,cfg_LV_D2,cfg_LV_D1))/cfg_DAYS_Y*AJ52*الموظفون!$R52/cfg_DAYS_M)</f>
        <v/>
      </c>
      <c r="AC52" s="111" t="str">
        <f aca="false">IF($B52="","",IF(AND(الموظفون!$U52="نعم",N(الموظفون!$W52)&gt;0),الموظفون!$V52/الموظفون!$W52*12/cfg_DAYS_Y*AJ52,0))</f>
        <v/>
      </c>
      <c r="AD52" s="111" t="str">
        <f aca="false">IF($B52="","",(IF(الموظفون!$X52&lt;&gt;"",الموظفون!$X52,IF(الموظفون!$E52="غير سعودي",cfg_IQ,0))+IF(الموظفون!$Y52&lt;&gt;"",الموظفون!$Y52,IF(الموظفون!$E52="غير سعودي",cfg_WP,0)))/12*G52/cfg_DAYS_M)</f>
        <v/>
      </c>
      <c r="AE52" s="111" t="str">
        <f aca="false">IF($B52="","",IF(الموظفون!$Z52&lt;&gt;"",الموظفون!$Z52,cfg_MED)/12*G52/cfg_DAYS_M)</f>
        <v/>
      </c>
      <c r="AF52" s="111" t="str">
        <f aca="false">IF($B52="","",N(الموظفون!$AA52)/12*G52/cfg_DAYS_M)</f>
        <v/>
      </c>
      <c r="AG52" s="154" t="str">
        <f aca="false">IF($B52="","",T52+SUM(Z52:AF52))</f>
        <v/>
      </c>
      <c r="AH52" s="155" t="str">
        <f aca="false">IF($B52="","",MAX(0,IF(OR(الموظفون!$AE52="",الموظفون!$AE52&gt;$F$3),$F$3,الموظفون!$AE52)-الموظفون!$H52+1-SUMIFS('سجل الإجازات والحالات'!$AO$6:$AO$505,'سجل الإجازات والحالات'!$B$6:$B$505,$B52))/cfg_DAYS_Y)</f>
        <v/>
      </c>
      <c r="AI52" s="155" t="str">
        <f aca="false">IF($B52="","",MAX(0,IF(OR(الموظفون!$AE52="",الموظفون!$AE52&gt;($E$3-1)),($E$3-1),الموظفون!$AE52)-الموظفون!$H52+1-SUMIFS('سجل الإجازات والحالات'!$AN$6:$AN$505,'سجل الإجازات والحالات'!$B$6:$B$505,$B52))/cfg_DAYS_Y)</f>
        <v/>
      </c>
      <c r="AJ52" s="65" t="str">
        <f aca="false">IF($B52="","",MAX(0,AK52-(SUMIFS('سجل الإجازات والحالات'!$AO$6:$AO$505,'سجل الإجازات والحالات'!$B$6:$B$505,$B52)-SUMIFS('سجل الإجازات والحالات'!$AN$6:$AN$505,'سجل الإجازات والحالات'!$B$6:$B$505,$B52))))</f>
        <v/>
      </c>
      <c r="AK52" s="65" t="str">
        <f aca="false">IF($B52="","",MAX(0,IF(OR(الموظفون!$AE52="",الموظفون!$AE52&gt;$F$3),$F$3,الموظفون!$AE52)-MAX($E$3,الموظفون!$H52)+1))</f>
        <v/>
      </c>
      <c r="AL52" s="151" t="str">
        <f aca="false">IF($B52="","",SUMIFS('سجل الإجازات والحالات'!$BA$6:$BA$505,'سجل الإجازات والحالات'!$B$6:$B$505,$B52)+SUMIFS('الحركات الشهرية'!$K$6:$K$1005,'الحركات الشهرية'!$B$6:$B$1005,$B52,'الحركات الشهرية'!$A$6:$A$1005,$C$3))</f>
        <v/>
      </c>
      <c r="AM52" s="111" t="str">
        <f aca="false">IF($B52="","",AL52*الموظفون!$R52/cfg_DAYS_M+S52)</f>
        <v/>
      </c>
      <c r="AN52" s="151" t="str">
        <f aca="false">IF($B52="","",SUMIFS('سجل الإجازات والحالات'!$AC$6:$AC$505,'سجل الإجازات والحالات'!$B$6:$B$505,$B52))</f>
        <v/>
      </c>
    </row>
    <row r="53" customFormat="false" ht="15" hidden="false" customHeight="false" outlineLevel="0" collapsed="false">
      <c r="A53" s="115" t="str">
        <f aca="false">IF($B53="","",الموظفون!$A53)</f>
        <v/>
      </c>
      <c r="B53" s="117" t="str">
        <f aca="false">IF(الموظفون!$B53="","",الموظفون!$B53)</f>
        <v/>
      </c>
      <c r="C53" s="117" t="str">
        <f aca="false">IF($B53="","",الموظفون!$C53)</f>
        <v/>
      </c>
      <c r="D53" s="117" t="str">
        <f aca="false">IF($B53="","",الموظفون!$F53)</f>
        <v/>
      </c>
      <c r="E53" s="117" t="str">
        <f aca="false">IF($B53="","",الموظفون!$E53)</f>
        <v/>
      </c>
      <c r="F53" s="117" t="str">
        <f aca="false">IF($B53="","",IF(AK53=0,IF(AND(الموظفون!$AE53&lt;&gt;"",الموظفون!$AE53&lt;$E$3),"✖ منتهي الخدمة","⏳ لم يباشر"),IF(S53&gt;0,"✈ راتب إجازة مقدم",IF(J53=0,"⛔ بدون راتب هذا الشهر",IF(I53&gt;0,"✈ خصم "&amp;ROUND(I53,2)&amp;" يوم بدون أجر",IF(AL53&gt;0,"🌴 إجازة سنوية "&amp;ROUND(AL53,2)&amp;" يوم",IF(H53&gt;0,"⚠ غياب "&amp;ROUND(H53,2)&amp;" يوم","✔ على رأس العمل")))))))</f>
        <v/>
      </c>
      <c r="G53" s="156" t="str">
        <f aca="false">IF($B53="","",IF(AK53&gt;=DAY($F$3),cfg_DAYS_M,MIN(AK53,cfg_DAYS_M)))</f>
        <v/>
      </c>
      <c r="H53" s="156" t="str">
        <f aca="false">IF($B53="","",SUMIFS('الحركات الشهرية'!$D$6:$D$1005,'الحركات الشهرية'!$B$6:$B$1005,$B53,'الحركات الشهرية'!$A$6:$A$1005,$C$3))</f>
        <v/>
      </c>
      <c r="I53" s="156" t="str">
        <f aca="false">IF($B53="","",MIN(G53,IF(AND(AK53&gt;0,AN53&gt;=AK53),G53,AN53)+SUMIFS('الحركات الشهرية'!$E$6:$E$1005,'الحركات الشهرية'!$B$6:$B$1005,$B53,'الحركات الشهرية'!$A$6:$A$1005,$C$3)))</f>
        <v/>
      </c>
      <c r="J53" s="156" t="str">
        <f aca="false">IF($B53="","",MAX(0,G53-H53-I53))</f>
        <v/>
      </c>
      <c r="K53" s="116" t="str">
        <f aca="false">IF($B53="","",الموظفون!$L53*$J53/cfg_DAYS_M)</f>
        <v/>
      </c>
      <c r="L53" s="116" t="str">
        <f aca="false">IF($B53="","",الموظفون!$M53*$J53/cfg_DAYS_M)</f>
        <v/>
      </c>
      <c r="M53" s="116" t="str">
        <f aca="false">IF($B53="","",الموظفون!$N53*$J53/cfg_DAYS_M)</f>
        <v/>
      </c>
      <c r="N53" s="116" t="str">
        <f aca="false">IF($B53="","",الموظفون!$O53*$J53/cfg_DAYS_M)</f>
        <v/>
      </c>
      <c r="O53" s="156" t="str">
        <f aca="false">IF($B53="","",SUMIFS('الحركات الشهرية'!$F$6:$F$1005,'الحركات الشهرية'!$B$6:$B$1005,$B53,'الحركات الشهرية'!$A$6:$A$1005,$C$3))</f>
        <v/>
      </c>
      <c r="P53" s="116" t="str">
        <f aca="false">IF($B53="","",O53*(الموظفون!$P53+الموظفون!$L53*cfg_OT_P)/cfg_DAYS_M/cfg_HRS)</f>
        <v/>
      </c>
      <c r="Q53" s="116" t="str">
        <f aca="false">IF($B53="","",SUMIFS('الحركات الشهرية'!$G$6:$G$1005,'الحركات الشهرية'!$B$6:$B$1005,$B53,'الحركات الشهرية'!$A$6:$A$1005,$C$3))</f>
        <v/>
      </c>
      <c r="R53" s="116" t="str">
        <f aca="false">IF($B53="","",SUMIFS('الحركات الشهرية'!$H$6:$H$1005,'الحركات الشهرية'!$B$6:$B$1005,$B53,'الحركات الشهرية'!$A$6:$A$1005,$C$3))</f>
        <v/>
      </c>
      <c r="S53" s="116" t="str">
        <f aca="false">IF($B53="","",SUMIFS('سجل الإجازات والحالات'!$N$6:$N$505,'سجل الإجازات والحالات'!$B$6:$B$505,$B53,'سجل الإجازات والحالات'!$O$6:$O$505,$C$3))</f>
        <v/>
      </c>
      <c r="T53" s="157" t="str">
        <f aca="false">IF($B53="","",SUM(K53:N53)+SUM(P53:S53))</f>
        <v/>
      </c>
      <c r="U53" s="116" t="str">
        <f aca="false">IF($B53="","",الموظفون!$S53*IF(E53="سعودي",cfg_G_SE,cfg_G_NE)*G53/cfg_DAYS_M)</f>
        <v/>
      </c>
      <c r="V53" s="116" t="str">
        <f aca="false">IF($B53="","",SUMIFS('الحركات الشهرية'!$I$6:$I$1005,'الحركات الشهرية'!$B$6:$B$1005,$B53,'الحركات الشهرية'!$A$6:$A$1005,$C$3))</f>
        <v/>
      </c>
      <c r="W53" s="116" t="str">
        <f aca="false">IF($B53="","",SUMIFS('الحركات الشهرية'!$J$6:$J$1005,'الحركات الشهرية'!$B$6:$B$1005,$B53,'الحركات الشهرية'!$A$6:$A$1005,$C$3))</f>
        <v/>
      </c>
      <c r="X53" s="116" t="str">
        <f aca="false">IF($B53="","",SUM(U53:W53))</f>
        <v/>
      </c>
      <c r="Y53" s="158" t="str">
        <f aca="false">IF($B53="","",T53-X53)</f>
        <v/>
      </c>
      <c r="Z53" s="116" t="str">
        <f aca="false">IF($B53="","",الموظفون!$S53*IF(E53="سعودي",cfg_G_SR,cfg_G_NR)*G53/cfg_DAYS_M)</f>
        <v/>
      </c>
      <c r="AA53" s="116" t="str">
        <f aca="false">IF($B53="","",الموظفون!$Q53*(cfg_EOS_R1*(MIN(AH53,cfg_EOS_TH)-MIN(AI53,cfg_EOS_TH))+cfg_EOS_R2*(MAX(AH53-cfg_EOS_TH,0)-MAX(AI53-cfg_EOS_TH,0))))</f>
        <v/>
      </c>
      <c r="AB53" s="116" t="str">
        <f aca="false">IF($B53="","",IF(الموظفون!$T53&lt;&gt;"",الموظفون!$T53,IF(AH53&gt;=cfg_LV_TH,cfg_LV_D2,cfg_LV_D1))/cfg_DAYS_Y*AJ53*الموظفون!$R53/cfg_DAYS_M)</f>
        <v/>
      </c>
      <c r="AC53" s="116" t="str">
        <f aca="false">IF($B53="","",IF(AND(الموظفون!$U53="نعم",N(الموظفون!$W53)&gt;0),الموظفون!$V53/الموظفون!$W53*12/cfg_DAYS_Y*AJ53,0))</f>
        <v/>
      </c>
      <c r="AD53" s="116" t="str">
        <f aca="false">IF($B53="","",(IF(الموظفون!$X53&lt;&gt;"",الموظفون!$X53,IF(الموظفون!$E53="غير سعودي",cfg_IQ,0))+IF(الموظفون!$Y53&lt;&gt;"",الموظفون!$Y53,IF(الموظفون!$E53="غير سعودي",cfg_WP,0)))/12*G53/cfg_DAYS_M)</f>
        <v/>
      </c>
      <c r="AE53" s="116" t="str">
        <f aca="false">IF($B53="","",IF(الموظفون!$Z53&lt;&gt;"",الموظفون!$Z53,cfg_MED)/12*G53/cfg_DAYS_M)</f>
        <v/>
      </c>
      <c r="AF53" s="116" t="str">
        <f aca="false">IF($B53="","",N(الموظفون!$AA53)/12*G53/cfg_DAYS_M)</f>
        <v/>
      </c>
      <c r="AG53" s="159" t="str">
        <f aca="false">IF($B53="","",T53+SUM(Z53:AF53))</f>
        <v/>
      </c>
      <c r="AH53" s="160" t="str">
        <f aca="false">IF($B53="","",MAX(0,IF(OR(الموظفون!$AE53="",الموظفون!$AE53&gt;$F$3),$F$3,الموظفون!$AE53)-الموظفون!$H53+1-SUMIFS('سجل الإجازات والحالات'!$AO$6:$AO$505,'سجل الإجازات والحالات'!$B$6:$B$505,$B53))/cfg_DAYS_Y)</f>
        <v/>
      </c>
      <c r="AI53" s="160" t="str">
        <f aca="false">IF($B53="","",MAX(0,IF(OR(الموظفون!$AE53="",الموظفون!$AE53&gt;($E$3-1)),($E$3-1),الموظفون!$AE53)-الموظفون!$H53+1-SUMIFS('سجل الإجازات والحالات'!$AN$6:$AN$505,'سجل الإجازات والحالات'!$B$6:$B$505,$B53))/cfg_DAYS_Y)</f>
        <v/>
      </c>
      <c r="AJ53" s="133" t="str">
        <f aca="false">IF($B53="","",MAX(0,AK53-(SUMIFS('سجل الإجازات والحالات'!$AO$6:$AO$505,'سجل الإجازات والحالات'!$B$6:$B$505,$B53)-SUMIFS('سجل الإجازات والحالات'!$AN$6:$AN$505,'سجل الإجازات والحالات'!$B$6:$B$505,$B53))))</f>
        <v/>
      </c>
      <c r="AK53" s="133" t="str">
        <f aca="false">IF($B53="","",MAX(0,IF(OR(الموظفون!$AE53="",الموظفون!$AE53&gt;$F$3),$F$3,الموظفون!$AE53)-MAX($E$3,الموظفون!$H53)+1))</f>
        <v/>
      </c>
      <c r="AL53" s="156" t="str">
        <f aca="false">IF($B53="","",SUMIFS('سجل الإجازات والحالات'!$BA$6:$BA$505,'سجل الإجازات والحالات'!$B$6:$B$505,$B53)+SUMIFS('الحركات الشهرية'!$K$6:$K$1005,'الحركات الشهرية'!$B$6:$B$1005,$B53,'الحركات الشهرية'!$A$6:$A$1005,$C$3))</f>
        <v/>
      </c>
      <c r="AM53" s="116" t="str">
        <f aca="false">IF($B53="","",AL53*الموظفون!$R53/cfg_DAYS_M+S53)</f>
        <v/>
      </c>
      <c r="AN53" s="156" t="str">
        <f aca="false">IF($B53="","",SUMIFS('سجل الإجازات والحالات'!$AC$6:$AC$505,'سجل الإجازات والحالات'!$B$6:$B$505,$B53))</f>
        <v/>
      </c>
    </row>
    <row r="54" customFormat="false" ht="15" hidden="false" customHeight="false" outlineLevel="0" collapsed="false">
      <c r="A54" s="106" t="str">
        <f aca="false">IF($B54="","",الموظفون!$A54)</f>
        <v/>
      </c>
      <c r="B54" s="114" t="str">
        <f aca="false">IF(الموظفون!$B54="","",الموظفون!$B54)</f>
        <v/>
      </c>
      <c r="C54" s="114" t="str">
        <f aca="false">IF($B54="","",الموظفون!$C54)</f>
        <v/>
      </c>
      <c r="D54" s="114" t="str">
        <f aca="false">IF($B54="","",الموظفون!$F54)</f>
        <v/>
      </c>
      <c r="E54" s="114" t="str">
        <f aca="false">IF($B54="","",الموظفون!$E54)</f>
        <v/>
      </c>
      <c r="F54" s="114" t="str">
        <f aca="false">IF($B54="","",IF(AK54=0,IF(AND(الموظفون!$AE54&lt;&gt;"",الموظفون!$AE54&lt;$E$3),"✖ منتهي الخدمة","⏳ لم يباشر"),IF(S54&gt;0,"✈ راتب إجازة مقدم",IF(J54=0,"⛔ بدون راتب هذا الشهر",IF(I54&gt;0,"✈ خصم "&amp;ROUND(I54,2)&amp;" يوم بدون أجر",IF(AL54&gt;0,"🌴 إجازة سنوية "&amp;ROUND(AL54,2)&amp;" يوم",IF(H54&gt;0,"⚠ غياب "&amp;ROUND(H54,2)&amp;" يوم","✔ على رأس العمل")))))))</f>
        <v/>
      </c>
      <c r="G54" s="151" t="str">
        <f aca="false">IF($B54="","",IF(AK54&gt;=DAY($F$3),cfg_DAYS_M,MIN(AK54,cfg_DAYS_M)))</f>
        <v/>
      </c>
      <c r="H54" s="151" t="str">
        <f aca="false">IF($B54="","",SUMIFS('الحركات الشهرية'!$D$6:$D$1005,'الحركات الشهرية'!$B$6:$B$1005,$B54,'الحركات الشهرية'!$A$6:$A$1005,$C$3))</f>
        <v/>
      </c>
      <c r="I54" s="151" t="str">
        <f aca="false">IF($B54="","",MIN(G54,IF(AND(AK54&gt;0,AN54&gt;=AK54),G54,AN54)+SUMIFS('الحركات الشهرية'!$E$6:$E$1005,'الحركات الشهرية'!$B$6:$B$1005,$B54,'الحركات الشهرية'!$A$6:$A$1005,$C$3)))</f>
        <v/>
      </c>
      <c r="J54" s="151" t="str">
        <f aca="false">IF($B54="","",MAX(0,G54-H54-I54))</f>
        <v/>
      </c>
      <c r="K54" s="111" t="str">
        <f aca="false">IF($B54="","",الموظفون!$L54*$J54/cfg_DAYS_M)</f>
        <v/>
      </c>
      <c r="L54" s="111" t="str">
        <f aca="false">IF($B54="","",الموظفون!$M54*$J54/cfg_DAYS_M)</f>
        <v/>
      </c>
      <c r="M54" s="111" t="str">
        <f aca="false">IF($B54="","",الموظفون!$N54*$J54/cfg_DAYS_M)</f>
        <v/>
      </c>
      <c r="N54" s="111" t="str">
        <f aca="false">IF($B54="","",الموظفون!$O54*$J54/cfg_DAYS_M)</f>
        <v/>
      </c>
      <c r="O54" s="151" t="str">
        <f aca="false">IF($B54="","",SUMIFS('الحركات الشهرية'!$F$6:$F$1005,'الحركات الشهرية'!$B$6:$B$1005,$B54,'الحركات الشهرية'!$A$6:$A$1005,$C$3))</f>
        <v/>
      </c>
      <c r="P54" s="111" t="str">
        <f aca="false">IF($B54="","",O54*(الموظفون!$P54+الموظفون!$L54*cfg_OT_P)/cfg_DAYS_M/cfg_HRS)</f>
        <v/>
      </c>
      <c r="Q54" s="111" t="str">
        <f aca="false">IF($B54="","",SUMIFS('الحركات الشهرية'!$G$6:$G$1005,'الحركات الشهرية'!$B$6:$B$1005,$B54,'الحركات الشهرية'!$A$6:$A$1005,$C$3))</f>
        <v/>
      </c>
      <c r="R54" s="111" t="str">
        <f aca="false">IF($B54="","",SUMIFS('الحركات الشهرية'!$H$6:$H$1005,'الحركات الشهرية'!$B$6:$B$1005,$B54,'الحركات الشهرية'!$A$6:$A$1005,$C$3))</f>
        <v/>
      </c>
      <c r="S54" s="111" t="str">
        <f aca="false">IF($B54="","",SUMIFS('سجل الإجازات والحالات'!$N$6:$N$505,'سجل الإجازات والحالات'!$B$6:$B$505,$B54,'سجل الإجازات والحالات'!$O$6:$O$505,$C$3))</f>
        <v/>
      </c>
      <c r="T54" s="152" t="str">
        <f aca="false">IF($B54="","",SUM(K54:N54)+SUM(P54:S54))</f>
        <v/>
      </c>
      <c r="U54" s="111" t="str">
        <f aca="false">IF($B54="","",الموظفون!$S54*IF(E54="سعودي",cfg_G_SE,cfg_G_NE)*G54/cfg_DAYS_M)</f>
        <v/>
      </c>
      <c r="V54" s="111" t="str">
        <f aca="false">IF($B54="","",SUMIFS('الحركات الشهرية'!$I$6:$I$1005,'الحركات الشهرية'!$B$6:$B$1005,$B54,'الحركات الشهرية'!$A$6:$A$1005,$C$3))</f>
        <v/>
      </c>
      <c r="W54" s="111" t="str">
        <f aca="false">IF($B54="","",SUMIFS('الحركات الشهرية'!$J$6:$J$1005,'الحركات الشهرية'!$B$6:$B$1005,$B54,'الحركات الشهرية'!$A$6:$A$1005,$C$3))</f>
        <v/>
      </c>
      <c r="X54" s="111" t="str">
        <f aca="false">IF($B54="","",SUM(U54:W54))</f>
        <v/>
      </c>
      <c r="Y54" s="153" t="str">
        <f aca="false">IF($B54="","",T54-X54)</f>
        <v/>
      </c>
      <c r="Z54" s="111" t="str">
        <f aca="false">IF($B54="","",الموظفون!$S54*IF(E54="سعودي",cfg_G_SR,cfg_G_NR)*G54/cfg_DAYS_M)</f>
        <v/>
      </c>
      <c r="AA54" s="111" t="str">
        <f aca="false">IF($B54="","",الموظفون!$Q54*(cfg_EOS_R1*(MIN(AH54,cfg_EOS_TH)-MIN(AI54,cfg_EOS_TH))+cfg_EOS_R2*(MAX(AH54-cfg_EOS_TH,0)-MAX(AI54-cfg_EOS_TH,0))))</f>
        <v/>
      </c>
      <c r="AB54" s="111" t="str">
        <f aca="false">IF($B54="","",IF(الموظفون!$T54&lt;&gt;"",الموظفون!$T54,IF(AH54&gt;=cfg_LV_TH,cfg_LV_D2,cfg_LV_D1))/cfg_DAYS_Y*AJ54*الموظفون!$R54/cfg_DAYS_M)</f>
        <v/>
      </c>
      <c r="AC54" s="111" t="str">
        <f aca="false">IF($B54="","",IF(AND(الموظفون!$U54="نعم",N(الموظفون!$W54)&gt;0),الموظفون!$V54/الموظفون!$W54*12/cfg_DAYS_Y*AJ54,0))</f>
        <v/>
      </c>
      <c r="AD54" s="111" t="str">
        <f aca="false">IF($B54="","",(IF(الموظفون!$X54&lt;&gt;"",الموظفون!$X54,IF(الموظفون!$E54="غير سعودي",cfg_IQ,0))+IF(الموظفون!$Y54&lt;&gt;"",الموظفون!$Y54,IF(الموظفون!$E54="غير سعودي",cfg_WP,0)))/12*G54/cfg_DAYS_M)</f>
        <v/>
      </c>
      <c r="AE54" s="111" t="str">
        <f aca="false">IF($B54="","",IF(الموظفون!$Z54&lt;&gt;"",الموظفون!$Z54,cfg_MED)/12*G54/cfg_DAYS_M)</f>
        <v/>
      </c>
      <c r="AF54" s="111" t="str">
        <f aca="false">IF($B54="","",N(الموظفون!$AA54)/12*G54/cfg_DAYS_M)</f>
        <v/>
      </c>
      <c r="AG54" s="154" t="str">
        <f aca="false">IF($B54="","",T54+SUM(Z54:AF54))</f>
        <v/>
      </c>
      <c r="AH54" s="155" t="str">
        <f aca="false">IF($B54="","",MAX(0,IF(OR(الموظفون!$AE54="",الموظفون!$AE54&gt;$F$3),$F$3,الموظفون!$AE54)-الموظفون!$H54+1-SUMIFS('سجل الإجازات والحالات'!$AO$6:$AO$505,'سجل الإجازات والحالات'!$B$6:$B$505,$B54))/cfg_DAYS_Y)</f>
        <v/>
      </c>
      <c r="AI54" s="155" t="str">
        <f aca="false">IF($B54="","",MAX(0,IF(OR(الموظفون!$AE54="",الموظفون!$AE54&gt;($E$3-1)),($E$3-1),الموظفون!$AE54)-الموظفون!$H54+1-SUMIFS('سجل الإجازات والحالات'!$AN$6:$AN$505,'سجل الإجازات والحالات'!$B$6:$B$505,$B54))/cfg_DAYS_Y)</f>
        <v/>
      </c>
      <c r="AJ54" s="65" t="str">
        <f aca="false">IF($B54="","",MAX(0,AK54-(SUMIFS('سجل الإجازات والحالات'!$AO$6:$AO$505,'سجل الإجازات والحالات'!$B$6:$B$505,$B54)-SUMIFS('سجل الإجازات والحالات'!$AN$6:$AN$505,'سجل الإجازات والحالات'!$B$6:$B$505,$B54))))</f>
        <v/>
      </c>
      <c r="AK54" s="65" t="str">
        <f aca="false">IF($B54="","",MAX(0,IF(OR(الموظفون!$AE54="",الموظفون!$AE54&gt;$F$3),$F$3,الموظفون!$AE54)-MAX($E$3,الموظفون!$H54)+1))</f>
        <v/>
      </c>
      <c r="AL54" s="151" t="str">
        <f aca="false">IF($B54="","",SUMIFS('سجل الإجازات والحالات'!$BA$6:$BA$505,'سجل الإجازات والحالات'!$B$6:$B$505,$B54)+SUMIFS('الحركات الشهرية'!$K$6:$K$1005,'الحركات الشهرية'!$B$6:$B$1005,$B54,'الحركات الشهرية'!$A$6:$A$1005,$C$3))</f>
        <v/>
      </c>
      <c r="AM54" s="111" t="str">
        <f aca="false">IF($B54="","",AL54*الموظفون!$R54/cfg_DAYS_M+S54)</f>
        <v/>
      </c>
      <c r="AN54" s="151" t="str">
        <f aca="false">IF($B54="","",SUMIFS('سجل الإجازات والحالات'!$AC$6:$AC$505,'سجل الإجازات والحالات'!$B$6:$B$505,$B54))</f>
        <v/>
      </c>
    </row>
    <row r="55" customFormat="false" ht="15" hidden="false" customHeight="false" outlineLevel="0" collapsed="false">
      <c r="A55" s="115" t="str">
        <f aca="false">IF($B55="","",الموظفون!$A55)</f>
        <v/>
      </c>
      <c r="B55" s="117" t="str">
        <f aca="false">IF(الموظفون!$B55="","",الموظفون!$B55)</f>
        <v/>
      </c>
      <c r="C55" s="117" t="str">
        <f aca="false">IF($B55="","",الموظفون!$C55)</f>
        <v/>
      </c>
      <c r="D55" s="117" t="str">
        <f aca="false">IF($B55="","",الموظفون!$F55)</f>
        <v/>
      </c>
      <c r="E55" s="117" t="str">
        <f aca="false">IF($B55="","",الموظفون!$E55)</f>
        <v/>
      </c>
      <c r="F55" s="117" t="str">
        <f aca="false">IF($B55="","",IF(AK55=0,IF(AND(الموظفون!$AE55&lt;&gt;"",الموظفون!$AE55&lt;$E$3),"✖ منتهي الخدمة","⏳ لم يباشر"),IF(S55&gt;0,"✈ راتب إجازة مقدم",IF(J55=0,"⛔ بدون راتب هذا الشهر",IF(I55&gt;0,"✈ خصم "&amp;ROUND(I55,2)&amp;" يوم بدون أجر",IF(AL55&gt;0,"🌴 إجازة سنوية "&amp;ROUND(AL55,2)&amp;" يوم",IF(H55&gt;0,"⚠ غياب "&amp;ROUND(H55,2)&amp;" يوم","✔ على رأس العمل")))))))</f>
        <v/>
      </c>
      <c r="G55" s="156" t="str">
        <f aca="false">IF($B55="","",IF(AK55&gt;=DAY($F$3),cfg_DAYS_M,MIN(AK55,cfg_DAYS_M)))</f>
        <v/>
      </c>
      <c r="H55" s="156" t="str">
        <f aca="false">IF($B55="","",SUMIFS('الحركات الشهرية'!$D$6:$D$1005,'الحركات الشهرية'!$B$6:$B$1005,$B55,'الحركات الشهرية'!$A$6:$A$1005,$C$3))</f>
        <v/>
      </c>
      <c r="I55" s="156" t="str">
        <f aca="false">IF($B55="","",MIN(G55,IF(AND(AK55&gt;0,AN55&gt;=AK55),G55,AN55)+SUMIFS('الحركات الشهرية'!$E$6:$E$1005,'الحركات الشهرية'!$B$6:$B$1005,$B55,'الحركات الشهرية'!$A$6:$A$1005,$C$3)))</f>
        <v/>
      </c>
      <c r="J55" s="156" t="str">
        <f aca="false">IF($B55="","",MAX(0,G55-H55-I55))</f>
        <v/>
      </c>
      <c r="K55" s="116" t="str">
        <f aca="false">IF($B55="","",الموظفون!$L55*$J55/cfg_DAYS_M)</f>
        <v/>
      </c>
      <c r="L55" s="116" t="str">
        <f aca="false">IF($B55="","",الموظفون!$M55*$J55/cfg_DAYS_M)</f>
        <v/>
      </c>
      <c r="M55" s="116" t="str">
        <f aca="false">IF($B55="","",الموظفون!$N55*$J55/cfg_DAYS_M)</f>
        <v/>
      </c>
      <c r="N55" s="116" t="str">
        <f aca="false">IF($B55="","",الموظفون!$O55*$J55/cfg_DAYS_M)</f>
        <v/>
      </c>
      <c r="O55" s="156" t="str">
        <f aca="false">IF($B55="","",SUMIFS('الحركات الشهرية'!$F$6:$F$1005,'الحركات الشهرية'!$B$6:$B$1005,$B55,'الحركات الشهرية'!$A$6:$A$1005,$C$3))</f>
        <v/>
      </c>
      <c r="P55" s="116" t="str">
        <f aca="false">IF($B55="","",O55*(الموظفون!$P55+الموظفون!$L55*cfg_OT_P)/cfg_DAYS_M/cfg_HRS)</f>
        <v/>
      </c>
      <c r="Q55" s="116" t="str">
        <f aca="false">IF($B55="","",SUMIFS('الحركات الشهرية'!$G$6:$G$1005,'الحركات الشهرية'!$B$6:$B$1005,$B55,'الحركات الشهرية'!$A$6:$A$1005,$C$3))</f>
        <v/>
      </c>
      <c r="R55" s="116" t="str">
        <f aca="false">IF($B55="","",SUMIFS('الحركات الشهرية'!$H$6:$H$1005,'الحركات الشهرية'!$B$6:$B$1005,$B55,'الحركات الشهرية'!$A$6:$A$1005,$C$3))</f>
        <v/>
      </c>
      <c r="S55" s="116" t="str">
        <f aca="false">IF($B55="","",SUMIFS('سجل الإجازات والحالات'!$N$6:$N$505,'سجل الإجازات والحالات'!$B$6:$B$505,$B55,'سجل الإجازات والحالات'!$O$6:$O$505,$C$3))</f>
        <v/>
      </c>
      <c r="T55" s="157" t="str">
        <f aca="false">IF($B55="","",SUM(K55:N55)+SUM(P55:S55))</f>
        <v/>
      </c>
      <c r="U55" s="116" t="str">
        <f aca="false">IF($B55="","",الموظفون!$S55*IF(E55="سعودي",cfg_G_SE,cfg_G_NE)*G55/cfg_DAYS_M)</f>
        <v/>
      </c>
      <c r="V55" s="116" t="str">
        <f aca="false">IF($B55="","",SUMIFS('الحركات الشهرية'!$I$6:$I$1005,'الحركات الشهرية'!$B$6:$B$1005,$B55,'الحركات الشهرية'!$A$6:$A$1005,$C$3))</f>
        <v/>
      </c>
      <c r="W55" s="116" t="str">
        <f aca="false">IF($B55="","",SUMIFS('الحركات الشهرية'!$J$6:$J$1005,'الحركات الشهرية'!$B$6:$B$1005,$B55,'الحركات الشهرية'!$A$6:$A$1005,$C$3))</f>
        <v/>
      </c>
      <c r="X55" s="116" t="str">
        <f aca="false">IF($B55="","",SUM(U55:W55))</f>
        <v/>
      </c>
      <c r="Y55" s="158" t="str">
        <f aca="false">IF($B55="","",T55-X55)</f>
        <v/>
      </c>
      <c r="Z55" s="116" t="str">
        <f aca="false">IF($B55="","",الموظفون!$S55*IF(E55="سعودي",cfg_G_SR,cfg_G_NR)*G55/cfg_DAYS_M)</f>
        <v/>
      </c>
      <c r="AA55" s="116" t="str">
        <f aca="false">IF($B55="","",الموظفون!$Q55*(cfg_EOS_R1*(MIN(AH55,cfg_EOS_TH)-MIN(AI55,cfg_EOS_TH))+cfg_EOS_R2*(MAX(AH55-cfg_EOS_TH,0)-MAX(AI55-cfg_EOS_TH,0))))</f>
        <v/>
      </c>
      <c r="AB55" s="116" t="str">
        <f aca="false">IF($B55="","",IF(الموظفون!$T55&lt;&gt;"",الموظفون!$T55,IF(AH55&gt;=cfg_LV_TH,cfg_LV_D2,cfg_LV_D1))/cfg_DAYS_Y*AJ55*الموظفون!$R55/cfg_DAYS_M)</f>
        <v/>
      </c>
      <c r="AC55" s="116" t="str">
        <f aca="false">IF($B55="","",IF(AND(الموظفون!$U55="نعم",N(الموظفون!$W55)&gt;0),الموظفون!$V55/الموظفون!$W55*12/cfg_DAYS_Y*AJ55,0))</f>
        <v/>
      </c>
      <c r="AD55" s="116" t="str">
        <f aca="false">IF($B55="","",(IF(الموظفون!$X55&lt;&gt;"",الموظفون!$X55,IF(الموظفون!$E55="غير سعودي",cfg_IQ,0))+IF(الموظفون!$Y55&lt;&gt;"",الموظفون!$Y55,IF(الموظفون!$E55="غير سعودي",cfg_WP,0)))/12*G55/cfg_DAYS_M)</f>
        <v/>
      </c>
      <c r="AE55" s="116" t="str">
        <f aca="false">IF($B55="","",IF(الموظفون!$Z55&lt;&gt;"",الموظفون!$Z55,cfg_MED)/12*G55/cfg_DAYS_M)</f>
        <v/>
      </c>
      <c r="AF55" s="116" t="str">
        <f aca="false">IF($B55="","",N(الموظفون!$AA55)/12*G55/cfg_DAYS_M)</f>
        <v/>
      </c>
      <c r="AG55" s="159" t="str">
        <f aca="false">IF($B55="","",T55+SUM(Z55:AF55))</f>
        <v/>
      </c>
      <c r="AH55" s="160" t="str">
        <f aca="false">IF($B55="","",MAX(0,IF(OR(الموظفون!$AE55="",الموظفون!$AE55&gt;$F$3),$F$3,الموظفون!$AE55)-الموظفون!$H55+1-SUMIFS('سجل الإجازات والحالات'!$AO$6:$AO$505,'سجل الإجازات والحالات'!$B$6:$B$505,$B55))/cfg_DAYS_Y)</f>
        <v/>
      </c>
      <c r="AI55" s="160" t="str">
        <f aca="false">IF($B55="","",MAX(0,IF(OR(الموظفون!$AE55="",الموظفون!$AE55&gt;($E$3-1)),($E$3-1),الموظفون!$AE55)-الموظفون!$H55+1-SUMIFS('سجل الإجازات والحالات'!$AN$6:$AN$505,'سجل الإجازات والحالات'!$B$6:$B$505,$B55))/cfg_DAYS_Y)</f>
        <v/>
      </c>
      <c r="AJ55" s="133" t="str">
        <f aca="false">IF($B55="","",MAX(0,AK55-(SUMIFS('سجل الإجازات والحالات'!$AO$6:$AO$505,'سجل الإجازات والحالات'!$B$6:$B$505,$B55)-SUMIFS('سجل الإجازات والحالات'!$AN$6:$AN$505,'سجل الإجازات والحالات'!$B$6:$B$505,$B55))))</f>
        <v/>
      </c>
      <c r="AK55" s="133" t="str">
        <f aca="false">IF($B55="","",MAX(0,IF(OR(الموظفون!$AE55="",الموظفون!$AE55&gt;$F$3),$F$3,الموظفون!$AE55)-MAX($E$3,الموظفون!$H55)+1))</f>
        <v/>
      </c>
      <c r="AL55" s="156" t="str">
        <f aca="false">IF($B55="","",SUMIFS('سجل الإجازات والحالات'!$BA$6:$BA$505,'سجل الإجازات والحالات'!$B$6:$B$505,$B55)+SUMIFS('الحركات الشهرية'!$K$6:$K$1005,'الحركات الشهرية'!$B$6:$B$1005,$B55,'الحركات الشهرية'!$A$6:$A$1005,$C$3))</f>
        <v/>
      </c>
      <c r="AM55" s="116" t="str">
        <f aca="false">IF($B55="","",AL55*الموظفون!$R55/cfg_DAYS_M+S55)</f>
        <v/>
      </c>
      <c r="AN55" s="156" t="str">
        <f aca="false">IF($B55="","",SUMIFS('سجل الإجازات والحالات'!$AC$6:$AC$505,'سجل الإجازات والحالات'!$B$6:$B$505,$B55))</f>
        <v/>
      </c>
    </row>
    <row r="56" customFormat="false" ht="15" hidden="false" customHeight="false" outlineLevel="0" collapsed="false">
      <c r="A56" s="106" t="str">
        <f aca="false">IF($B56="","",الموظفون!$A56)</f>
        <v/>
      </c>
      <c r="B56" s="114" t="str">
        <f aca="false">IF(الموظفون!$B56="","",الموظفون!$B56)</f>
        <v/>
      </c>
      <c r="C56" s="114" t="str">
        <f aca="false">IF($B56="","",الموظفون!$C56)</f>
        <v/>
      </c>
      <c r="D56" s="114" t="str">
        <f aca="false">IF($B56="","",الموظفون!$F56)</f>
        <v/>
      </c>
      <c r="E56" s="114" t="str">
        <f aca="false">IF($B56="","",الموظفون!$E56)</f>
        <v/>
      </c>
      <c r="F56" s="114" t="str">
        <f aca="false">IF($B56="","",IF(AK56=0,IF(AND(الموظفون!$AE56&lt;&gt;"",الموظفون!$AE56&lt;$E$3),"✖ منتهي الخدمة","⏳ لم يباشر"),IF(S56&gt;0,"✈ راتب إجازة مقدم",IF(J56=0,"⛔ بدون راتب هذا الشهر",IF(I56&gt;0,"✈ خصم "&amp;ROUND(I56,2)&amp;" يوم بدون أجر",IF(AL56&gt;0,"🌴 إجازة سنوية "&amp;ROUND(AL56,2)&amp;" يوم",IF(H56&gt;0,"⚠ غياب "&amp;ROUND(H56,2)&amp;" يوم","✔ على رأس العمل")))))))</f>
        <v/>
      </c>
      <c r="G56" s="151" t="str">
        <f aca="false">IF($B56="","",IF(AK56&gt;=DAY($F$3),cfg_DAYS_M,MIN(AK56,cfg_DAYS_M)))</f>
        <v/>
      </c>
      <c r="H56" s="151" t="str">
        <f aca="false">IF($B56="","",SUMIFS('الحركات الشهرية'!$D$6:$D$1005,'الحركات الشهرية'!$B$6:$B$1005,$B56,'الحركات الشهرية'!$A$6:$A$1005,$C$3))</f>
        <v/>
      </c>
      <c r="I56" s="151" t="str">
        <f aca="false">IF($B56="","",MIN(G56,IF(AND(AK56&gt;0,AN56&gt;=AK56),G56,AN56)+SUMIFS('الحركات الشهرية'!$E$6:$E$1005,'الحركات الشهرية'!$B$6:$B$1005,$B56,'الحركات الشهرية'!$A$6:$A$1005,$C$3)))</f>
        <v/>
      </c>
      <c r="J56" s="151" t="str">
        <f aca="false">IF($B56="","",MAX(0,G56-H56-I56))</f>
        <v/>
      </c>
      <c r="K56" s="111" t="str">
        <f aca="false">IF($B56="","",الموظفون!$L56*$J56/cfg_DAYS_M)</f>
        <v/>
      </c>
      <c r="L56" s="111" t="str">
        <f aca="false">IF($B56="","",الموظفون!$M56*$J56/cfg_DAYS_M)</f>
        <v/>
      </c>
      <c r="M56" s="111" t="str">
        <f aca="false">IF($B56="","",الموظفون!$N56*$J56/cfg_DAYS_M)</f>
        <v/>
      </c>
      <c r="N56" s="111" t="str">
        <f aca="false">IF($B56="","",الموظفون!$O56*$J56/cfg_DAYS_M)</f>
        <v/>
      </c>
      <c r="O56" s="151" t="str">
        <f aca="false">IF($B56="","",SUMIFS('الحركات الشهرية'!$F$6:$F$1005,'الحركات الشهرية'!$B$6:$B$1005,$B56,'الحركات الشهرية'!$A$6:$A$1005,$C$3))</f>
        <v/>
      </c>
      <c r="P56" s="111" t="str">
        <f aca="false">IF($B56="","",O56*(الموظفون!$P56+الموظفون!$L56*cfg_OT_P)/cfg_DAYS_M/cfg_HRS)</f>
        <v/>
      </c>
      <c r="Q56" s="111" t="str">
        <f aca="false">IF($B56="","",SUMIFS('الحركات الشهرية'!$G$6:$G$1005,'الحركات الشهرية'!$B$6:$B$1005,$B56,'الحركات الشهرية'!$A$6:$A$1005,$C$3))</f>
        <v/>
      </c>
      <c r="R56" s="111" t="str">
        <f aca="false">IF($B56="","",SUMIFS('الحركات الشهرية'!$H$6:$H$1005,'الحركات الشهرية'!$B$6:$B$1005,$B56,'الحركات الشهرية'!$A$6:$A$1005,$C$3))</f>
        <v/>
      </c>
      <c r="S56" s="111" t="str">
        <f aca="false">IF($B56="","",SUMIFS('سجل الإجازات والحالات'!$N$6:$N$505,'سجل الإجازات والحالات'!$B$6:$B$505,$B56,'سجل الإجازات والحالات'!$O$6:$O$505,$C$3))</f>
        <v/>
      </c>
      <c r="T56" s="152" t="str">
        <f aca="false">IF($B56="","",SUM(K56:N56)+SUM(P56:S56))</f>
        <v/>
      </c>
      <c r="U56" s="111" t="str">
        <f aca="false">IF($B56="","",الموظفون!$S56*IF(E56="سعودي",cfg_G_SE,cfg_G_NE)*G56/cfg_DAYS_M)</f>
        <v/>
      </c>
      <c r="V56" s="111" t="str">
        <f aca="false">IF($B56="","",SUMIFS('الحركات الشهرية'!$I$6:$I$1005,'الحركات الشهرية'!$B$6:$B$1005,$B56,'الحركات الشهرية'!$A$6:$A$1005,$C$3))</f>
        <v/>
      </c>
      <c r="W56" s="111" t="str">
        <f aca="false">IF($B56="","",SUMIFS('الحركات الشهرية'!$J$6:$J$1005,'الحركات الشهرية'!$B$6:$B$1005,$B56,'الحركات الشهرية'!$A$6:$A$1005,$C$3))</f>
        <v/>
      </c>
      <c r="X56" s="111" t="str">
        <f aca="false">IF($B56="","",SUM(U56:W56))</f>
        <v/>
      </c>
      <c r="Y56" s="153" t="str">
        <f aca="false">IF($B56="","",T56-X56)</f>
        <v/>
      </c>
      <c r="Z56" s="111" t="str">
        <f aca="false">IF($B56="","",الموظفون!$S56*IF(E56="سعودي",cfg_G_SR,cfg_G_NR)*G56/cfg_DAYS_M)</f>
        <v/>
      </c>
      <c r="AA56" s="111" t="str">
        <f aca="false">IF($B56="","",الموظفون!$Q56*(cfg_EOS_R1*(MIN(AH56,cfg_EOS_TH)-MIN(AI56,cfg_EOS_TH))+cfg_EOS_R2*(MAX(AH56-cfg_EOS_TH,0)-MAX(AI56-cfg_EOS_TH,0))))</f>
        <v/>
      </c>
      <c r="AB56" s="111" t="str">
        <f aca="false">IF($B56="","",IF(الموظفون!$T56&lt;&gt;"",الموظفون!$T56,IF(AH56&gt;=cfg_LV_TH,cfg_LV_D2,cfg_LV_D1))/cfg_DAYS_Y*AJ56*الموظفون!$R56/cfg_DAYS_M)</f>
        <v/>
      </c>
      <c r="AC56" s="111" t="str">
        <f aca="false">IF($B56="","",IF(AND(الموظفون!$U56="نعم",N(الموظفون!$W56)&gt;0),الموظفون!$V56/الموظفون!$W56*12/cfg_DAYS_Y*AJ56,0))</f>
        <v/>
      </c>
      <c r="AD56" s="111" t="str">
        <f aca="false">IF($B56="","",(IF(الموظفون!$X56&lt;&gt;"",الموظفون!$X56,IF(الموظفون!$E56="غير سعودي",cfg_IQ,0))+IF(الموظفون!$Y56&lt;&gt;"",الموظفون!$Y56,IF(الموظفون!$E56="غير سعودي",cfg_WP,0)))/12*G56/cfg_DAYS_M)</f>
        <v/>
      </c>
      <c r="AE56" s="111" t="str">
        <f aca="false">IF($B56="","",IF(الموظفون!$Z56&lt;&gt;"",الموظفون!$Z56,cfg_MED)/12*G56/cfg_DAYS_M)</f>
        <v/>
      </c>
      <c r="AF56" s="111" t="str">
        <f aca="false">IF($B56="","",N(الموظفون!$AA56)/12*G56/cfg_DAYS_M)</f>
        <v/>
      </c>
      <c r="AG56" s="154" t="str">
        <f aca="false">IF($B56="","",T56+SUM(Z56:AF56))</f>
        <v/>
      </c>
      <c r="AH56" s="155" t="str">
        <f aca="false">IF($B56="","",MAX(0,IF(OR(الموظفون!$AE56="",الموظفون!$AE56&gt;$F$3),$F$3,الموظفون!$AE56)-الموظفون!$H56+1-SUMIFS('سجل الإجازات والحالات'!$AO$6:$AO$505,'سجل الإجازات والحالات'!$B$6:$B$505,$B56))/cfg_DAYS_Y)</f>
        <v/>
      </c>
      <c r="AI56" s="155" t="str">
        <f aca="false">IF($B56="","",MAX(0,IF(OR(الموظفون!$AE56="",الموظفون!$AE56&gt;($E$3-1)),($E$3-1),الموظفون!$AE56)-الموظفون!$H56+1-SUMIFS('سجل الإجازات والحالات'!$AN$6:$AN$505,'سجل الإجازات والحالات'!$B$6:$B$505,$B56))/cfg_DAYS_Y)</f>
        <v/>
      </c>
      <c r="AJ56" s="65" t="str">
        <f aca="false">IF($B56="","",MAX(0,AK56-(SUMIFS('سجل الإجازات والحالات'!$AO$6:$AO$505,'سجل الإجازات والحالات'!$B$6:$B$505,$B56)-SUMIFS('سجل الإجازات والحالات'!$AN$6:$AN$505,'سجل الإجازات والحالات'!$B$6:$B$505,$B56))))</f>
        <v/>
      </c>
      <c r="AK56" s="65" t="str">
        <f aca="false">IF($B56="","",MAX(0,IF(OR(الموظفون!$AE56="",الموظفون!$AE56&gt;$F$3),$F$3,الموظفون!$AE56)-MAX($E$3,الموظفون!$H56)+1))</f>
        <v/>
      </c>
      <c r="AL56" s="151" t="str">
        <f aca="false">IF($B56="","",SUMIFS('سجل الإجازات والحالات'!$BA$6:$BA$505,'سجل الإجازات والحالات'!$B$6:$B$505,$B56)+SUMIFS('الحركات الشهرية'!$K$6:$K$1005,'الحركات الشهرية'!$B$6:$B$1005,$B56,'الحركات الشهرية'!$A$6:$A$1005,$C$3))</f>
        <v/>
      </c>
      <c r="AM56" s="111" t="str">
        <f aca="false">IF($B56="","",AL56*الموظفون!$R56/cfg_DAYS_M+S56)</f>
        <v/>
      </c>
      <c r="AN56" s="151" t="str">
        <f aca="false">IF($B56="","",SUMIFS('سجل الإجازات والحالات'!$AC$6:$AC$505,'سجل الإجازات والحالات'!$B$6:$B$505,$B56))</f>
        <v/>
      </c>
    </row>
    <row r="57" customFormat="false" ht="15" hidden="false" customHeight="false" outlineLevel="0" collapsed="false">
      <c r="A57" s="115" t="str">
        <f aca="false">IF($B57="","",الموظفون!$A57)</f>
        <v/>
      </c>
      <c r="B57" s="117" t="str">
        <f aca="false">IF(الموظفون!$B57="","",الموظفون!$B57)</f>
        <v/>
      </c>
      <c r="C57" s="117" t="str">
        <f aca="false">IF($B57="","",الموظفون!$C57)</f>
        <v/>
      </c>
      <c r="D57" s="117" t="str">
        <f aca="false">IF($B57="","",الموظفون!$F57)</f>
        <v/>
      </c>
      <c r="E57" s="117" t="str">
        <f aca="false">IF($B57="","",الموظفون!$E57)</f>
        <v/>
      </c>
      <c r="F57" s="117" t="str">
        <f aca="false">IF($B57="","",IF(AK57=0,IF(AND(الموظفون!$AE57&lt;&gt;"",الموظفون!$AE57&lt;$E$3),"✖ منتهي الخدمة","⏳ لم يباشر"),IF(S57&gt;0,"✈ راتب إجازة مقدم",IF(J57=0,"⛔ بدون راتب هذا الشهر",IF(I57&gt;0,"✈ خصم "&amp;ROUND(I57,2)&amp;" يوم بدون أجر",IF(AL57&gt;0,"🌴 إجازة سنوية "&amp;ROUND(AL57,2)&amp;" يوم",IF(H57&gt;0,"⚠ غياب "&amp;ROUND(H57,2)&amp;" يوم","✔ على رأس العمل")))))))</f>
        <v/>
      </c>
      <c r="G57" s="156" t="str">
        <f aca="false">IF($B57="","",IF(AK57&gt;=DAY($F$3),cfg_DAYS_M,MIN(AK57,cfg_DAYS_M)))</f>
        <v/>
      </c>
      <c r="H57" s="156" t="str">
        <f aca="false">IF($B57="","",SUMIFS('الحركات الشهرية'!$D$6:$D$1005,'الحركات الشهرية'!$B$6:$B$1005,$B57,'الحركات الشهرية'!$A$6:$A$1005,$C$3))</f>
        <v/>
      </c>
      <c r="I57" s="156" t="str">
        <f aca="false">IF($B57="","",MIN(G57,IF(AND(AK57&gt;0,AN57&gt;=AK57),G57,AN57)+SUMIFS('الحركات الشهرية'!$E$6:$E$1005,'الحركات الشهرية'!$B$6:$B$1005,$B57,'الحركات الشهرية'!$A$6:$A$1005,$C$3)))</f>
        <v/>
      </c>
      <c r="J57" s="156" t="str">
        <f aca="false">IF($B57="","",MAX(0,G57-H57-I57))</f>
        <v/>
      </c>
      <c r="K57" s="116" t="str">
        <f aca="false">IF($B57="","",الموظفون!$L57*$J57/cfg_DAYS_M)</f>
        <v/>
      </c>
      <c r="L57" s="116" t="str">
        <f aca="false">IF($B57="","",الموظفون!$M57*$J57/cfg_DAYS_M)</f>
        <v/>
      </c>
      <c r="M57" s="116" t="str">
        <f aca="false">IF($B57="","",الموظفون!$N57*$J57/cfg_DAYS_M)</f>
        <v/>
      </c>
      <c r="N57" s="116" t="str">
        <f aca="false">IF($B57="","",الموظفون!$O57*$J57/cfg_DAYS_M)</f>
        <v/>
      </c>
      <c r="O57" s="156" t="str">
        <f aca="false">IF($B57="","",SUMIFS('الحركات الشهرية'!$F$6:$F$1005,'الحركات الشهرية'!$B$6:$B$1005,$B57,'الحركات الشهرية'!$A$6:$A$1005,$C$3))</f>
        <v/>
      </c>
      <c r="P57" s="116" t="str">
        <f aca="false">IF($B57="","",O57*(الموظفون!$P57+الموظفون!$L57*cfg_OT_P)/cfg_DAYS_M/cfg_HRS)</f>
        <v/>
      </c>
      <c r="Q57" s="116" t="str">
        <f aca="false">IF($B57="","",SUMIFS('الحركات الشهرية'!$G$6:$G$1005,'الحركات الشهرية'!$B$6:$B$1005,$B57,'الحركات الشهرية'!$A$6:$A$1005,$C$3))</f>
        <v/>
      </c>
      <c r="R57" s="116" t="str">
        <f aca="false">IF($B57="","",SUMIFS('الحركات الشهرية'!$H$6:$H$1005,'الحركات الشهرية'!$B$6:$B$1005,$B57,'الحركات الشهرية'!$A$6:$A$1005,$C$3))</f>
        <v/>
      </c>
      <c r="S57" s="116" t="str">
        <f aca="false">IF($B57="","",SUMIFS('سجل الإجازات والحالات'!$N$6:$N$505,'سجل الإجازات والحالات'!$B$6:$B$505,$B57,'سجل الإجازات والحالات'!$O$6:$O$505,$C$3))</f>
        <v/>
      </c>
      <c r="T57" s="157" t="str">
        <f aca="false">IF($B57="","",SUM(K57:N57)+SUM(P57:S57))</f>
        <v/>
      </c>
      <c r="U57" s="116" t="str">
        <f aca="false">IF($B57="","",الموظفون!$S57*IF(E57="سعودي",cfg_G_SE,cfg_G_NE)*G57/cfg_DAYS_M)</f>
        <v/>
      </c>
      <c r="V57" s="116" t="str">
        <f aca="false">IF($B57="","",SUMIFS('الحركات الشهرية'!$I$6:$I$1005,'الحركات الشهرية'!$B$6:$B$1005,$B57,'الحركات الشهرية'!$A$6:$A$1005,$C$3))</f>
        <v/>
      </c>
      <c r="W57" s="116" t="str">
        <f aca="false">IF($B57="","",SUMIFS('الحركات الشهرية'!$J$6:$J$1005,'الحركات الشهرية'!$B$6:$B$1005,$B57,'الحركات الشهرية'!$A$6:$A$1005,$C$3))</f>
        <v/>
      </c>
      <c r="X57" s="116" t="str">
        <f aca="false">IF($B57="","",SUM(U57:W57))</f>
        <v/>
      </c>
      <c r="Y57" s="158" t="str">
        <f aca="false">IF($B57="","",T57-X57)</f>
        <v/>
      </c>
      <c r="Z57" s="116" t="str">
        <f aca="false">IF($B57="","",الموظفون!$S57*IF(E57="سعودي",cfg_G_SR,cfg_G_NR)*G57/cfg_DAYS_M)</f>
        <v/>
      </c>
      <c r="AA57" s="116" t="str">
        <f aca="false">IF($B57="","",الموظفون!$Q57*(cfg_EOS_R1*(MIN(AH57,cfg_EOS_TH)-MIN(AI57,cfg_EOS_TH))+cfg_EOS_R2*(MAX(AH57-cfg_EOS_TH,0)-MAX(AI57-cfg_EOS_TH,0))))</f>
        <v/>
      </c>
      <c r="AB57" s="116" t="str">
        <f aca="false">IF($B57="","",IF(الموظفون!$T57&lt;&gt;"",الموظفون!$T57,IF(AH57&gt;=cfg_LV_TH,cfg_LV_D2,cfg_LV_D1))/cfg_DAYS_Y*AJ57*الموظفون!$R57/cfg_DAYS_M)</f>
        <v/>
      </c>
      <c r="AC57" s="116" t="str">
        <f aca="false">IF($B57="","",IF(AND(الموظفون!$U57="نعم",N(الموظفون!$W57)&gt;0),الموظفون!$V57/الموظفون!$W57*12/cfg_DAYS_Y*AJ57,0))</f>
        <v/>
      </c>
      <c r="AD57" s="116" t="str">
        <f aca="false">IF($B57="","",(IF(الموظفون!$X57&lt;&gt;"",الموظفون!$X57,IF(الموظفون!$E57="غير سعودي",cfg_IQ,0))+IF(الموظفون!$Y57&lt;&gt;"",الموظفون!$Y57,IF(الموظفون!$E57="غير سعودي",cfg_WP,0)))/12*G57/cfg_DAYS_M)</f>
        <v/>
      </c>
      <c r="AE57" s="116" t="str">
        <f aca="false">IF($B57="","",IF(الموظفون!$Z57&lt;&gt;"",الموظفون!$Z57,cfg_MED)/12*G57/cfg_DAYS_M)</f>
        <v/>
      </c>
      <c r="AF57" s="116" t="str">
        <f aca="false">IF($B57="","",N(الموظفون!$AA57)/12*G57/cfg_DAYS_M)</f>
        <v/>
      </c>
      <c r="AG57" s="159" t="str">
        <f aca="false">IF($B57="","",T57+SUM(Z57:AF57))</f>
        <v/>
      </c>
      <c r="AH57" s="160" t="str">
        <f aca="false">IF($B57="","",MAX(0,IF(OR(الموظفون!$AE57="",الموظفون!$AE57&gt;$F$3),$F$3,الموظفون!$AE57)-الموظفون!$H57+1-SUMIFS('سجل الإجازات والحالات'!$AO$6:$AO$505,'سجل الإجازات والحالات'!$B$6:$B$505,$B57))/cfg_DAYS_Y)</f>
        <v/>
      </c>
      <c r="AI57" s="160" t="str">
        <f aca="false">IF($B57="","",MAX(0,IF(OR(الموظفون!$AE57="",الموظفون!$AE57&gt;($E$3-1)),($E$3-1),الموظفون!$AE57)-الموظفون!$H57+1-SUMIFS('سجل الإجازات والحالات'!$AN$6:$AN$505,'سجل الإجازات والحالات'!$B$6:$B$505,$B57))/cfg_DAYS_Y)</f>
        <v/>
      </c>
      <c r="AJ57" s="133" t="str">
        <f aca="false">IF($B57="","",MAX(0,AK57-(SUMIFS('سجل الإجازات والحالات'!$AO$6:$AO$505,'سجل الإجازات والحالات'!$B$6:$B$505,$B57)-SUMIFS('سجل الإجازات والحالات'!$AN$6:$AN$505,'سجل الإجازات والحالات'!$B$6:$B$505,$B57))))</f>
        <v/>
      </c>
      <c r="AK57" s="133" t="str">
        <f aca="false">IF($B57="","",MAX(0,IF(OR(الموظفون!$AE57="",الموظفون!$AE57&gt;$F$3),$F$3,الموظفون!$AE57)-MAX($E$3,الموظفون!$H57)+1))</f>
        <v/>
      </c>
      <c r="AL57" s="156" t="str">
        <f aca="false">IF($B57="","",SUMIFS('سجل الإجازات والحالات'!$BA$6:$BA$505,'سجل الإجازات والحالات'!$B$6:$B$505,$B57)+SUMIFS('الحركات الشهرية'!$K$6:$K$1005,'الحركات الشهرية'!$B$6:$B$1005,$B57,'الحركات الشهرية'!$A$6:$A$1005,$C$3))</f>
        <v/>
      </c>
      <c r="AM57" s="116" t="str">
        <f aca="false">IF($B57="","",AL57*الموظفون!$R57/cfg_DAYS_M+S57)</f>
        <v/>
      </c>
      <c r="AN57" s="156" t="str">
        <f aca="false">IF($B57="","",SUMIFS('سجل الإجازات والحالات'!$AC$6:$AC$505,'سجل الإجازات والحالات'!$B$6:$B$505,$B57))</f>
        <v/>
      </c>
    </row>
    <row r="58" customFormat="false" ht="15" hidden="false" customHeight="false" outlineLevel="0" collapsed="false">
      <c r="A58" s="106" t="str">
        <f aca="false">IF($B58="","",الموظفون!$A58)</f>
        <v/>
      </c>
      <c r="B58" s="114" t="str">
        <f aca="false">IF(الموظفون!$B58="","",الموظفون!$B58)</f>
        <v/>
      </c>
      <c r="C58" s="114" t="str">
        <f aca="false">IF($B58="","",الموظفون!$C58)</f>
        <v/>
      </c>
      <c r="D58" s="114" t="str">
        <f aca="false">IF($B58="","",الموظفون!$F58)</f>
        <v/>
      </c>
      <c r="E58" s="114" t="str">
        <f aca="false">IF($B58="","",الموظفون!$E58)</f>
        <v/>
      </c>
      <c r="F58" s="114" t="str">
        <f aca="false">IF($B58="","",IF(AK58=0,IF(AND(الموظفون!$AE58&lt;&gt;"",الموظفون!$AE58&lt;$E$3),"✖ منتهي الخدمة","⏳ لم يباشر"),IF(S58&gt;0,"✈ راتب إجازة مقدم",IF(J58=0,"⛔ بدون راتب هذا الشهر",IF(I58&gt;0,"✈ خصم "&amp;ROUND(I58,2)&amp;" يوم بدون أجر",IF(AL58&gt;0,"🌴 إجازة سنوية "&amp;ROUND(AL58,2)&amp;" يوم",IF(H58&gt;0,"⚠ غياب "&amp;ROUND(H58,2)&amp;" يوم","✔ على رأس العمل")))))))</f>
        <v/>
      </c>
      <c r="G58" s="151" t="str">
        <f aca="false">IF($B58="","",IF(AK58&gt;=DAY($F$3),cfg_DAYS_M,MIN(AK58,cfg_DAYS_M)))</f>
        <v/>
      </c>
      <c r="H58" s="151" t="str">
        <f aca="false">IF($B58="","",SUMIFS('الحركات الشهرية'!$D$6:$D$1005,'الحركات الشهرية'!$B$6:$B$1005,$B58,'الحركات الشهرية'!$A$6:$A$1005,$C$3))</f>
        <v/>
      </c>
      <c r="I58" s="151" t="str">
        <f aca="false">IF($B58="","",MIN(G58,IF(AND(AK58&gt;0,AN58&gt;=AK58),G58,AN58)+SUMIFS('الحركات الشهرية'!$E$6:$E$1005,'الحركات الشهرية'!$B$6:$B$1005,$B58,'الحركات الشهرية'!$A$6:$A$1005,$C$3)))</f>
        <v/>
      </c>
      <c r="J58" s="151" t="str">
        <f aca="false">IF($B58="","",MAX(0,G58-H58-I58))</f>
        <v/>
      </c>
      <c r="K58" s="111" t="str">
        <f aca="false">IF($B58="","",الموظفون!$L58*$J58/cfg_DAYS_M)</f>
        <v/>
      </c>
      <c r="L58" s="111" t="str">
        <f aca="false">IF($B58="","",الموظفون!$M58*$J58/cfg_DAYS_M)</f>
        <v/>
      </c>
      <c r="M58" s="111" t="str">
        <f aca="false">IF($B58="","",الموظفون!$N58*$J58/cfg_DAYS_M)</f>
        <v/>
      </c>
      <c r="N58" s="111" t="str">
        <f aca="false">IF($B58="","",الموظفون!$O58*$J58/cfg_DAYS_M)</f>
        <v/>
      </c>
      <c r="O58" s="151" t="str">
        <f aca="false">IF($B58="","",SUMIFS('الحركات الشهرية'!$F$6:$F$1005,'الحركات الشهرية'!$B$6:$B$1005,$B58,'الحركات الشهرية'!$A$6:$A$1005,$C$3))</f>
        <v/>
      </c>
      <c r="P58" s="111" t="str">
        <f aca="false">IF($B58="","",O58*(الموظفون!$P58+الموظفون!$L58*cfg_OT_P)/cfg_DAYS_M/cfg_HRS)</f>
        <v/>
      </c>
      <c r="Q58" s="111" t="str">
        <f aca="false">IF($B58="","",SUMIFS('الحركات الشهرية'!$G$6:$G$1005,'الحركات الشهرية'!$B$6:$B$1005,$B58,'الحركات الشهرية'!$A$6:$A$1005,$C$3))</f>
        <v/>
      </c>
      <c r="R58" s="111" t="str">
        <f aca="false">IF($B58="","",SUMIFS('الحركات الشهرية'!$H$6:$H$1005,'الحركات الشهرية'!$B$6:$B$1005,$B58,'الحركات الشهرية'!$A$6:$A$1005,$C$3))</f>
        <v/>
      </c>
      <c r="S58" s="111" t="str">
        <f aca="false">IF($B58="","",SUMIFS('سجل الإجازات والحالات'!$N$6:$N$505,'سجل الإجازات والحالات'!$B$6:$B$505,$B58,'سجل الإجازات والحالات'!$O$6:$O$505,$C$3))</f>
        <v/>
      </c>
      <c r="T58" s="152" t="str">
        <f aca="false">IF($B58="","",SUM(K58:N58)+SUM(P58:S58))</f>
        <v/>
      </c>
      <c r="U58" s="111" t="str">
        <f aca="false">IF($B58="","",الموظفون!$S58*IF(E58="سعودي",cfg_G_SE,cfg_G_NE)*G58/cfg_DAYS_M)</f>
        <v/>
      </c>
      <c r="V58" s="111" t="str">
        <f aca="false">IF($B58="","",SUMIFS('الحركات الشهرية'!$I$6:$I$1005,'الحركات الشهرية'!$B$6:$B$1005,$B58,'الحركات الشهرية'!$A$6:$A$1005,$C$3))</f>
        <v/>
      </c>
      <c r="W58" s="111" t="str">
        <f aca="false">IF($B58="","",SUMIFS('الحركات الشهرية'!$J$6:$J$1005,'الحركات الشهرية'!$B$6:$B$1005,$B58,'الحركات الشهرية'!$A$6:$A$1005,$C$3))</f>
        <v/>
      </c>
      <c r="X58" s="111" t="str">
        <f aca="false">IF($B58="","",SUM(U58:W58))</f>
        <v/>
      </c>
      <c r="Y58" s="153" t="str">
        <f aca="false">IF($B58="","",T58-X58)</f>
        <v/>
      </c>
      <c r="Z58" s="111" t="str">
        <f aca="false">IF($B58="","",الموظفون!$S58*IF(E58="سعودي",cfg_G_SR,cfg_G_NR)*G58/cfg_DAYS_M)</f>
        <v/>
      </c>
      <c r="AA58" s="111" t="str">
        <f aca="false">IF($B58="","",الموظفون!$Q58*(cfg_EOS_R1*(MIN(AH58,cfg_EOS_TH)-MIN(AI58,cfg_EOS_TH))+cfg_EOS_R2*(MAX(AH58-cfg_EOS_TH,0)-MAX(AI58-cfg_EOS_TH,0))))</f>
        <v/>
      </c>
      <c r="AB58" s="111" t="str">
        <f aca="false">IF($B58="","",IF(الموظفون!$T58&lt;&gt;"",الموظفون!$T58,IF(AH58&gt;=cfg_LV_TH,cfg_LV_D2,cfg_LV_D1))/cfg_DAYS_Y*AJ58*الموظفون!$R58/cfg_DAYS_M)</f>
        <v/>
      </c>
      <c r="AC58" s="111" t="str">
        <f aca="false">IF($B58="","",IF(AND(الموظفون!$U58="نعم",N(الموظفون!$W58)&gt;0),الموظفون!$V58/الموظفون!$W58*12/cfg_DAYS_Y*AJ58,0))</f>
        <v/>
      </c>
      <c r="AD58" s="111" t="str">
        <f aca="false">IF($B58="","",(IF(الموظفون!$X58&lt;&gt;"",الموظفون!$X58,IF(الموظفون!$E58="غير سعودي",cfg_IQ,0))+IF(الموظفون!$Y58&lt;&gt;"",الموظفون!$Y58,IF(الموظفون!$E58="غير سعودي",cfg_WP,0)))/12*G58/cfg_DAYS_M)</f>
        <v/>
      </c>
      <c r="AE58" s="111" t="str">
        <f aca="false">IF($B58="","",IF(الموظفون!$Z58&lt;&gt;"",الموظفون!$Z58,cfg_MED)/12*G58/cfg_DAYS_M)</f>
        <v/>
      </c>
      <c r="AF58" s="111" t="str">
        <f aca="false">IF($B58="","",N(الموظفون!$AA58)/12*G58/cfg_DAYS_M)</f>
        <v/>
      </c>
      <c r="AG58" s="154" t="str">
        <f aca="false">IF($B58="","",T58+SUM(Z58:AF58))</f>
        <v/>
      </c>
      <c r="AH58" s="155" t="str">
        <f aca="false">IF($B58="","",MAX(0,IF(OR(الموظفون!$AE58="",الموظفون!$AE58&gt;$F$3),$F$3,الموظفون!$AE58)-الموظفون!$H58+1-SUMIFS('سجل الإجازات والحالات'!$AO$6:$AO$505,'سجل الإجازات والحالات'!$B$6:$B$505,$B58))/cfg_DAYS_Y)</f>
        <v/>
      </c>
      <c r="AI58" s="155" t="str">
        <f aca="false">IF($B58="","",MAX(0,IF(OR(الموظفون!$AE58="",الموظفون!$AE58&gt;($E$3-1)),($E$3-1),الموظفون!$AE58)-الموظفون!$H58+1-SUMIFS('سجل الإجازات والحالات'!$AN$6:$AN$505,'سجل الإجازات والحالات'!$B$6:$B$505,$B58))/cfg_DAYS_Y)</f>
        <v/>
      </c>
      <c r="AJ58" s="65" t="str">
        <f aca="false">IF($B58="","",MAX(0,AK58-(SUMIFS('سجل الإجازات والحالات'!$AO$6:$AO$505,'سجل الإجازات والحالات'!$B$6:$B$505,$B58)-SUMIFS('سجل الإجازات والحالات'!$AN$6:$AN$505,'سجل الإجازات والحالات'!$B$6:$B$505,$B58))))</f>
        <v/>
      </c>
      <c r="AK58" s="65" t="str">
        <f aca="false">IF($B58="","",MAX(0,IF(OR(الموظفون!$AE58="",الموظفون!$AE58&gt;$F$3),$F$3,الموظفون!$AE58)-MAX($E$3,الموظفون!$H58)+1))</f>
        <v/>
      </c>
      <c r="AL58" s="151" t="str">
        <f aca="false">IF($B58="","",SUMIFS('سجل الإجازات والحالات'!$BA$6:$BA$505,'سجل الإجازات والحالات'!$B$6:$B$505,$B58)+SUMIFS('الحركات الشهرية'!$K$6:$K$1005,'الحركات الشهرية'!$B$6:$B$1005,$B58,'الحركات الشهرية'!$A$6:$A$1005,$C$3))</f>
        <v/>
      </c>
      <c r="AM58" s="111" t="str">
        <f aca="false">IF($B58="","",AL58*الموظفون!$R58/cfg_DAYS_M+S58)</f>
        <v/>
      </c>
      <c r="AN58" s="151" t="str">
        <f aca="false">IF($B58="","",SUMIFS('سجل الإجازات والحالات'!$AC$6:$AC$505,'سجل الإجازات والحالات'!$B$6:$B$505,$B58))</f>
        <v/>
      </c>
    </row>
    <row r="59" customFormat="false" ht="15" hidden="false" customHeight="false" outlineLevel="0" collapsed="false">
      <c r="A59" s="115" t="str">
        <f aca="false">IF($B59="","",الموظفون!$A59)</f>
        <v/>
      </c>
      <c r="B59" s="117" t="str">
        <f aca="false">IF(الموظفون!$B59="","",الموظفون!$B59)</f>
        <v/>
      </c>
      <c r="C59" s="117" t="str">
        <f aca="false">IF($B59="","",الموظفون!$C59)</f>
        <v/>
      </c>
      <c r="D59" s="117" t="str">
        <f aca="false">IF($B59="","",الموظفون!$F59)</f>
        <v/>
      </c>
      <c r="E59" s="117" t="str">
        <f aca="false">IF($B59="","",الموظفون!$E59)</f>
        <v/>
      </c>
      <c r="F59" s="117" t="str">
        <f aca="false">IF($B59="","",IF(AK59=0,IF(AND(الموظفون!$AE59&lt;&gt;"",الموظفون!$AE59&lt;$E$3),"✖ منتهي الخدمة","⏳ لم يباشر"),IF(S59&gt;0,"✈ راتب إجازة مقدم",IF(J59=0,"⛔ بدون راتب هذا الشهر",IF(I59&gt;0,"✈ خصم "&amp;ROUND(I59,2)&amp;" يوم بدون أجر",IF(AL59&gt;0,"🌴 إجازة سنوية "&amp;ROUND(AL59,2)&amp;" يوم",IF(H59&gt;0,"⚠ غياب "&amp;ROUND(H59,2)&amp;" يوم","✔ على رأس العمل")))))))</f>
        <v/>
      </c>
      <c r="G59" s="156" t="str">
        <f aca="false">IF($B59="","",IF(AK59&gt;=DAY($F$3),cfg_DAYS_M,MIN(AK59,cfg_DAYS_M)))</f>
        <v/>
      </c>
      <c r="H59" s="156" t="str">
        <f aca="false">IF($B59="","",SUMIFS('الحركات الشهرية'!$D$6:$D$1005,'الحركات الشهرية'!$B$6:$B$1005,$B59,'الحركات الشهرية'!$A$6:$A$1005,$C$3))</f>
        <v/>
      </c>
      <c r="I59" s="156" t="str">
        <f aca="false">IF($B59="","",MIN(G59,IF(AND(AK59&gt;0,AN59&gt;=AK59),G59,AN59)+SUMIFS('الحركات الشهرية'!$E$6:$E$1005,'الحركات الشهرية'!$B$6:$B$1005,$B59,'الحركات الشهرية'!$A$6:$A$1005,$C$3)))</f>
        <v/>
      </c>
      <c r="J59" s="156" t="str">
        <f aca="false">IF($B59="","",MAX(0,G59-H59-I59))</f>
        <v/>
      </c>
      <c r="K59" s="116" t="str">
        <f aca="false">IF($B59="","",الموظفون!$L59*$J59/cfg_DAYS_M)</f>
        <v/>
      </c>
      <c r="L59" s="116" t="str">
        <f aca="false">IF($B59="","",الموظفون!$M59*$J59/cfg_DAYS_M)</f>
        <v/>
      </c>
      <c r="M59" s="116" t="str">
        <f aca="false">IF($B59="","",الموظفون!$N59*$J59/cfg_DAYS_M)</f>
        <v/>
      </c>
      <c r="N59" s="116" t="str">
        <f aca="false">IF($B59="","",الموظفون!$O59*$J59/cfg_DAYS_M)</f>
        <v/>
      </c>
      <c r="O59" s="156" t="str">
        <f aca="false">IF($B59="","",SUMIFS('الحركات الشهرية'!$F$6:$F$1005,'الحركات الشهرية'!$B$6:$B$1005,$B59,'الحركات الشهرية'!$A$6:$A$1005,$C$3))</f>
        <v/>
      </c>
      <c r="P59" s="116" t="str">
        <f aca="false">IF($B59="","",O59*(الموظفون!$P59+الموظفون!$L59*cfg_OT_P)/cfg_DAYS_M/cfg_HRS)</f>
        <v/>
      </c>
      <c r="Q59" s="116" t="str">
        <f aca="false">IF($B59="","",SUMIFS('الحركات الشهرية'!$G$6:$G$1005,'الحركات الشهرية'!$B$6:$B$1005,$B59,'الحركات الشهرية'!$A$6:$A$1005,$C$3))</f>
        <v/>
      </c>
      <c r="R59" s="116" t="str">
        <f aca="false">IF($B59="","",SUMIFS('الحركات الشهرية'!$H$6:$H$1005,'الحركات الشهرية'!$B$6:$B$1005,$B59,'الحركات الشهرية'!$A$6:$A$1005,$C$3))</f>
        <v/>
      </c>
      <c r="S59" s="116" t="str">
        <f aca="false">IF($B59="","",SUMIFS('سجل الإجازات والحالات'!$N$6:$N$505,'سجل الإجازات والحالات'!$B$6:$B$505,$B59,'سجل الإجازات والحالات'!$O$6:$O$505,$C$3))</f>
        <v/>
      </c>
      <c r="T59" s="157" t="str">
        <f aca="false">IF($B59="","",SUM(K59:N59)+SUM(P59:S59))</f>
        <v/>
      </c>
      <c r="U59" s="116" t="str">
        <f aca="false">IF($B59="","",الموظفون!$S59*IF(E59="سعودي",cfg_G_SE,cfg_G_NE)*G59/cfg_DAYS_M)</f>
        <v/>
      </c>
      <c r="V59" s="116" t="str">
        <f aca="false">IF($B59="","",SUMIFS('الحركات الشهرية'!$I$6:$I$1005,'الحركات الشهرية'!$B$6:$B$1005,$B59,'الحركات الشهرية'!$A$6:$A$1005,$C$3))</f>
        <v/>
      </c>
      <c r="W59" s="116" t="str">
        <f aca="false">IF($B59="","",SUMIFS('الحركات الشهرية'!$J$6:$J$1005,'الحركات الشهرية'!$B$6:$B$1005,$B59,'الحركات الشهرية'!$A$6:$A$1005,$C$3))</f>
        <v/>
      </c>
      <c r="X59" s="116" t="str">
        <f aca="false">IF($B59="","",SUM(U59:W59))</f>
        <v/>
      </c>
      <c r="Y59" s="158" t="str">
        <f aca="false">IF($B59="","",T59-X59)</f>
        <v/>
      </c>
      <c r="Z59" s="116" t="str">
        <f aca="false">IF($B59="","",الموظفون!$S59*IF(E59="سعودي",cfg_G_SR,cfg_G_NR)*G59/cfg_DAYS_M)</f>
        <v/>
      </c>
      <c r="AA59" s="116" t="str">
        <f aca="false">IF($B59="","",الموظفون!$Q59*(cfg_EOS_R1*(MIN(AH59,cfg_EOS_TH)-MIN(AI59,cfg_EOS_TH))+cfg_EOS_R2*(MAX(AH59-cfg_EOS_TH,0)-MAX(AI59-cfg_EOS_TH,0))))</f>
        <v/>
      </c>
      <c r="AB59" s="116" t="str">
        <f aca="false">IF($B59="","",IF(الموظفون!$T59&lt;&gt;"",الموظفون!$T59,IF(AH59&gt;=cfg_LV_TH,cfg_LV_D2,cfg_LV_D1))/cfg_DAYS_Y*AJ59*الموظفون!$R59/cfg_DAYS_M)</f>
        <v/>
      </c>
      <c r="AC59" s="116" t="str">
        <f aca="false">IF($B59="","",IF(AND(الموظفون!$U59="نعم",N(الموظفون!$W59)&gt;0),الموظفون!$V59/الموظفون!$W59*12/cfg_DAYS_Y*AJ59,0))</f>
        <v/>
      </c>
      <c r="AD59" s="116" t="str">
        <f aca="false">IF($B59="","",(IF(الموظفون!$X59&lt;&gt;"",الموظفون!$X59,IF(الموظفون!$E59="غير سعودي",cfg_IQ,0))+IF(الموظفون!$Y59&lt;&gt;"",الموظفون!$Y59,IF(الموظفون!$E59="غير سعودي",cfg_WP,0)))/12*G59/cfg_DAYS_M)</f>
        <v/>
      </c>
      <c r="AE59" s="116" t="str">
        <f aca="false">IF($B59="","",IF(الموظفون!$Z59&lt;&gt;"",الموظفون!$Z59,cfg_MED)/12*G59/cfg_DAYS_M)</f>
        <v/>
      </c>
      <c r="AF59" s="116" t="str">
        <f aca="false">IF($B59="","",N(الموظفون!$AA59)/12*G59/cfg_DAYS_M)</f>
        <v/>
      </c>
      <c r="AG59" s="159" t="str">
        <f aca="false">IF($B59="","",T59+SUM(Z59:AF59))</f>
        <v/>
      </c>
      <c r="AH59" s="160" t="str">
        <f aca="false">IF($B59="","",MAX(0,IF(OR(الموظفون!$AE59="",الموظفون!$AE59&gt;$F$3),$F$3,الموظفون!$AE59)-الموظفون!$H59+1-SUMIFS('سجل الإجازات والحالات'!$AO$6:$AO$505,'سجل الإجازات والحالات'!$B$6:$B$505,$B59))/cfg_DAYS_Y)</f>
        <v/>
      </c>
      <c r="AI59" s="160" t="str">
        <f aca="false">IF($B59="","",MAX(0,IF(OR(الموظفون!$AE59="",الموظفون!$AE59&gt;($E$3-1)),($E$3-1),الموظفون!$AE59)-الموظفون!$H59+1-SUMIFS('سجل الإجازات والحالات'!$AN$6:$AN$505,'سجل الإجازات والحالات'!$B$6:$B$505,$B59))/cfg_DAYS_Y)</f>
        <v/>
      </c>
      <c r="AJ59" s="133" t="str">
        <f aca="false">IF($B59="","",MAX(0,AK59-(SUMIFS('سجل الإجازات والحالات'!$AO$6:$AO$505,'سجل الإجازات والحالات'!$B$6:$B$505,$B59)-SUMIFS('سجل الإجازات والحالات'!$AN$6:$AN$505,'سجل الإجازات والحالات'!$B$6:$B$505,$B59))))</f>
        <v/>
      </c>
      <c r="AK59" s="133" t="str">
        <f aca="false">IF($B59="","",MAX(0,IF(OR(الموظفون!$AE59="",الموظفون!$AE59&gt;$F$3),$F$3,الموظفون!$AE59)-MAX($E$3,الموظفون!$H59)+1))</f>
        <v/>
      </c>
      <c r="AL59" s="156" t="str">
        <f aca="false">IF($B59="","",SUMIFS('سجل الإجازات والحالات'!$BA$6:$BA$505,'سجل الإجازات والحالات'!$B$6:$B$505,$B59)+SUMIFS('الحركات الشهرية'!$K$6:$K$1005,'الحركات الشهرية'!$B$6:$B$1005,$B59,'الحركات الشهرية'!$A$6:$A$1005,$C$3))</f>
        <v/>
      </c>
      <c r="AM59" s="116" t="str">
        <f aca="false">IF($B59="","",AL59*الموظفون!$R59/cfg_DAYS_M+S59)</f>
        <v/>
      </c>
      <c r="AN59" s="156" t="str">
        <f aca="false">IF($B59="","",SUMIFS('سجل الإجازات والحالات'!$AC$6:$AC$505,'سجل الإجازات والحالات'!$B$6:$B$505,$B59))</f>
        <v/>
      </c>
    </row>
    <row r="60" customFormat="false" ht="15" hidden="false" customHeight="false" outlineLevel="0" collapsed="false">
      <c r="A60" s="106" t="str">
        <f aca="false">IF($B60="","",الموظفون!$A60)</f>
        <v/>
      </c>
      <c r="B60" s="114" t="str">
        <f aca="false">IF(الموظفون!$B60="","",الموظفون!$B60)</f>
        <v/>
      </c>
      <c r="C60" s="114" t="str">
        <f aca="false">IF($B60="","",الموظفون!$C60)</f>
        <v/>
      </c>
      <c r="D60" s="114" t="str">
        <f aca="false">IF($B60="","",الموظفون!$F60)</f>
        <v/>
      </c>
      <c r="E60" s="114" t="str">
        <f aca="false">IF($B60="","",الموظفون!$E60)</f>
        <v/>
      </c>
      <c r="F60" s="114" t="str">
        <f aca="false">IF($B60="","",IF(AK60=0,IF(AND(الموظفون!$AE60&lt;&gt;"",الموظفون!$AE60&lt;$E$3),"✖ منتهي الخدمة","⏳ لم يباشر"),IF(S60&gt;0,"✈ راتب إجازة مقدم",IF(J60=0,"⛔ بدون راتب هذا الشهر",IF(I60&gt;0,"✈ خصم "&amp;ROUND(I60,2)&amp;" يوم بدون أجر",IF(AL60&gt;0,"🌴 إجازة سنوية "&amp;ROUND(AL60,2)&amp;" يوم",IF(H60&gt;0,"⚠ غياب "&amp;ROUND(H60,2)&amp;" يوم","✔ على رأس العمل")))))))</f>
        <v/>
      </c>
      <c r="G60" s="151" t="str">
        <f aca="false">IF($B60="","",IF(AK60&gt;=DAY($F$3),cfg_DAYS_M,MIN(AK60,cfg_DAYS_M)))</f>
        <v/>
      </c>
      <c r="H60" s="151" t="str">
        <f aca="false">IF($B60="","",SUMIFS('الحركات الشهرية'!$D$6:$D$1005,'الحركات الشهرية'!$B$6:$B$1005,$B60,'الحركات الشهرية'!$A$6:$A$1005,$C$3))</f>
        <v/>
      </c>
      <c r="I60" s="151" t="str">
        <f aca="false">IF($B60="","",MIN(G60,IF(AND(AK60&gt;0,AN60&gt;=AK60),G60,AN60)+SUMIFS('الحركات الشهرية'!$E$6:$E$1005,'الحركات الشهرية'!$B$6:$B$1005,$B60,'الحركات الشهرية'!$A$6:$A$1005,$C$3)))</f>
        <v/>
      </c>
      <c r="J60" s="151" t="str">
        <f aca="false">IF($B60="","",MAX(0,G60-H60-I60))</f>
        <v/>
      </c>
      <c r="K60" s="111" t="str">
        <f aca="false">IF($B60="","",الموظفون!$L60*$J60/cfg_DAYS_M)</f>
        <v/>
      </c>
      <c r="L60" s="111" t="str">
        <f aca="false">IF($B60="","",الموظفون!$M60*$J60/cfg_DAYS_M)</f>
        <v/>
      </c>
      <c r="M60" s="111" t="str">
        <f aca="false">IF($B60="","",الموظفون!$N60*$J60/cfg_DAYS_M)</f>
        <v/>
      </c>
      <c r="N60" s="111" t="str">
        <f aca="false">IF($B60="","",الموظفون!$O60*$J60/cfg_DAYS_M)</f>
        <v/>
      </c>
      <c r="O60" s="151" t="str">
        <f aca="false">IF($B60="","",SUMIFS('الحركات الشهرية'!$F$6:$F$1005,'الحركات الشهرية'!$B$6:$B$1005,$B60,'الحركات الشهرية'!$A$6:$A$1005,$C$3))</f>
        <v/>
      </c>
      <c r="P60" s="111" t="str">
        <f aca="false">IF($B60="","",O60*(الموظفون!$P60+الموظفون!$L60*cfg_OT_P)/cfg_DAYS_M/cfg_HRS)</f>
        <v/>
      </c>
      <c r="Q60" s="111" t="str">
        <f aca="false">IF($B60="","",SUMIFS('الحركات الشهرية'!$G$6:$G$1005,'الحركات الشهرية'!$B$6:$B$1005,$B60,'الحركات الشهرية'!$A$6:$A$1005,$C$3))</f>
        <v/>
      </c>
      <c r="R60" s="111" t="str">
        <f aca="false">IF($B60="","",SUMIFS('الحركات الشهرية'!$H$6:$H$1005,'الحركات الشهرية'!$B$6:$B$1005,$B60,'الحركات الشهرية'!$A$6:$A$1005,$C$3))</f>
        <v/>
      </c>
      <c r="S60" s="111" t="str">
        <f aca="false">IF($B60="","",SUMIFS('سجل الإجازات والحالات'!$N$6:$N$505,'سجل الإجازات والحالات'!$B$6:$B$505,$B60,'سجل الإجازات والحالات'!$O$6:$O$505,$C$3))</f>
        <v/>
      </c>
      <c r="T60" s="152" t="str">
        <f aca="false">IF($B60="","",SUM(K60:N60)+SUM(P60:S60))</f>
        <v/>
      </c>
      <c r="U60" s="111" t="str">
        <f aca="false">IF($B60="","",الموظفون!$S60*IF(E60="سعودي",cfg_G_SE,cfg_G_NE)*G60/cfg_DAYS_M)</f>
        <v/>
      </c>
      <c r="V60" s="111" t="str">
        <f aca="false">IF($B60="","",SUMIFS('الحركات الشهرية'!$I$6:$I$1005,'الحركات الشهرية'!$B$6:$B$1005,$B60,'الحركات الشهرية'!$A$6:$A$1005,$C$3))</f>
        <v/>
      </c>
      <c r="W60" s="111" t="str">
        <f aca="false">IF($B60="","",SUMIFS('الحركات الشهرية'!$J$6:$J$1005,'الحركات الشهرية'!$B$6:$B$1005,$B60,'الحركات الشهرية'!$A$6:$A$1005,$C$3))</f>
        <v/>
      </c>
      <c r="X60" s="111" t="str">
        <f aca="false">IF($B60="","",SUM(U60:W60))</f>
        <v/>
      </c>
      <c r="Y60" s="153" t="str">
        <f aca="false">IF($B60="","",T60-X60)</f>
        <v/>
      </c>
      <c r="Z60" s="111" t="str">
        <f aca="false">IF($B60="","",الموظفون!$S60*IF(E60="سعودي",cfg_G_SR,cfg_G_NR)*G60/cfg_DAYS_M)</f>
        <v/>
      </c>
      <c r="AA60" s="111" t="str">
        <f aca="false">IF($B60="","",الموظفون!$Q60*(cfg_EOS_R1*(MIN(AH60,cfg_EOS_TH)-MIN(AI60,cfg_EOS_TH))+cfg_EOS_R2*(MAX(AH60-cfg_EOS_TH,0)-MAX(AI60-cfg_EOS_TH,0))))</f>
        <v/>
      </c>
      <c r="AB60" s="111" t="str">
        <f aca="false">IF($B60="","",IF(الموظفون!$T60&lt;&gt;"",الموظفون!$T60,IF(AH60&gt;=cfg_LV_TH,cfg_LV_D2,cfg_LV_D1))/cfg_DAYS_Y*AJ60*الموظفون!$R60/cfg_DAYS_M)</f>
        <v/>
      </c>
      <c r="AC60" s="111" t="str">
        <f aca="false">IF($B60="","",IF(AND(الموظفون!$U60="نعم",N(الموظفون!$W60)&gt;0),الموظفون!$V60/الموظفون!$W60*12/cfg_DAYS_Y*AJ60,0))</f>
        <v/>
      </c>
      <c r="AD60" s="111" t="str">
        <f aca="false">IF($B60="","",(IF(الموظفون!$X60&lt;&gt;"",الموظفون!$X60,IF(الموظفون!$E60="غير سعودي",cfg_IQ,0))+IF(الموظفون!$Y60&lt;&gt;"",الموظفون!$Y60,IF(الموظفون!$E60="غير سعودي",cfg_WP,0)))/12*G60/cfg_DAYS_M)</f>
        <v/>
      </c>
      <c r="AE60" s="111" t="str">
        <f aca="false">IF($B60="","",IF(الموظفون!$Z60&lt;&gt;"",الموظفون!$Z60,cfg_MED)/12*G60/cfg_DAYS_M)</f>
        <v/>
      </c>
      <c r="AF60" s="111" t="str">
        <f aca="false">IF($B60="","",N(الموظفون!$AA60)/12*G60/cfg_DAYS_M)</f>
        <v/>
      </c>
      <c r="AG60" s="154" t="str">
        <f aca="false">IF($B60="","",T60+SUM(Z60:AF60))</f>
        <v/>
      </c>
      <c r="AH60" s="155" t="str">
        <f aca="false">IF($B60="","",MAX(0,IF(OR(الموظفون!$AE60="",الموظفون!$AE60&gt;$F$3),$F$3,الموظفون!$AE60)-الموظفون!$H60+1-SUMIFS('سجل الإجازات والحالات'!$AO$6:$AO$505,'سجل الإجازات والحالات'!$B$6:$B$505,$B60))/cfg_DAYS_Y)</f>
        <v/>
      </c>
      <c r="AI60" s="155" t="str">
        <f aca="false">IF($B60="","",MAX(0,IF(OR(الموظفون!$AE60="",الموظفون!$AE60&gt;($E$3-1)),($E$3-1),الموظفون!$AE60)-الموظفون!$H60+1-SUMIFS('سجل الإجازات والحالات'!$AN$6:$AN$505,'سجل الإجازات والحالات'!$B$6:$B$505,$B60))/cfg_DAYS_Y)</f>
        <v/>
      </c>
      <c r="AJ60" s="65" t="str">
        <f aca="false">IF($B60="","",MAX(0,AK60-(SUMIFS('سجل الإجازات والحالات'!$AO$6:$AO$505,'سجل الإجازات والحالات'!$B$6:$B$505,$B60)-SUMIFS('سجل الإجازات والحالات'!$AN$6:$AN$505,'سجل الإجازات والحالات'!$B$6:$B$505,$B60))))</f>
        <v/>
      </c>
      <c r="AK60" s="65" t="str">
        <f aca="false">IF($B60="","",MAX(0,IF(OR(الموظفون!$AE60="",الموظفون!$AE60&gt;$F$3),$F$3,الموظفون!$AE60)-MAX($E$3,الموظفون!$H60)+1))</f>
        <v/>
      </c>
      <c r="AL60" s="151" t="str">
        <f aca="false">IF($B60="","",SUMIFS('سجل الإجازات والحالات'!$BA$6:$BA$505,'سجل الإجازات والحالات'!$B$6:$B$505,$B60)+SUMIFS('الحركات الشهرية'!$K$6:$K$1005,'الحركات الشهرية'!$B$6:$B$1005,$B60,'الحركات الشهرية'!$A$6:$A$1005,$C$3))</f>
        <v/>
      </c>
      <c r="AM60" s="111" t="str">
        <f aca="false">IF($B60="","",AL60*الموظفون!$R60/cfg_DAYS_M+S60)</f>
        <v/>
      </c>
      <c r="AN60" s="151" t="str">
        <f aca="false">IF($B60="","",SUMIFS('سجل الإجازات والحالات'!$AC$6:$AC$505,'سجل الإجازات والحالات'!$B$6:$B$505,$B60))</f>
        <v/>
      </c>
    </row>
    <row r="61" customFormat="false" ht="15" hidden="false" customHeight="false" outlineLevel="0" collapsed="false">
      <c r="A61" s="115" t="str">
        <f aca="false">IF($B61="","",الموظفون!$A61)</f>
        <v/>
      </c>
      <c r="B61" s="117" t="str">
        <f aca="false">IF(الموظفون!$B61="","",الموظفون!$B61)</f>
        <v/>
      </c>
      <c r="C61" s="117" t="str">
        <f aca="false">IF($B61="","",الموظفون!$C61)</f>
        <v/>
      </c>
      <c r="D61" s="117" t="str">
        <f aca="false">IF($B61="","",الموظفون!$F61)</f>
        <v/>
      </c>
      <c r="E61" s="117" t="str">
        <f aca="false">IF($B61="","",الموظفون!$E61)</f>
        <v/>
      </c>
      <c r="F61" s="117" t="str">
        <f aca="false">IF($B61="","",IF(AK61=0,IF(AND(الموظفون!$AE61&lt;&gt;"",الموظفون!$AE61&lt;$E$3),"✖ منتهي الخدمة","⏳ لم يباشر"),IF(S61&gt;0,"✈ راتب إجازة مقدم",IF(J61=0,"⛔ بدون راتب هذا الشهر",IF(I61&gt;0,"✈ خصم "&amp;ROUND(I61,2)&amp;" يوم بدون أجر",IF(AL61&gt;0,"🌴 إجازة سنوية "&amp;ROUND(AL61,2)&amp;" يوم",IF(H61&gt;0,"⚠ غياب "&amp;ROUND(H61,2)&amp;" يوم","✔ على رأس العمل")))))))</f>
        <v/>
      </c>
      <c r="G61" s="156" t="str">
        <f aca="false">IF($B61="","",IF(AK61&gt;=DAY($F$3),cfg_DAYS_M,MIN(AK61,cfg_DAYS_M)))</f>
        <v/>
      </c>
      <c r="H61" s="156" t="str">
        <f aca="false">IF($B61="","",SUMIFS('الحركات الشهرية'!$D$6:$D$1005,'الحركات الشهرية'!$B$6:$B$1005,$B61,'الحركات الشهرية'!$A$6:$A$1005,$C$3))</f>
        <v/>
      </c>
      <c r="I61" s="156" t="str">
        <f aca="false">IF($B61="","",MIN(G61,IF(AND(AK61&gt;0,AN61&gt;=AK61),G61,AN61)+SUMIFS('الحركات الشهرية'!$E$6:$E$1005,'الحركات الشهرية'!$B$6:$B$1005,$B61,'الحركات الشهرية'!$A$6:$A$1005,$C$3)))</f>
        <v/>
      </c>
      <c r="J61" s="156" t="str">
        <f aca="false">IF($B61="","",MAX(0,G61-H61-I61))</f>
        <v/>
      </c>
      <c r="K61" s="116" t="str">
        <f aca="false">IF($B61="","",الموظفون!$L61*$J61/cfg_DAYS_M)</f>
        <v/>
      </c>
      <c r="L61" s="116" t="str">
        <f aca="false">IF($B61="","",الموظفون!$M61*$J61/cfg_DAYS_M)</f>
        <v/>
      </c>
      <c r="M61" s="116" t="str">
        <f aca="false">IF($B61="","",الموظفون!$N61*$J61/cfg_DAYS_M)</f>
        <v/>
      </c>
      <c r="N61" s="116" t="str">
        <f aca="false">IF($B61="","",الموظفون!$O61*$J61/cfg_DAYS_M)</f>
        <v/>
      </c>
      <c r="O61" s="156" t="str">
        <f aca="false">IF($B61="","",SUMIFS('الحركات الشهرية'!$F$6:$F$1005,'الحركات الشهرية'!$B$6:$B$1005,$B61,'الحركات الشهرية'!$A$6:$A$1005,$C$3))</f>
        <v/>
      </c>
      <c r="P61" s="116" t="str">
        <f aca="false">IF($B61="","",O61*(الموظفون!$P61+الموظفون!$L61*cfg_OT_P)/cfg_DAYS_M/cfg_HRS)</f>
        <v/>
      </c>
      <c r="Q61" s="116" t="str">
        <f aca="false">IF($B61="","",SUMIFS('الحركات الشهرية'!$G$6:$G$1005,'الحركات الشهرية'!$B$6:$B$1005,$B61,'الحركات الشهرية'!$A$6:$A$1005,$C$3))</f>
        <v/>
      </c>
      <c r="R61" s="116" t="str">
        <f aca="false">IF($B61="","",SUMIFS('الحركات الشهرية'!$H$6:$H$1005,'الحركات الشهرية'!$B$6:$B$1005,$B61,'الحركات الشهرية'!$A$6:$A$1005,$C$3))</f>
        <v/>
      </c>
      <c r="S61" s="116" t="str">
        <f aca="false">IF($B61="","",SUMIFS('سجل الإجازات والحالات'!$N$6:$N$505,'سجل الإجازات والحالات'!$B$6:$B$505,$B61,'سجل الإجازات والحالات'!$O$6:$O$505,$C$3))</f>
        <v/>
      </c>
      <c r="T61" s="157" t="str">
        <f aca="false">IF($B61="","",SUM(K61:N61)+SUM(P61:S61))</f>
        <v/>
      </c>
      <c r="U61" s="116" t="str">
        <f aca="false">IF($B61="","",الموظفون!$S61*IF(E61="سعودي",cfg_G_SE,cfg_G_NE)*G61/cfg_DAYS_M)</f>
        <v/>
      </c>
      <c r="V61" s="116" t="str">
        <f aca="false">IF($B61="","",SUMIFS('الحركات الشهرية'!$I$6:$I$1005,'الحركات الشهرية'!$B$6:$B$1005,$B61,'الحركات الشهرية'!$A$6:$A$1005,$C$3))</f>
        <v/>
      </c>
      <c r="W61" s="116" t="str">
        <f aca="false">IF($B61="","",SUMIFS('الحركات الشهرية'!$J$6:$J$1005,'الحركات الشهرية'!$B$6:$B$1005,$B61,'الحركات الشهرية'!$A$6:$A$1005,$C$3))</f>
        <v/>
      </c>
      <c r="X61" s="116" t="str">
        <f aca="false">IF($B61="","",SUM(U61:W61))</f>
        <v/>
      </c>
      <c r="Y61" s="158" t="str">
        <f aca="false">IF($B61="","",T61-X61)</f>
        <v/>
      </c>
      <c r="Z61" s="116" t="str">
        <f aca="false">IF($B61="","",الموظفون!$S61*IF(E61="سعودي",cfg_G_SR,cfg_G_NR)*G61/cfg_DAYS_M)</f>
        <v/>
      </c>
      <c r="AA61" s="116" t="str">
        <f aca="false">IF($B61="","",الموظفون!$Q61*(cfg_EOS_R1*(MIN(AH61,cfg_EOS_TH)-MIN(AI61,cfg_EOS_TH))+cfg_EOS_R2*(MAX(AH61-cfg_EOS_TH,0)-MAX(AI61-cfg_EOS_TH,0))))</f>
        <v/>
      </c>
      <c r="AB61" s="116" t="str">
        <f aca="false">IF($B61="","",IF(الموظفون!$T61&lt;&gt;"",الموظفون!$T61,IF(AH61&gt;=cfg_LV_TH,cfg_LV_D2,cfg_LV_D1))/cfg_DAYS_Y*AJ61*الموظفون!$R61/cfg_DAYS_M)</f>
        <v/>
      </c>
      <c r="AC61" s="116" t="str">
        <f aca="false">IF($B61="","",IF(AND(الموظفون!$U61="نعم",N(الموظفون!$W61)&gt;0),الموظفون!$V61/الموظفون!$W61*12/cfg_DAYS_Y*AJ61,0))</f>
        <v/>
      </c>
      <c r="AD61" s="116" t="str">
        <f aca="false">IF($B61="","",(IF(الموظفون!$X61&lt;&gt;"",الموظفون!$X61,IF(الموظفون!$E61="غير سعودي",cfg_IQ,0))+IF(الموظفون!$Y61&lt;&gt;"",الموظفون!$Y61,IF(الموظفون!$E61="غير سعودي",cfg_WP,0)))/12*G61/cfg_DAYS_M)</f>
        <v/>
      </c>
      <c r="AE61" s="116" t="str">
        <f aca="false">IF($B61="","",IF(الموظفون!$Z61&lt;&gt;"",الموظفون!$Z61,cfg_MED)/12*G61/cfg_DAYS_M)</f>
        <v/>
      </c>
      <c r="AF61" s="116" t="str">
        <f aca="false">IF($B61="","",N(الموظفون!$AA61)/12*G61/cfg_DAYS_M)</f>
        <v/>
      </c>
      <c r="AG61" s="159" t="str">
        <f aca="false">IF($B61="","",T61+SUM(Z61:AF61))</f>
        <v/>
      </c>
      <c r="AH61" s="160" t="str">
        <f aca="false">IF($B61="","",MAX(0,IF(OR(الموظفون!$AE61="",الموظفون!$AE61&gt;$F$3),$F$3,الموظفون!$AE61)-الموظفون!$H61+1-SUMIFS('سجل الإجازات والحالات'!$AO$6:$AO$505,'سجل الإجازات والحالات'!$B$6:$B$505,$B61))/cfg_DAYS_Y)</f>
        <v/>
      </c>
      <c r="AI61" s="160" t="str">
        <f aca="false">IF($B61="","",MAX(0,IF(OR(الموظفون!$AE61="",الموظفون!$AE61&gt;($E$3-1)),($E$3-1),الموظفون!$AE61)-الموظفون!$H61+1-SUMIFS('سجل الإجازات والحالات'!$AN$6:$AN$505,'سجل الإجازات والحالات'!$B$6:$B$505,$B61))/cfg_DAYS_Y)</f>
        <v/>
      </c>
      <c r="AJ61" s="133" t="str">
        <f aca="false">IF($B61="","",MAX(0,AK61-(SUMIFS('سجل الإجازات والحالات'!$AO$6:$AO$505,'سجل الإجازات والحالات'!$B$6:$B$505,$B61)-SUMIFS('سجل الإجازات والحالات'!$AN$6:$AN$505,'سجل الإجازات والحالات'!$B$6:$B$505,$B61))))</f>
        <v/>
      </c>
      <c r="AK61" s="133" t="str">
        <f aca="false">IF($B61="","",MAX(0,IF(OR(الموظفون!$AE61="",الموظفون!$AE61&gt;$F$3),$F$3,الموظفون!$AE61)-MAX($E$3,الموظفون!$H61)+1))</f>
        <v/>
      </c>
      <c r="AL61" s="156" t="str">
        <f aca="false">IF($B61="","",SUMIFS('سجل الإجازات والحالات'!$BA$6:$BA$505,'سجل الإجازات والحالات'!$B$6:$B$505,$B61)+SUMIFS('الحركات الشهرية'!$K$6:$K$1005,'الحركات الشهرية'!$B$6:$B$1005,$B61,'الحركات الشهرية'!$A$6:$A$1005,$C$3))</f>
        <v/>
      </c>
      <c r="AM61" s="116" t="str">
        <f aca="false">IF($B61="","",AL61*الموظفون!$R61/cfg_DAYS_M+S61)</f>
        <v/>
      </c>
      <c r="AN61" s="156" t="str">
        <f aca="false">IF($B61="","",SUMIFS('سجل الإجازات والحالات'!$AC$6:$AC$505,'سجل الإجازات والحالات'!$B$6:$B$505,$B61))</f>
        <v/>
      </c>
    </row>
    <row r="62" customFormat="false" ht="15" hidden="false" customHeight="false" outlineLevel="0" collapsed="false">
      <c r="A62" s="106" t="str">
        <f aca="false">IF($B62="","",الموظفون!$A62)</f>
        <v/>
      </c>
      <c r="B62" s="114" t="str">
        <f aca="false">IF(الموظفون!$B62="","",الموظفون!$B62)</f>
        <v/>
      </c>
      <c r="C62" s="114" t="str">
        <f aca="false">IF($B62="","",الموظفون!$C62)</f>
        <v/>
      </c>
      <c r="D62" s="114" t="str">
        <f aca="false">IF($B62="","",الموظفون!$F62)</f>
        <v/>
      </c>
      <c r="E62" s="114" t="str">
        <f aca="false">IF($B62="","",الموظفون!$E62)</f>
        <v/>
      </c>
      <c r="F62" s="114" t="str">
        <f aca="false">IF($B62="","",IF(AK62=0,IF(AND(الموظفون!$AE62&lt;&gt;"",الموظفون!$AE62&lt;$E$3),"✖ منتهي الخدمة","⏳ لم يباشر"),IF(S62&gt;0,"✈ راتب إجازة مقدم",IF(J62=0,"⛔ بدون راتب هذا الشهر",IF(I62&gt;0,"✈ خصم "&amp;ROUND(I62,2)&amp;" يوم بدون أجر",IF(AL62&gt;0,"🌴 إجازة سنوية "&amp;ROUND(AL62,2)&amp;" يوم",IF(H62&gt;0,"⚠ غياب "&amp;ROUND(H62,2)&amp;" يوم","✔ على رأس العمل")))))))</f>
        <v/>
      </c>
      <c r="G62" s="151" t="str">
        <f aca="false">IF($B62="","",IF(AK62&gt;=DAY($F$3),cfg_DAYS_M,MIN(AK62,cfg_DAYS_M)))</f>
        <v/>
      </c>
      <c r="H62" s="151" t="str">
        <f aca="false">IF($B62="","",SUMIFS('الحركات الشهرية'!$D$6:$D$1005,'الحركات الشهرية'!$B$6:$B$1005,$B62,'الحركات الشهرية'!$A$6:$A$1005,$C$3))</f>
        <v/>
      </c>
      <c r="I62" s="151" t="str">
        <f aca="false">IF($B62="","",MIN(G62,IF(AND(AK62&gt;0,AN62&gt;=AK62),G62,AN62)+SUMIFS('الحركات الشهرية'!$E$6:$E$1005,'الحركات الشهرية'!$B$6:$B$1005,$B62,'الحركات الشهرية'!$A$6:$A$1005,$C$3)))</f>
        <v/>
      </c>
      <c r="J62" s="151" t="str">
        <f aca="false">IF($B62="","",MAX(0,G62-H62-I62))</f>
        <v/>
      </c>
      <c r="K62" s="111" t="str">
        <f aca="false">IF($B62="","",الموظفون!$L62*$J62/cfg_DAYS_M)</f>
        <v/>
      </c>
      <c r="L62" s="111" t="str">
        <f aca="false">IF($B62="","",الموظفون!$M62*$J62/cfg_DAYS_M)</f>
        <v/>
      </c>
      <c r="M62" s="111" t="str">
        <f aca="false">IF($B62="","",الموظفون!$N62*$J62/cfg_DAYS_M)</f>
        <v/>
      </c>
      <c r="N62" s="111" t="str">
        <f aca="false">IF($B62="","",الموظفون!$O62*$J62/cfg_DAYS_M)</f>
        <v/>
      </c>
      <c r="O62" s="151" t="str">
        <f aca="false">IF($B62="","",SUMIFS('الحركات الشهرية'!$F$6:$F$1005,'الحركات الشهرية'!$B$6:$B$1005,$B62,'الحركات الشهرية'!$A$6:$A$1005,$C$3))</f>
        <v/>
      </c>
      <c r="P62" s="111" t="str">
        <f aca="false">IF($B62="","",O62*(الموظفون!$P62+الموظفون!$L62*cfg_OT_P)/cfg_DAYS_M/cfg_HRS)</f>
        <v/>
      </c>
      <c r="Q62" s="111" t="str">
        <f aca="false">IF($B62="","",SUMIFS('الحركات الشهرية'!$G$6:$G$1005,'الحركات الشهرية'!$B$6:$B$1005,$B62,'الحركات الشهرية'!$A$6:$A$1005,$C$3))</f>
        <v/>
      </c>
      <c r="R62" s="111" t="str">
        <f aca="false">IF($B62="","",SUMIFS('الحركات الشهرية'!$H$6:$H$1005,'الحركات الشهرية'!$B$6:$B$1005,$B62,'الحركات الشهرية'!$A$6:$A$1005,$C$3))</f>
        <v/>
      </c>
      <c r="S62" s="111" t="str">
        <f aca="false">IF($B62="","",SUMIFS('سجل الإجازات والحالات'!$N$6:$N$505,'سجل الإجازات والحالات'!$B$6:$B$505,$B62,'سجل الإجازات والحالات'!$O$6:$O$505,$C$3))</f>
        <v/>
      </c>
      <c r="T62" s="152" t="str">
        <f aca="false">IF($B62="","",SUM(K62:N62)+SUM(P62:S62))</f>
        <v/>
      </c>
      <c r="U62" s="111" t="str">
        <f aca="false">IF($B62="","",الموظفون!$S62*IF(E62="سعودي",cfg_G_SE,cfg_G_NE)*G62/cfg_DAYS_M)</f>
        <v/>
      </c>
      <c r="V62" s="111" t="str">
        <f aca="false">IF($B62="","",SUMIFS('الحركات الشهرية'!$I$6:$I$1005,'الحركات الشهرية'!$B$6:$B$1005,$B62,'الحركات الشهرية'!$A$6:$A$1005,$C$3))</f>
        <v/>
      </c>
      <c r="W62" s="111" t="str">
        <f aca="false">IF($B62="","",SUMIFS('الحركات الشهرية'!$J$6:$J$1005,'الحركات الشهرية'!$B$6:$B$1005,$B62,'الحركات الشهرية'!$A$6:$A$1005,$C$3))</f>
        <v/>
      </c>
      <c r="X62" s="111" t="str">
        <f aca="false">IF($B62="","",SUM(U62:W62))</f>
        <v/>
      </c>
      <c r="Y62" s="153" t="str">
        <f aca="false">IF($B62="","",T62-X62)</f>
        <v/>
      </c>
      <c r="Z62" s="111" t="str">
        <f aca="false">IF($B62="","",الموظفون!$S62*IF(E62="سعودي",cfg_G_SR,cfg_G_NR)*G62/cfg_DAYS_M)</f>
        <v/>
      </c>
      <c r="AA62" s="111" t="str">
        <f aca="false">IF($B62="","",الموظفون!$Q62*(cfg_EOS_R1*(MIN(AH62,cfg_EOS_TH)-MIN(AI62,cfg_EOS_TH))+cfg_EOS_R2*(MAX(AH62-cfg_EOS_TH,0)-MAX(AI62-cfg_EOS_TH,0))))</f>
        <v/>
      </c>
      <c r="AB62" s="111" t="str">
        <f aca="false">IF($B62="","",IF(الموظفون!$T62&lt;&gt;"",الموظفون!$T62,IF(AH62&gt;=cfg_LV_TH,cfg_LV_D2,cfg_LV_D1))/cfg_DAYS_Y*AJ62*الموظفون!$R62/cfg_DAYS_M)</f>
        <v/>
      </c>
      <c r="AC62" s="111" t="str">
        <f aca="false">IF($B62="","",IF(AND(الموظفون!$U62="نعم",N(الموظفون!$W62)&gt;0),الموظفون!$V62/الموظفون!$W62*12/cfg_DAYS_Y*AJ62,0))</f>
        <v/>
      </c>
      <c r="AD62" s="111" t="str">
        <f aca="false">IF($B62="","",(IF(الموظفون!$X62&lt;&gt;"",الموظفون!$X62,IF(الموظفون!$E62="غير سعودي",cfg_IQ,0))+IF(الموظفون!$Y62&lt;&gt;"",الموظفون!$Y62,IF(الموظفون!$E62="غير سعودي",cfg_WP,0)))/12*G62/cfg_DAYS_M)</f>
        <v/>
      </c>
      <c r="AE62" s="111" t="str">
        <f aca="false">IF($B62="","",IF(الموظفون!$Z62&lt;&gt;"",الموظفون!$Z62,cfg_MED)/12*G62/cfg_DAYS_M)</f>
        <v/>
      </c>
      <c r="AF62" s="111" t="str">
        <f aca="false">IF($B62="","",N(الموظفون!$AA62)/12*G62/cfg_DAYS_M)</f>
        <v/>
      </c>
      <c r="AG62" s="154" t="str">
        <f aca="false">IF($B62="","",T62+SUM(Z62:AF62))</f>
        <v/>
      </c>
      <c r="AH62" s="155" t="str">
        <f aca="false">IF($B62="","",MAX(0,IF(OR(الموظفون!$AE62="",الموظفون!$AE62&gt;$F$3),$F$3,الموظفون!$AE62)-الموظفون!$H62+1-SUMIFS('سجل الإجازات والحالات'!$AO$6:$AO$505,'سجل الإجازات والحالات'!$B$6:$B$505,$B62))/cfg_DAYS_Y)</f>
        <v/>
      </c>
      <c r="AI62" s="155" t="str">
        <f aca="false">IF($B62="","",MAX(0,IF(OR(الموظفون!$AE62="",الموظفون!$AE62&gt;($E$3-1)),($E$3-1),الموظفون!$AE62)-الموظفون!$H62+1-SUMIFS('سجل الإجازات والحالات'!$AN$6:$AN$505,'سجل الإجازات والحالات'!$B$6:$B$505,$B62))/cfg_DAYS_Y)</f>
        <v/>
      </c>
      <c r="AJ62" s="65" t="str">
        <f aca="false">IF($B62="","",MAX(0,AK62-(SUMIFS('سجل الإجازات والحالات'!$AO$6:$AO$505,'سجل الإجازات والحالات'!$B$6:$B$505,$B62)-SUMIFS('سجل الإجازات والحالات'!$AN$6:$AN$505,'سجل الإجازات والحالات'!$B$6:$B$505,$B62))))</f>
        <v/>
      </c>
      <c r="AK62" s="65" t="str">
        <f aca="false">IF($B62="","",MAX(0,IF(OR(الموظفون!$AE62="",الموظفون!$AE62&gt;$F$3),$F$3,الموظفون!$AE62)-MAX($E$3,الموظفون!$H62)+1))</f>
        <v/>
      </c>
      <c r="AL62" s="151" t="str">
        <f aca="false">IF($B62="","",SUMIFS('سجل الإجازات والحالات'!$BA$6:$BA$505,'سجل الإجازات والحالات'!$B$6:$B$505,$B62)+SUMIFS('الحركات الشهرية'!$K$6:$K$1005,'الحركات الشهرية'!$B$6:$B$1005,$B62,'الحركات الشهرية'!$A$6:$A$1005,$C$3))</f>
        <v/>
      </c>
      <c r="AM62" s="111" t="str">
        <f aca="false">IF($B62="","",AL62*الموظفون!$R62/cfg_DAYS_M+S62)</f>
        <v/>
      </c>
      <c r="AN62" s="151" t="str">
        <f aca="false">IF($B62="","",SUMIFS('سجل الإجازات والحالات'!$AC$6:$AC$505,'سجل الإجازات والحالات'!$B$6:$B$505,$B62))</f>
        <v/>
      </c>
    </row>
    <row r="63" customFormat="false" ht="15" hidden="false" customHeight="false" outlineLevel="0" collapsed="false">
      <c r="A63" s="115" t="str">
        <f aca="false">IF($B63="","",الموظفون!$A63)</f>
        <v/>
      </c>
      <c r="B63" s="117" t="str">
        <f aca="false">IF(الموظفون!$B63="","",الموظفون!$B63)</f>
        <v/>
      </c>
      <c r="C63" s="117" t="str">
        <f aca="false">IF($B63="","",الموظفون!$C63)</f>
        <v/>
      </c>
      <c r="D63" s="117" t="str">
        <f aca="false">IF($B63="","",الموظفون!$F63)</f>
        <v/>
      </c>
      <c r="E63" s="117" t="str">
        <f aca="false">IF($B63="","",الموظفون!$E63)</f>
        <v/>
      </c>
      <c r="F63" s="117" t="str">
        <f aca="false">IF($B63="","",IF(AK63=0,IF(AND(الموظفون!$AE63&lt;&gt;"",الموظفون!$AE63&lt;$E$3),"✖ منتهي الخدمة","⏳ لم يباشر"),IF(S63&gt;0,"✈ راتب إجازة مقدم",IF(J63=0,"⛔ بدون راتب هذا الشهر",IF(I63&gt;0,"✈ خصم "&amp;ROUND(I63,2)&amp;" يوم بدون أجر",IF(AL63&gt;0,"🌴 إجازة سنوية "&amp;ROUND(AL63,2)&amp;" يوم",IF(H63&gt;0,"⚠ غياب "&amp;ROUND(H63,2)&amp;" يوم","✔ على رأس العمل")))))))</f>
        <v/>
      </c>
      <c r="G63" s="156" t="str">
        <f aca="false">IF($B63="","",IF(AK63&gt;=DAY($F$3),cfg_DAYS_M,MIN(AK63,cfg_DAYS_M)))</f>
        <v/>
      </c>
      <c r="H63" s="156" t="str">
        <f aca="false">IF($B63="","",SUMIFS('الحركات الشهرية'!$D$6:$D$1005,'الحركات الشهرية'!$B$6:$B$1005,$B63,'الحركات الشهرية'!$A$6:$A$1005,$C$3))</f>
        <v/>
      </c>
      <c r="I63" s="156" t="str">
        <f aca="false">IF($B63="","",MIN(G63,IF(AND(AK63&gt;0,AN63&gt;=AK63),G63,AN63)+SUMIFS('الحركات الشهرية'!$E$6:$E$1005,'الحركات الشهرية'!$B$6:$B$1005,$B63,'الحركات الشهرية'!$A$6:$A$1005,$C$3)))</f>
        <v/>
      </c>
      <c r="J63" s="156" t="str">
        <f aca="false">IF($B63="","",MAX(0,G63-H63-I63))</f>
        <v/>
      </c>
      <c r="K63" s="116" t="str">
        <f aca="false">IF($B63="","",الموظفون!$L63*$J63/cfg_DAYS_M)</f>
        <v/>
      </c>
      <c r="L63" s="116" t="str">
        <f aca="false">IF($B63="","",الموظفون!$M63*$J63/cfg_DAYS_M)</f>
        <v/>
      </c>
      <c r="M63" s="116" t="str">
        <f aca="false">IF($B63="","",الموظفون!$N63*$J63/cfg_DAYS_M)</f>
        <v/>
      </c>
      <c r="N63" s="116" t="str">
        <f aca="false">IF($B63="","",الموظفون!$O63*$J63/cfg_DAYS_M)</f>
        <v/>
      </c>
      <c r="O63" s="156" t="str">
        <f aca="false">IF($B63="","",SUMIFS('الحركات الشهرية'!$F$6:$F$1005,'الحركات الشهرية'!$B$6:$B$1005,$B63,'الحركات الشهرية'!$A$6:$A$1005,$C$3))</f>
        <v/>
      </c>
      <c r="P63" s="116" t="str">
        <f aca="false">IF($B63="","",O63*(الموظفون!$P63+الموظفون!$L63*cfg_OT_P)/cfg_DAYS_M/cfg_HRS)</f>
        <v/>
      </c>
      <c r="Q63" s="116" t="str">
        <f aca="false">IF($B63="","",SUMIFS('الحركات الشهرية'!$G$6:$G$1005,'الحركات الشهرية'!$B$6:$B$1005,$B63,'الحركات الشهرية'!$A$6:$A$1005,$C$3))</f>
        <v/>
      </c>
      <c r="R63" s="116" t="str">
        <f aca="false">IF($B63="","",SUMIFS('الحركات الشهرية'!$H$6:$H$1005,'الحركات الشهرية'!$B$6:$B$1005,$B63,'الحركات الشهرية'!$A$6:$A$1005,$C$3))</f>
        <v/>
      </c>
      <c r="S63" s="116" t="str">
        <f aca="false">IF($B63="","",SUMIFS('سجل الإجازات والحالات'!$N$6:$N$505,'سجل الإجازات والحالات'!$B$6:$B$505,$B63,'سجل الإجازات والحالات'!$O$6:$O$505,$C$3))</f>
        <v/>
      </c>
      <c r="T63" s="157" t="str">
        <f aca="false">IF($B63="","",SUM(K63:N63)+SUM(P63:S63))</f>
        <v/>
      </c>
      <c r="U63" s="116" t="str">
        <f aca="false">IF($B63="","",الموظفون!$S63*IF(E63="سعودي",cfg_G_SE,cfg_G_NE)*G63/cfg_DAYS_M)</f>
        <v/>
      </c>
      <c r="V63" s="116" t="str">
        <f aca="false">IF($B63="","",SUMIFS('الحركات الشهرية'!$I$6:$I$1005,'الحركات الشهرية'!$B$6:$B$1005,$B63,'الحركات الشهرية'!$A$6:$A$1005,$C$3))</f>
        <v/>
      </c>
      <c r="W63" s="116" t="str">
        <f aca="false">IF($B63="","",SUMIFS('الحركات الشهرية'!$J$6:$J$1005,'الحركات الشهرية'!$B$6:$B$1005,$B63,'الحركات الشهرية'!$A$6:$A$1005,$C$3))</f>
        <v/>
      </c>
      <c r="X63" s="116" t="str">
        <f aca="false">IF($B63="","",SUM(U63:W63))</f>
        <v/>
      </c>
      <c r="Y63" s="158" t="str">
        <f aca="false">IF($B63="","",T63-X63)</f>
        <v/>
      </c>
      <c r="Z63" s="116" t="str">
        <f aca="false">IF($B63="","",الموظفون!$S63*IF(E63="سعودي",cfg_G_SR,cfg_G_NR)*G63/cfg_DAYS_M)</f>
        <v/>
      </c>
      <c r="AA63" s="116" t="str">
        <f aca="false">IF($B63="","",الموظفون!$Q63*(cfg_EOS_R1*(MIN(AH63,cfg_EOS_TH)-MIN(AI63,cfg_EOS_TH))+cfg_EOS_R2*(MAX(AH63-cfg_EOS_TH,0)-MAX(AI63-cfg_EOS_TH,0))))</f>
        <v/>
      </c>
      <c r="AB63" s="116" t="str">
        <f aca="false">IF($B63="","",IF(الموظفون!$T63&lt;&gt;"",الموظفون!$T63,IF(AH63&gt;=cfg_LV_TH,cfg_LV_D2,cfg_LV_D1))/cfg_DAYS_Y*AJ63*الموظفون!$R63/cfg_DAYS_M)</f>
        <v/>
      </c>
      <c r="AC63" s="116" t="str">
        <f aca="false">IF($B63="","",IF(AND(الموظفون!$U63="نعم",N(الموظفون!$W63)&gt;0),الموظفون!$V63/الموظفون!$W63*12/cfg_DAYS_Y*AJ63,0))</f>
        <v/>
      </c>
      <c r="AD63" s="116" t="str">
        <f aca="false">IF($B63="","",(IF(الموظفون!$X63&lt;&gt;"",الموظفون!$X63,IF(الموظفون!$E63="غير سعودي",cfg_IQ,0))+IF(الموظفون!$Y63&lt;&gt;"",الموظفون!$Y63,IF(الموظفون!$E63="غير سعودي",cfg_WP,0)))/12*G63/cfg_DAYS_M)</f>
        <v/>
      </c>
      <c r="AE63" s="116" t="str">
        <f aca="false">IF($B63="","",IF(الموظفون!$Z63&lt;&gt;"",الموظفون!$Z63,cfg_MED)/12*G63/cfg_DAYS_M)</f>
        <v/>
      </c>
      <c r="AF63" s="116" t="str">
        <f aca="false">IF($B63="","",N(الموظفون!$AA63)/12*G63/cfg_DAYS_M)</f>
        <v/>
      </c>
      <c r="AG63" s="159" t="str">
        <f aca="false">IF($B63="","",T63+SUM(Z63:AF63))</f>
        <v/>
      </c>
      <c r="AH63" s="160" t="str">
        <f aca="false">IF($B63="","",MAX(0,IF(OR(الموظفون!$AE63="",الموظفون!$AE63&gt;$F$3),$F$3,الموظفون!$AE63)-الموظفون!$H63+1-SUMIFS('سجل الإجازات والحالات'!$AO$6:$AO$505,'سجل الإجازات والحالات'!$B$6:$B$505,$B63))/cfg_DAYS_Y)</f>
        <v/>
      </c>
      <c r="AI63" s="160" t="str">
        <f aca="false">IF($B63="","",MAX(0,IF(OR(الموظفون!$AE63="",الموظفون!$AE63&gt;($E$3-1)),($E$3-1),الموظفون!$AE63)-الموظفون!$H63+1-SUMIFS('سجل الإجازات والحالات'!$AN$6:$AN$505,'سجل الإجازات والحالات'!$B$6:$B$505,$B63))/cfg_DAYS_Y)</f>
        <v/>
      </c>
      <c r="AJ63" s="133" t="str">
        <f aca="false">IF($B63="","",MAX(0,AK63-(SUMIFS('سجل الإجازات والحالات'!$AO$6:$AO$505,'سجل الإجازات والحالات'!$B$6:$B$505,$B63)-SUMIFS('سجل الإجازات والحالات'!$AN$6:$AN$505,'سجل الإجازات والحالات'!$B$6:$B$505,$B63))))</f>
        <v/>
      </c>
      <c r="AK63" s="133" t="str">
        <f aca="false">IF($B63="","",MAX(0,IF(OR(الموظفون!$AE63="",الموظفون!$AE63&gt;$F$3),$F$3,الموظفون!$AE63)-MAX($E$3,الموظفون!$H63)+1))</f>
        <v/>
      </c>
      <c r="AL63" s="156" t="str">
        <f aca="false">IF($B63="","",SUMIFS('سجل الإجازات والحالات'!$BA$6:$BA$505,'سجل الإجازات والحالات'!$B$6:$B$505,$B63)+SUMIFS('الحركات الشهرية'!$K$6:$K$1005,'الحركات الشهرية'!$B$6:$B$1005,$B63,'الحركات الشهرية'!$A$6:$A$1005,$C$3))</f>
        <v/>
      </c>
      <c r="AM63" s="116" t="str">
        <f aca="false">IF($B63="","",AL63*الموظفون!$R63/cfg_DAYS_M+S63)</f>
        <v/>
      </c>
      <c r="AN63" s="156" t="str">
        <f aca="false">IF($B63="","",SUMIFS('سجل الإجازات والحالات'!$AC$6:$AC$505,'سجل الإجازات والحالات'!$B$6:$B$505,$B63))</f>
        <v/>
      </c>
    </row>
    <row r="64" customFormat="false" ht="15" hidden="false" customHeight="false" outlineLevel="0" collapsed="false">
      <c r="A64" s="106" t="str">
        <f aca="false">IF($B64="","",الموظفون!$A64)</f>
        <v/>
      </c>
      <c r="B64" s="114" t="str">
        <f aca="false">IF(الموظفون!$B64="","",الموظفون!$B64)</f>
        <v/>
      </c>
      <c r="C64" s="114" t="str">
        <f aca="false">IF($B64="","",الموظفون!$C64)</f>
        <v/>
      </c>
      <c r="D64" s="114" t="str">
        <f aca="false">IF($B64="","",الموظفون!$F64)</f>
        <v/>
      </c>
      <c r="E64" s="114" t="str">
        <f aca="false">IF($B64="","",الموظفون!$E64)</f>
        <v/>
      </c>
      <c r="F64" s="114" t="str">
        <f aca="false">IF($B64="","",IF(AK64=0,IF(AND(الموظفون!$AE64&lt;&gt;"",الموظفون!$AE64&lt;$E$3),"✖ منتهي الخدمة","⏳ لم يباشر"),IF(S64&gt;0,"✈ راتب إجازة مقدم",IF(J64=0,"⛔ بدون راتب هذا الشهر",IF(I64&gt;0,"✈ خصم "&amp;ROUND(I64,2)&amp;" يوم بدون أجر",IF(AL64&gt;0,"🌴 إجازة سنوية "&amp;ROUND(AL64,2)&amp;" يوم",IF(H64&gt;0,"⚠ غياب "&amp;ROUND(H64,2)&amp;" يوم","✔ على رأس العمل")))))))</f>
        <v/>
      </c>
      <c r="G64" s="151" t="str">
        <f aca="false">IF($B64="","",IF(AK64&gt;=DAY($F$3),cfg_DAYS_M,MIN(AK64,cfg_DAYS_M)))</f>
        <v/>
      </c>
      <c r="H64" s="151" t="str">
        <f aca="false">IF($B64="","",SUMIFS('الحركات الشهرية'!$D$6:$D$1005,'الحركات الشهرية'!$B$6:$B$1005,$B64,'الحركات الشهرية'!$A$6:$A$1005,$C$3))</f>
        <v/>
      </c>
      <c r="I64" s="151" t="str">
        <f aca="false">IF($B64="","",MIN(G64,IF(AND(AK64&gt;0,AN64&gt;=AK64),G64,AN64)+SUMIFS('الحركات الشهرية'!$E$6:$E$1005,'الحركات الشهرية'!$B$6:$B$1005,$B64,'الحركات الشهرية'!$A$6:$A$1005,$C$3)))</f>
        <v/>
      </c>
      <c r="J64" s="151" t="str">
        <f aca="false">IF($B64="","",MAX(0,G64-H64-I64))</f>
        <v/>
      </c>
      <c r="K64" s="111" t="str">
        <f aca="false">IF($B64="","",الموظفون!$L64*$J64/cfg_DAYS_M)</f>
        <v/>
      </c>
      <c r="L64" s="111" t="str">
        <f aca="false">IF($B64="","",الموظفون!$M64*$J64/cfg_DAYS_M)</f>
        <v/>
      </c>
      <c r="M64" s="111" t="str">
        <f aca="false">IF($B64="","",الموظفون!$N64*$J64/cfg_DAYS_M)</f>
        <v/>
      </c>
      <c r="N64" s="111" t="str">
        <f aca="false">IF($B64="","",الموظفون!$O64*$J64/cfg_DAYS_M)</f>
        <v/>
      </c>
      <c r="O64" s="151" t="str">
        <f aca="false">IF($B64="","",SUMIFS('الحركات الشهرية'!$F$6:$F$1005,'الحركات الشهرية'!$B$6:$B$1005,$B64,'الحركات الشهرية'!$A$6:$A$1005,$C$3))</f>
        <v/>
      </c>
      <c r="P64" s="111" t="str">
        <f aca="false">IF($B64="","",O64*(الموظفون!$P64+الموظفون!$L64*cfg_OT_P)/cfg_DAYS_M/cfg_HRS)</f>
        <v/>
      </c>
      <c r="Q64" s="111" t="str">
        <f aca="false">IF($B64="","",SUMIFS('الحركات الشهرية'!$G$6:$G$1005,'الحركات الشهرية'!$B$6:$B$1005,$B64,'الحركات الشهرية'!$A$6:$A$1005,$C$3))</f>
        <v/>
      </c>
      <c r="R64" s="111" t="str">
        <f aca="false">IF($B64="","",SUMIFS('الحركات الشهرية'!$H$6:$H$1005,'الحركات الشهرية'!$B$6:$B$1005,$B64,'الحركات الشهرية'!$A$6:$A$1005,$C$3))</f>
        <v/>
      </c>
      <c r="S64" s="111" t="str">
        <f aca="false">IF($B64="","",SUMIFS('سجل الإجازات والحالات'!$N$6:$N$505,'سجل الإجازات والحالات'!$B$6:$B$505,$B64,'سجل الإجازات والحالات'!$O$6:$O$505,$C$3))</f>
        <v/>
      </c>
      <c r="T64" s="152" t="str">
        <f aca="false">IF($B64="","",SUM(K64:N64)+SUM(P64:S64))</f>
        <v/>
      </c>
      <c r="U64" s="111" t="str">
        <f aca="false">IF($B64="","",الموظفون!$S64*IF(E64="سعودي",cfg_G_SE,cfg_G_NE)*G64/cfg_DAYS_M)</f>
        <v/>
      </c>
      <c r="V64" s="111" t="str">
        <f aca="false">IF($B64="","",SUMIFS('الحركات الشهرية'!$I$6:$I$1005,'الحركات الشهرية'!$B$6:$B$1005,$B64,'الحركات الشهرية'!$A$6:$A$1005,$C$3))</f>
        <v/>
      </c>
      <c r="W64" s="111" t="str">
        <f aca="false">IF($B64="","",SUMIFS('الحركات الشهرية'!$J$6:$J$1005,'الحركات الشهرية'!$B$6:$B$1005,$B64,'الحركات الشهرية'!$A$6:$A$1005,$C$3))</f>
        <v/>
      </c>
      <c r="X64" s="111" t="str">
        <f aca="false">IF($B64="","",SUM(U64:W64))</f>
        <v/>
      </c>
      <c r="Y64" s="153" t="str">
        <f aca="false">IF($B64="","",T64-X64)</f>
        <v/>
      </c>
      <c r="Z64" s="111" t="str">
        <f aca="false">IF($B64="","",الموظفون!$S64*IF(E64="سعودي",cfg_G_SR,cfg_G_NR)*G64/cfg_DAYS_M)</f>
        <v/>
      </c>
      <c r="AA64" s="111" t="str">
        <f aca="false">IF($B64="","",الموظفون!$Q64*(cfg_EOS_R1*(MIN(AH64,cfg_EOS_TH)-MIN(AI64,cfg_EOS_TH))+cfg_EOS_R2*(MAX(AH64-cfg_EOS_TH,0)-MAX(AI64-cfg_EOS_TH,0))))</f>
        <v/>
      </c>
      <c r="AB64" s="111" t="str">
        <f aca="false">IF($B64="","",IF(الموظفون!$T64&lt;&gt;"",الموظفون!$T64,IF(AH64&gt;=cfg_LV_TH,cfg_LV_D2,cfg_LV_D1))/cfg_DAYS_Y*AJ64*الموظفون!$R64/cfg_DAYS_M)</f>
        <v/>
      </c>
      <c r="AC64" s="111" t="str">
        <f aca="false">IF($B64="","",IF(AND(الموظفون!$U64="نعم",N(الموظفون!$W64)&gt;0),الموظفون!$V64/الموظفون!$W64*12/cfg_DAYS_Y*AJ64,0))</f>
        <v/>
      </c>
      <c r="AD64" s="111" t="str">
        <f aca="false">IF($B64="","",(IF(الموظفون!$X64&lt;&gt;"",الموظفون!$X64,IF(الموظفون!$E64="غير سعودي",cfg_IQ,0))+IF(الموظفون!$Y64&lt;&gt;"",الموظفون!$Y64,IF(الموظفون!$E64="غير سعودي",cfg_WP,0)))/12*G64/cfg_DAYS_M)</f>
        <v/>
      </c>
      <c r="AE64" s="111" t="str">
        <f aca="false">IF($B64="","",IF(الموظفون!$Z64&lt;&gt;"",الموظفون!$Z64,cfg_MED)/12*G64/cfg_DAYS_M)</f>
        <v/>
      </c>
      <c r="AF64" s="111" t="str">
        <f aca="false">IF($B64="","",N(الموظفون!$AA64)/12*G64/cfg_DAYS_M)</f>
        <v/>
      </c>
      <c r="AG64" s="154" t="str">
        <f aca="false">IF($B64="","",T64+SUM(Z64:AF64))</f>
        <v/>
      </c>
      <c r="AH64" s="155" t="str">
        <f aca="false">IF($B64="","",MAX(0,IF(OR(الموظفون!$AE64="",الموظفون!$AE64&gt;$F$3),$F$3,الموظفون!$AE64)-الموظفون!$H64+1-SUMIFS('سجل الإجازات والحالات'!$AO$6:$AO$505,'سجل الإجازات والحالات'!$B$6:$B$505,$B64))/cfg_DAYS_Y)</f>
        <v/>
      </c>
      <c r="AI64" s="155" t="str">
        <f aca="false">IF($B64="","",MAX(0,IF(OR(الموظفون!$AE64="",الموظفون!$AE64&gt;($E$3-1)),($E$3-1),الموظفون!$AE64)-الموظفون!$H64+1-SUMIFS('سجل الإجازات والحالات'!$AN$6:$AN$505,'سجل الإجازات والحالات'!$B$6:$B$505,$B64))/cfg_DAYS_Y)</f>
        <v/>
      </c>
      <c r="AJ64" s="65" t="str">
        <f aca="false">IF($B64="","",MAX(0,AK64-(SUMIFS('سجل الإجازات والحالات'!$AO$6:$AO$505,'سجل الإجازات والحالات'!$B$6:$B$505,$B64)-SUMIFS('سجل الإجازات والحالات'!$AN$6:$AN$505,'سجل الإجازات والحالات'!$B$6:$B$505,$B64))))</f>
        <v/>
      </c>
      <c r="AK64" s="65" t="str">
        <f aca="false">IF($B64="","",MAX(0,IF(OR(الموظفون!$AE64="",الموظفون!$AE64&gt;$F$3),$F$3,الموظفون!$AE64)-MAX($E$3,الموظفون!$H64)+1))</f>
        <v/>
      </c>
      <c r="AL64" s="151" t="str">
        <f aca="false">IF($B64="","",SUMIFS('سجل الإجازات والحالات'!$BA$6:$BA$505,'سجل الإجازات والحالات'!$B$6:$B$505,$B64)+SUMIFS('الحركات الشهرية'!$K$6:$K$1005,'الحركات الشهرية'!$B$6:$B$1005,$B64,'الحركات الشهرية'!$A$6:$A$1005,$C$3))</f>
        <v/>
      </c>
      <c r="AM64" s="111" t="str">
        <f aca="false">IF($B64="","",AL64*الموظفون!$R64/cfg_DAYS_M+S64)</f>
        <v/>
      </c>
      <c r="AN64" s="151" t="str">
        <f aca="false">IF($B64="","",SUMIFS('سجل الإجازات والحالات'!$AC$6:$AC$505,'سجل الإجازات والحالات'!$B$6:$B$505,$B64))</f>
        <v/>
      </c>
    </row>
    <row r="65" customFormat="false" ht="15" hidden="false" customHeight="false" outlineLevel="0" collapsed="false">
      <c r="A65" s="115" t="str">
        <f aca="false">IF($B65="","",الموظفون!$A65)</f>
        <v/>
      </c>
      <c r="B65" s="117" t="str">
        <f aca="false">IF(الموظفون!$B65="","",الموظفون!$B65)</f>
        <v/>
      </c>
      <c r="C65" s="117" t="str">
        <f aca="false">IF($B65="","",الموظفون!$C65)</f>
        <v/>
      </c>
      <c r="D65" s="117" t="str">
        <f aca="false">IF($B65="","",الموظفون!$F65)</f>
        <v/>
      </c>
      <c r="E65" s="117" t="str">
        <f aca="false">IF($B65="","",الموظفون!$E65)</f>
        <v/>
      </c>
      <c r="F65" s="117" t="str">
        <f aca="false">IF($B65="","",IF(AK65=0,IF(AND(الموظفون!$AE65&lt;&gt;"",الموظفون!$AE65&lt;$E$3),"✖ منتهي الخدمة","⏳ لم يباشر"),IF(S65&gt;0,"✈ راتب إجازة مقدم",IF(J65=0,"⛔ بدون راتب هذا الشهر",IF(I65&gt;0,"✈ خصم "&amp;ROUND(I65,2)&amp;" يوم بدون أجر",IF(AL65&gt;0,"🌴 إجازة سنوية "&amp;ROUND(AL65,2)&amp;" يوم",IF(H65&gt;0,"⚠ غياب "&amp;ROUND(H65,2)&amp;" يوم","✔ على رأس العمل")))))))</f>
        <v/>
      </c>
      <c r="G65" s="156" t="str">
        <f aca="false">IF($B65="","",IF(AK65&gt;=DAY($F$3),cfg_DAYS_M,MIN(AK65,cfg_DAYS_M)))</f>
        <v/>
      </c>
      <c r="H65" s="156" t="str">
        <f aca="false">IF($B65="","",SUMIFS('الحركات الشهرية'!$D$6:$D$1005,'الحركات الشهرية'!$B$6:$B$1005,$B65,'الحركات الشهرية'!$A$6:$A$1005,$C$3))</f>
        <v/>
      </c>
      <c r="I65" s="156" t="str">
        <f aca="false">IF($B65="","",MIN(G65,IF(AND(AK65&gt;0,AN65&gt;=AK65),G65,AN65)+SUMIFS('الحركات الشهرية'!$E$6:$E$1005,'الحركات الشهرية'!$B$6:$B$1005,$B65,'الحركات الشهرية'!$A$6:$A$1005,$C$3)))</f>
        <v/>
      </c>
      <c r="J65" s="156" t="str">
        <f aca="false">IF($B65="","",MAX(0,G65-H65-I65))</f>
        <v/>
      </c>
      <c r="K65" s="116" t="str">
        <f aca="false">IF($B65="","",الموظفون!$L65*$J65/cfg_DAYS_M)</f>
        <v/>
      </c>
      <c r="L65" s="116" t="str">
        <f aca="false">IF($B65="","",الموظفون!$M65*$J65/cfg_DAYS_M)</f>
        <v/>
      </c>
      <c r="M65" s="116" t="str">
        <f aca="false">IF($B65="","",الموظفون!$N65*$J65/cfg_DAYS_M)</f>
        <v/>
      </c>
      <c r="N65" s="116" t="str">
        <f aca="false">IF($B65="","",الموظفون!$O65*$J65/cfg_DAYS_M)</f>
        <v/>
      </c>
      <c r="O65" s="156" t="str">
        <f aca="false">IF($B65="","",SUMIFS('الحركات الشهرية'!$F$6:$F$1005,'الحركات الشهرية'!$B$6:$B$1005,$B65,'الحركات الشهرية'!$A$6:$A$1005,$C$3))</f>
        <v/>
      </c>
      <c r="P65" s="116" t="str">
        <f aca="false">IF($B65="","",O65*(الموظفون!$P65+الموظفون!$L65*cfg_OT_P)/cfg_DAYS_M/cfg_HRS)</f>
        <v/>
      </c>
      <c r="Q65" s="116" t="str">
        <f aca="false">IF($B65="","",SUMIFS('الحركات الشهرية'!$G$6:$G$1005,'الحركات الشهرية'!$B$6:$B$1005,$B65,'الحركات الشهرية'!$A$6:$A$1005,$C$3))</f>
        <v/>
      </c>
      <c r="R65" s="116" t="str">
        <f aca="false">IF($B65="","",SUMIFS('الحركات الشهرية'!$H$6:$H$1005,'الحركات الشهرية'!$B$6:$B$1005,$B65,'الحركات الشهرية'!$A$6:$A$1005,$C$3))</f>
        <v/>
      </c>
      <c r="S65" s="116" t="str">
        <f aca="false">IF($B65="","",SUMIFS('سجل الإجازات والحالات'!$N$6:$N$505,'سجل الإجازات والحالات'!$B$6:$B$505,$B65,'سجل الإجازات والحالات'!$O$6:$O$505,$C$3))</f>
        <v/>
      </c>
      <c r="T65" s="157" t="str">
        <f aca="false">IF($B65="","",SUM(K65:N65)+SUM(P65:S65))</f>
        <v/>
      </c>
      <c r="U65" s="116" t="str">
        <f aca="false">IF($B65="","",الموظفون!$S65*IF(E65="سعودي",cfg_G_SE,cfg_G_NE)*G65/cfg_DAYS_M)</f>
        <v/>
      </c>
      <c r="V65" s="116" t="str">
        <f aca="false">IF($B65="","",SUMIFS('الحركات الشهرية'!$I$6:$I$1005,'الحركات الشهرية'!$B$6:$B$1005,$B65,'الحركات الشهرية'!$A$6:$A$1005,$C$3))</f>
        <v/>
      </c>
      <c r="W65" s="116" t="str">
        <f aca="false">IF($B65="","",SUMIFS('الحركات الشهرية'!$J$6:$J$1005,'الحركات الشهرية'!$B$6:$B$1005,$B65,'الحركات الشهرية'!$A$6:$A$1005,$C$3))</f>
        <v/>
      </c>
      <c r="X65" s="116" t="str">
        <f aca="false">IF($B65="","",SUM(U65:W65))</f>
        <v/>
      </c>
      <c r="Y65" s="158" t="str">
        <f aca="false">IF($B65="","",T65-X65)</f>
        <v/>
      </c>
      <c r="Z65" s="116" t="str">
        <f aca="false">IF($B65="","",الموظفون!$S65*IF(E65="سعودي",cfg_G_SR,cfg_G_NR)*G65/cfg_DAYS_M)</f>
        <v/>
      </c>
      <c r="AA65" s="116" t="str">
        <f aca="false">IF($B65="","",الموظفون!$Q65*(cfg_EOS_R1*(MIN(AH65,cfg_EOS_TH)-MIN(AI65,cfg_EOS_TH))+cfg_EOS_R2*(MAX(AH65-cfg_EOS_TH,0)-MAX(AI65-cfg_EOS_TH,0))))</f>
        <v/>
      </c>
      <c r="AB65" s="116" t="str">
        <f aca="false">IF($B65="","",IF(الموظفون!$T65&lt;&gt;"",الموظفون!$T65,IF(AH65&gt;=cfg_LV_TH,cfg_LV_D2,cfg_LV_D1))/cfg_DAYS_Y*AJ65*الموظفون!$R65/cfg_DAYS_M)</f>
        <v/>
      </c>
      <c r="AC65" s="116" t="str">
        <f aca="false">IF($B65="","",IF(AND(الموظفون!$U65="نعم",N(الموظفون!$W65)&gt;0),الموظفون!$V65/الموظفون!$W65*12/cfg_DAYS_Y*AJ65,0))</f>
        <v/>
      </c>
      <c r="AD65" s="116" t="str">
        <f aca="false">IF($B65="","",(IF(الموظفون!$X65&lt;&gt;"",الموظفون!$X65,IF(الموظفون!$E65="غير سعودي",cfg_IQ,0))+IF(الموظفون!$Y65&lt;&gt;"",الموظفون!$Y65,IF(الموظفون!$E65="غير سعودي",cfg_WP,0)))/12*G65/cfg_DAYS_M)</f>
        <v/>
      </c>
      <c r="AE65" s="116" t="str">
        <f aca="false">IF($B65="","",IF(الموظفون!$Z65&lt;&gt;"",الموظفون!$Z65,cfg_MED)/12*G65/cfg_DAYS_M)</f>
        <v/>
      </c>
      <c r="AF65" s="116" t="str">
        <f aca="false">IF($B65="","",N(الموظفون!$AA65)/12*G65/cfg_DAYS_M)</f>
        <v/>
      </c>
      <c r="AG65" s="159" t="str">
        <f aca="false">IF($B65="","",T65+SUM(Z65:AF65))</f>
        <v/>
      </c>
      <c r="AH65" s="160" t="str">
        <f aca="false">IF($B65="","",MAX(0,IF(OR(الموظفون!$AE65="",الموظفون!$AE65&gt;$F$3),$F$3,الموظفون!$AE65)-الموظفون!$H65+1-SUMIFS('سجل الإجازات والحالات'!$AO$6:$AO$505,'سجل الإجازات والحالات'!$B$6:$B$505,$B65))/cfg_DAYS_Y)</f>
        <v/>
      </c>
      <c r="AI65" s="160" t="str">
        <f aca="false">IF($B65="","",MAX(0,IF(OR(الموظفون!$AE65="",الموظفون!$AE65&gt;($E$3-1)),($E$3-1),الموظفون!$AE65)-الموظفون!$H65+1-SUMIFS('سجل الإجازات والحالات'!$AN$6:$AN$505,'سجل الإجازات والحالات'!$B$6:$B$505,$B65))/cfg_DAYS_Y)</f>
        <v/>
      </c>
      <c r="AJ65" s="133" t="str">
        <f aca="false">IF($B65="","",MAX(0,AK65-(SUMIFS('سجل الإجازات والحالات'!$AO$6:$AO$505,'سجل الإجازات والحالات'!$B$6:$B$505,$B65)-SUMIFS('سجل الإجازات والحالات'!$AN$6:$AN$505,'سجل الإجازات والحالات'!$B$6:$B$505,$B65))))</f>
        <v/>
      </c>
      <c r="AK65" s="133" t="str">
        <f aca="false">IF($B65="","",MAX(0,IF(OR(الموظفون!$AE65="",الموظفون!$AE65&gt;$F$3),$F$3,الموظفون!$AE65)-MAX($E$3,الموظفون!$H65)+1))</f>
        <v/>
      </c>
      <c r="AL65" s="156" t="str">
        <f aca="false">IF($B65="","",SUMIFS('سجل الإجازات والحالات'!$BA$6:$BA$505,'سجل الإجازات والحالات'!$B$6:$B$505,$B65)+SUMIFS('الحركات الشهرية'!$K$6:$K$1005,'الحركات الشهرية'!$B$6:$B$1005,$B65,'الحركات الشهرية'!$A$6:$A$1005,$C$3))</f>
        <v/>
      </c>
      <c r="AM65" s="116" t="str">
        <f aca="false">IF($B65="","",AL65*الموظفون!$R65/cfg_DAYS_M+S65)</f>
        <v/>
      </c>
      <c r="AN65" s="156" t="str">
        <f aca="false">IF($B65="","",SUMIFS('سجل الإجازات والحالات'!$AC$6:$AC$505,'سجل الإجازات والحالات'!$B$6:$B$505,$B65))</f>
        <v/>
      </c>
    </row>
    <row r="66" customFormat="false" ht="15" hidden="false" customHeight="false" outlineLevel="0" collapsed="false">
      <c r="A66" s="106" t="str">
        <f aca="false">IF($B66="","",الموظفون!$A66)</f>
        <v/>
      </c>
      <c r="B66" s="114" t="str">
        <f aca="false">IF(الموظفون!$B66="","",الموظفون!$B66)</f>
        <v/>
      </c>
      <c r="C66" s="114" t="str">
        <f aca="false">IF($B66="","",الموظفون!$C66)</f>
        <v/>
      </c>
      <c r="D66" s="114" t="str">
        <f aca="false">IF($B66="","",الموظفون!$F66)</f>
        <v/>
      </c>
      <c r="E66" s="114" t="str">
        <f aca="false">IF($B66="","",الموظفون!$E66)</f>
        <v/>
      </c>
      <c r="F66" s="114" t="str">
        <f aca="false">IF($B66="","",IF(AK66=0,IF(AND(الموظفون!$AE66&lt;&gt;"",الموظفون!$AE66&lt;$E$3),"✖ منتهي الخدمة","⏳ لم يباشر"),IF(S66&gt;0,"✈ راتب إجازة مقدم",IF(J66=0,"⛔ بدون راتب هذا الشهر",IF(I66&gt;0,"✈ خصم "&amp;ROUND(I66,2)&amp;" يوم بدون أجر",IF(AL66&gt;0,"🌴 إجازة سنوية "&amp;ROUND(AL66,2)&amp;" يوم",IF(H66&gt;0,"⚠ غياب "&amp;ROUND(H66,2)&amp;" يوم","✔ على رأس العمل")))))))</f>
        <v/>
      </c>
      <c r="G66" s="151" t="str">
        <f aca="false">IF($B66="","",IF(AK66&gt;=DAY($F$3),cfg_DAYS_M,MIN(AK66,cfg_DAYS_M)))</f>
        <v/>
      </c>
      <c r="H66" s="151" t="str">
        <f aca="false">IF($B66="","",SUMIFS('الحركات الشهرية'!$D$6:$D$1005,'الحركات الشهرية'!$B$6:$B$1005,$B66,'الحركات الشهرية'!$A$6:$A$1005,$C$3))</f>
        <v/>
      </c>
      <c r="I66" s="151" t="str">
        <f aca="false">IF($B66="","",MIN(G66,IF(AND(AK66&gt;0,AN66&gt;=AK66),G66,AN66)+SUMIFS('الحركات الشهرية'!$E$6:$E$1005,'الحركات الشهرية'!$B$6:$B$1005,$B66,'الحركات الشهرية'!$A$6:$A$1005,$C$3)))</f>
        <v/>
      </c>
      <c r="J66" s="151" t="str">
        <f aca="false">IF($B66="","",MAX(0,G66-H66-I66))</f>
        <v/>
      </c>
      <c r="K66" s="111" t="str">
        <f aca="false">IF($B66="","",الموظفون!$L66*$J66/cfg_DAYS_M)</f>
        <v/>
      </c>
      <c r="L66" s="111" t="str">
        <f aca="false">IF($B66="","",الموظفون!$M66*$J66/cfg_DAYS_M)</f>
        <v/>
      </c>
      <c r="M66" s="111" t="str">
        <f aca="false">IF($B66="","",الموظفون!$N66*$J66/cfg_DAYS_M)</f>
        <v/>
      </c>
      <c r="N66" s="111" t="str">
        <f aca="false">IF($B66="","",الموظفون!$O66*$J66/cfg_DAYS_M)</f>
        <v/>
      </c>
      <c r="O66" s="151" t="str">
        <f aca="false">IF($B66="","",SUMIFS('الحركات الشهرية'!$F$6:$F$1005,'الحركات الشهرية'!$B$6:$B$1005,$B66,'الحركات الشهرية'!$A$6:$A$1005,$C$3))</f>
        <v/>
      </c>
      <c r="P66" s="111" t="str">
        <f aca="false">IF($B66="","",O66*(الموظفون!$P66+الموظفون!$L66*cfg_OT_P)/cfg_DAYS_M/cfg_HRS)</f>
        <v/>
      </c>
      <c r="Q66" s="111" t="str">
        <f aca="false">IF($B66="","",SUMIFS('الحركات الشهرية'!$G$6:$G$1005,'الحركات الشهرية'!$B$6:$B$1005,$B66,'الحركات الشهرية'!$A$6:$A$1005,$C$3))</f>
        <v/>
      </c>
      <c r="R66" s="111" t="str">
        <f aca="false">IF($B66="","",SUMIFS('الحركات الشهرية'!$H$6:$H$1005,'الحركات الشهرية'!$B$6:$B$1005,$B66,'الحركات الشهرية'!$A$6:$A$1005,$C$3))</f>
        <v/>
      </c>
      <c r="S66" s="111" t="str">
        <f aca="false">IF($B66="","",SUMIFS('سجل الإجازات والحالات'!$N$6:$N$505,'سجل الإجازات والحالات'!$B$6:$B$505,$B66,'سجل الإجازات والحالات'!$O$6:$O$505,$C$3))</f>
        <v/>
      </c>
      <c r="T66" s="152" t="str">
        <f aca="false">IF($B66="","",SUM(K66:N66)+SUM(P66:S66))</f>
        <v/>
      </c>
      <c r="U66" s="111" t="str">
        <f aca="false">IF($B66="","",الموظفون!$S66*IF(E66="سعودي",cfg_G_SE,cfg_G_NE)*G66/cfg_DAYS_M)</f>
        <v/>
      </c>
      <c r="V66" s="111" t="str">
        <f aca="false">IF($B66="","",SUMIFS('الحركات الشهرية'!$I$6:$I$1005,'الحركات الشهرية'!$B$6:$B$1005,$B66,'الحركات الشهرية'!$A$6:$A$1005,$C$3))</f>
        <v/>
      </c>
      <c r="W66" s="111" t="str">
        <f aca="false">IF($B66="","",SUMIFS('الحركات الشهرية'!$J$6:$J$1005,'الحركات الشهرية'!$B$6:$B$1005,$B66,'الحركات الشهرية'!$A$6:$A$1005,$C$3))</f>
        <v/>
      </c>
      <c r="X66" s="111" t="str">
        <f aca="false">IF($B66="","",SUM(U66:W66))</f>
        <v/>
      </c>
      <c r="Y66" s="153" t="str">
        <f aca="false">IF($B66="","",T66-X66)</f>
        <v/>
      </c>
      <c r="Z66" s="111" t="str">
        <f aca="false">IF($B66="","",الموظفون!$S66*IF(E66="سعودي",cfg_G_SR,cfg_G_NR)*G66/cfg_DAYS_M)</f>
        <v/>
      </c>
      <c r="AA66" s="111" t="str">
        <f aca="false">IF($B66="","",الموظفون!$Q66*(cfg_EOS_R1*(MIN(AH66,cfg_EOS_TH)-MIN(AI66,cfg_EOS_TH))+cfg_EOS_R2*(MAX(AH66-cfg_EOS_TH,0)-MAX(AI66-cfg_EOS_TH,0))))</f>
        <v/>
      </c>
      <c r="AB66" s="111" t="str">
        <f aca="false">IF($B66="","",IF(الموظفون!$T66&lt;&gt;"",الموظفون!$T66,IF(AH66&gt;=cfg_LV_TH,cfg_LV_D2,cfg_LV_D1))/cfg_DAYS_Y*AJ66*الموظفون!$R66/cfg_DAYS_M)</f>
        <v/>
      </c>
      <c r="AC66" s="111" t="str">
        <f aca="false">IF($B66="","",IF(AND(الموظفون!$U66="نعم",N(الموظفون!$W66)&gt;0),الموظفون!$V66/الموظفون!$W66*12/cfg_DAYS_Y*AJ66,0))</f>
        <v/>
      </c>
      <c r="AD66" s="111" t="str">
        <f aca="false">IF($B66="","",(IF(الموظفون!$X66&lt;&gt;"",الموظفون!$X66,IF(الموظفون!$E66="غير سعودي",cfg_IQ,0))+IF(الموظفون!$Y66&lt;&gt;"",الموظفون!$Y66,IF(الموظفون!$E66="غير سعودي",cfg_WP,0)))/12*G66/cfg_DAYS_M)</f>
        <v/>
      </c>
      <c r="AE66" s="111" t="str">
        <f aca="false">IF($B66="","",IF(الموظفون!$Z66&lt;&gt;"",الموظفون!$Z66,cfg_MED)/12*G66/cfg_DAYS_M)</f>
        <v/>
      </c>
      <c r="AF66" s="111" t="str">
        <f aca="false">IF($B66="","",N(الموظفون!$AA66)/12*G66/cfg_DAYS_M)</f>
        <v/>
      </c>
      <c r="AG66" s="154" t="str">
        <f aca="false">IF($B66="","",T66+SUM(Z66:AF66))</f>
        <v/>
      </c>
      <c r="AH66" s="155" t="str">
        <f aca="false">IF($B66="","",MAX(0,IF(OR(الموظفون!$AE66="",الموظفون!$AE66&gt;$F$3),$F$3,الموظفون!$AE66)-الموظفون!$H66+1-SUMIFS('سجل الإجازات والحالات'!$AO$6:$AO$505,'سجل الإجازات والحالات'!$B$6:$B$505,$B66))/cfg_DAYS_Y)</f>
        <v/>
      </c>
      <c r="AI66" s="155" t="str">
        <f aca="false">IF($B66="","",MAX(0,IF(OR(الموظفون!$AE66="",الموظفون!$AE66&gt;($E$3-1)),($E$3-1),الموظفون!$AE66)-الموظفون!$H66+1-SUMIFS('سجل الإجازات والحالات'!$AN$6:$AN$505,'سجل الإجازات والحالات'!$B$6:$B$505,$B66))/cfg_DAYS_Y)</f>
        <v/>
      </c>
      <c r="AJ66" s="65" t="str">
        <f aca="false">IF($B66="","",MAX(0,AK66-(SUMIFS('سجل الإجازات والحالات'!$AO$6:$AO$505,'سجل الإجازات والحالات'!$B$6:$B$505,$B66)-SUMIFS('سجل الإجازات والحالات'!$AN$6:$AN$505,'سجل الإجازات والحالات'!$B$6:$B$505,$B66))))</f>
        <v/>
      </c>
      <c r="AK66" s="65" t="str">
        <f aca="false">IF($B66="","",MAX(0,IF(OR(الموظفون!$AE66="",الموظفون!$AE66&gt;$F$3),$F$3,الموظفون!$AE66)-MAX($E$3,الموظفون!$H66)+1))</f>
        <v/>
      </c>
      <c r="AL66" s="151" t="str">
        <f aca="false">IF($B66="","",SUMIFS('سجل الإجازات والحالات'!$BA$6:$BA$505,'سجل الإجازات والحالات'!$B$6:$B$505,$B66)+SUMIFS('الحركات الشهرية'!$K$6:$K$1005,'الحركات الشهرية'!$B$6:$B$1005,$B66,'الحركات الشهرية'!$A$6:$A$1005,$C$3))</f>
        <v/>
      </c>
      <c r="AM66" s="111" t="str">
        <f aca="false">IF($B66="","",AL66*الموظفون!$R66/cfg_DAYS_M+S66)</f>
        <v/>
      </c>
      <c r="AN66" s="151" t="str">
        <f aca="false">IF($B66="","",SUMIFS('سجل الإجازات والحالات'!$AC$6:$AC$505,'سجل الإجازات والحالات'!$B$6:$B$505,$B66))</f>
        <v/>
      </c>
    </row>
    <row r="67" customFormat="false" ht="15" hidden="false" customHeight="false" outlineLevel="0" collapsed="false">
      <c r="A67" s="115" t="str">
        <f aca="false">IF($B67="","",الموظفون!$A67)</f>
        <v/>
      </c>
      <c r="B67" s="117" t="str">
        <f aca="false">IF(الموظفون!$B67="","",الموظفون!$B67)</f>
        <v/>
      </c>
      <c r="C67" s="117" t="str">
        <f aca="false">IF($B67="","",الموظفون!$C67)</f>
        <v/>
      </c>
      <c r="D67" s="117" t="str">
        <f aca="false">IF($B67="","",الموظفون!$F67)</f>
        <v/>
      </c>
      <c r="E67" s="117" t="str">
        <f aca="false">IF($B67="","",الموظفون!$E67)</f>
        <v/>
      </c>
      <c r="F67" s="117" t="str">
        <f aca="false">IF($B67="","",IF(AK67=0,IF(AND(الموظفون!$AE67&lt;&gt;"",الموظفون!$AE67&lt;$E$3),"✖ منتهي الخدمة","⏳ لم يباشر"),IF(S67&gt;0,"✈ راتب إجازة مقدم",IF(J67=0,"⛔ بدون راتب هذا الشهر",IF(I67&gt;0,"✈ خصم "&amp;ROUND(I67,2)&amp;" يوم بدون أجر",IF(AL67&gt;0,"🌴 إجازة سنوية "&amp;ROUND(AL67,2)&amp;" يوم",IF(H67&gt;0,"⚠ غياب "&amp;ROUND(H67,2)&amp;" يوم","✔ على رأس العمل")))))))</f>
        <v/>
      </c>
      <c r="G67" s="156" t="str">
        <f aca="false">IF($B67="","",IF(AK67&gt;=DAY($F$3),cfg_DAYS_M,MIN(AK67,cfg_DAYS_M)))</f>
        <v/>
      </c>
      <c r="H67" s="156" t="str">
        <f aca="false">IF($B67="","",SUMIFS('الحركات الشهرية'!$D$6:$D$1005,'الحركات الشهرية'!$B$6:$B$1005,$B67,'الحركات الشهرية'!$A$6:$A$1005,$C$3))</f>
        <v/>
      </c>
      <c r="I67" s="156" t="str">
        <f aca="false">IF($B67="","",MIN(G67,IF(AND(AK67&gt;0,AN67&gt;=AK67),G67,AN67)+SUMIFS('الحركات الشهرية'!$E$6:$E$1005,'الحركات الشهرية'!$B$6:$B$1005,$B67,'الحركات الشهرية'!$A$6:$A$1005,$C$3)))</f>
        <v/>
      </c>
      <c r="J67" s="156" t="str">
        <f aca="false">IF($B67="","",MAX(0,G67-H67-I67))</f>
        <v/>
      </c>
      <c r="K67" s="116" t="str">
        <f aca="false">IF($B67="","",الموظفون!$L67*$J67/cfg_DAYS_M)</f>
        <v/>
      </c>
      <c r="L67" s="116" t="str">
        <f aca="false">IF($B67="","",الموظفون!$M67*$J67/cfg_DAYS_M)</f>
        <v/>
      </c>
      <c r="M67" s="116" t="str">
        <f aca="false">IF($B67="","",الموظفون!$N67*$J67/cfg_DAYS_M)</f>
        <v/>
      </c>
      <c r="N67" s="116" t="str">
        <f aca="false">IF($B67="","",الموظفون!$O67*$J67/cfg_DAYS_M)</f>
        <v/>
      </c>
      <c r="O67" s="156" t="str">
        <f aca="false">IF($B67="","",SUMIFS('الحركات الشهرية'!$F$6:$F$1005,'الحركات الشهرية'!$B$6:$B$1005,$B67,'الحركات الشهرية'!$A$6:$A$1005,$C$3))</f>
        <v/>
      </c>
      <c r="P67" s="116" t="str">
        <f aca="false">IF($B67="","",O67*(الموظفون!$P67+الموظفون!$L67*cfg_OT_P)/cfg_DAYS_M/cfg_HRS)</f>
        <v/>
      </c>
      <c r="Q67" s="116" t="str">
        <f aca="false">IF($B67="","",SUMIFS('الحركات الشهرية'!$G$6:$G$1005,'الحركات الشهرية'!$B$6:$B$1005,$B67,'الحركات الشهرية'!$A$6:$A$1005,$C$3))</f>
        <v/>
      </c>
      <c r="R67" s="116" t="str">
        <f aca="false">IF($B67="","",SUMIFS('الحركات الشهرية'!$H$6:$H$1005,'الحركات الشهرية'!$B$6:$B$1005,$B67,'الحركات الشهرية'!$A$6:$A$1005,$C$3))</f>
        <v/>
      </c>
      <c r="S67" s="116" t="str">
        <f aca="false">IF($B67="","",SUMIFS('سجل الإجازات والحالات'!$N$6:$N$505,'سجل الإجازات والحالات'!$B$6:$B$505,$B67,'سجل الإجازات والحالات'!$O$6:$O$505,$C$3))</f>
        <v/>
      </c>
      <c r="T67" s="157" t="str">
        <f aca="false">IF($B67="","",SUM(K67:N67)+SUM(P67:S67))</f>
        <v/>
      </c>
      <c r="U67" s="116" t="str">
        <f aca="false">IF($B67="","",الموظفون!$S67*IF(E67="سعودي",cfg_G_SE,cfg_G_NE)*G67/cfg_DAYS_M)</f>
        <v/>
      </c>
      <c r="V67" s="116" t="str">
        <f aca="false">IF($B67="","",SUMIFS('الحركات الشهرية'!$I$6:$I$1005,'الحركات الشهرية'!$B$6:$B$1005,$B67,'الحركات الشهرية'!$A$6:$A$1005,$C$3))</f>
        <v/>
      </c>
      <c r="W67" s="116" t="str">
        <f aca="false">IF($B67="","",SUMIFS('الحركات الشهرية'!$J$6:$J$1005,'الحركات الشهرية'!$B$6:$B$1005,$B67,'الحركات الشهرية'!$A$6:$A$1005,$C$3))</f>
        <v/>
      </c>
      <c r="X67" s="116" t="str">
        <f aca="false">IF($B67="","",SUM(U67:W67))</f>
        <v/>
      </c>
      <c r="Y67" s="158" t="str">
        <f aca="false">IF($B67="","",T67-X67)</f>
        <v/>
      </c>
      <c r="Z67" s="116" t="str">
        <f aca="false">IF($B67="","",الموظفون!$S67*IF(E67="سعودي",cfg_G_SR,cfg_G_NR)*G67/cfg_DAYS_M)</f>
        <v/>
      </c>
      <c r="AA67" s="116" t="str">
        <f aca="false">IF($B67="","",الموظفون!$Q67*(cfg_EOS_R1*(MIN(AH67,cfg_EOS_TH)-MIN(AI67,cfg_EOS_TH))+cfg_EOS_R2*(MAX(AH67-cfg_EOS_TH,0)-MAX(AI67-cfg_EOS_TH,0))))</f>
        <v/>
      </c>
      <c r="AB67" s="116" t="str">
        <f aca="false">IF($B67="","",IF(الموظفون!$T67&lt;&gt;"",الموظفون!$T67,IF(AH67&gt;=cfg_LV_TH,cfg_LV_D2,cfg_LV_D1))/cfg_DAYS_Y*AJ67*الموظفون!$R67/cfg_DAYS_M)</f>
        <v/>
      </c>
      <c r="AC67" s="116" t="str">
        <f aca="false">IF($B67="","",IF(AND(الموظفون!$U67="نعم",N(الموظفون!$W67)&gt;0),الموظفون!$V67/الموظفون!$W67*12/cfg_DAYS_Y*AJ67,0))</f>
        <v/>
      </c>
      <c r="AD67" s="116" t="str">
        <f aca="false">IF($B67="","",(IF(الموظفون!$X67&lt;&gt;"",الموظفون!$X67,IF(الموظفون!$E67="غير سعودي",cfg_IQ,0))+IF(الموظفون!$Y67&lt;&gt;"",الموظفون!$Y67,IF(الموظفون!$E67="غير سعودي",cfg_WP,0)))/12*G67/cfg_DAYS_M)</f>
        <v/>
      </c>
      <c r="AE67" s="116" t="str">
        <f aca="false">IF($B67="","",IF(الموظفون!$Z67&lt;&gt;"",الموظفون!$Z67,cfg_MED)/12*G67/cfg_DAYS_M)</f>
        <v/>
      </c>
      <c r="AF67" s="116" t="str">
        <f aca="false">IF($B67="","",N(الموظفون!$AA67)/12*G67/cfg_DAYS_M)</f>
        <v/>
      </c>
      <c r="AG67" s="159" t="str">
        <f aca="false">IF($B67="","",T67+SUM(Z67:AF67))</f>
        <v/>
      </c>
      <c r="AH67" s="160" t="str">
        <f aca="false">IF($B67="","",MAX(0,IF(OR(الموظفون!$AE67="",الموظفون!$AE67&gt;$F$3),$F$3,الموظفون!$AE67)-الموظفون!$H67+1-SUMIFS('سجل الإجازات والحالات'!$AO$6:$AO$505,'سجل الإجازات والحالات'!$B$6:$B$505,$B67))/cfg_DAYS_Y)</f>
        <v/>
      </c>
      <c r="AI67" s="160" t="str">
        <f aca="false">IF($B67="","",MAX(0,IF(OR(الموظفون!$AE67="",الموظفون!$AE67&gt;($E$3-1)),($E$3-1),الموظفون!$AE67)-الموظفون!$H67+1-SUMIFS('سجل الإجازات والحالات'!$AN$6:$AN$505,'سجل الإجازات والحالات'!$B$6:$B$505,$B67))/cfg_DAYS_Y)</f>
        <v/>
      </c>
      <c r="AJ67" s="133" t="str">
        <f aca="false">IF($B67="","",MAX(0,AK67-(SUMIFS('سجل الإجازات والحالات'!$AO$6:$AO$505,'سجل الإجازات والحالات'!$B$6:$B$505,$B67)-SUMIFS('سجل الإجازات والحالات'!$AN$6:$AN$505,'سجل الإجازات والحالات'!$B$6:$B$505,$B67))))</f>
        <v/>
      </c>
      <c r="AK67" s="133" t="str">
        <f aca="false">IF($B67="","",MAX(0,IF(OR(الموظفون!$AE67="",الموظفون!$AE67&gt;$F$3),$F$3,الموظفون!$AE67)-MAX($E$3,الموظفون!$H67)+1))</f>
        <v/>
      </c>
      <c r="AL67" s="156" t="str">
        <f aca="false">IF($B67="","",SUMIFS('سجل الإجازات والحالات'!$BA$6:$BA$505,'سجل الإجازات والحالات'!$B$6:$B$505,$B67)+SUMIFS('الحركات الشهرية'!$K$6:$K$1005,'الحركات الشهرية'!$B$6:$B$1005,$B67,'الحركات الشهرية'!$A$6:$A$1005,$C$3))</f>
        <v/>
      </c>
      <c r="AM67" s="116" t="str">
        <f aca="false">IF($B67="","",AL67*الموظفون!$R67/cfg_DAYS_M+S67)</f>
        <v/>
      </c>
      <c r="AN67" s="156" t="str">
        <f aca="false">IF($B67="","",SUMIFS('سجل الإجازات والحالات'!$AC$6:$AC$505,'سجل الإجازات والحالات'!$B$6:$B$505,$B67))</f>
        <v/>
      </c>
    </row>
    <row r="68" customFormat="false" ht="15" hidden="false" customHeight="false" outlineLevel="0" collapsed="false">
      <c r="A68" s="106" t="str">
        <f aca="false">IF($B68="","",الموظفون!$A68)</f>
        <v/>
      </c>
      <c r="B68" s="114" t="str">
        <f aca="false">IF(الموظفون!$B68="","",الموظفون!$B68)</f>
        <v/>
      </c>
      <c r="C68" s="114" t="str">
        <f aca="false">IF($B68="","",الموظفون!$C68)</f>
        <v/>
      </c>
      <c r="D68" s="114" t="str">
        <f aca="false">IF($B68="","",الموظفون!$F68)</f>
        <v/>
      </c>
      <c r="E68" s="114" t="str">
        <f aca="false">IF($B68="","",الموظفون!$E68)</f>
        <v/>
      </c>
      <c r="F68" s="114" t="str">
        <f aca="false">IF($B68="","",IF(AK68=0,IF(AND(الموظفون!$AE68&lt;&gt;"",الموظفون!$AE68&lt;$E$3),"✖ منتهي الخدمة","⏳ لم يباشر"),IF(S68&gt;0,"✈ راتب إجازة مقدم",IF(J68=0,"⛔ بدون راتب هذا الشهر",IF(I68&gt;0,"✈ خصم "&amp;ROUND(I68,2)&amp;" يوم بدون أجر",IF(AL68&gt;0,"🌴 إجازة سنوية "&amp;ROUND(AL68,2)&amp;" يوم",IF(H68&gt;0,"⚠ غياب "&amp;ROUND(H68,2)&amp;" يوم","✔ على رأس العمل")))))))</f>
        <v/>
      </c>
      <c r="G68" s="151" t="str">
        <f aca="false">IF($B68="","",IF(AK68&gt;=DAY($F$3),cfg_DAYS_M,MIN(AK68,cfg_DAYS_M)))</f>
        <v/>
      </c>
      <c r="H68" s="151" t="str">
        <f aca="false">IF($B68="","",SUMIFS('الحركات الشهرية'!$D$6:$D$1005,'الحركات الشهرية'!$B$6:$B$1005,$B68,'الحركات الشهرية'!$A$6:$A$1005,$C$3))</f>
        <v/>
      </c>
      <c r="I68" s="151" t="str">
        <f aca="false">IF($B68="","",MIN(G68,IF(AND(AK68&gt;0,AN68&gt;=AK68),G68,AN68)+SUMIFS('الحركات الشهرية'!$E$6:$E$1005,'الحركات الشهرية'!$B$6:$B$1005,$B68,'الحركات الشهرية'!$A$6:$A$1005,$C$3)))</f>
        <v/>
      </c>
      <c r="J68" s="151" t="str">
        <f aca="false">IF($B68="","",MAX(0,G68-H68-I68))</f>
        <v/>
      </c>
      <c r="K68" s="111" t="str">
        <f aca="false">IF($B68="","",الموظفون!$L68*$J68/cfg_DAYS_M)</f>
        <v/>
      </c>
      <c r="L68" s="111" t="str">
        <f aca="false">IF($B68="","",الموظفون!$M68*$J68/cfg_DAYS_M)</f>
        <v/>
      </c>
      <c r="M68" s="111" t="str">
        <f aca="false">IF($B68="","",الموظفون!$N68*$J68/cfg_DAYS_M)</f>
        <v/>
      </c>
      <c r="N68" s="111" t="str">
        <f aca="false">IF($B68="","",الموظفون!$O68*$J68/cfg_DAYS_M)</f>
        <v/>
      </c>
      <c r="O68" s="151" t="str">
        <f aca="false">IF($B68="","",SUMIFS('الحركات الشهرية'!$F$6:$F$1005,'الحركات الشهرية'!$B$6:$B$1005,$B68,'الحركات الشهرية'!$A$6:$A$1005,$C$3))</f>
        <v/>
      </c>
      <c r="P68" s="111" t="str">
        <f aca="false">IF($B68="","",O68*(الموظفون!$P68+الموظفون!$L68*cfg_OT_P)/cfg_DAYS_M/cfg_HRS)</f>
        <v/>
      </c>
      <c r="Q68" s="111" t="str">
        <f aca="false">IF($B68="","",SUMIFS('الحركات الشهرية'!$G$6:$G$1005,'الحركات الشهرية'!$B$6:$B$1005,$B68,'الحركات الشهرية'!$A$6:$A$1005,$C$3))</f>
        <v/>
      </c>
      <c r="R68" s="111" t="str">
        <f aca="false">IF($B68="","",SUMIFS('الحركات الشهرية'!$H$6:$H$1005,'الحركات الشهرية'!$B$6:$B$1005,$B68,'الحركات الشهرية'!$A$6:$A$1005,$C$3))</f>
        <v/>
      </c>
      <c r="S68" s="111" t="str">
        <f aca="false">IF($B68="","",SUMIFS('سجل الإجازات والحالات'!$N$6:$N$505,'سجل الإجازات والحالات'!$B$6:$B$505,$B68,'سجل الإجازات والحالات'!$O$6:$O$505,$C$3))</f>
        <v/>
      </c>
      <c r="T68" s="152" t="str">
        <f aca="false">IF($B68="","",SUM(K68:N68)+SUM(P68:S68))</f>
        <v/>
      </c>
      <c r="U68" s="111" t="str">
        <f aca="false">IF($B68="","",الموظفون!$S68*IF(E68="سعودي",cfg_G_SE,cfg_G_NE)*G68/cfg_DAYS_M)</f>
        <v/>
      </c>
      <c r="V68" s="111" t="str">
        <f aca="false">IF($B68="","",SUMIFS('الحركات الشهرية'!$I$6:$I$1005,'الحركات الشهرية'!$B$6:$B$1005,$B68,'الحركات الشهرية'!$A$6:$A$1005,$C$3))</f>
        <v/>
      </c>
      <c r="W68" s="111" t="str">
        <f aca="false">IF($B68="","",SUMIFS('الحركات الشهرية'!$J$6:$J$1005,'الحركات الشهرية'!$B$6:$B$1005,$B68,'الحركات الشهرية'!$A$6:$A$1005,$C$3))</f>
        <v/>
      </c>
      <c r="X68" s="111" t="str">
        <f aca="false">IF($B68="","",SUM(U68:W68))</f>
        <v/>
      </c>
      <c r="Y68" s="153" t="str">
        <f aca="false">IF($B68="","",T68-X68)</f>
        <v/>
      </c>
      <c r="Z68" s="111" t="str">
        <f aca="false">IF($B68="","",الموظفون!$S68*IF(E68="سعودي",cfg_G_SR,cfg_G_NR)*G68/cfg_DAYS_M)</f>
        <v/>
      </c>
      <c r="AA68" s="111" t="str">
        <f aca="false">IF($B68="","",الموظفون!$Q68*(cfg_EOS_R1*(MIN(AH68,cfg_EOS_TH)-MIN(AI68,cfg_EOS_TH))+cfg_EOS_R2*(MAX(AH68-cfg_EOS_TH,0)-MAX(AI68-cfg_EOS_TH,0))))</f>
        <v/>
      </c>
      <c r="AB68" s="111" t="str">
        <f aca="false">IF($B68="","",IF(الموظفون!$T68&lt;&gt;"",الموظفون!$T68,IF(AH68&gt;=cfg_LV_TH,cfg_LV_D2,cfg_LV_D1))/cfg_DAYS_Y*AJ68*الموظفون!$R68/cfg_DAYS_M)</f>
        <v/>
      </c>
      <c r="AC68" s="111" t="str">
        <f aca="false">IF($B68="","",IF(AND(الموظفون!$U68="نعم",N(الموظفون!$W68)&gt;0),الموظفون!$V68/الموظفون!$W68*12/cfg_DAYS_Y*AJ68,0))</f>
        <v/>
      </c>
      <c r="AD68" s="111" t="str">
        <f aca="false">IF($B68="","",(IF(الموظفون!$X68&lt;&gt;"",الموظفون!$X68,IF(الموظفون!$E68="غير سعودي",cfg_IQ,0))+IF(الموظفون!$Y68&lt;&gt;"",الموظفون!$Y68,IF(الموظفون!$E68="غير سعودي",cfg_WP,0)))/12*G68/cfg_DAYS_M)</f>
        <v/>
      </c>
      <c r="AE68" s="111" t="str">
        <f aca="false">IF($B68="","",IF(الموظفون!$Z68&lt;&gt;"",الموظفون!$Z68,cfg_MED)/12*G68/cfg_DAYS_M)</f>
        <v/>
      </c>
      <c r="AF68" s="111" t="str">
        <f aca="false">IF($B68="","",N(الموظفون!$AA68)/12*G68/cfg_DAYS_M)</f>
        <v/>
      </c>
      <c r="AG68" s="154" t="str">
        <f aca="false">IF($B68="","",T68+SUM(Z68:AF68))</f>
        <v/>
      </c>
      <c r="AH68" s="155" t="str">
        <f aca="false">IF($B68="","",MAX(0,IF(OR(الموظفون!$AE68="",الموظفون!$AE68&gt;$F$3),$F$3,الموظفون!$AE68)-الموظفون!$H68+1-SUMIFS('سجل الإجازات والحالات'!$AO$6:$AO$505,'سجل الإجازات والحالات'!$B$6:$B$505,$B68))/cfg_DAYS_Y)</f>
        <v/>
      </c>
      <c r="AI68" s="155" t="str">
        <f aca="false">IF($B68="","",MAX(0,IF(OR(الموظفون!$AE68="",الموظفون!$AE68&gt;($E$3-1)),($E$3-1),الموظفون!$AE68)-الموظفون!$H68+1-SUMIFS('سجل الإجازات والحالات'!$AN$6:$AN$505,'سجل الإجازات والحالات'!$B$6:$B$505,$B68))/cfg_DAYS_Y)</f>
        <v/>
      </c>
      <c r="AJ68" s="65" t="str">
        <f aca="false">IF($B68="","",MAX(0,AK68-(SUMIFS('سجل الإجازات والحالات'!$AO$6:$AO$505,'سجل الإجازات والحالات'!$B$6:$B$505,$B68)-SUMIFS('سجل الإجازات والحالات'!$AN$6:$AN$505,'سجل الإجازات والحالات'!$B$6:$B$505,$B68))))</f>
        <v/>
      </c>
      <c r="AK68" s="65" t="str">
        <f aca="false">IF($B68="","",MAX(0,IF(OR(الموظفون!$AE68="",الموظفون!$AE68&gt;$F$3),$F$3,الموظفون!$AE68)-MAX($E$3,الموظفون!$H68)+1))</f>
        <v/>
      </c>
      <c r="AL68" s="151" t="str">
        <f aca="false">IF($B68="","",SUMIFS('سجل الإجازات والحالات'!$BA$6:$BA$505,'سجل الإجازات والحالات'!$B$6:$B$505,$B68)+SUMIFS('الحركات الشهرية'!$K$6:$K$1005,'الحركات الشهرية'!$B$6:$B$1005,$B68,'الحركات الشهرية'!$A$6:$A$1005,$C$3))</f>
        <v/>
      </c>
      <c r="AM68" s="111" t="str">
        <f aca="false">IF($B68="","",AL68*الموظفون!$R68/cfg_DAYS_M+S68)</f>
        <v/>
      </c>
      <c r="AN68" s="151" t="str">
        <f aca="false">IF($B68="","",SUMIFS('سجل الإجازات والحالات'!$AC$6:$AC$505,'سجل الإجازات والحالات'!$B$6:$B$505,$B68))</f>
        <v/>
      </c>
    </row>
    <row r="69" customFormat="false" ht="15" hidden="false" customHeight="false" outlineLevel="0" collapsed="false">
      <c r="A69" s="115" t="str">
        <f aca="false">IF($B69="","",الموظفون!$A69)</f>
        <v/>
      </c>
      <c r="B69" s="117" t="str">
        <f aca="false">IF(الموظفون!$B69="","",الموظفون!$B69)</f>
        <v/>
      </c>
      <c r="C69" s="117" t="str">
        <f aca="false">IF($B69="","",الموظفون!$C69)</f>
        <v/>
      </c>
      <c r="D69" s="117" t="str">
        <f aca="false">IF($B69="","",الموظفون!$F69)</f>
        <v/>
      </c>
      <c r="E69" s="117" t="str">
        <f aca="false">IF($B69="","",الموظفون!$E69)</f>
        <v/>
      </c>
      <c r="F69" s="117" t="str">
        <f aca="false">IF($B69="","",IF(AK69=0,IF(AND(الموظفون!$AE69&lt;&gt;"",الموظفون!$AE69&lt;$E$3),"✖ منتهي الخدمة","⏳ لم يباشر"),IF(S69&gt;0,"✈ راتب إجازة مقدم",IF(J69=0,"⛔ بدون راتب هذا الشهر",IF(I69&gt;0,"✈ خصم "&amp;ROUND(I69,2)&amp;" يوم بدون أجر",IF(AL69&gt;0,"🌴 إجازة سنوية "&amp;ROUND(AL69,2)&amp;" يوم",IF(H69&gt;0,"⚠ غياب "&amp;ROUND(H69,2)&amp;" يوم","✔ على رأس العمل")))))))</f>
        <v/>
      </c>
      <c r="G69" s="156" t="str">
        <f aca="false">IF($B69="","",IF(AK69&gt;=DAY($F$3),cfg_DAYS_M,MIN(AK69,cfg_DAYS_M)))</f>
        <v/>
      </c>
      <c r="H69" s="156" t="str">
        <f aca="false">IF($B69="","",SUMIFS('الحركات الشهرية'!$D$6:$D$1005,'الحركات الشهرية'!$B$6:$B$1005,$B69,'الحركات الشهرية'!$A$6:$A$1005,$C$3))</f>
        <v/>
      </c>
      <c r="I69" s="156" t="str">
        <f aca="false">IF($B69="","",MIN(G69,IF(AND(AK69&gt;0,AN69&gt;=AK69),G69,AN69)+SUMIFS('الحركات الشهرية'!$E$6:$E$1005,'الحركات الشهرية'!$B$6:$B$1005,$B69,'الحركات الشهرية'!$A$6:$A$1005,$C$3)))</f>
        <v/>
      </c>
      <c r="J69" s="156" t="str">
        <f aca="false">IF($B69="","",MAX(0,G69-H69-I69))</f>
        <v/>
      </c>
      <c r="K69" s="116" t="str">
        <f aca="false">IF($B69="","",الموظفون!$L69*$J69/cfg_DAYS_M)</f>
        <v/>
      </c>
      <c r="L69" s="116" t="str">
        <f aca="false">IF($B69="","",الموظفون!$M69*$J69/cfg_DAYS_M)</f>
        <v/>
      </c>
      <c r="M69" s="116" t="str">
        <f aca="false">IF($B69="","",الموظفون!$N69*$J69/cfg_DAYS_M)</f>
        <v/>
      </c>
      <c r="N69" s="116" t="str">
        <f aca="false">IF($B69="","",الموظفون!$O69*$J69/cfg_DAYS_M)</f>
        <v/>
      </c>
      <c r="O69" s="156" t="str">
        <f aca="false">IF($B69="","",SUMIFS('الحركات الشهرية'!$F$6:$F$1005,'الحركات الشهرية'!$B$6:$B$1005,$B69,'الحركات الشهرية'!$A$6:$A$1005,$C$3))</f>
        <v/>
      </c>
      <c r="P69" s="116" t="str">
        <f aca="false">IF($B69="","",O69*(الموظفون!$P69+الموظفون!$L69*cfg_OT_P)/cfg_DAYS_M/cfg_HRS)</f>
        <v/>
      </c>
      <c r="Q69" s="116" t="str">
        <f aca="false">IF($B69="","",SUMIFS('الحركات الشهرية'!$G$6:$G$1005,'الحركات الشهرية'!$B$6:$B$1005,$B69,'الحركات الشهرية'!$A$6:$A$1005,$C$3))</f>
        <v/>
      </c>
      <c r="R69" s="116" t="str">
        <f aca="false">IF($B69="","",SUMIFS('الحركات الشهرية'!$H$6:$H$1005,'الحركات الشهرية'!$B$6:$B$1005,$B69,'الحركات الشهرية'!$A$6:$A$1005,$C$3))</f>
        <v/>
      </c>
      <c r="S69" s="116" t="str">
        <f aca="false">IF($B69="","",SUMIFS('سجل الإجازات والحالات'!$N$6:$N$505,'سجل الإجازات والحالات'!$B$6:$B$505,$B69,'سجل الإجازات والحالات'!$O$6:$O$505,$C$3))</f>
        <v/>
      </c>
      <c r="T69" s="157" t="str">
        <f aca="false">IF($B69="","",SUM(K69:N69)+SUM(P69:S69))</f>
        <v/>
      </c>
      <c r="U69" s="116" t="str">
        <f aca="false">IF($B69="","",الموظفون!$S69*IF(E69="سعودي",cfg_G_SE,cfg_G_NE)*G69/cfg_DAYS_M)</f>
        <v/>
      </c>
      <c r="V69" s="116" t="str">
        <f aca="false">IF($B69="","",SUMIFS('الحركات الشهرية'!$I$6:$I$1005,'الحركات الشهرية'!$B$6:$B$1005,$B69,'الحركات الشهرية'!$A$6:$A$1005,$C$3))</f>
        <v/>
      </c>
      <c r="W69" s="116" t="str">
        <f aca="false">IF($B69="","",SUMIFS('الحركات الشهرية'!$J$6:$J$1005,'الحركات الشهرية'!$B$6:$B$1005,$B69,'الحركات الشهرية'!$A$6:$A$1005,$C$3))</f>
        <v/>
      </c>
      <c r="X69" s="116" t="str">
        <f aca="false">IF($B69="","",SUM(U69:W69))</f>
        <v/>
      </c>
      <c r="Y69" s="158" t="str">
        <f aca="false">IF($B69="","",T69-X69)</f>
        <v/>
      </c>
      <c r="Z69" s="116" t="str">
        <f aca="false">IF($B69="","",الموظفون!$S69*IF(E69="سعودي",cfg_G_SR,cfg_G_NR)*G69/cfg_DAYS_M)</f>
        <v/>
      </c>
      <c r="AA69" s="116" t="str">
        <f aca="false">IF($B69="","",الموظفون!$Q69*(cfg_EOS_R1*(MIN(AH69,cfg_EOS_TH)-MIN(AI69,cfg_EOS_TH))+cfg_EOS_R2*(MAX(AH69-cfg_EOS_TH,0)-MAX(AI69-cfg_EOS_TH,0))))</f>
        <v/>
      </c>
      <c r="AB69" s="116" t="str">
        <f aca="false">IF($B69="","",IF(الموظفون!$T69&lt;&gt;"",الموظفون!$T69,IF(AH69&gt;=cfg_LV_TH,cfg_LV_D2,cfg_LV_D1))/cfg_DAYS_Y*AJ69*الموظفون!$R69/cfg_DAYS_M)</f>
        <v/>
      </c>
      <c r="AC69" s="116" t="str">
        <f aca="false">IF($B69="","",IF(AND(الموظفون!$U69="نعم",N(الموظفون!$W69)&gt;0),الموظفون!$V69/الموظفون!$W69*12/cfg_DAYS_Y*AJ69,0))</f>
        <v/>
      </c>
      <c r="AD69" s="116" t="str">
        <f aca="false">IF($B69="","",(IF(الموظفون!$X69&lt;&gt;"",الموظفون!$X69,IF(الموظفون!$E69="غير سعودي",cfg_IQ,0))+IF(الموظفون!$Y69&lt;&gt;"",الموظفون!$Y69,IF(الموظفون!$E69="غير سعودي",cfg_WP,0)))/12*G69/cfg_DAYS_M)</f>
        <v/>
      </c>
      <c r="AE69" s="116" t="str">
        <f aca="false">IF($B69="","",IF(الموظفون!$Z69&lt;&gt;"",الموظفون!$Z69,cfg_MED)/12*G69/cfg_DAYS_M)</f>
        <v/>
      </c>
      <c r="AF69" s="116" t="str">
        <f aca="false">IF($B69="","",N(الموظفون!$AA69)/12*G69/cfg_DAYS_M)</f>
        <v/>
      </c>
      <c r="AG69" s="159" t="str">
        <f aca="false">IF($B69="","",T69+SUM(Z69:AF69))</f>
        <v/>
      </c>
      <c r="AH69" s="160" t="str">
        <f aca="false">IF($B69="","",MAX(0,IF(OR(الموظفون!$AE69="",الموظفون!$AE69&gt;$F$3),$F$3,الموظفون!$AE69)-الموظفون!$H69+1-SUMIFS('سجل الإجازات والحالات'!$AO$6:$AO$505,'سجل الإجازات والحالات'!$B$6:$B$505,$B69))/cfg_DAYS_Y)</f>
        <v/>
      </c>
      <c r="AI69" s="160" t="str">
        <f aca="false">IF($B69="","",MAX(0,IF(OR(الموظفون!$AE69="",الموظفون!$AE69&gt;($E$3-1)),($E$3-1),الموظفون!$AE69)-الموظفون!$H69+1-SUMIFS('سجل الإجازات والحالات'!$AN$6:$AN$505,'سجل الإجازات والحالات'!$B$6:$B$505,$B69))/cfg_DAYS_Y)</f>
        <v/>
      </c>
      <c r="AJ69" s="133" t="str">
        <f aca="false">IF($B69="","",MAX(0,AK69-(SUMIFS('سجل الإجازات والحالات'!$AO$6:$AO$505,'سجل الإجازات والحالات'!$B$6:$B$505,$B69)-SUMIFS('سجل الإجازات والحالات'!$AN$6:$AN$505,'سجل الإجازات والحالات'!$B$6:$B$505,$B69))))</f>
        <v/>
      </c>
      <c r="AK69" s="133" t="str">
        <f aca="false">IF($B69="","",MAX(0,IF(OR(الموظفون!$AE69="",الموظفون!$AE69&gt;$F$3),$F$3,الموظفون!$AE69)-MAX($E$3,الموظفون!$H69)+1))</f>
        <v/>
      </c>
      <c r="AL69" s="156" t="str">
        <f aca="false">IF($B69="","",SUMIFS('سجل الإجازات والحالات'!$BA$6:$BA$505,'سجل الإجازات والحالات'!$B$6:$B$505,$B69)+SUMIFS('الحركات الشهرية'!$K$6:$K$1005,'الحركات الشهرية'!$B$6:$B$1005,$B69,'الحركات الشهرية'!$A$6:$A$1005,$C$3))</f>
        <v/>
      </c>
      <c r="AM69" s="116" t="str">
        <f aca="false">IF($B69="","",AL69*الموظفون!$R69/cfg_DAYS_M+S69)</f>
        <v/>
      </c>
      <c r="AN69" s="156" t="str">
        <f aca="false">IF($B69="","",SUMIFS('سجل الإجازات والحالات'!$AC$6:$AC$505,'سجل الإجازات والحالات'!$B$6:$B$505,$B69))</f>
        <v/>
      </c>
    </row>
    <row r="70" customFormat="false" ht="15" hidden="false" customHeight="false" outlineLevel="0" collapsed="false">
      <c r="A70" s="106" t="str">
        <f aca="false">IF($B70="","",الموظفون!$A70)</f>
        <v/>
      </c>
      <c r="B70" s="114" t="str">
        <f aca="false">IF(الموظفون!$B70="","",الموظفون!$B70)</f>
        <v/>
      </c>
      <c r="C70" s="114" t="str">
        <f aca="false">IF($B70="","",الموظفون!$C70)</f>
        <v/>
      </c>
      <c r="D70" s="114" t="str">
        <f aca="false">IF($B70="","",الموظفون!$F70)</f>
        <v/>
      </c>
      <c r="E70" s="114" t="str">
        <f aca="false">IF($B70="","",الموظفون!$E70)</f>
        <v/>
      </c>
      <c r="F70" s="114" t="str">
        <f aca="false">IF($B70="","",IF(AK70=0,IF(AND(الموظفون!$AE70&lt;&gt;"",الموظفون!$AE70&lt;$E$3),"✖ منتهي الخدمة","⏳ لم يباشر"),IF(S70&gt;0,"✈ راتب إجازة مقدم",IF(J70=0,"⛔ بدون راتب هذا الشهر",IF(I70&gt;0,"✈ خصم "&amp;ROUND(I70,2)&amp;" يوم بدون أجر",IF(AL70&gt;0,"🌴 إجازة سنوية "&amp;ROUND(AL70,2)&amp;" يوم",IF(H70&gt;0,"⚠ غياب "&amp;ROUND(H70,2)&amp;" يوم","✔ على رأس العمل")))))))</f>
        <v/>
      </c>
      <c r="G70" s="151" t="str">
        <f aca="false">IF($B70="","",IF(AK70&gt;=DAY($F$3),cfg_DAYS_M,MIN(AK70,cfg_DAYS_M)))</f>
        <v/>
      </c>
      <c r="H70" s="151" t="str">
        <f aca="false">IF($B70="","",SUMIFS('الحركات الشهرية'!$D$6:$D$1005,'الحركات الشهرية'!$B$6:$B$1005,$B70,'الحركات الشهرية'!$A$6:$A$1005,$C$3))</f>
        <v/>
      </c>
      <c r="I70" s="151" t="str">
        <f aca="false">IF($B70="","",MIN(G70,IF(AND(AK70&gt;0,AN70&gt;=AK70),G70,AN70)+SUMIFS('الحركات الشهرية'!$E$6:$E$1005,'الحركات الشهرية'!$B$6:$B$1005,$B70,'الحركات الشهرية'!$A$6:$A$1005,$C$3)))</f>
        <v/>
      </c>
      <c r="J70" s="151" t="str">
        <f aca="false">IF($B70="","",MAX(0,G70-H70-I70))</f>
        <v/>
      </c>
      <c r="K70" s="111" t="str">
        <f aca="false">IF($B70="","",الموظفون!$L70*$J70/cfg_DAYS_M)</f>
        <v/>
      </c>
      <c r="L70" s="111" t="str">
        <f aca="false">IF($B70="","",الموظفون!$M70*$J70/cfg_DAYS_M)</f>
        <v/>
      </c>
      <c r="M70" s="111" t="str">
        <f aca="false">IF($B70="","",الموظفون!$N70*$J70/cfg_DAYS_M)</f>
        <v/>
      </c>
      <c r="N70" s="111" t="str">
        <f aca="false">IF($B70="","",الموظفون!$O70*$J70/cfg_DAYS_M)</f>
        <v/>
      </c>
      <c r="O70" s="151" t="str">
        <f aca="false">IF($B70="","",SUMIFS('الحركات الشهرية'!$F$6:$F$1005,'الحركات الشهرية'!$B$6:$B$1005,$B70,'الحركات الشهرية'!$A$6:$A$1005,$C$3))</f>
        <v/>
      </c>
      <c r="P70" s="111" t="str">
        <f aca="false">IF($B70="","",O70*(الموظفون!$P70+الموظفون!$L70*cfg_OT_P)/cfg_DAYS_M/cfg_HRS)</f>
        <v/>
      </c>
      <c r="Q70" s="111" t="str">
        <f aca="false">IF($B70="","",SUMIFS('الحركات الشهرية'!$G$6:$G$1005,'الحركات الشهرية'!$B$6:$B$1005,$B70,'الحركات الشهرية'!$A$6:$A$1005,$C$3))</f>
        <v/>
      </c>
      <c r="R70" s="111" t="str">
        <f aca="false">IF($B70="","",SUMIFS('الحركات الشهرية'!$H$6:$H$1005,'الحركات الشهرية'!$B$6:$B$1005,$B70,'الحركات الشهرية'!$A$6:$A$1005,$C$3))</f>
        <v/>
      </c>
      <c r="S70" s="111" t="str">
        <f aca="false">IF($B70="","",SUMIFS('سجل الإجازات والحالات'!$N$6:$N$505,'سجل الإجازات والحالات'!$B$6:$B$505,$B70,'سجل الإجازات والحالات'!$O$6:$O$505,$C$3))</f>
        <v/>
      </c>
      <c r="T70" s="152" t="str">
        <f aca="false">IF($B70="","",SUM(K70:N70)+SUM(P70:S70))</f>
        <v/>
      </c>
      <c r="U70" s="111" t="str">
        <f aca="false">IF($B70="","",الموظفون!$S70*IF(E70="سعودي",cfg_G_SE,cfg_G_NE)*G70/cfg_DAYS_M)</f>
        <v/>
      </c>
      <c r="V70" s="111" t="str">
        <f aca="false">IF($B70="","",SUMIFS('الحركات الشهرية'!$I$6:$I$1005,'الحركات الشهرية'!$B$6:$B$1005,$B70,'الحركات الشهرية'!$A$6:$A$1005,$C$3))</f>
        <v/>
      </c>
      <c r="W70" s="111" t="str">
        <f aca="false">IF($B70="","",SUMIFS('الحركات الشهرية'!$J$6:$J$1005,'الحركات الشهرية'!$B$6:$B$1005,$B70,'الحركات الشهرية'!$A$6:$A$1005,$C$3))</f>
        <v/>
      </c>
      <c r="X70" s="111" t="str">
        <f aca="false">IF($B70="","",SUM(U70:W70))</f>
        <v/>
      </c>
      <c r="Y70" s="153" t="str">
        <f aca="false">IF($B70="","",T70-X70)</f>
        <v/>
      </c>
      <c r="Z70" s="111" t="str">
        <f aca="false">IF($B70="","",الموظفون!$S70*IF(E70="سعودي",cfg_G_SR,cfg_G_NR)*G70/cfg_DAYS_M)</f>
        <v/>
      </c>
      <c r="AA70" s="111" t="str">
        <f aca="false">IF($B70="","",الموظفون!$Q70*(cfg_EOS_R1*(MIN(AH70,cfg_EOS_TH)-MIN(AI70,cfg_EOS_TH))+cfg_EOS_R2*(MAX(AH70-cfg_EOS_TH,0)-MAX(AI70-cfg_EOS_TH,0))))</f>
        <v/>
      </c>
      <c r="AB70" s="111" t="str">
        <f aca="false">IF($B70="","",IF(الموظفون!$T70&lt;&gt;"",الموظفون!$T70,IF(AH70&gt;=cfg_LV_TH,cfg_LV_D2,cfg_LV_D1))/cfg_DAYS_Y*AJ70*الموظفون!$R70/cfg_DAYS_M)</f>
        <v/>
      </c>
      <c r="AC70" s="111" t="str">
        <f aca="false">IF($B70="","",IF(AND(الموظفون!$U70="نعم",N(الموظفون!$W70)&gt;0),الموظفون!$V70/الموظفون!$W70*12/cfg_DAYS_Y*AJ70,0))</f>
        <v/>
      </c>
      <c r="AD70" s="111" t="str">
        <f aca="false">IF($B70="","",(IF(الموظفون!$X70&lt;&gt;"",الموظفون!$X70,IF(الموظفون!$E70="غير سعودي",cfg_IQ,0))+IF(الموظفون!$Y70&lt;&gt;"",الموظفون!$Y70,IF(الموظفون!$E70="غير سعودي",cfg_WP,0)))/12*G70/cfg_DAYS_M)</f>
        <v/>
      </c>
      <c r="AE70" s="111" t="str">
        <f aca="false">IF($B70="","",IF(الموظفون!$Z70&lt;&gt;"",الموظفون!$Z70,cfg_MED)/12*G70/cfg_DAYS_M)</f>
        <v/>
      </c>
      <c r="AF70" s="111" t="str">
        <f aca="false">IF($B70="","",N(الموظفون!$AA70)/12*G70/cfg_DAYS_M)</f>
        <v/>
      </c>
      <c r="AG70" s="154" t="str">
        <f aca="false">IF($B70="","",T70+SUM(Z70:AF70))</f>
        <v/>
      </c>
      <c r="AH70" s="155" t="str">
        <f aca="false">IF($B70="","",MAX(0,IF(OR(الموظفون!$AE70="",الموظفون!$AE70&gt;$F$3),$F$3,الموظفون!$AE70)-الموظفون!$H70+1-SUMIFS('سجل الإجازات والحالات'!$AO$6:$AO$505,'سجل الإجازات والحالات'!$B$6:$B$505,$B70))/cfg_DAYS_Y)</f>
        <v/>
      </c>
      <c r="AI70" s="155" t="str">
        <f aca="false">IF($B70="","",MAX(0,IF(OR(الموظفون!$AE70="",الموظفون!$AE70&gt;($E$3-1)),($E$3-1),الموظفون!$AE70)-الموظفون!$H70+1-SUMIFS('سجل الإجازات والحالات'!$AN$6:$AN$505,'سجل الإجازات والحالات'!$B$6:$B$505,$B70))/cfg_DAYS_Y)</f>
        <v/>
      </c>
      <c r="AJ70" s="65" t="str">
        <f aca="false">IF($B70="","",MAX(0,AK70-(SUMIFS('سجل الإجازات والحالات'!$AO$6:$AO$505,'سجل الإجازات والحالات'!$B$6:$B$505,$B70)-SUMIFS('سجل الإجازات والحالات'!$AN$6:$AN$505,'سجل الإجازات والحالات'!$B$6:$B$505,$B70))))</f>
        <v/>
      </c>
      <c r="AK70" s="65" t="str">
        <f aca="false">IF($B70="","",MAX(0,IF(OR(الموظفون!$AE70="",الموظفون!$AE70&gt;$F$3),$F$3,الموظفون!$AE70)-MAX($E$3,الموظفون!$H70)+1))</f>
        <v/>
      </c>
      <c r="AL70" s="151" t="str">
        <f aca="false">IF($B70="","",SUMIFS('سجل الإجازات والحالات'!$BA$6:$BA$505,'سجل الإجازات والحالات'!$B$6:$B$505,$B70)+SUMIFS('الحركات الشهرية'!$K$6:$K$1005,'الحركات الشهرية'!$B$6:$B$1005,$B70,'الحركات الشهرية'!$A$6:$A$1005,$C$3))</f>
        <v/>
      </c>
      <c r="AM70" s="111" t="str">
        <f aca="false">IF($B70="","",AL70*الموظفون!$R70/cfg_DAYS_M+S70)</f>
        <v/>
      </c>
      <c r="AN70" s="151" t="str">
        <f aca="false">IF($B70="","",SUMIFS('سجل الإجازات والحالات'!$AC$6:$AC$505,'سجل الإجازات والحالات'!$B$6:$B$505,$B70))</f>
        <v/>
      </c>
    </row>
    <row r="71" customFormat="false" ht="15" hidden="false" customHeight="false" outlineLevel="0" collapsed="false">
      <c r="A71" s="115" t="str">
        <f aca="false">IF($B71="","",الموظفون!$A71)</f>
        <v/>
      </c>
      <c r="B71" s="117" t="str">
        <f aca="false">IF(الموظفون!$B71="","",الموظفون!$B71)</f>
        <v/>
      </c>
      <c r="C71" s="117" t="str">
        <f aca="false">IF($B71="","",الموظفون!$C71)</f>
        <v/>
      </c>
      <c r="D71" s="117" t="str">
        <f aca="false">IF($B71="","",الموظفون!$F71)</f>
        <v/>
      </c>
      <c r="E71" s="117" t="str">
        <f aca="false">IF($B71="","",الموظفون!$E71)</f>
        <v/>
      </c>
      <c r="F71" s="117" t="str">
        <f aca="false">IF($B71="","",IF(AK71=0,IF(AND(الموظفون!$AE71&lt;&gt;"",الموظفون!$AE71&lt;$E$3),"✖ منتهي الخدمة","⏳ لم يباشر"),IF(S71&gt;0,"✈ راتب إجازة مقدم",IF(J71=0,"⛔ بدون راتب هذا الشهر",IF(I71&gt;0,"✈ خصم "&amp;ROUND(I71,2)&amp;" يوم بدون أجر",IF(AL71&gt;0,"🌴 إجازة سنوية "&amp;ROUND(AL71,2)&amp;" يوم",IF(H71&gt;0,"⚠ غياب "&amp;ROUND(H71,2)&amp;" يوم","✔ على رأس العمل")))))))</f>
        <v/>
      </c>
      <c r="G71" s="156" t="str">
        <f aca="false">IF($B71="","",IF(AK71&gt;=DAY($F$3),cfg_DAYS_M,MIN(AK71,cfg_DAYS_M)))</f>
        <v/>
      </c>
      <c r="H71" s="156" t="str">
        <f aca="false">IF($B71="","",SUMIFS('الحركات الشهرية'!$D$6:$D$1005,'الحركات الشهرية'!$B$6:$B$1005,$B71,'الحركات الشهرية'!$A$6:$A$1005,$C$3))</f>
        <v/>
      </c>
      <c r="I71" s="156" t="str">
        <f aca="false">IF($B71="","",MIN(G71,IF(AND(AK71&gt;0,AN71&gt;=AK71),G71,AN71)+SUMIFS('الحركات الشهرية'!$E$6:$E$1005,'الحركات الشهرية'!$B$6:$B$1005,$B71,'الحركات الشهرية'!$A$6:$A$1005,$C$3)))</f>
        <v/>
      </c>
      <c r="J71" s="156" t="str">
        <f aca="false">IF($B71="","",MAX(0,G71-H71-I71))</f>
        <v/>
      </c>
      <c r="K71" s="116" t="str">
        <f aca="false">IF($B71="","",الموظفون!$L71*$J71/cfg_DAYS_M)</f>
        <v/>
      </c>
      <c r="L71" s="116" t="str">
        <f aca="false">IF($B71="","",الموظفون!$M71*$J71/cfg_DAYS_M)</f>
        <v/>
      </c>
      <c r="M71" s="116" t="str">
        <f aca="false">IF($B71="","",الموظفون!$N71*$J71/cfg_DAYS_M)</f>
        <v/>
      </c>
      <c r="N71" s="116" t="str">
        <f aca="false">IF($B71="","",الموظفون!$O71*$J71/cfg_DAYS_M)</f>
        <v/>
      </c>
      <c r="O71" s="156" t="str">
        <f aca="false">IF($B71="","",SUMIFS('الحركات الشهرية'!$F$6:$F$1005,'الحركات الشهرية'!$B$6:$B$1005,$B71,'الحركات الشهرية'!$A$6:$A$1005,$C$3))</f>
        <v/>
      </c>
      <c r="P71" s="116" t="str">
        <f aca="false">IF($B71="","",O71*(الموظفون!$P71+الموظفون!$L71*cfg_OT_P)/cfg_DAYS_M/cfg_HRS)</f>
        <v/>
      </c>
      <c r="Q71" s="116" t="str">
        <f aca="false">IF($B71="","",SUMIFS('الحركات الشهرية'!$G$6:$G$1005,'الحركات الشهرية'!$B$6:$B$1005,$B71,'الحركات الشهرية'!$A$6:$A$1005,$C$3))</f>
        <v/>
      </c>
      <c r="R71" s="116" t="str">
        <f aca="false">IF($B71="","",SUMIFS('الحركات الشهرية'!$H$6:$H$1005,'الحركات الشهرية'!$B$6:$B$1005,$B71,'الحركات الشهرية'!$A$6:$A$1005,$C$3))</f>
        <v/>
      </c>
      <c r="S71" s="116" t="str">
        <f aca="false">IF($B71="","",SUMIFS('سجل الإجازات والحالات'!$N$6:$N$505,'سجل الإجازات والحالات'!$B$6:$B$505,$B71,'سجل الإجازات والحالات'!$O$6:$O$505,$C$3))</f>
        <v/>
      </c>
      <c r="T71" s="157" t="str">
        <f aca="false">IF($B71="","",SUM(K71:N71)+SUM(P71:S71))</f>
        <v/>
      </c>
      <c r="U71" s="116" t="str">
        <f aca="false">IF($B71="","",الموظفون!$S71*IF(E71="سعودي",cfg_G_SE,cfg_G_NE)*G71/cfg_DAYS_M)</f>
        <v/>
      </c>
      <c r="V71" s="116" t="str">
        <f aca="false">IF($B71="","",SUMIFS('الحركات الشهرية'!$I$6:$I$1005,'الحركات الشهرية'!$B$6:$B$1005,$B71,'الحركات الشهرية'!$A$6:$A$1005,$C$3))</f>
        <v/>
      </c>
      <c r="W71" s="116" t="str">
        <f aca="false">IF($B71="","",SUMIFS('الحركات الشهرية'!$J$6:$J$1005,'الحركات الشهرية'!$B$6:$B$1005,$B71,'الحركات الشهرية'!$A$6:$A$1005,$C$3))</f>
        <v/>
      </c>
      <c r="X71" s="116" t="str">
        <f aca="false">IF($B71="","",SUM(U71:W71))</f>
        <v/>
      </c>
      <c r="Y71" s="158" t="str">
        <f aca="false">IF($B71="","",T71-X71)</f>
        <v/>
      </c>
      <c r="Z71" s="116" t="str">
        <f aca="false">IF($B71="","",الموظفون!$S71*IF(E71="سعودي",cfg_G_SR,cfg_G_NR)*G71/cfg_DAYS_M)</f>
        <v/>
      </c>
      <c r="AA71" s="116" t="str">
        <f aca="false">IF($B71="","",الموظفون!$Q71*(cfg_EOS_R1*(MIN(AH71,cfg_EOS_TH)-MIN(AI71,cfg_EOS_TH))+cfg_EOS_R2*(MAX(AH71-cfg_EOS_TH,0)-MAX(AI71-cfg_EOS_TH,0))))</f>
        <v/>
      </c>
      <c r="AB71" s="116" t="str">
        <f aca="false">IF($B71="","",IF(الموظفون!$T71&lt;&gt;"",الموظفون!$T71,IF(AH71&gt;=cfg_LV_TH,cfg_LV_D2,cfg_LV_D1))/cfg_DAYS_Y*AJ71*الموظفون!$R71/cfg_DAYS_M)</f>
        <v/>
      </c>
      <c r="AC71" s="116" t="str">
        <f aca="false">IF($B71="","",IF(AND(الموظفون!$U71="نعم",N(الموظفون!$W71)&gt;0),الموظفون!$V71/الموظفون!$W71*12/cfg_DAYS_Y*AJ71,0))</f>
        <v/>
      </c>
      <c r="AD71" s="116" t="str">
        <f aca="false">IF($B71="","",(IF(الموظفون!$X71&lt;&gt;"",الموظفون!$X71,IF(الموظفون!$E71="غير سعودي",cfg_IQ,0))+IF(الموظفون!$Y71&lt;&gt;"",الموظفون!$Y71,IF(الموظفون!$E71="غير سعودي",cfg_WP,0)))/12*G71/cfg_DAYS_M)</f>
        <v/>
      </c>
      <c r="AE71" s="116" t="str">
        <f aca="false">IF($B71="","",IF(الموظفون!$Z71&lt;&gt;"",الموظفون!$Z71,cfg_MED)/12*G71/cfg_DAYS_M)</f>
        <v/>
      </c>
      <c r="AF71" s="116" t="str">
        <f aca="false">IF($B71="","",N(الموظفون!$AA71)/12*G71/cfg_DAYS_M)</f>
        <v/>
      </c>
      <c r="AG71" s="159" t="str">
        <f aca="false">IF($B71="","",T71+SUM(Z71:AF71))</f>
        <v/>
      </c>
      <c r="AH71" s="160" t="str">
        <f aca="false">IF($B71="","",MAX(0,IF(OR(الموظفون!$AE71="",الموظفون!$AE71&gt;$F$3),$F$3,الموظفون!$AE71)-الموظفون!$H71+1-SUMIFS('سجل الإجازات والحالات'!$AO$6:$AO$505,'سجل الإجازات والحالات'!$B$6:$B$505,$B71))/cfg_DAYS_Y)</f>
        <v/>
      </c>
      <c r="AI71" s="160" t="str">
        <f aca="false">IF($B71="","",MAX(0,IF(OR(الموظفون!$AE71="",الموظفون!$AE71&gt;($E$3-1)),($E$3-1),الموظفون!$AE71)-الموظفون!$H71+1-SUMIFS('سجل الإجازات والحالات'!$AN$6:$AN$505,'سجل الإجازات والحالات'!$B$6:$B$505,$B71))/cfg_DAYS_Y)</f>
        <v/>
      </c>
      <c r="AJ71" s="133" t="str">
        <f aca="false">IF($B71="","",MAX(0,AK71-(SUMIFS('سجل الإجازات والحالات'!$AO$6:$AO$505,'سجل الإجازات والحالات'!$B$6:$B$505,$B71)-SUMIFS('سجل الإجازات والحالات'!$AN$6:$AN$505,'سجل الإجازات والحالات'!$B$6:$B$505,$B71))))</f>
        <v/>
      </c>
      <c r="AK71" s="133" t="str">
        <f aca="false">IF($B71="","",MAX(0,IF(OR(الموظفون!$AE71="",الموظفون!$AE71&gt;$F$3),$F$3,الموظفون!$AE71)-MAX($E$3,الموظفون!$H71)+1))</f>
        <v/>
      </c>
      <c r="AL71" s="156" t="str">
        <f aca="false">IF($B71="","",SUMIFS('سجل الإجازات والحالات'!$BA$6:$BA$505,'سجل الإجازات والحالات'!$B$6:$B$505,$B71)+SUMIFS('الحركات الشهرية'!$K$6:$K$1005,'الحركات الشهرية'!$B$6:$B$1005,$B71,'الحركات الشهرية'!$A$6:$A$1005,$C$3))</f>
        <v/>
      </c>
      <c r="AM71" s="116" t="str">
        <f aca="false">IF($B71="","",AL71*الموظفون!$R71/cfg_DAYS_M+S71)</f>
        <v/>
      </c>
      <c r="AN71" s="156" t="str">
        <f aca="false">IF($B71="","",SUMIFS('سجل الإجازات والحالات'!$AC$6:$AC$505,'سجل الإجازات والحالات'!$B$6:$B$505,$B71))</f>
        <v/>
      </c>
    </row>
    <row r="72" customFormat="false" ht="15" hidden="false" customHeight="false" outlineLevel="0" collapsed="false">
      <c r="A72" s="106" t="str">
        <f aca="false">IF($B72="","",الموظفون!$A72)</f>
        <v/>
      </c>
      <c r="B72" s="114" t="str">
        <f aca="false">IF(الموظفون!$B72="","",الموظفون!$B72)</f>
        <v/>
      </c>
      <c r="C72" s="114" t="str">
        <f aca="false">IF($B72="","",الموظفون!$C72)</f>
        <v/>
      </c>
      <c r="D72" s="114" t="str">
        <f aca="false">IF($B72="","",الموظفون!$F72)</f>
        <v/>
      </c>
      <c r="E72" s="114" t="str">
        <f aca="false">IF($B72="","",الموظفون!$E72)</f>
        <v/>
      </c>
      <c r="F72" s="114" t="str">
        <f aca="false">IF($B72="","",IF(AK72=0,IF(AND(الموظفون!$AE72&lt;&gt;"",الموظفون!$AE72&lt;$E$3),"✖ منتهي الخدمة","⏳ لم يباشر"),IF(S72&gt;0,"✈ راتب إجازة مقدم",IF(J72=0,"⛔ بدون راتب هذا الشهر",IF(I72&gt;0,"✈ خصم "&amp;ROUND(I72,2)&amp;" يوم بدون أجر",IF(AL72&gt;0,"🌴 إجازة سنوية "&amp;ROUND(AL72,2)&amp;" يوم",IF(H72&gt;0,"⚠ غياب "&amp;ROUND(H72,2)&amp;" يوم","✔ على رأس العمل")))))))</f>
        <v/>
      </c>
      <c r="G72" s="151" t="str">
        <f aca="false">IF($B72="","",IF(AK72&gt;=DAY($F$3),cfg_DAYS_M,MIN(AK72,cfg_DAYS_M)))</f>
        <v/>
      </c>
      <c r="H72" s="151" t="str">
        <f aca="false">IF($B72="","",SUMIFS('الحركات الشهرية'!$D$6:$D$1005,'الحركات الشهرية'!$B$6:$B$1005,$B72,'الحركات الشهرية'!$A$6:$A$1005,$C$3))</f>
        <v/>
      </c>
      <c r="I72" s="151" t="str">
        <f aca="false">IF($B72="","",MIN(G72,IF(AND(AK72&gt;0,AN72&gt;=AK72),G72,AN72)+SUMIFS('الحركات الشهرية'!$E$6:$E$1005,'الحركات الشهرية'!$B$6:$B$1005,$B72,'الحركات الشهرية'!$A$6:$A$1005,$C$3)))</f>
        <v/>
      </c>
      <c r="J72" s="151" t="str">
        <f aca="false">IF($B72="","",MAX(0,G72-H72-I72))</f>
        <v/>
      </c>
      <c r="K72" s="111" t="str">
        <f aca="false">IF($B72="","",الموظفون!$L72*$J72/cfg_DAYS_M)</f>
        <v/>
      </c>
      <c r="L72" s="111" t="str">
        <f aca="false">IF($B72="","",الموظفون!$M72*$J72/cfg_DAYS_M)</f>
        <v/>
      </c>
      <c r="M72" s="111" t="str">
        <f aca="false">IF($B72="","",الموظفون!$N72*$J72/cfg_DAYS_M)</f>
        <v/>
      </c>
      <c r="N72" s="111" t="str">
        <f aca="false">IF($B72="","",الموظفون!$O72*$J72/cfg_DAYS_M)</f>
        <v/>
      </c>
      <c r="O72" s="151" t="str">
        <f aca="false">IF($B72="","",SUMIFS('الحركات الشهرية'!$F$6:$F$1005,'الحركات الشهرية'!$B$6:$B$1005,$B72,'الحركات الشهرية'!$A$6:$A$1005,$C$3))</f>
        <v/>
      </c>
      <c r="P72" s="111" t="str">
        <f aca="false">IF($B72="","",O72*(الموظفون!$P72+الموظفون!$L72*cfg_OT_P)/cfg_DAYS_M/cfg_HRS)</f>
        <v/>
      </c>
      <c r="Q72" s="111" t="str">
        <f aca="false">IF($B72="","",SUMIFS('الحركات الشهرية'!$G$6:$G$1005,'الحركات الشهرية'!$B$6:$B$1005,$B72,'الحركات الشهرية'!$A$6:$A$1005,$C$3))</f>
        <v/>
      </c>
      <c r="R72" s="111" t="str">
        <f aca="false">IF($B72="","",SUMIFS('الحركات الشهرية'!$H$6:$H$1005,'الحركات الشهرية'!$B$6:$B$1005,$B72,'الحركات الشهرية'!$A$6:$A$1005,$C$3))</f>
        <v/>
      </c>
      <c r="S72" s="111" t="str">
        <f aca="false">IF($B72="","",SUMIFS('سجل الإجازات والحالات'!$N$6:$N$505,'سجل الإجازات والحالات'!$B$6:$B$505,$B72,'سجل الإجازات والحالات'!$O$6:$O$505,$C$3))</f>
        <v/>
      </c>
      <c r="T72" s="152" t="str">
        <f aca="false">IF($B72="","",SUM(K72:N72)+SUM(P72:S72))</f>
        <v/>
      </c>
      <c r="U72" s="111" t="str">
        <f aca="false">IF($B72="","",الموظفون!$S72*IF(E72="سعودي",cfg_G_SE,cfg_G_NE)*G72/cfg_DAYS_M)</f>
        <v/>
      </c>
      <c r="V72" s="111" t="str">
        <f aca="false">IF($B72="","",SUMIFS('الحركات الشهرية'!$I$6:$I$1005,'الحركات الشهرية'!$B$6:$B$1005,$B72,'الحركات الشهرية'!$A$6:$A$1005,$C$3))</f>
        <v/>
      </c>
      <c r="W72" s="111" t="str">
        <f aca="false">IF($B72="","",SUMIFS('الحركات الشهرية'!$J$6:$J$1005,'الحركات الشهرية'!$B$6:$B$1005,$B72,'الحركات الشهرية'!$A$6:$A$1005,$C$3))</f>
        <v/>
      </c>
      <c r="X72" s="111" t="str">
        <f aca="false">IF($B72="","",SUM(U72:W72))</f>
        <v/>
      </c>
      <c r="Y72" s="153" t="str">
        <f aca="false">IF($B72="","",T72-X72)</f>
        <v/>
      </c>
      <c r="Z72" s="111" t="str">
        <f aca="false">IF($B72="","",الموظفون!$S72*IF(E72="سعودي",cfg_G_SR,cfg_G_NR)*G72/cfg_DAYS_M)</f>
        <v/>
      </c>
      <c r="AA72" s="111" t="str">
        <f aca="false">IF($B72="","",الموظفون!$Q72*(cfg_EOS_R1*(MIN(AH72,cfg_EOS_TH)-MIN(AI72,cfg_EOS_TH))+cfg_EOS_R2*(MAX(AH72-cfg_EOS_TH,0)-MAX(AI72-cfg_EOS_TH,0))))</f>
        <v/>
      </c>
      <c r="AB72" s="111" t="str">
        <f aca="false">IF($B72="","",IF(الموظفون!$T72&lt;&gt;"",الموظفون!$T72,IF(AH72&gt;=cfg_LV_TH,cfg_LV_D2,cfg_LV_D1))/cfg_DAYS_Y*AJ72*الموظفون!$R72/cfg_DAYS_M)</f>
        <v/>
      </c>
      <c r="AC72" s="111" t="str">
        <f aca="false">IF($B72="","",IF(AND(الموظفون!$U72="نعم",N(الموظفون!$W72)&gt;0),الموظفون!$V72/الموظفون!$W72*12/cfg_DAYS_Y*AJ72,0))</f>
        <v/>
      </c>
      <c r="AD72" s="111" t="str">
        <f aca="false">IF($B72="","",(IF(الموظفون!$X72&lt;&gt;"",الموظفون!$X72,IF(الموظفون!$E72="غير سعودي",cfg_IQ,0))+IF(الموظفون!$Y72&lt;&gt;"",الموظفون!$Y72,IF(الموظفون!$E72="غير سعودي",cfg_WP,0)))/12*G72/cfg_DAYS_M)</f>
        <v/>
      </c>
      <c r="AE72" s="111" t="str">
        <f aca="false">IF($B72="","",IF(الموظفون!$Z72&lt;&gt;"",الموظفون!$Z72,cfg_MED)/12*G72/cfg_DAYS_M)</f>
        <v/>
      </c>
      <c r="AF72" s="111" t="str">
        <f aca="false">IF($B72="","",N(الموظفون!$AA72)/12*G72/cfg_DAYS_M)</f>
        <v/>
      </c>
      <c r="AG72" s="154" t="str">
        <f aca="false">IF($B72="","",T72+SUM(Z72:AF72))</f>
        <v/>
      </c>
      <c r="AH72" s="155" t="str">
        <f aca="false">IF($B72="","",MAX(0,IF(OR(الموظفون!$AE72="",الموظفون!$AE72&gt;$F$3),$F$3,الموظفون!$AE72)-الموظفون!$H72+1-SUMIFS('سجل الإجازات والحالات'!$AO$6:$AO$505,'سجل الإجازات والحالات'!$B$6:$B$505,$B72))/cfg_DAYS_Y)</f>
        <v/>
      </c>
      <c r="AI72" s="155" t="str">
        <f aca="false">IF($B72="","",MAX(0,IF(OR(الموظفون!$AE72="",الموظفون!$AE72&gt;($E$3-1)),($E$3-1),الموظفون!$AE72)-الموظفون!$H72+1-SUMIFS('سجل الإجازات والحالات'!$AN$6:$AN$505,'سجل الإجازات والحالات'!$B$6:$B$505,$B72))/cfg_DAYS_Y)</f>
        <v/>
      </c>
      <c r="AJ72" s="65" t="str">
        <f aca="false">IF($B72="","",MAX(0,AK72-(SUMIFS('سجل الإجازات والحالات'!$AO$6:$AO$505,'سجل الإجازات والحالات'!$B$6:$B$505,$B72)-SUMIFS('سجل الإجازات والحالات'!$AN$6:$AN$505,'سجل الإجازات والحالات'!$B$6:$B$505,$B72))))</f>
        <v/>
      </c>
      <c r="AK72" s="65" t="str">
        <f aca="false">IF($B72="","",MAX(0,IF(OR(الموظفون!$AE72="",الموظفون!$AE72&gt;$F$3),$F$3,الموظفون!$AE72)-MAX($E$3,الموظفون!$H72)+1))</f>
        <v/>
      </c>
      <c r="AL72" s="151" t="str">
        <f aca="false">IF($B72="","",SUMIFS('سجل الإجازات والحالات'!$BA$6:$BA$505,'سجل الإجازات والحالات'!$B$6:$B$505,$B72)+SUMIFS('الحركات الشهرية'!$K$6:$K$1005,'الحركات الشهرية'!$B$6:$B$1005,$B72,'الحركات الشهرية'!$A$6:$A$1005,$C$3))</f>
        <v/>
      </c>
      <c r="AM72" s="111" t="str">
        <f aca="false">IF($B72="","",AL72*الموظفون!$R72/cfg_DAYS_M+S72)</f>
        <v/>
      </c>
      <c r="AN72" s="151" t="str">
        <f aca="false">IF($B72="","",SUMIFS('سجل الإجازات والحالات'!$AC$6:$AC$505,'سجل الإجازات والحالات'!$B$6:$B$505,$B72))</f>
        <v/>
      </c>
    </row>
    <row r="73" customFormat="false" ht="15" hidden="false" customHeight="false" outlineLevel="0" collapsed="false">
      <c r="A73" s="115" t="str">
        <f aca="false">IF($B73="","",الموظفون!$A73)</f>
        <v/>
      </c>
      <c r="B73" s="117" t="str">
        <f aca="false">IF(الموظفون!$B73="","",الموظفون!$B73)</f>
        <v/>
      </c>
      <c r="C73" s="117" t="str">
        <f aca="false">IF($B73="","",الموظفون!$C73)</f>
        <v/>
      </c>
      <c r="D73" s="117" t="str">
        <f aca="false">IF($B73="","",الموظفون!$F73)</f>
        <v/>
      </c>
      <c r="E73" s="117" t="str">
        <f aca="false">IF($B73="","",الموظفون!$E73)</f>
        <v/>
      </c>
      <c r="F73" s="117" t="str">
        <f aca="false">IF($B73="","",IF(AK73=0,IF(AND(الموظفون!$AE73&lt;&gt;"",الموظفون!$AE73&lt;$E$3),"✖ منتهي الخدمة","⏳ لم يباشر"),IF(S73&gt;0,"✈ راتب إجازة مقدم",IF(J73=0,"⛔ بدون راتب هذا الشهر",IF(I73&gt;0,"✈ خصم "&amp;ROUND(I73,2)&amp;" يوم بدون أجر",IF(AL73&gt;0,"🌴 إجازة سنوية "&amp;ROUND(AL73,2)&amp;" يوم",IF(H73&gt;0,"⚠ غياب "&amp;ROUND(H73,2)&amp;" يوم","✔ على رأس العمل")))))))</f>
        <v/>
      </c>
      <c r="G73" s="156" t="str">
        <f aca="false">IF($B73="","",IF(AK73&gt;=DAY($F$3),cfg_DAYS_M,MIN(AK73,cfg_DAYS_M)))</f>
        <v/>
      </c>
      <c r="H73" s="156" t="str">
        <f aca="false">IF($B73="","",SUMIFS('الحركات الشهرية'!$D$6:$D$1005,'الحركات الشهرية'!$B$6:$B$1005,$B73,'الحركات الشهرية'!$A$6:$A$1005,$C$3))</f>
        <v/>
      </c>
      <c r="I73" s="156" t="str">
        <f aca="false">IF($B73="","",MIN(G73,IF(AND(AK73&gt;0,AN73&gt;=AK73),G73,AN73)+SUMIFS('الحركات الشهرية'!$E$6:$E$1005,'الحركات الشهرية'!$B$6:$B$1005,$B73,'الحركات الشهرية'!$A$6:$A$1005,$C$3)))</f>
        <v/>
      </c>
      <c r="J73" s="156" t="str">
        <f aca="false">IF($B73="","",MAX(0,G73-H73-I73))</f>
        <v/>
      </c>
      <c r="K73" s="116" t="str">
        <f aca="false">IF($B73="","",الموظفون!$L73*$J73/cfg_DAYS_M)</f>
        <v/>
      </c>
      <c r="L73" s="116" t="str">
        <f aca="false">IF($B73="","",الموظفون!$M73*$J73/cfg_DAYS_M)</f>
        <v/>
      </c>
      <c r="M73" s="116" t="str">
        <f aca="false">IF($B73="","",الموظفون!$N73*$J73/cfg_DAYS_M)</f>
        <v/>
      </c>
      <c r="N73" s="116" t="str">
        <f aca="false">IF($B73="","",الموظفون!$O73*$J73/cfg_DAYS_M)</f>
        <v/>
      </c>
      <c r="O73" s="156" t="str">
        <f aca="false">IF($B73="","",SUMIFS('الحركات الشهرية'!$F$6:$F$1005,'الحركات الشهرية'!$B$6:$B$1005,$B73,'الحركات الشهرية'!$A$6:$A$1005,$C$3))</f>
        <v/>
      </c>
      <c r="P73" s="116" t="str">
        <f aca="false">IF($B73="","",O73*(الموظفون!$P73+الموظفون!$L73*cfg_OT_P)/cfg_DAYS_M/cfg_HRS)</f>
        <v/>
      </c>
      <c r="Q73" s="116" t="str">
        <f aca="false">IF($B73="","",SUMIFS('الحركات الشهرية'!$G$6:$G$1005,'الحركات الشهرية'!$B$6:$B$1005,$B73,'الحركات الشهرية'!$A$6:$A$1005,$C$3))</f>
        <v/>
      </c>
      <c r="R73" s="116" t="str">
        <f aca="false">IF($B73="","",SUMIFS('الحركات الشهرية'!$H$6:$H$1005,'الحركات الشهرية'!$B$6:$B$1005,$B73,'الحركات الشهرية'!$A$6:$A$1005,$C$3))</f>
        <v/>
      </c>
      <c r="S73" s="116" t="str">
        <f aca="false">IF($B73="","",SUMIFS('سجل الإجازات والحالات'!$N$6:$N$505,'سجل الإجازات والحالات'!$B$6:$B$505,$B73,'سجل الإجازات والحالات'!$O$6:$O$505,$C$3))</f>
        <v/>
      </c>
      <c r="T73" s="157" t="str">
        <f aca="false">IF($B73="","",SUM(K73:N73)+SUM(P73:S73))</f>
        <v/>
      </c>
      <c r="U73" s="116" t="str">
        <f aca="false">IF($B73="","",الموظفون!$S73*IF(E73="سعودي",cfg_G_SE,cfg_G_NE)*G73/cfg_DAYS_M)</f>
        <v/>
      </c>
      <c r="V73" s="116" t="str">
        <f aca="false">IF($B73="","",SUMIFS('الحركات الشهرية'!$I$6:$I$1005,'الحركات الشهرية'!$B$6:$B$1005,$B73,'الحركات الشهرية'!$A$6:$A$1005,$C$3))</f>
        <v/>
      </c>
      <c r="W73" s="116" t="str">
        <f aca="false">IF($B73="","",SUMIFS('الحركات الشهرية'!$J$6:$J$1005,'الحركات الشهرية'!$B$6:$B$1005,$B73,'الحركات الشهرية'!$A$6:$A$1005,$C$3))</f>
        <v/>
      </c>
      <c r="X73" s="116" t="str">
        <f aca="false">IF($B73="","",SUM(U73:W73))</f>
        <v/>
      </c>
      <c r="Y73" s="158" t="str">
        <f aca="false">IF($B73="","",T73-X73)</f>
        <v/>
      </c>
      <c r="Z73" s="116" t="str">
        <f aca="false">IF($B73="","",الموظفون!$S73*IF(E73="سعودي",cfg_G_SR,cfg_G_NR)*G73/cfg_DAYS_M)</f>
        <v/>
      </c>
      <c r="AA73" s="116" t="str">
        <f aca="false">IF($B73="","",الموظفون!$Q73*(cfg_EOS_R1*(MIN(AH73,cfg_EOS_TH)-MIN(AI73,cfg_EOS_TH))+cfg_EOS_R2*(MAX(AH73-cfg_EOS_TH,0)-MAX(AI73-cfg_EOS_TH,0))))</f>
        <v/>
      </c>
      <c r="AB73" s="116" t="str">
        <f aca="false">IF($B73="","",IF(الموظفون!$T73&lt;&gt;"",الموظفون!$T73,IF(AH73&gt;=cfg_LV_TH,cfg_LV_D2,cfg_LV_D1))/cfg_DAYS_Y*AJ73*الموظفون!$R73/cfg_DAYS_M)</f>
        <v/>
      </c>
      <c r="AC73" s="116" t="str">
        <f aca="false">IF($B73="","",IF(AND(الموظفون!$U73="نعم",N(الموظفون!$W73)&gt;0),الموظفون!$V73/الموظفون!$W73*12/cfg_DAYS_Y*AJ73,0))</f>
        <v/>
      </c>
      <c r="AD73" s="116" t="str">
        <f aca="false">IF($B73="","",(IF(الموظفون!$X73&lt;&gt;"",الموظفون!$X73,IF(الموظفون!$E73="غير سعودي",cfg_IQ,0))+IF(الموظفون!$Y73&lt;&gt;"",الموظفون!$Y73,IF(الموظفون!$E73="غير سعودي",cfg_WP,0)))/12*G73/cfg_DAYS_M)</f>
        <v/>
      </c>
      <c r="AE73" s="116" t="str">
        <f aca="false">IF($B73="","",IF(الموظفون!$Z73&lt;&gt;"",الموظفون!$Z73,cfg_MED)/12*G73/cfg_DAYS_M)</f>
        <v/>
      </c>
      <c r="AF73" s="116" t="str">
        <f aca="false">IF($B73="","",N(الموظفون!$AA73)/12*G73/cfg_DAYS_M)</f>
        <v/>
      </c>
      <c r="AG73" s="159" t="str">
        <f aca="false">IF($B73="","",T73+SUM(Z73:AF73))</f>
        <v/>
      </c>
      <c r="AH73" s="160" t="str">
        <f aca="false">IF($B73="","",MAX(0,IF(OR(الموظفون!$AE73="",الموظفون!$AE73&gt;$F$3),$F$3,الموظفون!$AE73)-الموظفون!$H73+1-SUMIFS('سجل الإجازات والحالات'!$AO$6:$AO$505,'سجل الإجازات والحالات'!$B$6:$B$505,$B73))/cfg_DAYS_Y)</f>
        <v/>
      </c>
      <c r="AI73" s="160" t="str">
        <f aca="false">IF($B73="","",MAX(0,IF(OR(الموظفون!$AE73="",الموظفون!$AE73&gt;($E$3-1)),($E$3-1),الموظفون!$AE73)-الموظفون!$H73+1-SUMIFS('سجل الإجازات والحالات'!$AN$6:$AN$505,'سجل الإجازات والحالات'!$B$6:$B$505,$B73))/cfg_DAYS_Y)</f>
        <v/>
      </c>
      <c r="AJ73" s="133" t="str">
        <f aca="false">IF($B73="","",MAX(0,AK73-(SUMIFS('سجل الإجازات والحالات'!$AO$6:$AO$505,'سجل الإجازات والحالات'!$B$6:$B$505,$B73)-SUMIFS('سجل الإجازات والحالات'!$AN$6:$AN$505,'سجل الإجازات والحالات'!$B$6:$B$505,$B73))))</f>
        <v/>
      </c>
      <c r="AK73" s="133" t="str">
        <f aca="false">IF($B73="","",MAX(0,IF(OR(الموظفون!$AE73="",الموظفون!$AE73&gt;$F$3),$F$3,الموظفون!$AE73)-MAX($E$3,الموظفون!$H73)+1))</f>
        <v/>
      </c>
      <c r="AL73" s="156" t="str">
        <f aca="false">IF($B73="","",SUMIFS('سجل الإجازات والحالات'!$BA$6:$BA$505,'سجل الإجازات والحالات'!$B$6:$B$505,$B73)+SUMIFS('الحركات الشهرية'!$K$6:$K$1005,'الحركات الشهرية'!$B$6:$B$1005,$B73,'الحركات الشهرية'!$A$6:$A$1005,$C$3))</f>
        <v/>
      </c>
      <c r="AM73" s="116" t="str">
        <f aca="false">IF($B73="","",AL73*الموظفون!$R73/cfg_DAYS_M+S73)</f>
        <v/>
      </c>
      <c r="AN73" s="156" t="str">
        <f aca="false">IF($B73="","",SUMIFS('سجل الإجازات والحالات'!$AC$6:$AC$505,'سجل الإجازات والحالات'!$B$6:$B$505,$B73))</f>
        <v/>
      </c>
    </row>
    <row r="74" customFormat="false" ht="15" hidden="false" customHeight="false" outlineLevel="0" collapsed="false">
      <c r="A74" s="106" t="str">
        <f aca="false">IF($B74="","",الموظفون!$A74)</f>
        <v/>
      </c>
      <c r="B74" s="114" t="str">
        <f aca="false">IF(الموظفون!$B74="","",الموظفون!$B74)</f>
        <v/>
      </c>
      <c r="C74" s="114" t="str">
        <f aca="false">IF($B74="","",الموظفون!$C74)</f>
        <v/>
      </c>
      <c r="D74" s="114" t="str">
        <f aca="false">IF($B74="","",الموظفون!$F74)</f>
        <v/>
      </c>
      <c r="E74" s="114" t="str">
        <f aca="false">IF($B74="","",الموظفون!$E74)</f>
        <v/>
      </c>
      <c r="F74" s="114" t="str">
        <f aca="false">IF($B74="","",IF(AK74=0,IF(AND(الموظفون!$AE74&lt;&gt;"",الموظفون!$AE74&lt;$E$3),"✖ منتهي الخدمة","⏳ لم يباشر"),IF(S74&gt;0,"✈ راتب إجازة مقدم",IF(J74=0,"⛔ بدون راتب هذا الشهر",IF(I74&gt;0,"✈ خصم "&amp;ROUND(I74,2)&amp;" يوم بدون أجر",IF(AL74&gt;0,"🌴 إجازة سنوية "&amp;ROUND(AL74,2)&amp;" يوم",IF(H74&gt;0,"⚠ غياب "&amp;ROUND(H74,2)&amp;" يوم","✔ على رأس العمل")))))))</f>
        <v/>
      </c>
      <c r="G74" s="151" t="str">
        <f aca="false">IF($B74="","",IF(AK74&gt;=DAY($F$3),cfg_DAYS_M,MIN(AK74,cfg_DAYS_M)))</f>
        <v/>
      </c>
      <c r="H74" s="151" t="str">
        <f aca="false">IF($B74="","",SUMIFS('الحركات الشهرية'!$D$6:$D$1005,'الحركات الشهرية'!$B$6:$B$1005,$B74,'الحركات الشهرية'!$A$6:$A$1005,$C$3))</f>
        <v/>
      </c>
      <c r="I74" s="151" t="str">
        <f aca="false">IF($B74="","",MIN(G74,IF(AND(AK74&gt;0,AN74&gt;=AK74),G74,AN74)+SUMIFS('الحركات الشهرية'!$E$6:$E$1005,'الحركات الشهرية'!$B$6:$B$1005,$B74,'الحركات الشهرية'!$A$6:$A$1005,$C$3)))</f>
        <v/>
      </c>
      <c r="J74" s="151" t="str">
        <f aca="false">IF($B74="","",MAX(0,G74-H74-I74))</f>
        <v/>
      </c>
      <c r="K74" s="111" t="str">
        <f aca="false">IF($B74="","",الموظفون!$L74*$J74/cfg_DAYS_M)</f>
        <v/>
      </c>
      <c r="L74" s="111" t="str">
        <f aca="false">IF($B74="","",الموظفون!$M74*$J74/cfg_DAYS_M)</f>
        <v/>
      </c>
      <c r="M74" s="111" t="str">
        <f aca="false">IF($B74="","",الموظفون!$N74*$J74/cfg_DAYS_M)</f>
        <v/>
      </c>
      <c r="N74" s="111" t="str">
        <f aca="false">IF($B74="","",الموظفون!$O74*$J74/cfg_DAYS_M)</f>
        <v/>
      </c>
      <c r="O74" s="151" t="str">
        <f aca="false">IF($B74="","",SUMIFS('الحركات الشهرية'!$F$6:$F$1005,'الحركات الشهرية'!$B$6:$B$1005,$B74,'الحركات الشهرية'!$A$6:$A$1005,$C$3))</f>
        <v/>
      </c>
      <c r="P74" s="111" t="str">
        <f aca="false">IF($B74="","",O74*(الموظفون!$P74+الموظفون!$L74*cfg_OT_P)/cfg_DAYS_M/cfg_HRS)</f>
        <v/>
      </c>
      <c r="Q74" s="111" t="str">
        <f aca="false">IF($B74="","",SUMIFS('الحركات الشهرية'!$G$6:$G$1005,'الحركات الشهرية'!$B$6:$B$1005,$B74,'الحركات الشهرية'!$A$6:$A$1005,$C$3))</f>
        <v/>
      </c>
      <c r="R74" s="111" t="str">
        <f aca="false">IF($B74="","",SUMIFS('الحركات الشهرية'!$H$6:$H$1005,'الحركات الشهرية'!$B$6:$B$1005,$B74,'الحركات الشهرية'!$A$6:$A$1005,$C$3))</f>
        <v/>
      </c>
      <c r="S74" s="111" t="str">
        <f aca="false">IF($B74="","",SUMIFS('سجل الإجازات والحالات'!$N$6:$N$505,'سجل الإجازات والحالات'!$B$6:$B$505,$B74,'سجل الإجازات والحالات'!$O$6:$O$505,$C$3))</f>
        <v/>
      </c>
      <c r="T74" s="152" t="str">
        <f aca="false">IF($B74="","",SUM(K74:N74)+SUM(P74:S74))</f>
        <v/>
      </c>
      <c r="U74" s="111" t="str">
        <f aca="false">IF($B74="","",الموظفون!$S74*IF(E74="سعودي",cfg_G_SE,cfg_G_NE)*G74/cfg_DAYS_M)</f>
        <v/>
      </c>
      <c r="V74" s="111" t="str">
        <f aca="false">IF($B74="","",SUMIFS('الحركات الشهرية'!$I$6:$I$1005,'الحركات الشهرية'!$B$6:$B$1005,$B74,'الحركات الشهرية'!$A$6:$A$1005,$C$3))</f>
        <v/>
      </c>
      <c r="W74" s="111" t="str">
        <f aca="false">IF($B74="","",SUMIFS('الحركات الشهرية'!$J$6:$J$1005,'الحركات الشهرية'!$B$6:$B$1005,$B74,'الحركات الشهرية'!$A$6:$A$1005,$C$3))</f>
        <v/>
      </c>
      <c r="X74" s="111" t="str">
        <f aca="false">IF($B74="","",SUM(U74:W74))</f>
        <v/>
      </c>
      <c r="Y74" s="153" t="str">
        <f aca="false">IF($B74="","",T74-X74)</f>
        <v/>
      </c>
      <c r="Z74" s="111" t="str">
        <f aca="false">IF($B74="","",الموظفون!$S74*IF(E74="سعودي",cfg_G_SR,cfg_G_NR)*G74/cfg_DAYS_M)</f>
        <v/>
      </c>
      <c r="AA74" s="111" t="str">
        <f aca="false">IF($B74="","",الموظفون!$Q74*(cfg_EOS_R1*(MIN(AH74,cfg_EOS_TH)-MIN(AI74,cfg_EOS_TH))+cfg_EOS_R2*(MAX(AH74-cfg_EOS_TH,0)-MAX(AI74-cfg_EOS_TH,0))))</f>
        <v/>
      </c>
      <c r="AB74" s="111" t="str">
        <f aca="false">IF($B74="","",IF(الموظفون!$T74&lt;&gt;"",الموظفون!$T74,IF(AH74&gt;=cfg_LV_TH,cfg_LV_D2,cfg_LV_D1))/cfg_DAYS_Y*AJ74*الموظفون!$R74/cfg_DAYS_M)</f>
        <v/>
      </c>
      <c r="AC74" s="111" t="str">
        <f aca="false">IF($B74="","",IF(AND(الموظفون!$U74="نعم",N(الموظفون!$W74)&gt;0),الموظفون!$V74/الموظفون!$W74*12/cfg_DAYS_Y*AJ74,0))</f>
        <v/>
      </c>
      <c r="AD74" s="111" t="str">
        <f aca="false">IF($B74="","",(IF(الموظفون!$X74&lt;&gt;"",الموظفون!$X74,IF(الموظفون!$E74="غير سعودي",cfg_IQ,0))+IF(الموظفون!$Y74&lt;&gt;"",الموظفون!$Y74,IF(الموظفون!$E74="غير سعودي",cfg_WP,0)))/12*G74/cfg_DAYS_M)</f>
        <v/>
      </c>
      <c r="AE74" s="111" t="str">
        <f aca="false">IF($B74="","",IF(الموظفون!$Z74&lt;&gt;"",الموظفون!$Z74,cfg_MED)/12*G74/cfg_DAYS_M)</f>
        <v/>
      </c>
      <c r="AF74" s="111" t="str">
        <f aca="false">IF($B74="","",N(الموظفون!$AA74)/12*G74/cfg_DAYS_M)</f>
        <v/>
      </c>
      <c r="AG74" s="154" t="str">
        <f aca="false">IF($B74="","",T74+SUM(Z74:AF74))</f>
        <v/>
      </c>
      <c r="AH74" s="155" t="str">
        <f aca="false">IF($B74="","",MAX(0,IF(OR(الموظفون!$AE74="",الموظفون!$AE74&gt;$F$3),$F$3,الموظفون!$AE74)-الموظفون!$H74+1-SUMIFS('سجل الإجازات والحالات'!$AO$6:$AO$505,'سجل الإجازات والحالات'!$B$6:$B$505,$B74))/cfg_DAYS_Y)</f>
        <v/>
      </c>
      <c r="AI74" s="155" t="str">
        <f aca="false">IF($B74="","",MAX(0,IF(OR(الموظفون!$AE74="",الموظفون!$AE74&gt;($E$3-1)),($E$3-1),الموظفون!$AE74)-الموظفون!$H74+1-SUMIFS('سجل الإجازات والحالات'!$AN$6:$AN$505,'سجل الإجازات والحالات'!$B$6:$B$505,$B74))/cfg_DAYS_Y)</f>
        <v/>
      </c>
      <c r="AJ74" s="65" t="str">
        <f aca="false">IF($B74="","",MAX(0,AK74-(SUMIFS('سجل الإجازات والحالات'!$AO$6:$AO$505,'سجل الإجازات والحالات'!$B$6:$B$505,$B74)-SUMIFS('سجل الإجازات والحالات'!$AN$6:$AN$505,'سجل الإجازات والحالات'!$B$6:$B$505,$B74))))</f>
        <v/>
      </c>
      <c r="AK74" s="65" t="str">
        <f aca="false">IF($B74="","",MAX(0,IF(OR(الموظفون!$AE74="",الموظفون!$AE74&gt;$F$3),$F$3,الموظفون!$AE74)-MAX($E$3,الموظفون!$H74)+1))</f>
        <v/>
      </c>
      <c r="AL74" s="151" t="str">
        <f aca="false">IF($B74="","",SUMIFS('سجل الإجازات والحالات'!$BA$6:$BA$505,'سجل الإجازات والحالات'!$B$6:$B$505,$B74)+SUMIFS('الحركات الشهرية'!$K$6:$K$1005,'الحركات الشهرية'!$B$6:$B$1005,$B74,'الحركات الشهرية'!$A$6:$A$1005,$C$3))</f>
        <v/>
      </c>
      <c r="AM74" s="111" t="str">
        <f aca="false">IF($B74="","",AL74*الموظفون!$R74/cfg_DAYS_M+S74)</f>
        <v/>
      </c>
      <c r="AN74" s="151" t="str">
        <f aca="false">IF($B74="","",SUMIFS('سجل الإجازات والحالات'!$AC$6:$AC$505,'سجل الإجازات والحالات'!$B$6:$B$505,$B74))</f>
        <v/>
      </c>
    </row>
    <row r="75" customFormat="false" ht="15" hidden="false" customHeight="false" outlineLevel="0" collapsed="false">
      <c r="A75" s="115" t="str">
        <f aca="false">IF($B75="","",الموظفون!$A75)</f>
        <v/>
      </c>
      <c r="B75" s="117" t="str">
        <f aca="false">IF(الموظفون!$B75="","",الموظفون!$B75)</f>
        <v/>
      </c>
      <c r="C75" s="117" t="str">
        <f aca="false">IF($B75="","",الموظفون!$C75)</f>
        <v/>
      </c>
      <c r="D75" s="117" t="str">
        <f aca="false">IF($B75="","",الموظفون!$F75)</f>
        <v/>
      </c>
      <c r="E75" s="117" t="str">
        <f aca="false">IF($B75="","",الموظفون!$E75)</f>
        <v/>
      </c>
      <c r="F75" s="117" t="str">
        <f aca="false">IF($B75="","",IF(AK75=0,IF(AND(الموظفون!$AE75&lt;&gt;"",الموظفون!$AE75&lt;$E$3),"✖ منتهي الخدمة","⏳ لم يباشر"),IF(S75&gt;0,"✈ راتب إجازة مقدم",IF(J75=0,"⛔ بدون راتب هذا الشهر",IF(I75&gt;0,"✈ خصم "&amp;ROUND(I75,2)&amp;" يوم بدون أجر",IF(AL75&gt;0,"🌴 إجازة سنوية "&amp;ROUND(AL75,2)&amp;" يوم",IF(H75&gt;0,"⚠ غياب "&amp;ROUND(H75,2)&amp;" يوم","✔ على رأس العمل")))))))</f>
        <v/>
      </c>
      <c r="G75" s="156" t="str">
        <f aca="false">IF($B75="","",IF(AK75&gt;=DAY($F$3),cfg_DAYS_M,MIN(AK75,cfg_DAYS_M)))</f>
        <v/>
      </c>
      <c r="H75" s="156" t="str">
        <f aca="false">IF($B75="","",SUMIFS('الحركات الشهرية'!$D$6:$D$1005,'الحركات الشهرية'!$B$6:$B$1005,$B75,'الحركات الشهرية'!$A$6:$A$1005,$C$3))</f>
        <v/>
      </c>
      <c r="I75" s="156" t="str">
        <f aca="false">IF($B75="","",MIN(G75,IF(AND(AK75&gt;0,AN75&gt;=AK75),G75,AN75)+SUMIFS('الحركات الشهرية'!$E$6:$E$1005,'الحركات الشهرية'!$B$6:$B$1005,$B75,'الحركات الشهرية'!$A$6:$A$1005,$C$3)))</f>
        <v/>
      </c>
      <c r="J75" s="156" t="str">
        <f aca="false">IF($B75="","",MAX(0,G75-H75-I75))</f>
        <v/>
      </c>
      <c r="K75" s="116" t="str">
        <f aca="false">IF($B75="","",الموظفون!$L75*$J75/cfg_DAYS_M)</f>
        <v/>
      </c>
      <c r="L75" s="116" t="str">
        <f aca="false">IF($B75="","",الموظفون!$M75*$J75/cfg_DAYS_M)</f>
        <v/>
      </c>
      <c r="M75" s="116" t="str">
        <f aca="false">IF($B75="","",الموظفون!$N75*$J75/cfg_DAYS_M)</f>
        <v/>
      </c>
      <c r="N75" s="116" t="str">
        <f aca="false">IF($B75="","",الموظفون!$O75*$J75/cfg_DAYS_M)</f>
        <v/>
      </c>
      <c r="O75" s="156" t="str">
        <f aca="false">IF($B75="","",SUMIFS('الحركات الشهرية'!$F$6:$F$1005,'الحركات الشهرية'!$B$6:$B$1005,$B75,'الحركات الشهرية'!$A$6:$A$1005,$C$3))</f>
        <v/>
      </c>
      <c r="P75" s="116" t="str">
        <f aca="false">IF($B75="","",O75*(الموظفون!$P75+الموظفون!$L75*cfg_OT_P)/cfg_DAYS_M/cfg_HRS)</f>
        <v/>
      </c>
      <c r="Q75" s="116" t="str">
        <f aca="false">IF($B75="","",SUMIFS('الحركات الشهرية'!$G$6:$G$1005,'الحركات الشهرية'!$B$6:$B$1005,$B75,'الحركات الشهرية'!$A$6:$A$1005,$C$3))</f>
        <v/>
      </c>
      <c r="R75" s="116" t="str">
        <f aca="false">IF($B75="","",SUMIFS('الحركات الشهرية'!$H$6:$H$1005,'الحركات الشهرية'!$B$6:$B$1005,$B75,'الحركات الشهرية'!$A$6:$A$1005,$C$3))</f>
        <v/>
      </c>
      <c r="S75" s="116" t="str">
        <f aca="false">IF($B75="","",SUMIFS('سجل الإجازات والحالات'!$N$6:$N$505,'سجل الإجازات والحالات'!$B$6:$B$505,$B75,'سجل الإجازات والحالات'!$O$6:$O$505,$C$3))</f>
        <v/>
      </c>
      <c r="T75" s="157" t="str">
        <f aca="false">IF($B75="","",SUM(K75:N75)+SUM(P75:S75))</f>
        <v/>
      </c>
      <c r="U75" s="116" t="str">
        <f aca="false">IF($B75="","",الموظفون!$S75*IF(E75="سعودي",cfg_G_SE,cfg_G_NE)*G75/cfg_DAYS_M)</f>
        <v/>
      </c>
      <c r="V75" s="116" t="str">
        <f aca="false">IF($B75="","",SUMIFS('الحركات الشهرية'!$I$6:$I$1005,'الحركات الشهرية'!$B$6:$B$1005,$B75,'الحركات الشهرية'!$A$6:$A$1005,$C$3))</f>
        <v/>
      </c>
      <c r="W75" s="116" t="str">
        <f aca="false">IF($B75="","",SUMIFS('الحركات الشهرية'!$J$6:$J$1005,'الحركات الشهرية'!$B$6:$B$1005,$B75,'الحركات الشهرية'!$A$6:$A$1005,$C$3))</f>
        <v/>
      </c>
      <c r="X75" s="116" t="str">
        <f aca="false">IF($B75="","",SUM(U75:W75))</f>
        <v/>
      </c>
      <c r="Y75" s="158" t="str">
        <f aca="false">IF($B75="","",T75-X75)</f>
        <v/>
      </c>
      <c r="Z75" s="116" t="str">
        <f aca="false">IF($B75="","",الموظفون!$S75*IF(E75="سعودي",cfg_G_SR,cfg_G_NR)*G75/cfg_DAYS_M)</f>
        <v/>
      </c>
      <c r="AA75" s="116" t="str">
        <f aca="false">IF($B75="","",الموظفون!$Q75*(cfg_EOS_R1*(MIN(AH75,cfg_EOS_TH)-MIN(AI75,cfg_EOS_TH))+cfg_EOS_R2*(MAX(AH75-cfg_EOS_TH,0)-MAX(AI75-cfg_EOS_TH,0))))</f>
        <v/>
      </c>
      <c r="AB75" s="116" t="str">
        <f aca="false">IF($B75="","",IF(الموظفون!$T75&lt;&gt;"",الموظفون!$T75,IF(AH75&gt;=cfg_LV_TH,cfg_LV_D2,cfg_LV_D1))/cfg_DAYS_Y*AJ75*الموظفون!$R75/cfg_DAYS_M)</f>
        <v/>
      </c>
      <c r="AC75" s="116" t="str">
        <f aca="false">IF($B75="","",IF(AND(الموظفون!$U75="نعم",N(الموظفون!$W75)&gt;0),الموظفون!$V75/الموظفون!$W75*12/cfg_DAYS_Y*AJ75,0))</f>
        <v/>
      </c>
      <c r="AD75" s="116" t="str">
        <f aca="false">IF($B75="","",(IF(الموظفون!$X75&lt;&gt;"",الموظفون!$X75,IF(الموظفون!$E75="غير سعودي",cfg_IQ,0))+IF(الموظفون!$Y75&lt;&gt;"",الموظفون!$Y75,IF(الموظفون!$E75="غير سعودي",cfg_WP,0)))/12*G75/cfg_DAYS_M)</f>
        <v/>
      </c>
      <c r="AE75" s="116" t="str">
        <f aca="false">IF($B75="","",IF(الموظفون!$Z75&lt;&gt;"",الموظفون!$Z75,cfg_MED)/12*G75/cfg_DAYS_M)</f>
        <v/>
      </c>
      <c r="AF75" s="116" t="str">
        <f aca="false">IF($B75="","",N(الموظفون!$AA75)/12*G75/cfg_DAYS_M)</f>
        <v/>
      </c>
      <c r="AG75" s="159" t="str">
        <f aca="false">IF($B75="","",T75+SUM(Z75:AF75))</f>
        <v/>
      </c>
      <c r="AH75" s="160" t="str">
        <f aca="false">IF($B75="","",MAX(0,IF(OR(الموظفون!$AE75="",الموظفون!$AE75&gt;$F$3),$F$3,الموظفون!$AE75)-الموظفون!$H75+1-SUMIFS('سجل الإجازات والحالات'!$AO$6:$AO$505,'سجل الإجازات والحالات'!$B$6:$B$505,$B75))/cfg_DAYS_Y)</f>
        <v/>
      </c>
      <c r="AI75" s="160" t="str">
        <f aca="false">IF($B75="","",MAX(0,IF(OR(الموظفون!$AE75="",الموظفون!$AE75&gt;($E$3-1)),($E$3-1),الموظفون!$AE75)-الموظفون!$H75+1-SUMIFS('سجل الإجازات والحالات'!$AN$6:$AN$505,'سجل الإجازات والحالات'!$B$6:$B$505,$B75))/cfg_DAYS_Y)</f>
        <v/>
      </c>
      <c r="AJ75" s="133" t="str">
        <f aca="false">IF($B75="","",MAX(0,AK75-(SUMIFS('سجل الإجازات والحالات'!$AO$6:$AO$505,'سجل الإجازات والحالات'!$B$6:$B$505,$B75)-SUMIFS('سجل الإجازات والحالات'!$AN$6:$AN$505,'سجل الإجازات والحالات'!$B$6:$B$505,$B75))))</f>
        <v/>
      </c>
      <c r="AK75" s="133" t="str">
        <f aca="false">IF($B75="","",MAX(0,IF(OR(الموظفون!$AE75="",الموظفون!$AE75&gt;$F$3),$F$3,الموظفون!$AE75)-MAX($E$3,الموظفون!$H75)+1))</f>
        <v/>
      </c>
      <c r="AL75" s="156" t="str">
        <f aca="false">IF($B75="","",SUMIFS('سجل الإجازات والحالات'!$BA$6:$BA$505,'سجل الإجازات والحالات'!$B$6:$B$505,$B75)+SUMIFS('الحركات الشهرية'!$K$6:$K$1005,'الحركات الشهرية'!$B$6:$B$1005,$B75,'الحركات الشهرية'!$A$6:$A$1005,$C$3))</f>
        <v/>
      </c>
      <c r="AM75" s="116" t="str">
        <f aca="false">IF($B75="","",AL75*الموظفون!$R75/cfg_DAYS_M+S75)</f>
        <v/>
      </c>
      <c r="AN75" s="156" t="str">
        <f aca="false">IF($B75="","",SUMIFS('سجل الإجازات والحالات'!$AC$6:$AC$505,'سجل الإجازات والحالات'!$B$6:$B$505,$B75))</f>
        <v/>
      </c>
    </row>
    <row r="76" customFormat="false" ht="15" hidden="false" customHeight="false" outlineLevel="0" collapsed="false">
      <c r="A76" s="106" t="str">
        <f aca="false">IF($B76="","",الموظفون!$A76)</f>
        <v/>
      </c>
      <c r="B76" s="114" t="str">
        <f aca="false">IF(الموظفون!$B76="","",الموظفون!$B76)</f>
        <v/>
      </c>
      <c r="C76" s="114" t="str">
        <f aca="false">IF($B76="","",الموظفون!$C76)</f>
        <v/>
      </c>
      <c r="D76" s="114" t="str">
        <f aca="false">IF($B76="","",الموظفون!$F76)</f>
        <v/>
      </c>
      <c r="E76" s="114" t="str">
        <f aca="false">IF($B76="","",الموظفون!$E76)</f>
        <v/>
      </c>
      <c r="F76" s="114" t="str">
        <f aca="false">IF($B76="","",IF(AK76=0,IF(AND(الموظفون!$AE76&lt;&gt;"",الموظفون!$AE76&lt;$E$3),"✖ منتهي الخدمة","⏳ لم يباشر"),IF(S76&gt;0,"✈ راتب إجازة مقدم",IF(J76=0,"⛔ بدون راتب هذا الشهر",IF(I76&gt;0,"✈ خصم "&amp;ROUND(I76,2)&amp;" يوم بدون أجر",IF(AL76&gt;0,"🌴 إجازة سنوية "&amp;ROUND(AL76,2)&amp;" يوم",IF(H76&gt;0,"⚠ غياب "&amp;ROUND(H76,2)&amp;" يوم","✔ على رأس العمل")))))))</f>
        <v/>
      </c>
      <c r="G76" s="151" t="str">
        <f aca="false">IF($B76="","",IF(AK76&gt;=DAY($F$3),cfg_DAYS_M,MIN(AK76,cfg_DAYS_M)))</f>
        <v/>
      </c>
      <c r="H76" s="151" t="str">
        <f aca="false">IF($B76="","",SUMIFS('الحركات الشهرية'!$D$6:$D$1005,'الحركات الشهرية'!$B$6:$B$1005,$B76,'الحركات الشهرية'!$A$6:$A$1005,$C$3))</f>
        <v/>
      </c>
      <c r="I76" s="151" t="str">
        <f aca="false">IF($B76="","",MIN(G76,IF(AND(AK76&gt;0,AN76&gt;=AK76),G76,AN76)+SUMIFS('الحركات الشهرية'!$E$6:$E$1005,'الحركات الشهرية'!$B$6:$B$1005,$B76,'الحركات الشهرية'!$A$6:$A$1005,$C$3)))</f>
        <v/>
      </c>
      <c r="J76" s="151" t="str">
        <f aca="false">IF($B76="","",MAX(0,G76-H76-I76))</f>
        <v/>
      </c>
      <c r="K76" s="111" t="str">
        <f aca="false">IF($B76="","",الموظفون!$L76*$J76/cfg_DAYS_M)</f>
        <v/>
      </c>
      <c r="L76" s="111" t="str">
        <f aca="false">IF($B76="","",الموظفون!$M76*$J76/cfg_DAYS_M)</f>
        <v/>
      </c>
      <c r="M76" s="111" t="str">
        <f aca="false">IF($B76="","",الموظفون!$N76*$J76/cfg_DAYS_M)</f>
        <v/>
      </c>
      <c r="N76" s="111" t="str">
        <f aca="false">IF($B76="","",الموظفون!$O76*$J76/cfg_DAYS_M)</f>
        <v/>
      </c>
      <c r="O76" s="151" t="str">
        <f aca="false">IF($B76="","",SUMIFS('الحركات الشهرية'!$F$6:$F$1005,'الحركات الشهرية'!$B$6:$B$1005,$B76,'الحركات الشهرية'!$A$6:$A$1005,$C$3))</f>
        <v/>
      </c>
      <c r="P76" s="111" t="str">
        <f aca="false">IF($B76="","",O76*(الموظفون!$P76+الموظفون!$L76*cfg_OT_P)/cfg_DAYS_M/cfg_HRS)</f>
        <v/>
      </c>
      <c r="Q76" s="111" t="str">
        <f aca="false">IF($B76="","",SUMIFS('الحركات الشهرية'!$G$6:$G$1005,'الحركات الشهرية'!$B$6:$B$1005,$B76,'الحركات الشهرية'!$A$6:$A$1005,$C$3))</f>
        <v/>
      </c>
      <c r="R76" s="111" t="str">
        <f aca="false">IF($B76="","",SUMIFS('الحركات الشهرية'!$H$6:$H$1005,'الحركات الشهرية'!$B$6:$B$1005,$B76,'الحركات الشهرية'!$A$6:$A$1005,$C$3))</f>
        <v/>
      </c>
      <c r="S76" s="111" t="str">
        <f aca="false">IF($B76="","",SUMIFS('سجل الإجازات والحالات'!$N$6:$N$505,'سجل الإجازات والحالات'!$B$6:$B$505,$B76,'سجل الإجازات والحالات'!$O$6:$O$505,$C$3))</f>
        <v/>
      </c>
      <c r="T76" s="152" t="str">
        <f aca="false">IF($B76="","",SUM(K76:N76)+SUM(P76:S76))</f>
        <v/>
      </c>
      <c r="U76" s="111" t="str">
        <f aca="false">IF($B76="","",الموظفون!$S76*IF(E76="سعودي",cfg_G_SE,cfg_G_NE)*G76/cfg_DAYS_M)</f>
        <v/>
      </c>
      <c r="V76" s="111" t="str">
        <f aca="false">IF($B76="","",SUMIFS('الحركات الشهرية'!$I$6:$I$1005,'الحركات الشهرية'!$B$6:$B$1005,$B76,'الحركات الشهرية'!$A$6:$A$1005,$C$3))</f>
        <v/>
      </c>
      <c r="W76" s="111" t="str">
        <f aca="false">IF($B76="","",SUMIFS('الحركات الشهرية'!$J$6:$J$1005,'الحركات الشهرية'!$B$6:$B$1005,$B76,'الحركات الشهرية'!$A$6:$A$1005,$C$3))</f>
        <v/>
      </c>
      <c r="X76" s="111" t="str">
        <f aca="false">IF($B76="","",SUM(U76:W76))</f>
        <v/>
      </c>
      <c r="Y76" s="153" t="str">
        <f aca="false">IF($B76="","",T76-X76)</f>
        <v/>
      </c>
      <c r="Z76" s="111" t="str">
        <f aca="false">IF($B76="","",الموظفون!$S76*IF(E76="سعودي",cfg_G_SR,cfg_G_NR)*G76/cfg_DAYS_M)</f>
        <v/>
      </c>
      <c r="AA76" s="111" t="str">
        <f aca="false">IF($B76="","",الموظفون!$Q76*(cfg_EOS_R1*(MIN(AH76,cfg_EOS_TH)-MIN(AI76,cfg_EOS_TH))+cfg_EOS_R2*(MAX(AH76-cfg_EOS_TH,0)-MAX(AI76-cfg_EOS_TH,0))))</f>
        <v/>
      </c>
      <c r="AB76" s="111" t="str">
        <f aca="false">IF($B76="","",IF(الموظفون!$T76&lt;&gt;"",الموظفون!$T76,IF(AH76&gt;=cfg_LV_TH,cfg_LV_D2,cfg_LV_D1))/cfg_DAYS_Y*AJ76*الموظفون!$R76/cfg_DAYS_M)</f>
        <v/>
      </c>
      <c r="AC76" s="111" t="str">
        <f aca="false">IF($B76="","",IF(AND(الموظفون!$U76="نعم",N(الموظفون!$W76)&gt;0),الموظفون!$V76/الموظفون!$W76*12/cfg_DAYS_Y*AJ76,0))</f>
        <v/>
      </c>
      <c r="AD76" s="111" t="str">
        <f aca="false">IF($B76="","",(IF(الموظفون!$X76&lt;&gt;"",الموظفون!$X76,IF(الموظفون!$E76="غير سعودي",cfg_IQ,0))+IF(الموظفون!$Y76&lt;&gt;"",الموظفون!$Y76,IF(الموظفون!$E76="غير سعودي",cfg_WP,0)))/12*G76/cfg_DAYS_M)</f>
        <v/>
      </c>
      <c r="AE76" s="111" t="str">
        <f aca="false">IF($B76="","",IF(الموظفون!$Z76&lt;&gt;"",الموظفون!$Z76,cfg_MED)/12*G76/cfg_DAYS_M)</f>
        <v/>
      </c>
      <c r="AF76" s="111" t="str">
        <f aca="false">IF($B76="","",N(الموظفون!$AA76)/12*G76/cfg_DAYS_M)</f>
        <v/>
      </c>
      <c r="AG76" s="154" t="str">
        <f aca="false">IF($B76="","",T76+SUM(Z76:AF76))</f>
        <v/>
      </c>
      <c r="AH76" s="155" t="str">
        <f aca="false">IF($B76="","",MAX(0,IF(OR(الموظفون!$AE76="",الموظفون!$AE76&gt;$F$3),$F$3,الموظفون!$AE76)-الموظفون!$H76+1-SUMIFS('سجل الإجازات والحالات'!$AO$6:$AO$505,'سجل الإجازات والحالات'!$B$6:$B$505,$B76))/cfg_DAYS_Y)</f>
        <v/>
      </c>
      <c r="AI76" s="155" t="str">
        <f aca="false">IF($B76="","",MAX(0,IF(OR(الموظفون!$AE76="",الموظفون!$AE76&gt;($E$3-1)),($E$3-1),الموظفون!$AE76)-الموظفون!$H76+1-SUMIFS('سجل الإجازات والحالات'!$AN$6:$AN$505,'سجل الإجازات والحالات'!$B$6:$B$505,$B76))/cfg_DAYS_Y)</f>
        <v/>
      </c>
      <c r="AJ76" s="65" t="str">
        <f aca="false">IF($B76="","",MAX(0,AK76-(SUMIFS('سجل الإجازات والحالات'!$AO$6:$AO$505,'سجل الإجازات والحالات'!$B$6:$B$505,$B76)-SUMIFS('سجل الإجازات والحالات'!$AN$6:$AN$505,'سجل الإجازات والحالات'!$B$6:$B$505,$B76))))</f>
        <v/>
      </c>
      <c r="AK76" s="65" t="str">
        <f aca="false">IF($B76="","",MAX(0,IF(OR(الموظفون!$AE76="",الموظفون!$AE76&gt;$F$3),$F$3,الموظفون!$AE76)-MAX($E$3,الموظفون!$H76)+1))</f>
        <v/>
      </c>
      <c r="AL76" s="151" t="str">
        <f aca="false">IF($B76="","",SUMIFS('سجل الإجازات والحالات'!$BA$6:$BA$505,'سجل الإجازات والحالات'!$B$6:$B$505,$B76)+SUMIFS('الحركات الشهرية'!$K$6:$K$1005,'الحركات الشهرية'!$B$6:$B$1005,$B76,'الحركات الشهرية'!$A$6:$A$1005,$C$3))</f>
        <v/>
      </c>
      <c r="AM76" s="111" t="str">
        <f aca="false">IF($B76="","",AL76*الموظفون!$R76/cfg_DAYS_M+S76)</f>
        <v/>
      </c>
      <c r="AN76" s="151" t="str">
        <f aca="false">IF($B76="","",SUMIFS('سجل الإجازات والحالات'!$AC$6:$AC$505,'سجل الإجازات والحالات'!$B$6:$B$505,$B76))</f>
        <v/>
      </c>
    </row>
    <row r="77" customFormat="false" ht="15" hidden="false" customHeight="false" outlineLevel="0" collapsed="false">
      <c r="A77" s="115" t="str">
        <f aca="false">IF($B77="","",الموظفون!$A77)</f>
        <v/>
      </c>
      <c r="B77" s="117" t="str">
        <f aca="false">IF(الموظفون!$B77="","",الموظفون!$B77)</f>
        <v/>
      </c>
      <c r="C77" s="117" t="str">
        <f aca="false">IF($B77="","",الموظفون!$C77)</f>
        <v/>
      </c>
      <c r="D77" s="117" t="str">
        <f aca="false">IF($B77="","",الموظفون!$F77)</f>
        <v/>
      </c>
      <c r="E77" s="117" t="str">
        <f aca="false">IF($B77="","",الموظفون!$E77)</f>
        <v/>
      </c>
      <c r="F77" s="117" t="str">
        <f aca="false">IF($B77="","",IF(AK77=0,IF(AND(الموظفون!$AE77&lt;&gt;"",الموظفون!$AE77&lt;$E$3),"✖ منتهي الخدمة","⏳ لم يباشر"),IF(S77&gt;0,"✈ راتب إجازة مقدم",IF(J77=0,"⛔ بدون راتب هذا الشهر",IF(I77&gt;0,"✈ خصم "&amp;ROUND(I77,2)&amp;" يوم بدون أجر",IF(AL77&gt;0,"🌴 إجازة سنوية "&amp;ROUND(AL77,2)&amp;" يوم",IF(H77&gt;0,"⚠ غياب "&amp;ROUND(H77,2)&amp;" يوم","✔ على رأس العمل")))))))</f>
        <v/>
      </c>
      <c r="G77" s="156" t="str">
        <f aca="false">IF($B77="","",IF(AK77&gt;=DAY($F$3),cfg_DAYS_M,MIN(AK77,cfg_DAYS_M)))</f>
        <v/>
      </c>
      <c r="H77" s="156" t="str">
        <f aca="false">IF($B77="","",SUMIFS('الحركات الشهرية'!$D$6:$D$1005,'الحركات الشهرية'!$B$6:$B$1005,$B77,'الحركات الشهرية'!$A$6:$A$1005,$C$3))</f>
        <v/>
      </c>
      <c r="I77" s="156" t="str">
        <f aca="false">IF($B77="","",MIN(G77,IF(AND(AK77&gt;0,AN77&gt;=AK77),G77,AN77)+SUMIFS('الحركات الشهرية'!$E$6:$E$1005,'الحركات الشهرية'!$B$6:$B$1005,$B77,'الحركات الشهرية'!$A$6:$A$1005,$C$3)))</f>
        <v/>
      </c>
      <c r="J77" s="156" t="str">
        <f aca="false">IF($B77="","",MAX(0,G77-H77-I77))</f>
        <v/>
      </c>
      <c r="K77" s="116" t="str">
        <f aca="false">IF($B77="","",الموظفون!$L77*$J77/cfg_DAYS_M)</f>
        <v/>
      </c>
      <c r="L77" s="116" t="str">
        <f aca="false">IF($B77="","",الموظفون!$M77*$J77/cfg_DAYS_M)</f>
        <v/>
      </c>
      <c r="M77" s="116" t="str">
        <f aca="false">IF($B77="","",الموظفون!$N77*$J77/cfg_DAYS_M)</f>
        <v/>
      </c>
      <c r="N77" s="116" t="str">
        <f aca="false">IF($B77="","",الموظفون!$O77*$J77/cfg_DAYS_M)</f>
        <v/>
      </c>
      <c r="O77" s="156" t="str">
        <f aca="false">IF($B77="","",SUMIFS('الحركات الشهرية'!$F$6:$F$1005,'الحركات الشهرية'!$B$6:$B$1005,$B77,'الحركات الشهرية'!$A$6:$A$1005,$C$3))</f>
        <v/>
      </c>
      <c r="P77" s="116" t="str">
        <f aca="false">IF($B77="","",O77*(الموظفون!$P77+الموظفون!$L77*cfg_OT_P)/cfg_DAYS_M/cfg_HRS)</f>
        <v/>
      </c>
      <c r="Q77" s="116" t="str">
        <f aca="false">IF($B77="","",SUMIFS('الحركات الشهرية'!$G$6:$G$1005,'الحركات الشهرية'!$B$6:$B$1005,$B77,'الحركات الشهرية'!$A$6:$A$1005,$C$3))</f>
        <v/>
      </c>
      <c r="R77" s="116" t="str">
        <f aca="false">IF($B77="","",SUMIFS('الحركات الشهرية'!$H$6:$H$1005,'الحركات الشهرية'!$B$6:$B$1005,$B77,'الحركات الشهرية'!$A$6:$A$1005,$C$3))</f>
        <v/>
      </c>
      <c r="S77" s="116" t="str">
        <f aca="false">IF($B77="","",SUMIFS('سجل الإجازات والحالات'!$N$6:$N$505,'سجل الإجازات والحالات'!$B$6:$B$505,$B77,'سجل الإجازات والحالات'!$O$6:$O$505,$C$3))</f>
        <v/>
      </c>
      <c r="T77" s="157" t="str">
        <f aca="false">IF($B77="","",SUM(K77:N77)+SUM(P77:S77))</f>
        <v/>
      </c>
      <c r="U77" s="116" t="str">
        <f aca="false">IF($B77="","",الموظفون!$S77*IF(E77="سعودي",cfg_G_SE,cfg_G_NE)*G77/cfg_DAYS_M)</f>
        <v/>
      </c>
      <c r="V77" s="116" t="str">
        <f aca="false">IF($B77="","",SUMIFS('الحركات الشهرية'!$I$6:$I$1005,'الحركات الشهرية'!$B$6:$B$1005,$B77,'الحركات الشهرية'!$A$6:$A$1005,$C$3))</f>
        <v/>
      </c>
      <c r="W77" s="116" t="str">
        <f aca="false">IF($B77="","",SUMIFS('الحركات الشهرية'!$J$6:$J$1005,'الحركات الشهرية'!$B$6:$B$1005,$B77,'الحركات الشهرية'!$A$6:$A$1005,$C$3))</f>
        <v/>
      </c>
      <c r="X77" s="116" t="str">
        <f aca="false">IF($B77="","",SUM(U77:W77))</f>
        <v/>
      </c>
      <c r="Y77" s="158" t="str">
        <f aca="false">IF($B77="","",T77-X77)</f>
        <v/>
      </c>
      <c r="Z77" s="116" t="str">
        <f aca="false">IF($B77="","",الموظفون!$S77*IF(E77="سعودي",cfg_G_SR,cfg_G_NR)*G77/cfg_DAYS_M)</f>
        <v/>
      </c>
      <c r="AA77" s="116" t="str">
        <f aca="false">IF($B77="","",الموظفون!$Q77*(cfg_EOS_R1*(MIN(AH77,cfg_EOS_TH)-MIN(AI77,cfg_EOS_TH))+cfg_EOS_R2*(MAX(AH77-cfg_EOS_TH,0)-MAX(AI77-cfg_EOS_TH,0))))</f>
        <v/>
      </c>
      <c r="AB77" s="116" t="str">
        <f aca="false">IF($B77="","",IF(الموظفون!$T77&lt;&gt;"",الموظفون!$T77,IF(AH77&gt;=cfg_LV_TH,cfg_LV_D2,cfg_LV_D1))/cfg_DAYS_Y*AJ77*الموظفون!$R77/cfg_DAYS_M)</f>
        <v/>
      </c>
      <c r="AC77" s="116" t="str">
        <f aca="false">IF($B77="","",IF(AND(الموظفون!$U77="نعم",N(الموظفون!$W77)&gt;0),الموظفون!$V77/الموظفون!$W77*12/cfg_DAYS_Y*AJ77,0))</f>
        <v/>
      </c>
      <c r="AD77" s="116" t="str">
        <f aca="false">IF($B77="","",(IF(الموظفون!$X77&lt;&gt;"",الموظفون!$X77,IF(الموظفون!$E77="غير سعودي",cfg_IQ,0))+IF(الموظفون!$Y77&lt;&gt;"",الموظفون!$Y77,IF(الموظفون!$E77="غير سعودي",cfg_WP,0)))/12*G77/cfg_DAYS_M)</f>
        <v/>
      </c>
      <c r="AE77" s="116" t="str">
        <f aca="false">IF($B77="","",IF(الموظفون!$Z77&lt;&gt;"",الموظفون!$Z77,cfg_MED)/12*G77/cfg_DAYS_M)</f>
        <v/>
      </c>
      <c r="AF77" s="116" t="str">
        <f aca="false">IF($B77="","",N(الموظفون!$AA77)/12*G77/cfg_DAYS_M)</f>
        <v/>
      </c>
      <c r="AG77" s="159" t="str">
        <f aca="false">IF($B77="","",T77+SUM(Z77:AF77))</f>
        <v/>
      </c>
      <c r="AH77" s="160" t="str">
        <f aca="false">IF($B77="","",MAX(0,IF(OR(الموظفون!$AE77="",الموظفون!$AE77&gt;$F$3),$F$3,الموظفون!$AE77)-الموظفون!$H77+1-SUMIFS('سجل الإجازات والحالات'!$AO$6:$AO$505,'سجل الإجازات والحالات'!$B$6:$B$505,$B77))/cfg_DAYS_Y)</f>
        <v/>
      </c>
      <c r="AI77" s="160" t="str">
        <f aca="false">IF($B77="","",MAX(0,IF(OR(الموظفون!$AE77="",الموظفون!$AE77&gt;($E$3-1)),($E$3-1),الموظفون!$AE77)-الموظفون!$H77+1-SUMIFS('سجل الإجازات والحالات'!$AN$6:$AN$505,'سجل الإجازات والحالات'!$B$6:$B$505,$B77))/cfg_DAYS_Y)</f>
        <v/>
      </c>
      <c r="AJ77" s="133" t="str">
        <f aca="false">IF($B77="","",MAX(0,AK77-(SUMIFS('سجل الإجازات والحالات'!$AO$6:$AO$505,'سجل الإجازات والحالات'!$B$6:$B$505,$B77)-SUMIFS('سجل الإجازات والحالات'!$AN$6:$AN$505,'سجل الإجازات والحالات'!$B$6:$B$505,$B77))))</f>
        <v/>
      </c>
      <c r="AK77" s="133" t="str">
        <f aca="false">IF($B77="","",MAX(0,IF(OR(الموظفون!$AE77="",الموظفون!$AE77&gt;$F$3),$F$3,الموظفون!$AE77)-MAX($E$3,الموظفون!$H77)+1))</f>
        <v/>
      </c>
      <c r="AL77" s="156" t="str">
        <f aca="false">IF($B77="","",SUMIFS('سجل الإجازات والحالات'!$BA$6:$BA$505,'سجل الإجازات والحالات'!$B$6:$B$505,$B77)+SUMIFS('الحركات الشهرية'!$K$6:$K$1005,'الحركات الشهرية'!$B$6:$B$1005,$B77,'الحركات الشهرية'!$A$6:$A$1005,$C$3))</f>
        <v/>
      </c>
      <c r="AM77" s="116" t="str">
        <f aca="false">IF($B77="","",AL77*الموظفون!$R77/cfg_DAYS_M+S77)</f>
        <v/>
      </c>
      <c r="AN77" s="156" t="str">
        <f aca="false">IF($B77="","",SUMIFS('سجل الإجازات والحالات'!$AC$6:$AC$505,'سجل الإجازات والحالات'!$B$6:$B$505,$B77))</f>
        <v/>
      </c>
    </row>
    <row r="78" customFormat="false" ht="15" hidden="false" customHeight="false" outlineLevel="0" collapsed="false">
      <c r="A78" s="106" t="str">
        <f aca="false">IF($B78="","",الموظفون!$A78)</f>
        <v/>
      </c>
      <c r="B78" s="114" t="str">
        <f aca="false">IF(الموظفون!$B78="","",الموظفون!$B78)</f>
        <v/>
      </c>
      <c r="C78" s="114" t="str">
        <f aca="false">IF($B78="","",الموظفون!$C78)</f>
        <v/>
      </c>
      <c r="D78" s="114" t="str">
        <f aca="false">IF($B78="","",الموظفون!$F78)</f>
        <v/>
      </c>
      <c r="E78" s="114" t="str">
        <f aca="false">IF($B78="","",الموظفون!$E78)</f>
        <v/>
      </c>
      <c r="F78" s="114" t="str">
        <f aca="false">IF($B78="","",IF(AK78=0,IF(AND(الموظفون!$AE78&lt;&gt;"",الموظفون!$AE78&lt;$E$3),"✖ منتهي الخدمة","⏳ لم يباشر"),IF(S78&gt;0,"✈ راتب إجازة مقدم",IF(J78=0,"⛔ بدون راتب هذا الشهر",IF(I78&gt;0,"✈ خصم "&amp;ROUND(I78,2)&amp;" يوم بدون أجر",IF(AL78&gt;0,"🌴 إجازة سنوية "&amp;ROUND(AL78,2)&amp;" يوم",IF(H78&gt;0,"⚠ غياب "&amp;ROUND(H78,2)&amp;" يوم","✔ على رأس العمل")))))))</f>
        <v/>
      </c>
      <c r="G78" s="151" t="str">
        <f aca="false">IF($B78="","",IF(AK78&gt;=DAY($F$3),cfg_DAYS_M,MIN(AK78,cfg_DAYS_M)))</f>
        <v/>
      </c>
      <c r="H78" s="151" t="str">
        <f aca="false">IF($B78="","",SUMIFS('الحركات الشهرية'!$D$6:$D$1005,'الحركات الشهرية'!$B$6:$B$1005,$B78,'الحركات الشهرية'!$A$6:$A$1005,$C$3))</f>
        <v/>
      </c>
      <c r="I78" s="151" t="str">
        <f aca="false">IF($B78="","",MIN(G78,IF(AND(AK78&gt;0,AN78&gt;=AK78),G78,AN78)+SUMIFS('الحركات الشهرية'!$E$6:$E$1005,'الحركات الشهرية'!$B$6:$B$1005,$B78,'الحركات الشهرية'!$A$6:$A$1005,$C$3)))</f>
        <v/>
      </c>
      <c r="J78" s="151" t="str">
        <f aca="false">IF($B78="","",MAX(0,G78-H78-I78))</f>
        <v/>
      </c>
      <c r="K78" s="111" t="str">
        <f aca="false">IF($B78="","",الموظفون!$L78*$J78/cfg_DAYS_M)</f>
        <v/>
      </c>
      <c r="L78" s="111" t="str">
        <f aca="false">IF($B78="","",الموظفون!$M78*$J78/cfg_DAYS_M)</f>
        <v/>
      </c>
      <c r="M78" s="111" t="str">
        <f aca="false">IF($B78="","",الموظفون!$N78*$J78/cfg_DAYS_M)</f>
        <v/>
      </c>
      <c r="N78" s="111" t="str">
        <f aca="false">IF($B78="","",الموظفون!$O78*$J78/cfg_DAYS_M)</f>
        <v/>
      </c>
      <c r="O78" s="151" t="str">
        <f aca="false">IF($B78="","",SUMIFS('الحركات الشهرية'!$F$6:$F$1005,'الحركات الشهرية'!$B$6:$B$1005,$B78,'الحركات الشهرية'!$A$6:$A$1005,$C$3))</f>
        <v/>
      </c>
      <c r="P78" s="111" t="str">
        <f aca="false">IF($B78="","",O78*(الموظفون!$P78+الموظفون!$L78*cfg_OT_P)/cfg_DAYS_M/cfg_HRS)</f>
        <v/>
      </c>
      <c r="Q78" s="111" t="str">
        <f aca="false">IF($B78="","",SUMIFS('الحركات الشهرية'!$G$6:$G$1005,'الحركات الشهرية'!$B$6:$B$1005,$B78,'الحركات الشهرية'!$A$6:$A$1005,$C$3))</f>
        <v/>
      </c>
      <c r="R78" s="111" t="str">
        <f aca="false">IF($B78="","",SUMIFS('الحركات الشهرية'!$H$6:$H$1005,'الحركات الشهرية'!$B$6:$B$1005,$B78,'الحركات الشهرية'!$A$6:$A$1005,$C$3))</f>
        <v/>
      </c>
      <c r="S78" s="111" t="str">
        <f aca="false">IF($B78="","",SUMIFS('سجل الإجازات والحالات'!$N$6:$N$505,'سجل الإجازات والحالات'!$B$6:$B$505,$B78,'سجل الإجازات والحالات'!$O$6:$O$505,$C$3))</f>
        <v/>
      </c>
      <c r="T78" s="152" t="str">
        <f aca="false">IF($B78="","",SUM(K78:N78)+SUM(P78:S78))</f>
        <v/>
      </c>
      <c r="U78" s="111" t="str">
        <f aca="false">IF($B78="","",الموظفون!$S78*IF(E78="سعودي",cfg_G_SE,cfg_G_NE)*G78/cfg_DAYS_M)</f>
        <v/>
      </c>
      <c r="V78" s="111" t="str">
        <f aca="false">IF($B78="","",SUMIFS('الحركات الشهرية'!$I$6:$I$1005,'الحركات الشهرية'!$B$6:$B$1005,$B78,'الحركات الشهرية'!$A$6:$A$1005,$C$3))</f>
        <v/>
      </c>
      <c r="W78" s="111" t="str">
        <f aca="false">IF($B78="","",SUMIFS('الحركات الشهرية'!$J$6:$J$1005,'الحركات الشهرية'!$B$6:$B$1005,$B78,'الحركات الشهرية'!$A$6:$A$1005,$C$3))</f>
        <v/>
      </c>
      <c r="X78" s="111" t="str">
        <f aca="false">IF($B78="","",SUM(U78:W78))</f>
        <v/>
      </c>
      <c r="Y78" s="153" t="str">
        <f aca="false">IF($B78="","",T78-X78)</f>
        <v/>
      </c>
      <c r="Z78" s="111" t="str">
        <f aca="false">IF($B78="","",الموظفون!$S78*IF(E78="سعودي",cfg_G_SR,cfg_G_NR)*G78/cfg_DAYS_M)</f>
        <v/>
      </c>
      <c r="AA78" s="111" t="str">
        <f aca="false">IF($B78="","",الموظفون!$Q78*(cfg_EOS_R1*(MIN(AH78,cfg_EOS_TH)-MIN(AI78,cfg_EOS_TH))+cfg_EOS_R2*(MAX(AH78-cfg_EOS_TH,0)-MAX(AI78-cfg_EOS_TH,0))))</f>
        <v/>
      </c>
      <c r="AB78" s="111" t="str">
        <f aca="false">IF($B78="","",IF(الموظفون!$T78&lt;&gt;"",الموظفون!$T78,IF(AH78&gt;=cfg_LV_TH,cfg_LV_D2,cfg_LV_D1))/cfg_DAYS_Y*AJ78*الموظفون!$R78/cfg_DAYS_M)</f>
        <v/>
      </c>
      <c r="AC78" s="111" t="str">
        <f aca="false">IF($B78="","",IF(AND(الموظفون!$U78="نعم",N(الموظفون!$W78)&gt;0),الموظفون!$V78/الموظفون!$W78*12/cfg_DAYS_Y*AJ78,0))</f>
        <v/>
      </c>
      <c r="AD78" s="111" t="str">
        <f aca="false">IF($B78="","",(IF(الموظفون!$X78&lt;&gt;"",الموظفون!$X78,IF(الموظفون!$E78="غير سعودي",cfg_IQ,0))+IF(الموظفون!$Y78&lt;&gt;"",الموظفون!$Y78,IF(الموظفون!$E78="غير سعودي",cfg_WP,0)))/12*G78/cfg_DAYS_M)</f>
        <v/>
      </c>
      <c r="AE78" s="111" t="str">
        <f aca="false">IF($B78="","",IF(الموظفون!$Z78&lt;&gt;"",الموظفون!$Z78,cfg_MED)/12*G78/cfg_DAYS_M)</f>
        <v/>
      </c>
      <c r="AF78" s="111" t="str">
        <f aca="false">IF($B78="","",N(الموظفون!$AA78)/12*G78/cfg_DAYS_M)</f>
        <v/>
      </c>
      <c r="AG78" s="154" t="str">
        <f aca="false">IF($B78="","",T78+SUM(Z78:AF78))</f>
        <v/>
      </c>
      <c r="AH78" s="155" t="str">
        <f aca="false">IF($B78="","",MAX(0,IF(OR(الموظفون!$AE78="",الموظفون!$AE78&gt;$F$3),$F$3,الموظفون!$AE78)-الموظفون!$H78+1-SUMIFS('سجل الإجازات والحالات'!$AO$6:$AO$505,'سجل الإجازات والحالات'!$B$6:$B$505,$B78))/cfg_DAYS_Y)</f>
        <v/>
      </c>
      <c r="AI78" s="155" t="str">
        <f aca="false">IF($B78="","",MAX(0,IF(OR(الموظفون!$AE78="",الموظفون!$AE78&gt;($E$3-1)),($E$3-1),الموظفون!$AE78)-الموظفون!$H78+1-SUMIFS('سجل الإجازات والحالات'!$AN$6:$AN$505,'سجل الإجازات والحالات'!$B$6:$B$505,$B78))/cfg_DAYS_Y)</f>
        <v/>
      </c>
      <c r="AJ78" s="65" t="str">
        <f aca="false">IF($B78="","",MAX(0,AK78-(SUMIFS('سجل الإجازات والحالات'!$AO$6:$AO$505,'سجل الإجازات والحالات'!$B$6:$B$505,$B78)-SUMIFS('سجل الإجازات والحالات'!$AN$6:$AN$505,'سجل الإجازات والحالات'!$B$6:$B$505,$B78))))</f>
        <v/>
      </c>
      <c r="AK78" s="65" t="str">
        <f aca="false">IF($B78="","",MAX(0,IF(OR(الموظفون!$AE78="",الموظفون!$AE78&gt;$F$3),$F$3,الموظفون!$AE78)-MAX($E$3,الموظفون!$H78)+1))</f>
        <v/>
      </c>
      <c r="AL78" s="151" t="str">
        <f aca="false">IF($B78="","",SUMIFS('سجل الإجازات والحالات'!$BA$6:$BA$505,'سجل الإجازات والحالات'!$B$6:$B$505,$B78)+SUMIFS('الحركات الشهرية'!$K$6:$K$1005,'الحركات الشهرية'!$B$6:$B$1005,$B78,'الحركات الشهرية'!$A$6:$A$1005,$C$3))</f>
        <v/>
      </c>
      <c r="AM78" s="111" t="str">
        <f aca="false">IF($B78="","",AL78*الموظفون!$R78/cfg_DAYS_M+S78)</f>
        <v/>
      </c>
      <c r="AN78" s="151" t="str">
        <f aca="false">IF($B78="","",SUMIFS('سجل الإجازات والحالات'!$AC$6:$AC$505,'سجل الإجازات والحالات'!$B$6:$B$505,$B78))</f>
        <v/>
      </c>
    </row>
    <row r="79" customFormat="false" ht="15" hidden="false" customHeight="false" outlineLevel="0" collapsed="false">
      <c r="A79" s="115" t="str">
        <f aca="false">IF($B79="","",الموظفون!$A79)</f>
        <v/>
      </c>
      <c r="B79" s="117" t="str">
        <f aca="false">IF(الموظفون!$B79="","",الموظفون!$B79)</f>
        <v/>
      </c>
      <c r="C79" s="117" t="str">
        <f aca="false">IF($B79="","",الموظفون!$C79)</f>
        <v/>
      </c>
      <c r="D79" s="117" t="str">
        <f aca="false">IF($B79="","",الموظفون!$F79)</f>
        <v/>
      </c>
      <c r="E79" s="117" t="str">
        <f aca="false">IF($B79="","",الموظفون!$E79)</f>
        <v/>
      </c>
      <c r="F79" s="117" t="str">
        <f aca="false">IF($B79="","",IF(AK79=0,IF(AND(الموظفون!$AE79&lt;&gt;"",الموظفون!$AE79&lt;$E$3),"✖ منتهي الخدمة","⏳ لم يباشر"),IF(S79&gt;0,"✈ راتب إجازة مقدم",IF(J79=0,"⛔ بدون راتب هذا الشهر",IF(I79&gt;0,"✈ خصم "&amp;ROUND(I79,2)&amp;" يوم بدون أجر",IF(AL79&gt;0,"🌴 إجازة سنوية "&amp;ROUND(AL79,2)&amp;" يوم",IF(H79&gt;0,"⚠ غياب "&amp;ROUND(H79,2)&amp;" يوم","✔ على رأس العمل")))))))</f>
        <v/>
      </c>
      <c r="G79" s="156" t="str">
        <f aca="false">IF($B79="","",IF(AK79&gt;=DAY($F$3),cfg_DAYS_M,MIN(AK79,cfg_DAYS_M)))</f>
        <v/>
      </c>
      <c r="H79" s="156" t="str">
        <f aca="false">IF($B79="","",SUMIFS('الحركات الشهرية'!$D$6:$D$1005,'الحركات الشهرية'!$B$6:$B$1005,$B79,'الحركات الشهرية'!$A$6:$A$1005,$C$3))</f>
        <v/>
      </c>
      <c r="I79" s="156" t="str">
        <f aca="false">IF($B79="","",MIN(G79,IF(AND(AK79&gt;0,AN79&gt;=AK79),G79,AN79)+SUMIFS('الحركات الشهرية'!$E$6:$E$1005,'الحركات الشهرية'!$B$6:$B$1005,$B79,'الحركات الشهرية'!$A$6:$A$1005,$C$3)))</f>
        <v/>
      </c>
      <c r="J79" s="156" t="str">
        <f aca="false">IF($B79="","",MAX(0,G79-H79-I79))</f>
        <v/>
      </c>
      <c r="K79" s="116" t="str">
        <f aca="false">IF($B79="","",الموظفون!$L79*$J79/cfg_DAYS_M)</f>
        <v/>
      </c>
      <c r="L79" s="116" t="str">
        <f aca="false">IF($B79="","",الموظفون!$M79*$J79/cfg_DAYS_M)</f>
        <v/>
      </c>
      <c r="M79" s="116" t="str">
        <f aca="false">IF($B79="","",الموظفون!$N79*$J79/cfg_DAYS_M)</f>
        <v/>
      </c>
      <c r="N79" s="116" t="str">
        <f aca="false">IF($B79="","",الموظفون!$O79*$J79/cfg_DAYS_M)</f>
        <v/>
      </c>
      <c r="O79" s="156" t="str">
        <f aca="false">IF($B79="","",SUMIFS('الحركات الشهرية'!$F$6:$F$1005,'الحركات الشهرية'!$B$6:$B$1005,$B79,'الحركات الشهرية'!$A$6:$A$1005,$C$3))</f>
        <v/>
      </c>
      <c r="P79" s="116" t="str">
        <f aca="false">IF($B79="","",O79*(الموظفون!$P79+الموظفون!$L79*cfg_OT_P)/cfg_DAYS_M/cfg_HRS)</f>
        <v/>
      </c>
      <c r="Q79" s="116" t="str">
        <f aca="false">IF($B79="","",SUMIFS('الحركات الشهرية'!$G$6:$G$1005,'الحركات الشهرية'!$B$6:$B$1005,$B79,'الحركات الشهرية'!$A$6:$A$1005,$C$3))</f>
        <v/>
      </c>
      <c r="R79" s="116" t="str">
        <f aca="false">IF($B79="","",SUMIFS('الحركات الشهرية'!$H$6:$H$1005,'الحركات الشهرية'!$B$6:$B$1005,$B79,'الحركات الشهرية'!$A$6:$A$1005,$C$3))</f>
        <v/>
      </c>
      <c r="S79" s="116" t="str">
        <f aca="false">IF($B79="","",SUMIFS('سجل الإجازات والحالات'!$N$6:$N$505,'سجل الإجازات والحالات'!$B$6:$B$505,$B79,'سجل الإجازات والحالات'!$O$6:$O$505,$C$3))</f>
        <v/>
      </c>
      <c r="T79" s="157" t="str">
        <f aca="false">IF($B79="","",SUM(K79:N79)+SUM(P79:S79))</f>
        <v/>
      </c>
      <c r="U79" s="116" t="str">
        <f aca="false">IF($B79="","",الموظفون!$S79*IF(E79="سعودي",cfg_G_SE,cfg_G_NE)*G79/cfg_DAYS_M)</f>
        <v/>
      </c>
      <c r="V79" s="116" t="str">
        <f aca="false">IF($B79="","",SUMIFS('الحركات الشهرية'!$I$6:$I$1005,'الحركات الشهرية'!$B$6:$B$1005,$B79,'الحركات الشهرية'!$A$6:$A$1005,$C$3))</f>
        <v/>
      </c>
      <c r="W79" s="116" t="str">
        <f aca="false">IF($B79="","",SUMIFS('الحركات الشهرية'!$J$6:$J$1005,'الحركات الشهرية'!$B$6:$B$1005,$B79,'الحركات الشهرية'!$A$6:$A$1005,$C$3))</f>
        <v/>
      </c>
      <c r="X79" s="116" t="str">
        <f aca="false">IF($B79="","",SUM(U79:W79))</f>
        <v/>
      </c>
      <c r="Y79" s="158" t="str">
        <f aca="false">IF($B79="","",T79-X79)</f>
        <v/>
      </c>
      <c r="Z79" s="116" t="str">
        <f aca="false">IF($B79="","",الموظفون!$S79*IF(E79="سعودي",cfg_G_SR,cfg_G_NR)*G79/cfg_DAYS_M)</f>
        <v/>
      </c>
      <c r="AA79" s="116" t="str">
        <f aca="false">IF($B79="","",الموظفون!$Q79*(cfg_EOS_R1*(MIN(AH79,cfg_EOS_TH)-MIN(AI79,cfg_EOS_TH))+cfg_EOS_R2*(MAX(AH79-cfg_EOS_TH,0)-MAX(AI79-cfg_EOS_TH,0))))</f>
        <v/>
      </c>
      <c r="AB79" s="116" t="str">
        <f aca="false">IF($B79="","",IF(الموظفون!$T79&lt;&gt;"",الموظفون!$T79,IF(AH79&gt;=cfg_LV_TH,cfg_LV_D2,cfg_LV_D1))/cfg_DAYS_Y*AJ79*الموظفون!$R79/cfg_DAYS_M)</f>
        <v/>
      </c>
      <c r="AC79" s="116" t="str">
        <f aca="false">IF($B79="","",IF(AND(الموظفون!$U79="نعم",N(الموظفون!$W79)&gt;0),الموظفون!$V79/الموظفون!$W79*12/cfg_DAYS_Y*AJ79,0))</f>
        <v/>
      </c>
      <c r="AD79" s="116" t="str">
        <f aca="false">IF($B79="","",(IF(الموظفون!$X79&lt;&gt;"",الموظفون!$X79,IF(الموظفون!$E79="غير سعودي",cfg_IQ,0))+IF(الموظفون!$Y79&lt;&gt;"",الموظفون!$Y79,IF(الموظفون!$E79="غير سعودي",cfg_WP,0)))/12*G79/cfg_DAYS_M)</f>
        <v/>
      </c>
      <c r="AE79" s="116" t="str">
        <f aca="false">IF($B79="","",IF(الموظفون!$Z79&lt;&gt;"",الموظفون!$Z79,cfg_MED)/12*G79/cfg_DAYS_M)</f>
        <v/>
      </c>
      <c r="AF79" s="116" t="str">
        <f aca="false">IF($B79="","",N(الموظفون!$AA79)/12*G79/cfg_DAYS_M)</f>
        <v/>
      </c>
      <c r="AG79" s="159" t="str">
        <f aca="false">IF($B79="","",T79+SUM(Z79:AF79))</f>
        <v/>
      </c>
      <c r="AH79" s="160" t="str">
        <f aca="false">IF($B79="","",MAX(0,IF(OR(الموظفون!$AE79="",الموظفون!$AE79&gt;$F$3),$F$3,الموظفون!$AE79)-الموظفون!$H79+1-SUMIFS('سجل الإجازات والحالات'!$AO$6:$AO$505,'سجل الإجازات والحالات'!$B$6:$B$505,$B79))/cfg_DAYS_Y)</f>
        <v/>
      </c>
      <c r="AI79" s="160" t="str">
        <f aca="false">IF($B79="","",MAX(0,IF(OR(الموظفون!$AE79="",الموظفون!$AE79&gt;($E$3-1)),($E$3-1),الموظفون!$AE79)-الموظفون!$H79+1-SUMIFS('سجل الإجازات والحالات'!$AN$6:$AN$505,'سجل الإجازات والحالات'!$B$6:$B$505,$B79))/cfg_DAYS_Y)</f>
        <v/>
      </c>
      <c r="AJ79" s="133" t="str">
        <f aca="false">IF($B79="","",MAX(0,AK79-(SUMIFS('سجل الإجازات والحالات'!$AO$6:$AO$505,'سجل الإجازات والحالات'!$B$6:$B$505,$B79)-SUMIFS('سجل الإجازات والحالات'!$AN$6:$AN$505,'سجل الإجازات والحالات'!$B$6:$B$505,$B79))))</f>
        <v/>
      </c>
      <c r="AK79" s="133" t="str">
        <f aca="false">IF($B79="","",MAX(0,IF(OR(الموظفون!$AE79="",الموظفون!$AE79&gt;$F$3),$F$3,الموظفون!$AE79)-MAX($E$3,الموظفون!$H79)+1))</f>
        <v/>
      </c>
      <c r="AL79" s="156" t="str">
        <f aca="false">IF($B79="","",SUMIFS('سجل الإجازات والحالات'!$BA$6:$BA$505,'سجل الإجازات والحالات'!$B$6:$B$505,$B79)+SUMIFS('الحركات الشهرية'!$K$6:$K$1005,'الحركات الشهرية'!$B$6:$B$1005,$B79,'الحركات الشهرية'!$A$6:$A$1005,$C$3))</f>
        <v/>
      </c>
      <c r="AM79" s="116" t="str">
        <f aca="false">IF($B79="","",AL79*الموظفون!$R79/cfg_DAYS_M+S79)</f>
        <v/>
      </c>
      <c r="AN79" s="156" t="str">
        <f aca="false">IF($B79="","",SUMIFS('سجل الإجازات والحالات'!$AC$6:$AC$505,'سجل الإجازات والحالات'!$B$6:$B$505,$B79))</f>
        <v/>
      </c>
    </row>
    <row r="80" customFormat="false" ht="15" hidden="false" customHeight="false" outlineLevel="0" collapsed="false">
      <c r="A80" s="106" t="str">
        <f aca="false">IF($B80="","",الموظفون!$A80)</f>
        <v/>
      </c>
      <c r="B80" s="114" t="str">
        <f aca="false">IF(الموظفون!$B80="","",الموظفون!$B80)</f>
        <v/>
      </c>
      <c r="C80" s="114" t="str">
        <f aca="false">IF($B80="","",الموظفون!$C80)</f>
        <v/>
      </c>
      <c r="D80" s="114" t="str">
        <f aca="false">IF($B80="","",الموظفون!$F80)</f>
        <v/>
      </c>
      <c r="E80" s="114" t="str">
        <f aca="false">IF($B80="","",الموظفون!$E80)</f>
        <v/>
      </c>
      <c r="F80" s="114" t="str">
        <f aca="false">IF($B80="","",IF(AK80=0,IF(AND(الموظفون!$AE80&lt;&gt;"",الموظفون!$AE80&lt;$E$3),"✖ منتهي الخدمة","⏳ لم يباشر"),IF(S80&gt;0,"✈ راتب إجازة مقدم",IF(J80=0,"⛔ بدون راتب هذا الشهر",IF(I80&gt;0,"✈ خصم "&amp;ROUND(I80,2)&amp;" يوم بدون أجر",IF(AL80&gt;0,"🌴 إجازة سنوية "&amp;ROUND(AL80,2)&amp;" يوم",IF(H80&gt;0,"⚠ غياب "&amp;ROUND(H80,2)&amp;" يوم","✔ على رأس العمل")))))))</f>
        <v/>
      </c>
      <c r="G80" s="151" t="str">
        <f aca="false">IF($B80="","",IF(AK80&gt;=DAY($F$3),cfg_DAYS_M,MIN(AK80,cfg_DAYS_M)))</f>
        <v/>
      </c>
      <c r="H80" s="151" t="str">
        <f aca="false">IF($B80="","",SUMIFS('الحركات الشهرية'!$D$6:$D$1005,'الحركات الشهرية'!$B$6:$B$1005,$B80,'الحركات الشهرية'!$A$6:$A$1005,$C$3))</f>
        <v/>
      </c>
      <c r="I80" s="151" t="str">
        <f aca="false">IF($B80="","",MIN(G80,IF(AND(AK80&gt;0,AN80&gt;=AK80),G80,AN80)+SUMIFS('الحركات الشهرية'!$E$6:$E$1005,'الحركات الشهرية'!$B$6:$B$1005,$B80,'الحركات الشهرية'!$A$6:$A$1005,$C$3)))</f>
        <v/>
      </c>
      <c r="J80" s="151" t="str">
        <f aca="false">IF($B80="","",MAX(0,G80-H80-I80))</f>
        <v/>
      </c>
      <c r="K80" s="111" t="str">
        <f aca="false">IF($B80="","",الموظفون!$L80*$J80/cfg_DAYS_M)</f>
        <v/>
      </c>
      <c r="L80" s="111" t="str">
        <f aca="false">IF($B80="","",الموظفون!$M80*$J80/cfg_DAYS_M)</f>
        <v/>
      </c>
      <c r="M80" s="111" t="str">
        <f aca="false">IF($B80="","",الموظفون!$N80*$J80/cfg_DAYS_M)</f>
        <v/>
      </c>
      <c r="N80" s="111" t="str">
        <f aca="false">IF($B80="","",الموظفون!$O80*$J80/cfg_DAYS_M)</f>
        <v/>
      </c>
      <c r="O80" s="151" t="str">
        <f aca="false">IF($B80="","",SUMIFS('الحركات الشهرية'!$F$6:$F$1005,'الحركات الشهرية'!$B$6:$B$1005,$B80,'الحركات الشهرية'!$A$6:$A$1005,$C$3))</f>
        <v/>
      </c>
      <c r="P80" s="111" t="str">
        <f aca="false">IF($B80="","",O80*(الموظفون!$P80+الموظفون!$L80*cfg_OT_P)/cfg_DAYS_M/cfg_HRS)</f>
        <v/>
      </c>
      <c r="Q80" s="111" t="str">
        <f aca="false">IF($B80="","",SUMIFS('الحركات الشهرية'!$G$6:$G$1005,'الحركات الشهرية'!$B$6:$B$1005,$B80,'الحركات الشهرية'!$A$6:$A$1005,$C$3))</f>
        <v/>
      </c>
      <c r="R80" s="111" t="str">
        <f aca="false">IF($B80="","",SUMIFS('الحركات الشهرية'!$H$6:$H$1005,'الحركات الشهرية'!$B$6:$B$1005,$B80,'الحركات الشهرية'!$A$6:$A$1005,$C$3))</f>
        <v/>
      </c>
      <c r="S80" s="111" t="str">
        <f aca="false">IF($B80="","",SUMIFS('سجل الإجازات والحالات'!$N$6:$N$505,'سجل الإجازات والحالات'!$B$6:$B$505,$B80,'سجل الإجازات والحالات'!$O$6:$O$505,$C$3))</f>
        <v/>
      </c>
      <c r="T80" s="152" t="str">
        <f aca="false">IF($B80="","",SUM(K80:N80)+SUM(P80:S80))</f>
        <v/>
      </c>
      <c r="U80" s="111" t="str">
        <f aca="false">IF($B80="","",الموظفون!$S80*IF(E80="سعودي",cfg_G_SE,cfg_G_NE)*G80/cfg_DAYS_M)</f>
        <v/>
      </c>
      <c r="V80" s="111" t="str">
        <f aca="false">IF($B80="","",SUMIFS('الحركات الشهرية'!$I$6:$I$1005,'الحركات الشهرية'!$B$6:$B$1005,$B80,'الحركات الشهرية'!$A$6:$A$1005,$C$3))</f>
        <v/>
      </c>
      <c r="W80" s="111" t="str">
        <f aca="false">IF($B80="","",SUMIFS('الحركات الشهرية'!$J$6:$J$1005,'الحركات الشهرية'!$B$6:$B$1005,$B80,'الحركات الشهرية'!$A$6:$A$1005,$C$3))</f>
        <v/>
      </c>
      <c r="X80" s="111" t="str">
        <f aca="false">IF($B80="","",SUM(U80:W80))</f>
        <v/>
      </c>
      <c r="Y80" s="153" t="str">
        <f aca="false">IF($B80="","",T80-X80)</f>
        <v/>
      </c>
      <c r="Z80" s="111" t="str">
        <f aca="false">IF($B80="","",الموظفون!$S80*IF(E80="سعودي",cfg_G_SR,cfg_G_NR)*G80/cfg_DAYS_M)</f>
        <v/>
      </c>
      <c r="AA80" s="111" t="str">
        <f aca="false">IF($B80="","",الموظفون!$Q80*(cfg_EOS_R1*(MIN(AH80,cfg_EOS_TH)-MIN(AI80,cfg_EOS_TH))+cfg_EOS_R2*(MAX(AH80-cfg_EOS_TH,0)-MAX(AI80-cfg_EOS_TH,0))))</f>
        <v/>
      </c>
      <c r="AB80" s="111" t="str">
        <f aca="false">IF($B80="","",IF(الموظفون!$T80&lt;&gt;"",الموظفون!$T80,IF(AH80&gt;=cfg_LV_TH,cfg_LV_D2,cfg_LV_D1))/cfg_DAYS_Y*AJ80*الموظفون!$R80/cfg_DAYS_M)</f>
        <v/>
      </c>
      <c r="AC80" s="111" t="str">
        <f aca="false">IF($B80="","",IF(AND(الموظفون!$U80="نعم",N(الموظفون!$W80)&gt;0),الموظفون!$V80/الموظفون!$W80*12/cfg_DAYS_Y*AJ80,0))</f>
        <v/>
      </c>
      <c r="AD80" s="111" t="str">
        <f aca="false">IF($B80="","",(IF(الموظفون!$X80&lt;&gt;"",الموظفون!$X80,IF(الموظفون!$E80="غير سعودي",cfg_IQ,0))+IF(الموظفون!$Y80&lt;&gt;"",الموظفون!$Y80,IF(الموظفون!$E80="غير سعودي",cfg_WP,0)))/12*G80/cfg_DAYS_M)</f>
        <v/>
      </c>
      <c r="AE80" s="111" t="str">
        <f aca="false">IF($B80="","",IF(الموظفون!$Z80&lt;&gt;"",الموظفون!$Z80,cfg_MED)/12*G80/cfg_DAYS_M)</f>
        <v/>
      </c>
      <c r="AF80" s="111" t="str">
        <f aca="false">IF($B80="","",N(الموظفون!$AA80)/12*G80/cfg_DAYS_M)</f>
        <v/>
      </c>
      <c r="AG80" s="154" t="str">
        <f aca="false">IF($B80="","",T80+SUM(Z80:AF80))</f>
        <v/>
      </c>
      <c r="AH80" s="155" t="str">
        <f aca="false">IF($B80="","",MAX(0,IF(OR(الموظفون!$AE80="",الموظفون!$AE80&gt;$F$3),$F$3,الموظفون!$AE80)-الموظفون!$H80+1-SUMIFS('سجل الإجازات والحالات'!$AO$6:$AO$505,'سجل الإجازات والحالات'!$B$6:$B$505,$B80))/cfg_DAYS_Y)</f>
        <v/>
      </c>
      <c r="AI80" s="155" t="str">
        <f aca="false">IF($B80="","",MAX(0,IF(OR(الموظفون!$AE80="",الموظفون!$AE80&gt;($E$3-1)),($E$3-1),الموظفون!$AE80)-الموظفون!$H80+1-SUMIFS('سجل الإجازات والحالات'!$AN$6:$AN$505,'سجل الإجازات والحالات'!$B$6:$B$505,$B80))/cfg_DAYS_Y)</f>
        <v/>
      </c>
      <c r="AJ80" s="65" t="str">
        <f aca="false">IF($B80="","",MAX(0,AK80-(SUMIFS('سجل الإجازات والحالات'!$AO$6:$AO$505,'سجل الإجازات والحالات'!$B$6:$B$505,$B80)-SUMIFS('سجل الإجازات والحالات'!$AN$6:$AN$505,'سجل الإجازات والحالات'!$B$6:$B$505,$B80))))</f>
        <v/>
      </c>
      <c r="AK80" s="65" t="str">
        <f aca="false">IF($B80="","",MAX(0,IF(OR(الموظفون!$AE80="",الموظفون!$AE80&gt;$F$3),$F$3,الموظفون!$AE80)-MAX($E$3,الموظفون!$H80)+1))</f>
        <v/>
      </c>
      <c r="AL80" s="151" t="str">
        <f aca="false">IF($B80="","",SUMIFS('سجل الإجازات والحالات'!$BA$6:$BA$505,'سجل الإجازات والحالات'!$B$6:$B$505,$B80)+SUMIFS('الحركات الشهرية'!$K$6:$K$1005,'الحركات الشهرية'!$B$6:$B$1005,$B80,'الحركات الشهرية'!$A$6:$A$1005,$C$3))</f>
        <v/>
      </c>
      <c r="AM80" s="111" t="str">
        <f aca="false">IF($B80="","",AL80*الموظفون!$R80/cfg_DAYS_M+S80)</f>
        <v/>
      </c>
      <c r="AN80" s="151" t="str">
        <f aca="false">IF($B80="","",SUMIFS('سجل الإجازات والحالات'!$AC$6:$AC$505,'سجل الإجازات والحالات'!$B$6:$B$505,$B80))</f>
        <v/>
      </c>
    </row>
    <row r="81" customFormat="false" ht="15" hidden="false" customHeight="false" outlineLevel="0" collapsed="false">
      <c r="A81" s="115" t="str">
        <f aca="false">IF($B81="","",الموظفون!$A81)</f>
        <v/>
      </c>
      <c r="B81" s="117" t="str">
        <f aca="false">IF(الموظفون!$B81="","",الموظفون!$B81)</f>
        <v/>
      </c>
      <c r="C81" s="117" t="str">
        <f aca="false">IF($B81="","",الموظفون!$C81)</f>
        <v/>
      </c>
      <c r="D81" s="117" t="str">
        <f aca="false">IF($B81="","",الموظفون!$F81)</f>
        <v/>
      </c>
      <c r="E81" s="117" t="str">
        <f aca="false">IF($B81="","",الموظفون!$E81)</f>
        <v/>
      </c>
      <c r="F81" s="117" t="str">
        <f aca="false">IF($B81="","",IF(AK81=0,IF(AND(الموظفون!$AE81&lt;&gt;"",الموظفون!$AE81&lt;$E$3),"✖ منتهي الخدمة","⏳ لم يباشر"),IF(S81&gt;0,"✈ راتب إجازة مقدم",IF(J81=0,"⛔ بدون راتب هذا الشهر",IF(I81&gt;0,"✈ خصم "&amp;ROUND(I81,2)&amp;" يوم بدون أجر",IF(AL81&gt;0,"🌴 إجازة سنوية "&amp;ROUND(AL81,2)&amp;" يوم",IF(H81&gt;0,"⚠ غياب "&amp;ROUND(H81,2)&amp;" يوم","✔ على رأس العمل")))))))</f>
        <v/>
      </c>
      <c r="G81" s="156" t="str">
        <f aca="false">IF($B81="","",IF(AK81&gt;=DAY($F$3),cfg_DAYS_M,MIN(AK81,cfg_DAYS_M)))</f>
        <v/>
      </c>
      <c r="H81" s="156" t="str">
        <f aca="false">IF($B81="","",SUMIFS('الحركات الشهرية'!$D$6:$D$1005,'الحركات الشهرية'!$B$6:$B$1005,$B81,'الحركات الشهرية'!$A$6:$A$1005,$C$3))</f>
        <v/>
      </c>
      <c r="I81" s="156" t="str">
        <f aca="false">IF($B81="","",MIN(G81,IF(AND(AK81&gt;0,AN81&gt;=AK81),G81,AN81)+SUMIFS('الحركات الشهرية'!$E$6:$E$1005,'الحركات الشهرية'!$B$6:$B$1005,$B81,'الحركات الشهرية'!$A$6:$A$1005,$C$3)))</f>
        <v/>
      </c>
      <c r="J81" s="156" t="str">
        <f aca="false">IF($B81="","",MAX(0,G81-H81-I81))</f>
        <v/>
      </c>
      <c r="K81" s="116" t="str">
        <f aca="false">IF($B81="","",الموظفون!$L81*$J81/cfg_DAYS_M)</f>
        <v/>
      </c>
      <c r="L81" s="116" t="str">
        <f aca="false">IF($B81="","",الموظفون!$M81*$J81/cfg_DAYS_M)</f>
        <v/>
      </c>
      <c r="M81" s="116" t="str">
        <f aca="false">IF($B81="","",الموظفون!$N81*$J81/cfg_DAYS_M)</f>
        <v/>
      </c>
      <c r="N81" s="116" t="str">
        <f aca="false">IF($B81="","",الموظفون!$O81*$J81/cfg_DAYS_M)</f>
        <v/>
      </c>
      <c r="O81" s="156" t="str">
        <f aca="false">IF($B81="","",SUMIFS('الحركات الشهرية'!$F$6:$F$1005,'الحركات الشهرية'!$B$6:$B$1005,$B81,'الحركات الشهرية'!$A$6:$A$1005,$C$3))</f>
        <v/>
      </c>
      <c r="P81" s="116" t="str">
        <f aca="false">IF($B81="","",O81*(الموظفون!$P81+الموظفون!$L81*cfg_OT_P)/cfg_DAYS_M/cfg_HRS)</f>
        <v/>
      </c>
      <c r="Q81" s="116" t="str">
        <f aca="false">IF($B81="","",SUMIFS('الحركات الشهرية'!$G$6:$G$1005,'الحركات الشهرية'!$B$6:$B$1005,$B81,'الحركات الشهرية'!$A$6:$A$1005,$C$3))</f>
        <v/>
      </c>
      <c r="R81" s="116" t="str">
        <f aca="false">IF($B81="","",SUMIFS('الحركات الشهرية'!$H$6:$H$1005,'الحركات الشهرية'!$B$6:$B$1005,$B81,'الحركات الشهرية'!$A$6:$A$1005,$C$3))</f>
        <v/>
      </c>
      <c r="S81" s="116" t="str">
        <f aca="false">IF($B81="","",SUMIFS('سجل الإجازات والحالات'!$N$6:$N$505,'سجل الإجازات والحالات'!$B$6:$B$505,$B81,'سجل الإجازات والحالات'!$O$6:$O$505,$C$3))</f>
        <v/>
      </c>
      <c r="T81" s="157" t="str">
        <f aca="false">IF($B81="","",SUM(K81:N81)+SUM(P81:S81))</f>
        <v/>
      </c>
      <c r="U81" s="116" t="str">
        <f aca="false">IF($B81="","",الموظفون!$S81*IF(E81="سعودي",cfg_G_SE,cfg_G_NE)*G81/cfg_DAYS_M)</f>
        <v/>
      </c>
      <c r="V81" s="116" t="str">
        <f aca="false">IF($B81="","",SUMIFS('الحركات الشهرية'!$I$6:$I$1005,'الحركات الشهرية'!$B$6:$B$1005,$B81,'الحركات الشهرية'!$A$6:$A$1005,$C$3))</f>
        <v/>
      </c>
      <c r="W81" s="116" t="str">
        <f aca="false">IF($B81="","",SUMIFS('الحركات الشهرية'!$J$6:$J$1005,'الحركات الشهرية'!$B$6:$B$1005,$B81,'الحركات الشهرية'!$A$6:$A$1005,$C$3))</f>
        <v/>
      </c>
      <c r="X81" s="116" t="str">
        <f aca="false">IF($B81="","",SUM(U81:W81))</f>
        <v/>
      </c>
      <c r="Y81" s="158" t="str">
        <f aca="false">IF($B81="","",T81-X81)</f>
        <v/>
      </c>
      <c r="Z81" s="116" t="str">
        <f aca="false">IF($B81="","",الموظفون!$S81*IF(E81="سعودي",cfg_G_SR,cfg_G_NR)*G81/cfg_DAYS_M)</f>
        <v/>
      </c>
      <c r="AA81" s="116" t="str">
        <f aca="false">IF($B81="","",الموظفون!$Q81*(cfg_EOS_R1*(MIN(AH81,cfg_EOS_TH)-MIN(AI81,cfg_EOS_TH))+cfg_EOS_R2*(MAX(AH81-cfg_EOS_TH,0)-MAX(AI81-cfg_EOS_TH,0))))</f>
        <v/>
      </c>
      <c r="AB81" s="116" t="str">
        <f aca="false">IF($B81="","",IF(الموظفون!$T81&lt;&gt;"",الموظفون!$T81,IF(AH81&gt;=cfg_LV_TH,cfg_LV_D2,cfg_LV_D1))/cfg_DAYS_Y*AJ81*الموظفون!$R81/cfg_DAYS_M)</f>
        <v/>
      </c>
      <c r="AC81" s="116" t="str">
        <f aca="false">IF($B81="","",IF(AND(الموظفون!$U81="نعم",N(الموظفون!$W81)&gt;0),الموظفون!$V81/الموظفون!$W81*12/cfg_DAYS_Y*AJ81,0))</f>
        <v/>
      </c>
      <c r="AD81" s="116" t="str">
        <f aca="false">IF($B81="","",(IF(الموظفون!$X81&lt;&gt;"",الموظفون!$X81,IF(الموظفون!$E81="غير سعودي",cfg_IQ,0))+IF(الموظفون!$Y81&lt;&gt;"",الموظفون!$Y81,IF(الموظفون!$E81="غير سعودي",cfg_WP,0)))/12*G81/cfg_DAYS_M)</f>
        <v/>
      </c>
      <c r="AE81" s="116" t="str">
        <f aca="false">IF($B81="","",IF(الموظفون!$Z81&lt;&gt;"",الموظفون!$Z81,cfg_MED)/12*G81/cfg_DAYS_M)</f>
        <v/>
      </c>
      <c r="AF81" s="116" t="str">
        <f aca="false">IF($B81="","",N(الموظفون!$AA81)/12*G81/cfg_DAYS_M)</f>
        <v/>
      </c>
      <c r="AG81" s="159" t="str">
        <f aca="false">IF($B81="","",T81+SUM(Z81:AF81))</f>
        <v/>
      </c>
      <c r="AH81" s="160" t="str">
        <f aca="false">IF($B81="","",MAX(0,IF(OR(الموظفون!$AE81="",الموظفون!$AE81&gt;$F$3),$F$3,الموظفون!$AE81)-الموظفون!$H81+1-SUMIFS('سجل الإجازات والحالات'!$AO$6:$AO$505,'سجل الإجازات والحالات'!$B$6:$B$505,$B81))/cfg_DAYS_Y)</f>
        <v/>
      </c>
      <c r="AI81" s="160" t="str">
        <f aca="false">IF($B81="","",MAX(0,IF(OR(الموظفون!$AE81="",الموظفون!$AE81&gt;($E$3-1)),($E$3-1),الموظفون!$AE81)-الموظفون!$H81+1-SUMIFS('سجل الإجازات والحالات'!$AN$6:$AN$505,'سجل الإجازات والحالات'!$B$6:$B$505,$B81))/cfg_DAYS_Y)</f>
        <v/>
      </c>
      <c r="AJ81" s="133" t="str">
        <f aca="false">IF($B81="","",MAX(0,AK81-(SUMIFS('سجل الإجازات والحالات'!$AO$6:$AO$505,'سجل الإجازات والحالات'!$B$6:$B$505,$B81)-SUMIFS('سجل الإجازات والحالات'!$AN$6:$AN$505,'سجل الإجازات والحالات'!$B$6:$B$505,$B81))))</f>
        <v/>
      </c>
      <c r="AK81" s="133" t="str">
        <f aca="false">IF($B81="","",MAX(0,IF(OR(الموظفون!$AE81="",الموظفون!$AE81&gt;$F$3),$F$3,الموظفون!$AE81)-MAX($E$3,الموظفون!$H81)+1))</f>
        <v/>
      </c>
      <c r="AL81" s="156" t="str">
        <f aca="false">IF($B81="","",SUMIFS('سجل الإجازات والحالات'!$BA$6:$BA$505,'سجل الإجازات والحالات'!$B$6:$B$505,$B81)+SUMIFS('الحركات الشهرية'!$K$6:$K$1005,'الحركات الشهرية'!$B$6:$B$1005,$B81,'الحركات الشهرية'!$A$6:$A$1005,$C$3))</f>
        <v/>
      </c>
      <c r="AM81" s="116" t="str">
        <f aca="false">IF($B81="","",AL81*الموظفون!$R81/cfg_DAYS_M+S81)</f>
        <v/>
      </c>
      <c r="AN81" s="156" t="str">
        <f aca="false">IF($B81="","",SUMIFS('سجل الإجازات والحالات'!$AC$6:$AC$505,'سجل الإجازات والحالات'!$B$6:$B$505,$B81))</f>
        <v/>
      </c>
    </row>
    <row r="82" customFormat="false" ht="15" hidden="false" customHeight="false" outlineLevel="0" collapsed="false">
      <c r="A82" s="106" t="str">
        <f aca="false">IF($B82="","",الموظفون!$A82)</f>
        <v/>
      </c>
      <c r="B82" s="114" t="str">
        <f aca="false">IF(الموظفون!$B82="","",الموظفون!$B82)</f>
        <v/>
      </c>
      <c r="C82" s="114" t="str">
        <f aca="false">IF($B82="","",الموظفون!$C82)</f>
        <v/>
      </c>
      <c r="D82" s="114" t="str">
        <f aca="false">IF($B82="","",الموظفون!$F82)</f>
        <v/>
      </c>
      <c r="E82" s="114" t="str">
        <f aca="false">IF($B82="","",الموظفون!$E82)</f>
        <v/>
      </c>
      <c r="F82" s="114" t="str">
        <f aca="false">IF($B82="","",IF(AK82=0,IF(AND(الموظفون!$AE82&lt;&gt;"",الموظفون!$AE82&lt;$E$3),"✖ منتهي الخدمة","⏳ لم يباشر"),IF(S82&gt;0,"✈ راتب إجازة مقدم",IF(J82=0,"⛔ بدون راتب هذا الشهر",IF(I82&gt;0,"✈ خصم "&amp;ROUND(I82,2)&amp;" يوم بدون أجر",IF(AL82&gt;0,"🌴 إجازة سنوية "&amp;ROUND(AL82,2)&amp;" يوم",IF(H82&gt;0,"⚠ غياب "&amp;ROUND(H82,2)&amp;" يوم","✔ على رأس العمل")))))))</f>
        <v/>
      </c>
      <c r="G82" s="151" t="str">
        <f aca="false">IF($B82="","",IF(AK82&gt;=DAY($F$3),cfg_DAYS_M,MIN(AK82,cfg_DAYS_M)))</f>
        <v/>
      </c>
      <c r="H82" s="151" t="str">
        <f aca="false">IF($B82="","",SUMIFS('الحركات الشهرية'!$D$6:$D$1005,'الحركات الشهرية'!$B$6:$B$1005,$B82,'الحركات الشهرية'!$A$6:$A$1005,$C$3))</f>
        <v/>
      </c>
      <c r="I82" s="151" t="str">
        <f aca="false">IF($B82="","",MIN(G82,IF(AND(AK82&gt;0,AN82&gt;=AK82),G82,AN82)+SUMIFS('الحركات الشهرية'!$E$6:$E$1005,'الحركات الشهرية'!$B$6:$B$1005,$B82,'الحركات الشهرية'!$A$6:$A$1005,$C$3)))</f>
        <v/>
      </c>
      <c r="J82" s="151" t="str">
        <f aca="false">IF($B82="","",MAX(0,G82-H82-I82))</f>
        <v/>
      </c>
      <c r="K82" s="111" t="str">
        <f aca="false">IF($B82="","",الموظفون!$L82*$J82/cfg_DAYS_M)</f>
        <v/>
      </c>
      <c r="L82" s="111" t="str">
        <f aca="false">IF($B82="","",الموظفون!$M82*$J82/cfg_DAYS_M)</f>
        <v/>
      </c>
      <c r="M82" s="111" t="str">
        <f aca="false">IF($B82="","",الموظفون!$N82*$J82/cfg_DAYS_M)</f>
        <v/>
      </c>
      <c r="N82" s="111" t="str">
        <f aca="false">IF($B82="","",الموظفون!$O82*$J82/cfg_DAYS_M)</f>
        <v/>
      </c>
      <c r="O82" s="151" t="str">
        <f aca="false">IF($B82="","",SUMIFS('الحركات الشهرية'!$F$6:$F$1005,'الحركات الشهرية'!$B$6:$B$1005,$B82,'الحركات الشهرية'!$A$6:$A$1005,$C$3))</f>
        <v/>
      </c>
      <c r="P82" s="111" t="str">
        <f aca="false">IF($B82="","",O82*(الموظفون!$P82+الموظفون!$L82*cfg_OT_P)/cfg_DAYS_M/cfg_HRS)</f>
        <v/>
      </c>
      <c r="Q82" s="111" t="str">
        <f aca="false">IF($B82="","",SUMIFS('الحركات الشهرية'!$G$6:$G$1005,'الحركات الشهرية'!$B$6:$B$1005,$B82,'الحركات الشهرية'!$A$6:$A$1005,$C$3))</f>
        <v/>
      </c>
      <c r="R82" s="111" t="str">
        <f aca="false">IF($B82="","",SUMIFS('الحركات الشهرية'!$H$6:$H$1005,'الحركات الشهرية'!$B$6:$B$1005,$B82,'الحركات الشهرية'!$A$6:$A$1005,$C$3))</f>
        <v/>
      </c>
      <c r="S82" s="111" t="str">
        <f aca="false">IF($B82="","",SUMIFS('سجل الإجازات والحالات'!$N$6:$N$505,'سجل الإجازات والحالات'!$B$6:$B$505,$B82,'سجل الإجازات والحالات'!$O$6:$O$505,$C$3))</f>
        <v/>
      </c>
      <c r="T82" s="152" t="str">
        <f aca="false">IF($B82="","",SUM(K82:N82)+SUM(P82:S82))</f>
        <v/>
      </c>
      <c r="U82" s="111" t="str">
        <f aca="false">IF($B82="","",الموظفون!$S82*IF(E82="سعودي",cfg_G_SE,cfg_G_NE)*G82/cfg_DAYS_M)</f>
        <v/>
      </c>
      <c r="V82" s="111" t="str">
        <f aca="false">IF($B82="","",SUMIFS('الحركات الشهرية'!$I$6:$I$1005,'الحركات الشهرية'!$B$6:$B$1005,$B82,'الحركات الشهرية'!$A$6:$A$1005,$C$3))</f>
        <v/>
      </c>
      <c r="W82" s="111" t="str">
        <f aca="false">IF($B82="","",SUMIFS('الحركات الشهرية'!$J$6:$J$1005,'الحركات الشهرية'!$B$6:$B$1005,$B82,'الحركات الشهرية'!$A$6:$A$1005,$C$3))</f>
        <v/>
      </c>
      <c r="X82" s="111" t="str">
        <f aca="false">IF($B82="","",SUM(U82:W82))</f>
        <v/>
      </c>
      <c r="Y82" s="153" t="str">
        <f aca="false">IF($B82="","",T82-X82)</f>
        <v/>
      </c>
      <c r="Z82" s="111" t="str">
        <f aca="false">IF($B82="","",الموظفون!$S82*IF(E82="سعودي",cfg_G_SR,cfg_G_NR)*G82/cfg_DAYS_M)</f>
        <v/>
      </c>
      <c r="AA82" s="111" t="str">
        <f aca="false">IF($B82="","",الموظفون!$Q82*(cfg_EOS_R1*(MIN(AH82,cfg_EOS_TH)-MIN(AI82,cfg_EOS_TH))+cfg_EOS_R2*(MAX(AH82-cfg_EOS_TH,0)-MAX(AI82-cfg_EOS_TH,0))))</f>
        <v/>
      </c>
      <c r="AB82" s="111" t="str">
        <f aca="false">IF($B82="","",IF(الموظفون!$T82&lt;&gt;"",الموظفون!$T82,IF(AH82&gt;=cfg_LV_TH,cfg_LV_D2,cfg_LV_D1))/cfg_DAYS_Y*AJ82*الموظفون!$R82/cfg_DAYS_M)</f>
        <v/>
      </c>
      <c r="AC82" s="111" t="str">
        <f aca="false">IF($B82="","",IF(AND(الموظفون!$U82="نعم",N(الموظفون!$W82)&gt;0),الموظفون!$V82/الموظفون!$W82*12/cfg_DAYS_Y*AJ82,0))</f>
        <v/>
      </c>
      <c r="AD82" s="111" t="str">
        <f aca="false">IF($B82="","",(IF(الموظفون!$X82&lt;&gt;"",الموظفون!$X82,IF(الموظفون!$E82="غير سعودي",cfg_IQ,0))+IF(الموظفون!$Y82&lt;&gt;"",الموظفون!$Y82,IF(الموظفون!$E82="غير سعودي",cfg_WP,0)))/12*G82/cfg_DAYS_M)</f>
        <v/>
      </c>
      <c r="AE82" s="111" t="str">
        <f aca="false">IF($B82="","",IF(الموظفون!$Z82&lt;&gt;"",الموظفون!$Z82,cfg_MED)/12*G82/cfg_DAYS_M)</f>
        <v/>
      </c>
      <c r="AF82" s="111" t="str">
        <f aca="false">IF($B82="","",N(الموظفون!$AA82)/12*G82/cfg_DAYS_M)</f>
        <v/>
      </c>
      <c r="AG82" s="154" t="str">
        <f aca="false">IF($B82="","",T82+SUM(Z82:AF82))</f>
        <v/>
      </c>
      <c r="AH82" s="155" t="str">
        <f aca="false">IF($B82="","",MAX(0,IF(OR(الموظفون!$AE82="",الموظفون!$AE82&gt;$F$3),$F$3,الموظفون!$AE82)-الموظفون!$H82+1-SUMIFS('سجل الإجازات والحالات'!$AO$6:$AO$505,'سجل الإجازات والحالات'!$B$6:$B$505,$B82))/cfg_DAYS_Y)</f>
        <v/>
      </c>
      <c r="AI82" s="155" t="str">
        <f aca="false">IF($B82="","",MAX(0,IF(OR(الموظفون!$AE82="",الموظفون!$AE82&gt;($E$3-1)),($E$3-1),الموظفون!$AE82)-الموظفون!$H82+1-SUMIFS('سجل الإجازات والحالات'!$AN$6:$AN$505,'سجل الإجازات والحالات'!$B$6:$B$505,$B82))/cfg_DAYS_Y)</f>
        <v/>
      </c>
      <c r="AJ82" s="65" t="str">
        <f aca="false">IF($B82="","",MAX(0,AK82-(SUMIFS('سجل الإجازات والحالات'!$AO$6:$AO$505,'سجل الإجازات والحالات'!$B$6:$B$505,$B82)-SUMIFS('سجل الإجازات والحالات'!$AN$6:$AN$505,'سجل الإجازات والحالات'!$B$6:$B$505,$B82))))</f>
        <v/>
      </c>
      <c r="AK82" s="65" t="str">
        <f aca="false">IF($B82="","",MAX(0,IF(OR(الموظفون!$AE82="",الموظفون!$AE82&gt;$F$3),$F$3,الموظفون!$AE82)-MAX($E$3,الموظفون!$H82)+1))</f>
        <v/>
      </c>
      <c r="AL82" s="151" t="str">
        <f aca="false">IF($B82="","",SUMIFS('سجل الإجازات والحالات'!$BA$6:$BA$505,'سجل الإجازات والحالات'!$B$6:$B$505,$B82)+SUMIFS('الحركات الشهرية'!$K$6:$K$1005,'الحركات الشهرية'!$B$6:$B$1005,$B82,'الحركات الشهرية'!$A$6:$A$1005,$C$3))</f>
        <v/>
      </c>
      <c r="AM82" s="111" t="str">
        <f aca="false">IF($B82="","",AL82*الموظفون!$R82/cfg_DAYS_M+S82)</f>
        <v/>
      </c>
      <c r="AN82" s="151" t="str">
        <f aca="false">IF($B82="","",SUMIFS('سجل الإجازات والحالات'!$AC$6:$AC$505,'سجل الإجازات والحالات'!$B$6:$B$505,$B82))</f>
        <v/>
      </c>
    </row>
    <row r="83" customFormat="false" ht="15" hidden="false" customHeight="false" outlineLevel="0" collapsed="false">
      <c r="A83" s="115" t="str">
        <f aca="false">IF($B83="","",الموظفون!$A83)</f>
        <v/>
      </c>
      <c r="B83" s="117" t="str">
        <f aca="false">IF(الموظفون!$B83="","",الموظفون!$B83)</f>
        <v/>
      </c>
      <c r="C83" s="117" t="str">
        <f aca="false">IF($B83="","",الموظفون!$C83)</f>
        <v/>
      </c>
      <c r="D83" s="117" t="str">
        <f aca="false">IF($B83="","",الموظفون!$F83)</f>
        <v/>
      </c>
      <c r="E83" s="117" t="str">
        <f aca="false">IF($B83="","",الموظفون!$E83)</f>
        <v/>
      </c>
      <c r="F83" s="117" t="str">
        <f aca="false">IF($B83="","",IF(AK83=0,IF(AND(الموظفون!$AE83&lt;&gt;"",الموظفون!$AE83&lt;$E$3),"✖ منتهي الخدمة","⏳ لم يباشر"),IF(S83&gt;0,"✈ راتب إجازة مقدم",IF(J83=0,"⛔ بدون راتب هذا الشهر",IF(I83&gt;0,"✈ خصم "&amp;ROUND(I83,2)&amp;" يوم بدون أجر",IF(AL83&gt;0,"🌴 إجازة سنوية "&amp;ROUND(AL83,2)&amp;" يوم",IF(H83&gt;0,"⚠ غياب "&amp;ROUND(H83,2)&amp;" يوم","✔ على رأس العمل")))))))</f>
        <v/>
      </c>
      <c r="G83" s="156" t="str">
        <f aca="false">IF($B83="","",IF(AK83&gt;=DAY($F$3),cfg_DAYS_M,MIN(AK83,cfg_DAYS_M)))</f>
        <v/>
      </c>
      <c r="H83" s="156" t="str">
        <f aca="false">IF($B83="","",SUMIFS('الحركات الشهرية'!$D$6:$D$1005,'الحركات الشهرية'!$B$6:$B$1005,$B83,'الحركات الشهرية'!$A$6:$A$1005,$C$3))</f>
        <v/>
      </c>
      <c r="I83" s="156" t="str">
        <f aca="false">IF($B83="","",MIN(G83,IF(AND(AK83&gt;0,AN83&gt;=AK83),G83,AN83)+SUMIFS('الحركات الشهرية'!$E$6:$E$1005,'الحركات الشهرية'!$B$6:$B$1005,$B83,'الحركات الشهرية'!$A$6:$A$1005,$C$3)))</f>
        <v/>
      </c>
      <c r="J83" s="156" t="str">
        <f aca="false">IF($B83="","",MAX(0,G83-H83-I83))</f>
        <v/>
      </c>
      <c r="K83" s="116" t="str">
        <f aca="false">IF($B83="","",الموظفون!$L83*$J83/cfg_DAYS_M)</f>
        <v/>
      </c>
      <c r="L83" s="116" t="str">
        <f aca="false">IF($B83="","",الموظفون!$M83*$J83/cfg_DAYS_M)</f>
        <v/>
      </c>
      <c r="M83" s="116" t="str">
        <f aca="false">IF($B83="","",الموظفون!$N83*$J83/cfg_DAYS_M)</f>
        <v/>
      </c>
      <c r="N83" s="116" t="str">
        <f aca="false">IF($B83="","",الموظفون!$O83*$J83/cfg_DAYS_M)</f>
        <v/>
      </c>
      <c r="O83" s="156" t="str">
        <f aca="false">IF($B83="","",SUMIFS('الحركات الشهرية'!$F$6:$F$1005,'الحركات الشهرية'!$B$6:$B$1005,$B83,'الحركات الشهرية'!$A$6:$A$1005,$C$3))</f>
        <v/>
      </c>
      <c r="P83" s="116" t="str">
        <f aca="false">IF($B83="","",O83*(الموظفون!$P83+الموظفون!$L83*cfg_OT_P)/cfg_DAYS_M/cfg_HRS)</f>
        <v/>
      </c>
      <c r="Q83" s="116" t="str">
        <f aca="false">IF($B83="","",SUMIFS('الحركات الشهرية'!$G$6:$G$1005,'الحركات الشهرية'!$B$6:$B$1005,$B83,'الحركات الشهرية'!$A$6:$A$1005,$C$3))</f>
        <v/>
      </c>
      <c r="R83" s="116" t="str">
        <f aca="false">IF($B83="","",SUMIFS('الحركات الشهرية'!$H$6:$H$1005,'الحركات الشهرية'!$B$6:$B$1005,$B83,'الحركات الشهرية'!$A$6:$A$1005,$C$3))</f>
        <v/>
      </c>
      <c r="S83" s="116" t="str">
        <f aca="false">IF($B83="","",SUMIFS('سجل الإجازات والحالات'!$N$6:$N$505,'سجل الإجازات والحالات'!$B$6:$B$505,$B83,'سجل الإجازات والحالات'!$O$6:$O$505,$C$3))</f>
        <v/>
      </c>
      <c r="T83" s="157" t="str">
        <f aca="false">IF($B83="","",SUM(K83:N83)+SUM(P83:S83))</f>
        <v/>
      </c>
      <c r="U83" s="116" t="str">
        <f aca="false">IF($B83="","",الموظفون!$S83*IF(E83="سعودي",cfg_G_SE,cfg_G_NE)*G83/cfg_DAYS_M)</f>
        <v/>
      </c>
      <c r="V83" s="116" t="str">
        <f aca="false">IF($B83="","",SUMIFS('الحركات الشهرية'!$I$6:$I$1005,'الحركات الشهرية'!$B$6:$B$1005,$B83,'الحركات الشهرية'!$A$6:$A$1005,$C$3))</f>
        <v/>
      </c>
      <c r="W83" s="116" t="str">
        <f aca="false">IF($B83="","",SUMIFS('الحركات الشهرية'!$J$6:$J$1005,'الحركات الشهرية'!$B$6:$B$1005,$B83,'الحركات الشهرية'!$A$6:$A$1005,$C$3))</f>
        <v/>
      </c>
      <c r="X83" s="116" t="str">
        <f aca="false">IF($B83="","",SUM(U83:W83))</f>
        <v/>
      </c>
      <c r="Y83" s="158" t="str">
        <f aca="false">IF($B83="","",T83-X83)</f>
        <v/>
      </c>
      <c r="Z83" s="116" t="str">
        <f aca="false">IF($B83="","",الموظفون!$S83*IF(E83="سعودي",cfg_G_SR,cfg_G_NR)*G83/cfg_DAYS_M)</f>
        <v/>
      </c>
      <c r="AA83" s="116" t="str">
        <f aca="false">IF($B83="","",الموظفون!$Q83*(cfg_EOS_R1*(MIN(AH83,cfg_EOS_TH)-MIN(AI83,cfg_EOS_TH))+cfg_EOS_R2*(MAX(AH83-cfg_EOS_TH,0)-MAX(AI83-cfg_EOS_TH,0))))</f>
        <v/>
      </c>
      <c r="AB83" s="116" t="str">
        <f aca="false">IF($B83="","",IF(الموظفون!$T83&lt;&gt;"",الموظفون!$T83,IF(AH83&gt;=cfg_LV_TH,cfg_LV_D2,cfg_LV_D1))/cfg_DAYS_Y*AJ83*الموظفون!$R83/cfg_DAYS_M)</f>
        <v/>
      </c>
      <c r="AC83" s="116" t="str">
        <f aca="false">IF($B83="","",IF(AND(الموظفون!$U83="نعم",N(الموظفون!$W83)&gt;0),الموظفون!$V83/الموظفون!$W83*12/cfg_DAYS_Y*AJ83,0))</f>
        <v/>
      </c>
      <c r="AD83" s="116" t="str">
        <f aca="false">IF($B83="","",(IF(الموظفون!$X83&lt;&gt;"",الموظفون!$X83,IF(الموظفون!$E83="غير سعودي",cfg_IQ,0))+IF(الموظفون!$Y83&lt;&gt;"",الموظفون!$Y83,IF(الموظفون!$E83="غير سعودي",cfg_WP,0)))/12*G83/cfg_DAYS_M)</f>
        <v/>
      </c>
      <c r="AE83" s="116" t="str">
        <f aca="false">IF($B83="","",IF(الموظفون!$Z83&lt;&gt;"",الموظفون!$Z83,cfg_MED)/12*G83/cfg_DAYS_M)</f>
        <v/>
      </c>
      <c r="AF83" s="116" t="str">
        <f aca="false">IF($B83="","",N(الموظفون!$AA83)/12*G83/cfg_DAYS_M)</f>
        <v/>
      </c>
      <c r="AG83" s="159" t="str">
        <f aca="false">IF($B83="","",T83+SUM(Z83:AF83))</f>
        <v/>
      </c>
      <c r="AH83" s="160" t="str">
        <f aca="false">IF($B83="","",MAX(0,IF(OR(الموظفون!$AE83="",الموظفون!$AE83&gt;$F$3),$F$3,الموظفون!$AE83)-الموظفون!$H83+1-SUMIFS('سجل الإجازات والحالات'!$AO$6:$AO$505,'سجل الإجازات والحالات'!$B$6:$B$505,$B83))/cfg_DAYS_Y)</f>
        <v/>
      </c>
      <c r="AI83" s="160" t="str">
        <f aca="false">IF($B83="","",MAX(0,IF(OR(الموظفون!$AE83="",الموظفون!$AE83&gt;($E$3-1)),($E$3-1),الموظفون!$AE83)-الموظفون!$H83+1-SUMIFS('سجل الإجازات والحالات'!$AN$6:$AN$505,'سجل الإجازات والحالات'!$B$6:$B$505,$B83))/cfg_DAYS_Y)</f>
        <v/>
      </c>
      <c r="AJ83" s="133" t="str">
        <f aca="false">IF($B83="","",MAX(0,AK83-(SUMIFS('سجل الإجازات والحالات'!$AO$6:$AO$505,'سجل الإجازات والحالات'!$B$6:$B$505,$B83)-SUMIFS('سجل الإجازات والحالات'!$AN$6:$AN$505,'سجل الإجازات والحالات'!$B$6:$B$505,$B83))))</f>
        <v/>
      </c>
      <c r="AK83" s="133" t="str">
        <f aca="false">IF($B83="","",MAX(0,IF(OR(الموظفون!$AE83="",الموظفون!$AE83&gt;$F$3),$F$3,الموظفون!$AE83)-MAX($E$3,الموظفون!$H83)+1))</f>
        <v/>
      </c>
      <c r="AL83" s="156" t="str">
        <f aca="false">IF($B83="","",SUMIFS('سجل الإجازات والحالات'!$BA$6:$BA$505,'سجل الإجازات والحالات'!$B$6:$B$505,$B83)+SUMIFS('الحركات الشهرية'!$K$6:$K$1005,'الحركات الشهرية'!$B$6:$B$1005,$B83,'الحركات الشهرية'!$A$6:$A$1005,$C$3))</f>
        <v/>
      </c>
      <c r="AM83" s="116" t="str">
        <f aca="false">IF($B83="","",AL83*الموظفون!$R83/cfg_DAYS_M+S83)</f>
        <v/>
      </c>
      <c r="AN83" s="156" t="str">
        <f aca="false">IF($B83="","",SUMIFS('سجل الإجازات والحالات'!$AC$6:$AC$505,'سجل الإجازات والحالات'!$B$6:$B$505,$B83))</f>
        <v/>
      </c>
    </row>
    <row r="84" customFormat="false" ht="15" hidden="false" customHeight="false" outlineLevel="0" collapsed="false">
      <c r="A84" s="106" t="str">
        <f aca="false">IF($B84="","",الموظفون!$A84)</f>
        <v/>
      </c>
      <c r="B84" s="114" t="str">
        <f aca="false">IF(الموظفون!$B84="","",الموظفون!$B84)</f>
        <v/>
      </c>
      <c r="C84" s="114" t="str">
        <f aca="false">IF($B84="","",الموظفون!$C84)</f>
        <v/>
      </c>
      <c r="D84" s="114" t="str">
        <f aca="false">IF($B84="","",الموظفون!$F84)</f>
        <v/>
      </c>
      <c r="E84" s="114" t="str">
        <f aca="false">IF($B84="","",الموظفون!$E84)</f>
        <v/>
      </c>
      <c r="F84" s="114" t="str">
        <f aca="false">IF($B84="","",IF(AK84=0,IF(AND(الموظفون!$AE84&lt;&gt;"",الموظفون!$AE84&lt;$E$3),"✖ منتهي الخدمة","⏳ لم يباشر"),IF(S84&gt;0,"✈ راتب إجازة مقدم",IF(J84=0,"⛔ بدون راتب هذا الشهر",IF(I84&gt;0,"✈ خصم "&amp;ROUND(I84,2)&amp;" يوم بدون أجر",IF(AL84&gt;0,"🌴 إجازة سنوية "&amp;ROUND(AL84,2)&amp;" يوم",IF(H84&gt;0,"⚠ غياب "&amp;ROUND(H84,2)&amp;" يوم","✔ على رأس العمل")))))))</f>
        <v/>
      </c>
      <c r="G84" s="151" t="str">
        <f aca="false">IF($B84="","",IF(AK84&gt;=DAY($F$3),cfg_DAYS_M,MIN(AK84,cfg_DAYS_M)))</f>
        <v/>
      </c>
      <c r="H84" s="151" t="str">
        <f aca="false">IF($B84="","",SUMIFS('الحركات الشهرية'!$D$6:$D$1005,'الحركات الشهرية'!$B$6:$B$1005,$B84,'الحركات الشهرية'!$A$6:$A$1005,$C$3))</f>
        <v/>
      </c>
      <c r="I84" s="151" t="str">
        <f aca="false">IF($B84="","",MIN(G84,IF(AND(AK84&gt;0,AN84&gt;=AK84),G84,AN84)+SUMIFS('الحركات الشهرية'!$E$6:$E$1005,'الحركات الشهرية'!$B$6:$B$1005,$B84,'الحركات الشهرية'!$A$6:$A$1005,$C$3)))</f>
        <v/>
      </c>
      <c r="J84" s="151" t="str">
        <f aca="false">IF($B84="","",MAX(0,G84-H84-I84))</f>
        <v/>
      </c>
      <c r="K84" s="111" t="str">
        <f aca="false">IF($B84="","",الموظفون!$L84*$J84/cfg_DAYS_M)</f>
        <v/>
      </c>
      <c r="L84" s="111" t="str">
        <f aca="false">IF($B84="","",الموظفون!$M84*$J84/cfg_DAYS_M)</f>
        <v/>
      </c>
      <c r="M84" s="111" t="str">
        <f aca="false">IF($B84="","",الموظفون!$N84*$J84/cfg_DAYS_M)</f>
        <v/>
      </c>
      <c r="N84" s="111" t="str">
        <f aca="false">IF($B84="","",الموظفون!$O84*$J84/cfg_DAYS_M)</f>
        <v/>
      </c>
      <c r="O84" s="151" t="str">
        <f aca="false">IF($B84="","",SUMIFS('الحركات الشهرية'!$F$6:$F$1005,'الحركات الشهرية'!$B$6:$B$1005,$B84,'الحركات الشهرية'!$A$6:$A$1005,$C$3))</f>
        <v/>
      </c>
      <c r="P84" s="111" t="str">
        <f aca="false">IF($B84="","",O84*(الموظفون!$P84+الموظفون!$L84*cfg_OT_P)/cfg_DAYS_M/cfg_HRS)</f>
        <v/>
      </c>
      <c r="Q84" s="111" t="str">
        <f aca="false">IF($B84="","",SUMIFS('الحركات الشهرية'!$G$6:$G$1005,'الحركات الشهرية'!$B$6:$B$1005,$B84,'الحركات الشهرية'!$A$6:$A$1005,$C$3))</f>
        <v/>
      </c>
      <c r="R84" s="111" t="str">
        <f aca="false">IF($B84="","",SUMIFS('الحركات الشهرية'!$H$6:$H$1005,'الحركات الشهرية'!$B$6:$B$1005,$B84,'الحركات الشهرية'!$A$6:$A$1005,$C$3))</f>
        <v/>
      </c>
      <c r="S84" s="111" t="str">
        <f aca="false">IF($B84="","",SUMIFS('سجل الإجازات والحالات'!$N$6:$N$505,'سجل الإجازات والحالات'!$B$6:$B$505,$B84,'سجل الإجازات والحالات'!$O$6:$O$505,$C$3))</f>
        <v/>
      </c>
      <c r="T84" s="152" t="str">
        <f aca="false">IF($B84="","",SUM(K84:N84)+SUM(P84:S84))</f>
        <v/>
      </c>
      <c r="U84" s="111" t="str">
        <f aca="false">IF($B84="","",الموظفون!$S84*IF(E84="سعودي",cfg_G_SE,cfg_G_NE)*G84/cfg_DAYS_M)</f>
        <v/>
      </c>
      <c r="V84" s="111" t="str">
        <f aca="false">IF($B84="","",SUMIFS('الحركات الشهرية'!$I$6:$I$1005,'الحركات الشهرية'!$B$6:$B$1005,$B84,'الحركات الشهرية'!$A$6:$A$1005,$C$3))</f>
        <v/>
      </c>
      <c r="W84" s="111" t="str">
        <f aca="false">IF($B84="","",SUMIFS('الحركات الشهرية'!$J$6:$J$1005,'الحركات الشهرية'!$B$6:$B$1005,$B84,'الحركات الشهرية'!$A$6:$A$1005,$C$3))</f>
        <v/>
      </c>
      <c r="X84" s="111" t="str">
        <f aca="false">IF($B84="","",SUM(U84:W84))</f>
        <v/>
      </c>
      <c r="Y84" s="153" t="str">
        <f aca="false">IF($B84="","",T84-X84)</f>
        <v/>
      </c>
      <c r="Z84" s="111" t="str">
        <f aca="false">IF($B84="","",الموظفون!$S84*IF(E84="سعودي",cfg_G_SR,cfg_G_NR)*G84/cfg_DAYS_M)</f>
        <v/>
      </c>
      <c r="AA84" s="111" t="str">
        <f aca="false">IF($B84="","",الموظفون!$Q84*(cfg_EOS_R1*(MIN(AH84,cfg_EOS_TH)-MIN(AI84,cfg_EOS_TH))+cfg_EOS_R2*(MAX(AH84-cfg_EOS_TH,0)-MAX(AI84-cfg_EOS_TH,0))))</f>
        <v/>
      </c>
      <c r="AB84" s="111" t="str">
        <f aca="false">IF($B84="","",IF(الموظفون!$T84&lt;&gt;"",الموظفون!$T84,IF(AH84&gt;=cfg_LV_TH,cfg_LV_D2,cfg_LV_D1))/cfg_DAYS_Y*AJ84*الموظفون!$R84/cfg_DAYS_M)</f>
        <v/>
      </c>
      <c r="AC84" s="111" t="str">
        <f aca="false">IF($B84="","",IF(AND(الموظفون!$U84="نعم",N(الموظفون!$W84)&gt;0),الموظفون!$V84/الموظفون!$W84*12/cfg_DAYS_Y*AJ84,0))</f>
        <v/>
      </c>
      <c r="AD84" s="111" t="str">
        <f aca="false">IF($B84="","",(IF(الموظفون!$X84&lt;&gt;"",الموظفون!$X84,IF(الموظفون!$E84="غير سعودي",cfg_IQ,0))+IF(الموظفون!$Y84&lt;&gt;"",الموظفون!$Y84,IF(الموظفون!$E84="غير سعودي",cfg_WP,0)))/12*G84/cfg_DAYS_M)</f>
        <v/>
      </c>
      <c r="AE84" s="111" t="str">
        <f aca="false">IF($B84="","",IF(الموظفون!$Z84&lt;&gt;"",الموظفون!$Z84,cfg_MED)/12*G84/cfg_DAYS_M)</f>
        <v/>
      </c>
      <c r="AF84" s="111" t="str">
        <f aca="false">IF($B84="","",N(الموظفون!$AA84)/12*G84/cfg_DAYS_M)</f>
        <v/>
      </c>
      <c r="AG84" s="154" t="str">
        <f aca="false">IF($B84="","",T84+SUM(Z84:AF84))</f>
        <v/>
      </c>
      <c r="AH84" s="155" t="str">
        <f aca="false">IF($B84="","",MAX(0,IF(OR(الموظفون!$AE84="",الموظفون!$AE84&gt;$F$3),$F$3,الموظفون!$AE84)-الموظفون!$H84+1-SUMIFS('سجل الإجازات والحالات'!$AO$6:$AO$505,'سجل الإجازات والحالات'!$B$6:$B$505,$B84))/cfg_DAYS_Y)</f>
        <v/>
      </c>
      <c r="AI84" s="155" t="str">
        <f aca="false">IF($B84="","",MAX(0,IF(OR(الموظفون!$AE84="",الموظفون!$AE84&gt;($E$3-1)),($E$3-1),الموظفون!$AE84)-الموظفون!$H84+1-SUMIFS('سجل الإجازات والحالات'!$AN$6:$AN$505,'سجل الإجازات والحالات'!$B$6:$B$505,$B84))/cfg_DAYS_Y)</f>
        <v/>
      </c>
      <c r="AJ84" s="65" t="str">
        <f aca="false">IF($B84="","",MAX(0,AK84-(SUMIFS('سجل الإجازات والحالات'!$AO$6:$AO$505,'سجل الإجازات والحالات'!$B$6:$B$505,$B84)-SUMIFS('سجل الإجازات والحالات'!$AN$6:$AN$505,'سجل الإجازات والحالات'!$B$6:$B$505,$B84))))</f>
        <v/>
      </c>
      <c r="AK84" s="65" t="str">
        <f aca="false">IF($B84="","",MAX(0,IF(OR(الموظفون!$AE84="",الموظفون!$AE84&gt;$F$3),$F$3,الموظفون!$AE84)-MAX($E$3,الموظفون!$H84)+1))</f>
        <v/>
      </c>
      <c r="AL84" s="151" t="str">
        <f aca="false">IF($B84="","",SUMIFS('سجل الإجازات والحالات'!$BA$6:$BA$505,'سجل الإجازات والحالات'!$B$6:$B$505,$B84)+SUMIFS('الحركات الشهرية'!$K$6:$K$1005,'الحركات الشهرية'!$B$6:$B$1005,$B84,'الحركات الشهرية'!$A$6:$A$1005,$C$3))</f>
        <v/>
      </c>
      <c r="AM84" s="111" t="str">
        <f aca="false">IF($B84="","",AL84*الموظفون!$R84/cfg_DAYS_M+S84)</f>
        <v/>
      </c>
      <c r="AN84" s="151" t="str">
        <f aca="false">IF($B84="","",SUMIFS('سجل الإجازات والحالات'!$AC$6:$AC$505,'سجل الإجازات والحالات'!$B$6:$B$505,$B84))</f>
        <v/>
      </c>
    </row>
    <row r="85" customFormat="false" ht="15" hidden="false" customHeight="false" outlineLevel="0" collapsed="false">
      <c r="A85" s="115" t="str">
        <f aca="false">IF($B85="","",الموظفون!$A85)</f>
        <v/>
      </c>
      <c r="B85" s="117" t="str">
        <f aca="false">IF(الموظفون!$B85="","",الموظفون!$B85)</f>
        <v/>
      </c>
      <c r="C85" s="117" t="str">
        <f aca="false">IF($B85="","",الموظفون!$C85)</f>
        <v/>
      </c>
      <c r="D85" s="117" t="str">
        <f aca="false">IF($B85="","",الموظفون!$F85)</f>
        <v/>
      </c>
      <c r="E85" s="117" t="str">
        <f aca="false">IF($B85="","",الموظفون!$E85)</f>
        <v/>
      </c>
      <c r="F85" s="117" t="str">
        <f aca="false">IF($B85="","",IF(AK85=0,IF(AND(الموظفون!$AE85&lt;&gt;"",الموظفون!$AE85&lt;$E$3),"✖ منتهي الخدمة","⏳ لم يباشر"),IF(S85&gt;0,"✈ راتب إجازة مقدم",IF(J85=0,"⛔ بدون راتب هذا الشهر",IF(I85&gt;0,"✈ خصم "&amp;ROUND(I85,2)&amp;" يوم بدون أجر",IF(AL85&gt;0,"🌴 إجازة سنوية "&amp;ROUND(AL85,2)&amp;" يوم",IF(H85&gt;0,"⚠ غياب "&amp;ROUND(H85,2)&amp;" يوم","✔ على رأس العمل")))))))</f>
        <v/>
      </c>
      <c r="G85" s="156" t="str">
        <f aca="false">IF($B85="","",IF(AK85&gt;=DAY($F$3),cfg_DAYS_M,MIN(AK85,cfg_DAYS_M)))</f>
        <v/>
      </c>
      <c r="H85" s="156" t="str">
        <f aca="false">IF($B85="","",SUMIFS('الحركات الشهرية'!$D$6:$D$1005,'الحركات الشهرية'!$B$6:$B$1005,$B85,'الحركات الشهرية'!$A$6:$A$1005,$C$3))</f>
        <v/>
      </c>
      <c r="I85" s="156" t="str">
        <f aca="false">IF($B85="","",MIN(G85,IF(AND(AK85&gt;0,AN85&gt;=AK85),G85,AN85)+SUMIFS('الحركات الشهرية'!$E$6:$E$1005,'الحركات الشهرية'!$B$6:$B$1005,$B85,'الحركات الشهرية'!$A$6:$A$1005,$C$3)))</f>
        <v/>
      </c>
      <c r="J85" s="156" t="str">
        <f aca="false">IF($B85="","",MAX(0,G85-H85-I85))</f>
        <v/>
      </c>
      <c r="K85" s="116" t="str">
        <f aca="false">IF($B85="","",الموظفون!$L85*$J85/cfg_DAYS_M)</f>
        <v/>
      </c>
      <c r="L85" s="116" t="str">
        <f aca="false">IF($B85="","",الموظفون!$M85*$J85/cfg_DAYS_M)</f>
        <v/>
      </c>
      <c r="M85" s="116" t="str">
        <f aca="false">IF($B85="","",الموظفون!$N85*$J85/cfg_DAYS_M)</f>
        <v/>
      </c>
      <c r="N85" s="116" t="str">
        <f aca="false">IF($B85="","",الموظفون!$O85*$J85/cfg_DAYS_M)</f>
        <v/>
      </c>
      <c r="O85" s="156" t="str">
        <f aca="false">IF($B85="","",SUMIFS('الحركات الشهرية'!$F$6:$F$1005,'الحركات الشهرية'!$B$6:$B$1005,$B85,'الحركات الشهرية'!$A$6:$A$1005,$C$3))</f>
        <v/>
      </c>
      <c r="P85" s="116" t="str">
        <f aca="false">IF($B85="","",O85*(الموظفون!$P85+الموظفون!$L85*cfg_OT_P)/cfg_DAYS_M/cfg_HRS)</f>
        <v/>
      </c>
      <c r="Q85" s="116" t="str">
        <f aca="false">IF($B85="","",SUMIFS('الحركات الشهرية'!$G$6:$G$1005,'الحركات الشهرية'!$B$6:$B$1005,$B85,'الحركات الشهرية'!$A$6:$A$1005,$C$3))</f>
        <v/>
      </c>
      <c r="R85" s="116" t="str">
        <f aca="false">IF($B85="","",SUMIFS('الحركات الشهرية'!$H$6:$H$1005,'الحركات الشهرية'!$B$6:$B$1005,$B85,'الحركات الشهرية'!$A$6:$A$1005,$C$3))</f>
        <v/>
      </c>
      <c r="S85" s="116" t="str">
        <f aca="false">IF($B85="","",SUMIFS('سجل الإجازات والحالات'!$N$6:$N$505,'سجل الإجازات والحالات'!$B$6:$B$505,$B85,'سجل الإجازات والحالات'!$O$6:$O$505,$C$3))</f>
        <v/>
      </c>
      <c r="T85" s="157" t="str">
        <f aca="false">IF($B85="","",SUM(K85:N85)+SUM(P85:S85))</f>
        <v/>
      </c>
      <c r="U85" s="116" t="str">
        <f aca="false">IF($B85="","",الموظفون!$S85*IF(E85="سعودي",cfg_G_SE,cfg_G_NE)*G85/cfg_DAYS_M)</f>
        <v/>
      </c>
      <c r="V85" s="116" t="str">
        <f aca="false">IF($B85="","",SUMIFS('الحركات الشهرية'!$I$6:$I$1005,'الحركات الشهرية'!$B$6:$B$1005,$B85,'الحركات الشهرية'!$A$6:$A$1005,$C$3))</f>
        <v/>
      </c>
      <c r="W85" s="116" t="str">
        <f aca="false">IF($B85="","",SUMIFS('الحركات الشهرية'!$J$6:$J$1005,'الحركات الشهرية'!$B$6:$B$1005,$B85,'الحركات الشهرية'!$A$6:$A$1005,$C$3))</f>
        <v/>
      </c>
      <c r="X85" s="116" t="str">
        <f aca="false">IF($B85="","",SUM(U85:W85))</f>
        <v/>
      </c>
      <c r="Y85" s="158" t="str">
        <f aca="false">IF($B85="","",T85-X85)</f>
        <v/>
      </c>
      <c r="Z85" s="116" t="str">
        <f aca="false">IF($B85="","",الموظفون!$S85*IF(E85="سعودي",cfg_G_SR,cfg_G_NR)*G85/cfg_DAYS_M)</f>
        <v/>
      </c>
      <c r="AA85" s="116" t="str">
        <f aca="false">IF($B85="","",الموظفون!$Q85*(cfg_EOS_R1*(MIN(AH85,cfg_EOS_TH)-MIN(AI85,cfg_EOS_TH))+cfg_EOS_R2*(MAX(AH85-cfg_EOS_TH,0)-MAX(AI85-cfg_EOS_TH,0))))</f>
        <v/>
      </c>
      <c r="AB85" s="116" t="str">
        <f aca="false">IF($B85="","",IF(الموظفون!$T85&lt;&gt;"",الموظفون!$T85,IF(AH85&gt;=cfg_LV_TH,cfg_LV_D2,cfg_LV_D1))/cfg_DAYS_Y*AJ85*الموظفون!$R85/cfg_DAYS_M)</f>
        <v/>
      </c>
      <c r="AC85" s="116" t="str">
        <f aca="false">IF($B85="","",IF(AND(الموظفون!$U85="نعم",N(الموظفون!$W85)&gt;0),الموظفون!$V85/الموظفون!$W85*12/cfg_DAYS_Y*AJ85,0))</f>
        <v/>
      </c>
      <c r="AD85" s="116" t="str">
        <f aca="false">IF($B85="","",(IF(الموظفون!$X85&lt;&gt;"",الموظفون!$X85,IF(الموظفون!$E85="غير سعودي",cfg_IQ,0))+IF(الموظفون!$Y85&lt;&gt;"",الموظفون!$Y85,IF(الموظفون!$E85="غير سعودي",cfg_WP,0)))/12*G85/cfg_DAYS_M)</f>
        <v/>
      </c>
      <c r="AE85" s="116" t="str">
        <f aca="false">IF($B85="","",IF(الموظفون!$Z85&lt;&gt;"",الموظفون!$Z85,cfg_MED)/12*G85/cfg_DAYS_M)</f>
        <v/>
      </c>
      <c r="AF85" s="116" t="str">
        <f aca="false">IF($B85="","",N(الموظفون!$AA85)/12*G85/cfg_DAYS_M)</f>
        <v/>
      </c>
      <c r="AG85" s="159" t="str">
        <f aca="false">IF($B85="","",T85+SUM(Z85:AF85))</f>
        <v/>
      </c>
      <c r="AH85" s="160" t="str">
        <f aca="false">IF($B85="","",MAX(0,IF(OR(الموظفون!$AE85="",الموظفون!$AE85&gt;$F$3),$F$3,الموظفون!$AE85)-الموظفون!$H85+1-SUMIFS('سجل الإجازات والحالات'!$AO$6:$AO$505,'سجل الإجازات والحالات'!$B$6:$B$505,$B85))/cfg_DAYS_Y)</f>
        <v/>
      </c>
      <c r="AI85" s="160" t="str">
        <f aca="false">IF($B85="","",MAX(0,IF(OR(الموظفون!$AE85="",الموظفون!$AE85&gt;($E$3-1)),($E$3-1),الموظفون!$AE85)-الموظفون!$H85+1-SUMIFS('سجل الإجازات والحالات'!$AN$6:$AN$505,'سجل الإجازات والحالات'!$B$6:$B$505,$B85))/cfg_DAYS_Y)</f>
        <v/>
      </c>
      <c r="AJ85" s="133" t="str">
        <f aca="false">IF($B85="","",MAX(0,AK85-(SUMIFS('سجل الإجازات والحالات'!$AO$6:$AO$505,'سجل الإجازات والحالات'!$B$6:$B$505,$B85)-SUMIFS('سجل الإجازات والحالات'!$AN$6:$AN$505,'سجل الإجازات والحالات'!$B$6:$B$505,$B85))))</f>
        <v/>
      </c>
      <c r="AK85" s="133" t="str">
        <f aca="false">IF($B85="","",MAX(0,IF(OR(الموظفون!$AE85="",الموظفون!$AE85&gt;$F$3),$F$3,الموظفون!$AE85)-MAX($E$3,الموظفون!$H85)+1))</f>
        <v/>
      </c>
      <c r="AL85" s="156" t="str">
        <f aca="false">IF($B85="","",SUMIFS('سجل الإجازات والحالات'!$BA$6:$BA$505,'سجل الإجازات والحالات'!$B$6:$B$505,$B85)+SUMIFS('الحركات الشهرية'!$K$6:$K$1005,'الحركات الشهرية'!$B$6:$B$1005,$B85,'الحركات الشهرية'!$A$6:$A$1005,$C$3))</f>
        <v/>
      </c>
      <c r="AM85" s="116" t="str">
        <f aca="false">IF($B85="","",AL85*الموظفون!$R85/cfg_DAYS_M+S85)</f>
        <v/>
      </c>
      <c r="AN85" s="156" t="str">
        <f aca="false">IF($B85="","",SUMIFS('سجل الإجازات والحالات'!$AC$6:$AC$505,'سجل الإجازات والحالات'!$B$6:$B$505,$B85))</f>
        <v/>
      </c>
    </row>
    <row r="86" customFormat="false" ht="15" hidden="false" customHeight="false" outlineLevel="0" collapsed="false">
      <c r="A86" s="106" t="str">
        <f aca="false">IF($B86="","",الموظفون!$A86)</f>
        <v/>
      </c>
      <c r="B86" s="114" t="str">
        <f aca="false">IF(الموظفون!$B86="","",الموظفون!$B86)</f>
        <v/>
      </c>
      <c r="C86" s="114" t="str">
        <f aca="false">IF($B86="","",الموظفون!$C86)</f>
        <v/>
      </c>
      <c r="D86" s="114" t="str">
        <f aca="false">IF($B86="","",الموظفون!$F86)</f>
        <v/>
      </c>
      <c r="E86" s="114" t="str">
        <f aca="false">IF($B86="","",الموظفون!$E86)</f>
        <v/>
      </c>
      <c r="F86" s="114" t="str">
        <f aca="false">IF($B86="","",IF(AK86=0,IF(AND(الموظفون!$AE86&lt;&gt;"",الموظفون!$AE86&lt;$E$3),"✖ منتهي الخدمة","⏳ لم يباشر"),IF(S86&gt;0,"✈ راتب إجازة مقدم",IF(J86=0,"⛔ بدون راتب هذا الشهر",IF(I86&gt;0,"✈ خصم "&amp;ROUND(I86,2)&amp;" يوم بدون أجر",IF(AL86&gt;0,"🌴 إجازة سنوية "&amp;ROUND(AL86,2)&amp;" يوم",IF(H86&gt;0,"⚠ غياب "&amp;ROUND(H86,2)&amp;" يوم","✔ على رأس العمل")))))))</f>
        <v/>
      </c>
      <c r="G86" s="151" t="str">
        <f aca="false">IF($B86="","",IF(AK86&gt;=DAY($F$3),cfg_DAYS_M,MIN(AK86,cfg_DAYS_M)))</f>
        <v/>
      </c>
      <c r="H86" s="151" t="str">
        <f aca="false">IF($B86="","",SUMIFS('الحركات الشهرية'!$D$6:$D$1005,'الحركات الشهرية'!$B$6:$B$1005,$B86,'الحركات الشهرية'!$A$6:$A$1005,$C$3))</f>
        <v/>
      </c>
      <c r="I86" s="151" t="str">
        <f aca="false">IF($B86="","",MIN(G86,IF(AND(AK86&gt;0,AN86&gt;=AK86),G86,AN86)+SUMIFS('الحركات الشهرية'!$E$6:$E$1005,'الحركات الشهرية'!$B$6:$B$1005,$B86,'الحركات الشهرية'!$A$6:$A$1005,$C$3)))</f>
        <v/>
      </c>
      <c r="J86" s="151" t="str">
        <f aca="false">IF($B86="","",MAX(0,G86-H86-I86))</f>
        <v/>
      </c>
      <c r="K86" s="111" t="str">
        <f aca="false">IF($B86="","",الموظفون!$L86*$J86/cfg_DAYS_M)</f>
        <v/>
      </c>
      <c r="L86" s="111" t="str">
        <f aca="false">IF($B86="","",الموظفون!$M86*$J86/cfg_DAYS_M)</f>
        <v/>
      </c>
      <c r="M86" s="111" t="str">
        <f aca="false">IF($B86="","",الموظفون!$N86*$J86/cfg_DAYS_M)</f>
        <v/>
      </c>
      <c r="N86" s="111" t="str">
        <f aca="false">IF($B86="","",الموظفون!$O86*$J86/cfg_DAYS_M)</f>
        <v/>
      </c>
      <c r="O86" s="151" t="str">
        <f aca="false">IF($B86="","",SUMIFS('الحركات الشهرية'!$F$6:$F$1005,'الحركات الشهرية'!$B$6:$B$1005,$B86,'الحركات الشهرية'!$A$6:$A$1005,$C$3))</f>
        <v/>
      </c>
      <c r="P86" s="111" t="str">
        <f aca="false">IF($B86="","",O86*(الموظفون!$P86+الموظفون!$L86*cfg_OT_P)/cfg_DAYS_M/cfg_HRS)</f>
        <v/>
      </c>
      <c r="Q86" s="111" t="str">
        <f aca="false">IF($B86="","",SUMIFS('الحركات الشهرية'!$G$6:$G$1005,'الحركات الشهرية'!$B$6:$B$1005,$B86,'الحركات الشهرية'!$A$6:$A$1005,$C$3))</f>
        <v/>
      </c>
      <c r="R86" s="111" t="str">
        <f aca="false">IF($B86="","",SUMIFS('الحركات الشهرية'!$H$6:$H$1005,'الحركات الشهرية'!$B$6:$B$1005,$B86,'الحركات الشهرية'!$A$6:$A$1005,$C$3))</f>
        <v/>
      </c>
      <c r="S86" s="111" t="str">
        <f aca="false">IF($B86="","",SUMIFS('سجل الإجازات والحالات'!$N$6:$N$505,'سجل الإجازات والحالات'!$B$6:$B$505,$B86,'سجل الإجازات والحالات'!$O$6:$O$505,$C$3))</f>
        <v/>
      </c>
      <c r="T86" s="152" t="str">
        <f aca="false">IF($B86="","",SUM(K86:N86)+SUM(P86:S86))</f>
        <v/>
      </c>
      <c r="U86" s="111" t="str">
        <f aca="false">IF($B86="","",الموظفون!$S86*IF(E86="سعودي",cfg_G_SE,cfg_G_NE)*G86/cfg_DAYS_M)</f>
        <v/>
      </c>
      <c r="V86" s="111" t="str">
        <f aca="false">IF($B86="","",SUMIFS('الحركات الشهرية'!$I$6:$I$1005,'الحركات الشهرية'!$B$6:$B$1005,$B86,'الحركات الشهرية'!$A$6:$A$1005,$C$3))</f>
        <v/>
      </c>
      <c r="W86" s="111" t="str">
        <f aca="false">IF($B86="","",SUMIFS('الحركات الشهرية'!$J$6:$J$1005,'الحركات الشهرية'!$B$6:$B$1005,$B86,'الحركات الشهرية'!$A$6:$A$1005,$C$3))</f>
        <v/>
      </c>
      <c r="X86" s="111" t="str">
        <f aca="false">IF($B86="","",SUM(U86:W86))</f>
        <v/>
      </c>
      <c r="Y86" s="153" t="str">
        <f aca="false">IF($B86="","",T86-X86)</f>
        <v/>
      </c>
      <c r="Z86" s="111" t="str">
        <f aca="false">IF($B86="","",الموظفون!$S86*IF(E86="سعودي",cfg_G_SR,cfg_G_NR)*G86/cfg_DAYS_M)</f>
        <v/>
      </c>
      <c r="AA86" s="111" t="str">
        <f aca="false">IF($B86="","",الموظفون!$Q86*(cfg_EOS_R1*(MIN(AH86,cfg_EOS_TH)-MIN(AI86,cfg_EOS_TH))+cfg_EOS_R2*(MAX(AH86-cfg_EOS_TH,0)-MAX(AI86-cfg_EOS_TH,0))))</f>
        <v/>
      </c>
      <c r="AB86" s="111" t="str">
        <f aca="false">IF($B86="","",IF(الموظفون!$T86&lt;&gt;"",الموظفون!$T86,IF(AH86&gt;=cfg_LV_TH,cfg_LV_D2,cfg_LV_D1))/cfg_DAYS_Y*AJ86*الموظفون!$R86/cfg_DAYS_M)</f>
        <v/>
      </c>
      <c r="AC86" s="111" t="str">
        <f aca="false">IF($B86="","",IF(AND(الموظفون!$U86="نعم",N(الموظفون!$W86)&gt;0),الموظفون!$V86/الموظفون!$W86*12/cfg_DAYS_Y*AJ86,0))</f>
        <v/>
      </c>
      <c r="AD86" s="111" t="str">
        <f aca="false">IF($B86="","",(IF(الموظفون!$X86&lt;&gt;"",الموظفون!$X86,IF(الموظفون!$E86="غير سعودي",cfg_IQ,0))+IF(الموظفون!$Y86&lt;&gt;"",الموظفون!$Y86,IF(الموظفون!$E86="غير سعودي",cfg_WP,0)))/12*G86/cfg_DAYS_M)</f>
        <v/>
      </c>
      <c r="AE86" s="111" t="str">
        <f aca="false">IF($B86="","",IF(الموظفون!$Z86&lt;&gt;"",الموظفون!$Z86,cfg_MED)/12*G86/cfg_DAYS_M)</f>
        <v/>
      </c>
      <c r="AF86" s="111" t="str">
        <f aca="false">IF($B86="","",N(الموظفون!$AA86)/12*G86/cfg_DAYS_M)</f>
        <v/>
      </c>
      <c r="AG86" s="154" t="str">
        <f aca="false">IF($B86="","",T86+SUM(Z86:AF86))</f>
        <v/>
      </c>
      <c r="AH86" s="155" t="str">
        <f aca="false">IF($B86="","",MAX(0,IF(OR(الموظفون!$AE86="",الموظفون!$AE86&gt;$F$3),$F$3,الموظفون!$AE86)-الموظفون!$H86+1-SUMIFS('سجل الإجازات والحالات'!$AO$6:$AO$505,'سجل الإجازات والحالات'!$B$6:$B$505,$B86))/cfg_DAYS_Y)</f>
        <v/>
      </c>
      <c r="AI86" s="155" t="str">
        <f aca="false">IF($B86="","",MAX(0,IF(OR(الموظفون!$AE86="",الموظفون!$AE86&gt;($E$3-1)),($E$3-1),الموظفون!$AE86)-الموظفون!$H86+1-SUMIFS('سجل الإجازات والحالات'!$AN$6:$AN$505,'سجل الإجازات والحالات'!$B$6:$B$505,$B86))/cfg_DAYS_Y)</f>
        <v/>
      </c>
      <c r="AJ86" s="65" t="str">
        <f aca="false">IF($B86="","",MAX(0,AK86-(SUMIFS('سجل الإجازات والحالات'!$AO$6:$AO$505,'سجل الإجازات والحالات'!$B$6:$B$505,$B86)-SUMIFS('سجل الإجازات والحالات'!$AN$6:$AN$505,'سجل الإجازات والحالات'!$B$6:$B$505,$B86))))</f>
        <v/>
      </c>
      <c r="AK86" s="65" t="str">
        <f aca="false">IF($B86="","",MAX(0,IF(OR(الموظفون!$AE86="",الموظفون!$AE86&gt;$F$3),$F$3,الموظفون!$AE86)-MAX($E$3,الموظفون!$H86)+1))</f>
        <v/>
      </c>
      <c r="AL86" s="151" t="str">
        <f aca="false">IF($B86="","",SUMIFS('سجل الإجازات والحالات'!$BA$6:$BA$505,'سجل الإجازات والحالات'!$B$6:$B$505,$B86)+SUMIFS('الحركات الشهرية'!$K$6:$K$1005,'الحركات الشهرية'!$B$6:$B$1005,$B86,'الحركات الشهرية'!$A$6:$A$1005,$C$3))</f>
        <v/>
      </c>
      <c r="AM86" s="111" t="str">
        <f aca="false">IF($B86="","",AL86*الموظفون!$R86/cfg_DAYS_M+S86)</f>
        <v/>
      </c>
      <c r="AN86" s="151" t="str">
        <f aca="false">IF($B86="","",SUMIFS('سجل الإجازات والحالات'!$AC$6:$AC$505,'سجل الإجازات والحالات'!$B$6:$B$505,$B86))</f>
        <v/>
      </c>
    </row>
    <row r="87" customFormat="false" ht="15" hidden="false" customHeight="false" outlineLevel="0" collapsed="false">
      <c r="A87" s="115" t="str">
        <f aca="false">IF($B87="","",الموظفون!$A87)</f>
        <v/>
      </c>
      <c r="B87" s="117" t="str">
        <f aca="false">IF(الموظفون!$B87="","",الموظفون!$B87)</f>
        <v/>
      </c>
      <c r="C87" s="117" t="str">
        <f aca="false">IF($B87="","",الموظفون!$C87)</f>
        <v/>
      </c>
      <c r="D87" s="117" t="str">
        <f aca="false">IF($B87="","",الموظفون!$F87)</f>
        <v/>
      </c>
      <c r="E87" s="117" t="str">
        <f aca="false">IF($B87="","",الموظفون!$E87)</f>
        <v/>
      </c>
      <c r="F87" s="117" t="str">
        <f aca="false">IF($B87="","",IF(AK87=0,IF(AND(الموظفون!$AE87&lt;&gt;"",الموظفون!$AE87&lt;$E$3),"✖ منتهي الخدمة","⏳ لم يباشر"),IF(S87&gt;0,"✈ راتب إجازة مقدم",IF(J87=0,"⛔ بدون راتب هذا الشهر",IF(I87&gt;0,"✈ خصم "&amp;ROUND(I87,2)&amp;" يوم بدون أجر",IF(AL87&gt;0,"🌴 إجازة سنوية "&amp;ROUND(AL87,2)&amp;" يوم",IF(H87&gt;0,"⚠ غياب "&amp;ROUND(H87,2)&amp;" يوم","✔ على رأس العمل")))))))</f>
        <v/>
      </c>
      <c r="G87" s="156" t="str">
        <f aca="false">IF($B87="","",IF(AK87&gt;=DAY($F$3),cfg_DAYS_M,MIN(AK87,cfg_DAYS_M)))</f>
        <v/>
      </c>
      <c r="H87" s="156" t="str">
        <f aca="false">IF($B87="","",SUMIFS('الحركات الشهرية'!$D$6:$D$1005,'الحركات الشهرية'!$B$6:$B$1005,$B87,'الحركات الشهرية'!$A$6:$A$1005,$C$3))</f>
        <v/>
      </c>
      <c r="I87" s="156" t="str">
        <f aca="false">IF($B87="","",MIN(G87,IF(AND(AK87&gt;0,AN87&gt;=AK87),G87,AN87)+SUMIFS('الحركات الشهرية'!$E$6:$E$1005,'الحركات الشهرية'!$B$6:$B$1005,$B87,'الحركات الشهرية'!$A$6:$A$1005,$C$3)))</f>
        <v/>
      </c>
      <c r="J87" s="156" t="str">
        <f aca="false">IF($B87="","",MAX(0,G87-H87-I87))</f>
        <v/>
      </c>
      <c r="K87" s="116" t="str">
        <f aca="false">IF($B87="","",الموظفون!$L87*$J87/cfg_DAYS_M)</f>
        <v/>
      </c>
      <c r="L87" s="116" t="str">
        <f aca="false">IF($B87="","",الموظفون!$M87*$J87/cfg_DAYS_M)</f>
        <v/>
      </c>
      <c r="M87" s="116" t="str">
        <f aca="false">IF($B87="","",الموظفون!$N87*$J87/cfg_DAYS_M)</f>
        <v/>
      </c>
      <c r="N87" s="116" t="str">
        <f aca="false">IF($B87="","",الموظفون!$O87*$J87/cfg_DAYS_M)</f>
        <v/>
      </c>
      <c r="O87" s="156" t="str">
        <f aca="false">IF($B87="","",SUMIFS('الحركات الشهرية'!$F$6:$F$1005,'الحركات الشهرية'!$B$6:$B$1005,$B87,'الحركات الشهرية'!$A$6:$A$1005,$C$3))</f>
        <v/>
      </c>
      <c r="P87" s="116" t="str">
        <f aca="false">IF($B87="","",O87*(الموظفون!$P87+الموظفون!$L87*cfg_OT_P)/cfg_DAYS_M/cfg_HRS)</f>
        <v/>
      </c>
      <c r="Q87" s="116" t="str">
        <f aca="false">IF($B87="","",SUMIFS('الحركات الشهرية'!$G$6:$G$1005,'الحركات الشهرية'!$B$6:$B$1005,$B87,'الحركات الشهرية'!$A$6:$A$1005,$C$3))</f>
        <v/>
      </c>
      <c r="R87" s="116" t="str">
        <f aca="false">IF($B87="","",SUMIFS('الحركات الشهرية'!$H$6:$H$1005,'الحركات الشهرية'!$B$6:$B$1005,$B87,'الحركات الشهرية'!$A$6:$A$1005,$C$3))</f>
        <v/>
      </c>
      <c r="S87" s="116" t="str">
        <f aca="false">IF($B87="","",SUMIFS('سجل الإجازات والحالات'!$N$6:$N$505,'سجل الإجازات والحالات'!$B$6:$B$505,$B87,'سجل الإجازات والحالات'!$O$6:$O$505,$C$3))</f>
        <v/>
      </c>
      <c r="T87" s="157" t="str">
        <f aca="false">IF($B87="","",SUM(K87:N87)+SUM(P87:S87))</f>
        <v/>
      </c>
      <c r="U87" s="116" t="str">
        <f aca="false">IF($B87="","",الموظفون!$S87*IF(E87="سعودي",cfg_G_SE,cfg_G_NE)*G87/cfg_DAYS_M)</f>
        <v/>
      </c>
      <c r="V87" s="116" t="str">
        <f aca="false">IF($B87="","",SUMIFS('الحركات الشهرية'!$I$6:$I$1005,'الحركات الشهرية'!$B$6:$B$1005,$B87,'الحركات الشهرية'!$A$6:$A$1005,$C$3))</f>
        <v/>
      </c>
      <c r="W87" s="116" t="str">
        <f aca="false">IF($B87="","",SUMIFS('الحركات الشهرية'!$J$6:$J$1005,'الحركات الشهرية'!$B$6:$B$1005,$B87,'الحركات الشهرية'!$A$6:$A$1005,$C$3))</f>
        <v/>
      </c>
      <c r="X87" s="116" t="str">
        <f aca="false">IF($B87="","",SUM(U87:W87))</f>
        <v/>
      </c>
      <c r="Y87" s="158" t="str">
        <f aca="false">IF($B87="","",T87-X87)</f>
        <v/>
      </c>
      <c r="Z87" s="116" t="str">
        <f aca="false">IF($B87="","",الموظفون!$S87*IF(E87="سعودي",cfg_G_SR,cfg_G_NR)*G87/cfg_DAYS_M)</f>
        <v/>
      </c>
      <c r="AA87" s="116" t="str">
        <f aca="false">IF($B87="","",الموظفون!$Q87*(cfg_EOS_R1*(MIN(AH87,cfg_EOS_TH)-MIN(AI87,cfg_EOS_TH))+cfg_EOS_R2*(MAX(AH87-cfg_EOS_TH,0)-MAX(AI87-cfg_EOS_TH,0))))</f>
        <v/>
      </c>
      <c r="AB87" s="116" t="str">
        <f aca="false">IF($B87="","",IF(الموظفون!$T87&lt;&gt;"",الموظفون!$T87,IF(AH87&gt;=cfg_LV_TH,cfg_LV_D2,cfg_LV_D1))/cfg_DAYS_Y*AJ87*الموظفون!$R87/cfg_DAYS_M)</f>
        <v/>
      </c>
      <c r="AC87" s="116" t="str">
        <f aca="false">IF($B87="","",IF(AND(الموظفون!$U87="نعم",N(الموظفون!$W87)&gt;0),الموظفون!$V87/الموظفون!$W87*12/cfg_DAYS_Y*AJ87,0))</f>
        <v/>
      </c>
      <c r="AD87" s="116" t="str">
        <f aca="false">IF($B87="","",(IF(الموظفون!$X87&lt;&gt;"",الموظفون!$X87,IF(الموظفون!$E87="غير سعودي",cfg_IQ,0))+IF(الموظفون!$Y87&lt;&gt;"",الموظفون!$Y87,IF(الموظفون!$E87="غير سعودي",cfg_WP,0)))/12*G87/cfg_DAYS_M)</f>
        <v/>
      </c>
      <c r="AE87" s="116" t="str">
        <f aca="false">IF($B87="","",IF(الموظفون!$Z87&lt;&gt;"",الموظفون!$Z87,cfg_MED)/12*G87/cfg_DAYS_M)</f>
        <v/>
      </c>
      <c r="AF87" s="116" t="str">
        <f aca="false">IF($B87="","",N(الموظفون!$AA87)/12*G87/cfg_DAYS_M)</f>
        <v/>
      </c>
      <c r="AG87" s="159" t="str">
        <f aca="false">IF($B87="","",T87+SUM(Z87:AF87))</f>
        <v/>
      </c>
      <c r="AH87" s="160" t="str">
        <f aca="false">IF($B87="","",MAX(0,IF(OR(الموظفون!$AE87="",الموظفون!$AE87&gt;$F$3),$F$3,الموظفون!$AE87)-الموظفون!$H87+1-SUMIFS('سجل الإجازات والحالات'!$AO$6:$AO$505,'سجل الإجازات والحالات'!$B$6:$B$505,$B87))/cfg_DAYS_Y)</f>
        <v/>
      </c>
      <c r="AI87" s="160" t="str">
        <f aca="false">IF($B87="","",MAX(0,IF(OR(الموظفون!$AE87="",الموظفون!$AE87&gt;($E$3-1)),($E$3-1),الموظفون!$AE87)-الموظفون!$H87+1-SUMIFS('سجل الإجازات والحالات'!$AN$6:$AN$505,'سجل الإجازات والحالات'!$B$6:$B$505,$B87))/cfg_DAYS_Y)</f>
        <v/>
      </c>
      <c r="AJ87" s="133" t="str">
        <f aca="false">IF($B87="","",MAX(0,AK87-(SUMIFS('سجل الإجازات والحالات'!$AO$6:$AO$505,'سجل الإجازات والحالات'!$B$6:$B$505,$B87)-SUMIFS('سجل الإجازات والحالات'!$AN$6:$AN$505,'سجل الإجازات والحالات'!$B$6:$B$505,$B87))))</f>
        <v/>
      </c>
      <c r="AK87" s="133" t="str">
        <f aca="false">IF($B87="","",MAX(0,IF(OR(الموظفون!$AE87="",الموظفون!$AE87&gt;$F$3),$F$3,الموظفون!$AE87)-MAX($E$3,الموظفون!$H87)+1))</f>
        <v/>
      </c>
      <c r="AL87" s="156" t="str">
        <f aca="false">IF($B87="","",SUMIFS('سجل الإجازات والحالات'!$BA$6:$BA$505,'سجل الإجازات والحالات'!$B$6:$B$505,$B87)+SUMIFS('الحركات الشهرية'!$K$6:$K$1005,'الحركات الشهرية'!$B$6:$B$1005,$B87,'الحركات الشهرية'!$A$6:$A$1005,$C$3))</f>
        <v/>
      </c>
      <c r="AM87" s="116" t="str">
        <f aca="false">IF($B87="","",AL87*الموظفون!$R87/cfg_DAYS_M+S87)</f>
        <v/>
      </c>
      <c r="AN87" s="156" t="str">
        <f aca="false">IF($B87="","",SUMIFS('سجل الإجازات والحالات'!$AC$6:$AC$505,'سجل الإجازات والحالات'!$B$6:$B$505,$B87))</f>
        <v/>
      </c>
    </row>
    <row r="88" customFormat="false" ht="15" hidden="false" customHeight="false" outlineLevel="0" collapsed="false">
      <c r="A88" s="106" t="str">
        <f aca="false">IF($B88="","",الموظفون!$A88)</f>
        <v/>
      </c>
      <c r="B88" s="114" t="str">
        <f aca="false">IF(الموظفون!$B88="","",الموظفون!$B88)</f>
        <v/>
      </c>
      <c r="C88" s="114" t="str">
        <f aca="false">IF($B88="","",الموظفون!$C88)</f>
        <v/>
      </c>
      <c r="D88" s="114" t="str">
        <f aca="false">IF($B88="","",الموظفون!$F88)</f>
        <v/>
      </c>
      <c r="E88" s="114" t="str">
        <f aca="false">IF($B88="","",الموظفون!$E88)</f>
        <v/>
      </c>
      <c r="F88" s="114" t="str">
        <f aca="false">IF($B88="","",IF(AK88=0,IF(AND(الموظفون!$AE88&lt;&gt;"",الموظفون!$AE88&lt;$E$3),"✖ منتهي الخدمة","⏳ لم يباشر"),IF(S88&gt;0,"✈ راتب إجازة مقدم",IF(J88=0,"⛔ بدون راتب هذا الشهر",IF(I88&gt;0,"✈ خصم "&amp;ROUND(I88,2)&amp;" يوم بدون أجر",IF(AL88&gt;0,"🌴 إجازة سنوية "&amp;ROUND(AL88,2)&amp;" يوم",IF(H88&gt;0,"⚠ غياب "&amp;ROUND(H88,2)&amp;" يوم","✔ على رأس العمل")))))))</f>
        <v/>
      </c>
      <c r="G88" s="151" t="str">
        <f aca="false">IF($B88="","",IF(AK88&gt;=DAY($F$3),cfg_DAYS_M,MIN(AK88,cfg_DAYS_M)))</f>
        <v/>
      </c>
      <c r="H88" s="151" t="str">
        <f aca="false">IF($B88="","",SUMIFS('الحركات الشهرية'!$D$6:$D$1005,'الحركات الشهرية'!$B$6:$B$1005,$B88,'الحركات الشهرية'!$A$6:$A$1005,$C$3))</f>
        <v/>
      </c>
      <c r="I88" s="151" t="str">
        <f aca="false">IF($B88="","",MIN(G88,IF(AND(AK88&gt;0,AN88&gt;=AK88),G88,AN88)+SUMIFS('الحركات الشهرية'!$E$6:$E$1005,'الحركات الشهرية'!$B$6:$B$1005,$B88,'الحركات الشهرية'!$A$6:$A$1005,$C$3)))</f>
        <v/>
      </c>
      <c r="J88" s="151" t="str">
        <f aca="false">IF($B88="","",MAX(0,G88-H88-I88))</f>
        <v/>
      </c>
      <c r="K88" s="111" t="str">
        <f aca="false">IF($B88="","",الموظفون!$L88*$J88/cfg_DAYS_M)</f>
        <v/>
      </c>
      <c r="L88" s="111" t="str">
        <f aca="false">IF($B88="","",الموظفون!$M88*$J88/cfg_DAYS_M)</f>
        <v/>
      </c>
      <c r="M88" s="111" t="str">
        <f aca="false">IF($B88="","",الموظفون!$N88*$J88/cfg_DAYS_M)</f>
        <v/>
      </c>
      <c r="N88" s="111" t="str">
        <f aca="false">IF($B88="","",الموظفون!$O88*$J88/cfg_DAYS_M)</f>
        <v/>
      </c>
      <c r="O88" s="151" t="str">
        <f aca="false">IF($B88="","",SUMIFS('الحركات الشهرية'!$F$6:$F$1005,'الحركات الشهرية'!$B$6:$B$1005,$B88,'الحركات الشهرية'!$A$6:$A$1005,$C$3))</f>
        <v/>
      </c>
      <c r="P88" s="111" t="str">
        <f aca="false">IF($B88="","",O88*(الموظفون!$P88+الموظفون!$L88*cfg_OT_P)/cfg_DAYS_M/cfg_HRS)</f>
        <v/>
      </c>
      <c r="Q88" s="111" t="str">
        <f aca="false">IF($B88="","",SUMIFS('الحركات الشهرية'!$G$6:$G$1005,'الحركات الشهرية'!$B$6:$B$1005,$B88,'الحركات الشهرية'!$A$6:$A$1005,$C$3))</f>
        <v/>
      </c>
      <c r="R88" s="111" t="str">
        <f aca="false">IF($B88="","",SUMIFS('الحركات الشهرية'!$H$6:$H$1005,'الحركات الشهرية'!$B$6:$B$1005,$B88,'الحركات الشهرية'!$A$6:$A$1005,$C$3))</f>
        <v/>
      </c>
      <c r="S88" s="111" t="str">
        <f aca="false">IF($B88="","",SUMIFS('سجل الإجازات والحالات'!$N$6:$N$505,'سجل الإجازات والحالات'!$B$6:$B$505,$B88,'سجل الإجازات والحالات'!$O$6:$O$505,$C$3))</f>
        <v/>
      </c>
      <c r="T88" s="152" t="str">
        <f aca="false">IF($B88="","",SUM(K88:N88)+SUM(P88:S88))</f>
        <v/>
      </c>
      <c r="U88" s="111" t="str">
        <f aca="false">IF($B88="","",الموظفون!$S88*IF(E88="سعودي",cfg_G_SE,cfg_G_NE)*G88/cfg_DAYS_M)</f>
        <v/>
      </c>
      <c r="V88" s="111" t="str">
        <f aca="false">IF($B88="","",SUMIFS('الحركات الشهرية'!$I$6:$I$1005,'الحركات الشهرية'!$B$6:$B$1005,$B88,'الحركات الشهرية'!$A$6:$A$1005,$C$3))</f>
        <v/>
      </c>
      <c r="W88" s="111" t="str">
        <f aca="false">IF($B88="","",SUMIFS('الحركات الشهرية'!$J$6:$J$1005,'الحركات الشهرية'!$B$6:$B$1005,$B88,'الحركات الشهرية'!$A$6:$A$1005,$C$3))</f>
        <v/>
      </c>
      <c r="X88" s="111" t="str">
        <f aca="false">IF($B88="","",SUM(U88:W88))</f>
        <v/>
      </c>
      <c r="Y88" s="153" t="str">
        <f aca="false">IF($B88="","",T88-X88)</f>
        <v/>
      </c>
      <c r="Z88" s="111" t="str">
        <f aca="false">IF($B88="","",الموظفون!$S88*IF(E88="سعودي",cfg_G_SR,cfg_G_NR)*G88/cfg_DAYS_M)</f>
        <v/>
      </c>
      <c r="AA88" s="111" t="str">
        <f aca="false">IF($B88="","",الموظفون!$Q88*(cfg_EOS_R1*(MIN(AH88,cfg_EOS_TH)-MIN(AI88,cfg_EOS_TH))+cfg_EOS_R2*(MAX(AH88-cfg_EOS_TH,0)-MAX(AI88-cfg_EOS_TH,0))))</f>
        <v/>
      </c>
      <c r="AB88" s="111" t="str">
        <f aca="false">IF($B88="","",IF(الموظفون!$T88&lt;&gt;"",الموظفون!$T88,IF(AH88&gt;=cfg_LV_TH,cfg_LV_D2,cfg_LV_D1))/cfg_DAYS_Y*AJ88*الموظفون!$R88/cfg_DAYS_M)</f>
        <v/>
      </c>
      <c r="AC88" s="111" t="str">
        <f aca="false">IF($B88="","",IF(AND(الموظفون!$U88="نعم",N(الموظفون!$W88)&gt;0),الموظفون!$V88/الموظفون!$W88*12/cfg_DAYS_Y*AJ88,0))</f>
        <v/>
      </c>
      <c r="AD88" s="111" t="str">
        <f aca="false">IF($B88="","",(IF(الموظفون!$X88&lt;&gt;"",الموظفون!$X88,IF(الموظفون!$E88="غير سعودي",cfg_IQ,0))+IF(الموظفون!$Y88&lt;&gt;"",الموظفون!$Y88,IF(الموظفون!$E88="غير سعودي",cfg_WP,0)))/12*G88/cfg_DAYS_M)</f>
        <v/>
      </c>
      <c r="AE88" s="111" t="str">
        <f aca="false">IF($B88="","",IF(الموظفون!$Z88&lt;&gt;"",الموظفون!$Z88,cfg_MED)/12*G88/cfg_DAYS_M)</f>
        <v/>
      </c>
      <c r="AF88" s="111" t="str">
        <f aca="false">IF($B88="","",N(الموظفون!$AA88)/12*G88/cfg_DAYS_M)</f>
        <v/>
      </c>
      <c r="AG88" s="154" t="str">
        <f aca="false">IF($B88="","",T88+SUM(Z88:AF88))</f>
        <v/>
      </c>
      <c r="AH88" s="155" t="str">
        <f aca="false">IF($B88="","",MAX(0,IF(OR(الموظفون!$AE88="",الموظفون!$AE88&gt;$F$3),$F$3,الموظفون!$AE88)-الموظفون!$H88+1-SUMIFS('سجل الإجازات والحالات'!$AO$6:$AO$505,'سجل الإجازات والحالات'!$B$6:$B$505,$B88))/cfg_DAYS_Y)</f>
        <v/>
      </c>
      <c r="AI88" s="155" t="str">
        <f aca="false">IF($B88="","",MAX(0,IF(OR(الموظفون!$AE88="",الموظفون!$AE88&gt;($E$3-1)),($E$3-1),الموظفون!$AE88)-الموظفون!$H88+1-SUMIFS('سجل الإجازات والحالات'!$AN$6:$AN$505,'سجل الإجازات والحالات'!$B$6:$B$505,$B88))/cfg_DAYS_Y)</f>
        <v/>
      </c>
      <c r="AJ88" s="65" t="str">
        <f aca="false">IF($B88="","",MAX(0,AK88-(SUMIFS('سجل الإجازات والحالات'!$AO$6:$AO$505,'سجل الإجازات والحالات'!$B$6:$B$505,$B88)-SUMIFS('سجل الإجازات والحالات'!$AN$6:$AN$505,'سجل الإجازات والحالات'!$B$6:$B$505,$B88))))</f>
        <v/>
      </c>
      <c r="AK88" s="65" t="str">
        <f aca="false">IF($B88="","",MAX(0,IF(OR(الموظفون!$AE88="",الموظفون!$AE88&gt;$F$3),$F$3,الموظفون!$AE88)-MAX($E$3,الموظفون!$H88)+1))</f>
        <v/>
      </c>
      <c r="AL88" s="151" t="str">
        <f aca="false">IF($B88="","",SUMIFS('سجل الإجازات والحالات'!$BA$6:$BA$505,'سجل الإجازات والحالات'!$B$6:$B$505,$B88)+SUMIFS('الحركات الشهرية'!$K$6:$K$1005,'الحركات الشهرية'!$B$6:$B$1005,$B88,'الحركات الشهرية'!$A$6:$A$1005,$C$3))</f>
        <v/>
      </c>
      <c r="AM88" s="111" t="str">
        <f aca="false">IF($B88="","",AL88*الموظفون!$R88/cfg_DAYS_M+S88)</f>
        <v/>
      </c>
      <c r="AN88" s="151" t="str">
        <f aca="false">IF($B88="","",SUMIFS('سجل الإجازات والحالات'!$AC$6:$AC$505,'سجل الإجازات والحالات'!$B$6:$B$505,$B88))</f>
        <v/>
      </c>
    </row>
    <row r="89" customFormat="false" ht="15" hidden="false" customHeight="false" outlineLevel="0" collapsed="false">
      <c r="A89" s="115" t="str">
        <f aca="false">IF($B89="","",الموظفون!$A89)</f>
        <v/>
      </c>
      <c r="B89" s="117" t="str">
        <f aca="false">IF(الموظفون!$B89="","",الموظفون!$B89)</f>
        <v/>
      </c>
      <c r="C89" s="117" t="str">
        <f aca="false">IF($B89="","",الموظفون!$C89)</f>
        <v/>
      </c>
      <c r="D89" s="117" t="str">
        <f aca="false">IF($B89="","",الموظفون!$F89)</f>
        <v/>
      </c>
      <c r="E89" s="117" t="str">
        <f aca="false">IF($B89="","",الموظفون!$E89)</f>
        <v/>
      </c>
      <c r="F89" s="117" t="str">
        <f aca="false">IF($B89="","",IF(AK89=0,IF(AND(الموظفون!$AE89&lt;&gt;"",الموظفون!$AE89&lt;$E$3),"✖ منتهي الخدمة","⏳ لم يباشر"),IF(S89&gt;0,"✈ راتب إجازة مقدم",IF(J89=0,"⛔ بدون راتب هذا الشهر",IF(I89&gt;0,"✈ خصم "&amp;ROUND(I89,2)&amp;" يوم بدون أجر",IF(AL89&gt;0,"🌴 إجازة سنوية "&amp;ROUND(AL89,2)&amp;" يوم",IF(H89&gt;0,"⚠ غياب "&amp;ROUND(H89,2)&amp;" يوم","✔ على رأس العمل")))))))</f>
        <v/>
      </c>
      <c r="G89" s="156" t="str">
        <f aca="false">IF($B89="","",IF(AK89&gt;=DAY($F$3),cfg_DAYS_M,MIN(AK89,cfg_DAYS_M)))</f>
        <v/>
      </c>
      <c r="H89" s="156" t="str">
        <f aca="false">IF($B89="","",SUMIFS('الحركات الشهرية'!$D$6:$D$1005,'الحركات الشهرية'!$B$6:$B$1005,$B89,'الحركات الشهرية'!$A$6:$A$1005,$C$3))</f>
        <v/>
      </c>
      <c r="I89" s="156" t="str">
        <f aca="false">IF($B89="","",MIN(G89,IF(AND(AK89&gt;0,AN89&gt;=AK89),G89,AN89)+SUMIFS('الحركات الشهرية'!$E$6:$E$1005,'الحركات الشهرية'!$B$6:$B$1005,$B89,'الحركات الشهرية'!$A$6:$A$1005,$C$3)))</f>
        <v/>
      </c>
      <c r="J89" s="156" t="str">
        <f aca="false">IF($B89="","",MAX(0,G89-H89-I89))</f>
        <v/>
      </c>
      <c r="K89" s="116" t="str">
        <f aca="false">IF($B89="","",الموظفون!$L89*$J89/cfg_DAYS_M)</f>
        <v/>
      </c>
      <c r="L89" s="116" t="str">
        <f aca="false">IF($B89="","",الموظفون!$M89*$J89/cfg_DAYS_M)</f>
        <v/>
      </c>
      <c r="M89" s="116" t="str">
        <f aca="false">IF($B89="","",الموظفون!$N89*$J89/cfg_DAYS_M)</f>
        <v/>
      </c>
      <c r="N89" s="116" t="str">
        <f aca="false">IF($B89="","",الموظفون!$O89*$J89/cfg_DAYS_M)</f>
        <v/>
      </c>
      <c r="O89" s="156" t="str">
        <f aca="false">IF($B89="","",SUMIFS('الحركات الشهرية'!$F$6:$F$1005,'الحركات الشهرية'!$B$6:$B$1005,$B89,'الحركات الشهرية'!$A$6:$A$1005,$C$3))</f>
        <v/>
      </c>
      <c r="P89" s="116" t="str">
        <f aca="false">IF($B89="","",O89*(الموظفون!$P89+الموظفون!$L89*cfg_OT_P)/cfg_DAYS_M/cfg_HRS)</f>
        <v/>
      </c>
      <c r="Q89" s="116" t="str">
        <f aca="false">IF($B89="","",SUMIFS('الحركات الشهرية'!$G$6:$G$1005,'الحركات الشهرية'!$B$6:$B$1005,$B89,'الحركات الشهرية'!$A$6:$A$1005,$C$3))</f>
        <v/>
      </c>
      <c r="R89" s="116" t="str">
        <f aca="false">IF($B89="","",SUMIFS('الحركات الشهرية'!$H$6:$H$1005,'الحركات الشهرية'!$B$6:$B$1005,$B89,'الحركات الشهرية'!$A$6:$A$1005,$C$3))</f>
        <v/>
      </c>
      <c r="S89" s="116" t="str">
        <f aca="false">IF($B89="","",SUMIFS('سجل الإجازات والحالات'!$N$6:$N$505,'سجل الإجازات والحالات'!$B$6:$B$505,$B89,'سجل الإجازات والحالات'!$O$6:$O$505,$C$3))</f>
        <v/>
      </c>
      <c r="T89" s="157" t="str">
        <f aca="false">IF($B89="","",SUM(K89:N89)+SUM(P89:S89))</f>
        <v/>
      </c>
      <c r="U89" s="116" t="str">
        <f aca="false">IF($B89="","",الموظفون!$S89*IF(E89="سعودي",cfg_G_SE,cfg_G_NE)*G89/cfg_DAYS_M)</f>
        <v/>
      </c>
      <c r="V89" s="116" t="str">
        <f aca="false">IF($B89="","",SUMIFS('الحركات الشهرية'!$I$6:$I$1005,'الحركات الشهرية'!$B$6:$B$1005,$B89,'الحركات الشهرية'!$A$6:$A$1005,$C$3))</f>
        <v/>
      </c>
      <c r="W89" s="116" t="str">
        <f aca="false">IF($B89="","",SUMIFS('الحركات الشهرية'!$J$6:$J$1005,'الحركات الشهرية'!$B$6:$B$1005,$B89,'الحركات الشهرية'!$A$6:$A$1005,$C$3))</f>
        <v/>
      </c>
      <c r="X89" s="116" t="str">
        <f aca="false">IF($B89="","",SUM(U89:W89))</f>
        <v/>
      </c>
      <c r="Y89" s="158" t="str">
        <f aca="false">IF($B89="","",T89-X89)</f>
        <v/>
      </c>
      <c r="Z89" s="116" t="str">
        <f aca="false">IF($B89="","",الموظفون!$S89*IF(E89="سعودي",cfg_G_SR,cfg_G_NR)*G89/cfg_DAYS_M)</f>
        <v/>
      </c>
      <c r="AA89" s="116" t="str">
        <f aca="false">IF($B89="","",الموظفون!$Q89*(cfg_EOS_R1*(MIN(AH89,cfg_EOS_TH)-MIN(AI89,cfg_EOS_TH))+cfg_EOS_R2*(MAX(AH89-cfg_EOS_TH,0)-MAX(AI89-cfg_EOS_TH,0))))</f>
        <v/>
      </c>
      <c r="AB89" s="116" t="str">
        <f aca="false">IF($B89="","",IF(الموظفون!$T89&lt;&gt;"",الموظفون!$T89,IF(AH89&gt;=cfg_LV_TH,cfg_LV_D2,cfg_LV_D1))/cfg_DAYS_Y*AJ89*الموظفون!$R89/cfg_DAYS_M)</f>
        <v/>
      </c>
      <c r="AC89" s="116" t="str">
        <f aca="false">IF($B89="","",IF(AND(الموظفون!$U89="نعم",N(الموظفون!$W89)&gt;0),الموظفون!$V89/الموظفون!$W89*12/cfg_DAYS_Y*AJ89,0))</f>
        <v/>
      </c>
      <c r="AD89" s="116" t="str">
        <f aca="false">IF($B89="","",(IF(الموظفون!$X89&lt;&gt;"",الموظفون!$X89,IF(الموظفون!$E89="غير سعودي",cfg_IQ,0))+IF(الموظفون!$Y89&lt;&gt;"",الموظفون!$Y89,IF(الموظفون!$E89="غير سعودي",cfg_WP,0)))/12*G89/cfg_DAYS_M)</f>
        <v/>
      </c>
      <c r="AE89" s="116" t="str">
        <f aca="false">IF($B89="","",IF(الموظفون!$Z89&lt;&gt;"",الموظفون!$Z89,cfg_MED)/12*G89/cfg_DAYS_M)</f>
        <v/>
      </c>
      <c r="AF89" s="116" t="str">
        <f aca="false">IF($B89="","",N(الموظفون!$AA89)/12*G89/cfg_DAYS_M)</f>
        <v/>
      </c>
      <c r="AG89" s="159" t="str">
        <f aca="false">IF($B89="","",T89+SUM(Z89:AF89))</f>
        <v/>
      </c>
      <c r="AH89" s="160" t="str">
        <f aca="false">IF($B89="","",MAX(0,IF(OR(الموظفون!$AE89="",الموظفون!$AE89&gt;$F$3),$F$3,الموظفون!$AE89)-الموظفون!$H89+1-SUMIFS('سجل الإجازات والحالات'!$AO$6:$AO$505,'سجل الإجازات والحالات'!$B$6:$B$505,$B89))/cfg_DAYS_Y)</f>
        <v/>
      </c>
      <c r="AI89" s="160" t="str">
        <f aca="false">IF($B89="","",MAX(0,IF(OR(الموظفون!$AE89="",الموظفون!$AE89&gt;($E$3-1)),($E$3-1),الموظفون!$AE89)-الموظفون!$H89+1-SUMIFS('سجل الإجازات والحالات'!$AN$6:$AN$505,'سجل الإجازات والحالات'!$B$6:$B$505,$B89))/cfg_DAYS_Y)</f>
        <v/>
      </c>
      <c r="AJ89" s="133" t="str">
        <f aca="false">IF($B89="","",MAX(0,AK89-(SUMIFS('سجل الإجازات والحالات'!$AO$6:$AO$505,'سجل الإجازات والحالات'!$B$6:$B$505,$B89)-SUMIFS('سجل الإجازات والحالات'!$AN$6:$AN$505,'سجل الإجازات والحالات'!$B$6:$B$505,$B89))))</f>
        <v/>
      </c>
      <c r="AK89" s="133" t="str">
        <f aca="false">IF($B89="","",MAX(0,IF(OR(الموظفون!$AE89="",الموظفون!$AE89&gt;$F$3),$F$3,الموظفون!$AE89)-MAX($E$3,الموظفون!$H89)+1))</f>
        <v/>
      </c>
      <c r="AL89" s="156" t="str">
        <f aca="false">IF($B89="","",SUMIFS('سجل الإجازات والحالات'!$BA$6:$BA$505,'سجل الإجازات والحالات'!$B$6:$B$505,$B89)+SUMIFS('الحركات الشهرية'!$K$6:$K$1005,'الحركات الشهرية'!$B$6:$B$1005,$B89,'الحركات الشهرية'!$A$6:$A$1005,$C$3))</f>
        <v/>
      </c>
      <c r="AM89" s="116" t="str">
        <f aca="false">IF($B89="","",AL89*الموظفون!$R89/cfg_DAYS_M+S89)</f>
        <v/>
      </c>
      <c r="AN89" s="156" t="str">
        <f aca="false">IF($B89="","",SUMIFS('سجل الإجازات والحالات'!$AC$6:$AC$505,'سجل الإجازات والحالات'!$B$6:$B$505,$B89))</f>
        <v/>
      </c>
    </row>
    <row r="90" customFormat="false" ht="15" hidden="false" customHeight="false" outlineLevel="0" collapsed="false">
      <c r="A90" s="106" t="str">
        <f aca="false">IF($B90="","",الموظفون!$A90)</f>
        <v/>
      </c>
      <c r="B90" s="114" t="str">
        <f aca="false">IF(الموظفون!$B90="","",الموظفون!$B90)</f>
        <v/>
      </c>
      <c r="C90" s="114" t="str">
        <f aca="false">IF($B90="","",الموظفون!$C90)</f>
        <v/>
      </c>
      <c r="D90" s="114" t="str">
        <f aca="false">IF($B90="","",الموظفون!$F90)</f>
        <v/>
      </c>
      <c r="E90" s="114" t="str">
        <f aca="false">IF($B90="","",الموظفون!$E90)</f>
        <v/>
      </c>
      <c r="F90" s="114" t="str">
        <f aca="false">IF($B90="","",IF(AK90=0,IF(AND(الموظفون!$AE90&lt;&gt;"",الموظفون!$AE90&lt;$E$3),"✖ منتهي الخدمة","⏳ لم يباشر"),IF(S90&gt;0,"✈ راتب إجازة مقدم",IF(J90=0,"⛔ بدون راتب هذا الشهر",IF(I90&gt;0,"✈ خصم "&amp;ROUND(I90,2)&amp;" يوم بدون أجر",IF(AL90&gt;0,"🌴 إجازة سنوية "&amp;ROUND(AL90,2)&amp;" يوم",IF(H90&gt;0,"⚠ غياب "&amp;ROUND(H90,2)&amp;" يوم","✔ على رأس العمل")))))))</f>
        <v/>
      </c>
      <c r="G90" s="151" t="str">
        <f aca="false">IF($B90="","",IF(AK90&gt;=DAY($F$3),cfg_DAYS_M,MIN(AK90,cfg_DAYS_M)))</f>
        <v/>
      </c>
      <c r="H90" s="151" t="str">
        <f aca="false">IF($B90="","",SUMIFS('الحركات الشهرية'!$D$6:$D$1005,'الحركات الشهرية'!$B$6:$B$1005,$B90,'الحركات الشهرية'!$A$6:$A$1005,$C$3))</f>
        <v/>
      </c>
      <c r="I90" s="151" t="str">
        <f aca="false">IF($B90="","",MIN(G90,IF(AND(AK90&gt;0,AN90&gt;=AK90),G90,AN90)+SUMIFS('الحركات الشهرية'!$E$6:$E$1005,'الحركات الشهرية'!$B$6:$B$1005,$B90,'الحركات الشهرية'!$A$6:$A$1005,$C$3)))</f>
        <v/>
      </c>
      <c r="J90" s="151" t="str">
        <f aca="false">IF($B90="","",MAX(0,G90-H90-I90))</f>
        <v/>
      </c>
      <c r="K90" s="111" t="str">
        <f aca="false">IF($B90="","",الموظفون!$L90*$J90/cfg_DAYS_M)</f>
        <v/>
      </c>
      <c r="L90" s="111" t="str">
        <f aca="false">IF($B90="","",الموظفون!$M90*$J90/cfg_DAYS_M)</f>
        <v/>
      </c>
      <c r="M90" s="111" t="str">
        <f aca="false">IF($B90="","",الموظفون!$N90*$J90/cfg_DAYS_M)</f>
        <v/>
      </c>
      <c r="N90" s="111" t="str">
        <f aca="false">IF($B90="","",الموظفون!$O90*$J90/cfg_DAYS_M)</f>
        <v/>
      </c>
      <c r="O90" s="151" t="str">
        <f aca="false">IF($B90="","",SUMIFS('الحركات الشهرية'!$F$6:$F$1005,'الحركات الشهرية'!$B$6:$B$1005,$B90,'الحركات الشهرية'!$A$6:$A$1005,$C$3))</f>
        <v/>
      </c>
      <c r="P90" s="111" t="str">
        <f aca="false">IF($B90="","",O90*(الموظفون!$P90+الموظفون!$L90*cfg_OT_P)/cfg_DAYS_M/cfg_HRS)</f>
        <v/>
      </c>
      <c r="Q90" s="111" t="str">
        <f aca="false">IF($B90="","",SUMIFS('الحركات الشهرية'!$G$6:$G$1005,'الحركات الشهرية'!$B$6:$B$1005,$B90,'الحركات الشهرية'!$A$6:$A$1005,$C$3))</f>
        <v/>
      </c>
      <c r="R90" s="111" t="str">
        <f aca="false">IF($B90="","",SUMIFS('الحركات الشهرية'!$H$6:$H$1005,'الحركات الشهرية'!$B$6:$B$1005,$B90,'الحركات الشهرية'!$A$6:$A$1005,$C$3))</f>
        <v/>
      </c>
      <c r="S90" s="111" t="str">
        <f aca="false">IF($B90="","",SUMIFS('سجل الإجازات والحالات'!$N$6:$N$505,'سجل الإجازات والحالات'!$B$6:$B$505,$B90,'سجل الإجازات والحالات'!$O$6:$O$505,$C$3))</f>
        <v/>
      </c>
      <c r="T90" s="152" t="str">
        <f aca="false">IF($B90="","",SUM(K90:N90)+SUM(P90:S90))</f>
        <v/>
      </c>
      <c r="U90" s="111" t="str">
        <f aca="false">IF($B90="","",الموظفون!$S90*IF(E90="سعودي",cfg_G_SE,cfg_G_NE)*G90/cfg_DAYS_M)</f>
        <v/>
      </c>
      <c r="V90" s="111" t="str">
        <f aca="false">IF($B90="","",SUMIFS('الحركات الشهرية'!$I$6:$I$1005,'الحركات الشهرية'!$B$6:$B$1005,$B90,'الحركات الشهرية'!$A$6:$A$1005,$C$3))</f>
        <v/>
      </c>
      <c r="W90" s="111" t="str">
        <f aca="false">IF($B90="","",SUMIFS('الحركات الشهرية'!$J$6:$J$1005,'الحركات الشهرية'!$B$6:$B$1005,$B90,'الحركات الشهرية'!$A$6:$A$1005,$C$3))</f>
        <v/>
      </c>
      <c r="X90" s="111" t="str">
        <f aca="false">IF($B90="","",SUM(U90:W90))</f>
        <v/>
      </c>
      <c r="Y90" s="153" t="str">
        <f aca="false">IF($B90="","",T90-X90)</f>
        <v/>
      </c>
      <c r="Z90" s="111" t="str">
        <f aca="false">IF($B90="","",الموظفون!$S90*IF(E90="سعودي",cfg_G_SR,cfg_G_NR)*G90/cfg_DAYS_M)</f>
        <v/>
      </c>
      <c r="AA90" s="111" t="str">
        <f aca="false">IF($B90="","",الموظفون!$Q90*(cfg_EOS_R1*(MIN(AH90,cfg_EOS_TH)-MIN(AI90,cfg_EOS_TH))+cfg_EOS_R2*(MAX(AH90-cfg_EOS_TH,0)-MAX(AI90-cfg_EOS_TH,0))))</f>
        <v/>
      </c>
      <c r="AB90" s="111" t="str">
        <f aca="false">IF($B90="","",IF(الموظفون!$T90&lt;&gt;"",الموظفون!$T90,IF(AH90&gt;=cfg_LV_TH,cfg_LV_D2,cfg_LV_D1))/cfg_DAYS_Y*AJ90*الموظفون!$R90/cfg_DAYS_M)</f>
        <v/>
      </c>
      <c r="AC90" s="111" t="str">
        <f aca="false">IF($B90="","",IF(AND(الموظفون!$U90="نعم",N(الموظفون!$W90)&gt;0),الموظفون!$V90/الموظفون!$W90*12/cfg_DAYS_Y*AJ90,0))</f>
        <v/>
      </c>
      <c r="AD90" s="111" t="str">
        <f aca="false">IF($B90="","",(IF(الموظفون!$X90&lt;&gt;"",الموظفون!$X90,IF(الموظفون!$E90="غير سعودي",cfg_IQ,0))+IF(الموظفون!$Y90&lt;&gt;"",الموظفون!$Y90,IF(الموظفون!$E90="غير سعودي",cfg_WP,0)))/12*G90/cfg_DAYS_M)</f>
        <v/>
      </c>
      <c r="AE90" s="111" t="str">
        <f aca="false">IF($B90="","",IF(الموظفون!$Z90&lt;&gt;"",الموظفون!$Z90,cfg_MED)/12*G90/cfg_DAYS_M)</f>
        <v/>
      </c>
      <c r="AF90" s="111" t="str">
        <f aca="false">IF($B90="","",N(الموظفون!$AA90)/12*G90/cfg_DAYS_M)</f>
        <v/>
      </c>
      <c r="AG90" s="154" t="str">
        <f aca="false">IF($B90="","",T90+SUM(Z90:AF90))</f>
        <v/>
      </c>
      <c r="AH90" s="155" t="str">
        <f aca="false">IF($B90="","",MAX(0,IF(OR(الموظفون!$AE90="",الموظفون!$AE90&gt;$F$3),$F$3,الموظفون!$AE90)-الموظفون!$H90+1-SUMIFS('سجل الإجازات والحالات'!$AO$6:$AO$505,'سجل الإجازات والحالات'!$B$6:$B$505,$B90))/cfg_DAYS_Y)</f>
        <v/>
      </c>
      <c r="AI90" s="155" t="str">
        <f aca="false">IF($B90="","",MAX(0,IF(OR(الموظفون!$AE90="",الموظفون!$AE90&gt;($E$3-1)),($E$3-1),الموظفون!$AE90)-الموظفون!$H90+1-SUMIFS('سجل الإجازات والحالات'!$AN$6:$AN$505,'سجل الإجازات والحالات'!$B$6:$B$505,$B90))/cfg_DAYS_Y)</f>
        <v/>
      </c>
      <c r="AJ90" s="65" t="str">
        <f aca="false">IF($B90="","",MAX(0,AK90-(SUMIFS('سجل الإجازات والحالات'!$AO$6:$AO$505,'سجل الإجازات والحالات'!$B$6:$B$505,$B90)-SUMIFS('سجل الإجازات والحالات'!$AN$6:$AN$505,'سجل الإجازات والحالات'!$B$6:$B$505,$B90))))</f>
        <v/>
      </c>
      <c r="AK90" s="65" t="str">
        <f aca="false">IF($B90="","",MAX(0,IF(OR(الموظفون!$AE90="",الموظفون!$AE90&gt;$F$3),$F$3,الموظفون!$AE90)-MAX($E$3,الموظفون!$H90)+1))</f>
        <v/>
      </c>
      <c r="AL90" s="151" t="str">
        <f aca="false">IF($B90="","",SUMIFS('سجل الإجازات والحالات'!$BA$6:$BA$505,'سجل الإجازات والحالات'!$B$6:$B$505,$B90)+SUMIFS('الحركات الشهرية'!$K$6:$K$1005,'الحركات الشهرية'!$B$6:$B$1005,$B90,'الحركات الشهرية'!$A$6:$A$1005,$C$3))</f>
        <v/>
      </c>
      <c r="AM90" s="111" t="str">
        <f aca="false">IF($B90="","",AL90*الموظفون!$R90/cfg_DAYS_M+S90)</f>
        <v/>
      </c>
      <c r="AN90" s="151" t="str">
        <f aca="false">IF($B90="","",SUMIFS('سجل الإجازات والحالات'!$AC$6:$AC$505,'سجل الإجازات والحالات'!$B$6:$B$505,$B90))</f>
        <v/>
      </c>
    </row>
    <row r="91" customFormat="false" ht="15" hidden="false" customHeight="false" outlineLevel="0" collapsed="false">
      <c r="A91" s="115" t="str">
        <f aca="false">IF($B91="","",الموظفون!$A91)</f>
        <v/>
      </c>
      <c r="B91" s="117" t="str">
        <f aca="false">IF(الموظفون!$B91="","",الموظفون!$B91)</f>
        <v/>
      </c>
      <c r="C91" s="117" t="str">
        <f aca="false">IF($B91="","",الموظفون!$C91)</f>
        <v/>
      </c>
      <c r="D91" s="117" t="str">
        <f aca="false">IF($B91="","",الموظفون!$F91)</f>
        <v/>
      </c>
      <c r="E91" s="117" t="str">
        <f aca="false">IF($B91="","",الموظفون!$E91)</f>
        <v/>
      </c>
      <c r="F91" s="117" t="str">
        <f aca="false">IF($B91="","",IF(AK91=0,IF(AND(الموظفون!$AE91&lt;&gt;"",الموظفون!$AE91&lt;$E$3),"✖ منتهي الخدمة","⏳ لم يباشر"),IF(S91&gt;0,"✈ راتب إجازة مقدم",IF(J91=0,"⛔ بدون راتب هذا الشهر",IF(I91&gt;0,"✈ خصم "&amp;ROUND(I91,2)&amp;" يوم بدون أجر",IF(AL91&gt;0,"🌴 إجازة سنوية "&amp;ROUND(AL91,2)&amp;" يوم",IF(H91&gt;0,"⚠ غياب "&amp;ROUND(H91,2)&amp;" يوم","✔ على رأس العمل")))))))</f>
        <v/>
      </c>
      <c r="G91" s="156" t="str">
        <f aca="false">IF($B91="","",IF(AK91&gt;=DAY($F$3),cfg_DAYS_M,MIN(AK91,cfg_DAYS_M)))</f>
        <v/>
      </c>
      <c r="H91" s="156" t="str">
        <f aca="false">IF($B91="","",SUMIFS('الحركات الشهرية'!$D$6:$D$1005,'الحركات الشهرية'!$B$6:$B$1005,$B91,'الحركات الشهرية'!$A$6:$A$1005,$C$3))</f>
        <v/>
      </c>
      <c r="I91" s="156" t="str">
        <f aca="false">IF($B91="","",MIN(G91,IF(AND(AK91&gt;0,AN91&gt;=AK91),G91,AN91)+SUMIFS('الحركات الشهرية'!$E$6:$E$1005,'الحركات الشهرية'!$B$6:$B$1005,$B91,'الحركات الشهرية'!$A$6:$A$1005,$C$3)))</f>
        <v/>
      </c>
      <c r="J91" s="156" t="str">
        <f aca="false">IF($B91="","",MAX(0,G91-H91-I91))</f>
        <v/>
      </c>
      <c r="K91" s="116" t="str">
        <f aca="false">IF($B91="","",الموظفون!$L91*$J91/cfg_DAYS_M)</f>
        <v/>
      </c>
      <c r="L91" s="116" t="str">
        <f aca="false">IF($B91="","",الموظفون!$M91*$J91/cfg_DAYS_M)</f>
        <v/>
      </c>
      <c r="M91" s="116" t="str">
        <f aca="false">IF($B91="","",الموظفون!$N91*$J91/cfg_DAYS_M)</f>
        <v/>
      </c>
      <c r="N91" s="116" t="str">
        <f aca="false">IF($B91="","",الموظفون!$O91*$J91/cfg_DAYS_M)</f>
        <v/>
      </c>
      <c r="O91" s="156" t="str">
        <f aca="false">IF($B91="","",SUMIFS('الحركات الشهرية'!$F$6:$F$1005,'الحركات الشهرية'!$B$6:$B$1005,$B91,'الحركات الشهرية'!$A$6:$A$1005,$C$3))</f>
        <v/>
      </c>
      <c r="P91" s="116" t="str">
        <f aca="false">IF($B91="","",O91*(الموظفون!$P91+الموظفون!$L91*cfg_OT_P)/cfg_DAYS_M/cfg_HRS)</f>
        <v/>
      </c>
      <c r="Q91" s="116" t="str">
        <f aca="false">IF($B91="","",SUMIFS('الحركات الشهرية'!$G$6:$G$1005,'الحركات الشهرية'!$B$6:$B$1005,$B91,'الحركات الشهرية'!$A$6:$A$1005,$C$3))</f>
        <v/>
      </c>
      <c r="R91" s="116" t="str">
        <f aca="false">IF($B91="","",SUMIFS('الحركات الشهرية'!$H$6:$H$1005,'الحركات الشهرية'!$B$6:$B$1005,$B91,'الحركات الشهرية'!$A$6:$A$1005,$C$3))</f>
        <v/>
      </c>
      <c r="S91" s="116" t="str">
        <f aca="false">IF($B91="","",SUMIFS('سجل الإجازات والحالات'!$N$6:$N$505,'سجل الإجازات والحالات'!$B$6:$B$505,$B91,'سجل الإجازات والحالات'!$O$6:$O$505,$C$3))</f>
        <v/>
      </c>
      <c r="T91" s="157" t="str">
        <f aca="false">IF($B91="","",SUM(K91:N91)+SUM(P91:S91))</f>
        <v/>
      </c>
      <c r="U91" s="116" t="str">
        <f aca="false">IF($B91="","",الموظفون!$S91*IF(E91="سعودي",cfg_G_SE,cfg_G_NE)*G91/cfg_DAYS_M)</f>
        <v/>
      </c>
      <c r="V91" s="116" t="str">
        <f aca="false">IF($B91="","",SUMIFS('الحركات الشهرية'!$I$6:$I$1005,'الحركات الشهرية'!$B$6:$B$1005,$B91,'الحركات الشهرية'!$A$6:$A$1005,$C$3))</f>
        <v/>
      </c>
      <c r="W91" s="116" t="str">
        <f aca="false">IF($B91="","",SUMIFS('الحركات الشهرية'!$J$6:$J$1005,'الحركات الشهرية'!$B$6:$B$1005,$B91,'الحركات الشهرية'!$A$6:$A$1005,$C$3))</f>
        <v/>
      </c>
      <c r="X91" s="116" t="str">
        <f aca="false">IF($B91="","",SUM(U91:W91))</f>
        <v/>
      </c>
      <c r="Y91" s="158" t="str">
        <f aca="false">IF($B91="","",T91-X91)</f>
        <v/>
      </c>
      <c r="Z91" s="116" t="str">
        <f aca="false">IF($B91="","",الموظفون!$S91*IF(E91="سعودي",cfg_G_SR,cfg_G_NR)*G91/cfg_DAYS_M)</f>
        <v/>
      </c>
      <c r="AA91" s="116" t="str">
        <f aca="false">IF($B91="","",الموظفون!$Q91*(cfg_EOS_R1*(MIN(AH91,cfg_EOS_TH)-MIN(AI91,cfg_EOS_TH))+cfg_EOS_R2*(MAX(AH91-cfg_EOS_TH,0)-MAX(AI91-cfg_EOS_TH,0))))</f>
        <v/>
      </c>
      <c r="AB91" s="116" t="str">
        <f aca="false">IF($B91="","",IF(الموظفون!$T91&lt;&gt;"",الموظفون!$T91,IF(AH91&gt;=cfg_LV_TH,cfg_LV_D2,cfg_LV_D1))/cfg_DAYS_Y*AJ91*الموظفون!$R91/cfg_DAYS_M)</f>
        <v/>
      </c>
      <c r="AC91" s="116" t="str">
        <f aca="false">IF($B91="","",IF(AND(الموظفون!$U91="نعم",N(الموظفون!$W91)&gt;0),الموظفون!$V91/الموظفون!$W91*12/cfg_DAYS_Y*AJ91,0))</f>
        <v/>
      </c>
      <c r="AD91" s="116" t="str">
        <f aca="false">IF($B91="","",(IF(الموظفون!$X91&lt;&gt;"",الموظفون!$X91,IF(الموظفون!$E91="غير سعودي",cfg_IQ,0))+IF(الموظفون!$Y91&lt;&gt;"",الموظفون!$Y91,IF(الموظفون!$E91="غير سعودي",cfg_WP,0)))/12*G91/cfg_DAYS_M)</f>
        <v/>
      </c>
      <c r="AE91" s="116" t="str">
        <f aca="false">IF($B91="","",IF(الموظفون!$Z91&lt;&gt;"",الموظفون!$Z91,cfg_MED)/12*G91/cfg_DAYS_M)</f>
        <v/>
      </c>
      <c r="AF91" s="116" t="str">
        <f aca="false">IF($B91="","",N(الموظفون!$AA91)/12*G91/cfg_DAYS_M)</f>
        <v/>
      </c>
      <c r="AG91" s="159" t="str">
        <f aca="false">IF($B91="","",T91+SUM(Z91:AF91))</f>
        <v/>
      </c>
      <c r="AH91" s="160" t="str">
        <f aca="false">IF($B91="","",MAX(0,IF(OR(الموظفون!$AE91="",الموظفون!$AE91&gt;$F$3),$F$3,الموظفون!$AE91)-الموظفون!$H91+1-SUMIFS('سجل الإجازات والحالات'!$AO$6:$AO$505,'سجل الإجازات والحالات'!$B$6:$B$505,$B91))/cfg_DAYS_Y)</f>
        <v/>
      </c>
      <c r="AI91" s="160" t="str">
        <f aca="false">IF($B91="","",MAX(0,IF(OR(الموظفون!$AE91="",الموظفون!$AE91&gt;($E$3-1)),($E$3-1),الموظفون!$AE91)-الموظفون!$H91+1-SUMIFS('سجل الإجازات والحالات'!$AN$6:$AN$505,'سجل الإجازات والحالات'!$B$6:$B$505,$B91))/cfg_DAYS_Y)</f>
        <v/>
      </c>
      <c r="AJ91" s="133" t="str">
        <f aca="false">IF($B91="","",MAX(0,AK91-(SUMIFS('سجل الإجازات والحالات'!$AO$6:$AO$505,'سجل الإجازات والحالات'!$B$6:$B$505,$B91)-SUMIFS('سجل الإجازات والحالات'!$AN$6:$AN$505,'سجل الإجازات والحالات'!$B$6:$B$505,$B91))))</f>
        <v/>
      </c>
      <c r="AK91" s="133" t="str">
        <f aca="false">IF($B91="","",MAX(0,IF(OR(الموظفون!$AE91="",الموظفون!$AE91&gt;$F$3),$F$3,الموظفون!$AE91)-MAX($E$3,الموظفون!$H91)+1))</f>
        <v/>
      </c>
      <c r="AL91" s="156" t="str">
        <f aca="false">IF($B91="","",SUMIFS('سجل الإجازات والحالات'!$BA$6:$BA$505,'سجل الإجازات والحالات'!$B$6:$B$505,$B91)+SUMIFS('الحركات الشهرية'!$K$6:$K$1005,'الحركات الشهرية'!$B$6:$B$1005,$B91,'الحركات الشهرية'!$A$6:$A$1005,$C$3))</f>
        <v/>
      </c>
      <c r="AM91" s="116" t="str">
        <f aca="false">IF($B91="","",AL91*الموظفون!$R91/cfg_DAYS_M+S91)</f>
        <v/>
      </c>
      <c r="AN91" s="156" t="str">
        <f aca="false">IF($B91="","",SUMIFS('سجل الإجازات والحالات'!$AC$6:$AC$505,'سجل الإجازات والحالات'!$B$6:$B$505,$B91))</f>
        <v/>
      </c>
    </row>
    <row r="92" customFormat="false" ht="15" hidden="false" customHeight="false" outlineLevel="0" collapsed="false">
      <c r="A92" s="106" t="str">
        <f aca="false">IF($B92="","",الموظفون!$A92)</f>
        <v/>
      </c>
      <c r="B92" s="114" t="str">
        <f aca="false">IF(الموظفون!$B92="","",الموظفون!$B92)</f>
        <v/>
      </c>
      <c r="C92" s="114" t="str">
        <f aca="false">IF($B92="","",الموظفون!$C92)</f>
        <v/>
      </c>
      <c r="D92" s="114" t="str">
        <f aca="false">IF($B92="","",الموظفون!$F92)</f>
        <v/>
      </c>
      <c r="E92" s="114" t="str">
        <f aca="false">IF($B92="","",الموظفون!$E92)</f>
        <v/>
      </c>
      <c r="F92" s="114" t="str">
        <f aca="false">IF($B92="","",IF(AK92=0,IF(AND(الموظفون!$AE92&lt;&gt;"",الموظفون!$AE92&lt;$E$3),"✖ منتهي الخدمة","⏳ لم يباشر"),IF(S92&gt;0,"✈ راتب إجازة مقدم",IF(J92=0,"⛔ بدون راتب هذا الشهر",IF(I92&gt;0,"✈ خصم "&amp;ROUND(I92,2)&amp;" يوم بدون أجر",IF(AL92&gt;0,"🌴 إجازة سنوية "&amp;ROUND(AL92,2)&amp;" يوم",IF(H92&gt;0,"⚠ غياب "&amp;ROUND(H92,2)&amp;" يوم","✔ على رأس العمل")))))))</f>
        <v/>
      </c>
      <c r="G92" s="151" t="str">
        <f aca="false">IF($B92="","",IF(AK92&gt;=DAY($F$3),cfg_DAYS_M,MIN(AK92,cfg_DAYS_M)))</f>
        <v/>
      </c>
      <c r="H92" s="151" t="str">
        <f aca="false">IF($B92="","",SUMIFS('الحركات الشهرية'!$D$6:$D$1005,'الحركات الشهرية'!$B$6:$B$1005,$B92,'الحركات الشهرية'!$A$6:$A$1005,$C$3))</f>
        <v/>
      </c>
      <c r="I92" s="151" t="str">
        <f aca="false">IF($B92="","",MIN(G92,IF(AND(AK92&gt;0,AN92&gt;=AK92),G92,AN92)+SUMIFS('الحركات الشهرية'!$E$6:$E$1005,'الحركات الشهرية'!$B$6:$B$1005,$B92,'الحركات الشهرية'!$A$6:$A$1005,$C$3)))</f>
        <v/>
      </c>
      <c r="J92" s="151" t="str">
        <f aca="false">IF($B92="","",MAX(0,G92-H92-I92))</f>
        <v/>
      </c>
      <c r="K92" s="111" t="str">
        <f aca="false">IF($B92="","",الموظفون!$L92*$J92/cfg_DAYS_M)</f>
        <v/>
      </c>
      <c r="L92" s="111" t="str">
        <f aca="false">IF($B92="","",الموظفون!$M92*$J92/cfg_DAYS_M)</f>
        <v/>
      </c>
      <c r="M92" s="111" t="str">
        <f aca="false">IF($B92="","",الموظفون!$N92*$J92/cfg_DAYS_M)</f>
        <v/>
      </c>
      <c r="N92" s="111" t="str">
        <f aca="false">IF($B92="","",الموظفون!$O92*$J92/cfg_DAYS_M)</f>
        <v/>
      </c>
      <c r="O92" s="151" t="str">
        <f aca="false">IF($B92="","",SUMIFS('الحركات الشهرية'!$F$6:$F$1005,'الحركات الشهرية'!$B$6:$B$1005,$B92,'الحركات الشهرية'!$A$6:$A$1005,$C$3))</f>
        <v/>
      </c>
      <c r="P92" s="111" t="str">
        <f aca="false">IF($B92="","",O92*(الموظفون!$P92+الموظفون!$L92*cfg_OT_P)/cfg_DAYS_M/cfg_HRS)</f>
        <v/>
      </c>
      <c r="Q92" s="111" t="str">
        <f aca="false">IF($B92="","",SUMIFS('الحركات الشهرية'!$G$6:$G$1005,'الحركات الشهرية'!$B$6:$B$1005,$B92,'الحركات الشهرية'!$A$6:$A$1005,$C$3))</f>
        <v/>
      </c>
      <c r="R92" s="111" t="str">
        <f aca="false">IF($B92="","",SUMIFS('الحركات الشهرية'!$H$6:$H$1005,'الحركات الشهرية'!$B$6:$B$1005,$B92,'الحركات الشهرية'!$A$6:$A$1005,$C$3))</f>
        <v/>
      </c>
      <c r="S92" s="111" t="str">
        <f aca="false">IF($B92="","",SUMIFS('سجل الإجازات والحالات'!$N$6:$N$505,'سجل الإجازات والحالات'!$B$6:$B$505,$B92,'سجل الإجازات والحالات'!$O$6:$O$505,$C$3))</f>
        <v/>
      </c>
      <c r="T92" s="152" t="str">
        <f aca="false">IF($B92="","",SUM(K92:N92)+SUM(P92:S92))</f>
        <v/>
      </c>
      <c r="U92" s="111" t="str">
        <f aca="false">IF($B92="","",الموظفون!$S92*IF(E92="سعودي",cfg_G_SE,cfg_G_NE)*G92/cfg_DAYS_M)</f>
        <v/>
      </c>
      <c r="V92" s="111" t="str">
        <f aca="false">IF($B92="","",SUMIFS('الحركات الشهرية'!$I$6:$I$1005,'الحركات الشهرية'!$B$6:$B$1005,$B92,'الحركات الشهرية'!$A$6:$A$1005,$C$3))</f>
        <v/>
      </c>
      <c r="W92" s="111" t="str">
        <f aca="false">IF($B92="","",SUMIFS('الحركات الشهرية'!$J$6:$J$1005,'الحركات الشهرية'!$B$6:$B$1005,$B92,'الحركات الشهرية'!$A$6:$A$1005,$C$3))</f>
        <v/>
      </c>
      <c r="X92" s="111" t="str">
        <f aca="false">IF($B92="","",SUM(U92:W92))</f>
        <v/>
      </c>
      <c r="Y92" s="153" t="str">
        <f aca="false">IF($B92="","",T92-X92)</f>
        <v/>
      </c>
      <c r="Z92" s="111" t="str">
        <f aca="false">IF($B92="","",الموظفون!$S92*IF(E92="سعودي",cfg_G_SR,cfg_G_NR)*G92/cfg_DAYS_M)</f>
        <v/>
      </c>
      <c r="AA92" s="111" t="str">
        <f aca="false">IF($B92="","",الموظفون!$Q92*(cfg_EOS_R1*(MIN(AH92,cfg_EOS_TH)-MIN(AI92,cfg_EOS_TH))+cfg_EOS_R2*(MAX(AH92-cfg_EOS_TH,0)-MAX(AI92-cfg_EOS_TH,0))))</f>
        <v/>
      </c>
      <c r="AB92" s="111" t="str">
        <f aca="false">IF($B92="","",IF(الموظفون!$T92&lt;&gt;"",الموظفون!$T92,IF(AH92&gt;=cfg_LV_TH,cfg_LV_D2,cfg_LV_D1))/cfg_DAYS_Y*AJ92*الموظفون!$R92/cfg_DAYS_M)</f>
        <v/>
      </c>
      <c r="AC92" s="111" t="str">
        <f aca="false">IF($B92="","",IF(AND(الموظفون!$U92="نعم",N(الموظفون!$W92)&gt;0),الموظفون!$V92/الموظفون!$W92*12/cfg_DAYS_Y*AJ92,0))</f>
        <v/>
      </c>
      <c r="AD92" s="111" t="str">
        <f aca="false">IF($B92="","",(IF(الموظفون!$X92&lt;&gt;"",الموظفون!$X92,IF(الموظفون!$E92="غير سعودي",cfg_IQ,0))+IF(الموظفون!$Y92&lt;&gt;"",الموظفون!$Y92,IF(الموظفون!$E92="غير سعودي",cfg_WP,0)))/12*G92/cfg_DAYS_M)</f>
        <v/>
      </c>
      <c r="AE92" s="111" t="str">
        <f aca="false">IF($B92="","",IF(الموظفون!$Z92&lt;&gt;"",الموظفون!$Z92,cfg_MED)/12*G92/cfg_DAYS_M)</f>
        <v/>
      </c>
      <c r="AF92" s="111" t="str">
        <f aca="false">IF($B92="","",N(الموظفون!$AA92)/12*G92/cfg_DAYS_M)</f>
        <v/>
      </c>
      <c r="AG92" s="154" t="str">
        <f aca="false">IF($B92="","",T92+SUM(Z92:AF92))</f>
        <v/>
      </c>
      <c r="AH92" s="155" t="str">
        <f aca="false">IF($B92="","",MAX(0,IF(OR(الموظفون!$AE92="",الموظفون!$AE92&gt;$F$3),$F$3,الموظفون!$AE92)-الموظفون!$H92+1-SUMIFS('سجل الإجازات والحالات'!$AO$6:$AO$505,'سجل الإجازات والحالات'!$B$6:$B$505,$B92))/cfg_DAYS_Y)</f>
        <v/>
      </c>
      <c r="AI92" s="155" t="str">
        <f aca="false">IF($B92="","",MAX(0,IF(OR(الموظفون!$AE92="",الموظفون!$AE92&gt;($E$3-1)),($E$3-1),الموظفون!$AE92)-الموظفون!$H92+1-SUMIFS('سجل الإجازات والحالات'!$AN$6:$AN$505,'سجل الإجازات والحالات'!$B$6:$B$505,$B92))/cfg_DAYS_Y)</f>
        <v/>
      </c>
      <c r="AJ92" s="65" t="str">
        <f aca="false">IF($B92="","",MAX(0,AK92-(SUMIFS('سجل الإجازات والحالات'!$AO$6:$AO$505,'سجل الإجازات والحالات'!$B$6:$B$505,$B92)-SUMIFS('سجل الإجازات والحالات'!$AN$6:$AN$505,'سجل الإجازات والحالات'!$B$6:$B$505,$B92))))</f>
        <v/>
      </c>
      <c r="AK92" s="65" t="str">
        <f aca="false">IF($B92="","",MAX(0,IF(OR(الموظفون!$AE92="",الموظفون!$AE92&gt;$F$3),$F$3,الموظفون!$AE92)-MAX($E$3,الموظفون!$H92)+1))</f>
        <v/>
      </c>
      <c r="AL92" s="151" t="str">
        <f aca="false">IF($B92="","",SUMIFS('سجل الإجازات والحالات'!$BA$6:$BA$505,'سجل الإجازات والحالات'!$B$6:$B$505,$B92)+SUMIFS('الحركات الشهرية'!$K$6:$K$1005,'الحركات الشهرية'!$B$6:$B$1005,$B92,'الحركات الشهرية'!$A$6:$A$1005,$C$3))</f>
        <v/>
      </c>
      <c r="AM92" s="111" t="str">
        <f aca="false">IF($B92="","",AL92*الموظفون!$R92/cfg_DAYS_M+S92)</f>
        <v/>
      </c>
      <c r="AN92" s="151" t="str">
        <f aca="false">IF($B92="","",SUMIFS('سجل الإجازات والحالات'!$AC$6:$AC$505,'سجل الإجازات والحالات'!$B$6:$B$505,$B92))</f>
        <v/>
      </c>
    </row>
    <row r="93" customFormat="false" ht="15" hidden="false" customHeight="false" outlineLevel="0" collapsed="false">
      <c r="A93" s="115" t="str">
        <f aca="false">IF($B93="","",الموظفون!$A93)</f>
        <v/>
      </c>
      <c r="B93" s="117" t="str">
        <f aca="false">IF(الموظفون!$B93="","",الموظفون!$B93)</f>
        <v/>
      </c>
      <c r="C93" s="117" t="str">
        <f aca="false">IF($B93="","",الموظفون!$C93)</f>
        <v/>
      </c>
      <c r="D93" s="117" t="str">
        <f aca="false">IF($B93="","",الموظفون!$F93)</f>
        <v/>
      </c>
      <c r="E93" s="117" t="str">
        <f aca="false">IF($B93="","",الموظفون!$E93)</f>
        <v/>
      </c>
      <c r="F93" s="117" t="str">
        <f aca="false">IF($B93="","",IF(AK93=0,IF(AND(الموظفون!$AE93&lt;&gt;"",الموظفون!$AE93&lt;$E$3),"✖ منتهي الخدمة","⏳ لم يباشر"),IF(S93&gt;0,"✈ راتب إجازة مقدم",IF(J93=0,"⛔ بدون راتب هذا الشهر",IF(I93&gt;0,"✈ خصم "&amp;ROUND(I93,2)&amp;" يوم بدون أجر",IF(AL93&gt;0,"🌴 إجازة سنوية "&amp;ROUND(AL93,2)&amp;" يوم",IF(H93&gt;0,"⚠ غياب "&amp;ROUND(H93,2)&amp;" يوم","✔ على رأس العمل")))))))</f>
        <v/>
      </c>
      <c r="G93" s="156" t="str">
        <f aca="false">IF($B93="","",IF(AK93&gt;=DAY($F$3),cfg_DAYS_M,MIN(AK93,cfg_DAYS_M)))</f>
        <v/>
      </c>
      <c r="H93" s="156" t="str">
        <f aca="false">IF($B93="","",SUMIFS('الحركات الشهرية'!$D$6:$D$1005,'الحركات الشهرية'!$B$6:$B$1005,$B93,'الحركات الشهرية'!$A$6:$A$1005,$C$3))</f>
        <v/>
      </c>
      <c r="I93" s="156" t="str">
        <f aca="false">IF($B93="","",MIN(G93,IF(AND(AK93&gt;0,AN93&gt;=AK93),G93,AN93)+SUMIFS('الحركات الشهرية'!$E$6:$E$1005,'الحركات الشهرية'!$B$6:$B$1005,$B93,'الحركات الشهرية'!$A$6:$A$1005,$C$3)))</f>
        <v/>
      </c>
      <c r="J93" s="156" t="str">
        <f aca="false">IF($B93="","",MAX(0,G93-H93-I93))</f>
        <v/>
      </c>
      <c r="K93" s="116" t="str">
        <f aca="false">IF($B93="","",الموظفون!$L93*$J93/cfg_DAYS_M)</f>
        <v/>
      </c>
      <c r="L93" s="116" t="str">
        <f aca="false">IF($B93="","",الموظفون!$M93*$J93/cfg_DAYS_M)</f>
        <v/>
      </c>
      <c r="M93" s="116" t="str">
        <f aca="false">IF($B93="","",الموظفون!$N93*$J93/cfg_DAYS_M)</f>
        <v/>
      </c>
      <c r="N93" s="116" t="str">
        <f aca="false">IF($B93="","",الموظفون!$O93*$J93/cfg_DAYS_M)</f>
        <v/>
      </c>
      <c r="O93" s="156" t="str">
        <f aca="false">IF($B93="","",SUMIFS('الحركات الشهرية'!$F$6:$F$1005,'الحركات الشهرية'!$B$6:$B$1005,$B93,'الحركات الشهرية'!$A$6:$A$1005,$C$3))</f>
        <v/>
      </c>
      <c r="P93" s="116" t="str">
        <f aca="false">IF($B93="","",O93*(الموظفون!$P93+الموظفون!$L93*cfg_OT_P)/cfg_DAYS_M/cfg_HRS)</f>
        <v/>
      </c>
      <c r="Q93" s="116" t="str">
        <f aca="false">IF($B93="","",SUMIFS('الحركات الشهرية'!$G$6:$G$1005,'الحركات الشهرية'!$B$6:$B$1005,$B93,'الحركات الشهرية'!$A$6:$A$1005,$C$3))</f>
        <v/>
      </c>
      <c r="R93" s="116" t="str">
        <f aca="false">IF($B93="","",SUMIFS('الحركات الشهرية'!$H$6:$H$1005,'الحركات الشهرية'!$B$6:$B$1005,$B93,'الحركات الشهرية'!$A$6:$A$1005,$C$3))</f>
        <v/>
      </c>
      <c r="S93" s="116" t="str">
        <f aca="false">IF($B93="","",SUMIFS('سجل الإجازات والحالات'!$N$6:$N$505,'سجل الإجازات والحالات'!$B$6:$B$505,$B93,'سجل الإجازات والحالات'!$O$6:$O$505,$C$3))</f>
        <v/>
      </c>
      <c r="T93" s="157" t="str">
        <f aca="false">IF($B93="","",SUM(K93:N93)+SUM(P93:S93))</f>
        <v/>
      </c>
      <c r="U93" s="116" t="str">
        <f aca="false">IF($B93="","",الموظفون!$S93*IF(E93="سعودي",cfg_G_SE,cfg_G_NE)*G93/cfg_DAYS_M)</f>
        <v/>
      </c>
      <c r="V93" s="116" t="str">
        <f aca="false">IF($B93="","",SUMIFS('الحركات الشهرية'!$I$6:$I$1005,'الحركات الشهرية'!$B$6:$B$1005,$B93,'الحركات الشهرية'!$A$6:$A$1005,$C$3))</f>
        <v/>
      </c>
      <c r="W93" s="116" t="str">
        <f aca="false">IF($B93="","",SUMIFS('الحركات الشهرية'!$J$6:$J$1005,'الحركات الشهرية'!$B$6:$B$1005,$B93,'الحركات الشهرية'!$A$6:$A$1005,$C$3))</f>
        <v/>
      </c>
      <c r="X93" s="116" t="str">
        <f aca="false">IF($B93="","",SUM(U93:W93))</f>
        <v/>
      </c>
      <c r="Y93" s="158" t="str">
        <f aca="false">IF($B93="","",T93-X93)</f>
        <v/>
      </c>
      <c r="Z93" s="116" t="str">
        <f aca="false">IF($B93="","",الموظفون!$S93*IF(E93="سعودي",cfg_G_SR,cfg_G_NR)*G93/cfg_DAYS_M)</f>
        <v/>
      </c>
      <c r="AA93" s="116" t="str">
        <f aca="false">IF($B93="","",الموظفون!$Q93*(cfg_EOS_R1*(MIN(AH93,cfg_EOS_TH)-MIN(AI93,cfg_EOS_TH))+cfg_EOS_R2*(MAX(AH93-cfg_EOS_TH,0)-MAX(AI93-cfg_EOS_TH,0))))</f>
        <v/>
      </c>
      <c r="AB93" s="116" t="str">
        <f aca="false">IF($B93="","",IF(الموظفون!$T93&lt;&gt;"",الموظفون!$T93,IF(AH93&gt;=cfg_LV_TH,cfg_LV_D2,cfg_LV_D1))/cfg_DAYS_Y*AJ93*الموظفون!$R93/cfg_DAYS_M)</f>
        <v/>
      </c>
      <c r="AC93" s="116" t="str">
        <f aca="false">IF($B93="","",IF(AND(الموظفون!$U93="نعم",N(الموظفون!$W93)&gt;0),الموظفون!$V93/الموظفون!$W93*12/cfg_DAYS_Y*AJ93,0))</f>
        <v/>
      </c>
      <c r="AD93" s="116" t="str">
        <f aca="false">IF($B93="","",(IF(الموظفون!$X93&lt;&gt;"",الموظفون!$X93,IF(الموظفون!$E93="غير سعودي",cfg_IQ,0))+IF(الموظفون!$Y93&lt;&gt;"",الموظفون!$Y93,IF(الموظفون!$E93="غير سعودي",cfg_WP,0)))/12*G93/cfg_DAYS_M)</f>
        <v/>
      </c>
      <c r="AE93" s="116" t="str">
        <f aca="false">IF($B93="","",IF(الموظفون!$Z93&lt;&gt;"",الموظفون!$Z93,cfg_MED)/12*G93/cfg_DAYS_M)</f>
        <v/>
      </c>
      <c r="AF93" s="116" t="str">
        <f aca="false">IF($B93="","",N(الموظفون!$AA93)/12*G93/cfg_DAYS_M)</f>
        <v/>
      </c>
      <c r="AG93" s="159" t="str">
        <f aca="false">IF($B93="","",T93+SUM(Z93:AF93))</f>
        <v/>
      </c>
      <c r="AH93" s="160" t="str">
        <f aca="false">IF($B93="","",MAX(0,IF(OR(الموظفون!$AE93="",الموظفون!$AE93&gt;$F$3),$F$3,الموظفون!$AE93)-الموظفون!$H93+1-SUMIFS('سجل الإجازات والحالات'!$AO$6:$AO$505,'سجل الإجازات والحالات'!$B$6:$B$505,$B93))/cfg_DAYS_Y)</f>
        <v/>
      </c>
      <c r="AI93" s="160" t="str">
        <f aca="false">IF($B93="","",MAX(0,IF(OR(الموظفون!$AE93="",الموظفون!$AE93&gt;($E$3-1)),($E$3-1),الموظفون!$AE93)-الموظفون!$H93+1-SUMIFS('سجل الإجازات والحالات'!$AN$6:$AN$505,'سجل الإجازات والحالات'!$B$6:$B$505,$B93))/cfg_DAYS_Y)</f>
        <v/>
      </c>
      <c r="AJ93" s="133" t="str">
        <f aca="false">IF($B93="","",MAX(0,AK93-(SUMIFS('سجل الإجازات والحالات'!$AO$6:$AO$505,'سجل الإجازات والحالات'!$B$6:$B$505,$B93)-SUMIFS('سجل الإجازات والحالات'!$AN$6:$AN$505,'سجل الإجازات والحالات'!$B$6:$B$505,$B93))))</f>
        <v/>
      </c>
      <c r="AK93" s="133" t="str">
        <f aca="false">IF($B93="","",MAX(0,IF(OR(الموظفون!$AE93="",الموظفون!$AE93&gt;$F$3),$F$3,الموظفون!$AE93)-MAX($E$3,الموظفون!$H93)+1))</f>
        <v/>
      </c>
      <c r="AL93" s="156" t="str">
        <f aca="false">IF($B93="","",SUMIFS('سجل الإجازات والحالات'!$BA$6:$BA$505,'سجل الإجازات والحالات'!$B$6:$B$505,$B93)+SUMIFS('الحركات الشهرية'!$K$6:$K$1005,'الحركات الشهرية'!$B$6:$B$1005,$B93,'الحركات الشهرية'!$A$6:$A$1005,$C$3))</f>
        <v/>
      </c>
      <c r="AM93" s="116" t="str">
        <f aca="false">IF($B93="","",AL93*الموظفون!$R93/cfg_DAYS_M+S93)</f>
        <v/>
      </c>
      <c r="AN93" s="156" t="str">
        <f aca="false">IF($B93="","",SUMIFS('سجل الإجازات والحالات'!$AC$6:$AC$505,'سجل الإجازات والحالات'!$B$6:$B$505,$B93))</f>
        <v/>
      </c>
    </row>
    <row r="94" customFormat="false" ht="15" hidden="false" customHeight="false" outlineLevel="0" collapsed="false">
      <c r="A94" s="106" t="str">
        <f aca="false">IF($B94="","",الموظفون!$A94)</f>
        <v/>
      </c>
      <c r="B94" s="114" t="str">
        <f aca="false">IF(الموظفون!$B94="","",الموظفون!$B94)</f>
        <v/>
      </c>
      <c r="C94" s="114" t="str">
        <f aca="false">IF($B94="","",الموظفون!$C94)</f>
        <v/>
      </c>
      <c r="D94" s="114" t="str">
        <f aca="false">IF($B94="","",الموظفون!$F94)</f>
        <v/>
      </c>
      <c r="E94" s="114" t="str">
        <f aca="false">IF($B94="","",الموظفون!$E94)</f>
        <v/>
      </c>
      <c r="F94" s="114" t="str">
        <f aca="false">IF($B94="","",IF(AK94=0,IF(AND(الموظفون!$AE94&lt;&gt;"",الموظفون!$AE94&lt;$E$3),"✖ منتهي الخدمة","⏳ لم يباشر"),IF(S94&gt;0,"✈ راتب إجازة مقدم",IF(J94=0,"⛔ بدون راتب هذا الشهر",IF(I94&gt;0,"✈ خصم "&amp;ROUND(I94,2)&amp;" يوم بدون أجر",IF(AL94&gt;0,"🌴 إجازة سنوية "&amp;ROUND(AL94,2)&amp;" يوم",IF(H94&gt;0,"⚠ غياب "&amp;ROUND(H94,2)&amp;" يوم","✔ على رأس العمل")))))))</f>
        <v/>
      </c>
      <c r="G94" s="151" t="str">
        <f aca="false">IF($B94="","",IF(AK94&gt;=DAY($F$3),cfg_DAYS_M,MIN(AK94,cfg_DAYS_M)))</f>
        <v/>
      </c>
      <c r="H94" s="151" t="str">
        <f aca="false">IF($B94="","",SUMIFS('الحركات الشهرية'!$D$6:$D$1005,'الحركات الشهرية'!$B$6:$B$1005,$B94,'الحركات الشهرية'!$A$6:$A$1005,$C$3))</f>
        <v/>
      </c>
      <c r="I94" s="151" t="str">
        <f aca="false">IF($B94="","",MIN(G94,IF(AND(AK94&gt;0,AN94&gt;=AK94),G94,AN94)+SUMIFS('الحركات الشهرية'!$E$6:$E$1005,'الحركات الشهرية'!$B$6:$B$1005,$B94,'الحركات الشهرية'!$A$6:$A$1005,$C$3)))</f>
        <v/>
      </c>
      <c r="J94" s="151" t="str">
        <f aca="false">IF($B94="","",MAX(0,G94-H94-I94))</f>
        <v/>
      </c>
      <c r="K94" s="111" t="str">
        <f aca="false">IF($B94="","",الموظفون!$L94*$J94/cfg_DAYS_M)</f>
        <v/>
      </c>
      <c r="L94" s="111" t="str">
        <f aca="false">IF($B94="","",الموظفون!$M94*$J94/cfg_DAYS_M)</f>
        <v/>
      </c>
      <c r="M94" s="111" t="str">
        <f aca="false">IF($B94="","",الموظفون!$N94*$J94/cfg_DAYS_M)</f>
        <v/>
      </c>
      <c r="N94" s="111" t="str">
        <f aca="false">IF($B94="","",الموظفون!$O94*$J94/cfg_DAYS_M)</f>
        <v/>
      </c>
      <c r="O94" s="151" t="str">
        <f aca="false">IF($B94="","",SUMIFS('الحركات الشهرية'!$F$6:$F$1005,'الحركات الشهرية'!$B$6:$B$1005,$B94,'الحركات الشهرية'!$A$6:$A$1005,$C$3))</f>
        <v/>
      </c>
      <c r="P94" s="111" t="str">
        <f aca="false">IF($B94="","",O94*(الموظفون!$P94+الموظفون!$L94*cfg_OT_P)/cfg_DAYS_M/cfg_HRS)</f>
        <v/>
      </c>
      <c r="Q94" s="111" t="str">
        <f aca="false">IF($B94="","",SUMIFS('الحركات الشهرية'!$G$6:$G$1005,'الحركات الشهرية'!$B$6:$B$1005,$B94,'الحركات الشهرية'!$A$6:$A$1005,$C$3))</f>
        <v/>
      </c>
      <c r="R94" s="111" t="str">
        <f aca="false">IF($B94="","",SUMIFS('الحركات الشهرية'!$H$6:$H$1005,'الحركات الشهرية'!$B$6:$B$1005,$B94,'الحركات الشهرية'!$A$6:$A$1005,$C$3))</f>
        <v/>
      </c>
      <c r="S94" s="111" t="str">
        <f aca="false">IF($B94="","",SUMIFS('سجل الإجازات والحالات'!$N$6:$N$505,'سجل الإجازات والحالات'!$B$6:$B$505,$B94,'سجل الإجازات والحالات'!$O$6:$O$505,$C$3))</f>
        <v/>
      </c>
      <c r="T94" s="152" t="str">
        <f aca="false">IF($B94="","",SUM(K94:N94)+SUM(P94:S94))</f>
        <v/>
      </c>
      <c r="U94" s="111" t="str">
        <f aca="false">IF($B94="","",الموظفون!$S94*IF(E94="سعودي",cfg_G_SE,cfg_G_NE)*G94/cfg_DAYS_M)</f>
        <v/>
      </c>
      <c r="V94" s="111" t="str">
        <f aca="false">IF($B94="","",SUMIFS('الحركات الشهرية'!$I$6:$I$1005,'الحركات الشهرية'!$B$6:$B$1005,$B94,'الحركات الشهرية'!$A$6:$A$1005,$C$3))</f>
        <v/>
      </c>
      <c r="W94" s="111" t="str">
        <f aca="false">IF($B94="","",SUMIFS('الحركات الشهرية'!$J$6:$J$1005,'الحركات الشهرية'!$B$6:$B$1005,$B94,'الحركات الشهرية'!$A$6:$A$1005,$C$3))</f>
        <v/>
      </c>
      <c r="X94" s="111" t="str">
        <f aca="false">IF($B94="","",SUM(U94:W94))</f>
        <v/>
      </c>
      <c r="Y94" s="153" t="str">
        <f aca="false">IF($B94="","",T94-X94)</f>
        <v/>
      </c>
      <c r="Z94" s="111" t="str">
        <f aca="false">IF($B94="","",الموظفون!$S94*IF(E94="سعودي",cfg_G_SR,cfg_G_NR)*G94/cfg_DAYS_M)</f>
        <v/>
      </c>
      <c r="AA94" s="111" t="str">
        <f aca="false">IF($B94="","",الموظفون!$Q94*(cfg_EOS_R1*(MIN(AH94,cfg_EOS_TH)-MIN(AI94,cfg_EOS_TH))+cfg_EOS_R2*(MAX(AH94-cfg_EOS_TH,0)-MAX(AI94-cfg_EOS_TH,0))))</f>
        <v/>
      </c>
      <c r="AB94" s="111" t="str">
        <f aca="false">IF($B94="","",IF(الموظفون!$T94&lt;&gt;"",الموظفون!$T94,IF(AH94&gt;=cfg_LV_TH,cfg_LV_D2,cfg_LV_D1))/cfg_DAYS_Y*AJ94*الموظفون!$R94/cfg_DAYS_M)</f>
        <v/>
      </c>
      <c r="AC94" s="111" t="str">
        <f aca="false">IF($B94="","",IF(AND(الموظفون!$U94="نعم",N(الموظفون!$W94)&gt;0),الموظفون!$V94/الموظفون!$W94*12/cfg_DAYS_Y*AJ94,0))</f>
        <v/>
      </c>
      <c r="AD94" s="111" t="str">
        <f aca="false">IF($B94="","",(IF(الموظفون!$X94&lt;&gt;"",الموظفون!$X94,IF(الموظفون!$E94="غير سعودي",cfg_IQ,0))+IF(الموظفون!$Y94&lt;&gt;"",الموظفون!$Y94,IF(الموظفون!$E94="غير سعودي",cfg_WP,0)))/12*G94/cfg_DAYS_M)</f>
        <v/>
      </c>
      <c r="AE94" s="111" t="str">
        <f aca="false">IF($B94="","",IF(الموظفون!$Z94&lt;&gt;"",الموظفون!$Z94,cfg_MED)/12*G94/cfg_DAYS_M)</f>
        <v/>
      </c>
      <c r="AF94" s="111" t="str">
        <f aca="false">IF($B94="","",N(الموظفون!$AA94)/12*G94/cfg_DAYS_M)</f>
        <v/>
      </c>
      <c r="AG94" s="154" t="str">
        <f aca="false">IF($B94="","",T94+SUM(Z94:AF94))</f>
        <v/>
      </c>
      <c r="AH94" s="155" t="str">
        <f aca="false">IF($B94="","",MAX(0,IF(OR(الموظفون!$AE94="",الموظفون!$AE94&gt;$F$3),$F$3,الموظفون!$AE94)-الموظفون!$H94+1-SUMIFS('سجل الإجازات والحالات'!$AO$6:$AO$505,'سجل الإجازات والحالات'!$B$6:$B$505,$B94))/cfg_DAYS_Y)</f>
        <v/>
      </c>
      <c r="AI94" s="155" t="str">
        <f aca="false">IF($B94="","",MAX(0,IF(OR(الموظفون!$AE94="",الموظفون!$AE94&gt;($E$3-1)),($E$3-1),الموظفون!$AE94)-الموظفون!$H94+1-SUMIFS('سجل الإجازات والحالات'!$AN$6:$AN$505,'سجل الإجازات والحالات'!$B$6:$B$505,$B94))/cfg_DAYS_Y)</f>
        <v/>
      </c>
      <c r="AJ94" s="65" t="str">
        <f aca="false">IF($B94="","",MAX(0,AK94-(SUMIFS('سجل الإجازات والحالات'!$AO$6:$AO$505,'سجل الإجازات والحالات'!$B$6:$B$505,$B94)-SUMIFS('سجل الإجازات والحالات'!$AN$6:$AN$505,'سجل الإجازات والحالات'!$B$6:$B$505,$B94))))</f>
        <v/>
      </c>
      <c r="AK94" s="65" t="str">
        <f aca="false">IF($B94="","",MAX(0,IF(OR(الموظفون!$AE94="",الموظفون!$AE94&gt;$F$3),$F$3,الموظفون!$AE94)-MAX($E$3,الموظفون!$H94)+1))</f>
        <v/>
      </c>
      <c r="AL94" s="151" t="str">
        <f aca="false">IF($B94="","",SUMIFS('سجل الإجازات والحالات'!$BA$6:$BA$505,'سجل الإجازات والحالات'!$B$6:$B$505,$B94)+SUMIFS('الحركات الشهرية'!$K$6:$K$1005,'الحركات الشهرية'!$B$6:$B$1005,$B94,'الحركات الشهرية'!$A$6:$A$1005,$C$3))</f>
        <v/>
      </c>
      <c r="AM94" s="111" t="str">
        <f aca="false">IF($B94="","",AL94*الموظفون!$R94/cfg_DAYS_M+S94)</f>
        <v/>
      </c>
      <c r="AN94" s="151" t="str">
        <f aca="false">IF($B94="","",SUMIFS('سجل الإجازات والحالات'!$AC$6:$AC$505,'سجل الإجازات والحالات'!$B$6:$B$505,$B94))</f>
        <v/>
      </c>
    </row>
    <row r="95" customFormat="false" ht="15" hidden="false" customHeight="false" outlineLevel="0" collapsed="false">
      <c r="A95" s="115" t="str">
        <f aca="false">IF($B95="","",الموظفون!$A95)</f>
        <v/>
      </c>
      <c r="B95" s="117" t="str">
        <f aca="false">IF(الموظفون!$B95="","",الموظفون!$B95)</f>
        <v/>
      </c>
      <c r="C95" s="117" t="str">
        <f aca="false">IF($B95="","",الموظفون!$C95)</f>
        <v/>
      </c>
      <c r="D95" s="117" t="str">
        <f aca="false">IF($B95="","",الموظفون!$F95)</f>
        <v/>
      </c>
      <c r="E95" s="117" t="str">
        <f aca="false">IF($B95="","",الموظفون!$E95)</f>
        <v/>
      </c>
      <c r="F95" s="117" t="str">
        <f aca="false">IF($B95="","",IF(AK95=0,IF(AND(الموظفون!$AE95&lt;&gt;"",الموظفون!$AE95&lt;$E$3),"✖ منتهي الخدمة","⏳ لم يباشر"),IF(S95&gt;0,"✈ راتب إجازة مقدم",IF(J95=0,"⛔ بدون راتب هذا الشهر",IF(I95&gt;0,"✈ خصم "&amp;ROUND(I95,2)&amp;" يوم بدون أجر",IF(AL95&gt;0,"🌴 إجازة سنوية "&amp;ROUND(AL95,2)&amp;" يوم",IF(H95&gt;0,"⚠ غياب "&amp;ROUND(H95,2)&amp;" يوم","✔ على رأس العمل")))))))</f>
        <v/>
      </c>
      <c r="G95" s="156" t="str">
        <f aca="false">IF($B95="","",IF(AK95&gt;=DAY($F$3),cfg_DAYS_M,MIN(AK95,cfg_DAYS_M)))</f>
        <v/>
      </c>
      <c r="H95" s="156" t="str">
        <f aca="false">IF($B95="","",SUMIFS('الحركات الشهرية'!$D$6:$D$1005,'الحركات الشهرية'!$B$6:$B$1005,$B95,'الحركات الشهرية'!$A$6:$A$1005,$C$3))</f>
        <v/>
      </c>
      <c r="I95" s="156" t="str">
        <f aca="false">IF($B95="","",MIN(G95,IF(AND(AK95&gt;0,AN95&gt;=AK95),G95,AN95)+SUMIFS('الحركات الشهرية'!$E$6:$E$1005,'الحركات الشهرية'!$B$6:$B$1005,$B95,'الحركات الشهرية'!$A$6:$A$1005,$C$3)))</f>
        <v/>
      </c>
      <c r="J95" s="156" t="str">
        <f aca="false">IF($B95="","",MAX(0,G95-H95-I95))</f>
        <v/>
      </c>
      <c r="K95" s="116" t="str">
        <f aca="false">IF($B95="","",الموظفون!$L95*$J95/cfg_DAYS_M)</f>
        <v/>
      </c>
      <c r="L95" s="116" t="str">
        <f aca="false">IF($B95="","",الموظفون!$M95*$J95/cfg_DAYS_M)</f>
        <v/>
      </c>
      <c r="M95" s="116" t="str">
        <f aca="false">IF($B95="","",الموظفون!$N95*$J95/cfg_DAYS_M)</f>
        <v/>
      </c>
      <c r="N95" s="116" t="str">
        <f aca="false">IF($B95="","",الموظفون!$O95*$J95/cfg_DAYS_M)</f>
        <v/>
      </c>
      <c r="O95" s="156" t="str">
        <f aca="false">IF($B95="","",SUMIFS('الحركات الشهرية'!$F$6:$F$1005,'الحركات الشهرية'!$B$6:$B$1005,$B95,'الحركات الشهرية'!$A$6:$A$1005,$C$3))</f>
        <v/>
      </c>
      <c r="P95" s="116" t="str">
        <f aca="false">IF($B95="","",O95*(الموظفون!$P95+الموظفون!$L95*cfg_OT_P)/cfg_DAYS_M/cfg_HRS)</f>
        <v/>
      </c>
      <c r="Q95" s="116" t="str">
        <f aca="false">IF($B95="","",SUMIFS('الحركات الشهرية'!$G$6:$G$1005,'الحركات الشهرية'!$B$6:$B$1005,$B95,'الحركات الشهرية'!$A$6:$A$1005,$C$3))</f>
        <v/>
      </c>
      <c r="R95" s="116" t="str">
        <f aca="false">IF($B95="","",SUMIFS('الحركات الشهرية'!$H$6:$H$1005,'الحركات الشهرية'!$B$6:$B$1005,$B95,'الحركات الشهرية'!$A$6:$A$1005,$C$3))</f>
        <v/>
      </c>
      <c r="S95" s="116" t="str">
        <f aca="false">IF($B95="","",SUMIFS('سجل الإجازات والحالات'!$N$6:$N$505,'سجل الإجازات والحالات'!$B$6:$B$505,$B95,'سجل الإجازات والحالات'!$O$6:$O$505,$C$3))</f>
        <v/>
      </c>
      <c r="T95" s="157" t="str">
        <f aca="false">IF($B95="","",SUM(K95:N95)+SUM(P95:S95))</f>
        <v/>
      </c>
      <c r="U95" s="116" t="str">
        <f aca="false">IF($B95="","",الموظفون!$S95*IF(E95="سعودي",cfg_G_SE,cfg_G_NE)*G95/cfg_DAYS_M)</f>
        <v/>
      </c>
      <c r="V95" s="116" t="str">
        <f aca="false">IF($B95="","",SUMIFS('الحركات الشهرية'!$I$6:$I$1005,'الحركات الشهرية'!$B$6:$B$1005,$B95,'الحركات الشهرية'!$A$6:$A$1005,$C$3))</f>
        <v/>
      </c>
      <c r="W95" s="116" t="str">
        <f aca="false">IF($B95="","",SUMIFS('الحركات الشهرية'!$J$6:$J$1005,'الحركات الشهرية'!$B$6:$B$1005,$B95,'الحركات الشهرية'!$A$6:$A$1005,$C$3))</f>
        <v/>
      </c>
      <c r="X95" s="116" t="str">
        <f aca="false">IF($B95="","",SUM(U95:W95))</f>
        <v/>
      </c>
      <c r="Y95" s="158" t="str">
        <f aca="false">IF($B95="","",T95-X95)</f>
        <v/>
      </c>
      <c r="Z95" s="116" t="str">
        <f aca="false">IF($B95="","",الموظفون!$S95*IF(E95="سعودي",cfg_G_SR,cfg_G_NR)*G95/cfg_DAYS_M)</f>
        <v/>
      </c>
      <c r="AA95" s="116" t="str">
        <f aca="false">IF($B95="","",الموظفون!$Q95*(cfg_EOS_R1*(MIN(AH95,cfg_EOS_TH)-MIN(AI95,cfg_EOS_TH))+cfg_EOS_R2*(MAX(AH95-cfg_EOS_TH,0)-MAX(AI95-cfg_EOS_TH,0))))</f>
        <v/>
      </c>
      <c r="AB95" s="116" t="str">
        <f aca="false">IF($B95="","",IF(الموظفون!$T95&lt;&gt;"",الموظفون!$T95,IF(AH95&gt;=cfg_LV_TH,cfg_LV_D2,cfg_LV_D1))/cfg_DAYS_Y*AJ95*الموظفون!$R95/cfg_DAYS_M)</f>
        <v/>
      </c>
      <c r="AC95" s="116" t="str">
        <f aca="false">IF($B95="","",IF(AND(الموظفون!$U95="نعم",N(الموظفون!$W95)&gt;0),الموظفون!$V95/الموظفون!$W95*12/cfg_DAYS_Y*AJ95,0))</f>
        <v/>
      </c>
      <c r="AD95" s="116" t="str">
        <f aca="false">IF($B95="","",(IF(الموظفون!$X95&lt;&gt;"",الموظفون!$X95,IF(الموظفون!$E95="غير سعودي",cfg_IQ,0))+IF(الموظفون!$Y95&lt;&gt;"",الموظفون!$Y95,IF(الموظفون!$E95="غير سعودي",cfg_WP,0)))/12*G95/cfg_DAYS_M)</f>
        <v/>
      </c>
      <c r="AE95" s="116" t="str">
        <f aca="false">IF($B95="","",IF(الموظفون!$Z95&lt;&gt;"",الموظفون!$Z95,cfg_MED)/12*G95/cfg_DAYS_M)</f>
        <v/>
      </c>
      <c r="AF95" s="116" t="str">
        <f aca="false">IF($B95="","",N(الموظفون!$AA95)/12*G95/cfg_DAYS_M)</f>
        <v/>
      </c>
      <c r="AG95" s="159" t="str">
        <f aca="false">IF($B95="","",T95+SUM(Z95:AF95))</f>
        <v/>
      </c>
      <c r="AH95" s="160" t="str">
        <f aca="false">IF($B95="","",MAX(0,IF(OR(الموظفون!$AE95="",الموظفون!$AE95&gt;$F$3),$F$3,الموظفون!$AE95)-الموظفون!$H95+1-SUMIFS('سجل الإجازات والحالات'!$AO$6:$AO$505,'سجل الإجازات والحالات'!$B$6:$B$505,$B95))/cfg_DAYS_Y)</f>
        <v/>
      </c>
      <c r="AI95" s="160" t="str">
        <f aca="false">IF($B95="","",MAX(0,IF(OR(الموظفون!$AE95="",الموظفون!$AE95&gt;($E$3-1)),($E$3-1),الموظفون!$AE95)-الموظفون!$H95+1-SUMIFS('سجل الإجازات والحالات'!$AN$6:$AN$505,'سجل الإجازات والحالات'!$B$6:$B$505,$B95))/cfg_DAYS_Y)</f>
        <v/>
      </c>
      <c r="AJ95" s="133" t="str">
        <f aca="false">IF($B95="","",MAX(0,AK95-(SUMIFS('سجل الإجازات والحالات'!$AO$6:$AO$505,'سجل الإجازات والحالات'!$B$6:$B$505,$B95)-SUMIFS('سجل الإجازات والحالات'!$AN$6:$AN$505,'سجل الإجازات والحالات'!$B$6:$B$505,$B95))))</f>
        <v/>
      </c>
      <c r="AK95" s="133" t="str">
        <f aca="false">IF($B95="","",MAX(0,IF(OR(الموظفون!$AE95="",الموظفون!$AE95&gt;$F$3),$F$3,الموظفون!$AE95)-MAX($E$3,الموظفون!$H95)+1))</f>
        <v/>
      </c>
      <c r="AL95" s="156" t="str">
        <f aca="false">IF($B95="","",SUMIFS('سجل الإجازات والحالات'!$BA$6:$BA$505,'سجل الإجازات والحالات'!$B$6:$B$505,$B95)+SUMIFS('الحركات الشهرية'!$K$6:$K$1005,'الحركات الشهرية'!$B$6:$B$1005,$B95,'الحركات الشهرية'!$A$6:$A$1005,$C$3))</f>
        <v/>
      </c>
      <c r="AM95" s="116" t="str">
        <f aca="false">IF($B95="","",AL95*الموظفون!$R95/cfg_DAYS_M+S95)</f>
        <v/>
      </c>
      <c r="AN95" s="156" t="str">
        <f aca="false">IF($B95="","",SUMIFS('سجل الإجازات والحالات'!$AC$6:$AC$505,'سجل الإجازات والحالات'!$B$6:$B$505,$B95))</f>
        <v/>
      </c>
    </row>
    <row r="96" customFormat="false" ht="15" hidden="false" customHeight="false" outlineLevel="0" collapsed="false">
      <c r="A96" s="106" t="str">
        <f aca="false">IF($B96="","",الموظفون!$A96)</f>
        <v/>
      </c>
      <c r="B96" s="114" t="str">
        <f aca="false">IF(الموظفون!$B96="","",الموظفون!$B96)</f>
        <v/>
      </c>
      <c r="C96" s="114" t="str">
        <f aca="false">IF($B96="","",الموظفون!$C96)</f>
        <v/>
      </c>
      <c r="D96" s="114" t="str">
        <f aca="false">IF($B96="","",الموظفون!$F96)</f>
        <v/>
      </c>
      <c r="E96" s="114" t="str">
        <f aca="false">IF($B96="","",الموظفون!$E96)</f>
        <v/>
      </c>
      <c r="F96" s="114" t="str">
        <f aca="false">IF($B96="","",IF(AK96=0,IF(AND(الموظفون!$AE96&lt;&gt;"",الموظفون!$AE96&lt;$E$3),"✖ منتهي الخدمة","⏳ لم يباشر"),IF(S96&gt;0,"✈ راتب إجازة مقدم",IF(J96=0,"⛔ بدون راتب هذا الشهر",IF(I96&gt;0,"✈ خصم "&amp;ROUND(I96,2)&amp;" يوم بدون أجر",IF(AL96&gt;0,"🌴 إجازة سنوية "&amp;ROUND(AL96,2)&amp;" يوم",IF(H96&gt;0,"⚠ غياب "&amp;ROUND(H96,2)&amp;" يوم","✔ على رأس العمل")))))))</f>
        <v/>
      </c>
      <c r="G96" s="151" t="str">
        <f aca="false">IF($B96="","",IF(AK96&gt;=DAY($F$3),cfg_DAYS_M,MIN(AK96,cfg_DAYS_M)))</f>
        <v/>
      </c>
      <c r="H96" s="151" t="str">
        <f aca="false">IF($B96="","",SUMIFS('الحركات الشهرية'!$D$6:$D$1005,'الحركات الشهرية'!$B$6:$B$1005,$B96,'الحركات الشهرية'!$A$6:$A$1005,$C$3))</f>
        <v/>
      </c>
      <c r="I96" s="151" t="str">
        <f aca="false">IF($B96="","",MIN(G96,IF(AND(AK96&gt;0,AN96&gt;=AK96),G96,AN96)+SUMIFS('الحركات الشهرية'!$E$6:$E$1005,'الحركات الشهرية'!$B$6:$B$1005,$B96,'الحركات الشهرية'!$A$6:$A$1005,$C$3)))</f>
        <v/>
      </c>
      <c r="J96" s="151" t="str">
        <f aca="false">IF($B96="","",MAX(0,G96-H96-I96))</f>
        <v/>
      </c>
      <c r="K96" s="111" t="str">
        <f aca="false">IF($B96="","",الموظفون!$L96*$J96/cfg_DAYS_M)</f>
        <v/>
      </c>
      <c r="L96" s="111" t="str">
        <f aca="false">IF($B96="","",الموظفون!$M96*$J96/cfg_DAYS_M)</f>
        <v/>
      </c>
      <c r="M96" s="111" t="str">
        <f aca="false">IF($B96="","",الموظفون!$N96*$J96/cfg_DAYS_M)</f>
        <v/>
      </c>
      <c r="N96" s="111" t="str">
        <f aca="false">IF($B96="","",الموظفون!$O96*$J96/cfg_DAYS_M)</f>
        <v/>
      </c>
      <c r="O96" s="151" t="str">
        <f aca="false">IF($B96="","",SUMIFS('الحركات الشهرية'!$F$6:$F$1005,'الحركات الشهرية'!$B$6:$B$1005,$B96,'الحركات الشهرية'!$A$6:$A$1005,$C$3))</f>
        <v/>
      </c>
      <c r="P96" s="111" t="str">
        <f aca="false">IF($B96="","",O96*(الموظفون!$P96+الموظفون!$L96*cfg_OT_P)/cfg_DAYS_M/cfg_HRS)</f>
        <v/>
      </c>
      <c r="Q96" s="111" t="str">
        <f aca="false">IF($B96="","",SUMIFS('الحركات الشهرية'!$G$6:$G$1005,'الحركات الشهرية'!$B$6:$B$1005,$B96,'الحركات الشهرية'!$A$6:$A$1005,$C$3))</f>
        <v/>
      </c>
      <c r="R96" s="111" t="str">
        <f aca="false">IF($B96="","",SUMIFS('الحركات الشهرية'!$H$6:$H$1005,'الحركات الشهرية'!$B$6:$B$1005,$B96,'الحركات الشهرية'!$A$6:$A$1005,$C$3))</f>
        <v/>
      </c>
      <c r="S96" s="111" t="str">
        <f aca="false">IF($B96="","",SUMIFS('سجل الإجازات والحالات'!$N$6:$N$505,'سجل الإجازات والحالات'!$B$6:$B$505,$B96,'سجل الإجازات والحالات'!$O$6:$O$505,$C$3))</f>
        <v/>
      </c>
      <c r="T96" s="152" t="str">
        <f aca="false">IF($B96="","",SUM(K96:N96)+SUM(P96:S96))</f>
        <v/>
      </c>
      <c r="U96" s="111" t="str">
        <f aca="false">IF($B96="","",الموظفون!$S96*IF(E96="سعودي",cfg_G_SE,cfg_G_NE)*G96/cfg_DAYS_M)</f>
        <v/>
      </c>
      <c r="V96" s="111" t="str">
        <f aca="false">IF($B96="","",SUMIFS('الحركات الشهرية'!$I$6:$I$1005,'الحركات الشهرية'!$B$6:$B$1005,$B96,'الحركات الشهرية'!$A$6:$A$1005,$C$3))</f>
        <v/>
      </c>
      <c r="W96" s="111" t="str">
        <f aca="false">IF($B96="","",SUMIFS('الحركات الشهرية'!$J$6:$J$1005,'الحركات الشهرية'!$B$6:$B$1005,$B96,'الحركات الشهرية'!$A$6:$A$1005,$C$3))</f>
        <v/>
      </c>
      <c r="X96" s="111" t="str">
        <f aca="false">IF($B96="","",SUM(U96:W96))</f>
        <v/>
      </c>
      <c r="Y96" s="153" t="str">
        <f aca="false">IF($B96="","",T96-X96)</f>
        <v/>
      </c>
      <c r="Z96" s="111" t="str">
        <f aca="false">IF($B96="","",الموظفون!$S96*IF(E96="سعودي",cfg_G_SR,cfg_G_NR)*G96/cfg_DAYS_M)</f>
        <v/>
      </c>
      <c r="AA96" s="111" t="str">
        <f aca="false">IF($B96="","",الموظفون!$Q96*(cfg_EOS_R1*(MIN(AH96,cfg_EOS_TH)-MIN(AI96,cfg_EOS_TH))+cfg_EOS_R2*(MAX(AH96-cfg_EOS_TH,0)-MAX(AI96-cfg_EOS_TH,0))))</f>
        <v/>
      </c>
      <c r="AB96" s="111" t="str">
        <f aca="false">IF($B96="","",IF(الموظفون!$T96&lt;&gt;"",الموظفون!$T96,IF(AH96&gt;=cfg_LV_TH,cfg_LV_D2,cfg_LV_D1))/cfg_DAYS_Y*AJ96*الموظفون!$R96/cfg_DAYS_M)</f>
        <v/>
      </c>
      <c r="AC96" s="111" t="str">
        <f aca="false">IF($B96="","",IF(AND(الموظفون!$U96="نعم",N(الموظفون!$W96)&gt;0),الموظفون!$V96/الموظفون!$W96*12/cfg_DAYS_Y*AJ96,0))</f>
        <v/>
      </c>
      <c r="AD96" s="111" t="str">
        <f aca="false">IF($B96="","",(IF(الموظفون!$X96&lt;&gt;"",الموظفون!$X96,IF(الموظفون!$E96="غير سعودي",cfg_IQ,0))+IF(الموظفون!$Y96&lt;&gt;"",الموظفون!$Y96,IF(الموظفون!$E96="غير سعودي",cfg_WP,0)))/12*G96/cfg_DAYS_M)</f>
        <v/>
      </c>
      <c r="AE96" s="111" t="str">
        <f aca="false">IF($B96="","",IF(الموظفون!$Z96&lt;&gt;"",الموظفون!$Z96,cfg_MED)/12*G96/cfg_DAYS_M)</f>
        <v/>
      </c>
      <c r="AF96" s="111" t="str">
        <f aca="false">IF($B96="","",N(الموظفون!$AA96)/12*G96/cfg_DAYS_M)</f>
        <v/>
      </c>
      <c r="AG96" s="154" t="str">
        <f aca="false">IF($B96="","",T96+SUM(Z96:AF96))</f>
        <v/>
      </c>
      <c r="AH96" s="155" t="str">
        <f aca="false">IF($B96="","",MAX(0,IF(OR(الموظفون!$AE96="",الموظفون!$AE96&gt;$F$3),$F$3,الموظفون!$AE96)-الموظفون!$H96+1-SUMIFS('سجل الإجازات والحالات'!$AO$6:$AO$505,'سجل الإجازات والحالات'!$B$6:$B$505,$B96))/cfg_DAYS_Y)</f>
        <v/>
      </c>
      <c r="AI96" s="155" t="str">
        <f aca="false">IF($B96="","",MAX(0,IF(OR(الموظفون!$AE96="",الموظفون!$AE96&gt;($E$3-1)),($E$3-1),الموظفون!$AE96)-الموظفون!$H96+1-SUMIFS('سجل الإجازات والحالات'!$AN$6:$AN$505,'سجل الإجازات والحالات'!$B$6:$B$505,$B96))/cfg_DAYS_Y)</f>
        <v/>
      </c>
      <c r="AJ96" s="65" t="str">
        <f aca="false">IF($B96="","",MAX(0,AK96-(SUMIFS('سجل الإجازات والحالات'!$AO$6:$AO$505,'سجل الإجازات والحالات'!$B$6:$B$505,$B96)-SUMIFS('سجل الإجازات والحالات'!$AN$6:$AN$505,'سجل الإجازات والحالات'!$B$6:$B$505,$B96))))</f>
        <v/>
      </c>
      <c r="AK96" s="65" t="str">
        <f aca="false">IF($B96="","",MAX(0,IF(OR(الموظفون!$AE96="",الموظفون!$AE96&gt;$F$3),$F$3,الموظفون!$AE96)-MAX($E$3,الموظفون!$H96)+1))</f>
        <v/>
      </c>
      <c r="AL96" s="151" t="str">
        <f aca="false">IF($B96="","",SUMIFS('سجل الإجازات والحالات'!$BA$6:$BA$505,'سجل الإجازات والحالات'!$B$6:$B$505,$B96)+SUMIFS('الحركات الشهرية'!$K$6:$K$1005,'الحركات الشهرية'!$B$6:$B$1005,$B96,'الحركات الشهرية'!$A$6:$A$1005,$C$3))</f>
        <v/>
      </c>
      <c r="AM96" s="111" t="str">
        <f aca="false">IF($B96="","",AL96*الموظفون!$R96/cfg_DAYS_M+S96)</f>
        <v/>
      </c>
      <c r="AN96" s="151" t="str">
        <f aca="false">IF($B96="","",SUMIFS('سجل الإجازات والحالات'!$AC$6:$AC$505,'سجل الإجازات والحالات'!$B$6:$B$505,$B96))</f>
        <v/>
      </c>
    </row>
    <row r="97" customFormat="false" ht="15" hidden="false" customHeight="false" outlineLevel="0" collapsed="false">
      <c r="A97" s="115" t="str">
        <f aca="false">IF($B97="","",الموظفون!$A97)</f>
        <v/>
      </c>
      <c r="B97" s="117" t="str">
        <f aca="false">IF(الموظفون!$B97="","",الموظفون!$B97)</f>
        <v/>
      </c>
      <c r="C97" s="117" t="str">
        <f aca="false">IF($B97="","",الموظفون!$C97)</f>
        <v/>
      </c>
      <c r="D97" s="117" t="str">
        <f aca="false">IF($B97="","",الموظفون!$F97)</f>
        <v/>
      </c>
      <c r="E97" s="117" t="str">
        <f aca="false">IF($B97="","",الموظفون!$E97)</f>
        <v/>
      </c>
      <c r="F97" s="117" t="str">
        <f aca="false">IF($B97="","",IF(AK97=0,IF(AND(الموظفون!$AE97&lt;&gt;"",الموظفون!$AE97&lt;$E$3),"✖ منتهي الخدمة","⏳ لم يباشر"),IF(S97&gt;0,"✈ راتب إجازة مقدم",IF(J97=0,"⛔ بدون راتب هذا الشهر",IF(I97&gt;0,"✈ خصم "&amp;ROUND(I97,2)&amp;" يوم بدون أجر",IF(AL97&gt;0,"🌴 إجازة سنوية "&amp;ROUND(AL97,2)&amp;" يوم",IF(H97&gt;0,"⚠ غياب "&amp;ROUND(H97,2)&amp;" يوم","✔ على رأس العمل")))))))</f>
        <v/>
      </c>
      <c r="G97" s="156" t="str">
        <f aca="false">IF($B97="","",IF(AK97&gt;=DAY($F$3),cfg_DAYS_M,MIN(AK97,cfg_DAYS_M)))</f>
        <v/>
      </c>
      <c r="H97" s="156" t="str">
        <f aca="false">IF($B97="","",SUMIFS('الحركات الشهرية'!$D$6:$D$1005,'الحركات الشهرية'!$B$6:$B$1005,$B97,'الحركات الشهرية'!$A$6:$A$1005,$C$3))</f>
        <v/>
      </c>
      <c r="I97" s="156" t="str">
        <f aca="false">IF($B97="","",MIN(G97,IF(AND(AK97&gt;0,AN97&gt;=AK97),G97,AN97)+SUMIFS('الحركات الشهرية'!$E$6:$E$1005,'الحركات الشهرية'!$B$6:$B$1005,$B97,'الحركات الشهرية'!$A$6:$A$1005,$C$3)))</f>
        <v/>
      </c>
      <c r="J97" s="156" t="str">
        <f aca="false">IF($B97="","",MAX(0,G97-H97-I97))</f>
        <v/>
      </c>
      <c r="K97" s="116" t="str">
        <f aca="false">IF($B97="","",الموظفون!$L97*$J97/cfg_DAYS_M)</f>
        <v/>
      </c>
      <c r="L97" s="116" t="str">
        <f aca="false">IF($B97="","",الموظفون!$M97*$J97/cfg_DAYS_M)</f>
        <v/>
      </c>
      <c r="M97" s="116" t="str">
        <f aca="false">IF($B97="","",الموظفون!$N97*$J97/cfg_DAYS_M)</f>
        <v/>
      </c>
      <c r="N97" s="116" t="str">
        <f aca="false">IF($B97="","",الموظفون!$O97*$J97/cfg_DAYS_M)</f>
        <v/>
      </c>
      <c r="O97" s="156" t="str">
        <f aca="false">IF($B97="","",SUMIFS('الحركات الشهرية'!$F$6:$F$1005,'الحركات الشهرية'!$B$6:$B$1005,$B97,'الحركات الشهرية'!$A$6:$A$1005,$C$3))</f>
        <v/>
      </c>
      <c r="P97" s="116" t="str">
        <f aca="false">IF($B97="","",O97*(الموظفون!$P97+الموظفون!$L97*cfg_OT_P)/cfg_DAYS_M/cfg_HRS)</f>
        <v/>
      </c>
      <c r="Q97" s="116" t="str">
        <f aca="false">IF($B97="","",SUMIFS('الحركات الشهرية'!$G$6:$G$1005,'الحركات الشهرية'!$B$6:$B$1005,$B97,'الحركات الشهرية'!$A$6:$A$1005,$C$3))</f>
        <v/>
      </c>
      <c r="R97" s="116" t="str">
        <f aca="false">IF($B97="","",SUMIFS('الحركات الشهرية'!$H$6:$H$1005,'الحركات الشهرية'!$B$6:$B$1005,$B97,'الحركات الشهرية'!$A$6:$A$1005,$C$3))</f>
        <v/>
      </c>
      <c r="S97" s="116" t="str">
        <f aca="false">IF($B97="","",SUMIFS('سجل الإجازات والحالات'!$N$6:$N$505,'سجل الإجازات والحالات'!$B$6:$B$505,$B97,'سجل الإجازات والحالات'!$O$6:$O$505,$C$3))</f>
        <v/>
      </c>
      <c r="T97" s="157" t="str">
        <f aca="false">IF($B97="","",SUM(K97:N97)+SUM(P97:S97))</f>
        <v/>
      </c>
      <c r="U97" s="116" t="str">
        <f aca="false">IF($B97="","",الموظفون!$S97*IF(E97="سعودي",cfg_G_SE,cfg_G_NE)*G97/cfg_DAYS_M)</f>
        <v/>
      </c>
      <c r="V97" s="116" t="str">
        <f aca="false">IF($B97="","",SUMIFS('الحركات الشهرية'!$I$6:$I$1005,'الحركات الشهرية'!$B$6:$B$1005,$B97,'الحركات الشهرية'!$A$6:$A$1005,$C$3))</f>
        <v/>
      </c>
      <c r="W97" s="116" t="str">
        <f aca="false">IF($B97="","",SUMIFS('الحركات الشهرية'!$J$6:$J$1005,'الحركات الشهرية'!$B$6:$B$1005,$B97,'الحركات الشهرية'!$A$6:$A$1005,$C$3))</f>
        <v/>
      </c>
      <c r="X97" s="116" t="str">
        <f aca="false">IF($B97="","",SUM(U97:W97))</f>
        <v/>
      </c>
      <c r="Y97" s="158" t="str">
        <f aca="false">IF($B97="","",T97-X97)</f>
        <v/>
      </c>
      <c r="Z97" s="116" t="str">
        <f aca="false">IF($B97="","",الموظفون!$S97*IF(E97="سعودي",cfg_G_SR,cfg_G_NR)*G97/cfg_DAYS_M)</f>
        <v/>
      </c>
      <c r="AA97" s="116" t="str">
        <f aca="false">IF($B97="","",الموظفون!$Q97*(cfg_EOS_R1*(MIN(AH97,cfg_EOS_TH)-MIN(AI97,cfg_EOS_TH))+cfg_EOS_R2*(MAX(AH97-cfg_EOS_TH,0)-MAX(AI97-cfg_EOS_TH,0))))</f>
        <v/>
      </c>
      <c r="AB97" s="116" t="str">
        <f aca="false">IF($B97="","",IF(الموظفون!$T97&lt;&gt;"",الموظفون!$T97,IF(AH97&gt;=cfg_LV_TH,cfg_LV_D2,cfg_LV_D1))/cfg_DAYS_Y*AJ97*الموظفون!$R97/cfg_DAYS_M)</f>
        <v/>
      </c>
      <c r="AC97" s="116" t="str">
        <f aca="false">IF($B97="","",IF(AND(الموظفون!$U97="نعم",N(الموظفون!$W97)&gt;0),الموظفون!$V97/الموظفون!$W97*12/cfg_DAYS_Y*AJ97,0))</f>
        <v/>
      </c>
      <c r="AD97" s="116" t="str">
        <f aca="false">IF($B97="","",(IF(الموظفون!$X97&lt;&gt;"",الموظفون!$X97,IF(الموظفون!$E97="غير سعودي",cfg_IQ,0))+IF(الموظفون!$Y97&lt;&gt;"",الموظفون!$Y97,IF(الموظفون!$E97="غير سعودي",cfg_WP,0)))/12*G97/cfg_DAYS_M)</f>
        <v/>
      </c>
      <c r="AE97" s="116" t="str">
        <f aca="false">IF($B97="","",IF(الموظفون!$Z97&lt;&gt;"",الموظفون!$Z97,cfg_MED)/12*G97/cfg_DAYS_M)</f>
        <v/>
      </c>
      <c r="AF97" s="116" t="str">
        <f aca="false">IF($B97="","",N(الموظفون!$AA97)/12*G97/cfg_DAYS_M)</f>
        <v/>
      </c>
      <c r="AG97" s="159" t="str">
        <f aca="false">IF($B97="","",T97+SUM(Z97:AF97))</f>
        <v/>
      </c>
      <c r="AH97" s="160" t="str">
        <f aca="false">IF($B97="","",MAX(0,IF(OR(الموظفون!$AE97="",الموظفون!$AE97&gt;$F$3),$F$3,الموظفون!$AE97)-الموظفون!$H97+1-SUMIFS('سجل الإجازات والحالات'!$AO$6:$AO$505,'سجل الإجازات والحالات'!$B$6:$B$505,$B97))/cfg_DAYS_Y)</f>
        <v/>
      </c>
      <c r="AI97" s="160" t="str">
        <f aca="false">IF($B97="","",MAX(0,IF(OR(الموظفون!$AE97="",الموظفون!$AE97&gt;($E$3-1)),($E$3-1),الموظفون!$AE97)-الموظفون!$H97+1-SUMIFS('سجل الإجازات والحالات'!$AN$6:$AN$505,'سجل الإجازات والحالات'!$B$6:$B$505,$B97))/cfg_DAYS_Y)</f>
        <v/>
      </c>
      <c r="AJ97" s="133" t="str">
        <f aca="false">IF($B97="","",MAX(0,AK97-(SUMIFS('سجل الإجازات والحالات'!$AO$6:$AO$505,'سجل الإجازات والحالات'!$B$6:$B$505,$B97)-SUMIFS('سجل الإجازات والحالات'!$AN$6:$AN$505,'سجل الإجازات والحالات'!$B$6:$B$505,$B97))))</f>
        <v/>
      </c>
      <c r="AK97" s="133" t="str">
        <f aca="false">IF($B97="","",MAX(0,IF(OR(الموظفون!$AE97="",الموظفون!$AE97&gt;$F$3),$F$3,الموظفون!$AE97)-MAX($E$3,الموظفون!$H97)+1))</f>
        <v/>
      </c>
      <c r="AL97" s="156" t="str">
        <f aca="false">IF($B97="","",SUMIFS('سجل الإجازات والحالات'!$BA$6:$BA$505,'سجل الإجازات والحالات'!$B$6:$B$505,$B97)+SUMIFS('الحركات الشهرية'!$K$6:$K$1005,'الحركات الشهرية'!$B$6:$B$1005,$B97,'الحركات الشهرية'!$A$6:$A$1005,$C$3))</f>
        <v/>
      </c>
      <c r="AM97" s="116" t="str">
        <f aca="false">IF($B97="","",AL97*الموظفون!$R97/cfg_DAYS_M+S97)</f>
        <v/>
      </c>
      <c r="AN97" s="156" t="str">
        <f aca="false">IF($B97="","",SUMIFS('سجل الإجازات والحالات'!$AC$6:$AC$505,'سجل الإجازات والحالات'!$B$6:$B$505,$B97))</f>
        <v/>
      </c>
    </row>
    <row r="98" customFormat="false" ht="15" hidden="false" customHeight="false" outlineLevel="0" collapsed="false">
      <c r="A98" s="106" t="str">
        <f aca="false">IF($B98="","",الموظفون!$A98)</f>
        <v/>
      </c>
      <c r="B98" s="114" t="str">
        <f aca="false">IF(الموظفون!$B98="","",الموظفون!$B98)</f>
        <v/>
      </c>
      <c r="C98" s="114" t="str">
        <f aca="false">IF($B98="","",الموظفون!$C98)</f>
        <v/>
      </c>
      <c r="D98" s="114" t="str">
        <f aca="false">IF($B98="","",الموظفون!$F98)</f>
        <v/>
      </c>
      <c r="E98" s="114" t="str">
        <f aca="false">IF($B98="","",الموظفون!$E98)</f>
        <v/>
      </c>
      <c r="F98" s="114" t="str">
        <f aca="false">IF($B98="","",IF(AK98=0,IF(AND(الموظفون!$AE98&lt;&gt;"",الموظفون!$AE98&lt;$E$3),"✖ منتهي الخدمة","⏳ لم يباشر"),IF(S98&gt;0,"✈ راتب إجازة مقدم",IF(J98=0,"⛔ بدون راتب هذا الشهر",IF(I98&gt;0,"✈ خصم "&amp;ROUND(I98,2)&amp;" يوم بدون أجر",IF(AL98&gt;0,"🌴 إجازة سنوية "&amp;ROUND(AL98,2)&amp;" يوم",IF(H98&gt;0,"⚠ غياب "&amp;ROUND(H98,2)&amp;" يوم","✔ على رأس العمل")))))))</f>
        <v/>
      </c>
      <c r="G98" s="151" t="str">
        <f aca="false">IF($B98="","",IF(AK98&gt;=DAY($F$3),cfg_DAYS_M,MIN(AK98,cfg_DAYS_M)))</f>
        <v/>
      </c>
      <c r="H98" s="151" t="str">
        <f aca="false">IF($B98="","",SUMIFS('الحركات الشهرية'!$D$6:$D$1005,'الحركات الشهرية'!$B$6:$B$1005,$B98,'الحركات الشهرية'!$A$6:$A$1005,$C$3))</f>
        <v/>
      </c>
      <c r="I98" s="151" t="str">
        <f aca="false">IF($B98="","",MIN(G98,IF(AND(AK98&gt;0,AN98&gt;=AK98),G98,AN98)+SUMIFS('الحركات الشهرية'!$E$6:$E$1005,'الحركات الشهرية'!$B$6:$B$1005,$B98,'الحركات الشهرية'!$A$6:$A$1005,$C$3)))</f>
        <v/>
      </c>
      <c r="J98" s="151" t="str">
        <f aca="false">IF($B98="","",MAX(0,G98-H98-I98))</f>
        <v/>
      </c>
      <c r="K98" s="111" t="str">
        <f aca="false">IF($B98="","",الموظفون!$L98*$J98/cfg_DAYS_M)</f>
        <v/>
      </c>
      <c r="L98" s="111" t="str">
        <f aca="false">IF($B98="","",الموظفون!$M98*$J98/cfg_DAYS_M)</f>
        <v/>
      </c>
      <c r="M98" s="111" t="str">
        <f aca="false">IF($B98="","",الموظفون!$N98*$J98/cfg_DAYS_M)</f>
        <v/>
      </c>
      <c r="N98" s="111" t="str">
        <f aca="false">IF($B98="","",الموظفون!$O98*$J98/cfg_DAYS_M)</f>
        <v/>
      </c>
      <c r="O98" s="151" t="str">
        <f aca="false">IF($B98="","",SUMIFS('الحركات الشهرية'!$F$6:$F$1005,'الحركات الشهرية'!$B$6:$B$1005,$B98,'الحركات الشهرية'!$A$6:$A$1005,$C$3))</f>
        <v/>
      </c>
      <c r="P98" s="111" t="str">
        <f aca="false">IF($B98="","",O98*(الموظفون!$P98+الموظفون!$L98*cfg_OT_P)/cfg_DAYS_M/cfg_HRS)</f>
        <v/>
      </c>
      <c r="Q98" s="111" t="str">
        <f aca="false">IF($B98="","",SUMIFS('الحركات الشهرية'!$G$6:$G$1005,'الحركات الشهرية'!$B$6:$B$1005,$B98,'الحركات الشهرية'!$A$6:$A$1005,$C$3))</f>
        <v/>
      </c>
      <c r="R98" s="111" t="str">
        <f aca="false">IF($B98="","",SUMIFS('الحركات الشهرية'!$H$6:$H$1005,'الحركات الشهرية'!$B$6:$B$1005,$B98,'الحركات الشهرية'!$A$6:$A$1005,$C$3))</f>
        <v/>
      </c>
      <c r="S98" s="111" t="str">
        <f aca="false">IF($B98="","",SUMIFS('سجل الإجازات والحالات'!$N$6:$N$505,'سجل الإجازات والحالات'!$B$6:$B$505,$B98,'سجل الإجازات والحالات'!$O$6:$O$505,$C$3))</f>
        <v/>
      </c>
      <c r="T98" s="152" t="str">
        <f aca="false">IF($B98="","",SUM(K98:N98)+SUM(P98:S98))</f>
        <v/>
      </c>
      <c r="U98" s="111" t="str">
        <f aca="false">IF($B98="","",الموظفون!$S98*IF(E98="سعودي",cfg_G_SE,cfg_G_NE)*G98/cfg_DAYS_M)</f>
        <v/>
      </c>
      <c r="V98" s="111" t="str">
        <f aca="false">IF($B98="","",SUMIFS('الحركات الشهرية'!$I$6:$I$1005,'الحركات الشهرية'!$B$6:$B$1005,$B98,'الحركات الشهرية'!$A$6:$A$1005,$C$3))</f>
        <v/>
      </c>
      <c r="W98" s="111" t="str">
        <f aca="false">IF($B98="","",SUMIFS('الحركات الشهرية'!$J$6:$J$1005,'الحركات الشهرية'!$B$6:$B$1005,$B98,'الحركات الشهرية'!$A$6:$A$1005,$C$3))</f>
        <v/>
      </c>
      <c r="X98" s="111" t="str">
        <f aca="false">IF($B98="","",SUM(U98:W98))</f>
        <v/>
      </c>
      <c r="Y98" s="153" t="str">
        <f aca="false">IF($B98="","",T98-X98)</f>
        <v/>
      </c>
      <c r="Z98" s="111" t="str">
        <f aca="false">IF($B98="","",الموظفون!$S98*IF(E98="سعودي",cfg_G_SR,cfg_G_NR)*G98/cfg_DAYS_M)</f>
        <v/>
      </c>
      <c r="AA98" s="111" t="str">
        <f aca="false">IF($B98="","",الموظفون!$Q98*(cfg_EOS_R1*(MIN(AH98,cfg_EOS_TH)-MIN(AI98,cfg_EOS_TH))+cfg_EOS_R2*(MAX(AH98-cfg_EOS_TH,0)-MAX(AI98-cfg_EOS_TH,0))))</f>
        <v/>
      </c>
      <c r="AB98" s="111" t="str">
        <f aca="false">IF($B98="","",IF(الموظفون!$T98&lt;&gt;"",الموظفون!$T98,IF(AH98&gt;=cfg_LV_TH,cfg_LV_D2,cfg_LV_D1))/cfg_DAYS_Y*AJ98*الموظفون!$R98/cfg_DAYS_M)</f>
        <v/>
      </c>
      <c r="AC98" s="111" t="str">
        <f aca="false">IF($B98="","",IF(AND(الموظفون!$U98="نعم",N(الموظفون!$W98)&gt;0),الموظفون!$V98/الموظفون!$W98*12/cfg_DAYS_Y*AJ98,0))</f>
        <v/>
      </c>
      <c r="AD98" s="111" t="str">
        <f aca="false">IF($B98="","",(IF(الموظفون!$X98&lt;&gt;"",الموظفون!$X98,IF(الموظفون!$E98="غير سعودي",cfg_IQ,0))+IF(الموظفون!$Y98&lt;&gt;"",الموظفون!$Y98,IF(الموظفون!$E98="غير سعودي",cfg_WP,0)))/12*G98/cfg_DAYS_M)</f>
        <v/>
      </c>
      <c r="AE98" s="111" t="str">
        <f aca="false">IF($B98="","",IF(الموظفون!$Z98&lt;&gt;"",الموظفون!$Z98,cfg_MED)/12*G98/cfg_DAYS_M)</f>
        <v/>
      </c>
      <c r="AF98" s="111" t="str">
        <f aca="false">IF($B98="","",N(الموظفون!$AA98)/12*G98/cfg_DAYS_M)</f>
        <v/>
      </c>
      <c r="AG98" s="154" t="str">
        <f aca="false">IF($B98="","",T98+SUM(Z98:AF98))</f>
        <v/>
      </c>
      <c r="AH98" s="155" t="str">
        <f aca="false">IF($B98="","",MAX(0,IF(OR(الموظفون!$AE98="",الموظفون!$AE98&gt;$F$3),$F$3,الموظفون!$AE98)-الموظفون!$H98+1-SUMIFS('سجل الإجازات والحالات'!$AO$6:$AO$505,'سجل الإجازات والحالات'!$B$6:$B$505,$B98))/cfg_DAYS_Y)</f>
        <v/>
      </c>
      <c r="AI98" s="155" t="str">
        <f aca="false">IF($B98="","",MAX(0,IF(OR(الموظفون!$AE98="",الموظفون!$AE98&gt;($E$3-1)),($E$3-1),الموظفون!$AE98)-الموظفون!$H98+1-SUMIFS('سجل الإجازات والحالات'!$AN$6:$AN$505,'سجل الإجازات والحالات'!$B$6:$B$505,$B98))/cfg_DAYS_Y)</f>
        <v/>
      </c>
      <c r="AJ98" s="65" t="str">
        <f aca="false">IF($B98="","",MAX(0,AK98-(SUMIFS('سجل الإجازات والحالات'!$AO$6:$AO$505,'سجل الإجازات والحالات'!$B$6:$B$505,$B98)-SUMIFS('سجل الإجازات والحالات'!$AN$6:$AN$505,'سجل الإجازات والحالات'!$B$6:$B$505,$B98))))</f>
        <v/>
      </c>
      <c r="AK98" s="65" t="str">
        <f aca="false">IF($B98="","",MAX(0,IF(OR(الموظفون!$AE98="",الموظفون!$AE98&gt;$F$3),$F$3,الموظفون!$AE98)-MAX($E$3,الموظفون!$H98)+1))</f>
        <v/>
      </c>
      <c r="AL98" s="151" t="str">
        <f aca="false">IF($B98="","",SUMIFS('سجل الإجازات والحالات'!$BA$6:$BA$505,'سجل الإجازات والحالات'!$B$6:$B$505,$B98)+SUMIFS('الحركات الشهرية'!$K$6:$K$1005,'الحركات الشهرية'!$B$6:$B$1005,$B98,'الحركات الشهرية'!$A$6:$A$1005,$C$3))</f>
        <v/>
      </c>
      <c r="AM98" s="111" t="str">
        <f aca="false">IF($B98="","",AL98*الموظفون!$R98/cfg_DAYS_M+S98)</f>
        <v/>
      </c>
      <c r="AN98" s="151" t="str">
        <f aca="false">IF($B98="","",SUMIFS('سجل الإجازات والحالات'!$AC$6:$AC$505,'سجل الإجازات والحالات'!$B$6:$B$505,$B98))</f>
        <v/>
      </c>
    </row>
    <row r="99" customFormat="false" ht="15" hidden="false" customHeight="false" outlineLevel="0" collapsed="false">
      <c r="A99" s="115" t="str">
        <f aca="false">IF($B99="","",الموظفون!$A99)</f>
        <v/>
      </c>
      <c r="B99" s="117" t="str">
        <f aca="false">IF(الموظفون!$B99="","",الموظفون!$B99)</f>
        <v/>
      </c>
      <c r="C99" s="117" t="str">
        <f aca="false">IF($B99="","",الموظفون!$C99)</f>
        <v/>
      </c>
      <c r="D99" s="117" t="str">
        <f aca="false">IF($B99="","",الموظفون!$F99)</f>
        <v/>
      </c>
      <c r="E99" s="117" t="str">
        <f aca="false">IF($B99="","",الموظفون!$E99)</f>
        <v/>
      </c>
      <c r="F99" s="117" t="str">
        <f aca="false">IF($B99="","",IF(AK99=0,IF(AND(الموظفون!$AE99&lt;&gt;"",الموظفون!$AE99&lt;$E$3),"✖ منتهي الخدمة","⏳ لم يباشر"),IF(S99&gt;0,"✈ راتب إجازة مقدم",IF(J99=0,"⛔ بدون راتب هذا الشهر",IF(I99&gt;0,"✈ خصم "&amp;ROUND(I99,2)&amp;" يوم بدون أجر",IF(AL99&gt;0,"🌴 إجازة سنوية "&amp;ROUND(AL99,2)&amp;" يوم",IF(H99&gt;0,"⚠ غياب "&amp;ROUND(H99,2)&amp;" يوم","✔ على رأس العمل")))))))</f>
        <v/>
      </c>
      <c r="G99" s="156" t="str">
        <f aca="false">IF($B99="","",IF(AK99&gt;=DAY($F$3),cfg_DAYS_M,MIN(AK99,cfg_DAYS_M)))</f>
        <v/>
      </c>
      <c r="H99" s="156" t="str">
        <f aca="false">IF($B99="","",SUMIFS('الحركات الشهرية'!$D$6:$D$1005,'الحركات الشهرية'!$B$6:$B$1005,$B99,'الحركات الشهرية'!$A$6:$A$1005,$C$3))</f>
        <v/>
      </c>
      <c r="I99" s="156" t="str">
        <f aca="false">IF($B99="","",MIN(G99,IF(AND(AK99&gt;0,AN99&gt;=AK99),G99,AN99)+SUMIFS('الحركات الشهرية'!$E$6:$E$1005,'الحركات الشهرية'!$B$6:$B$1005,$B99,'الحركات الشهرية'!$A$6:$A$1005,$C$3)))</f>
        <v/>
      </c>
      <c r="J99" s="156" t="str">
        <f aca="false">IF($B99="","",MAX(0,G99-H99-I99))</f>
        <v/>
      </c>
      <c r="K99" s="116" t="str">
        <f aca="false">IF($B99="","",الموظفون!$L99*$J99/cfg_DAYS_M)</f>
        <v/>
      </c>
      <c r="L99" s="116" t="str">
        <f aca="false">IF($B99="","",الموظفون!$M99*$J99/cfg_DAYS_M)</f>
        <v/>
      </c>
      <c r="M99" s="116" t="str">
        <f aca="false">IF($B99="","",الموظفون!$N99*$J99/cfg_DAYS_M)</f>
        <v/>
      </c>
      <c r="N99" s="116" t="str">
        <f aca="false">IF($B99="","",الموظفون!$O99*$J99/cfg_DAYS_M)</f>
        <v/>
      </c>
      <c r="O99" s="156" t="str">
        <f aca="false">IF($B99="","",SUMIFS('الحركات الشهرية'!$F$6:$F$1005,'الحركات الشهرية'!$B$6:$B$1005,$B99,'الحركات الشهرية'!$A$6:$A$1005,$C$3))</f>
        <v/>
      </c>
      <c r="P99" s="116" t="str">
        <f aca="false">IF($B99="","",O99*(الموظفون!$P99+الموظفون!$L99*cfg_OT_P)/cfg_DAYS_M/cfg_HRS)</f>
        <v/>
      </c>
      <c r="Q99" s="116" t="str">
        <f aca="false">IF($B99="","",SUMIFS('الحركات الشهرية'!$G$6:$G$1005,'الحركات الشهرية'!$B$6:$B$1005,$B99,'الحركات الشهرية'!$A$6:$A$1005,$C$3))</f>
        <v/>
      </c>
      <c r="R99" s="116" t="str">
        <f aca="false">IF($B99="","",SUMIFS('الحركات الشهرية'!$H$6:$H$1005,'الحركات الشهرية'!$B$6:$B$1005,$B99,'الحركات الشهرية'!$A$6:$A$1005,$C$3))</f>
        <v/>
      </c>
      <c r="S99" s="116" t="str">
        <f aca="false">IF($B99="","",SUMIFS('سجل الإجازات والحالات'!$N$6:$N$505,'سجل الإجازات والحالات'!$B$6:$B$505,$B99,'سجل الإجازات والحالات'!$O$6:$O$505,$C$3))</f>
        <v/>
      </c>
      <c r="T99" s="157" t="str">
        <f aca="false">IF($B99="","",SUM(K99:N99)+SUM(P99:S99))</f>
        <v/>
      </c>
      <c r="U99" s="116" t="str">
        <f aca="false">IF($B99="","",الموظفون!$S99*IF(E99="سعودي",cfg_G_SE,cfg_G_NE)*G99/cfg_DAYS_M)</f>
        <v/>
      </c>
      <c r="V99" s="116" t="str">
        <f aca="false">IF($B99="","",SUMIFS('الحركات الشهرية'!$I$6:$I$1005,'الحركات الشهرية'!$B$6:$B$1005,$B99,'الحركات الشهرية'!$A$6:$A$1005,$C$3))</f>
        <v/>
      </c>
      <c r="W99" s="116" t="str">
        <f aca="false">IF($B99="","",SUMIFS('الحركات الشهرية'!$J$6:$J$1005,'الحركات الشهرية'!$B$6:$B$1005,$B99,'الحركات الشهرية'!$A$6:$A$1005,$C$3))</f>
        <v/>
      </c>
      <c r="X99" s="116" t="str">
        <f aca="false">IF($B99="","",SUM(U99:W99))</f>
        <v/>
      </c>
      <c r="Y99" s="158" t="str">
        <f aca="false">IF($B99="","",T99-X99)</f>
        <v/>
      </c>
      <c r="Z99" s="116" t="str">
        <f aca="false">IF($B99="","",الموظفون!$S99*IF(E99="سعودي",cfg_G_SR,cfg_G_NR)*G99/cfg_DAYS_M)</f>
        <v/>
      </c>
      <c r="AA99" s="116" t="str">
        <f aca="false">IF($B99="","",الموظفون!$Q99*(cfg_EOS_R1*(MIN(AH99,cfg_EOS_TH)-MIN(AI99,cfg_EOS_TH))+cfg_EOS_R2*(MAX(AH99-cfg_EOS_TH,0)-MAX(AI99-cfg_EOS_TH,0))))</f>
        <v/>
      </c>
      <c r="AB99" s="116" t="str">
        <f aca="false">IF($B99="","",IF(الموظفون!$T99&lt;&gt;"",الموظفون!$T99,IF(AH99&gt;=cfg_LV_TH,cfg_LV_D2,cfg_LV_D1))/cfg_DAYS_Y*AJ99*الموظفون!$R99/cfg_DAYS_M)</f>
        <v/>
      </c>
      <c r="AC99" s="116" t="str">
        <f aca="false">IF($B99="","",IF(AND(الموظفون!$U99="نعم",N(الموظفون!$W99)&gt;0),الموظفون!$V99/الموظفون!$W99*12/cfg_DAYS_Y*AJ99,0))</f>
        <v/>
      </c>
      <c r="AD99" s="116" t="str">
        <f aca="false">IF($B99="","",(IF(الموظفون!$X99&lt;&gt;"",الموظفون!$X99,IF(الموظفون!$E99="غير سعودي",cfg_IQ,0))+IF(الموظفون!$Y99&lt;&gt;"",الموظفون!$Y99,IF(الموظفون!$E99="غير سعودي",cfg_WP,0)))/12*G99/cfg_DAYS_M)</f>
        <v/>
      </c>
      <c r="AE99" s="116" t="str">
        <f aca="false">IF($B99="","",IF(الموظفون!$Z99&lt;&gt;"",الموظفون!$Z99,cfg_MED)/12*G99/cfg_DAYS_M)</f>
        <v/>
      </c>
      <c r="AF99" s="116" t="str">
        <f aca="false">IF($B99="","",N(الموظفون!$AA99)/12*G99/cfg_DAYS_M)</f>
        <v/>
      </c>
      <c r="AG99" s="159" t="str">
        <f aca="false">IF($B99="","",T99+SUM(Z99:AF99))</f>
        <v/>
      </c>
      <c r="AH99" s="160" t="str">
        <f aca="false">IF($B99="","",MAX(0,IF(OR(الموظفون!$AE99="",الموظفون!$AE99&gt;$F$3),$F$3,الموظفون!$AE99)-الموظفون!$H99+1-SUMIFS('سجل الإجازات والحالات'!$AO$6:$AO$505,'سجل الإجازات والحالات'!$B$6:$B$505,$B99))/cfg_DAYS_Y)</f>
        <v/>
      </c>
      <c r="AI99" s="160" t="str">
        <f aca="false">IF($B99="","",MAX(0,IF(OR(الموظفون!$AE99="",الموظفون!$AE99&gt;($E$3-1)),($E$3-1),الموظفون!$AE99)-الموظفون!$H99+1-SUMIFS('سجل الإجازات والحالات'!$AN$6:$AN$505,'سجل الإجازات والحالات'!$B$6:$B$505,$B99))/cfg_DAYS_Y)</f>
        <v/>
      </c>
      <c r="AJ99" s="133" t="str">
        <f aca="false">IF($B99="","",MAX(0,AK99-(SUMIFS('سجل الإجازات والحالات'!$AO$6:$AO$505,'سجل الإجازات والحالات'!$B$6:$B$505,$B99)-SUMIFS('سجل الإجازات والحالات'!$AN$6:$AN$505,'سجل الإجازات والحالات'!$B$6:$B$505,$B99))))</f>
        <v/>
      </c>
      <c r="AK99" s="133" t="str">
        <f aca="false">IF($B99="","",MAX(0,IF(OR(الموظفون!$AE99="",الموظفون!$AE99&gt;$F$3),$F$3,الموظفون!$AE99)-MAX($E$3,الموظفون!$H99)+1))</f>
        <v/>
      </c>
      <c r="AL99" s="156" t="str">
        <f aca="false">IF($B99="","",SUMIFS('سجل الإجازات والحالات'!$BA$6:$BA$505,'سجل الإجازات والحالات'!$B$6:$B$505,$B99)+SUMIFS('الحركات الشهرية'!$K$6:$K$1005,'الحركات الشهرية'!$B$6:$B$1005,$B99,'الحركات الشهرية'!$A$6:$A$1005,$C$3))</f>
        <v/>
      </c>
      <c r="AM99" s="116" t="str">
        <f aca="false">IF($B99="","",AL99*الموظفون!$R99/cfg_DAYS_M+S99)</f>
        <v/>
      </c>
      <c r="AN99" s="156" t="str">
        <f aca="false">IF($B99="","",SUMIFS('سجل الإجازات والحالات'!$AC$6:$AC$505,'سجل الإجازات والحالات'!$B$6:$B$505,$B99))</f>
        <v/>
      </c>
    </row>
    <row r="100" customFormat="false" ht="15" hidden="false" customHeight="false" outlineLevel="0" collapsed="false">
      <c r="A100" s="106" t="str">
        <f aca="false">IF($B100="","",الموظفون!$A100)</f>
        <v/>
      </c>
      <c r="B100" s="114" t="str">
        <f aca="false">IF(الموظفون!$B100="","",الموظفون!$B100)</f>
        <v/>
      </c>
      <c r="C100" s="114" t="str">
        <f aca="false">IF($B100="","",الموظفون!$C100)</f>
        <v/>
      </c>
      <c r="D100" s="114" t="str">
        <f aca="false">IF($B100="","",الموظفون!$F100)</f>
        <v/>
      </c>
      <c r="E100" s="114" t="str">
        <f aca="false">IF($B100="","",الموظفون!$E100)</f>
        <v/>
      </c>
      <c r="F100" s="114" t="str">
        <f aca="false">IF($B100="","",IF(AK100=0,IF(AND(الموظفون!$AE100&lt;&gt;"",الموظفون!$AE100&lt;$E$3),"✖ منتهي الخدمة","⏳ لم يباشر"),IF(S100&gt;0,"✈ راتب إجازة مقدم",IF(J100=0,"⛔ بدون راتب هذا الشهر",IF(I100&gt;0,"✈ خصم "&amp;ROUND(I100,2)&amp;" يوم بدون أجر",IF(AL100&gt;0,"🌴 إجازة سنوية "&amp;ROUND(AL100,2)&amp;" يوم",IF(H100&gt;0,"⚠ غياب "&amp;ROUND(H100,2)&amp;" يوم","✔ على رأس العمل")))))))</f>
        <v/>
      </c>
      <c r="G100" s="151" t="str">
        <f aca="false">IF($B100="","",IF(AK100&gt;=DAY($F$3),cfg_DAYS_M,MIN(AK100,cfg_DAYS_M)))</f>
        <v/>
      </c>
      <c r="H100" s="151" t="str">
        <f aca="false">IF($B100="","",SUMIFS('الحركات الشهرية'!$D$6:$D$1005,'الحركات الشهرية'!$B$6:$B$1005,$B100,'الحركات الشهرية'!$A$6:$A$1005,$C$3))</f>
        <v/>
      </c>
      <c r="I100" s="151" t="str">
        <f aca="false">IF($B100="","",MIN(G100,IF(AND(AK100&gt;0,AN100&gt;=AK100),G100,AN100)+SUMIFS('الحركات الشهرية'!$E$6:$E$1005,'الحركات الشهرية'!$B$6:$B$1005,$B100,'الحركات الشهرية'!$A$6:$A$1005,$C$3)))</f>
        <v/>
      </c>
      <c r="J100" s="151" t="str">
        <f aca="false">IF($B100="","",MAX(0,G100-H100-I100))</f>
        <v/>
      </c>
      <c r="K100" s="111" t="str">
        <f aca="false">IF($B100="","",الموظفون!$L100*$J100/cfg_DAYS_M)</f>
        <v/>
      </c>
      <c r="L100" s="111" t="str">
        <f aca="false">IF($B100="","",الموظفون!$M100*$J100/cfg_DAYS_M)</f>
        <v/>
      </c>
      <c r="M100" s="111" t="str">
        <f aca="false">IF($B100="","",الموظفون!$N100*$J100/cfg_DAYS_M)</f>
        <v/>
      </c>
      <c r="N100" s="111" t="str">
        <f aca="false">IF($B100="","",الموظفون!$O100*$J100/cfg_DAYS_M)</f>
        <v/>
      </c>
      <c r="O100" s="151" t="str">
        <f aca="false">IF($B100="","",SUMIFS('الحركات الشهرية'!$F$6:$F$1005,'الحركات الشهرية'!$B$6:$B$1005,$B100,'الحركات الشهرية'!$A$6:$A$1005,$C$3))</f>
        <v/>
      </c>
      <c r="P100" s="111" t="str">
        <f aca="false">IF($B100="","",O100*(الموظفون!$P100+الموظفون!$L100*cfg_OT_P)/cfg_DAYS_M/cfg_HRS)</f>
        <v/>
      </c>
      <c r="Q100" s="111" t="str">
        <f aca="false">IF($B100="","",SUMIFS('الحركات الشهرية'!$G$6:$G$1005,'الحركات الشهرية'!$B$6:$B$1005,$B100,'الحركات الشهرية'!$A$6:$A$1005,$C$3))</f>
        <v/>
      </c>
      <c r="R100" s="111" t="str">
        <f aca="false">IF($B100="","",SUMIFS('الحركات الشهرية'!$H$6:$H$1005,'الحركات الشهرية'!$B$6:$B$1005,$B100,'الحركات الشهرية'!$A$6:$A$1005,$C$3))</f>
        <v/>
      </c>
      <c r="S100" s="111" t="str">
        <f aca="false">IF($B100="","",SUMIFS('سجل الإجازات والحالات'!$N$6:$N$505,'سجل الإجازات والحالات'!$B$6:$B$505,$B100,'سجل الإجازات والحالات'!$O$6:$O$505,$C$3))</f>
        <v/>
      </c>
      <c r="T100" s="152" t="str">
        <f aca="false">IF($B100="","",SUM(K100:N100)+SUM(P100:S100))</f>
        <v/>
      </c>
      <c r="U100" s="111" t="str">
        <f aca="false">IF($B100="","",الموظفون!$S100*IF(E100="سعودي",cfg_G_SE,cfg_G_NE)*G100/cfg_DAYS_M)</f>
        <v/>
      </c>
      <c r="V100" s="111" t="str">
        <f aca="false">IF($B100="","",SUMIFS('الحركات الشهرية'!$I$6:$I$1005,'الحركات الشهرية'!$B$6:$B$1005,$B100,'الحركات الشهرية'!$A$6:$A$1005,$C$3))</f>
        <v/>
      </c>
      <c r="W100" s="111" t="str">
        <f aca="false">IF($B100="","",SUMIFS('الحركات الشهرية'!$J$6:$J$1005,'الحركات الشهرية'!$B$6:$B$1005,$B100,'الحركات الشهرية'!$A$6:$A$1005,$C$3))</f>
        <v/>
      </c>
      <c r="X100" s="111" t="str">
        <f aca="false">IF($B100="","",SUM(U100:W100))</f>
        <v/>
      </c>
      <c r="Y100" s="153" t="str">
        <f aca="false">IF($B100="","",T100-X100)</f>
        <v/>
      </c>
      <c r="Z100" s="111" t="str">
        <f aca="false">IF($B100="","",الموظفون!$S100*IF(E100="سعودي",cfg_G_SR,cfg_G_NR)*G100/cfg_DAYS_M)</f>
        <v/>
      </c>
      <c r="AA100" s="111" t="str">
        <f aca="false">IF($B100="","",الموظفون!$Q100*(cfg_EOS_R1*(MIN(AH100,cfg_EOS_TH)-MIN(AI100,cfg_EOS_TH))+cfg_EOS_R2*(MAX(AH100-cfg_EOS_TH,0)-MAX(AI100-cfg_EOS_TH,0))))</f>
        <v/>
      </c>
      <c r="AB100" s="111" t="str">
        <f aca="false">IF($B100="","",IF(الموظفون!$T100&lt;&gt;"",الموظفون!$T100,IF(AH100&gt;=cfg_LV_TH,cfg_LV_D2,cfg_LV_D1))/cfg_DAYS_Y*AJ100*الموظفون!$R100/cfg_DAYS_M)</f>
        <v/>
      </c>
      <c r="AC100" s="111" t="str">
        <f aca="false">IF($B100="","",IF(AND(الموظفون!$U100="نعم",N(الموظفون!$W100)&gt;0),الموظفون!$V100/الموظفون!$W100*12/cfg_DAYS_Y*AJ100,0))</f>
        <v/>
      </c>
      <c r="AD100" s="111" t="str">
        <f aca="false">IF($B100="","",(IF(الموظفون!$X100&lt;&gt;"",الموظفون!$X100,IF(الموظفون!$E100="غير سعودي",cfg_IQ,0))+IF(الموظفون!$Y100&lt;&gt;"",الموظفون!$Y100,IF(الموظفون!$E100="غير سعودي",cfg_WP,0)))/12*G100/cfg_DAYS_M)</f>
        <v/>
      </c>
      <c r="AE100" s="111" t="str">
        <f aca="false">IF($B100="","",IF(الموظفون!$Z100&lt;&gt;"",الموظفون!$Z100,cfg_MED)/12*G100/cfg_DAYS_M)</f>
        <v/>
      </c>
      <c r="AF100" s="111" t="str">
        <f aca="false">IF($B100="","",N(الموظفون!$AA100)/12*G100/cfg_DAYS_M)</f>
        <v/>
      </c>
      <c r="AG100" s="154" t="str">
        <f aca="false">IF($B100="","",T100+SUM(Z100:AF100))</f>
        <v/>
      </c>
      <c r="AH100" s="155" t="str">
        <f aca="false">IF($B100="","",MAX(0,IF(OR(الموظفون!$AE100="",الموظفون!$AE100&gt;$F$3),$F$3,الموظفون!$AE100)-الموظفون!$H100+1-SUMIFS('سجل الإجازات والحالات'!$AO$6:$AO$505,'سجل الإجازات والحالات'!$B$6:$B$505,$B100))/cfg_DAYS_Y)</f>
        <v/>
      </c>
      <c r="AI100" s="155" t="str">
        <f aca="false">IF($B100="","",MAX(0,IF(OR(الموظفون!$AE100="",الموظفون!$AE100&gt;($E$3-1)),($E$3-1),الموظفون!$AE100)-الموظفون!$H100+1-SUMIFS('سجل الإجازات والحالات'!$AN$6:$AN$505,'سجل الإجازات والحالات'!$B$6:$B$505,$B100))/cfg_DAYS_Y)</f>
        <v/>
      </c>
      <c r="AJ100" s="65" t="str">
        <f aca="false">IF($B100="","",MAX(0,AK100-(SUMIFS('سجل الإجازات والحالات'!$AO$6:$AO$505,'سجل الإجازات والحالات'!$B$6:$B$505,$B100)-SUMIFS('سجل الإجازات والحالات'!$AN$6:$AN$505,'سجل الإجازات والحالات'!$B$6:$B$505,$B100))))</f>
        <v/>
      </c>
      <c r="AK100" s="65" t="str">
        <f aca="false">IF($B100="","",MAX(0,IF(OR(الموظفون!$AE100="",الموظفون!$AE100&gt;$F$3),$F$3,الموظفون!$AE100)-MAX($E$3,الموظفون!$H100)+1))</f>
        <v/>
      </c>
      <c r="AL100" s="151" t="str">
        <f aca="false">IF($B100="","",SUMIFS('سجل الإجازات والحالات'!$BA$6:$BA$505,'سجل الإجازات والحالات'!$B$6:$B$505,$B100)+SUMIFS('الحركات الشهرية'!$K$6:$K$1005,'الحركات الشهرية'!$B$6:$B$1005,$B100,'الحركات الشهرية'!$A$6:$A$1005,$C$3))</f>
        <v/>
      </c>
      <c r="AM100" s="111" t="str">
        <f aca="false">IF($B100="","",AL100*الموظفون!$R100/cfg_DAYS_M+S100)</f>
        <v/>
      </c>
      <c r="AN100" s="151" t="str">
        <f aca="false">IF($B100="","",SUMIFS('سجل الإجازات والحالات'!$AC$6:$AC$505,'سجل الإجازات والحالات'!$B$6:$B$505,$B100))</f>
        <v/>
      </c>
    </row>
    <row r="101" customFormat="false" ht="15" hidden="false" customHeight="false" outlineLevel="0" collapsed="false">
      <c r="A101" s="115" t="str">
        <f aca="false">IF($B101="","",الموظفون!$A101)</f>
        <v/>
      </c>
      <c r="B101" s="117" t="str">
        <f aca="false">IF(الموظفون!$B101="","",الموظفون!$B101)</f>
        <v/>
      </c>
      <c r="C101" s="117" t="str">
        <f aca="false">IF($B101="","",الموظفون!$C101)</f>
        <v/>
      </c>
      <c r="D101" s="117" t="str">
        <f aca="false">IF($B101="","",الموظفون!$F101)</f>
        <v/>
      </c>
      <c r="E101" s="117" t="str">
        <f aca="false">IF($B101="","",الموظفون!$E101)</f>
        <v/>
      </c>
      <c r="F101" s="117" t="str">
        <f aca="false">IF($B101="","",IF(AK101=0,IF(AND(الموظفون!$AE101&lt;&gt;"",الموظفون!$AE101&lt;$E$3),"✖ منتهي الخدمة","⏳ لم يباشر"),IF(S101&gt;0,"✈ راتب إجازة مقدم",IF(J101=0,"⛔ بدون راتب هذا الشهر",IF(I101&gt;0,"✈ خصم "&amp;ROUND(I101,2)&amp;" يوم بدون أجر",IF(AL101&gt;0,"🌴 إجازة سنوية "&amp;ROUND(AL101,2)&amp;" يوم",IF(H101&gt;0,"⚠ غياب "&amp;ROUND(H101,2)&amp;" يوم","✔ على رأس العمل")))))))</f>
        <v/>
      </c>
      <c r="G101" s="156" t="str">
        <f aca="false">IF($B101="","",IF(AK101&gt;=DAY($F$3),cfg_DAYS_M,MIN(AK101,cfg_DAYS_M)))</f>
        <v/>
      </c>
      <c r="H101" s="156" t="str">
        <f aca="false">IF($B101="","",SUMIFS('الحركات الشهرية'!$D$6:$D$1005,'الحركات الشهرية'!$B$6:$B$1005,$B101,'الحركات الشهرية'!$A$6:$A$1005,$C$3))</f>
        <v/>
      </c>
      <c r="I101" s="156" t="str">
        <f aca="false">IF($B101="","",MIN(G101,IF(AND(AK101&gt;0,AN101&gt;=AK101),G101,AN101)+SUMIFS('الحركات الشهرية'!$E$6:$E$1005,'الحركات الشهرية'!$B$6:$B$1005,$B101,'الحركات الشهرية'!$A$6:$A$1005,$C$3)))</f>
        <v/>
      </c>
      <c r="J101" s="156" t="str">
        <f aca="false">IF($B101="","",MAX(0,G101-H101-I101))</f>
        <v/>
      </c>
      <c r="K101" s="116" t="str">
        <f aca="false">IF($B101="","",الموظفون!$L101*$J101/cfg_DAYS_M)</f>
        <v/>
      </c>
      <c r="L101" s="116" t="str">
        <f aca="false">IF($B101="","",الموظفون!$M101*$J101/cfg_DAYS_M)</f>
        <v/>
      </c>
      <c r="M101" s="116" t="str">
        <f aca="false">IF($B101="","",الموظفون!$N101*$J101/cfg_DAYS_M)</f>
        <v/>
      </c>
      <c r="N101" s="116" t="str">
        <f aca="false">IF($B101="","",الموظفون!$O101*$J101/cfg_DAYS_M)</f>
        <v/>
      </c>
      <c r="O101" s="156" t="str">
        <f aca="false">IF($B101="","",SUMIFS('الحركات الشهرية'!$F$6:$F$1005,'الحركات الشهرية'!$B$6:$B$1005,$B101,'الحركات الشهرية'!$A$6:$A$1005,$C$3))</f>
        <v/>
      </c>
      <c r="P101" s="116" t="str">
        <f aca="false">IF($B101="","",O101*(الموظفون!$P101+الموظفون!$L101*cfg_OT_P)/cfg_DAYS_M/cfg_HRS)</f>
        <v/>
      </c>
      <c r="Q101" s="116" t="str">
        <f aca="false">IF($B101="","",SUMIFS('الحركات الشهرية'!$G$6:$G$1005,'الحركات الشهرية'!$B$6:$B$1005,$B101,'الحركات الشهرية'!$A$6:$A$1005,$C$3))</f>
        <v/>
      </c>
      <c r="R101" s="116" t="str">
        <f aca="false">IF($B101="","",SUMIFS('الحركات الشهرية'!$H$6:$H$1005,'الحركات الشهرية'!$B$6:$B$1005,$B101,'الحركات الشهرية'!$A$6:$A$1005,$C$3))</f>
        <v/>
      </c>
      <c r="S101" s="116" t="str">
        <f aca="false">IF($B101="","",SUMIFS('سجل الإجازات والحالات'!$N$6:$N$505,'سجل الإجازات والحالات'!$B$6:$B$505,$B101,'سجل الإجازات والحالات'!$O$6:$O$505,$C$3))</f>
        <v/>
      </c>
      <c r="T101" s="157" t="str">
        <f aca="false">IF($B101="","",SUM(K101:N101)+SUM(P101:S101))</f>
        <v/>
      </c>
      <c r="U101" s="116" t="str">
        <f aca="false">IF($B101="","",الموظفون!$S101*IF(E101="سعودي",cfg_G_SE,cfg_G_NE)*G101/cfg_DAYS_M)</f>
        <v/>
      </c>
      <c r="V101" s="116" t="str">
        <f aca="false">IF($B101="","",SUMIFS('الحركات الشهرية'!$I$6:$I$1005,'الحركات الشهرية'!$B$6:$B$1005,$B101,'الحركات الشهرية'!$A$6:$A$1005,$C$3))</f>
        <v/>
      </c>
      <c r="W101" s="116" t="str">
        <f aca="false">IF($B101="","",SUMIFS('الحركات الشهرية'!$J$6:$J$1005,'الحركات الشهرية'!$B$6:$B$1005,$B101,'الحركات الشهرية'!$A$6:$A$1005,$C$3))</f>
        <v/>
      </c>
      <c r="X101" s="116" t="str">
        <f aca="false">IF($B101="","",SUM(U101:W101))</f>
        <v/>
      </c>
      <c r="Y101" s="158" t="str">
        <f aca="false">IF($B101="","",T101-X101)</f>
        <v/>
      </c>
      <c r="Z101" s="116" t="str">
        <f aca="false">IF($B101="","",الموظفون!$S101*IF(E101="سعودي",cfg_G_SR,cfg_G_NR)*G101/cfg_DAYS_M)</f>
        <v/>
      </c>
      <c r="AA101" s="116" t="str">
        <f aca="false">IF($B101="","",الموظفون!$Q101*(cfg_EOS_R1*(MIN(AH101,cfg_EOS_TH)-MIN(AI101,cfg_EOS_TH))+cfg_EOS_R2*(MAX(AH101-cfg_EOS_TH,0)-MAX(AI101-cfg_EOS_TH,0))))</f>
        <v/>
      </c>
      <c r="AB101" s="116" t="str">
        <f aca="false">IF($B101="","",IF(الموظفون!$T101&lt;&gt;"",الموظفون!$T101,IF(AH101&gt;=cfg_LV_TH,cfg_LV_D2,cfg_LV_D1))/cfg_DAYS_Y*AJ101*الموظفون!$R101/cfg_DAYS_M)</f>
        <v/>
      </c>
      <c r="AC101" s="116" t="str">
        <f aca="false">IF($B101="","",IF(AND(الموظفون!$U101="نعم",N(الموظفون!$W101)&gt;0),الموظفون!$V101/الموظفون!$W101*12/cfg_DAYS_Y*AJ101,0))</f>
        <v/>
      </c>
      <c r="AD101" s="116" t="str">
        <f aca="false">IF($B101="","",(IF(الموظفون!$X101&lt;&gt;"",الموظفون!$X101,IF(الموظفون!$E101="غير سعودي",cfg_IQ,0))+IF(الموظفون!$Y101&lt;&gt;"",الموظفون!$Y101,IF(الموظفون!$E101="غير سعودي",cfg_WP,0)))/12*G101/cfg_DAYS_M)</f>
        <v/>
      </c>
      <c r="AE101" s="116" t="str">
        <f aca="false">IF($B101="","",IF(الموظفون!$Z101&lt;&gt;"",الموظفون!$Z101,cfg_MED)/12*G101/cfg_DAYS_M)</f>
        <v/>
      </c>
      <c r="AF101" s="116" t="str">
        <f aca="false">IF($B101="","",N(الموظفون!$AA101)/12*G101/cfg_DAYS_M)</f>
        <v/>
      </c>
      <c r="AG101" s="159" t="str">
        <f aca="false">IF($B101="","",T101+SUM(Z101:AF101))</f>
        <v/>
      </c>
      <c r="AH101" s="160" t="str">
        <f aca="false">IF($B101="","",MAX(0,IF(OR(الموظفون!$AE101="",الموظفون!$AE101&gt;$F$3),$F$3,الموظفون!$AE101)-الموظفون!$H101+1-SUMIFS('سجل الإجازات والحالات'!$AO$6:$AO$505,'سجل الإجازات والحالات'!$B$6:$B$505,$B101))/cfg_DAYS_Y)</f>
        <v/>
      </c>
      <c r="AI101" s="160" t="str">
        <f aca="false">IF($B101="","",MAX(0,IF(OR(الموظفون!$AE101="",الموظفون!$AE101&gt;($E$3-1)),($E$3-1),الموظفون!$AE101)-الموظفون!$H101+1-SUMIFS('سجل الإجازات والحالات'!$AN$6:$AN$505,'سجل الإجازات والحالات'!$B$6:$B$505,$B101))/cfg_DAYS_Y)</f>
        <v/>
      </c>
      <c r="AJ101" s="133" t="str">
        <f aca="false">IF($B101="","",MAX(0,AK101-(SUMIFS('سجل الإجازات والحالات'!$AO$6:$AO$505,'سجل الإجازات والحالات'!$B$6:$B$505,$B101)-SUMIFS('سجل الإجازات والحالات'!$AN$6:$AN$505,'سجل الإجازات والحالات'!$B$6:$B$505,$B101))))</f>
        <v/>
      </c>
      <c r="AK101" s="133" t="str">
        <f aca="false">IF($B101="","",MAX(0,IF(OR(الموظفون!$AE101="",الموظفون!$AE101&gt;$F$3),$F$3,الموظفون!$AE101)-MAX($E$3,الموظفون!$H101)+1))</f>
        <v/>
      </c>
      <c r="AL101" s="156" t="str">
        <f aca="false">IF($B101="","",SUMIFS('سجل الإجازات والحالات'!$BA$6:$BA$505,'سجل الإجازات والحالات'!$B$6:$B$505,$B101)+SUMIFS('الحركات الشهرية'!$K$6:$K$1005,'الحركات الشهرية'!$B$6:$B$1005,$B101,'الحركات الشهرية'!$A$6:$A$1005,$C$3))</f>
        <v/>
      </c>
      <c r="AM101" s="116" t="str">
        <f aca="false">IF($B101="","",AL101*الموظفون!$R101/cfg_DAYS_M+S101)</f>
        <v/>
      </c>
      <c r="AN101" s="156" t="str">
        <f aca="false">IF($B101="","",SUMIFS('سجل الإجازات والحالات'!$AC$6:$AC$505,'سجل الإجازات والحالات'!$B$6:$B$505,$B101))</f>
        <v/>
      </c>
    </row>
    <row r="102" customFormat="false" ht="15" hidden="false" customHeight="false" outlineLevel="0" collapsed="false">
      <c r="A102" s="106" t="str">
        <f aca="false">IF($B102="","",الموظفون!$A102)</f>
        <v/>
      </c>
      <c r="B102" s="114" t="str">
        <f aca="false">IF(الموظفون!$B102="","",الموظفون!$B102)</f>
        <v/>
      </c>
      <c r="C102" s="114" t="str">
        <f aca="false">IF($B102="","",الموظفون!$C102)</f>
        <v/>
      </c>
      <c r="D102" s="114" t="str">
        <f aca="false">IF($B102="","",الموظفون!$F102)</f>
        <v/>
      </c>
      <c r="E102" s="114" t="str">
        <f aca="false">IF($B102="","",الموظفون!$E102)</f>
        <v/>
      </c>
      <c r="F102" s="114" t="str">
        <f aca="false">IF($B102="","",IF(AK102=0,IF(AND(الموظفون!$AE102&lt;&gt;"",الموظفون!$AE102&lt;$E$3),"✖ منتهي الخدمة","⏳ لم يباشر"),IF(S102&gt;0,"✈ راتب إجازة مقدم",IF(J102=0,"⛔ بدون راتب هذا الشهر",IF(I102&gt;0,"✈ خصم "&amp;ROUND(I102,2)&amp;" يوم بدون أجر",IF(AL102&gt;0,"🌴 إجازة سنوية "&amp;ROUND(AL102,2)&amp;" يوم",IF(H102&gt;0,"⚠ غياب "&amp;ROUND(H102,2)&amp;" يوم","✔ على رأس العمل")))))))</f>
        <v/>
      </c>
      <c r="G102" s="151" t="str">
        <f aca="false">IF($B102="","",IF(AK102&gt;=DAY($F$3),cfg_DAYS_M,MIN(AK102,cfg_DAYS_M)))</f>
        <v/>
      </c>
      <c r="H102" s="151" t="str">
        <f aca="false">IF($B102="","",SUMIFS('الحركات الشهرية'!$D$6:$D$1005,'الحركات الشهرية'!$B$6:$B$1005,$B102,'الحركات الشهرية'!$A$6:$A$1005,$C$3))</f>
        <v/>
      </c>
      <c r="I102" s="151" t="str">
        <f aca="false">IF($B102="","",MIN(G102,IF(AND(AK102&gt;0,AN102&gt;=AK102),G102,AN102)+SUMIFS('الحركات الشهرية'!$E$6:$E$1005,'الحركات الشهرية'!$B$6:$B$1005,$B102,'الحركات الشهرية'!$A$6:$A$1005,$C$3)))</f>
        <v/>
      </c>
      <c r="J102" s="151" t="str">
        <f aca="false">IF($B102="","",MAX(0,G102-H102-I102))</f>
        <v/>
      </c>
      <c r="K102" s="111" t="str">
        <f aca="false">IF($B102="","",الموظفون!$L102*$J102/cfg_DAYS_M)</f>
        <v/>
      </c>
      <c r="L102" s="111" t="str">
        <f aca="false">IF($B102="","",الموظفون!$M102*$J102/cfg_DAYS_M)</f>
        <v/>
      </c>
      <c r="M102" s="111" t="str">
        <f aca="false">IF($B102="","",الموظفون!$N102*$J102/cfg_DAYS_M)</f>
        <v/>
      </c>
      <c r="N102" s="111" t="str">
        <f aca="false">IF($B102="","",الموظفون!$O102*$J102/cfg_DAYS_M)</f>
        <v/>
      </c>
      <c r="O102" s="151" t="str">
        <f aca="false">IF($B102="","",SUMIFS('الحركات الشهرية'!$F$6:$F$1005,'الحركات الشهرية'!$B$6:$B$1005,$B102,'الحركات الشهرية'!$A$6:$A$1005,$C$3))</f>
        <v/>
      </c>
      <c r="P102" s="111" t="str">
        <f aca="false">IF($B102="","",O102*(الموظفون!$P102+الموظفون!$L102*cfg_OT_P)/cfg_DAYS_M/cfg_HRS)</f>
        <v/>
      </c>
      <c r="Q102" s="111" t="str">
        <f aca="false">IF($B102="","",SUMIFS('الحركات الشهرية'!$G$6:$G$1005,'الحركات الشهرية'!$B$6:$B$1005,$B102,'الحركات الشهرية'!$A$6:$A$1005,$C$3))</f>
        <v/>
      </c>
      <c r="R102" s="111" t="str">
        <f aca="false">IF($B102="","",SUMIFS('الحركات الشهرية'!$H$6:$H$1005,'الحركات الشهرية'!$B$6:$B$1005,$B102,'الحركات الشهرية'!$A$6:$A$1005,$C$3))</f>
        <v/>
      </c>
      <c r="S102" s="111" t="str">
        <f aca="false">IF($B102="","",SUMIFS('سجل الإجازات والحالات'!$N$6:$N$505,'سجل الإجازات والحالات'!$B$6:$B$505,$B102,'سجل الإجازات والحالات'!$O$6:$O$505,$C$3))</f>
        <v/>
      </c>
      <c r="T102" s="152" t="str">
        <f aca="false">IF($B102="","",SUM(K102:N102)+SUM(P102:S102))</f>
        <v/>
      </c>
      <c r="U102" s="111" t="str">
        <f aca="false">IF($B102="","",الموظفون!$S102*IF(E102="سعودي",cfg_G_SE,cfg_G_NE)*G102/cfg_DAYS_M)</f>
        <v/>
      </c>
      <c r="V102" s="111" t="str">
        <f aca="false">IF($B102="","",SUMIFS('الحركات الشهرية'!$I$6:$I$1005,'الحركات الشهرية'!$B$6:$B$1005,$B102,'الحركات الشهرية'!$A$6:$A$1005,$C$3))</f>
        <v/>
      </c>
      <c r="W102" s="111" t="str">
        <f aca="false">IF($B102="","",SUMIFS('الحركات الشهرية'!$J$6:$J$1005,'الحركات الشهرية'!$B$6:$B$1005,$B102,'الحركات الشهرية'!$A$6:$A$1005,$C$3))</f>
        <v/>
      </c>
      <c r="X102" s="111" t="str">
        <f aca="false">IF($B102="","",SUM(U102:W102))</f>
        <v/>
      </c>
      <c r="Y102" s="153" t="str">
        <f aca="false">IF($B102="","",T102-X102)</f>
        <v/>
      </c>
      <c r="Z102" s="111" t="str">
        <f aca="false">IF($B102="","",الموظفون!$S102*IF(E102="سعودي",cfg_G_SR,cfg_G_NR)*G102/cfg_DAYS_M)</f>
        <v/>
      </c>
      <c r="AA102" s="111" t="str">
        <f aca="false">IF($B102="","",الموظفون!$Q102*(cfg_EOS_R1*(MIN(AH102,cfg_EOS_TH)-MIN(AI102,cfg_EOS_TH))+cfg_EOS_R2*(MAX(AH102-cfg_EOS_TH,0)-MAX(AI102-cfg_EOS_TH,0))))</f>
        <v/>
      </c>
      <c r="AB102" s="111" t="str">
        <f aca="false">IF($B102="","",IF(الموظفون!$T102&lt;&gt;"",الموظفون!$T102,IF(AH102&gt;=cfg_LV_TH,cfg_LV_D2,cfg_LV_D1))/cfg_DAYS_Y*AJ102*الموظفون!$R102/cfg_DAYS_M)</f>
        <v/>
      </c>
      <c r="AC102" s="111" t="str">
        <f aca="false">IF($B102="","",IF(AND(الموظفون!$U102="نعم",N(الموظفون!$W102)&gt;0),الموظفون!$V102/الموظفون!$W102*12/cfg_DAYS_Y*AJ102,0))</f>
        <v/>
      </c>
      <c r="AD102" s="111" t="str">
        <f aca="false">IF($B102="","",(IF(الموظفون!$X102&lt;&gt;"",الموظفون!$X102,IF(الموظفون!$E102="غير سعودي",cfg_IQ,0))+IF(الموظفون!$Y102&lt;&gt;"",الموظفون!$Y102,IF(الموظفون!$E102="غير سعودي",cfg_WP,0)))/12*G102/cfg_DAYS_M)</f>
        <v/>
      </c>
      <c r="AE102" s="111" t="str">
        <f aca="false">IF($B102="","",IF(الموظفون!$Z102&lt;&gt;"",الموظفون!$Z102,cfg_MED)/12*G102/cfg_DAYS_M)</f>
        <v/>
      </c>
      <c r="AF102" s="111" t="str">
        <f aca="false">IF($B102="","",N(الموظفون!$AA102)/12*G102/cfg_DAYS_M)</f>
        <v/>
      </c>
      <c r="AG102" s="154" t="str">
        <f aca="false">IF($B102="","",T102+SUM(Z102:AF102))</f>
        <v/>
      </c>
      <c r="AH102" s="155" t="str">
        <f aca="false">IF($B102="","",MAX(0,IF(OR(الموظفون!$AE102="",الموظفون!$AE102&gt;$F$3),$F$3,الموظفون!$AE102)-الموظفون!$H102+1-SUMIFS('سجل الإجازات والحالات'!$AO$6:$AO$505,'سجل الإجازات والحالات'!$B$6:$B$505,$B102))/cfg_DAYS_Y)</f>
        <v/>
      </c>
      <c r="AI102" s="155" t="str">
        <f aca="false">IF($B102="","",MAX(0,IF(OR(الموظفون!$AE102="",الموظفون!$AE102&gt;($E$3-1)),($E$3-1),الموظفون!$AE102)-الموظفون!$H102+1-SUMIFS('سجل الإجازات والحالات'!$AN$6:$AN$505,'سجل الإجازات والحالات'!$B$6:$B$505,$B102))/cfg_DAYS_Y)</f>
        <v/>
      </c>
      <c r="AJ102" s="65" t="str">
        <f aca="false">IF($B102="","",MAX(0,AK102-(SUMIFS('سجل الإجازات والحالات'!$AO$6:$AO$505,'سجل الإجازات والحالات'!$B$6:$B$505,$B102)-SUMIFS('سجل الإجازات والحالات'!$AN$6:$AN$505,'سجل الإجازات والحالات'!$B$6:$B$505,$B102))))</f>
        <v/>
      </c>
      <c r="AK102" s="65" t="str">
        <f aca="false">IF($B102="","",MAX(0,IF(OR(الموظفون!$AE102="",الموظفون!$AE102&gt;$F$3),$F$3,الموظفون!$AE102)-MAX($E$3,الموظفون!$H102)+1))</f>
        <v/>
      </c>
      <c r="AL102" s="151" t="str">
        <f aca="false">IF($B102="","",SUMIFS('سجل الإجازات والحالات'!$BA$6:$BA$505,'سجل الإجازات والحالات'!$B$6:$B$505,$B102)+SUMIFS('الحركات الشهرية'!$K$6:$K$1005,'الحركات الشهرية'!$B$6:$B$1005,$B102,'الحركات الشهرية'!$A$6:$A$1005,$C$3))</f>
        <v/>
      </c>
      <c r="AM102" s="111" t="str">
        <f aca="false">IF($B102="","",AL102*الموظفون!$R102/cfg_DAYS_M+S102)</f>
        <v/>
      </c>
      <c r="AN102" s="151" t="str">
        <f aca="false">IF($B102="","",SUMIFS('سجل الإجازات والحالات'!$AC$6:$AC$505,'سجل الإجازات والحالات'!$B$6:$B$505,$B102))</f>
        <v/>
      </c>
    </row>
    <row r="103" customFormat="false" ht="15" hidden="false" customHeight="false" outlineLevel="0" collapsed="false">
      <c r="A103" s="115" t="str">
        <f aca="false">IF($B103="","",الموظفون!$A103)</f>
        <v/>
      </c>
      <c r="B103" s="117" t="str">
        <f aca="false">IF(الموظفون!$B103="","",الموظفون!$B103)</f>
        <v/>
      </c>
      <c r="C103" s="117" t="str">
        <f aca="false">IF($B103="","",الموظفون!$C103)</f>
        <v/>
      </c>
      <c r="D103" s="117" t="str">
        <f aca="false">IF($B103="","",الموظفون!$F103)</f>
        <v/>
      </c>
      <c r="E103" s="117" t="str">
        <f aca="false">IF($B103="","",الموظفون!$E103)</f>
        <v/>
      </c>
      <c r="F103" s="117" t="str">
        <f aca="false">IF($B103="","",IF(AK103=0,IF(AND(الموظفون!$AE103&lt;&gt;"",الموظفون!$AE103&lt;$E$3),"✖ منتهي الخدمة","⏳ لم يباشر"),IF(S103&gt;0,"✈ راتب إجازة مقدم",IF(J103=0,"⛔ بدون راتب هذا الشهر",IF(I103&gt;0,"✈ خصم "&amp;ROUND(I103,2)&amp;" يوم بدون أجر",IF(AL103&gt;0,"🌴 إجازة سنوية "&amp;ROUND(AL103,2)&amp;" يوم",IF(H103&gt;0,"⚠ غياب "&amp;ROUND(H103,2)&amp;" يوم","✔ على رأس العمل")))))))</f>
        <v/>
      </c>
      <c r="G103" s="156" t="str">
        <f aca="false">IF($B103="","",IF(AK103&gt;=DAY($F$3),cfg_DAYS_M,MIN(AK103,cfg_DAYS_M)))</f>
        <v/>
      </c>
      <c r="H103" s="156" t="str">
        <f aca="false">IF($B103="","",SUMIFS('الحركات الشهرية'!$D$6:$D$1005,'الحركات الشهرية'!$B$6:$B$1005,$B103,'الحركات الشهرية'!$A$6:$A$1005,$C$3))</f>
        <v/>
      </c>
      <c r="I103" s="156" t="str">
        <f aca="false">IF($B103="","",MIN(G103,IF(AND(AK103&gt;0,AN103&gt;=AK103),G103,AN103)+SUMIFS('الحركات الشهرية'!$E$6:$E$1005,'الحركات الشهرية'!$B$6:$B$1005,$B103,'الحركات الشهرية'!$A$6:$A$1005,$C$3)))</f>
        <v/>
      </c>
      <c r="J103" s="156" t="str">
        <f aca="false">IF($B103="","",MAX(0,G103-H103-I103))</f>
        <v/>
      </c>
      <c r="K103" s="116" t="str">
        <f aca="false">IF($B103="","",الموظفون!$L103*$J103/cfg_DAYS_M)</f>
        <v/>
      </c>
      <c r="L103" s="116" t="str">
        <f aca="false">IF($B103="","",الموظفون!$M103*$J103/cfg_DAYS_M)</f>
        <v/>
      </c>
      <c r="M103" s="116" t="str">
        <f aca="false">IF($B103="","",الموظفون!$N103*$J103/cfg_DAYS_M)</f>
        <v/>
      </c>
      <c r="N103" s="116" t="str">
        <f aca="false">IF($B103="","",الموظفون!$O103*$J103/cfg_DAYS_M)</f>
        <v/>
      </c>
      <c r="O103" s="156" t="str">
        <f aca="false">IF($B103="","",SUMIFS('الحركات الشهرية'!$F$6:$F$1005,'الحركات الشهرية'!$B$6:$B$1005,$B103,'الحركات الشهرية'!$A$6:$A$1005,$C$3))</f>
        <v/>
      </c>
      <c r="P103" s="116" t="str">
        <f aca="false">IF($B103="","",O103*(الموظفون!$P103+الموظفون!$L103*cfg_OT_P)/cfg_DAYS_M/cfg_HRS)</f>
        <v/>
      </c>
      <c r="Q103" s="116" t="str">
        <f aca="false">IF($B103="","",SUMIFS('الحركات الشهرية'!$G$6:$G$1005,'الحركات الشهرية'!$B$6:$B$1005,$B103,'الحركات الشهرية'!$A$6:$A$1005,$C$3))</f>
        <v/>
      </c>
      <c r="R103" s="116" t="str">
        <f aca="false">IF($B103="","",SUMIFS('الحركات الشهرية'!$H$6:$H$1005,'الحركات الشهرية'!$B$6:$B$1005,$B103,'الحركات الشهرية'!$A$6:$A$1005,$C$3))</f>
        <v/>
      </c>
      <c r="S103" s="116" t="str">
        <f aca="false">IF($B103="","",SUMIFS('سجل الإجازات والحالات'!$N$6:$N$505,'سجل الإجازات والحالات'!$B$6:$B$505,$B103,'سجل الإجازات والحالات'!$O$6:$O$505,$C$3))</f>
        <v/>
      </c>
      <c r="T103" s="157" t="str">
        <f aca="false">IF($B103="","",SUM(K103:N103)+SUM(P103:S103))</f>
        <v/>
      </c>
      <c r="U103" s="116" t="str">
        <f aca="false">IF($B103="","",الموظفون!$S103*IF(E103="سعودي",cfg_G_SE,cfg_G_NE)*G103/cfg_DAYS_M)</f>
        <v/>
      </c>
      <c r="V103" s="116" t="str">
        <f aca="false">IF($B103="","",SUMIFS('الحركات الشهرية'!$I$6:$I$1005,'الحركات الشهرية'!$B$6:$B$1005,$B103,'الحركات الشهرية'!$A$6:$A$1005,$C$3))</f>
        <v/>
      </c>
      <c r="W103" s="116" t="str">
        <f aca="false">IF($B103="","",SUMIFS('الحركات الشهرية'!$J$6:$J$1005,'الحركات الشهرية'!$B$6:$B$1005,$B103,'الحركات الشهرية'!$A$6:$A$1005,$C$3))</f>
        <v/>
      </c>
      <c r="X103" s="116" t="str">
        <f aca="false">IF($B103="","",SUM(U103:W103))</f>
        <v/>
      </c>
      <c r="Y103" s="158" t="str">
        <f aca="false">IF($B103="","",T103-X103)</f>
        <v/>
      </c>
      <c r="Z103" s="116" t="str">
        <f aca="false">IF($B103="","",الموظفون!$S103*IF(E103="سعودي",cfg_G_SR,cfg_G_NR)*G103/cfg_DAYS_M)</f>
        <v/>
      </c>
      <c r="AA103" s="116" t="str">
        <f aca="false">IF($B103="","",الموظفون!$Q103*(cfg_EOS_R1*(MIN(AH103,cfg_EOS_TH)-MIN(AI103,cfg_EOS_TH))+cfg_EOS_R2*(MAX(AH103-cfg_EOS_TH,0)-MAX(AI103-cfg_EOS_TH,0))))</f>
        <v/>
      </c>
      <c r="AB103" s="116" t="str">
        <f aca="false">IF($B103="","",IF(الموظفون!$T103&lt;&gt;"",الموظفون!$T103,IF(AH103&gt;=cfg_LV_TH,cfg_LV_D2,cfg_LV_D1))/cfg_DAYS_Y*AJ103*الموظفون!$R103/cfg_DAYS_M)</f>
        <v/>
      </c>
      <c r="AC103" s="116" t="str">
        <f aca="false">IF($B103="","",IF(AND(الموظفون!$U103="نعم",N(الموظفون!$W103)&gt;0),الموظفون!$V103/الموظفون!$W103*12/cfg_DAYS_Y*AJ103,0))</f>
        <v/>
      </c>
      <c r="AD103" s="116" t="str">
        <f aca="false">IF($B103="","",(IF(الموظفون!$X103&lt;&gt;"",الموظفون!$X103,IF(الموظفون!$E103="غير سعودي",cfg_IQ,0))+IF(الموظفون!$Y103&lt;&gt;"",الموظفون!$Y103,IF(الموظفون!$E103="غير سعودي",cfg_WP,0)))/12*G103/cfg_DAYS_M)</f>
        <v/>
      </c>
      <c r="AE103" s="116" t="str">
        <f aca="false">IF($B103="","",IF(الموظفون!$Z103&lt;&gt;"",الموظفون!$Z103,cfg_MED)/12*G103/cfg_DAYS_M)</f>
        <v/>
      </c>
      <c r="AF103" s="116" t="str">
        <f aca="false">IF($B103="","",N(الموظفون!$AA103)/12*G103/cfg_DAYS_M)</f>
        <v/>
      </c>
      <c r="AG103" s="159" t="str">
        <f aca="false">IF($B103="","",T103+SUM(Z103:AF103))</f>
        <v/>
      </c>
      <c r="AH103" s="160" t="str">
        <f aca="false">IF($B103="","",MAX(0,IF(OR(الموظفون!$AE103="",الموظفون!$AE103&gt;$F$3),$F$3,الموظفون!$AE103)-الموظفون!$H103+1-SUMIFS('سجل الإجازات والحالات'!$AO$6:$AO$505,'سجل الإجازات والحالات'!$B$6:$B$505,$B103))/cfg_DAYS_Y)</f>
        <v/>
      </c>
      <c r="AI103" s="160" t="str">
        <f aca="false">IF($B103="","",MAX(0,IF(OR(الموظفون!$AE103="",الموظفون!$AE103&gt;($E$3-1)),($E$3-1),الموظفون!$AE103)-الموظفون!$H103+1-SUMIFS('سجل الإجازات والحالات'!$AN$6:$AN$505,'سجل الإجازات والحالات'!$B$6:$B$505,$B103))/cfg_DAYS_Y)</f>
        <v/>
      </c>
      <c r="AJ103" s="133" t="str">
        <f aca="false">IF($B103="","",MAX(0,AK103-(SUMIFS('سجل الإجازات والحالات'!$AO$6:$AO$505,'سجل الإجازات والحالات'!$B$6:$B$505,$B103)-SUMIFS('سجل الإجازات والحالات'!$AN$6:$AN$505,'سجل الإجازات والحالات'!$B$6:$B$505,$B103))))</f>
        <v/>
      </c>
      <c r="AK103" s="133" t="str">
        <f aca="false">IF($B103="","",MAX(0,IF(OR(الموظفون!$AE103="",الموظفون!$AE103&gt;$F$3),$F$3,الموظفون!$AE103)-MAX($E$3,الموظفون!$H103)+1))</f>
        <v/>
      </c>
      <c r="AL103" s="156" t="str">
        <f aca="false">IF($B103="","",SUMIFS('سجل الإجازات والحالات'!$BA$6:$BA$505,'سجل الإجازات والحالات'!$B$6:$B$505,$B103)+SUMIFS('الحركات الشهرية'!$K$6:$K$1005,'الحركات الشهرية'!$B$6:$B$1005,$B103,'الحركات الشهرية'!$A$6:$A$1005,$C$3))</f>
        <v/>
      </c>
      <c r="AM103" s="116" t="str">
        <f aca="false">IF($B103="","",AL103*الموظفون!$R103/cfg_DAYS_M+S103)</f>
        <v/>
      </c>
      <c r="AN103" s="156" t="str">
        <f aca="false">IF($B103="","",SUMIFS('سجل الإجازات والحالات'!$AC$6:$AC$505,'سجل الإجازات والحالات'!$B$6:$B$505,$B103))</f>
        <v/>
      </c>
    </row>
    <row r="104" customFormat="false" ht="15" hidden="false" customHeight="false" outlineLevel="0" collapsed="false">
      <c r="A104" s="106" t="str">
        <f aca="false">IF($B104="","",الموظفون!$A104)</f>
        <v/>
      </c>
      <c r="B104" s="114" t="str">
        <f aca="false">IF(الموظفون!$B104="","",الموظفون!$B104)</f>
        <v/>
      </c>
      <c r="C104" s="114" t="str">
        <f aca="false">IF($B104="","",الموظفون!$C104)</f>
        <v/>
      </c>
      <c r="D104" s="114" t="str">
        <f aca="false">IF($B104="","",الموظفون!$F104)</f>
        <v/>
      </c>
      <c r="E104" s="114" t="str">
        <f aca="false">IF($B104="","",الموظفون!$E104)</f>
        <v/>
      </c>
      <c r="F104" s="114" t="str">
        <f aca="false">IF($B104="","",IF(AK104=0,IF(AND(الموظفون!$AE104&lt;&gt;"",الموظفون!$AE104&lt;$E$3),"✖ منتهي الخدمة","⏳ لم يباشر"),IF(S104&gt;0,"✈ راتب إجازة مقدم",IF(J104=0,"⛔ بدون راتب هذا الشهر",IF(I104&gt;0,"✈ خصم "&amp;ROUND(I104,2)&amp;" يوم بدون أجر",IF(AL104&gt;0,"🌴 إجازة سنوية "&amp;ROUND(AL104,2)&amp;" يوم",IF(H104&gt;0,"⚠ غياب "&amp;ROUND(H104,2)&amp;" يوم","✔ على رأس العمل")))))))</f>
        <v/>
      </c>
      <c r="G104" s="151" t="str">
        <f aca="false">IF($B104="","",IF(AK104&gt;=DAY($F$3),cfg_DAYS_M,MIN(AK104,cfg_DAYS_M)))</f>
        <v/>
      </c>
      <c r="H104" s="151" t="str">
        <f aca="false">IF($B104="","",SUMIFS('الحركات الشهرية'!$D$6:$D$1005,'الحركات الشهرية'!$B$6:$B$1005,$B104,'الحركات الشهرية'!$A$6:$A$1005,$C$3))</f>
        <v/>
      </c>
      <c r="I104" s="151" t="str">
        <f aca="false">IF($B104="","",MIN(G104,IF(AND(AK104&gt;0,AN104&gt;=AK104),G104,AN104)+SUMIFS('الحركات الشهرية'!$E$6:$E$1005,'الحركات الشهرية'!$B$6:$B$1005,$B104,'الحركات الشهرية'!$A$6:$A$1005,$C$3)))</f>
        <v/>
      </c>
      <c r="J104" s="151" t="str">
        <f aca="false">IF($B104="","",MAX(0,G104-H104-I104))</f>
        <v/>
      </c>
      <c r="K104" s="111" t="str">
        <f aca="false">IF($B104="","",الموظفون!$L104*$J104/cfg_DAYS_M)</f>
        <v/>
      </c>
      <c r="L104" s="111" t="str">
        <f aca="false">IF($B104="","",الموظفون!$M104*$J104/cfg_DAYS_M)</f>
        <v/>
      </c>
      <c r="M104" s="111" t="str">
        <f aca="false">IF($B104="","",الموظفون!$N104*$J104/cfg_DAYS_M)</f>
        <v/>
      </c>
      <c r="N104" s="111" t="str">
        <f aca="false">IF($B104="","",الموظفون!$O104*$J104/cfg_DAYS_M)</f>
        <v/>
      </c>
      <c r="O104" s="151" t="str">
        <f aca="false">IF($B104="","",SUMIFS('الحركات الشهرية'!$F$6:$F$1005,'الحركات الشهرية'!$B$6:$B$1005,$B104,'الحركات الشهرية'!$A$6:$A$1005,$C$3))</f>
        <v/>
      </c>
      <c r="P104" s="111" t="str">
        <f aca="false">IF($B104="","",O104*(الموظفون!$P104+الموظفون!$L104*cfg_OT_P)/cfg_DAYS_M/cfg_HRS)</f>
        <v/>
      </c>
      <c r="Q104" s="111" t="str">
        <f aca="false">IF($B104="","",SUMIFS('الحركات الشهرية'!$G$6:$G$1005,'الحركات الشهرية'!$B$6:$B$1005,$B104,'الحركات الشهرية'!$A$6:$A$1005,$C$3))</f>
        <v/>
      </c>
      <c r="R104" s="111" t="str">
        <f aca="false">IF($B104="","",SUMIFS('الحركات الشهرية'!$H$6:$H$1005,'الحركات الشهرية'!$B$6:$B$1005,$B104,'الحركات الشهرية'!$A$6:$A$1005,$C$3))</f>
        <v/>
      </c>
      <c r="S104" s="111" t="str">
        <f aca="false">IF($B104="","",SUMIFS('سجل الإجازات والحالات'!$N$6:$N$505,'سجل الإجازات والحالات'!$B$6:$B$505,$B104,'سجل الإجازات والحالات'!$O$6:$O$505,$C$3))</f>
        <v/>
      </c>
      <c r="T104" s="152" t="str">
        <f aca="false">IF($B104="","",SUM(K104:N104)+SUM(P104:S104))</f>
        <v/>
      </c>
      <c r="U104" s="111" t="str">
        <f aca="false">IF($B104="","",الموظفون!$S104*IF(E104="سعودي",cfg_G_SE,cfg_G_NE)*G104/cfg_DAYS_M)</f>
        <v/>
      </c>
      <c r="V104" s="111" t="str">
        <f aca="false">IF($B104="","",SUMIFS('الحركات الشهرية'!$I$6:$I$1005,'الحركات الشهرية'!$B$6:$B$1005,$B104,'الحركات الشهرية'!$A$6:$A$1005,$C$3))</f>
        <v/>
      </c>
      <c r="W104" s="111" t="str">
        <f aca="false">IF($B104="","",SUMIFS('الحركات الشهرية'!$J$6:$J$1005,'الحركات الشهرية'!$B$6:$B$1005,$B104,'الحركات الشهرية'!$A$6:$A$1005,$C$3))</f>
        <v/>
      </c>
      <c r="X104" s="111" t="str">
        <f aca="false">IF($B104="","",SUM(U104:W104))</f>
        <v/>
      </c>
      <c r="Y104" s="153" t="str">
        <f aca="false">IF($B104="","",T104-X104)</f>
        <v/>
      </c>
      <c r="Z104" s="111" t="str">
        <f aca="false">IF($B104="","",الموظفون!$S104*IF(E104="سعودي",cfg_G_SR,cfg_G_NR)*G104/cfg_DAYS_M)</f>
        <v/>
      </c>
      <c r="AA104" s="111" t="str">
        <f aca="false">IF($B104="","",الموظفون!$Q104*(cfg_EOS_R1*(MIN(AH104,cfg_EOS_TH)-MIN(AI104,cfg_EOS_TH))+cfg_EOS_R2*(MAX(AH104-cfg_EOS_TH,0)-MAX(AI104-cfg_EOS_TH,0))))</f>
        <v/>
      </c>
      <c r="AB104" s="111" t="str">
        <f aca="false">IF($B104="","",IF(الموظفون!$T104&lt;&gt;"",الموظفون!$T104,IF(AH104&gt;=cfg_LV_TH,cfg_LV_D2,cfg_LV_D1))/cfg_DAYS_Y*AJ104*الموظفون!$R104/cfg_DAYS_M)</f>
        <v/>
      </c>
      <c r="AC104" s="111" t="str">
        <f aca="false">IF($B104="","",IF(AND(الموظفون!$U104="نعم",N(الموظفون!$W104)&gt;0),الموظفون!$V104/الموظفون!$W104*12/cfg_DAYS_Y*AJ104,0))</f>
        <v/>
      </c>
      <c r="AD104" s="111" t="str">
        <f aca="false">IF($B104="","",(IF(الموظفون!$X104&lt;&gt;"",الموظفون!$X104,IF(الموظفون!$E104="غير سعودي",cfg_IQ,0))+IF(الموظفون!$Y104&lt;&gt;"",الموظفون!$Y104,IF(الموظفون!$E104="غير سعودي",cfg_WP,0)))/12*G104/cfg_DAYS_M)</f>
        <v/>
      </c>
      <c r="AE104" s="111" t="str">
        <f aca="false">IF($B104="","",IF(الموظفون!$Z104&lt;&gt;"",الموظفون!$Z104,cfg_MED)/12*G104/cfg_DAYS_M)</f>
        <v/>
      </c>
      <c r="AF104" s="111" t="str">
        <f aca="false">IF($B104="","",N(الموظفون!$AA104)/12*G104/cfg_DAYS_M)</f>
        <v/>
      </c>
      <c r="AG104" s="154" t="str">
        <f aca="false">IF($B104="","",T104+SUM(Z104:AF104))</f>
        <v/>
      </c>
      <c r="AH104" s="155" t="str">
        <f aca="false">IF($B104="","",MAX(0,IF(OR(الموظفون!$AE104="",الموظفون!$AE104&gt;$F$3),$F$3,الموظفون!$AE104)-الموظفون!$H104+1-SUMIFS('سجل الإجازات والحالات'!$AO$6:$AO$505,'سجل الإجازات والحالات'!$B$6:$B$505,$B104))/cfg_DAYS_Y)</f>
        <v/>
      </c>
      <c r="AI104" s="155" t="str">
        <f aca="false">IF($B104="","",MAX(0,IF(OR(الموظفون!$AE104="",الموظفون!$AE104&gt;($E$3-1)),($E$3-1),الموظفون!$AE104)-الموظفون!$H104+1-SUMIFS('سجل الإجازات والحالات'!$AN$6:$AN$505,'سجل الإجازات والحالات'!$B$6:$B$505,$B104))/cfg_DAYS_Y)</f>
        <v/>
      </c>
      <c r="AJ104" s="65" t="str">
        <f aca="false">IF($B104="","",MAX(0,AK104-(SUMIFS('سجل الإجازات والحالات'!$AO$6:$AO$505,'سجل الإجازات والحالات'!$B$6:$B$505,$B104)-SUMIFS('سجل الإجازات والحالات'!$AN$6:$AN$505,'سجل الإجازات والحالات'!$B$6:$B$505,$B104))))</f>
        <v/>
      </c>
      <c r="AK104" s="65" t="str">
        <f aca="false">IF($B104="","",MAX(0,IF(OR(الموظفون!$AE104="",الموظفون!$AE104&gt;$F$3),$F$3,الموظفون!$AE104)-MAX($E$3,الموظفون!$H104)+1))</f>
        <v/>
      </c>
      <c r="AL104" s="151" t="str">
        <f aca="false">IF($B104="","",SUMIFS('سجل الإجازات والحالات'!$BA$6:$BA$505,'سجل الإجازات والحالات'!$B$6:$B$505,$B104)+SUMIFS('الحركات الشهرية'!$K$6:$K$1005,'الحركات الشهرية'!$B$6:$B$1005,$B104,'الحركات الشهرية'!$A$6:$A$1005,$C$3))</f>
        <v/>
      </c>
      <c r="AM104" s="111" t="str">
        <f aca="false">IF($B104="","",AL104*الموظفون!$R104/cfg_DAYS_M+S104)</f>
        <v/>
      </c>
      <c r="AN104" s="151" t="str">
        <f aca="false">IF($B104="","",SUMIFS('سجل الإجازات والحالات'!$AC$6:$AC$505,'سجل الإجازات والحالات'!$B$6:$B$505,$B104))</f>
        <v/>
      </c>
    </row>
    <row r="105" customFormat="false" ht="15" hidden="false" customHeight="false" outlineLevel="0" collapsed="false">
      <c r="A105" s="115" t="str">
        <f aca="false">IF($B105="","",الموظفون!$A105)</f>
        <v/>
      </c>
      <c r="B105" s="117" t="str">
        <f aca="false">IF(الموظفون!$B105="","",الموظفون!$B105)</f>
        <v/>
      </c>
      <c r="C105" s="117" t="str">
        <f aca="false">IF($B105="","",الموظفون!$C105)</f>
        <v/>
      </c>
      <c r="D105" s="117" t="str">
        <f aca="false">IF($B105="","",الموظفون!$F105)</f>
        <v/>
      </c>
      <c r="E105" s="117" t="str">
        <f aca="false">IF($B105="","",الموظفون!$E105)</f>
        <v/>
      </c>
      <c r="F105" s="117" t="str">
        <f aca="false">IF($B105="","",IF(AK105=0,IF(AND(الموظفون!$AE105&lt;&gt;"",الموظفون!$AE105&lt;$E$3),"✖ منتهي الخدمة","⏳ لم يباشر"),IF(S105&gt;0,"✈ راتب إجازة مقدم",IF(J105=0,"⛔ بدون راتب هذا الشهر",IF(I105&gt;0,"✈ خصم "&amp;ROUND(I105,2)&amp;" يوم بدون أجر",IF(AL105&gt;0,"🌴 إجازة سنوية "&amp;ROUND(AL105,2)&amp;" يوم",IF(H105&gt;0,"⚠ غياب "&amp;ROUND(H105,2)&amp;" يوم","✔ على رأس العمل")))))))</f>
        <v/>
      </c>
      <c r="G105" s="156" t="str">
        <f aca="false">IF($B105="","",IF(AK105&gt;=DAY($F$3),cfg_DAYS_M,MIN(AK105,cfg_DAYS_M)))</f>
        <v/>
      </c>
      <c r="H105" s="156" t="str">
        <f aca="false">IF($B105="","",SUMIFS('الحركات الشهرية'!$D$6:$D$1005,'الحركات الشهرية'!$B$6:$B$1005,$B105,'الحركات الشهرية'!$A$6:$A$1005,$C$3))</f>
        <v/>
      </c>
      <c r="I105" s="156" t="str">
        <f aca="false">IF($B105="","",MIN(G105,IF(AND(AK105&gt;0,AN105&gt;=AK105),G105,AN105)+SUMIFS('الحركات الشهرية'!$E$6:$E$1005,'الحركات الشهرية'!$B$6:$B$1005,$B105,'الحركات الشهرية'!$A$6:$A$1005,$C$3)))</f>
        <v/>
      </c>
      <c r="J105" s="156" t="str">
        <f aca="false">IF($B105="","",MAX(0,G105-H105-I105))</f>
        <v/>
      </c>
      <c r="K105" s="116" t="str">
        <f aca="false">IF($B105="","",الموظفون!$L105*$J105/cfg_DAYS_M)</f>
        <v/>
      </c>
      <c r="L105" s="116" t="str">
        <f aca="false">IF($B105="","",الموظفون!$M105*$J105/cfg_DAYS_M)</f>
        <v/>
      </c>
      <c r="M105" s="116" t="str">
        <f aca="false">IF($B105="","",الموظفون!$N105*$J105/cfg_DAYS_M)</f>
        <v/>
      </c>
      <c r="N105" s="116" t="str">
        <f aca="false">IF($B105="","",الموظفون!$O105*$J105/cfg_DAYS_M)</f>
        <v/>
      </c>
      <c r="O105" s="156" t="str">
        <f aca="false">IF($B105="","",SUMIFS('الحركات الشهرية'!$F$6:$F$1005,'الحركات الشهرية'!$B$6:$B$1005,$B105,'الحركات الشهرية'!$A$6:$A$1005,$C$3))</f>
        <v/>
      </c>
      <c r="P105" s="116" t="str">
        <f aca="false">IF($B105="","",O105*(الموظفون!$P105+الموظفون!$L105*cfg_OT_P)/cfg_DAYS_M/cfg_HRS)</f>
        <v/>
      </c>
      <c r="Q105" s="116" t="str">
        <f aca="false">IF($B105="","",SUMIFS('الحركات الشهرية'!$G$6:$G$1005,'الحركات الشهرية'!$B$6:$B$1005,$B105,'الحركات الشهرية'!$A$6:$A$1005,$C$3))</f>
        <v/>
      </c>
      <c r="R105" s="116" t="str">
        <f aca="false">IF($B105="","",SUMIFS('الحركات الشهرية'!$H$6:$H$1005,'الحركات الشهرية'!$B$6:$B$1005,$B105,'الحركات الشهرية'!$A$6:$A$1005,$C$3))</f>
        <v/>
      </c>
      <c r="S105" s="116" t="str">
        <f aca="false">IF($B105="","",SUMIFS('سجل الإجازات والحالات'!$N$6:$N$505,'سجل الإجازات والحالات'!$B$6:$B$505,$B105,'سجل الإجازات والحالات'!$O$6:$O$505,$C$3))</f>
        <v/>
      </c>
      <c r="T105" s="157" t="str">
        <f aca="false">IF($B105="","",SUM(K105:N105)+SUM(P105:S105))</f>
        <v/>
      </c>
      <c r="U105" s="116" t="str">
        <f aca="false">IF($B105="","",الموظفون!$S105*IF(E105="سعودي",cfg_G_SE,cfg_G_NE)*G105/cfg_DAYS_M)</f>
        <v/>
      </c>
      <c r="V105" s="116" t="str">
        <f aca="false">IF($B105="","",SUMIFS('الحركات الشهرية'!$I$6:$I$1005,'الحركات الشهرية'!$B$6:$B$1005,$B105,'الحركات الشهرية'!$A$6:$A$1005,$C$3))</f>
        <v/>
      </c>
      <c r="W105" s="116" t="str">
        <f aca="false">IF($B105="","",SUMIFS('الحركات الشهرية'!$J$6:$J$1005,'الحركات الشهرية'!$B$6:$B$1005,$B105,'الحركات الشهرية'!$A$6:$A$1005,$C$3))</f>
        <v/>
      </c>
      <c r="X105" s="116" t="str">
        <f aca="false">IF($B105="","",SUM(U105:W105))</f>
        <v/>
      </c>
      <c r="Y105" s="158" t="str">
        <f aca="false">IF($B105="","",T105-X105)</f>
        <v/>
      </c>
      <c r="Z105" s="116" t="str">
        <f aca="false">IF($B105="","",الموظفون!$S105*IF(E105="سعودي",cfg_G_SR,cfg_G_NR)*G105/cfg_DAYS_M)</f>
        <v/>
      </c>
      <c r="AA105" s="116" t="str">
        <f aca="false">IF($B105="","",الموظفون!$Q105*(cfg_EOS_R1*(MIN(AH105,cfg_EOS_TH)-MIN(AI105,cfg_EOS_TH))+cfg_EOS_R2*(MAX(AH105-cfg_EOS_TH,0)-MAX(AI105-cfg_EOS_TH,0))))</f>
        <v/>
      </c>
      <c r="AB105" s="116" t="str">
        <f aca="false">IF($B105="","",IF(الموظفون!$T105&lt;&gt;"",الموظفون!$T105,IF(AH105&gt;=cfg_LV_TH,cfg_LV_D2,cfg_LV_D1))/cfg_DAYS_Y*AJ105*الموظفون!$R105/cfg_DAYS_M)</f>
        <v/>
      </c>
      <c r="AC105" s="116" t="str">
        <f aca="false">IF($B105="","",IF(AND(الموظفون!$U105="نعم",N(الموظفون!$W105)&gt;0),الموظفون!$V105/الموظفون!$W105*12/cfg_DAYS_Y*AJ105,0))</f>
        <v/>
      </c>
      <c r="AD105" s="116" t="str">
        <f aca="false">IF($B105="","",(IF(الموظفون!$X105&lt;&gt;"",الموظفون!$X105,IF(الموظفون!$E105="غير سعودي",cfg_IQ,0))+IF(الموظفون!$Y105&lt;&gt;"",الموظفون!$Y105,IF(الموظفون!$E105="غير سعودي",cfg_WP,0)))/12*G105/cfg_DAYS_M)</f>
        <v/>
      </c>
      <c r="AE105" s="116" t="str">
        <f aca="false">IF($B105="","",IF(الموظفون!$Z105&lt;&gt;"",الموظفون!$Z105,cfg_MED)/12*G105/cfg_DAYS_M)</f>
        <v/>
      </c>
      <c r="AF105" s="116" t="str">
        <f aca="false">IF($B105="","",N(الموظفون!$AA105)/12*G105/cfg_DAYS_M)</f>
        <v/>
      </c>
      <c r="AG105" s="159" t="str">
        <f aca="false">IF($B105="","",T105+SUM(Z105:AF105))</f>
        <v/>
      </c>
      <c r="AH105" s="160" t="str">
        <f aca="false">IF($B105="","",MAX(0,IF(OR(الموظفون!$AE105="",الموظفون!$AE105&gt;$F$3),$F$3,الموظفون!$AE105)-الموظفون!$H105+1-SUMIFS('سجل الإجازات والحالات'!$AO$6:$AO$505,'سجل الإجازات والحالات'!$B$6:$B$505,$B105))/cfg_DAYS_Y)</f>
        <v/>
      </c>
      <c r="AI105" s="160" t="str">
        <f aca="false">IF($B105="","",MAX(0,IF(OR(الموظفون!$AE105="",الموظفون!$AE105&gt;($E$3-1)),($E$3-1),الموظفون!$AE105)-الموظفون!$H105+1-SUMIFS('سجل الإجازات والحالات'!$AN$6:$AN$505,'سجل الإجازات والحالات'!$B$6:$B$505,$B105))/cfg_DAYS_Y)</f>
        <v/>
      </c>
      <c r="AJ105" s="133" t="str">
        <f aca="false">IF($B105="","",MAX(0,AK105-(SUMIFS('سجل الإجازات والحالات'!$AO$6:$AO$505,'سجل الإجازات والحالات'!$B$6:$B$505,$B105)-SUMIFS('سجل الإجازات والحالات'!$AN$6:$AN$505,'سجل الإجازات والحالات'!$B$6:$B$505,$B105))))</f>
        <v/>
      </c>
      <c r="AK105" s="133" t="str">
        <f aca="false">IF($B105="","",MAX(0,IF(OR(الموظفون!$AE105="",الموظفون!$AE105&gt;$F$3),$F$3,الموظفون!$AE105)-MAX($E$3,الموظفون!$H105)+1))</f>
        <v/>
      </c>
      <c r="AL105" s="156" t="str">
        <f aca="false">IF($B105="","",SUMIFS('سجل الإجازات والحالات'!$BA$6:$BA$505,'سجل الإجازات والحالات'!$B$6:$B$505,$B105)+SUMIFS('الحركات الشهرية'!$K$6:$K$1005,'الحركات الشهرية'!$B$6:$B$1005,$B105,'الحركات الشهرية'!$A$6:$A$1005,$C$3))</f>
        <v/>
      </c>
      <c r="AM105" s="116" t="str">
        <f aca="false">IF($B105="","",AL105*الموظفون!$R105/cfg_DAYS_M+S105)</f>
        <v/>
      </c>
      <c r="AN105" s="156" t="str">
        <f aca="false">IF($B105="","",SUMIFS('سجل الإجازات والحالات'!$AC$6:$AC$505,'سجل الإجازات والحالات'!$B$6:$B$505,$B105))</f>
        <v/>
      </c>
    </row>
    <row r="106" customFormat="false" ht="24" hidden="false" customHeight="true" outlineLevel="0" collapsed="false">
      <c r="A106" s="124"/>
      <c r="B106" s="125" t="str">
        <f aca="false">COUNTIF(G6:G105,"&gt;0")&amp;" موظف"</f>
        <v>11 موظف</v>
      </c>
      <c r="C106" s="124" t="s">
        <v>161</v>
      </c>
      <c r="D106" s="124"/>
      <c r="E106" s="124"/>
      <c r="F106" s="125" t="str">
        <f aca="false">COUNTIFS(G6:G105,"&gt;0",J6:J105,0)&amp;" بدون راتب"</f>
        <v>0 بدون راتب</v>
      </c>
      <c r="G106" s="124"/>
      <c r="H106" s="161" t="n">
        <f aca="false">SUM(H6:H105)</f>
        <v>0</v>
      </c>
      <c r="I106" s="161" t="n">
        <f aca="false">SUM(I6:I105)</f>
        <v>24</v>
      </c>
      <c r="J106" s="161" t="n">
        <f aca="false">SUM(J6:J105)</f>
        <v>306</v>
      </c>
      <c r="K106" s="125" t="n">
        <f aca="false">SUM(K6:K105)</f>
        <v>129450</v>
      </c>
      <c r="L106" s="125" t="n">
        <f aca="false">SUM(L6:L105)</f>
        <v>32362.5</v>
      </c>
      <c r="M106" s="125" t="n">
        <f aca="false">SUM(M6:M105)</f>
        <v>12945</v>
      </c>
      <c r="N106" s="125" t="n">
        <f aca="false">SUM(N6:N105)</f>
        <v>9810</v>
      </c>
      <c r="O106" s="161" t="n">
        <f aca="false">SUM(O6:O105)</f>
        <v>0</v>
      </c>
      <c r="P106" s="125" t="n">
        <f aca="false">SUM(P6:P105)</f>
        <v>0</v>
      </c>
      <c r="Q106" s="125" t="n">
        <f aca="false">SUM(Q6:Q105)</f>
        <v>0</v>
      </c>
      <c r="R106" s="125" t="n">
        <f aca="false">SUM(R6:R105)</f>
        <v>0</v>
      </c>
      <c r="S106" s="125" t="n">
        <f aca="false">SUM(S6:S105)</f>
        <v>8505</v>
      </c>
      <c r="T106" s="125" t="n">
        <f aca="false">SUM(T6:T105)</f>
        <v>193072.5</v>
      </c>
      <c r="U106" s="125" t="n">
        <f aca="false">SUM(U6:U105)</f>
        <v>12370.3125</v>
      </c>
      <c r="V106" s="125" t="n">
        <f aca="false">SUM(V6:V105)</f>
        <v>0</v>
      </c>
      <c r="W106" s="125" t="n">
        <f aca="false">SUM(W6:W105)</f>
        <v>0</v>
      </c>
      <c r="X106" s="125" t="n">
        <f aca="false">SUM(X6:X105)</f>
        <v>12370.3125</v>
      </c>
      <c r="Y106" s="125" t="n">
        <f aca="false">SUM(Y6:Y105)</f>
        <v>180702.1875</v>
      </c>
      <c r="Z106" s="125" t="n">
        <f aca="false">SUM(Z6:Z105)</f>
        <v>15782.8125</v>
      </c>
      <c r="AA106" s="125" t="n">
        <f aca="false">SUM(AA6:AA105)</f>
        <v>13975.2739726027</v>
      </c>
      <c r="AB106" s="125" t="n">
        <f aca="false">SUM(AB6:AB105)</f>
        <v>14612.1780821918</v>
      </c>
      <c r="AC106" s="125" t="n">
        <f aca="false">SUM(AC6:AC105)</f>
        <v>849.315068493151</v>
      </c>
      <c r="AD106" s="125" t="n">
        <f aca="false">SUM(AD6:AD105)</f>
        <v>3416.66666666667</v>
      </c>
      <c r="AE106" s="125" t="n">
        <f aca="false">SUM(AE6:AE105)</f>
        <v>2650</v>
      </c>
      <c r="AF106" s="125" t="n">
        <f aca="false">SUM(AF6:AF105)</f>
        <v>400</v>
      </c>
      <c r="AG106" s="125" t="n">
        <f aca="false">SUM(AG6:AG105)</f>
        <v>244758.746289954</v>
      </c>
      <c r="AH106" s="124"/>
      <c r="AI106" s="124"/>
      <c r="AJ106" s="124"/>
      <c r="AK106" s="124"/>
      <c r="AL106" s="161" t="n">
        <f aca="false">SUM(AL6:AL105)</f>
        <v>0</v>
      </c>
      <c r="AM106" s="125" t="n">
        <f aca="false">SUM(AM6:AM105)</f>
        <v>8505</v>
      </c>
      <c r="AN106" s="124"/>
    </row>
    <row r="107" customFormat="false" ht="48" hidden="false" customHeight="true" outlineLevel="0" collapsed="false">
      <c r="A107" s="24" t="s">
        <v>505</v>
      </c>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row>
  </sheetData>
  <sheetProtection sheet="true" password="ffa5" objects="true" scenarios="true"/>
  <autoFilter ref="A5:AN105"/>
  <mergeCells count="6">
    <mergeCell ref="A1:AG1"/>
    <mergeCell ref="A2:AG2"/>
    <mergeCell ref="G3:H3"/>
    <mergeCell ref="J3:K3"/>
    <mergeCell ref="L3:M3"/>
    <mergeCell ref="A107:AN107"/>
  </mergeCells>
  <conditionalFormatting sqref="G3">
    <cfRule type="expression" priority="2" aboveAverage="0" equalAverage="0" bottom="0" percent="0" rank="0" text="" dxfId="0">
      <formula>ISNUMBER(SEARCH("✔",G3))</formula>
    </cfRule>
    <cfRule type="expression" priority="3" aboveAverage="0" equalAverage="0" bottom="0" percent="0" rank="0" text="" dxfId="1">
      <formula>ISNUMBER(SEARCH("✖",G3))</formula>
    </cfRule>
    <cfRule type="expression" priority="4" aboveAverage="0" equalAverage="0" bottom="0" percent="0" rank="0" text="" dxfId="2">
      <formula>ISNUMBER(SEARCH("⚠",G3))</formula>
    </cfRule>
    <cfRule type="expression" priority="5" aboveAverage="0" equalAverage="0" bottom="0" percent="0" rank="0" text="" dxfId="3">
      <formula>ISNUMBER(SEARCH("✈",G3))</formula>
    </cfRule>
    <cfRule type="expression" priority="6" aboveAverage="0" equalAverage="0" bottom="0" percent="0" rank="0" text="" dxfId="1">
      <formula>ISNUMBER(SEARCH("⛔",G3))</formula>
    </cfRule>
    <cfRule type="expression" priority="7" aboveAverage="0" equalAverage="0" bottom="0" percent="0" rank="0" text="" dxfId="0">
      <formula>ISNUMBER(SEARCH("🌴",G3))</formula>
    </cfRule>
    <cfRule type="expression" priority="8" aboveAverage="0" equalAverage="0" bottom="0" percent="0" rank="0" text="" dxfId="4">
      <formula>ISNUMBER(SEARCH("⏳",G3))</formula>
    </cfRule>
  </conditionalFormatting>
  <conditionalFormatting sqref="F6:F105">
    <cfRule type="expression" priority="9" aboveAverage="0" equalAverage="0" bottom="0" percent="0" rank="0" text="" dxfId="0">
      <formula>ISNUMBER(SEARCH("✔",F6))</formula>
    </cfRule>
    <cfRule type="expression" priority="10" aboveAverage="0" equalAverage="0" bottom="0" percent="0" rank="0" text="" dxfId="1">
      <formula>ISNUMBER(SEARCH("✖",F6))</formula>
    </cfRule>
    <cfRule type="expression" priority="11" aboveAverage="0" equalAverage="0" bottom="0" percent="0" rank="0" text="" dxfId="2">
      <formula>ISNUMBER(SEARCH("⚠",F6))</formula>
    </cfRule>
    <cfRule type="expression" priority="12" aboveAverage="0" equalAverage="0" bottom="0" percent="0" rank="0" text="" dxfId="3">
      <formula>ISNUMBER(SEARCH("✈",F6))</formula>
    </cfRule>
    <cfRule type="expression" priority="13" aboveAverage="0" equalAverage="0" bottom="0" percent="0" rank="0" text="" dxfId="1">
      <formula>ISNUMBER(SEARCH("⛔",F6))</formula>
    </cfRule>
    <cfRule type="expression" priority="14" aboveAverage="0" equalAverage="0" bottom="0" percent="0" rank="0" text="" dxfId="0">
      <formula>ISNUMBER(SEARCH("🌴",F6))</formula>
    </cfRule>
    <cfRule type="expression" priority="15" aboveAverage="0" equalAverage="0" bottom="0" percent="0" rank="0" text="" dxfId="4">
      <formula>ISNUMBER(SEARCH("⏳",F6))</formula>
    </cfRule>
  </conditionalFormatting>
  <conditionalFormatting sqref="G6:AN105">
    <cfRule type="expression" priority="16" aboveAverage="0" equalAverage="0" bottom="0" percent="0" rank="0" text="" dxfId="31">
      <formula>AND($B6&lt;&gt;"",$J6=0)</formula>
    </cfRule>
  </conditionalFormatting>
  <conditionalFormatting sqref="Y6:Y105">
    <cfRule type="expression" priority="17" aboveAverage="0" equalAverage="0" bottom="0" percent="0" rank="0" text="" dxfId="1">
      <formula>AND(ISNUMBER(Y6),Y6&lt;0)</formula>
    </cfRule>
  </conditionalFormatting>
  <hyperlinks>
    <hyperlink ref="A2" r:id="rId1" display="https://accopro.net/"/>
    <hyperlink ref="J3" location="'مسير يوليو'!A1" display="◀ الشهر السابق"/>
    <hyperlink ref="L3" location="'مسير سبتمبر'!A1" display="الشهر التالي ▶"/>
    <hyperlink ref="O3" location="'الرئيسية'!A1" display="🏠 الرئيسية"/>
    <hyperlink ref="P3" location="'لوحة التحكم'!A1" display="📊 لوحة التحكم"/>
    <hyperlink ref="R3" location="'الموظفون'!A1" display="👥 الموظفون"/>
    <hyperlink ref="S3" location="'سجل الإجازات والحالات'!A1" display="🌴 سجل الإجازات"/>
    <hyperlink ref="U3" location="'الحركات الشهرية'!A1" display="✍ الحركات"/>
    <hyperlink ref="W3" location="'الملخص الشهري'!A1" display="📅 الملخص الشهري"/>
    <hyperlink ref="Y3" location="'قيود الرواتب'!A1" display="🧾 القيود"/>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&amp;Cنسخة تجريبية — النسخة الكاملة: accopro.net</oddHeader>
    <oddFooter>&amp;CAccoPro — https://accopro.net</oddFooter>
  </headerFooter>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N107"/>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24"/>
    <col collapsed="false" customWidth="true" hidden="false" outlineLevel="0" max="4" min="4" style="0" width="14"/>
    <col collapsed="false" customWidth="true" hidden="false" outlineLevel="0" max="5" min="5" style="0" width="10"/>
    <col collapsed="false" customWidth="true" hidden="false" outlineLevel="0" max="6" min="6" style="0" width="20"/>
    <col collapsed="false" customWidth="true" hidden="false" outlineLevel="0" max="8" min="7" style="0" width="8"/>
    <col collapsed="false" customWidth="true" hidden="false" outlineLevel="0" max="9" min="9" style="0" width="9"/>
    <col collapsed="false" customWidth="true" hidden="false" outlineLevel="0" max="10" min="10" style="0" width="8"/>
    <col collapsed="false" customWidth="true" hidden="false" outlineLevel="0" max="11" min="11" style="0" width="12"/>
    <col collapsed="false" customWidth="true" hidden="false" outlineLevel="0" max="12" min="12" style="0" width="11"/>
    <col collapsed="false" customWidth="true" hidden="false" outlineLevel="0" max="14" min="13" style="0" width="10"/>
    <col collapsed="false" customWidth="true" hidden="false" outlineLevel="0" max="15" min="15" style="0" width="7"/>
    <col collapsed="false" customWidth="true" hidden="false" outlineLevel="0" max="19" min="16" style="0" width="11"/>
    <col collapsed="false" customWidth="true" hidden="false" outlineLevel="0" max="20" min="20" style="0" width="13"/>
    <col collapsed="false" customWidth="true" hidden="false" outlineLevel="0" max="21" min="21" style="0" width="11"/>
    <col collapsed="false" customWidth="true" hidden="false" outlineLevel="0" max="23" min="22" style="0" width="10"/>
    <col collapsed="false" customWidth="true" hidden="false" outlineLevel="0" max="24" min="24" style="0" width="12"/>
    <col collapsed="false" customWidth="true" hidden="false" outlineLevel="0" max="25" min="25" style="0" width="13"/>
    <col collapsed="false" customWidth="true" hidden="false" outlineLevel="0" max="26" min="26" style="0" width="11"/>
    <col collapsed="false" customWidth="true" hidden="false" outlineLevel="0" max="27" min="27" style="0" width="12"/>
    <col collapsed="false" customWidth="true" hidden="false" outlineLevel="0" max="29" min="28" style="0" width="11"/>
    <col collapsed="false" customWidth="true" hidden="false" outlineLevel="0" max="30" min="30" style="0" width="12"/>
    <col collapsed="false" customWidth="true" hidden="false" outlineLevel="0" max="31" min="31" style="0" width="11"/>
    <col collapsed="false" customWidth="true" hidden="false" outlineLevel="0" max="32" min="32" style="0" width="10"/>
    <col collapsed="false" customWidth="true" hidden="false" outlineLevel="0" max="33" min="33" style="0" width="14"/>
    <col collapsed="false" customWidth="true" hidden="true" outlineLevel="0" max="38" min="34" style="0" width="9"/>
    <col collapsed="false" customWidth="true" hidden="true" outlineLevel="0" max="39" min="39" style="0" width="11"/>
    <col collapsed="false" customWidth="true" hidden="true" outlineLevel="0" max="40" min="40" style="0" width="9"/>
  </cols>
  <sheetData>
    <row r="1" customFormat="false" ht="37.5" hidden="false" customHeight="true" outlineLevel="0" collapsed="false">
      <c r="A1" s="136" t="str">
        <f aca="false">"💵 مسير رواتب شهر سبتمبر "&amp;cfg_FY&amp;"   🔒 نسخة تجريبية"</f>
        <v>💵 مسير رواتب شهر سبتمبر 2026   🔒 نسخة تجريبية</v>
      </c>
      <c r="B1" s="136"/>
      <c r="C1" s="136"/>
      <c r="D1" s="136"/>
      <c r="E1" s="136"/>
      <c r="F1" s="136"/>
      <c r="G1" s="136"/>
      <c r="H1" s="136"/>
      <c r="I1" s="136"/>
      <c r="J1" s="136"/>
      <c r="K1" s="136"/>
      <c r="L1" s="136"/>
      <c r="M1" s="136"/>
      <c r="N1" s="136"/>
      <c r="O1" s="136"/>
      <c r="P1" s="136"/>
      <c r="Q1" s="136"/>
      <c r="R1" s="136"/>
      <c r="S1" s="136"/>
      <c r="T1" s="136"/>
      <c r="U1" s="136"/>
      <c r="V1" s="136"/>
      <c r="W1" s="136"/>
      <c r="X1" s="136"/>
      <c r="Y1" s="136"/>
      <c r="Z1" s="136"/>
      <c r="AA1" s="136"/>
      <c r="AB1" s="136"/>
      <c r="AC1" s="136"/>
      <c r="AD1" s="136"/>
      <c r="AE1" s="136"/>
      <c r="AF1" s="136"/>
      <c r="AG1" s="136"/>
    </row>
    <row r="2" customFormat="false" ht="19.5" hidden="false" customHeight="true" outlineLevel="0" collapsed="false">
      <c r="A2" s="2" t="str">
        <f aca="false">"🛒 نسخة تجريبية — للنسخة الكاملة اضغط هنا ← accopro.net   |   "&amp;cfg_CO&amp;"   |   السنة المالية "&amp;cfg_FY&amp;"   |   شهر التقرير: "&amp;INDEX(L_MONTH,cfg_VAL_M)&amp;"   |   المبالغ بـ "&amp;cfg_CUR</f>
        <v>🛒 نسخة تجريبية — للنسخة الكاملة اضغط هنا ← accopro.net   |   شركة النخبة للتجارة والمقاولات   |   السنة المالية 2026   |   شهر التقرير: سبتمبر   |   المبالغ بـ ريال سعودي</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row>
    <row r="3" customFormat="false" ht="25.5" hidden="false" customHeight="true" outlineLevel="0" collapsed="false">
      <c r="B3" s="137" t="s">
        <v>163</v>
      </c>
      <c r="C3" s="138" t="n">
        <v>9</v>
      </c>
      <c r="D3" s="137" t="s">
        <v>472</v>
      </c>
      <c r="E3" s="139" t="n">
        <f aca="false">DATE(cfg_FY,C3,1)</f>
        <v>46266</v>
      </c>
      <c r="F3" s="139" t="n">
        <f aca="false">EOMONTH(E3,0)</f>
        <v>46295</v>
      </c>
      <c r="G3" s="140" t="str">
        <f aca="false">IF(C3&lt;=cfg_VAL_M,"✔ فعلي","⚠ متوقع")</f>
        <v>✔ فعلي</v>
      </c>
      <c r="H3" s="140"/>
      <c r="J3" s="141" t="s">
        <v>506</v>
      </c>
      <c r="K3" s="141"/>
      <c r="L3" s="141" t="s">
        <v>473</v>
      </c>
      <c r="M3" s="141"/>
      <c r="O3" s="31" t="s">
        <v>114</v>
      </c>
      <c r="P3" s="12" t="s">
        <v>172</v>
      </c>
      <c r="R3" s="32" t="s">
        <v>116</v>
      </c>
      <c r="S3" s="33" t="s">
        <v>117</v>
      </c>
      <c r="U3" s="32" t="s">
        <v>118</v>
      </c>
      <c r="W3" s="32" t="s">
        <v>39</v>
      </c>
      <c r="Y3" s="32" t="s">
        <v>173</v>
      </c>
    </row>
    <row r="4" customFormat="false" ht="7.5" hidden="false" customHeight="true" outlineLevel="0" collapsed="false"/>
    <row r="5" customFormat="false" ht="51.75" hidden="false" customHeight="true" outlineLevel="0" collapsed="false">
      <c r="A5" s="142" t="s">
        <v>308</v>
      </c>
      <c r="B5" s="142" t="s">
        <v>309</v>
      </c>
      <c r="C5" s="142" t="s">
        <v>310</v>
      </c>
      <c r="D5" s="142" t="s">
        <v>156</v>
      </c>
      <c r="E5" s="142" t="s">
        <v>142</v>
      </c>
      <c r="F5" s="142" t="s">
        <v>474</v>
      </c>
      <c r="G5" s="143" t="s">
        <v>475</v>
      </c>
      <c r="H5" s="143" t="s">
        <v>476</v>
      </c>
      <c r="I5" s="143" t="s">
        <v>477</v>
      </c>
      <c r="J5" s="143" t="s">
        <v>478</v>
      </c>
      <c r="K5" s="144" t="s">
        <v>479</v>
      </c>
      <c r="L5" s="144" t="s">
        <v>480</v>
      </c>
      <c r="M5" s="144" t="s">
        <v>481</v>
      </c>
      <c r="N5" s="144" t="s">
        <v>482</v>
      </c>
      <c r="O5" s="144" t="s">
        <v>483</v>
      </c>
      <c r="P5" s="144" t="s">
        <v>484</v>
      </c>
      <c r="Q5" s="144" t="s">
        <v>451</v>
      </c>
      <c r="R5" s="144" t="s">
        <v>485</v>
      </c>
      <c r="S5" s="144" t="s">
        <v>486</v>
      </c>
      <c r="T5" s="144" t="s">
        <v>127</v>
      </c>
      <c r="U5" s="145" t="s">
        <v>487</v>
      </c>
      <c r="V5" s="145" t="s">
        <v>453</v>
      </c>
      <c r="W5" s="145" t="s">
        <v>454</v>
      </c>
      <c r="X5" s="145" t="s">
        <v>488</v>
      </c>
      <c r="Y5" s="146" t="s">
        <v>489</v>
      </c>
      <c r="Z5" s="147" t="s">
        <v>490</v>
      </c>
      <c r="AA5" s="147" t="s">
        <v>491</v>
      </c>
      <c r="AB5" s="147" t="s">
        <v>492</v>
      </c>
      <c r="AC5" s="147" t="s">
        <v>493</v>
      </c>
      <c r="AD5" s="148" t="s">
        <v>494</v>
      </c>
      <c r="AE5" s="148" t="s">
        <v>495</v>
      </c>
      <c r="AF5" s="148" t="s">
        <v>496</v>
      </c>
      <c r="AG5" s="149" t="s">
        <v>497</v>
      </c>
      <c r="AH5" s="150" t="s">
        <v>498</v>
      </c>
      <c r="AI5" s="150" t="s">
        <v>499</v>
      </c>
      <c r="AJ5" s="150" t="s">
        <v>500</v>
      </c>
      <c r="AK5" s="150" t="s">
        <v>501</v>
      </c>
      <c r="AL5" s="150" t="s">
        <v>502</v>
      </c>
      <c r="AM5" s="150" t="s">
        <v>503</v>
      </c>
      <c r="AN5" s="150" t="s">
        <v>504</v>
      </c>
    </row>
    <row r="6" customFormat="false" ht="15" hidden="false" customHeight="false" outlineLevel="0" collapsed="false">
      <c r="A6" s="106" t="n">
        <f aca="false">IF($B6="","",الموظفون!$A6)</f>
        <v>1</v>
      </c>
      <c r="B6" s="114" t="str">
        <f aca="false">IF(الموظفون!$B6="","",الموظفون!$B6)</f>
        <v>E001</v>
      </c>
      <c r="C6" s="114" t="str">
        <f aca="false">IF($B6="","",الموظفون!$C6)</f>
        <v>عبدالله محمد العتيبي</v>
      </c>
      <c r="D6" s="114" t="str">
        <f aca="false">IF($B6="","",الموظفون!$F6)</f>
        <v>الإدارة العليا</v>
      </c>
      <c r="E6" s="114" t="str">
        <f aca="false">IF($B6="","",الموظفون!$E6)</f>
        <v>سعودي</v>
      </c>
      <c r="F6" s="114" t="str">
        <f aca="false">IF($B6="","",IF(AK6=0,IF(AND(الموظفون!$AE6&lt;&gt;"",الموظفون!$AE6&lt;$E$3),"✖ منتهي الخدمة","⏳ لم يباشر"),IF(S6&gt;0,"✈ راتب إجازة مقدم",IF(J6=0,"⛔ بدون راتب هذا الشهر",IF(I6&gt;0,"✈ خصم "&amp;ROUND(I6,2)&amp;" يوم بدون أجر",IF(AL6&gt;0,"🌴 إجازة سنوية "&amp;ROUND(AL6,2)&amp;" يوم",IF(H6&gt;0,"⚠ غياب "&amp;ROUND(H6,2)&amp;" يوم","✔ على رأس العمل")))))))</f>
        <v>✔ على رأس العمل</v>
      </c>
      <c r="G6" s="151" t="n">
        <f aca="false">IF($B6="","",IF(AK6&gt;=DAY($F$3),cfg_DAYS_M,MIN(AK6,cfg_DAYS_M)))</f>
        <v>30</v>
      </c>
      <c r="H6" s="151" t="n">
        <f aca="false">IF($B6="","",SUMIFS('الحركات الشهرية'!$D$6:$D$1005,'الحركات الشهرية'!$B$6:$B$1005,$B6,'الحركات الشهرية'!$A$6:$A$1005,$C$3))</f>
        <v>0</v>
      </c>
      <c r="I6" s="151" t="n">
        <f aca="false">IF($B6="","",MIN(G6,IF(AND(AK6&gt;0,AN6&gt;=AK6),G6,AN6)+SUMIFS('الحركات الشهرية'!$E$6:$E$1005,'الحركات الشهرية'!$B$6:$B$1005,$B6,'الحركات الشهرية'!$A$6:$A$1005,$C$3)))</f>
        <v>0</v>
      </c>
      <c r="J6" s="151" t="n">
        <f aca="false">IF($B6="","",MAX(0,G6-H6-I6))</f>
        <v>30</v>
      </c>
      <c r="K6" s="111" t="n">
        <f aca="false">IF($B6="","",الموظفون!$L6*$J6/cfg_DAYS_M)</f>
        <v>28000</v>
      </c>
      <c r="L6" s="111" t="n">
        <f aca="false">IF($B6="","",الموظفون!$M6*$J6/cfg_DAYS_M)</f>
        <v>7000</v>
      </c>
      <c r="M6" s="111" t="n">
        <f aca="false">IF($B6="","",الموظفون!$N6*$J6/cfg_DAYS_M)</f>
        <v>2800</v>
      </c>
      <c r="N6" s="111" t="n">
        <f aca="false">IF($B6="","",الموظفون!$O6*$J6/cfg_DAYS_M)</f>
        <v>3000</v>
      </c>
      <c r="O6" s="151" t="n">
        <f aca="false">IF($B6="","",SUMIFS('الحركات الشهرية'!$F$6:$F$1005,'الحركات الشهرية'!$B$6:$B$1005,$B6,'الحركات الشهرية'!$A$6:$A$1005,$C$3))</f>
        <v>0</v>
      </c>
      <c r="P6" s="111" t="n">
        <f aca="false">IF($B6="","",O6*(الموظفون!$P6+الموظفون!$L6*cfg_OT_P)/cfg_DAYS_M/cfg_HRS)</f>
        <v>0</v>
      </c>
      <c r="Q6" s="111" t="n">
        <f aca="false">IF($B6="","",SUMIFS('الحركات الشهرية'!$G$6:$G$1005,'الحركات الشهرية'!$B$6:$B$1005,$B6,'الحركات الشهرية'!$A$6:$A$1005,$C$3))</f>
        <v>0</v>
      </c>
      <c r="R6" s="111" t="n">
        <f aca="false">IF($B6="","",SUMIFS('الحركات الشهرية'!$H$6:$H$1005,'الحركات الشهرية'!$B$6:$B$1005,$B6,'الحركات الشهرية'!$A$6:$A$1005,$C$3))</f>
        <v>0</v>
      </c>
      <c r="S6" s="111" t="n">
        <f aca="false">IF($B6="","",SUMIFS('سجل الإجازات والحالات'!$N$6:$N$505,'سجل الإجازات والحالات'!$B$6:$B$505,$B6,'سجل الإجازات والحالات'!$O$6:$O$505,$C$3))</f>
        <v>0</v>
      </c>
      <c r="T6" s="152" t="n">
        <f aca="false">IF($B6="","",SUM(K6:N6)+SUM(P6:S6))</f>
        <v>40800</v>
      </c>
      <c r="U6" s="111" t="n">
        <f aca="false">IF($B6="","",الموظفون!$S6*IF(E6="سعودي",cfg_G_SE,cfg_G_NE)*G6/cfg_DAYS_M)</f>
        <v>3412.5</v>
      </c>
      <c r="V6" s="111" t="n">
        <f aca="false">IF($B6="","",SUMIFS('الحركات الشهرية'!$I$6:$I$1005,'الحركات الشهرية'!$B$6:$B$1005,$B6,'الحركات الشهرية'!$A$6:$A$1005,$C$3))</f>
        <v>0</v>
      </c>
      <c r="W6" s="111" t="n">
        <f aca="false">IF($B6="","",SUMIFS('الحركات الشهرية'!$J$6:$J$1005,'الحركات الشهرية'!$B$6:$B$1005,$B6,'الحركات الشهرية'!$A$6:$A$1005,$C$3))</f>
        <v>0</v>
      </c>
      <c r="X6" s="111" t="n">
        <f aca="false">IF($B6="","",SUM(U6:W6))</f>
        <v>3412.5</v>
      </c>
      <c r="Y6" s="153" t="n">
        <f aca="false">IF($B6="","",T6-X6)</f>
        <v>37387.5</v>
      </c>
      <c r="Z6" s="111" t="n">
        <f aca="false">IF($B6="","",الموظفون!$S6*IF(E6="سعودي",cfg_G_SR,cfg_G_NR)*G6/cfg_DAYS_M)</f>
        <v>4112.5</v>
      </c>
      <c r="AA6" s="111" t="n">
        <f aca="false">IF($B6="","",الموظفون!$Q6*(cfg_EOS_R1*(MIN(AH6,cfg_EOS_TH)-MIN(AI6,cfg_EOS_TH))+cfg_EOS_R2*(MAX(AH6-cfg_EOS_TH,0)-MAX(AI6-cfg_EOS_TH,0))))</f>
        <v>3106.84931506854</v>
      </c>
      <c r="AB6" s="111" t="n">
        <f aca="false">IF($B6="","",IF(الموظفون!$T6&lt;&gt;"",الموظفون!$T6,IF(AH6&gt;=cfg_LV_TH,cfg_LV_D2,cfg_LV_D1))/cfg_DAYS_Y*AJ6*الموظفون!$R6/cfg_DAYS_M)</f>
        <v>3106.84931506849</v>
      </c>
      <c r="AC6" s="111" t="n">
        <f aca="false">IF($B6="","",IF(AND(الموظفون!$U6="نعم",N(الموظفون!$W6)&gt;0),الموظفون!$V6/الموظفون!$W6*12/cfg_DAYS_Y*AJ6,0))</f>
        <v>0</v>
      </c>
      <c r="AD6" s="111" t="n">
        <f aca="false">IF($B6="","",(IF(الموظفون!$X6&lt;&gt;"",الموظفون!$X6,IF(الموظفون!$E6="غير سعودي",cfg_IQ,0))+IF(الموظفون!$Y6&lt;&gt;"",الموظفون!$Y6,IF(الموظفون!$E6="غير سعودي",cfg_WP,0)))/12*G6/cfg_DAYS_M)</f>
        <v>0</v>
      </c>
      <c r="AE6" s="111" t="n">
        <f aca="false">IF($B6="","",IF(الموظفون!$Z6&lt;&gt;"",الموظفون!$Z6,cfg_MED)/12*G6/cfg_DAYS_M)</f>
        <v>400</v>
      </c>
      <c r="AF6" s="111" t="n">
        <f aca="false">IF($B6="","",N(الموظفون!$AA6)/12*G6/cfg_DAYS_M)</f>
        <v>0</v>
      </c>
      <c r="AG6" s="154" t="n">
        <f aca="false">IF($B6="","",T6+SUM(Z6:AF6))</f>
        <v>51526.198630137</v>
      </c>
      <c r="AH6" s="155" t="n">
        <f aca="false">IF($B6="","",MAX(0,IF(OR(الموظفون!$AE6="",الموظفون!$AE6&gt;$F$3),$F$3,الموظفون!$AE6)-الموظفون!$H6+1-SUMIFS('سجل الإجازات والحالات'!$AP$6:$AP$505,'سجل الإجازات والحالات'!$B$6:$B$505,$B6))/cfg_DAYS_Y)</f>
        <v>14.7205479452055</v>
      </c>
      <c r="AI6" s="155" t="n">
        <f aca="false">IF($B6="","",MAX(0,IF(OR(الموظفون!$AE6="",الموظفون!$AE6&gt;($E$3-1)),($E$3-1),الموظفون!$AE6)-الموظفون!$H6+1-SUMIFS('سجل الإجازات والحالات'!$AO$6:$AO$505,'سجل الإجازات والحالات'!$B$6:$B$505,$B6))/cfg_DAYS_Y)</f>
        <v>14.6383561643836</v>
      </c>
      <c r="AJ6" s="65" t="n">
        <f aca="false">IF($B6="","",MAX(0,AK6-(SUMIFS('سجل الإجازات والحالات'!$AP$6:$AP$505,'سجل الإجازات والحالات'!$B$6:$B$505,$B6)-SUMIFS('سجل الإجازات والحالات'!$AO$6:$AO$505,'سجل الإجازات والحالات'!$B$6:$B$505,$B6))))</f>
        <v>30</v>
      </c>
      <c r="AK6" s="65" t="n">
        <f aca="false">IF($B6="","",MAX(0,IF(OR(الموظفون!$AE6="",الموظفون!$AE6&gt;$F$3),$F$3,الموظفون!$AE6)-MAX($E$3,الموظفون!$H6)+1))</f>
        <v>30</v>
      </c>
      <c r="AL6" s="151" t="n">
        <f aca="false">IF($B6="","",SUMIFS('سجل الإجازات والحالات'!$BB$6:$BB$505,'سجل الإجازات والحالات'!$B$6:$B$505,$B6)+SUMIFS('الحركات الشهرية'!$K$6:$K$1005,'الحركات الشهرية'!$B$6:$B$1005,$B6,'الحركات الشهرية'!$A$6:$A$1005,$C$3))</f>
        <v>0</v>
      </c>
      <c r="AM6" s="111" t="n">
        <f aca="false">IF($B6="","",AL6*الموظفون!$R6/cfg_DAYS_M+S6)</f>
        <v>0</v>
      </c>
      <c r="AN6" s="151" t="n">
        <f aca="false">IF($B6="","",SUMIFS('سجل الإجازات والحالات'!$AD$6:$AD$505,'سجل الإجازات والحالات'!$B$6:$B$505,$B6))</f>
        <v>0</v>
      </c>
    </row>
    <row r="7" customFormat="false" ht="15" hidden="false" customHeight="false" outlineLevel="0" collapsed="false">
      <c r="A7" s="115" t="n">
        <f aca="false">IF($B7="","",الموظفون!$A7)</f>
        <v>2</v>
      </c>
      <c r="B7" s="117" t="str">
        <f aca="false">IF(الموظفون!$B7="","",الموظفون!$B7)</f>
        <v>E002</v>
      </c>
      <c r="C7" s="117" t="str">
        <f aca="false">IF($B7="","",الموظفون!$C7)</f>
        <v>أحمد سعيد القحطاني</v>
      </c>
      <c r="D7" s="117" t="str">
        <f aca="false">IF($B7="","",الموظفون!$F7)</f>
        <v>المالية</v>
      </c>
      <c r="E7" s="117" t="str">
        <f aca="false">IF($B7="","",الموظفون!$E7)</f>
        <v>سعودي</v>
      </c>
      <c r="F7" s="117" t="str">
        <f aca="false">IF($B7="","",IF(AK7=0,IF(AND(الموظفون!$AE7&lt;&gt;"",الموظفون!$AE7&lt;$E$3),"✖ منتهي الخدمة","⏳ لم يباشر"),IF(S7&gt;0,"✈ راتب إجازة مقدم",IF(J7=0,"⛔ بدون راتب هذا الشهر",IF(I7&gt;0,"✈ خصم "&amp;ROUND(I7,2)&amp;" يوم بدون أجر",IF(AL7&gt;0,"🌴 إجازة سنوية "&amp;ROUND(AL7,2)&amp;" يوم",IF(H7&gt;0,"⚠ غياب "&amp;ROUND(H7,2)&amp;" يوم","✔ على رأس العمل")))))))</f>
        <v>✔ على رأس العمل</v>
      </c>
      <c r="G7" s="156" t="n">
        <f aca="false">IF($B7="","",IF(AK7&gt;=DAY($F$3),cfg_DAYS_M,MIN(AK7,cfg_DAYS_M)))</f>
        <v>30</v>
      </c>
      <c r="H7" s="156" t="n">
        <f aca="false">IF($B7="","",SUMIFS('الحركات الشهرية'!$D$6:$D$1005,'الحركات الشهرية'!$B$6:$B$1005,$B7,'الحركات الشهرية'!$A$6:$A$1005,$C$3))</f>
        <v>0</v>
      </c>
      <c r="I7" s="156" t="n">
        <f aca="false">IF($B7="","",MIN(G7,IF(AND(AK7&gt;0,AN7&gt;=AK7),G7,AN7)+SUMIFS('الحركات الشهرية'!$E$6:$E$1005,'الحركات الشهرية'!$B$6:$B$1005,$B7,'الحركات الشهرية'!$A$6:$A$1005,$C$3)))</f>
        <v>0</v>
      </c>
      <c r="J7" s="156" t="n">
        <f aca="false">IF($B7="","",MAX(0,G7-H7-I7))</f>
        <v>30</v>
      </c>
      <c r="K7" s="116" t="n">
        <f aca="false">IF($B7="","",الموظفون!$L7*$J7/cfg_DAYS_M)</f>
        <v>18000</v>
      </c>
      <c r="L7" s="116" t="n">
        <f aca="false">IF($B7="","",الموظفون!$M7*$J7/cfg_DAYS_M)</f>
        <v>4500</v>
      </c>
      <c r="M7" s="116" t="n">
        <f aca="false">IF($B7="","",الموظفون!$N7*$J7/cfg_DAYS_M)</f>
        <v>1800</v>
      </c>
      <c r="N7" s="116" t="n">
        <f aca="false">IF($B7="","",الموظفون!$O7*$J7/cfg_DAYS_M)</f>
        <v>1000</v>
      </c>
      <c r="O7" s="156" t="n">
        <f aca="false">IF($B7="","",SUMIFS('الحركات الشهرية'!$F$6:$F$1005,'الحركات الشهرية'!$B$6:$B$1005,$B7,'الحركات الشهرية'!$A$6:$A$1005,$C$3))</f>
        <v>0</v>
      </c>
      <c r="P7" s="116" t="n">
        <f aca="false">IF($B7="","",O7*(الموظفون!$P7+الموظفون!$L7*cfg_OT_P)/cfg_DAYS_M/cfg_HRS)</f>
        <v>0</v>
      </c>
      <c r="Q7" s="116" t="n">
        <f aca="false">IF($B7="","",SUMIFS('الحركات الشهرية'!$G$6:$G$1005,'الحركات الشهرية'!$B$6:$B$1005,$B7,'الحركات الشهرية'!$A$6:$A$1005,$C$3))</f>
        <v>0</v>
      </c>
      <c r="R7" s="116" t="n">
        <f aca="false">IF($B7="","",SUMIFS('الحركات الشهرية'!$H$6:$H$1005,'الحركات الشهرية'!$B$6:$B$1005,$B7,'الحركات الشهرية'!$A$6:$A$1005,$C$3))</f>
        <v>0</v>
      </c>
      <c r="S7" s="116" t="n">
        <f aca="false">IF($B7="","",SUMIFS('سجل الإجازات والحالات'!$N$6:$N$505,'سجل الإجازات والحالات'!$B$6:$B$505,$B7,'سجل الإجازات والحالات'!$O$6:$O$505,$C$3))</f>
        <v>0</v>
      </c>
      <c r="T7" s="157" t="n">
        <f aca="false">IF($B7="","",SUM(K7:N7)+SUM(P7:S7))</f>
        <v>25300</v>
      </c>
      <c r="U7" s="116" t="n">
        <f aca="false">IF($B7="","",الموظفون!$S7*IF(E7="سعودي",cfg_G_SE,cfg_G_NE)*G7/cfg_DAYS_M)</f>
        <v>2193.75</v>
      </c>
      <c r="V7" s="116" t="n">
        <f aca="false">IF($B7="","",SUMIFS('الحركات الشهرية'!$I$6:$I$1005,'الحركات الشهرية'!$B$6:$B$1005,$B7,'الحركات الشهرية'!$A$6:$A$1005,$C$3))</f>
        <v>0</v>
      </c>
      <c r="W7" s="116" t="n">
        <f aca="false">IF($B7="","",SUMIFS('الحركات الشهرية'!$J$6:$J$1005,'الحركات الشهرية'!$B$6:$B$1005,$B7,'الحركات الشهرية'!$A$6:$A$1005,$C$3))</f>
        <v>0</v>
      </c>
      <c r="X7" s="116" t="n">
        <f aca="false">IF($B7="","",SUM(U7:W7))</f>
        <v>2193.75</v>
      </c>
      <c r="Y7" s="158" t="n">
        <f aca="false">IF($B7="","",T7-X7)</f>
        <v>23106.25</v>
      </c>
      <c r="Z7" s="116" t="n">
        <f aca="false">IF($B7="","",الموظفون!$S7*IF(E7="سعودي",cfg_G_SR,cfg_G_NR)*G7/cfg_DAYS_M)</f>
        <v>2643.75</v>
      </c>
      <c r="AA7" s="116" t="n">
        <f aca="false">IF($B7="","",الموظفون!$Q7*(cfg_EOS_R1*(MIN(AH7,cfg_EOS_TH)-MIN(AI7,cfg_EOS_TH))+cfg_EOS_R2*(MAX(AH7-cfg_EOS_TH,0)-MAX(AI7-cfg_EOS_TH,0))))</f>
        <v>1997.26027397259</v>
      </c>
      <c r="AB7" s="116" t="n">
        <f aca="false">IF($B7="","",IF(الموظفون!$T7&lt;&gt;"",الموظفون!$T7,IF(AH7&gt;=cfg_LV_TH,cfg_LV_D2,cfg_LV_D1))/cfg_DAYS_Y*AJ7*الموظفون!$R7/cfg_DAYS_M)</f>
        <v>1997.2602739726</v>
      </c>
      <c r="AC7" s="116" t="n">
        <f aca="false">IF($B7="","",IF(AND(الموظفون!$U7="نعم",N(الموظفون!$W7)&gt;0),الموظفون!$V7/الموظفون!$W7*12/cfg_DAYS_Y*AJ7,0))</f>
        <v>0</v>
      </c>
      <c r="AD7" s="116" t="n">
        <f aca="false">IF($B7="","",(IF(الموظفون!$X7&lt;&gt;"",الموظفون!$X7,IF(الموظفون!$E7="غير سعودي",cfg_IQ,0))+IF(الموظفون!$Y7&lt;&gt;"",الموظفون!$Y7,IF(الموظفون!$E7="غير سعودي",cfg_WP,0)))/12*G7/cfg_DAYS_M)</f>
        <v>0</v>
      </c>
      <c r="AE7" s="116" t="n">
        <f aca="false">IF($B7="","",IF(الموظفون!$Z7&lt;&gt;"",الموظفون!$Z7,cfg_MED)/12*G7/cfg_DAYS_M)</f>
        <v>300</v>
      </c>
      <c r="AF7" s="116" t="n">
        <f aca="false">IF($B7="","",N(الموظفون!$AA7)/12*G7/cfg_DAYS_M)</f>
        <v>0</v>
      </c>
      <c r="AG7" s="159" t="n">
        <f aca="false">IF($B7="","",T7+SUM(Z7:AF7))</f>
        <v>32238.2705479452</v>
      </c>
      <c r="AH7" s="160" t="n">
        <f aca="false">IF($B7="","",MAX(0,IF(OR(الموظفون!$AE7="",الموظفون!$AE7&gt;$F$3),$F$3,الموظفون!$AE7)-الموظفون!$H7+1-SUMIFS('سجل الإجازات والحالات'!$AP$6:$AP$505,'سجل الإجازات والحالات'!$B$6:$B$505,$B7))/cfg_DAYS_Y)</f>
        <v>10.3397260273973</v>
      </c>
      <c r="AI7" s="160" t="n">
        <f aca="false">IF($B7="","",MAX(0,IF(OR(الموظفون!$AE7="",الموظفون!$AE7&gt;($E$3-1)),($E$3-1),الموظفون!$AE7)-الموظفون!$H7+1-SUMIFS('سجل الإجازات والحالات'!$AO$6:$AO$505,'سجل الإجازات والحالات'!$B$6:$B$505,$B7))/cfg_DAYS_Y)</f>
        <v>10.2575342465753</v>
      </c>
      <c r="AJ7" s="133" t="n">
        <f aca="false">IF($B7="","",MAX(0,AK7-(SUMIFS('سجل الإجازات والحالات'!$AP$6:$AP$505,'سجل الإجازات والحالات'!$B$6:$B$505,$B7)-SUMIFS('سجل الإجازات والحالات'!$AO$6:$AO$505,'سجل الإجازات والحالات'!$B$6:$B$505,$B7))))</f>
        <v>30</v>
      </c>
      <c r="AK7" s="133" t="n">
        <f aca="false">IF($B7="","",MAX(0,IF(OR(الموظفون!$AE7="",الموظفون!$AE7&gt;$F$3),$F$3,الموظفون!$AE7)-MAX($E$3,الموظفون!$H7)+1))</f>
        <v>30</v>
      </c>
      <c r="AL7" s="156" t="n">
        <f aca="false">IF($B7="","",SUMIFS('سجل الإجازات والحالات'!$BB$6:$BB$505,'سجل الإجازات والحالات'!$B$6:$B$505,$B7)+SUMIFS('الحركات الشهرية'!$K$6:$K$1005,'الحركات الشهرية'!$B$6:$B$1005,$B7,'الحركات الشهرية'!$A$6:$A$1005,$C$3))</f>
        <v>0</v>
      </c>
      <c r="AM7" s="116" t="n">
        <f aca="false">IF($B7="","",AL7*الموظفون!$R7/cfg_DAYS_M+S7)</f>
        <v>0</v>
      </c>
      <c r="AN7" s="156" t="n">
        <f aca="false">IF($B7="","",SUMIFS('سجل الإجازات والحالات'!$AD$6:$AD$505,'سجل الإجازات والحالات'!$B$6:$B$505,$B7))</f>
        <v>0</v>
      </c>
    </row>
    <row r="8" customFormat="false" ht="15" hidden="false" customHeight="false" outlineLevel="0" collapsed="false">
      <c r="A8" s="106" t="n">
        <f aca="false">IF($B8="","",الموظفون!$A8)</f>
        <v>3</v>
      </c>
      <c r="B8" s="114" t="str">
        <f aca="false">IF(الموظفون!$B8="","",الموظفون!$B8)</f>
        <v>E003</v>
      </c>
      <c r="C8" s="114" t="str">
        <f aca="false">IF($B8="","",الموظفون!$C8)</f>
        <v>محمد علي حسن</v>
      </c>
      <c r="D8" s="114" t="str">
        <f aca="false">IF($B8="","",الموظفون!$F8)</f>
        <v>المالية</v>
      </c>
      <c r="E8" s="114" t="str">
        <f aca="false">IF($B8="","",الموظفون!$E8)</f>
        <v>غير سعودي</v>
      </c>
      <c r="F8" s="114" t="str">
        <f aca="false">IF($B8="","",IF(AK8=0,IF(AND(الموظفون!$AE8&lt;&gt;"",الموظفون!$AE8&lt;$E$3),"✖ منتهي الخدمة","⏳ لم يباشر"),IF(S8&gt;0,"✈ راتب إجازة مقدم",IF(J8=0,"⛔ بدون راتب هذا الشهر",IF(I8&gt;0,"✈ خصم "&amp;ROUND(I8,2)&amp;" يوم بدون أجر",IF(AL8&gt;0,"🌴 إجازة سنوية "&amp;ROUND(AL8,2)&amp;" يوم",IF(H8&gt;0,"⚠ غياب "&amp;ROUND(H8,2)&amp;" يوم","✔ على رأس العمل")))))))</f>
        <v>✔ على رأس العمل</v>
      </c>
      <c r="G8" s="151" t="n">
        <f aca="false">IF($B8="","",IF(AK8&gt;=DAY($F$3),cfg_DAYS_M,MIN(AK8,cfg_DAYS_M)))</f>
        <v>30</v>
      </c>
      <c r="H8" s="151" t="n">
        <f aca="false">IF($B8="","",SUMIFS('الحركات الشهرية'!$D$6:$D$1005,'الحركات الشهرية'!$B$6:$B$1005,$B8,'الحركات الشهرية'!$A$6:$A$1005,$C$3))</f>
        <v>0</v>
      </c>
      <c r="I8" s="151" t="n">
        <f aca="false">IF($B8="","",MIN(G8,IF(AND(AK8&gt;0,AN8&gt;=AK8),G8,AN8)+SUMIFS('الحركات الشهرية'!$E$6:$E$1005,'الحركات الشهرية'!$B$6:$B$1005,$B8,'الحركات الشهرية'!$A$6:$A$1005,$C$3)))</f>
        <v>0</v>
      </c>
      <c r="J8" s="151" t="n">
        <f aca="false">IF($B8="","",MAX(0,G8-H8-I8))</f>
        <v>30</v>
      </c>
      <c r="K8" s="111" t="n">
        <f aca="false">IF($B8="","",الموظفون!$L8*$J8/cfg_DAYS_M)</f>
        <v>8500</v>
      </c>
      <c r="L8" s="111" t="n">
        <f aca="false">IF($B8="","",الموظفون!$M8*$J8/cfg_DAYS_M)</f>
        <v>2125</v>
      </c>
      <c r="M8" s="111" t="n">
        <f aca="false">IF($B8="","",الموظفون!$N8*$J8/cfg_DAYS_M)</f>
        <v>850</v>
      </c>
      <c r="N8" s="111" t="n">
        <f aca="false">IF($B8="","",الموظفون!$O8*$J8/cfg_DAYS_M)</f>
        <v>500</v>
      </c>
      <c r="O8" s="151" t="n">
        <f aca="false">IF($B8="","",SUMIFS('الحركات الشهرية'!$F$6:$F$1005,'الحركات الشهرية'!$B$6:$B$1005,$B8,'الحركات الشهرية'!$A$6:$A$1005,$C$3))</f>
        <v>0</v>
      </c>
      <c r="P8" s="111" t="n">
        <f aca="false">IF($B8="","",O8*(الموظفون!$P8+الموظفون!$L8*cfg_OT_P)/cfg_DAYS_M/cfg_HRS)</f>
        <v>0</v>
      </c>
      <c r="Q8" s="111" t="n">
        <f aca="false">IF($B8="","",SUMIFS('الحركات الشهرية'!$G$6:$G$1005,'الحركات الشهرية'!$B$6:$B$1005,$B8,'الحركات الشهرية'!$A$6:$A$1005,$C$3))</f>
        <v>0</v>
      </c>
      <c r="R8" s="111" t="n">
        <f aca="false">IF($B8="","",SUMIFS('الحركات الشهرية'!$H$6:$H$1005,'الحركات الشهرية'!$B$6:$B$1005,$B8,'الحركات الشهرية'!$A$6:$A$1005,$C$3))</f>
        <v>0</v>
      </c>
      <c r="S8" s="111" t="n">
        <f aca="false">IF($B8="","",SUMIFS('سجل الإجازات والحالات'!$N$6:$N$505,'سجل الإجازات والحالات'!$B$6:$B$505,$B8,'سجل الإجازات والحالات'!$O$6:$O$505,$C$3))</f>
        <v>0</v>
      </c>
      <c r="T8" s="152" t="n">
        <f aca="false">IF($B8="","",SUM(K8:N8)+SUM(P8:S8))</f>
        <v>11975</v>
      </c>
      <c r="U8" s="111" t="n">
        <f aca="false">IF($B8="","",الموظفون!$S8*IF(E8="سعودي",cfg_G_SE,cfg_G_NE)*G8/cfg_DAYS_M)</f>
        <v>0</v>
      </c>
      <c r="V8" s="111" t="n">
        <f aca="false">IF($B8="","",SUMIFS('الحركات الشهرية'!$I$6:$I$1005,'الحركات الشهرية'!$B$6:$B$1005,$B8,'الحركات الشهرية'!$A$6:$A$1005,$C$3))</f>
        <v>0</v>
      </c>
      <c r="W8" s="111" t="n">
        <f aca="false">IF($B8="","",SUMIFS('الحركات الشهرية'!$J$6:$J$1005,'الحركات الشهرية'!$B$6:$B$1005,$B8,'الحركات الشهرية'!$A$6:$A$1005,$C$3))</f>
        <v>0</v>
      </c>
      <c r="X8" s="111" t="n">
        <f aca="false">IF($B8="","",SUM(U8:W8))</f>
        <v>0</v>
      </c>
      <c r="Y8" s="153" t="n">
        <f aca="false">IF($B8="","",T8-X8)</f>
        <v>11975</v>
      </c>
      <c r="Z8" s="111" t="n">
        <f aca="false">IF($B8="","",الموظفون!$S8*IF(E8="سعودي",cfg_G_SR,cfg_G_NR)*G8/cfg_DAYS_M)</f>
        <v>212.5</v>
      </c>
      <c r="AA8" s="111" t="n">
        <f aca="false">IF($B8="","",الموظفون!$Q8*(cfg_EOS_R1*(MIN(AH8,cfg_EOS_TH)-MIN(AI8,cfg_EOS_TH))+cfg_EOS_R2*(MAX(AH8-cfg_EOS_TH,0)-MAX(AI8-cfg_EOS_TH,0))))</f>
        <v>943.150684931501</v>
      </c>
      <c r="AB8" s="111" t="n">
        <f aca="false">IF($B8="","",IF(الموظفون!$T8&lt;&gt;"",الموظفون!$T8,IF(AH8&gt;=cfg_LV_TH,cfg_LV_D2,cfg_LV_D1))/cfg_DAYS_Y*AJ8*الموظفون!$R8/cfg_DAYS_M)</f>
        <v>943.150684931507</v>
      </c>
      <c r="AC8" s="111" t="n">
        <f aca="false">IF($B8="","",IF(AND(الموظفون!$U8="نعم",N(الموظفون!$W8)&gt;0),الموظفون!$V8/الموظفون!$W8*12/cfg_DAYS_Y*AJ8,0))</f>
        <v>131.506849315068</v>
      </c>
      <c r="AD8" s="111" t="n">
        <f aca="false">IF($B8="","",(IF(الموظفون!$X8&lt;&gt;"",الموظفون!$X8,IF(الموظفون!$E8="غير سعودي",cfg_IQ,0))+IF(الموظفون!$Y8&lt;&gt;"",الموظفون!$Y8,IF(الموظفون!$E8="غير سعودي",cfg_WP,0)))/12*G8/cfg_DAYS_M)</f>
        <v>854.166666666667</v>
      </c>
      <c r="AE8" s="111" t="n">
        <f aca="false">IF($B8="","",IF(الموظفون!$Z8&lt;&gt;"",الموظفون!$Z8,cfg_MED)/12*G8/cfg_DAYS_M)</f>
        <v>200</v>
      </c>
      <c r="AF8" s="111" t="n">
        <f aca="false">IF($B8="","",N(الموظفون!$AA8)/12*G8/cfg_DAYS_M)</f>
        <v>0</v>
      </c>
      <c r="AG8" s="154" t="n">
        <f aca="false">IF($B8="","",T8+SUM(Z8:AF8))</f>
        <v>15259.4748858447</v>
      </c>
      <c r="AH8" s="155" t="n">
        <f aca="false">IF($B8="","",MAX(0,IF(OR(الموظفون!$AE8="",الموظفون!$AE8&gt;$F$3),$F$3,الموظفون!$AE8)-الموظفون!$H8+1-SUMIFS('سجل الإجازات والحالات'!$AP$6:$AP$505,'سجل الإجازات والحالات'!$B$6:$B$505,$B8))/cfg_DAYS_Y)</f>
        <v>8.06301369863014</v>
      </c>
      <c r="AI8" s="155" t="n">
        <f aca="false">IF($B8="","",MAX(0,IF(OR(الموظفون!$AE8="",الموظفون!$AE8&gt;($E$3-1)),($E$3-1),الموظفون!$AE8)-الموظفون!$H8+1-SUMIFS('سجل الإجازات والحالات'!$AO$6:$AO$505,'سجل الإجازات والحالات'!$B$6:$B$505,$B8))/cfg_DAYS_Y)</f>
        <v>7.98082191780822</v>
      </c>
      <c r="AJ8" s="65" t="n">
        <f aca="false">IF($B8="","",MAX(0,AK8-(SUMIFS('سجل الإجازات والحالات'!$AP$6:$AP$505,'سجل الإجازات والحالات'!$B$6:$B$505,$B8)-SUMIFS('سجل الإجازات والحالات'!$AO$6:$AO$505,'سجل الإجازات والحالات'!$B$6:$B$505,$B8))))</f>
        <v>30</v>
      </c>
      <c r="AK8" s="65" t="n">
        <f aca="false">IF($B8="","",MAX(0,IF(OR(الموظفون!$AE8="",الموظفون!$AE8&gt;$F$3),$F$3,الموظفون!$AE8)-MAX($E$3,الموظفون!$H8)+1))</f>
        <v>30</v>
      </c>
      <c r="AL8" s="151" t="n">
        <f aca="false">IF($B8="","",SUMIFS('سجل الإجازات والحالات'!$BB$6:$BB$505,'سجل الإجازات والحالات'!$B$6:$B$505,$B8)+SUMIFS('الحركات الشهرية'!$K$6:$K$1005,'الحركات الشهرية'!$B$6:$B$1005,$B8,'الحركات الشهرية'!$A$6:$A$1005,$C$3))</f>
        <v>0</v>
      </c>
      <c r="AM8" s="111" t="n">
        <f aca="false">IF($B8="","",AL8*الموظفون!$R8/cfg_DAYS_M+S8)</f>
        <v>0</v>
      </c>
      <c r="AN8" s="151" t="n">
        <f aca="false">IF($B8="","",SUMIFS('سجل الإجازات والحالات'!$AD$6:$AD$505,'سجل الإجازات والحالات'!$B$6:$B$505,$B8))</f>
        <v>0</v>
      </c>
    </row>
    <row r="9" customFormat="false" ht="15" hidden="false" customHeight="false" outlineLevel="0" collapsed="false">
      <c r="A9" s="115" t="n">
        <f aca="false">IF($B9="","",الموظفون!$A9)</f>
        <v>4</v>
      </c>
      <c r="B9" s="117" t="str">
        <f aca="false">IF(الموظفون!$B9="","",الموظفون!$B9)</f>
        <v>E004</v>
      </c>
      <c r="C9" s="117" t="str">
        <f aca="false">IF($B9="","",الموظفون!$C9)</f>
        <v>نورة خالد الدوسري</v>
      </c>
      <c r="D9" s="117" t="str">
        <f aca="false">IF($B9="","",الموظفون!$F9)</f>
        <v>الموارد البشرية</v>
      </c>
      <c r="E9" s="117" t="str">
        <f aca="false">IF($B9="","",الموظفون!$E9)</f>
        <v>سعودي</v>
      </c>
      <c r="F9" s="117" t="str">
        <f aca="false">IF($B9="","",IF(AK9=0,IF(AND(الموظفون!$AE9&lt;&gt;"",الموظفون!$AE9&lt;$E$3),"✖ منتهي الخدمة","⏳ لم يباشر"),IF(S9&gt;0,"✈ راتب إجازة مقدم",IF(J9=0,"⛔ بدون راتب هذا الشهر",IF(I9&gt;0,"✈ خصم "&amp;ROUND(I9,2)&amp;" يوم بدون أجر",IF(AL9&gt;0,"🌴 إجازة سنوية "&amp;ROUND(AL9,2)&amp;" يوم",IF(H9&gt;0,"⚠ غياب "&amp;ROUND(H9,2)&amp;" يوم","✔ على رأس العمل")))))))</f>
        <v>✔ على رأس العمل</v>
      </c>
      <c r="G9" s="156" t="n">
        <f aca="false">IF($B9="","",IF(AK9&gt;=DAY($F$3),cfg_DAYS_M,MIN(AK9,cfg_DAYS_M)))</f>
        <v>30</v>
      </c>
      <c r="H9" s="156" t="n">
        <f aca="false">IF($B9="","",SUMIFS('الحركات الشهرية'!$D$6:$D$1005,'الحركات الشهرية'!$B$6:$B$1005,$B9,'الحركات الشهرية'!$A$6:$A$1005,$C$3))</f>
        <v>0</v>
      </c>
      <c r="I9" s="156" t="n">
        <f aca="false">IF($B9="","",MIN(G9,IF(AND(AK9&gt;0,AN9&gt;=AK9),G9,AN9)+SUMIFS('الحركات الشهرية'!$E$6:$E$1005,'الحركات الشهرية'!$B$6:$B$1005,$B9,'الحركات الشهرية'!$A$6:$A$1005,$C$3)))</f>
        <v>0</v>
      </c>
      <c r="J9" s="156" t="n">
        <f aca="false">IF($B9="","",MAX(0,G9-H9-I9))</f>
        <v>30</v>
      </c>
      <c r="K9" s="116" t="n">
        <f aca="false">IF($B9="","",الموظفون!$L9*$J9/cfg_DAYS_M)</f>
        <v>14000</v>
      </c>
      <c r="L9" s="116" t="n">
        <f aca="false">IF($B9="","",الموظفون!$M9*$J9/cfg_DAYS_M)</f>
        <v>3500</v>
      </c>
      <c r="M9" s="116" t="n">
        <f aca="false">IF($B9="","",الموظفون!$N9*$J9/cfg_DAYS_M)</f>
        <v>1400</v>
      </c>
      <c r="N9" s="116" t="n">
        <f aca="false">IF($B9="","",الموظفون!$O9*$J9/cfg_DAYS_M)</f>
        <v>0</v>
      </c>
      <c r="O9" s="156" t="n">
        <f aca="false">IF($B9="","",SUMIFS('الحركات الشهرية'!$F$6:$F$1005,'الحركات الشهرية'!$B$6:$B$1005,$B9,'الحركات الشهرية'!$A$6:$A$1005,$C$3))</f>
        <v>0</v>
      </c>
      <c r="P9" s="116" t="n">
        <f aca="false">IF($B9="","",O9*(الموظفون!$P9+الموظفون!$L9*cfg_OT_P)/cfg_DAYS_M/cfg_HRS)</f>
        <v>0</v>
      </c>
      <c r="Q9" s="116" t="n">
        <f aca="false">IF($B9="","",SUMIFS('الحركات الشهرية'!$G$6:$G$1005,'الحركات الشهرية'!$B$6:$B$1005,$B9,'الحركات الشهرية'!$A$6:$A$1005,$C$3))</f>
        <v>0</v>
      </c>
      <c r="R9" s="116" t="n">
        <f aca="false">IF($B9="","",SUMIFS('الحركات الشهرية'!$H$6:$H$1005,'الحركات الشهرية'!$B$6:$B$1005,$B9,'الحركات الشهرية'!$A$6:$A$1005,$C$3))</f>
        <v>0</v>
      </c>
      <c r="S9" s="116" t="n">
        <f aca="false">IF($B9="","",SUMIFS('سجل الإجازات والحالات'!$N$6:$N$505,'سجل الإجازات والحالات'!$B$6:$B$505,$B9,'سجل الإجازات والحالات'!$O$6:$O$505,$C$3))</f>
        <v>0</v>
      </c>
      <c r="T9" s="157" t="n">
        <f aca="false">IF($B9="","",SUM(K9:N9)+SUM(P9:S9))</f>
        <v>18900</v>
      </c>
      <c r="U9" s="116" t="n">
        <f aca="false">IF($B9="","",الموظفون!$S9*IF(E9="سعودي",cfg_G_SE,cfg_G_NE)*G9/cfg_DAYS_M)</f>
        <v>1706.25</v>
      </c>
      <c r="V9" s="116" t="n">
        <f aca="false">IF($B9="","",SUMIFS('الحركات الشهرية'!$I$6:$I$1005,'الحركات الشهرية'!$B$6:$B$1005,$B9,'الحركات الشهرية'!$A$6:$A$1005,$C$3))</f>
        <v>0</v>
      </c>
      <c r="W9" s="116" t="n">
        <f aca="false">IF($B9="","",SUMIFS('الحركات الشهرية'!$J$6:$J$1005,'الحركات الشهرية'!$B$6:$B$1005,$B9,'الحركات الشهرية'!$A$6:$A$1005,$C$3))</f>
        <v>0</v>
      </c>
      <c r="X9" s="116" t="n">
        <f aca="false">IF($B9="","",SUM(U9:W9))</f>
        <v>1706.25</v>
      </c>
      <c r="Y9" s="158" t="n">
        <f aca="false">IF($B9="","",T9-X9)</f>
        <v>17193.75</v>
      </c>
      <c r="Z9" s="116" t="n">
        <f aca="false">IF($B9="","",الموظفون!$S9*IF(E9="سعودي",cfg_G_SR,cfg_G_NR)*G9/cfg_DAYS_M)</f>
        <v>2056.25</v>
      </c>
      <c r="AA9" s="116" t="n">
        <f aca="false">IF($B9="","",الموظفون!$Q9*(cfg_EOS_R1*(MIN(AH9,cfg_EOS_TH)-MIN(AI9,cfg_EOS_TH))+cfg_EOS_R2*(MAX(AH9-cfg_EOS_TH,0)-MAX(AI9-cfg_EOS_TH,0))))</f>
        <v>1553.42465753425</v>
      </c>
      <c r="AB9" s="116" t="n">
        <f aca="false">IF($B9="","",IF(الموظفون!$T9&lt;&gt;"",الموظفون!$T9,IF(AH9&gt;=cfg_LV_TH,cfg_LV_D2,cfg_LV_D1))/cfg_DAYS_Y*AJ9*الموظفون!$R9/cfg_DAYS_M)</f>
        <v>1553.42465753425</v>
      </c>
      <c r="AC9" s="116" t="n">
        <f aca="false">IF($B9="","",IF(AND(الموظفون!$U9="نعم",N(الموظفون!$W9)&gt;0),الموظفون!$V9/الموظفون!$W9*12/cfg_DAYS_Y*AJ9,0))</f>
        <v>0</v>
      </c>
      <c r="AD9" s="116" t="n">
        <f aca="false">IF($B9="","",(IF(الموظفون!$X9&lt;&gt;"",الموظفون!$X9,IF(الموظفون!$E9="غير سعودي",cfg_IQ,0))+IF(الموظفون!$Y9&lt;&gt;"",الموظفون!$Y9,IF(الموظفون!$E9="غير سعودي",cfg_WP,0)))/12*G9/cfg_DAYS_M)</f>
        <v>0</v>
      </c>
      <c r="AE9" s="116" t="n">
        <f aca="false">IF($B9="","",IF(الموظفون!$Z9&lt;&gt;"",الموظفون!$Z9,cfg_MED)/12*G9/cfg_DAYS_M)</f>
        <v>300</v>
      </c>
      <c r="AF9" s="116" t="n">
        <f aca="false">IF($B9="","",N(الموظفون!$AA9)/12*G9/cfg_DAYS_M)</f>
        <v>0</v>
      </c>
      <c r="AG9" s="159" t="n">
        <f aca="false">IF($B9="","",T9+SUM(Z9:AF9))</f>
        <v>24363.0993150685</v>
      </c>
      <c r="AH9" s="160" t="n">
        <f aca="false">IF($B9="","",MAX(0,IF(OR(الموظفون!$AE9="",الموظفون!$AE9&gt;$F$3),$F$3,الموظفون!$AE9)-الموظفون!$H9+1-SUMIFS('سجل الإجازات والحالات'!$AP$6:$AP$505,'سجل الإجازات والحالات'!$B$6:$B$505,$B9))/cfg_DAYS_Y)</f>
        <v>7.66849315068493</v>
      </c>
      <c r="AI9" s="160" t="n">
        <f aca="false">IF($B9="","",MAX(0,IF(OR(الموظفون!$AE9="",الموظفون!$AE9&gt;($E$3-1)),($E$3-1),الموظفون!$AE9)-الموظفون!$H9+1-SUMIFS('سجل الإجازات والحالات'!$AO$6:$AO$505,'سجل الإجازات والحالات'!$B$6:$B$505,$B9))/cfg_DAYS_Y)</f>
        <v>7.58630136986301</v>
      </c>
      <c r="AJ9" s="133" t="n">
        <f aca="false">IF($B9="","",MAX(0,AK9-(SUMIFS('سجل الإجازات والحالات'!$AP$6:$AP$505,'سجل الإجازات والحالات'!$B$6:$B$505,$B9)-SUMIFS('سجل الإجازات والحالات'!$AO$6:$AO$505,'سجل الإجازات والحالات'!$B$6:$B$505,$B9))))</f>
        <v>30</v>
      </c>
      <c r="AK9" s="133" t="n">
        <f aca="false">IF($B9="","",MAX(0,IF(OR(الموظفون!$AE9="",الموظفون!$AE9&gt;$F$3),$F$3,الموظفون!$AE9)-MAX($E$3,الموظفون!$H9)+1))</f>
        <v>30</v>
      </c>
      <c r="AL9" s="156" t="n">
        <f aca="false">IF($B9="","",SUMIFS('سجل الإجازات والحالات'!$BB$6:$BB$505,'سجل الإجازات والحالات'!$B$6:$B$505,$B9)+SUMIFS('الحركات الشهرية'!$K$6:$K$1005,'الحركات الشهرية'!$B$6:$B$1005,$B9,'الحركات الشهرية'!$A$6:$A$1005,$C$3))</f>
        <v>0</v>
      </c>
      <c r="AM9" s="116" t="n">
        <f aca="false">IF($B9="","",AL9*الموظفون!$R9/cfg_DAYS_M+S9)</f>
        <v>0</v>
      </c>
      <c r="AN9" s="156" t="n">
        <f aca="false">IF($B9="","",SUMIFS('سجل الإجازات والحالات'!$AD$6:$AD$505,'سجل الإجازات والحالات'!$B$6:$B$505,$B9))</f>
        <v>0</v>
      </c>
    </row>
    <row r="10" customFormat="false" ht="15" hidden="false" customHeight="false" outlineLevel="0" collapsed="false">
      <c r="A10" s="106" t="n">
        <f aca="false">IF($B10="","",الموظفون!$A10)</f>
        <v>5</v>
      </c>
      <c r="B10" s="114" t="str">
        <f aca="false">IF(الموظفون!$B10="","",الموظفون!$B10)</f>
        <v>E005</v>
      </c>
      <c r="C10" s="114" t="str">
        <f aca="false">IF($B10="","",الموظفون!$C10)</f>
        <v>راجيش كومار</v>
      </c>
      <c r="D10" s="114" t="str">
        <f aca="false">IF($B10="","",الموظفون!$F10)</f>
        <v>تقنية المعلومات</v>
      </c>
      <c r="E10" s="114" t="str">
        <f aca="false">IF($B10="","",الموظفون!$E10)</f>
        <v>غير سعودي</v>
      </c>
      <c r="F10" s="114" t="str">
        <f aca="false">IF($B10="","",IF(AK10=0,IF(AND(الموظفون!$AE10&lt;&gt;"",الموظفون!$AE10&lt;$E$3),"✖ منتهي الخدمة","⏳ لم يباشر"),IF(S10&gt;0,"✈ راتب إجازة مقدم",IF(J10=0,"⛔ بدون راتب هذا الشهر",IF(I10&gt;0,"✈ خصم "&amp;ROUND(I10,2)&amp;" يوم بدون أجر",IF(AL10&gt;0,"🌴 إجازة سنوية "&amp;ROUND(AL10,2)&amp;" يوم",IF(H10&gt;0,"⚠ غياب "&amp;ROUND(H10,2)&amp;" يوم","✔ على رأس العمل")))))))</f>
        <v>✔ على رأس العمل</v>
      </c>
      <c r="G10" s="151" t="n">
        <f aca="false">IF($B10="","",IF(AK10&gt;=DAY($F$3),cfg_DAYS_M,MIN(AK10,cfg_DAYS_M)))</f>
        <v>30</v>
      </c>
      <c r="H10" s="151" t="n">
        <f aca="false">IF($B10="","",SUMIFS('الحركات الشهرية'!$D$6:$D$1005,'الحركات الشهرية'!$B$6:$B$1005,$B10,'الحركات الشهرية'!$A$6:$A$1005,$C$3))</f>
        <v>0</v>
      </c>
      <c r="I10" s="151" t="n">
        <f aca="false">IF($B10="","",MIN(G10,IF(AND(AK10&gt;0,AN10&gt;=AK10),G10,AN10)+SUMIFS('الحركات الشهرية'!$E$6:$E$1005,'الحركات الشهرية'!$B$6:$B$1005,$B10,'الحركات الشهرية'!$A$6:$A$1005,$C$3)))</f>
        <v>0</v>
      </c>
      <c r="J10" s="151" t="n">
        <f aca="false">IF($B10="","",MAX(0,G10-H10-I10))</f>
        <v>30</v>
      </c>
      <c r="K10" s="111" t="n">
        <f aca="false">IF($B10="","",الموظفون!$L10*$J10/cfg_DAYS_M)</f>
        <v>9000</v>
      </c>
      <c r="L10" s="111" t="n">
        <f aca="false">IF($B10="","",الموظفون!$M10*$J10/cfg_DAYS_M)</f>
        <v>2250</v>
      </c>
      <c r="M10" s="111" t="n">
        <f aca="false">IF($B10="","",الموظفون!$N10*$J10/cfg_DAYS_M)</f>
        <v>900</v>
      </c>
      <c r="N10" s="111" t="n">
        <f aca="false">IF($B10="","",الموظفون!$O10*$J10/cfg_DAYS_M)</f>
        <v>700</v>
      </c>
      <c r="O10" s="151" t="n">
        <f aca="false">IF($B10="","",SUMIFS('الحركات الشهرية'!$F$6:$F$1005,'الحركات الشهرية'!$B$6:$B$1005,$B10,'الحركات الشهرية'!$A$6:$A$1005,$C$3))</f>
        <v>0</v>
      </c>
      <c r="P10" s="111" t="n">
        <f aca="false">IF($B10="","",O10*(الموظفون!$P10+الموظفون!$L10*cfg_OT_P)/cfg_DAYS_M/cfg_HRS)</f>
        <v>0</v>
      </c>
      <c r="Q10" s="111" t="n">
        <f aca="false">IF($B10="","",SUMIFS('الحركات الشهرية'!$G$6:$G$1005,'الحركات الشهرية'!$B$6:$B$1005,$B10,'الحركات الشهرية'!$A$6:$A$1005,$C$3))</f>
        <v>0</v>
      </c>
      <c r="R10" s="111" t="n">
        <f aca="false">IF($B10="","",SUMIFS('الحركات الشهرية'!$H$6:$H$1005,'الحركات الشهرية'!$B$6:$B$1005,$B10,'الحركات الشهرية'!$A$6:$A$1005,$C$3))</f>
        <v>0</v>
      </c>
      <c r="S10" s="111" t="n">
        <f aca="false">IF($B10="","",SUMIFS('سجل الإجازات والحالات'!$N$6:$N$505,'سجل الإجازات والحالات'!$B$6:$B$505,$B10,'سجل الإجازات والحالات'!$O$6:$O$505,$C$3))</f>
        <v>0</v>
      </c>
      <c r="T10" s="152" t="n">
        <f aca="false">IF($B10="","",SUM(K10:N10)+SUM(P10:S10))</f>
        <v>12850</v>
      </c>
      <c r="U10" s="111" t="n">
        <f aca="false">IF($B10="","",الموظفون!$S10*IF(E10="سعودي",cfg_G_SE,cfg_G_NE)*G10/cfg_DAYS_M)</f>
        <v>0</v>
      </c>
      <c r="V10" s="111" t="n">
        <f aca="false">IF($B10="","",SUMIFS('الحركات الشهرية'!$I$6:$I$1005,'الحركات الشهرية'!$B$6:$B$1005,$B10,'الحركات الشهرية'!$A$6:$A$1005,$C$3))</f>
        <v>0</v>
      </c>
      <c r="W10" s="111" t="n">
        <f aca="false">IF($B10="","",SUMIFS('الحركات الشهرية'!$J$6:$J$1005,'الحركات الشهرية'!$B$6:$B$1005,$B10,'الحركات الشهرية'!$A$6:$A$1005,$C$3))</f>
        <v>0</v>
      </c>
      <c r="X10" s="111" t="n">
        <f aca="false">IF($B10="","",SUM(U10:W10))</f>
        <v>0</v>
      </c>
      <c r="Y10" s="153" t="n">
        <f aca="false">IF($B10="","",T10-X10)</f>
        <v>12850</v>
      </c>
      <c r="Z10" s="111" t="n">
        <f aca="false">IF($B10="","",الموظفون!$S10*IF(E10="سعودي",cfg_G_SR,cfg_G_NR)*G10/cfg_DAYS_M)</f>
        <v>225</v>
      </c>
      <c r="AA10" s="111" t="n">
        <f aca="false">IF($B10="","",الموظفون!$Q10*(cfg_EOS_R1*(MIN(AH10,cfg_EOS_TH)-MIN(AI10,cfg_EOS_TH))+cfg_EOS_R2*(MAX(AH10-cfg_EOS_TH,0)-MAX(AI10-cfg_EOS_TH,0))))</f>
        <v>998.630136986305</v>
      </c>
      <c r="AB10" s="111" t="n">
        <f aca="false">IF($B10="","",IF(الموظفون!$T10&lt;&gt;"",الموظفون!$T10,IF(AH10&gt;=cfg_LV_TH,cfg_LV_D2,cfg_LV_D1))/cfg_DAYS_Y*AJ10*الموظفون!$R10/cfg_DAYS_M)</f>
        <v>998.630136986301</v>
      </c>
      <c r="AC10" s="111" t="n">
        <f aca="false">IF($B10="","",IF(AND(الموظفون!$U10="نعم",N(الموظفون!$W10)&gt;0),الموظفون!$V10/الموظفون!$W10*12/cfg_DAYS_Y*AJ10,0))</f>
        <v>230.13698630137</v>
      </c>
      <c r="AD10" s="111" t="n">
        <f aca="false">IF($B10="","",(IF(الموظفون!$X10&lt;&gt;"",الموظفون!$X10,IF(الموظفون!$E10="غير سعودي",cfg_IQ,0))+IF(الموظفون!$Y10&lt;&gt;"",الموظفون!$Y10,IF(الموظفون!$E10="غير سعودي",cfg_WP,0)))/12*G10/cfg_DAYS_M)</f>
        <v>854.166666666667</v>
      </c>
      <c r="AE10" s="111" t="n">
        <f aca="false">IF($B10="","",IF(الموظفون!$Z10&lt;&gt;"",الموظفون!$Z10,cfg_MED)/12*G10/cfg_DAYS_M)</f>
        <v>200</v>
      </c>
      <c r="AF10" s="111" t="n">
        <f aca="false">IF($B10="","",N(الموظفون!$AA10)/12*G10/cfg_DAYS_M)</f>
        <v>0</v>
      </c>
      <c r="AG10" s="154" t="n">
        <f aca="false">IF($B10="","",T10+SUM(Z10:AF10))</f>
        <v>16356.5639269406</v>
      </c>
      <c r="AH10" s="155" t="n">
        <f aca="false">IF($B10="","",MAX(0,IF(OR(الموظفون!$AE10="",الموظفون!$AE10&gt;$F$3),$F$3,الموظفون!$AE10)-الموظفون!$H10+1-SUMIFS('سجل الإجازات والحالات'!$AP$6:$AP$505,'سجل الإجازات والحالات'!$B$6:$B$505,$B10))/cfg_DAYS_Y)</f>
        <v>6.47397260273973</v>
      </c>
      <c r="AI10" s="155" t="n">
        <f aca="false">IF($B10="","",MAX(0,IF(OR(الموظفون!$AE10="",الموظفون!$AE10&gt;($E$3-1)),($E$3-1),الموظفون!$AE10)-الموظفون!$H10+1-SUMIFS('سجل الإجازات والحالات'!$AO$6:$AO$505,'سجل الإجازات والحالات'!$B$6:$B$505,$B10))/cfg_DAYS_Y)</f>
        <v>6.39178082191781</v>
      </c>
      <c r="AJ10" s="65" t="n">
        <f aca="false">IF($B10="","",MAX(0,AK10-(SUMIFS('سجل الإجازات والحالات'!$AP$6:$AP$505,'سجل الإجازات والحالات'!$B$6:$B$505,$B10)-SUMIFS('سجل الإجازات والحالات'!$AO$6:$AO$505,'سجل الإجازات والحالات'!$B$6:$B$505,$B10))))</f>
        <v>30</v>
      </c>
      <c r="AK10" s="65" t="n">
        <f aca="false">IF($B10="","",MAX(0,IF(OR(الموظفون!$AE10="",الموظفون!$AE10&gt;$F$3),$F$3,الموظفون!$AE10)-MAX($E$3,الموظفون!$H10)+1))</f>
        <v>30</v>
      </c>
      <c r="AL10" s="151" t="n">
        <f aca="false">IF($B10="","",SUMIFS('سجل الإجازات والحالات'!$BB$6:$BB$505,'سجل الإجازات والحالات'!$B$6:$B$505,$B10)+SUMIFS('الحركات الشهرية'!$K$6:$K$1005,'الحركات الشهرية'!$B$6:$B$1005,$B10,'الحركات الشهرية'!$A$6:$A$1005,$C$3))</f>
        <v>0</v>
      </c>
      <c r="AM10" s="111" t="n">
        <f aca="false">IF($B10="","",AL10*الموظفون!$R10/cfg_DAYS_M+S10)</f>
        <v>0</v>
      </c>
      <c r="AN10" s="151" t="n">
        <f aca="false">IF($B10="","",SUMIFS('سجل الإجازات والحالات'!$AD$6:$AD$505,'سجل الإجازات والحالات'!$B$6:$B$505,$B10))</f>
        <v>0</v>
      </c>
    </row>
    <row r="11" customFormat="false" ht="15" hidden="false" customHeight="false" outlineLevel="0" collapsed="false">
      <c r="A11" s="115" t="n">
        <f aca="false">IF($B11="","",الموظفون!$A11)</f>
        <v>6</v>
      </c>
      <c r="B11" s="117" t="str">
        <f aca="false">IF(الموظفون!$B11="","",الموظفون!$B11)</f>
        <v>E006</v>
      </c>
      <c r="C11" s="117" t="str">
        <f aca="false">IF($B11="","",الموظفون!$C11)</f>
        <v>فهد ناصر الشمري</v>
      </c>
      <c r="D11" s="117" t="str">
        <f aca="false">IF($B11="","",الموظفون!$F11)</f>
        <v>المبيعات</v>
      </c>
      <c r="E11" s="117" t="str">
        <f aca="false">IF($B11="","",الموظفون!$E11)</f>
        <v>سعودي</v>
      </c>
      <c r="F11" s="117" t="str">
        <f aca="false">IF($B11="","",IF(AK11=0,IF(AND(الموظفون!$AE11&lt;&gt;"",الموظفون!$AE11&lt;$E$3),"✖ منتهي الخدمة","⏳ لم يباشر"),IF(S11&gt;0,"✈ راتب إجازة مقدم",IF(J11=0,"⛔ بدون راتب هذا الشهر",IF(I11&gt;0,"✈ خصم "&amp;ROUND(I11,2)&amp;" يوم بدون أجر",IF(AL11&gt;0,"🌴 إجازة سنوية "&amp;ROUND(AL11,2)&amp;" يوم",IF(H11&gt;0,"⚠ غياب "&amp;ROUND(H11,2)&amp;" يوم","✔ على رأس العمل")))))))</f>
        <v>✈ خصم 11 يوم بدون أجر</v>
      </c>
      <c r="G11" s="156" t="n">
        <f aca="false">IF($B11="","",IF(AK11&gt;=DAY($F$3),cfg_DAYS_M,MIN(AK11,cfg_DAYS_M)))</f>
        <v>30</v>
      </c>
      <c r="H11" s="156" t="n">
        <f aca="false">IF($B11="","",SUMIFS('الحركات الشهرية'!$D$6:$D$1005,'الحركات الشهرية'!$B$6:$B$1005,$B11,'الحركات الشهرية'!$A$6:$A$1005,$C$3))</f>
        <v>0</v>
      </c>
      <c r="I11" s="156" t="n">
        <f aca="false">IF($B11="","",MIN(G11,IF(AND(AK11&gt;0,AN11&gt;=AK11),G11,AN11)+SUMIFS('الحركات الشهرية'!$E$6:$E$1005,'الحركات الشهرية'!$B$6:$B$1005,$B11,'الحركات الشهرية'!$A$6:$A$1005,$C$3)))</f>
        <v>11</v>
      </c>
      <c r="J11" s="156" t="n">
        <f aca="false">IF($B11="","",MAX(0,G11-H11-I11))</f>
        <v>19</v>
      </c>
      <c r="K11" s="116" t="n">
        <f aca="false">IF($B11="","",الموظفون!$L11*$J11/cfg_DAYS_M)</f>
        <v>8233.33333333333</v>
      </c>
      <c r="L11" s="116" t="n">
        <f aca="false">IF($B11="","",الموظفون!$M11*$J11/cfg_DAYS_M)</f>
        <v>2058.33333333333</v>
      </c>
      <c r="M11" s="116" t="n">
        <f aca="false">IF($B11="","",الموظفون!$N11*$J11/cfg_DAYS_M)</f>
        <v>823.333333333333</v>
      </c>
      <c r="N11" s="116" t="n">
        <f aca="false">IF($B11="","",الموظفون!$O11*$J11/cfg_DAYS_M)</f>
        <v>1583.33333333333</v>
      </c>
      <c r="O11" s="156" t="n">
        <f aca="false">IF($B11="","",SUMIFS('الحركات الشهرية'!$F$6:$F$1005,'الحركات الشهرية'!$B$6:$B$1005,$B11,'الحركات الشهرية'!$A$6:$A$1005,$C$3))</f>
        <v>0</v>
      </c>
      <c r="P11" s="116" t="n">
        <f aca="false">IF($B11="","",O11*(الموظفون!$P11+الموظفون!$L11*cfg_OT_P)/cfg_DAYS_M/cfg_HRS)</f>
        <v>0</v>
      </c>
      <c r="Q11" s="116" t="n">
        <f aca="false">IF($B11="","",SUMIFS('الحركات الشهرية'!$G$6:$G$1005,'الحركات الشهرية'!$B$6:$B$1005,$B11,'الحركات الشهرية'!$A$6:$A$1005,$C$3))</f>
        <v>0</v>
      </c>
      <c r="R11" s="116" t="n">
        <f aca="false">IF($B11="","",SUMIFS('الحركات الشهرية'!$H$6:$H$1005,'الحركات الشهرية'!$B$6:$B$1005,$B11,'الحركات الشهرية'!$A$6:$A$1005,$C$3))</f>
        <v>0</v>
      </c>
      <c r="S11" s="116" t="n">
        <f aca="false">IF($B11="","",SUMIFS('سجل الإجازات والحالات'!$N$6:$N$505,'سجل الإجازات والحالات'!$B$6:$B$505,$B11,'سجل الإجازات والحالات'!$O$6:$O$505,$C$3))</f>
        <v>0</v>
      </c>
      <c r="T11" s="157" t="n">
        <f aca="false">IF($B11="","",SUM(K11:N11)+SUM(P11:S11))</f>
        <v>12698.3333333333</v>
      </c>
      <c r="U11" s="116" t="n">
        <f aca="false">IF($B11="","",الموظفون!$S11*IF(E11="سعودي",cfg_G_SE,cfg_G_NE)*G11/cfg_DAYS_M)</f>
        <v>1584.375</v>
      </c>
      <c r="V11" s="116" t="n">
        <f aca="false">IF($B11="","",SUMIFS('الحركات الشهرية'!$I$6:$I$1005,'الحركات الشهرية'!$B$6:$B$1005,$B11,'الحركات الشهرية'!$A$6:$A$1005,$C$3))</f>
        <v>0</v>
      </c>
      <c r="W11" s="116" t="n">
        <f aca="false">IF($B11="","",SUMIFS('الحركات الشهرية'!$J$6:$J$1005,'الحركات الشهرية'!$B$6:$B$1005,$B11,'الحركات الشهرية'!$A$6:$A$1005,$C$3))</f>
        <v>250</v>
      </c>
      <c r="X11" s="116" t="n">
        <f aca="false">IF($B11="","",SUM(U11:W11))</f>
        <v>1834.375</v>
      </c>
      <c r="Y11" s="158" t="n">
        <f aca="false">IF($B11="","",T11-X11)</f>
        <v>10863.9583333333</v>
      </c>
      <c r="Z11" s="116" t="n">
        <f aca="false">IF($B11="","",الموظفون!$S11*IF(E11="سعودي",cfg_G_SR,cfg_G_NR)*G11/cfg_DAYS_M)</f>
        <v>1909.375</v>
      </c>
      <c r="AA11" s="116" t="n">
        <f aca="false">IF($B11="","",الموظفون!$Q11*(cfg_EOS_R1*(MIN(AH11,cfg_EOS_TH)-MIN(AI11,cfg_EOS_TH))+cfg_EOS_R2*(MAX(AH11-cfg_EOS_TH,0)-MAX(AI11-cfg_EOS_TH,0))))</f>
        <v>913.561643835603</v>
      </c>
      <c r="AB11" s="116" t="n">
        <f aca="false">IF($B11="","",IF(الموظفون!$T11&lt;&gt;"",الموظفون!$T11,IF(AH11&gt;=cfg_LV_TH,cfg_LV_D2,cfg_LV_D1))/cfg_DAYS_Y*AJ11*الموظفون!$R11/cfg_DAYS_M)</f>
        <v>913.561643835617</v>
      </c>
      <c r="AC11" s="116" t="n">
        <f aca="false">IF($B11="","",IF(AND(الموظفون!$U11="نعم",N(الموظفون!$W11)&gt;0),الموظفون!$V11/الموظفون!$W11*12/cfg_DAYS_Y*AJ11,0))</f>
        <v>0</v>
      </c>
      <c r="AD11" s="116" t="n">
        <f aca="false">IF($B11="","",(IF(الموظفون!$X11&lt;&gt;"",الموظفون!$X11,IF(الموظفون!$E11="غير سعودي",cfg_IQ,0))+IF(الموظفون!$Y11&lt;&gt;"",الموظفون!$Y11,IF(الموظفون!$E11="غير سعودي",cfg_WP,0)))/12*G11/cfg_DAYS_M)</f>
        <v>0</v>
      </c>
      <c r="AE11" s="116" t="n">
        <f aca="false">IF($B11="","",IF(الموظفون!$Z11&lt;&gt;"",الموظفون!$Z11,cfg_MED)/12*G11/cfg_DAYS_M)</f>
        <v>300</v>
      </c>
      <c r="AF11" s="116" t="n">
        <f aca="false">IF($B11="","",N(الموظفون!$AA11)/12*G11/cfg_DAYS_M)</f>
        <v>0</v>
      </c>
      <c r="AG11" s="159" t="n">
        <f aca="false">IF($B11="","",T11+SUM(Z11:AF11))</f>
        <v>16734.8316210046</v>
      </c>
      <c r="AH11" s="160" t="n">
        <f aca="false">IF($B11="","",MAX(0,IF(OR(الموظفون!$AE11="",الموظفون!$AE11&gt;$F$3),$F$3,الموظفون!$AE11)-الموظفون!$H11+1-SUMIFS('سجل الإجازات والحالات'!$AP$6:$AP$505,'سجل الإجازات والحالات'!$B$6:$B$505,$B11))/cfg_DAYS_Y)</f>
        <v>8.87945205479452</v>
      </c>
      <c r="AI11" s="160" t="n">
        <f aca="false">IF($B11="","",MAX(0,IF(OR(الموظفون!$AE11="",الموظفون!$AE11&gt;($E$3-1)),($E$3-1),الموظفون!$AE11)-الموظفون!$H11+1-SUMIFS('سجل الإجازات والحالات'!$AO$6:$AO$505,'سجل الإجازات والحالات'!$B$6:$B$505,$B11))/cfg_DAYS_Y)</f>
        <v>8.82739726027397</v>
      </c>
      <c r="AJ11" s="133" t="n">
        <f aca="false">IF($B11="","",MAX(0,AK11-(SUMIFS('سجل الإجازات والحالات'!$AP$6:$AP$505,'سجل الإجازات والحالات'!$B$6:$B$505,$B11)-SUMIFS('سجل الإجازات والحالات'!$AO$6:$AO$505,'سجل الإجازات والحالات'!$B$6:$B$505,$B11))))</f>
        <v>19</v>
      </c>
      <c r="AK11" s="133" t="n">
        <f aca="false">IF($B11="","",MAX(0,IF(OR(الموظفون!$AE11="",الموظفون!$AE11&gt;$F$3),$F$3,الموظفون!$AE11)-MAX($E$3,الموظفون!$H11)+1))</f>
        <v>30</v>
      </c>
      <c r="AL11" s="156" t="n">
        <f aca="false">IF($B11="","",SUMIFS('سجل الإجازات والحالات'!$BB$6:$BB$505,'سجل الإجازات والحالات'!$B$6:$B$505,$B11)+SUMIFS('الحركات الشهرية'!$K$6:$K$1005,'الحركات الشهرية'!$B$6:$B$1005,$B11,'الحركات الشهرية'!$A$6:$A$1005,$C$3))</f>
        <v>0</v>
      </c>
      <c r="AM11" s="116" t="n">
        <f aca="false">IF($B11="","",AL11*الموظفون!$R11/cfg_DAYS_M+S11)</f>
        <v>0</v>
      </c>
      <c r="AN11" s="156" t="n">
        <f aca="false">IF($B11="","",SUMIFS('سجل الإجازات والحالات'!$AD$6:$AD$505,'سجل الإجازات والحالات'!$B$6:$B$505,$B11))</f>
        <v>11</v>
      </c>
    </row>
    <row r="12" customFormat="false" ht="15" hidden="false" customHeight="false" outlineLevel="0" collapsed="false">
      <c r="A12" s="106" t="n">
        <f aca="false">IF($B12="","",الموظفون!$A12)</f>
        <v>7</v>
      </c>
      <c r="B12" s="114" t="str">
        <f aca="false">IF(الموظفون!$B12="","",الموظفون!$B12)</f>
        <v>E007</v>
      </c>
      <c r="C12" s="114" t="str">
        <f aca="false">IF($B12="","",الموظفون!$C12)</f>
        <v>خالد يوسف الأحمد</v>
      </c>
      <c r="D12" s="114" t="str">
        <f aca="false">IF($B12="","",الموظفون!$F12)</f>
        <v>المشاريع</v>
      </c>
      <c r="E12" s="114" t="str">
        <f aca="false">IF($B12="","",الموظفون!$E12)</f>
        <v>غير سعودي</v>
      </c>
      <c r="F12" s="114" t="str">
        <f aca="false">IF($B12="","",IF(AK12=0,IF(AND(الموظفون!$AE12&lt;&gt;"",الموظفون!$AE12&lt;$E$3),"✖ منتهي الخدمة","⏳ لم يباشر"),IF(S12&gt;0,"✈ راتب إجازة مقدم",IF(J12=0,"⛔ بدون راتب هذا الشهر",IF(I12&gt;0,"✈ خصم "&amp;ROUND(I12,2)&amp;" يوم بدون أجر",IF(AL12&gt;0,"🌴 إجازة سنوية "&amp;ROUND(AL12,2)&amp;" يوم",IF(H12&gt;0,"⚠ غياب "&amp;ROUND(H12,2)&amp;" يوم","✔ على رأس العمل")))))))</f>
        <v>✔ على رأس العمل</v>
      </c>
      <c r="G12" s="151" t="n">
        <f aca="false">IF($B12="","",IF(AK12&gt;=DAY($F$3),cfg_DAYS_M,MIN(AK12,cfg_DAYS_M)))</f>
        <v>30</v>
      </c>
      <c r="H12" s="151" t="n">
        <f aca="false">IF($B12="","",SUMIFS('الحركات الشهرية'!$D$6:$D$1005,'الحركات الشهرية'!$B$6:$B$1005,$B12,'الحركات الشهرية'!$A$6:$A$1005,$C$3))</f>
        <v>0</v>
      </c>
      <c r="I12" s="151" t="n">
        <f aca="false">IF($B12="","",MIN(G12,IF(AND(AK12&gt;0,AN12&gt;=AK12),G12,AN12)+SUMIFS('الحركات الشهرية'!$E$6:$E$1005,'الحركات الشهرية'!$B$6:$B$1005,$B12,'الحركات الشهرية'!$A$6:$A$1005,$C$3)))</f>
        <v>0</v>
      </c>
      <c r="J12" s="151" t="n">
        <f aca="false">IF($B12="","",MAX(0,G12-H12-I12))</f>
        <v>30</v>
      </c>
      <c r="K12" s="111" t="n">
        <f aca="false">IF($B12="","",الموظفون!$L12*$J12/cfg_DAYS_M)</f>
        <v>11000</v>
      </c>
      <c r="L12" s="111" t="n">
        <f aca="false">IF($B12="","",الموظفون!$M12*$J12/cfg_DAYS_M)</f>
        <v>2750</v>
      </c>
      <c r="M12" s="111" t="n">
        <f aca="false">IF($B12="","",الموظفون!$N12*$J12/cfg_DAYS_M)</f>
        <v>1100</v>
      </c>
      <c r="N12" s="111" t="n">
        <f aca="false">IF($B12="","",الموظفون!$O12*$J12/cfg_DAYS_M)</f>
        <v>800</v>
      </c>
      <c r="O12" s="151" t="n">
        <f aca="false">IF($B12="","",SUMIFS('الحركات الشهرية'!$F$6:$F$1005,'الحركات الشهرية'!$B$6:$B$1005,$B12,'الحركات الشهرية'!$A$6:$A$1005,$C$3))</f>
        <v>0</v>
      </c>
      <c r="P12" s="111" t="n">
        <f aca="false">IF($B12="","",O12*(الموظفون!$P12+الموظفون!$L12*cfg_OT_P)/cfg_DAYS_M/cfg_HRS)</f>
        <v>0</v>
      </c>
      <c r="Q12" s="111" t="n">
        <f aca="false">IF($B12="","",SUMIFS('الحركات الشهرية'!$G$6:$G$1005,'الحركات الشهرية'!$B$6:$B$1005,$B12,'الحركات الشهرية'!$A$6:$A$1005,$C$3))</f>
        <v>0</v>
      </c>
      <c r="R12" s="111" t="n">
        <f aca="false">IF($B12="","",SUMIFS('الحركات الشهرية'!$H$6:$H$1005,'الحركات الشهرية'!$B$6:$B$1005,$B12,'الحركات الشهرية'!$A$6:$A$1005,$C$3))</f>
        <v>0</v>
      </c>
      <c r="S12" s="111" t="n">
        <f aca="false">IF($B12="","",SUMIFS('سجل الإجازات والحالات'!$N$6:$N$505,'سجل الإجازات والحالات'!$B$6:$B$505,$B12,'سجل الإجازات والحالات'!$O$6:$O$505,$C$3))</f>
        <v>0</v>
      </c>
      <c r="T12" s="152" t="n">
        <f aca="false">IF($B12="","",SUM(K12:N12)+SUM(P12:S12))</f>
        <v>15650</v>
      </c>
      <c r="U12" s="111" t="n">
        <f aca="false">IF($B12="","",الموظفون!$S12*IF(E12="سعودي",cfg_G_SE,cfg_G_NE)*G12/cfg_DAYS_M)</f>
        <v>0</v>
      </c>
      <c r="V12" s="111" t="n">
        <f aca="false">IF($B12="","",SUMIFS('الحركات الشهرية'!$I$6:$I$1005,'الحركات الشهرية'!$B$6:$B$1005,$B12,'الحركات الشهرية'!$A$6:$A$1005,$C$3))</f>
        <v>0</v>
      </c>
      <c r="W12" s="111" t="n">
        <f aca="false">IF($B12="","",SUMIFS('الحركات الشهرية'!$J$6:$J$1005,'الحركات الشهرية'!$B$6:$B$1005,$B12,'الحركات الشهرية'!$A$6:$A$1005,$C$3))</f>
        <v>0</v>
      </c>
      <c r="X12" s="111" t="n">
        <f aca="false">IF($B12="","",SUM(U12:W12))</f>
        <v>0</v>
      </c>
      <c r="Y12" s="153" t="n">
        <f aca="false">IF($B12="","",T12-X12)</f>
        <v>15650</v>
      </c>
      <c r="Z12" s="111" t="n">
        <f aca="false">IF($B12="","",الموظفون!$S12*IF(E12="سعودي",cfg_G_SR,cfg_G_NR)*G12/cfg_DAYS_M)</f>
        <v>275</v>
      </c>
      <c r="AA12" s="111" t="n">
        <f aca="false">IF($B12="","",الموظفون!$Q12*(cfg_EOS_R1*(MIN(AH12,cfg_EOS_TH)-MIN(AI12,cfg_EOS_TH))+cfg_EOS_R2*(MAX(AH12-cfg_EOS_TH,0)-MAX(AI12-cfg_EOS_TH,0))))</f>
        <v>1220.54794520547</v>
      </c>
      <c r="AB12" s="111" t="n">
        <f aca="false">IF($B12="","",IF(الموظفون!$T12&lt;&gt;"",الموظفون!$T12,IF(AH12&gt;=cfg_LV_TH,cfg_LV_D2,cfg_LV_D1))/cfg_DAYS_Y*AJ12*الموظفون!$R12/cfg_DAYS_M)</f>
        <v>1220.54794520548</v>
      </c>
      <c r="AC12" s="111" t="n">
        <f aca="false">IF($B12="","",IF(AND(الموظفون!$U12="نعم",N(الموظفون!$W12)&gt;0),الموظفون!$V12/الموظفون!$W12*12/cfg_DAYS_Y*AJ12,0))</f>
        <v>369.86301369863</v>
      </c>
      <c r="AD12" s="111" t="n">
        <f aca="false">IF($B12="","",(IF(الموظفون!$X12&lt;&gt;"",الموظفون!$X12,IF(الموظفون!$E12="غير سعودي",cfg_IQ,0))+IF(الموظفون!$Y12&lt;&gt;"",الموظفون!$Y12,IF(الموظفون!$E12="غير سعودي",cfg_WP,0)))/12*G12/cfg_DAYS_M)</f>
        <v>854.166666666667</v>
      </c>
      <c r="AE12" s="111" t="n">
        <f aca="false">IF($B12="","",IF(الموظفون!$Z12&lt;&gt;"",الموظفون!$Z12,cfg_MED)/12*G12/cfg_DAYS_M)</f>
        <v>200</v>
      </c>
      <c r="AF12" s="111" t="n">
        <f aca="false">IF($B12="","",N(الموظفون!$AA12)/12*G12/cfg_DAYS_M)</f>
        <v>400</v>
      </c>
      <c r="AG12" s="154" t="n">
        <f aca="false">IF($B12="","",T12+SUM(Z12:AF12))</f>
        <v>20190.1255707762</v>
      </c>
      <c r="AH12" s="155" t="n">
        <f aca="false">IF($B12="","",MAX(0,IF(OR(الموظفون!$AE12="",الموظفون!$AE12&gt;$F$3),$F$3,الموظفون!$AE12)-الموظفون!$H12+1-SUMIFS('سجل الإجازات والحالات'!$AP$6:$AP$505,'سجل الإجازات والحالات'!$B$6:$B$505,$B12))/cfg_DAYS_Y)</f>
        <v>5.6986301369863</v>
      </c>
      <c r="AI12" s="155" t="n">
        <f aca="false">IF($B12="","",MAX(0,IF(OR(الموظفون!$AE12="",الموظفون!$AE12&gt;($E$3-1)),($E$3-1),الموظفون!$AE12)-الموظفون!$H12+1-SUMIFS('سجل الإجازات والحالات'!$AO$6:$AO$505,'سجل الإجازات والحالات'!$B$6:$B$505,$B12))/cfg_DAYS_Y)</f>
        <v>5.61643835616438</v>
      </c>
      <c r="AJ12" s="65" t="n">
        <f aca="false">IF($B12="","",MAX(0,AK12-(SUMIFS('سجل الإجازات والحالات'!$AP$6:$AP$505,'سجل الإجازات والحالات'!$B$6:$B$505,$B12)-SUMIFS('سجل الإجازات والحالات'!$AO$6:$AO$505,'سجل الإجازات والحالات'!$B$6:$B$505,$B12))))</f>
        <v>30</v>
      </c>
      <c r="AK12" s="65" t="n">
        <f aca="false">IF($B12="","",MAX(0,IF(OR(الموظفون!$AE12="",الموظفون!$AE12&gt;$F$3),$F$3,الموظفون!$AE12)-MAX($E$3,الموظفون!$H12)+1))</f>
        <v>30</v>
      </c>
      <c r="AL12" s="151" t="n">
        <f aca="false">IF($B12="","",SUMIFS('سجل الإجازات والحالات'!$BB$6:$BB$505,'سجل الإجازات والحالات'!$B$6:$B$505,$B12)+SUMIFS('الحركات الشهرية'!$K$6:$K$1005,'الحركات الشهرية'!$B$6:$B$1005,$B12,'الحركات الشهرية'!$A$6:$A$1005,$C$3))</f>
        <v>0</v>
      </c>
      <c r="AM12" s="111" t="n">
        <f aca="false">IF($B12="","",AL12*الموظفون!$R12/cfg_DAYS_M+S12)</f>
        <v>0</v>
      </c>
      <c r="AN12" s="151" t="n">
        <f aca="false">IF($B12="","",SUMIFS('سجل الإجازات والحالات'!$AD$6:$AD$505,'سجل الإجازات والحالات'!$B$6:$B$505,$B12))</f>
        <v>0</v>
      </c>
    </row>
    <row r="13" customFormat="false" ht="15" hidden="false" customHeight="false" outlineLevel="0" collapsed="false">
      <c r="A13" s="115" t="n">
        <f aca="false">IF($B13="","",الموظفون!$A13)</f>
        <v>8</v>
      </c>
      <c r="B13" s="117" t="str">
        <f aca="false">IF(الموظفون!$B13="","",الموظفون!$B13)</f>
        <v>E008</v>
      </c>
      <c r="C13" s="117" t="str">
        <f aca="false">IF($B13="","",الموظفون!$C13)</f>
        <v>سارة عبدالرحمن الزهراني</v>
      </c>
      <c r="D13" s="117" t="str">
        <f aca="false">IF($B13="","",الموظفون!$F13)</f>
        <v>المالية</v>
      </c>
      <c r="E13" s="117" t="str">
        <f aca="false">IF($B13="","",الموظفون!$E13)</f>
        <v>سعودي</v>
      </c>
      <c r="F13" s="117" t="str">
        <f aca="false">IF($B13="","",IF(AK13=0,IF(AND(الموظفون!$AE13&lt;&gt;"",الموظفون!$AE13&lt;$E$3),"✖ منتهي الخدمة","⏳ لم يباشر"),IF(S13&gt;0,"✈ راتب إجازة مقدم",IF(J13=0,"⛔ بدون راتب هذا الشهر",IF(I13&gt;0,"✈ خصم "&amp;ROUND(I13,2)&amp;" يوم بدون أجر",IF(AL13&gt;0,"🌴 إجازة سنوية "&amp;ROUND(AL13,2)&amp;" يوم",IF(H13&gt;0,"⚠ غياب "&amp;ROUND(H13,2)&amp;" يوم","✔ على رأس العمل")))))))</f>
        <v>✔ على رأس العمل</v>
      </c>
      <c r="G13" s="156" t="n">
        <f aca="false">IF($B13="","",IF(AK13&gt;=DAY($F$3),cfg_DAYS_M,MIN(AK13,cfg_DAYS_M)))</f>
        <v>30</v>
      </c>
      <c r="H13" s="156" t="n">
        <f aca="false">IF($B13="","",SUMIFS('الحركات الشهرية'!$D$6:$D$1005,'الحركات الشهرية'!$B$6:$B$1005,$B13,'الحركات الشهرية'!$A$6:$A$1005,$C$3))</f>
        <v>0</v>
      </c>
      <c r="I13" s="156" t="n">
        <f aca="false">IF($B13="","",MIN(G13,IF(AND(AK13&gt;0,AN13&gt;=AK13),G13,AN13)+SUMIFS('الحركات الشهرية'!$E$6:$E$1005,'الحركات الشهرية'!$B$6:$B$1005,$B13,'الحركات الشهرية'!$A$6:$A$1005,$C$3)))</f>
        <v>0</v>
      </c>
      <c r="J13" s="156" t="n">
        <f aca="false">IF($B13="","",MAX(0,G13-H13-I13))</f>
        <v>30</v>
      </c>
      <c r="K13" s="116" t="n">
        <f aca="false">IF($B13="","",الموظفون!$L13*$J13/cfg_DAYS_M)</f>
        <v>7500</v>
      </c>
      <c r="L13" s="116" t="n">
        <f aca="false">IF($B13="","",الموظفون!$M13*$J13/cfg_DAYS_M)</f>
        <v>1875</v>
      </c>
      <c r="M13" s="116" t="n">
        <f aca="false">IF($B13="","",الموظفون!$N13*$J13/cfg_DAYS_M)</f>
        <v>750</v>
      </c>
      <c r="N13" s="116" t="n">
        <f aca="false">IF($B13="","",الموظفون!$O13*$J13/cfg_DAYS_M)</f>
        <v>0</v>
      </c>
      <c r="O13" s="156" t="n">
        <f aca="false">IF($B13="","",SUMIFS('الحركات الشهرية'!$F$6:$F$1005,'الحركات الشهرية'!$B$6:$B$1005,$B13,'الحركات الشهرية'!$A$6:$A$1005,$C$3))</f>
        <v>0</v>
      </c>
      <c r="P13" s="116" t="n">
        <f aca="false">IF($B13="","",O13*(الموظفون!$P13+الموظفون!$L13*cfg_OT_P)/cfg_DAYS_M/cfg_HRS)</f>
        <v>0</v>
      </c>
      <c r="Q13" s="116" t="n">
        <f aca="false">IF($B13="","",SUMIFS('الحركات الشهرية'!$G$6:$G$1005,'الحركات الشهرية'!$B$6:$B$1005,$B13,'الحركات الشهرية'!$A$6:$A$1005,$C$3))</f>
        <v>0</v>
      </c>
      <c r="R13" s="116" t="n">
        <f aca="false">IF($B13="","",SUMIFS('الحركات الشهرية'!$H$6:$H$1005,'الحركات الشهرية'!$B$6:$B$1005,$B13,'الحركات الشهرية'!$A$6:$A$1005,$C$3))</f>
        <v>0</v>
      </c>
      <c r="S13" s="116" t="n">
        <f aca="false">IF($B13="","",SUMIFS('سجل الإجازات والحالات'!$N$6:$N$505,'سجل الإجازات والحالات'!$B$6:$B$505,$B13,'سجل الإجازات والحالات'!$O$6:$O$505,$C$3))</f>
        <v>0</v>
      </c>
      <c r="T13" s="157" t="n">
        <f aca="false">IF($B13="","",SUM(K13:N13)+SUM(P13:S13))</f>
        <v>10125</v>
      </c>
      <c r="U13" s="116" t="n">
        <f aca="false">IF($B13="","",الموظفون!$S13*IF(E13="سعودي",cfg_G_SE,cfg_G_NE)*G13/cfg_DAYS_M)</f>
        <v>914.0625</v>
      </c>
      <c r="V13" s="116" t="n">
        <f aca="false">IF($B13="","",SUMIFS('الحركات الشهرية'!$I$6:$I$1005,'الحركات الشهرية'!$B$6:$B$1005,$B13,'الحركات الشهرية'!$A$6:$A$1005,$C$3))</f>
        <v>0</v>
      </c>
      <c r="W13" s="116" t="n">
        <f aca="false">IF($B13="","",SUMIFS('الحركات الشهرية'!$J$6:$J$1005,'الحركات الشهرية'!$B$6:$B$1005,$B13,'الحركات الشهرية'!$A$6:$A$1005,$C$3))</f>
        <v>0</v>
      </c>
      <c r="X13" s="116" t="n">
        <f aca="false">IF($B13="","",SUM(U13:W13))</f>
        <v>914.0625</v>
      </c>
      <c r="Y13" s="158" t="n">
        <f aca="false">IF($B13="","",T13-X13)</f>
        <v>9210.9375</v>
      </c>
      <c r="Z13" s="116" t="n">
        <f aca="false">IF($B13="","",الموظفون!$S13*IF(E13="سعودي",cfg_G_SR,cfg_G_NR)*G13/cfg_DAYS_M)</f>
        <v>1101.5625</v>
      </c>
      <c r="AA13" s="116" t="n">
        <f aca="false">IF($B13="","",الموظفون!$Q13*(cfg_EOS_R1*(MIN(AH13,cfg_EOS_TH)-MIN(AI13,cfg_EOS_TH))+cfg_EOS_R2*(MAX(AH13-cfg_EOS_TH,0)-MAX(AI13-cfg_EOS_TH,0))))</f>
        <v>416.095890410958</v>
      </c>
      <c r="AB13" s="116" t="n">
        <f aca="false">IF($B13="","",IF(الموظفون!$T13&lt;&gt;"",الموظفون!$T13,IF(AH13&gt;=cfg_LV_TH,cfg_LV_D2,cfg_LV_D1))/cfg_DAYS_Y*AJ13*الموظفون!$R13/cfg_DAYS_M)</f>
        <v>582.534246575342</v>
      </c>
      <c r="AC13" s="116" t="n">
        <f aca="false">IF($B13="","",IF(AND(الموظفون!$U13="نعم",N(الموظفون!$W13)&gt;0),الموظفون!$V13/الموظفون!$W13*12/cfg_DAYS_Y*AJ13,0))</f>
        <v>0</v>
      </c>
      <c r="AD13" s="116" t="n">
        <f aca="false">IF($B13="","",(IF(الموظفون!$X13&lt;&gt;"",الموظفون!$X13,IF(الموظفون!$E13="غير سعودي",cfg_IQ,0))+IF(الموظفون!$Y13&lt;&gt;"",الموظفون!$Y13,IF(الموظفون!$E13="غير سعودي",cfg_WP,0)))/12*G13/cfg_DAYS_M)</f>
        <v>0</v>
      </c>
      <c r="AE13" s="116" t="n">
        <f aca="false">IF($B13="","",IF(الموظفون!$Z13&lt;&gt;"",الموظفون!$Z13,cfg_MED)/12*G13/cfg_DAYS_M)</f>
        <v>200</v>
      </c>
      <c r="AF13" s="116" t="n">
        <f aca="false">IF($B13="","",N(الموظفون!$AA13)/12*G13/cfg_DAYS_M)</f>
        <v>0</v>
      </c>
      <c r="AG13" s="159" t="n">
        <f aca="false">IF($B13="","",T13+SUM(Z13:AF13))</f>
        <v>12425.1926369863</v>
      </c>
      <c r="AH13" s="160" t="n">
        <f aca="false">IF($B13="","",MAX(0,IF(OR(الموظفون!$AE13="",الموظفون!$AE13&gt;$F$3),$F$3,الموظفون!$AE13)-الموظفون!$H13+1-SUMIFS('سجل الإجازات والحالات'!$AP$6:$AP$505,'سجل الإجازات والحالات'!$B$6:$B$505,$B13))/cfg_DAYS_Y)</f>
        <v>3.58082191780822</v>
      </c>
      <c r="AI13" s="160" t="n">
        <f aca="false">IF($B13="","",MAX(0,IF(OR(الموظفون!$AE13="",الموظفون!$AE13&gt;($E$3-1)),($E$3-1),الموظفون!$AE13)-الموظفون!$H13+1-SUMIFS('سجل الإجازات والحالات'!$AO$6:$AO$505,'سجل الإجازات والحالات'!$B$6:$B$505,$B13))/cfg_DAYS_Y)</f>
        <v>3.4986301369863</v>
      </c>
      <c r="AJ13" s="133" t="n">
        <f aca="false">IF($B13="","",MAX(0,AK13-(SUMIFS('سجل الإجازات والحالات'!$AP$6:$AP$505,'سجل الإجازات والحالات'!$B$6:$B$505,$B13)-SUMIFS('سجل الإجازات والحالات'!$AO$6:$AO$505,'سجل الإجازات والحالات'!$B$6:$B$505,$B13))))</f>
        <v>30</v>
      </c>
      <c r="AK13" s="133" t="n">
        <f aca="false">IF($B13="","",MAX(0,IF(OR(الموظفون!$AE13="",الموظفون!$AE13&gt;$F$3),$F$3,الموظفون!$AE13)-MAX($E$3,الموظفون!$H13)+1))</f>
        <v>30</v>
      </c>
      <c r="AL13" s="156" t="n">
        <f aca="false">IF($B13="","",SUMIFS('سجل الإجازات والحالات'!$BB$6:$BB$505,'سجل الإجازات والحالات'!$B$6:$B$505,$B13)+SUMIFS('الحركات الشهرية'!$K$6:$K$1005,'الحركات الشهرية'!$B$6:$B$1005,$B13,'الحركات الشهرية'!$A$6:$A$1005,$C$3))</f>
        <v>0</v>
      </c>
      <c r="AM13" s="116" t="n">
        <f aca="false">IF($B13="","",AL13*الموظفون!$R13/cfg_DAYS_M+S13)</f>
        <v>0</v>
      </c>
      <c r="AN13" s="156" t="n">
        <f aca="false">IF($B13="","",SUMIFS('سجل الإجازات والحالات'!$AD$6:$AD$505,'سجل الإجازات والحالات'!$B$6:$B$505,$B13))</f>
        <v>0</v>
      </c>
    </row>
    <row r="14" customFormat="false" ht="15" hidden="false" customHeight="false" outlineLevel="0" collapsed="false">
      <c r="A14" s="106" t="n">
        <f aca="false">IF($B14="","",الموظفون!$A14)</f>
        <v>9</v>
      </c>
      <c r="B14" s="114" t="str">
        <f aca="false">IF(الموظفون!$B14="","",الموظفون!$B14)</f>
        <v>E009</v>
      </c>
      <c r="C14" s="114" t="str">
        <f aca="false">IF($B14="","",الموظفون!$C14)</f>
        <v>محمد رفيق</v>
      </c>
      <c r="D14" s="114" t="str">
        <f aca="false">IF($B14="","",الموظفون!$F14)</f>
        <v>العمليات</v>
      </c>
      <c r="E14" s="114" t="str">
        <f aca="false">IF($B14="","",الموظفون!$E14)</f>
        <v>غير سعودي</v>
      </c>
      <c r="F14" s="114" t="str">
        <f aca="false">IF($B14="","",IF(AK14=0,IF(AND(الموظفون!$AE14&lt;&gt;"",الموظفون!$AE14&lt;$E$3),"✖ منتهي الخدمة","⏳ لم يباشر"),IF(S14&gt;0,"✈ راتب إجازة مقدم",IF(J14=0,"⛔ بدون راتب هذا الشهر",IF(I14&gt;0,"✈ خصم "&amp;ROUND(I14,2)&amp;" يوم بدون أجر",IF(AL14&gt;0,"🌴 إجازة سنوية "&amp;ROUND(AL14,2)&amp;" يوم",IF(H14&gt;0,"⚠ غياب "&amp;ROUND(H14,2)&amp;" يوم","✔ على رأس العمل")))))))</f>
        <v>✔ على رأس العمل</v>
      </c>
      <c r="G14" s="151" t="n">
        <f aca="false">IF($B14="","",IF(AK14&gt;=DAY($F$3),cfg_DAYS_M,MIN(AK14,cfg_DAYS_M)))</f>
        <v>30</v>
      </c>
      <c r="H14" s="151" t="n">
        <f aca="false">IF($B14="","",SUMIFS('الحركات الشهرية'!$D$6:$D$1005,'الحركات الشهرية'!$B$6:$B$1005,$B14,'الحركات الشهرية'!$A$6:$A$1005,$C$3))</f>
        <v>0</v>
      </c>
      <c r="I14" s="151" t="n">
        <f aca="false">IF($B14="","",MIN(G14,IF(AND(AK14&gt;0,AN14&gt;=AK14),G14,AN14)+SUMIFS('الحركات الشهرية'!$E$6:$E$1005,'الحركات الشهرية'!$B$6:$B$1005,$B14,'الحركات الشهرية'!$A$6:$A$1005,$C$3)))</f>
        <v>0</v>
      </c>
      <c r="J14" s="151" t="n">
        <f aca="false">IF($B14="","",MAX(0,G14-H14-I14))</f>
        <v>30</v>
      </c>
      <c r="K14" s="111" t="n">
        <f aca="false">IF($B14="","",الموظفون!$L14*$J14/cfg_DAYS_M)</f>
        <v>6500</v>
      </c>
      <c r="L14" s="111" t="n">
        <f aca="false">IF($B14="","",الموظفون!$M14*$J14/cfg_DAYS_M)</f>
        <v>1625</v>
      </c>
      <c r="M14" s="111" t="n">
        <f aca="false">IF($B14="","",الموظفون!$N14*$J14/cfg_DAYS_M)</f>
        <v>650</v>
      </c>
      <c r="N14" s="111" t="n">
        <f aca="false">IF($B14="","",الموظفون!$O14*$J14/cfg_DAYS_M)</f>
        <v>300</v>
      </c>
      <c r="O14" s="151" t="n">
        <f aca="false">IF($B14="","",SUMIFS('الحركات الشهرية'!$F$6:$F$1005,'الحركات الشهرية'!$B$6:$B$1005,$B14,'الحركات الشهرية'!$A$6:$A$1005,$C$3))</f>
        <v>0</v>
      </c>
      <c r="P14" s="111" t="n">
        <f aca="false">IF($B14="","",O14*(الموظفون!$P14+الموظفون!$L14*cfg_OT_P)/cfg_DAYS_M/cfg_HRS)</f>
        <v>0</v>
      </c>
      <c r="Q14" s="111" t="n">
        <f aca="false">IF($B14="","",SUMIFS('الحركات الشهرية'!$G$6:$G$1005,'الحركات الشهرية'!$B$6:$B$1005,$B14,'الحركات الشهرية'!$A$6:$A$1005,$C$3))</f>
        <v>0</v>
      </c>
      <c r="R14" s="111" t="n">
        <f aca="false">IF($B14="","",SUMIFS('الحركات الشهرية'!$H$6:$H$1005,'الحركات الشهرية'!$B$6:$B$1005,$B14,'الحركات الشهرية'!$A$6:$A$1005,$C$3))</f>
        <v>0</v>
      </c>
      <c r="S14" s="111" t="n">
        <f aca="false">IF($B14="","",SUMIFS('سجل الإجازات والحالات'!$N$6:$N$505,'سجل الإجازات والحالات'!$B$6:$B$505,$B14,'سجل الإجازات والحالات'!$O$6:$O$505,$C$3))</f>
        <v>0</v>
      </c>
      <c r="T14" s="152" t="n">
        <f aca="false">IF($B14="","",SUM(K14:N14)+SUM(P14:S14))</f>
        <v>9075</v>
      </c>
      <c r="U14" s="111" t="n">
        <f aca="false">IF($B14="","",الموظفون!$S14*IF(E14="سعودي",cfg_G_SE,cfg_G_NE)*G14/cfg_DAYS_M)</f>
        <v>0</v>
      </c>
      <c r="V14" s="111" t="n">
        <f aca="false">IF($B14="","",SUMIFS('الحركات الشهرية'!$I$6:$I$1005,'الحركات الشهرية'!$B$6:$B$1005,$B14,'الحركات الشهرية'!$A$6:$A$1005,$C$3))</f>
        <v>0</v>
      </c>
      <c r="W14" s="111" t="n">
        <f aca="false">IF($B14="","",SUMIFS('الحركات الشهرية'!$J$6:$J$1005,'الحركات الشهرية'!$B$6:$B$1005,$B14,'الحركات الشهرية'!$A$6:$A$1005,$C$3))</f>
        <v>0</v>
      </c>
      <c r="X14" s="111" t="n">
        <f aca="false">IF($B14="","",SUM(U14:W14))</f>
        <v>0</v>
      </c>
      <c r="Y14" s="153" t="n">
        <f aca="false">IF($B14="","",T14-X14)</f>
        <v>9075</v>
      </c>
      <c r="Z14" s="111" t="n">
        <f aca="false">IF($B14="","",الموظفون!$S14*IF(E14="سعودي",cfg_G_SR,cfg_G_NR)*G14/cfg_DAYS_M)</f>
        <v>162.5</v>
      </c>
      <c r="AA14" s="111" t="n">
        <f aca="false">IF($B14="","",الموظفون!$Q14*(cfg_EOS_R1*(MIN(AH14,cfg_EOS_TH)-MIN(AI14,cfg_EOS_TH))+cfg_EOS_R2*(MAX(AH14-cfg_EOS_TH,0)-MAX(AI14-cfg_EOS_TH,0))))</f>
        <v>721.232876712324</v>
      </c>
      <c r="AB14" s="111" t="n">
        <f aca="false">IF($B14="","",IF(الموظفون!$T14&lt;&gt;"",الموظفون!$T14,IF(AH14&gt;=cfg_LV_TH,cfg_LV_D2,cfg_LV_D1))/cfg_DAYS_Y*AJ14*الموظفون!$R14/cfg_DAYS_M)</f>
        <v>721.232876712329</v>
      </c>
      <c r="AC14" s="111" t="n">
        <f aca="false">IF($B14="","",IF(AND(الموظفون!$U14="نعم",N(الموظفون!$W14)&gt;0),الموظفون!$V14/الموظفون!$W14*12/cfg_DAYS_Y*AJ14,0))</f>
        <v>90.4109589041096</v>
      </c>
      <c r="AD14" s="111" t="n">
        <f aca="false">IF($B14="","",(IF(الموظفون!$X14&lt;&gt;"",الموظفون!$X14,IF(الموظفون!$E14="غير سعودي",cfg_IQ,0))+IF(الموظفون!$Y14&lt;&gt;"",الموظفون!$Y14,IF(الموظفون!$E14="غير سعودي",cfg_WP,0)))/12*G14/cfg_DAYS_M)</f>
        <v>854.166666666667</v>
      </c>
      <c r="AE14" s="111" t="n">
        <f aca="false">IF($B14="","",IF(الموظفون!$Z14&lt;&gt;"",الموظفون!$Z14,cfg_MED)/12*G14/cfg_DAYS_M)</f>
        <v>150</v>
      </c>
      <c r="AF14" s="111" t="n">
        <f aca="false">IF($B14="","",N(الموظفون!$AA14)/12*G14/cfg_DAYS_M)</f>
        <v>0</v>
      </c>
      <c r="AG14" s="154" t="n">
        <f aca="false">IF($B14="","",T14+SUM(Z14:AF14))</f>
        <v>11774.5433789954</v>
      </c>
      <c r="AH14" s="155" t="n">
        <f aca="false">IF($B14="","",MAX(0,IF(OR(الموظفون!$AE14="",الموظفون!$AE14&gt;$F$3),$F$3,الموظفون!$AE14)-الموظفون!$H14+1-SUMIFS('سجل الإجازات والحالات'!$AP$6:$AP$505,'سجل الإجازات والحالات'!$B$6:$B$505,$B14))/cfg_DAYS_Y)</f>
        <v>12.1287671232877</v>
      </c>
      <c r="AI14" s="155" t="n">
        <f aca="false">IF($B14="","",MAX(0,IF(OR(الموظفون!$AE14="",الموظفون!$AE14&gt;($E$3-1)),($E$3-1),الموظفون!$AE14)-الموظفون!$H14+1-SUMIFS('سجل الإجازات والحالات'!$AO$6:$AO$505,'سجل الإجازات والحالات'!$B$6:$B$505,$B14))/cfg_DAYS_Y)</f>
        <v>12.0465753424658</v>
      </c>
      <c r="AJ14" s="65" t="n">
        <f aca="false">IF($B14="","",MAX(0,AK14-(SUMIFS('سجل الإجازات والحالات'!$AP$6:$AP$505,'سجل الإجازات والحالات'!$B$6:$B$505,$B14)-SUMIFS('سجل الإجازات والحالات'!$AO$6:$AO$505,'سجل الإجازات والحالات'!$B$6:$B$505,$B14))))</f>
        <v>30</v>
      </c>
      <c r="AK14" s="65" t="n">
        <f aca="false">IF($B14="","",MAX(0,IF(OR(الموظفون!$AE14="",الموظفون!$AE14&gt;$F$3),$F$3,الموظفون!$AE14)-MAX($E$3,الموظفون!$H14)+1))</f>
        <v>30</v>
      </c>
      <c r="AL14" s="151" t="n">
        <f aca="false">IF($B14="","",SUMIFS('سجل الإجازات والحالات'!$BB$6:$BB$505,'سجل الإجازات والحالات'!$B$6:$B$505,$B14)+SUMIFS('الحركات الشهرية'!$K$6:$K$1005,'الحركات الشهرية'!$B$6:$B$1005,$B14,'الحركات الشهرية'!$A$6:$A$1005,$C$3))</f>
        <v>0</v>
      </c>
      <c r="AM14" s="111" t="n">
        <f aca="false">IF($B14="","",AL14*الموظفون!$R14/cfg_DAYS_M+S14)</f>
        <v>0</v>
      </c>
      <c r="AN14" s="151" t="n">
        <f aca="false">IF($B14="","",SUMIFS('سجل الإجازات والحالات'!$AD$6:$AD$505,'سجل الإجازات والحالات'!$B$6:$B$505,$B14))</f>
        <v>0</v>
      </c>
    </row>
    <row r="15" customFormat="false" ht="15" hidden="false" customHeight="false" outlineLevel="0" collapsed="false">
      <c r="A15" s="115" t="n">
        <f aca="false">IF($B15="","",الموظفون!$A15)</f>
        <v>10</v>
      </c>
      <c r="B15" s="117" t="str">
        <f aca="false">IF(الموظفون!$B15="","",الموظفون!$B15)</f>
        <v>E010</v>
      </c>
      <c r="C15" s="117" t="str">
        <f aca="false">IF($B15="","",الموظفون!$C15)</f>
        <v>ريم سلطان المطيري</v>
      </c>
      <c r="D15" s="117" t="str">
        <f aca="false">IF($B15="","",الموظفون!$F15)</f>
        <v>المبيعات</v>
      </c>
      <c r="E15" s="117" t="str">
        <f aca="false">IF($B15="","",الموظفون!$E15)</f>
        <v>سعودي</v>
      </c>
      <c r="F15" s="117" t="str">
        <f aca="false">IF($B15="","",IF(AK15=0,IF(AND(الموظفون!$AE15&lt;&gt;"",الموظفون!$AE15&lt;$E$3),"✖ منتهي الخدمة","⏳ لم يباشر"),IF(S15&gt;0,"✈ راتب إجازة مقدم",IF(J15=0,"⛔ بدون راتب هذا الشهر",IF(I15&gt;0,"✈ خصم "&amp;ROUND(I15,2)&amp;" يوم بدون أجر",IF(AL15&gt;0,"🌴 إجازة سنوية "&amp;ROUND(AL15,2)&amp;" يوم",IF(H15&gt;0,"⚠ غياب "&amp;ROUND(H15,2)&amp;" يوم","✔ على رأس العمل")))))))</f>
        <v>✔ على رأس العمل</v>
      </c>
      <c r="G15" s="156" t="n">
        <f aca="false">IF($B15="","",IF(AK15&gt;=DAY($F$3),cfg_DAYS_M,MIN(AK15,cfg_DAYS_M)))</f>
        <v>30</v>
      </c>
      <c r="H15" s="156" t="n">
        <f aca="false">IF($B15="","",SUMIFS('الحركات الشهرية'!$D$6:$D$1005,'الحركات الشهرية'!$B$6:$B$1005,$B15,'الحركات الشهرية'!$A$6:$A$1005,$C$3))</f>
        <v>0</v>
      </c>
      <c r="I15" s="156" t="n">
        <f aca="false">IF($B15="","",MIN(G15,IF(AND(AK15&gt;0,AN15&gt;=AK15),G15,AN15)+SUMIFS('الحركات الشهرية'!$E$6:$E$1005,'الحركات الشهرية'!$B$6:$B$1005,$B15,'الحركات الشهرية'!$A$6:$A$1005,$C$3)))</f>
        <v>0</v>
      </c>
      <c r="J15" s="156" t="n">
        <f aca="false">IF($B15="","",MAX(0,G15-H15-I15))</f>
        <v>30</v>
      </c>
      <c r="K15" s="116" t="n">
        <f aca="false">IF($B15="","",الموظفون!$L15*$J15/cfg_DAYS_M)</f>
        <v>9000</v>
      </c>
      <c r="L15" s="116" t="n">
        <f aca="false">IF($B15="","",الموظفون!$M15*$J15/cfg_DAYS_M)</f>
        <v>2250</v>
      </c>
      <c r="M15" s="116" t="n">
        <f aca="false">IF($B15="","",الموظفون!$N15*$J15/cfg_DAYS_M)</f>
        <v>900</v>
      </c>
      <c r="N15" s="116" t="n">
        <f aca="false">IF($B15="","",الموظفون!$O15*$J15/cfg_DAYS_M)</f>
        <v>0</v>
      </c>
      <c r="O15" s="156" t="n">
        <f aca="false">IF($B15="","",SUMIFS('الحركات الشهرية'!$F$6:$F$1005,'الحركات الشهرية'!$B$6:$B$1005,$B15,'الحركات الشهرية'!$A$6:$A$1005,$C$3))</f>
        <v>6</v>
      </c>
      <c r="P15" s="116" t="n">
        <f aca="false">IF($B15="","",O15*(الموظفون!$P15+الموظفون!$L15*cfg_OT_P)/cfg_DAYS_M/cfg_HRS)</f>
        <v>416.25</v>
      </c>
      <c r="Q15" s="116" t="n">
        <f aca="false">IF($B15="","",SUMIFS('الحركات الشهرية'!$G$6:$G$1005,'الحركات الشهرية'!$B$6:$B$1005,$B15,'الحركات الشهرية'!$A$6:$A$1005,$C$3))</f>
        <v>0</v>
      </c>
      <c r="R15" s="116" t="n">
        <f aca="false">IF($B15="","",SUMIFS('الحركات الشهرية'!$H$6:$H$1005,'الحركات الشهرية'!$B$6:$B$1005,$B15,'الحركات الشهرية'!$A$6:$A$1005,$C$3))</f>
        <v>1500</v>
      </c>
      <c r="S15" s="116" t="n">
        <f aca="false">IF($B15="","",SUMIFS('سجل الإجازات والحالات'!$N$6:$N$505,'سجل الإجازات والحالات'!$B$6:$B$505,$B15,'سجل الإجازات والحالات'!$O$6:$O$505,$C$3))</f>
        <v>0</v>
      </c>
      <c r="T15" s="157" t="n">
        <f aca="false">IF($B15="","",SUM(K15:N15)+SUM(P15:S15))</f>
        <v>14066.25</v>
      </c>
      <c r="U15" s="116" t="n">
        <f aca="false">IF($B15="","",الموظفون!$S15*IF(E15="سعودي",cfg_G_SE,cfg_G_NE)*G15/cfg_DAYS_M)</f>
        <v>1096.875</v>
      </c>
      <c r="V15" s="116" t="n">
        <f aca="false">IF($B15="","",SUMIFS('الحركات الشهرية'!$I$6:$I$1005,'الحركات الشهرية'!$B$6:$B$1005,$B15,'الحركات الشهرية'!$A$6:$A$1005,$C$3))</f>
        <v>0</v>
      </c>
      <c r="W15" s="116" t="n">
        <f aca="false">IF($B15="","",SUMIFS('الحركات الشهرية'!$J$6:$J$1005,'الحركات الشهرية'!$B$6:$B$1005,$B15,'الحركات الشهرية'!$A$6:$A$1005,$C$3))</f>
        <v>0</v>
      </c>
      <c r="X15" s="116" t="n">
        <f aca="false">IF($B15="","",SUM(U15:W15))</f>
        <v>1096.875</v>
      </c>
      <c r="Y15" s="158" t="n">
        <f aca="false">IF($B15="","",T15-X15)</f>
        <v>12969.375</v>
      </c>
      <c r="Z15" s="116" t="n">
        <f aca="false">IF($B15="","",الموظفون!$S15*IF(E15="سعودي",cfg_G_SR,cfg_G_NR)*G15/cfg_DAYS_M)</f>
        <v>1321.875</v>
      </c>
      <c r="AA15" s="116" t="n">
        <f aca="false">IF($B15="","",الموظفون!$Q15*(cfg_EOS_R1*(MIN(AH15,cfg_EOS_TH)-MIN(AI15,cfg_EOS_TH))+cfg_EOS_R2*(MAX(AH15-cfg_EOS_TH,0)-MAX(AI15-cfg_EOS_TH,0))))</f>
        <v>499.315068493151</v>
      </c>
      <c r="AB15" s="116" t="n">
        <f aca="false">IF($B15="","",IF(الموظفون!$T15&lt;&gt;"",الموظفون!$T15,IF(AH15&gt;=cfg_LV_TH,cfg_LV_D2,cfg_LV_D1))/cfg_DAYS_Y*AJ15*الموظفون!$R15/cfg_DAYS_M)</f>
        <v>699.041095890411</v>
      </c>
      <c r="AC15" s="116" t="n">
        <f aca="false">IF($B15="","",IF(AND(الموظفون!$U15="نعم",N(الموظفون!$W15)&gt;0),الموظفون!$V15/الموظفون!$W15*12/cfg_DAYS_Y*AJ15,0))</f>
        <v>0</v>
      </c>
      <c r="AD15" s="116" t="n">
        <f aca="false">IF($B15="","",(IF(الموظفون!$X15&lt;&gt;"",الموظفون!$X15,IF(الموظفون!$E15="غير سعودي",cfg_IQ,0))+IF(الموظفون!$Y15&lt;&gt;"",الموظفون!$Y15,IF(الموظفون!$E15="غير سعودي",cfg_WP,0)))/12*G15/cfg_DAYS_M)</f>
        <v>0</v>
      </c>
      <c r="AE15" s="116" t="n">
        <f aca="false">IF($B15="","",IF(الموظفون!$Z15&lt;&gt;"",الموظفون!$Z15,cfg_MED)/12*G15/cfg_DAYS_M)</f>
        <v>200</v>
      </c>
      <c r="AF15" s="116" t="n">
        <f aca="false">IF($B15="","",N(الموظفون!$AA15)/12*G15/cfg_DAYS_M)</f>
        <v>0</v>
      </c>
      <c r="AG15" s="159" t="n">
        <f aca="false">IF($B15="","",T15+SUM(Z15:AF15))</f>
        <v>16786.4811643836</v>
      </c>
      <c r="AH15" s="160" t="n">
        <f aca="false">IF($B15="","",MAX(0,IF(OR(الموظفون!$AE15="",الموظفون!$AE15&gt;$F$3),$F$3,الموظفون!$AE15)-الموظفون!$H15+1-SUMIFS('سجل الإجازات والحالات'!$AP$6:$AP$505,'سجل الإجازات والحالات'!$B$6:$B$505,$B15))/cfg_DAYS_Y)</f>
        <v>0.463013698630137</v>
      </c>
      <c r="AI15" s="160" t="n">
        <f aca="false">IF($B15="","",MAX(0,IF(OR(الموظفون!$AE15="",الموظفون!$AE15&gt;($E$3-1)),($E$3-1),الموظفون!$AE15)-الموظفون!$H15+1-SUMIFS('سجل الإجازات والحالات'!$AO$6:$AO$505,'سجل الإجازات والحالات'!$B$6:$B$505,$B15))/cfg_DAYS_Y)</f>
        <v>0.380821917808219</v>
      </c>
      <c r="AJ15" s="133" t="n">
        <f aca="false">IF($B15="","",MAX(0,AK15-(SUMIFS('سجل الإجازات والحالات'!$AP$6:$AP$505,'سجل الإجازات والحالات'!$B$6:$B$505,$B15)-SUMIFS('سجل الإجازات والحالات'!$AO$6:$AO$505,'سجل الإجازات والحالات'!$B$6:$B$505,$B15))))</f>
        <v>30</v>
      </c>
      <c r="AK15" s="133" t="n">
        <f aca="false">IF($B15="","",MAX(0,IF(OR(الموظفون!$AE15="",الموظفون!$AE15&gt;$F$3),$F$3,الموظفون!$AE15)-MAX($E$3,الموظفون!$H15)+1))</f>
        <v>30</v>
      </c>
      <c r="AL15" s="156" t="n">
        <f aca="false">IF($B15="","",SUMIFS('سجل الإجازات والحالات'!$BB$6:$BB$505,'سجل الإجازات والحالات'!$B$6:$B$505,$B15)+SUMIFS('الحركات الشهرية'!$K$6:$K$1005,'الحركات الشهرية'!$B$6:$B$1005,$B15,'الحركات الشهرية'!$A$6:$A$1005,$C$3))</f>
        <v>0</v>
      </c>
      <c r="AM15" s="116" t="n">
        <f aca="false">IF($B15="","",AL15*الموظفون!$R15/cfg_DAYS_M+S15)</f>
        <v>0</v>
      </c>
      <c r="AN15" s="156" t="n">
        <f aca="false">IF($B15="","",SUMIFS('سجل الإجازات والحالات'!$AD$6:$AD$505,'سجل الإجازات والحالات'!$B$6:$B$505,$B15))</f>
        <v>0</v>
      </c>
    </row>
    <row r="16" customFormat="false" ht="15" hidden="false" customHeight="false" outlineLevel="0" collapsed="false">
      <c r="A16" s="106" t="n">
        <f aca="false">IF($B16="","",الموظفون!$A16)</f>
        <v>11</v>
      </c>
      <c r="B16" s="114" t="str">
        <f aca="false">IF(الموظفون!$B16="","",الموظفون!$B16)</f>
        <v>E011</v>
      </c>
      <c r="C16" s="114" t="str">
        <f aca="false">IF($B16="","",الموظفون!$C16)</f>
        <v>جون ماتيو</v>
      </c>
      <c r="D16" s="114" t="str">
        <f aca="false">IF($B16="","",الموظفون!$F16)</f>
        <v>العمليات</v>
      </c>
      <c r="E16" s="114" t="str">
        <f aca="false">IF($B16="","",الموظفون!$E16)</f>
        <v>غير سعودي</v>
      </c>
      <c r="F16" s="114" t="str">
        <f aca="false">IF($B16="","",IF(AK16=0,IF(AND(الموظفون!$AE16&lt;&gt;"",الموظفون!$AE16&lt;$E$3),"✖ منتهي الخدمة","⏳ لم يباشر"),IF(S16&gt;0,"✈ راتب إجازة مقدم",IF(J16=0,"⛔ بدون راتب هذا الشهر",IF(I16&gt;0,"✈ خصم "&amp;ROUND(I16,2)&amp;" يوم بدون أجر",IF(AL16&gt;0,"🌴 إجازة سنوية "&amp;ROUND(AL16,2)&amp;" يوم",IF(H16&gt;0,"⚠ غياب "&amp;ROUND(H16,2)&amp;" يوم","✔ على رأس العمل")))))))</f>
        <v>✖ منتهي الخدمة</v>
      </c>
      <c r="G16" s="151" t="n">
        <f aca="false">IF($B16="","",IF(AK16&gt;=DAY($F$3),cfg_DAYS_M,MIN(AK16,cfg_DAYS_M)))</f>
        <v>0</v>
      </c>
      <c r="H16" s="151" t="n">
        <f aca="false">IF($B16="","",SUMIFS('الحركات الشهرية'!$D$6:$D$1005,'الحركات الشهرية'!$B$6:$B$1005,$B16,'الحركات الشهرية'!$A$6:$A$1005,$C$3))</f>
        <v>0</v>
      </c>
      <c r="I16" s="151" t="n">
        <f aca="false">IF($B16="","",MIN(G16,IF(AND(AK16&gt;0,AN16&gt;=AK16),G16,AN16)+SUMIFS('الحركات الشهرية'!$E$6:$E$1005,'الحركات الشهرية'!$B$6:$B$1005,$B16,'الحركات الشهرية'!$A$6:$A$1005,$C$3)))</f>
        <v>0</v>
      </c>
      <c r="J16" s="151" t="n">
        <f aca="false">IF($B16="","",MAX(0,G16-H16-I16))</f>
        <v>0</v>
      </c>
      <c r="K16" s="111" t="n">
        <f aca="false">IF($B16="","",الموظفون!$L16*$J16/cfg_DAYS_M)</f>
        <v>0</v>
      </c>
      <c r="L16" s="111" t="n">
        <f aca="false">IF($B16="","",الموظفون!$M16*$J16/cfg_DAYS_M)</f>
        <v>0</v>
      </c>
      <c r="M16" s="111" t="n">
        <f aca="false">IF($B16="","",الموظفون!$N16*$J16/cfg_DAYS_M)</f>
        <v>0</v>
      </c>
      <c r="N16" s="111" t="n">
        <f aca="false">IF($B16="","",الموظفون!$O16*$J16/cfg_DAYS_M)</f>
        <v>0</v>
      </c>
      <c r="O16" s="151" t="n">
        <f aca="false">IF($B16="","",SUMIFS('الحركات الشهرية'!$F$6:$F$1005,'الحركات الشهرية'!$B$6:$B$1005,$B16,'الحركات الشهرية'!$A$6:$A$1005,$C$3))</f>
        <v>0</v>
      </c>
      <c r="P16" s="111" t="n">
        <f aca="false">IF($B16="","",O16*(الموظفون!$P16+الموظفون!$L16*cfg_OT_P)/cfg_DAYS_M/cfg_HRS)</f>
        <v>0</v>
      </c>
      <c r="Q16" s="111" t="n">
        <f aca="false">IF($B16="","",SUMIFS('الحركات الشهرية'!$G$6:$G$1005,'الحركات الشهرية'!$B$6:$B$1005,$B16,'الحركات الشهرية'!$A$6:$A$1005,$C$3))</f>
        <v>0</v>
      </c>
      <c r="R16" s="111" t="n">
        <f aca="false">IF($B16="","",SUMIFS('الحركات الشهرية'!$H$6:$H$1005,'الحركات الشهرية'!$B$6:$B$1005,$B16,'الحركات الشهرية'!$A$6:$A$1005,$C$3))</f>
        <v>0</v>
      </c>
      <c r="S16" s="111" t="n">
        <f aca="false">IF($B16="","",SUMIFS('سجل الإجازات والحالات'!$N$6:$N$505,'سجل الإجازات والحالات'!$B$6:$B$505,$B16,'سجل الإجازات والحالات'!$O$6:$O$505,$C$3))</f>
        <v>0</v>
      </c>
      <c r="T16" s="152" t="n">
        <f aca="false">IF($B16="","",SUM(K16:N16)+SUM(P16:S16))</f>
        <v>0</v>
      </c>
      <c r="U16" s="111" t="n">
        <f aca="false">IF($B16="","",الموظفون!$S16*IF(E16="سعودي",cfg_G_SE,cfg_G_NE)*G16/cfg_DAYS_M)</f>
        <v>0</v>
      </c>
      <c r="V16" s="111" t="n">
        <f aca="false">IF($B16="","",SUMIFS('الحركات الشهرية'!$I$6:$I$1005,'الحركات الشهرية'!$B$6:$B$1005,$B16,'الحركات الشهرية'!$A$6:$A$1005,$C$3))</f>
        <v>0</v>
      </c>
      <c r="W16" s="111" t="n">
        <f aca="false">IF($B16="","",SUMIFS('الحركات الشهرية'!$J$6:$J$1005,'الحركات الشهرية'!$B$6:$B$1005,$B16,'الحركات الشهرية'!$A$6:$A$1005,$C$3))</f>
        <v>0</v>
      </c>
      <c r="X16" s="111" t="n">
        <f aca="false">IF($B16="","",SUM(U16:W16))</f>
        <v>0</v>
      </c>
      <c r="Y16" s="153" t="n">
        <f aca="false">IF($B16="","",T16-X16)</f>
        <v>0</v>
      </c>
      <c r="Z16" s="111" t="n">
        <f aca="false">IF($B16="","",الموظفون!$S16*IF(E16="سعودي",cfg_G_SR,cfg_G_NR)*G16/cfg_DAYS_M)</f>
        <v>0</v>
      </c>
      <c r="AA16" s="111" t="n">
        <f aca="false">IF($B16="","",الموظفون!$Q16*(cfg_EOS_R1*(MIN(AH16,cfg_EOS_TH)-MIN(AI16,cfg_EOS_TH))+cfg_EOS_R2*(MAX(AH16-cfg_EOS_TH,0)-MAX(AI16-cfg_EOS_TH,0))))</f>
        <v>0</v>
      </c>
      <c r="AB16" s="111" t="n">
        <f aca="false">IF($B16="","",IF(الموظفون!$T16&lt;&gt;"",الموظفون!$T16,IF(AH16&gt;=cfg_LV_TH,cfg_LV_D2,cfg_LV_D1))/cfg_DAYS_Y*AJ16*الموظفون!$R16/cfg_DAYS_M)</f>
        <v>0</v>
      </c>
      <c r="AC16" s="111" t="n">
        <f aca="false">IF($B16="","",IF(AND(الموظفون!$U16="نعم",N(الموظفون!$W16)&gt;0),الموظفون!$V16/الموظفون!$W16*12/cfg_DAYS_Y*AJ16,0))</f>
        <v>0</v>
      </c>
      <c r="AD16" s="111" t="n">
        <f aca="false">IF($B16="","",(IF(الموظفون!$X16&lt;&gt;"",الموظفون!$X16,IF(الموظفون!$E16="غير سعودي",cfg_IQ,0))+IF(الموظفون!$Y16&lt;&gt;"",الموظفون!$Y16,IF(الموظفون!$E16="غير سعودي",cfg_WP,0)))/12*G16/cfg_DAYS_M)</f>
        <v>0</v>
      </c>
      <c r="AE16" s="111" t="n">
        <f aca="false">IF($B16="","",IF(الموظفون!$Z16&lt;&gt;"",الموظفون!$Z16,cfg_MED)/12*G16/cfg_DAYS_M)</f>
        <v>0</v>
      </c>
      <c r="AF16" s="111" t="n">
        <f aca="false">IF($B16="","",N(الموظفون!$AA16)/12*G16/cfg_DAYS_M)</f>
        <v>0</v>
      </c>
      <c r="AG16" s="154" t="n">
        <f aca="false">IF($B16="","",T16+SUM(Z16:AF16))</f>
        <v>0</v>
      </c>
      <c r="AH16" s="155" t="n">
        <f aca="false">IF($B16="","",MAX(0,IF(OR(الموظفون!$AE16="",الموظفون!$AE16&gt;$F$3),$F$3,الموظفون!$AE16)-الموظفون!$H16+1-SUMIFS('سجل الإجازات والحالات'!$AP$6:$AP$505,'سجل الإجازات والحالات'!$B$6:$B$505,$B16))/cfg_DAYS_Y)</f>
        <v>7.33972602739726</v>
      </c>
      <c r="AI16" s="155" t="n">
        <f aca="false">IF($B16="","",MAX(0,IF(OR(الموظفون!$AE16="",الموظفون!$AE16&gt;($E$3-1)),($E$3-1),الموظفون!$AE16)-الموظفون!$H16+1-SUMIFS('سجل الإجازات والحالات'!$AO$6:$AO$505,'سجل الإجازات والحالات'!$B$6:$B$505,$B16))/cfg_DAYS_Y)</f>
        <v>7.33972602739726</v>
      </c>
      <c r="AJ16" s="65" t="n">
        <f aca="false">IF($B16="","",MAX(0,AK16-(SUMIFS('سجل الإجازات والحالات'!$AP$6:$AP$505,'سجل الإجازات والحالات'!$B$6:$B$505,$B16)-SUMIFS('سجل الإجازات والحالات'!$AO$6:$AO$505,'سجل الإجازات والحالات'!$B$6:$B$505,$B16))))</f>
        <v>0</v>
      </c>
      <c r="AK16" s="65" t="n">
        <f aca="false">IF($B16="","",MAX(0,IF(OR(الموظفون!$AE16="",الموظفون!$AE16&gt;$F$3),$F$3,الموظفون!$AE16)-MAX($E$3,الموظفون!$H16)+1))</f>
        <v>0</v>
      </c>
      <c r="AL16" s="151" t="n">
        <f aca="false">IF($B16="","",SUMIFS('سجل الإجازات والحالات'!$BB$6:$BB$505,'سجل الإجازات والحالات'!$B$6:$B$505,$B16)+SUMIFS('الحركات الشهرية'!$K$6:$K$1005,'الحركات الشهرية'!$B$6:$B$1005,$B16,'الحركات الشهرية'!$A$6:$A$1005,$C$3))</f>
        <v>0</v>
      </c>
      <c r="AM16" s="111" t="n">
        <f aca="false">IF($B16="","",AL16*الموظفون!$R16/cfg_DAYS_M+S16)</f>
        <v>0</v>
      </c>
      <c r="AN16" s="151" t="n">
        <f aca="false">IF($B16="","",SUMIFS('سجل الإجازات والحالات'!$AD$6:$AD$505,'سجل الإجازات والحالات'!$B$6:$B$505,$B16))</f>
        <v>0</v>
      </c>
    </row>
    <row r="17" customFormat="false" ht="15" hidden="false" customHeight="false" outlineLevel="0" collapsed="false">
      <c r="A17" s="115" t="n">
        <f aca="false">IF($B17="","",الموظفون!$A17)</f>
        <v>12</v>
      </c>
      <c r="B17" s="117" t="str">
        <f aca="false">IF(الموظفون!$B17="","",الموظفون!$B17)</f>
        <v>E012</v>
      </c>
      <c r="C17" s="117" t="str">
        <f aca="false">IF($B17="","",الموظفون!$C17)</f>
        <v>عمر حسين البيشي</v>
      </c>
      <c r="D17" s="117" t="str">
        <f aca="false">IF($B17="","",الموظفون!$F17)</f>
        <v>تقنية المعلومات</v>
      </c>
      <c r="E17" s="117" t="str">
        <f aca="false">IF($B17="","",الموظفون!$E17)</f>
        <v>سعودي</v>
      </c>
      <c r="F17" s="117" t="str">
        <f aca="false">IF($B17="","",IF(AK17=0,IF(AND(الموظفون!$AE17&lt;&gt;"",الموظفون!$AE17&lt;$E$3),"✖ منتهي الخدمة","⏳ لم يباشر"),IF(S17&gt;0,"✈ راتب إجازة مقدم",IF(J17=0,"⛔ بدون راتب هذا الشهر",IF(I17&gt;0,"✈ خصم "&amp;ROUND(I17,2)&amp;" يوم بدون أجر",IF(AL17&gt;0,"🌴 إجازة سنوية "&amp;ROUND(AL17,2)&amp;" يوم",IF(H17&gt;0,"⚠ غياب "&amp;ROUND(H17,2)&amp;" يوم","✔ على رأس العمل")))))))</f>
        <v>✈ خصم 2.5 يوم بدون أجر</v>
      </c>
      <c r="G17" s="156" t="n">
        <f aca="false">IF($B17="","",IF(AK17&gt;=DAY($F$3),cfg_DAYS_M,MIN(AK17,cfg_DAYS_M)))</f>
        <v>30</v>
      </c>
      <c r="H17" s="156" t="n">
        <f aca="false">IF($B17="","",SUMIFS('الحركات الشهرية'!$D$6:$D$1005,'الحركات الشهرية'!$B$6:$B$1005,$B17,'الحركات الشهرية'!$A$6:$A$1005,$C$3))</f>
        <v>0</v>
      </c>
      <c r="I17" s="156" t="n">
        <f aca="false">IF($B17="","",MIN(G17,IF(AND(AK17&gt;0,AN17&gt;=AK17),G17,AN17)+SUMIFS('الحركات الشهرية'!$E$6:$E$1005,'الحركات الشهرية'!$B$6:$B$1005,$B17,'الحركات الشهرية'!$A$6:$A$1005,$C$3)))</f>
        <v>2.5</v>
      </c>
      <c r="J17" s="156" t="n">
        <f aca="false">IF($B17="","",MAX(0,G17-H17-I17))</f>
        <v>27.5</v>
      </c>
      <c r="K17" s="116" t="n">
        <f aca="false">IF($B17="","",الموظفون!$L17*$J17/cfg_DAYS_M)</f>
        <v>11000</v>
      </c>
      <c r="L17" s="116" t="n">
        <f aca="false">IF($B17="","",الموظفون!$M17*$J17/cfg_DAYS_M)</f>
        <v>2750</v>
      </c>
      <c r="M17" s="116" t="n">
        <f aca="false">IF($B17="","",الموظفون!$N17*$J17/cfg_DAYS_M)</f>
        <v>1100</v>
      </c>
      <c r="N17" s="116" t="n">
        <f aca="false">IF($B17="","",الموظفون!$O17*$J17/cfg_DAYS_M)</f>
        <v>1375</v>
      </c>
      <c r="O17" s="156" t="n">
        <f aca="false">IF($B17="","",SUMIFS('الحركات الشهرية'!$F$6:$F$1005,'الحركات الشهرية'!$B$6:$B$1005,$B17,'الحركات الشهرية'!$A$6:$A$1005,$C$3))</f>
        <v>0</v>
      </c>
      <c r="P17" s="116" t="n">
        <f aca="false">IF($B17="","",O17*(الموظفون!$P17+الموظفون!$L17*cfg_OT_P)/cfg_DAYS_M/cfg_HRS)</f>
        <v>0</v>
      </c>
      <c r="Q17" s="116" t="n">
        <f aca="false">IF($B17="","",SUMIFS('الحركات الشهرية'!$G$6:$G$1005,'الحركات الشهرية'!$B$6:$B$1005,$B17,'الحركات الشهرية'!$A$6:$A$1005,$C$3))</f>
        <v>0</v>
      </c>
      <c r="R17" s="116" t="n">
        <f aca="false">IF($B17="","",SUMIFS('الحركات الشهرية'!$H$6:$H$1005,'الحركات الشهرية'!$B$6:$B$1005,$B17,'الحركات الشهرية'!$A$6:$A$1005,$C$3))</f>
        <v>0</v>
      </c>
      <c r="S17" s="116" t="n">
        <f aca="false">IF($B17="","",SUMIFS('سجل الإجازات والحالات'!$N$6:$N$505,'سجل الإجازات والحالات'!$B$6:$B$505,$B17,'سجل الإجازات والحالات'!$O$6:$O$505,$C$3))</f>
        <v>0</v>
      </c>
      <c r="T17" s="157" t="n">
        <f aca="false">IF($B17="","",SUM(K17:N17)+SUM(P17:S17))</f>
        <v>16225</v>
      </c>
      <c r="U17" s="116" t="n">
        <f aca="false">IF($B17="","",الموظفون!$S17*IF(E17="سعودي",cfg_G_SE,cfg_G_NE)*G17/cfg_DAYS_M)</f>
        <v>1462.5</v>
      </c>
      <c r="V17" s="116" t="n">
        <f aca="false">IF($B17="","",SUMIFS('الحركات الشهرية'!$I$6:$I$1005,'الحركات الشهرية'!$B$6:$B$1005,$B17,'الحركات الشهرية'!$A$6:$A$1005,$C$3))</f>
        <v>0</v>
      </c>
      <c r="W17" s="116" t="n">
        <f aca="false">IF($B17="","",SUMIFS('الحركات الشهرية'!$J$6:$J$1005,'الحركات الشهرية'!$B$6:$B$1005,$B17,'الحركات الشهرية'!$A$6:$A$1005,$C$3))</f>
        <v>0</v>
      </c>
      <c r="X17" s="116" t="n">
        <f aca="false">IF($B17="","",SUM(U17:W17))</f>
        <v>1462.5</v>
      </c>
      <c r="Y17" s="158" t="n">
        <f aca="false">IF($B17="","",T17-X17)</f>
        <v>14762.5</v>
      </c>
      <c r="Z17" s="116" t="n">
        <f aca="false">IF($B17="","",الموظفون!$S17*IF(E17="سعودي",cfg_G_SR,cfg_G_NR)*G17/cfg_DAYS_M)</f>
        <v>1762.5</v>
      </c>
      <c r="AA17" s="116" t="n">
        <f aca="false">IF($B17="","",الموظفون!$Q17*(cfg_EOS_R1*(MIN(AH17,cfg_EOS_TH)-MIN(AI17,cfg_EOS_TH))+cfg_EOS_R2*(MAX(AH17-cfg_EOS_TH,0)-MAX(AI17-cfg_EOS_TH,0))))</f>
        <v>665.753424657537</v>
      </c>
      <c r="AB17" s="116" t="n">
        <f aca="false">IF($B17="","",IF(الموظفون!$T17&lt;&gt;"",الموظفون!$T17,IF(AH17&gt;=cfg_LV_TH,cfg_LV_D2,cfg_LV_D1))/cfg_DAYS_Y*AJ17*الموظفون!$R17/cfg_DAYS_M)</f>
        <v>932.054794520548</v>
      </c>
      <c r="AC17" s="116" t="n">
        <f aca="false">IF($B17="","",IF(AND(الموظفون!$U17="نعم",N(الموظفون!$W17)&gt;0),الموظفون!$V17/الموظفون!$W17*12/cfg_DAYS_Y*AJ17,0))</f>
        <v>0</v>
      </c>
      <c r="AD17" s="116" t="n">
        <f aca="false">IF($B17="","",(IF(الموظفون!$X17&lt;&gt;"",الموظفون!$X17,IF(الموظفون!$E17="غير سعودي",cfg_IQ,0))+IF(الموظفون!$Y17&lt;&gt;"",الموظفون!$Y17,IF(الموظفون!$E17="غير سعودي",cfg_WP,0)))/12*G17/cfg_DAYS_M)</f>
        <v>0</v>
      </c>
      <c r="AE17" s="116" t="n">
        <f aca="false">IF($B17="","",IF(الموظفون!$Z17&lt;&gt;"",الموظفون!$Z17,cfg_MED)/12*G17/cfg_DAYS_M)</f>
        <v>200</v>
      </c>
      <c r="AF17" s="116" t="n">
        <f aca="false">IF($B17="","",N(الموظفون!$AA17)/12*G17/cfg_DAYS_M)</f>
        <v>0</v>
      </c>
      <c r="AG17" s="159" t="n">
        <f aca="false">IF($B17="","",T17+SUM(Z17:AF17))</f>
        <v>19785.3082191781</v>
      </c>
      <c r="AH17" s="160" t="n">
        <f aca="false">IF($B17="","",MAX(0,IF(OR(الموظفون!$AE17="",الموظفون!$AE17&gt;$F$3),$F$3,الموظفون!$AE17)-الموظفون!$H17+1-SUMIFS('سجل الإجازات والحالات'!$AP$6:$AP$505,'سجل الإجازات والحالات'!$B$6:$B$505,$B17))/cfg_DAYS_Y)</f>
        <v>4.23013698630137</v>
      </c>
      <c r="AI17" s="160" t="n">
        <f aca="false">IF($B17="","",MAX(0,IF(OR(الموظفون!$AE17="",الموظفون!$AE17&gt;($E$3-1)),($E$3-1),الموظفون!$AE17)-الموظفون!$H17+1-SUMIFS('سجل الإجازات والحالات'!$AO$6:$AO$505,'سجل الإجازات والحالات'!$B$6:$B$505,$B17))/cfg_DAYS_Y)</f>
        <v>4.14794520547945</v>
      </c>
      <c r="AJ17" s="133" t="n">
        <f aca="false">IF($B17="","",MAX(0,AK17-(SUMIFS('سجل الإجازات والحالات'!$AP$6:$AP$505,'سجل الإجازات والحالات'!$B$6:$B$505,$B17)-SUMIFS('سجل الإجازات والحالات'!$AO$6:$AO$505,'سجل الإجازات والحالات'!$B$6:$B$505,$B17))))</f>
        <v>30</v>
      </c>
      <c r="AK17" s="133" t="n">
        <f aca="false">IF($B17="","",MAX(0,IF(OR(الموظفون!$AE17="",الموظفون!$AE17&gt;$F$3),$F$3,الموظفون!$AE17)-MAX($E$3,الموظفون!$H17)+1))</f>
        <v>30</v>
      </c>
      <c r="AL17" s="156" t="n">
        <f aca="false">IF($B17="","",SUMIFS('سجل الإجازات والحالات'!$BB$6:$BB$505,'سجل الإجازات والحالات'!$B$6:$B$505,$B17)+SUMIFS('الحركات الشهرية'!$K$6:$K$1005,'الحركات الشهرية'!$B$6:$B$1005,$B17,'الحركات الشهرية'!$A$6:$A$1005,$C$3))</f>
        <v>0</v>
      </c>
      <c r="AM17" s="116" t="n">
        <f aca="false">IF($B17="","",AL17*الموظفون!$R17/cfg_DAYS_M+S17)</f>
        <v>0</v>
      </c>
      <c r="AN17" s="156" t="n">
        <f aca="false">IF($B17="","",SUMIFS('سجل الإجازات والحالات'!$AD$6:$AD$505,'سجل الإجازات والحالات'!$B$6:$B$505,$B17))</f>
        <v>2.5</v>
      </c>
    </row>
    <row r="18" customFormat="false" ht="15" hidden="false" customHeight="false" outlineLevel="0" collapsed="false">
      <c r="A18" s="106" t="str">
        <f aca="false">IF($B18="","",الموظفون!$A18)</f>
        <v/>
      </c>
      <c r="B18" s="114" t="str">
        <f aca="false">IF(الموظفون!$B18="","",الموظفون!$B18)</f>
        <v/>
      </c>
      <c r="C18" s="114" t="str">
        <f aca="false">IF($B18="","",الموظفون!$C18)</f>
        <v/>
      </c>
      <c r="D18" s="114" t="str">
        <f aca="false">IF($B18="","",الموظفون!$F18)</f>
        <v/>
      </c>
      <c r="E18" s="114" t="str">
        <f aca="false">IF($B18="","",الموظفون!$E18)</f>
        <v/>
      </c>
      <c r="F18" s="114" t="str">
        <f aca="false">IF($B18="","",IF(AK18=0,IF(AND(الموظفون!$AE18&lt;&gt;"",الموظفون!$AE18&lt;$E$3),"✖ منتهي الخدمة","⏳ لم يباشر"),IF(S18&gt;0,"✈ راتب إجازة مقدم",IF(J18=0,"⛔ بدون راتب هذا الشهر",IF(I18&gt;0,"✈ خصم "&amp;ROUND(I18,2)&amp;" يوم بدون أجر",IF(AL18&gt;0,"🌴 إجازة سنوية "&amp;ROUND(AL18,2)&amp;" يوم",IF(H18&gt;0,"⚠ غياب "&amp;ROUND(H18,2)&amp;" يوم","✔ على رأس العمل")))))))</f>
        <v/>
      </c>
      <c r="G18" s="151" t="str">
        <f aca="false">IF($B18="","",IF(AK18&gt;=DAY($F$3),cfg_DAYS_M,MIN(AK18,cfg_DAYS_M)))</f>
        <v/>
      </c>
      <c r="H18" s="151" t="str">
        <f aca="false">IF($B18="","",SUMIFS('الحركات الشهرية'!$D$6:$D$1005,'الحركات الشهرية'!$B$6:$B$1005,$B18,'الحركات الشهرية'!$A$6:$A$1005,$C$3))</f>
        <v/>
      </c>
      <c r="I18" s="151" t="str">
        <f aca="false">IF($B18="","",MIN(G18,IF(AND(AK18&gt;0,AN18&gt;=AK18),G18,AN18)+SUMIFS('الحركات الشهرية'!$E$6:$E$1005,'الحركات الشهرية'!$B$6:$B$1005,$B18,'الحركات الشهرية'!$A$6:$A$1005,$C$3)))</f>
        <v/>
      </c>
      <c r="J18" s="151" t="str">
        <f aca="false">IF($B18="","",MAX(0,G18-H18-I18))</f>
        <v/>
      </c>
      <c r="K18" s="111" t="str">
        <f aca="false">IF($B18="","",الموظفون!$L18*$J18/cfg_DAYS_M)</f>
        <v/>
      </c>
      <c r="L18" s="111" t="str">
        <f aca="false">IF($B18="","",الموظفون!$M18*$J18/cfg_DAYS_M)</f>
        <v/>
      </c>
      <c r="M18" s="111" t="str">
        <f aca="false">IF($B18="","",الموظفون!$N18*$J18/cfg_DAYS_M)</f>
        <v/>
      </c>
      <c r="N18" s="111" t="str">
        <f aca="false">IF($B18="","",الموظفون!$O18*$J18/cfg_DAYS_M)</f>
        <v/>
      </c>
      <c r="O18" s="151" t="str">
        <f aca="false">IF($B18="","",SUMIFS('الحركات الشهرية'!$F$6:$F$1005,'الحركات الشهرية'!$B$6:$B$1005,$B18,'الحركات الشهرية'!$A$6:$A$1005,$C$3))</f>
        <v/>
      </c>
      <c r="P18" s="111" t="str">
        <f aca="false">IF($B18="","",O18*(الموظفون!$P18+الموظفون!$L18*cfg_OT_P)/cfg_DAYS_M/cfg_HRS)</f>
        <v/>
      </c>
      <c r="Q18" s="111" t="str">
        <f aca="false">IF($B18="","",SUMIFS('الحركات الشهرية'!$G$6:$G$1005,'الحركات الشهرية'!$B$6:$B$1005,$B18,'الحركات الشهرية'!$A$6:$A$1005,$C$3))</f>
        <v/>
      </c>
      <c r="R18" s="111" t="str">
        <f aca="false">IF($B18="","",SUMIFS('الحركات الشهرية'!$H$6:$H$1005,'الحركات الشهرية'!$B$6:$B$1005,$B18,'الحركات الشهرية'!$A$6:$A$1005,$C$3))</f>
        <v/>
      </c>
      <c r="S18" s="111" t="str">
        <f aca="false">IF($B18="","",SUMIFS('سجل الإجازات والحالات'!$N$6:$N$505,'سجل الإجازات والحالات'!$B$6:$B$505,$B18,'سجل الإجازات والحالات'!$O$6:$O$505,$C$3))</f>
        <v/>
      </c>
      <c r="T18" s="152" t="str">
        <f aca="false">IF($B18="","",SUM(K18:N18)+SUM(P18:S18))</f>
        <v/>
      </c>
      <c r="U18" s="111" t="str">
        <f aca="false">IF($B18="","",الموظفون!$S18*IF(E18="سعودي",cfg_G_SE,cfg_G_NE)*G18/cfg_DAYS_M)</f>
        <v/>
      </c>
      <c r="V18" s="111" t="str">
        <f aca="false">IF($B18="","",SUMIFS('الحركات الشهرية'!$I$6:$I$1005,'الحركات الشهرية'!$B$6:$B$1005,$B18,'الحركات الشهرية'!$A$6:$A$1005,$C$3))</f>
        <v/>
      </c>
      <c r="W18" s="111" t="str">
        <f aca="false">IF($B18="","",SUMIFS('الحركات الشهرية'!$J$6:$J$1005,'الحركات الشهرية'!$B$6:$B$1005,$B18,'الحركات الشهرية'!$A$6:$A$1005,$C$3))</f>
        <v/>
      </c>
      <c r="X18" s="111" t="str">
        <f aca="false">IF($B18="","",SUM(U18:W18))</f>
        <v/>
      </c>
      <c r="Y18" s="153" t="str">
        <f aca="false">IF($B18="","",T18-X18)</f>
        <v/>
      </c>
      <c r="Z18" s="111" t="str">
        <f aca="false">IF($B18="","",الموظفون!$S18*IF(E18="سعودي",cfg_G_SR,cfg_G_NR)*G18/cfg_DAYS_M)</f>
        <v/>
      </c>
      <c r="AA18" s="111" t="str">
        <f aca="false">IF($B18="","",الموظفون!$Q18*(cfg_EOS_R1*(MIN(AH18,cfg_EOS_TH)-MIN(AI18,cfg_EOS_TH))+cfg_EOS_R2*(MAX(AH18-cfg_EOS_TH,0)-MAX(AI18-cfg_EOS_TH,0))))</f>
        <v/>
      </c>
      <c r="AB18" s="111" t="str">
        <f aca="false">IF($B18="","",IF(الموظفون!$T18&lt;&gt;"",الموظفون!$T18,IF(AH18&gt;=cfg_LV_TH,cfg_LV_D2,cfg_LV_D1))/cfg_DAYS_Y*AJ18*الموظفون!$R18/cfg_DAYS_M)</f>
        <v/>
      </c>
      <c r="AC18" s="111" t="str">
        <f aca="false">IF($B18="","",IF(AND(الموظفون!$U18="نعم",N(الموظفون!$W18)&gt;0),الموظفون!$V18/الموظفون!$W18*12/cfg_DAYS_Y*AJ18,0))</f>
        <v/>
      </c>
      <c r="AD18" s="111" t="str">
        <f aca="false">IF($B18="","",(IF(الموظفون!$X18&lt;&gt;"",الموظفون!$X18,IF(الموظفون!$E18="غير سعودي",cfg_IQ,0))+IF(الموظفون!$Y18&lt;&gt;"",الموظفون!$Y18,IF(الموظفون!$E18="غير سعودي",cfg_WP,0)))/12*G18/cfg_DAYS_M)</f>
        <v/>
      </c>
      <c r="AE18" s="111" t="str">
        <f aca="false">IF($B18="","",IF(الموظفون!$Z18&lt;&gt;"",الموظفون!$Z18,cfg_MED)/12*G18/cfg_DAYS_M)</f>
        <v/>
      </c>
      <c r="AF18" s="111" t="str">
        <f aca="false">IF($B18="","",N(الموظفون!$AA18)/12*G18/cfg_DAYS_M)</f>
        <v/>
      </c>
      <c r="AG18" s="154" t="str">
        <f aca="false">IF($B18="","",T18+SUM(Z18:AF18))</f>
        <v/>
      </c>
      <c r="AH18" s="155" t="str">
        <f aca="false">IF($B18="","",MAX(0,IF(OR(الموظفون!$AE18="",الموظفون!$AE18&gt;$F$3),$F$3,الموظفون!$AE18)-الموظفون!$H18+1-SUMIFS('سجل الإجازات والحالات'!$AP$6:$AP$505,'سجل الإجازات والحالات'!$B$6:$B$505,$B18))/cfg_DAYS_Y)</f>
        <v/>
      </c>
      <c r="AI18" s="155" t="str">
        <f aca="false">IF($B18="","",MAX(0,IF(OR(الموظفون!$AE18="",الموظفون!$AE18&gt;($E$3-1)),($E$3-1),الموظفون!$AE18)-الموظفون!$H18+1-SUMIFS('سجل الإجازات والحالات'!$AO$6:$AO$505,'سجل الإجازات والحالات'!$B$6:$B$505,$B18))/cfg_DAYS_Y)</f>
        <v/>
      </c>
      <c r="AJ18" s="65" t="str">
        <f aca="false">IF($B18="","",MAX(0,AK18-(SUMIFS('سجل الإجازات والحالات'!$AP$6:$AP$505,'سجل الإجازات والحالات'!$B$6:$B$505,$B18)-SUMIFS('سجل الإجازات والحالات'!$AO$6:$AO$505,'سجل الإجازات والحالات'!$B$6:$B$505,$B18))))</f>
        <v/>
      </c>
      <c r="AK18" s="65" t="str">
        <f aca="false">IF($B18="","",MAX(0,IF(OR(الموظفون!$AE18="",الموظفون!$AE18&gt;$F$3),$F$3,الموظفون!$AE18)-MAX($E$3,الموظفون!$H18)+1))</f>
        <v/>
      </c>
      <c r="AL18" s="151" t="str">
        <f aca="false">IF($B18="","",SUMIFS('سجل الإجازات والحالات'!$BB$6:$BB$505,'سجل الإجازات والحالات'!$B$6:$B$505,$B18)+SUMIFS('الحركات الشهرية'!$K$6:$K$1005,'الحركات الشهرية'!$B$6:$B$1005,$B18,'الحركات الشهرية'!$A$6:$A$1005,$C$3))</f>
        <v/>
      </c>
      <c r="AM18" s="111" t="str">
        <f aca="false">IF($B18="","",AL18*الموظفون!$R18/cfg_DAYS_M+S18)</f>
        <v/>
      </c>
      <c r="AN18" s="151" t="str">
        <f aca="false">IF($B18="","",SUMIFS('سجل الإجازات والحالات'!$AD$6:$AD$505,'سجل الإجازات والحالات'!$B$6:$B$505,$B18))</f>
        <v/>
      </c>
    </row>
    <row r="19" customFormat="false" ht="15" hidden="false" customHeight="false" outlineLevel="0" collapsed="false">
      <c r="A19" s="115" t="str">
        <f aca="false">IF($B19="","",الموظفون!$A19)</f>
        <v/>
      </c>
      <c r="B19" s="117" t="str">
        <f aca="false">IF(الموظفون!$B19="","",الموظفون!$B19)</f>
        <v/>
      </c>
      <c r="C19" s="117" t="str">
        <f aca="false">IF($B19="","",الموظفون!$C19)</f>
        <v/>
      </c>
      <c r="D19" s="117" t="str">
        <f aca="false">IF($B19="","",الموظفون!$F19)</f>
        <v/>
      </c>
      <c r="E19" s="117" t="str">
        <f aca="false">IF($B19="","",الموظفون!$E19)</f>
        <v/>
      </c>
      <c r="F19" s="117" t="str">
        <f aca="false">IF($B19="","",IF(AK19=0,IF(AND(الموظفون!$AE19&lt;&gt;"",الموظفون!$AE19&lt;$E$3),"✖ منتهي الخدمة","⏳ لم يباشر"),IF(S19&gt;0,"✈ راتب إجازة مقدم",IF(J19=0,"⛔ بدون راتب هذا الشهر",IF(I19&gt;0,"✈ خصم "&amp;ROUND(I19,2)&amp;" يوم بدون أجر",IF(AL19&gt;0,"🌴 إجازة سنوية "&amp;ROUND(AL19,2)&amp;" يوم",IF(H19&gt;0,"⚠ غياب "&amp;ROUND(H19,2)&amp;" يوم","✔ على رأس العمل")))))))</f>
        <v/>
      </c>
      <c r="G19" s="156" t="str">
        <f aca="false">IF($B19="","",IF(AK19&gt;=DAY($F$3),cfg_DAYS_M,MIN(AK19,cfg_DAYS_M)))</f>
        <v/>
      </c>
      <c r="H19" s="156" t="str">
        <f aca="false">IF($B19="","",SUMIFS('الحركات الشهرية'!$D$6:$D$1005,'الحركات الشهرية'!$B$6:$B$1005,$B19,'الحركات الشهرية'!$A$6:$A$1005,$C$3))</f>
        <v/>
      </c>
      <c r="I19" s="156" t="str">
        <f aca="false">IF($B19="","",MIN(G19,IF(AND(AK19&gt;0,AN19&gt;=AK19),G19,AN19)+SUMIFS('الحركات الشهرية'!$E$6:$E$1005,'الحركات الشهرية'!$B$6:$B$1005,$B19,'الحركات الشهرية'!$A$6:$A$1005,$C$3)))</f>
        <v/>
      </c>
      <c r="J19" s="156" t="str">
        <f aca="false">IF($B19="","",MAX(0,G19-H19-I19))</f>
        <v/>
      </c>
      <c r="K19" s="116" t="str">
        <f aca="false">IF($B19="","",الموظفون!$L19*$J19/cfg_DAYS_M)</f>
        <v/>
      </c>
      <c r="L19" s="116" t="str">
        <f aca="false">IF($B19="","",الموظفون!$M19*$J19/cfg_DAYS_M)</f>
        <v/>
      </c>
      <c r="M19" s="116" t="str">
        <f aca="false">IF($B19="","",الموظفون!$N19*$J19/cfg_DAYS_M)</f>
        <v/>
      </c>
      <c r="N19" s="116" t="str">
        <f aca="false">IF($B19="","",الموظفون!$O19*$J19/cfg_DAYS_M)</f>
        <v/>
      </c>
      <c r="O19" s="156" t="str">
        <f aca="false">IF($B19="","",SUMIFS('الحركات الشهرية'!$F$6:$F$1005,'الحركات الشهرية'!$B$6:$B$1005,$B19,'الحركات الشهرية'!$A$6:$A$1005,$C$3))</f>
        <v/>
      </c>
      <c r="P19" s="116" t="str">
        <f aca="false">IF($B19="","",O19*(الموظفون!$P19+الموظفون!$L19*cfg_OT_P)/cfg_DAYS_M/cfg_HRS)</f>
        <v/>
      </c>
      <c r="Q19" s="116" t="str">
        <f aca="false">IF($B19="","",SUMIFS('الحركات الشهرية'!$G$6:$G$1005,'الحركات الشهرية'!$B$6:$B$1005,$B19,'الحركات الشهرية'!$A$6:$A$1005,$C$3))</f>
        <v/>
      </c>
      <c r="R19" s="116" t="str">
        <f aca="false">IF($B19="","",SUMIFS('الحركات الشهرية'!$H$6:$H$1005,'الحركات الشهرية'!$B$6:$B$1005,$B19,'الحركات الشهرية'!$A$6:$A$1005,$C$3))</f>
        <v/>
      </c>
      <c r="S19" s="116" t="str">
        <f aca="false">IF($B19="","",SUMIFS('سجل الإجازات والحالات'!$N$6:$N$505,'سجل الإجازات والحالات'!$B$6:$B$505,$B19,'سجل الإجازات والحالات'!$O$6:$O$505,$C$3))</f>
        <v/>
      </c>
      <c r="T19" s="157" t="str">
        <f aca="false">IF($B19="","",SUM(K19:N19)+SUM(P19:S19))</f>
        <v/>
      </c>
      <c r="U19" s="116" t="str">
        <f aca="false">IF($B19="","",الموظفون!$S19*IF(E19="سعودي",cfg_G_SE,cfg_G_NE)*G19/cfg_DAYS_M)</f>
        <v/>
      </c>
      <c r="V19" s="116" t="str">
        <f aca="false">IF($B19="","",SUMIFS('الحركات الشهرية'!$I$6:$I$1005,'الحركات الشهرية'!$B$6:$B$1005,$B19,'الحركات الشهرية'!$A$6:$A$1005,$C$3))</f>
        <v/>
      </c>
      <c r="W19" s="116" t="str">
        <f aca="false">IF($B19="","",SUMIFS('الحركات الشهرية'!$J$6:$J$1005,'الحركات الشهرية'!$B$6:$B$1005,$B19,'الحركات الشهرية'!$A$6:$A$1005,$C$3))</f>
        <v/>
      </c>
      <c r="X19" s="116" t="str">
        <f aca="false">IF($B19="","",SUM(U19:W19))</f>
        <v/>
      </c>
      <c r="Y19" s="158" t="str">
        <f aca="false">IF($B19="","",T19-X19)</f>
        <v/>
      </c>
      <c r="Z19" s="116" t="str">
        <f aca="false">IF($B19="","",الموظفون!$S19*IF(E19="سعودي",cfg_G_SR,cfg_G_NR)*G19/cfg_DAYS_M)</f>
        <v/>
      </c>
      <c r="AA19" s="116" t="str">
        <f aca="false">IF($B19="","",الموظفون!$Q19*(cfg_EOS_R1*(MIN(AH19,cfg_EOS_TH)-MIN(AI19,cfg_EOS_TH))+cfg_EOS_R2*(MAX(AH19-cfg_EOS_TH,0)-MAX(AI19-cfg_EOS_TH,0))))</f>
        <v/>
      </c>
      <c r="AB19" s="116" t="str">
        <f aca="false">IF($B19="","",IF(الموظفون!$T19&lt;&gt;"",الموظفون!$T19,IF(AH19&gt;=cfg_LV_TH,cfg_LV_D2,cfg_LV_D1))/cfg_DAYS_Y*AJ19*الموظفون!$R19/cfg_DAYS_M)</f>
        <v/>
      </c>
      <c r="AC19" s="116" t="str">
        <f aca="false">IF($B19="","",IF(AND(الموظفون!$U19="نعم",N(الموظفون!$W19)&gt;0),الموظفون!$V19/الموظفون!$W19*12/cfg_DAYS_Y*AJ19,0))</f>
        <v/>
      </c>
      <c r="AD19" s="116" t="str">
        <f aca="false">IF($B19="","",(IF(الموظفون!$X19&lt;&gt;"",الموظفون!$X19,IF(الموظفون!$E19="غير سعودي",cfg_IQ,0))+IF(الموظفون!$Y19&lt;&gt;"",الموظفون!$Y19,IF(الموظفون!$E19="غير سعودي",cfg_WP,0)))/12*G19/cfg_DAYS_M)</f>
        <v/>
      </c>
      <c r="AE19" s="116" t="str">
        <f aca="false">IF($B19="","",IF(الموظفون!$Z19&lt;&gt;"",الموظفون!$Z19,cfg_MED)/12*G19/cfg_DAYS_M)</f>
        <v/>
      </c>
      <c r="AF19" s="116" t="str">
        <f aca="false">IF($B19="","",N(الموظفون!$AA19)/12*G19/cfg_DAYS_M)</f>
        <v/>
      </c>
      <c r="AG19" s="159" t="str">
        <f aca="false">IF($B19="","",T19+SUM(Z19:AF19))</f>
        <v/>
      </c>
      <c r="AH19" s="160" t="str">
        <f aca="false">IF($B19="","",MAX(0,IF(OR(الموظفون!$AE19="",الموظفون!$AE19&gt;$F$3),$F$3,الموظفون!$AE19)-الموظفون!$H19+1-SUMIFS('سجل الإجازات والحالات'!$AP$6:$AP$505,'سجل الإجازات والحالات'!$B$6:$B$505,$B19))/cfg_DAYS_Y)</f>
        <v/>
      </c>
      <c r="AI19" s="160" t="str">
        <f aca="false">IF($B19="","",MAX(0,IF(OR(الموظفون!$AE19="",الموظفون!$AE19&gt;($E$3-1)),($E$3-1),الموظفون!$AE19)-الموظفون!$H19+1-SUMIFS('سجل الإجازات والحالات'!$AO$6:$AO$505,'سجل الإجازات والحالات'!$B$6:$B$505,$B19))/cfg_DAYS_Y)</f>
        <v/>
      </c>
      <c r="AJ19" s="133" t="str">
        <f aca="false">IF($B19="","",MAX(0,AK19-(SUMIFS('سجل الإجازات والحالات'!$AP$6:$AP$505,'سجل الإجازات والحالات'!$B$6:$B$505,$B19)-SUMIFS('سجل الإجازات والحالات'!$AO$6:$AO$505,'سجل الإجازات والحالات'!$B$6:$B$505,$B19))))</f>
        <v/>
      </c>
      <c r="AK19" s="133" t="str">
        <f aca="false">IF($B19="","",MAX(0,IF(OR(الموظفون!$AE19="",الموظفون!$AE19&gt;$F$3),$F$3,الموظفون!$AE19)-MAX($E$3,الموظفون!$H19)+1))</f>
        <v/>
      </c>
      <c r="AL19" s="156" t="str">
        <f aca="false">IF($B19="","",SUMIFS('سجل الإجازات والحالات'!$BB$6:$BB$505,'سجل الإجازات والحالات'!$B$6:$B$505,$B19)+SUMIFS('الحركات الشهرية'!$K$6:$K$1005,'الحركات الشهرية'!$B$6:$B$1005,$B19,'الحركات الشهرية'!$A$6:$A$1005,$C$3))</f>
        <v/>
      </c>
      <c r="AM19" s="116" t="str">
        <f aca="false">IF($B19="","",AL19*الموظفون!$R19/cfg_DAYS_M+S19)</f>
        <v/>
      </c>
      <c r="AN19" s="156" t="str">
        <f aca="false">IF($B19="","",SUMIFS('سجل الإجازات والحالات'!$AD$6:$AD$505,'سجل الإجازات والحالات'!$B$6:$B$505,$B19))</f>
        <v/>
      </c>
    </row>
    <row r="20" customFormat="false" ht="15" hidden="false" customHeight="false" outlineLevel="0" collapsed="false">
      <c r="A20" s="106" t="str">
        <f aca="false">IF($B20="","",الموظفون!$A20)</f>
        <v/>
      </c>
      <c r="B20" s="114" t="str">
        <f aca="false">IF(الموظفون!$B20="","",الموظفون!$B20)</f>
        <v/>
      </c>
      <c r="C20" s="114" t="str">
        <f aca="false">IF($B20="","",الموظفون!$C20)</f>
        <v/>
      </c>
      <c r="D20" s="114" t="str">
        <f aca="false">IF($B20="","",الموظفون!$F20)</f>
        <v/>
      </c>
      <c r="E20" s="114" t="str">
        <f aca="false">IF($B20="","",الموظفون!$E20)</f>
        <v/>
      </c>
      <c r="F20" s="114" t="str">
        <f aca="false">IF($B20="","",IF(AK20=0,IF(AND(الموظفون!$AE20&lt;&gt;"",الموظفون!$AE20&lt;$E$3),"✖ منتهي الخدمة","⏳ لم يباشر"),IF(S20&gt;0,"✈ راتب إجازة مقدم",IF(J20=0,"⛔ بدون راتب هذا الشهر",IF(I20&gt;0,"✈ خصم "&amp;ROUND(I20,2)&amp;" يوم بدون أجر",IF(AL20&gt;0,"🌴 إجازة سنوية "&amp;ROUND(AL20,2)&amp;" يوم",IF(H20&gt;0,"⚠ غياب "&amp;ROUND(H20,2)&amp;" يوم","✔ على رأس العمل")))))))</f>
        <v/>
      </c>
      <c r="G20" s="151" t="str">
        <f aca="false">IF($B20="","",IF(AK20&gt;=DAY($F$3),cfg_DAYS_M,MIN(AK20,cfg_DAYS_M)))</f>
        <v/>
      </c>
      <c r="H20" s="151" t="str">
        <f aca="false">IF($B20="","",SUMIFS('الحركات الشهرية'!$D$6:$D$1005,'الحركات الشهرية'!$B$6:$B$1005,$B20,'الحركات الشهرية'!$A$6:$A$1005,$C$3))</f>
        <v/>
      </c>
      <c r="I20" s="151" t="str">
        <f aca="false">IF($B20="","",MIN(G20,IF(AND(AK20&gt;0,AN20&gt;=AK20),G20,AN20)+SUMIFS('الحركات الشهرية'!$E$6:$E$1005,'الحركات الشهرية'!$B$6:$B$1005,$B20,'الحركات الشهرية'!$A$6:$A$1005,$C$3)))</f>
        <v/>
      </c>
      <c r="J20" s="151" t="str">
        <f aca="false">IF($B20="","",MAX(0,G20-H20-I20))</f>
        <v/>
      </c>
      <c r="K20" s="111" t="str">
        <f aca="false">IF($B20="","",الموظفون!$L20*$J20/cfg_DAYS_M)</f>
        <v/>
      </c>
      <c r="L20" s="111" t="str">
        <f aca="false">IF($B20="","",الموظفون!$M20*$J20/cfg_DAYS_M)</f>
        <v/>
      </c>
      <c r="M20" s="111" t="str">
        <f aca="false">IF($B20="","",الموظفون!$N20*$J20/cfg_DAYS_M)</f>
        <v/>
      </c>
      <c r="N20" s="111" t="str">
        <f aca="false">IF($B20="","",الموظفون!$O20*$J20/cfg_DAYS_M)</f>
        <v/>
      </c>
      <c r="O20" s="151" t="str">
        <f aca="false">IF($B20="","",SUMIFS('الحركات الشهرية'!$F$6:$F$1005,'الحركات الشهرية'!$B$6:$B$1005,$B20,'الحركات الشهرية'!$A$6:$A$1005,$C$3))</f>
        <v/>
      </c>
      <c r="P20" s="111" t="str">
        <f aca="false">IF($B20="","",O20*(الموظفون!$P20+الموظفون!$L20*cfg_OT_P)/cfg_DAYS_M/cfg_HRS)</f>
        <v/>
      </c>
      <c r="Q20" s="111" t="str">
        <f aca="false">IF($B20="","",SUMIFS('الحركات الشهرية'!$G$6:$G$1005,'الحركات الشهرية'!$B$6:$B$1005,$B20,'الحركات الشهرية'!$A$6:$A$1005,$C$3))</f>
        <v/>
      </c>
      <c r="R20" s="111" t="str">
        <f aca="false">IF($B20="","",SUMIFS('الحركات الشهرية'!$H$6:$H$1005,'الحركات الشهرية'!$B$6:$B$1005,$B20,'الحركات الشهرية'!$A$6:$A$1005,$C$3))</f>
        <v/>
      </c>
      <c r="S20" s="111" t="str">
        <f aca="false">IF($B20="","",SUMIFS('سجل الإجازات والحالات'!$N$6:$N$505,'سجل الإجازات والحالات'!$B$6:$B$505,$B20,'سجل الإجازات والحالات'!$O$6:$O$505,$C$3))</f>
        <v/>
      </c>
      <c r="T20" s="152" t="str">
        <f aca="false">IF($B20="","",SUM(K20:N20)+SUM(P20:S20))</f>
        <v/>
      </c>
      <c r="U20" s="111" t="str">
        <f aca="false">IF($B20="","",الموظفون!$S20*IF(E20="سعودي",cfg_G_SE,cfg_G_NE)*G20/cfg_DAYS_M)</f>
        <v/>
      </c>
      <c r="V20" s="111" t="str">
        <f aca="false">IF($B20="","",SUMIFS('الحركات الشهرية'!$I$6:$I$1005,'الحركات الشهرية'!$B$6:$B$1005,$B20,'الحركات الشهرية'!$A$6:$A$1005,$C$3))</f>
        <v/>
      </c>
      <c r="W20" s="111" t="str">
        <f aca="false">IF($B20="","",SUMIFS('الحركات الشهرية'!$J$6:$J$1005,'الحركات الشهرية'!$B$6:$B$1005,$B20,'الحركات الشهرية'!$A$6:$A$1005,$C$3))</f>
        <v/>
      </c>
      <c r="X20" s="111" t="str">
        <f aca="false">IF($B20="","",SUM(U20:W20))</f>
        <v/>
      </c>
      <c r="Y20" s="153" t="str">
        <f aca="false">IF($B20="","",T20-X20)</f>
        <v/>
      </c>
      <c r="Z20" s="111" t="str">
        <f aca="false">IF($B20="","",الموظفون!$S20*IF(E20="سعودي",cfg_G_SR,cfg_G_NR)*G20/cfg_DAYS_M)</f>
        <v/>
      </c>
      <c r="AA20" s="111" t="str">
        <f aca="false">IF($B20="","",الموظفون!$Q20*(cfg_EOS_R1*(MIN(AH20,cfg_EOS_TH)-MIN(AI20,cfg_EOS_TH))+cfg_EOS_R2*(MAX(AH20-cfg_EOS_TH,0)-MAX(AI20-cfg_EOS_TH,0))))</f>
        <v/>
      </c>
      <c r="AB20" s="111" t="str">
        <f aca="false">IF($B20="","",IF(الموظفون!$T20&lt;&gt;"",الموظفون!$T20,IF(AH20&gt;=cfg_LV_TH,cfg_LV_D2,cfg_LV_D1))/cfg_DAYS_Y*AJ20*الموظفون!$R20/cfg_DAYS_M)</f>
        <v/>
      </c>
      <c r="AC20" s="111" t="str">
        <f aca="false">IF($B20="","",IF(AND(الموظفون!$U20="نعم",N(الموظفون!$W20)&gt;0),الموظفون!$V20/الموظفون!$W20*12/cfg_DAYS_Y*AJ20,0))</f>
        <v/>
      </c>
      <c r="AD20" s="111" t="str">
        <f aca="false">IF($B20="","",(IF(الموظفون!$X20&lt;&gt;"",الموظفون!$X20,IF(الموظفون!$E20="غير سعودي",cfg_IQ,0))+IF(الموظفون!$Y20&lt;&gt;"",الموظفون!$Y20,IF(الموظفون!$E20="غير سعودي",cfg_WP,0)))/12*G20/cfg_DAYS_M)</f>
        <v/>
      </c>
      <c r="AE20" s="111" t="str">
        <f aca="false">IF($B20="","",IF(الموظفون!$Z20&lt;&gt;"",الموظفون!$Z20,cfg_MED)/12*G20/cfg_DAYS_M)</f>
        <v/>
      </c>
      <c r="AF20" s="111" t="str">
        <f aca="false">IF($B20="","",N(الموظفون!$AA20)/12*G20/cfg_DAYS_M)</f>
        <v/>
      </c>
      <c r="AG20" s="154" t="str">
        <f aca="false">IF($B20="","",T20+SUM(Z20:AF20))</f>
        <v/>
      </c>
      <c r="AH20" s="155" t="str">
        <f aca="false">IF($B20="","",MAX(0,IF(OR(الموظفون!$AE20="",الموظفون!$AE20&gt;$F$3),$F$3,الموظفون!$AE20)-الموظفون!$H20+1-SUMIFS('سجل الإجازات والحالات'!$AP$6:$AP$505,'سجل الإجازات والحالات'!$B$6:$B$505,$B20))/cfg_DAYS_Y)</f>
        <v/>
      </c>
      <c r="AI20" s="155" t="str">
        <f aca="false">IF($B20="","",MAX(0,IF(OR(الموظفون!$AE20="",الموظفون!$AE20&gt;($E$3-1)),($E$3-1),الموظفون!$AE20)-الموظفون!$H20+1-SUMIFS('سجل الإجازات والحالات'!$AO$6:$AO$505,'سجل الإجازات والحالات'!$B$6:$B$505,$B20))/cfg_DAYS_Y)</f>
        <v/>
      </c>
      <c r="AJ20" s="65" t="str">
        <f aca="false">IF($B20="","",MAX(0,AK20-(SUMIFS('سجل الإجازات والحالات'!$AP$6:$AP$505,'سجل الإجازات والحالات'!$B$6:$B$505,$B20)-SUMIFS('سجل الإجازات والحالات'!$AO$6:$AO$505,'سجل الإجازات والحالات'!$B$6:$B$505,$B20))))</f>
        <v/>
      </c>
      <c r="AK20" s="65" t="str">
        <f aca="false">IF($B20="","",MAX(0,IF(OR(الموظفون!$AE20="",الموظفون!$AE20&gt;$F$3),$F$3,الموظفون!$AE20)-MAX($E$3,الموظفون!$H20)+1))</f>
        <v/>
      </c>
      <c r="AL20" s="151" t="str">
        <f aca="false">IF($B20="","",SUMIFS('سجل الإجازات والحالات'!$BB$6:$BB$505,'سجل الإجازات والحالات'!$B$6:$B$505,$B20)+SUMIFS('الحركات الشهرية'!$K$6:$K$1005,'الحركات الشهرية'!$B$6:$B$1005,$B20,'الحركات الشهرية'!$A$6:$A$1005,$C$3))</f>
        <v/>
      </c>
      <c r="AM20" s="111" t="str">
        <f aca="false">IF($B20="","",AL20*الموظفون!$R20/cfg_DAYS_M+S20)</f>
        <v/>
      </c>
      <c r="AN20" s="151" t="str">
        <f aca="false">IF($B20="","",SUMIFS('سجل الإجازات والحالات'!$AD$6:$AD$505,'سجل الإجازات والحالات'!$B$6:$B$505,$B20))</f>
        <v/>
      </c>
    </row>
    <row r="21" customFormat="false" ht="15" hidden="false" customHeight="false" outlineLevel="0" collapsed="false">
      <c r="A21" s="115" t="str">
        <f aca="false">IF($B21="","",الموظفون!$A21)</f>
        <v/>
      </c>
      <c r="B21" s="117" t="str">
        <f aca="false">IF(الموظفون!$B21="","",الموظفون!$B21)</f>
        <v/>
      </c>
      <c r="C21" s="117" t="str">
        <f aca="false">IF($B21="","",الموظفون!$C21)</f>
        <v/>
      </c>
      <c r="D21" s="117" t="str">
        <f aca="false">IF($B21="","",الموظفون!$F21)</f>
        <v/>
      </c>
      <c r="E21" s="117" t="str">
        <f aca="false">IF($B21="","",الموظفون!$E21)</f>
        <v/>
      </c>
      <c r="F21" s="117" t="str">
        <f aca="false">IF($B21="","",IF(AK21=0,IF(AND(الموظفون!$AE21&lt;&gt;"",الموظفون!$AE21&lt;$E$3),"✖ منتهي الخدمة","⏳ لم يباشر"),IF(S21&gt;0,"✈ راتب إجازة مقدم",IF(J21=0,"⛔ بدون راتب هذا الشهر",IF(I21&gt;0,"✈ خصم "&amp;ROUND(I21,2)&amp;" يوم بدون أجر",IF(AL21&gt;0,"🌴 إجازة سنوية "&amp;ROUND(AL21,2)&amp;" يوم",IF(H21&gt;0,"⚠ غياب "&amp;ROUND(H21,2)&amp;" يوم","✔ على رأس العمل")))))))</f>
        <v/>
      </c>
      <c r="G21" s="156" t="str">
        <f aca="false">IF($B21="","",IF(AK21&gt;=DAY($F$3),cfg_DAYS_M,MIN(AK21,cfg_DAYS_M)))</f>
        <v/>
      </c>
      <c r="H21" s="156" t="str">
        <f aca="false">IF($B21="","",SUMIFS('الحركات الشهرية'!$D$6:$D$1005,'الحركات الشهرية'!$B$6:$B$1005,$B21,'الحركات الشهرية'!$A$6:$A$1005,$C$3))</f>
        <v/>
      </c>
      <c r="I21" s="156" t="str">
        <f aca="false">IF($B21="","",MIN(G21,IF(AND(AK21&gt;0,AN21&gt;=AK21),G21,AN21)+SUMIFS('الحركات الشهرية'!$E$6:$E$1005,'الحركات الشهرية'!$B$6:$B$1005,$B21,'الحركات الشهرية'!$A$6:$A$1005,$C$3)))</f>
        <v/>
      </c>
      <c r="J21" s="156" t="str">
        <f aca="false">IF($B21="","",MAX(0,G21-H21-I21))</f>
        <v/>
      </c>
      <c r="K21" s="116" t="str">
        <f aca="false">IF($B21="","",الموظفون!$L21*$J21/cfg_DAYS_M)</f>
        <v/>
      </c>
      <c r="L21" s="116" t="str">
        <f aca="false">IF($B21="","",الموظفون!$M21*$J21/cfg_DAYS_M)</f>
        <v/>
      </c>
      <c r="M21" s="116" t="str">
        <f aca="false">IF($B21="","",الموظفون!$N21*$J21/cfg_DAYS_M)</f>
        <v/>
      </c>
      <c r="N21" s="116" t="str">
        <f aca="false">IF($B21="","",الموظفون!$O21*$J21/cfg_DAYS_M)</f>
        <v/>
      </c>
      <c r="O21" s="156" t="str">
        <f aca="false">IF($B21="","",SUMIFS('الحركات الشهرية'!$F$6:$F$1005,'الحركات الشهرية'!$B$6:$B$1005,$B21,'الحركات الشهرية'!$A$6:$A$1005,$C$3))</f>
        <v/>
      </c>
      <c r="P21" s="116" t="str">
        <f aca="false">IF($B21="","",O21*(الموظفون!$P21+الموظفون!$L21*cfg_OT_P)/cfg_DAYS_M/cfg_HRS)</f>
        <v/>
      </c>
      <c r="Q21" s="116" t="str">
        <f aca="false">IF($B21="","",SUMIFS('الحركات الشهرية'!$G$6:$G$1005,'الحركات الشهرية'!$B$6:$B$1005,$B21,'الحركات الشهرية'!$A$6:$A$1005,$C$3))</f>
        <v/>
      </c>
      <c r="R21" s="116" t="str">
        <f aca="false">IF($B21="","",SUMIFS('الحركات الشهرية'!$H$6:$H$1005,'الحركات الشهرية'!$B$6:$B$1005,$B21,'الحركات الشهرية'!$A$6:$A$1005,$C$3))</f>
        <v/>
      </c>
      <c r="S21" s="116" t="str">
        <f aca="false">IF($B21="","",SUMIFS('سجل الإجازات والحالات'!$N$6:$N$505,'سجل الإجازات والحالات'!$B$6:$B$505,$B21,'سجل الإجازات والحالات'!$O$6:$O$505,$C$3))</f>
        <v/>
      </c>
      <c r="T21" s="157" t="str">
        <f aca="false">IF($B21="","",SUM(K21:N21)+SUM(P21:S21))</f>
        <v/>
      </c>
      <c r="U21" s="116" t="str">
        <f aca="false">IF($B21="","",الموظفون!$S21*IF(E21="سعودي",cfg_G_SE,cfg_G_NE)*G21/cfg_DAYS_M)</f>
        <v/>
      </c>
      <c r="V21" s="116" t="str">
        <f aca="false">IF($B21="","",SUMIFS('الحركات الشهرية'!$I$6:$I$1005,'الحركات الشهرية'!$B$6:$B$1005,$B21,'الحركات الشهرية'!$A$6:$A$1005,$C$3))</f>
        <v/>
      </c>
      <c r="W21" s="116" t="str">
        <f aca="false">IF($B21="","",SUMIFS('الحركات الشهرية'!$J$6:$J$1005,'الحركات الشهرية'!$B$6:$B$1005,$B21,'الحركات الشهرية'!$A$6:$A$1005,$C$3))</f>
        <v/>
      </c>
      <c r="X21" s="116" t="str">
        <f aca="false">IF($B21="","",SUM(U21:W21))</f>
        <v/>
      </c>
      <c r="Y21" s="158" t="str">
        <f aca="false">IF($B21="","",T21-X21)</f>
        <v/>
      </c>
      <c r="Z21" s="116" t="str">
        <f aca="false">IF($B21="","",الموظفون!$S21*IF(E21="سعودي",cfg_G_SR,cfg_G_NR)*G21/cfg_DAYS_M)</f>
        <v/>
      </c>
      <c r="AA21" s="116" t="str">
        <f aca="false">IF($B21="","",الموظفون!$Q21*(cfg_EOS_R1*(MIN(AH21,cfg_EOS_TH)-MIN(AI21,cfg_EOS_TH))+cfg_EOS_R2*(MAX(AH21-cfg_EOS_TH,0)-MAX(AI21-cfg_EOS_TH,0))))</f>
        <v/>
      </c>
      <c r="AB21" s="116" t="str">
        <f aca="false">IF($B21="","",IF(الموظفون!$T21&lt;&gt;"",الموظفون!$T21,IF(AH21&gt;=cfg_LV_TH,cfg_LV_D2,cfg_LV_D1))/cfg_DAYS_Y*AJ21*الموظفون!$R21/cfg_DAYS_M)</f>
        <v/>
      </c>
      <c r="AC21" s="116" t="str">
        <f aca="false">IF($B21="","",IF(AND(الموظفون!$U21="نعم",N(الموظفون!$W21)&gt;0),الموظفون!$V21/الموظفون!$W21*12/cfg_DAYS_Y*AJ21,0))</f>
        <v/>
      </c>
      <c r="AD21" s="116" t="str">
        <f aca="false">IF($B21="","",(IF(الموظفون!$X21&lt;&gt;"",الموظفون!$X21,IF(الموظفون!$E21="غير سعودي",cfg_IQ,0))+IF(الموظفون!$Y21&lt;&gt;"",الموظفون!$Y21,IF(الموظفون!$E21="غير سعودي",cfg_WP,0)))/12*G21/cfg_DAYS_M)</f>
        <v/>
      </c>
      <c r="AE21" s="116" t="str">
        <f aca="false">IF($B21="","",IF(الموظفون!$Z21&lt;&gt;"",الموظفون!$Z21,cfg_MED)/12*G21/cfg_DAYS_M)</f>
        <v/>
      </c>
      <c r="AF21" s="116" t="str">
        <f aca="false">IF($B21="","",N(الموظفون!$AA21)/12*G21/cfg_DAYS_M)</f>
        <v/>
      </c>
      <c r="AG21" s="159" t="str">
        <f aca="false">IF($B21="","",T21+SUM(Z21:AF21))</f>
        <v/>
      </c>
      <c r="AH21" s="160" t="str">
        <f aca="false">IF($B21="","",MAX(0,IF(OR(الموظفون!$AE21="",الموظفون!$AE21&gt;$F$3),$F$3,الموظفون!$AE21)-الموظفون!$H21+1-SUMIFS('سجل الإجازات والحالات'!$AP$6:$AP$505,'سجل الإجازات والحالات'!$B$6:$B$505,$B21))/cfg_DAYS_Y)</f>
        <v/>
      </c>
      <c r="AI21" s="160" t="str">
        <f aca="false">IF($B21="","",MAX(0,IF(OR(الموظفون!$AE21="",الموظفون!$AE21&gt;($E$3-1)),($E$3-1),الموظفون!$AE21)-الموظفون!$H21+1-SUMIFS('سجل الإجازات والحالات'!$AO$6:$AO$505,'سجل الإجازات والحالات'!$B$6:$B$505,$B21))/cfg_DAYS_Y)</f>
        <v/>
      </c>
      <c r="AJ21" s="133" t="str">
        <f aca="false">IF($B21="","",MAX(0,AK21-(SUMIFS('سجل الإجازات والحالات'!$AP$6:$AP$505,'سجل الإجازات والحالات'!$B$6:$B$505,$B21)-SUMIFS('سجل الإجازات والحالات'!$AO$6:$AO$505,'سجل الإجازات والحالات'!$B$6:$B$505,$B21))))</f>
        <v/>
      </c>
      <c r="AK21" s="133" t="str">
        <f aca="false">IF($B21="","",MAX(0,IF(OR(الموظفون!$AE21="",الموظفون!$AE21&gt;$F$3),$F$3,الموظفون!$AE21)-MAX($E$3,الموظفون!$H21)+1))</f>
        <v/>
      </c>
      <c r="AL21" s="156" t="str">
        <f aca="false">IF($B21="","",SUMIFS('سجل الإجازات والحالات'!$BB$6:$BB$505,'سجل الإجازات والحالات'!$B$6:$B$505,$B21)+SUMIFS('الحركات الشهرية'!$K$6:$K$1005,'الحركات الشهرية'!$B$6:$B$1005,$B21,'الحركات الشهرية'!$A$6:$A$1005,$C$3))</f>
        <v/>
      </c>
      <c r="AM21" s="116" t="str">
        <f aca="false">IF($B21="","",AL21*الموظفون!$R21/cfg_DAYS_M+S21)</f>
        <v/>
      </c>
      <c r="AN21" s="156" t="str">
        <f aca="false">IF($B21="","",SUMIFS('سجل الإجازات والحالات'!$AD$6:$AD$505,'سجل الإجازات والحالات'!$B$6:$B$505,$B21))</f>
        <v/>
      </c>
    </row>
    <row r="22" customFormat="false" ht="15" hidden="false" customHeight="false" outlineLevel="0" collapsed="false">
      <c r="A22" s="106" t="str">
        <f aca="false">IF($B22="","",الموظفون!$A22)</f>
        <v/>
      </c>
      <c r="B22" s="114" t="str">
        <f aca="false">IF(الموظفون!$B22="","",الموظفون!$B22)</f>
        <v/>
      </c>
      <c r="C22" s="114" t="str">
        <f aca="false">IF($B22="","",الموظفون!$C22)</f>
        <v/>
      </c>
      <c r="D22" s="114" t="str">
        <f aca="false">IF($B22="","",الموظفون!$F22)</f>
        <v/>
      </c>
      <c r="E22" s="114" t="str">
        <f aca="false">IF($B22="","",الموظفون!$E22)</f>
        <v/>
      </c>
      <c r="F22" s="114" t="str">
        <f aca="false">IF($B22="","",IF(AK22=0,IF(AND(الموظفون!$AE22&lt;&gt;"",الموظفون!$AE22&lt;$E$3),"✖ منتهي الخدمة","⏳ لم يباشر"),IF(S22&gt;0,"✈ راتب إجازة مقدم",IF(J22=0,"⛔ بدون راتب هذا الشهر",IF(I22&gt;0,"✈ خصم "&amp;ROUND(I22,2)&amp;" يوم بدون أجر",IF(AL22&gt;0,"🌴 إجازة سنوية "&amp;ROUND(AL22,2)&amp;" يوم",IF(H22&gt;0,"⚠ غياب "&amp;ROUND(H22,2)&amp;" يوم","✔ على رأس العمل")))))))</f>
        <v/>
      </c>
      <c r="G22" s="151" t="str">
        <f aca="false">IF($B22="","",IF(AK22&gt;=DAY($F$3),cfg_DAYS_M,MIN(AK22,cfg_DAYS_M)))</f>
        <v/>
      </c>
      <c r="H22" s="151" t="str">
        <f aca="false">IF($B22="","",SUMIFS('الحركات الشهرية'!$D$6:$D$1005,'الحركات الشهرية'!$B$6:$B$1005,$B22,'الحركات الشهرية'!$A$6:$A$1005,$C$3))</f>
        <v/>
      </c>
      <c r="I22" s="151" t="str">
        <f aca="false">IF($B22="","",MIN(G22,IF(AND(AK22&gt;0,AN22&gt;=AK22),G22,AN22)+SUMIFS('الحركات الشهرية'!$E$6:$E$1005,'الحركات الشهرية'!$B$6:$B$1005,$B22,'الحركات الشهرية'!$A$6:$A$1005,$C$3)))</f>
        <v/>
      </c>
      <c r="J22" s="151" t="str">
        <f aca="false">IF($B22="","",MAX(0,G22-H22-I22))</f>
        <v/>
      </c>
      <c r="K22" s="111" t="str">
        <f aca="false">IF($B22="","",الموظفون!$L22*$J22/cfg_DAYS_M)</f>
        <v/>
      </c>
      <c r="L22" s="111" t="str">
        <f aca="false">IF($B22="","",الموظفون!$M22*$J22/cfg_DAYS_M)</f>
        <v/>
      </c>
      <c r="M22" s="111" t="str">
        <f aca="false">IF($B22="","",الموظفون!$N22*$J22/cfg_DAYS_M)</f>
        <v/>
      </c>
      <c r="N22" s="111" t="str">
        <f aca="false">IF($B22="","",الموظفون!$O22*$J22/cfg_DAYS_M)</f>
        <v/>
      </c>
      <c r="O22" s="151" t="str">
        <f aca="false">IF($B22="","",SUMIFS('الحركات الشهرية'!$F$6:$F$1005,'الحركات الشهرية'!$B$6:$B$1005,$B22,'الحركات الشهرية'!$A$6:$A$1005,$C$3))</f>
        <v/>
      </c>
      <c r="P22" s="111" t="str">
        <f aca="false">IF($B22="","",O22*(الموظفون!$P22+الموظفون!$L22*cfg_OT_P)/cfg_DAYS_M/cfg_HRS)</f>
        <v/>
      </c>
      <c r="Q22" s="111" t="str">
        <f aca="false">IF($B22="","",SUMIFS('الحركات الشهرية'!$G$6:$G$1005,'الحركات الشهرية'!$B$6:$B$1005,$B22,'الحركات الشهرية'!$A$6:$A$1005,$C$3))</f>
        <v/>
      </c>
      <c r="R22" s="111" t="str">
        <f aca="false">IF($B22="","",SUMIFS('الحركات الشهرية'!$H$6:$H$1005,'الحركات الشهرية'!$B$6:$B$1005,$B22,'الحركات الشهرية'!$A$6:$A$1005,$C$3))</f>
        <v/>
      </c>
      <c r="S22" s="111" t="str">
        <f aca="false">IF($B22="","",SUMIFS('سجل الإجازات والحالات'!$N$6:$N$505,'سجل الإجازات والحالات'!$B$6:$B$505,$B22,'سجل الإجازات والحالات'!$O$6:$O$505,$C$3))</f>
        <v/>
      </c>
      <c r="T22" s="152" t="str">
        <f aca="false">IF($B22="","",SUM(K22:N22)+SUM(P22:S22))</f>
        <v/>
      </c>
      <c r="U22" s="111" t="str">
        <f aca="false">IF($B22="","",الموظفون!$S22*IF(E22="سعودي",cfg_G_SE,cfg_G_NE)*G22/cfg_DAYS_M)</f>
        <v/>
      </c>
      <c r="V22" s="111" t="str">
        <f aca="false">IF($B22="","",SUMIFS('الحركات الشهرية'!$I$6:$I$1005,'الحركات الشهرية'!$B$6:$B$1005,$B22,'الحركات الشهرية'!$A$6:$A$1005,$C$3))</f>
        <v/>
      </c>
      <c r="W22" s="111" t="str">
        <f aca="false">IF($B22="","",SUMIFS('الحركات الشهرية'!$J$6:$J$1005,'الحركات الشهرية'!$B$6:$B$1005,$B22,'الحركات الشهرية'!$A$6:$A$1005,$C$3))</f>
        <v/>
      </c>
      <c r="X22" s="111" t="str">
        <f aca="false">IF($B22="","",SUM(U22:W22))</f>
        <v/>
      </c>
      <c r="Y22" s="153" t="str">
        <f aca="false">IF($B22="","",T22-X22)</f>
        <v/>
      </c>
      <c r="Z22" s="111" t="str">
        <f aca="false">IF($B22="","",الموظفون!$S22*IF(E22="سعودي",cfg_G_SR,cfg_G_NR)*G22/cfg_DAYS_M)</f>
        <v/>
      </c>
      <c r="AA22" s="111" t="str">
        <f aca="false">IF($B22="","",الموظفون!$Q22*(cfg_EOS_R1*(MIN(AH22,cfg_EOS_TH)-MIN(AI22,cfg_EOS_TH))+cfg_EOS_R2*(MAX(AH22-cfg_EOS_TH,0)-MAX(AI22-cfg_EOS_TH,0))))</f>
        <v/>
      </c>
      <c r="AB22" s="111" t="str">
        <f aca="false">IF($B22="","",IF(الموظفون!$T22&lt;&gt;"",الموظفون!$T22,IF(AH22&gt;=cfg_LV_TH,cfg_LV_D2,cfg_LV_D1))/cfg_DAYS_Y*AJ22*الموظفون!$R22/cfg_DAYS_M)</f>
        <v/>
      </c>
      <c r="AC22" s="111" t="str">
        <f aca="false">IF($B22="","",IF(AND(الموظفون!$U22="نعم",N(الموظفون!$W22)&gt;0),الموظفون!$V22/الموظفون!$W22*12/cfg_DAYS_Y*AJ22,0))</f>
        <v/>
      </c>
      <c r="AD22" s="111" t="str">
        <f aca="false">IF($B22="","",(IF(الموظفون!$X22&lt;&gt;"",الموظفون!$X22,IF(الموظفون!$E22="غير سعودي",cfg_IQ,0))+IF(الموظفون!$Y22&lt;&gt;"",الموظفون!$Y22,IF(الموظفون!$E22="غير سعودي",cfg_WP,0)))/12*G22/cfg_DAYS_M)</f>
        <v/>
      </c>
      <c r="AE22" s="111" t="str">
        <f aca="false">IF($B22="","",IF(الموظفون!$Z22&lt;&gt;"",الموظفون!$Z22,cfg_MED)/12*G22/cfg_DAYS_M)</f>
        <v/>
      </c>
      <c r="AF22" s="111" t="str">
        <f aca="false">IF($B22="","",N(الموظفون!$AA22)/12*G22/cfg_DAYS_M)</f>
        <v/>
      </c>
      <c r="AG22" s="154" t="str">
        <f aca="false">IF($B22="","",T22+SUM(Z22:AF22))</f>
        <v/>
      </c>
      <c r="AH22" s="155" t="str">
        <f aca="false">IF($B22="","",MAX(0,IF(OR(الموظفون!$AE22="",الموظفون!$AE22&gt;$F$3),$F$3,الموظفون!$AE22)-الموظفون!$H22+1-SUMIFS('سجل الإجازات والحالات'!$AP$6:$AP$505,'سجل الإجازات والحالات'!$B$6:$B$505,$B22))/cfg_DAYS_Y)</f>
        <v/>
      </c>
      <c r="AI22" s="155" t="str">
        <f aca="false">IF($B22="","",MAX(0,IF(OR(الموظفون!$AE22="",الموظفون!$AE22&gt;($E$3-1)),($E$3-1),الموظفون!$AE22)-الموظفون!$H22+1-SUMIFS('سجل الإجازات والحالات'!$AO$6:$AO$505,'سجل الإجازات والحالات'!$B$6:$B$505,$B22))/cfg_DAYS_Y)</f>
        <v/>
      </c>
      <c r="AJ22" s="65" t="str">
        <f aca="false">IF($B22="","",MAX(0,AK22-(SUMIFS('سجل الإجازات والحالات'!$AP$6:$AP$505,'سجل الإجازات والحالات'!$B$6:$B$505,$B22)-SUMIFS('سجل الإجازات والحالات'!$AO$6:$AO$505,'سجل الإجازات والحالات'!$B$6:$B$505,$B22))))</f>
        <v/>
      </c>
      <c r="AK22" s="65" t="str">
        <f aca="false">IF($B22="","",MAX(0,IF(OR(الموظفون!$AE22="",الموظفون!$AE22&gt;$F$3),$F$3,الموظفون!$AE22)-MAX($E$3,الموظفون!$H22)+1))</f>
        <v/>
      </c>
      <c r="AL22" s="151" t="str">
        <f aca="false">IF($B22="","",SUMIFS('سجل الإجازات والحالات'!$BB$6:$BB$505,'سجل الإجازات والحالات'!$B$6:$B$505,$B22)+SUMIFS('الحركات الشهرية'!$K$6:$K$1005,'الحركات الشهرية'!$B$6:$B$1005,$B22,'الحركات الشهرية'!$A$6:$A$1005,$C$3))</f>
        <v/>
      </c>
      <c r="AM22" s="111" t="str">
        <f aca="false">IF($B22="","",AL22*الموظفون!$R22/cfg_DAYS_M+S22)</f>
        <v/>
      </c>
      <c r="AN22" s="151" t="str">
        <f aca="false">IF($B22="","",SUMIFS('سجل الإجازات والحالات'!$AD$6:$AD$505,'سجل الإجازات والحالات'!$B$6:$B$505,$B22))</f>
        <v/>
      </c>
    </row>
    <row r="23" customFormat="false" ht="15" hidden="false" customHeight="false" outlineLevel="0" collapsed="false">
      <c r="A23" s="115" t="str">
        <f aca="false">IF($B23="","",الموظفون!$A23)</f>
        <v/>
      </c>
      <c r="B23" s="117" t="str">
        <f aca="false">IF(الموظفون!$B23="","",الموظفون!$B23)</f>
        <v/>
      </c>
      <c r="C23" s="117" t="str">
        <f aca="false">IF($B23="","",الموظفون!$C23)</f>
        <v/>
      </c>
      <c r="D23" s="117" t="str">
        <f aca="false">IF($B23="","",الموظفون!$F23)</f>
        <v/>
      </c>
      <c r="E23" s="117" t="str">
        <f aca="false">IF($B23="","",الموظفون!$E23)</f>
        <v/>
      </c>
      <c r="F23" s="117" t="str">
        <f aca="false">IF($B23="","",IF(AK23=0,IF(AND(الموظفون!$AE23&lt;&gt;"",الموظفون!$AE23&lt;$E$3),"✖ منتهي الخدمة","⏳ لم يباشر"),IF(S23&gt;0,"✈ راتب إجازة مقدم",IF(J23=0,"⛔ بدون راتب هذا الشهر",IF(I23&gt;0,"✈ خصم "&amp;ROUND(I23,2)&amp;" يوم بدون أجر",IF(AL23&gt;0,"🌴 إجازة سنوية "&amp;ROUND(AL23,2)&amp;" يوم",IF(H23&gt;0,"⚠ غياب "&amp;ROUND(H23,2)&amp;" يوم","✔ على رأس العمل")))))))</f>
        <v/>
      </c>
      <c r="G23" s="156" t="str">
        <f aca="false">IF($B23="","",IF(AK23&gt;=DAY($F$3),cfg_DAYS_M,MIN(AK23,cfg_DAYS_M)))</f>
        <v/>
      </c>
      <c r="H23" s="156" t="str">
        <f aca="false">IF($B23="","",SUMIFS('الحركات الشهرية'!$D$6:$D$1005,'الحركات الشهرية'!$B$6:$B$1005,$B23,'الحركات الشهرية'!$A$6:$A$1005,$C$3))</f>
        <v/>
      </c>
      <c r="I23" s="156" t="str">
        <f aca="false">IF($B23="","",MIN(G23,IF(AND(AK23&gt;0,AN23&gt;=AK23),G23,AN23)+SUMIFS('الحركات الشهرية'!$E$6:$E$1005,'الحركات الشهرية'!$B$6:$B$1005,$B23,'الحركات الشهرية'!$A$6:$A$1005,$C$3)))</f>
        <v/>
      </c>
      <c r="J23" s="156" t="str">
        <f aca="false">IF($B23="","",MAX(0,G23-H23-I23))</f>
        <v/>
      </c>
      <c r="K23" s="116" t="str">
        <f aca="false">IF($B23="","",الموظفون!$L23*$J23/cfg_DAYS_M)</f>
        <v/>
      </c>
      <c r="L23" s="116" t="str">
        <f aca="false">IF($B23="","",الموظفون!$M23*$J23/cfg_DAYS_M)</f>
        <v/>
      </c>
      <c r="M23" s="116" t="str">
        <f aca="false">IF($B23="","",الموظفون!$N23*$J23/cfg_DAYS_M)</f>
        <v/>
      </c>
      <c r="N23" s="116" t="str">
        <f aca="false">IF($B23="","",الموظفون!$O23*$J23/cfg_DAYS_M)</f>
        <v/>
      </c>
      <c r="O23" s="156" t="str">
        <f aca="false">IF($B23="","",SUMIFS('الحركات الشهرية'!$F$6:$F$1005,'الحركات الشهرية'!$B$6:$B$1005,$B23,'الحركات الشهرية'!$A$6:$A$1005,$C$3))</f>
        <v/>
      </c>
      <c r="P23" s="116" t="str">
        <f aca="false">IF($B23="","",O23*(الموظفون!$P23+الموظفون!$L23*cfg_OT_P)/cfg_DAYS_M/cfg_HRS)</f>
        <v/>
      </c>
      <c r="Q23" s="116" t="str">
        <f aca="false">IF($B23="","",SUMIFS('الحركات الشهرية'!$G$6:$G$1005,'الحركات الشهرية'!$B$6:$B$1005,$B23,'الحركات الشهرية'!$A$6:$A$1005,$C$3))</f>
        <v/>
      </c>
      <c r="R23" s="116" t="str">
        <f aca="false">IF($B23="","",SUMIFS('الحركات الشهرية'!$H$6:$H$1005,'الحركات الشهرية'!$B$6:$B$1005,$B23,'الحركات الشهرية'!$A$6:$A$1005,$C$3))</f>
        <v/>
      </c>
      <c r="S23" s="116" t="str">
        <f aca="false">IF($B23="","",SUMIFS('سجل الإجازات والحالات'!$N$6:$N$505,'سجل الإجازات والحالات'!$B$6:$B$505,$B23,'سجل الإجازات والحالات'!$O$6:$O$505,$C$3))</f>
        <v/>
      </c>
      <c r="T23" s="157" t="str">
        <f aca="false">IF($B23="","",SUM(K23:N23)+SUM(P23:S23))</f>
        <v/>
      </c>
      <c r="U23" s="116" t="str">
        <f aca="false">IF($B23="","",الموظفون!$S23*IF(E23="سعودي",cfg_G_SE,cfg_G_NE)*G23/cfg_DAYS_M)</f>
        <v/>
      </c>
      <c r="V23" s="116" t="str">
        <f aca="false">IF($B23="","",SUMIFS('الحركات الشهرية'!$I$6:$I$1005,'الحركات الشهرية'!$B$6:$B$1005,$B23,'الحركات الشهرية'!$A$6:$A$1005,$C$3))</f>
        <v/>
      </c>
      <c r="W23" s="116" t="str">
        <f aca="false">IF($B23="","",SUMIFS('الحركات الشهرية'!$J$6:$J$1005,'الحركات الشهرية'!$B$6:$B$1005,$B23,'الحركات الشهرية'!$A$6:$A$1005,$C$3))</f>
        <v/>
      </c>
      <c r="X23" s="116" t="str">
        <f aca="false">IF($B23="","",SUM(U23:W23))</f>
        <v/>
      </c>
      <c r="Y23" s="158" t="str">
        <f aca="false">IF($B23="","",T23-X23)</f>
        <v/>
      </c>
      <c r="Z23" s="116" t="str">
        <f aca="false">IF($B23="","",الموظفون!$S23*IF(E23="سعودي",cfg_G_SR,cfg_G_NR)*G23/cfg_DAYS_M)</f>
        <v/>
      </c>
      <c r="AA23" s="116" t="str">
        <f aca="false">IF($B23="","",الموظفون!$Q23*(cfg_EOS_R1*(MIN(AH23,cfg_EOS_TH)-MIN(AI23,cfg_EOS_TH))+cfg_EOS_R2*(MAX(AH23-cfg_EOS_TH,0)-MAX(AI23-cfg_EOS_TH,0))))</f>
        <v/>
      </c>
      <c r="AB23" s="116" t="str">
        <f aca="false">IF($B23="","",IF(الموظفون!$T23&lt;&gt;"",الموظفون!$T23,IF(AH23&gt;=cfg_LV_TH,cfg_LV_D2,cfg_LV_D1))/cfg_DAYS_Y*AJ23*الموظفون!$R23/cfg_DAYS_M)</f>
        <v/>
      </c>
      <c r="AC23" s="116" t="str">
        <f aca="false">IF($B23="","",IF(AND(الموظفون!$U23="نعم",N(الموظفون!$W23)&gt;0),الموظفون!$V23/الموظفون!$W23*12/cfg_DAYS_Y*AJ23,0))</f>
        <v/>
      </c>
      <c r="AD23" s="116" t="str">
        <f aca="false">IF($B23="","",(IF(الموظفون!$X23&lt;&gt;"",الموظفون!$X23,IF(الموظفون!$E23="غير سعودي",cfg_IQ,0))+IF(الموظفون!$Y23&lt;&gt;"",الموظفون!$Y23,IF(الموظفون!$E23="غير سعودي",cfg_WP,0)))/12*G23/cfg_DAYS_M)</f>
        <v/>
      </c>
      <c r="AE23" s="116" t="str">
        <f aca="false">IF($B23="","",IF(الموظفون!$Z23&lt;&gt;"",الموظفون!$Z23,cfg_MED)/12*G23/cfg_DAYS_M)</f>
        <v/>
      </c>
      <c r="AF23" s="116" t="str">
        <f aca="false">IF($B23="","",N(الموظفون!$AA23)/12*G23/cfg_DAYS_M)</f>
        <v/>
      </c>
      <c r="AG23" s="159" t="str">
        <f aca="false">IF($B23="","",T23+SUM(Z23:AF23))</f>
        <v/>
      </c>
      <c r="AH23" s="160" t="str">
        <f aca="false">IF($B23="","",MAX(0,IF(OR(الموظفون!$AE23="",الموظفون!$AE23&gt;$F$3),$F$3,الموظفون!$AE23)-الموظفون!$H23+1-SUMIFS('سجل الإجازات والحالات'!$AP$6:$AP$505,'سجل الإجازات والحالات'!$B$6:$B$505,$B23))/cfg_DAYS_Y)</f>
        <v/>
      </c>
      <c r="AI23" s="160" t="str">
        <f aca="false">IF($B23="","",MAX(0,IF(OR(الموظفون!$AE23="",الموظفون!$AE23&gt;($E$3-1)),($E$3-1),الموظفون!$AE23)-الموظفون!$H23+1-SUMIFS('سجل الإجازات والحالات'!$AO$6:$AO$505,'سجل الإجازات والحالات'!$B$6:$B$505,$B23))/cfg_DAYS_Y)</f>
        <v/>
      </c>
      <c r="AJ23" s="133" t="str">
        <f aca="false">IF($B23="","",MAX(0,AK23-(SUMIFS('سجل الإجازات والحالات'!$AP$6:$AP$505,'سجل الإجازات والحالات'!$B$6:$B$505,$B23)-SUMIFS('سجل الإجازات والحالات'!$AO$6:$AO$505,'سجل الإجازات والحالات'!$B$6:$B$505,$B23))))</f>
        <v/>
      </c>
      <c r="AK23" s="133" t="str">
        <f aca="false">IF($B23="","",MAX(0,IF(OR(الموظفون!$AE23="",الموظفون!$AE23&gt;$F$3),$F$3,الموظفون!$AE23)-MAX($E$3,الموظفون!$H23)+1))</f>
        <v/>
      </c>
      <c r="AL23" s="156" t="str">
        <f aca="false">IF($B23="","",SUMIFS('سجل الإجازات والحالات'!$BB$6:$BB$505,'سجل الإجازات والحالات'!$B$6:$B$505,$B23)+SUMIFS('الحركات الشهرية'!$K$6:$K$1005,'الحركات الشهرية'!$B$6:$B$1005,$B23,'الحركات الشهرية'!$A$6:$A$1005,$C$3))</f>
        <v/>
      </c>
      <c r="AM23" s="116" t="str">
        <f aca="false">IF($B23="","",AL23*الموظفون!$R23/cfg_DAYS_M+S23)</f>
        <v/>
      </c>
      <c r="AN23" s="156" t="str">
        <f aca="false">IF($B23="","",SUMIFS('سجل الإجازات والحالات'!$AD$6:$AD$505,'سجل الإجازات والحالات'!$B$6:$B$505,$B23))</f>
        <v/>
      </c>
    </row>
    <row r="24" customFormat="false" ht="15" hidden="false" customHeight="false" outlineLevel="0" collapsed="false">
      <c r="A24" s="106" t="str">
        <f aca="false">IF($B24="","",الموظفون!$A24)</f>
        <v/>
      </c>
      <c r="B24" s="114" t="str">
        <f aca="false">IF(الموظفون!$B24="","",الموظفون!$B24)</f>
        <v/>
      </c>
      <c r="C24" s="114" t="str">
        <f aca="false">IF($B24="","",الموظفون!$C24)</f>
        <v/>
      </c>
      <c r="D24" s="114" t="str">
        <f aca="false">IF($B24="","",الموظفون!$F24)</f>
        <v/>
      </c>
      <c r="E24" s="114" t="str">
        <f aca="false">IF($B24="","",الموظفون!$E24)</f>
        <v/>
      </c>
      <c r="F24" s="114" t="str">
        <f aca="false">IF($B24="","",IF(AK24=0,IF(AND(الموظفون!$AE24&lt;&gt;"",الموظفون!$AE24&lt;$E$3),"✖ منتهي الخدمة","⏳ لم يباشر"),IF(S24&gt;0,"✈ راتب إجازة مقدم",IF(J24=0,"⛔ بدون راتب هذا الشهر",IF(I24&gt;0,"✈ خصم "&amp;ROUND(I24,2)&amp;" يوم بدون أجر",IF(AL24&gt;0,"🌴 إجازة سنوية "&amp;ROUND(AL24,2)&amp;" يوم",IF(H24&gt;0,"⚠ غياب "&amp;ROUND(H24,2)&amp;" يوم","✔ على رأس العمل")))))))</f>
        <v/>
      </c>
      <c r="G24" s="151" t="str">
        <f aca="false">IF($B24="","",IF(AK24&gt;=DAY($F$3),cfg_DAYS_M,MIN(AK24,cfg_DAYS_M)))</f>
        <v/>
      </c>
      <c r="H24" s="151" t="str">
        <f aca="false">IF($B24="","",SUMIFS('الحركات الشهرية'!$D$6:$D$1005,'الحركات الشهرية'!$B$6:$B$1005,$B24,'الحركات الشهرية'!$A$6:$A$1005,$C$3))</f>
        <v/>
      </c>
      <c r="I24" s="151" t="str">
        <f aca="false">IF($B24="","",MIN(G24,IF(AND(AK24&gt;0,AN24&gt;=AK24),G24,AN24)+SUMIFS('الحركات الشهرية'!$E$6:$E$1005,'الحركات الشهرية'!$B$6:$B$1005,$B24,'الحركات الشهرية'!$A$6:$A$1005,$C$3)))</f>
        <v/>
      </c>
      <c r="J24" s="151" t="str">
        <f aca="false">IF($B24="","",MAX(0,G24-H24-I24))</f>
        <v/>
      </c>
      <c r="K24" s="111" t="str">
        <f aca="false">IF($B24="","",الموظفون!$L24*$J24/cfg_DAYS_M)</f>
        <v/>
      </c>
      <c r="L24" s="111" t="str">
        <f aca="false">IF($B24="","",الموظفون!$M24*$J24/cfg_DAYS_M)</f>
        <v/>
      </c>
      <c r="M24" s="111" t="str">
        <f aca="false">IF($B24="","",الموظفون!$N24*$J24/cfg_DAYS_M)</f>
        <v/>
      </c>
      <c r="N24" s="111" t="str">
        <f aca="false">IF($B24="","",الموظفون!$O24*$J24/cfg_DAYS_M)</f>
        <v/>
      </c>
      <c r="O24" s="151" t="str">
        <f aca="false">IF($B24="","",SUMIFS('الحركات الشهرية'!$F$6:$F$1005,'الحركات الشهرية'!$B$6:$B$1005,$B24,'الحركات الشهرية'!$A$6:$A$1005,$C$3))</f>
        <v/>
      </c>
      <c r="P24" s="111" t="str">
        <f aca="false">IF($B24="","",O24*(الموظفون!$P24+الموظفون!$L24*cfg_OT_P)/cfg_DAYS_M/cfg_HRS)</f>
        <v/>
      </c>
      <c r="Q24" s="111" t="str">
        <f aca="false">IF($B24="","",SUMIFS('الحركات الشهرية'!$G$6:$G$1005,'الحركات الشهرية'!$B$6:$B$1005,$B24,'الحركات الشهرية'!$A$6:$A$1005,$C$3))</f>
        <v/>
      </c>
      <c r="R24" s="111" t="str">
        <f aca="false">IF($B24="","",SUMIFS('الحركات الشهرية'!$H$6:$H$1005,'الحركات الشهرية'!$B$6:$B$1005,$B24,'الحركات الشهرية'!$A$6:$A$1005,$C$3))</f>
        <v/>
      </c>
      <c r="S24" s="111" t="str">
        <f aca="false">IF($B24="","",SUMIFS('سجل الإجازات والحالات'!$N$6:$N$505,'سجل الإجازات والحالات'!$B$6:$B$505,$B24,'سجل الإجازات والحالات'!$O$6:$O$505,$C$3))</f>
        <v/>
      </c>
      <c r="T24" s="152" t="str">
        <f aca="false">IF($B24="","",SUM(K24:N24)+SUM(P24:S24))</f>
        <v/>
      </c>
      <c r="U24" s="111" t="str">
        <f aca="false">IF($B24="","",الموظفون!$S24*IF(E24="سعودي",cfg_G_SE,cfg_G_NE)*G24/cfg_DAYS_M)</f>
        <v/>
      </c>
      <c r="V24" s="111" t="str">
        <f aca="false">IF($B24="","",SUMIFS('الحركات الشهرية'!$I$6:$I$1005,'الحركات الشهرية'!$B$6:$B$1005,$B24,'الحركات الشهرية'!$A$6:$A$1005,$C$3))</f>
        <v/>
      </c>
      <c r="W24" s="111" t="str">
        <f aca="false">IF($B24="","",SUMIFS('الحركات الشهرية'!$J$6:$J$1005,'الحركات الشهرية'!$B$6:$B$1005,$B24,'الحركات الشهرية'!$A$6:$A$1005,$C$3))</f>
        <v/>
      </c>
      <c r="X24" s="111" t="str">
        <f aca="false">IF($B24="","",SUM(U24:W24))</f>
        <v/>
      </c>
      <c r="Y24" s="153" t="str">
        <f aca="false">IF($B24="","",T24-X24)</f>
        <v/>
      </c>
      <c r="Z24" s="111" t="str">
        <f aca="false">IF($B24="","",الموظفون!$S24*IF(E24="سعودي",cfg_G_SR,cfg_G_NR)*G24/cfg_DAYS_M)</f>
        <v/>
      </c>
      <c r="AA24" s="111" t="str">
        <f aca="false">IF($B24="","",الموظفون!$Q24*(cfg_EOS_R1*(MIN(AH24,cfg_EOS_TH)-MIN(AI24,cfg_EOS_TH))+cfg_EOS_R2*(MAX(AH24-cfg_EOS_TH,0)-MAX(AI24-cfg_EOS_TH,0))))</f>
        <v/>
      </c>
      <c r="AB24" s="111" t="str">
        <f aca="false">IF($B24="","",IF(الموظفون!$T24&lt;&gt;"",الموظفون!$T24,IF(AH24&gt;=cfg_LV_TH,cfg_LV_D2,cfg_LV_D1))/cfg_DAYS_Y*AJ24*الموظفون!$R24/cfg_DAYS_M)</f>
        <v/>
      </c>
      <c r="AC24" s="111" t="str">
        <f aca="false">IF($B24="","",IF(AND(الموظفون!$U24="نعم",N(الموظفون!$W24)&gt;0),الموظفون!$V24/الموظفون!$W24*12/cfg_DAYS_Y*AJ24,0))</f>
        <v/>
      </c>
      <c r="AD24" s="111" t="str">
        <f aca="false">IF($B24="","",(IF(الموظفون!$X24&lt;&gt;"",الموظفون!$X24,IF(الموظفون!$E24="غير سعودي",cfg_IQ,0))+IF(الموظفون!$Y24&lt;&gt;"",الموظفون!$Y24,IF(الموظفون!$E24="غير سعودي",cfg_WP,0)))/12*G24/cfg_DAYS_M)</f>
        <v/>
      </c>
      <c r="AE24" s="111" t="str">
        <f aca="false">IF($B24="","",IF(الموظفون!$Z24&lt;&gt;"",الموظفون!$Z24,cfg_MED)/12*G24/cfg_DAYS_M)</f>
        <v/>
      </c>
      <c r="AF24" s="111" t="str">
        <f aca="false">IF($B24="","",N(الموظفون!$AA24)/12*G24/cfg_DAYS_M)</f>
        <v/>
      </c>
      <c r="AG24" s="154" t="str">
        <f aca="false">IF($B24="","",T24+SUM(Z24:AF24))</f>
        <v/>
      </c>
      <c r="AH24" s="155" t="str">
        <f aca="false">IF($B24="","",MAX(0,IF(OR(الموظفون!$AE24="",الموظفون!$AE24&gt;$F$3),$F$3,الموظفون!$AE24)-الموظفون!$H24+1-SUMIFS('سجل الإجازات والحالات'!$AP$6:$AP$505,'سجل الإجازات والحالات'!$B$6:$B$505,$B24))/cfg_DAYS_Y)</f>
        <v/>
      </c>
      <c r="AI24" s="155" t="str">
        <f aca="false">IF($B24="","",MAX(0,IF(OR(الموظفون!$AE24="",الموظفون!$AE24&gt;($E$3-1)),($E$3-1),الموظفون!$AE24)-الموظفون!$H24+1-SUMIFS('سجل الإجازات والحالات'!$AO$6:$AO$505,'سجل الإجازات والحالات'!$B$6:$B$505,$B24))/cfg_DAYS_Y)</f>
        <v/>
      </c>
      <c r="AJ24" s="65" t="str">
        <f aca="false">IF($B24="","",MAX(0,AK24-(SUMIFS('سجل الإجازات والحالات'!$AP$6:$AP$505,'سجل الإجازات والحالات'!$B$6:$B$505,$B24)-SUMIFS('سجل الإجازات والحالات'!$AO$6:$AO$505,'سجل الإجازات والحالات'!$B$6:$B$505,$B24))))</f>
        <v/>
      </c>
      <c r="AK24" s="65" t="str">
        <f aca="false">IF($B24="","",MAX(0,IF(OR(الموظفون!$AE24="",الموظفون!$AE24&gt;$F$3),$F$3,الموظفون!$AE24)-MAX($E$3,الموظفون!$H24)+1))</f>
        <v/>
      </c>
      <c r="AL24" s="151" t="str">
        <f aca="false">IF($B24="","",SUMIFS('سجل الإجازات والحالات'!$BB$6:$BB$505,'سجل الإجازات والحالات'!$B$6:$B$505,$B24)+SUMIFS('الحركات الشهرية'!$K$6:$K$1005,'الحركات الشهرية'!$B$6:$B$1005,$B24,'الحركات الشهرية'!$A$6:$A$1005,$C$3))</f>
        <v/>
      </c>
      <c r="AM24" s="111" t="str">
        <f aca="false">IF($B24="","",AL24*الموظفون!$R24/cfg_DAYS_M+S24)</f>
        <v/>
      </c>
      <c r="AN24" s="151" t="str">
        <f aca="false">IF($B24="","",SUMIFS('سجل الإجازات والحالات'!$AD$6:$AD$505,'سجل الإجازات والحالات'!$B$6:$B$505,$B24))</f>
        <v/>
      </c>
    </row>
    <row r="25" customFormat="false" ht="15" hidden="false" customHeight="false" outlineLevel="0" collapsed="false">
      <c r="A25" s="115" t="str">
        <f aca="false">IF($B25="","",الموظفون!$A25)</f>
        <v/>
      </c>
      <c r="B25" s="117" t="str">
        <f aca="false">IF(الموظفون!$B25="","",الموظفون!$B25)</f>
        <v/>
      </c>
      <c r="C25" s="117" t="str">
        <f aca="false">IF($B25="","",الموظفون!$C25)</f>
        <v/>
      </c>
      <c r="D25" s="117" t="str">
        <f aca="false">IF($B25="","",الموظفون!$F25)</f>
        <v/>
      </c>
      <c r="E25" s="117" t="str">
        <f aca="false">IF($B25="","",الموظفون!$E25)</f>
        <v/>
      </c>
      <c r="F25" s="117" t="str">
        <f aca="false">IF($B25="","",IF(AK25=0,IF(AND(الموظفون!$AE25&lt;&gt;"",الموظفون!$AE25&lt;$E$3),"✖ منتهي الخدمة","⏳ لم يباشر"),IF(S25&gt;0,"✈ راتب إجازة مقدم",IF(J25=0,"⛔ بدون راتب هذا الشهر",IF(I25&gt;0,"✈ خصم "&amp;ROUND(I25,2)&amp;" يوم بدون أجر",IF(AL25&gt;0,"🌴 إجازة سنوية "&amp;ROUND(AL25,2)&amp;" يوم",IF(H25&gt;0,"⚠ غياب "&amp;ROUND(H25,2)&amp;" يوم","✔ على رأس العمل")))))))</f>
        <v/>
      </c>
      <c r="G25" s="156" t="str">
        <f aca="false">IF($B25="","",IF(AK25&gt;=DAY($F$3),cfg_DAYS_M,MIN(AK25,cfg_DAYS_M)))</f>
        <v/>
      </c>
      <c r="H25" s="156" t="str">
        <f aca="false">IF($B25="","",SUMIFS('الحركات الشهرية'!$D$6:$D$1005,'الحركات الشهرية'!$B$6:$B$1005,$B25,'الحركات الشهرية'!$A$6:$A$1005,$C$3))</f>
        <v/>
      </c>
      <c r="I25" s="156" t="str">
        <f aca="false">IF($B25="","",MIN(G25,IF(AND(AK25&gt;0,AN25&gt;=AK25),G25,AN25)+SUMIFS('الحركات الشهرية'!$E$6:$E$1005,'الحركات الشهرية'!$B$6:$B$1005,$B25,'الحركات الشهرية'!$A$6:$A$1005,$C$3)))</f>
        <v/>
      </c>
      <c r="J25" s="156" t="str">
        <f aca="false">IF($B25="","",MAX(0,G25-H25-I25))</f>
        <v/>
      </c>
      <c r="K25" s="116" t="str">
        <f aca="false">IF($B25="","",الموظفون!$L25*$J25/cfg_DAYS_M)</f>
        <v/>
      </c>
      <c r="L25" s="116" t="str">
        <f aca="false">IF($B25="","",الموظفون!$M25*$J25/cfg_DAYS_M)</f>
        <v/>
      </c>
      <c r="M25" s="116" t="str">
        <f aca="false">IF($B25="","",الموظفون!$N25*$J25/cfg_DAYS_M)</f>
        <v/>
      </c>
      <c r="N25" s="116" t="str">
        <f aca="false">IF($B25="","",الموظفون!$O25*$J25/cfg_DAYS_M)</f>
        <v/>
      </c>
      <c r="O25" s="156" t="str">
        <f aca="false">IF($B25="","",SUMIFS('الحركات الشهرية'!$F$6:$F$1005,'الحركات الشهرية'!$B$6:$B$1005,$B25,'الحركات الشهرية'!$A$6:$A$1005,$C$3))</f>
        <v/>
      </c>
      <c r="P25" s="116" t="str">
        <f aca="false">IF($B25="","",O25*(الموظفون!$P25+الموظفون!$L25*cfg_OT_P)/cfg_DAYS_M/cfg_HRS)</f>
        <v/>
      </c>
      <c r="Q25" s="116" t="str">
        <f aca="false">IF($B25="","",SUMIFS('الحركات الشهرية'!$G$6:$G$1005,'الحركات الشهرية'!$B$6:$B$1005,$B25,'الحركات الشهرية'!$A$6:$A$1005,$C$3))</f>
        <v/>
      </c>
      <c r="R25" s="116" t="str">
        <f aca="false">IF($B25="","",SUMIFS('الحركات الشهرية'!$H$6:$H$1005,'الحركات الشهرية'!$B$6:$B$1005,$B25,'الحركات الشهرية'!$A$6:$A$1005,$C$3))</f>
        <v/>
      </c>
      <c r="S25" s="116" t="str">
        <f aca="false">IF($B25="","",SUMIFS('سجل الإجازات والحالات'!$N$6:$N$505,'سجل الإجازات والحالات'!$B$6:$B$505,$B25,'سجل الإجازات والحالات'!$O$6:$O$505,$C$3))</f>
        <v/>
      </c>
      <c r="T25" s="157" t="str">
        <f aca="false">IF($B25="","",SUM(K25:N25)+SUM(P25:S25))</f>
        <v/>
      </c>
      <c r="U25" s="116" t="str">
        <f aca="false">IF($B25="","",الموظفون!$S25*IF(E25="سعودي",cfg_G_SE,cfg_G_NE)*G25/cfg_DAYS_M)</f>
        <v/>
      </c>
      <c r="V25" s="116" t="str">
        <f aca="false">IF($B25="","",SUMIFS('الحركات الشهرية'!$I$6:$I$1005,'الحركات الشهرية'!$B$6:$B$1005,$B25,'الحركات الشهرية'!$A$6:$A$1005,$C$3))</f>
        <v/>
      </c>
      <c r="W25" s="116" t="str">
        <f aca="false">IF($B25="","",SUMIFS('الحركات الشهرية'!$J$6:$J$1005,'الحركات الشهرية'!$B$6:$B$1005,$B25,'الحركات الشهرية'!$A$6:$A$1005,$C$3))</f>
        <v/>
      </c>
      <c r="X25" s="116" t="str">
        <f aca="false">IF($B25="","",SUM(U25:W25))</f>
        <v/>
      </c>
      <c r="Y25" s="158" t="str">
        <f aca="false">IF($B25="","",T25-X25)</f>
        <v/>
      </c>
      <c r="Z25" s="116" t="str">
        <f aca="false">IF($B25="","",الموظفون!$S25*IF(E25="سعودي",cfg_G_SR,cfg_G_NR)*G25/cfg_DAYS_M)</f>
        <v/>
      </c>
      <c r="AA25" s="116" t="str">
        <f aca="false">IF($B25="","",الموظفون!$Q25*(cfg_EOS_R1*(MIN(AH25,cfg_EOS_TH)-MIN(AI25,cfg_EOS_TH))+cfg_EOS_R2*(MAX(AH25-cfg_EOS_TH,0)-MAX(AI25-cfg_EOS_TH,0))))</f>
        <v/>
      </c>
      <c r="AB25" s="116" t="str">
        <f aca="false">IF($B25="","",IF(الموظفون!$T25&lt;&gt;"",الموظفون!$T25,IF(AH25&gt;=cfg_LV_TH,cfg_LV_D2,cfg_LV_D1))/cfg_DAYS_Y*AJ25*الموظفون!$R25/cfg_DAYS_M)</f>
        <v/>
      </c>
      <c r="AC25" s="116" t="str">
        <f aca="false">IF($B25="","",IF(AND(الموظفون!$U25="نعم",N(الموظفون!$W25)&gt;0),الموظفون!$V25/الموظفون!$W25*12/cfg_DAYS_Y*AJ25,0))</f>
        <v/>
      </c>
      <c r="AD25" s="116" t="str">
        <f aca="false">IF($B25="","",(IF(الموظفون!$X25&lt;&gt;"",الموظفون!$X25,IF(الموظفون!$E25="غير سعودي",cfg_IQ,0))+IF(الموظفون!$Y25&lt;&gt;"",الموظفون!$Y25,IF(الموظفون!$E25="غير سعودي",cfg_WP,0)))/12*G25/cfg_DAYS_M)</f>
        <v/>
      </c>
      <c r="AE25" s="116" t="str">
        <f aca="false">IF($B25="","",IF(الموظفون!$Z25&lt;&gt;"",الموظفون!$Z25,cfg_MED)/12*G25/cfg_DAYS_M)</f>
        <v/>
      </c>
      <c r="AF25" s="116" t="str">
        <f aca="false">IF($B25="","",N(الموظفون!$AA25)/12*G25/cfg_DAYS_M)</f>
        <v/>
      </c>
      <c r="AG25" s="159" t="str">
        <f aca="false">IF($B25="","",T25+SUM(Z25:AF25))</f>
        <v/>
      </c>
      <c r="AH25" s="160" t="str">
        <f aca="false">IF($B25="","",MAX(0,IF(OR(الموظفون!$AE25="",الموظفون!$AE25&gt;$F$3),$F$3,الموظفون!$AE25)-الموظفون!$H25+1-SUMIFS('سجل الإجازات والحالات'!$AP$6:$AP$505,'سجل الإجازات والحالات'!$B$6:$B$505,$B25))/cfg_DAYS_Y)</f>
        <v/>
      </c>
      <c r="AI25" s="160" t="str">
        <f aca="false">IF($B25="","",MAX(0,IF(OR(الموظفون!$AE25="",الموظفون!$AE25&gt;($E$3-1)),($E$3-1),الموظفون!$AE25)-الموظفون!$H25+1-SUMIFS('سجل الإجازات والحالات'!$AO$6:$AO$505,'سجل الإجازات والحالات'!$B$6:$B$505,$B25))/cfg_DAYS_Y)</f>
        <v/>
      </c>
      <c r="AJ25" s="133" t="str">
        <f aca="false">IF($B25="","",MAX(0,AK25-(SUMIFS('سجل الإجازات والحالات'!$AP$6:$AP$505,'سجل الإجازات والحالات'!$B$6:$B$505,$B25)-SUMIFS('سجل الإجازات والحالات'!$AO$6:$AO$505,'سجل الإجازات والحالات'!$B$6:$B$505,$B25))))</f>
        <v/>
      </c>
      <c r="AK25" s="133" t="str">
        <f aca="false">IF($B25="","",MAX(0,IF(OR(الموظفون!$AE25="",الموظفون!$AE25&gt;$F$3),$F$3,الموظفون!$AE25)-MAX($E$3,الموظفون!$H25)+1))</f>
        <v/>
      </c>
      <c r="AL25" s="156" t="str">
        <f aca="false">IF($B25="","",SUMIFS('سجل الإجازات والحالات'!$BB$6:$BB$505,'سجل الإجازات والحالات'!$B$6:$B$505,$B25)+SUMIFS('الحركات الشهرية'!$K$6:$K$1005,'الحركات الشهرية'!$B$6:$B$1005,$B25,'الحركات الشهرية'!$A$6:$A$1005,$C$3))</f>
        <v/>
      </c>
      <c r="AM25" s="116" t="str">
        <f aca="false">IF($B25="","",AL25*الموظفون!$R25/cfg_DAYS_M+S25)</f>
        <v/>
      </c>
      <c r="AN25" s="156" t="str">
        <f aca="false">IF($B25="","",SUMIFS('سجل الإجازات والحالات'!$AD$6:$AD$505,'سجل الإجازات والحالات'!$B$6:$B$505,$B25))</f>
        <v/>
      </c>
    </row>
    <row r="26" customFormat="false" ht="15" hidden="false" customHeight="false" outlineLevel="0" collapsed="false">
      <c r="A26" s="106" t="str">
        <f aca="false">IF($B26="","",الموظفون!$A26)</f>
        <v/>
      </c>
      <c r="B26" s="114" t="str">
        <f aca="false">IF(الموظفون!$B26="","",الموظفون!$B26)</f>
        <v/>
      </c>
      <c r="C26" s="114" t="str">
        <f aca="false">IF($B26="","",الموظفون!$C26)</f>
        <v/>
      </c>
      <c r="D26" s="114" t="str">
        <f aca="false">IF($B26="","",الموظفون!$F26)</f>
        <v/>
      </c>
      <c r="E26" s="114" t="str">
        <f aca="false">IF($B26="","",الموظفون!$E26)</f>
        <v/>
      </c>
      <c r="F26" s="114" t="str">
        <f aca="false">IF($B26="","",IF(AK26=0,IF(AND(الموظفون!$AE26&lt;&gt;"",الموظفون!$AE26&lt;$E$3),"✖ منتهي الخدمة","⏳ لم يباشر"),IF(S26&gt;0,"✈ راتب إجازة مقدم",IF(J26=0,"⛔ بدون راتب هذا الشهر",IF(I26&gt;0,"✈ خصم "&amp;ROUND(I26,2)&amp;" يوم بدون أجر",IF(AL26&gt;0,"🌴 إجازة سنوية "&amp;ROUND(AL26,2)&amp;" يوم",IF(H26&gt;0,"⚠ غياب "&amp;ROUND(H26,2)&amp;" يوم","✔ على رأس العمل")))))))</f>
        <v/>
      </c>
      <c r="G26" s="151" t="str">
        <f aca="false">IF($B26="","",IF(AK26&gt;=DAY($F$3),cfg_DAYS_M,MIN(AK26,cfg_DAYS_M)))</f>
        <v/>
      </c>
      <c r="H26" s="151" t="str">
        <f aca="false">IF($B26="","",SUMIFS('الحركات الشهرية'!$D$6:$D$1005,'الحركات الشهرية'!$B$6:$B$1005,$B26,'الحركات الشهرية'!$A$6:$A$1005,$C$3))</f>
        <v/>
      </c>
      <c r="I26" s="151" t="str">
        <f aca="false">IF($B26="","",MIN(G26,IF(AND(AK26&gt;0,AN26&gt;=AK26),G26,AN26)+SUMIFS('الحركات الشهرية'!$E$6:$E$1005,'الحركات الشهرية'!$B$6:$B$1005,$B26,'الحركات الشهرية'!$A$6:$A$1005,$C$3)))</f>
        <v/>
      </c>
      <c r="J26" s="151" t="str">
        <f aca="false">IF($B26="","",MAX(0,G26-H26-I26))</f>
        <v/>
      </c>
      <c r="K26" s="111" t="str">
        <f aca="false">IF($B26="","",الموظفون!$L26*$J26/cfg_DAYS_M)</f>
        <v/>
      </c>
      <c r="L26" s="111" t="str">
        <f aca="false">IF($B26="","",الموظفون!$M26*$J26/cfg_DAYS_M)</f>
        <v/>
      </c>
      <c r="M26" s="111" t="str">
        <f aca="false">IF($B26="","",الموظفون!$N26*$J26/cfg_DAYS_M)</f>
        <v/>
      </c>
      <c r="N26" s="111" t="str">
        <f aca="false">IF($B26="","",الموظفون!$O26*$J26/cfg_DAYS_M)</f>
        <v/>
      </c>
      <c r="O26" s="151" t="str">
        <f aca="false">IF($B26="","",SUMIFS('الحركات الشهرية'!$F$6:$F$1005,'الحركات الشهرية'!$B$6:$B$1005,$B26,'الحركات الشهرية'!$A$6:$A$1005,$C$3))</f>
        <v/>
      </c>
      <c r="P26" s="111" t="str">
        <f aca="false">IF($B26="","",O26*(الموظفون!$P26+الموظفون!$L26*cfg_OT_P)/cfg_DAYS_M/cfg_HRS)</f>
        <v/>
      </c>
      <c r="Q26" s="111" t="str">
        <f aca="false">IF($B26="","",SUMIFS('الحركات الشهرية'!$G$6:$G$1005,'الحركات الشهرية'!$B$6:$B$1005,$B26,'الحركات الشهرية'!$A$6:$A$1005,$C$3))</f>
        <v/>
      </c>
      <c r="R26" s="111" t="str">
        <f aca="false">IF($B26="","",SUMIFS('الحركات الشهرية'!$H$6:$H$1005,'الحركات الشهرية'!$B$6:$B$1005,$B26,'الحركات الشهرية'!$A$6:$A$1005,$C$3))</f>
        <v/>
      </c>
      <c r="S26" s="111" t="str">
        <f aca="false">IF($B26="","",SUMIFS('سجل الإجازات والحالات'!$N$6:$N$505,'سجل الإجازات والحالات'!$B$6:$B$505,$B26,'سجل الإجازات والحالات'!$O$6:$O$505,$C$3))</f>
        <v/>
      </c>
      <c r="T26" s="152" t="str">
        <f aca="false">IF($B26="","",SUM(K26:N26)+SUM(P26:S26))</f>
        <v/>
      </c>
      <c r="U26" s="111" t="str">
        <f aca="false">IF($B26="","",الموظفون!$S26*IF(E26="سعودي",cfg_G_SE,cfg_G_NE)*G26/cfg_DAYS_M)</f>
        <v/>
      </c>
      <c r="V26" s="111" t="str">
        <f aca="false">IF($B26="","",SUMIFS('الحركات الشهرية'!$I$6:$I$1005,'الحركات الشهرية'!$B$6:$B$1005,$B26,'الحركات الشهرية'!$A$6:$A$1005,$C$3))</f>
        <v/>
      </c>
      <c r="W26" s="111" t="str">
        <f aca="false">IF($B26="","",SUMIFS('الحركات الشهرية'!$J$6:$J$1005,'الحركات الشهرية'!$B$6:$B$1005,$B26,'الحركات الشهرية'!$A$6:$A$1005,$C$3))</f>
        <v/>
      </c>
      <c r="X26" s="111" t="str">
        <f aca="false">IF($B26="","",SUM(U26:W26))</f>
        <v/>
      </c>
      <c r="Y26" s="153" t="str">
        <f aca="false">IF($B26="","",T26-X26)</f>
        <v/>
      </c>
      <c r="Z26" s="111" t="str">
        <f aca="false">IF($B26="","",الموظفون!$S26*IF(E26="سعودي",cfg_G_SR,cfg_G_NR)*G26/cfg_DAYS_M)</f>
        <v/>
      </c>
      <c r="AA26" s="111" t="str">
        <f aca="false">IF($B26="","",الموظفون!$Q26*(cfg_EOS_R1*(MIN(AH26,cfg_EOS_TH)-MIN(AI26,cfg_EOS_TH))+cfg_EOS_R2*(MAX(AH26-cfg_EOS_TH,0)-MAX(AI26-cfg_EOS_TH,0))))</f>
        <v/>
      </c>
      <c r="AB26" s="111" t="str">
        <f aca="false">IF($B26="","",IF(الموظفون!$T26&lt;&gt;"",الموظفون!$T26,IF(AH26&gt;=cfg_LV_TH,cfg_LV_D2,cfg_LV_D1))/cfg_DAYS_Y*AJ26*الموظفون!$R26/cfg_DAYS_M)</f>
        <v/>
      </c>
      <c r="AC26" s="111" t="str">
        <f aca="false">IF($B26="","",IF(AND(الموظفون!$U26="نعم",N(الموظفون!$W26)&gt;0),الموظفون!$V26/الموظفون!$W26*12/cfg_DAYS_Y*AJ26,0))</f>
        <v/>
      </c>
      <c r="AD26" s="111" t="str">
        <f aca="false">IF($B26="","",(IF(الموظفون!$X26&lt;&gt;"",الموظفون!$X26,IF(الموظفون!$E26="غير سعودي",cfg_IQ,0))+IF(الموظفون!$Y26&lt;&gt;"",الموظفون!$Y26,IF(الموظفون!$E26="غير سعودي",cfg_WP,0)))/12*G26/cfg_DAYS_M)</f>
        <v/>
      </c>
      <c r="AE26" s="111" t="str">
        <f aca="false">IF($B26="","",IF(الموظفون!$Z26&lt;&gt;"",الموظفون!$Z26,cfg_MED)/12*G26/cfg_DAYS_M)</f>
        <v/>
      </c>
      <c r="AF26" s="111" t="str">
        <f aca="false">IF($B26="","",N(الموظفون!$AA26)/12*G26/cfg_DAYS_M)</f>
        <v/>
      </c>
      <c r="AG26" s="154" t="str">
        <f aca="false">IF($B26="","",T26+SUM(Z26:AF26))</f>
        <v/>
      </c>
      <c r="AH26" s="155" t="str">
        <f aca="false">IF($B26="","",MAX(0,IF(OR(الموظفون!$AE26="",الموظفون!$AE26&gt;$F$3),$F$3,الموظفون!$AE26)-الموظفون!$H26+1-SUMIFS('سجل الإجازات والحالات'!$AP$6:$AP$505,'سجل الإجازات والحالات'!$B$6:$B$505,$B26))/cfg_DAYS_Y)</f>
        <v/>
      </c>
      <c r="AI26" s="155" t="str">
        <f aca="false">IF($B26="","",MAX(0,IF(OR(الموظفون!$AE26="",الموظفون!$AE26&gt;($E$3-1)),($E$3-1),الموظفون!$AE26)-الموظفون!$H26+1-SUMIFS('سجل الإجازات والحالات'!$AO$6:$AO$505,'سجل الإجازات والحالات'!$B$6:$B$505,$B26))/cfg_DAYS_Y)</f>
        <v/>
      </c>
      <c r="AJ26" s="65" t="str">
        <f aca="false">IF($B26="","",MAX(0,AK26-(SUMIFS('سجل الإجازات والحالات'!$AP$6:$AP$505,'سجل الإجازات والحالات'!$B$6:$B$505,$B26)-SUMIFS('سجل الإجازات والحالات'!$AO$6:$AO$505,'سجل الإجازات والحالات'!$B$6:$B$505,$B26))))</f>
        <v/>
      </c>
      <c r="AK26" s="65" t="str">
        <f aca="false">IF($B26="","",MAX(0,IF(OR(الموظفون!$AE26="",الموظفون!$AE26&gt;$F$3),$F$3,الموظفون!$AE26)-MAX($E$3,الموظفون!$H26)+1))</f>
        <v/>
      </c>
      <c r="AL26" s="151" t="str">
        <f aca="false">IF($B26="","",SUMIFS('سجل الإجازات والحالات'!$BB$6:$BB$505,'سجل الإجازات والحالات'!$B$6:$B$505,$B26)+SUMIFS('الحركات الشهرية'!$K$6:$K$1005,'الحركات الشهرية'!$B$6:$B$1005,$B26,'الحركات الشهرية'!$A$6:$A$1005,$C$3))</f>
        <v/>
      </c>
      <c r="AM26" s="111" t="str">
        <f aca="false">IF($B26="","",AL26*الموظفون!$R26/cfg_DAYS_M+S26)</f>
        <v/>
      </c>
      <c r="AN26" s="151" t="str">
        <f aca="false">IF($B26="","",SUMIFS('سجل الإجازات والحالات'!$AD$6:$AD$505,'سجل الإجازات والحالات'!$B$6:$B$505,$B26))</f>
        <v/>
      </c>
    </row>
    <row r="27" customFormat="false" ht="15" hidden="false" customHeight="false" outlineLevel="0" collapsed="false">
      <c r="A27" s="115" t="str">
        <f aca="false">IF($B27="","",الموظفون!$A27)</f>
        <v/>
      </c>
      <c r="B27" s="117" t="str">
        <f aca="false">IF(الموظفون!$B27="","",الموظفون!$B27)</f>
        <v/>
      </c>
      <c r="C27" s="117" t="str">
        <f aca="false">IF($B27="","",الموظفون!$C27)</f>
        <v/>
      </c>
      <c r="D27" s="117" t="str">
        <f aca="false">IF($B27="","",الموظفون!$F27)</f>
        <v/>
      </c>
      <c r="E27" s="117" t="str">
        <f aca="false">IF($B27="","",الموظفون!$E27)</f>
        <v/>
      </c>
      <c r="F27" s="117" t="str">
        <f aca="false">IF($B27="","",IF(AK27=0,IF(AND(الموظفون!$AE27&lt;&gt;"",الموظفون!$AE27&lt;$E$3),"✖ منتهي الخدمة","⏳ لم يباشر"),IF(S27&gt;0,"✈ راتب إجازة مقدم",IF(J27=0,"⛔ بدون راتب هذا الشهر",IF(I27&gt;0,"✈ خصم "&amp;ROUND(I27,2)&amp;" يوم بدون أجر",IF(AL27&gt;0,"🌴 إجازة سنوية "&amp;ROUND(AL27,2)&amp;" يوم",IF(H27&gt;0,"⚠ غياب "&amp;ROUND(H27,2)&amp;" يوم","✔ على رأس العمل")))))))</f>
        <v/>
      </c>
      <c r="G27" s="156" t="str">
        <f aca="false">IF($B27="","",IF(AK27&gt;=DAY($F$3),cfg_DAYS_M,MIN(AK27,cfg_DAYS_M)))</f>
        <v/>
      </c>
      <c r="H27" s="156" t="str">
        <f aca="false">IF($B27="","",SUMIFS('الحركات الشهرية'!$D$6:$D$1005,'الحركات الشهرية'!$B$6:$B$1005,$B27,'الحركات الشهرية'!$A$6:$A$1005,$C$3))</f>
        <v/>
      </c>
      <c r="I27" s="156" t="str">
        <f aca="false">IF($B27="","",MIN(G27,IF(AND(AK27&gt;0,AN27&gt;=AK27),G27,AN27)+SUMIFS('الحركات الشهرية'!$E$6:$E$1005,'الحركات الشهرية'!$B$6:$B$1005,$B27,'الحركات الشهرية'!$A$6:$A$1005,$C$3)))</f>
        <v/>
      </c>
      <c r="J27" s="156" t="str">
        <f aca="false">IF($B27="","",MAX(0,G27-H27-I27))</f>
        <v/>
      </c>
      <c r="K27" s="116" t="str">
        <f aca="false">IF($B27="","",الموظفون!$L27*$J27/cfg_DAYS_M)</f>
        <v/>
      </c>
      <c r="L27" s="116" t="str">
        <f aca="false">IF($B27="","",الموظفون!$M27*$J27/cfg_DAYS_M)</f>
        <v/>
      </c>
      <c r="M27" s="116" t="str">
        <f aca="false">IF($B27="","",الموظفون!$N27*$J27/cfg_DAYS_M)</f>
        <v/>
      </c>
      <c r="N27" s="116" t="str">
        <f aca="false">IF($B27="","",الموظفون!$O27*$J27/cfg_DAYS_M)</f>
        <v/>
      </c>
      <c r="O27" s="156" t="str">
        <f aca="false">IF($B27="","",SUMIFS('الحركات الشهرية'!$F$6:$F$1005,'الحركات الشهرية'!$B$6:$B$1005,$B27,'الحركات الشهرية'!$A$6:$A$1005,$C$3))</f>
        <v/>
      </c>
      <c r="P27" s="116" t="str">
        <f aca="false">IF($B27="","",O27*(الموظفون!$P27+الموظفون!$L27*cfg_OT_P)/cfg_DAYS_M/cfg_HRS)</f>
        <v/>
      </c>
      <c r="Q27" s="116" t="str">
        <f aca="false">IF($B27="","",SUMIFS('الحركات الشهرية'!$G$6:$G$1005,'الحركات الشهرية'!$B$6:$B$1005,$B27,'الحركات الشهرية'!$A$6:$A$1005,$C$3))</f>
        <v/>
      </c>
      <c r="R27" s="116" t="str">
        <f aca="false">IF($B27="","",SUMIFS('الحركات الشهرية'!$H$6:$H$1005,'الحركات الشهرية'!$B$6:$B$1005,$B27,'الحركات الشهرية'!$A$6:$A$1005,$C$3))</f>
        <v/>
      </c>
      <c r="S27" s="116" t="str">
        <f aca="false">IF($B27="","",SUMIFS('سجل الإجازات والحالات'!$N$6:$N$505,'سجل الإجازات والحالات'!$B$6:$B$505,$B27,'سجل الإجازات والحالات'!$O$6:$O$505,$C$3))</f>
        <v/>
      </c>
      <c r="T27" s="157" t="str">
        <f aca="false">IF($B27="","",SUM(K27:N27)+SUM(P27:S27))</f>
        <v/>
      </c>
      <c r="U27" s="116" t="str">
        <f aca="false">IF($B27="","",الموظفون!$S27*IF(E27="سعودي",cfg_G_SE,cfg_G_NE)*G27/cfg_DAYS_M)</f>
        <v/>
      </c>
      <c r="V27" s="116" t="str">
        <f aca="false">IF($B27="","",SUMIFS('الحركات الشهرية'!$I$6:$I$1005,'الحركات الشهرية'!$B$6:$B$1005,$B27,'الحركات الشهرية'!$A$6:$A$1005,$C$3))</f>
        <v/>
      </c>
      <c r="W27" s="116" t="str">
        <f aca="false">IF($B27="","",SUMIFS('الحركات الشهرية'!$J$6:$J$1005,'الحركات الشهرية'!$B$6:$B$1005,$B27,'الحركات الشهرية'!$A$6:$A$1005,$C$3))</f>
        <v/>
      </c>
      <c r="X27" s="116" t="str">
        <f aca="false">IF($B27="","",SUM(U27:W27))</f>
        <v/>
      </c>
      <c r="Y27" s="158" t="str">
        <f aca="false">IF($B27="","",T27-X27)</f>
        <v/>
      </c>
      <c r="Z27" s="116" t="str">
        <f aca="false">IF($B27="","",الموظفون!$S27*IF(E27="سعودي",cfg_G_SR,cfg_G_NR)*G27/cfg_DAYS_M)</f>
        <v/>
      </c>
      <c r="AA27" s="116" t="str">
        <f aca="false">IF($B27="","",الموظفون!$Q27*(cfg_EOS_R1*(MIN(AH27,cfg_EOS_TH)-MIN(AI27,cfg_EOS_TH))+cfg_EOS_R2*(MAX(AH27-cfg_EOS_TH,0)-MAX(AI27-cfg_EOS_TH,0))))</f>
        <v/>
      </c>
      <c r="AB27" s="116" t="str">
        <f aca="false">IF($B27="","",IF(الموظفون!$T27&lt;&gt;"",الموظفون!$T27,IF(AH27&gt;=cfg_LV_TH,cfg_LV_D2,cfg_LV_D1))/cfg_DAYS_Y*AJ27*الموظفون!$R27/cfg_DAYS_M)</f>
        <v/>
      </c>
      <c r="AC27" s="116" t="str">
        <f aca="false">IF($B27="","",IF(AND(الموظفون!$U27="نعم",N(الموظفون!$W27)&gt;0),الموظفون!$V27/الموظفون!$W27*12/cfg_DAYS_Y*AJ27,0))</f>
        <v/>
      </c>
      <c r="AD27" s="116" t="str">
        <f aca="false">IF($B27="","",(IF(الموظفون!$X27&lt;&gt;"",الموظفون!$X27,IF(الموظفون!$E27="غير سعودي",cfg_IQ,0))+IF(الموظفون!$Y27&lt;&gt;"",الموظفون!$Y27,IF(الموظفون!$E27="غير سعودي",cfg_WP,0)))/12*G27/cfg_DAYS_M)</f>
        <v/>
      </c>
      <c r="AE27" s="116" t="str">
        <f aca="false">IF($B27="","",IF(الموظفون!$Z27&lt;&gt;"",الموظفون!$Z27,cfg_MED)/12*G27/cfg_DAYS_M)</f>
        <v/>
      </c>
      <c r="AF27" s="116" t="str">
        <f aca="false">IF($B27="","",N(الموظفون!$AA27)/12*G27/cfg_DAYS_M)</f>
        <v/>
      </c>
      <c r="AG27" s="159" t="str">
        <f aca="false">IF($B27="","",T27+SUM(Z27:AF27))</f>
        <v/>
      </c>
      <c r="AH27" s="160" t="str">
        <f aca="false">IF($B27="","",MAX(0,IF(OR(الموظفون!$AE27="",الموظفون!$AE27&gt;$F$3),$F$3,الموظفون!$AE27)-الموظفون!$H27+1-SUMIFS('سجل الإجازات والحالات'!$AP$6:$AP$505,'سجل الإجازات والحالات'!$B$6:$B$505,$B27))/cfg_DAYS_Y)</f>
        <v/>
      </c>
      <c r="AI27" s="160" t="str">
        <f aca="false">IF($B27="","",MAX(0,IF(OR(الموظفون!$AE27="",الموظفون!$AE27&gt;($E$3-1)),($E$3-1),الموظفون!$AE27)-الموظفون!$H27+1-SUMIFS('سجل الإجازات والحالات'!$AO$6:$AO$505,'سجل الإجازات والحالات'!$B$6:$B$505,$B27))/cfg_DAYS_Y)</f>
        <v/>
      </c>
      <c r="AJ27" s="133" t="str">
        <f aca="false">IF($B27="","",MAX(0,AK27-(SUMIFS('سجل الإجازات والحالات'!$AP$6:$AP$505,'سجل الإجازات والحالات'!$B$6:$B$505,$B27)-SUMIFS('سجل الإجازات والحالات'!$AO$6:$AO$505,'سجل الإجازات والحالات'!$B$6:$B$505,$B27))))</f>
        <v/>
      </c>
      <c r="AK27" s="133" t="str">
        <f aca="false">IF($B27="","",MAX(0,IF(OR(الموظفون!$AE27="",الموظفون!$AE27&gt;$F$3),$F$3,الموظفون!$AE27)-MAX($E$3,الموظفون!$H27)+1))</f>
        <v/>
      </c>
      <c r="AL27" s="156" t="str">
        <f aca="false">IF($B27="","",SUMIFS('سجل الإجازات والحالات'!$BB$6:$BB$505,'سجل الإجازات والحالات'!$B$6:$B$505,$B27)+SUMIFS('الحركات الشهرية'!$K$6:$K$1005,'الحركات الشهرية'!$B$6:$B$1005,$B27,'الحركات الشهرية'!$A$6:$A$1005,$C$3))</f>
        <v/>
      </c>
      <c r="AM27" s="116" t="str">
        <f aca="false">IF($B27="","",AL27*الموظفون!$R27/cfg_DAYS_M+S27)</f>
        <v/>
      </c>
      <c r="AN27" s="156" t="str">
        <f aca="false">IF($B27="","",SUMIFS('سجل الإجازات والحالات'!$AD$6:$AD$505,'سجل الإجازات والحالات'!$B$6:$B$505,$B27))</f>
        <v/>
      </c>
    </row>
    <row r="28" customFormat="false" ht="15" hidden="false" customHeight="false" outlineLevel="0" collapsed="false">
      <c r="A28" s="106" t="str">
        <f aca="false">IF($B28="","",الموظفون!$A28)</f>
        <v/>
      </c>
      <c r="B28" s="114" t="str">
        <f aca="false">IF(الموظفون!$B28="","",الموظفون!$B28)</f>
        <v/>
      </c>
      <c r="C28" s="114" t="str">
        <f aca="false">IF($B28="","",الموظفون!$C28)</f>
        <v/>
      </c>
      <c r="D28" s="114" t="str">
        <f aca="false">IF($B28="","",الموظفون!$F28)</f>
        <v/>
      </c>
      <c r="E28" s="114" t="str">
        <f aca="false">IF($B28="","",الموظفون!$E28)</f>
        <v/>
      </c>
      <c r="F28" s="114" t="str">
        <f aca="false">IF($B28="","",IF(AK28=0,IF(AND(الموظفون!$AE28&lt;&gt;"",الموظفون!$AE28&lt;$E$3),"✖ منتهي الخدمة","⏳ لم يباشر"),IF(S28&gt;0,"✈ راتب إجازة مقدم",IF(J28=0,"⛔ بدون راتب هذا الشهر",IF(I28&gt;0,"✈ خصم "&amp;ROUND(I28,2)&amp;" يوم بدون أجر",IF(AL28&gt;0,"🌴 إجازة سنوية "&amp;ROUND(AL28,2)&amp;" يوم",IF(H28&gt;0,"⚠ غياب "&amp;ROUND(H28,2)&amp;" يوم","✔ على رأس العمل")))))))</f>
        <v/>
      </c>
      <c r="G28" s="151" t="str">
        <f aca="false">IF($B28="","",IF(AK28&gt;=DAY($F$3),cfg_DAYS_M,MIN(AK28,cfg_DAYS_M)))</f>
        <v/>
      </c>
      <c r="H28" s="151" t="str">
        <f aca="false">IF($B28="","",SUMIFS('الحركات الشهرية'!$D$6:$D$1005,'الحركات الشهرية'!$B$6:$B$1005,$B28,'الحركات الشهرية'!$A$6:$A$1005,$C$3))</f>
        <v/>
      </c>
      <c r="I28" s="151" t="str">
        <f aca="false">IF($B28="","",MIN(G28,IF(AND(AK28&gt;0,AN28&gt;=AK28),G28,AN28)+SUMIFS('الحركات الشهرية'!$E$6:$E$1005,'الحركات الشهرية'!$B$6:$B$1005,$B28,'الحركات الشهرية'!$A$6:$A$1005,$C$3)))</f>
        <v/>
      </c>
      <c r="J28" s="151" t="str">
        <f aca="false">IF($B28="","",MAX(0,G28-H28-I28))</f>
        <v/>
      </c>
      <c r="K28" s="111" t="str">
        <f aca="false">IF($B28="","",الموظفون!$L28*$J28/cfg_DAYS_M)</f>
        <v/>
      </c>
      <c r="L28" s="111" t="str">
        <f aca="false">IF($B28="","",الموظفون!$M28*$J28/cfg_DAYS_M)</f>
        <v/>
      </c>
      <c r="M28" s="111" t="str">
        <f aca="false">IF($B28="","",الموظفون!$N28*$J28/cfg_DAYS_M)</f>
        <v/>
      </c>
      <c r="N28" s="111" t="str">
        <f aca="false">IF($B28="","",الموظفون!$O28*$J28/cfg_DAYS_M)</f>
        <v/>
      </c>
      <c r="O28" s="151" t="str">
        <f aca="false">IF($B28="","",SUMIFS('الحركات الشهرية'!$F$6:$F$1005,'الحركات الشهرية'!$B$6:$B$1005,$B28,'الحركات الشهرية'!$A$6:$A$1005,$C$3))</f>
        <v/>
      </c>
      <c r="P28" s="111" t="str">
        <f aca="false">IF($B28="","",O28*(الموظفون!$P28+الموظفون!$L28*cfg_OT_P)/cfg_DAYS_M/cfg_HRS)</f>
        <v/>
      </c>
      <c r="Q28" s="111" t="str">
        <f aca="false">IF($B28="","",SUMIFS('الحركات الشهرية'!$G$6:$G$1005,'الحركات الشهرية'!$B$6:$B$1005,$B28,'الحركات الشهرية'!$A$6:$A$1005,$C$3))</f>
        <v/>
      </c>
      <c r="R28" s="111" t="str">
        <f aca="false">IF($B28="","",SUMIFS('الحركات الشهرية'!$H$6:$H$1005,'الحركات الشهرية'!$B$6:$B$1005,$B28,'الحركات الشهرية'!$A$6:$A$1005,$C$3))</f>
        <v/>
      </c>
      <c r="S28" s="111" t="str">
        <f aca="false">IF($B28="","",SUMIFS('سجل الإجازات والحالات'!$N$6:$N$505,'سجل الإجازات والحالات'!$B$6:$B$505,$B28,'سجل الإجازات والحالات'!$O$6:$O$505,$C$3))</f>
        <v/>
      </c>
      <c r="T28" s="152" t="str">
        <f aca="false">IF($B28="","",SUM(K28:N28)+SUM(P28:S28))</f>
        <v/>
      </c>
      <c r="U28" s="111" t="str">
        <f aca="false">IF($B28="","",الموظفون!$S28*IF(E28="سعودي",cfg_G_SE,cfg_G_NE)*G28/cfg_DAYS_M)</f>
        <v/>
      </c>
      <c r="V28" s="111" t="str">
        <f aca="false">IF($B28="","",SUMIFS('الحركات الشهرية'!$I$6:$I$1005,'الحركات الشهرية'!$B$6:$B$1005,$B28,'الحركات الشهرية'!$A$6:$A$1005,$C$3))</f>
        <v/>
      </c>
      <c r="W28" s="111" t="str">
        <f aca="false">IF($B28="","",SUMIFS('الحركات الشهرية'!$J$6:$J$1005,'الحركات الشهرية'!$B$6:$B$1005,$B28,'الحركات الشهرية'!$A$6:$A$1005,$C$3))</f>
        <v/>
      </c>
      <c r="X28" s="111" t="str">
        <f aca="false">IF($B28="","",SUM(U28:W28))</f>
        <v/>
      </c>
      <c r="Y28" s="153" t="str">
        <f aca="false">IF($B28="","",T28-X28)</f>
        <v/>
      </c>
      <c r="Z28" s="111" t="str">
        <f aca="false">IF($B28="","",الموظفون!$S28*IF(E28="سعودي",cfg_G_SR,cfg_G_NR)*G28/cfg_DAYS_M)</f>
        <v/>
      </c>
      <c r="AA28" s="111" t="str">
        <f aca="false">IF($B28="","",الموظفون!$Q28*(cfg_EOS_R1*(MIN(AH28,cfg_EOS_TH)-MIN(AI28,cfg_EOS_TH))+cfg_EOS_R2*(MAX(AH28-cfg_EOS_TH,0)-MAX(AI28-cfg_EOS_TH,0))))</f>
        <v/>
      </c>
      <c r="AB28" s="111" t="str">
        <f aca="false">IF($B28="","",IF(الموظفون!$T28&lt;&gt;"",الموظفون!$T28,IF(AH28&gt;=cfg_LV_TH,cfg_LV_D2,cfg_LV_D1))/cfg_DAYS_Y*AJ28*الموظفون!$R28/cfg_DAYS_M)</f>
        <v/>
      </c>
      <c r="AC28" s="111" t="str">
        <f aca="false">IF($B28="","",IF(AND(الموظفون!$U28="نعم",N(الموظفون!$W28)&gt;0),الموظفون!$V28/الموظفون!$W28*12/cfg_DAYS_Y*AJ28,0))</f>
        <v/>
      </c>
      <c r="AD28" s="111" t="str">
        <f aca="false">IF($B28="","",(IF(الموظفون!$X28&lt;&gt;"",الموظفون!$X28,IF(الموظفون!$E28="غير سعودي",cfg_IQ,0))+IF(الموظفون!$Y28&lt;&gt;"",الموظفون!$Y28,IF(الموظفون!$E28="غير سعودي",cfg_WP,0)))/12*G28/cfg_DAYS_M)</f>
        <v/>
      </c>
      <c r="AE28" s="111" t="str">
        <f aca="false">IF($B28="","",IF(الموظفون!$Z28&lt;&gt;"",الموظفون!$Z28,cfg_MED)/12*G28/cfg_DAYS_M)</f>
        <v/>
      </c>
      <c r="AF28" s="111" t="str">
        <f aca="false">IF($B28="","",N(الموظفون!$AA28)/12*G28/cfg_DAYS_M)</f>
        <v/>
      </c>
      <c r="AG28" s="154" t="str">
        <f aca="false">IF($B28="","",T28+SUM(Z28:AF28))</f>
        <v/>
      </c>
      <c r="AH28" s="155" t="str">
        <f aca="false">IF($B28="","",MAX(0,IF(OR(الموظفون!$AE28="",الموظفون!$AE28&gt;$F$3),$F$3,الموظفون!$AE28)-الموظفون!$H28+1-SUMIFS('سجل الإجازات والحالات'!$AP$6:$AP$505,'سجل الإجازات والحالات'!$B$6:$B$505,$B28))/cfg_DAYS_Y)</f>
        <v/>
      </c>
      <c r="AI28" s="155" t="str">
        <f aca="false">IF($B28="","",MAX(0,IF(OR(الموظفون!$AE28="",الموظفون!$AE28&gt;($E$3-1)),($E$3-1),الموظفون!$AE28)-الموظفون!$H28+1-SUMIFS('سجل الإجازات والحالات'!$AO$6:$AO$505,'سجل الإجازات والحالات'!$B$6:$B$505,$B28))/cfg_DAYS_Y)</f>
        <v/>
      </c>
      <c r="AJ28" s="65" t="str">
        <f aca="false">IF($B28="","",MAX(0,AK28-(SUMIFS('سجل الإجازات والحالات'!$AP$6:$AP$505,'سجل الإجازات والحالات'!$B$6:$B$505,$B28)-SUMIFS('سجل الإجازات والحالات'!$AO$6:$AO$505,'سجل الإجازات والحالات'!$B$6:$B$505,$B28))))</f>
        <v/>
      </c>
      <c r="AK28" s="65" t="str">
        <f aca="false">IF($B28="","",MAX(0,IF(OR(الموظفون!$AE28="",الموظفون!$AE28&gt;$F$3),$F$3,الموظفون!$AE28)-MAX($E$3,الموظفون!$H28)+1))</f>
        <v/>
      </c>
      <c r="AL28" s="151" t="str">
        <f aca="false">IF($B28="","",SUMIFS('سجل الإجازات والحالات'!$BB$6:$BB$505,'سجل الإجازات والحالات'!$B$6:$B$505,$B28)+SUMIFS('الحركات الشهرية'!$K$6:$K$1005,'الحركات الشهرية'!$B$6:$B$1005,$B28,'الحركات الشهرية'!$A$6:$A$1005,$C$3))</f>
        <v/>
      </c>
      <c r="AM28" s="111" t="str">
        <f aca="false">IF($B28="","",AL28*الموظفون!$R28/cfg_DAYS_M+S28)</f>
        <v/>
      </c>
      <c r="AN28" s="151" t="str">
        <f aca="false">IF($B28="","",SUMIFS('سجل الإجازات والحالات'!$AD$6:$AD$505,'سجل الإجازات والحالات'!$B$6:$B$505,$B28))</f>
        <v/>
      </c>
    </row>
    <row r="29" customFormat="false" ht="15" hidden="false" customHeight="false" outlineLevel="0" collapsed="false">
      <c r="A29" s="115" t="str">
        <f aca="false">IF($B29="","",الموظفون!$A29)</f>
        <v/>
      </c>
      <c r="B29" s="117" t="str">
        <f aca="false">IF(الموظفون!$B29="","",الموظفون!$B29)</f>
        <v/>
      </c>
      <c r="C29" s="117" t="str">
        <f aca="false">IF($B29="","",الموظفون!$C29)</f>
        <v/>
      </c>
      <c r="D29" s="117" t="str">
        <f aca="false">IF($B29="","",الموظفون!$F29)</f>
        <v/>
      </c>
      <c r="E29" s="117" t="str">
        <f aca="false">IF($B29="","",الموظفون!$E29)</f>
        <v/>
      </c>
      <c r="F29" s="117" t="str">
        <f aca="false">IF($B29="","",IF(AK29=0,IF(AND(الموظفون!$AE29&lt;&gt;"",الموظفون!$AE29&lt;$E$3),"✖ منتهي الخدمة","⏳ لم يباشر"),IF(S29&gt;0,"✈ راتب إجازة مقدم",IF(J29=0,"⛔ بدون راتب هذا الشهر",IF(I29&gt;0,"✈ خصم "&amp;ROUND(I29,2)&amp;" يوم بدون أجر",IF(AL29&gt;0,"🌴 إجازة سنوية "&amp;ROUND(AL29,2)&amp;" يوم",IF(H29&gt;0,"⚠ غياب "&amp;ROUND(H29,2)&amp;" يوم","✔ على رأس العمل")))))))</f>
        <v/>
      </c>
      <c r="G29" s="156" t="str">
        <f aca="false">IF($B29="","",IF(AK29&gt;=DAY($F$3),cfg_DAYS_M,MIN(AK29,cfg_DAYS_M)))</f>
        <v/>
      </c>
      <c r="H29" s="156" t="str">
        <f aca="false">IF($B29="","",SUMIFS('الحركات الشهرية'!$D$6:$D$1005,'الحركات الشهرية'!$B$6:$B$1005,$B29,'الحركات الشهرية'!$A$6:$A$1005,$C$3))</f>
        <v/>
      </c>
      <c r="I29" s="156" t="str">
        <f aca="false">IF($B29="","",MIN(G29,IF(AND(AK29&gt;0,AN29&gt;=AK29),G29,AN29)+SUMIFS('الحركات الشهرية'!$E$6:$E$1005,'الحركات الشهرية'!$B$6:$B$1005,$B29,'الحركات الشهرية'!$A$6:$A$1005,$C$3)))</f>
        <v/>
      </c>
      <c r="J29" s="156" t="str">
        <f aca="false">IF($B29="","",MAX(0,G29-H29-I29))</f>
        <v/>
      </c>
      <c r="K29" s="116" t="str">
        <f aca="false">IF($B29="","",الموظفون!$L29*$J29/cfg_DAYS_M)</f>
        <v/>
      </c>
      <c r="L29" s="116" t="str">
        <f aca="false">IF($B29="","",الموظفون!$M29*$J29/cfg_DAYS_M)</f>
        <v/>
      </c>
      <c r="M29" s="116" t="str">
        <f aca="false">IF($B29="","",الموظفون!$N29*$J29/cfg_DAYS_M)</f>
        <v/>
      </c>
      <c r="N29" s="116" t="str">
        <f aca="false">IF($B29="","",الموظفون!$O29*$J29/cfg_DAYS_M)</f>
        <v/>
      </c>
      <c r="O29" s="156" t="str">
        <f aca="false">IF($B29="","",SUMIFS('الحركات الشهرية'!$F$6:$F$1005,'الحركات الشهرية'!$B$6:$B$1005,$B29,'الحركات الشهرية'!$A$6:$A$1005,$C$3))</f>
        <v/>
      </c>
      <c r="P29" s="116" t="str">
        <f aca="false">IF($B29="","",O29*(الموظفون!$P29+الموظفون!$L29*cfg_OT_P)/cfg_DAYS_M/cfg_HRS)</f>
        <v/>
      </c>
      <c r="Q29" s="116" t="str">
        <f aca="false">IF($B29="","",SUMIFS('الحركات الشهرية'!$G$6:$G$1005,'الحركات الشهرية'!$B$6:$B$1005,$B29,'الحركات الشهرية'!$A$6:$A$1005,$C$3))</f>
        <v/>
      </c>
      <c r="R29" s="116" t="str">
        <f aca="false">IF($B29="","",SUMIFS('الحركات الشهرية'!$H$6:$H$1005,'الحركات الشهرية'!$B$6:$B$1005,$B29,'الحركات الشهرية'!$A$6:$A$1005,$C$3))</f>
        <v/>
      </c>
      <c r="S29" s="116" t="str">
        <f aca="false">IF($B29="","",SUMIFS('سجل الإجازات والحالات'!$N$6:$N$505,'سجل الإجازات والحالات'!$B$6:$B$505,$B29,'سجل الإجازات والحالات'!$O$6:$O$505,$C$3))</f>
        <v/>
      </c>
      <c r="T29" s="157" t="str">
        <f aca="false">IF($B29="","",SUM(K29:N29)+SUM(P29:S29))</f>
        <v/>
      </c>
      <c r="U29" s="116" t="str">
        <f aca="false">IF($B29="","",الموظفون!$S29*IF(E29="سعودي",cfg_G_SE,cfg_G_NE)*G29/cfg_DAYS_M)</f>
        <v/>
      </c>
      <c r="V29" s="116" t="str">
        <f aca="false">IF($B29="","",SUMIFS('الحركات الشهرية'!$I$6:$I$1005,'الحركات الشهرية'!$B$6:$B$1005,$B29,'الحركات الشهرية'!$A$6:$A$1005,$C$3))</f>
        <v/>
      </c>
      <c r="W29" s="116" t="str">
        <f aca="false">IF($B29="","",SUMIFS('الحركات الشهرية'!$J$6:$J$1005,'الحركات الشهرية'!$B$6:$B$1005,$B29,'الحركات الشهرية'!$A$6:$A$1005,$C$3))</f>
        <v/>
      </c>
      <c r="X29" s="116" t="str">
        <f aca="false">IF($B29="","",SUM(U29:W29))</f>
        <v/>
      </c>
      <c r="Y29" s="158" t="str">
        <f aca="false">IF($B29="","",T29-X29)</f>
        <v/>
      </c>
      <c r="Z29" s="116" t="str">
        <f aca="false">IF($B29="","",الموظفون!$S29*IF(E29="سعودي",cfg_G_SR,cfg_G_NR)*G29/cfg_DAYS_M)</f>
        <v/>
      </c>
      <c r="AA29" s="116" t="str">
        <f aca="false">IF($B29="","",الموظفون!$Q29*(cfg_EOS_R1*(MIN(AH29,cfg_EOS_TH)-MIN(AI29,cfg_EOS_TH))+cfg_EOS_R2*(MAX(AH29-cfg_EOS_TH,0)-MAX(AI29-cfg_EOS_TH,0))))</f>
        <v/>
      </c>
      <c r="AB29" s="116" t="str">
        <f aca="false">IF($B29="","",IF(الموظفون!$T29&lt;&gt;"",الموظفون!$T29,IF(AH29&gt;=cfg_LV_TH,cfg_LV_D2,cfg_LV_D1))/cfg_DAYS_Y*AJ29*الموظفون!$R29/cfg_DAYS_M)</f>
        <v/>
      </c>
      <c r="AC29" s="116" t="str">
        <f aca="false">IF($B29="","",IF(AND(الموظفون!$U29="نعم",N(الموظفون!$W29)&gt;0),الموظفون!$V29/الموظفون!$W29*12/cfg_DAYS_Y*AJ29,0))</f>
        <v/>
      </c>
      <c r="AD29" s="116" t="str">
        <f aca="false">IF($B29="","",(IF(الموظفون!$X29&lt;&gt;"",الموظفون!$X29,IF(الموظفون!$E29="غير سعودي",cfg_IQ,0))+IF(الموظفون!$Y29&lt;&gt;"",الموظفون!$Y29,IF(الموظفون!$E29="غير سعودي",cfg_WP,0)))/12*G29/cfg_DAYS_M)</f>
        <v/>
      </c>
      <c r="AE29" s="116" t="str">
        <f aca="false">IF($B29="","",IF(الموظفون!$Z29&lt;&gt;"",الموظفون!$Z29,cfg_MED)/12*G29/cfg_DAYS_M)</f>
        <v/>
      </c>
      <c r="AF29" s="116" t="str">
        <f aca="false">IF($B29="","",N(الموظفون!$AA29)/12*G29/cfg_DAYS_M)</f>
        <v/>
      </c>
      <c r="AG29" s="159" t="str">
        <f aca="false">IF($B29="","",T29+SUM(Z29:AF29))</f>
        <v/>
      </c>
      <c r="AH29" s="160" t="str">
        <f aca="false">IF($B29="","",MAX(0,IF(OR(الموظفون!$AE29="",الموظفون!$AE29&gt;$F$3),$F$3,الموظفون!$AE29)-الموظفون!$H29+1-SUMIFS('سجل الإجازات والحالات'!$AP$6:$AP$505,'سجل الإجازات والحالات'!$B$6:$B$505,$B29))/cfg_DAYS_Y)</f>
        <v/>
      </c>
      <c r="AI29" s="160" t="str">
        <f aca="false">IF($B29="","",MAX(0,IF(OR(الموظفون!$AE29="",الموظفون!$AE29&gt;($E$3-1)),($E$3-1),الموظفون!$AE29)-الموظفون!$H29+1-SUMIFS('سجل الإجازات والحالات'!$AO$6:$AO$505,'سجل الإجازات والحالات'!$B$6:$B$505,$B29))/cfg_DAYS_Y)</f>
        <v/>
      </c>
      <c r="AJ29" s="133" t="str">
        <f aca="false">IF($B29="","",MAX(0,AK29-(SUMIFS('سجل الإجازات والحالات'!$AP$6:$AP$505,'سجل الإجازات والحالات'!$B$6:$B$505,$B29)-SUMIFS('سجل الإجازات والحالات'!$AO$6:$AO$505,'سجل الإجازات والحالات'!$B$6:$B$505,$B29))))</f>
        <v/>
      </c>
      <c r="AK29" s="133" t="str">
        <f aca="false">IF($B29="","",MAX(0,IF(OR(الموظفون!$AE29="",الموظفون!$AE29&gt;$F$3),$F$3,الموظفون!$AE29)-MAX($E$3,الموظفون!$H29)+1))</f>
        <v/>
      </c>
      <c r="AL29" s="156" t="str">
        <f aca="false">IF($B29="","",SUMIFS('سجل الإجازات والحالات'!$BB$6:$BB$505,'سجل الإجازات والحالات'!$B$6:$B$505,$B29)+SUMIFS('الحركات الشهرية'!$K$6:$K$1005,'الحركات الشهرية'!$B$6:$B$1005,$B29,'الحركات الشهرية'!$A$6:$A$1005,$C$3))</f>
        <v/>
      </c>
      <c r="AM29" s="116" t="str">
        <f aca="false">IF($B29="","",AL29*الموظفون!$R29/cfg_DAYS_M+S29)</f>
        <v/>
      </c>
      <c r="AN29" s="156" t="str">
        <f aca="false">IF($B29="","",SUMIFS('سجل الإجازات والحالات'!$AD$6:$AD$505,'سجل الإجازات والحالات'!$B$6:$B$505,$B29))</f>
        <v/>
      </c>
    </row>
    <row r="30" customFormat="false" ht="15" hidden="false" customHeight="false" outlineLevel="0" collapsed="false">
      <c r="A30" s="106" t="str">
        <f aca="false">IF($B30="","",الموظفون!$A30)</f>
        <v/>
      </c>
      <c r="B30" s="114" t="str">
        <f aca="false">IF(الموظفون!$B30="","",الموظفون!$B30)</f>
        <v/>
      </c>
      <c r="C30" s="114" t="str">
        <f aca="false">IF($B30="","",الموظفون!$C30)</f>
        <v/>
      </c>
      <c r="D30" s="114" t="str">
        <f aca="false">IF($B30="","",الموظفون!$F30)</f>
        <v/>
      </c>
      <c r="E30" s="114" t="str">
        <f aca="false">IF($B30="","",الموظفون!$E30)</f>
        <v/>
      </c>
      <c r="F30" s="114" t="str">
        <f aca="false">IF($B30="","",IF(AK30=0,IF(AND(الموظفون!$AE30&lt;&gt;"",الموظفون!$AE30&lt;$E$3),"✖ منتهي الخدمة","⏳ لم يباشر"),IF(S30&gt;0,"✈ راتب إجازة مقدم",IF(J30=0,"⛔ بدون راتب هذا الشهر",IF(I30&gt;0,"✈ خصم "&amp;ROUND(I30,2)&amp;" يوم بدون أجر",IF(AL30&gt;0,"🌴 إجازة سنوية "&amp;ROUND(AL30,2)&amp;" يوم",IF(H30&gt;0,"⚠ غياب "&amp;ROUND(H30,2)&amp;" يوم","✔ على رأس العمل")))))))</f>
        <v/>
      </c>
      <c r="G30" s="151" t="str">
        <f aca="false">IF($B30="","",IF(AK30&gt;=DAY($F$3),cfg_DAYS_M,MIN(AK30,cfg_DAYS_M)))</f>
        <v/>
      </c>
      <c r="H30" s="151" t="str">
        <f aca="false">IF($B30="","",SUMIFS('الحركات الشهرية'!$D$6:$D$1005,'الحركات الشهرية'!$B$6:$B$1005,$B30,'الحركات الشهرية'!$A$6:$A$1005,$C$3))</f>
        <v/>
      </c>
      <c r="I30" s="151" t="str">
        <f aca="false">IF($B30="","",MIN(G30,IF(AND(AK30&gt;0,AN30&gt;=AK30),G30,AN30)+SUMIFS('الحركات الشهرية'!$E$6:$E$1005,'الحركات الشهرية'!$B$6:$B$1005,$B30,'الحركات الشهرية'!$A$6:$A$1005,$C$3)))</f>
        <v/>
      </c>
      <c r="J30" s="151" t="str">
        <f aca="false">IF($B30="","",MAX(0,G30-H30-I30))</f>
        <v/>
      </c>
      <c r="K30" s="111" t="str">
        <f aca="false">IF($B30="","",الموظفون!$L30*$J30/cfg_DAYS_M)</f>
        <v/>
      </c>
      <c r="L30" s="111" t="str">
        <f aca="false">IF($B30="","",الموظفون!$M30*$J30/cfg_DAYS_M)</f>
        <v/>
      </c>
      <c r="M30" s="111" t="str">
        <f aca="false">IF($B30="","",الموظفون!$N30*$J30/cfg_DAYS_M)</f>
        <v/>
      </c>
      <c r="N30" s="111" t="str">
        <f aca="false">IF($B30="","",الموظفون!$O30*$J30/cfg_DAYS_M)</f>
        <v/>
      </c>
      <c r="O30" s="151" t="str">
        <f aca="false">IF($B30="","",SUMIFS('الحركات الشهرية'!$F$6:$F$1005,'الحركات الشهرية'!$B$6:$B$1005,$B30,'الحركات الشهرية'!$A$6:$A$1005,$C$3))</f>
        <v/>
      </c>
      <c r="P30" s="111" t="str">
        <f aca="false">IF($B30="","",O30*(الموظفون!$P30+الموظفون!$L30*cfg_OT_P)/cfg_DAYS_M/cfg_HRS)</f>
        <v/>
      </c>
      <c r="Q30" s="111" t="str">
        <f aca="false">IF($B30="","",SUMIFS('الحركات الشهرية'!$G$6:$G$1005,'الحركات الشهرية'!$B$6:$B$1005,$B30,'الحركات الشهرية'!$A$6:$A$1005,$C$3))</f>
        <v/>
      </c>
      <c r="R30" s="111" t="str">
        <f aca="false">IF($B30="","",SUMIFS('الحركات الشهرية'!$H$6:$H$1005,'الحركات الشهرية'!$B$6:$B$1005,$B30,'الحركات الشهرية'!$A$6:$A$1005,$C$3))</f>
        <v/>
      </c>
      <c r="S30" s="111" t="str">
        <f aca="false">IF($B30="","",SUMIFS('سجل الإجازات والحالات'!$N$6:$N$505,'سجل الإجازات والحالات'!$B$6:$B$505,$B30,'سجل الإجازات والحالات'!$O$6:$O$505,$C$3))</f>
        <v/>
      </c>
      <c r="T30" s="152" t="str">
        <f aca="false">IF($B30="","",SUM(K30:N30)+SUM(P30:S30))</f>
        <v/>
      </c>
      <c r="U30" s="111" t="str">
        <f aca="false">IF($B30="","",الموظفون!$S30*IF(E30="سعودي",cfg_G_SE,cfg_G_NE)*G30/cfg_DAYS_M)</f>
        <v/>
      </c>
      <c r="V30" s="111" t="str">
        <f aca="false">IF($B30="","",SUMIFS('الحركات الشهرية'!$I$6:$I$1005,'الحركات الشهرية'!$B$6:$B$1005,$B30,'الحركات الشهرية'!$A$6:$A$1005,$C$3))</f>
        <v/>
      </c>
      <c r="W30" s="111" t="str">
        <f aca="false">IF($B30="","",SUMIFS('الحركات الشهرية'!$J$6:$J$1005,'الحركات الشهرية'!$B$6:$B$1005,$B30,'الحركات الشهرية'!$A$6:$A$1005,$C$3))</f>
        <v/>
      </c>
      <c r="X30" s="111" t="str">
        <f aca="false">IF($B30="","",SUM(U30:W30))</f>
        <v/>
      </c>
      <c r="Y30" s="153" t="str">
        <f aca="false">IF($B30="","",T30-X30)</f>
        <v/>
      </c>
      <c r="Z30" s="111" t="str">
        <f aca="false">IF($B30="","",الموظفون!$S30*IF(E30="سعودي",cfg_G_SR,cfg_G_NR)*G30/cfg_DAYS_M)</f>
        <v/>
      </c>
      <c r="AA30" s="111" t="str">
        <f aca="false">IF($B30="","",الموظفون!$Q30*(cfg_EOS_R1*(MIN(AH30,cfg_EOS_TH)-MIN(AI30,cfg_EOS_TH))+cfg_EOS_R2*(MAX(AH30-cfg_EOS_TH,0)-MAX(AI30-cfg_EOS_TH,0))))</f>
        <v/>
      </c>
      <c r="AB30" s="111" t="str">
        <f aca="false">IF($B30="","",IF(الموظفون!$T30&lt;&gt;"",الموظفون!$T30,IF(AH30&gt;=cfg_LV_TH,cfg_LV_D2,cfg_LV_D1))/cfg_DAYS_Y*AJ30*الموظفون!$R30/cfg_DAYS_M)</f>
        <v/>
      </c>
      <c r="AC30" s="111" t="str">
        <f aca="false">IF($B30="","",IF(AND(الموظفون!$U30="نعم",N(الموظفون!$W30)&gt;0),الموظفون!$V30/الموظفون!$W30*12/cfg_DAYS_Y*AJ30,0))</f>
        <v/>
      </c>
      <c r="AD30" s="111" t="str">
        <f aca="false">IF($B30="","",(IF(الموظفون!$X30&lt;&gt;"",الموظفون!$X30,IF(الموظفون!$E30="غير سعودي",cfg_IQ,0))+IF(الموظفون!$Y30&lt;&gt;"",الموظفون!$Y30,IF(الموظفون!$E30="غير سعودي",cfg_WP,0)))/12*G30/cfg_DAYS_M)</f>
        <v/>
      </c>
      <c r="AE30" s="111" t="str">
        <f aca="false">IF($B30="","",IF(الموظفون!$Z30&lt;&gt;"",الموظفون!$Z30,cfg_MED)/12*G30/cfg_DAYS_M)</f>
        <v/>
      </c>
      <c r="AF30" s="111" t="str">
        <f aca="false">IF($B30="","",N(الموظفون!$AA30)/12*G30/cfg_DAYS_M)</f>
        <v/>
      </c>
      <c r="AG30" s="154" t="str">
        <f aca="false">IF($B30="","",T30+SUM(Z30:AF30))</f>
        <v/>
      </c>
      <c r="AH30" s="155" t="str">
        <f aca="false">IF($B30="","",MAX(0,IF(OR(الموظفون!$AE30="",الموظفون!$AE30&gt;$F$3),$F$3,الموظفون!$AE30)-الموظفون!$H30+1-SUMIFS('سجل الإجازات والحالات'!$AP$6:$AP$505,'سجل الإجازات والحالات'!$B$6:$B$505,$B30))/cfg_DAYS_Y)</f>
        <v/>
      </c>
      <c r="AI30" s="155" t="str">
        <f aca="false">IF($B30="","",MAX(0,IF(OR(الموظفون!$AE30="",الموظفون!$AE30&gt;($E$3-1)),($E$3-1),الموظفون!$AE30)-الموظفون!$H30+1-SUMIFS('سجل الإجازات والحالات'!$AO$6:$AO$505,'سجل الإجازات والحالات'!$B$6:$B$505,$B30))/cfg_DAYS_Y)</f>
        <v/>
      </c>
      <c r="AJ30" s="65" t="str">
        <f aca="false">IF($B30="","",MAX(0,AK30-(SUMIFS('سجل الإجازات والحالات'!$AP$6:$AP$505,'سجل الإجازات والحالات'!$B$6:$B$505,$B30)-SUMIFS('سجل الإجازات والحالات'!$AO$6:$AO$505,'سجل الإجازات والحالات'!$B$6:$B$505,$B30))))</f>
        <v/>
      </c>
      <c r="AK30" s="65" t="str">
        <f aca="false">IF($B30="","",MAX(0,IF(OR(الموظفون!$AE30="",الموظفون!$AE30&gt;$F$3),$F$3,الموظفون!$AE30)-MAX($E$3,الموظفون!$H30)+1))</f>
        <v/>
      </c>
      <c r="AL30" s="151" t="str">
        <f aca="false">IF($B30="","",SUMIFS('سجل الإجازات والحالات'!$BB$6:$BB$505,'سجل الإجازات والحالات'!$B$6:$B$505,$B30)+SUMIFS('الحركات الشهرية'!$K$6:$K$1005,'الحركات الشهرية'!$B$6:$B$1005,$B30,'الحركات الشهرية'!$A$6:$A$1005,$C$3))</f>
        <v/>
      </c>
      <c r="AM30" s="111" t="str">
        <f aca="false">IF($B30="","",AL30*الموظفون!$R30/cfg_DAYS_M+S30)</f>
        <v/>
      </c>
      <c r="AN30" s="151" t="str">
        <f aca="false">IF($B30="","",SUMIFS('سجل الإجازات والحالات'!$AD$6:$AD$505,'سجل الإجازات والحالات'!$B$6:$B$505,$B30))</f>
        <v/>
      </c>
    </row>
    <row r="31" customFormat="false" ht="15" hidden="false" customHeight="false" outlineLevel="0" collapsed="false">
      <c r="A31" s="115" t="str">
        <f aca="false">IF($B31="","",الموظفون!$A31)</f>
        <v/>
      </c>
      <c r="B31" s="117" t="str">
        <f aca="false">IF(الموظفون!$B31="","",الموظفون!$B31)</f>
        <v/>
      </c>
      <c r="C31" s="117" t="str">
        <f aca="false">IF($B31="","",الموظفون!$C31)</f>
        <v/>
      </c>
      <c r="D31" s="117" t="str">
        <f aca="false">IF($B31="","",الموظفون!$F31)</f>
        <v/>
      </c>
      <c r="E31" s="117" t="str">
        <f aca="false">IF($B31="","",الموظفون!$E31)</f>
        <v/>
      </c>
      <c r="F31" s="117" t="str">
        <f aca="false">IF($B31="","",IF(AK31=0,IF(AND(الموظفون!$AE31&lt;&gt;"",الموظفون!$AE31&lt;$E$3),"✖ منتهي الخدمة","⏳ لم يباشر"),IF(S31&gt;0,"✈ راتب إجازة مقدم",IF(J31=0,"⛔ بدون راتب هذا الشهر",IF(I31&gt;0,"✈ خصم "&amp;ROUND(I31,2)&amp;" يوم بدون أجر",IF(AL31&gt;0,"🌴 إجازة سنوية "&amp;ROUND(AL31,2)&amp;" يوم",IF(H31&gt;0,"⚠ غياب "&amp;ROUND(H31,2)&amp;" يوم","✔ على رأس العمل")))))))</f>
        <v/>
      </c>
      <c r="G31" s="156" t="str">
        <f aca="false">IF($B31="","",IF(AK31&gt;=DAY($F$3),cfg_DAYS_M,MIN(AK31,cfg_DAYS_M)))</f>
        <v/>
      </c>
      <c r="H31" s="156" t="str">
        <f aca="false">IF($B31="","",SUMIFS('الحركات الشهرية'!$D$6:$D$1005,'الحركات الشهرية'!$B$6:$B$1005,$B31,'الحركات الشهرية'!$A$6:$A$1005,$C$3))</f>
        <v/>
      </c>
      <c r="I31" s="156" t="str">
        <f aca="false">IF($B31="","",MIN(G31,IF(AND(AK31&gt;0,AN31&gt;=AK31),G31,AN31)+SUMIFS('الحركات الشهرية'!$E$6:$E$1005,'الحركات الشهرية'!$B$6:$B$1005,$B31,'الحركات الشهرية'!$A$6:$A$1005,$C$3)))</f>
        <v/>
      </c>
      <c r="J31" s="156" t="str">
        <f aca="false">IF($B31="","",MAX(0,G31-H31-I31))</f>
        <v/>
      </c>
      <c r="K31" s="116" t="str">
        <f aca="false">IF($B31="","",الموظفون!$L31*$J31/cfg_DAYS_M)</f>
        <v/>
      </c>
      <c r="L31" s="116" t="str">
        <f aca="false">IF($B31="","",الموظفون!$M31*$J31/cfg_DAYS_M)</f>
        <v/>
      </c>
      <c r="M31" s="116" t="str">
        <f aca="false">IF($B31="","",الموظفون!$N31*$J31/cfg_DAYS_M)</f>
        <v/>
      </c>
      <c r="N31" s="116" t="str">
        <f aca="false">IF($B31="","",الموظفون!$O31*$J31/cfg_DAYS_M)</f>
        <v/>
      </c>
      <c r="O31" s="156" t="str">
        <f aca="false">IF($B31="","",SUMIFS('الحركات الشهرية'!$F$6:$F$1005,'الحركات الشهرية'!$B$6:$B$1005,$B31,'الحركات الشهرية'!$A$6:$A$1005,$C$3))</f>
        <v/>
      </c>
      <c r="P31" s="116" t="str">
        <f aca="false">IF($B31="","",O31*(الموظفون!$P31+الموظفون!$L31*cfg_OT_P)/cfg_DAYS_M/cfg_HRS)</f>
        <v/>
      </c>
      <c r="Q31" s="116" t="str">
        <f aca="false">IF($B31="","",SUMIFS('الحركات الشهرية'!$G$6:$G$1005,'الحركات الشهرية'!$B$6:$B$1005,$B31,'الحركات الشهرية'!$A$6:$A$1005,$C$3))</f>
        <v/>
      </c>
      <c r="R31" s="116" t="str">
        <f aca="false">IF($B31="","",SUMIFS('الحركات الشهرية'!$H$6:$H$1005,'الحركات الشهرية'!$B$6:$B$1005,$B31,'الحركات الشهرية'!$A$6:$A$1005,$C$3))</f>
        <v/>
      </c>
      <c r="S31" s="116" t="str">
        <f aca="false">IF($B31="","",SUMIFS('سجل الإجازات والحالات'!$N$6:$N$505,'سجل الإجازات والحالات'!$B$6:$B$505,$B31,'سجل الإجازات والحالات'!$O$6:$O$505,$C$3))</f>
        <v/>
      </c>
      <c r="T31" s="157" t="str">
        <f aca="false">IF($B31="","",SUM(K31:N31)+SUM(P31:S31))</f>
        <v/>
      </c>
      <c r="U31" s="116" t="str">
        <f aca="false">IF($B31="","",الموظفون!$S31*IF(E31="سعودي",cfg_G_SE,cfg_G_NE)*G31/cfg_DAYS_M)</f>
        <v/>
      </c>
      <c r="V31" s="116" t="str">
        <f aca="false">IF($B31="","",SUMIFS('الحركات الشهرية'!$I$6:$I$1005,'الحركات الشهرية'!$B$6:$B$1005,$B31,'الحركات الشهرية'!$A$6:$A$1005,$C$3))</f>
        <v/>
      </c>
      <c r="W31" s="116" t="str">
        <f aca="false">IF($B31="","",SUMIFS('الحركات الشهرية'!$J$6:$J$1005,'الحركات الشهرية'!$B$6:$B$1005,$B31,'الحركات الشهرية'!$A$6:$A$1005,$C$3))</f>
        <v/>
      </c>
      <c r="X31" s="116" t="str">
        <f aca="false">IF($B31="","",SUM(U31:W31))</f>
        <v/>
      </c>
      <c r="Y31" s="158" t="str">
        <f aca="false">IF($B31="","",T31-X31)</f>
        <v/>
      </c>
      <c r="Z31" s="116" t="str">
        <f aca="false">IF($B31="","",الموظفون!$S31*IF(E31="سعودي",cfg_G_SR,cfg_G_NR)*G31/cfg_DAYS_M)</f>
        <v/>
      </c>
      <c r="AA31" s="116" t="str">
        <f aca="false">IF($B31="","",الموظفون!$Q31*(cfg_EOS_R1*(MIN(AH31,cfg_EOS_TH)-MIN(AI31,cfg_EOS_TH))+cfg_EOS_R2*(MAX(AH31-cfg_EOS_TH,0)-MAX(AI31-cfg_EOS_TH,0))))</f>
        <v/>
      </c>
      <c r="AB31" s="116" t="str">
        <f aca="false">IF($B31="","",IF(الموظفون!$T31&lt;&gt;"",الموظفون!$T31,IF(AH31&gt;=cfg_LV_TH,cfg_LV_D2,cfg_LV_D1))/cfg_DAYS_Y*AJ31*الموظفون!$R31/cfg_DAYS_M)</f>
        <v/>
      </c>
      <c r="AC31" s="116" t="str">
        <f aca="false">IF($B31="","",IF(AND(الموظفون!$U31="نعم",N(الموظفون!$W31)&gt;0),الموظفون!$V31/الموظفون!$W31*12/cfg_DAYS_Y*AJ31,0))</f>
        <v/>
      </c>
      <c r="AD31" s="116" t="str">
        <f aca="false">IF($B31="","",(IF(الموظفون!$X31&lt;&gt;"",الموظفون!$X31,IF(الموظفون!$E31="غير سعودي",cfg_IQ,0))+IF(الموظفون!$Y31&lt;&gt;"",الموظفون!$Y31,IF(الموظفون!$E31="غير سعودي",cfg_WP,0)))/12*G31/cfg_DAYS_M)</f>
        <v/>
      </c>
      <c r="AE31" s="116" t="str">
        <f aca="false">IF($B31="","",IF(الموظفون!$Z31&lt;&gt;"",الموظفون!$Z31,cfg_MED)/12*G31/cfg_DAYS_M)</f>
        <v/>
      </c>
      <c r="AF31" s="116" t="str">
        <f aca="false">IF($B31="","",N(الموظفون!$AA31)/12*G31/cfg_DAYS_M)</f>
        <v/>
      </c>
      <c r="AG31" s="159" t="str">
        <f aca="false">IF($B31="","",T31+SUM(Z31:AF31))</f>
        <v/>
      </c>
      <c r="AH31" s="160" t="str">
        <f aca="false">IF($B31="","",MAX(0,IF(OR(الموظفون!$AE31="",الموظفون!$AE31&gt;$F$3),$F$3,الموظفون!$AE31)-الموظفون!$H31+1-SUMIFS('سجل الإجازات والحالات'!$AP$6:$AP$505,'سجل الإجازات والحالات'!$B$6:$B$505,$B31))/cfg_DAYS_Y)</f>
        <v/>
      </c>
      <c r="AI31" s="160" t="str">
        <f aca="false">IF($B31="","",MAX(0,IF(OR(الموظفون!$AE31="",الموظفون!$AE31&gt;($E$3-1)),($E$3-1),الموظفون!$AE31)-الموظفون!$H31+1-SUMIFS('سجل الإجازات والحالات'!$AO$6:$AO$505,'سجل الإجازات والحالات'!$B$6:$B$505,$B31))/cfg_DAYS_Y)</f>
        <v/>
      </c>
      <c r="AJ31" s="133" t="str">
        <f aca="false">IF($B31="","",MAX(0,AK31-(SUMIFS('سجل الإجازات والحالات'!$AP$6:$AP$505,'سجل الإجازات والحالات'!$B$6:$B$505,$B31)-SUMIFS('سجل الإجازات والحالات'!$AO$6:$AO$505,'سجل الإجازات والحالات'!$B$6:$B$505,$B31))))</f>
        <v/>
      </c>
      <c r="AK31" s="133" t="str">
        <f aca="false">IF($B31="","",MAX(0,IF(OR(الموظفون!$AE31="",الموظفون!$AE31&gt;$F$3),$F$3,الموظفون!$AE31)-MAX($E$3,الموظفون!$H31)+1))</f>
        <v/>
      </c>
      <c r="AL31" s="156" t="str">
        <f aca="false">IF($B31="","",SUMIFS('سجل الإجازات والحالات'!$BB$6:$BB$505,'سجل الإجازات والحالات'!$B$6:$B$505,$B31)+SUMIFS('الحركات الشهرية'!$K$6:$K$1005,'الحركات الشهرية'!$B$6:$B$1005,$B31,'الحركات الشهرية'!$A$6:$A$1005,$C$3))</f>
        <v/>
      </c>
      <c r="AM31" s="116" t="str">
        <f aca="false">IF($B31="","",AL31*الموظفون!$R31/cfg_DAYS_M+S31)</f>
        <v/>
      </c>
      <c r="AN31" s="156" t="str">
        <f aca="false">IF($B31="","",SUMIFS('سجل الإجازات والحالات'!$AD$6:$AD$505,'سجل الإجازات والحالات'!$B$6:$B$505,$B31))</f>
        <v/>
      </c>
    </row>
    <row r="32" customFormat="false" ht="15" hidden="false" customHeight="false" outlineLevel="0" collapsed="false">
      <c r="A32" s="106" t="str">
        <f aca="false">IF($B32="","",الموظفون!$A32)</f>
        <v/>
      </c>
      <c r="B32" s="114" t="str">
        <f aca="false">IF(الموظفون!$B32="","",الموظفون!$B32)</f>
        <v/>
      </c>
      <c r="C32" s="114" t="str">
        <f aca="false">IF($B32="","",الموظفون!$C32)</f>
        <v/>
      </c>
      <c r="D32" s="114" t="str">
        <f aca="false">IF($B32="","",الموظفون!$F32)</f>
        <v/>
      </c>
      <c r="E32" s="114" t="str">
        <f aca="false">IF($B32="","",الموظفون!$E32)</f>
        <v/>
      </c>
      <c r="F32" s="114" t="str">
        <f aca="false">IF($B32="","",IF(AK32=0,IF(AND(الموظفون!$AE32&lt;&gt;"",الموظفون!$AE32&lt;$E$3),"✖ منتهي الخدمة","⏳ لم يباشر"),IF(S32&gt;0,"✈ راتب إجازة مقدم",IF(J32=0,"⛔ بدون راتب هذا الشهر",IF(I32&gt;0,"✈ خصم "&amp;ROUND(I32,2)&amp;" يوم بدون أجر",IF(AL32&gt;0,"🌴 إجازة سنوية "&amp;ROUND(AL32,2)&amp;" يوم",IF(H32&gt;0,"⚠ غياب "&amp;ROUND(H32,2)&amp;" يوم","✔ على رأس العمل")))))))</f>
        <v/>
      </c>
      <c r="G32" s="151" t="str">
        <f aca="false">IF($B32="","",IF(AK32&gt;=DAY($F$3),cfg_DAYS_M,MIN(AK32,cfg_DAYS_M)))</f>
        <v/>
      </c>
      <c r="H32" s="151" t="str">
        <f aca="false">IF($B32="","",SUMIFS('الحركات الشهرية'!$D$6:$D$1005,'الحركات الشهرية'!$B$6:$B$1005,$B32,'الحركات الشهرية'!$A$6:$A$1005,$C$3))</f>
        <v/>
      </c>
      <c r="I32" s="151" t="str">
        <f aca="false">IF($B32="","",MIN(G32,IF(AND(AK32&gt;0,AN32&gt;=AK32),G32,AN32)+SUMIFS('الحركات الشهرية'!$E$6:$E$1005,'الحركات الشهرية'!$B$6:$B$1005,$B32,'الحركات الشهرية'!$A$6:$A$1005,$C$3)))</f>
        <v/>
      </c>
      <c r="J32" s="151" t="str">
        <f aca="false">IF($B32="","",MAX(0,G32-H32-I32))</f>
        <v/>
      </c>
      <c r="K32" s="111" t="str">
        <f aca="false">IF($B32="","",الموظفون!$L32*$J32/cfg_DAYS_M)</f>
        <v/>
      </c>
      <c r="L32" s="111" t="str">
        <f aca="false">IF($B32="","",الموظفون!$M32*$J32/cfg_DAYS_M)</f>
        <v/>
      </c>
      <c r="M32" s="111" t="str">
        <f aca="false">IF($B32="","",الموظفون!$N32*$J32/cfg_DAYS_M)</f>
        <v/>
      </c>
      <c r="N32" s="111" t="str">
        <f aca="false">IF($B32="","",الموظفون!$O32*$J32/cfg_DAYS_M)</f>
        <v/>
      </c>
      <c r="O32" s="151" t="str">
        <f aca="false">IF($B32="","",SUMIFS('الحركات الشهرية'!$F$6:$F$1005,'الحركات الشهرية'!$B$6:$B$1005,$B32,'الحركات الشهرية'!$A$6:$A$1005,$C$3))</f>
        <v/>
      </c>
      <c r="P32" s="111" t="str">
        <f aca="false">IF($B32="","",O32*(الموظفون!$P32+الموظفون!$L32*cfg_OT_P)/cfg_DAYS_M/cfg_HRS)</f>
        <v/>
      </c>
      <c r="Q32" s="111" t="str">
        <f aca="false">IF($B32="","",SUMIFS('الحركات الشهرية'!$G$6:$G$1005,'الحركات الشهرية'!$B$6:$B$1005,$B32,'الحركات الشهرية'!$A$6:$A$1005,$C$3))</f>
        <v/>
      </c>
      <c r="R32" s="111" t="str">
        <f aca="false">IF($B32="","",SUMIFS('الحركات الشهرية'!$H$6:$H$1005,'الحركات الشهرية'!$B$6:$B$1005,$B32,'الحركات الشهرية'!$A$6:$A$1005,$C$3))</f>
        <v/>
      </c>
      <c r="S32" s="111" t="str">
        <f aca="false">IF($B32="","",SUMIFS('سجل الإجازات والحالات'!$N$6:$N$505,'سجل الإجازات والحالات'!$B$6:$B$505,$B32,'سجل الإجازات والحالات'!$O$6:$O$505,$C$3))</f>
        <v/>
      </c>
      <c r="T32" s="152" t="str">
        <f aca="false">IF($B32="","",SUM(K32:N32)+SUM(P32:S32))</f>
        <v/>
      </c>
      <c r="U32" s="111" t="str">
        <f aca="false">IF($B32="","",الموظفون!$S32*IF(E32="سعودي",cfg_G_SE,cfg_G_NE)*G32/cfg_DAYS_M)</f>
        <v/>
      </c>
      <c r="V32" s="111" t="str">
        <f aca="false">IF($B32="","",SUMIFS('الحركات الشهرية'!$I$6:$I$1005,'الحركات الشهرية'!$B$6:$B$1005,$B32,'الحركات الشهرية'!$A$6:$A$1005,$C$3))</f>
        <v/>
      </c>
      <c r="W32" s="111" t="str">
        <f aca="false">IF($B32="","",SUMIFS('الحركات الشهرية'!$J$6:$J$1005,'الحركات الشهرية'!$B$6:$B$1005,$B32,'الحركات الشهرية'!$A$6:$A$1005,$C$3))</f>
        <v/>
      </c>
      <c r="X32" s="111" t="str">
        <f aca="false">IF($B32="","",SUM(U32:W32))</f>
        <v/>
      </c>
      <c r="Y32" s="153" t="str">
        <f aca="false">IF($B32="","",T32-X32)</f>
        <v/>
      </c>
      <c r="Z32" s="111" t="str">
        <f aca="false">IF($B32="","",الموظفون!$S32*IF(E32="سعودي",cfg_G_SR,cfg_G_NR)*G32/cfg_DAYS_M)</f>
        <v/>
      </c>
      <c r="AA32" s="111" t="str">
        <f aca="false">IF($B32="","",الموظفون!$Q32*(cfg_EOS_R1*(MIN(AH32,cfg_EOS_TH)-MIN(AI32,cfg_EOS_TH))+cfg_EOS_R2*(MAX(AH32-cfg_EOS_TH,0)-MAX(AI32-cfg_EOS_TH,0))))</f>
        <v/>
      </c>
      <c r="AB32" s="111" t="str">
        <f aca="false">IF($B32="","",IF(الموظفون!$T32&lt;&gt;"",الموظفون!$T32,IF(AH32&gt;=cfg_LV_TH,cfg_LV_D2,cfg_LV_D1))/cfg_DAYS_Y*AJ32*الموظفون!$R32/cfg_DAYS_M)</f>
        <v/>
      </c>
      <c r="AC32" s="111" t="str">
        <f aca="false">IF($B32="","",IF(AND(الموظفون!$U32="نعم",N(الموظفون!$W32)&gt;0),الموظفون!$V32/الموظفون!$W32*12/cfg_DAYS_Y*AJ32,0))</f>
        <v/>
      </c>
      <c r="AD32" s="111" t="str">
        <f aca="false">IF($B32="","",(IF(الموظفون!$X32&lt;&gt;"",الموظفون!$X32,IF(الموظفون!$E32="غير سعودي",cfg_IQ,0))+IF(الموظفون!$Y32&lt;&gt;"",الموظفون!$Y32,IF(الموظفون!$E32="غير سعودي",cfg_WP,0)))/12*G32/cfg_DAYS_M)</f>
        <v/>
      </c>
      <c r="AE32" s="111" t="str">
        <f aca="false">IF($B32="","",IF(الموظفون!$Z32&lt;&gt;"",الموظفون!$Z32,cfg_MED)/12*G32/cfg_DAYS_M)</f>
        <v/>
      </c>
      <c r="AF32" s="111" t="str">
        <f aca="false">IF($B32="","",N(الموظفون!$AA32)/12*G32/cfg_DAYS_M)</f>
        <v/>
      </c>
      <c r="AG32" s="154" t="str">
        <f aca="false">IF($B32="","",T32+SUM(Z32:AF32))</f>
        <v/>
      </c>
      <c r="AH32" s="155" t="str">
        <f aca="false">IF($B32="","",MAX(0,IF(OR(الموظفون!$AE32="",الموظفون!$AE32&gt;$F$3),$F$3,الموظفون!$AE32)-الموظفون!$H32+1-SUMIFS('سجل الإجازات والحالات'!$AP$6:$AP$505,'سجل الإجازات والحالات'!$B$6:$B$505,$B32))/cfg_DAYS_Y)</f>
        <v/>
      </c>
      <c r="AI32" s="155" t="str">
        <f aca="false">IF($B32="","",MAX(0,IF(OR(الموظفون!$AE32="",الموظفون!$AE32&gt;($E$3-1)),($E$3-1),الموظفون!$AE32)-الموظفون!$H32+1-SUMIFS('سجل الإجازات والحالات'!$AO$6:$AO$505,'سجل الإجازات والحالات'!$B$6:$B$505,$B32))/cfg_DAYS_Y)</f>
        <v/>
      </c>
      <c r="AJ32" s="65" t="str">
        <f aca="false">IF($B32="","",MAX(0,AK32-(SUMIFS('سجل الإجازات والحالات'!$AP$6:$AP$505,'سجل الإجازات والحالات'!$B$6:$B$505,$B32)-SUMIFS('سجل الإجازات والحالات'!$AO$6:$AO$505,'سجل الإجازات والحالات'!$B$6:$B$505,$B32))))</f>
        <v/>
      </c>
      <c r="AK32" s="65" t="str">
        <f aca="false">IF($B32="","",MAX(0,IF(OR(الموظفون!$AE32="",الموظفون!$AE32&gt;$F$3),$F$3,الموظفون!$AE32)-MAX($E$3,الموظفون!$H32)+1))</f>
        <v/>
      </c>
      <c r="AL32" s="151" t="str">
        <f aca="false">IF($B32="","",SUMIFS('سجل الإجازات والحالات'!$BB$6:$BB$505,'سجل الإجازات والحالات'!$B$6:$B$505,$B32)+SUMIFS('الحركات الشهرية'!$K$6:$K$1005,'الحركات الشهرية'!$B$6:$B$1005,$B32,'الحركات الشهرية'!$A$6:$A$1005,$C$3))</f>
        <v/>
      </c>
      <c r="AM32" s="111" t="str">
        <f aca="false">IF($B32="","",AL32*الموظفون!$R32/cfg_DAYS_M+S32)</f>
        <v/>
      </c>
      <c r="AN32" s="151" t="str">
        <f aca="false">IF($B32="","",SUMIFS('سجل الإجازات والحالات'!$AD$6:$AD$505,'سجل الإجازات والحالات'!$B$6:$B$505,$B32))</f>
        <v/>
      </c>
    </row>
    <row r="33" customFormat="false" ht="15" hidden="false" customHeight="false" outlineLevel="0" collapsed="false">
      <c r="A33" s="115" t="str">
        <f aca="false">IF($B33="","",الموظفون!$A33)</f>
        <v/>
      </c>
      <c r="B33" s="117" t="str">
        <f aca="false">IF(الموظفون!$B33="","",الموظفون!$B33)</f>
        <v/>
      </c>
      <c r="C33" s="117" t="str">
        <f aca="false">IF($B33="","",الموظفون!$C33)</f>
        <v/>
      </c>
      <c r="D33" s="117" t="str">
        <f aca="false">IF($B33="","",الموظفون!$F33)</f>
        <v/>
      </c>
      <c r="E33" s="117" t="str">
        <f aca="false">IF($B33="","",الموظفون!$E33)</f>
        <v/>
      </c>
      <c r="F33" s="117" t="str">
        <f aca="false">IF($B33="","",IF(AK33=0,IF(AND(الموظفون!$AE33&lt;&gt;"",الموظفون!$AE33&lt;$E$3),"✖ منتهي الخدمة","⏳ لم يباشر"),IF(S33&gt;0,"✈ راتب إجازة مقدم",IF(J33=0,"⛔ بدون راتب هذا الشهر",IF(I33&gt;0,"✈ خصم "&amp;ROUND(I33,2)&amp;" يوم بدون أجر",IF(AL33&gt;0,"🌴 إجازة سنوية "&amp;ROUND(AL33,2)&amp;" يوم",IF(H33&gt;0,"⚠ غياب "&amp;ROUND(H33,2)&amp;" يوم","✔ على رأس العمل")))))))</f>
        <v/>
      </c>
      <c r="G33" s="156" t="str">
        <f aca="false">IF($B33="","",IF(AK33&gt;=DAY($F$3),cfg_DAYS_M,MIN(AK33,cfg_DAYS_M)))</f>
        <v/>
      </c>
      <c r="H33" s="156" t="str">
        <f aca="false">IF($B33="","",SUMIFS('الحركات الشهرية'!$D$6:$D$1005,'الحركات الشهرية'!$B$6:$B$1005,$B33,'الحركات الشهرية'!$A$6:$A$1005,$C$3))</f>
        <v/>
      </c>
      <c r="I33" s="156" t="str">
        <f aca="false">IF($B33="","",MIN(G33,IF(AND(AK33&gt;0,AN33&gt;=AK33),G33,AN33)+SUMIFS('الحركات الشهرية'!$E$6:$E$1005,'الحركات الشهرية'!$B$6:$B$1005,$B33,'الحركات الشهرية'!$A$6:$A$1005,$C$3)))</f>
        <v/>
      </c>
      <c r="J33" s="156" t="str">
        <f aca="false">IF($B33="","",MAX(0,G33-H33-I33))</f>
        <v/>
      </c>
      <c r="K33" s="116" t="str">
        <f aca="false">IF($B33="","",الموظفون!$L33*$J33/cfg_DAYS_M)</f>
        <v/>
      </c>
      <c r="L33" s="116" t="str">
        <f aca="false">IF($B33="","",الموظفون!$M33*$J33/cfg_DAYS_M)</f>
        <v/>
      </c>
      <c r="M33" s="116" t="str">
        <f aca="false">IF($B33="","",الموظفون!$N33*$J33/cfg_DAYS_M)</f>
        <v/>
      </c>
      <c r="N33" s="116" t="str">
        <f aca="false">IF($B33="","",الموظفون!$O33*$J33/cfg_DAYS_M)</f>
        <v/>
      </c>
      <c r="O33" s="156" t="str">
        <f aca="false">IF($B33="","",SUMIFS('الحركات الشهرية'!$F$6:$F$1005,'الحركات الشهرية'!$B$6:$B$1005,$B33,'الحركات الشهرية'!$A$6:$A$1005,$C$3))</f>
        <v/>
      </c>
      <c r="P33" s="116" t="str">
        <f aca="false">IF($B33="","",O33*(الموظفون!$P33+الموظفون!$L33*cfg_OT_P)/cfg_DAYS_M/cfg_HRS)</f>
        <v/>
      </c>
      <c r="Q33" s="116" t="str">
        <f aca="false">IF($B33="","",SUMIFS('الحركات الشهرية'!$G$6:$G$1005,'الحركات الشهرية'!$B$6:$B$1005,$B33,'الحركات الشهرية'!$A$6:$A$1005,$C$3))</f>
        <v/>
      </c>
      <c r="R33" s="116" t="str">
        <f aca="false">IF($B33="","",SUMIFS('الحركات الشهرية'!$H$6:$H$1005,'الحركات الشهرية'!$B$6:$B$1005,$B33,'الحركات الشهرية'!$A$6:$A$1005,$C$3))</f>
        <v/>
      </c>
      <c r="S33" s="116" t="str">
        <f aca="false">IF($B33="","",SUMIFS('سجل الإجازات والحالات'!$N$6:$N$505,'سجل الإجازات والحالات'!$B$6:$B$505,$B33,'سجل الإجازات والحالات'!$O$6:$O$505,$C$3))</f>
        <v/>
      </c>
      <c r="T33" s="157" t="str">
        <f aca="false">IF($B33="","",SUM(K33:N33)+SUM(P33:S33))</f>
        <v/>
      </c>
      <c r="U33" s="116" t="str">
        <f aca="false">IF($B33="","",الموظفون!$S33*IF(E33="سعودي",cfg_G_SE,cfg_G_NE)*G33/cfg_DAYS_M)</f>
        <v/>
      </c>
      <c r="V33" s="116" t="str">
        <f aca="false">IF($B33="","",SUMIFS('الحركات الشهرية'!$I$6:$I$1005,'الحركات الشهرية'!$B$6:$B$1005,$B33,'الحركات الشهرية'!$A$6:$A$1005,$C$3))</f>
        <v/>
      </c>
      <c r="W33" s="116" t="str">
        <f aca="false">IF($B33="","",SUMIFS('الحركات الشهرية'!$J$6:$J$1005,'الحركات الشهرية'!$B$6:$B$1005,$B33,'الحركات الشهرية'!$A$6:$A$1005,$C$3))</f>
        <v/>
      </c>
      <c r="X33" s="116" t="str">
        <f aca="false">IF($B33="","",SUM(U33:W33))</f>
        <v/>
      </c>
      <c r="Y33" s="158" t="str">
        <f aca="false">IF($B33="","",T33-X33)</f>
        <v/>
      </c>
      <c r="Z33" s="116" t="str">
        <f aca="false">IF($B33="","",الموظفون!$S33*IF(E33="سعودي",cfg_G_SR,cfg_G_NR)*G33/cfg_DAYS_M)</f>
        <v/>
      </c>
      <c r="AA33" s="116" t="str">
        <f aca="false">IF($B33="","",الموظفون!$Q33*(cfg_EOS_R1*(MIN(AH33,cfg_EOS_TH)-MIN(AI33,cfg_EOS_TH))+cfg_EOS_R2*(MAX(AH33-cfg_EOS_TH,0)-MAX(AI33-cfg_EOS_TH,0))))</f>
        <v/>
      </c>
      <c r="AB33" s="116" t="str">
        <f aca="false">IF($B33="","",IF(الموظفون!$T33&lt;&gt;"",الموظفون!$T33,IF(AH33&gt;=cfg_LV_TH,cfg_LV_D2,cfg_LV_D1))/cfg_DAYS_Y*AJ33*الموظفون!$R33/cfg_DAYS_M)</f>
        <v/>
      </c>
      <c r="AC33" s="116" t="str">
        <f aca="false">IF($B33="","",IF(AND(الموظفون!$U33="نعم",N(الموظفون!$W33)&gt;0),الموظفون!$V33/الموظفون!$W33*12/cfg_DAYS_Y*AJ33,0))</f>
        <v/>
      </c>
      <c r="AD33" s="116" t="str">
        <f aca="false">IF($B33="","",(IF(الموظفون!$X33&lt;&gt;"",الموظفون!$X33,IF(الموظفون!$E33="غير سعودي",cfg_IQ,0))+IF(الموظفون!$Y33&lt;&gt;"",الموظفون!$Y33,IF(الموظفون!$E33="غير سعودي",cfg_WP,0)))/12*G33/cfg_DAYS_M)</f>
        <v/>
      </c>
      <c r="AE33" s="116" t="str">
        <f aca="false">IF($B33="","",IF(الموظفون!$Z33&lt;&gt;"",الموظفون!$Z33,cfg_MED)/12*G33/cfg_DAYS_M)</f>
        <v/>
      </c>
      <c r="AF33" s="116" t="str">
        <f aca="false">IF($B33="","",N(الموظفون!$AA33)/12*G33/cfg_DAYS_M)</f>
        <v/>
      </c>
      <c r="AG33" s="159" t="str">
        <f aca="false">IF($B33="","",T33+SUM(Z33:AF33))</f>
        <v/>
      </c>
      <c r="AH33" s="160" t="str">
        <f aca="false">IF($B33="","",MAX(0,IF(OR(الموظفون!$AE33="",الموظفون!$AE33&gt;$F$3),$F$3,الموظفون!$AE33)-الموظفون!$H33+1-SUMIFS('سجل الإجازات والحالات'!$AP$6:$AP$505,'سجل الإجازات والحالات'!$B$6:$B$505,$B33))/cfg_DAYS_Y)</f>
        <v/>
      </c>
      <c r="AI33" s="160" t="str">
        <f aca="false">IF($B33="","",MAX(0,IF(OR(الموظفون!$AE33="",الموظفون!$AE33&gt;($E$3-1)),($E$3-1),الموظفون!$AE33)-الموظفون!$H33+1-SUMIFS('سجل الإجازات والحالات'!$AO$6:$AO$505,'سجل الإجازات والحالات'!$B$6:$B$505,$B33))/cfg_DAYS_Y)</f>
        <v/>
      </c>
      <c r="AJ33" s="133" t="str">
        <f aca="false">IF($B33="","",MAX(0,AK33-(SUMIFS('سجل الإجازات والحالات'!$AP$6:$AP$505,'سجل الإجازات والحالات'!$B$6:$B$505,$B33)-SUMIFS('سجل الإجازات والحالات'!$AO$6:$AO$505,'سجل الإجازات والحالات'!$B$6:$B$505,$B33))))</f>
        <v/>
      </c>
      <c r="AK33" s="133" t="str">
        <f aca="false">IF($B33="","",MAX(0,IF(OR(الموظفون!$AE33="",الموظفون!$AE33&gt;$F$3),$F$3,الموظفون!$AE33)-MAX($E$3,الموظفون!$H33)+1))</f>
        <v/>
      </c>
      <c r="AL33" s="156" t="str">
        <f aca="false">IF($B33="","",SUMIFS('سجل الإجازات والحالات'!$BB$6:$BB$505,'سجل الإجازات والحالات'!$B$6:$B$505,$B33)+SUMIFS('الحركات الشهرية'!$K$6:$K$1005,'الحركات الشهرية'!$B$6:$B$1005,$B33,'الحركات الشهرية'!$A$6:$A$1005,$C$3))</f>
        <v/>
      </c>
      <c r="AM33" s="116" t="str">
        <f aca="false">IF($B33="","",AL33*الموظفون!$R33/cfg_DAYS_M+S33)</f>
        <v/>
      </c>
      <c r="AN33" s="156" t="str">
        <f aca="false">IF($B33="","",SUMIFS('سجل الإجازات والحالات'!$AD$6:$AD$505,'سجل الإجازات والحالات'!$B$6:$B$505,$B33))</f>
        <v/>
      </c>
    </row>
    <row r="34" customFormat="false" ht="15" hidden="false" customHeight="false" outlineLevel="0" collapsed="false">
      <c r="A34" s="106" t="str">
        <f aca="false">IF($B34="","",الموظفون!$A34)</f>
        <v/>
      </c>
      <c r="B34" s="114" t="str">
        <f aca="false">IF(الموظفون!$B34="","",الموظفون!$B34)</f>
        <v/>
      </c>
      <c r="C34" s="114" t="str">
        <f aca="false">IF($B34="","",الموظفون!$C34)</f>
        <v/>
      </c>
      <c r="D34" s="114" t="str">
        <f aca="false">IF($B34="","",الموظفون!$F34)</f>
        <v/>
      </c>
      <c r="E34" s="114" t="str">
        <f aca="false">IF($B34="","",الموظفون!$E34)</f>
        <v/>
      </c>
      <c r="F34" s="114" t="str">
        <f aca="false">IF($B34="","",IF(AK34=0,IF(AND(الموظفون!$AE34&lt;&gt;"",الموظفون!$AE34&lt;$E$3),"✖ منتهي الخدمة","⏳ لم يباشر"),IF(S34&gt;0,"✈ راتب إجازة مقدم",IF(J34=0,"⛔ بدون راتب هذا الشهر",IF(I34&gt;0,"✈ خصم "&amp;ROUND(I34,2)&amp;" يوم بدون أجر",IF(AL34&gt;0,"🌴 إجازة سنوية "&amp;ROUND(AL34,2)&amp;" يوم",IF(H34&gt;0,"⚠ غياب "&amp;ROUND(H34,2)&amp;" يوم","✔ على رأس العمل")))))))</f>
        <v/>
      </c>
      <c r="G34" s="151" t="str">
        <f aca="false">IF($B34="","",IF(AK34&gt;=DAY($F$3),cfg_DAYS_M,MIN(AK34,cfg_DAYS_M)))</f>
        <v/>
      </c>
      <c r="H34" s="151" t="str">
        <f aca="false">IF($B34="","",SUMIFS('الحركات الشهرية'!$D$6:$D$1005,'الحركات الشهرية'!$B$6:$B$1005,$B34,'الحركات الشهرية'!$A$6:$A$1005,$C$3))</f>
        <v/>
      </c>
      <c r="I34" s="151" t="str">
        <f aca="false">IF($B34="","",MIN(G34,IF(AND(AK34&gt;0,AN34&gt;=AK34),G34,AN34)+SUMIFS('الحركات الشهرية'!$E$6:$E$1005,'الحركات الشهرية'!$B$6:$B$1005,$B34,'الحركات الشهرية'!$A$6:$A$1005,$C$3)))</f>
        <v/>
      </c>
      <c r="J34" s="151" t="str">
        <f aca="false">IF($B34="","",MAX(0,G34-H34-I34))</f>
        <v/>
      </c>
      <c r="K34" s="111" t="str">
        <f aca="false">IF($B34="","",الموظفون!$L34*$J34/cfg_DAYS_M)</f>
        <v/>
      </c>
      <c r="L34" s="111" t="str">
        <f aca="false">IF($B34="","",الموظفون!$M34*$J34/cfg_DAYS_M)</f>
        <v/>
      </c>
      <c r="M34" s="111" t="str">
        <f aca="false">IF($B34="","",الموظفون!$N34*$J34/cfg_DAYS_M)</f>
        <v/>
      </c>
      <c r="N34" s="111" t="str">
        <f aca="false">IF($B34="","",الموظفون!$O34*$J34/cfg_DAYS_M)</f>
        <v/>
      </c>
      <c r="O34" s="151" t="str">
        <f aca="false">IF($B34="","",SUMIFS('الحركات الشهرية'!$F$6:$F$1005,'الحركات الشهرية'!$B$6:$B$1005,$B34,'الحركات الشهرية'!$A$6:$A$1005,$C$3))</f>
        <v/>
      </c>
      <c r="P34" s="111" t="str">
        <f aca="false">IF($B34="","",O34*(الموظفون!$P34+الموظفون!$L34*cfg_OT_P)/cfg_DAYS_M/cfg_HRS)</f>
        <v/>
      </c>
      <c r="Q34" s="111" t="str">
        <f aca="false">IF($B34="","",SUMIFS('الحركات الشهرية'!$G$6:$G$1005,'الحركات الشهرية'!$B$6:$B$1005,$B34,'الحركات الشهرية'!$A$6:$A$1005,$C$3))</f>
        <v/>
      </c>
      <c r="R34" s="111" t="str">
        <f aca="false">IF($B34="","",SUMIFS('الحركات الشهرية'!$H$6:$H$1005,'الحركات الشهرية'!$B$6:$B$1005,$B34,'الحركات الشهرية'!$A$6:$A$1005,$C$3))</f>
        <v/>
      </c>
      <c r="S34" s="111" t="str">
        <f aca="false">IF($B34="","",SUMIFS('سجل الإجازات والحالات'!$N$6:$N$505,'سجل الإجازات والحالات'!$B$6:$B$505,$B34,'سجل الإجازات والحالات'!$O$6:$O$505,$C$3))</f>
        <v/>
      </c>
      <c r="T34" s="152" t="str">
        <f aca="false">IF($B34="","",SUM(K34:N34)+SUM(P34:S34))</f>
        <v/>
      </c>
      <c r="U34" s="111" t="str">
        <f aca="false">IF($B34="","",الموظفون!$S34*IF(E34="سعودي",cfg_G_SE,cfg_G_NE)*G34/cfg_DAYS_M)</f>
        <v/>
      </c>
      <c r="V34" s="111" t="str">
        <f aca="false">IF($B34="","",SUMIFS('الحركات الشهرية'!$I$6:$I$1005,'الحركات الشهرية'!$B$6:$B$1005,$B34,'الحركات الشهرية'!$A$6:$A$1005,$C$3))</f>
        <v/>
      </c>
      <c r="W34" s="111" t="str">
        <f aca="false">IF($B34="","",SUMIFS('الحركات الشهرية'!$J$6:$J$1005,'الحركات الشهرية'!$B$6:$B$1005,$B34,'الحركات الشهرية'!$A$6:$A$1005,$C$3))</f>
        <v/>
      </c>
      <c r="X34" s="111" t="str">
        <f aca="false">IF($B34="","",SUM(U34:W34))</f>
        <v/>
      </c>
      <c r="Y34" s="153" t="str">
        <f aca="false">IF($B34="","",T34-X34)</f>
        <v/>
      </c>
      <c r="Z34" s="111" t="str">
        <f aca="false">IF($B34="","",الموظفون!$S34*IF(E34="سعودي",cfg_G_SR,cfg_G_NR)*G34/cfg_DAYS_M)</f>
        <v/>
      </c>
      <c r="AA34" s="111" t="str">
        <f aca="false">IF($B34="","",الموظفون!$Q34*(cfg_EOS_R1*(MIN(AH34,cfg_EOS_TH)-MIN(AI34,cfg_EOS_TH))+cfg_EOS_R2*(MAX(AH34-cfg_EOS_TH,0)-MAX(AI34-cfg_EOS_TH,0))))</f>
        <v/>
      </c>
      <c r="AB34" s="111" t="str">
        <f aca="false">IF($B34="","",IF(الموظفون!$T34&lt;&gt;"",الموظفون!$T34,IF(AH34&gt;=cfg_LV_TH,cfg_LV_D2,cfg_LV_D1))/cfg_DAYS_Y*AJ34*الموظفون!$R34/cfg_DAYS_M)</f>
        <v/>
      </c>
      <c r="AC34" s="111" t="str">
        <f aca="false">IF($B34="","",IF(AND(الموظفون!$U34="نعم",N(الموظفون!$W34)&gt;0),الموظفون!$V34/الموظفون!$W34*12/cfg_DAYS_Y*AJ34,0))</f>
        <v/>
      </c>
      <c r="AD34" s="111" t="str">
        <f aca="false">IF($B34="","",(IF(الموظفون!$X34&lt;&gt;"",الموظفون!$X34,IF(الموظفون!$E34="غير سعودي",cfg_IQ,0))+IF(الموظفون!$Y34&lt;&gt;"",الموظفون!$Y34,IF(الموظفون!$E34="غير سعودي",cfg_WP,0)))/12*G34/cfg_DAYS_M)</f>
        <v/>
      </c>
      <c r="AE34" s="111" t="str">
        <f aca="false">IF($B34="","",IF(الموظفون!$Z34&lt;&gt;"",الموظفون!$Z34,cfg_MED)/12*G34/cfg_DAYS_M)</f>
        <v/>
      </c>
      <c r="AF34" s="111" t="str">
        <f aca="false">IF($B34="","",N(الموظفون!$AA34)/12*G34/cfg_DAYS_M)</f>
        <v/>
      </c>
      <c r="AG34" s="154" t="str">
        <f aca="false">IF($B34="","",T34+SUM(Z34:AF34))</f>
        <v/>
      </c>
      <c r="AH34" s="155" t="str">
        <f aca="false">IF($B34="","",MAX(0,IF(OR(الموظفون!$AE34="",الموظفون!$AE34&gt;$F$3),$F$3,الموظفون!$AE34)-الموظفون!$H34+1-SUMIFS('سجل الإجازات والحالات'!$AP$6:$AP$505,'سجل الإجازات والحالات'!$B$6:$B$505,$B34))/cfg_DAYS_Y)</f>
        <v/>
      </c>
      <c r="AI34" s="155" t="str">
        <f aca="false">IF($B34="","",MAX(0,IF(OR(الموظفون!$AE34="",الموظفون!$AE34&gt;($E$3-1)),($E$3-1),الموظفون!$AE34)-الموظفون!$H34+1-SUMIFS('سجل الإجازات والحالات'!$AO$6:$AO$505,'سجل الإجازات والحالات'!$B$6:$B$505,$B34))/cfg_DAYS_Y)</f>
        <v/>
      </c>
      <c r="AJ34" s="65" t="str">
        <f aca="false">IF($B34="","",MAX(0,AK34-(SUMIFS('سجل الإجازات والحالات'!$AP$6:$AP$505,'سجل الإجازات والحالات'!$B$6:$B$505,$B34)-SUMIFS('سجل الإجازات والحالات'!$AO$6:$AO$505,'سجل الإجازات والحالات'!$B$6:$B$505,$B34))))</f>
        <v/>
      </c>
      <c r="AK34" s="65" t="str">
        <f aca="false">IF($B34="","",MAX(0,IF(OR(الموظفون!$AE34="",الموظفون!$AE34&gt;$F$3),$F$3,الموظفون!$AE34)-MAX($E$3,الموظفون!$H34)+1))</f>
        <v/>
      </c>
      <c r="AL34" s="151" t="str">
        <f aca="false">IF($B34="","",SUMIFS('سجل الإجازات والحالات'!$BB$6:$BB$505,'سجل الإجازات والحالات'!$B$6:$B$505,$B34)+SUMIFS('الحركات الشهرية'!$K$6:$K$1005,'الحركات الشهرية'!$B$6:$B$1005,$B34,'الحركات الشهرية'!$A$6:$A$1005,$C$3))</f>
        <v/>
      </c>
      <c r="AM34" s="111" t="str">
        <f aca="false">IF($B34="","",AL34*الموظفون!$R34/cfg_DAYS_M+S34)</f>
        <v/>
      </c>
      <c r="AN34" s="151" t="str">
        <f aca="false">IF($B34="","",SUMIFS('سجل الإجازات والحالات'!$AD$6:$AD$505,'سجل الإجازات والحالات'!$B$6:$B$505,$B34))</f>
        <v/>
      </c>
    </row>
    <row r="35" customFormat="false" ht="15" hidden="false" customHeight="false" outlineLevel="0" collapsed="false">
      <c r="A35" s="115" t="str">
        <f aca="false">IF($B35="","",الموظفون!$A35)</f>
        <v/>
      </c>
      <c r="B35" s="117" t="str">
        <f aca="false">IF(الموظفون!$B35="","",الموظفون!$B35)</f>
        <v/>
      </c>
      <c r="C35" s="117" t="str">
        <f aca="false">IF($B35="","",الموظفون!$C35)</f>
        <v/>
      </c>
      <c r="D35" s="117" t="str">
        <f aca="false">IF($B35="","",الموظفون!$F35)</f>
        <v/>
      </c>
      <c r="E35" s="117" t="str">
        <f aca="false">IF($B35="","",الموظفون!$E35)</f>
        <v/>
      </c>
      <c r="F35" s="117" t="str">
        <f aca="false">IF($B35="","",IF(AK35=0,IF(AND(الموظفون!$AE35&lt;&gt;"",الموظفون!$AE35&lt;$E$3),"✖ منتهي الخدمة","⏳ لم يباشر"),IF(S35&gt;0,"✈ راتب إجازة مقدم",IF(J35=0,"⛔ بدون راتب هذا الشهر",IF(I35&gt;0,"✈ خصم "&amp;ROUND(I35,2)&amp;" يوم بدون أجر",IF(AL35&gt;0,"🌴 إجازة سنوية "&amp;ROUND(AL35,2)&amp;" يوم",IF(H35&gt;0,"⚠ غياب "&amp;ROUND(H35,2)&amp;" يوم","✔ على رأس العمل")))))))</f>
        <v/>
      </c>
      <c r="G35" s="156" t="str">
        <f aca="false">IF($B35="","",IF(AK35&gt;=DAY($F$3),cfg_DAYS_M,MIN(AK35,cfg_DAYS_M)))</f>
        <v/>
      </c>
      <c r="H35" s="156" t="str">
        <f aca="false">IF($B35="","",SUMIFS('الحركات الشهرية'!$D$6:$D$1005,'الحركات الشهرية'!$B$6:$B$1005,$B35,'الحركات الشهرية'!$A$6:$A$1005,$C$3))</f>
        <v/>
      </c>
      <c r="I35" s="156" t="str">
        <f aca="false">IF($B35="","",MIN(G35,IF(AND(AK35&gt;0,AN35&gt;=AK35),G35,AN35)+SUMIFS('الحركات الشهرية'!$E$6:$E$1005,'الحركات الشهرية'!$B$6:$B$1005,$B35,'الحركات الشهرية'!$A$6:$A$1005,$C$3)))</f>
        <v/>
      </c>
      <c r="J35" s="156" t="str">
        <f aca="false">IF($B35="","",MAX(0,G35-H35-I35))</f>
        <v/>
      </c>
      <c r="K35" s="116" t="str">
        <f aca="false">IF($B35="","",الموظفون!$L35*$J35/cfg_DAYS_M)</f>
        <v/>
      </c>
      <c r="L35" s="116" t="str">
        <f aca="false">IF($B35="","",الموظفون!$M35*$J35/cfg_DAYS_M)</f>
        <v/>
      </c>
      <c r="M35" s="116" t="str">
        <f aca="false">IF($B35="","",الموظفون!$N35*$J35/cfg_DAYS_M)</f>
        <v/>
      </c>
      <c r="N35" s="116" t="str">
        <f aca="false">IF($B35="","",الموظفون!$O35*$J35/cfg_DAYS_M)</f>
        <v/>
      </c>
      <c r="O35" s="156" t="str">
        <f aca="false">IF($B35="","",SUMIFS('الحركات الشهرية'!$F$6:$F$1005,'الحركات الشهرية'!$B$6:$B$1005,$B35,'الحركات الشهرية'!$A$6:$A$1005,$C$3))</f>
        <v/>
      </c>
      <c r="P35" s="116" t="str">
        <f aca="false">IF($B35="","",O35*(الموظفون!$P35+الموظفون!$L35*cfg_OT_P)/cfg_DAYS_M/cfg_HRS)</f>
        <v/>
      </c>
      <c r="Q35" s="116" t="str">
        <f aca="false">IF($B35="","",SUMIFS('الحركات الشهرية'!$G$6:$G$1005,'الحركات الشهرية'!$B$6:$B$1005,$B35,'الحركات الشهرية'!$A$6:$A$1005,$C$3))</f>
        <v/>
      </c>
      <c r="R35" s="116" t="str">
        <f aca="false">IF($B35="","",SUMIFS('الحركات الشهرية'!$H$6:$H$1005,'الحركات الشهرية'!$B$6:$B$1005,$B35,'الحركات الشهرية'!$A$6:$A$1005,$C$3))</f>
        <v/>
      </c>
      <c r="S35" s="116" t="str">
        <f aca="false">IF($B35="","",SUMIFS('سجل الإجازات والحالات'!$N$6:$N$505,'سجل الإجازات والحالات'!$B$6:$B$505,$B35,'سجل الإجازات والحالات'!$O$6:$O$505,$C$3))</f>
        <v/>
      </c>
      <c r="T35" s="157" t="str">
        <f aca="false">IF($B35="","",SUM(K35:N35)+SUM(P35:S35))</f>
        <v/>
      </c>
      <c r="U35" s="116" t="str">
        <f aca="false">IF($B35="","",الموظفون!$S35*IF(E35="سعودي",cfg_G_SE,cfg_G_NE)*G35/cfg_DAYS_M)</f>
        <v/>
      </c>
      <c r="V35" s="116" t="str">
        <f aca="false">IF($B35="","",SUMIFS('الحركات الشهرية'!$I$6:$I$1005,'الحركات الشهرية'!$B$6:$B$1005,$B35,'الحركات الشهرية'!$A$6:$A$1005,$C$3))</f>
        <v/>
      </c>
      <c r="W35" s="116" t="str">
        <f aca="false">IF($B35="","",SUMIFS('الحركات الشهرية'!$J$6:$J$1005,'الحركات الشهرية'!$B$6:$B$1005,$B35,'الحركات الشهرية'!$A$6:$A$1005,$C$3))</f>
        <v/>
      </c>
      <c r="X35" s="116" t="str">
        <f aca="false">IF($B35="","",SUM(U35:W35))</f>
        <v/>
      </c>
      <c r="Y35" s="158" t="str">
        <f aca="false">IF($B35="","",T35-X35)</f>
        <v/>
      </c>
      <c r="Z35" s="116" t="str">
        <f aca="false">IF($B35="","",الموظفون!$S35*IF(E35="سعودي",cfg_G_SR,cfg_G_NR)*G35/cfg_DAYS_M)</f>
        <v/>
      </c>
      <c r="AA35" s="116" t="str">
        <f aca="false">IF($B35="","",الموظفون!$Q35*(cfg_EOS_R1*(MIN(AH35,cfg_EOS_TH)-MIN(AI35,cfg_EOS_TH))+cfg_EOS_R2*(MAX(AH35-cfg_EOS_TH,0)-MAX(AI35-cfg_EOS_TH,0))))</f>
        <v/>
      </c>
      <c r="AB35" s="116" t="str">
        <f aca="false">IF($B35="","",IF(الموظفون!$T35&lt;&gt;"",الموظفون!$T35,IF(AH35&gt;=cfg_LV_TH,cfg_LV_D2,cfg_LV_D1))/cfg_DAYS_Y*AJ35*الموظفون!$R35/cfg_DAYS_M)</f>
        <v/>
      </c>
      <c r="AC35" s="116" t="str">
        <f aca="false">IF($B35="","",IF(AND(الموظفون!$U35="نعم",N(الموظفون!$W35)&gt;0),الموظفون!$V35/الموظفون!$W35*12/cfg_DAYS_Y*AJ35,0))</f>
        <v/>
      </c>
      <c r="AD35" s="116" t="str">
        <f aca="false">IF($B35="","",(IF(الموظفون!$X35&lt;&gt;"",الموظفون!$X35,IF(الموظفون!$E35="غير سعودي",cfg_IQ,0))+IF(الموظفون!$Y35&lt;&gt;"",الموظفون!$Y35,IF(الموظفون!$E35="غير سعودي",cfg_WP,0)))/12*G35/cfg_DAYS_M)</f>
        <v/>
      </c>
      <c r="AE35" s="116" t="str">
        <f aca="false">IF($B35="","",IF(الموظفون!$Z35&lt;&gt;"",الموظفون!$Z35,cfg_MED)/12*G35/cfg_DAYS_M)</f>
        <v/>
      </c>
      <c r="AF35" s="116" t="str">
        <f aca="false">IF($B35="","",N(الموظفون!$AA35)/12*G35/cfg_DAYS_M)</f>
        <v/>
      </c>
      <c r="AG35" s="159" t="str">
        <f aca="false">IF($B35="","",T35+SUM(Z35:AF35))</f>
        <v/>
      </c>
      <c r="AH35" s="160" t="str">
        <f aca="false">IF($B35="","",MAX(0,IF(OR(الموظفون!$AE35="",الموظفون!$AE35&gt;$F$3),$F$3,الموظفون!$AE35)-الموظفون!$H35+1-SUMIFS('سجل الإجازات والحالات'!$AP$6:$AP$505,'سجل الإجازات والحالات'!$B$6:$B$505,$B35))/cfg_DAYS_Y)</f>
        <v/>
      </c>
      <c r="AI35" s="160" t="str">
        <f aca="false">IF($B35="","",MAX(0,IF(OR(الموظفون!$AE35="",الموظفون!$AE35&gt;($E$3-1)),($E$3-1),الموظفون!$AE35)-الموظفون!$H35+1-SUMIFS('سجل الإجازات والحالات'!$AO$6:$AO$505,'سجل الإجازات والحالات'!$B$6:$B$505,$B35))/cfg_DAYS_Y)</f>
        <v/>
      </c>
      <c r="AJ35" s="133" t="str">
        <f aca="false">IF($B35="","",MAX(0,AK35-(SUMIFS('سجل الإجازات والحالات'!$AP$6:$AP$505,'سجل الإجازات والحالات'!$B$6:$B$505,$B35)-SUMIFS('سجل الإجازات والحالات'!$AO$6:$AO$505,'سجل الإجازات والحالات'!$B$6:$B$505,$B35))))</f>
        <v/>
      </c>
      <c r="AK35" s="133" t="str">
        <f aca="false">IF($B35="","",MAX(0,IF(OR(الموظفون!$AE35="",الموظفون!$AE35&gt;$F$3),$F$3,الموظفون!$AE35)-MAX($E$3,الموظفون!$H35)+1))</f>
        <v/>
      </c>
      <c r="AL35" s="156" t="str">
        <f aca="false">IF($B35="","",SUMIFS('سجل الإجازات والحالات'!$BB$6:$BB$505,'سجل الإجازات والحالات'!$B$6:$B$505,$B35)+SUMIFS('الحركات الشهرية'!$K$6:$K$1005,'الحركات الشهرية'!$B$6:$B$1005,$B35,'الحركات الشهرية'!$A$6:$A$1005,$C$3))</f>
        <v/>
      </c>
      <c r="AM35" s="116" t="str">
        <f aca="false">IF($B35="","",AL35*الموظفون!$R35/cfg_DAYS_M+S35)</f>
        <v/>
      </c>
      <c r="AN35" s="156" t="str">
        <f aca="false">IF($B35="","",SUMIFS('سجل الإجازات والحالات'!$AD$6:$AD$505,'سجل الإجازات والحالات'!$B$6:$B$505,$B35))</f>
        <v/>
      </c>
    </row>
    <row r="36" customFormat="false" ht="15" hidden="false" customHeight="false" outlineLevel="0" collapsed="false">
      <c r="A36" s="106" t="str">
        <f aca="false">IF($B36="","",الموظفون!$A36)</f>
        <v/>
      </c>
      <c r="B36" s="114" t="str">
        <f aca="false">IF(الموظفون!$B36="","",الموظفون!$B36)</f>
        <v/>
      </c>
      <c r="C36" s="114" t="str">
        <f aca="false">IF($B36="","",الموظفون!$C36)</f>
        <v/>
      </c>
      <c r="D36" s="114" t="str">
        <f aca="false">IF($B36="","",الموظفون!$F36)</f>
        <v/>
      </c>
      <c r="E36" s="114" t="str">
        <f aca="false">IF($B36="","",الموظفون!$E36)</f>
        <v/>
      </c>
      <c r="F36" s="114" t="str">
        <f aca="false">IF($B36="","",IF(AK36=0,IF(AND(الموظفون!$AE36&lt;&gt;"",الموظفون!$AE36&lt;$E$3),"✖ منتهي الخدمة","⏳ لم يباشر"),IF(S36&gt;0,"✈ راتب إجازة مقدم",IF(J36=0,"⛔ بدون راتب هذا الشهر",IF(I36&gt;0,"✈ خصم "&amp;ROUND(I36,2)&amp;" يوم بدون أجر",IF(AL36&gt;0,"🌴 إجازة سنوية "&amp;ROUND(AL36,2)&amp;" يوم",IF(H36&gt;0,"⚠ غياب "&amp;ROUND(H36,2)&amp;" يوم","✔ على رأس العمل")))))))</f>
        <v/>
      </c>
      <c r="G36" s="151" t="str">
        <f aca="false">IF($B36="","",IF(AK36&gt;=DAY($F$3),cfg_DAYS_M,MIN(AK36,cfg_DAYS_M)))</f>
        <v/>
      </c>
      <c r="H36" s="151" t="str">
        <f aca="false">IF($B36="","",SUMIFS('الحركات الشهرية'!$D$6:$D$1005,'الحركات الشهرية'!$B$6:$B$1005,$B36,'الحركات الشهرية'!$A$6:$A$1005,$C$3))</f>
        <v/>
      </c>
      <c r="I36" s="151" t="str">
        <f aca="false">IF($B36="","",MIN(G36,IF(AND(AK36&gt;0,AN36&gt;=AK36),G36,AN36)+SUMIFS('الحركات الشهرية'!$E$6:$E$1005,'الحركات الشهرية'!$B$6:$B$1005,$B36,'الحركات الشهرية'!$A$6:$A$1005,$C$3)))</f>
        <v/>
      </c>
      <c r="J36" s="151" t="str">
        <f aca="false">IF($B36="","",MAX(0,G36-H36-I36))</f>
        <v/>
      </c>
      <c r="K36" s="111" t="str">
        <f aca="false">IF($B36="","",الموظفون!$L36*$J36/cfg_DAYS_M)</f>
        <v/>
      </c>
      <c r="L36" s="111" t="str">
        <f aca="false">IF($B36="","",الموظفون!$M36*$J36/cfg_DAYS_M)</f>
        <v/>
      </c>
      <c r="M36" s="111" t="str">
        <f aca="false">IF($B36="","",الموظفون!$N36*$J36/cfg_DAYS_M)</f>
        <v/>
      </c>
      <c r="N36" s="111" t="str">
        <f aca="false">IF($B36="","",الموظفون!$O36*$J36/cfg_DAYS_M)</f>
        <v/>
      </c>
      <c r="O36" s="151" t="str">
        <f aca="false">IF($B36="","",SUMIFS('الحركات الشهرية'!$F$6:$F$1005,'الحركات الشهرية'!$B$6:$B$1005,$B36,'الحركات الشهرية'!$A$6:$A$1005,$C$3))</f>
        <v/>
      </c>
      <c r="P36" s="111" t="str">
        <f aca="false">IF($B36="","",O36*(الموظفون!$P36+الموظفون!$L36*cfg_OT_P)/cfg_DAYS_M/cfg_HRS)</f>
        <v/>
      </c>
      <c r="Q36" s="111" t="str">
        <f aca="false">IF($B36="","",SUMIFS('الحركات الشهرية'!$G$6:$G$1005,'الحركات الشهرية'!$B$6:$B$1005,$B36,'الحركات الشهرية'!$A$6:$A$1005,$C$3))</f>
        <v/>
      </c>
      <c r="R36" s="111" t="str">
        <f aca="false">IF($B36="","",SUMIFS('الحركات الشهرية'!$H$6:$H$1005,'الحركات الشهرية'!$B$6:$B$1005,$B36,'الحركات الشهرية'!$A$6:$A$1005,$C$3))</f>
        <v/>
      </c>
      <c r="S36" s="111" t="str">
        <f aca="false">IF($B36="","",SUMIFS('سجل الإجازات والحالات'!$N$6:$N$505,'سجل الإجازات والحالات'!$B$6:$B$505,$B36,'سجل الإجازات والحالات'!$O$6:$O$505,$C$3))</f>
        <v/>
      </c>
      <c r="T36" s="152" t="str">
        <f aca="false">IF($B36="","",SUM(K36:N36)+SUM(P36:S36))</f>
        <v/>
      </c>
      <c r="U36" s="111" t="str">
        <f aca="false">IF($B36="","",الموظفون!$S36*IF(E36="سعودي",cfg_G_SE,cfg_G_NE)*G36/cfg_DAYS_M)</f>
        <v/>
      </c>
      <c r="V36" s="111" t="str">
        <f aca="false">IF($B36="","",SUMIFS('الحركات الشهرية'!$I$6:$I$1005,'الحركات الشهرية'!$B$6:$B$1005,$B36,'الحركات الشهرية'!$A$6:$A$1005,$C$3))</f>
        <v/>
      </c>
      <c r="W36" s="111" t="str">
        <f aca="false">IF($B36="","",SUMIFS('الحركات الشهرية'!$J$6:$J$1005,'الحركات الشهرية'!$B$6:$B$1005,$B36,'الحركات الشهرية'!$A$6:$A$1005,$C$3))</f>
        <v/>
      </c>
      <c r="X36" s="111" t="str">
        <f aca="false">IF($B36="","",SUM(U36:W36))</f>
        <v/>
      </c>
      <c r="Y36" s="153" t="str">
        <f aca="false">IF($B36="","",T36-X36)</f>
        <v/>
      </c>
      <c r="Z36" s="111" t="str">
        <f aca="false">IF($B36="","",الموظفون!$S36*IF(E36="سعودي",cfg_G_SR,cfg_G_NR)*G36/cfg_DAYS_M)</f>
        <v/>
      </c>
      <c r="AA36" s="111" t="str">
        <f aca="false">IF($B36="","",الموظفون!$Q36*(cfg_EOS_R1*(MIN(AH36,cfg_EOS_TH)-MIN(AI36,cfg_EOS_TH))+cfg_EOS_R2*(MAX(AH36-cfg_EOS_TH,0)-MAX(AI36-cfg_EOS_TH,0))))</f>
        <v/>
      </c>
      <c r="AB36" s="111" t="str">
        <f aca="false">IF($B36="","",IF(الموظفون!$T36&lt;&gt;"",الموظفون!$T36,IF(AH36&gt;=cfg_LV_TH,cfg_LV_D2,cfg_LV_D1))/cfg_DAYS_Y*AJ36*الموظفون!$R36/cfg_DAYS_M)</f>
        <v/>
      </c>
      <c r="AC36" s="111" t="str">
        <f aca="false">IF($B36="","",IF(AND(الموظفون!$U36="نعم",N(الموظفون!$W36)&gt;0),الموظفون!$V36/الموظفون!$W36*12/cfg_DAYS_Y*AJ36,0))</f>
        <v/>
      </c>
      <c r="AD36" s="111" t="str">
        <f aca="false">IF($B36="","",(IF(الموظفون!$X36&lt;&gt;"",الموظفون!$X36,IF(الموظفون!$E36="غير سعودي",cfg_IQ,0))+IF(الموظفون!$Y36&lt;&gt;"",الموظفون!$Y36,IF(الموظفون!$E36="غير سعودي",cfg_WP,0)))/12*G36/cfg_DAYS_M)</f>
        <v/>
      </c>
      <c r="AE36" s="111" t="str">
        <f aca="false">IF($B36="","",IF(الموظفون!$Z36&lt;&gt;"",الموظفون!$Z36,cfg_MED)/12*G36/cfg_DAYS_M)</f>
        <v/>
      </c>
      <c r="AF36" s="111" t="str">
        <f aca="false">IF($B36="","",N(الموظفون!$AA36)/12*G36/cfg_DAYS_M)</f>
        <v/>
      </c>
      <c r="AG36" s="154" t="str">
        <f aca="false">IF($B36="","",T36+SUM(Z36:AF36))</f>
        <v/>
      </c>
      <c r="AH36" s="155" t="str">
        <f aca="false">IF($B36="","",MAX(0,IF(OR(الموظفون!$AE36="",الموظفون!$AE36&gt;$F$3),$F$3,الموظفون!$AE36)-الموظفون!$H36+1-SUMIFS('سجل الإجازات والحالات'!$AP$6:$AP$505,'سجل الإجازات والحالات'!$B$6:$B$505,$B36))/cfg_DAYS_Y)</f>
        <v/>
      </c>
      <c r="AI36" s="155" t="str">
        <f aca="false">IF($B36="","",MAX(0,IF(OR(الموظفون!$AE36="",الموظفون!$AE36&gt;($E$3-1)),($E$3-1),الموظفون!$AE36)-الموظفون!$H36+1-SUMIFS('سجل الإجازات والحالات'!$AO$6:$AO$505,'سجل الإجازات والحالات'!$B$6:$B$505,$B36))/cfg_DAYS_Y)</f>
        <v/>
      </c>
      <c r="AJ36" s="65" t="str">
        <f aca="false">IF($B36="","",MAX(0,AK36-(SUMIFS('سجل الإجازات والحالات'!$AP$6:$AP$505,'سجل الإجازات والحالات'!$B$6:$B$505,$B36)-SUMIFS('سجل الإجازات والحالات'!$AO$6:$AO$505,'سجل الإجازات والحالات'!$B$6:$B$505,$B36))))</f>
        <v/>
      </c>
      <c r="AK36" s="65" t="str">
        <f aca="false">IF($B36="","",MAX(0,IF(OR(الموظفون!$AE36="",الموظفون!$AE36&gt;$F$3),$F$3,الموظفون!$AE36)-MAX($E$3,الموظفون!$H36)+1))</f>
        <v/>
      </c>
      <c r="AL36" s="151" t="str">
        <f aca="false">IF($B36="","",SUMIFS('سجل الإجازات والحالات'!$BB$6:$BB$505,'سجل الإجازات والحالات'!$B$6:$B$505,$B36)+SUMIFS('الحركات الشهرية'!$K$6:$K$1005,'الحركات الشهرية'!$B$6:$B$1005,$B36,'الحركات الشهرية'!$A$6:$A$1005,$C$3))</f>
        <v/>
      </c>
      <c r="AM36" s="111" t="str">
        <f aca="false">IF($B36="","",AL36*الموظفون!$R36/cfg_DAYS_M+S36)</f>
        <v/>
      </c>
      <c r="AN36" s="151" t="str">
        <f aca="false">IF($B36="","",SUMIFS('سجل الإجازات والحالات'!$AD$6:$AD$505,'سجل الإجازات والحالات'!$B$6:$B$505,$B36))</f>
        <v/>
      </c>
    </row>
    <row r="37" customFormat="false" ht="15" hidden="false" customHeight="false" outlineLevel="0" collapsed="false">
      <c r="A37" s="115" t="str">
        <f aca="false">IF($B37="","",الموظفون!$A37)</f>
        <v/>
      </c>
      <c r="B37" s="117" t="str">
        <f aca="false">IF(الموظفون!$B37="","",الموظفون!$B37)</f>
        <v/>
      </c>
      <c r="C37" s="117" t="str">
        <f aca="false">IF($B37="","",الموظفون!$C37)</f>
        <v/>
      </c>
      <c r="D37" s="117" t="str">
        <f aca="false">IF($B37="","",الموظفون!$F37)</f>
        <v/>
      </c>
      <c r="E37" s="117" t="str">
        <f aca="false">IF($B37="","",الموظفون!$E37)</f>
        <v/>
      </c>
      <c r="F37" s="117" t="str">
        <f aca="false">IF($B37="","",IF(AK37=0,IF(AND(الموظفون!$AE37&lt;&gt;"",الموظفون!$AE37&lt;$E$3),"✖ منتهي الخدمة","⏳ لم يباشر"),IF(S37&gt;0,"✈ راتب إجازة مقدم",IF(J37=0,"⛔ بدون راتب هذا الشهر",IF(I37&gt;0,"✈ خصم "&amp;ROUND(I37,2)&amp;" يوم بدون أجر",IF(AL37&gt;0,"🌴 إجازة سنوية "&amp;ROUND(AL37,2)&amp;" يوم",IF(H37&gt;0,"⚠ غياب "&amp;ROUND(H37,2)&amp;" يوم","✔ على رأس العمل")))))))</f>
        <v/>
      </c>
      <c r="G37" s="156" t="str">
        <f aca="false">IF($B37="","",IF(AK37&gt;=DAY($F$3),cfg_DAYS_M,MIN(AK37,cfg_DAYS_M)))</f>
        <v/>
      </c>
      <c r="H37" s="156" t="str">
        <f aca="false">IF($B37="","",SUMIFS('الحركات الشهرية'!$D$6:$D$1005,'الحركات الشهرية'!$B$6:$B$1005,$B37,'الحركات الشهرية'!$A$6:$A$1005,$C$3))</f>
        <v/>
      </c>
      <c r="I37" s="156" t="str">
        <f aca="false">IF($B37="","",MIN(G37,IF(AND(AK37&gt;0,AN37&gt;=AK37),G37,AN37)+SUMIFS('الحركات الشهرية'!$E$6:$E$1005,'الحركات الشهرية'!$B$6:$B$1005,$B37,'الحركات الشهرية'!$A$6:$A$1005,$C$3)))</f>
        <v/>
      </c>
      <c r="J37" s="156" t="str">
        <f aca="false">IF($B37="","",MAX(0,G37-H37-I37))</f>
        <v/>
      </c>
      <c r="K37" s="116" t="str">
        <f aca="false">IF($B37="","",الموظفون!$L37*$J37/cfg_DAYS_M)</f>
        <v/>
      </c>
      <c r="L37" s="116" t="str">
        <f aca="false">IF($B37="","",الموظفون!$M37*$J37/cfg_DAYS_M)</f>
        <v/>
      </c>
      <c r="M37" s="116" t="str">
        <f aca="false">IF($B37="","",الموظفون!$N37*$J37/cfg_DAYS_M)</f>
        <v/>
      </c>
      <c r="N37" s="116" t="str">
        <f aca="false">IF($B37="","",الموظفون!$O37*$J37/cfg_DAYS_M)</f>
        <v/>
      </c>
      <c r="O37" s="156" t="str">
        <f aca="false">IF($B37="","",SUMIFS('الحركات الشهرية'!$F$6:$F$1005,'الحركات الشهرية'!$B$6:$B$1005,$B37,'الحركات الشهرية'!$A$6:$A$1005,$C$3))</f>
        <v/>
      </c>
      <c r="P37" s="116" t="str">
        <f aca="false">IF($B37="","",O37*(الموظفون!$P37+الموظفون!$L37*cfg_OT_P)/cfg_DAYS_M/cfg_HRS)</f>
        <v/>
      </c>
      <c r="Q37" s="116" t="str">
        <f aca="false">IF($B37="","",SUMIFS('الحركات الشهرية'!$G$6:$G$1005,'الحركات الشهرية'!$B$6:$B$1005,$B37,'الحركات الشهرية'!$A$6:$A$1005,$C$3))</f>
        <v/>
      </c>
      <c r="R37" s="116" t="str">
        <f aca="false">IF($B37="","",SUMIFS('الحركات الشهرية'!$H$6:$H$1005,'الحركات الشهرية'!$B$6:$B$1005,$B37,'الحركات الشهرية'!$A$6:$A$1005,$C$3))</f>
        <v/>
      </c>
      <c r="S37" s="116" t="str">
        <f aca="false">IF($B37="","",SUMIFS('سجل الإجازات والحالات'!$N$6:$N$505,'سجل الإجازات والحالات'!$B$6:$B$505,$B37,'سجل الإجازات والحالات'!$O$6:$O$505,$C$3))</f>
        <v/>
      </c>
      <c r="T37" s="157" t="str">
        <f aca="false">IF($B37="","",SUM(K37:N37)+SUM(P37:S37))</f>
        <v/>
      </c>
      <c r="U37" s="116" t="str">
        <f aca="false">IF($B37="","",الموظفون!$S37*IF(E37="سعودي",cfg_G_SE,cfg_G_NE)*G37/cfg_DAYS_M)</f>
        <v/>
      </c>
      <c r="V37" s="116" t="str">
        <f aca="false">IF($B37="","",SUMIFS('الحركات الشهرية'!$I$6:$I$1005,'الحركات الشهرية'!$B$6:$B$1005,$B37,'الحركات الشهرية'!$A$6:$A$1005,$C$3))</f>
        <v/>
      </c>
      <c r="W37" s="116" t="str">
        <f aca="false">IF($B37="","",SUMIFS('الحركات الشهرية'!$J$6:$J$1005,'الحركات الشهرية'!$B$6:$B$1005,$B37,'الحركات الشهرية'!$A$6:$A$1005,$C$3))</f>
        <v/>
      </c>
      <c r="X37" s="116" t="str">
        <f aca="false">IF($B37="","",SUM(U37:W37))</f>
        <v/>
      </c>
      <c r="Y37" s="158" t="str">
        <f aca="false">IF($B37="","",T37-X37)</f>
        <v/>
      </c>
      <c r="Z37" s="116" t="str">
        <f aca="false">IF($B37="","",الموظفون!$S37*IF(E37="سعودي",cfg_G_SR,cfg_G_NR)*G37/cfg_DAYS_M)</f>
        <v/>
      </c>
      <c r="AA37" s="116" t="str">
        <f aca="false">IF($B37="","",الموظفون!$Q37*(cfg_EOS_R1*(MIN(AH37,cfg_EOS_TH)-MIN(AI37,cfg_EOS_TH))+cfg_EOS_R2*(MAX(AH37-cfg_EOS_TH,0)-MAX(AI37-cfg_EOS_TH,0))))</f>
        <v/>
      </c>
      <c r="AB37" s="116" t="str">
        <f aca="false">IF($B37="","",IF(الموظفون!$T37&lt;&gt;"",الموظفون!$T37,IF(AH37&gt;=cfg_LV_TH,cfg_LV_D2,cfg_LV_D1))/cfg_DAYS_Y*AJ37*الموظفون!$R37/cfg_DAYS_M)</f>
        <v/>
      </c>
      <c r="AC37" s="116" t="str">
        <f aca="false">IF($B37="","",IF(AND(الموظفون!$U37="نعم",N(الموظفون!$W37)&gt;0),الموظفون!$V37/الموظفون!$W37*12/cfg_DAYS_Y*AJ37,0))</f>
        <v/>
      </c>
      <c r="AD37" s="116" t="str">
        <f aca="false">IF($B37="","",(IF(الموظفون!$X37&lt;&gt;"",الموظفون!$X37,IF(الموظفون!$E37="غير سعودي",cfg_IQ,0))+IF(الموظفون!$Y37&lt;&gt;"",الموظفون!$Y37,IF(الموظفون!$E37="غير سعودي",cfg_WP,0)))/12*G37/cfg_DAYS_M)</f>
        <v/>
      </c>
      <c r="AE37" s="116" t="str">
        <f aca="false">IF($B37="","",IF(الموظفون!$Z37&lt;&gt;"",الموظفون!$Z37,cfg_MED)/12*G37/cfg_DAYS_M)</f>
        <v/>
      </c>
      <c r="AF37" s="116" t="str">
        <f aca="false">IF($B37="","",N(الموظفون!$AA37)/12*G37/cfg_DAYS_M)</f>
        <v/>
      </c>
      <c r="AG37" s="159" t="str">
        <f aca="false">IF($B37="","",T37+SUM(Z37:AF37))</f>
        <v/>
      </c>
      <c r="AH37" s="160" t="str">
        <f aca="false">IF($B37="","",MAX(0,IF(OR(الموظفون!$AE37="",الموظفون!$AE37&gt;$F$3),$F$3,الموظفون!$AE37)-الموظفون!$H37+1-SUMIFS('سجل الإجازات والحالات'!$AP$6:$AP$505,'سجل الإجازات والحالات'!$B$6:$B$505,$B37))/cfg_DAYS_Y)</f>
        <v/>
      </c>
      <c r="AI37" s="160" t="str">
        <f aca="false">IF($B37="","",MAX(0,IF(OR(الموظفون!$AE37="",الموظفون!$AE37&gt;($E$3-1)),($E$3-1),الموظفون!$AE37)-الموظفون!$H37+1-SUMIFS('سجل الإجازات والحالات'!$AO$6:$AO$505,'سجل الإجازات والحالات'!$B$6:$B$505,$B37))/cfg_DAYS_Y)</f>
        <v/>
      </c>
      <c r="AJ37" s="133" t="str">
        <f aca="false">IF($B37="","",MAX(0,AK37-(SUMIFS('سجل الإجازات والحالات'!$AP$6:$AP$505,'سجل الإجازات والحالات'!$B$6:$B$505,$B37)-SUMIFS('سجل الإجازات والحالات'!$AO$6:$AO$505,'سجل الإجازات والحالات'!$B$6:$B$505,$B37))))</f>
        <v/>
      </c>
      <c r="AK37" s="133" t="str">
        <f aca="false">IF($B37="","",MAX(0,IF(OR(الموظفون!$AE37="",الموظفون!$AE37&gt;$F$3),$F$3,الموظفون!$AE37)-MAX($E$3,الموظفون!$H37)+1))</f>
        <v/>
      </c>
      <c r="AL37" s="156" t="str">
        <f aca="false">IF($B37="","",SUMIFS('سجل الإجازات والحالات'!$BB$6:$BB$505,'سجل الإجازات والحالات'!$B$6:$B$505,$B37)+SUMIFS('الحركات الشهرية'!$K$6:$K$1005,'الحركات الشهرية'!$B$6:$B$1005,$B37,'الحركات الشهرية'!$A$6:$A$1005,$C$3))</f>
        <v/>
      </c>
      <c r="AM37" s="116" t="str">
        <f aca="false">IF($B37="","",AL37*الموظفون!$R37/cfg_DAYS_M+S37)</f>
        <v/>
      </c>
      <c r="AN37" s="156" t="str">
        <f aca="false">IF($B37="","",SUMIFS('سجل الإجازات والحالات'!$AD$6:$AD$505,'سجل الإجازات والحالات'!$B$6:$B$505,$B37))</f>
        <v/>
      </c>
    </row>
    <row r="38" customFormat="false" ht="15" hidden="false" customHeight="false" outlineLevel="0" collapsed="false">
      <c r="A38" s="106" t="str">
        <f aca="false">IF($B38="","",الموظفون!$A38)</f>
        <v/>
      </c>
      <c r="B38" s="114" t="str">
        <f aca="false">IF(الموظفون!$B38="","",الموظفون!$B38)</f>
        <v/>
      </c>
      <c r="C38" s="114" t="str">
        <f aca="false">IF($B38="","",الموظفون!$C38)</f>
        <v/>
      </c>
      <c r="D38" s="114" t="str">
        <f aca="false">IF($B38="","",الموظفون!$F38)</f>
        <v/>
      </c>
      <c r="E38" s="114" t="str">
        <f aca="false">IF($B38="","",الموظفون!$E38)</f>
        <v/>
      </c>
      <c r="F38" s="114" t="str">
        <f aca="false">IF($B38="","",IF(AK38=0,IF(AND(الموظفون!$AE38&lt;&gt;"",الموظفون!$AE38&lt;$E$3),"✖ منتهي الخدمة","⏳ لم يباشر"),IF(S38&gt;0,"✈ راتب إجازة مقدم",IF(J38=0,"⛔ بدون راتب هذا الشهر",IF(I38&gt;0,"✈ خصم "&amp;ROUND(I38,2)&amp;" يوم بدون أجر",IF(AL38&gt;0,"🌴 إجازة سنوية "&amp;ROUND(AL38,2)&amp;" يوم",IF(H38&gt;0,"⚠ غياب "&amp;ROUND(H38,2)&amp;" يوم","✔ على رأس العمل")))))))</f>
        <v/>
      </c>
      <c r="G38" s="151" t="str">
        <f aca="false">IF($B38="","",IF(AK38&gt;=DAY($F$3),cfg_DAYS_M,MIN(AK38,cfg_DAYS_M)))</f>
        <v/>
      </c>
      <c r="H38" s="151" t="str">
        <f aca="false">IF($B38="","",SUMIFS('الحركات الشهرية'!$D$6:$D$1005,'الحركات الشهرية'!$B$6:$B$1005,$B38,'الحركات الشهرية'!$A$6:$A$1005,$C$3))</f>
        <v/>
      </c>
      <c r="I38" s="151" t="str">
        <f aca="false">IF($B38="","",MIN(G38,IF(AND(AK38&gt;0,AN38&gt;=AK38),G38,AN38)+SUMIFS('الحركات الشهرية'!$E$6:$E$1005,'الحركات الشهرية'!$B$6:$B$1005,$B38,'الحركات الشهرية'!$A$6:$A$1005,$C$3)))</f>
        <v/>
      </c>
      <c r="J38" s="151" t="str">
        <f aca="false">IF($B38="","",MAX(0,G38-H38-I38))</f>
        <v/>
      </c>
      <c r="K38" s="111" t="str">
        <f aca="false">IF($B38="","",الموظفون!$L38*$J38/cfg_DAYS_M)</f>
        <v/>
      </c>
      <c r="L38" s="111" t="str">
        <f aca="false">IF($B38="","",الموظفون!$M38*$J38/cfg_DAYS_M)</f>
        <v/>
      </c>
      <c r="M38" s="111" t="str">
        <f aca="false">IF($B38="","",الموظفون!$N38*$J38/cfg_DAYS_M)</f>
        <v/>
      </c>
      <c r="N38" s="111" t="str">
        <f aca="false">IF($B38="","",الموظفون!$O38*$J38/cfg_DAYS_M)</f>
        <v/>
      </c>
      <c r="O38" s="151" t="str">
        <f aca="false">IF($B38="","",SUMIFS('الحركات الشهرية'!$F$6:$F$1005,'الحركات الشهرية'!$B$6:$B$1005,$B38,'الحركات الشهرية'!$A$6:$A$1005,$C$3))</f>
        <v/>
      </c>
      <c r="P38" s="111" t="str">
        <f aca="false">IF($B38="","",O38*(الموظفون!$P38+الموظفون!$L38*cfg_OT_P)/cfg_DAYS_M/cfg_HRS)</f>
        <v/>
      </c>
      <c r="Q38" s="111" t="str">
        <f aca="false">IF($B38="","",SUMIFS('الحركات الشهرية'!$G$6:$G$1005,'الحركات الشهرية'!$B$6:$B$1005,$B38,'الحركات الشهرية'!$A$6:$A$1005,$C$3))</f>
        <v/>
      </c>
      <c r="R38" s="111" t="str">
        <f aca="false">IF($B38="","",SUMIFS('الحركات الشهرية'!$H$6:$H$1005,'الحركات الشهرية'!$B$6:$B$1005,$B38,'الحركات الشهرية'!$A$6:$A$1005,$C$3))</f>
        <v/>
      </c>
      <c r="S38" s="111" t="str">
        <f aca="false">IF($B38="","",SUMIFS('سجل الإجازات والحالات'!$N$6:$N$505,'سجل الإجازات والحالات'!$B$6:$B$505,$B38,'سجل الإجازات والحالات'!$O$6:$O$505,$C$3))</f>
        <v/>
      </c>
      <c r="T38" s="152" t="str">
        <f aca="false">IF($B38="","",SUM(K38:N38)+SUM(P38:S38))</f>
        <v/>
      </c>
      <c r="U38" s="111" t="str">
        <f aca="false">IF($B38="","",الموظفون!$S38*IF(E38="سعودي",cfg_G_SE,cfg_G_NE)*G38/cfg_DAYS_M)</f>
        <v/>
      </c>
      <c r="V38" s="111" t="str">
        <f aca="false">IF($B38="","",SUMIFS('الحركات الشهرية'!$I$6:$I$1005,'الحركات الشهرية'!$B$6:$B$1005,$B38,'الحركات الشهرية'!$A$6:$A$1005,$C$3))</f>
        <v/>
      </c>
      <c r="W38" s="111" t="str">
        <f aca="false">IF($B38="","",SUMIFS('الحركات الشهرية'!$J$6:$J$1005,'الحركات الشهرية'!$B$6:$B$1005,$B38,'الحركات الشهرية'!$A$6:$A$1005,$C$3))</f>
        <v/>
      </c>
      <c r="X38" s="111" t="str">
        <f aca="false">IF($B38="","",SUM(U38:W38))</f>
        <v/>
      </c>
      <c r="Y38" s="153" t="str">
        <f aca="false">IF($B38="","",T38-X38)</f>
        <v/>
      </c>
      <c r="Z38" s="111" t="str">
        <f aca="false">IF($B38="","",الموظفون!$S38*IF(E38="سعودي",cfg_G_SR,cfg_G_NR)*G38/cfg_DAYS_M)</f>
        <v/>
      </c>
      <c r="AA38" s="111" t="str">
        <f aca="false">IF($B38="","",الموظفون!$Q38*(cfg_EOS_R1*(MIN(AH38,cfg_EOS_TH)-MIN(AI38,cfg_EOS_TH))+cfg_EOS_R2*(MAX(AH38-cfg_EOS_TH,0)-MAX(AI38-cfg_EOS_TH,0))))</f>
        <v/>
      </c>
      <c r="AB38" s="111" t="str">
        <f aca="false">IF($B38="","",IF(الموظفون!$T38&lt;&gt;"",الموظفون!$T38,IF(AH38&gt;=cfg_LV_TH,cfg_LV_D2,cfg_LV_D1))/cfg_DAYS_Y*AJ38*الموظفون!$R38/cfg_DAYS_M)</f>
        <v/>
      </c>
      <c r="AC38" s="111" t="str">
        <f aca="false">IF($B38="","",IF(AND(الموظفون!$U38="نعم",N(الموظفون!$W38)&gt;0),الموظفون!$V38/الموظفون!$W38*12/cfg_DAYS_Y*AJ38,0))</f>
        <v/>
      </c>
      <c r="AD38" s="111" t="str">
        <f aca="false">IF($B38="","",(IF(الموظفون!$X38&lt;&gt;"",الموظفون!$X38,IF(الموظفون!$E38="غير سعودي",cfg_IQ,0))+IF(الموظفون!$Y38&lt;&gt;"",الموظفون!$Y38,IF(الموظفون!$E38="غير سعودي",cfg_WP,0)))/12*G38/cfg_DAYS_M)</f>
        <v/>
      </c>
      <c r="AE38" s="111" t="str">
        <f aca="false">IF($B38="","",IF(الموظفون!$Z38&lt;&gt;"",الموظفون!$Z38,cfg_MED)/12*G38/cfg_DAYS_M)</f>
        <v/>
      </c>
      <c r="AF38" s="111" t="str">
        <f aca="false">IF($B38="","",N(الموظفون!$AA38)/12*G38/cfg_DAYS_M)</f>
        <v/>
      </c>
      <c r="AG38" s="154" t="str">
        <f aca="false">IF($B38="","",T38+SUM(Z38:AF38))</f>
        <v/>
      </c>
      <c r="AH38" s="155" t="str">
        <f aca="false">IF($B38="","",MAX(0,IF(OR(الموظفون!$AE38="",الموظفون!$AE38&gt;$F$3),$F$3,الموظفون!$AE38)-الموظفون!$H38+1-SUMIFS('سجل الإجازات والحالات'!$AP$6:$AP$505,'سجل الإجازات والحالات'!$B$6:$B$505,$B38))/cfg_DAYS_Y)</f>
        <v/>
      </c>
      <c r="AI38" s="155" t="str">
        <f aca="false">IF($B38="","",MAX(0,IF(OR(الموظفون!$AE38="",الموظفون!$AE38&gt;($E$3-1)),($E$3-1),الموظفون!$AE38)-الموظفون!$H38+1-SUMIFS('سجل الإجازات والحالات'!$AO$6:$AO$505,'سجل الإجازات والحالات'!$B$6:$B$505,$B38))/cfg_DAYS_Y)</f>
        <v/>
      </c>
      <c r="AJ38" s="65" t="str">
        <f aca="false">IF($B38="","",MAX(0,AK38-(SUMIFS('سجل الإجازات والحالات'!$AP$6:$AP$505,'سجل الإجازات والحالات'!$B$6:$B$505,$B38)-SUMIFS('سجل الإجازات والحالات'!$AO$6:$AO$505,'سجل الإجازات والحالات'!$B$6:$B$505,$B38))))</f>
        <v/>
      </c>
      <c r="AK38" s="65" t="str">
        <f aca="false">IF($B38="","",MAX(0,IF(OR(الموظفون!$AE38="",الموظفون!$AE38&gt;$F$3),$F$3,الموظفون!$AE38)-MAX($E$3,الموظفون!$H38)+1))</f>
        <v/>
      </c>
      <c r="AL38" s="151" t="str">
        <f aca="false">IF($B38="","",SUMIFS('سجل الإجازات والحالات'!$BB$6:$BB$505,'سجل الإجازات والحالات'!$B$6:$B$505,$B38)+SUMIFS('الحركات الشهرية'!$K$6:$K$1005,'الحركات الشهرية'!$B$6:$B$1005,$B38,'الحركات الشهرية'!$A$6:$A$1005,$C$3))</f>
        <v/>
      </c>
      <c r="AM38" s="111" t="str">
        <f aca="false">IF($B38="","",AL38*الموظفون!$R38/cfg_DAYS_M+S38)</f>
        <v/>
      </c>
      <c r="AN38" s="151" t="str">
        <f aca="false">IF($B38="","",SUMIFS('سجل الإجازات والحالات'!$AD$6:$AD$505,'سجل الإجازات والحالات'!$B$6:$B$505,$B38))</f>
        <v/>
      </c>
    </row>
    <row r="39" customFormat="false" ht="15" hidden="false" customHeight="false" outlineLevel="0" collapsed="false">
      <c r="A39" s="115" t="str">
        <f aca="false">IF($B39="","",الموظفون!$A39)</f>
        <v/>
      </c>
      <c r="B39" s="117" t="str">
        <f aca="false">IF(الموظفون!$B39="","",الموظفون!$B39)</f>
        <v/>
      </c>
      <c r="C39" s="117" t="str">
        <f aca="false">IF($B39="","",الموظفون!$C39)</f>
        <v/>
      </c>
      <c r="D39" s="117" t="str">
        <f aca="false">IF($B39="","",الموظفون!$F39)</f>
        <v/>
      </c>
      <c r="E39" s="117" t="str">
        <f aca="false">IF($B39="","",الموظفون!$E39)</f>
        <v/>
      </c>
      <c r="F39" s="117" t="str">
        <f aca="false">IF($B39="","",IF(AK39=0,IF(AND(الموظفون!$AE39&lt;&gt;"",الموظفون!$AE39&lt;$E$3),"✖ منتهي الخدمة","⏳ لم يباشر"),IF(S39&gt;0,"✈ راتب إجازة مقدم",IF(J39=0,"⛔ بدون راتب هذا الشهر",IF(I39&gt;0,"✈ خصم "&amp;ROUND(I39,2)&amp;" يوم بدون أجر",IF(AL39&gt;0,"🌴 إجازة سنوية "&amp;ROUND(AL39,2)&amp;" يوم",IF(H39&gt;0,"⚠ غياب "&amp;ROUND(H39,2)&amp;" يوم","✔ على رأس العمل")))))))</f>
        <v/>
      </c>
      <c r="G39" s="156" t="str">
        <f aca="false">IF($B39="","",IF(AK39&gt;=DAY($F$3),cfg_DAYS_M,MIN(AK39,cfg_DAYS_M)))</f>
        <v/>
      </c>
      <c r="H39" s="156" t="str">
        <f aca="false">IF($B39="","",SUMIFS('الحركات الشهرية'!$D$6:$D$1005,'الحركات الشهرية'!$B$6:$B$1005,$B39,'الحركات الشهرية'!$A$6:$A$1005,$C$3))</f>
        <v/>
      </c>
      <c r="I39" s="156" t="str">
        <f aca="false">IF($B39="","",MIN(G39,IF(AND(AK39&gt;0,AN39&gt;=AK39),G39,AN39)+SUMIFS('الحركات الشهرية'!$E$6:$E$1005,'الحركات الشهرية'!$B$6:$B$1005,$B39,'الحركات الشهرية'!$A$6:$A$1005,$C$3)))</f>
        <v/>
      </c>
      <c r="J39" s="156" t="str">
        <f aca="false">IF($B39="","",MAX(0,G39-H39-I39))</f>
        <v/>
      </c>
      <c r="K39" s="116" t="str">
        <f aca="false">IF($B39="","",الموظفون!$L39*$J39/cfg_DAYS_M)</f>
        <v/>
      </c>
      <c r="L39" s="116" t="str">
        <f aca="false">IF($B39="","",الموظفون!$M39*$J39/cfg_DAYS_M)</f>
        <v/>
      </c>
      <c r="M39" s="116" t="str">
        <f aca="false">IF($B39="","",الموظفون!$N39*$J39/cfg_DAYS_M)</f>
        <v/>
      </c>
      <c r="N39" s="116" t="str">
        <f aca="false">IF($B39="","",الموظفون!$O39*$J39/cfg_DAYS_M)</f>
        <v/>
      </c>
      <c r="O39" s="156" t="str">
        <f aca="false">IF($B39="","",SUMIFS('الحركات الشهرية'!$F$6:$F$1005,'الحركات الشهرية'!$B$6:$B$1005,$B39,'الحركات الشهرية'!$A$6:$A$1005,$C$3))</f>
        <v/>
      </c>
      <c r="P39" s="116" t="str">
        <f aca="false">IF($B39="","",O39*(الموظفون!$P39+الموظفون!$L39*cfg_OT_P)/cfg_DAYS_M/cfg_HRS)</f>
        <v/>
      </c>
      <c r="Q39" s="116" t="str">
        <f aca="false">IF($B39="","",SUMIFS('الحركات الشهرية'!$G$6:$G$1005,'الحركات الشهرية'!$B$6:$B$1005,$B39,'الحركات الشهرية'!$A$6:$A$1005,$C$3))</f>
        <v/>
      </c>
      <c r="R39" s="116" t="str">
        <f aca="false">IF($B39="","",SUMIFS('الحركات الشهرية'!$H$6:$H$1005,'الحركات الشهرية'!$B$6:$B$1005,$B39,'الحركات الشهرية'!$A$6:$A$1005,$C$3))</f>
        <v/>
      </c>
      <c r="S39" s="116" t="str">
        <f aca="false">IF($B39="","",SUMIFS('سجل الإجازات والحالات'!$N$6:$N$505,'سجل الإجازات والحالات'!$B$6:$B$505,$B39,'سجل الإجازات والحالات'!$O$6:$O$505,$C$3))</f>
        <v/>
      </c>
      <c r="T39" s="157" t="str">
        <f aca="false">IF($B39="","",SUM(K39:N39)+SUM(P39:S39))</f>
        <v/>
      </c>
      <c r="U39" s="116" t="str">
        <f aca="false">IF($B39="","",الموظفون!$S39*IF(E39="سعودي",cfg_G_SE,cfg_G_NE)*G39/cfg_DAYS_M)</f>
        <v/>
      </c>
      <c r="V39" s="116" t="str">
        <f aca="false">IF($B39="","",SUMIFS('الحركات الشهرية'!$I$6:$I$1005,'الحركات الشهرية'!$B$6:$B$1005,$B39,'الحركات الشهرية'!$A$6:$A$1005,$C$3))</f>
        <v/>
      </c>
      <c r="W39" s="116" t="str">
        <f aca="false">IF($B39="","",SUMIFS('الحركات الشهرية'!$J$6:$J$1005,'الحركات الشهرية'!$B$6:$B$1005,$B39,'الحركات الشهرية'!$A$6:$A$1005,$C$3))</f>
        <v/>
      </c>
      <c r="X39" s="116" t="str">
        <f aca="false">IF($B39="","",SUM(U39:W39))</f>
        <v/>
      </c>
      <c r="Y39" s="158" t="str">
        <f aca="false">IF($B39="","",T39-X39)</f>
        <v/>
      </c>
      <c r="Z39" s="116" t="str">
        <f aca="false">IF($B39="","",الموظفون!$S39*IF(E39="سعودي",cfg_G_SR,cfg_G_NR)*G39/cfg_DAYS_M)</f>
        <v/>
      </c>
      <c r="AA39" s="116" t="str">
        <f aca="false">IF($B39="","",الموظفون!$Q39*(cfg_EOS_R1*(MIN(AH39,cfg_EOS_TH)-MIN(AI39,cfg_EOS_TH))+cfg_EOS_R2*(MAX(AH39-cfg_EOS_TH,0)-MAX(AI39-cfg_EOS_TH,0))))</f>
        <v/>
      </c>
      <c r="AB39" s="116" t="str">
        <f aca="false">IF($B39="","",IF(الموظفون!$T39&lt;&gt;"",الموظفون!$T39,IF(AH39&gt;=cfg_LV_TH,cfg_LV_D2,cfg_LV_D1))/cfg_DAYS_Y*AJ39*الموظفون!$R39/cfg_DAYS_M)</f>
        <v/>
      </c>
      <c r="AC39" s="116" t="str">
        <f aca="false">IF($B39="","",IF(AND(الموظفون!$U39="نعم",N(الموظفون!$W39)&gt;0),الموظفون!$V39/الموظفون!$W39*12/cfg_DAYS_Y*AJ39,0))</f>
        <v/>
      </c>
      <c r="AD39" s="116" t="str">
        <f aca="false">IF($B39="","",(IF(الموظفون!$X39&lt;&gt;"",الموظفون!$X39,IF(الموظفون!$E39="غير سعودي",cfg_IQ,0))+IF(الموظفون!$Y39&lt;&gt;"",الموظفون!$Y39,IF(الموظفون!$E39="غير سعودي",cfg_WP,0)))/12*G39/cfg_DAYS_M)</f>
        <v/>
      </c>
      <c r="AE39" s="116" t="str">
        <f aca="false">IF($B39="","",IF(الموظفون!$Z39&lt;&gt;"",الموظفون!$Z39,cfg_MED)/12*G39/cfg_DAYS_M)</f>
        <v/>
      </c>
      <c r="AF39" s="116" t="str">
        <f aca="false">IF($B39="","",N(الموظفون!$AA39)/12*G39/cfg_DAYS_M)</f>
        <v/>
      </c>
      <c r="AG39" s="159" t="str">
        <f aca="false">IF($B39="","",T39+SUM(Z39:AF39))</f>
        <v/>
      </c>
      <c r="AH39" s="160" t="str">
        <f aca="false">IF($B39="","",MAX(0,IF(OR(الموظفون!$AE39="",الموظفون!$AE39&gt;$F$3),$F$3,الموظفون!$AE39)-الموظفون!$H39+1-SUMIFS('سجل الإجازات والحالات'!$AP$6:$AP$505,'سجل الإجازات والحالات'!$B$6:$B$505,$B39))/cfg_DAYS_Y)</f>
        <v/>
      </c>
      <c r="AI39" s="160" t="str">
        <f aca="false">IF($B39="","",MAX(0,IF(OR(الموظفون!$AE39="",الموظفون!$AE39&gt;($E$3-1)),($E$3-1),الموظفون!$AE39)-الموظفون!$H39+1-SUMIFS('سجل الإجازات والحالات'!$AO$6:$AO$505,'سجل الإجازات والحالات'!$B$6:$B$505,$B39))/cfg_DAYS_Y)</f>
        <v/>
      </c>
      <c r="AJ39" s="133" t="str">
        <f aca="false">IF($B39="","",MAX(0,AK39-(SUMIFS('سجل الإجازات والحالات'!$AP$6:$AP$505,'سجل الإجازات والحالات'!$B$6:$B$505,$B39)-SUMIFS('سجل الإجازات والحالات'!$AO$6:$AO$505,'سجل الإجازات والحالات'!$B$6:$B$505,$B39))))</f>
        <v/>
      </c>
      <c r="AK39" s="133" t="str">
        <f aca="false">IF($B39="","",MAX(0,IF(OR(الموظفون!$AE39="",الموظفون!$AE39&gt;$F$3),$F$3,الموظفون!$AE39)-MAX($E$3,الموظفون!$H39)+1))</f>
        <v/>
      </c>
      <c r="AL39" s="156" t="str">
        <f aca="false">IF($B39="","",SUMIFS('سجل الإجازات والحالات'!$BB$6:$BB$505,'سجل الإجازات والحالات'!$B$6:$B$505,$B39)+SUMIFS('الحركات الشهرية'!$K$6:$K$1005,'الحركات الشهرية'!$B$6:$B$1005,$B39,'الحركات الشهرية'!$A$6:$A$1005,$C$3))</f>
        <v/>
      </c>
      <c r="AM39" s="116" t="str">
        <f aca="false">IF($B39="","",AL39*الموظفون!$R39/cfg_DAYS_M+S39)</f>
        <v/>
      </c>
      <c r="AN39" s="156" t="str">
        <f aca="false">IF($B39="","",SUMIFS('سجل الإجازات والحالات'!$AD$6:$AD$505,'سجل الإجازات والحالات'!$B$6:$B$505,$B39))</f>
        <v/>
      </c>
    </row>
    <row r="40" customFormat="false" ht="15" hidden="false" customHeight="false" outlineLevel="0" collapsed="false">
      <c r="A40" s="106" t="str">
        <f aca="false">IF($B40="","",الموظفون!$A40)</f>
        <v/>
      </c>
      <c r="B40" s="114" t="str">
        <f aca="false">IF(الموظفون!$B40="","",الموظفون!$B40)</f>
        <v/>
      </c>
      <c r="C40" s="114" t="str">
        <f aca="false">IF($B40="","",الموظفون!$C40)</f>
        <v/>
      </c>
      <c r="D40" s="114" t="str">
        <f aca="false">IF($B40="","",الموظفون!$F40)</f>
        <v/>
      </c>
      <c r="E40" s="114" t="str">
        <f aca="false">IF($B40="","",الموظفون!$E40)</f>
        <v/>
      </c>
      <c r="F40" s="114" t="str">
        <f aca="false">IF($B40="","",IF(AK40=0,IF(AND(الموظفون!$AE40&lt;&gt;"",الموظفون!$AE40&lt;$E$3),"✖ منتهي الخدمة","⏳ لم يباشر"),IF(S40&gt;0,"✈ راتب إجازة مقدم",IF(J40=0,"⛔ بدون راتب هذا الشهر",IF(I40&gt;0,"✈ خصم "&amp;ROUND(I40,2)&amp;" يوم بدون أجر",IF(AL40&gt;0,"🌴 إجازة سنوية "&amp;ROUND(AL40,2)&amp;" يوم",IF(H40&gt;0,"⚠ غياب "&amp;ROUND(H40,2)&amp;" يوم","✔ على رأس العمل")))))))</f>
        <v/>
      </c>
      <c r="G40" s="151" t="str">
        <f aca="false">IF($B40="","",IF(AK40&gt;=DAY($F$3),cfg_DAYS_M,MIN(AK40,cfg_DAYS_M)))</f>
        <v/>
      </c>
      <c r="H40" s="151" t="str">
        <f aca="false">IF($B40="","",SUMIFS('الحركات الشهرية'!$D$6:$D$1005,'الحركات الشهرية'!$B$6:$B$1005,$B40,'الحركات الشهرية'!$A$6:$A$1005,$C$3))</f>
        <v/>
      </c>
      <c r="I40" s="151" t="str">
        <f aca="false">IF($B40="","",MIN(G40,IF(AND(AK40&gt;0,AN40&gt;=AK40),G40,AN40)+SUMIFS('الحركات الشهرية'!$E$6:$E$1005,'الحركات الشهرية'!$B$6:$B$1005,$B40,'الحركات الشهرية'!$A$6:$A$1005,$C$3)))</f>
        <v/>
      </c>
      <c r="J40" s="151" t="str">
        <f aca="false">IF($B40="","",MAX(0,G40-H40-I40))</f>
        <v/>
      </c>
      <c r="K40" s="111" t="str">
        <f aca="false">IF($B40="","",الموظفون!$L40*$J40/cfg_DAYS_M)</f>
        <v/>
      </c>
      <c r="L40" s="111" t="str">
        <f aca="false">IF($B40="","",الموظفون!$M40*$J40/cfg_DAYS_M)</f>
        <v/>
      </c>
      <c r="M40" s="111" t="str">
        <f aca="false">IF($B40="","",الموظفون!$N40*$J40/cfg_DAYS_M)</f>
        <v/>
      </c>
      <c r="N40" s="111" t="str">
        <f aca="false">IF($B40="","",الموظفون!$O40*$J40/cfg_DAYS_M)</f>
        <v/>
      </c>
      <c r="O40" s="151" t="str">
        <f aca="false">IF($B40="","",SUMIFS('الحركات الشهرية'!$F$6:$F$1005,'الحركات الشهرية'!$B$6:$B$1005,$B40,'الحركات الشهرية'!$A$6:$A$1005,$C$3))</f>
        <v/>
      </c>
      <c r="P40" s="111" t="str">
        <f aca="false">IF($B40="","",O40*(الموظفون!$P40+الموظفون!$L40*cfg_OT_P)/cfg_DAYS_M/cfg_HRS)</f>
        <v/>
      </c>
      <c r="Q40" s="111" t="str">
        <f aca="false">IF($B40="","",SUMIFS('الحركات الشهرية'!$G$6:$G$1005,'الحركات الشهرية'!$B$6:$B$1005,$B40,'الحركات الشهرية'!$A$6:$A$1005,$C$3))</f>
        <v/>
      </c>
      <c r="R40" s="111" t="str">
        <f aca="false">IF($B40="","",SUMIFS('الحركات الشهرية'!$H$6:$H$1005,'الحركات الشهرية'!$B$6:$B$1005,$B40,'الحركات الشهرية'!$A$6:$A$1005,$C$3))</f>
        <v/>
      </c>
      <c r="S40" s="111" t="str">
        <f aca="false">IF($B40="","",SUMIFS('سجل الإجازات والحالات'!$N$6:$N$505,'سجل الإجازات والحالات'!$B$6:$B$505,$B40,'سجل الإجازات والحالات'!$O$6:$O$505,$C$3))</f>
        <v/>
      </c>
      <c r="T40" s="152" t="str">
        <f aca="false">IF($B40="","",SUM(K40:N40)+SUM(P40:S40))</f>
        <v/>
      </c>
      <c r="U40" s="111" t="str">
        <f aca="false">IF($B40="","",الموظفون!$S40*IF(E40="سعودي",cfg_G_SE,cfg_G_NE)*G40/cfg_DAYS_M)</f>
        <v/>
      </c>
      <c r="V40" s="111" t="str">
        <f aca="false">IF($B40="","",SUMIFS('الحركات الشهرية'!$I$6:$I$1005,'الحركات الشهرية'!$B$6:$B$1005,$B40,'الحركات الشهرية'!$A$6:$A$1005,$C$3))</f>
        <v/>
      </c>
      <c r="W40" s="111" t="str">
        <f aca="false">IF($B40="","",SUMIFS('الحركات الشهرية'!$J$6:$J$1005,'الحركات الشهرية'!$B$6:$B$1005,$B40,'الحركات الشهرية'!$A$6:$A$1005,$C$3))</f>
        <v/>
      </c>
      <c r="X40" s="111" t="str">
        <f aca="false">IF($B40="","",SUM(U40:W40))</f>
        <v/>
      </c>
      <c r="Y40" s="153" t="str">
        <f aca="false">IF($B40="","",T40-X40)</f>
        <v/>
      </c>
      <c r="Z40" s="111" t="str">
        <f aca="false">IF($B40="","",الموظفون!$S40*IF(E40="سعودي",cfg_G_SR,cfg_G_NR)*G40/cfg_DAYS_M)</f>
        <v/>
      </c>
      <c r="AA40" s="111" t="str">
        <f aca="false">IF($B40="","",الموظفون!$Q40*(cfg_EOS_R1*(MIN(AH40,cfg_EOS_TH)-MIN(AI40,cfg_EOS_TH))+cfg_EOS_R2*(MAX(AH40-cfg_EOS_TH,0)-MAX(AI40-cfg_EOS_TH,0))))</f>
        <v/>
      </c>
      <c r="AB40" s="111" t="str">
        <f aca="false">IF($B40="","",IF(الموظفون!$T40&lt;&gt;"",الموظفون!$T40,IF(AH40&gt;=cfg_LV_TH,cfg_LV_D2,cfg_LV_D1))/cfg_DAYS_Y*AJ40*الموظفون!$R40/cfg_DAYS_M)</f>
        <v/>
      </c>
      <c r="AC40" s="111" t="str">
        <f aca="false">IF($B40="","",IF(AND(الموظفون!$U40="نعم",N(الموظفون!$W40)&gt;0),الموظفون!$V40/الموظفون!$W40*12/cfg_DAYS_Y*AJ40,0))</f>
        <v/>
      </c>
      <c r="AD40" s="111" t="str">
        <f aca="false">IF($B40="","",(IF(الموظفون!$X40&lt;&gt;"",الموظفون!$X40,IF(الموظفون!$E40="غير سعودي",cfg_IQ,0))+IF(الموظفون!$Y40&lt;&gt;"",الموظفون!$Y40,IF(الموظفون!$E40="غير سعودي",cfg_WP,0)))/12*G40/cfg_DAYS_M)</f>
        <v/>
      </c>
      <c r="AE40" s="111" t="str">
        <f aca="false">IF($B40="","",IF(الموظفون!$Z40&lt;&gt;"",الموظفون!$Z40,cfg_MED)/12*G40/cfg_DAYS_M)</f>
        <v/>
      </c>
      <c r="AF40" s="111" t="str">
        <f aca="false">IF($B40="","",N(الموظفون!$AA40)/12*G40/cfg_DAYS_M)</f>
        <v/>
      </c>
      <c r="AG40" s="154" t="str">
        <f aca="false">IF($B40="","",T40+SUM(Z40:AF40))</f>
        <v/>
      </c>
      <c r="AH40" s="155" t="str">
        <f aca="false">IF($B40="","",MAX(0,IF(OR(الموظفون!$AE40="",الموظفون!$AE40&gt;$F$3),$F$3,الموظفون!$AE40)-الموظفون!$H40+1-SUMIFS('سجل الإجازات والحالات'!$AP$6:$AP$505,'سجل الإجازات والحالات'!$B$6:$B$505,$B40))/cfg_DAYS_Y)</f>
        <v/>
      </c>
      <c r="AI40" s="155" t="str">
        <f aca="false">IF($B40="","",MAX(0,IF(OR(الموظفون!$AE40="",الموظفون!$AE40&gt;($E$3-1)),($E$3-1),الموظفون!$AE40)-الموظفون!$H40+1-SUMIFS('سجل الإجازات والحالات'!$AO$6:$AO$505,'سجل الإجازات والحالات'!$B$6:$B$505,$B40))/cfg_DAYS_Y)</f>
        <v/>
      </c>
      <c r="AJ40" s="65" t="str">
        <f aca="false">IF($B40="","",MAX(0,AK40-(SUMIFS('سجل الإجازات والحالات'!$AP$6:$AP$505,'سجل الإجازات والحالات'!$B$6:$B$505,$B40)-SUMIFS('سجل الإجازات والحالات'!$AO$6:$AO$505,'سجل الإجازات والحالات'!$B$6:$B$505,$B40))))</f>
        <v/>
      </c>
      <c r="AK40" s="65" t="str">
        <f aca="false">IF($B40="","",MAX(0,IF(OR(الموظفون!$AE40="",الموظفون!$AE40&gt;$F$3),$F$3,الموظفون!$AE40)-MAX($E$3,الموظفون!$H40)+1))</f>
        <v/>
      </c>
      <c r="AL40" s="151" t="str">
        <f aca="false">IF($B40="","",SUMIFS('سجل الإجازات والحالات'!$BB$6:$BB$505,'سجل الإجازات والحالات'!$B$6:$B$505,$B40)+SUMIFS('الحركات الشهرية'!$K$6:$K$1005,'الحركات الشهرية'!$B$6:$B$1005,$B40,'الحركات الشهرية'!$A$6:$A$1005,$C$3))</f>
        <v/>
      </c>
      <c r="AM40" s="111" t="str">
        <f aca="false">IF($B40="","",AL40*الموظفون!$R40/cfg_DAYS_M+S40)</f>
        <v/>
      </c>
      <c r="AN40" s="151" t="str">
        <f aca="false">IF($B40="","",SUMIFS('سجل الإجازات والحالات'!$AD$6:$AD$505,'سجل الإجازات والحالات'!$B$6:$B$505,$B40))</f>
        <v/>
      </c>
    </row>
    <row r="41" customFormat="false" ht="15" hidden="false" customHeight="false" outlineLevel="0" collapsed="false">
      <c r="A41" s="115" t="str">
        <f aca="false">IF($B41="","",الموظفون!$A41)</f>
        <v/>
      </c>
      <c r="B41" s="117" t="str">
        <f aca="false">IF(الموظفون!$B41="","",الموظفون!$B41)</f>
        <v/>
      </c>
      <c r="C41" s="117" t="str">
        <f aca="false">IF($B41="","",الموظفون!$C41)</f>
        <v/>
      </c>
      <c r="D41" s="117" t="str">
        <f aca="false">IF($B41="","",الموظفون!$F41)</f>
        <v/>
      </c>
      <c r="E41" s="117" t="str">
        <f aca="false">IF($B41="","",الموظفون!$E41)</f>
        <v/>
      </c>
      <c r="F41" s="117" t="str">
        <f aca="false">IF($B41="","",IF(AK41=0,IF(AND(الموظفون!$AE41&lt;&gt;"",الموظفون!$AE41&lt;$E$3),"✖ منتهي الخدمة","⏳ لم يباشر"),IF(S41&gt;0,"✈ راتب إجازة مقدم",IF(J41=0,"⛔ بدون راتب هذا الشهر",IF(I41&gt;0,"✈ خصم "&amp;ROUND(I41,2)&amp;" يوم بدون أجر",IF(AL41&gt;0,"🌴 إجازة سنوية "&amp;ROUND(AL41,2)&amp;" يوم",IF(H41&gt;0,"⚠ غياب "&amp;ROUND(H41,2)&amp;" يوم","✔ على رأس العمل")))))))</f>
        <v/>
      </c>
      <c r="G41" s="156" t="str">
        <f aca="false">IF($B41="","",IF(AK41&gt;=DAY($F$3),cfg_DAYS_M,MIN(AK41,cfg_DAYS_M)))</f>
        <v/>
      </c>
      <c r="H41" s="156" t="str">
        <f aca="false">IF($B41="","",SUMIFS('الحركات الشهرية'!$D$6:$D$1005,'الحركات الشهرية'!$B$6:$B$1005,$B41,'الحركات الشهرية'!$A$6:$A$1005,$C$3))</f>
        <v/>
      </c>
      <c r="I41" s="156" t="str">
        <f aca="false">IF($B41="","",MIN(G41,IF(AND(AK41&gt;0,AN41&gt;=AK41),G41,AN41)+SUMIFS('الحركات الشهرية'!$E$6:$E$1005,'الحركات الشهرية'!$B$6:$B$1005,$B41,'الحركات الشهرية'!$A$6:$A$1005,$C$3)))</f>
        <v/>
      </c>
      <c r="J41" s="156" t="str">
        <f aca="false">IF($B41="","",MAX(0,G41-H41-I41))</f>
        <v/>
      </c>
      <c r="K41" s="116" t="str">
        <f aca="false">IF($B41="","",الموظفون!$L41*$J41/cfg_DAYS_M)</f>
        <v/>
      </c>
      <c r="L41" s="116" t="str">
        <f aca="false">IF($B41="","",الموظفون!$M41*$J41/cfg_DAYS_M)</f>
        <v/>
      </c>
      <c r="M41" s="116" t="str">
        <f aca="false">IF($B41="","",الموظفون!$N41*$J41/cfg_DAYS_M)</f>
        <v/>
      </c>
      <c r="N41" s="116" t="str">
        <f aca="false">IF($B41="","",الموظفون!$O41*$J41/cfg_DAYS_M)</f>
        <v/>
      </c>
      <c r="O41" s="156" t="str">
        <f aca="false">IF($B41="","",SUMIFS('الحركات الشهرية'!$F$6:$F$1005,'الحركات الشهرية'!$B$6:$B$1005,$B41,'الحركات الشهرية'!$A$6:$A$1005,$C$3))</f>
        <v/>
      </c>
      <c r="P41" s="116" t="str">
        <f aca="false">IF($B41="","",O41*(الموظفون!$P41+الموظفون!$L41*cfg_OT_P)/cfg_DAYS_M/cfg_HRS)</f>
        <v/>
      </c>
      <c r="Q41" s="116" t="str">
        <f aca="false">IF($B41="","",SUMIFS('الحركات الشهرية'!$G$6:$G$1005,'الحركات الشهرية'!$B$6:$B$1005,$B41,'الحركات الشهرية'!$A$6:$A$1005,$C$3))</f>
        <v/>
      </c>
      <c r="R41" s="116" t="str">
        <f aca="false">IF($B41="","",SUMIFS('الحركات الشهرية'!$H$6:$H$1005,'الحركات الشهرية'!$B$6:$B$1005,$B41,'الحركات الشهرية'!$A$6:$A$1005,$C$3))</f>
        <v/>
      </c>
      <c r="S41" s="116" t="str">
        <f aca="false">IF($B41="","",SUMIFS('سجل الإجازات والحالات'!$N$6:$N$505,'سجل الإجازات والحالات'!$B$6:$B$505,$B41,'سجل الإجازات والحالات'!$O$6:$O$505,$C$3))</f>
        <v/>
      </c>
      <c r="T41" s="157" t="str">
        <f aca="false">IF($B41="","",SUM(K41:N41)+SUM(P41:S41))</f>
        <v/>
      </c>
      <c r="U41" s="116" t="str">
        <f aca="false">IF($B41="","",الموظفون!$S41*IF(E41="سعودي",cfg_G_SE,cfg_G_NE)*G41/cfg_DAYS_M)</f>
        <v/>
      </c>
      <c r="V41" s="116" t="str">
        <f aca="false">IF($B41="","",SUMIFS('الحركات الشهرية'!$I$6:$I$1005,'الحركات الشهرية'!$B$6:$B$1005,$B41,'الحركات الشهرية'!$A$6:$A$1005,$C$3))</f>
        <v/>
      </c>
      <c r="W41" s="116" t="str">
        <f aca="false">IF($B41="","",SUMIFS('الحركات الشهرية'!$J$6:$J$1005,'الحركات الشهرية'!$B$6:$B$1005,$B41,'الحركات الشهرية'!$A$6:$A$1005,$C$3))</f>
        <v/>
      </c>
      <c r="X41" s="116" t="str">
        <f aca="false">IF($B41="","",SUM(U41:W41))</f>
        <v/>
      </c>
      <c r="Y41" s="158" t="str">
        <f aca="false">IF($B41="","",T41-X41)</f>
        <v/>
      </c>
      <c r="Z41" s="116" t="str">
        <f aca="false">IF($B41="","",الموظفون!$S41*IF(E41="سعودي",cfg_G_SR,cfg_G_NR)*G41/cfg_DAYS_M)</f>
        <v/>
      </c>
      <c r="AA41" s="116" t="str">
        <f aca="false">IF($B41="","",الموظفون!$Q41*(cfg_EOS_R1*(MIN(AH41,cfg_EOS_TH)-MIN(AI41,cfg_EOS_TH))+cfg_EOS_R2*(MAX(AH41-cfg_EOS_TH,0)-MAX(AI41-cfg_EOS_TH,0))))</f>
        <v/>
      </c>
      <c r="AB41" s="116" t="str">
        <f aca="false">IF($B41="","",IF(الموظفون!$T41&lt;&gt;"",الموظفون!$T41,IF(AH41&gt;=cfg_LV_TH,cfg_LV_D2,cfg_LV_D1))/cfg_DAYS_Y*AJ41*الموظفون!$R41/cfg_DAYS_M)</f>
        <v/>
      </c>
      <c r="AC41" s="116" t="str">
        <f aca="false">IF($B41="","",IF(AND(الموظفون!$U41="نعم",N(الموظفون!$W41)&gt;0),الموظفون!$V41/الموظفون!$W41*12/cfg_DAYS_Y*AJ41,0))</f>
        <v/>
      </c>
      <c r="AD41" s="116" t="str">
        <f aca="false">IF($B41="","",(IF(الموظفون!$X41&lt;&gt;"",الموظفون!$X41,IF(الموظفون!$E41="غير سعودي",cfg_IQ,0))+IF(الموظفون!$Y41&lt;&gt;"",الموظفون!$Y41,IF(الموظفون!$E41="غير سعودي",cfg_WP,0)))/12*G41/cfg_DAYS_M)</f>
        <v/>
      </c>
      <c r="AE41" s="116" t="str">
        <f aca="false">IF($B41="","",IF(الموظفون!$Z41&lt;&gt;"",الموظفون!$Z41,cfg_MED)/12*G41/cfg_DAYS_M)</f>
        <v/>
      </c>
      <c r="AF41" s="116" t="str">
        <f aca="false">IF($B41="","",N(الموظفون!$AA41)/12*G41/cfg_DAYS_M)</f>
        <v/>
      </c>
      <c r="AG41" s="159" t="str">
        <f aca="false">IF($B41="","",T41+SUM(Z41:AF41))</f>
        <v/>
      </c>
      <c r="AH41" s="160" t="str">
        <f aca="false">IF($B41="","",MAX(0,IF(OR(الموظفون!$AE41="",الموظفون!$AE41&gt;$F$3),$F$3,الموظفون!$AE41)-الموظفون!$H41+1-SUMIFS('سجل الإجازات والحالات'!$AP$6:$AP$505,'سجل الإجازات والحالات'!$B$6:$B$505,$B41))/cfg_DAYS_Y)</f>
        <v/>
      </c>
      <c r="AI41" s="160" t="str">
        <f aca="false">IF($B41="","",MAX(0,IF(OR(الموظفون!$AE41="",الموظفون!$AE41&gt;($E$3-1)),($E$3-1),الموظفون!$AE41)-الموظفون!$H41+1-SUMIFS('سجل الإجازات والحالات'!$AO$6:$AO$505,'سجل الإجازات والحالات'!$B$6:$B$505,$B41))/cfg_DAYS_Y)</f>
        <v/>
      </c>
      <c r="AJ41" s="133" t="str">
        <f aca="false">IF($B41="","",MAX(0,AK41-(SUMIFS('سجل الإجازات والحالات'!$AP$6:$AP$505,'سجل الإجازات والحالات'!$B$6:$B$505,$B41)-SUMIFS('سجل الإجازات والحالات'!$AO$6:$AO$505,'سجل الإجازات والحالات'!$B$6:$B$505,$B41))))</f>
        <v/>
      </c>
      <c r="AK41" s="133" t="str">
        <f aca="false">IF($B41="","",MAX(0,IF(OR(الموظفون!$AE41="",الموظفون!$AE41&gt;$F$3),$F$3,الموظفون!$AE41)-MAX($E$3,الموظفون!$H41)+1))</f>
        <v/>
      </c>
      <c r="AL41" s="156" t="str">
        <f aca="false">IF($B41="","",SUMIFS('سجل الإجازات والحالات'!$BB$6:$BB$505,'سجل الإجازات والحالات'!$B$6:$B$505,$B41)+SUMIFS('الحركات الشهرية'!$K$6:$K$1005,'الحركات الشهرية'!$B$6:$B$1005,$B41,'الحركات الشهرية'!$A$6:$A$1005,$C$3))</f>
        <v/>
      </c>
      <c r="AM41" s="116" t="str">
        <f aca="false">IF($B41="","",AL41*الموظفون!$R41/cfg_DAYS_M+S41)</f>
        <v/>
      </c>
      <c r="AN41" s="156" t="str">
        <f aca="false">IF($B41="","",SUMIFS('سجل الإجازات والحالات'!$AD$6:$AD$505,'سجل الإجازات والحالات'!$B$6:$B$505,$B41))</f>
        <v/>
      </c>
    </row>
    <row r="42" customFormat="false" ht="15" hidden="false" customHeight="false" outlineLevel="0" collapsed="false">
      <c r="A42" s="106" t="str">
        <f aca="false">IF($B42="","",الموظفون!$A42)</f>
        <v/>
      </c>
      <c r="B42" s="114" t="str">
        <f aca="false">IF(الموظفون!$B42="","",الموظفون!$B42)</f>
        <v/>
      </c>
      <c r="C42" s="114" t="str">
        <f aca="false">IF($B42="","",الموظفون!$C42)</f>
        <v/>
      </c>
      <c r="D42" s="114" t="str">
        <f aca="false">IF($B42="","",الموظفون!$F42)</f>
        <v/>
      </c>
      <c r="E42" s="114" t="str">
        <f aca="false">IF($B42="","",الموظفون!$E42)</f>
        <v/>
      </c>
      <c r="F42" s="114" t="str">
        <f aca="false">IF($B42="","",IF(AK42=0,IF(AND(الموظفون!$AE42&lt;&gt;"",الموظفون!$AE42&lt;$E$3),"✖ منتهي الخدمة","⏳ لم يباشر"),IF(S42&gt;0,"✈ راتب إجازة مقدم",IF(J42=0,"⛔ بدون راتب هذا الشهر",IF(I42&gt;0,"✈ خصم "&amp;ROUND(I42,2)&amp;" يوم بدون أجر",IF(AL42&gt;0,"🌴 إجازة سنوية "&amp;ROUND(AL42,2)&amp;" يوم",IF(H42&gt;0,"⚠ غياب "&amp;ROUND(H42,2)&amp;" يوم","✔ على رأس العمل")))))))</f>
        <v/>
      </c>
      <c r="G42" s="151" t="str">
        <f aca="false">IF($B42="","",IF(AK42&gt;=DAY($F$3),cfg_DAYS_M,MIN(AK42,cfg_DAYS_M)))</f>
        <v/>
      </c>
      <c r="H42" s="151" t="str">
        <f aca="false">IF($B42="","",SUMIFS('الحركات الشهرية'!$D$6:$D$1005,'الحركات الشهرية'!$B$6:$B$1005,$B42,'الحركات الشهرية'!$A$6:$A$1005,$C$3))</f>
        <v/>
      </c>
      <c r="I42" s="151" t="str">
        <f aca="false">IF($B42="","",MIN(G42,IF(AND(AK42&gt;0,AN42&gt;=AK42),G42,AN42)+SUMIFS('الحركات الشهرية'!$E$6:$E$1005,'الحركات الشهرية'!$B$6:$B$1005,$B42,'الحركات الشهرية'!$A$6:$A$1005,$C$3)))</f>
        <v/>
      </c>
      <c r="J42" s="151" t="str">
        <f aca="false">IF($B42="","",MAX(0,G42-H42-I42))</f>
        <v/>
      </c>
      <c r="K42" s="111" t="str">
        <f aca="false">IF($B42="","",الموظفون!$L42*$J42/cfg_DAYS_M)</f>
        <v/>
      </c>
      <c r="L42" s="111" t="str">
        <f aca="false">IF($B42="","",الموظفون!$M42*$J42/cfg_DAYS_M)</f>
        <v/>
      </c>
      <c r="M42" s="111" t="str">
        <f aca="false">IF($B42="","",الموظفون!$N42*$J42/cfg_DAYS_M)</f>
        <v/>
      </c>
      <c r="N42" s="111" t="str">
        <f aca="false">IF($B42="","",الموظفون!$O42*$J42/cfg_DAYS_M)</f>
        <v/>
      </c>
      <c r="O42" s="151" t="str">
        <f aca="false">IF($B42="","",SUMIFS('الحركات الشهرية'!$F$6:$F$1005,'الحركات الشهرية'!$B$6:$B$1005,$B42,'الحركات الشهرية'!$A$6:$A$1005,$C$3))</f>
        <v/>
      </c>
      <c r="P42" s="111" t="str">
        <f aca="false">IF($B42="","",O42*(الموظفون!$P42+الموظفون!$L42*cfg_OT_P)/cfg_DAYS_M/cfg_HRS)</f>
        <v/>
      </c>
      <c r="Q42" s="111" t="str">
        <f aca="false">IF($B42="","",SUMIFS('الحركات الشهرية'!$G$6:$G$1005,'الحركات الشهرية'!$B$6:$B$1005,$B42,'الحركات الشهرية'!$A$6:$A$1005,$C$3))</f>
        <v/>
      </c>
      <c r="R42" s="111" t="str">
        <f aca="false">IF($B42="","",SUMIFS('الحركات الشهرية'!$H$6:$H$1005,'الحركات الشهرية'!$B$6:$B$1005,$B42,'الحركات الشهرية'!$A$6:$A$1005,$C$3))</f>
        <v/>
      </c>
      <c r="S42" s="111" t="str">
        <f aca="false">IF($B42="","",SUMIFS('سجل الإجازات والحالات'!$N$6:$N$505,'سجل الإجازات والحالات'!$B$6:$B$505,$B42,'سجل الإجازات والحالات'!$O$6:$O$505,$C$3))</f>
        <v/>
      </c>
      <c r="T42" s="152" t="str">
        <f aca="false">IF($B42="","",SUM(K42:N42)+SUM(P42:S42))</f>
        <v/>
      </c>
      <c r="U42" s="111" t="str">
        <f aca="false">IF($B42="","",الموظفون!$S42*IF(E42="سعودي",cfg_G_SE,cfg_G_NE)*G42/cfg_DAYS_M)</f>
        <v/>
      </c>
      <c r="V42" s="111" t="str">
        <f aca="false">IF($B42="","",SUMIFS('الحركات الشهرية'!$I$6:$I$1005,'الحركات الشهرية'!$B$6:$B$1005,$B42,'الحركات الشهرية'!$A$6:$A$1005,$C$3))</f>
        <v/>
      </c>
      <c r="W42" s="111" t="str">
        <f aca="false">IF($B42="","",SUMIFS('الحركات الشهرية'!$J$6:$J$1005,'الحركات الشهرية'!$B$6:$B$1005,$B42,'الحركات الشهرية'!$A$6:$A$1005,$C$3))</f>
        <v/>
      </c>
      <c r="X42" s="111" t="str">
        <f aca="false">IF($B42="","",SUM(U42:W42))</f>
        <v/>
      </c>
      <c r="Y42" s="153" t="str">
        <f aca="false">IF($B42="","",T42-X42)</f>
        <v/>
      </c>
      <c r="Z42" s="111" t="str">
        <f aca="false">IF($B42="","",الموظفون!$S42*IF(E42="سعودي",cfg_G_SR,cfg_G_NR)*G42/cfg_DAYS_M)</f>
        <v/>
      </c>
      <c r="AA42" s="111" t="str">
        <f aca="false">IF($B42="","",الموظفون!$Q42*(cfg_EOS_R1*(MIN(AH42,cfg_EOS_TH)-MIN(AI42,cfg_EOS_TH))+cfg_EOS_R2*(MAX(AH42-cfg_EOS_TH,0)-MAX(AI42-cfg_EOS_TH,0))))</f>
        <v/>
      </c>
      <c r="AB42" s="111" t="str">
        <f aca="false">IF($B42="","",IF(الموظفون!$T42&lt;&gt;"",الموظفون!$T42,IF(AH42&gt;=cfg_LV_TH,cfg_LV_D2,cfg_LV_D1))/cfg_DAYS_Y*AJ42*الموظفون!$R42/cfg_DAYS_M)</f>
        <v/>
      </c>
      <c r="AC42" s="111" t="str">
        <f aca="false">IF($B42="","",IF(AND(الموظفون!$U42="نعم",N(الموظفون!$W42)&gt;0),الموظفون!$V42/الموظفون!$W42*12/cfg_DAYS_Y*AJ42,0))</f>
        <v/>
      </c>
      <c r="AD42" s="111" t="str">
        <f aca="false">IF($B42="","",(IF(الموظفون!$X42&lt;&gt;"",الموظفون!$X42,IF(الموظفون!$E42="غير سعودي",cfg_IQ,0))+IF(الموظفون!$Y42&lt;&gt;"",الموظفون!$Y42,IF(الموظفون!$E42="غير سعودي",cfg_WP,0)))/12*G42/cfg_DAYS_M)</f>
        <v/>
      </c>
      <c r="AE42" s="111" t="str">
        <f aca="false">IF($B42="","",IF(الموظفون!$Z42&lt;&gt;"",الموظفون!$Z42,cfg_MED)/12*G42/cfg_DAYS_M)</f>
        <v/>
      </c>
      <c r="AF42" s="111" t="str">
        <f aca="false">IF($B42="","",N(الموظفون!$AA42)/12*G42/cfg_DAYS_M)</f>
        <v/>
      </c>
      <c r="AG42" s="154" t="str">
        <f aca="false">IF($B42="","",T42+SUM(Z42:AF42))</f>
        <v/>
      </c>
      <c r="AH42" s="155" t="str">
        <f aca="false">IF($B42="","",MAX(0,IF(OR(الموظفون!$AE42="",الموظفون!$AE42&gt;$F$3),$F$3,الموظفون!$AE42)-الموظفون!$H42+1-SUMIFS('سجل الإجازات والحالات'!$AP$6:$AP$505,'سجل الإجازات والحالات'!$B$6:$B$505,$B42))/cfg_DAYS_Y)</f>
        <v/>
      </c>
      <c r="AI42" s="155" t="str">
        <f aca="false">IF($B42="","",MAX(0,IF(OR(الموظفون!$AE42="",الموظفون!$AE42&gt;($E$3-1)),($E$3-1),الموظفون!$AE42)-الموظفون!$H42+1-SUMIFS('سجل الإجازات والحالات'!$AO$6:$AO$505,'سجل الإجازات والحالات'!$B$6:$B$505,$B42))/cfg_DAYS_Y)</f>
        <v/>
      </c>
      <c r="AJ42" s="65" t="str">
        <f aca="false">IF($B42="","",MAX(0,AK42-(SUMIFS('سجل الإجازات والحالات'!$AP$6:$AP$505,'سجل الإجازات والحالات'!$B$6:$B$505,$B42)-SUMIFS('سجل الإجازات والحالات'!$AO$6:$AO$505,'سجل الإجازات والحالات'!$B$6:$B$505,$B42))))</f>
        <v/>
      </c>
      <c r="AK42" s="65" t="str">
        <f aca="false">IF($B42="","",MAX(0,IF(OR(الموظفون!$AE42="",الموظفون!$AE42&gt;$F$3),$F$3,الموظفون!$AE42)-MAX($E$3,الموظفون!$H42)+1))</f>
        <v/>
      </c>
      <c r="AL42" s="151" t="str">
        <f aca="false">IF($B42="","",SUMIFS('سجل الإجازات والحالات'!$BB$6:$BB$505,'سجل الإجازات والحالات'!$B$6:$B$505,$B42)+SUMIFS('الحركات الشهرية'!$K$6:$K$1005,'الحركات الشهرية'!$B$6:$B$1005,$B42,'الحركات الشهرية'!$A$6:$A$1005,$C$3))</f>
        <v/>
      </c>
      <c r="AM42" s="111" t="str">
        <f aca="false">IF($B42="","",AL42*الموظفون!$R42/cfg_DAYS_M+S42)</f>
        <v/>
      </c>
      <c r="AN42" s="151" t="str">
        <f aca="false">IF($B42="","",SUMIFS('سجل الإجازات والحالات'!$AD$6:$AD$505,'سجل الإجازات والحالات'!$B$6:$B$505,$B42))</f>
        <v/>
      </c>
    </row>
    <row r="43" customFormat="false" ht="15" hidden="false" customHeight="false" outlineLevel="0" collapsed="false">
      <c r="A43" s="115" t="str">
        <f aca="false">IF($B43="","",الموظفون!$A43)</f>
        <v/>
      </c>
      <c r="B43" s="117" t="str">
        <f aca="false">IF(الموظفون!$B43="","",الموظفون!$B43)</f>
        <v/>
      </c>
      <c r="C43" s="117" t="str">
        <f aca="false">IF($B43="","",الموظفون!$C43)</f>
        <v/>
      </c>
      <c r="D43" s="117" t="str">
        <f aca="false">IF($B43="","",الموظفون!$F43)</f>
        <v/>
      </c>
      <c r="E43" s="117" t="str">
        <f aca="false">IF($B43="","",الموظفون!$E43)</f>
        <v/>
      </c>
      <c r="F43" s="117" t="str">
        <f aca="false">IF($B43="","",IF(AK43=0,IF(AND(الموظفون!$AE43&lt;&gt;"",الموظفون!$AE43&lt;$E$3),"✖ منتهي الخدمة","⏳ لم يباشر"),IF(S43&gt;0,"✈ راتب إجازة مقدم",IF(J43=0,"⛔ بدون راتب هذا الشهر",IF(I43&gt;0,"✈ خصم "&amp;ROUND(I43,2)&amp;" يوم بدون أجر",IF(AL43&gt;0,"🌴 إجازة سنوية "&amp;ROUND(AL43,2)&amp;" يوم",IF(H43&gt;0,"⚠ غياب "&amp;ROUND(H43,2)&amp;" يوم","✔ على رأس العمل")))))))</f>
        <v/>
      </c>
      <c r="G43" s="156" t="str">
        <f aca="false">IF($B43="","",IF(AK43&gt;=DAY($F$3),cfg_DAYS_M,MIN(AK43,cfg_DAYS_M)))</f>
        <v/>
      </c>
      <c r="H43" s="156" t="str">
        <f aca="false">IF($B43="","",SUMIFS('الحركات الشهرية'!$D$6:$D$1005,'الحركات الشهرية'!$B$6:$B$1005,$B43,'الحركات الشهرية'!$A$6:$A$1005,$C$3))</f>
        <v/>
      </c>
      <c r="I43" s="156" t="str">
        <f aca="false">IF($B43="","",MIN(G43,IF(AND(AK43&gt;0,AN43&gt;=AK43),G43,AN43)+SUMIFS('الحركات الشهرية'!$E$6:$E$1005,'الحركات الشهرية'!$B$6:$B$1005,$B43,'الحركات الشهرية'!$A$6:$A$1005,$C$3)))</f>
        <v/>
      </c>
      <c r="J43" s="156" t="str">
        <f aca="false">IF($B43="","",MAX(0,G43-H43-I43))</f>
        <v/>
      </c>
      <c r="K43" s="116" t="str">
        <f aca="false">IF($B43="","",الموظفون!$L43*$J43/cfg_DAYS_M)</f>
        <v/>
      </c>
      <c r="L43" s="116" t="str">
        <f aca="false">IF($B43="","",الموظفون!$M43*$J43/cfg_DAYS_M)</f>
        <v/>
      </c>
      <c r="M43" s="116" t="str">
        <f aca="false">IF($B43="","",الموظفون!$N43*$J43/cfg_DAYS_M)</f>
        <v/>
      </c>
      <c r="N43" s="116" t="str">
        <f aca="false">IF($B43="","",الموظفون!$O43*$J43/cfg_DAYS_M)</f>
        <v/>
      </c>
      <c r="O43" s="156" t="str">
        <f aca="false">IF($B43="","",SUMIFS('الحركات الشهرية'!$F$6:$F$1005,'الحركات الشهرية'!$B$6:$B$1005,$B43,'الحركات الشهرية'!$A$6:$A$1005,$C$3))</f>
        <v/>
      </c>
      <c r="P43" s="116" t="str">
        <f aca="false">IF($B43="","",O43*(الموظفون!$P43+الموظفون!$L43*cfg_OT_P)/cfg_DAYS_M/cfg_HRS)</f>
        <v/>
      </c>
      <c r="Q43" s="116" t="str">
        <f aca="false">IF($B43="","",SUMIFS('الحركات الشهرية'!$G$6:$G$1005,'الحركات الشهرية'!$B$6:$B$1005,$B43,'الحركات الشهرية'!$A$6:$A$1005,$C$3))</f>
        <v/>
      </c>
      <c r="R43" s="116" t="str">
        <f aca="false">IF($B43="","",SUMIFS('الحركات الشهرية'!$H$6:$H$1005,'الحركات الشهرية'!$B$6:$B$1005,$B43,'الحركات الشهرية'!$A$6:$A$1005,$C$3))</f>
        <v/>
      </c>
      <c r="S43" s="116" t="str">
        <f aca="false">IF($B43="","",SUMIFS('سجل الإجازات والحالات'!$N$6:$N$505,'سجل الإجازات والحالات'!$B$6:$B$505,$B43,'سجل الإجازات والحالات'!$O$6:$O$505,$C$3))</f>
        <v/>
      </c>
      <c r="T43" s="157" t="str">
        <f aca="false">IF($B43="","",SUM(K43:N43)+SUM(P43:S43))</f>
        <v/>
      </c>
      <c r="U43" s="116" t="str">
        <f aca="false">IF($B43="","",الموظفون!$S43*IF(E43="سعودي",cfg_G_SE,cfg_G_NE)*G43/cfg_DAYS_M)</f>
        <v/>
      </c>
      <c r="V43" s="116" t="str">
        <f aca="false">IF($B43="","",SUMIFS('الحركات الشهرية'!$I$6:$I$1005,'الحركات الشهرية'!$B$6:$B$1005,$B43,'الحركات الشهرية'!$A$6:$A$1005,$C$3))</f>
        <v/>
      </c>
      <c r="W43" s="116" t="str">
        <f aca="false">IF($B43="","",SUMIFS('الحركات الشهرية'!$J$6:$J$1005,'الحركات الشهرية'!$B$6:$B$1005,$B43,'الحركات الشهرية'!$A$6:$A$1005,$C$3))</f>
        <v/>
      </c>
      <c r="X43" s="116" t="str">
        <f aca="false">IF($B43="","",SUM(U43:W43))</f>
        <v/>
      </c>
      <c r="Y43" s="158" t="str">
        <f aca="false">IF($B43="","",T43-X43)</f>
        <v/>
      </c>
      <c r="Z43" s="116" t="str">
        <f aca="false">IF($B43="","",الموظفون!$S43*IF(E43="سعودي",cfg_G_SR,cfg_G_NR)*G43/cfg_DAYS_M)</f>
        <v/>
      </c>
      <c r="AA43" s="116" t="str">
        <f aca="false">IF($B43="","",الموظفون!$Q43*(cfg_EOS_R1*(MIN(AH43,cfg_EOS_TH)-MIN(AI43,cfg_EOS_TH))+cfg_EOS_R2*(MAX(AH43-cfg_EOS_TH,0)-MAX(AI43-cfg_EOS_TH,0))))</f>
        <v/>
      </c>
      <c r="AB43" s="116" t="str">
        <f aca="false">IF($B43="","",IF(الموظفون!$T43&lt;&gt;"",الموظفون!$T43,IF(AH43&gt;=cfg_LV_TH,cfg_LV_D2,cfg_LV_D1))/cfg_DAYS_Y*AJ43*الموظفون!$R43/cfg_DAYS_M)</f>
        <v/>
      </c>
      <c r="AC43" s="116" t="str">
        <f aca="false">IF($B43="","",IF(AND(الموظفون!$U43="نعم",N(الموظفون!$W43)&gt;0),الموظفون!$V43/الموظفون!$W43*12/cfg_DAYS_Y*AJ43,0))</f>
        <v/>
      </c>
      <c r="AD43" s="116" t="str">
        <f aca="false">IF($B43="","",(IF(الموظفون!$X43&lt;&gt;"",الموظفون!$X43,IF(الموظفون!$E43="غير سعودي",cfg_IQ,0))+IF(الموظفون!$Y43&lt;&gt;"",الموظفون!$Y43,IF(الموظفون!$E43="غير سعودي",cfg_WP,0)))/12*G43/cfg_DAYS_M)</f>
        <v/>
      </c>
      <c r="AE43" s="116" t="str">
        <f aca="false">IF($B43="","",IF(الموظفون!$Z43&lt;&gt;"",الموظفون!$Z43,cfg_MED)/12*G43/cfg_DAYS_M)</f>
        <v/>
      </c>
      <c r="AF43" s="116" t="str">
        <f aca="false">IF($B43="","",N(الموظفون!$AA43)/12*G43/cfg_DAYS_M)</f>
        <v/>
      </c>
      <c r="AG43" s="159" t="str">
        <f aca="false">IF($B43="","",T43+SUM(Z43:AF43))</f>
        <v/>
      </c>
      <c r="AH43" s="160" t="str">
        <f aca="false">IF($B43="","",MAX(0,IF(OR(الموظفون!$AE43="",الموظفون!$AE43&gt;$F$3),$F$3,الموظفون!$AE43)-الموظفون!$H43+1-SUMIFS('سجل الإجازات والحالات'!$AP$6:$AP$505,'سجل الإجازات والحالات'!$B$6:$B$505,$B43))/cfg_DAYS_Y)</f>
        <v/>
      </c>
      <c r="AI43" s="160" t="str">
        <f aca="false">IF($B43="","",MAX(0,IF(OR(الموظفون!$AE43="",الموظفون!$AE43&gt;($E$3-1)),($E$3-1),الموظفون!$AE43)-الموظفون!$H43+1-SUMIFS('سجل الإجازات والحالات'!$AO$6:$AO$505,'سجل الإجازات والحالات'!$B$6:$B$505,$B43))/cfg_DAYS_Y)</f>
        <v/>
      </c>
      <c r="AJ43" s="133" t="str">
        <f aca="false">IF($B43="","",MAX(0,AK43-(SUMIFS('سجل الإجازات والحالات'!$AP$6:$AP$505,'سجل الإجازات والحالات'!$B$6:$B$505,$B43)-SUMIFS('سجل الإجازات والحالات'!$AO$6:$AO$505,'سجل الإجازات والحالات'!$B$6:$B$505,$B43))))</f>
        <v/>
      </c>
      <c r="AK43" s="133" t="str">
        <f aca="false">IF($B43="","",MAX(0,IF(OR(الموظفون!$AE43="",الموظفون!$AE43&gt;$F$3),$F$3,الموظفون!$AE43)-MAX($E$3,الموظفون!$H43)+1))</f>
        <v/>
      </c>
      <c r="AL43" s="156" t="str">
        <f aca="false">IF($B43="","",SUMIFS('سجل الإجازات والحالات'!$BB$6:$BB$505,'سجل الإجازات والحالات'!$B$6:$B$505,$B43)+SUMIFS('الحركات الشهرية'!$K$6:$K$1005,'الحركات الشهرية'!$B$6:$B$1005,$B43,'الحركات الشهرية'!$A$6:$A$1005,$C$3))</f>
        <v/>
      </c>
      <c r="AM43" s="116" t="str">
        <f aca="false">IF($B43="","",AL43*الموظفون!$R43/cfg_DAYS_M+S43)</f>
        <v/>
      </c>
      <c r="AN43" s="156" t="str">
        <f aca="false">IF($B43="","",SUMIFS('سجل الإجازات والحالات'!$AD$6:$AD$505,'سجل الإجازات والحالات'!$B$6:$B$505,$B43))</f>
        <v/>
      </c>
    </row>
    <row r="44" customFormat="false" ht="15" hidden="false" customHeight="false" outlineLevel="0" collapsed="false">
      <c r="A44" s="106" t="str">
        <f aca="false">IF($B44="","",الموظفون!$A44)</f>
        <v/>
      </c>
      <c r="B44" s="114" t="str">
        <f aca="false">IF(الموظفون!$B44="","",الموظفون!$B44)</f>
        <v/>
      </c>
      <c r="C44" s="114" t="str">
        <f aca="false">IF($B44="","",الموظفون!$C44)</f>
        <v/>
      </c>
      <c r="D44" s="114" t="str">
        <f aca="false">IF($B44="","",الموظفون!$F44)</f>
        <v/>
      </c>
      <c r="E44" s="114" t="str">
        <f aca="false">IF($B44="","",الموظفون!$E44)</f>
        <v/>
      </c>
      <c r="F44" s="114" t="str">
        <f aca="false">IF($B44="","",IF(AK44=0,IF(AND(الموظفون!$AE44&lt;&gt;"",الموظفون!$AE44&lt;$E$3),"✖ منتهي الخدمة","⏳ لم يباشر"),IF(S44&gt;0,"✈ راتب إجازة مقدم",IF(J44=0,"⛔ بدون راتب هذا الشهر",IF(I44&gt;0,"✈ خصم "&amp;ROUND(I44,2)&amp;" يوم بدون أجر",IF(AL44&gt;0,"🌴 إجازة سنوية "&amp;ROUND(AL44,2)&amp;" يوم",IF(H44&gt;0,"⚠ غياب "&amp;ROUND(H44,2)&amp;" يوم","✔ على رأس العمل")))))))</f>
        <v/>
      </c>
      <c r="G44" s="151" t="str">
        <f aca="false">IF($B44="","",IF(AK44&gt;=DAY($F$3),cfg_DAYS_M,MIN(AK44,cfg_DAYS_M)))</f>
        <v/>
      </c>
      <c r="H44" s="151" t="str">
        <f aca="false">IF($B44="","",SUMIFS('الحركات الشهرية'!$D$6:$D$1005,'الحركات الشهرية'!$B$6:$B$1005,$B44,'الحركات الشهرية'!$A$6:$A$1005,$C$3))</f>
        <v/>
      </c>
      <c r="I44" s="151" t="str">
        <f aca="false">IF($B44="","",MIN(G44,IF(AND(AK44&gt;0,AN44&gt;=AK44),G44,AN44)+SUMIFS('الحركات الشهرية'!$E$6:$E$1005,'الحركات الشهرية'!$B$6:$B$1005,$B44,'الحركات الشهرية'!$A$6:$A$1005,$C$3)))</f>
        <v/>
      </c>
      <c r="J44" s="151" t="str">
        <f aca="false">IF($B44="","",MAX(0,G44-H44-I44))</f>
        <v/>
      </c>
      <c r="K44" s="111" t="str">
        <f aca="false">IF($B44="","",الموظفون!$L44*$J44/cfg_DAYS_M)</f>
        <v/>
      </c>
      <c r="L44" s="111" t="str">
        <f aca="false">IF($B44="","",الموظفون!$M44*$J44/cfg_DAYS_M)</f>
        <v/>
      </c>
      <c r="M44" s="111" t="str">
        <f aca="false">IF($B44="","",الموظفون!$N44*$J44/cfg_DAYS_M)</f>
        <v/>
      </c>
      <c r="N44" s="111" t="str">
        <f aca="false">IF($B44="","",الموظفون!$O44*$J44/cfg_DAYS_M)</f>
        <v/>
      </c>
      <c r="O44" s="151" t="str">
        <f aca="false">IF($B44="","",SUMIFS('الحركات الشهرية'!$F$6:$F$1005,'الحركات الشهرية'!$B$6:$B$1005,$B44,'الحركات الشهرية'!$A$6:$A$1005,$C$3))</f>
        <v/>
      </c>
      <c r="P44" s="111" t="str">
        <f aca="false">IF($B44="","",O44*(الموظفون!$P44+الموظفون!$L44*cfg_OT_P)/cfg_DAYS_M/cfg_HRS)</f>
        <v/>
      </c>
      <c r="Q44" s="111" t="str">
        <f aca="false">IF($B44="","",SUMIFS('الحركات الشهرية'!$G$6:$G$1005,'الحركات الشهرية'!$B$6:$B$1005,$B44,'الحركات الشهرية'!$A$6:$A$1005,$C$3))</f>
        <v/>
      </c>
      <c r="R44" s="111" t="str">
        <f aca="false">IF($B44="","",SUMIFS('الحركات الشهرية'!$H$6:$H$1005,'الحركات الشهرية'!$B$6:$B$1005,$B44,'الحركات الشهرية'!$A$6:$A$1005,$C$3))</f>
        <v/>
      </c>
      <c r="S44" s="111" t="str">
        <f aca="false">IF($B44="","",SUMIFS('سجل الإجازات والحالات'!$N$6:$N$505,'سجل الإجازات والحالات'!$B$6:$B$505,$B44,'سجل الإجازات والحالات'!$O$6:$O$505,$C$3))</f>
        <v/>
      </c>
      <c r="T44" s="152" t="str">
        <f aca="false">IF($B44="","",SUM(K44:N44)+SUM(P44:S44))</f>
        <v/>
      </c>
      <c r="U44" s="111" t="str">
        <f aca="false">IF($B44="","",الموظفون!$S44*IF(E44="سعودي",cfg_G_SE,cfg_G_NE)*G44/cfg_DAYS_M)</f>
        <v/>
      </c>
      <c r="V44" s="111" t="str">
        <f aca="false">IF($B44="","",SUMIFS('الحركات الشهرية'!$I$6:$I$1005,'الحركات الشهرية'!$B$6:$B$1005,$B44,'الحركات الشهرية'!$A$6:$A$1005,$C$3))</f>
        <v/>
      </c>
      <c r="W44" s="111" t="str">
        <f aca="false">IF($B44="","",SUMIFS('الحركات الشهرية'!$J$6:$J$1005,'الحركات الشهرية'!$B$6:$B$1005,$B44,'الحركات الشهرية'!$A$6:$A$1005,$C$3))</f>
        <v/>
      </c>
      <c r="X44" s="111" t="str">
        <f aca="false">IF($B44="","",SUM(U44:W44))</f>
        <v/>
      </c>
      <c r="Y44" s="153" t="str">
        <f aca="false">IF($B44="","",T44-X44)</f>
        <v/>
      </c>
      <c r="Z44" s="111" t="str">
        <f aca="false">IF($B44="","",الموظفون!$S44*IF(E44="سعودي",cfg_G_SR,cfg_G_NR)*G44/cfg_DAYS_M)</f>
        <v/>
      </c>
      <c r="AA44" s="111" t="str">
        <f aca="false">IF($B44="","",الموظفون!$Q44*(cfg_EOS_R1*(MIN(AH44,cfg_EOS_TH)-MIN(AI44,cfg_EOS_TH))+cfg_EOS_R2*(MAX(AH44-cfg_EOS_TH,0)-MAX(AI44-cfg_EOS_TH,0))))</f>
        <v/>
      </c>
      <c r="AB44" s="111" t="str">
        <f aca="false">IF($B44="","",IF(الموظفون!$T44&lt;&gt;"",الموظفون!$T44,IF(AH44&gt;=cfg_LV_TH,cfg_LV_D2,cfg_LV_D1))/cfg_DAYS_Y*AJ44*الموظفون!$R44/cfg_DAYS_M)</f>
        <v/>
      </c>
      <c r="AC44" s="111" t="str">
        <f aca="false">IF($B44="","",IF(AND(الموظفون!$U44="نعم",N(الموظفون!$W44)&gt;0),الموظفون!$V44/الموظفون!$W44*12/cfg_DAYS_Y*AJ44,0))</f>
        <v/>
      </c>
      <c r="AD44" s="111" t="str">
        <f aca="false">IF($B44="","",(IF(الموظفون!$X44&lt;&gt;"",الموظفون!$X44,IF(الموظفون!$E44="غير سعودي",cfg_IQ,0))+IF(الموظفون!$Y44&lt;&gt;"",الموظفون!$Y44,IF(الموظفون!$E44="غير سعودي",cfg_WP,0)))/12*G44/cfg_DAYS_M)</f>
        <v/>
      </c>
      <c r="AE44" s="111" t="str">
        <f aca="false">IF($B44="","",IF(الموظفون!$Z44&lt;&gt;"",الموظفون!$Z44,cfg_MED)/12*G44/cfg_DAYS_M)</f>
        <v/>
      </c>
      <c r="AF44" s="111" t="str">
        <f aca="false">IF($B44="","",N(الموظفون!$AA44)/12*G44/cfg_DAYS_M)</f>
        <v/>
      </c>
      <c r="AG44" s="154" t="str">
        <f aca="false">IF($B44="","",T44+SUM(Z44:AF44))</f>
        <v/>
      </c>
      <c r="AH44" s="155" t="str">
        <f aca="false">IF($B44="","",MAX(0,IF(OR(الموظفون!$AE44="",الموظفون!$AE44&gt;$F$3),$F$3,الموظفون!$AE44)-الموظفون!$H44+1-SUMIFS('سجل الإجازات والحالات'!$AP$6:$AP$505,'سجل الإجازات والحالات'!$B$6:$B$505,$B44))/cfg_DAYS_Y)</f>
        <v/>
      </c>
      <c r="AI44" s="155" t="str">
        <f aca="false">IF($B44="","",MAX(0,IF(OR(الموظفون!$AE44="",الموظفون!$AE44&gt;($E$3-1)),($E$3-1),الموظفون!$AE44)-الموظفون!$H44+1-SUMIFS('سجل الإجازات والحالات'!$AO$6:$AO$505,'سجل الإجازات والحالات'!$B$6:$B$505,$B44))/cfg_DAYS_Y)</f>
        <v/>
      </c>
      <c r="AJ44" s="65" t="str">
        <f aca="false">IF($B44="","",MAX(0,AK44-(SUMIFS('سجل الإجازات والحالات'!$AP$6:$AP$505,'سجل الإجازات والحالات'!$B$6:$B$505,$B44)-SUMIFS('سجل الإجازات والحالات'!$AO$6:$AO$505,'سجل الإجازات والحالات'!$B$6:$B$505,$B44))))</f>
        <v/>
      </c>
      <c r="AK44" s="65" t="str">
        <f aca="false">IF($B44="","",MAX(0,IF(OR(الموظفون!$AE44="",الموظفون!$AE44&gt;$F$3),$F$3,الموظفون!$AE44)-MAX($E$3,الموظفون!$H44)+1))</f>
        <v/>
      </c>
      <c r="AL44" s="151" t="str">
        <f aca="false">IF($B44="","",SUMIFS('سجل الإجازات والحالات'!$BB$6:$BB$505,'سجل الإجازات والحالات'!$B$6:$B$505,$B44)+SUMIFS('الحركات الشهرية'!$K$6:$K$1005,'الحركات الشهرية'!$B$6:$B$1005,$B44,'الحركات الشهرية'!$A$6:$A$1005,$C$3))</f>
        <v/>
      </c>
      <c r="AM44" s="111" t="str">
        <f aca="false">IF($B44="","",AL44*الموظفون!$R44/cfg_DAYS_M+S44)</f>
        <v/>
      </c>
      <c r="AN44" s="151" t="str">
        <f aca="false">IF($B44="","",SUMIFS('سجل الإجازات والحالات'!$AD$6:$AD$505,'سجل الإجازات والحالات'!$B$6:$B$505,$B44))</f>
        <v/>
      </c>
    </row>
    <row r="45" customFormat="false" ht="15" hidden="false" customHeight="false" outlineLevel="0" collapsed="false">
      <c r="A45" s="115" t="str">
        <f aca="false">IF($B45="","",الموظفون!$A45)</f>
        <v/>
      </c>
      <c r="B45" s="117" t="str">
        <f aca="false">IF(الموظفون!$B45="","",الموظفون!$B45)</f>
        <v/>
      </c>
      <c r="C45" s="117" t="str">
        <f aca="false">IF($B45="","",الموظفون!$C45)</f>
        <v/>
      </c>
      <c r="D45" s="117" t="str">
        <f aca="false">IF($B45="","",الموظفون!$F45)</f>
        <v/>
      </c>
      <c r="E45" s="117" t="str">
        <f aca="false">IF($B45="","",الموظفون!$E45)</f>
        <v/>
      </c>
      <c r="F45" s="117" t="str">
        <f aca="false">IF($B45="","",IF(AK45=0,IF(AND(الموظفون!$AE45&lt;&gt;"",الموظفون!$AE45&lt;$E$3),"✖ منتهي الخدمة","⏳ لم يباشر"),IF(S45&gt;0,"✈ راتب إجازة مقدم",IF(J45=0,"⛔ بدون راتب هذا الشهر",IF(I45&gt;0,"✈ خصم "&amp;ROUND(I45,2)&amp;" يوم بدون أجر",IF(AL45&gt;0,"🌴 إجازة سنوية "&amp;ROUND(AL45,2)&amp;" يوم",IF(H45&gt;0,"⚠ غياب "&amp;ROUND(H45,2)&amp;" يوم","✔ على رأس العمل")))))))</f>
        <v/>
      </c>
      <c r="G45" s="156" t="str">
        <f aca="false">IF($B45="","",IF(AK45&gt;=DAY($F$3),cfg_DAYS_M,MIN(AK45,cfg_DAYS_M)))</f>
        <v/>
      </c>
      <c r="H45" s="156" t="str">
        <f aca="false">IF($B45="","",SUMIFS('الحركات الشهرية'!$D$6:$D$1005,'الحركات الشهرية'!$B$6:$B$1005,$B45,'الحركات الشهرية'!$A$6:$A$1005,$C$3))</f>
        <v/>
      </c>
      <c r="I45" s="156" t="str">
        <f aca="false">IF($B45="","",MIN(G45,IF(AND(AK45&gt;0,AN45&gt;=AK45),G45,AN45)+SUMIFS('الحركات الشهرية'!$E$6:$E$1005,'الحركات الشهرية'!$B$6:$B$1005,$B45,'الحركات الشهرية'!$A$6:$A$1005,$C$3)))</f>
        <v/>
      </c>
      <c r="J45" s="156" t="str">
        <f aca="false">IF($B45="","",MAX(0,G45-H45-I45))</f>
        <v/>
      </c>
      <c r="K45" s="116" t="str">
        <f aca="false">IF($B45="","",الموظفون!$L45*$J45/cfg_DAYS_M)</f>
        <v/>
      </c>
      <c r="L45" s="116" t="str">
        <f aca="false">IF($B45="","",الموظفون!$M45*$J45/cfg_DAYS_M)</f>
        <v/>
      </c>
      <c r="M45" s="116" t="str">
        <f aca="false">IF($B45="","",الموظفون!$N45*$J45/cfg_DAYS_M)</f>
        <v/>
      </c>
      <c r="N45" s="116" t="str">
        <f aca="false">IF($B45="","",الموظفون!$O45*$J45/cfg_DAYS_M)</f>
        <v/>
      </c>
      <c r="O45" s="156" t="str">
        <f aca="false">IF($B45="","",SUMIFS('الحركات الشهرية'!$F$6:$F$1005,'الحركات الشهرية'!$B$6:$B$1005,$B45,'الحركات الشهرية'!$A$6:$A$1005,$C$3))</f>
        <v/>
      </c>
      <c r="P45" s="116" t="str">
        <f aca="false">IF($B45="","",O45*(الموظفون!$P45+الموظفون!$L45*cfg_OT_P)/cfg_DAYS_M/cfg_HRS)</f>
        <v/>
      </c>
      <c r="Q45" s="116" t="str">
        <f aca="false">IF($B45="","",SUMIFS('الحركات الشهرية'!$G$6:$G$1005,'الحركات الشهرية'!$B$6:$B$1005,$B45,'الحركات الشهرية'!$A$6:$A$1005,$C$3))</f>
        <v/>
      </c>
      <c r="R45" s="116" t="str">
        <f aca="false">IF($B45="","",SUMIFS('الحركات الشهرية'!$H$6:$H$1005,'الحركات الشهرية'!$B$6:$B$1005,$B45,'الحركات الشهرية'!$A$6:$A$1005,$C$3))</f>
        <v/>
      </c>
      <c r="S45" s="116" t="str">
        <f aca="false">IF($B45="","",SUMIFS('سجل الإجازات والحالات'!$N$6:$N$505,'سجل الإجازات والحالات'!$B$6:$B$505,$B45,'سجل الإجازات والحالات'!$O$6:$O$505,$C$3))</f>
        <v/>
      </c>
      <c r="T45" s="157" t="str">
        <f aca="false">IF($B45="","",SUM(K45:N45)+SUM(P45:S45))</f>
        <v/>
      </c>
      <c r="U45" s="116" t="str">
        <f aca="false">IF($B45="","",الموظفون!$S45*IF(E45="سعودي",cfg_G_SE,cfg_G_NE)*G45/cfg_DAYS_M)</f>
        <v/>
      </c>
      <c r="V45" s="116" t="str">
        <f aca="false">IF($B45="","",SUMIFS('الحركات الشهرية'!$I$6:$I$1005,'الحركات الشهرية'!$B$6:$B$1005,$B45,'الحركات الشهرية'!$A$6:$A$1005,$C$3))</f>
        <v/>
      </c>
      <c r="W45" s="116" t="str">
        <f aca="false">IF($B45="","",SUMIFS('الحركات الشهرية'!$J$6:$J$1005,'الحركات الشهرية'!$B$6:$B$1005,$B45,'الحركات الشهرية'!$A$6:$A$1005,$C$3))</f>
        <v/>
      </c>
      <c r="X45" s="116" t="str">
        <f aca="false">IF($B45="","",SUM(U45:W45))</f>
        <v/>
      </c>
      <c r="Y45" s="158" t="str">
        <f aca="false">IF($B45="","",T45-X45)</f>
        <v/>
      </c>
      <c r="Z45" s="116" t="str">
        <f aca="false">IF($B45="","",الموظفون!$S45*IF(E45="سعودي",cfg_G_SR,cfg_G_NR)*G45/cfg_DAYS_M)</f>
        <v/>
      </c>
      <c r="AA45" s="116" t="str">
        <f aca="false">IF($B45="","",الموظفون!$Q45*(cfg_EOS_R1*(MIN(AH45,cfg_EOS_TH)-MIN(AI45,cfg_EOS_TH))+cfg_EOS_R2*(MAX(AH45-cfg_EOS_TH,0)-MAX(AI45-cfg_EOS_TH,0))))</f>
        <v/>
      </c>
      <c r="AB45" s="116" t="str">
        <f aca="false">IF($B45="","",IF(الموظفون!$T45&lt;&gt;"",الموظفون!$T45,IF(AH45&gt;=cfg_LV_TH,cfg_LV_D2,cfg_LV_D1))/cfg_DAYS_Y*AJ45*الموظفون!$R45/cfg_DAYS_M)</f>
        <v/>
      </c>
      <c r="AC45" s="116" t="str">
        <f aca="false">IF($B45="","",IF(AND(الموظفون!$U45="نعم",N(الموظفون!$W45)&gt;0),الموظفون!$V45/الموظفون!$W45*12/cfg_DAYS_Y*AJ45,0))</f>
        <v/>
      </c>
      <c r="AD45" s="116" t="str">
        <f aca="false">IF($B45="","",(IF(الموظفون!$X45&lt;&gt;"",الموظفون!$X45,IF(الموظفون!$E45="غير سعودي",cfg_IQ,0))+IF(الموظفون!$Y45&lt;&gt;"",الموظفون!$Y45,IF(الموظفون!$E45="غير سعودي",cfg_WP,0)))/12*G45/cfg_DAYS_M)</f>
        <v/>
      </c>
      <c r="AE45" s="116" t="str">
        <f aca="false">IF($B45="","",IF(الموظفون!$Z45&lt;&gt;"",الموظفون!$Z45,cfg_MED)/12*G45/cfg_DAYS_M)</f>
        <v/>
      </c>
      <c r="AF45" s="116" t="str">
        <f aca="false">IF($B45="","",N(الموظفون!$AA45)/12*G45/cfg_DAYS_M)</f>
        <v/>
      </c>
      <c r="AG45" s="159" t="str">
        <f aca="false">IF($B45="","",T45+SUM(Z45:AF45))</f>
        <v/>
      </c>
      <c r="AH45" s="160" t="str">
        <f aca="false">IF($B45="","",MAX(0,IF(OR(الموظفون!$AE45="",الموظفون!$AE45&gt;$F$3),$F$3,الموظفون!$AE45)-الموظفون!$H45+1-SUMIFS('سجل الإجازات والحالات'!$AP$6:$AP$505,'سجل الإجازات والحالات'!$B$6:$B$505,$B45))/cfg_DAYS_Y)</f>
        <v/>
      </c>
      <c r="AI45" s="160" t="str">
        <f aca="false">IF($B45="","",MAX(0,IF(OR(الموظفون!$AE45="",الموظفون!$AE45&gt;($E$3-1)),($E$3-1),الموظفون!$AE45)-الموظفون!$H45+1-SUMIFS('سجل الإجازات والحالات'!$AO$6:$AO$505,'سجل الإجازات والحالات'!$B$6:$B$505,$B45))/cfg_DAYS_Y)</f>
        <v/>
      </c>
      <c r="AJ45" s="133" t="str">
        <f aca="false">IF($B45="","",MAX(0,AK45-(SUMIFS('سجل الإجازات والحالات'!$AP$6:$AP$505,'سجل الإجازات والحالات'!$B$6:$B$505,$B45)-SUMIFS('سجل الإجازات والحالات'!$AO$6:$AO$505,'سجل الإجازات والحالات'!$B$6:$B$505,$B45))))</f>
        <v/>
      </c>
      <c r="AK45" s="133" t="str">
        <f aca="false">IF($B45="","",MAX(0,IF(OR(الموظفون!$AE45="",الموظفون!$AE45&gt;$F$3),$F$3,الموظفون!$AE45)-MAX($E$3,الموظفون!$H45)+1))</f>
        <v/>
      </c>
      <c r="AL45" s="156" t="str">
        <f aca="false">IF($B45="","",SUMIFS('سجل الإجازات والحالات'!$BB$6:$BB$505,'سجل الإجازات والحالات'!$B$6:$B$505,$B45)+SUMIFS('الحركات الشهرية'!$K$6:$K$1005,'الحركات الشهرية'!$B$6:$B$1005,$B45,'الحركات الشهرية'!$A$6:$A$1005,$C$3))</f>
        <v/>
      </c>
      <c r="AM45" s="116" t="str">
        <f aca="false">IF($B45="","",AL45*الموظفون!$R45/cfg_DAYS_M+S45)</f>
        <v/>
      </c>
      <c r="AN45" s="156" t="str">
        <f aca="false">IF($B45="","",SUMIFS('سجل الإجازات والحالات'!$AD$6:$AD$505,'سجل الإجازات والحالات'!$B$6:$B$505,$B45))</f>
        <v/>
      </c>
    </row>
    <row r="46" customFormat="false" ht="15" hidden="false" customHeight="false" outlineLevel="0" collapsed="false">
      <c r="A46" s="106" t="str">
        <f aca="false">IF($B46="","",الموظفون!$A46)</f>
        <v/>
      </c>
      <c r="B46" s="114" t="str">
        <f aca="false">IF(الموظفون!$B46="","",الموظفون!$B46)</f>
        <v/>
      </c>
      <c r="C46" s="114" t="str">
        <f aca="false">IF($B46="","",الموظفون!$C46)</f>
        <v/>
      </c>
      <c r="D46" s="114" t="str">
        <f aca="false">IF($B46="","",الموظفون!$F46)</f>
        <v/>
      </c>
      <c r="E46" s="114" t="str">
        <f aca="false">IF($B46="","",الموظفون!$E46)</f>
        <v/>
      </c>
      <c r="F46" s="114" t="str">
        <f aca="false">IF($B46="","",IF(AK46=0,IF(AND(الموظفون!$AE46&lt;&gt;"",الموظفون!$AE46&lt;$E$3),"✖ منتهي الخدمة","⏳ لم يباشر"),IF(S46&gt;0,"✈ راتب إجازة مقدم",IF(J46=0,"⛔ بدون راتب هذا الشهر",IF(I46&gt;0,"✈ خصم "&amp;ROUND(I46,2)&amp;" يوم بدون أجر",IF(AL46&gt;0,"🌴 إجازة سنوية "&amp;ROUND(AL46,2)&amp;" يوم",IF(H46&gt;0,"⚠ غياب "&amp;ROUND(H46,2)&amp;" يوم","✔ على رأس العمل")))))))</f>
        <v/>
      </c>
      <c r="G46" s="151" t="str">
        <f aca="false">IF($B46="","",IF(AK46&gt;=DAY($F$3),cfg_DAYS_M,MIN(AK46,cfg_DAYS_M)))</f>
        <v/>
      </c>
      <c r="H46" s="151" t="str">
        <f aca="false">IF($B46="","",SUMIFS('الحركات الشهرية'!$D$6:$D$1005,'الحركات الشهرية'!$B$6:$B$1005,$B46,'الحركات الشهرية'!$A$6:$A$1005,$C$3))</f>
        <v/>
      </c>
      <c r="I46" s="151" t="str">
        <f aca="false">IF($B46="","",MIN(G46,IF(AND(AK46&gt;0,AN46&gt;=AK46),G46,AN46)+SUMIFS('الحركات الشهرية'!$E$6:$E$1005,'الحركات الشهرية'!$B$6:$B$1005,$B46,'الحركات الشهرية'!$A$6:$A$1005,$C$3)))</f>
        <v/>
      </c>
      <c r="J46" s="151" t="str">
        <f aca="false">IF($B46="","",MAX(0,G46-H46-I46))</f>
        <v/>
      </c>
      <c r="K46" s="111" t="str">
        <f aca="false">IF($B46="","",الموظفون!$L46*$J46/cfg_DAYS_M)</f>
        <v/>
      </c>
      <c r="L46" s="111" t="str">
        <f aca="false">IF($B46="","",الموظفون!$M46*$J46/cfg_DAYS_M)</f>
        <v/>
      </c>
      <c r="M46" s="111" t="str">
        <f aca="false">IF($B46="","",الموظفون!$N46*$J46/cfg_DAYS_M)</f>
        <v/>
      </c>
      <c r="N46" s="111" t="str">
        <f aca="false">IF($B46="","",الموظفون!$O46*$J46/cfg_DAYS_M)</f>
        <v/>
      </c>
      <c r="O46" s="151" t="str">
        <f aca="false">IF($B46="","",SUMIFS('الحركات الشهرية'!$F$6:$F$1005,'الحركات الشهرية'!$B$6:$B$1005,$B46,'الحركات الشهرية'!$A$6:$A$1005,$C$3))</f>
        <v/>
      </c>
      <c r="P46" s="111" t="str">
        <f aca="false">IF($B46="","",O46*(الموظفون!$P46+الموظفون!$L46*cfg_OT_P)/cfg_DAYS_M/cfg_HRS)</f>
        <v/>
      </c>
      <c r="Q46" s="111" t="str">
        <f aca="false">IF($B46="","",SUMIFS('الحركات الشهرية'!$G$6:$G$1005,'الحركات الشهرية'!$B$6:$B$1005,$B46,'الحركات الشهرية'!$A$6:$A$1005,$C$3))</f>
        <v/>
      </c>
      <c r="R46" s="111" t="str">
        <f aca="false">IF($B46="","",SUMIFS('الحركات الشهرية'!$H$6:$H$1005,'الحركات الشهرية'!$B$6:$B$1005,$B46,'الحركات الشهرية'!$A$6:$A$1005,$C$3))</f>
        <v/>
      </c>
      <c r="S46" s="111" t="str">
        <f aca="false">IF($B46="","",SUMIFS('سجل الإجازات والحالات'!$N$6:$N$505,'سجل الإجازات والحالات'!$B$6:$B$505,$B46,'سجل الإجازات والحالات'!$O$6:$O$505,$C$3))</f>
        <v/>
      </c>
      <c r="T46" s="152" t="str">
        <f aca="false">IF($B46="","",SUM(K46:N46)+SUM(P46:S46))</f>
        <v/>
      </c>
      <c r="U46" s="111" t="str">
        <f aca="false">IF($B46="","",الموظفون!$S46*IF(E46="سعودي",cfg_G_SE,cfg_G_NE)*G46/cfg_DAYS_M)</f>
        <v/>
      </c>
      <c r="V46" s="111" t="str">
        <f aca="false">IF($B46="","",SUMIFS('الحركات الشهرية'!$I$6:$I$1005,'الحركات الشهرية'!$B$6:$B$1005,$B46,'الحركات الشهرية'!$A$6:$A$1005,$C$3))</f>
        <v/>
      </c>
      <c r="W46" s="111" t="str">
        <f aca="false">IF($B46="","",SUMIFS('الحركات الشهرية'!$J$6:$J$1005,'الحركات الشهرية'!$B$6:$B$1005,$B46,'الحركات الشهرية'!$A$6:$A$1005,$C$3))</f>
        <v/>
      </c>
      <c r="X46" s="111" t="str">
        <f aca="false">IF($B46="","",SUM(U46:W46))</f>
        <v/>
      </c>
      <c r="Y46" s="153" t="str">
        <f aca="false">IF($B46="","",T46-X46)</f>
        <v/>
      </c>
      <c r="Z46" s="111" t="str">
        <f aca="false">IF($B46="","",الموظفون!$S46*IF(E46="سعودي",cfg_G_SR,cfg_G_NR)*G46/cfg_DAYS_M)</f>
        <v/>
      </c>
      <c r="AA46" s="111" t="str">
        <f aca="false">IF($B46="","",الموظفون!$Q46*(cfg_EOS_R1*(MIN(AH46,cfg_EOS_TH)-MIN(AI46,cfg_EOS_TH))+cfg_EOS_R2*(MAX(AH46-cfg_EOS_TH,0)-MAX(AI46-cfg_EOS_TH,0))))</f>
        <v/>
      </c>
      <c r="AB46" s="111" t="str">
        <f aca="false">IF($B46="","",IF(الموظفون!$T46&lt;&gt;"",الموظفون!$T46,IF(AH46&gt;=cfg_LV_TH,cfg_LV_D2,cfg_LV_D1))/cfg_DAYS_Y*AJ46*الموظفون!$R46/cfg_DAYS_M)</f>
        <v/>
      </c>
      <c r="AC46" s="111" t="str">
        <f aca="false">IF($B46="","",IF(AND(الموظفون!$U46="نعم",N(الموظفون!$W46)&gt;0),الموظفون!$V46/الموظفون!$W46*12/cfg_DAYS_Y*AJ46,0))</f>
        <v/>
      </c>
      <c r="AD46" s="111" t="str">
        <f aca="false">IF($B46="","",(IF(الموظفون!$X46&lt;&gt;"",الموظفون!$X46,IF(الموظفون!$E46="غير سعودي",cfg_IQ,0))+IF(الموظفون!$Y46&lt;&gt;"",الموظفون!$Y46,IF(الموظفون!$E46="غير سعودي",cfg_WP,0)))/12*G46/cfg_DAYS_M)</f>
        <v/>
      </c>
      <c r="AE46" s="111" t="str">
        <f aca="false">IF($B46="","",IF(الموظفون!$Z46&lt;&gt;"",الموظفون!$Z46,cfg_MED)/12*G46/cfg_DAYS_M)</f>
        <v/>
      </c>
      <c r="AF46" s="111" t="str">
        <f aca="false">IF($B46="","",N(الموظفون!$AA46)/12*G46/cfg_DAYS_M)</f>
        <v/>
      </c>
      <c r="AG46" s="154" t="str">
        <f aca="false">IF($B46="","",T46+SUM(Z46:AF46))</f>
        <v/>
      </c>
      <c r="AH46" s="155" t="str">
        <f aca="false">IF($B46="","",MAX(0,IF(OR(الموظفون!$AE46="",الموظفون!$AE46&gt;$F$3),$F$3,الموظفون!$AE46)-الموظفون!$H46+1-SUMIFS('سجل الإجازات والحالات'!$AP$6:$AP$505,'سجل الإجازات والحالات'!$B$6:$B$505,$B46))/cfg_DAYS_Y)</f>
        <v/>
      </c>
      <c r="AI46" s="155" t="str">
        <f aca="false">IF($B46="","",MAX(0,IF(OR(الموظفون!$AE46="",الموظفون!$AE46&gt;($E$3-1)),($E$3-1),الموظفون!$AE46)-الموظفون!$H46+1-SUMIFS('سجل الإجازات والحالات'!$AO$6:$AO$505,'سجل الإجازات والحالات'!$B$6:$B$505,$B46))/cfg_DAYS_Y)</f>
        <v/>
      </c>
      <c r="AJ46" s="65" t="str">
        <f aca="false">IF($B46="","",MAX(0,AK46-(SUMIFS('سجل الإجازات والحالات'!$AP$6:$AP$505,'سجل الإجازات والحالات'!$B$6:$B$505,$B46)-SUMIFS('سجل الإجازات والحالات'!$AO$6:$AO$505,'سجل الإجازات والحالات'!$B$6:$B$505,$B46))))</f>
        <v/>
      </c>
      <c r="AK46" s="65" t="str">
        <f aca="false">IF($B46="","",MAX(0,IF(OR(الموظفون!$AE46="",الموظفون!$AE46&gt;$F$3),$F$3,الموظفون!$AE46)-MAX($E$3,الموظفون!$H46)+1))</f>
        <v/>
      </c>
      <c r="AL46" s="151" t="str">
        <f aca="false">IF($B46="","",SUMIFS('سجل الإجازات والحالات'!$BB$6:$BB$505,'سجل الإجازات والحالات'!$B$6:$B$505,$B46)+SUMIFS('الحركات الشهرية'!$K$6:$K$1005,'الحركات الشهرية'!$B$6:$B$1005,$B46,'الحركات الشهرية'!$A$6:$A$1005,$C$3))</f>
        <v/>
      </c>
      <c r="AM46" s="111" t="str">
        <f aca="false">IF($B46="","",AL46*الموظفون!$R46/cfg_DAYS_M+S46)</f>
        <v/>
      </c>
      <c r="AN46" s="151" t="str">
        <f aca="false">IF($B46="","",SUMIFS('سجل الإجازات والحالات'!$AD$6:$AD$505,'سجل الإجازات والحالات'!$B$6:$B$505,$B46))</f>
        <v/>
      </c>
    </row>
    <row r="47" customFormat="false" ht="15" hidden="false" customHeight="false" outlineLevel="0" collapsed="false">
      <c r="A47" s="115" t="str">
        <f aca="false">IF($B47="","",الموظفون!$A47)</f>
        <v/>
      </c>
      <c r="B47" s="117" t="str">
        <f aca="false">IF(الموظفون!$B47="","",الموظفون!$B47)</f>
        <v/>
      </c>
      <c r="C47" s="117" t="str">
        <f aca="false">IF($B47="","",الموظفون!$C47)</f>
        <v/>
      </c>
      <c r="D47" s="117" t="str">
        <f aca="false">IF($B47="","",الموظفون!$F47)</f>
        <v/>
      </c>
      <c r="E47" s="117" t="str">
        <f aca="false">IF($B47="","",الموظفون!$E47)</f>
        <v/>
      </c>
      <c r="F47" s="117" t="str">
        <f aca="false">IF($B47="","",IF(AK47=0,IF(AND(الموظفون!$AE47&lt;&gt;"",الموظفون!$AE47&lt;$E$3),"✖ منتهي الخدمة","⏳ لم يباشر"),IF(S47&gt;0,"✈ راتب إجازة مقدم",IF(J47=0,"⛔ بدون راتب هذا الشهر",IF(I47&gt;0,"✈ خصم "&amp;ROUND(I47,2)&amp;" يوم بدون أجر",IF(AL47&gt;0,"🌴 إجازة سنوية "&amp;ROUND(AL47,2)&amp;" يوم",IF(H47&gt;0,"⚠ غياب "&amp;ROUND(H47,2)&amp;" يوم","✔ على رأس العمل")))))))</f>
        <v/>
      </c>
      <c r="G47" s="156" t="str">
        <f aca="false">IF($B47="","",IF(AK47&gt;=DAY($F$3),cfg_DAYS_M,MIN(AK47,cfg_DAYS_M)))</f>
        <v/>
      </c>
      <c r="H47" s="156" t="str">
        <f aca="false">IF($B47="","",SUMIFS('الحركات الشهرية'!$D$6:$D$1005,'الحركات الشهرية'!$B$6:$B$1005,$B47,'الحركات الشهرية'!$A$6:$A$1005,$C$3))</f>
        <v/>
      </c>
      <c r="I47" s="156" t="str">
        <f aca="false">IF($B47="","",MIN(G47,IF(AND(AK47&gt;0,AN47&gt;=AK47),G47,AN47)+SUMIFS('الحركات الشهرية'!$E$6:$E$1005,'الحركات الشهرية'!$B$6:$B$1005,$B47,'الحركات الشهرية'!$A$6:$A$1005,$C$3)))</f>
        <v/>
      </c>
      <c r="J47" s="156" t="str">
        <f aca="false">IF($B47="","",MAX(0,G47-H47-I47))</f>
        <v/>
      </c>
      <c r="K47" s="116" t="str">
        <f aca="false">IF($B47="","",الموظفون!$L47*$J47/cfg_DAYS_M)</f>
        <v/>
      </c>
      <c r="L47" s="116" t="str">
        <f aca="false">IF($B47="","",الموظفون!$M47*$J47/cfg_DAYS_M)</f>
        <v/>
      </c>
      <c r="M47" s="116" t="str">
        <f aca="false">IF($B47="","",الموظفون!$N47*$J47/cfg_DAYS_M)</f>
        <v/>
      </c>
      <c r="N47" s="116" t="str">
        <f aca="false">IF($B47="","",الموظفون!$O47*$J47/cfg_DAYS_M)</f>
        <v/>
      </c>
      <c r="O47" s="156" t="str">
        <f aca="false">IF($B47="","",SUMIFS('الحركات الشهرية'!$F$6:$F$1005,'الحركات الشهرية'!$B$6:$B$1005,$B47,'الحركات الشهرية'!$A$6:$A$1005,$C$3))</f>
        <v/>
      </c>
      <c r="P47" s="116" t="str">
        <f aca="false">IF($B47="","",O47*(الموظفون!$P47+الموظفون!$L47*cfg_OT_P)/cfg_DAYS_M/cfg_HRS)</f>
        <v/>
      </c>
      <c r="Q47" s="116" t="str">
        <f aca="false">IF($B47="","",SUMIFS('الحركات الشهرية'!$G$6:$G$1005,'الحركات الشهرية'!$B$6:$B$1005,$B47,'الحركات الشهرية'!$A$6:$A$1005,$C$3))</f>
        <v/>
      </c>
      <c r="R47" s="116" t="str">
        <f aca="false">IF($B47="","",SUMIFS('الحركات الشهرية'!$H$6:$H$1005,'الحركات الشهرية'!$B$6:$B$1005,$B47,'الحركات الشهرية'!$A$6:$A$1005,$C$3))</f>
        <v/>
      </c>
      <c r="S47" s="116" t="str">
        <f aca="false">IF($B47="","",SUMIFS('سجل الإجازات والحالات'!$N$6:$N$505,'سجل الإجازات والحالات'!$B$6:$B$505,$B47,'سجل الإجازات والحالات'!$O$6:$O$505,$C$3))</f>
        <v/>
      </c>
      <c r="T47" s="157" t="str">
        <f aca="false">IF($B47="","",SUM(K47:N47)+SUM(P47:S47))</f>
        <v/>
      </c>
      <c r="U47" s="116" t="str">
        <f aca="false">IF($B47="","",الموظفون!$S47*IF(E47="سعودي",cfg_G_SE,cfg_G_NE)*G47/cfg_DAYS_M)</f>
        <v/>
      </c>
      <c r="V47" s="116" t="str">
        <f aca="false">IF($B47="","",SUMIFS('الحركات الشهرية'!$I$6:$I$1005,'الحركات الشهرية'!$B$6:$B$1005,$B47,'الحركات الشهرية'!$A$6:$A$1005,$C$3))</f>
        <v/>
      </c>
      <c r="W47" s="116" t="str">
        <f aca="false">IF($B47="","",SUMIFS('الحركات الشهرية'!$J$6:$J$1005,'الحركات الشهرية'!$B$6:$B$1005,$B47,'الحركات الشهرية'!$A$6:$A$1005,$C$3))</f>
        <v/>
      </c>
      <c r="X47" s="116" t="str">
        <f aca="false">IF($B47="","",SUM(U47:W47))</f>
        <v/>
      </c>
      <c r="Y47" s="158" t="str">
        <f aca="false">IF($B47="","",T47-X47)</f>
        <v/>
      </c>
      <c r="Z47" s="116" t="str">
        <f aca="false">IF($B47="","",الموظفون!$S47*IF(E47="سعودي",cfg_G_SR,cfg_G_NR)*G47/cfg_DAYS_M)</f>
        <v/>
      </c>
      <c r="AA47" s="116" t="str">
        <f aca="false">IF($B47="","",الموظفون!$Q47*(cfg_EOS_R1*(MIN(AH47,cfg_EOS_TH)-MIN(AI47,cfg_EOS_TH))+cfg_EOS_R2*(MAX(AH47-cfg_EOS_TH,0)-MAX(AI47-cfg_EOS_TH,0))))</f>
        <v/>
      </c>
      <c r="AB47" s="116" t="str">
        <f aca="false">IF($B47="","",IF(الموظفون!$T47&lt;&gt;"",الموظفون!$T47,IF(AH47&gt;=cfg_LV_TH,cfg_LV_D2,cfg_LV_D1))/cfg_DAYS_Y*AJ47*الموظفون!$R47/cfg_DAYS_M)</f>
        <v/>
      </c>
      <c r="AC47" s="116" t="str">
        <f aca="false">IF($B47="","",IF(AND(الموظفون!$U47="نعم",N(الموظفون!$W47)&gt;0),الموظفون!$V47/الموظفون!$W47*12/cfg_DAYS_Y*AJ47,0))</f>
        <v/>
      </c>
      <c r="AD47" s="116" t="str">
        <f aca="false">IF($B47="","",(IF(الموظفون!$X47&lt;&gt;"",الموظفون!$X47,IF(الموظفون!$E47="غير سعودي",cfg_IQ,0))+IF(الموظفون!$Y47&lt;&gt;"",الموظفون!$Y47,IF(الموظفون!$E47="غير سعودي",cfg_WP,0)))/12*G47/cfg_DAYS_M)</f>
        <v/>
      </c>
      <c r="AE47" s="116" t="str">
        <f aca="false">IF($B47="","",IF(الموظفون!$Z47&lt;&gt;"",الموظفون!$Z47,cfg_MED)/12*G47/cfg_DAYS_M)</f>
        <v/>
      </c>
      <c r="AF47" s="116" t="str">
        <f aca="false">IF($B47="","",N(الموظفون!$AA47)/12*G47/cfg_DAYS_M)</f>
        <v/>
      </c>
      <c r="AG47" s="159" t="str">
        <f aca="false">IF($B47="","",T47+SUM(Z47:AF47))</f>
        <v/>
      </c>
      <c r="AH47" s="160" t="str">
        <f aca="false">IF($B47="","",MAX(0,IF(OR(الموظفون!$AE47="",الموظفون!$AE47&gt;$F$3),$F$3,الموظفون!$AE47)-الموظفون!$H47+1-SUMIFS('سجل الإجازات والحالات'!$AP$6:$AP$505,'سجل الإجازات والحالات'!$B$6:$B$505,$B47))/cfg_DAYS_Y)</f>
        <v/>
      </c>
      <c r="AI47" s="160" t="str">
        <f aca="false">IF($B47="","",MAX(0,IF(OR(الموظفون!$AE47="",الموظفون!$AE47&gt;($E$3-1)),($E$3-1),الموظفون!$AE47)-الموظفون!$H47+1-SUMIFS('سجل الإجازات والحالات'!$AO$6:$AO$505,'سجل الإجازات والحالات'!$B$6:$B$505,$B47))/cfg_DAYS_Y)</f>
        <v/>
      </c>
      <c r="AJ47" s="133" t="str">
        <f aca="false">IF($B47="","",MAX(0,AK47-(SUMIFS('سجل الإجازات والحالات'!$AP$6:$AP$505,'سجل الإجازات والحالات'!$B$6:$B$505,$B47)-SUMIFS('سجل الإجازات والحالات'!$AO$6:$AO$505,'سجل الإجازات والحالات'!$B$6:$B$505,$B47))))</f>
        <v/>
      </c>
      <c r="AK47" s="133" t="str">
        <f aca="false">IF($B47="","",MAX(0,IF(OR(الموظفون!$AE47="",الموظفون!$AE47&gt;$F$3),$F$3,الموظفون!$AE47)-MAX($E$3,الموظفون!$H47)+1))</f>
        <v/>
      </c>
      <c r="AL47" s="156" t="str">
        <f aca="false">IF($B47="","",SUMIFS('سجل الإجازات والحالات'!$BB$6:$BB$505,'سجل الإجازات والحالات'!$B$6:$B$505,$B47)+SUMIFS('الحركات الشهرية'!$K$6:$K$1005,'الحركات الشهرية'!$B$6:$B$1005,$B47,'الحركات الشهرية'!$A$6:$A$1005,$C$3))</f>
        <v/>
      </c>
      <c r="AM47" s="116" t="str">
        <f aca="false">IF($B47="","",AL47*الموظفون!$R47/cfg_DAYS_M+S47)</f>
        <v/>
      </c>
      <c r="AN47" s="156" t="str">
        <f aca="false">IF($B47="","",SUMIFS('سجل الإجازات والحالات'!$AD$6:$AD$505,'سجل الإجازات والحالات'!$B$6:$B$505,$B47))</f>
        <v/>
      </c>
    </row>
    <row r="48" customFormat="false" ht="15" hidden="false" customHeight="false" outlineLevel="0" collapsed="false">
      <c r="A48" s="106" t="str">
        <f aca="false">IF($B48="","",الموظفون!$A48)</f>
        <v/>
      </c>
      <c r="B48" s="114" t="str">
        <f aca="false">IF(الموظفون!$B48="","",الموظفون!$B48)</f>
        <v/>
      </c>
      <c r="C48" s="114" t="str">
        <f aca="false">IF($B48="","",الموظفون!$C48)</f>
        <v/>
      </c>
      <c r="D48" s="114" t="str">
        <f aca="false">IF($B48="","",الموظفون!$F48)</f>
        <v/>
      </c>
      <c r="E48" s="114" t="str">
        <f aca="false">IF($B48="","",الموظفون!$E48)</f>
        <v/>
      </c>
      <c r="F48" s="114" t="str">
        <f aca="false">IF($B48="","",IF(AK48=0,IF(AND(الموظفون!$AE48&lt;&gt;"",الموظفون!$AE48&lt;$E$3),"✖ منتهي الخدمة","⏳ لم يباشر"),IF(S48&gt;0,"✈ راتب إجازة مقدم",IF(J48=0,"⛔ بدون راتب هذا الشهر",IF(I48&gt;0,"✈ خصم "&amp;ROUND(I48,2)&amp;" يوم بدون أجر",IF(AL48&gt;0,"🌴 إجازة سنوية "&amp;ROUND(AL48,2)&amp;" يوم",IF(H48&gt;0,"⚠ غياب "&amp;ROUND(H48,2)&amp;" يوم","✔ على رأس العمل")))))))</f>
        <v/>
      </c>
      <c r="G48" s="151" t="str">
        <f aca="false">IF($B48="","",IF(AK48&gt;=DAY($F$3),cfg_DAYS_M,MIN(AK48,cfg_DAYS_M)))</f>
        <v/>
      </c>
      <c r="H48" s="151" t="str">
        <f aca="false">IF($B48="","",SUMIFS('الحركات الشهرية'!$D$6:$D$1005,'الحركات الشهرية'!$B$6:$B$1005,$B48,'الحركات الشهرية'!$A$6:$A$1005,$C$3))</f>
        <v/>
      </c>
      <c r="I48" s="151" t="str">
        <f aca="false">IF($B48="","",MIN(G48,IF(AND(AK48&gt;0,AN48&gt;=AK48),G48,AN48)+SUMIFS('الحركات الشهرية'!$E$6:$E$1005,'الحركات الشهرية'!$B$6:$B$1005,$B48,'الحركات الشهرية'!$A$6:$A$1005,$C$3)))</f>
        <v/>
      </c>
      <c r="J48" s="151" t="str">
        <f aca="false">IF($B48="","",MAX(0,G48-H48-I48))</f>
        <v/>
      </c>
      <c r="K48" s="111" t="str">
        <f aca="false">IF($B48="","",الموظفون!$L48*$J48/cfg_DAYS_M)</f>
        <v/>
      </c>
      <c r="L48" s="111" t="str">
        <f aca="false">IF($B48="","",الموظفون!$M48*$J48/cfg_DAYS_M)</f>
        <v/>
      </c>
      <c r="M48" s="111" t="str">
        <f aca="false">IF($B48="","",الموظفون!$N48*$J48/cfg_DAYS_M)</f>
        <v/>
      </c>
      <c r="N48" s="111" t="str">
        <f aca="false">IF($B48="","",الموظفون!$O48*$J48/cfg_DAYS_M)</f>
        <v/>
      </c>
      <c r="O48" s="151" t="str">
        <f aca="false">IF($B48="","",SUMIFS('الحركات الشهرية'!$F$6:$F$1005,'الحركات الشهرية'!$B$6:$B$1005,$B48,'الحركات الشهرية'!$A$6:$A$1005,$C$3))</f>
        <v/>
      </c>
      <c r="P48" s="111" t="str">
        <f aca="false">IF($B48="","",O48*(الموظفون!$P48+الموظفون!$L48*cfg_OT_P)/cfg_DAYS_M/cfg_HRS)</f>
        <v/>
      </c>
      <c r="Q48" s="111" t="str">
        <f aca="false">IF($B48="","",SUMIFS('الحركات الشهرية'!$G$6:$G$1005,'الحركات الشهرية'!$B$6:$B$1005,$B48,'الحركات الشهرية'!$A$6:$A$1005,$C$3))</f>
        <v/>
      </c>
      <c r="R48" s="111" t="str">
        <f aca="false">IF($B48="","",SUMIFS('الحركات الشهرية'!$H$6:$H$1005,'الحركات الشهرية'!$B$6:$B$1005,$B48,'الحركات الشهرية'!$A$6:$A$1005,$C$3))</f>
        <v/>
      </c>
      <c r="S48" s="111" t="str">
        <f aca="false">IF($B48="","",SUMIFS('سجل الإجازات والحالات'!$N$6:$N$505,'سجل الإجازات والحالات'!$B$6:$B$505,$B48,'سجل الإجازات والحالات'!$O$6:$O$505,$C$3))</f>
        <v/>
      </c>
      <c r="T48" s="152" t="str">
        <f aca="false">IF($B48="","",SUM(K48:N48)+SUM(P48:S48))</f>
        <v/>
      </c>
      <c r="U48" s="111" t="str">
        <f aca="false">IF($B48="","",الموظفون!$S48*IF(E48="سعودي",cfg_G_SE,cfg_G_NE)*G48/cfg_DAYS_M)</f>
        <v/>
      </c>
      <c r="V48" s="111" t="str">
        <f aca="false">IF($B48="","",SUMIFS('الحركات الشهرية'!$I$6:$I$1005,'الحركات الشهرية'!$B$6:$B$1005,$B48,'الحركات الشهرية'!$A$6:$A$1005,$C$3))</f>
        <v/>
      </c>
      <c r="W48" s="111" t="str">
        <f aca="false">IF($B48="","",SUMIFS('الحركات الشهرية'!$J$6:$J$1005,'الحركات الشهرية'!$B$6:$B$1005,$B48,'الحركات الشهرية'!$A$6:$A$1005,$C$3))</f>
        <v/>
      </c>
      <c r="X48" s="111" t="str">
        <f aca="false">IF($B48="","",SUM(U48:W48))</f>
        <v/>
      </c>
      <c r="Y48" s="153" t="str">
        <f aca="false">IF($B48="","",T48-X48)</f>
        <v/>
      </c>
      <c r="Z48" s="111" t="str">
        <f aca="false">IF($B48="","",الموظفون!$S48*IF(E48="سعودي",cfg_G_SR,cfg_G_NR)*G48/cfg_DAYS_M)</f>
        <v/>
      </c>
      <c r="AA48" s="111" t="str">
        <f aca="false">IF($B48="","",الموظفون!$Q48*(cfg_EOS_R1*(MIN(AH48,cfg_EOS_TH)-MIN(AI48,cfg_EOS_TH))+cfg_EOS_R2*(MAX(AH48-cfg_EOS_TH,0)-MAX(AI48-cfg_EOS_TH,0))))</f>
        <v/>
      </c>
      <c r="AB48" s="111" t="str">
        <f aca="false">IF($B48="","",IF(الموظفون!$T48&lt;&gt;"",الموظفون!$T48,IF(AH48&gt;=cfg_LV_TH,cfg_LV_D2,cfg_LV_D1))/cfg_DAYS_Y*AJ48*الموظفون!$R48/cfg_DAYS_M)</f>
        <v/>
      </c>
      <c r="AC48" s="111" t="str">
        <f aca="false">IF($B48="","",IF(AND(الموظفون!$U48="نعم",N(الموظفون!$W48)&gt;0),الموظفون!$V48/الموظفون!$W48*12/cfg_DAYS_Y*AJ48,0))</f>
        <v/>
      </c>
      <c r="AD48" s="111" t="str">
        <f aca="false">IF($B48="","",(IF(الموظفون!$X48&lt;&gt;"",الموظفون!$X48,IF(الموظفون!$E48="غير سعودي",cfg_IQ,0))+IF(الموظفون!$Y48&lt;&gt;"",الموظفون!$Y48,IF(الموظفون!$E48="غير سعودي",cfg_WP,0)))/12*G48/cfg_DAYS_M)</f>
        <v/>
      </c>
      <c r="AE48" s="111" t="str">
        <f aca="false">IF($B48="","",IF(الموظفون!$Z48&lt;&gt;"",الموظفون!$Z48,cfg_MED)/12*G48/cfg_DAYS_M)</f>
        <v/>
      </c>
      <c r="AF48" s="111" t="str">
        <f aca="false">IF($B48="","",N(الموظفون!$AA48)/12*G48/cfg_DAYS_M)</f>
        <v/>
      </c>
      <c r="AG48" s="154" t="str">
        <f aca="false">IF($B48="","",T48+SUM(Z48:AF48))</f>
        <v/>
      </c>
      <c r="AH48" s="155" t="str">
        <f aca="false">IF($B48="","",MAX(0,IF(OR(الموظفون!$AE48="",الموظفون!$AE48&gt;$F$3),$F$3,الموظفون!$AE48)-الموظفون!$H48+1-SUMIFS('سجل الإجازات والحالات'!$AP$6:$AP$505,'سجل الإجازات والحالات'!$B$6:$B$505,$B48))/cfg_DAYS_Y)</f>
        <v/>
      </c>
      <c r="AI48" s="155" t="str">
        <f aca="false">IF($B48="","",MAX(0,IF(OR(الموظفون!$AE48="",الموظفون!$AE48&gt;($E$3-1)),($E$3-1),الموظفون!$AE48)-الموظفون!$H48+1-SUMIFS('سجل الإجازات والحالات'!$AO$6:$AO$505,'سجل الإجازات والحالات'!$B$6:$B$505,$B48))/cfg_DAYS_Y)</f>
        <v/>
      </c>
      <c r="AJ48" s="65" t="str">
        <f aca="false">IF($B48="","",MAX(0,AK48-(SUMIFS('سجل الإجازات والحالات'!$AP$6:$AP$505,'سجل الإجازات والحالات'!$B$6:$B$505,$B48)-SUMIFS('سجل الإجازات والحالات'!$AO$6:$AO$505,'سجل الإجازات والحالات'!$B$6:$B$505,$B48))))</f>
        <v/>
      </c>
      <c r="AK48" s="65" t="str">
        <f aca="false">IF($B48="","",MAX(0,IF(OR(الموظفون!$AE48="",الموظفون!$AE48&gt;$F$3),$F$3,الموظفون!$AE48)-MAX($E$3,الموظفون!$H48)+1))</f>
        <v/>
      </c>
      <c r="AL48" s="151" t="str">
        <f aca="false">IF($B48="","",SUMIFS('سجل الإجازات والحالات'!$BB$6:$BB$505,'سجل الإجازات والحالات'!$B$6:$B$505,$B48)+SUMIFS('الحركات الشهرية'!$K$6:$K$1005,'الحركات الشهرية'!$B$6:$B$1005,$B48,'الحركات الشهرية'!$A$6:$A$1005,$C$3))</f>
        <v/>
      </c>
      <c r="AM48" s="111" t="str">
        <f aca="false">IF($B48="","",AL48*الموظفون!$R48/cfg_DAYS_M+S48)</f>
        <v/>
      </c>
      <c r="AN48" s="151" t="str">
        <f aca="false">IF($B48="","",SUMIFS('سجل الإجازات والحالات'!$AD$6:$AD$505,'سجل الإجازات والحالات'!$B$6:$B$505,$B48))</f>
        <v/>
      </c>
    </row>
    <row r="49" customFormat="false" ht="15" hidden="false" customHeight="false" outlineLevel="0" collapsed="false">
      <c r="A49" s="115" t="str">
        <f aca="false">IF($B49="","",الموظفون!$A49)</f>
        <v/>
      </c>
      <c r="B49" s="117" t="str">
        <f aca="false">IF(الموظفون!$B49="","",الموظفون!$B49)</f>
        <v/>
      </c>
      <c r="C49" s="117" t="str">
        <f aca="false">IF($B49="","",الموظفون!$C49)</f>
        <v/>
      </c>
      <c r="D49" s="117" t="str">
        <f aca="false">IF($B49="","",الموظفون!$F49)</f>
        <v/>
      </c>
      <c r="E49" s="117" t="str">
        <f aca="false">IF($B49="","",الموظفون!$E49)</f>
        <v/>
      </c>
      <c r="F49" s="117" t="str">
        <f aca="false">IF($B49="","",IF(AK49=0,IF(AND(الموظفون!$AE49&lt;&gt;"",الموظفون!$AE49&lt;$E$3),"✖ منتهي الخدمة","⏳ لم يباشر"),IF(S49&gt;0,"✈ راتب إجازة مقدم",IF(J49=0,"⛔ بدون راتب هذا الشهر",IF(I49&gt;0,"✈ خصم "&amp;ROUND(I49,2)&amp;" يوم بدون أجر",IF(AL49&gt;0,"🌴 إجازة سنوية "&amp;ROUND(AL49,2)&amp;" يوم",IF(H49&gt;0,"⚠ غياب "&amp;ROUND(H49,2)&amp;" يوم","✔ على رأس العمل")))))))</f>
        <v/>
      </c>
      <c r="G49" s="156" t="str">
        <f aca="false">IF($B49="","",IF(AK49&gt;=DAY($F$3),cfg_DAYS_M,MIN(AK49,cfg_DAYS_M)))</f>
        <v/>
      </c>
      <c r="H49" s="156" t="str">
        <f aca="false">IF($B49="","",SUMIFS('الحركات الشهرية'!$D$6:$D$1005,'الحركات الشهرية'!$B$6:$B$1005,$B49,'الحركات الشهرية'!$A$6:$A$1005,$C$3))</f>
        <v/>
      </c>
      <c r="I49" s="156" t="str">
        <f aca="false">IF($B49="","",MIN(G49,IF(AND(AK49&gt;0,AN49&gt;=AK49),G49,AN49)+SUMIFS('الحركات الشهرية'!$E$6:$E$1005,'الحركات الشهرية'!$B$6:$B$1005,$B49,'الحركات الشهرية'!$A$6:$A$1005,$C$3)))</f>
        <v/>
      </c>
      <c r="J49" s="156" t="str">
        <f aca="false">IF($B49="","",MAX(0,G49-H49-I49))</f>
        <v/>
      </c>
      <c r="K49" s="116" t="str">
        <f aca="false">IF($B49="","",الموظفون!$L49*$J49/cfg_DAYS_M)</f>
        <v/>
      </c>
      <c r="L49" s="116" t="str">
        <f aca="false">IF($B49="","",الموظفون!$M49*$J49/cfg_DAYS_M)</f>
        <v/>
      </c>
      <c r="M49" s="116" t="str">
        <f aca="false">IF($B49="","",الموظفون!$N49*$J49/cfg_DAYS_M)</f>
        <v/>
      </c>
      <c r="N49" s="116" t="str">
        <f aca="false">IF($B49="","",الموظفون!$O49*$J49/cfg_DAYS_M)</f>
        <v/>
      </c>
      <c r="O49" s="156" t="str">
        <f aca="false">IF($B49="","",SUMIFS('الحركات الشهرية'!$F$6:$F$1005,'الحركات الشهرية'!$B$6:$B$1005,$B49,'الحركات الشهرية'!$A$6:$A$1005,$C$3))</f>
        <v/>
      </c>
      <c r="P49" s="116" t="str">
        <f aca="false">IF($B49="","",O49*(الموظفون!$P49+الموظفون!$L49*cfg_OT_P)/cfg_DAYS_M/cfg_HRS)</f>
        <v/>
      </c>
      <c r="Q49" s="116" t="str">
        <f aca="false">IF($B49="","",SUMIFS('الحركات الشهرية'!$G$6:$G$1005,'الحركات الشهرية'!$B$6:$B$1005,$B49,'الحركات الشهرية'!$A$6:$A$1005,$C$3))</f>
        <v/>
      </c>
      <c r="R49" s="116" t="str">
        <f aca="false">IF($B49="","",SUMIFS('الحركات الشهرية'!$H$6:$H$1005,'الحركات الشهرية'!$B$6:$B$1005,$B49,'الحركات الشهرية'!$A$6:$A$1005,$C$3))</f>
        <v/>
      </c>
      <c r="S49" s="116" t="str">
        <f aca="false">IF($B49="","",SUMIFS('سجل الإجازات والحالات'!$N$6:$N$505,'سجل الإجازات والحالات'!$B$6:$B$505,$B49,'سجل الإجازات والحالات'!$O$6:$O$505,$C$3))</f>
        <v/>
      </c>
      <c r="T49" s="157" t="str">
        <f aca="false">IF($B49="","",SUM(K49:N49)+SUM(P49:S49))</f>
        <v/>
      </c>
      <c r="U49" s="116" t="str">
        <f aca="false">IF($B49="","",الموظفون!$S49*IF(E49="سعودي",cfg_G_SE,cfg_G_NE)*G49/cfg_DAYS_M)</f>
        <v/>
      </c>
      <c r="V49" s="116" t="str">
        <f aca="false">IF($B49="","",SUMIFS('الحركات الشهرية'!$I$6:$I$1005,'الحركات الشهرية'!$B$6:$B$1005,$B49,'الحركات الشهرية'!$A$6:$A$1005,$C$3))</f>
        <v/>
      </c>
      <c r="W49" s="116" t="str">
        <f aca="false">IF($B49="","",SUMIFS('الحركات الشهرية'!$J$6:$J$1005,'الحركات الشهرية'!$B$6:$B$1005,$B49,'الحركات الشهرية'!$A$6:$A$1005,$C$3))</f>
        <v/>
      </c>
      <c r="X49" s="116" t="str">
        <f aca="false">IF($B49="","",SUM(U49:W49))</f>
        <v/>
      </c>
      <c r="Y49" s="158" t="str">
        <f aca="false">IF($B49="","",T49-X49)</f>
        <v/>
      </c>
      <c r="Z49" s="116" t="str">
        <f aca="false">IF($B49="","",الموظفون!$S49*IF(E49="سعودي",cfg_G_SR,cfg_G_NR)*G49/cfg_DAYS_M)</f>
        <v/>
      </c>
      <c r="AA49" s="116" t="str">
        <f aca="false">IF($B49="","",الموظفون!$Q49*(cfg_EOS_R1*(MIN(AH49,cfg_EOS_TH)-MIN(AI49,cfg_EOS_TH))+cfg_EOS_R2*(MAX(AH49-cfg_EOS_TH,0)-MAX(AI49-cfg_EOS_TH,0))))</f>
        <v/>
      </c>
      <c r="AB49" s="116" t="str">
        <f aca="false">IF($B49="","",IF(الموظفون!$T49&lt;&gt;"",الموظفون!$T49,IF(AH49&gt;=cfg_LV_TH,cfg_LV_D2,cfg_LV_D1))/cfg_DAYS_Y*AJ49*الموظفون!$R49/cfg_DAYS_M)</f>
        <v/>
      </c>
      <c r="AC49" s="116" t="str">
        <f aca="false">IF($B49="","",IF(AND(الموظفون!$U49="نعم",N(الموظفون!$W49)&gt;0),الموظفون!$V49/الموظفون!$W49*12/cfg_DAYS_Y*AJ49,0))</f>
        <v/>
      </c>
      <c r="AD49" s="116" t="str">
        <f aca="false">IF($B49="","",(IF(الموظفون!$X49&lt;&gt;"",الموظفون!$X49,IF(الموظفون!$E49="غير سعودي",cfg_IQ,0))+IF(الموظفون!$Y49&lt;&gt;"",الموظفون!$Y49,IF(الموظفون!$E49="غير سعودي",cfg_WP,0)))/12*G49/cfg_DAYS_M)</f>
        <v/>
      </c>
      <c r="AE49" s="116" t="str">
        <f aca="false">IF($B49="","",IF(الموظفون!$Z49&lt;&gt;"",الموظفون!$Z49,cfg_MED)/12*G49/cfg_DAYS_M)</f>
        <v/>
      </c>
      <c r="AF49" s="116" t="str">
        <f aca="false">IF($B49="","",N(الموظفون!$AA49)/12*G49/cfg_DAYS_M)</f>
        <v/>
      </c>
      <c r="AG49" s="159" t="str">
        <f aca="false">IF($B49="","",T49+SUM(Z49:AF49))</f>
        <v/>
      </c>
      <c r="AH49" s="160" t="str">
        <f aca="false">IF($B49="","",MAX(0,IF(OR(الموظفون!$AE49="",الموظفون!$AE49&gt;$F$3),$F$3,الموظفون!$AE49)-الموظفون!$H49+1-SUMIFS('سجل الإجازات والحالات'!$AP$6:$AP$505,'سجل الإجازات والحالات'!$B$6:$B$505,$B49))/cfg_DAYS_Y)</f>
        <v/>
      </c>
      <c r="AI49" s="160" t="str">
        <f aca="false">IF($B49="","",MAX(0,IF(OR(الموظفون!$AE49="",الموظفون!$AE49&gt;($E$3-1)),($E$3-1),الموظفون!$AE49)-الموظفون!$H49+1-SUMIFS('سجل الإجازات والحالات'!$AO$6:$AO$505,'سجل الإجازات والحالات'!$B$6:$B$505,$B49))/cfg_DAYS_Y)</f>
        <v/>
      </c>
      <c r="AJ49" s="133" t="str">
        <f aca="false">IF($B49="","",MAX(0,AK49-(SUMIFS('سجل الإجازات والحالات'!$AP$6:$AP$505,'سجل الإجازات والحالات'!$B$6:$B$505,$B49)-SUMIFS('سجل الإجازات والحالات'!$AO$6:$AO$505,'سجل الإجازات والحالات'!$B$6:$B$505,$B49))))</f>
        <v/>
      </c>
      <c r="AK49" s="133" t="str">
        <f aca="false">IF($B49="","",MAX(0,IF(OR(الموظفون!$AE49="",الموظفون!$AE49&gt;$F$3),$F$3,الموظفون!$AE49)-MAX($E$3,الموظفون!$H49)+1))</f>
        <v/>
      </c>
      <c r="AL49" s="156" t="str">
        <f aca="false">IF($B49="","",SUMIFS('سجل الإجازات والحالات'!$BB$6:$BB$505,'سجل الإجازات والحالات'!$B$6:$B$505,$B49)+SUMIFS('الحركات الشهرية'!$K$6:$K$1005,'الحركات الشهرية'!$B$6:$B$1005,$B49,'الحركات الشهرية'!$A$6:$A$1005,$C$3))</f>
        <v/>
      </c>
      <c r="AM49" s="116" t="str">
        <f aca="false">IF($B49="","",AL49*الموظفون!$R49/cfg_DAYS_M+S49)</f>
        <v/>
      </c>
      <c r="AN49" s="156" t="str">
        <f aca="false">IF($B49="","",SUMIFS('سجل الإجازات والحالات'!$AD$6:$AD$505,'سجل الإجازات والحالات'!$B$6:$B$505,$B49))</f>
        <v/>
      </c>
    </row>
    <row r="50" customFormat="false" ht="15" hidden="false" customHeight="false" outlineLevel="0" collapsed="false">
      <c r="A50" s="106" t="str">
        <f aca="false">IF($B50="","",الموظفون!$A50)</f>
        <v/>
      </c>
      <c r="B50" s="114" t="str">
        <f aca="false">IF(الموظفون!$B50="","",الموظفون!$B50)</f>
        <v/>
      </c>
      <c r="C50" s="114" t="str">
        <f aca="false">IF($B50="","",الموظفون!$C50)</f>
        <v/>
      </c>
      <c r="D50" s="114" t="str">
        <f aca="false">IF($B50="","",الموظفون!$F50)</f>
        <v/>
      </c>
      <c r="E50" s="114" t="str">
        <f aca="false">IF($B50="","",الموظفون!$E50)</f>
        <v/>
      </c>
      <c r="F50" s="114" t="str">
        <f aca="false">IF($B50="","",IF(AK50=0,IF(AND(الموظفون!$AE50&lt;&gt;"",الموظفون!$AE50&lt;$E$3),"✖ منتهي الخدمة","⏳ لم يباشر"),IF(S50&gt;0,"✈ راتب إجازة مقدم",IF(J50=0,"⛔ بدون راتب هذا الشهر",IF(I50&gt;0,"✈ خصم "&amp;ROUND(I50,2)&amp;" يوم بدون أجر",IF(AL50&gt;0,"🌴 إجازة سنوية "&amp;ROUND(AL50,2)&amp;" يوم",IF(H50&gt;0,"⚠ غياب "&amp;ROUND(H50,2)&amp;" يوم","✔ على رأس العمل")))))))</f>
        <v/>
      </c>
      <c r="G50" s="151" t="str">
        <f aca="false">IF($B50="","",IF(AK50&gt;=DAY($F$3),cfg_DAYS_M,MIN(AK50,cfg_DAYS_M)))</f>
        <v/>
      </c>
      <c r="H50" s="151" t="str">
        <f aca="false">IF($B50="","",SUMIFS('الحركات الشهرية'!$D$6:$D$1005,'الحركات الشهرية'!$B$6:$B$1005,$B50,'الحركات الشهرية'!$A$6:$A$1005,$C$3))</f>
        <v/>
      </c>
      <c r="I50" s="151" t="str">
        <f aca="false">IF($B50="","",MIN(G50,IF(AND(AK50&gt;0,AN50&gt;=AK50),G50,AN50)+SUMIFS('الحركات الشهرية'!$E$6:$E$1005,'الحركات الشهرية'!$B$6:$B$1005,$B50,'الحركات الشهرية'!$A$6:$A$1005,$C$3)))</f>
        <v/>
      </c>
      <c r="J50" s="151" t="str">
        <f aca="false">IF($B50="","",MAX(0,G50-H50-I50))</f>
        <v/>
      </c>
      <c r="K50" s="111" t="str">
        <f aca="false">IF($B50="","",الموظفون!$L50*$J50/cfg_DAYS_M)</f>
        <v/>
      </c>
      <c r="L50" s="111" t="str">
        <f aca="false">IF($B50="","",الموظفون!$M50*$J50/cfg_DAYS_M)</f>
        <v/>
      </c>
      <c r="M50" s="111" t="str">
        <f aca="false">IF($B50="","",الموظفون!$N50*$J50/cfg_DAYS_M)</f>
        <v/>
      </c>
      <c r="N50" s="111" t="str">
        <f aca="false">IF($B50="","",الموظفون!$O50*$J50/cfg_DAYS_M)</f>
        <v/>
      </c>
      <c r="O50" s="151" t="str">
        <f aca="false">IF($B50="","",SUMIFS('الحركات الشهرية'!$F$6:$F$1005,'الحركات الشهرية'!$B$6:$B$1005,$B50,'الحركات الشهرية'!$A$6:$A$1005,$C$3))</f>
        <v/>
      </c>
      <c r="P50" s="111" t="str">
        <f aca="false">IF($B50="","",O50*(الموظفون!$P50+الموظفون!$L50*cfg_OT_P)/cfg_DAYS_M/cfg_HRS)</f>
        <v/>
      </c>
      <c r="Q50" s="111" t="str">
        <f aca="false">IF($B50="","",SUMIFS('الحركات الشهرية'!$G$6:$G$1005,'الحركات الشهرية'!$B$6:$B$1005,$B50,'الحركات الشهرية'!$A$6:$A$1005,$C$3))</f>
        <v/>
      </c>
      <c r="R50" s="111" t="str">
        <f aca="false">IF($B50="","",SUMIFS('الحركات الشهرية'!$H$6:$H$1005,'الحركات الشهرية'!$B$6:$B$1005,$B50,'الحركات الشهرية'!$A$6:$A$1005,$C$3))</f>
        <v/>
      </c>
      <c r="S50" s="111" t="str">
        <f aca="false">IF($B50="","",SUMIFS('سجل الإجازات والحالات'!$N$6:$N$505,'سجل الإجازات والحالات'!$B$6:$B$505,$B50,'سجل الإجازات والحالات'!$O$6:$O$505,$C$3))</f>
        <v/>
      </c>
      <c r="T50" s="152" t="str">
        <f aca="false">IF($B50="","",SUM(K50:N50)+SUM(P50:S50))</f>
        <v/>
      </c>
      <c r="U50" s="111" t="str">
        <f aca="false">IF($B50="","",الموظفون!$S50*IF(E50="سعودي",cfg_G_SE,cfg_G_NE)*G50/cfg_DAYS_M)</f>
        <v/>
      </c>
      <c r="V50" s="111" t="str">
        <f aca="false">IF($B50="","",SUMIFS('الحركات الشهرية'!$I$6:$I$1005,'الحركات الشهرية'!$B$6:$B$1005,$B50,'الحركات الشهرية'!$A$6:$A$1005,$C$3))</f>
        <v/>
      </c>
      <c r="W50" s="111" t="str">
        <f aca="false">IF($B50="","",SUMIFS('الحركات الشهرية'!$J$6:$J$1005,'الحركات الشهرية'!$B$6:$B$1005,$B50,'الحركات الشهرية'!$A$6:$A$1005,$C$3))</f>
        <v/>
      </c>
      <c r="X50" s="111" t="str">
        <f aca="false">IF($B50="","",SUM(U50:W50))</f>
        <v/>
      </c>
      <c r="Y50" s="153" t="str">
        <f aca="false">IF($B50="","",T50-X50)</f>
        <v/>
      </c>
      <c r="Z50" s="111" t="str">
        <f aca="false">IF($B50="","",الموظفون!$S50*IF(E50="سعودي",cfg_G_SR,cfg_G_NR)*G50/cfg_DAYS_M)</f>
        <v/>
      </c>
      <c r="AA50" s="111" t="str">
        <f aca="false">IF($B50="","",الموظفون!$Q50*(cfg_EOS_R1*(MIN(AH50,cfg_EOS_TH)-MIN(AI50,cfg_EOS_TH))+cfg_EOS_R2*(MAX(AH50-cfg_EOS_TH,0)-MAX(AI50-cfg_EOS_TH,0))))</f>
        <v/>
      </c>
      <c r="AB50" s="111" t="str">
        <f aca="false">IF($B50="","",IF(الموظفون!$T50&lt;&gt;"",الموظفون!$T50,IF(AH50&gt;=cfg_LV_TH,cfg_LV_D2,cfg_LV_D1))/cfg_DAYS_Y*AJ50*الموظفون!$R50/cfg_DAYS_M)</f>
        <v/>
      </c>
      <c r="AC50" s="111" t="str">
        <f aca="false">IF($B50="","",IF(AND(الموظفون!$U50="نعم",N(الموظفون!$W50)&gt;0),الموظفون!$V50/الموظفون!$W50*12/cfg_DAYS_Y*AJ50,0))</f>
        <v/>
      </c>
      <c r="AD50" s="111" t="str">
        <f aca="false">IF($B50="","",(IF(الموظفون!$X50&lt;&gt;"",الموظفون!$X50,IF(الموظفون!$E50="غير سعودي",cfg_IQ,0))+IF(الموظفون!$Y50&lt;&gt;"",الموظفون!$Y50,IF(الموظفون!$E50="غير سعودي",cfg_WP,0)))/12*G50/cfg_DAYS_M)</f>
        <v/>
      </c>
      <c r="AE50" s="111" t="str">
        <f aca="false">IF($B50="","",IF(الموظفون!$Z50&lt;&gt;"",الموظفون!$Z50,cfg_MED)/12*G50/cfg_DAYS_M)</f>
        <v/>
      </c>
      <c r="AF50" s="111" t="str">
        <f aca="false">IF($B50="","",N(الموظفون!$AA50)/12*G50/cfg_DAYS_M)</f>
        <v/>
      </c>
      <c r="AG50" s="154" t="str">
        <f aca="false">IF($B50="","",T50+SUM(Z50:AF50))</f>
        <v/>
      </c>
      <c r="AH50" s="155" t="str">
        <f aca="false">IF($B50="","",MAX(0,IF(OR(الموظفون!$AE50="",الموظفون!$AE50&gt;$F$3),$F$3,الموظفون!$AE50)-الموظفون!$H50+1-SUMIFS('سجل الإجازات والحالات'!$AP$6:$AP$505,'سجل الإجازات والحالات'!$B$6:$B$505,$B50))/cfg_DAYS_Y)</f>
        <v/>
      </c>
      <c r="AI50" s="155" t="str">
        <f aca="false">IF($B50="","",MAX(0,IF(OR(الموظفون!$AE50="",الموظفون!$AE50&gt;($E$3-1)),($E$3-1),الموظفون!$AE50)-الموظفون!$H50+1-SUMIFS('سجل الإجازات والحالات'!$AO$6:$AO$505,'سجل الإجازات والحالات'!$B$6:$B$505,$B50))/cfg_DAYS_Y)</f>
        <v/>
      </c>
      <c r="AJ50" s="65" t="str">
        <f aca="false">IF($B50="","",MAX(0,AK50-(SUMIFS('سجل الإجازات والحالات'!$AP$6:$AP$505,'سجل الإجازات والحالات'!$B$6:$B$505,$B50)-SUMIFS('سجل الإجازات والحالات'!$AO$6:$AO$505,'سجل الإجازات والحالات'!$B$6:$B$505,$B50))))</f>
        <v/>
      </c>
      <c r="AK50" s="65" t="str">
        <f aca="false">IF($B50="","",MAX(0,IF(OR(الموظفون!$AE50="",الموظفون!$AE50&gt;$F$3),$F$3,الموظفون!$AE50)-MAX($E$3,الموظفون!$H50)+1))</f>
        <v/>
      </c>
      <c r="AL50" s="151" t="str">
        <f aca="false">IF($B50="","",SUMIFS('سجل الإجازات والحالات'!$BB$6:$BB$505,'سجل الإجازات والحالات'!$B$6:$B$505,$B50)+SUMIFS('الحركات الشهرية'!$K$6:$K$1005,'الحركات الشهرية'!$B$6:$B$1005,$B50,'الحركات الشهرية'!$A$6:$A$1005,$C$3))</f>
        <v/>
      </c>
      <c r="AM50" s="111" t="str">
        <f aca="false">IF($B50="","",AL50*الموظفون!$R50/cfg_DAYS_M+S50)</f>
        <v/>
      </c>
      <c r="AN50" s="151" t="str">
        <f aca="false">IF($B50="","",SUMIFS('سجل الإجازات والحالات'!$AD$6:$AD$505,'سجل الإجازات والحالات'!$B$6:$B$505,$B50))</f>
        <v/>
      </c>
    </row>
    <row r="51" customFormat="false" ht="15" hidden="false" customHeight="false" outlineLevel="0" collapsed="false">
      <c r="A51" s="115" t="str">
        <f aca="false">IF($B51="","",الموظفون!$A51)</f>
        <v/>
      </c>
      <c r="B51" s="117" t="str">
        <f aca="false">IF(الموظفون!$B51="","",الموظفون!$B51)</f>
        <v/>
      </c>
      <c r="C51" s="117" t="str">
        <f aca="false">IF($B51="","",الموظفون!$C51)</f>
        <v/>
      </c>
      <c r="D51" s="117" t="str">
        <f aca="false">IF($B51="","",الموظفون!$F51)</f>
        <v/>
      </c>
      <c r="E51" s="117" t="str">
        <f aca="false">IF($B51="","",الموظفون!$E51)</f>
        <v/>
      </c>
      <c r="F51" s="117" t="str">
        <f aca="false">IF($B51="","",IF(AK51=0,IF(AND(الموظفون!$AE51&lt;&gt;"",الموظفون!$AE51&lt;$E$3),"✖ منتهي الخدمة","⏳ لم يباشر"),IF(S51&gt;0,"✈ راتب إجازة مقدم",IF(J51=0,"⛔ بدون راتب هذا الشهر",IF(I51&gt;0,"✈ خصم "&amp;ROUND(I51,2)&amp;" يوم بدون أجر",IF(AL51&gt;0,"🌴 إجازة سنوية "&amp;ROUND(AL51,2)&amp;" يوم",IF(H51&gt;0,"⚠ غياب "&amp;ROUND(H51,2)&amp;" يوم","✔ على رأس العمل")))))))</f>
        <v/>
      </c>
      <c r="G51" s="156" t="str">
        <f aca="false">IF($B51="","",IF(AK51&gt;=DAY($F$3),cfg_DAYS_M,MIN(AK51,cfg_DAYS_M)))</f>
        <v/>
      </c>
      <c r="H51" s="156" t="str">
        <f aca="false">IF($B51="","",SUMIFS('الحركات الشهرية'!$D$6:$D$1005,'الحركات الشهرية'!$B$6:$B$1005,$B51,'الحركات الشهرية'!$A$6:$A$1005,$C$3))</f>
        <v/>
      </c>
      <c r="I51" s="156" t="str">
        <f aca="false">IF($B51="","",MIN(G51,IF(AND(AK51&gt;0,AN51&gt;=AK51),G51,AN51)+SUMIFS('الحركات الشهرية'!$E$6:$E$1005,'الحركات الشهرية'!$B$6:$B$1005,$B51,'الحركات الشهرية'!$A$6:$A$1005,$C$3)))</f>
        <v/>
      </c>
      <c r="J51" s="156" t="str">
        <f aca="false">IF($B51="","",MAX(0,G51-H51-I51))</f>
        <v/>
      </c>
      <c r="K51" s="116" t="str">
        <f aca="false">IF($B51="","",الموظفون!$L51*$J51/cfg_DAYS_M)</f>
        <v/>
      </c>
      <c r="L51" s="116" t="str">
        <f aca="false">IF($B51="","",الموظفون!$M51*$J51/cfg_DAYS_M)</f>
        <v/>
      </c>
      <c r="M51" s="116" t="str">
        <f aca="false">IF($B51="","",الموظفون!$N51*$J51/cfg_DAYS_M)</f>
        <v/>
      </c>
      <c r="N51" s="116" t="str">
        <f aca="false">IF($B51="","",الموظفون!$O51*$J51/cfg_DAYS_M)</f>
        <v/>
      </c>
      <c r="O51" s="156" t="str">
        <f aca="false">IF($B51="","",SUMIFS('الحركات الشهرية'!$F$6:$F$1005,'الحركات الشهرية'!$B$6:$B$1005,$B51,'الحركات الشهرية'!$A$6:$A$1005,$C$3))</f>
        <v/>
      </c>
      <c r="P51" s="116" t="str">
        <f aca="false">IF($B51="","",O51*(الموظفون!$P51+الموظفون!$L51*cfg_OT_P)/cfg_DAYS_M/cfg_HRS)</f>
        <v/>
      </c>
      <c r="Q51" s="116" t="str">
        <f aca="false">IF($B51="","",SUMIFS('الحركات الشهرية'!$G$6:$G$1005,'الحركات الشهرية'!$B$6:$B$1005,$B51,'الحركات الشهرية'!$A$6:$A$1005,$C$3))</f>
        <v/>
      </c>
      <c r="R51" s="116" t="str">
        <f aca="false">IF($B51="","",SUMIFS('الحركات الشهرية'!$H$6:$H$1005,'الحركات الشهرية'!$B$6:$B$1005,$B51,'الحركات الشهرية'!$A$6:$A$1005,$C$3))</f>
        <v/>
      </c>
      <c r="S51" s="116" t="str">
        <f aca="false">IF($B51="","",SUMIFS('سجل الإجازات والحالات'!$N$6:$N$505,'سجل الإجازات والحالات'!$B$6:$B$505,$B51,'سجل الإجازات والحالات'!$O$6:$O$505,$C$3))</f>
        <v/>
      </c>
      <c r="T51" s="157" t="str">
        <f aca="false">IF($B51="","",SUM(K51:N51)+SUM(P51:S51))</f>
        <v/>
      </c>
      <c r="U51" s="116" t="str">
        <f aca="false">IF($B51="","",الموظفون!$S51*IF(E51="سعودي",cfg_G_SE,cfg_G_NE)*G51/cfg_DAYS_M)</f>
        <v/>
      </c>
      <c r="V51" s="116" t="str">
        <f aca="false">IF($B51="","",SUMIFS('الحركات الشهرية'!$I$6:$I$1005,'الحركات الشهرية'!$B$6:$B$1005,$B51,'الحركات الشهرية'!$A$6:$A$1005,$C$3))</f>
        <v/>
      </c>
      <c r="W51" s="116" t="str">
        <f aca="false">IF($B51="","",SUMIFS('الحركات الشهرية'!$J$6:$J$1005,'الحركات الشهرية'!$B$6:$B$1005,$B51,'الحركات الشهرية'!$A$6:$A$1005,$C$3))</f>
        <v/>
      </c>
      <c r="X51" s="116" t="str">
        <f aca="false">IF($B51="","",SUM(U51:W51))</f>
        <v/>
      </c>
      <c r="Y51" s="158" t="str">
        <f aca="false">IF($B51="","",T51-X51)</f>
        <v/>
      </c>
      <c r="Z51" s="116" t="str">
        <f aca="false">IF($B51="","",الموظفون!$S51*IF(E51="سعودي",cfg_G_SR,cfg_G_NR)*G51/cfg_DAYS_M)</f>
        <v/>
      </c>
      <c r="AA51" s="116" t="str">
        <f aca="false">IF($B51="","",الموظفون!$Q51*(cfg_EOS_R1*(MIN(AH51,cfg_EOS_TH)-MIN(AI51,cfg_EOS_TH))+cfg_EOS_R2*(MAX(AH51-cfg_EOS_TH,0)-MAX(AI51-cfg_EOS_TH,0))))</f>
        <v/>
      </c>
      <c r="AB51" s="116" t="str">
        <f aca="false">IF($B51="","",IF(الموظفون!$T51&lt;&gt;"",الموظفون!$T51,IF(AH51&gt;=cfg_LV_TH,cfg_LV_D2,cfg_LV_D1))/cfg_DAYS_Y*AJ51*الموظفون!$R51/cfg_DAYS_M)</f>
        <v/>
      </c>
      <c r="AC51" s="116" t="str">
        <f aca="false">IF($B51="","",IF(AND(الموظفون!$U51="نعم",N(الموظفون!$W51)&gt;0),الموظفون!$V51/الموظفون!$W51*12/cfg_DAYS_Y*AJ51,0))</f>
        <v/>
      </c>
      <c r="AD51" s="116" t="str">
        <f aca="false">IF($B51="","",(IF(الموظفون!$X51&lt;&gt;"",الموظفون!$X51,IF(الموظفون!$E51="غير سعودي",cfg_IQ,0))+IF(الموظفون!$Y51&lt;&gt;"",الموظفون!$Y51,IF(الموظفون!$E51="غير سعودي",cfg_WP,0)))/12*G51/cfg_DAYS_M)</f>
        <v/>
      </c>
      <c r="AE51" s="116" t="str">
        <f aca="false">IF($B51="","",IF(الموظفون!$Z51&lt;&gt;"",الموظفون!$Z51,cfg_MED)/12*G51/cfg_DAYS_M)</f>
        <v/>
      </c>
      <c r="AF51" s="116" t="str">
        <f aca="false">IF($B51="","",N(الموظفون!$AA51)/12*G51/cfg_DAYS_M)</f>
        <v/>
      </c>
      <c r="AG51" s="159" t="str">
        <f aca="false">IF($B51="","",T51+SUM(Z51:AF51))</f>
        <v/>
      </c>
      <c r="AH51" s="160" t="str">
        <f aca="false">IF($B51="","",MAX(0,IF(OR(الموظفون!$AE51="",الموظفون!$AE51&gt;$F$3),$F$3,الموظفون!$AE51)-الموظفون!$H51+1-SUMIFS('سجل الإجازات والحالات'!$AP$6:$AP$505,'سجل الإجازات والحالات'!$B$6:$B$505,$B51))/cfg_DAYS_Y)</f>
        <v/>
      </c>
      <c r="AI51" s="160" t="str">
        <f aca="false">IF($B51="","",MAX(0,IF(OR(الموظفون!$AE51="",الموظفون!$AE51&gt;($E$3-1)),($E$3-1),الموظفون!$AE51)-الموظفون!$H51+1-SUMIFS('سجل الإجازات والحالات'!$AO$6:$AO$505,'سجل الإجازات والحالات'!$B$6:$B$505,$B51))/cfg_DAYS_Y)</f>
        <v/>
      </c>
      <c r="AJ51" s="133" t="str">
        <f aca="false">IF($B51="","",MAX(0,AK51-(SUMIFS('سجل الإجازات والحالات'!$AP$6:$AP$505,'سجل الإجازات والحالات'!$B$6:$B$505,$B51)-SUMIFS('سجل الإجازات والحالات'!$AO$6:$AO$505,'سجل الإجازات والحالات'!$B$6:$B$505,$B51))))</f>
        <v/>
      </c>
      <c r="AK51" s="133" t="str">
        <f aca="false">IF($B51="","",MAX(0,IF(OR(الموظفون!$AE51="",الموظفون!$AE51&gt;$F$3),$F$3,الموظفون!$AE51)-MAX($E$3,الموظفون!$H51)+1))</f>
        <v/>
      </c>
      <c r="AL51" s="156" t="str">
        <f aca="false">IF($B51="","",SUMIFS('سجل الإجازات والحالات'!$BB$6:$BB$505,'سجل الإجازات والحالات'!$B$6:$B$505,$B51)+SUMIFS('الحركات الشهرية'!$K$6:$K$1005,'الحركات الشهرية'!$B$6:$B$1005,$B51,'الحركات الشهرية'!$A$6:$A$1005,$C$3))</f>
        <v/>
      </c>
      <c r="AM51" s="116" t="str">
        <f aca="false">IF($B51="","",AL51*الموظفون!$R51/cfg_DAYS_M+S51)</f>
        <v/>
      </c>
      <c r="AN51" s="156" t="str">
        <f aca="false">IF($B51="","",SUMIFS('سجل الإجازات والحالات'!$AD$6:$AD$505,'سجل الإجازات والحالات'!$B$6:$B$505,$B51))</f>
        <v/>
      </c>
    </row>
    <row r="52" customFormat="false" ht="15" hidden="false" customHeight="false" outlineLevel="0" collapsed="false">
      <c r="A52" s="106" t="str">
        <f aca="false">IF($B52="","",الموظفون!$A52)</f>
        <v/>
      </c>
      <c r="B52" s="114" t="str">
        <f aca="false">IF(الموظفون!$B52="","",الموظفون!$B52)</f>
        <v/>
      </c>
      <c r="C52" s="114" t="str">
        <f aca="false">IF($B52="","",الموظفون!$C52)</f>
        <v/>
      </c>
      <c r="D52" s="114" t="str">
        <f aca="false">IF($B52="","",الموظفون!$F52)</f>
        <v/>
      </c>
      <c r="E52" s="114" t="str">
        <f aca="false">IF($B52="","",الموظفون!$E52)</f>
        <v/>
      </c>
      <c r="F52" s="114" t="str">
        <f aca="false">IF($B52="","",IF(AK52=0,IF(AND(الموظفون!$AE52&lt;&gt;"",الموظفون!$AE52&lt;$E$3),"✖ منتهي الخدمة","⏳ لم يباشر"),IF(S52&gt;0,"✈ راتب إجازة مقدم",IF(J52=0,"⛔ بدون راتب هذا الشهر",IF(I52&gt;0,"✈ خصم "&amp;ROUND(I52,2)&amp;" يوم بدون أجر",IF(AL52&gt;0,"🌴 إجازة سنوية "&amp;ROUND(AL52,2)&amp;" يوم",IF(H52&gt;0,"⚠ غياب "&amp;ROUND(H52,2)&amp;" يوم","✔ على رأس العمل")))))))</f>
        <v/>
      </c>
      <c r="G52" s="151" t="str">
        <f aca="false">IF($B52="","",IF(AK52&gt;=DAY($F$3),cfg_DAYS_M,MIN(AK52,cfg_DAYS_M)))</f>
        <v/>
      </c>
      <c r="H52" s="151" t="str">
        <f aca="false">IF($B52="","",SUMIFS('الحركات الشهرية'!$D$6:$D$1005,'الحركات الشهرية'!$B$6:$B$1005,$B52,'الحركات الشهرية'!$A$6:$A$1005,$C$3))</f>
        <v/>
      </c>
      <c r="I52" s="151" t="str">
        <f aca="false">IF($B52="","",MIN(G52,IF(AND(AK52&gt;0,AN52&gt;=AK52),G52,AN52)+SUMIFS('الحركات الشهرية'!$E$6:$E$1005,'الحركات الشهرية'!$B$6:$B$1005,$B52,'الحركات الشهرية'!$A$6:$A$1005,$C$3)))</f>
        <v/>
      </c>
      <c r="J52" s="151" t="str">
        <f aca="false">IF($B52="","",MAX(0,G52-H52-I52))</f>
        <v/>
      </c>
      <c r="K52" s="111" t="str">
        <f aca="false">IF($B52="","",الموظفون!$L52*$J52/cfg_DAYS_M)</f>
        <v/>
      </c>
      <c r="L52" s="111" t="str">
        <f aca="false">IF($B52="","",الموظفون!$M52*$J52/cfg_DAYS_M)</f>
        <v/>
      </c>
      <c r="M52" s="111" t="str">
        <f aca="false">IF($B52="","",الموظفون!$N52*$J52/cfg_DAYS_M)</f>
        <v/>
      </c>
      <c r="N52" s="111" t="str">
        <f aca="false">IF($B52="","",الموظفون!$O52*$J52/cfg_DAYS_M)</f>
        <v/>
      </c>
      <c r="O52" s="151" t="str">
        <f aca="false">IF($B52="","",SUMIFS('الحركات الشهرية'!$F$6:$F$1005,'الحركات الشهرية'!$B$6:$B$1005,$B52,'الحركات الشهرية'!$A$6:$A$1005,$C$3))</f>
        <v/>
      </c>
      <c r="P52" s="111" t="str">
        <f aca="false">IF($B52="","",O52*(الموظفون!$P52+الموظفون!$L52*cfg_OT_P)/cfg_DAYS_M/cfg_HRS)</f>
        <v/>
      </c>
      <c r="Q52" s="111" t="str">
        <f aca="false">IF($B52="","",SUMIFS('الحركات الشهرية'!$G$6:$G$1005,'الحركات الشهرية'!$B$6:$B$1005,$B52,'الحركات الشهرية'!$A$6:$A$1005,$C$3))</f>
        <v/>
      </c>
      <c r="R52" s="111" t="str">
        <f aca="false">IF($B52="","",SUMIFS('الحركات الشهرية'!$H$6:$H$1005,'الحركات الشهرية'!$B$6:$B$1005,$B52,'الحركات الشهرية'!$A$6:$A$1005,$C$3))</f>
        <v/>
      </c>
      <c r="S52" s="111" t="str">
        <f aca="false">IF($B52="","",SUMIFS('سجل الإجازات والحالات'!$N$6:$N$505,'سجل الإجازات والحالات'!$B$6:$B$505,$B52,'سجل الإجازات والحالات'!$O$6:$O$505,$C$3))</f>
        <v/>
      </c>
      <c r="T52" s="152" t="str">
        <f aca="false">IF($B52="","",SUM(K52:N52)+SUM(P52:S52))</f>
        <v/>
      </c>
      <c r="U52" s="111" t="str">
        <f aca="false">IF($B52="","",الموظفون!$S52*IF(E52="سعودي",cfg_G_SE,cfg_G_NE)*G52/cfg_DAYS_M)</f>
        <v/>
      </c>
      <c r="V52" s="111" t="str">
        <f aca="false">IF($B52="","",SUMIFS('الحركات الشهرية'!$I$6:$I$1005,'الحركات الشهرية'!$B$6:$B$1005,$B52,'الحركات الشهرية'!$A$6:$A$1005,$C$3))</f>
        <v/>
      </c>
      <c r="W52" s="111" t="str">
        <f aca="false">IF($B52="","",SUMIFS('الحركات الشهرية'!$J$6:$J$1005,'الحركات الشهرية'!$B$6:$B$1005,$B52,'الحركات الشهرية'!$A$6:$A$1005,$C$3))</f>
        <v/>
      </c>
      <c r="X52" s="111" t="str">
        <f aca="false">IF($B52="","",SUM(U52:W52))</f>
        <v/>
      </c>
      <c r="Y52" s="153" t="str">
        <f aca="false">IF($B52="","",T52-X52)</f>
        <v/>
      </c>
      <c r="Z52" s="111" t="str">
        <f aca="false">IF($B52="","",الموظفون!$S52*IF(E52="سعودي",cfg_G_SR,cfg_G_NR)*G52/cfg_DAYS_M)</f>
        <v/>
      </c>
      <c r="AA52" s="111" t="str">
        <f aca="false">IF($B52="","",الموظفون!$Q52*(cfg_EOS_R1*(MIN(AH52,cfg_EOS_TH)-MIN(AI52,cfg_EOS_TH))+cfg_EOS_R2*(MAX(AH52-cfg_EOS_TH,0)-MAX(AI52-cfg_EOS_TH,0))))</f>
        <v/>
      </c>
      <c r="AB52" s="111" t="str">
        <f aca="false">IF($B52="","",IF(الموظفون!$T52&lt;&gt;"",الموظفون!$T52,IF(AH52&gt;=cfg_LV_TH,cfg_LV_D2,cfg_LV_D1))/cfg_DAYS_Y*AJ52*الموظفون!$R52/cfg_DAYS_M)</f>
        <v/>
      </c>
      <c r="AC52" s="111" t="str">
        <f aca="false">IF($B52="","",IF(AND(الموظفون!$U52="نعم",N(الموظفون!$W52)&gt;0),الموظفون!$V52/الموظفون!$W52*12/cfg_DAYS_Y*AJ52,0))</f>
        <v/>
      </c>
      <c r="AD52" s="111" t="str">
        <f aca="false">IF($B52="","",(IF(الموظفون!$X52&lt;&gt;"",الموظفون!$X52,IF(الموظفون!$E52="غير سعودي",cfg_IQ,0))+IF(الموظفون!$Y52&lt;&gt;"",الموظفون!$Y52,IF(الموظفون!$E52="غير سعودي",cfg_WP,0)))/12*G52/cfg_DAYS_M)</f>
        <v/>
      </c>
      <c r="AE52" s="111" t="str">
        <f aca="false">IF($B52="","",IF(الموظفون!$Z52&lt;&gt;"",الموظفون!$Z52,cfg_MED)/12*G52/cfg_DAYS_M)</f>
        <v/>
      </c>
      <c r="AF52" s="111" t="str">
        <f aca="false">IF($B52="","",N(الموظفون!$AA52)/12*G52/cfg_DAYS_M)</f>
        <v/>
      </c>
      <c r="AG52" s="154" t="str">
        <f aca="false">IF($B52="","",T52+SUM(Z52:AF52))</f>
        <v/>
      </c>
      <c r="AH52" s="155" t="str">
        <f aca="false">IF($B52="","",MAX(0,IF(OR(الموظفون!$AE52="",الموظفون!$AE52&gt;$F$3),$F$3,الموظفون!$AE52)-الموظفون!$H52+1-SUMIFS('سجل الإجازات والحالات'!$AP$6:$AP$505,'سجل الإجازات والحالات'!$B$6:$B$505,$B52))/cfg_DAYS_Y)</f>
        <v/>
      </c>
      <c r="AI52" s="155" t="str">
        <f aca="false">IF($B52="","",MAX(0,IF(OR(الموظفون!$AE52="",الموظفون!$AE52&gt;($E$3-1)),($E$3-1),الموظفون!$AE52)-الموظفون!$H52+1-SUMIFS('سجل الإجازات والحالات'!$AO$6:$AO$505,'سجل الإجازات والحالات'!$B$6:$B$505,$B52))/cfg_DAYS_Y)</f>
        <v/>
      </c>
      <c r="AJ52" s="65" t="str">
        <f aca="false">IF($B52="","",MAX(0,AK52-(SUMIFS('سجل الإجازات والحالات'!$AP$6:$AP$505,'سجل الإجازات والحالات'!$B$6:$B$505,$B52)-SUMIFS('سجل الإجازات والحالات'!$AO$6:$AO$505,'سجل الإجازات والحالات'!$B$6:$B$505,$B52))))</f>
        <v/>
      </c>
      <c r="AK52" s="65" t="str">
        <f aca="false">IF($B52="","",MAX(0,IF(OR(الموظفون!$AE52="",الموظفون!$AE52&gt;$F$3),$F$3,الموظفون!$AE52)-MAX($E$3,الموظفون!$H52)+1))</f>
        <v/>
      </c>
      <c r="AL52" s="151" t="str">
        <f aca="false">IF($B52="","",SUMIFS('سجل الإجازات والحالات'!$BB$6:$BB$505,'سجل الإجازات والحالات'!$B$6:$B$505,$B52)+SUMIFS('الحركات الشهرية'!$K$6:$K$1005,'الحركات الشهرية'!$B$6:$B$1005,$B52,'الحركات الشهرية'!$A$6:$A$1005,$C$3))</f>
        <v/>
      </c>
      <c r="AM52" s="111" t="str">
        <f aca="false">IF($B52="","",AL52*الموظفون!$R52/cfg_DAYS_M+S52)</f>
        <v/>
      </c>
      <c r="AN52" s="151" t="str">
        <f aca="false">IF($B52="","",SUMIFS('سجل الإجازات والحالات'!$AD$6:$AD$505,'سجل الإجازات والحالات'!$B$6:$B$505,$B52))</f>
        <v/>
      </c>
    </row>
    <row r="53" customFormat="false" ht="15" hidden="false" customHeight="false" outlineLevel="0" collapsed="false">
      <c r="A53" s="115" t="str">
        <f aca="false">IF($B53="","",الموظفون!$A53)</f>
        <v/>
      </c>
      <c r="B53" s="117" t="str">
        <f aca="false">IF(الموظفون!$B53="","",الموظفون!$B53)</f>
        <v/>
      </c>
      <c r="C53" s="117" t="str">
        <f aca="false">IF($B53="","",الموظفون!$C53)</f>
        <v/>
      </c>
      <c r="D53" s="117" t="str">
        <f aca="false">IF($B53="","",الموظفون!$F53)</f>
        <v/>
      </c>
      <c r="E53" s="117" t="str">
        <f aca="false">IF($B53="","",الموظفون!$E53)</f>
        <v/>
      </c>
      <c r="F53" s="117" t="str">
        <f aca="false">IF($B53="","",IF(AK53=0,IF(AND(الموظفون!$AE53&lt;&gt;"",الموظفون!$AE53&lt;$E$3),"✖ منتهي الخدمة","⏳ لم يباشر"),IF(S53&gt;0,"✈ راتب إجازة مقدم",IF(J53=0,"⛔ بدون راتب هذا الشهر",IF(I53&gt;0,"✈ خصم "&amp;ROUND(I53,2)&amp;" يوم بدون أجر",IF(AL53&gt;0,"🌴 إجازة سنوية "&amp;ROUND(AL53,2)&amp;" يوم",IF(H53&gt;0,"⚠ غياب "&amp;ROUND(H53,2)&amp;" يوم","✔ على رأس العمل")))))))</f>
        <v/>
      </c>
      <c r="G53" s="156" t="str">
        <f aca="false">IF($B53="","",IF(AK53&gt;=DAY($F$3),cfg_DAYS_M,MIN(AK53,cfg_DAYS_M)))</f>
        <v/>
      </c>
      <c r="H53" s="156" t="str">
        <f aca="false">IF($B53="","",SUMIFS('الحركات الشهرية'!$D$6:$D$1005,'الحركات الشهرية'!$B$6:$B$1005,$B53,'الحركات الشهرية'!$A$6:$A$1005,$C$3))</f>
        <v/>
      </c>
      <c r="I53" s="156" t="str">
        <f aca="false">IF($B53="","",MIN(G53,IF(AND(AK53&gt;0,AN53&gt;=AK53),G53,AN53)+SUMIFS('الحركات الشهرية'!$E$6:$E$1005,'الحركات الشهرية'!$B$6:$B$1005,$B53,'الحركات الشهرية'!$A$6:$A$1005,$C$3)))</f>
        <v/>
      </c>
      <c r="J53" s="156" t="str">
        <f aca="false">IF($B53="","",MAX(0,G53-H53-I53))</f>
        <v/>
      </c>
      <c r="K53" s="116" t="str">
        <f aca="false">IF($B53="","",الموظفون!$L53*$J53/cfg_DAYS_M)</f>
        <v/>
      </c>
      <c r="L53" s="116" t="str">
        <f aca="false">IF($B53="","",الموظفون!$M53*$J53/cfg_DAYS_M)</f>
        <v/>
      </c>
      <c r="M53" s="116" t="str">
        <f aca="false">IF($B53="","",الموظفون!$N53*$J53/cfg_DAYS_M)</f>
        <v/>
      </c>
      <c r="N53" s="116" t="str">
        <f aca="false">IF($B53="","",الموظفون!$O53*$J53/cfg_DAYS_M)</f>
        <v/>
      </c>
      <c r="O53" s="156" t="str">
        <f aca="false">IF($B53="","",SUMIFS('الحركات الشهرية'!$F$6:$F$1005,'الحركات الشهرية'!$B$6:$B$1005,$B53,'الحركات الشهرية'!$A$6:$A$1005,$C$3))</f>
        <v/>
      </c>
      <c r="P53" s="116" t="str">
        <f aca="false">IF($B53="","",O53*(الموظفون!$P53+الموظفون!$L53*cfg_OT_P)/cfg_DAYS_M/cfg_HRS)</f>
        <v/>
      </c>
      <c r="Q53" s="116" t="str">
        <f aca="false">IF($B53="","",SUMIFS('الحركات الشهرية'!$G$6:$G$1005,'الحركات الشهرية'!$B$6:$B$1005,$B53,'الحركات الشهرية'!$A$6:$A$1005,$C$3))</f>
        <v/>
      </c>
      <c r="R53" s="116" t="str">
        <f aca="false">IF($B53="","",SUMIFS('الحركات الشهرية'!$H$6:$H$1005,'الحركات الشهرية'!$B$6:$B$1005,$B53,'الحركات الشهرية'!$A$6:$A$1005,$C$3))</f>
        <v/>
      </c>
      <c r="S53" s="116" t="str">
        <f aca="false">IF($B53="","",SUMIFS('سجل الإجازات والحالات'!$N$6:$N$505,'سجل الإجازات والحالات'!$B$6:$B$505,$B53,'سجل الإجازات والحالات'!$O$6:$O$505,$C$3))</f>
        <v/>
      </c>
      <c r="T53" s="157" t="str">
        <f aca="false">IF($B53="","",SUM(K53:N53)+SUM(P53:S53))</f>
        <v/>
      </c>
      <c r="U53" s="116" t="str">
        <f aca="false">IF($B53="","",الموظفون!$S53*IF(E53="سعودي",cfg_G_SE,cfg_G_NE)*G53/cfg_DAYS_M)</f>
        <v/>
      </c>
      <c r="V53" s="116" t="str">
        <f aca="false">IF($B53="","",SUMIFS('الحركات الشهرية'!$I$6:$I$1005,'الحركات الشهرية'!$B$6:$B$1005,$B53,'الحركات الشهرية'!$A$6:$A$1005,$C$3))</f>
        <v/>
      </c>
      <c r="W53" s="116" t="str">
        <f aca="false">IF($B53="","",SUMIFS('الحركات الشهرية'!$J$6:$J$1005,'الحركات الشهرية'!$B$6:$B$1005,$B53,'الحركات الشهرية'!$A$6:$A$1005,$C$3))</f>
        <v/>
      </c>
      <c r="X53" s="116" t="str">
        <f aca="false">IF($B53="","",SUM(U53:W53))</f>
        <v/>
      </c>
      <c r="Y53" s="158" t="str">
        <f aca="false">IF($B53="","",T53-X53)</f>
        <v/>
      </c>
      <c r="Z53" s="116" t="str">
        <f aca="false">IF($B53="","",الموظفون!$S53*IF(E53="سعودي",cfg_G_SR,cfg_G_NR)*G53/cfg_DAYS_M)</f>
        <v/>
      </c>
      <c r="AA53" s="116" t="str">
        <f aca="false">IF($B53="","",الموظفون!$Q53*(cfg_EOS_R1*(MIN(AH53,cfg_EOS_TH)-MIN(AI53,cfg_EOS_TH))+cfg_EOS_R2*(MAX(AH53-cfg_EOS_TH,0)-MAX(AI53-cfg_EOS_TH,0))))</f>
        <v/>
      </c>
      <c r="AB53" s="116" t="str">
        <f aca="false">IF($B53="","",IF(الموظفون!$T53&lt;&gt;"",الموظفون!$T53,IF(AH53&gt;=cfg_LV_TH,cfg_LV_D2,cfg_LV_D1))/cfg_DAYS_Y*AJ53*الموظفون!$R53/cfg_DAYS_M)</f>
        <v/>
      </c>
      <c r="AC53" s="116" t="str">
        <f aca="false">IF($B53="","",IF(AND(الموظفون!$U53="نعم",N(الموظفون!$W53)&gt;0),الموظفون!$V53/الموظفون!$W53*12/cfg_DAYS_Y*AJ53,0))</f>
        <v/>
      </c>
      <c r="AD53" s="116" t="str">
        <f aca="false">IF($B53="","",(IF(الموظفون!$X53&lt;&gt;"",الموظفون!$X53,IF(الموظفون!$E53="غير سعودي",cfg_IQ,0))+IF(الموظفون!$Y53&lt;&gt;"",الموظفون!$Y53,IF(الموظفون!$E53="غير سعودي",cfg_WP,0)))/12*G53/cfg_DAYS_M)</f>
        <v/>
      </c>
      <c r="AE53" s="116" t="str">
        <f aca="false">IF($B53="","",IF(الموظفون!$Z53&lt;&gt;"",الموظفون!$Z53,cfg_MED)/12*G53/cfg_DAYS_M)</f>
        <v/>
      </c>
      <c r="AF53" s="116" t="str">
        <f aca="false">IF($B53="","",N(الموظفون!$AA53)/12*G53/cfg_DAYS_M)</f>
        <v/>
      </c>
      <c r="AG53" s="159" t="str">
        <f aca="false">IF($B53="","",T53+SUM(Z53:AF53))</f>
        <v/>
      </c>
      <c r="AH53" s="160" t="str">
        <f aca="false">IF($B53="","",MAX(0,IF(OR(الموظفون!$AE53="",الموظفون!$AE53&gt;$F$3),$F$3,الموظفون!$AE53)-الموظفون!$H53+1-SUMIFS('سجل الإجازات والحالات'!$AP$6:$AP$505,'سجل الإجازات والحالات'!$B$6:$B$505,$B53))/cfg_DAYS_Y)</f>
        <v/>
      </c>
      <c r="AI53" s="160" t="str">
        <f aca="false">IF($B53="","",MAX(0,IF(OR(الموظفون!$AE53="",الموظفون!$AE53&gt;($E$3-1)),($E$3-1),الموظفون!$AE53)-الموظفون!$H53+1-SUMIFS('سجل الإجازات والحالات'!$AO$6:$AO$505,'سجل الإجازات والحالات'!$B$6:$B$505,$B53))/cfg_DAYS_Y)</f>
        <v/>
      </c>
      <c r="AJ53" s="133" t="str">
        <f aca="false">IF($B53="","",MAX(0,AK53-(SUMIFS('سجل الإجازات والحالات'!$AP$6:$AP$505,'سجل الإجازات والحالات'!$B$6:$B$505,$B53)-SUMIFS('سجل الإجازات والحالات'!$AO$6:$AO$505,'سجل الإجازات والحالات'!$B$6:$B$505,$B53))))</f>
        <v/>
      </c>
      <c r="AK53" s="133" t="str">
        <f aca="false">IF($B53="","",MAX(0,IF(OR(الموظفون!$AE53="",الموظفون!$AE53&gt;$F$3),$F$3,الموظفون!$AE53)-MAX($E$3,الموظفون!$H53)+1))</f>
        <v/>
      </c>
      <c r="AL53" s="156" t="str">
        <f aca="false">IF($B53="","",SUMIFS('سجل الإجازات والحالات'!$BB$6:$BB$505,'سجل الإجازات والحالات'!$B$6:$B$505,$B53)+SUMIFS('الحركات الشهرية'!$K$6:$K$1005,'الحركات الشهرية'!$B$6:$B$1005,$B53,'الحركات الشهرية'!$A$6:$A$1005,$C$3))</f>
        <v/>
      </c>
      <c r="AM53" s="116" t="str">
        <f aca="false">IF($B53="","",AL53*الموظفون!$R53/cfg_DAYS_M+S53)</f>
        <v/>
      </c>
      <c r="AN53" s="156" t="str">
        <f aca="false">IF($B53="","",SUMIFS('سجل الإجازات والحالات'!$AD$6:$AD$505,'سجل الإجازات والحالات'!$B$6:$B$505,$B53))</f>
        <v/>
      </c>
    </row>
    <row r="54" customFormat="false" ht="15" hidden="false" customHeight="false" outlineLevel="0" collapsed="false">
      <c r="A54" s="106" t="str">
        <f aca="false">IF($B54="","",الموظفون!$A54)</f>
        <v/>
      </c>
      <c r="B54" s="114" t="str">
        <f aca="false">IF(الموظفون!$B54="","",الموظفون!$B54)</f>
        <v/>
      </c>
      <c r="C54" s="114" t="str">
        <f aca="false">IF($B54="","",الموظفون!$C54)</f>
        <v/>
      </c>
      <c r="D54" s="114" t="str">
        <f aca="false">IF($B54="","",الموظفون!$F54)</f>
        <v/>
      </c>
      <c r="E54" s="114" t="str">
        <f aca="false">IF($B54="","",الموظفون!$E54)</f>
        <v/>
      </c>
      <c r="F54" s="114" t="str">
        <f aca="false">IF($B54="","",IF(AK54=0,IF(AND(الموظفون!$AE54&lt;&gt;"",الموظفون!$AE54&lt;$E$3),"✖ منتهي الخدمة","⏳ لم يباشر"),IF(S54&gt;0,"✈ راتب إجازة مقدم",IF(J54=0,"⛔ بدون راتب هذا الشهر",IF(I54&gt;0,"✈ خصم "&amp;ROUND(I54,2)&amp;" يوم بدون أجر",IF(AL54&gt;0,"🌴 إجازة سنوية "&amp;ROUND(AL54,2)&amp;" يوم",IF(H54&gt;0,"⚠ غياب "&amp;ROUND(H54,2)&amp;" يوم","✔ على رأس العمل")))))))</f>
        <v/>
      </c>
      <c r="G54" s="151" t="str">
        <f aca="false">IF($B54="","",IF(AK54&gt;=DAY($F$3),cfg_DAYS_M,MIN(AK54,cfg_DAYS_M)))</f>
        <v/>
      </c>
      <c r="H54" s="151" t="str">
        <f aca="false">IF($B54="","",SUMIFS('الحركات الشهرية'!$D$6:$D$1005,'الحركات الشهرية'!$B$6:$B$1005,$B54,'الحركات الشهرية'!$A$6:$A$1005,$C$3))</f>
        <v/>
      </c>
      <c r="I54" s="151" t="str">
        <f aca="false">IF($B54="","",MIN(G54,IF(AND(AK54&gt;0,AN54&gt;=AK54),G54,AN54)+SUMIFS('الحركات الشهرية'!$E$6:$E$1005,'الحركات الشهرية'!$B$6:$B$1005,$B54,'الحركات الشهرية'!$A$6:$A$1005,$C$3)))</f>
        <v/>
      </c>
      <c r="J54" s="151" t="str">
        <f aca="false">IF($B54="","",MAX(0,G54-H54-I54))</f>
        <v/>
      </c>
      <c r="K54" s="111" t="str">
        <f aca="false">IF($B54="","",الموظفون!$L54*$J54/cfg_DAYS_M)</f>
        <v/>
      </c>
      <c r="L54" s="111" t="str">
        <f aca="false">IF($B54="","",الموظفون!$M54*$J54/cfg_DAYS_M)</f>
        <v/>
      </c>
      <c r="M54" s="111" t="str">
        <f aca="false">IF($B54="","",الموظفون!$N54*$J54/cfg_DAYS_M)</f>
        <v/>
      </c>
      <c r="N54" s="111" t="str">
        <f aca="false">IF($B54="","",الموظفون!$O54*$J54/cfg_DAYS_M)</f>
        <v/>
      </c>
      <c r="O54" s="151" t="str">
        <f aca="false">IF($B54="","",SUMIFS('الحركات الشهرية'!$F$6:$F$1005,'الحركات الشهرية'!$B$6:$B$1005,$B54,'الحركات الشهرية'!$A$6:$A$1005,$C$3))</f>
        <v/>
      </c>
      <c r="P54" s="111" t="str">
        <f aca="false">IF($B54="","",O54*(الموظفون!$P54+الموظفون!$L54*cfg_OT_P)/cfg_DAYS_M/cfg_HRS)</f>
        <v/>
      </c>
      <c r="Q54" s="111" t="str">
        <f aca="false">IF($B54="","",SUMIFS('الحركات الشهرية'!$G$6:$G$1005,'الحركات الشهرية'!$B$6:$B$1005,$B54,'الحركات الشهرية'!$A$6:$A$1005,$C$3))</f>
        <v/>
      </c>
      <c r="R54" s="111" t="str">
        <f aca="false">IF($B54="","",SUMIFS('الحركات الشهرية'!$H$6:$H$1005,'الحركات الشهرية'!$B$6:$B$1005,$B54,'الحركات الشهرية'!$A$6:$A$1005,$C$3))</f>
        <v/>
      </c>
      <c r="S54" s="111" t="str">
        <f aca="false">IF($B54="","",SUMIFS('سجل الإجازات والحالات'!$N$6:$N$505,'سجل الإجازات والحالات'!$B$6:$B$505,$B54,'سجل الإجازات والحالات'!$O$6:$O$505,$C$3))</f>
        <v/>
      </c>
      <c r="T54" s="152" t="str">
        <f aca="false">IF($B54="","",SUM(K54:N54)+SUM(P54:S54))</f>
        <v/>
      </c>
      <c r="U54" s="111" t="str">
        <f aca="false">IF($B54="","",الموظفون!$S54*IF(E54="سعودي",cfg_G_SE,cfg_G_NE)*G54/cfg_DAYS_M)</f>
        <v/>
      </c>
      <c r="V54" s="111" t="str">
        <f aca="false">IF($B54="","",SUMIFS('الحركات الشهرية'!$I$6:$I$1005,'الحركات الشهرية'!$B$6:$B$1005,$B54,'الحركات الشهرية'!$A$6:$A$1005,$C$3))</f>
        <v/>
      </c>
      <c r="W54" s="111" t="str">
        <f aca="false">IF($B54="","",SUMIFS('الحركات الشهرية'!$J$6:$J$1005,'الحركات الشهرية'!$B$6:$B$1005,$B54,'الحركات الشهرية'!$A$6:$A$1005,$C$3))</f>
        <v/>
      </c>
      <c r="X54" s="111" t="str">
        <f aca="false">IF($B54="","",SUM(U54:W54))</f>
        <v/>
      </c>
      <c r="Y54" s="153" t="str">
        <f aca="false">IF($B54="","",T54-X54)</f>
        <v/>
      </c>
      <c r="Z54" s="111" t="str">
        <f aca="false">IF($B54="","",الموظفون!$S54*IF(E54="سعودي",cfg_G_SR,cfg_G_NR)*G54/cfg_DAYS_M)</f>
        <v/>
      </c>
      <c r="AA54" s="111" t="str">
        <f aca="false">IF($B54="","",الموظفون!$Q54*(cfg_EOS_R1*(MIN(AH54,cfg_EOS_TH)-MIN(AI54,cfg_EOS_TH))+cfg_EOS_R2*(MAX(AH54-cfg_EOS_TH,0)-MAX(AI54-cfg_EOS_TH,0))))</f>
        <v/>
      </c>
      <c r="AB54" s="111" t="str">
        <f aca="false">IF($B54="","",IF(الموظفون!$T54&lt;&gt;"",الموظفون!$T54,IF(AH54&gt;=cfg_LV_TH,cfg_LV_D2,cfg_LV_D1))/cfg_DAYS_Y*AJ54*الموظفون!$R54/cfg_DAYS_M)</f>
        <v/>
      </c>
      <c r="AC54" s="111" t="str">
        <f aca="false">IF($B54="","",IF(AND(الموظفون!$U54="نعم",N(الموظفون!$W54)&gt;0),الموظفون!$V54/الموظفون!$W54*12/cfg_DAYS_Y*AJ54,0))</f>
        <v/>
      </c>
      <c r="AD54" s="111" t="str">
        <f aca="false">IF($B54="","",(IF(الموظفون!$X54&lt;&gt;"",الموظفون!$X54,IF(الموظفون!$E54="غير سعودي",cfg_IQ,0))+IF(الموظفون!$Y54&lt;&gt;"",الموظفون!$Y54,IF(الموظفون!$E54="غير سعودي",cfg_WP,0)))/12*G54/cfg_DAYS_M)</f>
        <v/>
      </c>
      <c r="AE54" s="111" t="str">
        <f aca="false">IF($B54="","",IF(الموظفون!$Z54&lt;&gt;"",الموظفون!$Z54,cfg_MED)/12*G54/cfg_DAYS_M)</f>
        <v/>
      </c>
      <c r="AF54" s="111" t="str">
        <f aca="false">IF($B54="","",N(الموظفون!$AA54)/12*G54/cfg_DAYS_M)</f>
        <v/>
      </c>
      <c r="AG54" s="154" t="str">
        <f aca="false">IF($B54="","",T54+SUM(Z54:AF54))</f>
        <v/>
      </c>
      <c r="AH54" s="155" t="str">
        <f aca="false">IF($B54="","",MAX(0,IF(OR(الموظفون!$AE54="",الموظفون!$AE54&gt;$F$3),$F$3,الموظفون!$AE54)-الموظفون!$H54+1-SUMIFS('سجل الإجازات والحالات'!$AP$6:$AP$505,'سجل الإجازات والحالات'!$B$6:$B$505,$B54))/cfg_DAYS_Y)</f>
        <v/>
      </c>
      <c r="AI54" s="155" t="str">
        <f aca="false">IF($B54="","",MAX(0,IF(OR(الموظفون!$AE54="",الموظفون!$AE54&gt;($E$3-1)),($E$3-1),الموظفون!$AE54)-الموظفون!$H54+1-SUMIFS('سجل الإجازات والحالات'!$AO$6:$AO$505,'سجل الإجازات والحالات'!$B$6:$B$505,$B54))/cfg_DAYS_Y)</f>
        <v/>
      </c>
      <c r="AJ54" s="65" t="str">
        <f aca="false">IF($B54="","",MAX(0,AK54-(SUMIFS('سجل الإجازات والحالات'!$AP$6:$AP$505,'سجل الإجازات والحالات'!$B$6:$B$505,$B54)-SUMIFS('سجل الإجازات والحالات'!$AO$6:$AO$505,'سجل الإجازات والحالات'!$B$6:$B$505,$B54))))</f>
        <v/>
      </c>
      <c r="AK54" s="65" t="str">
        <f aca="false">IF($B54="","",MAX(0,IF(OR(الموظفون!$AE54="",الموظفون!$AE54&gt;$F$3),$F$3,الموظفون!$AE54)-MAX($E$3,الموظفون!$H54)+1))</f>
        <v/>
      </c>
      <c r="AL54" s="151" t="str">
        <f aca="false">IF($B54="","",SUMIFS('سجل الإجازات والحالات'!$BB$6:$BB$505,'سجل الإجازات والحالات'!$B$6:$B$505,$B54)+SUMIFS('الحركات الشهرية'!$K$6:$K$1005,'الحركات الشهرية'!$B$6:$B$1005,$B54,'الحركات الشهرية'!$A$6:$A$1005,$C$3))</f>
        <v/>
      </c>
      <c r="AM54" s="111" t="str">
        <f aca="false">IF($B54="","",AL54*الموظفون!$R54/cfg_DAYS_M+S54)</f>
        <v/>
      </c>
      <c r="AN54" s="151" t="str">
        <f aca="false">IF($B54="","",SUMIFS('سجل الإجازات والحالات'!$AD$6:$AD$505,'سجل الإجازات والحالات'!$B$6:$B$505,$B54))</f>
        <v/>
      </c>
    </row>
    <row r="55" customFormat="false" ht="15" hidden="false" customHeight="false" outlineLevel="0" collapsed="false">
      <c r="A55" s="115" t="str">
        <f aca="false">IF($B55="","",الموظفون!$A55)</f>
        <v/>
      </c>
      <c r="B55" s="117" t="str">
        <f aca="false">IF(الموظفون!$B55="","",الموظفون!$B55)</f>
        <v/>
      </c>
      <c r="C55" s="117" t="str">
        <f aca="false">IF($B55="","",الموظفون!$C55)</f>
        <v/>
      </c>
      <c r="D55" s="117" t="str">
        <f aca="false">IF($B55="","",الموظفون!$F55)</f>
        <v/>
      </c>
      <c r="E55" s="117" t="str">
        <f aca="false">IF($B55="","",الموظفون!$E55)</f>
        <v/>
      </c>
      <c r="F55" s="117" t="str">
        <f aca="false">IF($B55="","",IF(AK55=0,IF(AND(الموظفون!$AE55&lt;&gt;"",الموظفون!$AE55&lt;$E$3),"✖ منتهي الخدمة","⏳ لم يباشر"),IF(S55&gt;0,"✈ راتب إجازة مقدم",IF(J55=0,"⛔ بدون راتب هذا الشهر",IF(I55&gt;0,"✈ خصم "&amp;ROUND(I55,2)&amp;" يوم بدون أجر",IF(AL55&gt;0,"🌴 إجازة سنوية "&amp;ROUND(AL55,2)&amp;" يوم",IF(H55&gt;0,"⚠ غياب "&amp;ROUND(H55,2)&amp;" يوم","✔ على رأس العمل")))))))</f>
        <v/>
      </c>
      <c r="G55" s="156" t="str">
        <f aca="false">IF($B55="","",IF(AK55&gt;=DAY($F$3),cfg_DAYS_M,MIN(AK55,cfg_DAYS_M)))</f>
        <v/>
      </c>
      <c r="H55" s="156" t="str">
        <f aca="false">IF($B55="","",SUMIFS('الحركات الشهرية'!$D$6:$D$1005,'الحركات الشهرية'!$B$6:$B$1005,$B55,'الحركات الشهرية'!$A$6:$A$1005,$C$3))</f>
        <v/>
      </c>
      <c r="I55" s="156" t="str">
        <f aca="false">IF($B55="","",MIN(G55,IF(AND(AK55&gt;0,AN55&gt;=AK55),G55,AN55)+SUMIFS('الحركات الشهرية'!$E$6:$E$1005,'الحركات الشهرية'!$B$6:$B$1005,$B55,'الحركات الشهرية'!$A$6:$A$1005,$C$3)))</f>
        <v/>
      </c>
      <c r="J55" s="156" t="str">
        <f aca="false">IF($B55="","",MAX(0,G55-H55-I55))</f>
        <v/>
      </c>
      <c r="K55" s="116" t="str">
        <f aca="false">IF($B55="","",الموظفون!$L55*$J55/cfg_DAYS_M)</f>
        <v/>
      </c>
      <c r="L55" s="116" t="str">
        <f aca="false">IF($B55="","",الموظفون!$M55*$J55/cfg_DAYS_M)</f>
        <v/>
      </c>
      <c r="M55" s="116" t="str">
        <f aca="false">IF($B55="","",الموظفون!$N55*$J55/cfg_DAYS_M)</f>
        <v/>
      </c>
      <c r="N55" s="116" t="str">
        <f aca="false">IF($B55="","",الموظفون!$O55*$J55/cfg_DAYS_M)</f>
        <v/>
      </c>
      <c r="O55" s="156" t="str">
        <f aca="false">IF($B55="","",SUMIFS('الحركات الشهرية'!$F$6:$F$1005,'الحركات الشهرية'!$B$6:$B$1005,$B55,'الحركات الشهرية'!$A$6:$A$1005,$C$3))</f>
        <v/>
      </c>
      <c r="P55" s="116" t="str">
        <f aca="false">IF($B55="","",O55*(الموظفون!$P55+الموظفون!$L55*cfg_OT_P)/cfg_DAYS_M/cfg_HRS)</f>
        <v/>
      </c>
      <c r="Q55" s="116" t="str">
        <f aca="false">IF($B55="","",SUMIFS('الحركات الشهرية'!$G$6:$G$1005,'الحركات الشهرية'!$B$6:$B$1005,$B55,'الحركات الشهرية'!$A$6:$A$1005,$C$3))</f>
        <v/>
      </c>
      <c r="R55" s="116" t="str">
        <f aca="false">IF($B55="","",SUMIFS('الحركات الشهرية'!$H$6:$H$1005,'الحركات الشهرية'!$B$6:$B$1005,$B55,'الحركات الشهرية'!$A$6:$A$1005,$C$3))</f>
        <v/>
      </c>
      <c r="S55" s="116" t="str">
        <f aca="false">IF($B55="","",SUMIFS('سجل الإجازات والحالات'!$N$6:$N$505,'سجل الإجازات والحالات'!$B$6:$B$505,$B55,'سجل الإجازات والحالات'!$O$6:$O$505,$C$3))</f>
        <v/>
      </c>
      <c r="T55" s="157" t="str">
        <f aca="false">IF($B55="","",SUM(K55:N55)+SUM(P55:S55))</f>
        <v/>
      </c>
      <c r="U55" s="116" t="str">
        <f aca="false">IF($B55="","",الموظفون!$S55*IF(E55="سعودي",cfg_G_SE,cfg_G_NE)*G55/cfg_DAYS_M)</f>
        <v/>
      </c>
      <c r="V55" s="116" t="str">
        <f aca="false">IF($B55="","",SUMIFS('الحركات الشهرية'!$I$6:$I$1005,'الحركات الشهرية'!$B$6:$B$1005,$B55,'الحركات الشهرية'!$A$6:$A$1005,$C$3))</f>
        <v/>
      </c>
      <c r="W55" s="116" t="str">
        <f aca="false">IF($B55="","",SUMIFS('الحركات الشهرية'!$J$6:$J$1005,'الحركات الشهرية'!$B$6:$B$1005,$B55,'الحركات الشهرية'!$A$6:$A$1005,$C$3))</f>
        <v/>
      </c>
      <c r="X55" s="116" t="str">
        <f aca="false">IF($B55="","",SUM(U55:W55))</f>
        <v/>
      </c>
      <c r="Y55" s="158" t="str">
        <f aca="false">IF($B55="","",T55-X55)</f>
        <v/>
      </c>
      <c r="Z55" s="116" t="str">
        <f aca="false">IF($B55="","",الموظفون!$S55*IF(E55="سعودي",cfg_G_SR,cfg_G_NR)*G55/cfg_DAYS_M)</f>
        <v/>
      </c>
      <c r="AA55" s="116" t="str">
        <f aca="false">IF($B55="","",الموظفون!$Q55*(cfg_EOS_R1*(MIN(AH55,cfg_EOS_TH)-MIN(AI55,cfg_EOS_TH))+cfg_EOS_R2*(MAX(AH55-cfg_EOS_TH,0)-MAX(AI55-cfg_EOS_TH,0))))</f>
        <v/>
      </c>
      <c r="AB55" s="116" t="str">
        <f aca="false">IF($B55="","",IF(الموظفون!$T55&lt;&gt;"",الموظفون!$T55,IF(AH55&gt;=cfg_LV_TH,cfg_LV_D2,cfg_LV_D1))/cfg_DAYS_Y*AJ55*الموظفون!$R55/cfg_DAYS_M)</f>
        <v/>
      </c>
      <c r="AC55" s="116" t="str">
        <f aca="false">IF($B55="","",IF(AND(الموظفون!$U55="نعم",N(الموظفون!$W55)&gt;0),الموظفون!$V55/الموظفون!$W55*12/cfg_DAYS_Y*AJ55,0))</f>
        <v/>
      </c>
      <c r="AD55" s="116" t="str">
        <f aca="false">IF($B55="","",(IF(الموظفون!$X55&lt;&gt;"",الموظفون!$X55,IF(الموظفون!$E55="غير سعودي",cfg_IQ,0))+IF(الموظفون!$Y55&lt;&gt;"",الموظفون!$Y55,IF(الموظفون!$E55="غير سعودي",cfg_WP,0)))/12*G55/cfg_DAYS_M)</f>
        <v/>
      </c>
      <c r="AE55" s="116" t="str">
        <f aca="false">IF($B55="","",IF(الموظفون!$Z55&lt;&gt;"",الموظفون!$Z55,cfg_MED)/12*G55/cfg_DAYS_M)</f>
        <v/>
      </c>
      <c r="AF55" s="116" t="str">
        <f aca="false">IF($B55="","",N(الموظفون!$AA55)/12*G55/cfg_DAYS_M)</f>
        <v/>
      </c>
      <c r="AG55" s="159" t="str">
        <f aca="false">IF($B55="","",T55+SUM(Z55:AF55))</f>
        <v/>
      </c>
      <c r="AH55" s="160" t="str">
        <f aca="false">IF($B55="","",MAX(0,IF(OR(الموظفون!$AE55="",الموظفون!$AE55&gt;$F$3),$F$3,الموظفون!$AE55)-الموظفون!$H55+1-SUMIFS('سجل الإجازات والحالات'!$AP$6:$AP$505,'سجل الإجازات والحالات'!$B$6:$B$505,$B55))/cfg_DAYS_Y)</f>
        <v/>
      </c>
      <c r="AI55" s="160" t="str">
        <f aca="false">IF($B55="","",MAX(0,IF(OR(الموظفون!$AE55="",الموظفون!$AE55&gt;($E$3-1)),($E$3-1),الموظفون!$AE55)-الموظفون!$H55+1-SUMIFS('سجل الإجازات والحالات'!$AO$6:$AO$505,'سجل الإجازات والحالات'!$B$6:$B$505,$B55))/cfg_DAYS_Y)</f>
        <v/>
      </c>
      <c r="AJ55" s="133" t="str">
        <f aca="false">IF($B55="","",MAX(0,AK55-(SUMIFS('سجل الإجازات والحالات'!$AP$6:$AP$505,'سجل الإجازات والحالات'!$B$6:$B$505,$B55)-SUMIFS('سجل الإجازات والحالات'!$AO$6:$AO$505,'سجل الإجازات والحالات'!$B$6:$B$505,$B55))))</f>
        <v/>
      </c>
      <c r="AK55" s="133" t="str">
        <f aca="false">IF($B55="","",MAX(0,IF(OR(الموظفون!$AE55="",الموظفون!$AE55&gt;$F$3),$F$3,الموظفون!$AE55)-MAX($E$3,الموظفون!$H55)+1))</f>
        <v/>
      </c>
      <c r="AL55" s="156" t="str">
        <f aca="false">IF($B55="","",SUMIFS('سجل الإجازات والحالات'!$BB$6:$BB$505,'سجل الإجازات والحالات'!$B$6:$B$505,$B55)+SUMIFS('الحركات الشهرية'!$K$6:$K$1005,'الحركات الشهرية'!$B$6:$B$1005,$B55,'الحركات الشهرية'!$A$6:$A$1005,$C$3))</f>
        <v/>
      </c>
      <c r="AM55" s="116" t="str">
        <f aca="false">IF($B55="","",AL55*الموظفون!$R55/cfg_DAYS_M+S55)</f>
        <v/>
      </c>
      <c r="AN55" s="156" t="str">
        <f aca="false">IF($B55="","",SUMIFS('سجل الإجازات والحالات'!$AD$6:$AD$505,'سجل الإجازات والحالات'!$B$6:$B$505,$B55))</f>
        <v/>
      </c>
    </row>
    <row r="56" customFormat="false" ht="15" hidden="false" customHeight="false" outlineLevel="0" collapsed="false">
      <c r="A56" s="106" t="str">
        <f aca="false">IF($B56="","",الموظفون!$A56)</f>
        <v/>
      </c>
      <c r="B56" s="114" t="str">
        <f aca="false">IF(الموظفون!$B56="","",الموظفون!$B56)</f>
        <v/>
      </c>
      <c r="C56" s="114" t="str">
        <f aca="false">IF($B56="","",الموظفون!$C56)</f>
        <v/>
      </c>
      <c r="D56" s="114" t="str">
        <f aca="false">IF($B56="","",الموظفون!$F56)</f>
        <v/>
      </c>
      <c r="E56" s="114" t="str">
        <f aca="false">IF($B56="","",الموظفون!$E56)</f>
        <v/>
      </c>
      <c r="F56" s="114" t="str">
        <f aca="false">IF($B56="","",IF(AK56=0,IF(AND(الموظفون!$AE56&lt;&gt;"",الموظفون!$AE56&lt;$E$3),"✖ منتهي الخدمة","⏳ لم يباشر"),IF(S56&gt;0,"✈ راتب إجازة مقدم",IF(J56=0,"⛔ بدون راتب هذا الشهر",IF(I56&gt;0,"✈ خصم "&amp;ROUND(I56,2)&amp;" يوم بدون أجر",IF(AL56&gt;0,"🌴 إجازة سنوية "&amp;ROUND(AL56,2)&amp;" يوم",IF(H56&gt;0,"⚠ غياب "&amp;ROUND(H56,2)&amp;" يوم","✔ على رأس العمل")))))))</f>
        <v/>
      </c>
      <c r="G56" s="151" t="str">
        <f aca="false">IF($B56="","",IF(AK56&gt;=DAY($F$3),cfg_DAYS_M,MIN(AK56,cfg_DAYS_M)))</f>
        <v/>
      </c>
      <c r="H56" s="151" t="str">
        <f aca="false">IF($B56="","",SUMIFS('الحركات الشهرية'!$D$6:$D$1005,'الحركات الشهرية'!$B$6:$B$1005,$B56,'الحركات الشهرية'!$A$6:$A$1005,$C$3))</f>
        <v/>
      </c>
      <c r="I56" s="151" t="str">
        <f aca="false">IF($B56="","",MIN(G56,IF(AND(AK56&gt;0,AN56&gt;=AK56),G56,AN56)+SUMIFS('الحركات الشهرية'!$E$6:$E$1005,'الحركات الشهرية'!$B$6:$B$1005,$B56,'الحركات الشهرية'!$A$6:$A$1005,$C$3)))</f>
        <v/>
      </c>
      <c r="J56" s="151" t="str">
        <f aca="false">IF($B56="","",MAX(0,G56-H56-I56))</f>
        <v/>
      </c>
      <c r="K56" s="111" t="str">
        <f aca="false">IF($B56="","",الموظفون!$L56*$J56/cfg_DAYS_M)</f>
        <v/>
      </c>
      <c r="L56" s="111" t="str">
        <f aca="false">IF($B56="","",الموظفون!$M56*$J56/cfg_DAYS_M)</f>
        <v/>
      </c>
      <c r="M56" s="111" t="str">
        <f aca="false">IF($B56="","",الموظفون!$N56*$J56/cfg_DAYS_M)</f>
        <v/>
      </c>
      <c r="N56" s="111" t="str">
        <f aca="false">IF($B56="","",الموظفون!$O56*$J56/cfg_DAYS_M)</f>
        <v/>
      </c>
      <c r="O56" s="151" t="str">
        <f aca="false">IF($B56="","",SUMIFS('الحركات الشهرية'!$F$6:$F$1005,'الحركات الشهرية'!$B$6:$B$1005,$B56,'الحركات الشهرية'!$A$6:$A$1005,$C$3))</f>
        <v/>
      </c>
      <c r="P56" s="111" t="str">
        <f aca="false">IF($B56="","",O56*(الموظفون!$P56+الموظفون!$L56*cfg_OT_P)/cfg_DAYS_M/cfg_HRS)</f>
        <v/>
      </c>
      <c r="Q56" s="111" t="str">
        <f aca="false">IF($B56="","",SUMIFS('الحركات الشهرية'!$G$6:$G$1005,'الحركات الشهرية'!$B$6:$B$1005,$B56,'الحركات الشهرية'!$A$6:$A$1005,$C$3))</f>
        <v/>
      </c>
      <c r="R56" s="111" t="str">
        <f aca="false">IF($B56="","",SUMIFS('الحركات الشهرية'!$H$6:$H$1005,'الحركات الشهرية'!$B$6:$B$1005,$B56,'الحركات الشهرية'!$A$6:$A$1005,$C$3))</f>
        <v/>
      </c>
      <c r="S56" s="111" t="str">
        <f aca="false">IF($B56="","",SUMIFS('سجل الإجازات والحالات'!$N$6:$N$505,'سجل الإجازات والحالات'!$B$6:$B$505,$B56,'سجل الإجازات والحالات'!$O$6:$O$505,$C$3))</f>
        <v/>
      </c>
      <c r="T56" s="152" t="str">
        <f aca="false">IF($B56="","",SUM(K56:N56)+SUM(P56:S56))</f>
        <v/>
      </c>
      <c r="U56" s="111" t="str">
        <f aca="false">IF($B56="","",الموظفون!$S56*IF(E56="سعودي",cfg_G_SE,cfg_G_NE)*G56/cfg_DAYS_M)</f>
        <v/>
      </c>
      <c r="V56" s="111" t="str">
        <f aca="false">IF($B56="","",SUMIFS('الحركات الشهرية'!$I$6:$I$1005,'الحركات الشهرية'!$B$6:$B$1005,$B56,'الحركات الشهرية'!$A$6:$A$1005,$C$3))</f>
        <v/>
      </c>
      <c r="W56" s="111" t="str">
        <f aca="false">IF($B56="","",SUMIFS('الحركات الشهرية'!$J$6:$J$1005,'الحركات الشهرية'!$B$6:$B$1005,$B56,'الحركات الشهرية'!$A$6:$A$1005,$C$3))</f>
        <v/>
      </c>
      <c r="X56" s="111" t="str">
        <f aca="false">IF($B56="","",SUM(U56:W56))</f>
        <v/>
      </c>
      <c r="Y56" s="153" t="str">
        <f aca="false">IF($B56="","",T56-X56)</f>
        <v/>
      </c>
      <c r="Z56" s="111" t="str">
        <f aca="false">IF($B56="","",الموظفون!$S56*IF(E56="سعودي",cfg_G_SR,cfg_G_NR)*G56/cfg_DAYS_M)</f>
        <v/>
      </c>
      <c r="AA56" s="111" t="str">
        <f aca="false">IF($B56="","",الموظفون!$Q56*(cfg_EOS_R1*(MIN(AH56,cfg_EOS_TH)-MIN(AI56,cfg_EOS_TH))+cfg_EOS_R2*(MAX(AH56-cfg_EOS_TH,0)-MAX(AI56-cfg_EOS_TH,0))))</f>
        <v/>
      </c>
      <c r="AB56" s="111" t="str">
        <f aca="false">IF($B56="","",IF(الموظفون!$T56&lt;&gt;"",الموظفون!$T56,IF(AH56&gt;=cfg_LV_TH,cfg_LV_D2,cfg_LV_D1))/cfg_DAYS_Y*AJ56*الموظفون!$R56/cfg_DAYS_M)</f>
        <v/>
      </c>
      <c r="AC56" s="111" t="str">
        <f aca="false">IF($B56="","",IF(AND(الموظفون!$U56="نعم",N(الموظفون!$W56)&gt;0),الموظفون!$V56/الموظفون!$W56*12/cfg_DAYS_Y*AJ56,0))</f>
        <v/>
      </c>
      <c r="AD56" s="111" t="str">
        <f aca="false">IF($B56="","",(IF(الموظفون!$X56&lt;&gt;"",الموظفون!$X56,IF(الموظفون!$E56="غير سعودي",cfg_IQ,0))+IF(الموظفون!$Y56&lt;&gt;"",الموظفون!$Y56,IF(الموظفون!$E56="غير سعودي",cfg_WP,0)))/12*G56/cfg_DAYS_M)</f>
        <v/>
      </c>
      <c r="AE56" s="111" t="str">
        <f aca="false">IF($B56="","",IF(الموظفون!$Z56&lt;&gt;"",الموظفون!$Z56,cfg_MED)/12*G56/cfg_DAYS_M)</f>
        <v/>
      </c>
      <c r="AF56" s="111" t="str">
        <f aca="false">IF($B56="","",N(الموظفون!$AA56)/12*G56/cfg_DAYS_M)</f>
        <v/>
      </c>
      <c r="AG56" s="154" t="str">
        <f aca="false">IF($B56="","",T56+SUM(Z56:AF56))</f>
        <v/>
      </c>
      <c r="AH56" s="155" t="str">
        <f aca="false">IF($B56="","",MAX(0,IF(OR(الموظفون!$AE56="",الموظفون!$AE56&gt;$F$3),$F$3,الموظفون!$AE56)-الموظفون!$H56+1-SUMIFS('سجل الإجازات والحالات'!$AP$6:$AP$505,'سجل الإجازات والحالات'!$B$6:$B$505,$B56))/cfg_DAYS_Y)</f>
        <v/>
      </c>
      <c r="AI56" s="155" t="str">
        <f aca="false">IF($B56="","",MAX(0,IF(OR(الموظفون!$AE56="",الموظفون!$AE56&gt;($E$3-1)),($E$3-1),الموظفون!$AE56)-الموظفون!$H56+1-SUMIFS('سجل الإجازات والحالات'!$AO$6:$AO$505,'سجل الإجازات والحالات'!$B$6:$B$505,$B56))/cfg_DAYS_Y)</f>
        <v/>
      </c>
      <c r="AJ56" s="65" t="str">
        <f aca="false">IF($B56="","",MAX(0,AK56-(SUMIFS('سجل الإجازات والحالات'!$AP$6:$AP$505,'سجل الإجازات والحالات'!$B$6:$B$505,$B56)-SUMIFS('سجل الإجازات والحالات'!$AO$6:$AO$505,'سجل الإجازات والحالات'!$B$6:$B$505,$B56))))</f>
        <v/>
      </c>
      <c r="AK56" s="65" t="str">
        <f aca="false">IF($B56="","",MAX(0,IF(OR(الموظفون!$AE56="",الموظفون!$AE56&gt;$F$3),$F$3,الموظفون!$AE56)-MAX($E$3,الموظفون!$H56)+1))</f>
        <v/>
      </c>
      <c r="AL56" s="151" t="str">
        <f aca="false">IF($B56="","",SUMIFS('سجل الإجازات والحالات'!$BB$6:$BB$505,'سجل الإجازات والحالات'!$B$6:$B$505,$B56)+SUMIFS('الحركات الشهرية'!$K$6:$K$1005,'الحركات الشهرية'!$B$6:$B$1005,$B56,'الحركات الشهرية'!$A$6:$A$1005,$C$3))</f>
        <v/>
      </c>
      <c r="AM56" s="111" t="str">
        <f aca="false">IF($B56="","",AL56*الموظفون!$R56/cfg_DAYS_M+S56)</f>
        <v/>
      </c>
      <c r="AN56" s="151" t="str">
        <f aca="false">IF($B56="","",SUMIFS('سجل الإجازات والحالات'!$AD$6:$AD$505,'سجل الإجازات والحالات'!$B$6:$B$505,$B56))</f>
        <v/>
      </c>
    </row>
    <row r="57" customFormat="false" ht="15" hidden="false" customHeight="false" outlineLevel="0" collapsed="false">
      <c r="A57" s="115" t="str">
        <f aca="false">IF($B57="","",الموظفون!$A57)</f>
        <v/>
      </c>
      <c r="B57" s="117" t="str">
        <f aca="false">IF(الموظفون!$B57="","",الموظفون!$B57)</f>
        <v/>
      </c>
      <c r="C57" s="117" t="str">
        <f aca="false">IF($B57="","",الموظفون!$C57)</f>
        <v/>
      </c>
      <c r="D57" s="117" t="str">
        <f aca="false">IF($B57="","",الموظفون!$F57)</f>
        <v/>
      </c>
      <c r="E57" s="117" t="str">
        <f aca="false">IF($B57="","",الموظفون!$E57)</f>
        <v/>
      </c>
      <c r="F57" s="117" t="str">
        <f aca="false">IF($B57="","",IF(AK57=0,IF(AND(الموظفون!$AE57&lt;&gt;"",الموظفون!$AE57&lt;$E$3),"✖ منتهي الخدمة","⏳ لم يباشر"),IF(S57&gt;0,"✈ راتب إجازة مقدم",IF(J57=0,"⛔ بدون راتب هذا الشهر",IF(I57&gt;0,"✈ خصم "&amp;ROUND(I57,2)&amp;" يوم بدون أجر",IF(AL57&gt;0,"🌴 إجازة سنوية "&amp;ROUND(AL57,2)&amp;" يوم",IF(H57&gt;0,"⚠ غياب "&amp;ROUND(H57,2)&amp;" يوم","✔ على رأس العمل")))))))</f>
        <v/>
      </c>
      <c r="G57" s="156" t="str">
        <f aca="false">IF($B57="","",IF(AK57&gt;=DAY($F$3),cfg_DAYS_M,MIN(AK57,cfg_DAYS_M)))</f>
        <v/>
      </c>
      <c r="H57" s="156" t="str">
        <f aca="false">IF($B57="","",SUMIFS('الحركات الشهرية'!$D$6:$D$1005,'الحركات الشهرية'!$B$6:$B$1005,$B57,'الحركات الشهرية'!$A$6:$A$1005,$C$3))</f>
        <v/>
      </c>
      <c r="I57" s="156" t="str">
        <f aca="false">IF($B57="","",MIN(G57,IF(AND(AK57&gt;0,AN57&gt;=AK57),G57,AN57)+SUMIFS('الحركات الشهرية'!$E$6:$E$1005,'الحركات الشهرية'!$B$6:$B$1005,$B57,'الحركات الشهرية'!$A$6:$A$1005,$C$3)))</f>
        <v/>
      </c>
      <c r="J57" s="156" t="str">
        <f aca="false">IF($B57="","",MAX(0,G57-H57-I57))</f>
        <v/>
      </c>
      <c r="K57" s="116" t="str">
        <f aca="false">IF($B57="","",الموظفون!$L57*$J57/cfg_DAYS_M)</f>
        <v/>
      </c>
      <c r="L57" s="116" t="str">
        <f aca="false">IF($B57="","",الموظفون!$M57*$J57/cfg_DAYS_M)</f>
        <v/>
      </c>
      <c r="M57" s="116" t="str">
        <f aca="false">IF($B57="","",الموظفون!$N57*$J57/cfg_DAYS_M)</f>
        <v/>
      </c>
      <c r="N57" s="116" t="str">
        <f aca="false">IF($B57="","",الموظفون!$O57*$J57/cfg_DAYS_M)</f>
        <v/>
      </c>
      <c r="O57" s="156" t="str">
        <f aca="false">IF($B57="","",SUMIFS('الحركات الشهرية'!$F$6:$F$1005,'الحركات الشهرية'!$B$6:$B$1005,$B57,'الحركات الشهرية'!$A$6:$A$1005,$C$3))</f>
        <v/>
      </c>
      <c r="P57" s="116" t="str">
        <f aca="false">IF($B57="","",O57*(الموظفون!$P57+الموظفون!$L57*cfg_OT_P)/cfg_DAYS_M/cfg_HRS)</f>
        <v/>
      </c>
      <c r="Q57" s="116" t="str">
        <f aca="false">IF($B57="","",SUMIFS('الحركات الشهرية'!$G$6:$G$1005,'الحركات الشهرية'!$B$6:$B$1005,$B57,'الحركات الشهرية'!$A$6:$A$1005,$C$3))</f>
        <v/>
      </c>
      <c r="R57" s="116" t="str">
        <f aca="false">IF($B57="","",SUMIFS('الحركات الشهرية'!$H$6:$H$1005,'الحركات الشهرية'!$B$6:$B$1005,$B57,'الحركات الشهرية'!$A$6:$A$1005,$C$3))</f>
        <v/>
      </c>
      <c r="S57" s="116" t="str">
        <f aca="false">IF($B57="","",SUMIFS('سجل الإجازات والحالات'!$N$6:$N$505,'سجل الإجازات والحالات'!$B$6:$B$505,$B57,'سجل الإجازات والحالات'!$O$6:$O$505,$C$3))</f>
        <v/>
      </c>
      <c r="T57" s="157" t="str">
        <f aca="false">IF($B57="","",SUM(K57:N57)+SUM(P57:S57))</f>
        <v/>
      </c>
      <c r="U57" s="116" t="str">
        <f aca="false">IF($B57="","",الموظفون!$S57*IF(E57="سعودي",cfg_G_SE,cfg_G_NE)*G57/cfg_DAYS_M)</f>
        <v/>
      </c>
      <c r="V57" s="116" t="str">
        <f aca="false">IF($B57="","",SUMIFS('الحركات الشهرية'!$I$6:$I$1005,'الحركات الشهرية'!$B$6:$B$1005,$B57,'الحركات الشهرية'!$A$6:$A$1005,$C$3))</f>
        <v/>
      </c>
      <c r="W57" s="116" t="str">
        <f aca="false">IF($B57="","",SUMIFS('الحركات الشهرية'!$J$6:$J$1005,'الحركات الشهرية'!$B$6:$B$1005,$B57,'الحركات الشهرية'!$A$6:$A$1005,$C$3))</f>
        <v/>
      </c>
      <c r="X57" s="116" t="str">
        <f aca="false">IF($B57="","",SUM(U57:W57))</f>
        <v/>
      </c>
      <c r="Y57" s="158" t="str">
        <f aca="false">IF($B57="","",T57-X57)</f>
        <v/>
      </c>
      <c r="Z57" s="116" t="str">
        <f aca="false">IF($B57="","",الموظفون!$S57*IF(E57="سعودي",cfg_G_SR,cfg_G_NR)*G57/cfg_DAYS_M)</f>
        <v/>
      </c>
      <c r="AA57" s="116" t="str">
        <f aca="false">IF($B57="","",الموظفون!$Q57*(cfg_EOS_R1*(MIN(AH57,cfg_EOS_TH)-MIN(AI57,cfg_EOS_TH))+cfg_EOS_R2*(MAX(AH57-cfg_EOS_TH,0)-MAX(AI57-cfg_EOS_TH,0))))</f>
        <v/>
      </c>
      <c r="AB57" s="116" t="str">
        <f aca="false">IF($B57="","",IF(الموظفون!$T57&lt;&gt;"",الموظفون!$T57,IF(AH57&gt;=cfg_LV_TH,cfg_LV_D2,cfg_LV_D1))/cfg_DAYS_Y*AJ57*الموظفون!$R57/cfg_DAYS_M)</f>
        <v/>
      </c>
      <c r="AC57" s="116" t="str">
        <f aca="false">IF($B57="","",IF(AND(الموظفون!$U57="نعم",N(الموظفون!$W57)&gt;0),الموظفون!$V57/الموظفون!$W57*12/cfg_DAYS_Y*AJ57,0))</f>
        <v/>
      </c>
      <c r="AD57" s="116" t="str">
        <f aca="false">IF($B57="","",(IF(الموظفون!$X57&lt;&gt;"",الموظفون!$X57,IF(الموظفون!$E57="غير سعودي",cfg_IQ,0))+IF(الموظفون!$Y57&lt;&gt;"",الموظفون!$Y57,IF(الموظفون!$E57="غير سعودي",cfg_WP,0)))/12*G57/cfg_DAYS_M)</f>
        <v/>
      </c>
      <c r="AE57" s="116" t="str">
        <f aca="false">IF($B57="","",IF(الموظفون!$Z57&lt;&gt;"",الموظفون!$Z57,cfg_MED)/12*G57/cfg_DAYS_M)</f>
        <v/>
      </c>
      <c r="AF57" s="116" t="str">
        <f aca="false">IF($B57="","",N(الموظفون!$AA57)/12*G57/cfg_DAYS_M)</f>
        <v/>
      </c>
      <c r="AG57" s="159" t="str">
        <f aca="false">IF($B57="","",T57+SUM(Z57:AF57))</f>
        <v/>
      </c>
      <c r="AH57" s="160" t="str">
        <f aca="false">IF($B57="","",MAX(0,IF(OR(الموظفون!$AE57="",الموظفون!$AE57&gt;$F$3),$F$3,الموظفون!$AE57)-الموظفون!$H57+1-SUMIFS('سجل الإجازات والحالات'!$AP$6:$AP$505,'سجل الإجازات والحالات'!$B$6:$B$505,$B57))/cfg_DAYS_Y)</f>
        <v/>
      </c>
      <c r="AI57" s="160" t="str">
        <f aca="false">IF($B57="","",MAX(0,IF(OR(الموظفون!$AE57="",الموظفون!$AE57&gt;($E$3-1)),($E$3-1),الموظفون!$AE57)-الموظفون!$H57+1-SUMIFS('سجل الإجازات والحالات'!$AO$6:$AO$505,'سجل الإجازات والحالات'!$B$6:$B$505,$B57))/cfg_DAYS_Y)</f>
        <v/>
      </c>
      <c r="AJ57" s="133" t="str">
        <f aca="false">IF($B57="","",MAX(0,AK57-(SUMIFS('سجل الإجازات والحالات'!$AP$6:$AP$505,'سجل الإجازات والحالات'!$B$6:$B$505,$B57)-SUMIFS('سجل الإجازات والحالات'!$AO$6:$AO$505,'سجل الإجازات والحالات'!$B$6:$B$505,$B57))))</f>
        <v/>
      </c>
      <c r="AK57" s="133" t="str">
        <f aca="false">IF($B57="","",MAX(0,IF(OR(الموظفون!$AE57="",الموظفون!$AE57&gt;$F$3),$F$3,الموظفون!$AE57)-MAX($E$3,الموظفون!$H57)+1))</f>
        <v/>
      </c>
      <c r="AL57" s="156" t="str">
        <f aca="false">IF($B57="","",SUMIFS('سجل الإجازات والحالات'!$BB$6:$BB$505,'سجل الإجازات والحالات'!$B$6:$B$505,$B57)+SUMIFS('الحركات الشهرية'!$K$6:$K$1005,'الحركات الشهرية'!$B$6:$B$1005,$B57,'الحركات الشهرية'!$A$6:$A$1005,$C$3))</f>
        <v/>
      </c>
      <c r="AM57" s="116" t="str">
        <f aca="false">IF($B57="","",AL57*الموظفون!$R57/cfg_DAYS_M+S57)</f>
        <v/>
      </c>
      <c r="AN57" s="156" t="str">
        <f aca="false">IF($B57="","",SUMIFS('سجل الإجازات والحالات'!$AD$6:$AD$505,'سجل الإجازات والحالات'!$B$6:$B$505,$B57))</f>
        <v/>
      </c>
    </row>
    <row r="58" customFormat="false" ht="15" hidden="false" customHeight="false" outlineLevel="0" collapsed="false">
      <c r="A58" s="106" t="str">
        <f aca="false">IF($B58="","",الموظفون!$A58)</f>
        <v/>
      </c>
      <c r="B58" s="114" t="str">
        <f aca="false">IF(الموظفون!$B58="","",الموظفون!$B58)</f>
        <v/>
      </c>
      <c r="C58" s="114" t="str">
        <f aca="false">IF($B58="","",الموظفون!$C58)</f>
        <v/>
      </c>
      <c r="D58" s="114" t="str">
        <f aca="false">IF($B58="","",الموظفون!$F58)</f>
        <v/>
      </c>
      <c r="E58" s="114" t="str">
        <f aca="false">IF($B58="","",الموظفون!$E58)</f>
        <v/>
      </c>
      <c r="F58" s="114" t="str">
        <f aca="false">IF($B58="","",IF(AK58=0,IF(AND(الموظفون!$AE58&lt;&gt;"",الموظفون!$AE58&lt;$E$3),"✖ منتهي الخدمة","⏳ لم يباشر"),IF(S58&gt;0,"✈ راتب إجازة مقدم",IF(J58=0,"⛔ بدون راتب هذا الشهر",IF(I58&gt;0,"✈ خصم "&amp;ROUND(I58,2)&amp;" يوم بدون أجر",IF(AL58&gt;0,"🌴 إجازة سنوية "&amp;ROUND(AL58,2)&amp;" يوم",IF(H58&gt;0,"⚠ غياب "&amp;ROUND(H58,2)&amp;" يوم","✔ على رأس العمل")))))))</f>
        <v/>
      </c>
      <c r="G58" s="151" t="str">
        <f aca="false">IF($B58="","",IF(AK58&gt;=DAY($F$3),cfg_DAYS_M,MIN(AK58,cfg_DAYS_M)))</f>
        <v/>
      </c>
      <c r="H58" s="151" t="str">
        <f aca="false">IF($B58="","",SUMIFS('الحركات الشهرية'!$D$6:$D$1005,'الحركات الشهرية'!$B$6:$B$1005,$B58,'الحركات الشهرية'!$A$6:$A$1005,$C$3))</f>
        <v/>
      </c>
      <c r="I58" s="151" t="str">
        <f aca="false">IF($B58="","",MIN(G58,IF(AND(AK58&gt;0,AN58&gt;=AK58),G58,AN58)+SUMIFS('الحركات الشهرية'!$E$6:$E$1005,'الحركات الشهرية'!$B$6:$B$1005,$B58,'الحركات الشهرية'!$A$6:$A$1005,$C$3)))</f>
        <v/>
      </c>
      <c r="J58" s="151" t="str">
        <f aca="false">IF($B58="","",MAX(0,G58-H58-I58))</f>
        <v/>
      </c>
      <c r="K58" s="111" t="str">
        <f aca="false">IF($B58="","",الموظفون!$L58*$J58/cfg_DAYS_M)</f>
        <v/>
      </c>
      <c r="L58" s="111" t="str">
        <f aca="false">IF($B58="","",الموظفون!$M58*$J58/cfg_DAYS_M)</f>
        <v/>
      </c>
      <c r="M58" s="111" t="str">
        <f aca="false">IF($B58="","",الموظفون!$N58*$J58/cfg_DAYS_M)</f>
        <v/>
      </c>
      <c r="N58" s="111" t="str">
        <f aca="false">IF($B58="","",الموظفون!$O58*$J58/cfg_DAYS_M)</f>
        <v/>
      </c>
      <c r="O58" s="151" t="str">
        <f aca="false">IF($B58="","",SUMIFS('الحركات الشهرية'!$F$6:$F$1005,'الحركات الشهرية'!$B$6:$B$1005,$B58,'الحركات الشهرية'!$A$6:$A$1005,$C$3))</f>
        <v/>
      </c>
      <c r="P58" s="111" t="str">
        <f aca="false">IF($B58="","",O58*(الموظفون!$P58+الموظفون!$L58*cfg_OT_P)/cfg_DAYS_M/cfg_HRS)</f>
        <v/>
      </c>
      <c r="Q58" s="111" t="str">
        <f aca="false">IF($B58="","",SUMIFS('الحركات الشهرية'!$G$6:$G$1005,'الحركات الشهرية'!$B$6:$B$1005,$B58,'الحركات الشهرية'!$A$6:$A$1005,$C$3))</f>
        <v/>
      </c>
      <c r="R58" s="111" t="str">
        <f aca="false">IF($B58="","",SUMIFS('الحركات الشهرية'!$H$6:$H$1005,'الحركات الشهرية'!$B$6:$B$1005,$B58,'الحركات الشهرية'!$A$6:$A$1005,$C$3))</f>
        <v/>
      </c>
      <c r="S58" s="111" t="str">
        <f aca="false">IF($B58="","",SUMIFS('سجل الإجازات والحالات'!$N$6:$N$505,'سجل الإجازات والحالات'!$B$6:$B$505,$B58,'سجل الإجازات والحالات'!$O$6:$O$505,$C$3))</f>
        <v/>
      </c>
      <c r="T58" s="152" t="str">
        <f aca="false">IF($B58="","",SUM(K58:N58)+SUM(P58:S58))</f>
        <v/>
      </c>
      <c r="U58" s="111" t="str">
        <f aca="false">IF($B58="","",الموظفون!$S58*IF(E58="سعودي",cfg_G_SE,cfg_G_NE)*G58/cfg_DAYS_M)</f>
        <v/>
      </c>
      <c r="V58" s="111" t="str">
        <f aca="false">IF($B58="","",SUMIFS('الحركات الشهرية'!$I$6:$I$1005,'الحركات الشهرية'!$B$6:$B$1005,$B58,'الحركات الشهرية'!$A$6:$A$1005,$C$3))</f>
        <v/>
      </c>
      <c r="W58" s="111" t="str">
        <f aca="false">IF($B58="","",SUMIFS('الحركات الشهرية'!$J$6:$J$1005,'الحركات الشهرية'!$B$6:$B$1005,$B58,'الحركات الشهرية'!$A$6:$A$1005,$C$3))</f>
        <v/>
      </c>
      <c r="X58" s="111" t="str">
        <f aca="false">IF($B58="","",SUM(U58:W58))</f>
        <v/>
      </c>
      <c r="Y58" s="153" t="str">
        <f aca="false">IF($B58="","",T58-X58)</f>
        <v/>
      </c>
      <c r="Z58" s="111" t="str">
        <f aca="false">IF($B58="","",الموظفون!$S58*IF(E58="سعودي",cfg_G_SR,cfg_G_NR)*G58/cfg_DAYS_M)</f>
        <v/>
      </c>
      <c r="AA58" s="111" t="str">
        <f aca="false">IF($B58="","",الموظفون!$Q58*(cfg_EOS_R1*(MIN(AH58,cfg_EOS_TH)-MIN(AI58,cfg_EOS_TH))+cfg_EOS_R2*(MAX(AH58-cfg_EOS_TH,0)-MAX(AI58-cfg_EOS_TH,0))))</f>
        <v/>
      </c>
      <c r="AB58" s="111" t="str">
        <f aca="false">IF($B58="","",IF(الموظفون!$T58&lt;&gt;"",الموظفون!$T58,IF(AH58&gt;=cfg_LV_TH,cfg_LV_D2,cfg_LV_D1))/cfg_DAYS_Y*AJ58*الموظفون!$R58/cfg_DAYS_M)</f>
        <v/>
      </c>
      <c r="AC58" s="111" t="str">
        <f aca="false">IF($B58="","",IF(AND(الموظفون!$U58="نعم",N(الموظفون!$W58)&gt;0),الموظفون!$V58/الموظفون!$W58*12/cfg_DAYS_Y*AJ58,0))</f>
        <v/>
      </c>
      <c r="AD58" s="111" t="str">
        <f aca="false">IF($B58="","",(IF(الموظفون!$X58&lt;&gt;"",الموظفون!$X58,IF(الموظفون!$E58="غير سعودي",cfg_IQ,0))+IF(الموظفون!$Y58&lt;&gt;"",الموظفون!$Y58,IF(الموظفون!$E58="غير سعودي",cfg_WP,0)))/12*G58/cfg_DAYS_M)</f>
        <v/>
      </c>
      <c r="AE58" s="111" t="str">
        <f aca="false">IF($B58="","",IF(الموظفون!$Z58&lt;&gt;"",الموظفون!$Z58,cfg_MED)/12*G58/cfg_DAYS_M)</f>
        <v/>
      </c>
      <c r="AF58" s="111" t="str">
        <f aca="false">IF($B58="","",N(الموظفون!$AA58)/12*G58/cfg_DAYS_M)</f>
        <v/>
      </c>
      <c r="AG58" s="154" t="str">
        <f aca="false">IF($B58="","",T58+SUM(Z58:AF58))</f>
        <v/>
      </c>
      <c r="AH58" s="155" t="str">
        <f aca="false">IF($B58="","",MAX(0,IF(OR(الموظفون!$AE58="",الموظفون!$AE58&gt;$F$3),$F$3,الموظفون!$AE58)-الموظفون!$H58+1-SUMIFS('سجل الإجازات والحالات'!$AP$6:$AP$505,'سجل الإجازات والحالات'!$B$6:$B$505,$B58))/cfg_DAYS_Y)</f>
        <v/>
      </c>
      <c r="AI58" s="155" t="str">
        <f aca="false">IF($B58="","",MAX(0,IF(OR(الموظفون!$AE58="",الموظفون!$AE58&gt;($E$3-1)),($E$3-1),الموظفون!$AE58)-الموظفون!$H58+1-SUMIFS('سجل الإجازات والحالات'!$AO$6:$AO$505,'سجل الإجازات والحالات'!$B$6:$B$505,$B58))/cfg_DAYS_Y)</f>
        <v/>
      </c>
      <c r="AJ58" s="65" t="str">
        <f aca="false">IF($B58="","",MAX(0,AK58-(SUMIFS('سجل الإجازات والحالات'!$AP$6:$AP$505,'سجل الإجازات والحالات'!$B$6:$B$505,$B58)-SUMIFS('سجل الإجازات والحالات'!$AO$6:$AO$505,'سجل الإجازات والحالات'!$B$6:$B$505,$B58))))</f>
        <v/>
      </c>
      <c r="AK58" s="65" t="str">
        <f aca="false">IF($B58="","",MAX(0,IF(OR(الموظفون!$AE58="",الموظفون!$AE58&gt;$F$3),$F$3,الموظفون!$AE58)-MAX($E$3,الموظفون!$H58)+1))</f>
        <v/>
      </c>
      <c r="AL58" s="151" t="str">
        <f aca="false">IF($B58="","",SUMIFS('سجل الإجازات والحالات'!$BB$6:$BB$505,'سجل الإجازات والحالات'!$B$6:$B$505,$B58)+SUMIFS('الحركات الشهرية'!$K$6:$K$1005,'الحركات الشهرية'!$B$6:$B$1005,$B58,'الحركات الشهرية'!$A$6:$A$1005,$C$3))</f>
        <v/>
      </c>
      <c r="AM58" s="111" t="str">
        <f aca="false">IF($B58="","",AL58*الموظفون!$R58/cfg_DAYS_M+S58)</f>
        <v/>
      </c>
      <c r="AN58" s="151" t="str">
        <f aca="false">IF($B58="","",SUMIFS('سجل الإجازات والحالات'!$AD$6:$AD$505,'سجل الإجازات والحالات'!$B$6:$B$505,$B58))</f>
        <v/>
      </c>
    </row>
    <row r="59" customFormat="false" ht="15" hidden="false" customHeight="false" outlineLevel="0" collapsed="false">
      <c r="A59" s="115" t="str">
        <f aca="false">IF($B59="","",الموظفون!$A59)</f>
        <v/>
      </c>
      <c r="B59" s="117" t="str">
        <f aca="false">IF(الموظفون!$B59="","",الموظفون!$B59)</f>
        <v/>
      </c>
      <c r="C59" s="117" t="str">
        <f aca="false">IF($B59="","",الموظفون!$C59)</f>
        <v/>
      </c>
      <c r="D59" s="117" t="str">
        <f aca="false">IF($B59="","",الموظفون!$F59)</f>
        <v/>
      </c>
      <c r="E59" s="117" t="str">
        <f aca="false">IF($B59="","",الموظفون!$E59)</f>
        <v/>
      </c>
      <c r="F59" s="117" t="str">
        <f aca="false">IF($B59="","",IF(AK59=0,IF(AND(الموظفون!$AE59&lt;&gt;"",الموظفون!$AE59&lt;$E$3),"✖ منتهي الخدمة","⏳ لم يباشر"),IF(S59&gt;0,"✈ راتب إجازة مقدم",IF(J59=0,"⛔ بدون راتب هذا الشهر",IF(I59&gt;0,"✈ خصم "&amp;ROUND(I59,2)&amp;" يوم بدون أجر",IF(AL59&gt;0,"🌴 إجازة سنوية "&amp;ROUND(AL59,2)&amp;" يوم",IF(H59&gt;0,"⚠ غياب "&amp;ROUND(H59,2)&amp;" يوم","✔ على رأس العمل")))))))</f>
        <v/>
      </c>
      <c r="G59" s="156" t="str">
        <f aca="false">IF($B59="","",IF(AK59&gt;=DAY($F$3),cfg_DAYS_M,MIN(AK59,cfg_DAYS_M)))</f>
        <v/>
      </c>
      <c r="H59" s="156" t="str">
        <f aca="false">IF($B59="","",SUMIFS('الحركات الشهرية'!$D$6:$D$1005,'الحركات الشهرية'!$B$6:$B$1005,$B59,'الحركات الشهرية'!$A$6:$A$1005,$C$3))</f>
        <v/>
      </c>
      <c r="I59" s="156" t="str">
        <f aca="false">IF($B59="","",MIN(G59,IF(AND(AK59&gt;0,AN59&gt;=AK59),G59,AN59)+SUMIFS('الحركات الشهرية'!$E$6:$E$1005,'الحركات الشهرية'!$B$6:$B$1005,$B59,'الحركات الشهرية'!$A$6:$A$1005,$C$3)))</f>
        <v/>
      </c>
      <c r="J59" s="156" t="str">
        <f aca="false">IF($B59="","",MAX(0,G59-H59-I59))</f>
        <v/>
      </c>
      <c r="K59" s="116" t="str">
        <f aca="false">IF($B59="","",الموظفون!$L59*$J59/cfg_DAYS_M)</f>
        <v/>
      </c>
      <c r="L59" s="116" t="str">
        <f aca="false">IF($B59="","",الموظفون!$M59*$J59/cfg_DAYS_M)</f>
        <v/>
      </c>
      <c r="M59" s="116" t="str">
        <f aca="false">IF($B59="","",الموظفون!$N59*$J59/cfg_DAYS_M)</f>
        <v/>
      </c>
      <c r="N59" s="116" t="str">
        <f aca="false">IF($B59="","",الموظفون!$O59*$J59/cfg_DAYS_M)</f>
        <v/>
      </c>
      <c r="O59" s="156" t="str">
        <f aca="false">IF($B59="","",SUMIFS('الحركات الشهرية'!$F$6:$F$1005,'الحركات الشهرية'!$B$6:$B$1005,$B59,'الحركات الشهرية'!$A$6:$A$1005,$C$3))</f>
        <v/>
      </c>
      <c r="P59" s="116" t="str">
        <f aca="false">IF($B59="","",O59*(الموظفون!$P59+الموظفون!$L59*cfg_OT_P)/cfg_DAYS_M/cfg_HRS)</f>
        <v/>
      </c>
      <c r="Q59" s="116" t="str">
        <f aca="false">IF($B59="","",SUMIFS('الحركات الشهرية'!$G$6:$G$1005,'الحركات الشهرية'!$B$6:$B$1005,$B59,'الحركات الشهرية'!$A$6:$A$1005,$C$3))</f>
        <v/>
      </c>
      <c r="R59" s="116" t="str">
        <f aca="false">IF($B59="","",SUMIFS('الحركات الشهرية'!$H$6:$H$1005,'الحركات الشهرية'!$B$6:$B$1005,$B59,'الحركات الشهرية'!$A$6:$A$1005,$C$3))</f>
        <v/>
      </c>
      <c r="S59" s="116" t="str">
        <f aca="false">IF($B59="","",SUMIFS('سجل الإجازات والحالات'!$N$6:$N$505,'سجل الإجازات والحالات'!$B$6:$B$505,$B59,'سجل الإجازات والحالات'!$O$6:$O$505,$C$3))</f>
        <v/>
      </c>
      <c r="T59" s="157" t="str">
        <f aca="false">IF($B59="","",SUM(K59:N59)+SUM(P59:S59))</f>
        <v/>
      </c>
      <c r="U59" s="116" t="str">
        <f aca="false">IF($B59="","",الموظفون!$S59*IF(E59="سعودي",cfg_G_SE,cfg_G_NE)*G59/cfg_DAYS_M)</f>
        <v/>
      </c>
      <c r="V59" s="116" t="str">
        <f aca="false">IF($B59="","",SUMIFS('الحركات الشهرية'!$I$6:$I$1005,'الحركات الشهرية'!$B$6:$B$1005,$B59,'الحركات الشهرية'!$A$6:$A$1005,$C$3))</f>
        <v/>
      </c>
      <c r="W59" s="116" t="str">
        <f aca="false">IF($B59="","",SUMIFS('الحركات الشهرية'!$J$6:$J$1005,'الحركات الشهرية'!$B$6:$B$1005,$B59,'الحركات الشهرية'!$A$6:$A$1005,$C$3))</f>
        <v/>
      </c>
      <c r="X59" s="116" t="str">
        <f aca="false">IF($B59="","",SUM(U59:W59))</f>
        <v/>
      </c>
      <c r="Y59" s="158" t="str">
        <f aca="false">IF($B59="","",T59-X59)</f>
        <v/>
      </c>
      <c r="Z59" s="116" t="str">
        <f aca="false">IF($B59="","",الموظفون!$S59*IF(E59="سعودي",cfg_G_SR,cfg_G_NR)*G59/cfg_DAYS_M)</f>
        <v/>
      </c>
      <c r="AA59" s="116" t="str">
        <f aca="false">IF($B59="","",الموظفون!$Q59*(cfg_EOS_R1*(MIN(AH59,cfg_EOS_TH)-MIN(AI59,cfg_EOS_TH))+cfg_EOS_R2*(MAX(AH59-cfg_EOS_TH,0)-MAX(AI59-cfg_EOS_TH,0))))</f>
        <v/>
      </c>
      <c r="AB59" s="116" t="str">
        <f aca="false">IF($B59="","",IF(الموظفون!$T59&lt;&gt;"",الموظفون!$T59,IF(AH59&gt;=cfg_LV_TH,cfg_LV_D2,cfg_LV_D1))/cfg_DAYS_Y*AJ59*الموظفون!$R59/cfg_DAYS_M)</f>
        <v/>
      </c>
      <c r="AC59" s="116" t="str">
        <f aca="false">IF($B59="","",IF(AND(الموظفون!$U59="نعم",N(الموظفون!$W59)&gt;0),الموظفون!$V59/الموظفون!$W59*12/cfg_DAYS_Y*AJ59,0))</f>
        <v/>
      </c>
      <c r="AD59" s="116" t="str">
        <f aca="false">IF($B59="","",(IF(الموظفون!$X59&lt;&gt;"",الموظفون!$X59,IF(الموظفون!$E59="غير سعودي",cfg_IQ,0))+IF(الموظفون!$Y59&lt;&gt;"",الموظفون!$Y59,IF(الموظفون!$E59="غير سعودي",cfg_WP,0)))/12*G59/cfg_DAYS_M)</f>
        <v/>
      </c>
      <c r="AE59" s="116" t="str">
        <f aca="false">IF($B59="","",IF(الموظفون!$Z59&lt;&gt;"",الموظفون!$Z59,cfg_MED)/12*G59/cfg_DAYS_M)</f>
        <v/>
      </c>
      <c r="AF59" s="116" t="str">
        <f aca="false">IF($B59="","",N(الموظفون!$AA59)/12*G59/cfg_DAYS_M)</f>
        <v/>
      </c>
      <c r="AG59" s="159" t="str">
        <f aca="false">IF($B59="","",T59+SUM(Z59:AF59))</f>
        <v/>
      </c>
      <c r="AH59" s="160" t="str">
        <f aca="false">IF($B59="","",MAX(0,IF(OR(الموظفون!$AE59="",الموظفون!$AE59&gt;$F$3),$F$3,الموظفون!$AE59)-الموظفون!$H59+1-SUMIFS('سجل الإجازات والحالات'!$AP$6:$AP$505,'سجل الإجازات والحالات'!$B$6:$B$505,$B59))/cfg_DAYS_Y)</f>
        <v/>
      </c>
      <c r="AI59" s="160" t="str">
        <f aca="false">IF($B59="","",MAX(0,IF(OR(الموظفون!$AE59="",الموظفون!$AE59&gt;($E$3-1)),($E$3-1),الموظفون!$AE59)-الموظفون!$H59+1-SUMIFS('سجل الإجازات والحالات'!$AO$6:$AO$505,'سجل الإجازات والحالات'!$B$6:$B$505,$B59))/cfg_DAYS_Y)</f>
        <v/>
      </c>
      <c r="AJ59" s="133" t="str">
        <f aca="false">IF($B59="","",MAX(0,AK59-(SUMIFS('سجل الإجازات والحالات'!$AP$6:$AP$505,'سجل الإجازات والحالات'!$B$6:$B$505,$B59)-SUMIFS('سجل الإجازات والحالات'!$AO$6:$AO$505,'سجل الإجازات والحالات'!$B$6:$B$505,$B59))))</f>
        <v/>
      </c>
      <c r="AK59" s="133" t="str">
        <f aca="false">IF($B59="","",MAX(0,IF(OR(الموظفون!$AE59="",الموظفون!$AE59&gt;$F$3),$F$3,الموظفون!$AE59)-MAX($E$3,الموظفون!$H59)+1))</f>
        <v/>
      </c>
      <c r="AL59" s="156" t="str">
        <f aca="false">IF($B59="","",SUMIFS('سجل الإجازات والحالات'!$BB$6:$BB$505,'سجل الإجازات والحالات'!$B$6:$B$505,$B59)+SUMIFS('الحركات الشهرية'!$K$6:$K$1005,'الحركات الشهرية'!$B$6:$B$1005,$B59,'الحركات الشهرية'!$A$6:$A$1005,$C$3))</f>
        <v/>
      </c>
      <c r="AM59" s="116" t="str">
        <f aca="false">IF($B59="","",AL59*الموظفون!$R59/cfg_DAYS_M+S59)</f>
        <v/>
      </c>
      <c r="AN59" s="156" t="str">
        <f aca="false">IF($B59="","",SUMIFS('سجل الإجازات والحالات'!$AD$6:$AD$505,'سجل الإجازات والحالات'!$B$6:$B$505,$B59))</f>
        <v/>
      </c>
    </row>
    <row r="60" customFormat="false" ht="15" hidden="false" customHeight="false" outlineLevel="0" collapsed="false">
      <c r="A60" s="106" t="str">
        <f aca="false">IF($B60="","",الموظفون!$A60)</f>
        <v/>
      </c>
      <c r="B60" s="114" t="str">
        <f aca="false">IF(الموظفون!$B60="","",الموظفون!$B60)</f>
        <v/>
      </c>
      <c r="C60" s="114" t="str">
        <f aca="false">IF($B60="","",الموظفون!$C60)</f>
        <v/>
      </c>
      <c r="D60" s="114" t="str">
        <f aca="false">IF($B60="","",الموظفون!$F60)</f>
        <v/>
      </c>
      <c r="E60" s="114" t="str">
        <f aca="false">IF($B60="","",الموظفون!$E60)</f>
        <v/>
      </c>
      <c r="F60" s="114" t="str">
        <f aca="false">IF($B60="","",IF(AK60=0,IF(AND(الموظفون!$AE60&lt;&gt;"",الموظفون!$AE60&lt;$E$3),"✖ منتهي الخدمة","⏳ لم يباشر"),IF(S60&gt;0,"✈ راتب إجازة مقدم",IF(J60=0,"⛔ بدون راتب هذا الشهر",IF(I60&gt;0,"✈ خصم "&amp;ROUND(I60,2)&amp;" يوم بدون أجر",IF(AL60&gt;0,"🌴 إجازة سنوية "&amp;ROUND(AL60,2)&amp;" يوم",IF(H60&gt;0,"⚠ غياب "&amp;ROUND(H60,2)&amp;" يوم","✔ على رأس العمل")))))))</f>
        <v/>
      </c>
      <c r="G60" s="151" t="str">
        <f aca="false">IF($B60="","",IF(AK60&gt;=DAY($F$3),cfg_DAYS_M,MIN(AK60,cfg_DAYS_M)))</f>
        <v/>
      </c>
      <c r="H60" s="151" t="str">
        <f aca="false">IF($B60="","",SUMIFS('الحركات الشهرية'!$D$6:$D$1005,'الحركات الشهرية'!$B$6:$B$1005,$B60,'الحركات الشهرية'!$A$6:$A$1005,$C$3))</f>
        <v/>
      </c>
      <c r="I60" s="151" t="str">
        <f aca="false">IF($B60="","",MIN(G60,IF(AND(AK60&gt;0,AN60&gt;=AK60),G60,AN60)+SUMIFS('الحركات الشهرية'!$E$6:$E$1005,'الحركات الشهرية'!$B$6:$B$1005,$B60,'الحركات الشهرية'!$A$6:$A$1005,$C$3)))</f>
        <v/>
      </c>
      <c r="J60" s="151" t="str">
        <f aca="false">IF($B60="","",MAX(0,G60-H60-I60))</f>
        <v/>
      </c>
      <c r="K60" s="111" t="str">
        <f aca="false">IF($B60="","",الموظفون!$L60*$J60/cfg_DAYS_M)</f>
        <v/>
      </c>
      <c r="L60" s="111" t="str">
        <f aca="false">IF($B60="","",الموظفون!$M60*$J60/cfg_DAYS_M)</f>
        <v/>
      </c>
      <c r="M60" s="111" t="str">
        <f aca="false">IF($B60="","",الموظفون!$N60*$J60/cfg_DAYS_M)</f>
        <v/>
      </c>
      <c r="N60" s="111" t="str">
        <f aca="false">IF($B60="","",الموظفون!$O60*$J60/cfg_DAYS_M)</f>
        <v/>
      </c>
      <c r="O60" s="151" t="str">
        <f aca="false">IF($B60="","",SUMIFS('الحركات الشهرية'!$F$6:$F$1005,'الحركات الشهرية'!$B$6:$B$1005,$B60,'الحركات الشهرية'!$A$6:$A$1005,$C$3))</f>
        <v/>
      </c>
      <c r="P60" s="111" t="str">
        <f aca="false">IF($B60="","",O60*(الموظفون!$P60+الموظفون!$L60*cfg_OT_P)/cfg_DAYS_M/cfg_HRS)</f>
        <v/>
      </c>
      <c r="Q60" s="111" t="str">
        <f aca="false">IF($B60="","",SUMIFS('الحركات الشهرية'!$G$6:$G$1005,'الحركات الشهرية'!$B$6:$B$1005,$B60,'الحركات الشهرية'!$A$6:$A$1005,$C$3))</f>
        <v/>
      </c>
      <c r="R60" s="111" t="str">
        <f aca="false">IF($B60="","",SUMIFS('الحركات الشهرية'!$H$6:$H$1005,'الحركات الشهرية'!$B$6:$B$1005,$B60,'الحركات الشهرية'!$A$6:$A$1005,$C$3))</f>
        <v/>
      </c>
      <c r="S60" s="111" t="str">
        <f aca="false">IF($B60="","",SUMIFS('سجل الإجازات والحالات'!$N$6:$N$505,'سجل الإجازات والحالات'!$B$6:$B$505,$B60,'سجل الإجازات والحالات'!$O$6:$O$505,$C$3))</f>
        <v/>
      </c>
      <c r="T60" s="152" t="str">
        <f aca="false">IF($B60="","",SUM(K60:N60)+SUM(P60:S60))</f>
        <v/>
      </c>
      <c r="U60" s="111" t="str">
        <f aca="false">IF($B60="","",الموظفون!$S60*IF(E60="سعودي",cfg_G_SE,cfg_G_NE)*G60/cfg_DAYS_M)</f>
        <v/>
      </c>
      <c r="V60" s="111" t="str">
        <f aca="false">IF($B60="","",SUMIFS('الحركات الشهرية'!$I$6:$I$1005,'الحركات الشهرية'!$B$6:$B$1005,$B60,'الحركات الشهرية'!$A$6:$A$1005,$C$3))</f>
        <v/>
      </c>
      <c r="W60" s="111" t="str">
        <f aca="false">IF($B60="","",SUMIFS('الحركات الشهرية'!$J$6:$J$1005,'الحركات الشهرية'!$B$6:$B$1005,$B60,'الحركات الشهرية'!$A$6:$A$1005,$C$3))</f>
        <v/>
      </c>
      <c r="X60" s="111" t="str">
        <f aca="false">IF($B60="","",SUM(U60:W60))</f>
        <v/>
      </c>
      <c r="Y60" s="153" t="str">
        <f aca="false">IF($B60="","",T60-X60)</f>
        <v/>
      </c>
      <c r="Z60" s="111" t="str">
        <f aca="false">IF($B60="","",الموظفون!$S60*IF(E60="سعودي",cfg_G_SR,cfg_G_NR)*G60/cfg_DAYS_M)</f>
        <v/>
      </c>
      <c r="AA60" s="111" t="str">
        <f aca="false">IF($B60="","",الموظفون!$Q60*(cfg_EOS_R1*(MIN(AH60,cfg_EOS_TH)-MIN(AI60,cfg_EOS_TH))+cfg_EOS_R2*(MAX(AH60-cfg_EOS_TH,0)-MAX(AI60-cfg_EOS_TH,0))))</f>
        <v/>
      </c>
      <c r="AB60" s="111" t="str">
        <f aca="false">IF($B60="","",IF(الموظفون!$T60&lt;&gt;"",الموظفون!$T60,IF(AH60&gt;=cfg_LV_TH,cfg_LV_D2,cfg_LV_D1))/cfg_DAYS_Y*AJ60*الموظفون!$R60/cfg_DAYS_M)</f>
        <v/>
      </c>
      <c r="AC60" s="111" t="str">
        <f aca="false">IF($B60="","",IF(AND(الموظفون!$U60="نعم",N(الموظفون!$W60)&gt;0),الموظفون!$V60/الموظفون!$W60*12/cfg_DAYS_Y*AJ60,0))</f>
        <v/>
      </c>
      <c r="AD60" s="111" t="str">
        <f aca="false">IF($B60="","",(IF(الموظفون!$X60&lt;&gt;"",الموظفون!$X60,IF(الموظفون!$E60="غير سعودي",cfg_IQ,0))+IF(الموظفون!$Y60&lt;&gt;"",الموظفون!$Y60,IF(الموظفون!$E60="غير سعودي",cfg_WP,0)))/12*G60/cfg_DAYS_M)</f>
        <v/>
      </c>
      <c r="AE60" s="111" t="str">
        <f aca="false">IF($B60="","",IF(الموظفون!$Z60&lt;&gt;"",الموظفون!$Z60,cfg_MED)/12*G60/cfg_DAYS_M)</f>
        <v/>
      </c>
      <c r="AF60" s="111" t="str">
        <f aca="false">IF($B60="","",N(الموظفون!$AA60)/12*G60/cfg_DAYS_M)</f>
        <v/>
      </c>
      <c r="AG60" s="154" t="str">
        <f aca="false">IF($B60="","",T60+SUM(Z60:AF60))</f>
        <v/>
      </c>
      <c r="AH60" s="155" t="str">
        <f aca="false">IF($B60="","",MAX(0,IF(OR(الموظفون!$AE60="",الموظفون!$AE60&gt;$F$3),$F$3,الموظفون!$AE60)-الموظفون!$H60+1-SUMIFS('سجل الإجازات والحالات'!$AP$6:$AP$505,'سجل الإجازات والحالات'!$B$6:$B$505,$B60))/cfg_DAYS_Y)</f>
        <v/>
      </c>
      <c r="AI60" s="155" t="str">
        <f aca="false">IF($B60="","",MAX(0,IF(OR(الموظفون!$AE60="",الموظفون!$AE60&gt;($E$3-1)),($E$3-1),الموظفون!$AE60)-الموظفون!$H60+1-SUMIFS('سجل الإجازات والحالات'!$AO$6:$AO$505,'سجل الإجازات والحالات'!$B$6:$B$505,$B60))/cfg_DAYS_Y)</f>
        <v/>
      </c>
      <c r="AJ60" s="65" t="str">
        <f aca="false">IF($B60="","",MAX(0,AK60-(SUMIFS('سجل الإجازات والحالات'!$AP$6:$AP$505,'سجل الإجازات والحالات'!$B$6:$B$505,$B60)-SUMIFS('سجل الإجازات والحالات'!$AO$6:$AO$505,'سجل الإجازات والحالات'!$B$6:$B$505,$B60))))</f>
        <v/>
      </c>
      <c r="AK60" s="65" t="str">
        <f aca="false">IF($B60="","",MAX(0,IF(OR(الموظفون!$AE60="",الموظفون!$AE60&gt;$F$3),$F$3,الموظفون!$AE60)-MAX($E$3,الموظفون!$H60)+1))</f>
        <v/>
      </c>
      <c r="AL60" s="151" t="str">
        <f aca="false">IF($B60="","",SUMIFS('سجل الإجازات والحالات'!$BB$6:$BB$505,'سجل الإجازات والحالات'!$B$6:$B$505,$B60)+SUMIFS('الحركات الشهرية'!$K$6:$K$1005,'الحركات الشهرية'!$B$6:$B$1005,$B60,'الحركات الشهرية'!$A$6:$A$1005,$C$3))</f>
        <v/>
      </c>
      <c r="AM60" s="111" t="str">
        <f aca="false">IF($B60="","",AL60*الموظفون!$R60/cfg_DAYS_M+S60)</f>
        <v/>
      </c>
      <c r="AN60" s="151" t="str">
        <f aca="false">IF($B60="","",SUMIFS('سجل الإجازات والحالات'!$AD$6:$AD$505,'سجل الإجازات والحالات'!$B$6:$B$505,$B60))</f>
        <v/>
      </c>
    </row>
    <row r="61" customFormat="false" ht="15" hidden="false" customHeight="false" outlineLevel="0" collapsed="false">
      <c r="A61" s="115" t="str">
        <f aca="false">IF($B61="","",الموظفون!$A61)</f>
        <v/>
      </c>
      <c r="B61" s="117" t="str">
        <f aca="false">IF(الموظفون!$B61="","",الموظفون!$B61)</f>
        <v/>
      </c>
      <c r="C61" s="117" t="str">
        <f aca="false">IF($B61="","",الموظفون!$C61)</f>
        <v/>
      </c>
      <c r="D61" s="117" t="str">
        <f aca="false">IF($B61="","",الموظفون!$F61)</f>
        <v/>
      </c>
      <c r="E61" s="117" t="str">
        <f aca="false">IF($B61="","",الموظفون!$E61)</f>
        <v/>
      </c>
      <c r="F61" s="117" t="str">
        <f aca="false">IF($B61="","",IF(AK61=0,IF(AND(الموظفون!$AE61&lt;&gt;"",الموظفون!$AE61&lt;$E$3),"✖ منتهي الخدمة","⏳ لم يباشر"),IF(S61&gt;0,"✈ راتب إجازة مقدم",IF(J61=0,"⛔ بدون راتب هذا الشهر",IF(I61&gt;0,"✈ خصم "&amp;ROUND(I61,2)&amp;" يوم بدون أجر",IF(AL61&gt;0,"🌴 إجازة سنوية "&amp;ROUND(AL61,2)&amp;" يوم",IF(H61&gt;0,"⚠ غياب "&amp;ROUND(H61,2)&amp;" يوم","✔ على رأس العمل")))))))</f>
        <v/>
      </c>
      <c r="G61" s="156" t="str">
        <f aca="false">IF($B61="","",IF(AK61&gt;=DAY($F$3),cfg_DAYS_M,MIN(AK61,cfg_DAYS_M)))</f>
        <v/>
      </c>
      <c r="H61" s="156" t="str">
        <f aca="false">IF($B61="","",SUMIFS('الحركات الشهرية'!$D$6:$D$1005,'الحركات الشهرية'!$B$6:$B$1005,$B61,'الحركات الشهرية'!$A$6:$A$1005,$C$3))</f>
        <v/>
      </c>
      <c r="I61" s="156" t="str">
        <f aca="false">IF($B61="","",MIN(G61,IF(AND(AK61&gt;0,AN61&gt;=AK61),G61,AN61)+SUMIFS('الحركات الشهرية'!$E$6:$E$1005,'الحركات الشهرية'!$B$6:$B$1005,$B61,'الحركات الشهرية'!$A$6:$A$1005,$C$3)))</f>
        <v/>
      </c>
      <c r="J61" s="156" t="str">
        <f aca="false">IF($B61="","",MAX(0,G61-H61-I61))</f>
        <v/>
      </c>
      <c r="K61" s="116" t="str">
        <f aca="false">IF($B61="","",الموظفون!$L61*$J61/cfg_DAYS_M)</f>
        <v/>
      </c>
      <c r="L61" s="116" t="str">
        <f aca="false">IF($B61="","",الموظفون!$M61*$J61/cfg_DAYS_M)</f>
        <v/>
      </c>
      <c r="M61" s="116" t="str">
        <f aca="false">IF($B61="","",الموظفون!$N61*$J61/cfg_DAYS_M)</f>
        <v/>
      </c>
      <c r="N61" s="116" t="str">
        <f aca="false">IF($B61="","",الموظفون!$O61*$J61/cfg_DAYS_M)</f>
        <v/>
      </c>
      <c r="O61" s="156" t="str">
        <f aca="false">IF($B61="","",SUMIFS('الحركات الشهرية'!$F$6:$F$1005,'الحركات الشهرية'!$B$6:$B$1005,$B61,'الحركات الشهرية'!$A$6:$A$1005,$C$3))</f>
        <v/>
      </c>
      <c r="P61" s="116" t="str">
        <f aca="false">IF($B61="","",O61*(الموظفون!$P61+الموظفون!$L61*cfg_OT_P)/cfg_DAYS_M/cfg_HRS)</f>
        <v/>
      </c>
      <c r="Q61" s="116" t="str">
        <f aca="false">IF($B61="","",SUMIFS('الحركات الشهرية'!$G$6:$G$1005,'الحركات الشهرية'!$B$6:$B$1005,$B61,'الحركات الشهرية'!$A$6:$A$1005,$C$3))</f>
        <v/>
      </c>
      <c r="R61" s="116" t="str">
        <f aca="false">IF($B61="","",SUMIFS('الحركات الشهرية'!$H$6:$H$1005,'الحركات الشهرية'!$B$6:$B$1005,$B61,'الحركات الشهرية'!$A$6:$A$1005,$C$3))</f>
        <v/>
      </c>
      <c r="S61" s="116" t="str">
        <f aca="false">IF($B61="","",SUMIFS('سجل الإجازات والحالات'!$N$6:$N$505,'سجل الإجازات والحالات'!$B$6:$B$505,$B61,'سجل الإجازات والحالات'!$O$6:$O$505,$C$3))</f>
        <v/>
      </c>
      <c r="T61" s="157" t="str">
        <f aca="false">IF($B61="","",SUM(K61:N61)+SUM(P61:S61))</f>
        <v/>
      </c>
      <c r="U61" s="116" t="str">
        <f aca="false">IF($B61="","",الموظفون!$S61*IF(E61="سعودي",cfg_G_SE,cfg_G_NE)*G61/cfg_DAYS_M)</f>
        <v/>
      </c>
      <c r="V61" s="116" t="str">
        <f aca="false">IF($B61="","",SUMIFS('الحركات الشهرية'!$I$6:$I$1005,'الحركات الشهرية'!$B$6:$B$1005,$B61,'الحركات الشهرية'!$A$6:$A$1005,$C$3))</f>
        <v/>
      </c>
      <c r="W61" s="116" t="str">
        <f aca="false">IF($B61="","",SUMIFS('الحركات الشهرية'!$J$6:$J$1005,'الحركات الشهرية'!$B$6:$B$1005,$B61,'الحركات الشهرية'!$A$6:$A$1005,$C$3))</f>
        <v/>
      </c>
      <c r="X61" s="116" t="str">
        <f aca="false">IF($B61="","",SUM(U61:W61))</f>
        <v/>
      </c>
      <c r="Y61" s="158" t="str">
        <f aca="false">IF($B61="","",T61-X61)</f>
        <v/>
      </c>
      <c r="Z61" s="116" t="str">
        <f aca="false">IF($B61="","",الموظفون!$S61*IF(E61="سعودي",cfg_G_SR,cfg_G_NR)*G61/cfg_DAYS_M)</f>
        <v/>
      </c>
      <c r="AA61" s="116" t="str">
        <f aca="false">IF($B61="","",الموظفون!$Q61*(cfg_EOS_R1*(MIN(AH61,cfg_EOS_TH)-MIN(AI61,cfg_EOS_TH))+cfg_EOS_R2*(MAX(AH61-cfg_EOS_TH,0)-MAX(AI61-cfg_EOS_TH,0))))</f>
        <v/>
      </c>
      <c r="AB61" s="116" t="str">
        <f aca="false">IF($B61="","",IF(الموظفون!$T61&lt;&gt;"",الموظفون!$T61,IF(AH61&gt;=cfg_LV_TH,cfg_LV_D2,cfg_LV_D1))/cfg_DAYS_Y*AJ61*الموظفون!$R61/cfg_DAYS_M)</f>
        <v/>
      </c>
      <c r="AC61" s="116" t="str">
        <f aca="false">IF($B61="","",IF(AND(الموظفون!$U61="نعم",N(الموظفون!$W61)&gt;0),الموظفون!$V61/الموظفون!$W61*12/cfg_DAYS_Y*AJ61,0))</f>
        <v/>
      </c>
      <c r="AD61" s="116" t="str">
        <f aca="false">IF($B61="","",(IF(الموظفون!$X61&lt;&gt;"",الموظفون!$X61,IF(الموظفون!$E61="غير سعودي",cfg_IQ,0))+IF(الموظفون!$Y61&lt;&gt;"",الموظفون!$Y61,IF(الموظفون!$E61="غير سعودي",cfg_WP,0)))/12*G61/cfg_DAYS_M)</f>
        <v/>
      </c>
      <c r="AE61" s="116" t="str">
        <f aca="false">IF($B61="","",IF(الموظفون!$Z61&lt;&gt;"",الموظفون!$Z61,cfg_MED)/12*G61/cfg_DAYS_M)</f>
        <v/>
      </c>
      <c r="AF61" s="116" t="str">
        <f aca="false">IF($B61="","",N(الموظفون!$AA61)/12*G61/cfg_DAYS_M)</f>
        <v/>
      </c>
      <c r="AG61" s="159" t="str">
        <f aca="false">IF($B61="","",T61+SUM(Z61:AF61))</f>
        <v/>
      </c>
      <c r="AH61" s="160" t="str">
        <f aca="false">IF($B61="","",MAX(0,IF(OR(الموظفون!$AE61="",الموظفون!$AE61&gt;$F$3),$F$3,الموظفون!$AE61)-الموظفون!$H61+1-SUMIFS('سجل الإجازات والحالات'!$AP$6:$AP$505,'سجل الإجازات والحالات'!$B$6:$B$505,$B61))/cfg_DAYS_Y)</f>
        <v/>
      </c>
      <c r="AI61" s="160" t="str">
        <f aca="false">IF($B61="","",MAX(0,IF(OR(الموظفون!$AE61="",الموظفون!$AE61&gt;($E$3-1)),($E$3-1),الموظفون!$AE61)-الموظفون!$H61+1-SUMIFS('سجل الإجازات والحالات'!$AO$6:$AO$505,'سجل الإجازات والحالات'!$B$6:$B$505,$B61))/cfg_DAYS_Y)</f>
        <v/>
      </c>
      <c r="AJ61" s="133" t="str">
        <f aca="false">IF($B61="","",MAX(0,AK61-(SUMIFS('سجل الإجازات والحالات'!$AP$6:$AP$505,'سجل الإجازات والحالات'!$B$6:$B$505,$B61)-SUMIFS('سجل الإجازات والحالات'!$AO$6:$AO$505,'سجل الإجازات والحالات'!$B$6:$B$505,$B61))))</f>
        <v/>
      </c>
      <c r="AK61" s="133" t="str">
        <f aca="false">IF($B61="","",MAX(0,IF(OR(الموظفون!$AE61="",الموظفون!$AE61&gt;$F$3),$F$3,الموظفون!$AE61)-MAX($E$3,الموظفون!$H61)+1))</f>
        <v/>
      </c>
      <c r="AL61" s="156" t="str">
        <f aca="false">IF($B61="","",SUMIFS('سجل الإجازات والحالات'!$BB$6:$BB$505,'سجل الإجازات والحالات'!$B$6:$B$505,$B61)+SUMIFS('الحركات الشهرية'!$K$6:$K$1005,'الحركات الشهرية'!$B$6:$B$1005,$B61,'الحركات الشهرية'!$A$6:$A$1005,$C$3))</f>
        <v/>
      </c>
      <c r="AM61" s="116" t="str">
        <f aca="false">IF($B61="","",AL61*الموظفون!$R61/cfg_DAYS_M+S61)</f>
        <v/>
      </c>
      <c r="AN61" s="156" t="str">
        <f aca="false">IF($B61="","",SUMIFS('سجل الإجازات والحالات'!$AD$6:$AD$505,'سجل الإجازات والحالات'!$B$6:$B$505,$B61))</f>
        <v/>
      </c>
    </row>
    <row r="62" customFormat="false" ht="15" hidden="false" customHeight="false" outlineLevel="0" collapsed="false">
      <c r="A62" s="106" t="str">
        <f aca="false">IF($B62="","",الموظفون!$A62)</f>
        <v/>
      </c>
      <c r="B62" s="114" t="str">
        <f aca="false">IF(الموظفون!$B62="","",الموظفون!$B62)</f>
        <v/>
      </c>
      <c r="C62" s="114" t="str">
        <f aca="false">IF($B62="","",الموظفون!$C62)</f>
        <v/>
      </c>
      <c r="D62" s="114" t="str">
        <f aca="false">IF($B62="","",الموظفون!$F62)</f>
        <v/>
      </c>
      <c r="E62" s="114" t="str">
        <f aca="false">IF($B62="","",الموظفون!$E62)</f>
        <v/>
      </c>
      <c r="F62" s="114" t="str">
        <f aca="false">IF($B62="","",IF(AK62=0,IF(AND(الموظفون!$AE62&lt;&gt;"",الموظفون!$AE62&lt;$E$3),"✖ منتهي الخدمة","⏳ لم يباشر"),IF(S62&gt;0,"✈ راتب إجازة مقدم",IF(J62=0,"⛔ بدون راتب هذا الشهر",IF(I62&gt;0,"✈ خصم "&amp;ROUND(I62,2)&amp;" يوم بدون أجر",IF(AL62&gt;0,"🌴 إجازة سنوية "&amp;ROUND(AL62,2)&amp;" يوم",IF(H62&gt;0,"⚠ غياب "&amp;ROUND(H62,2)&amp;" يوم","✔ على رأس العمل")))))))</f>
        <v/>
      </c>
      <c r="G62" s="151" t="str">
        <f aca="false">IF($B62="","",IF(AK62&gt;=DAY($F$3),cfg_DAYS_M,MIN(AK62,cfg_DAYS_M)))</f>
        <v/>
      </c>
      <c r="H62" s="151" t="str">
        <f aca="false">IF($B62="","",SUMIFS('الحركات الشهرية'!$D$6:$D$1005,'الحركات الشهرية'!$B$6:$B$1005,$B62,'الحركات الشهرية'!$A$6:$A$1005,$C$3))</f>
        <v/>
      </c>
      <c r="I62" s="151" t="str">
        <f aca="false">IF($B62="","",MIN(G62,IF(AND(AK62&gt;0,AN62&gt;=AK62),G62,AN62)+SUMIFS('الحركات الشهرية'!$E$6:$E$1005,'الحركات الشهرية'!$B$6:$B$1005,$B62,'الحركات الشهرية'!$A$6:$A$1005,$C$3)))</f>
        <v/>
      </c>
      <c r="J62" s="151" t="str">
        <f aca="false">IF($B62="","",MAX(0,G62-H62-I62))</f>
        <v/>
      </c>
      <c r="K62" s="111" t="str">
        <f aca="false">IF($B62="","",الموظفون!$L62*$J62/cfg_DAYS_M)</f>
        <v/>
      </c>
      <c r="L62" s="111" t="str">
        <f aca="false">IF($B62="","",الموظفون!$M62*$J62/cfg_DAYS_M)</f>
        <v/>
      </c>
      <c r="M62" s="111" t="str">
        <f aca="false">IF($B62="","",الموظفون!$N62*$J62/cfg_DAYS_M)</f>
        <v/>
      </c>
      <c r="N62" s="111" t="str">
        <f aca="false">IF($B62="","",الموظفون!$O62*$J62/cfg_DAYS_M)</f>
        <v/>
      </c>
      <c r="O62" s="151" t="str">
        <f aca="false">IF($B62="","",SUMIFS('الحركات الشهرية'!$F$6:$F$1005,'الحركات الشهرية'!$B$6:$B$1005,$B62,'الحركات الشهرية'!$A$6:$A$1005,$C$3))</f>
        <v/>
      </c>
      <c r="P62" s="111" t="str">
        <f aca="false">IF($B62="","",O62*(الموظفون!$P62+الموظفون!$L62*cfg_OT_P)/cfg_DAYS_M/cfg_HRS)</f>
        <v/>
      </c>
      <c r="Q62" s="111" t="str">
        <f aca="false">IF($B62="","",SUMIFS('الحركات الشهرية'!$G$6:$G$1005,'الحركات الشهرية'!$B$6:$B$1005,$B62,'الحركات الشهرية'!$A$6:$A$1005,$C$3))</f>
        <v/>
      </c>
      <c r="R62" s="111" t="str">
        <f aca="false">IF($B62="","",SUMIFS('الحركات الشهرية'!$H$6:$H$1005,'الحركات الشهرية'!$B$6:$B$1005,$B62,'الحركات الشهرية'!$A$6:$A$1005,$C$3))</f>
        <v/>
      </c>
      <c r="S62" s="111" t="str">
        <f aca="false">IF($B62="","",SUMIFS('سجل الإجازات والحالات'!$N$6:$N$505,'سجل الإجازات والحالات'!$B$6:$B$505,$B62,'سجل الإجازات والحالات'!$O$6:$O$505,$C$3))</f>
        <v/>
      </c>
      <c r="T62" s="152" t="str">
        <f aca="false">IF($B62="","",SUM(K62:N62)+SUM(P62:S62))</f>
        <v/>
      </c>
      <c r="U62" s="111" t="str">
        <f aca="false">IF($B62="","",الموظفون!$S62*IF(E62="سعودي",cfg_G_SE,cfg_G_NE)*G62/cfg_DAYS_M)</f>
        <v/>
      </c>
      <c r="V62" s="111" t="str">
        <f aca="false">IF($B62="","",SUMIFS('الحركات الشهرية'!$I$6:$I$1005,'الحركات الشهرية'!$B$6:$B$1005,$B62,'الحركات الشهرية'!$A$6:$A$1005,$C$3))</f>
        <v/>
      </c>
      <c r="W62" s="111" t="str">
        <f aca="false">IF($B62="","",SUMIFS('الحركات الشهرية'!$J$6:$J$1005,'الحركات الشهرية'!$B$6:$B$1005,$B62,'الحركات الشهرية'!$A$6:$A$1005,$C$3))</f>
        <v/>
      </c>
      <c r="X62" s="111" t="str">
        <f aca="false">IF($B62="","",SUM(U62:W62))</f>
        <v/>
      </c>
      <c r="Y62" s="153" t="str">
        <f aca="false">IF($B62="","",T62-X62)</f>
        <v/>
      </c>
      <c r="Z62" s="111" t="str">
        <f aca="false">IF($B62="","",الموظفون!$S62*IF(E62="سعودي",cfg_G_SR,cfg_G_NR)*G62/cfg_DAYS_M)</f>
        <v/>
      </c>
      <c r="AA62" s="111" t="str">
        <f aca="false">IF($B62="","",الموظفون!$Q62*(cfg_EOS_R1*(MIN(AH62,cfg_EOS_TH)-MIN(AI62,cfg_EOS_TH))+cfg_EOS_R2*(MAX(AH62-cfg_EOS_TH,0)-MAX(AI62-cfg_EOS_TH,0))))</f>
        <v/>
      </c>
      <c r="AB62" s="111" t="str">
        <f aca="false">IF($B62="","",IF(الموظفون!$T62&lt;&gt;"",الموظفون!$T62,IF(AH62&gt;=cfg_LV_TH,cfg_LV_D2,cfg_LV_D1))/cfg_DAYS_Y*AJ62*الموظفون!$R62/cfg_DAYS_M)</f>
        <v/>
      </c>
      <c r="AC62" s="111" t="str">
        <f aca="false">IF($B62="","",IF(AND(الموظفون!$U62="نعم",N(الموظفون!$W62)&gt;0),الموظفون!$V62/الموظفون!$W62*12/cfg_DAYS_Y*AJ62,0))</f>
        <v/>
      </c>
      <c r="AD62" s="111" t="str">
        <f aca="false">IF($B62="","",(IF(الموظفون!$X62&lt;&gt;"",الموظفون!$X62,IF(الموظفون!$E62="غير سعودي",cfg_IQ,0))+IF(الموظفون!$Y62&lt;&gt;"",الموظفون!$Y62,IF(الموظفون!$E62="غير سعودي",cfg_WP,0)))/12*G62/cfg_DAYS_M)</f>
        <v/>
      </c>
      <c r="AE62" s="111" t="str">
        <f aca="false">IF($B62="","",IF(الموظفون!$Z62&lt;&gt;"",الموظفون!$Z62,cfg_MED)/12*G62/cfg_DAYS_M)</f>
        <v/>
      </c>
      <c r="AF62" s="111" t="str">
        <f aca="false">IF($B62="","",N(الموظفون!$AA62)/12*G62/cfg_DAYS_M)</f>
        <v/>
      </c>
      <c r="AG62" s="154" t="str">
        <f aca="false">IF($B62="","",T62+SUM(Z62:AF62))</f>
        <v/>
      </c>
      <c r="AH62" s="155" t="str">
        <f aca="false">IF($B62="","",MAX(0,IF(OR(الموظفون!$AE62="",الموظفون!$AE62&gt;$F$3),$F$3,الموظفون!$AE62)-الموظفون!$H62+1-SUMIFS('سجل الإجازات والحالات'!$AP$6:$AP$505,'سجل الإجازات والحالات'!$B$6:$B$505,$B62))/cfg_DAYS_Y)</f>
        <v/>
      </c>
      <c r="AI62" s="155" t="str">
        <f aca="false">IF($B62="","",MAX(0,IF(OR(الموظفون!$AE62="",الموظفون!$AE62&gt;($E$3-1)),($E$3-1),الموظفون!$AE62)-الموظفون!$H62+1-SUMIFS('سجل الإجازات والحالات'!$AO$6:$AO$505,'سجل الإجازات والحالات'!$B$6:$B$505,$B62))/cfg_DAYS_Y)</f>
        <v/>
      </c>
      <c r="AJ62" s="65" t="str">
        <f aca="false">IF($B62="","",MAX(0,AK62-(SUMIFS('سجل الإجازات والحالات'!$AP$6:$AP$505,'سجل الإجازات والحالات'!$B$6:$B$505,$B62)-SUMIFS('سجل الإجازات والحالات'!$AO$6:$AO$505,'سجل الإجازات والحالات'!$B$6:$B$505,$B62))))</f>
        <v/>
      </c>
      <c r="AK62" s="65" t="str">
        <f aca="false">IF($B62="","",MAX(0,IF(OR(الموظفون!$AE62="",الموظفون!$AE62&gt;$F$3),$F$3,الموظفون!$AE62)-MAX($E$3,الموظفون!$H62)+1))</f>
        <v/>
      </c>
      <c r="AL62" s="151" t="str">
        <f aca="false">IF($B62="","",SUMIFS('سجل الإجازات والحالات'!$BB$6:$BB$505,'سجل الإجازات والحالات'!$B$6:$B$505,$B62)+SUMIFS('الحركات الشهرية'!$K$6:$K$1005,'الحركات الشهرية'!$B$6:$B$1005,$B62,'الحركات الشهرية'!$A$6:$A$1005,$C$3))</f>
        <v/>
      </c>
      <c r="AM62" s="111" t="str">
        <f aca="false">IF($B62="","",AL62*الموظفون!$R62/cfg_DAYS_M+S62)</f>
        <v/>
      </c>
      <c r="AN62" s="151" t="str">
        <f aca="false">IF($B62="","",SUMIFS('سجل الإجازات والحالات'!$AD$6:$AD$505,'سجل الإجازات والحالات'!$B$6:$B$505,$B62))</f>
        <v/>
      </c>
    </row>
    <row r="63" customFormat="false" ht="15" hidden="false" customHeight="false" outlineLevel="0" collapsed="false">
      <c r="A63" s="115" t="str">
        <f aca="false">IF($B63="","",الموظفون!$A63)</f>
        <v/>
      </c>
      <c r="B63" s="117" t="str">
        <f aca="false">IF(الموظفون!$B63="","",الموظفون!$B63)</f>
        <v/>
      </c>
      <c r="C63" s="117" t="str">
        <f aca="false">IF($B63="","",الموظفون!$C63)</f>
        <v/>
      </c>
      <c r="D63" s="117" t="str">
        <f aca="false">IF($B63="","",الموظفون!$F63)</f>
        <v/>
      </c>
      <c r="E63" s="117" t="str">
        <f aca="false">IF($B63="","",الموظفون!$E63)</f>
        <v/>
      </c>
      <c r="F63" s="117" t="str">
        <f aca="false">IF($B63="","",IF(AK63=0,IF(AND(الموظفون!$AE63&lt;&gt;"",الموظفون!$AE63&lt;$E$3),"✖ منتهي الخدمة","⏳ لم يباشر"),IF(S63&gt;0,"✈ راتب إجازة مقدم",IF(J63=0,"⛔ بدون راتب هذا الشهر",IF(I63&gt;0,"✈ خصم "&amp;ROUND(I63,2)&amp;" يوم بدون أجر",IF(AL63&gt;0,"🌴 إجازة سنوية "&amp;ROUND(AL63,2)&amp;" يوم",IF(H63&gt;0,"⚠ غياب "&amp;ROUND(H63,2)&amp;" يوم","✔ على رأس العمل")))))))</f>
        <v/>
      </c>
      <c r="G63" s="156" t="str">
        <f aca="false">IF($B63="","",IF(AK63&gt;=DAY($F$3),cfg_DAYS_M,MIN(AK63,cfg_DAYS_M)))</f>
        <v/>
      </c>
      <c r="H63" s="156" t="str">
        <f aca="false">IF($B63="","",SUMIFS('الحركات الشهرية'!$D$6:$D$1005,'الحركات الشهرية'!$B$6:$B$1005,$B63,'الحركات الشهرية'!$A$6:$A$1005,$C$3))</f>
        <v/>
      </c>
      <c r="I63" s="156" t="str">
        <f aca="false">IF($B63="","",MIN(G63,IF(AND(AK63&gt;0,AN63&gt;=AK63),G63,AN63)+SUMIFS('الحركات الشهرية'!$E$6:$E$1005,'الحركات الشهرية'!$B$6:$B$1005,$B63,'الحركات الشهرية'!$A$6:$A$1005,$C$3)))</f>
        <v/>
      </c>
      <c r="J63" s="156" t="str">
        <f aca="false">IF($B63="","",MAX(0,G63-H63-I63))</f>
        <v/>
      </c>
      <c r="K63" s="116" t="str">
        <f aca="false">IF($B63="","",الموظفون!$L63*$J63/cfg_DAYS_M)</f>
        <v/>
      </c>
      <c r="L63" s="116" t="str">
        <f aca="false">IF($B63="","",الموظفون!$M63*$J63/cfg_DAYS_M)</f>
        <v/>
      </c>
      <c r="M63" s="116" t="str">
        <f aca="false">IF($B63="","",الموظفون!$N63*$J63/cfg_DAYS_M)</f>
        <v/>
      </c>
      <c r="N63" s="116" t="str">
        <f aca="false">IF($B63="","",الموظفون!$O63*$J63/cfg_DAYS_M)</f>
        <v/>
      </c>
      <c r="O63" s="156" t="str">
        <f aca="false">IF($B63="","",SUMIFS('الحركات الشهرية'!$F$6:$F$1005,'الحركات الشهرية'!$B$6:$B$1005,$B63,'الحركات الشهرية'!$A$6:$A$1005,$C$3))</f>
        <v/>
      </c>
      <c r="P63" s="116" t="str">
        <f aca="false">IF($B63="","",O63*(الموظفون!$P63+الموظفون!$L63*cfg_OT_P)/cfg_DAYS_M/cfg_HRS)</f>
        <v/>
      </c>
      <c r="Q63" s="116" t="str">
        <f aca="false">IF($B63="","",SUMIFS('الحركات الشهرية'!$G$6:$G$1005,'الحركات الشهرية'!$B$6:$B$1005,$B63,'الحركات الشهرية'!$A$6:$A$1005,$C$3))</f>
        <v/>
      </c>
      <c r="R63" s="116" t="str">
        <f aca="false">IF($B63="","",SUMIFS('الحركات الشهرية'!$H$6:$H$1005,'الحركات الشهرية'!$B$6:$B$1005,$B63,'الحركات الشهرية'!$A$6:$A$1005,$C$3))</f>
        <v/>
      </c>
      <c r="S63" s="116" t="str">
        <f aca="false">IF($B63="","",SUMIFS('سجل الإجازات والحالات'!$N$6:$N$505,'سجل الإجازات والحالات'!$B$6:$B$505,$B63,'سجل الإجازات والحالات'!$O$6:$O$505,$C$3))</f>
        <v/>
      </c>
      <c r="T63" s="157" t="str">
        <f aca="false">IF($B63="","",SUM(K63:N63)+SUM(P63:S63))</f>
        <v/>
      </c>
      <c r="U63" s="116" t="str">
        <f aca="false">IF($B63="","",الموظفون!$S63*IF(E63="سعودي",cfg_G_SE,cfg_G_NE)*G63/cfg_DAYS_M)</f>
        <v/>
      </c>
      <c r="V63" s="116" t="str">
        <f aca="false">IF($B63="","",SUMIFS('الحركات الشهرية'!$I$6:$I$1005,'الحركات الشهرية'!$B$6:$B$1005,$B63,'الحركات الشهرية'!$A$6:$A$1005,$C$3))</f>
        <v/>
      </c>
      <c r="W63" s="116" t="str">
        <f aca="false">IF($B63="","",SUMIFS('الحركات الشهرية'!$J$6:$J$1005,'الحركات الشهرية'!$B$6:$B$1005,$B63,'الحركات الشهرية'!$A$6:$A$1005,$C$3))</f>
        <v/>
      </c>
      <c r="X63" s="116" t="str">
        <f aca="false">IF($B63="","",SUM(U63:W63))</f>
        <v/>
      </c>
      <c r="Y63" s="158" t="str">
        <f aca="false">IF($B63="","",T63-X63)</f>
        <v/>
      </c>
      <c r="Z63" s="116" t="str">
        <f aca="false">IF($B63="","",الموظفون!$S63*IF(E63="سعودي",cfg_G_SR,cfg_G_NR)*G63/cfg_DAYS_M)</f>
        <v/>
      </c>
      <c r="AA63" s="116" t="str">
        <f aca="false">IF($B63="","",الموظفون!$Q63*(cfg_EOS_R1*(MIN(AH63,cfg_EOS_TH)-MIN(AI63,cfg_EOS_TH))+cfg_EOS_R2*(MAX(AH63-cfg_EOS_TH,0)-MAX(AI63-cfg_EOS_TH,0))))</f>
        <v/>
      </c>
      <c r="AB63" s="116" t="str">
        <f aca="false">IF($B63="","",IF(الموظفون!$T63&lt;&gt;"",الموظفون!$T63,IF(AH63&gt;=cfg_LV_TH,cfg_LV_D2,cfg_LV_D1))/cfg_DAYS_Y*AJ63*الموظفون!$R63/cfg_DAYS_M)</f>
        <v/>
      </c>
      <c r="AC63" s="116" t="str">
        <f aca="false">IF($B63="","",IF(AND(الموظفون!$U63="نعم",N(الموظفون!$W63)&gt;0),الموظفون!$V63/الموظفون!$W63*12/cfg_DAYS_Y*AJ63,0))</f>
        <v/>
      </c>
      <c r="AD63" s="116" t="str">
        <f aca="false">IF($B63="","",(IF(الموظفون!$X63&lt;&gt;"",الموظفون!$X63,IF(الموظفون!$E63="غير سعودي",cfg_IQ,0))+IF(الموظفون!$Y63&lt;&gt;"",الموظفون!$Y63,IF(الموظفون!$E63="غير سعودي",cfg_WP,0)))/12*G63/cfg_DAYS_M)</f>
        <v/>
      </c>
      <c r="AE63" s="116" t="str">
        <f aca="false">IF($B63="","",IF(الموظفون!$Z63&lt;&gt;"",الموظفون!$Z63,cfg_MED)/12*G63/cfg_DAYS_M)</f>
        <v/>
      </c>
      <c r="AF63" s="116" t="str">
        <f aca="false">IF($B63="","",N(الموظفون!$AA63)/12*G63/cfg_DAYS_M)</f>
        <v/>
      </c>
      <c r="AG63" s="159" t="str">
        <f aca="false">IF($B63="","",T63+SUM(Z63:AF63))</f>
        <v/>
      </c>
      <c r="AH63" s="160" t="str">
        <f aca="false">IF($B63="","",MAX(0,IF(OR(الموظفون!$AE63="",الموظفون!$AE63&gt;$F$3),$F$3,الموظفون!$AE63)-الموظفون!$H63+1-SUMIFS('سجل الإجازات والحالات'!$AP$6:$AP$505,'سجل الإجازات والحالات'!$B$6:$B$505,$B63))/cfg_DAYS_Y)</f>
        <v/>
      </c>
      <c r="AI63" s="160" t="str">
        <f aca="false">IF($B63="","",MAX(0,IF(OR(الموظفون!$AE63="",الموظفون!$AE63&gt;($E$3-1)),($E$3-1),الموظفون!$AE63)-الموظفون!$H63+1-SUMIFS('سجل الإجازات والحالات'!$AO$6:$AO$505,'سجل الإجازات والحالات'!$B$6:$B$505,$B63))/cfg_DAYS_Y)</f>
        <v/>
      </c>
      <c r="AJ63" s="133" t="str">
        <f aca="false">IF($B63="","",MAX(0,AK63-(SUMIFS('سجل الإجازات والحالات'!$AP$6:$AP$505,'سجل الإجازات والحالات'!$B$6:$B$505,$B63)-SUMIFS('سجل الإجازات والحالات'!$AO$6:$AO$505,'سجل الإجازات والحالات'!$B$6:$B$505,$B63))))</f>
        <v/>
      </c>
      <c r="AK63" s="133" t="str">
        <f aca="false">IF($B63="","",MAX(0,IF(OR(الموظفون!$AE63="",الموظفون!$AE63&gt;$F$3),$F$3,الموظفون!$AE63)-MAX($E$3,الموظفون!$H63)+1))</f>
        <v/>
      </c>
      <c r="AL63" s="156" t="str">
        <f aca="false">IF($B63="","",SUMIFS('سجل الإجازات والحالات'!$BB$6:$BB$505,'سجل الإجازات والحالات'!$B$6:$B$505,$B63)+SUMIFS('الحركات الشهرية'!$K$6:$K$1005,'الحركات الشهرية'!$B$6:$B$1005,$B63,'الحركات الشهرية'!$A$6:$A$1005,$C$3))</f>
        <v/>
      </c>
      <c r="AM63" s="116" t="str">
        <f aca="false">IF($B63="","",AL63*الموظفون!$R63/cfg_DAYS_M+S63)</f>
        <v/>
      </c>
      <c r="AN63" s="156" t="str">
        <f aca="false">IF($B63="","",SUMIFS('سجل الإجازات والحالات'!$AD$6:$AD$505,'سجل الإجازات والحالات'!$B$6:$B$505,$B63))</f>
        <v/>
      </c>
    </row>
    <row r="64" customFormat="false" ht="15" hidden="false" customHeight="false" outlineLevel="0" collapsed="false">
      <c r="A64" s="106" t="str">
        <f aca="false">IF($B64="","",الموظفون!$A64)</f>
        <v/>
      </c>
      <c r="B64" s="114" t="str">
        <f aca="false">IF(الموظفون!$B64="","",الموظفون!$B64)</f>
        <v/>
      </c>
      <c r="C64" s="114" t="str">
        <f aca="false">IF($B64="","",الموظفون!$C64)</f>
        <v/>
      </c>
      <c r="D64" s="114" t="str">
        <f aca="false">IF($B64="","",الموظفون!$F64)</f>
        <v/>
      </c>
      <c r="E64" s="114" t="str">
        <f aca="false">IF($B64="","",الموظفون!$E64)</f>
        <v/>
      </c>
      <c r="F64" s="114" t="str">
        <f aca="false">IF($B64="","",IF(AK64=0,IF(AND(الموظفون!$AE64&lt;&gt;"",الموظفون!$AE64&lt;$E$3),"✖ منتهي الخدمة","⏳ لم يباشر"),IF(S64&gt;0,"✈ راتب إجازة مقدم",IF(J64=0,"⛔ بدون راتب هذا الشهر",IF(I64&gt;0,"✈ خصم "&amp;ROUND(I64,2)&amp;" يوم بدون أجر",IF(AL64&gt;0,"🌴 إجازة سنوية "&amp;ROUND(AL64,2)&amp;" يوم",IF(H64&gt;0,"⚠ غياب "&amp;ROUND(H64,2)&amp;" يوم","✔ على رأس العمل")))))))</f>
        <v/>
      </c>
      <c r="G64" s="151" t="str">
        <f aca="false">IF($B64="","",IF(AK64&gt;=DAY($F$3),cfg_DAYS_M,MIN(AK64,cfg_DAYS_M)))</f>
        <v/>
      </c>
      <c r="H64" s="151" t="str">
        <f aca="false">IF($B64="","",SUMIFS('الحركات الشهرية'!$D$6:$D$1005,'الحركات الشهرية'!$B$6:$B$1005,$B64,'الحركات الشهرية'!$A$6:$A$1005,$C$3))</f>
        <v/>
      </c>
      <c r="I64" s="151" t="str">
        <f aca="false">IF($B64="","",MIN(G64,IF(AND(AK64&gt;0,AN64&gt;=AK64),G64,AN64)+SUMIFS('الحركات الشهرية'!$E$6:$E$1005,'الحركات الشهرية'!$B$6:$B$1005,$B64,'الحركات الشهرية'!$A$6:$A$1005,$C$3)))</f>
        <v/>
      </c>
      <c r="J64" s="151" t="str">
        <f aca="false">IF($B64="","",MAX(0,G64-H64-I64))</f>
        <v/>
      </c>
      <c r="K64" s="111" t="str">
        <f aca="false">IF($B64="","",الموظفون!$L64*$J64/cfg_DAYS_M)</f>
        <v/>
      </c>
      <c r="L64" s="111" t="str">
        <f aca="false">IF($B64="","",الموظفون!$M64*$J64/cfg_DAYS_M)</f>
        <v/>
      </c>
      <c r="M64" s="111" t="str">
        <f aca="false">IF($B64="","",الموظفون!$N64*$J64/cfg_DAYS_M)</f>
        <v/>
      </c>
      <c r="N64" s="111" t="str">
        <f aca="false">IF($B64="","",الموظفون!$O64*$J64/cfg_DAYS_M)</f>
        <v/>
      </c>
      <c r="O64" s="151" t="str">
        <f aca="false">IF($B64="","",SUMIFS('الحركات الشهرية'!$F$6:$F$1005,'الحركات الشهرية'!$B$6:$B$1005,$B64,'الحركات الشهرية'!$A$6:$A$1005,$C$3))</f>
        <v/>
      </c>
      <c r="P64" s="111" t="str">
        <f aca="false">IF($B64="","",O64*(الموظفون!$P64+الموظفون!$L64*cfg_OT_P)/cfg_DAYS_M/cfg_HRS)</f>
        <v/>
      </c>
      <c r="Q64" s="111" t="str">
        <f aca="false">IF($B64="","",SUMIFS('الحركات الشهرية'!$G$6:$G$1005,'الحركات الشهرية'!$B$6:$B$1005,$B64,'الحركات الشهرية'!$A$6:$A$1005,$C$3))</f>
        <v/>
      </c>
      <c r="R64" s="111" t="str">
        <f aca="false">IF($B64="","",SUMIFS('الحركات الشهرية'!$H$6:$H$1005,'الحركات الشهرية'!$B$6:$B$1005,$B64,'الحركات الشهرية'!$A$6:$A$1005,$C$3))</f>
        <v/>
      </c>
      <c r="S64" s="111" t="str">
        <f aca="false">IF($B64="","",SUMIFS('سجل الإجازات والحالات'!$N$6:$N$505,'سجل الإجازات والحالات'!$B$6:$B$505,$B64,'سجل الإجازات والحالات'!$O$6:$O$505,$C$3))</f>
        <v/>
      </c>
      <c r="T64" s="152" t="str">
        <f aca="false">IF($B64="","",SUM(K64:N64)+SUM(P64:S64))</f>
        <v/>
      </c>
      <c r="U64" s="111" t="str">
        <f aca="false">IF($B64="","",الموظفون!$S64*IF(E64="سعودي",cfg_G_SE,cfg_G_NE)*G64/cfg_DAYS_M)</f>
        <v/>
      </c>
      <c r="V64" s="111" t="str">
        <f aca="false">IF($B64="","",SUMIFS('الحركات الشهرية'!$I$6:$I$1005,'الحركات الشهرية'!$B$6:$B$1005,$B64,'الحركات الشهرية'!$A$6:$A$1005,$C$3))</f>
        <v/>
      </c>
      <c r="W64" s="111" t="str">
        <f aca="false">IF($B64="","",SUMIFS('الحركات الشهرية'!$J$6:$J$1005,'الحركات الشهرية'!$B$6:$B$1005,$B64,'الحركات الشهرية'!$A$6:$A$1005,$C$3))</f>
        <v/>
      </c>
      <c r="X64" s="111" t="str">
        <f aca="false">IF($B64="","",SUM(U64:W64))</f>
        <v/>
      </c>
      <c r="Y64" s="153" t="str">
        <f aca="false">IF($B64="","",T64-X64)</f>
        <v/>
      </c>
      <c r="Z64" s="111" t="str">
        <f aca="false">IF($B64="","",الموظفون!$S64*IF(E64="سعودي",cfg_G_SR,cfg_G_NR)*G64/cfg_DAYS_M)</f>
        <v/>
      </c>
      <c r="AA64" s="111" t="str">
        <f aca="false">IF($B64="","",الموظفون!$Q64*(cfg_EOS_R1*(MIN(AH64,cfg_EOS_TH)-MIN(AI64,cfg_EOS_TH))+cfg_EOS_R2*(MAX(AH64-cfg_EOS_TH,0)-MAX(AI64-cfg_EOS_TH,0))))</f>
        <v/>
      </c>
      <c r="AB64" s="111" t="str">
        <f aca="false">IF($B64="","",IF(الموظفون!$T64&lt;&gt;"",الموظفون!$T64,IF(AH64&gt;=cfg_LV_TH,cfg_LV_D2,cfg_LV_D1))/cfg_DAYS_Y*AJ64*الموظفون!$R64/cfg_DAYS_M)</f>
        <v/>
      </c>
      <c r="AC64" s="111" t="str">
        <f aca="false">IF($B64="","",IF(AND(الموظفون!$U64="نعم",N(الموظفون!$W64)&gt;0),الموظفون!$V64/الموظفون!$W64*12/cfg_DAYS_Y*AJ64,0))</f>
        <v/>
      </c>
      <c r="AD64" s="111" t="str">
        <f aca="false">IF($B64="","",(IF(الموظفون!$X64&lt;&gt;"",الموظفون!$X64,IF(الموظفون!$E64="غير سعودي",cfg_IQ,0))+IF(الموظفون!$Y64&lt;&gt;"",الموظفون!$Y64,IF(الموظفون!$E64="غير سعودي",cfg_WP,0)))/12*G64/cfg_DAYS_M)</f>
        <v/>
      </c>
      <c r="AE64" s="111" t="str">
        <f aca="false">IF($B64="","",IF(الموظفون!$Z64&lt;&gt;"",الموظفون!$Z64,cfg_MED)/12*G64/cfg_DAYS_M)</f>
        <v/>
      </c>
      <c r="AF64" s="111" t="str">
        <f aca="false">IF($B64="","",N(الموظفون!$AA64)/12*G64/cfg_DAYS_M)</f>
        <v/>
      </c>
      <c r="AG64" s="154" t="str">
        <f aca="false">IF($B64="","",T64+SUM(Z64:AF64))</f>
        <v/>
      </c>
      <c r="AH64" s="155" t="str">
        <f aca="false">IF($B64="","",MAX(0,IF(OR(الموظفون!$AE64="",الموظفون!$AE64&gt;$F$3),$F$3,الموظفون!$AE64)-الموظفون!$H64+1-SUMIFS('سجل الإجازات والحالات'!$AP$6:$AP$505,'سجل الإجازات والحالات'!$B$6:$B$505,$B64))/cfg_DAYS_Y)</f>
        <v/>
      </c>
      <c r="AI64" s="155" t="str">
        <f aca="false">IF($B64="","",MAX(0,IF(OR(الموظفون!$AE64="",الموظفون!$AE64&gt;($E$3-1)),($E$3-1),الموظفون!$AE64)-الموظفون!$H64+1-SUMIFS('سجل الإجازات والحالات'!$AO$6:$AO$505,'سجل الإجازات والحالات'!$B$6:$B$505,$B64))/cfg_DAYS_Y)</f>
        <v/>
      </c>
      <c r="AJ64" s="65" t="str">
        <f aca="false">IF($B64="","",MAX(0,AK64-(SUMIFS('سجل الإجازات والحالات'!$AP$6:$AP$505,'سجل الإجازات والحالات'!$B$6:$B$505,$B64)-SUMIFS('سجل الإجازات والحالات'!$AO$6:$AO$505,'سجل الإجازات والحالات'!$B$6:$B$505,$B64))))</f>
        <v/>
      </c>
      <c r="AK64" s="65" t="str">
        <f aca="false">IF($B64="","",MAX(0,IF(OR(الموظفون!$AE64="",الموظفون!$AE64&gt;$F$3),$F$3,الموظفون!$AE64)-MAX($E$3,الموظفون!$H64)+1))</f>
        <v/>
      </c>
      <c r="AL64" s="151" t="str">
        <f aca="false">IF($B64="","",SUMIFS('سجل الإجازات والحالات'!$BB$6:$BB$505,'سجل الإجازات والحالات'!$B$6:$B$505,$B64)+SUMIFS('الحركات الشهرية'!$K$6:$K$1005,'الحركات الشهرية'!$B$6:$B$1005,$B64,'الحركات الشهرية'!$A$6:$A$1005,$C$3))</f>
        <v/>
      </c>
      <c r="AM64" s="111" t="str">
        <f aca="false">IF($B64="","",AL64*الموظفون!$R64/cfg_DAYS_M+S64)</f>
        <v/>
      </c>
      <c r="AN64" s="151" t="str">
        <f aca="false">IF($B64="","",SUMIFS('سجل الإجازات والحالات'!$AD$6:$AD$505,'سجل الإجازات والحالات'!$B$6:$B$505,$B64))</f>
        <v/>
      </c>
    </row>
    <row r="65" customFormat="false" ht="15" hidden="false" customHeight="false" outlineLevel="0" collapsed="false">
      <c r="A65" s="115" t="str">
        <f aca="false">IF($B65="","",الموظفون!$A65)</f>
        <v/>
      </c>
      <c r="B65" s="117" t="str">
        <f aca="false">IF(الموظفون!$B65="","",الموظفون!$B65)</f>
        <v/>
      </c>
      <c r="C65" s="117" t="str">
        <f aca="false">IF($B65="","",الموظفون!$C65)</f>
        <v/>
      </c>
      <c r="D65" s="117" t="str">
        <f aca="false">IF($B65="","",الموظفون!$F65)</f>
        <v/>
      </c>
      <c r="E65" s="117" t="str">
        <f aca="false">IF($B65="","",الموظفون!$E65)</f>
        <v/>
      </c>
      <c r="F65" s="117" t="str">
        <f aca="false">IF($B65="","",IF(AK65=0,IF(AND(الموظفون!$AE65&lt;&gt;"",الموظفون!$AE65&lt;$E$3),"✖ منتهي الخدمة","⏳ لم يباشر"),IF(S65&gt;0,"✈ راتب إجازة مقدم",IF(J65=0,"⛔ بدون راتب هذا الشهر",IF(I65&gt;0,"✈ خصم "&amp;ROUND(I65,2)&amp;" يوم بدون أجر",IF(AL65&gt;0,"🌴 إجازة سنوية "&amp;ROUND(AL65,2)&amp;" يوم",IF(H65&gt;0,"⚠ غياب "&amp;ROUND(H65,2)&amp;" يوم","✔ على رأس العمل")))))))</f>
        <v/>
      </c>
      <c r="G65" s="156" t="str">
        <f aca="false">IF($B65="","",IF(AK65&gt;=DAY($F$3),cfg_DAYS_M,MIN(AK65,cfg_DAYS_M)))</f>
        <v/>
      </c>
      <c r="H65" s="156" t="str">
        <f aca="false">IF($B65="","",SUMIFS('الحركات الشهرية'!$D$6:$D$1005,'الحركات الشهرية'!$B$6:$B$1005,$B65,'الحركات الشهرية'!$A$6:$A$1005,$C$3))</f>
        <v/>
      </c>
      <c r="I65" s="156" t="str">
        <f aca="false">IF($B65="","",MIN(G65,IF(AND(AK65&gt;0,AN65&gt;=AK65),G65,AN65)+SUMIFS('الحركات الشهرية'!$E$6:$E$1005,'الحركات الشهرية'!$B$6:$B$1005,$B65,'الحركات الشهرية'!$A$6:$A$1005,$C$3)))</f>
        <v/>
      </c>
      <c r="J65" s="156" t="str">
        <f aca="false">IF($B65="","",MAX(0,G65-H65-I65))</f>
        <v/>
      </c>
      <c r="K65" s="116" t="str">
        <f aca="false">IF($B65="","",الموظفون!$L65*$J65/cfg_DAYS_M)</f>
        <v/>
      </c>
      <c r="L65" s="116" t="str">
        <f aca="false">IF($B65="","",الموظفون!$M65*$J65/cfg_DAYS_M)</f>
        <v/>
      </c>
      <c r="M65" s="116" t="str">
        <f aca="false">IF($B65="","",الموظفون!$N65*$J65/cfg_DAYS_M)</f>
        <v/>
      </c>
      <c r="N65" s="116" t="str">
        <f aca="false">IF($B65="","",الموظفون!$O65*$J65/cfg_DAYS_M)</f>
        <v/>
      </c>
      <c r="O65" s="156" t="str">
        <f aca="false">IF($B65="","",SUMIFS('الحركات الشهرية'!$F$6:$F$1005,'الحركات الشهرية'!$B$6:$B$1005,$B65,'الحركات الشهرية'!$A$6:$A$1005,$C$3))</f>
        <v/>
      </c>
      <c r="P65" s="116" t="str">
        <f aca="false">IF($B65="","",O65*(الموظفون!$P65+الموظفون!$L65*cfg_OT_P)/cfg_DAYS_M/cfg_HRS)</f>
        <v/>
      </c>
      <c r="Q65" s="116" t="str">
        <f aca="false">IF($B65="","",SUMIFS('الحركات الشهرية'!$G$6:$G$1005,'الحركات الشهرية'!$B$6:$B$1005,$B65,'الحركات الشهرية'!$A$6:$A$1005,$C$3))</f>
        <v/>
      </c>
      <c r="R65" s="116" t="str">
        <f aca="false">IF($B65="","",SUMIFS('الحركات الشهرية'!$H$6:$H$1005,'الحركات الشهرية'!$B$6:$B$1005,$B65,'الحركات الشهرية'!$A$6:$A$1005,$C$3))</f>
        <v/>
      </c>
      <c r="S65" s="116" t="str">
        <f aca="false">IF($B65="","",SUMIFS('سجل الإجازات والحالات'!$N$6:$N$505,'سجل الإجازات والحالات'!$B$6:$B$505,$B65,'سجل الإجازات والحالات'!$O$6:$O$505,$C$3))</f>
        <v/>
      </c>
      <c r="T65" s="157" t="str">
        <f aca="false">IF($B65="","",SUM(K65:N65)+SUM(P65:S65))</f>
        <v/>
      </c>
      <c r="U65" s="116" t="str">
        <f aca="false">IF($B65="","",الموظفون!$S65*IF(E65="سعودي",cfg_G_SE,cfg_G_NE)*G65/cfg_DAYS_M)</f>
        <v/>
      </c>
      <c r="V65" s="116" t="str">
        <f aca="false">IF($B65="","",SUMIFS('الحركات الشهرية'!$I$6:$I$1005,'الحركات الشهرية'!$B$6:$B$1005,$B65,'الحركات الشهرية'!$A$6:$A$1005,$C$3))</f>
        <v/>
      </c>
      <c r="W65" s="116" t="str">
        <f aca="false">IF($B65="","",SUMIFS('الحركات الشهرية'!$J$6:$J$1005,'الحركات الشهرية'!$B$6:$B$1005,$B65,'الحركات الشهرية'!$A$6:$A$1005,$C$3))</f>
        <v/>
      </c>
      <c r="X65" s="116" t="str">
        <f aca="false">IF($B65="","",SUM(U65:W65))</f>
        <v/>
      </c>
      <c r="Y65" s="158" t="str">
        <f aca="false">IF($B65="","",T65-X65)</f>
        <v/>
      </c>
      <c r="Z65" s="116" t="str">
        <f aca="false">IF($B65="","",الموظفون!$S65*IF(E65="سعودي",cfg_G_SR,cfg_G_NR)*G65/cfg_DAYS_M)</f>
        <v/>
      </c>
      <c r="AA65" s="116" t="str">
        <f aca="false">IF($B65="","",الموظفون!$Q65*(cfg_EOS_R1*(MIN(AH65,cfg_EOS_TH)-MIN(AI65,cfg_EOS_TH))+cfg_EOS_R2*(MAX(AH65-cfg_EOS_TH,0)-MAX(AI65-cfg_EOS_TH,0))))</f>
        <v/>
      </c>
      <c r="AB65" s="116" t="str">
        <f aca="false">IF($B65="","",IF(الموظفون!$T65&lt;&gt;"",الموظفون!$T65,IF(AH65&gt;=cfg_LV_TH,cfg_LV_D2,cfg_LV_D1))/cfg_DAYS_Y*AJ65*الموظفون!$R65/cfg_DAYS_M)</f>
        <v/>
      </c>
      <c r="AC65" s="116" t="str">
        <f aca="false">IF($B65="","",IF(AND(الموظفون!$U65="نعم",N(الموظفون!$W65)&gt;0),الموظفون!$V65/الموظفون!$W65*12/cfg_DAYS_Y*AJ65,0))</f>
        <v/>
      </c>
      <c r="AD65" s="116" t="str">
        <f aca="false">IF($B65="","",(IF(الموظفون!$X65&lt;&gt;"",الموظفون!$X65,IF(الموظفون!$E65="غير سعودي",cfg_IQ,0))+IF(الموظفون!$Y65&lt;&gt;"",الموظفون!$Y65,IF(الموظفون!$E65="غير سعودي",cfg_WP,0)))/12*G65/cfg_DAYS_M)</f>
        <v/>
      </c>
      <c r="AE65" s="116" t="str">
        <f aca="false">IF($B65="","",IF(الموظفون!$Z65&lt;&gt;"",الموظفون!$Z65,cfg_MED)/12*G65/cfg_DAYS_M)</f>
        <v/>
      </c>
      <c r="AF65" s="116" t="str">
        <f aca="false">IF($B65="","",N(الموظفون!$AA65)/12*G65/cfg_DAYS_M)</f>
        <v/>
      </c>
      <c r="AG65" s="159" t="str">
        <f aca="false">IF($B65="","",T65+SUM(Z65:AF65))</f>
        <v/>
      </c>
      <c r="AH65" s="160" t="str">
        <f aca="false">IF($B65="","",MAX(0,IF(OR(الموظفون!$AE65="",الموظفون!$AE65&gt;$F$3),$F$3,الموظفون!$AE65)-الموظفون!$H65+1-SUMIFS('سجل الإجازات والحالات'!$AP$6:$AP$505,'سجل الإجازات والحالات'!$B$6:$B$505,$B65))/cfg_DAYS_Y)</f>
        <v/>
      </c>
      <c r="AI65" s="160" t="str">
        <f aca="false">IF($B65="","",MAX(0,IF(OR(الموظفون!$AE65="",الموظفون!$AE65&gt;($E$3-1)),($E$3-1),الموظفون!$AE65)-الموظفون!$H65+1-SUMIFS('سجل الإجازات والحالات'!$AO$6:$AO$505,'سجل الإجازات والحالات'!$B$6:$B$505,$B65))/cfg_DAYS_Y)</f>
        <v/>
      </c>
      <c r="AJ65" s="133" t="str">
        <f aca="false">IF($B65="","",MAX(0,AK65-(SUMIFS('سجل الإجازات والحالات'!$AP$6:$AP$505,'سجل الإجازات والحالات'!$B$6:$B$505,$B65)-SUMIFS('سجل الإجازات والحالات'!$AO$6:$AO$505,'سجل الإجازات والحالات'!$B$6:$B$505,$B65))))</f>
        <v/>
      </c>
      <c r="AK65" s="133" t="str">
        <f aca="false">IF($B65="","",MAX(0,IF(OR(الموظفون!$AE65="",الموظفون!$AE65&gt;$F$3),$F$3,الموظفون!$AE65)-MAX($E$3,الموظفون!$H65)+1))</f>
        <v/>
      </c>
      <c r="AL65" s="156" t="str">
        <f aca="false">IF($B65="","",SUMIFS('سجل الإجازات والحالات'!$BB$6:$BB$505,'سجل الإجازات والحالات'!$B$6:$B$505,$B65)+SUMIFS('الحركات الشهرية'!$K$6:$K$1005,'الحركات الشهرية'!$B$6:$B$1005,$B65,'الحركات الشهرية'!$A$6:$A$1005,$C$3))</f>
        <v/>
      </c>
      <c r="AM65" s="116" t="str">
        <f aca="false">IF($B65="","",AL65*الموظفون!$R65/cfg_DAYS_M+S65)</f>
        <v/>
      </c>
      <c r="AN65" s="156" t="str">
        <f aca="false">IF($B65="","",SUMIFS('سجل الإجازات والحالات'!$AD$6:$AD$505,'سجل الإجازات والحالات'!$B$6:$B$505,$B65))</f>
        <v/>
      </c>
    </row>
    <row r="66" customFormat="false" ht="15" hidden="false" customHeight="false" outlineLevel="0" collapsed="false">
      <c r="A66" s="106" t="str">
        <f aca="false">IF($B66="","",الموظفون!$A66)</f>
        <v/>
      </c>
      <c r="B66" s="114" t="str">
        <f aca="false">IF(الموظفون!$B66="","",الموظفون!$B66)</f>
        <v/>
      </c>
      <c r="C66" s="114" t="str">
        <f aca="false">IF($B66="","",الموظفون!$C66)</f>
        <v/>
      </c>
      <c r="D66" s="114" t="str">
        <f aca="false">IF($B66="","",الموظفون!$F66)</f>
        <v/>
      </c>
      <c r="E66" s="114" t="str">
        <f aca="false">IF($B66="","",الموظفون!$E66)</f>
        <v/>
      </c>
      <c r="F66" s="114" t="str">
        <f aca="false">IF($B66="","",IF(AK66=0,IF(AND(الموظفون!$AE66&lt;&gt;"",الموظفون!$AE66&lt;$E$3),"✖ منتهي الخدمة","⏳ لم يباشر"),IF(S66&gt;0,"✈ راتب إجازة مقدم",IF(J66=0,"⛔ بدون راتب هذا الشهر",IF(I66&gt;0,"✈ خصم "&amp;ROUND(I66,2)&amp;" يوم بدون أجر",IF(AL66&gt;0,"🌴 إجازة سنوية "&amp;ROUND(AL66,2)&amp;" يوم",IF(H66&gt;0,"⚠ غياب "&amp;ROUND(H66,2)&amp;" يوم","✔ على رأس العمل")))))))</f>
        <v/>
      </c>
      <c r="G66" s="151" t="str">
        <f aca="false">IF($B66="","",IF(AK66&gt;=DAY($F$3),cfg_DAYS_M,MIN(AK66,cfg_DAYS_M)))</f>
        <v/>
      </c>
      <c r="H66" s="151" t="str">
        <f aca="false">IF($B66="","",SUMIFS('الحركات الشهرية'!$D$6:$D$1005,'الحركات الشهرية'!$B$6:$B$1005,$B66,'الحركات الشهرية'!$A$6:$A$1005,$C$3))</f>
        <v/>
      </c>
      <c r="I66" s="151" t="str">
        <f aca="false">IF($B66="","",MIN(G66,IF(AND(AK66&gt;0,AN66&gt;=AK66),G66,AN66)+SUMIFS('الحركات الشهرية'!$E$6:$E$1005,'الحركات الشهرية'!$B$6:$B$1005,$B66,'الحركات الشهرية'!$A$6:$A$1005,$C$3)))</f>
        <v/>
      </c>
      <c r="J66" s="151" t="str">
        <f aca="false">IF($B66="","",MAX(0,G66-H66-I66))</f>
        <v/>
      </c>
      <c r="K66" s="111" t="str">
        <f aca="false">IF($B66="","",الموظفون!$L66*$J66/cfg_DAYS_M)</f>
        <v/>
      </c>
      <c r="L66" s="111" t="str">
        <f aca="false">IF($B66="","",الموظفون!$M66*$J66/cfg_DAYS_M)</f>
        <v/>
      </c>
      <c r="M66" s="111" t="str">
        <f aca="false">IF($B66="","",الموظفون!$N66*$J66/cfg_DAYS_M)</f>
        <v/>
      </c>
      <c r="N66" s="111" t="str">
        <f aca="false">IF($B66="","",الموظفون!$O66*$J66/cfg_DAYS_M)</f>
        <v/>
      </c>
      <c r="O66" s="151" t="str">
        <f aca="false">IF($B66="","",SUMIFS('الحركات الشهرية'!$F$6:$F$1005,'الحركات الشهرية'!$B$6:$B$1005,$B66,'الحركات الشهرية'!$A$6:$A$1005,$C$3))</f>
        <v/>
      </c>
      <c r="P66" s="111" t="str">
        <f aca="false">IF($B66="","",O66*(الموظفون!$P66+الموظفون!$L66*cfg_OT_P)/cfg_DAYS_M/cfg_HRS)</f>
        <v/>
      </c>
      <c r="Q66" s="111" t="str">
        <f aca="false">IF($B66="","",SUMIFS('الحركات الشهرية'!$G$6:$G$1005,'الحركات الشهرية'!$B$6:$B$1005,$B66,'الحركات الشهرية'!$A$6:$A$1005,$C$3))</f>
        <v/>
      </c>
      <c r="R66" s="111" t="str">
        <f aca="false">IF($B66="","",SUMIFS('الحركات الشهرية'!$H$6:$H$1005,'الحركات الشهرية'!$B$6:$B$1005,$B66,'الحركات الشهرية'!$A$6:$A$1005,$C$3))</f>
        <v/>
      </c>
      <c r="S66" s="111" t="str">
        <f aca="false">IF($B66="","",SUMIFS('سجل الإجازات والحالات'!$N$6:$N$505,'سجل الإجازات والحالات'!$B$6:$B$505,$B66,'سجل الإجازات والحالات'!$O$6:$O$505,$C$3))</f>
        <v/>
      </c>
      <c r="T66" s="152" t="str">
        <f aca="false">IF($B66="","",SUM(K66:N66)+SUM(P66:S66))</f>
        <v/>
      </c>
      <c r="U66" s="111" t="str">
        <f aca="false">IF($B66="","",الموظفون!$S66*IF(E66="سعودي",cfg_G_SE,cfg_G_NE)*G66/cfg_DAYS_M)</f>
        <v/>
      </c>
      <c r="V66" s="111" t="str">
        <f aca="false">IF($B66="","",SUMIFS('الحركات الشهرية'!$I$6:$I$1005,'الحركات الشهرية'!$B$6:$B$1005,$B66,'الحركات الشهرية'!$A$6:$A$1005,$C$3))</f>
        <v/>
      </c>
      <c r="W66" s="111" t="str">
        <f aca="false">IF($B66="","",SUMIFS('الحركات الشهرية'!$J$6:$J$1005,'الحركات الشهرية'!$B$6:$B$1005,$B66,'الحركات الشهرية'!$A$6:$A$1005,$C$3))</f>
        <v/>
      </c>
      <c r="X66" s="111" t="str">
        <f aca="false">IF($B66="","",SUM(U66:W66))</f>
        <v/>
      </c>
      <c r="Y66" s="153" t="str">
        <f aca="false">IF($B66="","",T66-X66)</f>
        <v/>
      </c>
      <c r="Z66" s="111" t="str">
        <f aca="false">IF($B66="","",الموظفون!$S66*IF(E66="سعودي",cfg_G_SR,cfg_G_NR)*G66/cfg_DAYS_M)</f>
        <v/>
      </c>
      <c r="AA66" s="111" t="str">
        <f aca="false">IF($B66="","",الموظفون!$Q66*(cfg_EOS_R1*(MIN(AH66,cfg_EOS_TH)-MIN(AI66,cfg_EOS_TH))+cfg_EOS_R2*(MAX(AH66-cfg_EOS_TH,0)-MAX(AI66-cfg_EOS_TH,0))))</f>
        <v/>
      </c>
      <c r="AB66" s="111" t="str">
        <f aca="false">IF($B66="","",IF(الموظفون!$T66&lt;&gt;"",الموظفون!$T66,IF(AH66&gt;=cfg_LV_TH,cfg_LV_D2,cfg_LV_D1))/cfg_DAYS_Y*AJ66*الموظفون!$R66/cfg_DAYS_M)</f>
        <v/>
      </c>
      <c r="AC66" s="111" t="str">
        <f aca="false">IF($B66="","",IF(AND(الموظفون!$U66="نعم",N(الموظفون!$W66)&gt;0),الموظفون!$V66/الموظفون!$W66*12/cfg_DAYS_Y*AJ66,0))</f>
        <v/>
      </c>
      <c r="AD66" s="111" t="str">
        <f aca="false">IF($B66="","",(IF(الموظفون!$X66&lt;&gt;"",الموظفون!$X66,IF(الموظفون!$E66="غير سعودي",cfg_IQ,0))+IF(الموظفون!$Y66&lt;&gt;"",الموظفون!$Y66,IF(الموظفون!$E66="غير سعودي",cfg_WP,0)))/12*G66/cfg_DAYS_M)</f>
        <v/>
      </c>
      <c r="AE66" s="111" t="str">
        <f aca="false">IF($B66="","",IF(الموظفون!$Z66&lt;&gt;"",الموظفون!$Z66,cfg_MED)/12*G66/cfg_DAYS_M)</f>
        <v/>
      </c>
      <c r="AF66" s="111" t="str">
        <f aca="false">IF($B66="","",N(الموظفون!$AA66)/12*G66/cfg_DAYS_M)</f>
        <v/>
      </c>
      <c r="AG66" s="154" t="str">
        <f aca="false">IF($B66="","",T66+SUM(Z66:AF66))</f>
        <v/>
      </c>
      <c r="AH66" s="155" t="str">
        <f aca="false">IF($B66="","",MAX(0,IF(OR(الموظفون!$AE66="",الموظفون!$AE66&gt;$F$3),$F$3,الموظفون!$AE66)-الموظفون!$H66+1-SUMIFS('سجل الإجازات والحالات'!$AP$6:$AP$505,'سجل الإجازات والحالات'!$B$6:$B$505,$B66))/cfg_DAYS_Y)</f>
        <v/>
      </c>
      <c r="AI66" s="155" t="str">
        <f aca="false">IF($B66="","",MAX(0,IF(OR(الموظفون!$AE66="",الموظفون!$AE66&gt;($E$3-1)),($E$3-1),الموظفون!$AE66)-الموظفون!$H66+1-SUMIFS('سجل الإجازات والحالات'!$AO$6:$AO$505,'سجل الإجازات والحالات'!$B$6:$B$505,$B66))/cfg_DAYS_Y)</f>
        <v/>
      </c>
      <c r="AJ66" s="65" t="str">
        <f aca="false">IF($B66="","",MAX(0,AK66-(SUMIFS('سجل الإجازات والحالات'!$AP$6:$AP$505,'سجل الإجازات والحالات'!$B$6:$B$505,$B66)-SUMIFS('سجل الإجازات والحالات'!$AO$6:$AO$505,'سجل الإجازات والحالات'!$B$6:$B$505,$B66))))</f>
        <v/>
      </c>
      <c r="AK66" s="65" t="str">
        <f aca="false">IF($B66="","",MAX(0,IF(OR(الموظفون!$AE66="",الموظفون!$AE66&gt;$F$3),$F$3,الموظفون!$AE66)-MAX($E$3,الموظفون!$H66)+1))</f>
        <v/>
      </c>
      <c r="AL66" s="151" t="str">
        <f aca="false">IF($B66="","",SUMIFS('سجل الإجازات والحالات'!$BB$6:$BB$505,'سجل الإجازات والحالات'!$B$6:$B$505,$B66)+SUMIFS('الحركات الشهرية'!$K$6:$K$1005,'الحركات الشهرية'!$B$6:$B$1005,$B66,'الحركات الشهرية'!$A$6:$A$1005,$C$3))</f>
        <v/>
      </c>
      <c r="AM66" s="111" t="str">
        <f aca="false">IF($B66="","",AL66*الموظفون!$R66/cfg_DAYS_M+S66)</f>
        <v/>
      </c>
      <c r="AN66" s="151" t="str">
        <f aca="false">IF($B66="","",SUMIFS('سجل الإجازات والحالات'!$AD$6:$AD$505,'سجل الإجازات والحالات'!$B$6:$B$505,$B66))</f>
        <v/>
      </c>
    </row>
    <row r="67" customFormat="false" ht="15" hidden="false" customHeight="false" outlineLevel="0" collapsed="false">
      <c r="A67" s="115" t="str">
        <f aca="false">IF($B67="","",الموظفون!$A67)</f>
        <v/>
      </c>
      <c r="B67" s="117" t="str">
        <f aca="false">IF(الموظفون!$B67="","",الموظفون!$B67)</f>
        <v/>
      </c>
      <c r="C67" s="117" t="str">
        <f aca="false">IF($B67="","",الموظفون!$C67)</f>
        <v/>
      </c>
      <c r="D67" s="117" t="str">
        <f aca="false">IF($B67="","",الموظفون!$F67)</f>
        <v/>
      </c>
      <c r="E67" s="117" t="str">
        <f aca="false">IF($B67="","",الموظفون!$E67)</f>
        <v/>
      </c>
      <c r="F67" s="117" t="str">
        <f aca="false">IF($B67="","",IF(AK67=0,IF(AND(الموظفون!$AE67&lt;&gt;"",الموظفون!$AE67&lt;$E$3),"✖ منتهي الخدمة","⏳ لم يباشر"),IF(S67&gt;0,"✈ راتب إجازة مقدم",IF(J67=0,"⛔ بدون راتب هذا الشهر",IF(I67&gt;0,"✈ خصم "&amp;ROUND(I67,2)&amp;" يوم بدون أجر",IF(AL67&gt;0,"🌴 إجازة سنوية "&amp;ROUND(AL67,2)&amp;" يوم",IF(H67&gt;0,"⚠ غياب "&amp;ROUND(H67,2)&amp;" يوم","✔ على رأس العمل")))))))</f>
        <v/>
      </c>
      <c r="G67" s="156" t="str">
        <f aca="false">IF($B67="","",IF(AK67&gt;=DAY($F$3),cfg_DAYS_M,MIN(AK67,cfg_DAYS_M)))</f>
        <v/>
      </c>
      <c r="H67" s="156" t="str">
        <f aca="false">IF($B67="","",SUMIFS('الحركات الشهرية'!$D$6:$D$1005,'الحركات الشهرية'!$B$6:$B$1005,$B67,'الحركات الشهرية'!$A$6:$A$1005,$C$3))</f>
        <v/>
      </c>
      <c r="I67" s="156" t="str">
        <f aca="false">IF($B67="","",MIN(G67,IF(AND(AK67&gt;0,AN67&gt;=AK67),G67,AN67)+SUMIFS('الحركات الشهرية'!$E$6:$E$1005,'الحركات الشهرية'!$B$6:$B$1005,$B67,'الحركات الشهرية'!$A$6:$A$1005,$C$3)))</f>
        <v/>
      </c>
      <c r="J67" s="156" t="str">
        <f aca="false">IF($B67="","",MAX(0,G67-H67-I67))</f>
        <v/>
      </c>
      <c r="K67" s="116" t="str">
        <f aca="false">IF($B67="","",الموظفون!$L67*$J67/cfg_DAYS_M)</f>
        <v/>
      </c>
      <c r="L67" s="116" t="str">
        <f aca="false">IF($B67="","",الموظفون!$M67*$J67/cfg_DAYS_M)</f>
        <v/>
      </c>
      <c r="M67" s="116" t="str">
        <f aca="false">IF($B67="","",الموظفون!$N67*$J67/cfg_DAYS_M)</f>
        <v/>
      </c>
      <c r="N67" s="116" t="str">
        <f aca="false">IF($B67="","",الموظفون!$O67*$J67/cfg_DAYS_M)</f>
        <v/>
      </c>
      <c r="O67" s="156" t="str">
        <f aca="false">IF($B67="","",SUMIFS('الحركات الشهرية'!$F$6:$F$1005,'الحركات الشهرية'!$B$6:$B$1005,$B67,'الحركات الشهرية'!$A$6:$A$1005,$C$3))</f>
        <v/>
      </c>
      <c r="P67" s="116" t="str">
        <f aca="false">IF($B67="","",O67*(الموظفون!$P67+الموظفون!$L67*cfg_OT_P)/cfg_DAYS_M/cfg_HRS)</f>
        <v/>
      </c>
      <c r="Q67" s="116" t="str">
        <f aca="false">IF($B67="","",SUMIFS('الحركات الشهرية'!$G$6:$G$1005,'الحركات الشهرية'!$B$6:$B$1005,$B67,'الحركات الشهرية'!$A$6:$A$1005,$C$3))</f>
        <v/>
      </c>
      <c r="R67" s="116" t="str">
        <f aca="false">IF($B67="","",SUMIFS('الحركات الشهرية'!$H$6:$H$1005,'الحركات الشهرية'!$B$6:$B$1005,$B67,'الحركات الشهرية'!$A$6:$A$1005,$C$3))</f>
        <v/>
      </c>
      <c r="S67" s="116" t="str">
        <f aca="false">IF($B67="","",SUMIFS('سجل الإجازات والحالات'!$N$6:$N$505,'سجل الإجازات والحالات'!$B$6:$B$505,$B67,'سجل الإجازات والحالات'!$O$6:$O$505,$C$3))</f>
        <v/>
      </c>
      <c r="T67" s="157" t="str">
        <f aca="false">IF($B67="","",SUM(K67:N67)+SUM(P67:S67))</f>
        <v/>
      </c>
      <c r="U67" s="116" t="str">
        <f aca="false">IF($B67="","",الموظفون!$S67*IF(E67="سعودي",cfg_G_SE,cfg_G_NE)*G67/cfg_DAYS_M)</f>
        <v/>
      </c>
      <c r="V67" s="116" t="str">
        <f aca="false">IF($B67="","",SUMIFS('الحركات الشهرية'!$I$6:$I$1005,'الحركات الشهرية'!$B$6:$B$1005,$B67,'الحركات الشهرية'!$A$6:$A$1005,$C$3))</f>
        <v/>
      </c>
      <c r="W67" s="116" t="str">
        <f aca="false">IF($B67="","",SUMIFS('الحركات الشهرية'!$J$6:$J$1005,'الحركات الشهرية'!$B$6:$B$1005,$B67,'الحركات الشهرية'!$A$6:$A$1005,$C$3))</f>
        <v/>
      </c>
      <c r="X67" s="116" t="str">
        <f aca="false">IF($B67="","",SUM(U67:W67))</f>
        <v/>
      </c>
      <c r="Y67" s="158" t="str">
        <f aca="false">IF($B67="","",T67-X67)</f>
        <v/>
      </c>
      <c r="Z67" s="116" t="str">
        <f aca="false">IF($B67="","",الموظفون!$S67*IF(E67="سعودي",cfg_G_SR,cfg_G_NR)*G67/cfg_DAYS_M)</f>
        <v/>
      </c>
      <c r="AA67" s="116" t="str">
        <f aca="false">IF($B67="","",الموظفون!$Q67*(cfg_EOS_R1*(MIN(AH67,cfg_EOS_TH)-MIN(AI67,cfg_EOS_TH))+cfg_EOS_R2*(MAX(AH67-cfg_EOS_TH,0)-MAX(AI67-cfg_EOS_TH,0))))</f>
        <v/>
      </c>
      <c r="AB67" s="116" t="str">
        <f aca="false">IF($B67="","",IF(الموظفون!$T67&lt;&gt;"",الموظفون!$T67,IF(AH67&gt;=cfg_LV_TH,cfg_LV_D2,cfg_LV_D1))/cfg_DAYS_Y*AJ67*الموظفون!$R67/cfg_DAYS_M)</f>
        <v/>
      </c>
      <c r="AC67" s="116" t="str">
        <f aca="false">IF($B67="","",IF(AND(الموظفون!$U67="نعم",N(الموظفون!$W67)&gt;0),الموظفون!$V67/الموظفون!$W67*12/cfg_DAYS_Y*AJ67,0))</f>
        <v/>
      </c>
      <c r="AD67" s="116" t="str">
        <f aca="false">IF($B67="","",(IF(الموظفون!$X67&lt;&gt;"",الموظفون!$X67,IF(الموظفون!$E67="غير سعودي",cfg_IQ,0))+IF(الموظفون!$Y67&lt;&gt;"",الموظفون!$Y67,IF(الموظفون!$E67="غير سعودي",cfg_WP,0)))/12*G67/cfg_DAYS_M)</f>
        <v/>
      </c>
      <c r="AE67" s="116" t="str">
        <f aca="false">IF($B67="","",IF(الموظفون!$Z67&lt;&gt;"",الموظفون!$Z67,cfg_MED)/12*G67/cfg_DAYS_M)</f>
        <v/>
      </c>
      <c r="AF67" s="116" t="str">
        <f aca="false">IF($B67="","",N(الموظفون!$AA67)/12*G67/cfg_DAYS_M)</f>
        <v/>
      </c>
      <c r="AG67" s="159" t="str">
        <f aca="false">IF($B67="","",T67+SUM(Z67:AF67))</f>
        <v/>
      </c>
      <c r="AH67" s="160" t="str">
        <f aca="false">IF($B67="","",MAX(0,IF(OR(الموظفون!$AE67="",الموظفون!$AE67&gt;$F$3),$F$3,الموظفون!$AE67)-الموظفون!$H67+1-SUMIFS('سجل الإجازات والحالات'!$AP$6:$AP$505,'سجل الإجازات والحالات'!$B$6:$B$505,$B67))/cfg_DAYS_Y)</f>
        <v/>
      </c>
      <c r="AI67" s="160" t="str">
        <f aca="false">IF($B67="","",MAX(0,IF(OR(الموظفون!$AE67="",الموظفون!$AE67&gt;($E$3-1)),($E$3-1),الموظفون!$AE67)-الموظفون!$H67+1-SUMIFS('سجل الإجازات والحالات'!$AO$6:$AO$505,'سجل الإجازات والحالات'!$B$6:$B$505,$B67))/cfg_DAYS_Y)</f>
        <v/>
      </c>
      <c r="AJ67" s="133" t="str">
        <f aca="false">IF($B67="","",MAX(0,AK67-(SUMIFS('سجل الإجازات والحالات'!$AP$6:$AP$505,'سجل الإجازات والحالات'!$B$6:$B$505,$B67)-SUMIFS('سجل الإجازات والحالات'!$AO$6:$AO$505,'سجل الإجازات والحالات'!$B$6:$B$505,$B67))))</f>
        <v/>
      </c>
      <c r="AK67" s="133" t="str">
        <f aca="false">IF($B67="","",MAX(0,IF(OR(الموظفون!$AE67="",الموظفون!$AE67&gt;$F$3),$F$3,الموظفون!$AE67)-MAX($E$3,الموظفون!$H67)+1))</f>
        <v/>
      </c>
      <c r="AL67" s="156" t="str">
        <f aca="false">IF($B67="","",SUMIFS('سجل الإجازات والحالات'!$BB$6:$BB$505,'سجل الإجازات والحالات'!$B$6:$B$505,$B67)+SUMIFS('الحركات الشهرية'!$K$6:$K$1005,'الحركات الشهرية'!$B$6:$B$1005,$B67,'الحركات الشهرية'!$A$6:$A$1005,$C$3))</f>
        <v/>
      </c>
      <c r="AM67" s="116" t="str">
        <f aca="false">IF($B67="","",AL67*الموظفون!$R67/cfg_DAYS_M+S67)</f>
        <v/>
      </c>
      <c r="AN67" s="156" t="str">
        <f aca="false">IF($B67="","",SUMIFS('سجل الإجازات والحالات'!$AD$6:$AD$505,'سجل الإجازات والحالات'!$B$6:$B$505,$B67))</f>
        <v/>
      </c>
    </row>
    <row r="68" customFormat="false" ht="15" hidden="false" customHeight="false" outlineLevel="0" collapsed="false">
      <c r="A68" s="106" t="str">
        <f aca="false">IF($B68="","",الموظفون!$A68)</f>
        <v/>
      </c>
      <c r="B68" s="114" t="str">
        <f aca="false">IF(الموظفون!$B68="","",الموظفون!$B68)</f>
        <v/>
      </c>
      <c r="C68" s="114" t="str">
        <f aca="false">IF($B68="","",الموظفون!$C68)</f>
        <v/>
      </c>
      <c r="D68" s="114" t="str">
        <f aca="false">IF($B68="","",الموظفون!$F68)</f>
        <v/>
      </c>
      <c r="E68" s="114" t="str">
        <f aca="false">IF($B68="","",الموظفون!$E68)</f>
        <v/>
      </c>
      <c r="F68" s="114" t="str">
        <f aca="false">IF($B68="","",IF(AK68=0,IF(AND(الموظفون!$AE68&lt;&gt;"",الموظفون!$AE68&lt;$E$3),"✖ منتهي الخدمة","⏳ لم يباشر"),IF(S68&gt;0,"✈ راتب إجازة مقدم",IF(J68=0,"⛔ بدون راتب هذا الشهر",IF(I68&gt;0,"✈ خصم "&amp;ROUND(I68,2)&amp;" يوم بدون أجر",IF(AL68&gt;0,"🌴 إجازة سنوية "&amp;ROUND(AL68,2)&amp;" يوم",IF(H68&gt;0,"⚠ غياب "&amp;ROUND(H68,2)&amp;" يوم","✔ على رأس العمل")))))))</f>
        <v/>
      </c>
      <c r="G68" s="151" t="str">
        <f aca="false">IF($B68="","",IF(AK68&gt;=DAY($F$3),cfg_DAYS_M,MIN(AK68,cfg_DAYS_M)))</f>
        <v/>
      </c>
      <c r="H68" s="151" t="str">
        <f aca="false">IF($B68="","",SUMIFS('الحركات الشهرية'!$D$6:$D$1005,'الحركات الشهرية'!$B$6:$B$1005,$B68,'الحركات الشهرية'!$A$6:$A$1005,$C$3))</f>
        <v/>
      </c>
      <c r="I68" s="151" t="str">
        <f aca="false">IF($B68="","",MIN(G68,IF(AND(AK68&gt;0,AN68&gt;=AK68),G68,AN68)+SUMIFS('الحركات الشهرية'!$E$6:$E$1005,'الحركات الشهرية'!$B$6:$B$1005,$B68,'الحركات الشهرية'!$A$6:$A$1005,$C$3)))</f>
        <v/>
      </c>
      <c r="J68" s="151" t="str">
        <f aca="false">IF($B68="","",MAX(0,G68-H68-I68))</f>
        <v/>
      </c>
      <c r="K68" s="111" t="str">
        <f aca="false">IF($B68="","",الموظفون!$L68*$J68/cfg_DAYS_M)</f>
        <v/>
      </c>
      <c r="L68" s="111" t="str">
        <f aca="false">IF($B68="","",الموظفون!$M68*$J68/cfg_DAYS_M)</f>
        <v/>
      </c>
      <c r="M68" s="111" t="str">
        <f aca="false">IF($B68="","",الموظفون!$N68*$J68/cfg_DAYS_M)</f>
        <v/>
      </c>
      <c r="N68" s="111" t="str">
        <f aca="false">IF($B68="","",الموظفون!$O68*$J68/cfg_DAYS_M)</f>
        <v/>
      </c>
      <c r="O68" s="151" t="str">
        <f aca="false">IF($B68="","",SUMIFS('الحركات الشهرية'!$F$6:$F$1005,'الحركات الشهرية'!$B$6:$B$1005,$B68,'الحركات الشهرية'!$A$6:$A$1005,$C$3))</f>
        <v/>
      </c>
      <c r="P68" s="111" t="str">
        <f aca="false">IF($B68="","",O68*(الموظفون!$P68+الموظفون!$L68*cfg_OT_P)/cfg_DAYS_M/cfg_HRS)</f>
        <v/>
      </c>
      <c r="Q68" s="111" t="str">
        <f aca="false">IF($B68="","",SUMIFS('الحركات الشهرية'!$G$6:$G$1005,'الحركات الشهرية'!$B$6:$B$1005,$B68,'الحركات الشهرية'!$A$6:$A$1005,$C$3))</f>
        <v/>
      </c>
      <c r="R68" s="111" t="str">
        <f aca="false">IF($B68="","",SUMIFS('الحركات الشهرية'!$H$6:$H$1005,'الحركات الشهرية'!$B$6:$B$1005,$B68,'الحركات الشهرية'!$A$6:$A$1005,$C$3))</f>
        <v/>
      </c>
      <c r="S68" s="111" t="str">
        <f aca="false">IF($B68="","",SUMIFS('سجل الإجازات والحالات'!$N$6:$N$505,'سجل الإجازات والحالات'!$B$6:$B$505,$B68,'سجل الإجازات والحالات'!$O$6:$O$505,$C$3))</f>
        <v/>
      </c>
      <c r="T68" s="152" t="str">
        <f aca="false">IF($B68="","",SUM(K68:N68)+SUM(P68:S68))</f>
        <v/>
      </c>
      <c r="U68" s="111" t="str">
        <f aca="false">IF($B68="","",الموظفون!$S68*IF(E68="سعودي",cfg_G_SE,cfg_G_NE)*G68/cfg_DAYS_M)</f>
        <v/>
      </c>
      <c r="V68" s="111" t="str">
        <f aca="false">IF($B68="","",SUMIFS('الحركات الشهرية'!$I$6:$I$1005,'الحركات الشهرية'!$B$6:$B$1005,$B68,'الحركات الشهرية'!$A$6:$A$1005,$C$3))</f>
        <v/>
      </c>
      <c r="W68" s="111" t="str">
        <f aca="false">IF($B68="","",SUMIFS('الحركات الشهرية'!$J$6:$J$1005,'الحركات الشهرية'!$B$6:$B$1005,$B68,'الحركات الشهرية'!$A$6:$A$1005,$C$3))</f>
        <v/>
      </c>
      <c r="X68" s="111" t="str">
        <f aca="false">IF($B68="","",SUM(U68:W68))</f>
        <v/>
      </c>
      <c r="Y68" s="153" t="str">
        <f aca="false">IF($B68="","",T68-X68)</f>
        <v/>
      </c>
      <c r="Z68" s="111" t="str">
        <f aca="false">IF($B68="","",الموظفون!$S68*IF(E68="سعودي",cfg_G_SR,cfg_G_NR)*G68/cfg_DAYS_M)</f>
        <v/>
      </c>
      <c r="AA68" s="111" t="str">
        <f aca="false">IF($B68="","",الموظفون!$Q68*(cfg_EOS_R1*(MIN(AH68,cfg_EOS_TH)-MIN(AI68,cfg_EOS_TH))+cfg_EOS_R2*(MAX(AH68-cfg_EOS_TH,0)-MAX(AI68-cfg_EOS_TH,0))))</f>
        <v/>
      </c>
      <c r="AB68" s="111" t="str">
        <f aca="false">IF($B68="","",IF(الموظفون!$T68&lt;&gt;"",الموظفون!$T68,IF(AH68&gt;=cfg_LV_TH,cfg_LV_D2,cfg_LV_D1))/cfg_DAYS_Y*AJ68*الموظفون!$R68/cfg_DAYS_M)</f>
        <v/>
      </c>
      <c r="AC68" s="111" t="str">
        <f aca="false">IF($B68="","",IF(AND(الموظفون!$U68="نعم",N(الموظفون!$W68)&gt;0),الموظفون!$V68/الموظفون!$W68*12/cfg_DAYS_Y*AJ68,0))</f>
        <v/>
      </c>
      <c r="AD68" s="111" t="str">
        <f aca="false">IF($B68="","",(IF(الموظفون!$X68&lt;&gt;"",الموظفون!$X68,IF(الموظفون!$E68="غير سعودي",cfg_IQ,0))+IF(الموظفون!$Y68&lt;&gt;"",الموظفون!$Y68,IF(الموظفون!$E68="غير سعودي",cfg_WP,0)))/12*G68/cfg_DAYS_M)</f>
        <v/>
      </c>
      <c r="AE68" s="111" t="str">
        <f aca="false">IF($B68="","",IF(الموظفون!$Z68&lt;&gt;"",الموظفون!$Z68,cfg_MED)/12*G68/cfg_DAYS_M)</f>
        <v/>
      </c>
      <c r="AF68" s="111" t="str">
        <f aca="false">IF($B68="","",N(الموظفون!$AA68)/12*G68/cfg_DAYS_M)</f>
        <v/>
      </c>
      <c r="AG68" s="154" t="str">
        <f aca="false">IF($B68="","",T68+SUM(Z68:AF68))</f>
        <v/>
      </c>
      <c r="AH68" s="155" t="str">
        <f aca="false">IF($B68="","",MAX(0,IF(OR(الموظفون!$AE68="",الموظفون!$AE68&gt;$F$3),$F$3,الموظفون!$AE68)-الموظفون!$H68+1-SUMIFS('سجل الإجازات والحالات'!$AP$6:$AP$505,'سجل الإجازات والحالات'!$B$6:$B$505,$B68))/cfg_DAYS_Y)</f>
        <v/>
      </c>
      <c r="AI68" s="155" t="str">
        <f aca="false">IF($B68="","",MAX(0,IF(OR(الموظفون!$AE68="",الموظفون!$AE68&gt;($E$3-1)),($E$3-1),الموظفون!$AE68)-الموظفون!$H68+1-SUMIFS('سجل الإجازات والحالات'!$AO$6:$AO$505,'سجل الإجازات والحالات'!$B$6:$B$505,$B68))/cfg_DAYS_Y)</f>
        <v/>
      </c>
      <c r="AJ68" s="65" t="str">
        <f aca="false">IF($B68="","",MAX(0,AK68-(SUMIFS('سجل الإجازات والحالات'!$AP$6:$AP$505,'سجل الإجازات والحالات'!$B$6:$B$505,$B68)-SUMIFS('سجل الإجازات والحالات'!$AO$6:$AO$505,'سجل الإجازات والحالات'!$B$6:$B$505,$B68))))</f>
        <v/>
      </c>
      <c r="AK68" s="65" t="str">
        <f aca="false">IF($B68="","",MAX(0,IF(OR(الموظفون!$AE68="",الموظفون!$AE68&gt;$F$3),$F$3,الموظفون!$AE68)-MAX($E$3,الموظفون!$H68)+1))</f>
        <v/>
      </c>
      <c r="AL68" s="151" t="str">
        <f aca="false">IF($B68="","",SUMIFS('سجل الإجازات والحالات'!$BB$6:$BB$505,'سجل الإجازات والحالات'!$B$6:$B$505,$B68)+SUMIFS('الحركات الشهرية'!$K$6:$K$1005,'الحركات الشهرية'!$B$6:$B$1005,$B68,'الحركات الشهرية'!$A$6:$A$1005,$C$3))</f>
        <v/>
      </c>
      <c r="AM68" s="111" t="str">
        <f aca="false">IF($B68="","",AL68*الموظفون!$R68/cfg_DAYS_M+S68)</f>
        <v/>
      </c>
      <c r="AN68" s="151" t="str">
        <f aca="false">IF($B68="","",SUMIFS('سجل الإجازات والحالات'!$AD$6:$AD$505,'سجل الإجازات والحالات'!$B$6:$B$505,$B68))</f>
        <v/>
      </c>
    </row>
    <row r="69" customFormat="false" ht="15" hidden="false" customHeight="false" outlineLevel="0" collapsed="false">
      <c r="A69" s="115" t="str">
        <f aca="false">IF($B69="","",الموظفون!$A69)</f>
        <v/>
      </c>
      <c r="B69" s="117" t="str">
        <f aca="false">IF(الموظفون!$B69="","",الموظفون!$B69)</f>
        <v/>
      </c>
      <c r="C69" s="117" t="str">
        <f aca="false">IF($B69="","",الموظفون!$C69)</f>
        <v/>
      </c>
      <c r="D69" s="117" t="str">
        <f aca="false">IF($B69="","",الموظفون!$F69)</f>
        <v/>
      </c>
      <c r="E69" s="117" t="str">
        <f aca="false">IF($B69="","",الموظفون!$E69)</f>
        <v/>
      </c>
      <c r="F69" s="117" t="str">
        <f aca="false">IF($B69="","",IF(AK69=0,IF(AND(الموظفون!$AE69&lt;&gt;"",الموظفون!$AE69&lt;$E$3),"✖ منتهي الخدمة","⏳ لم يباشر"),IF(S69&gt;0,"✈ راتب إجازة مقدم",IF(J69=0,"⛔ بدون راتب هذا الشهر",IF(I69&gt;0,"✈ خصم "&amp;ROUND(I69,2)&amp;" يوم بدون أجر",IF(AL69&gt;0,"🌴 إجازة سنوية "&amp;ROUND(AL69,2)&amp;" يوم",IF(H69&gt;0,"⚠ غياب "&amp;ROUND(H69,2)&amp;" يوم","✔ على رأس العمل")))))))</f>
        <v/>
      </c>
      <c r="G69" s="156" t="str">
        <f aca="false">IF($B69="","",IF(AK69&gt;=DAY($F$3),cfg_DAYS_M,MIN(AK69,cfg_DAYS_M)))</f>
        <v/>
      </c>
      <c r="H69" s="156" t="str">
        <f aca="false">IF($B69="","",SUMIFS('الحركات الشهرية'!$D$6:$D$1005,'الحركات الشهرية'!$B$6:$B$1005,$B69,'الحركات الشهرية'!$A$6:$A$1005,$C$3))</f>
        <v/>
      </c>
      <c r="I69" s="156" t="str">
        <f aca="false">IF($B69="","",MIN(G69,IF(AND(AK69&gt;0,AN69&gt;=AK69),G69,AN69)+SUMIFS('الحركات الشهرية'!$E$6:$E$1005,'الحركات الشهرية'!$B$6:$B$1005,$B69,'الحركات الشهرية'!$A$6:$A$1005,$C$3)))</f>
        <v/>
      </c>
      <c r="J69" s="156" t="str">
        <f aca="false">IF($B69="","",MAX(0,G69-H69-I69))</f>
        <v/>
      </c>
      <c r="K69" s="116" t="str">
        <f aca="false">IF($B69="","",الموظفون!$L69*$J69/cfg_DAYS_M)</f>
        <v/>
      </c>
      <c r="L69" s="116" t="str">
        <f aca="false">IF($B69="","",الموظفون!$M69*$J69/cfg_DAYS_M)</f>
        <v/>
      </c>
      <c r="M69" s="116" t="str">
        <f aca="false">IF($B69="","",الموظفون!$N69*$J69/cfg_DAYS_M)</f>
        <v/>
      </c>
      <c r="N69" s="116" t="str">
        <f aca="false">IF($B69="","",الموظفون!$O69*$J69/cfg_DAYS_M)</f>
        <v/>
      </c>
      <c r="O69" s="156" t="str">
        <f aca="false">IF($B69="","",SUMIFS('الحركات الشهرية'!$F$6:$F$1005,'الحركات الشهرية'!$B$6:$B$1005,$B69,'الحركات الشهرية'!$A$6:$A$1005,$C$3))</f>
        <v/>
      </c>
      <c r="P69" s="116" t="str">
        <f aca="false">IF($B69="","",O69*(الموظفون!$P69+الموظفون!$L69*cfg_OT_P)/cfg_DAYS_M/cfg_HRS)</f>
        <v/>
      </c>
      <c r="Q69" s="116" t="str">
        <f aca="false">IF($B69="","",SUMIFS('الحركات الشهرية'!$G$6:$G$1005,'الحركات الشهرية'!$B$6:$B$1005,$B69,'الحركات الشهرية'!$A$6:$A$1005,$C$3))</f>
        <v/>
      </c>
      <c r="R69" s="116" t="str">
        <f aca="false">IF($B69="","",SUMIFS('الحركات الشهرية'!$H$6:$H$1005,'الحركات الشهرية'!$B$6:$B$1005,$B69,'الحركات الشهرية'!$A$6:$A$1005,$C$3))</f>
        <v/>
      </c>
      <c r="S69" s="116" t="str">
        <f aca="false">IF($B69="","",SUMIFS('سجل الإجازات والحالات'!$N$6:$N$505,'سجل الإجازات والحالات'!$B$6:$B$505,$B69,'سجل الإجازات والحالات'!$O$6:$O$505,$C$3))</f>
        <v/>
      </c>
      <c r="T69" s="157" t="str">
        <f aca="false">IF($B69="","",SUM(K69:N69)+SUM(P69:S69))</f>
        <v/>
      </c>
      <c r="U69" s="116" t="str">
        <f aca="false">IF($B69="","",الموظفون!$S69*IF(E69="سعودي",cfg_G_SE,cfg_G_NE)*G69/cfg_DAYS_M)</f>
        <v/>
      </c>
      <c r="V69" s="116" t="str">
        <f aca="false">IF($B69="","",SUMIFS('الحركات الشهرية'!$I$6:$I$1005,'الحركات الشهرية'!$B$6:$B$1005,$B69,'الحركات الشهرية'!$A$6:$A$1005,$C$3))</f>
        <v/>
      </c>
      <c r="W69" s="116" t="str">
        <f aca="false">IF($B69="","",SUMIFS('الحركات الشهرية'!$J$6:$J$1005,'الحركات الشهرية'!$B$6:$B$1005,$B69,'الحركات الشهرية'!$A$6:$A$1005,$C$3))</f>
        <v/>
      </c>
      <c r="X69" s="116" t="str">
        <f aca="false">IF($B69="","",SUM(U69:W69))</f>
        <v/>
      </c>
      <c r="Y69" s="158" t="str">
        <f aca="false">IF($B69="","",T69-X69)</f>
        <v/>
      </c>
      <c r="Z69" s="116" t="str">
        <f aca="false">IF($B69="","",الموظفون!$S69*IF(E69="سعودي",cfg_G_SR,cfg_G_NR)*G69/cfg_DAYS_M)</f>
        <v/>
      </c>
      <c r="AA69" s="116" t="str">
        <f aca="false">IF($B69="","",الموظفون!$Q69*(cfg_EOS_R1*(MIN(AH69,cfg_EOS_TH)-MIN(AI69,cfg_EOS_TH))+cfg_EOS_R2*(MAX(AH69-cfg_EOS_TH,0)-MAX(AI69-cfg_EOS_TH,0))))</f>
        <v/>
      </c>
      <c r="AB69" s="116" t="str">
        <f aca="false">IF($B69="","",IF(الموظفون!$T69&lt;&gt;"",الموظفون!$T69,IF(AH69&gt;=cfg_LV_TH,cfg_LV_D2,cfg_LV_D1))/cfg_DAYS_Y*AJ69*الموظفون!$R69/cfg_DAYS_M)</f>
        <v/>
      </c>
      <c r="AC69" s="116" t="str">
        <f aca="false">IF($B69="","",IF(AND(الموظفون!$U69="نعم",N(الموظفون!$W69)&gt;0),الموظفون!$V69/الموظفون!$W69*12/cfg_DAYS_Y*AJ69,0))</f>
        <v/>
      </c>
      <c r="AD69" s="116" t="str">
        <f aca="false">IF($B69="","",(IF(الموظفون!$X69&lt;&gt;"",الموظفون!$X69,IF(الموظفون!$E69="غير سعودي",cfg_IQ,0))+IF(الموظفون!$Y69&lt;&gt;"",الموظفون!$Y69,IF(الموظفون!$E69="غير سعودي",cfg_WP,0)))/12*G69/cfg_DAYS_M)</f>
        <v/>
      </c>
      <c r="AE69" s="116" t="str">
        <f aca="false">IF($B69="","",IF(الموظفون!$Z69&lt;&gt;"",الموظفون!$Z69,cfg_MED)/12*G69/cfg_DAYS_M)</f>
        <v/>
      </c>
      <c r="AF69" s="116" t="str">
        <f aca="false">IF($B69="","",N(الموظفون!$AA69)/12*G69/cfg_DAYS_M)</f>
        <v/>
      </c>
      <c r="AG69" s="159" t="str">
        <f aca="false">IF($B69="","",T69+SUM(Z69:AF69))</f>
        <v/>
      </c>
      <c r="AH69" s="160" t="str">
        <f aca="false">IF($B69="","",MAX(0,IF(OR(الموظفون!$AE69="",الموظفون!$AE69&gt;$F$3),$F$3,الموظفون!$AE69)-الموظفون!$H69+1-SUMIFS('سجل الإجازات والحالات'!$AP$6:$AP$505,'سجل الإجازات والحالات'!$B$6:$B$505,$B69))/cfg_DAYS_Y)</f>
        <v/>
      </c>
      <c r="AI69" s="160" t="str">
        <f aca="false">IF($B69="","",MAX(0,IF(OR(الموظفون!$AE69="",الموظفون!$AE69&gt;($E$3-1)),($E$3-1),الموظفون!$AE69)-الموظفون!$H69+1-SUMIFS('سجل الإجازات والحالات'!$AO$6:$AO$505,'سجل الإجازات والحالات'!$B$6:$B$505,$B69))/cfg_DAYS_Y)</f>
        <v/>
      </c>
      <c r="AJ69" s="133" t="str">
        <f aca="false">IF($B69="","",MAX(0,AK69-(SUMIFS('سجل الإجازات والحالات'!$AP$6:$AP$505,'سجل الإجازات والحالات'!$B$6:$B$505,$B69)-SUMIFS('سجل الإجازات والحالات'!$AO$6:$AO$505,'سجل الإجازات والحالات'!$B$6:$B$505,$B69))))</f>
        <v/>
      </c>
      <c r="AK69" s="133" t="str">
        <f aca="false">IF($B69="","",MAX(0,IF(OR(الموظفون!$AE69="",الموظفون!$AE69&gt;$F$3),$F$3,الموظفون!$AE69)-MAX($E$3,الموظفون!$H69)+1))</f>
        <v/>
      </c>
      <c r="AL69" s="156" t="str">
        <f aca="false">IF($B69="","",SUMIFS('سجل الإجازات والحالات'!$BB$6:$BB$505,'سجل الإجازات والحالات'!$B$6:$B$505,$B69)+SUMIFS('الحركات الشهرية'!$K$6:$K$1005,'الحركات الشهرية'!$B$6:$B$1005,$B69,'الحركات الشهرية'!$A$6:$A$1005,$C$3))</f>
        <v/>
      </c>
      <c r="AM69" s="116" t="str">
        <f aca="false">IF($B69="","",AL69*الموظفون!$R69/cfg_DAYS_M+S69)</f>
        <v/>
      </c>
      <c r="AN69" s="156" t="str">
        <f aca="false">IF($B69="","",SUMIFS('سجل الإجازات والحالات'!$AD$6:$AD$505,'سجل الإجازات والحالات'!$B$6:$B$505,$B69))</f>
        <v/>
      </c>
    </row>
    <row r="70" customFormat="false" ht="15" hidden="false" customHeight="false" outlineLevel="0" collapsed="false">
      <c r="A70" s="106" t="str">
        <f aca="false">IF($B70="","",الموظفون!$A70)</f>
        <v/>
      </c>
      <c r="B70" s="114" t="str">
        <f aca="false">IF(الموظفون!$B70="","",الموظفون!$B70)</f>
        <v/>
      </c>
      <c r="C70" s="114" t="str">
        <f aca="false">IF($B70="","",الموظفون!$C70)</f>
        <v/>
      </c>
      <c r="D70" s="114" t="str">
        <f aca="false">IF($B70="","",الموظفون!$F70)</f>
        <v/>
      </c>
      <c r="E70" s="114" t="str">
        <f aca="false">IF($B70="","",الموظفون!$E70)</f>
        <v/>
      </c>
      <c r="F70" s="114" t="str">
        <f aca="false">IF($B70="","",IF(AK70=0,IF(AND(الموظفون!$AE70&lt;&gt;"",الموظفون!$AE70&lt;$E$3),"✖ منتهي الخدمة","⏳ لم يباشر"),IF(S70&gt;0,"✈ راتب إجازة مقدم",IF(J70=0,"⛔ بدون راتب هذا الشهر",IF(I70&gt;0,"✈ خصم "&amp;ROUND(I70,2)&amp;" يوم بدون أجر",IF(AL70&gt;0,"🌴 إجازة سنوية "&amp;ROUND(AL70,2)&amp;" يوم",IF(H70&gt;0,"⚠ غياب "&amp;ROUND(H70,2)&amp;" يوم","✔ على رأس العمل")))))))</f>
        <v/>
      </c>
      <c r="G70" s="151" t="str">
        <f aca="false">IF($B70="","",IF(AK70&gt;=DAY($F$3),cfg_DAYS_M,MIN(AK70,cfg_DAYS_M)))</f>
        <v/>
      </c>
      <c r="H70" s="151" t="str">
        <f aca="false">IF($B70="","",SUMIFS('الحركات الشهرية'!$D$6:$D$1005,'الحركات الشهرية'!$B$6:$B$1005,$B70,'الحركات الشهرية'!$A$6:$A$1005,$C$3))</f>
        <v/>
      </c>
      <c r="I70" s="151" t="str">
        <f aca="false">IF($B70="","",MIN(G70,IF(AND(AK70&gt;0,AN70&gt;=AK70),G70,AN70)+SUMIFS('الحركات الشهرية'!$E$6:$E$1005,'الحركات الشهرية'!$B$6:$B$1005,$B70,'الحركات الشهرية'!$A$6:$A$1005,$C$3)))</f>
        <v/>
      </c>
      <c r="J70" s="151" t="str">
        <f aca="false">IF($B70="","",MAX(0,G70-H70-I70))</f>
        <v/>
      </c>
      <c r="K70" s="111" t="str">
        <f aca="false">IF($B70="","",الموظفون!$L70*$J70/cfg_DAYS_M)</f>
        <v/>
      </c>
      <c r="L70" s="111" t="str">
        <f aca="false">IF($B70="","",الموظفون!$M70*$J70/cfg_DAYS_M)</f>
        <v/>
      </c>
      <c r="M70" s="111" t="str">
        <f aca="false">IF($B70="","",الموظفون!$N70*$J70/cfg_DAYS_M)</f>
        <v/>
      </c>
      <c r="N70" s="111" t="str">
        <f aca="false">IF($B70="","",الموظفون!$O70*$J70/cfg_DAYS_M)</f>
        <v/>
      </c>
      <c r="O70" s="151" t="str">
        <f aca="false">IF($B70="","",SUMIFS('الحركات الشهرية'!$F$6:$F$1005,'الحركات الشهرية'!$B$6:$B$1005,$B70,'الحركات الشهرية'!$A$6:$A$1005,$C$3))</f>
        <v/>
      </c>
      <c r="P70" s="111" t="str">
        <f aca="false">IF($B70="","",O70*(الموظفون!$P70+الموظفون!$L70*cfg_OT_P)/cfg_DAYS_M/cfg_HRS)</f>
        <v/>
      </c>
      <c r="Q70" s="111" t="str">
        <f aca="false">IF($B70="","",SUMIFS('الحركات الشهرية'!$G$6:$G$1005,'الحركات الشهرية'!$B$6:$B$1005,$B70,'الحركات الشهرية'!$A$6:$A$1005,$C$3))</f>
        <v/>
      </c>
      <c r="R70" s="111" t="str">
        <f aca="false">IF($B70="","",SUMIFS('الحركات الشهرية'!$H$6:$H$1005,'الحركات الشهرية'!$B$6:$B$1005,$B70,'الحركات الشهرية'!$A$6:$A$1005,$C$3))</f>
        <v/>
      </c>
      <c r="S70" s="111" t="str">
        <f aca="false">IF($B70="","",SUMIFS('سجل الإجازات والحالات'!$N$6:$N$505,'سجل الإجازات والحالات'!$B$6:$B$505,$B70,'سجل الإجازات والحالات'!$O$6:$O$505,$C$3))</f>
        <v/>
      </c>
      <c r="T70" s="152" t="str">
        <f aca="false">IF($B70="","",SUM(K70:N70)+SUM(P70:S70))</f>
        <v/>
      </c>
      <c r="U70" s="111" t="str">
        <f aca="false">IF($B70="","",الموظفون!$S70*IF(E70="سعودي",cfg_G_SE,cfg_G_NE)*G70/cfg_DAYS_M)</f>
        <v/>
      </c>
      <c r="V70" s="111" t="str">
        <f aca="false">IF($B70="","",SUMIFS('الحركات الشهرية'!$I$6:$I$1005,'الحركات الشهرية'!$B$6:$B$1005,$B70,'الحركات الشهرية'!$A$6:$A$1005,$C$3))</f>
        <v/>
      </c>
      <c r="W70" s="111" t="str">
        <f aca="false">IF($B70="","",SUMIFS('الحركات الشهرية'!$J$6:$J$1005,'الحركات الشهرية'!$B$6:$B$1005,$B70,'الحركات الشهرية'!$A$6:$A$1005,$C$3))</f>
        <v/>
      </c>
      <c r="X70" s="111" t="str">
        <f aca="false">IF($B70="","",SUM(U70:W70))</f>
        <v/>
      </c>
      <c r="Y70" s="153" t="str">
        <f aca="false">IF($B70="","",T70-X70)</f>
        <v/>
      </c>
      <c r="Z70" s="111" t="str">
        <f aca="false">IF($B70="","",الموظفون!$S70*IF(E70="سعودي",cfg_G_SR,cfg_G_NR)*G70/cfg_DAYS_M)</f>
        <v/>
      </c>
      <c r="AA70" s="111" t="str">
        <f aca="false">IF($B70="","",الموظفون!$Q70*(cfg_EOS_R1*(MIN(AH70,cfg_EOS_TH)-MIN(AI70,cfg_EOS_TH))+cfg_EOS_R2*(MAX(AH70-cfg_EOS_TH,0)-MAX(AI70-cfg_EOS_TH,0))))</f>
        <v/>
      </c>
      <c r="AB70" s="111" t="str">
        <f aca="false">IF($B70="","",IF(الموظفون!$T70&lt;&gt;"",الموظفون!$T70,IF(AH70&gt;=cfg_LV_TH,cfg_LV_D2,cfg_LV_D1))/cfg_DAYS_Y*AJ70*الموظفون!$R70/cfg_DAYS_M)</f>
        <v/>
      </c>
      <c r="AC70" s="111" t="str">
        <f aca="false">IF($B70="","",IF(AND(الموظفون!$U70="نعم",N(الموظفون!$W70)&gt;0),الموظفون!$V70/الموظفون!$W70*12/cfg_DAYS_Y*AJ70,0))</f>
        <v/>
      </c>
      <c r="AD70" s="111" t="str">
        <f aca="false">IF($B70="","",(IF(الموظفون!$X70&lt;&gt;"",الموظفون!$X70,IF(الموظفون!$E70="غير سعودي",cfg_IQ,0))+IF(الموظفون!$Y70&lt;&gt;"",الموظفون!$Y70,IF(الموظفون!$E70="غير سعودي",cfg_WP,0)))/12*G70/cfg_DAYS_M)</f>
        <v/>
      </c>
      <c r="AE70" s="111" t="str">
        <f aca="false">IF($B70="","",IF(الموظفون!$Z70&lt;&gt;"",الموظفون!$Z70,cfg_MED)/12*G70/cfg_DAYS_M)</f>
        <v/>
      </c>
      <c r="AF70" s="111" t="str">
        <f aca="false">IF($B70="","",N(الموظفون!$AA70)/12*G70/cfg_DAYS_M)</f>
        <v/>
      </c>
      <c r="AG70" s="154" t="str">
        <f aca="false">IF($B70="","",T70+SUM(Z70:AF70))</f>
        <v/>
      </c>
      <c r="AH70" s="155" t="str">
        <f aca="false">IF($B70="","",MAX(0,IF(OR(الموظفون!$AE70="",الموظفون!$AE70&gt;$F$3),$F$3,الموظفون!$AE70)-الموظفون!$H70+1-SUMIFS('سجل الإجازات والحالات'!$AP$6:$AP$505,'سجل الإجازات والحالات'!$B$6:$B$505,$B70))/cfg_DAYS_Y)</f>
        <v/>
      </c>
      <c r="AI70" s="155" t="str">
        <f aca="false">IF($B70="","",MAX(0,IF(OR(الموظفون!$AE70="",الموظفون!$AE70&gt;($E$3-1)),($E$3-1),الموظفون!$AE70)-الموظفون!$H70+1-SUMIFS('سجل الإجازات والحالات'!$AO$6:$AO$505,'سجل الإجازات والحالات'!$B$6:$B$505,$B70))/cfg_DAYS_Y)</f>
        <v/>
      </c>
      <c r="AJ70" s="65" t="str">
        <f aca="false">IF($B70="","",MAX(0,AK70-(SUMIFS('سجل الإجازات والحالات'!$AP$6:$AP$505,'سجل الإجازات والحالات'!$B$6:$B$505,$B70)-SUMIFS('سجل الإجازات والحالات'!$AO$6:$AO$505,'سجل الإجازات والحالات'!$B$6:$B$505,$B70))))</f>
        <v/>
      </c>
      <c r="AK70" s="65" t="str">
        <f aca="false">IF($B70="","",MAX(0,IF(OR(الموظفون!$AE70="",الموظفون!$AE70&gt;$F$3),$F$3,الموظفون!$AE70)-MAX($E$3,الموظفون!$H70)+1))</f>
        <v/>
      </c>
      <c r="AL70" s="151" t="str">
        <f aca="false">IF($B70="","",SUMIFS('سجل الإجازات والحالات'!$BB$6:$BB$505,'سجل الإجازات والحالات'!$B$6:$B$505,$B70)+SUMIFS('الحركات الشهرية'!$K$6:$K$1005,'الحركات الشهرية'!$B$6:$B$1005,$B70,'الحركات الشهرية'!$A$6:$A$1005,$C$3))</f>
        <v/>
      </c>
      <c r="AM70" s="111" t="str">
        <f aca="false">IF($B70="","",AL70*الموظفون!$R70/cfg_DAYS_M+S70)</f>
        <v/>
      </c>
      <c r="AN70" s="151" t="str">
        <f aca="false">IF($B70="","",SUMIFS('سجل الإجازات والحالات'!$AD$6:$AD$505,'سجل الإجازات والحالات'!$B$6:$B$505,$B70))</f>
        <v/>
      </c>
    </row>
    <row r="71" customFormat="false" ht="15" hidden="false" customHeight="false" outlineLevel="0" collapsed="false">
      <c r="A71" s="115" t="str">
        <f aca="false">IF($B71="","",الموظفون!$A71)</f>
        <v/>
      </c>
      <c r="B71" s="117" t="str">
        <f aca="false">IF(الموظفون!$B71="","",الموظفون!$B71)</f>
        <v/>
      </c>
      <c r="C71" s="117" t="str">
        <f aca="false">IF($B71="","",الموظفون!$C71)</f>
        <v/>
      </c>
      <c r="D71" s="117" t="str">
        <f aca="false">IF($B71="","",الموظفون!$F71)</f>
        <v/>
      </c>
      <c r="E71" s="117" t="str">
        <f aca="false">IF($B71="","",الموظفون!$E71)</f>
        <v/>
      </c>
      <c r="F71" s="117" t="str">
        <f aca="false">IF($B71="","",IF(AK71=0,IF(AND(الموظفون!$AE71&lt;&gt;"",الموظفون!$AE71&lt;$E$3),"✖ منتهي الخدمة","⏳ لم يباشر"),IF(S71&gt;0,"✈ راتب إجازة مقدم",IF(J71=0,"⛔ بدون راتب هذا الشهر",IF(I71&gt;0,"✈ خصم "&amp;ROUND(I71,2)&amp;" يوم بدون أجر",IF(AL71&gt;0,"🌴 إجازة سنوية "&amp;ROUND(AL71,2)&amp;" يوم",IF(H71&gt;0,"⚠ غياب "&amp;ROUND(H71,2)&amp;" يوم","✔ على رأس العمل")))))))</f>
        <v/>
      </c>
      <c r="G71" s="156" t="str">
        <f aca="false">IF($B71="","",IF(AK71&gt;=DAY($F$3),cfg_DAYS_M,MIN(AK71,cfg_DAYS_M)))</f>
        <v/>
      </c>
      <c r="H71" s="156" t="str">
        <f aca="false">IF($B71="","",SUMIFS('الحركات الشهرية'!$D$6:$D$1005,'الحركات الشهرية'!$B$6:$B$1005,$B71,'الحركات الشهرية'!$A$6:$A$1005,$C$3))</f>
        <v/>
      </c>
      <c r="I71" s="156" t="str">
        <f aca="false">IF($B71="","",MIN(G71,IF(AND(AK71&gt;0,AN71&gt;=AK71),G71,AN71)+SUMIFS('الحركات الشهرية'!$E$6:$E$1005,'الحركات الشهرية'!$B$6:$B$1005,$B71,'الحركات الشهرية'!$A$6:$A$1005,$C$3)))</f>
        <v/>
      </c>
      <c r="J71" s="156" t="str">
        <f aca="false">IF($B71="","",MAX(0,G71-H71-I71))</f>
        <v/>
      </c>
      <c r="K71" s="116" t="str">
        <f aca="false">IF($B71="","",الموظفون!$L71*$J71/cfg_DAYS_M)</f>
        <v/>
      </c>
      <c r="L71" s="116" t="str">
        <f aca="false">IF($B71="","",الموظفون!$M71*$J71/cfg_DAYS_M)</f>
        <v/>
      </c>
      <c r="M71" s="116" t="str">
        <f aca="false">IF($B71="","",الموظفون!$N71*$J71/cfg_DAYS_M)</f>
        <v/>
      </c>
      <c r="N71" s="116" t="str">
        <f aca="false">IF($B71="","",الموظفون!$O71*$J71/cfg_DAYS_M)</f>
        <v/>
      </c>
      <c r="O71" s="156" t="str">
        <f aca="false">IF($B71="","",SUMIFS('الحركات الشهرية'!$F$6:$F$1005,'الحركات الشهرية'!$B$6:$B$1005,$B71,'الحركات الشهرية'!$A$6:$A$1005,$C$3))</f>
        <v/>
      </c>
      <c r="P71" s="116" t="str">
        <f aca="false">IF($B71="","",O71*(الموظفون!$P71+الموظفون!$L71*cfg_OT_P)/cfg_DAYS_M/cfg_HRS)</f>
        <v/>
      </c>
      <c r="Q71" s="116" t="str">
        <f aca="false">IF($B71="","",SUMIFS('الحركات الشهرية'!$G$6:$G$1005,'الحركات الشهرية'!$B$6:$B$1005,$B71,'الحركات الشهرية'!$A$6:$A$1005,$C$3))</f>
        <v/>
      </c>
      <c r="R71" s="116" t="str">
        <f aca="false">IF($B71="","",SUMIFS('الحركات الشهرية'!$H$6:$H$1005,'الحركات الشهرية'!$B$6:$B$1005,$B71,'الحركات الشهرية'!$A$6:$A$1005,$C$3))</f>
        <v/>
      </c>
      <c r="S71" s="116" t="str">
        <f aca="false">IF($B71="","",SUMIFS('سجل الإجازات والحالات'!$N$6:$N$505,'سجل الإجازات والحالات'!$B$6:$B$505,$B71,'سجل الإجازات والحالات'!$O$6:$O$505,$C$3))</f>
        <v/>
      </c>
      <c r="T71" s="157" t="str">
        <f aca="false">IF($B71="","",SUM(K71:N71)+SUM(P71:S71))</f>
        <v/>
      </c>
      <c r="U71" s="116" t="str">
        <f aca="false">IF($B71="","",الموظفون!$S71*IF(E71="سعودي",cfg_G_SE,cfg_G_NE)*G71/cfg_DAYS_M)</f>
        <v/>
      </c>
      <c r="V71" s="116" t="str">
        <f aca="false">IF($B71="","",SUMIFS('الحركات الشهرية'!$I$6:$I$1005,'الحركات الشهرية'!$B$6:$B$1005,$B71,'الحركات الشهرية'!$A$6:$A$1005,$C$3))</f>
        <v/>
      </c>
      <c r="W71" s="116" t="str">
        <f aca="false">IF($B71="","",SUMIFS('الحركات الشهرية'!$J$6:$J$1005,'الحركات الشهرية'!$B$6:$B$1005,$B71,'الحركات الشهرية'!$A$6:$A$1005,$C$3))</f>
        <v/>
      </c>
      <c r="X71" s="116" t="str">
        <f aca="false">IF($B71="","",SUM(U71:W71))</f>
        <v/>
      </c>
      <c r="Y71" s="158" t="str">
        <f aca="false">IF($B71="","",T71-X71)</f>
        <v/>
      </c>
      <c r="Z71" s="116" t="str">
        <f aca="false">IF($B71="","",الموظفون!$S71*IF(E71="سعودي",cfg_G_SR,cfg_G_NR)*G71/cfg_DAYS_M)</f>
        <v/>
      </c>
      <c r="AA71" s="116" t="str">
        <f aca="false">IF($B71="","",الموظفون!$Q71*(cfg_EOS_R1*(MIN(AH71,cfg_EOS_TH)-MIN(AI71,cfg_EOS_TH))+cfg_EOS_R2*(MAX(AH71-cfg_EOS_TH,0)-MAX(AI71-cfg_EOS_TH,0))))</f>
        <v/>
      </c>
      <c r="AB71" s="116" t="str">
        <f aca="false">IF($B71="","",IF(الموظفون!$T71&lt;&gt;"",الموظفون!$T71,IF(AH71&gt;=cfg_LV_TH,cfg_LV_D2,cfg_LV_D1))/cfg_DAYS_Y*AJ71*الموظفون!$R71/cfg_DAYS_M)</f>
        <v/>
      </c>
      <c r="AC71" s="116" t="str">
        <f aca="false">IF($B71="","",IF(AND(الموظفون!$U71="نعم",N(الموظفون!$W71)&gt;0),الموظفون!$V71/الموظفون!$W71*12/cfg_DAYS_Y*AJ71,0))</f>
        <v/>
      </c>
      <c r="AD71" s="116" t="str">
        <f aca="false">IF($B71="","",(IF(الموظفون!$X71&lt;&gt;"",الموظفون!$X71,IF(الموظفون!$E71="غير سعودي",cfg_IQ,0))+IF(الموظفون!$Y71&lt;&gt;"",الموظفون!$Y71,IF(الموظفون!$E71="غير سعودي",cfg_WP,0)))/12*G71/cfg_DAYS_M)</f>
        <v/>
      </c>
      <c r="AE71" s="116" t="str">
        <f aca="false">IF($B71="","",IF(الموظفون!$Z71&lt;&gt;"",الموظفون!$Z71,cfg_MED)/12*G71/cfg_DAYS_M)</f>
        <v/>
      </c>
      <c r="AF71" s="116" t="str">
        <f aca="false">IF($B71="","",N(الموظفون!$AA71)/12*G71/cfg_DAYS_M)</f>
        <v/>
      </c>
      <c r="AG71" s="159" t="str">
        <f aca="false">IF($B71="","",T71+SUM(Z71:AF71))</f>
        <v/>
      </c>
      <c r="AH71" s="160" t="str">
        <f aca="false">IF($B71="","",MAX(0,IF(OR(الموظفون!$AE71="",الموظفون!$AE71&gt;$F$3),$F$3,الموظفون!$AE71)-الموظفون!$H71+1-SUMIFS('سجل الإجازات والحالات'!$AP$6:$AP$505,'سجل الإجازات والحالات'!$B$6:$B$505,$B71))/cfg_DAYS_Y)</f>
        <v/>
      </c>
      <c r="AI71" s="160" t="str">
        <f aca="false">IF($B71="","",MAX(0,IF(OR(الموظفون!$AE71="",الموظفون!$AE71&gt;($E$3-1)),($E$3-1),الموظفون!$AE71)-الموظفون!$H71+1-SUMIFS('سجل الإجازات والحالات'!$AO$6:$AO$505,'سجل الإجازات والحالات'!$B$6:$B$505,$B71))/cfg_DAYS_Y)</f>
        <v/>
      </c>
      <c r="AJ71" s="133" t="str">
        <f aca="false">IF($B71="","",MAX(0,AK71-(SUMIFS('سجل الإجازات والحالات'!$AP$6:$AP$505,'سجل الإجازات والحالات'!$B$6:$B$505,$B71)-SUMIFS('سجل الإجازات والحالات'!$AO$6:$AO$505,'سجل الإجازات والحالات'!$B$6:$B$505,$B71))))</f>
        <v/>
      </c>
      <c r="AK71" s="133" t="str">
        <f aca="false">IF($B71="","",MAX(0,IF(OR(الموظفون!$AE71="",الموظفون!$AE71&gt;$F$3),$F$3,الموظفون!$AE71)-MAX($E$3,الموظفون!$H71)+1))</f>
        <v/>
      </c>
      <c r="AL71" s="156" t="str">
        <f aca="false">IF($B71="","",SUMIFS('سجل الإجازات والحالات'!$BB$6:$BB$505,'سجل الإجازات والحالات'!$B$6:$B$505,$B71)+SUMIFS('الحركات الشهرية'!$K$6:$K$1005,'الحركات الشهرية'!$B$6:$B$1005,$B71,'الحركات الشهرية'!$A$6:$A$1005,$C$3))</f>
        <v/>
      </c>
      <c r="AM71" s="116" t="str">
        <f aca="false">IF($B71="","",AL71*الموظفون!$R71/cfg_DAYS_M+S71)</f>
        <v/>
      </c>
      <c r="AN71" s="156" t="str">
        <f aca="false">IF($B71="","",SUMIFS('سجل الإجازات والحالات'!$AD$6:$AD$505,'سجل الإجازات والحالات'!$B$6:$B$505,$B71))</f>
        <v/>
      </c>
    </row>
    <row r="72" customFormat="false" ht="15" hidden="false" customHeight="false" outlineLevel="0" collapsed="false">
      <c r="A72" s="106" t="str">
        <f aca="false">IF($B72="","",الموظفون!$A72)</f>
        <v/>
      </c>
      <c r="B72" s="114" t="str">
        <f aca="false">IF(الموظفون!$B72="","",الموظفون!$B72)</f>
        <v/>
      </c>
      <c r="C72" s="114" t="str">
        <f aca="false">IF($B72="","",الموظفون!$C72)</f>
        <v/>
      </c>
      <c r="D72" s="114" t="str">
        <f aca="false">IF($B72="","",الموظفون!$F72)</f>
        <v/>
      </c>
      <c r="E72" s="114" t="str">
        <f aca="false">IF($B72="","",الموظفون!$E72)</f>
        <v/>
      </c>
      <c r="F72" s="114" t="str">
        <f aca="false">IF($B72="","",IF(AK72=0,IF(AND(الموظفون!$AE72&lt;&gt;"",الموظفون!$AE72&lt;$E$3),"✖ منتهي الخدمة","⏳ لم يباشر"),IF(S72&gt;0,"✈ راتب إجازة مقدم",IF(J72=0,"⛔ بدون راتب هذا الشهر",IF(I72&gt;0,"✈ خصم "&amp;ROUND(I72,2)&amp;" يوم بدون أجر",IF(AL72&gt;0,"🌴 إجازة سنوية "&amp;ROUND(AL72,2)&amp;" يوم",IF(H72&gt;0,"⚠ غياب "&amp;ROUND(H72,2)&amp;" يوم","✔ على رأس العمل")))))))</f>
        <v/>
      </c>
      <c r="G72" s="151" t="str">
        <f aca="false">IF($B72="","",IF(AK72&gt;=DAY($F$3),cfg_DAYS_M,MIN(AK72,cfg_DAYS_M)))</f>
        <v/>
      </c>
      <c r="H72" s="151" t="str">
        <f aca="false">IF($B72="","",SUMIFS('الحركات الشهرية'!$D$6:$D$1005,'الحركات الشهرية'!$B$6:$B$1005,$B72,'الحركات الشهرية'!$A$6:$A$1005,$C$3))</f>
        <v/>
      </c>
      <c r="I72" s="151" t="str">
        <f aca="false">IF($B72="","",MIN(G72,IF(AND(AK72&gt;0,AN72&gt;=AK72),G72,AN72)+SUMIFS('الحركات الشهرية'!$E$6:$E$1005,'الحركات الشهرية'!$B$6:$B$1005,$B72,'الحركات الشهرية'!$A$6:$A$1005,$C$3)))</f>
        <v/>
      </c>
      <c r="J72" s="151" t="str">
        <f aca="false">IF($B72="","",MAX(0,G72-H72-I72))</f>
        <v/>
      </c>
      <c r="K72" s="111" t="str">
        <f aca="false">IF($B72="","",الموظفون!$L72*$J72/cfg_DAYS_M)</f>
        <v/>
      </c>
      <c r="L72" s="111" t="str">
        <f aca="false">IF($B72="","",الموظفون!$M72*$J72/cfg_DAYS_M)</f>
        <v/>
      </c>
      <c r="M72" s="111" t="str">
        <f aca="false">IF($B72="","",الموظفون!$N72*$J72/cfg_DAYS_M)</f>
        <v/>
      </c>
      <c r="N72" s="111" t="str">
        <f aca="false">IF($B72="","",الموظفون!$O72*$J72/cfg_DAYS_M)</f>
        <v/>
      </c>
      <c r="O72" s="151" t="str">
        <f aca="false">IF($B72="","",SUMIFS('الحركات الشهرية'!$F$6:$F$1005,'الحركات الشهرية'!$B$6:$B$1005,$B72,'الحركات الشهرية'!$A$6:$A$1005,$C$3))</f>
        <v/>
      </c>
      <c r="P72" s="111" t="str">
        <f aca="false">IF($B72="","",O72*(الموظفون!$P72+الموظفون!$L72*cfg_OT_P)/cfg_DAYS_M/cfg_HRS)</f>
        <v/>
      </c>
      <c r="Q72" s="111" t="str">
        <f aca="false">IF($B72="","",SUMIFS('الحركات الشهرية'!$G$6:$G$1005,'الحركات الشهرية'!$B$6:$B$1005,$B72,'الحركات الشهرية'!$A$6:$A$1005,$C$3))</f>
        <v/>
      </c>
      <c r="R72" s="111" t="str">
        <f aca="false">IF($B72="","",SUMIFS('الحركات الشهرية'!$H$6:$H$1005,'الحركات الشهرية'!$B$6:$B$1005,$B72,'الحركات الشهرية'!$A$6:$A$1005,$C$3))</f>
        <v/>
      </c>
      <c r="S72" s="111" t="str">
        <f aca="false">IF($B72="","",SUMIFS('سجل الإجازات والحالات'!$N$6:$N$505,'سجل الإجازات والحالات'!$B$6:$B$505,$B72,'سجل الإجازات والحالات'!$O$6:$O$505,$C$3))</f>
        <v/>
      </c>
      <c r="T72" s="152" t="str">
        <f aca="false">IF($B72="","",SUM(K72:N72)+SUM(P72:S72))</f>
        <v/>
      </c>
      <c r="U72" s="111" t="str">
        <f aca="false">IF($B72="","",الموظفون!$S72*IF(E72="سعودي",cfg_G_SE,cfg_G_NE)*G72/cfg_DAYS_M)</f>
        <v/>
      </c>
      <c r="V72" s="111" t="str">
        <f aca="false">IF($B72="","",SUMIFS('الحركات الشهرية'!$I$6:$I$1005,'الحركات الشهرية'!$B$6:$B$1005,$B72,'الحركات الشهرية'!$A$6:$A$1005,$C$3))</f>
        <v/>
      </c>
      <c r="W72" s="111" t="str">
        <f aca="false">IF($B72="","",SUMIFS('الحركات الشهرية'!$J$6:$J$1005,'الحركات الشهرية'!$B$6:$B$1005,$B72,'الحركات الشهرية'!$A$6:$A$1005,$C$3))</f>
        <v/>
      </c>
      <c r="X72" s="111" t="str">
        <f aca="false">IF($B72="","",SUM(U72:W72))</f>
        <v/>
      </c>
      <c r="Y72" s="153" t="str">
        <f aca="false">IF($B72="","",T72-X72)</f>
        <v/>
      </c>
      <c r="Z72" s="111" t="str">
        <f aca="false">IF($B72="","",الموظفون!$S72*IF(E72="سعودي",cfg_G_SR,cfg_G_NR)*G72/cfg_DAYS_M)</f>
        <v/>
      </c>
      <c r="AA72" s="111" t="str">
        <f aca="false">IF($B72="","",الموظفون!$Q72*(cfg_EOS_R1*(MIN(AH72,cfg_EOS_TH)-MIN(AI72,cfg_EOS_TH))+cfg_EOS_R2*(MAX(AH72-cfg_EOS_TH,0)-MAX(AI72-cfg_EOS_TH,0))))</f>
        <v/>
      </c>
      <c r="AB72" s="111" t="str">
        <f aca="false">IF($B72="","",IF(الموظفون!$T72&lt;&gt;"",الموظفون!$T72,IF(AH72&gt;=cfg_LV_TH,cfg_LV_D2,cfg_LV_D1))/cfg_DAYS_Y*AJ72*الموظفون!$R72/cfg_DAYS_M)</f>
        <v/>
      </c>
      <c r="AC72" s="111" t="str">
        <f aca="false">IF($B72="","",IF(AND(الموظفون!$U72="نعم",N(الموظفون!$W72)&gt;0),الموظفون!$V72/الموظفون!$W72*12/cfg_DAYS_Y*AJ72,0))</f>
        <v/>
      </c>
      <c r="AD72" s="111" t="str">
        <f aca="false">IF($B72="","",(IF(الموظفون!$X72&lt;&gt;"",الموظفون!$X72,IF(الموظفون!$E72="غير سعودي",cfg_IQ,0))+IF(الموظفون!$Y72&lt;&gt;"",الموظفون!$Y72,IF(الموظفون!$E72="غير سعودي",cfg_WP,0)))/12*G72/cfg_DAYS_M)</f>
        <v/>
      </c>
      <c r="AE72" s="111" t="str">
        <f aca="false">IF($B72="","",IF(الموظفون!$Z72&lt;&gt;"",الموظفون!$Z72,cfg_MED)/12*G72/cfg_DAYS_M)</f>
        <v/>
      </c>
      <c r="AF72" s="111" t="str">
        <f aca="false">IF($B72="","",N(الموظفون!$AA72)/12*G72/cfg_DAYS_M)</f>
        <v/>
      </c>
      <c r="AG72" s="154" t="str">
        <f aca="false">IF($B72="","",T72+SUM(Z72:AF72))</f>
        <v/>
      </c>
      <c r="AH72" s="155" t="str">
        <f aca="false">IF($B72="","",MAX(0,IF(OR(الموظفون!$AE72="",الموظفون!$AE72&gt;$F$3),$F$3,الموظفون!$AE72)-الموظفون!$H72+1-SUMIFS('سجل الإجازات والحالات'!$AP$6:$AP$505,'سجل الإجازات والحالات'!$B$6:$B$505,$B72))/cfg_DAYS_Y)</f>
        <v/>
      </c>
      <c r="AI72" s="155" t="str">
        <f aca="false">IF($B72="","",MAX(0,IF(OR(الموظفون!$AE72="",الموظفون!$AE72&gt;($E$3-1)),($E$3-1),الموظفون!$AE72)-الموظفون!$H72+1-SUMIFS('سجل الإجازات والحالات'!$AO$6:$AO$505,'سجل الإجازات والحالات'!$B$6:$B$505,$B72))/cfg_DAYS_Y)</f>
        <v/>
      </c>
      <c r="AJ72" s="65" t="str">
        <f aca="false">IF($B72="","",MAX(0,AK72-(SUMIFS('سجل الإجازات والحالات'!$AP$6:$AP$505,'سجل الإجازات والحالات'!$B$6:$B$505,$B72)-SUMIFS('سجل الإجازات والحالات'!$AO$6:$AO$505,'سجل الإجازات والحالات'!$B$6:$B$505,$B72))))</f>
        <v/>
      </c>
      <c r="AK72" s="65" t="str">
        <f aca="false">IF($B72="","",MAX(0,IF(OR(الموظفون!$AE72="",الموظفون!$AE72&gt;$F$3),$F$3,الموظفون!$AE72)-MAX($E$3,الموظفون!$H72)+1))</f>
        <v/>
      </c>
      <c r="AL72" s="151" t="str">
        <f aca="false">IF($B72="","",SUMIFS('سجل الإجازات والحالات'!$BB$6:$BB$505,'سجل الإجازات والحالات'!$B$6:$B$505,$B72)+SUMIFS('الحركات الشهرية'!$K$6:$K$1005,'الحركات الشهرية'!$B$6:$B$1005,$B72,'الحركات الشهرية'!$A$6:$A$1005,$C$3))</f>
        <v/>
      </c>
      <c r="AM72" s="111" t="str">
        <f aca="false">IF($B72="","",AL72*الموظفون!$R72/cfg_DAYS_M+S72)</f>
        <v/>
      </c>
      <c r="AN72" s="151" t="str">
        <f aca="false">IF($B72="","",SUMIFS('سجل الإجازات والحالات'!$AD$6:$AD$505,'سجل الإجازات والحالات'!$B$6:$B$505,$B72))</f>
        <v/>
      </c>
    </row>
    <row r="73" customFormat="false" ht="15" hidden="false" customHeight="false" outlineLevel="0" collapsed="false">
      <c r="A73" s="115" t="str">
        <f aca="false">IF($B73="","",الموظفون!$A73)</f>
        <v/>
      </c>
      <c r="B73" s="117" t="str">
        <f aca="false">IF(الموظفون!$B73="","",الموظفون!$B73)</f>
        <v/>
      </c>
      <c r="C73" s="117" t="str">
        <f aca="false">IF($B73="","",الموظفون!$C73)</f>
        <v/>
      </c>
      <c r="D73" s="117" t="str">
        <f aca="false">IF($B73="","",الموظفون!$F73)</f>
        <v/>
      </c>
      <c r="E73" s="117" t="str">
        <f aca="false">IF($B73="","",الموظفون!$E73)</f>
        <v/>
      </c>
      <c r="F73" s="117" t="str">
        <f aca="false">IF($B73="","",IF(AK73=0,IF(AND(الموظفون!$AE73&lt;&gt;"",الموظفون!$AE73&lt;$E$3),"✖ منتهي الخدمة","⏳ لم يباشر"),IF(S73&gt;0,"✈ راتب إجازة مقدم",IF(J73=0,"⛔ بدون راتب هذا الشهر",IF(I73&gt;0,"✈ خصم "&amp;ROUND(I73,2)&amp;" يوم بدون أجر",IF(AL73&gt;0,"🌴 إجازة سنوية "&amp;ROUND(AL73,2)&amp;" يوم",IF(H73&gt;0,"⚠ غياب "&amp;ROUND(H73,2)&amp;" يوم","✔ على رأس العمل")))))))</f>
        <v/>
      </c>
      <c r="G73" s="156" t="str">
        <f aca="false">IF($B73="","",IF(AK73&gt;=DAY($F$3),cfg_DAYS_M,MIN(AK73,cfg_DAYS_M)))</f>
        <v/>
      </c>
      <c r="H73" s="156" t="str">
        <f aca="false">IF($B73="","",SUMIFS('الحركات الشهرية'!$D$6:$D$1005,'الحركات الشهرية'!$B$6:$B$1005,$B73,'الحركات الشهرية'!$A$6:$A$1005,$C$3))</f>
        <v/>
      </c>
      <c r="I73" s="156" t="str">
        <f aca="false">IF($B73="","",MIN(G73,IF(AND(AK73&gt;0,AN73&gt;=AK73),G73,AN73)+SUMIFS('الحركات الشهرية'!$E$6:$E$1005,'الحركات الشهرية'!$B$6:$B$1005,$B73,'الحركات الشهرية'!$A$6:$A$1005,$C$3)))</f>
        <v/>
      </c>
      <c r="J73" s="156" t="str">
        <f aca="false">IF($B73="","",MAX(0,G73-H73-I73))</f>
        <v/>
      </c>
      <c r="K73" s="116" t="str">
        <f aca="false">IF($B73="","",الموظفون!$L73*$J73/cfg_DAYS_M)</f>
        <v/>
      </c>
      <c r="L73" s="116" t="str">
        <f aca="false">IF($B73="","",الموظفون!$M73*$J73/cfg_DAYS_M)</f>
        <v/>
      </c>
      <c r="M73" s="116" t="str">
        <f aca="false">IF($B73="","",الموظفون!$N73*$J73/cfg_DAYS_M)</f>
        <v/>
      </c>
      <c r="N73" s="116" t="str">
        <f aca="false">IF($B73="","",الموظفون!$O73*$J73/cfg_DAYS_M)</f>
        <v/>
      </c>
      <c r="O73" s="156" t="str">
        <f aca="false">IF($B73="","",SUMIFS('الحركات الشهرية'!$F$6:$F$1005,'الحركات الشهرية'!$B$6:$B$1005,$B73,'الحركات الشهرية'!$A$6:$A$1005,$C$3))</f>
        <v/>
      </c>
      <c r="P73" s="116" t="str">
        <f aca="false">IF($B73="","",O73*(الموظفون!$P73+الموظفون!$L73*cfg_OT_P)/cfg_DAYS_M/cfg_HRS)</f>
        <v/>
      </c>
      <c r="Q73" s="116" t="str">
        <f aca="false">IF($B73="","",SUMIFS('الحركات الشهرية'!$G$6:$G$1005,'الحركات الشهرية'!$B$6:$B$1005,$B73,'الحركات الشهرية'!$A$6:$A$1005,$C$3))</f>
        <v/>
      </c>
      <c r="R73" s="116" t="str">
        <f aca="false">IF($B73="","",SUMIFS('الحركات الشهرية'!$H$6:$H$1005,'الحركات الشهرية'!$B$6:$B$1005,$B73,'الحركات الشهرية'!$A$6:$A$1005,$C$3))</f>
        <v/>
      </c>
      <c r="S73" s="116" t="str">
        <f aca="false">IF($B73="","",SUMIFS('سجل الإجازات والحالات'!$N$6:$N$505,'سجل الإجازات والحالات'!$B$6:$B$505,$B73,'سجل الإجازات والحالات'!$O$6:$O$505,$C$3))</f>
        <v/>
      </c>
      <c r="T73" s="157" t="str">
        <f aca="false">IF($B73="","",SUM(K73:N73)+SUM(P73:S73))</f>
        <v/>
      </c>
      <c r="U73" s="116" t="str">
        <f aca="false">IF($B73="","",الموظفون!$S73*IF(E73="سعودي",cfg_G_SE,cfg_G_NE)*G73/cfg_DAYS_M)</f>
        <v/>
      </c>
      <c r="V73" s="116" t="str">
        <f aca="false">IF($B73="","",SUMIFS('الحركات الشهرية'!$I$6:$I$1005,'الحركات الشهرية'!$B$6:$B$1005,$B73,'الحركات الشهرية'!$A$6:$A$1005,$C$3))</f>
        <v/>
      </c>
      <c r="W73" s="116" t="str">
        <f aca="false">IF($B73="","",SUMIFS('الحركات الشهرية'!$J$6:$J$1005,'الحركات الشهرية'!$B$6:$B$1005,$B73,'الحركات الشهرية'!$A$6:$A$1005,$C$3))</f>
        <v/>
      </c>
      <c r="X73" s="116" t="str">
        <f aca="false">IF($B73="","",SUM(U73:W73))</f>
        <v/>
      </c>
      <c r="Y73" s="158" t="str">
        <f aca="false">IF($B73="","",T73-X73)</f>
        <v/>
      </c>
      <c r="Z73" s="116" t="str">
        <f aca="false">IF($B73="","",الموظفون!$S73*IF(E73="سعودي",cfg_G_SR,cfg_G_NR)*G73/cfg_DAYS_M)</f>
        <v/>
      </c>
      <c r="AA73" s="116" t="str">
        <f aca="false">IF($B73="","",الموظفون!$Q73*(cfg_EOS_R1*(MIN(AH73,cfg_EOS_TH)-MIN(AI73,cfg_EOS_TH))+cfg_EOS_R2*(MAX(AH73-cfg_EOS_TH,0)-MAX(AI73-cfg_EOS_TH,0))))</f>
        <v/>
      </c>
      <c r="AB73" s="116" t="str">
        <f aca="false">IF($B73="","",IF(الموظفون!$T73&lt;&gt;"",الموظفون!$T73,IF(AH73&gt;=cfg_LV_TH,cfg_LV_D2,cfg_LV_D1))/cfg_DAYS_Y*AJ73*الموظفون!$R73/cfg_DAYS_M)</f>
        <v/>
      </c>
      <c r="AC73" s="116" t="str">
        <f aca="false">IF($B73="","",IF(AND(الموظفون!$U73="نعم",N(الموظفون!$W73)&gt;0),الموظفون!$V73/الموظفون!$W73*12/cfg_DAYS_Y*AJ73,0))</f>
        <v/>
      </c>
      <c r="AD73" s="116" t="str">
        <f aca="false">IF($B73="","",(IF(الموظفون!$X73&lt;&gt;"",الموظفون!$X73,IF(الموظفون!$E73="غير سعودي",cfg_IQ,0))+IF(الموظفون!$Y73&lt;&gt;"",الموظفون!$Y73,IF(الموظفون!$E73="غير سعودي",cfg_WP,0)))/12*G73/cfg_DAYS_M)</f>
        <v/>
      </c>
      <c r="AE73" s="116" t="str">
        <f aca="false">IF($B73="","",IF(الموظفون!$Z73&lt;&gt;"",الموظفون!$Z73,cfg_MED)/12*G73/cfg_DAYS_M)</f>
        <v/>
      </c>
      <c r="AF73" s="116" t="str">
        <f aca="false">IF($B73="","",N(الموظفون!$AA73)/12*G73/cfg_DAYS_M)</f>
        <v/>
      </c>
      <c r="AG73" s="159" t="str">
        <f aca="false">IF($B73="","",T73+SUM(Z73:AF73))</f>
        <v/>
      </c>
      <c r="AH73" s="160" t="str">
        <f aca="false">IF($B73="","",MAX(0,IF(OR(الموظفون!$AE73="",الموظفون!$AE73&gt;$F$3),$F$3,الموظفون!$AE73)-الموظفون!$H73+1-SUMIFS('سجل الإجازات والحالات'!$AP$6:$AP$505,'سجل الإجازات والحالات'!$B$6:$B$505,$B73))/cfg_DAYS_Y)</f>
        <v/>
      </c>
      <c r="AI73" s="160" t="str">
        <f aca="false">IF($B73="","",MAX(0,IF(OR(الموظفون!$AE73="",الموظفون!$AE73&gt;($E$3-1)),($E$3-1),الموظفون!$AE73)-الموظفون!$H73+1-SUMIFS('سجل الإجازات والحالات'!$AO$6:$AO$505,'سجل الإجازات والحالات'!$B$6:$B$505,$B73))/cfg_DAYS_Y)</f>
        <v/>
      </c>
      <c r="AJ73" s="133" t="str">
        <f aca="false">IF($B73="","",MAX(0,AK73-(SUMIFS('سجل الإجازات والحالات'!$AP$6:$AP$505,'سجل الإجازات والحالات'!$B$6:$B$505,$B73)-SUMIFS('سجل الإجازات والحالات'!$AO$6:$AO$505,'سجل الإجازات والحالات'!$B$6:$B$505,$B73))))</f>
        <v/>
      </c>
      <c r="AK73" s="133" t="str">
        <f aca="false">IF($B73="","",MAX(0,IF(OR(الموظفون!$AE73="",الموظفون!$AE73&gt;$F$3),$F$3,الموظفون!$AE73)-MAX($E$3,الموظفون!$H73)+1))</f>
        <v/>
      </c>
      <c r="AL73" s="156" t="str">
        <f aca="false">IF($B73="","",SUMIFS('سجل الإجازات والحالات'!$BB$6:$BB$505,'سجل الإجازات والحالات'!$B$6:$B$505,$B73)+SUMIFS('الحركات الشهرية'!$K$6:$K$1005,'الحركات الشهرية'!$B$6:$B$1005,$B73,'الحركات الشهرية'!$A$6:$A$1005,$C$3))</f>
        <v/>
      </c>
      <c r="AM73" s="116" t="str">
        <f aca="false">IF($B73="","",AL73*الموظفون!$R73/cfg_DAYS_M+S73)</f>
        <v/>
      </c>
      <c r="AN73" s="156" t="str">
        <f aca="false">IF($B73="","",SUMIFS('سجل الإجازات والحالات'!$AD$6:$AD$505,'سجل الإجازات والحالات'!$B$6:$B$505,$B73))</f>
        <v/>
      </c>
    </row>
    <row r="74" customFormat="false" ht="15" hidden="false" customHeight="false" outlineLevel="0" collapsed="false">
      <c r="A74" s="106" t="str">
        <f aca="false">IF($B74="","",الموظفون!$A74)</f>
        <v/>
      </c>
      <c r="B74" s="114" t="str">
        <f aca="false">IF(الموظفون!$B74="","",الموظفون!$B74)</f>
        <v/>
      </c>
      <c r="C74" s="114" t="str">
        <f aca="false">IF($B74="","",الموظفون!$C74)</f>
        <v/>
      </c>
      <c r="D74" s="114" t="str">
        <f aca="false">IF($B74="","",الموظفون!$F74)</f>
        <v/>
      </c>
      <c r="E74" s="114" t="str">
        <f aca="false">IF($B74="","",الموظفون!$E74)</f>
        <v/>
      </c>
      <c r="F74" s="114" t="str">
        <f aca="false">IF($B74="","",IF(AK74=0,IF(AND(الموظفون!$AE74&lt;&gt;"",الموظفون!$AE74&lt;$E$3),"✖ منتهي الخدمة","⏳ لم يباشر"),IF(S74&gt;0,"✈ راتب إجازة مقدم",IF(J74=0,"⛔ بدون راتب هذا الشهر",IF(I74&gt;0,"✈ خصم "&amp;ROUND(I74,2)&amp;" يوم بدون أجر",IF(AL74&gt;0,"🌴 إجازة سنوية "&amp;ROUND(AL74,2)&amp;" يوم",IF(H74&gt;0,"⚠ غياب "&amp;ROUND(H74,2)&amp;" يوم","✔ على رأس العمل")))))))</f>
        <v/>
      </c>
      <c r="G74" s="151" t="str">
        <f aca="false">IF($B74="","",IF(AK74&gt;=DAY($F$3),cfg_DAYS_M,MIN(AK74,cfg_DAYS_M)))</f>
        <v/>
      </c>
      <c r="H74" s="151" t="str">
        <f aca="false">IF($B74="","",SUMIFS('الحركات الشهرية'!$D$6:$D$1005,'الحركات الشهرية'!$B$6:$B$1005,$B74,'الحركات الشهرية'!$A$6:$A$1005,$C$3))</f>
        <v/>
      </c>
      <c r="I74" s="151" t="str">
        <f aca="false">IF($B74="","",MIN(G74,IF(AND(AK74&gt;0,AN74&gt;=AK74),G74,AN74)+SUMIFS('الحركات الشهرية'!$E$6:$E$1005,'الحركات الشهرية'!$B$6:$B$1005,$B74,'الحركات الشهرية'!$A$6:$A$1005,$C$3)))</f>
        <v/>
      </c>
      <c r="J74" s="151" t="str">
        <f aca="false">IF($B74="","",MAX(0,G74-H74-I74))</f>
        <v/>
      </c>
      <c r="K74" s="111" t="str">
        <f aca="false">IF($B74="","",الموظفون!$L74*$J74/cfg_DAYS_M)</f>
        <v/>
      </c>
      <c r="L74" s="111" t="str">
        <f aca="false">IF($B74="","",الموظفون!$M74*$J74/cfg_DAYS_M)</f>
        <v/>
      </c>
      <c r="M74" s="111" t="str">
        <f aca="false">IF($B74="","",الموظفون!$N74*$J74/cfg_DAYS_M)</f>
        <v/>
      </c>
      <c r="N74" s="111" t="str">
        <f aca="false">IF($B74="","",الموظفون!$O74*$J74/cfg_DAYS_M)</f>
        <v/>
      </c>
      <c r="O74" s="151" t="str">
        <f aca="false">IF($B74="","",SUMIFS('الحركات الشهرية'!$F$6:$F$1005,'الحركات الشهرية'!$B$6:$B$1005,$B74,'الحركات الشهرية'!$A$6:$A$1005,$C$3))</f>
        <v/>
      </c>
      <c r="P74" s="111" t="str">
        <f aca="false">IF($B74="","",O74*(الموظفون!$P74+الموظفون!$L74*cfg_OT_P)/cfg_DAYS_M/cfg_HRS)</f>
        <v/>
      </c>
      <c r="Q74" s="111" t="str">
        <f aca="false">IF($B74="","",SUMIFS('الحركات الشهرية'!$G$6:$G$1005,'الحركات الشهرية'!$B$6:$B$1005,$B74,'الحركات الشهرية'!$A$6:$A$1005,$C$3))</f>
        <v/>
      </c>
      <c r="R74" s="111" t="str">
        <f aca="false">IF($B74="","",SUMIFS('الحركات الشهرية'!$H$6:$H$1005,'الحركات الشهرية'!$B$6:$B$1005,$B74,'الحركات الشهرية'!$A$6:$A$1005,$C$3))</f>
        <v/>
      </c>
      <c r="S74" s="111" t="str">
        <f aca="false">IF($B74="","",SUMIFS('سجل الإجازات والحالات'!$N$6:$N$505,'سجل الإجازات والحالات'!$B$6:$B$505,$B74,'سجل الإجازات والحالات'!$O$6:$O$505,$C$3))</f>
        <v/>
      </c>
      <c r="T74" s="152" t="str">
        <f aca="false">IF($B74="","",SUM(K74:N74)+SUM(P74:S74))</f>
        <v/>
      </c>
      <c r="U74" s="111" t="str">
        <f aca="false">IF($B74="","",الموظفون!$S74*IF(E74="سعودي",cfg_G_SE,cfg_G_NE)*G74/cfg_DAYS_M)</f>
        <v/>
      </c>
      <c r="V74" s="111" t="str">
        <f aca="false">IF($B74="","",SUMIFS('الحركات الشهرية'!$I$6:$I$1005,'الحركات الشهرية'!$B$6:$B$1005,$B74,'الحركات الشهرية'!$A$6:$A$1005,$C$3))</f>
        <v/>
      </c>
      <c r="W74" s="111" t="str">
        <f aca="false">IF($B74="","",SUMIFS('الحركات الشهرية'!$J$6:$J$1005,'الحركات الشهرية'!$B$6:$B$1005,$B74,'الحركات الشهرية'!$A$6:$A$1005,$C$3))</f>
        <v/>
      </c>
      <c r="X74" s="111" t="str">
        <f aca="false">IF($B74="","",SUM(U74:W74))</f>
        <v/>
      </c>
      <c r="Y74" s="153" t="str">
        <f aca="false">IF($B74="","",T74-X74)</f>
        <v/>
      </c>
      <c r="Z74" s="111" t="str">
        <f aca="false">IF($B74="","",الموظفون!$S74*IF(E74="سعودي",cfg_G_SR,cfg_G_NR)*G74/cfg_DAYS_M)</f>
        <v/>
      </c>
      <c r="AA74" s="111" t="str">
        <f aca="false">IF($B74="","",الموظفون!$Q74*(cfg_EOS_R1*(MIN(AH74,cfg_EOS_TH)-MIN(AI74,cfg_EOS_TH))+cfg_EOS_R2*(MAX(AH74-cfg_EOS_TH,0)-MAX(AI74-cfg_EOS_TH,0))))</f>
        <v/>
      </c>
      <c r="AB74" s="111" t="str">
        <f aca="false">IF($B74="","",IF(الموظفون!$T74&lt;&gt;"",الموظفون!$T74,IF(AH74&gt;=cfg_LV_TH,cfg_LV_D2,cfg_LV_D1))/cfg_DAYS_Y*AJ74*الموظفون!$R74/cfg_DAYS_M)</f>
        <v/>
      </c>
      <c r="AC74" s="111" t="str">
        <f aca="false">IF($B74="","",IF(AND(الموظفون!$U74="نعم",N(الموظفون!$W74)&gt;0),الموظفون!$V74/الموظفون!$W74*12/cfg_DAYS_Y*AJ74,0))</f>
        <v/>
      </c>
      <c r="AD74" s="111" t="str">
        <f aca="false">IF($B74="","",(IF(الموظفون!$X74&lt;&gt;"",الموظفون!$X74,IF(الموظفون!$E74="غير سعودي",cfg_IQ,0))+IF(الموظفون!$Y74&lt;&gt;"",الموظفون!$Y74,IF(الموظفون!$E74="غير سعودي",cfg_WP,0)))/12*G74/cfg_DAYS_M)</f>
        <v/>
      </c>
      <c r="AE74" s="111" t="str">
        <f aca="false">IF($B74="","",IF(الموظفون!$Z74&lt;&gt;"",الموظفون!$Z74,cfg_MED)/12*G74/cfg_DAYS_M)</f>
        <v/>
      </c>
      <c r="AF74" s="111" t="str">
        <f aca="false">IF($B74="","",N(الموظفون!$AA74)/12*G74/cfg_DAYS_M)</f>
        <v/>
      </c>
      <c r="AG74" s="154" t="str">
        <f aca="false">IF($B74="","",T74+SUM(Z74:AF74))</f>
        <v/>
      </c>
      <c r="AH74" s="155" t="str">
        <f aca="false">IF($B74="","",MAX(0,IF(OR(الموظفون!$AE74="",الموظفون!$AE74&gt;$F$3),$F$3,الموظفون!$AE74)-الموظفون!$H74+1-SUMIFS('سجل الإجازات والحالات'!$AP$6:$AP$505,'سجل الإجازات والحالات'!$B$6:$B$505,$B74))/cfg_DAYS_Y)</f>
        <v/>
      </c>
      <c r="AI74" s="155" t="str">
        <f aca="false">IF($B74="","",MAX(0,IF(OR(الموظفون!$AE74="",الموظفون!$AE74&gt;($E$3-1)),($E$3-1),الموظفون!$AE74)-الموظفون!$H74+1-SUMIFS('سجل الإجازات والحالات'!$AO$6:$AO$505,'سجل الإجازات والحالات'!$B$6:$B$505,$B74))/cfg_DAYS_Y)</f>
        <v/>
      </c>
      <c r="AJ74" s="65" t="str">
        <f aca="false">IF($B74="","",MAX(0,AK74-(SUMIFS('سجل الإجازات والحالات'!$AP$6:$AP$505,'سجل الإجازات والحالات'!$B$6:$B$505,$B74)-SUMIFS('سجل الإجازات والحالات'!$AO$6:$AO$505,'سجل الإجازات والحالات'!$B$6:$B$505,$B74))))</f>
        <v/>
      </c>
      <c r="AK74" s="65" t="str">
        <f aca="false">IF($B74="","",MAX(0,IF(OR(الموظفون!$AE74="",الموظفون!$AE74&gt;$F$3),$F$3,الموظفون!$AE74)-MAX($E$3,الموظفون!$H74)+1))</f>
        <v/>
      </c>
      <c r="AL74" s="151" t="str">
        <f aca="false">IF($B74="","",SUMIFS('سجل الإجازات والحالات'!$BB$6:$BB$505,'سجل الإجازات والحالات'!$B$6:$B$505,$B74)+SUMIFS('الحركات الشهرية'!$K$6:$K$1005,'الحركات الشهرية'!$B$6:$B$1005,$B74,'الحركات الشهرية'!$A$6:$A$1005,$C$3))</f>
        <v/>
      </c>
      <c r="AM74" s="111" t="str">
        <f aca="false">IF($B74="","",AL74*الموظفون!$R74/cfg_DAYS_M+S74)</f>
        <v/>
      </c>
      <c r="AN74" s="151" t="str">
        <f aca="false">IF($B74="","",SUMIFS('سجل الإجازات والحالات'!$AD$6:$AD$505,'سجل الإجازات والحالات'!$B$6:$B$505,$B74))</f>
        <v/>
      </c>
    </row>
    <row r="75" customFormat="false" ht="15" hidden="false" customHeight="false" outlineLevel="0" collapsed="false">
      <c r="A75" s="115" t="str">
        <f aca="false">IF($B75="","",الموظفون!$A75)</f>
        <v/>
      </c>
      <c r="B75" s="117" t="str">
        <f aca="false">IF(الموظفون!$B75="","",الموظفون!$B75)</f>
        <v/>
      </c>
      <c r="C75" s="117" t="str">
        <f aca="false">IF($B75="","",الموظفون!$C75)</f>
        <v/>
      </c>
      <c r="D75" s="117" t="str">
        <f aca="false">IF($B75="","",الموظفون!$F75)</f>
        <v/>
      </c>
      <c r="E75" s="117" t="str">
        <f aca="false">IF($B75="","",الموظفون!$E75)</f>
        <v/>
      </c>
      <c r="F75" s="117" t="str">
        <f aca="false">IF($B75="","",IF(AK75=0,IF(AND(الموظفون!$AE75&lt;&gt;"",الموظفون!$AE75&lt;$E$3),"✖ منتهي الخدمة","⏳ لم يباشر"),IF(S75&gt;0,"✈ راتب إجازة مقدم",IF(J75=0,"⛔ بدون راتب هذا الشهر",IF(I75&gt;0,"✈ خصم "&amp;ROUND(I75,2)&amp;" يوم بدون أجر",IF(AL75&gt;0,"🌴 إجازة سنوية "&amp;ROUND(AL75,2)&amp;" يوم",IF(H75&gt;0,"⚠ غياب "&amp;ROUND(H75,2)&amp;" يوم","✔ على رأس العمل")))))))</f>
        <v/>
      </c>
      <c r="G75" s="156" t="str">
        <f aca="false">IF($B75="","",IF(AK75&gt;=DAY($F$3),cfg_DAYS_M,MIN(AK75,cfg_DAYS_M)))</f>
        <v/>
      </c>
      <c r="H75" s="156" t="str">
        <f aca="false">IF($B75="","",SUMIFS('الحركات الشهرية'!$D$6:$D$1005,'الحركات الشهرية'!$B$6:$B$1005,$B75,'الحركات الشهرية'!$A$6:$A$1005,$C$3))</f>
        <v/>
      </c>
      <c r="I75" s="156" t="str">
        <f aca="false">IF($B75="","",MIN(G75,IF(AND(AK75&gt;0,AN75&gt;=AK75),G75,AN75)+SUMIFS('الحركات الشهرية'!$E$6:$E$1005,'الحركات الشهرية'!$B$6:$B$1005,$B75,'الحركات الشهرية'!$A$6:$A$1005,$C$3)))</f>
        <v/>
      </c>
      <c r="J75" s="156" t="str">
        <f aca="false">IF($B75="","",MAX(0,G75-H75-I75))</f>
        <v/>
      </c>
      <c r="K75" s="116" t="str">
        <f aca="false">IF($B75="","",الموظفون!$L75*$J75/cfg_DAYS_M)</f>
        <v/>
      </c>
      <c r="L75" s="116" t="str">
        <f aca="false">IF($B75="","",الموظفون!$M75*$J75/cfg_DAYS_M)</f>
        <v/>
      </c>
      <c r="M75" s="116" t="str">
        <f aca="false">IF($B75="","",الموظفون!$N75*$J75/cfg_DAYS_M)</f>
        <v/>
      </c>
      <c r="N75" s="116" t="str">
        <f aca="false">IF($B75="","",الموظفون!$O75*$J75/cfg_DAYS_M)</f>
        <v/>
      </c>
      <c r="O75" s="156" t="str">
        <f aca="false">IF($B75="","",SUMIFS('الحركات الشهرية'!$F$6:$F$1005,'الحركات الشهرية'!$B$6:$B$1005,$B75,'الحركات الشهرية'!$A$6:$A$1005,$C$3))</f>
        <v/>
      </c>
      <c r="P75" s="116" t="str">
        <f aca="false">IF($B75="","",O75*(الموظفون!$P75+الموظفون!$L75*cfg_OT_P)/cfg_DAYS_M/cfg_HRS)</f>
        <v/>
      </c>
      <c r="Q75" s="116" t="str">
        <f aca="false">IF($B75="","",SUMIFS('الحركات الشهرية'!$G$6:$G$1005,'الحركات الشهرية'!$B$6:$B$1005,$B75,'الحركات الشهرية'!$A$6:$A$1005,$C$3))</f>
        <v/>
      </c>
      <c r="R75" s="116" t="str">
        <f aca="false">IF($B75="","",SUMIFS('الحركات الشهرية'!$H$6:$H$1005,'الحركات الشهرية'!$B$6:$B$1005,$B75,'الحركات الشهرية'!$A$6:$A$1005,$C$3))</f>
        <v/>
      </c>
      <c r="S75" s="116" t="str">
        <f aca="false">IF($B75="","",SUMIFS('سجل الإجازات والحالات'!$N$6:$N$505,'سجل الإجازات والحالات'!$B$6:$B$505,$B75,'سجل الإجازات والحالات'!$O$6:$O$505,$C$3))</f>
        <v/>
      </c>
      <c r="T75" s="157" t="str">
        <f aca="false">IF($B75="","",SUM(K75:N75)+SUM(P75:S75))</f>
        <v/>
      </c>
      <c r="U75" s="116" t="str">
        <f aca="false">IF($B75="","",الموظفون!$S75*IF(E75="سعودي",cfg_G_SE,cfg_G_NE)*G75/cfg_DAYS_M)</f>
        <v/>
      </c>
      <c r="V75" s="116" t="str">
        <f aca="false">IF($B75="","",SUMIFS('الحركات الشهرية'!$I$6:$I$1005,'الحركات الشهرية'!$B$6:$B$1005,$B75,'الحركات الشهرية'!$A$6:$A$1005,$C$3))</f>
        <v/>
      </c>
      <c r="W75" s="116" t="str">
        <f aca="false">IF($B75="","",SUMIFS('الحركات الشهرية'!$J$6:$J$1005,'الحركات الشهرية'!$B$6:$B$1005,$B75,'الحركات الشهرية'!$A$6:$A$1005,$C$3))</f>
        <v/>
      </c>
      <c r="X75" s="116" t="str">
        <f aca="false">IF($B75="","",SUM(U75:W75))</f>
        <v/>
      </c>
      <c r="Y75" s="158" t="str">
        <f aca="false">IF($B75="","",T75-X75)</f>
        <v/>
      </c>
      <c r="Z75" s="116" t="str">
        <f aca="false">IF($B75="","",الموظفون!$S75*IF(E75="سعودي",cfg_G_SR,cfg_G_NR)*G75/cfg_DAYS_M)</f>
        <v/>
      </c>
      <c r="AA75" s="116" t="str">
        <f aca="false">IF($B75="","",الموظفون!$Q75*(cfg_EOS_R1*(MIN(AH75,cfg_EOS_TH)-MIN(AI75,cfg_EOS_TH))+cfg_EOS_R2*(MAX(AH75-cfg_EOS_TH,0)-MAX(AI75-cfg_EOS_TH,0))))</f>
        <v/>
      </c>
      <c r="AB75" s="116" t="str">
        <f aca="false">IF($B75="","",IF(الموظفون!$T75&lt;&gt;"",الموظفون!$T75,IF(AH75&gt;=cfg_LV_TH,cfg_LV_D2,cfg_LV_D1))/cfg_DAYS_Y*AJ75*الموظفون!$R75/cfg_DAYS_M)</f>
        <v/>
      </c>
      <c r="AC75" s="116" t="str">
        <f aca="false">IF($B75="","",IF(AND(الموظفون!$U75="نعم",N(الموظفون!$W75)&gt;0),الموظفون!$V75/الموظفون!$W75*12/cfg_DAYS_Y*AJ75,0))</f>
        <v/>
      </c>
      <c r="AD75" s="116" t="str">
        <f aca="false">IF($B75="","",(IF(الموظفون!$X75&lt;&gt;"",الموظفون!$X75,IF(الموظفون!$E75="غير سعودي",cfg_IQ,0))+IF(الموظفون!$Y75&lt;&gt;"",الموظفون!$Y75,IF(الموظفون!$E75="غير سعودي",cfg_WP,0)))/12*G75/cfg_DAYS_M)</f>
        <v/>
      </c>
      <c r="AE75" s="116" t="str">
        <f aca="false">IF($B75="","",IF(الموظفون!$Z75&lt;&gt;"",الموظفون!$Z75,cfg_MED)/12*G75/cfg_DAYS_M)</f>
        <v/>
      </c>
      <c r="AF75" s="116" t="str">
        <f aca="false">IF($B75="","",N(الموظفون!$AA75)/12*G75/cfg_DAYS_M)</f>
        <v/>
      </c>
      <c r="AG75" s="159" t="str">
        <f aca="false">IF($B75="","",T75+SUM(Z75:AF75))</f>
        <v/>
      </c>
      <c r="AH75" s="160" t="str">
        <f aca="false">IF($B75="","",MAX(0,IF(OR(الموظفون!$AE75="",الموظفون!$AE75&gt;$F$3),$F$3,الموظفون!$AE75)-الموظفون!$H75+1-SUMIFS('سجل الإجازات والحالات'!$AP$6:$AP$505,'سجل الإجازات والحالات'!$B$6:$B$505,$B75))/cfg_DAYS_Y)</f>
        <v/>
      </c>
      <c r="AI75" s="160" t="str">
        <f aca="false">IF($B75="","",MAX(0,IF(OR(الموظفون!$AE75="",الموظفون!$AE75&gt;($E$3-1)),($E$3-1),الموظفون!$AE75)-الموظفون!$H75+1-SUMIFS('سجل الإجازات والحالات'!$AO$6:$AO$505,'سجل الإجازات والحالات'!$B$6:$B$505,$B75))/cfg_DAYS_Y)</f>
        <v/>
      </c>
      <c r="AJ75" s="133" t="str">
        <f aca="false">IF($B75="","",MAX(0,AK75-(SUMIFS('سجل الإجازات والحالات'!$AP$6:$AP$505,'سجل الإجازات والحالات'!$B$6:$B$505,$B75)-SUMIFS('سجل الإجازات والحالات'!$AO$6:$AO$505,'سجل الإجازات والحالات'!$B$6:$B$505,$B75))))</f>
        <v/>
      </c>
      <c r="AK75" s="133" t="str">
        <f aca="false">IF($B75="","",MAX(0,IF(OR(الموظفون!$AE75="",الموظفون!$AE75&gt;$F$3),$F$3,الموظفون!$AE75)-MAX($E$3,الموظفون!$H75)+1))</f>
        <v/>
      </c>
      <c r="AL75" s="156" t="str">
        <f aca="false">IF($B75="","",SUMIFS('سجل الإجازات والحالات'!$BB$6:$BB$505,'سجل الإجازات والحالات'!$B$6:$B$505,$B75)+SUMIFS('الحركات الشهرية'!$K$6:$K$1005,'الحركات الشهرية'!$B$6:$B$1005,$B75,'الحركات الشهرية'!$A$6:$A$1005,$C$3))</f>
        <v/>
      </c>
      <c r="AM75" s="116" t="str">
        <f aca="false">IF($B75="","",AL75*الموظفون!$R75/cfg_DAYS_M+S75)</f>
        <v/>
      </c>
      <c r="AN75" s="156" t="str">
        <f aca="false">IF($B75="","",SUMIFS('سجل الإجازات والحالات'!$AD$6:$AD$505,'سجل الإجازات والحالات'!$B$6:$B$505,$B75))</f>
        <v/>
      </c>
    </row>
    <row r="76" customFormat="false" ht="15" hidden="false" customHeight="false" outlineLevel="0" collapsed="false">
      <c r="A76" s="106" t="str">
        <f aca="false">IF($B76="","",الموظفون!$A76)</f>
        <v/>
      </c>
      <c r="B76" s="114" t="str">
        <f aca="false">IF(الموظفون!$B76="","",الموظفون!$B76)</f>
        <v/>
      </c>
      <c r="C76" s="114" t="str">
        <f aca="false">IF($B76="","",الموظفون!$C76)</f>
        <v/>
      </c>
      <c r="D76" s="114" t="str">
        <f aca="false">IF($B76="","",الموظفون!$F76)</f>
        <v/>
      </c>
      <c r="E76" s="114" t="str">
        <f aca="false">IF($B76="","",الموظفون!$E76)</f>
        <v/>
      </c>
      <c r="F76" s="114" t="str">
        <f aca="false">IF($B76="","",IF(AK76=0,IF(AND(الموظفون!$AE76&lt;&gt;"",الموظفون!$AE76&lt;$E$3),"✖ منتهي الخدمة","⏳ لم يباشر"),IF(S76&gt;0,"✈ راتب إجازة مقدم",IF(J76=0,"⛔ بدون راتب هذا الشهر",IF(I76&gt;0,"✈ خصم "&amp;ROUND(I76,2)&amp;" يوم بدون أجر",IF(AL76&gt;0,"🌴 إجازة سنوية "&amp;ROUND(AL76,2)&amp;" يوم",IF(H76&gt;0,"⚠ غياب "&amp;ROUND(H76,2)&amp;" يوم","✔ على رأس العمل")))))))</f>
        <v/>
      </c>
      <c r="G76" s="151" t="str">
        <f aca="false">IF($B76="","",IF(AK76&gt;=DAY($F$3),cfg_DAYS_M,MIN(AK76,cfg_DAYS_M)))</f>
        <v/>
      </c>
      <c r="H76" s="151" t="str">
        <f aca="false">IF($B76="","",SUMIFS('الحركات الشهرية'!$D$6:$D$1005,'الحركات الشهرية'!$B$6:$B$1005,$B76,'الحركات الشهرية'!$A$6:$A$1005,$C$3))</f>
        <v/>
      </c>
      <c r="I76" s="151" t="str">
        <f aca="false">IF($B76="","",MIN(G76,IF(AND(AK76&gt;0,AN76&gt;=AK76),G76,AN76)+SUMIFS('الحركات الشهرية'!$E$6:$E$1005,'الحركات الشهرية'!$B$6:$B$1005,$B76,'الحركات الشهرية'!$A$6:$A$1005,$C$3)))</f>
        <v/>
      </c>
      <c r="J76" s="151" t="str">
        <f aca="false">IF($B76="","",MAX(0,G76-H76-I76))</f>
        <v/>
      </c>
      <c r="K76" s="111" t="str">
        <f aca="false">IF($B76="","",الموظفون!$L76*$J76/cfg_DAYS_M)</f>
        <v/>
      </c>
      <c r="L76" s="111" t="str">
        <f aca="false">IF($B76="","",الموظفون!$M76*$J76/cfg_DAYS_M)</f>
        <v/>
      </c>
      <c r="M76" s="111" t="str">
        <f aca="false">IF($B76="","",الموظفون!$N76*$J76/cfg_DAYS_M)</f>
        <v/>
      </c>
      <c r="N76" s="111" t="str">
        <f aca="false">IF($B76="","",الموظفون!$O76*$J76/cfg_DAYS_M)</f>
        <v/>
      </c>
      <c r="O76" s="151" t="str">
        <f aca="false">IF($B76="","",SUMIFS('الحركات الشهرية'!$F$6:$F$1005,'الحركات الشهرية'!$B$6:$B$1005,$B76,'الحركات الشهرية'!$A$6:$A$1005,$C$3))</f>
        <v/>
      </c>
      <c r="P76" s="111" t="str">
        <f aca="false">IF($B76="","",O76*(الموظفون!$P76+الموظفون!$L76*cfg_OT_P)/cfg_DAYS_M/cfg_HRS)</f>
        <v/>
      </c>
      <c r="Q76" s="111" t="str">
        <f aca="false">IF($B76="","",SUMIFS('الحركات الشهرية'!$G$6:$G$1005,'الحركات الشهرية'!$B$6:$B$1005,$B76,'الحركات الشهرية'!$A$6:$A$1005,$C$3))</f>
        <v/>
      </c>
      <c r="R76" s="111" t="str">
        <f aca="false">IF($B76="","",SUMIFS('الحركات الشهرية'!$H$6:$H$1005,'الحركات الشهرية'!$B$6:$B$1005,$B76,'الحركات الشهرية'!$A$6:$A$1005,$C$3))</f>
        <v/>
      </c>
      <c r="S76" s="111" t="str">
        <f aca="false">IF($B76="","",SUMIFS('سجل الإجازات والحالات'!$N$6:$N$505,'سجل الإجازات والحالات'!$B$6:$B$505,$B76,'سجل الإجازات والحالات'!$O$6:$O$505,$C$3))</f>
        <v/>
      </c>
      <c r="T76" s="152" t="str">
        <f aca="false">IF($B76="","",SUM(K76:N76)+SUM(P76:S76))</f>
        <v/>
      </c>
      <c r="U76" s="111" t="str">
        <f aca="false">IF($B76="","",الموظفون!$S76*IF(E76="سعودي",cfg_G_SE,cfg_G_NE)*G76/cfg_DAYS_M)</f>
        <v/>
      </c>
      <c r="V76" s="111" t="str">
        <f aca="false">IF($B76="","",SUMIFS('الحركات الشهرية'!$I$6:$I$1005,'الحركات الشهرية'!$B$6:$B$1005,$B76,'الحركات الشهرية'!$A$6:$A$1005,$C$3))</f>
        <v/>
      </c>
      <c r="W76" s="111" t="str">
        <f aca="false">IF($B76="","",SUMIFS('الحركات الشهرية'!$J$6:$J$1005,'الحركات الشهرية'!$B$6:$B$1005,$B76,'الحركات الشهرية'!$A$6:$A$1005,$C$3))</f>
        <v/>
      </c>
      <c r="X76" s="111" t="str">
        <f aca="false">IF($B76="","",SUM(U76:W76))</f>
        <v/>
      </c>
      <c r="Y76" s="153" t="str">
        <f aca="false">IF($B76="","",T76-X76)</f>
        <v/>
      </c>
      <c r="Z76" s="111" t="str">
        <f aca="false">IF($B76="","",الموظفون!$S76*IF(E76="سعودي",cfg_G_SR,cfg_G_NR)*G76/cfg_DAYS_M)</f>
        <v/>
      </c>
      <c r="AA76" s="111" t="str">
        <f aca="false">IF($B76="","",الموظفون!$Q76*(cfg_EOS_R1*(MIN(AH76,cfg_EOS_TH)-MIN(AI76,cfg_EOS_TH))+cfg_EOS_R2*(MAX(AH76-cfg_EOS_TH,0)-MAX(AI76-cfg_EOS_TH,0))))</f>
        <v/>
      </c>
      <c r="AB76" s="111" t="str">
        <f aca="false">IF($B76="","",IF(الموظفون!$T76&lt;&gt;"",الموظفون!$T76,IF(AH76&gt;=cfg_LV_TH,cfg_LV_D2,cfg_LV_D1))/cfg_DAYS_Y*AJ76*الموظفون!$R76/cfg_DAYS_M)</f>
        <v/>
      </c>
      <c r="AC76" s="111" t="str">
        <f aca="false">IF($B76="","",IF(AND(الموظفون!$U76="نعم",N(الموظفون!$W76)&gt;0),الموظفون!$V76/الموظفون!$W76*12/cfg_DAYS_Y*AJ76,0))</f>
        <v/>
      </c>
      <c r="AD76" s="111" t="str">
        <f aca="false">IF($B76="","",(IF(الموظفون!$X76&lt;&gt;"",الموظفون!$X76,IF(الموظفون!$E76="غير سعودي",cfg_IQ,0))+IF(الموظفون!$Y76&lt;&gt;"",الموظفون!$Y76,IF(الموظفون!$E76="غير سعودي",cfg_WP,0)))/12*G76/cfg_DAYS_M)</f>
        <v/>
      </c>
      <c r="AE76" s="111" t="str">
        <f aca="false">IF($B76="","",IF(الموظفون!$Z76&lt;&gt;"",الموظفون!$Z76,cfg_MED)/12*G76/cfg_DAYS_M)</f>
        <v/>
      </c>
      <c r="AF76" s="111" t="str">
        <f aca="false">IF($B76="","",N(الموظفون!$AA76)/12*G76/cfg_DAYS_M)</f>
        <v/>
      </c>
      <c r="AG76" s="154" t="str">
        <f aca="false">IF($B76="","",T76+SUM(Z76:AF76))</f>
        <v/>
      </c>
      <c r="AH76" s="155" t="str">
        <f aca="false">IF($B76="","",MAX(0,IF(OR(الموظفون!$AE76="",الموظفون!$AE76&gt;$F$3),$F$3,الموظفون!$AE76)-الموظفون!$H76+1-SUMIFS('سجل الإجازات والحالات'!$AP$6:$AP$505,'سجل الإجازات والحالات'!$B$6:$B$505,$B76))/cfg_DAYS_Y)</f>
        <v/>
      </c>
      <c r="AI76" s="155" t="str">
        <f aca="false">IF($B76="","",MAX(0,IF(OR(الموظفون!$AE76="",الموظفون!$AE76&gt;($E$3-1)),($E$3-1),الموظفون!$AE76)-الموظفون!$H76+1-SUMIFS('سجل الإجازات والحالات'!$AO$6:$AO$505,'سجل الإجازات والحالات'!$B$6:$B$505,$B76))/cfg_DAYS_Y)</f>
        <v/>
      </c>
      <c r="AJ76" s="65" t="str">
        <f aca="false">IF($B76="","",MAX(0,AK76-(SUMIFS('سجل الإجازات والحالات'!$AP$6:$AP$505,'سجل الإجازات والحالات'!$B$6:$B$505,$B76)-SUMIFS('سجل الإجازات والحالات'!$AO$6:$AO$505,'سجل الإجازات والحالات'!$B$6:$B$505,$B76))))</f>
        <v/>
      </c>
      <c r="AK76" s="65" t="str">
        <f aca="false">IF($B76="","",MAX(0,IF(OR(الموظفون!$AE76="",الموظفون!$AE76&gt;$F$3),$F$3,الموظفون!$AE76)-MAX($E$3,الموظفون!$H76)+1))</f>
        <v/>
      </c>
      <c r="AL76" s="151" t="str">
        <f aca="false">IF($B76="","",SUMIFS('سجل الإجازات والحالات'!$BB$6:$BB$505,'سجل الإجازات والحالات'!$B$6:$B$505,$B76)+SUMIFS('الحركات الشهرية'!$K$6:$K$1005,'الحركات الشهرية'!$B$6:$B$1005,$B76,'الحركات الشهرية'!$A$6:$A$1005,$C$3))</f>
        <v/>
      </c>
      <c r="AM76" s="111" t="str">
        <f aca="false">IF($B76="","",AL76*الموظفون!$R76/cfg_DAYS_M+S76)</f>
        <v/>
      </c>
      <c r="AN76" s="151" t="str">
        <f aca="false">IF($B76="","",SUMIFS('سجل الإجازات والحالات'!$AD$6:$AD$505,'سجل الإجازات والحالات'!$B$6:$B$505,$B76))</f>
        <v/>
      </c>
    </row>
    <row r="77" customFormat="false" ht="15" hidden="false" customHeight="false" outlineLevel="0" collapsed="false">
      <c r="A77" s="115" t="str">
        <f aca="false">IF($B77="","",الموظفون!$A77)</f>
        <v/>
      </c>
      <c r="B77" s="117" t="str">
        <f aca="false">IF(الموظفون!$B77="","",الموظفون!$B77)</f>
        <v/>
      </c>
      <c r="C77" s="117" t="str">
        <f aca="false">IF($B77="","",الموظفون!$C77)</f>
        <v/>
      </c>
      <c r="D77" s="117" t="str">
        <f aca="false">IF($B77="","",الموظفون!$F77)</f>
        <v/>
      </c>
      <c r="E77" s="117" t="str">
        <f aca="false">IF($B77="","",الموظفون!$E77)</f>
        <v/>
      </c>
      <c r="F77" s="117" t="str">
        <f aca="false">IF($B77="","",IF(AK77=0,IF(AND(الموظفون!$AE77&lt;&gt;"",الموظفون!$AE77&lt;$E$3),"✖ منتهي الخدمة","⏳ لم يباشر"),IF(S77&gt;0,"✈ راتب إجازة مقدم",IF(J77=0,"⛔ بدون راتب هذا الشهر",IF(I77&gt;0,"✈ خصم "&amp;ROUND(I77,2)&amp;" يوم بدون أجر",IF(AL77&gt;0,"🌴 إجازة سنوية "&amp;ROUND(AL77,2)&amp;" يوم",IF(H77&gt;0,"⚠ غياب "&amp;ROUND(H77,2)&amp;" يوم","✔ على رأس العمل")))))))</f>
        <v/>
      </c>
      <c r="G77" s="156" t="str">
        <f aca="false">IF($B77="","",IF(AK77&gt;=DAY($F$3),cfg_DAYS_M,MIN(AK77,cfg_DAYS_M)))</f>
        <v/>
      </c>
      <c r="H77" s="156" t="str">
        <f aca="false">IF($B77="","",SUMIFS('الحركات الشهرية'!$D$6:$D$1005,'الحركات الشهرية'!$B$6:$B$1005,$B77,'الحركات الشهرية'!$A$6:$A$1005,$C$3))</f>
        <v/>
      </c>
      <c r="I77" s="156" t="str">
        <f aca="false">IF($B77="","",MIN(G77,IF(AND(AK77&gt;0,AN77&gt;=AK77),G77,AN77)+SUMIFS('الحركات الشهرية'!$E$6:$E$1005,'الحركات الشهرية'!$B$6:$B$1005,$B77,'الحركات الشهرية'!$A$6:$A$1005,$C$3)))</f>
        <v/>
      </c>
      <c r="J77" s="156" t="str">
        <f aca="false">IF($B77="","",MAX(0,G77-H77-I77))</f>
        <v/>
      </c>
      <c r="K77" s="116" t="str">
        <f aca="false">IF($B77="","",الموظفون!$L77*$J77/cfg_DAYS_M)</f>
        <v/>
      </c>
      <c r="L77" s="116" t="str">
        <f aca="false">IF($B77="","",الموظفون!$M77*$J77/cfg_DAYS_M)</f>
        <v/>
      </c>
      <c r="M77" s="116" t="str">
        <f aca="false">IF($B77="","",الموظفون!$N77*$J77/cfg_DAYS_M)</f>
        <v/>
      </c>
      <c r="N77" s="116" t="str">
        <f aca="false">IF($B77="","",الموظفون!$O77*$J77/cfg_DAYS_M)</f>
        <v/>
      </c>
      <c r="O77" s="156" t="str">
        <f aca="false">IF($B77="","",SUMIFS('الحركات الشهرية'!$F$6:$F$1005,'الحركات الشهرية'!$B$6:$B$1005,$B77,'الحركات الشهرية'!$A$6:$A$1005,$C$3))</f>
        <v/>
      </c>
      <c r="P77" s="116" t="str">
        <f aca="false">IF($B77="","",O77*(الموظفون!$P77+الموظفون!$L77*cfg_OT_P)/cfg_DAYS_M/cfg_HRS)</f>
        <v/>
      </c>
      <c r="Q77" s="116" t="str">
        <f aca="false">IF($B77="","",SUMIFS('الحركات الشهرية'!$G$6:$G$1005,'الحركات الشهرية'!$B$6:$B$1005,$B77,'الحركات الشهرية'!$A$6:$A$1005,$C$3))</f>
        <v/>
      </c>
      <c r="R77" s="116" t="str">
        <f aca="false">IF($B77="","",SUMIFS('الحركات الشهرية'!$H$6:$H$1005,'الحركات الشهرية'!$B$6:$B$1005,$B77,'الحركات الشهرية'!$A$6:$A$1005,$C$3))</f>
        <v/>
      </c>
      <c r="S77" s="116" t="str">
        <f aca="false">IF($B77="","",SUMIFS('سجل الإجازات والحالات'!$N$6:$N$505,'سجل الإجازات والحالات'!$B$6:$B$505,$B77,'سجل الإجازات والحالات'!$O$6:$O$505,$C$3))</f>
        <v/>
      </c>
      <c r="T77" s="157" t="str">
        <f aca="false">IF($B77="","",SUM(K77:N77)+SUM(P77:S77))</f>
        <v/>
      </c>
      <c r="U77" s="116" t="str">
        <f aca="false">IF($B77="","",الموظفون!$S77*IF(E77="سعودي",cfg_G_SE,cfg_G_NE)*G77/cfg_DAYS_M)</f>
        <v/>
      </c>
      <c r="V77" s="116" t="str">
        <f aca="false">IF($B77="","",SUMIFS('الحركات الشهرية'!$I$6:$I$1005,'الحركات الشهرية'!$B$6:$B$1005,$B77,'الحركات الشهرية'!$A$6:$A$1005,$C$3))</f>
        <v/>
      </c>
      <c r="W77" s="116" t="str">
        <f aca="false">IF($B77="","",SUMIFS('الحركات الشهرية'!$J$6:$J$1005,'الحركات الشهرية'!$B$6:$B$1005,$B77,'الحركات الشهرية'!$A$6:$A$1005,$C$3))</f>
        <v/>
      </c>
      <c r="X77" s="116" t="str">
        <f aca="false">IF($B77="","",SUM(U77:W77))</f>
        <v/>
      </c>
      <c r="Y77" s="158" t="str">
        <f aca="false">IF($B77="","",T77-X77)</f>
        <v/>
      </c>
      <c r="Z77" s="116" t="str">
        <f aca="false">IF($B77="","",الموظفون!$S77*IF(E77="سعودي",cfg_G_SR,cfg_G_NR)*G77/cfg_DAYS_M)</f>
        <v/>
      </c>
      <c r="AA77" s="116" t="str">
        <f aca="false">IF($B77="","",الموظفون!$Q77*(cfg_EOS_R1*(MIN(AH77,cfg_EOS_TH)-MIN(AI77,cfg_EOS_TH))+cfg_EOS_R2*(MAX(AH77-cfg_EOS_TH,0)-MAX(AI77-cfg_EOS_TH,0))))</f>
        <v/>
      </c>
      <c r="AB77" s="116" t="str">
        <f aca="false">IF($B77="","",IF(الموظفون!$T77&lt;&gt;"",الموظفون!$T77,IF(AH77&gt;=cfg_LV_TH,cfg_LV_D2,cfg_LV_D1))/cfg_DAYS_Y*AJ77*الموظفون!$R77/cfg_DAYS_M)</f>
        <v/>
      </c>
      <c r="AC77" s="116" t="str">
        <f aca="false">IF($B77="","",IF(AND(الموظفون!$U77="نعم",N(الموظفون!$W77)&gt;0),الموظفون!$V77/الموظفون!$W77*12/cfg_DAYS_Y*AJ77,0))</f>
        <v/>
      </c>
      <c r="AD77" s="116" t="str">
        <f aca="false">IF($B77="","",(IF(الموظفون!$X77&lt;&gt;"",الموظفون!$X77,IF(الموظفون!$E77="غير سعودي",cfg_IQ,0))+IF(الموظفون!$Y77&lt;&gt;"",الموظفون!$Y77,IF(الموظفون!$E77="غير سعودي",cfg_WP,0)))/12*G77/cfg_DAYS_M)</f>
        <v/>
      </c>
      <c r="AE77" s="116" t="str">
        <f aca="false">IF($B77="","",IF(الموظفون!$Z77&lt;&gt;"",الموظفون!$Z77,cfg_MED)/12*G77/cfg_DAYS_M)</f>
        <v/>
      </c>
      <c r="AF77" s="116" t="str">
        <f aca="false">IF($B77="","",N(الموظفون!$AA77)/12*G77/cfg_DAYS_M)</f>
        <v/>
      </c>
      <c r="AG77" s="159" t="str">
        <f aca="false">IF($B77="","",T77+SUM(Z77:AF77))</f>
        <v/>
      </c>
      <c r="AH77" s="160" t="str">
        <f aca="false">IF($B77="","",MAX(0,IF(OR(الموظفون!$AE77="",الموظفون!$AE77&gt;$F$3),$F$3,الموظفون!$AE77)-الموظفون!$H77+1-SUMIFS('سجل الإجازات والحالات'!$AP$6:$AP$505,'سجل الإجازات والحالات'!$B$6:$B$505,$B77))/cfg_DAYS_Y)</f>
        <v/>
      </c>
      <c r="AI77" s="160" t="str">
        <f aca="false">IF($B77="","",MAX(0,IF(OR(الموظفون!$AE77="",الموظفون!$AE77&gt;($E$3-1)),($E$3-1),الموظفون!$AE77)-الموظفون!$H77+1-SUMIFS('سجل الإجازات والحالات'!$AO$6:$AO$505,'سجل الإجازات والحالات'!$B$6:$B$505,$B77))/cfg_DAYS_Y)</f>
        <v/>
      </c>
      <c r="AJ77" s="133" t="str">
        <f aca="false">IF($B77="","",MAX(0,AK77-(SUMIFS('سجل الإجازات والحالات'!$AP$6:$AP$505,'سجل الإجازات والحالات'!$B$6:$B$505,$B77)-SUMIFS('سجل الإجازات والحالات'!$AO$6:$AO$505,'سجل الإجازات والحالات'!$B$6:$B$505,$B77))))</f>
        <v/>
      </c>
      <c r="AK77" s="133" t="str">
        <f aca="false">IF($B77="","",MAX(0,IF(OR(الموظفون!$AE77="",الموظفون!$AE77&gt;$F$3),$F$3,الموظفون!$AE77)-MAX($E$3,الموظفون!$H77)+1))</f>
        <v/>
      </c>
      <c r="AL77" s="156" t="str">
        <f aca="false">IF($B77="","",SUMIFS('سجل الإجازات والحالات'!$BB$6:$BB$505,'سجل الإجازات والحالات'!$B$6:$B$505,$B77)+SUMIFS('الحركات الشهرية'!$K$6:$K$1005,'الحركات الشهرية'!$B$6:$B$1005,$B77,'الحركات الشهرية'!$A$6:$A$1005,$C$3))</f>
        <v/>
      </c>
      <c r="AM77" s="116" t="str">
        <f aca="false">IF($B77="","",AL77*الموظفون!$R77/cfg_DAYS_M+S77)</f>
        <v/>
      </c>
      <c r="AN77" s="156" t="str">
        <f aca="false">IF($B77="","",SUMIFS('سجل الإجازات والحالات'!$AD$6:$AD$505,'سجل الإجازات والحالات'!$B$6:$B$505,$B77))</f>
        <v/>
      </c>
    </row>
    <row r="78" customFormat="false" ht="15" hidden="false" customHeight="false" outlineLevel="0" collapsed="false">
      <c r="A78" s="106" t="str">
        <f aca="false">IF($B78="","",الموظفون!$A78)</f>
        <v/>
      </c>
      <c r="B78" s="114" t="str">
        <f aca="false">IF(الموظفون!$B78="","",الموظفون!$B78)</f>
        <v/>
      </c>
      <c r="C78" s="114" t="str">
        <f aca="false">IF($B78="","",الموظفون!$C78)</f>
        <v/>
      </c>
      <c r="D78" s="114" t="str">
        <f aca="false">IF($B78="","",الموظفون!$F78)</f>
        <v/>
      </c>
      <c r="E78" s="114" t="str">
        <f aca="false">IF($B78="","",الموظفون!$E78)</f>
        <v/>
      </c>
      <c r="F78" s="114" t="str">
        <f aca="false">IF($B78="","",IF(AK78=0,IF(AND(الموظفون!$AE78&lt;&gt;"",الموظفون!$AE78&lt;$E$3),"✖ منتهي الخدمة","⏳ لم يباشر"),IF(S78&gt;0,"✈ راتب إجازة مقدم",IF(J78=0,"⛔ بدون راتب هذا الشهر",IF(I78&gt;0,"✈ خصم "&amp;ROUND(I78,2)&amp;" يوم بدون أجر",IF(AL78&gt;0,"🌴 إجازة سنوية "&amp;ROUND(AL78,2)&amp;" يوم",IF(H78&gt;0,"⚠ غياب "&amp;ROUND(H78,2)&amp;" يوم","✔ على رأس العمل")))))))</f>
        <v/>
      </c>
      <c r="G78" s="151" t="str">
        <f aca="false">IF($B78="","",IF(AK78&gt;=DAY($F$3),cfg_DAYS_M,MIN(AK78,cfg_DAYS_M)))</f>
        <v/>
      </c>
      <c r="H78" s="151" t="str">
        <f aca="false">IF($B78="","",SUMIFS('الحركات الشهرية'!$D$6:$D$1005,'الحركات الشهرية'!$B$6:$B$1005,$B78,'الحركات الشهرية'!$A$6:$A$1005,$C$3))</f>
        <v/>
      </c>
      <c r="I78" s="151" t="str">
        <f aca="false">IF($B78="","",MIN(G78,IF(AND(AK78&gt;0,AN78&gt;=AK78),G78,AN78)+SUMIFS('الحركات الشهرية'!$E$6:$E$1005,'الحركات الشهرية'!$B$6:$B$1005,$B78,'الحركات الشهرية'!$A$6:$A$1005,$C$3)))</f>
        <v/>
      </c>
      <c r="J78" s="151" t="str">
        <f aca="false">IF($B78="","",MAX(0,G78-H78-I78))</f>
        <v/>
      </c>
      <c r="K78" s="111" t="str">
        <f aca="false">IF($B78="","",الموظفون!$L78*$J78/cfg_DAYS_M)</f>
        <v/>
      </c>
      <c r="L78" s="111" t="str">
        <f aca="false">IF($B78="","",الموظفون!$M78*$J78/cfg_DAYS_M)</f>
        <v/>
      </c>
      <c r="M78" s="111" t="str">
        <f aca="false">IF($B78="","",الموظفون!$N78*$J78/cfg_DAYS_M)</f>
        <v/>
      </c>
      <c r="N78" s="111" t="str">
        <f aca="false">IF($B78="","",الموظفون!$O78*$J78/cfg_DAYS_M)</f>
        <v/>
      </c>
      <c r="O78" s="151" t="str">
        <f aca="false">IF($B78="","",SUMIFS('الحركات الشهرية'!$F$6:$F$1005,'الحركات الشهرية'!$B$6:$B$1005,$B78,'الحركات الشهرية'!$A$6:$A$1005,$C$3))</f>
        <v/>
      </c>
      <c r="P78" s="111" t="str">
        <f aca="false">IF($B78="","",O78*(الموظفون!$P78+الموظفون!$L78*cfg_OT_P)/cfg_DAYS_M/cfg_HRS)</f>
        <v/>
      </c>
      <c r="Q78" s="111" t="str">
        <f aca="false">IF($B78="","",SUMIFS('الحركات الشهرية'!$G$6:$G$1005,'الحركات الشهرية'!$B$6:$B$1005,$B78,'الحركات الشهرية'!$A$6:$A$1005,$C$3))</f>
        <v/>
      </c>
      <c r="R78" s="111" t="str">
        <f aca="false">IF($B78="","",SUMIFS('الحركات الشهرية'!$H$6:$H$1005,'الحركات الشهرية'!$B$6:$B$1005,$B78,'الحركات الشهرية'!$A$6:$A$1005,$C$3))</f>
        <v/>
      </c>
      <c r="S78" s="111" t="str">
        <f aca="false">IF($B78="","",SUMIFS('سجل الإجازات والحالات'!$N$6:$N$505,'سجل الإجازات والحالات'!$B$6:$B$505,$B78,'سجل الإجازات والحالات'!$O$6:$O$505,$C$3))</f>
        <v/>
      </c>
      <c r="T78" s="152" t="str">
        <f aca="false">IF($B78="","",SUM(K78:N78)+SUM(P78:S78))</f>
        <v/>
      </c>
      <c r="U78" s="111" t="str">
        <f aca="false">IF($B78="","",الموظفون!$S78*IF(E78="سعودي",cfg_G_SE,cfg_G_NE)*G78/cfg_DAYS_M)</f>
        <v/>
      </c>
      <c r="V78" s="111" t="str">
        <f aca="false">IF($B78="","",SUMIFS('الحركات الشهرية'!$I$6:$I$1005,'الحركات الشهرية'!$B$6:$B$1005,$B78,'الحركات الشهرية'!$A$6:$A$1005,$C$3))</f>
        <v/>
      </c>
      <c r="W78" s="111" t="str">
        <f aca="false">IF($B78="","",SUMIFS('الحركات الشهرية'!$J$6:$J$1005,'الحركات الشهرية'!$B$6:$B$1005,$B78,'الحركات الشهرية'!$A$6:$A$1005,$C$3))</f>
        <v/>
      </c>
      <c r="X78" s="111" t="str">
        <f aca="false">IF($B78="","",SUM(U78:W78))</f>
        <v/>
      </c>
      <c r="Y78" s="153" t="str">
        <f aca="false">IF($B78="","",T78-X78)</f>
        <v/>
      </c>
      <c r="Z78" s="111" t="str">
        <f aca="false">IF($B78="","",الموظفون!$S78*IF(E78="سعودي",cfg_G_SR,cfg_G_NR)*G78/cfg_DAYS_M)</f>
        <v/>
      </c>
      <c r="AA78" s="111" t="str">
        <f aca="false">IF($B78="","",الموظفون!$Q78*(cfg_EOS_R1*(MIN(AH78,cfg_EOS_TH)-MIN(AI78,cfg_EOS_TH))+cfg_EOS_R2*(MAX(AH78-cfg_EOS_TH,0)-MAX(AI78-cfg_EOS_TH,0))))</f>
        <v/>
      </c>
      <c r="AB78" s="111" t="str">
        <f aca="false">IF($B78="","",IF(الموظفون!$T78&lt;&gt;"",الموظفون!$T78,IF(AH78&gt;=cfg_LV_TH,cfg_LV_D2,cfg_LV_D1))/cfg_DAYS_Y*AJ78*الموظفون!$R78/cfg_DAYS_M)</f>
        <v/>
      </c>
      <c r="AC78" s="111" t="str">
        <f aca="false">IF($B78="","",IF(AND(الموظفون!$U78="نعم",N(الموظفون!$W78)&gt;0),الموظفون!$V78/الموظفون!$W78*12/cfg_DAYS_Y*AJ78,0))</f>
        <v/>
      </c>
      <c r="AD78" s="111" t="str">
        <f aca="false">IF($B78="","",(IF(الموظفون!$X78&lt;&gt;"",الموظفون!$X78,IF(الموظفون!$E78="غير سعودي",cfg_IQ,0))+IF(الموظفون!$Y78&lt;&gt;"",الموظفون!$Y78,IF(الموظفون!$E78="غير سعودي",cfg_WP,0)))/12*G78/cfg_DAYS_M)</f>
        <v/>
      </c>
      <c r="AE78" s="111" t="str">
        <f aca="false">IF($B78="","",IF(الموظفون!$Z78&lt;&gt;"",الموظفون!$Z78,cfg_MED)/12*G78/cfg_DAYS_M)</f>
        <v/>
      </c>
      <c r="AF78" s="111" t="str">
        <f aca="false">IF($B78="","",N(الموظفون!$AA78)/12*G78/cfg_DAYS_M)</f>
        <v/>
      </c>
      <c r="AG78" s="154" t="str">
        <f aca="false">IF($B78="","",T78+SUM(Z78:AF78))</f>
        <v/>
      </c>
      <c r="AH78" s="155" t="str">
        <f aca="false">IF($B78="","",MAX(0,IF(OR(الموظفون!$AE78="",الموظفون!$AE78&gt;$F$3),$F$3,الموظفون!$AE78)-الموظفون!$H78+1-SUMIFS('سجل الإجازات والحالات'!$AP$6:$AP$505,'سجل الإجازات والحالات'!$B$6:$B$505,$B78))/cfg_DAYS_Y)</f>
        <v/>
      </c>
      <c r="AI78" s="155" t="str">
        <f aca="false">IF($B78="","",MAX(0,IF(OR(الموظفون!$AE78="",الموظفون!$AE78&gt;($E$3-1)),($E$3-1),الموظفون!$AE78)-الموظفون!$H78+1-SUMIFS('سجل الإجازات والحالات'!$AO$6:$AO$505,'سجل الإجازات والحالات'!$B$6:$B$505,$B78))/cfg_DAYS_Y)</f>
        <v/>
      </c>
      <c r="AJ78" s="65" t="str">
        <f aca="false">IF($B78="","",MAX(0,AK78-(SUMIFS('سجل الإجازات والحالات'!$AP$6:$AP$505,'سجل الإجازات والحالات'!$B$6:$B$505,$B78)-SUMIFS('سجل الإجازات والحالات'!$AO$6:$AO$505,'سجل الإجازات والحالات'!$B$6:$B$505,$B78))))</f>
        <v/>
      </c>
      <c r="AK78" s="65" t="str">
        <f aca="false">IF($B78="","",MAX(0,IF(OR(الموظفون!$AE78="",الموظفون!$AE78&gt;$F$3),$F$3,الموظفون!$AE78)-MAX($E$3,الموظفون!$H78)+1))</f>
        <v/>
      </c>
      <c r="AL78" s="151" t="str">
        <f aca="false">IF($B78="","",SUMIFS('سجل الإجازات والحالات'!$BB$6:$BB$505,'سجل الإجازات والحالات'!$B$6:$B$505,$B78)+SUMIFS('الحركات الشهرية'!$K$6:$K$1005,'الحركات الشهرية'!$B$6:$B$1005,$B78,'الحركات الشهرية'!$A$6:$A$1005,$C$3))</f>
        <v/>
      </c>
      <c r="AM78" s="111" t="str">
        <f aca="false">IF($B78="","",AL78*الموظفون!$R78/cfg_DAYS_M+S78)</f>
        <v/>
      </c>
      <c r="AN78" s="151" t="str">
        <f aca="false">IF($B78="","",SUMIFS('سجل الإجازات والحالات'!$AD$6:$AD$505,'سجل الإجازات والحالات'!$B$6:$B$505,$B78))</f>
        <v/>
      </c>
    </row>
    <row r="79" customFormat="false" ht="15" hidden="false" customHeight="false" outlineLevel="0" collapsed="false">
      <c r="A79" s="115" t="str">
        <f aca="false">IF($B79="","",الموظفون!$A79)</f>
        <v/>
      </c>
      <c r="B79" s="117" t="str">
        <f aca="false">IF(الموظفون!$B79="","",الموظفون!$B79)</f>
        <v/>
      </c>
      <c r="C79" s="117" t="str">
        <f aca="false">IF($B79="","",الموظفون!$C79)</f>
        <v/>
      </c>
      <c r="D79" s="117" t="str">
        <f aca="false">IF($B79="","",الموظفون!$F79)</f>
        <v/>
      </c>
      <c r="E79" s="117" t="str">
        <f aca="false">IF($B79="","",الموظفون!$E79)</f>
        <v/>
      </c>
      <c r="F79" s="117" t="str">
        <f aca="false">IF($B79="","",IF(AK79=0,IF(AND(الموظفون!$AE79&lt;&gt;"",الموظفون!$AE79&lt;$E$3),"✖ منتهي الخدمة","⏳ لم يباشر"),IF(S79&gt;0,"✈ راتب إجازة مقدم",IF(J79=0,"⛔ بدون راتب هذا الشهر",IF(I79&gt;0,"✈ خصم "&amp;ROUND(I79,2)&amp;" يوم بدون أجر",IF(AL79&gt;0,"🌴 إجازة سنوية "&amp;ROUND(AL79,2)&amp;" يوم",IF(H79&gt;0,"⚠ غياب "&amp;ROUND(H79,2)&amp;" يوم","✔ على رأس العمل")))))))</f>
        <v/>
      </c>
      <c r="G79" s="156" t="str">
        <f aca="false">IF($B79="","",IF(AK79&gt;=DAY($F$3),cfg_DAYS_M,MIN(AK79,cfg_DAYS_M)))</f>
        <v/>
      </c>
      <c r="H79" s="156" t="str">
        <f aca="false">IF($B79="","",SUMIFS('الحركات الشهرية'!$D$6:$D$1005,'الحركات الشهرية'!$B$6:$B$1005,$B79,'الحركات الشهرية'!$A$6:$A$1005,$C$3))</f>
        <v/>
      </c>
      <c r="I79" s="156" t="str">
        <f aca="false">IF($B79="","",MIN(G79,IF(AND(AK79&gt;0,AN79&gt;=AK79),G79,AN79)+SUMIFS('الحركات الشهرية'!$E$6:$E$1005,'الحركات الشهرية'!$B$6:$B$1005,$B79,'الحركات الشهرية'!$A$6:$A$1005,$C$3)))</f>
        <v/>
      </c>
      <c r="J79" s="156" t="str">
        <f aca="false">IF($B79="","",MAX(0,G79-H79-I79))</f>
        <v/>
      </c>
      <c r="K79" s="116" t="str">
        <f aca="false">IF($B79="","",الموظفون!$L79*$J79/cfg_DAYS_M)</f>
        <v/>
      </c>
      <c r="L79" s="116" t="str">
        <f aca="false">IF($B79="","",الموظفون!$M79*$J79/cfg_DAYS_M)</f>
        <v/>
      </c>
      <c r="M79" s="116" t="str">
        <f aca="false">IF($B79="","",الموظفون!$N79*$J79/cfg_DAYS_M)</f>
        <v/>
      </c>
      <c r="N79" s="116" t="str">
        <f aca="false">IF($B79="","",الموظفون!$O79*$J79/cfg_DAYS_M)</f>
        <v/>
      </c>
      <c r="O79" s="156" t="str">
        <f aca="false">IF($B79="","",SUMIFS('الحركات الشهرية'!$F$6:$F$1005,'الحركات الشهرية'!$B$6:$B$1005,$B79,'الحركات الشهرية'!$A$6:$A$1005,$C$3))</f>
        <v/>
      </c>
      <c r="P79" s="116" t="str">
        <f aca="false">IF($B79="","",O79*(الموظفون!$P79+الموظفون!$L79*cfg_OT_P)/cfg_DAYS_M/cfg_HRS)</f>
        <v/>
      </c>
      <c r="Q79" s="116" t="str">
        <f aca="false">IF($B79="","",SUMIFS('الحركات الشهرية'!$G$6:$G$1005,'الحركات الشهرية'!$B$6:$B$1005,$B79,'الحركات الشهرية'!$A$6:$A$1005,$C$3))</f>
        <v/>
      </c>
      <c r="R79" s="116" t="str">
        <f aca="false">IF($B79="","",SUMIFS('الحركات الشهرية'!$H$6:$H$1005,'الحركات الشهرية'!$B$6:$B$1005,$B79,'الحركات الشهرية'!$A$6:$A$1005,$C$3))</f>
        <v/>
      </c>
      <c r="S79" s="116" t="str">
        <f aca="false">IF($B79="","",SUMIFS('سجل الإجازات والحالات'!$N$6:$N$505,'سجل الإجازات والحالات'!$B$6:$B$505,$B79,'سجل الإجازات والحالات'!$O$6:$O$505,$C$3))</f>
        <v/>
      </c>
      <c r="T79" s="157" t="str">
        <f aca="false">IF($B79="","",SUM(K79:N79)+SUM(P79:S79))</f>
        <v/>
      </c>
      <c r="U79" s="116" t="str">
        <f aca="false">IF($B79="","",الموظفون!$S79*IF(E79="سعودي",cfg_G_SE,cfg_G_NE)*G79/cfg_DAYS_M)</f>
        <v/>
      </c>
      <c r="V79" s="116" t="str">
        <f aca="false">IF($B79="","",SUMIFS('الحركات الشهرية'!$I$6:$I$1005,'الحركات الشهرية'!$B$6:$B$1005,$B79,'الحركات الشهرية'!$A$6:$A$1005,$C$3))</f>
        <v/>
      </c>
      <c r="W79" s="116" t="str">
        <f aca="false">IF($B79="","",SUMIFS('الحركات الشهرية'!$J$6:$J$1005,'الحركات الشهرية'!$B$6:$B$1005,$B79,'الحركات الشهرية'!$A$6:$A$1005,$C$3))</f>
        <v/>
      </c>
      <c r="X79" s="116" t="str">
        <f aca="false">IF($B79="","",SUM(U79:W79))</f>
        <v/>
      </c>
      <c r="Y79" s="158" t="str">
        <f aca="false">IF($B79="","",T79-X79)</f>
        <v/>
      </c>
      <c r="Z79" s="116" t="str">
        <f aca="false">IF($B79="","",الموظفون!$S79*IF(E79="سعودي",cfg_G_SR,cfg_G_NR)*G79/cfg_DAYS_M)</f>
        <v/>
      </c>
      <c r="AA79" s="116" t="str">
        <f aca="false">IF($B79="","",الموظفون!$Q79*(cfg_EOS_R1*(MIN(AH79,cfg_EOS_TH)-MIN(AI79,cfg_EOS_TH))+cfg_EOS_R2*(MAX(AH79-cfg_EOS_TH,0)-MAX(AI79-cfg_EOS_TH,0))))</f>
        <v/>
      </c>
      <c r="AB79" s="116" t="str">
        <f aca="false">IF($B79="","",IF(الموظفون!$T79&lt;&gt;"",الموظفون!$T79,IF(AH79&gt;=cfg_LV_TH,cfg_LV_D2,cfg_LV_D1))/cfg_DAYS_Y*AJ79*الموظفون!$R79/cfg_DAYS_M)</f>
        <v/>
      </c>
      <c r="AC79" s="116" t="str">
        <f aca="false">IF($B79="","",IF(AND(الموظفون!$U79="نعم",N(الموظفون!$W79)&gt;0),الموظفون!$V79/الموظفون!$W79*12/cfg_DAYS_Y*AJ79,0))</f>
        <v/>
      </c>
      <c r="AD79" s="116" t="str">
        <f aca="false">IF($B79="","",(IF(الموظفون!$X79&lt;&gt;"",الموظفون!$X79,IF(الموظفون!$E79="غير سعودي",cfg_IQ,0))+IF(الموظفون!$Y79&lt;&gt;"",الموظفون!$Y79,IF(الموظفون!$E79="غير سعودي",cfg_WP,0)))/12*G79/cfg_DAYS_M)</f>
        <v/>
      </c>
      <c r="AE79" s="116" t="str">
        <f aca="false">IF($B79="","",IF(الموظفون!$Z79&lt;&gt;"",الموظفون!$Z79,cfg_MED)/12*G79/cfg_DAYS_M)</f>
        <v/>
      </c>
      <c r="AF79" s="116" t="str">
        <f aca="false">IF($B79="","",N(الموظفون!$AA79)/12*G79/cfg_DAYS_M)</f>
        <v/>
      </c>
      <c r="AG79" s="159" t="str">
        <f aca="false">IF($B79="","",T79+SUM(Z79:AF79))</f>
        <v/>
      </c>
      <c r="AH79" s="160" t="str">
        <f aca="false">IF($B79="","",MAX(0,IF(OR(الموظفون!$AE79="",الموظفون!$AE79&gt;$F$3),$F$3,الموظفون!$AE79)-الموظفون!$H79+1-SUMIFS('سجل الإجازات والحالات'!$AP$6:$AP$505,'سجل الإجازات والحالات'!$B$6:$B$505,$B79))/cfg_DAYS_Y)</f>
        <v/>
      </c>
      <c r="AI79" s="160" t="str">
        <f aca="false">IF($B79="","",MAX(0,IF(OR(الموظفون!$AE79="",الموظفون!$AE79&gt;($E$3-1)),($E$3-1),الموظفون!$AE79)-الموظفون!$H79+1-SUMIFS('سجل الإجازات والحالات'!$AO$6:$AO$505,'سجل الإجازات والحالات'!$B$6:$B$505,$B79))/cfg_DAYS_Y)</f>
        <v/>
      </c>
      <c r="AJ79" s="133" t="str">
        <f aca="false">IF($B79="","",MAX(0,AK79-(SUMIFS('سجل الإجازات والحالات'!$AP$6:$AP$505,'سجل الإجازات والحالات'!$B$6:$B$505,$B79)-SUMIFS('سجل الإجازات والحالات'!$AO$6:$AO$505,'سجل الإجازات والحالات'!$B$6:$B$505,$B79))))</f>
        <v/>
      </c>
      <c r="AK79" s="133" t="str">
        <f aca="false">IF($B79="","",MAX(0,IF(OR(الموظفون!$AE79="",الموظفون!$AE79&gt;$F$3),$F$3,الموظفون!$AE79)-MAX($E$3,الموظفون!$H79)+1))</f>
        <v/>
      </c>
      <c r="AL79" s="156" t="str">
        <f aca="false">IF($B79="","",SUMIFS('سجل الإجازات والحالات'!$BB$6:$BB$505,'سجل الإجازات والحالات'!$B$6:$B$505,$B79)+SUMIFS('الحركات الشهرية'!$K$6:$K$1005,'الحركات الشهرية'!$B$6:$B$1005,$B79,'الحركات الشهرية'!$A$6:$A$1005,$C$3))</f>
        <v/>
      </c>
      <c r="AM79" s="116" t="str">
        <f aca="false">IF($B79="","",AL79*الموظفون!$R79/cfg_DAYS_M+S79)</f>
        <v/>
      </c>
      <c r="AN79" s="156" t="str">
        <f aca="false">IF($B79="","",SUMIFS('سجل الإجازات والحالات'!$AD$6:$AD$505,'سجل الإجازات والحالات'!$B$6:$B$505,$B79))</f>
        <v/>
      </c>
    </row>
    <row r="80" customFormat="false" ht="15" hidden="false" customHeight="false" outlineLevel="0" collapsed="false">
      <c r="A80" s="106" t="str">
        <f aca="false">IF($B80="","",الموظفون!$A80)</f>
        <v/>
      </c>
      <c r="B80" s="114" t="str">
        <f aca="false">IF(الموظفون!$B80="","",الموظفون!$B80)</f>
        <v/>
      </c>
      <c r="C80" s="114" t="str">
        <f aca="false">IF($B80="","",الموظفون!$C80)</f>
        <v/>
      </c>
      <c r="D80" s="114" t="str">
        <f aca="false">IF($B80="","",الموظفون!$F80)</f>
        <v/>
      </c>
      <c r="E80" s="114" t="str">
        <f aca="false">IF($B80="","",الموظفون!$E80)</f>
        <v/>
      </c>
      <c r="F80" s="114" t="str">
        <f aca="false">IF($B80="","",IF(AK80=0,IF(AND(الموظفون!$AE80&lt;&gt;"",الموظفون!$AE80&lt;$E$3),"✖ منتهي الخدمة","⏳ لم يباشر"),IF(S80&gt;0,"✈ راتب إجازة مقدم",IF(J80=0,"⛔ بدون راتب هذا الشهر",IF(I80&gt;0,"✈ خصم "&amp;ROUND(I80,2)&amp;" يوم بدون أجر",IF(AL80&gt;0,"🌴 إجازة سنوية "&amp;ROUND(AL80,2)&amp;" يوم",IF(H80&gt;0,"⚠ غياب "&amp;ROUND(H80,2)&amp;" يوم","✔ على رأس العمل")))))))</f>
        <v/>
      </c>
      <c r="G80" s="151" t="str">
        <f aca="false">IF($B80="","",IF(AK80&gt;=DAY($F$3),cfg_DAYS_M,MIN(AK80,cfg_DAYS_M)))</f>
        <v/>
      </c>
      <c r="H80" s="151" t="str">
        <f aca="false">IF($B80="","",SUMIFS('الحركات الشهرية'!$D$6:$D$1005,'الحركات الشهرية'!$B$6:$B$1005,$B80,'الحركات الشهرية'!$A$6:$A$1005,$C$3))</f>
        <v/>
      </c>
      <c r="I80" s="151" t="str">
        <f aca="false">IF($B80="","",MIN(G80,IF(AND(AK80&gt;0,AN80&gt;=AK80),G80,AN80)+SUMIFS('الحركات الشهرية'!$E$6:$E$1005,'الحركات الشهرية'!$B$6:$B$1005,$B80,'الحركات الشهرية'!$A$6:$A$1005,$C$3)))</f>
        <v/>
      </c>
      <c r="J80" s="151" t="str">
        <f aca="false">IF($B80="","",MAX(0,G80-H80-I80))</f>
        <v/>
      </c>
      <c r="K80" s="111" t="str">
        <f aca="false">IF($B80="","",الموظفون!$L80*$J80/cfg_DAYS_M)</f>
        <v/>
      </c>
      <c r="L80" s="111" t="str">
        <f aca="false">IF($B80="","",الموظفون!$M80*$J80/cfg_DAYS_M)</f>
        <v/>
      </c>
      <c r="M80" s="111" t="str">
        <f aca="false">IF($B80="","",الموظفون!$N80*$J80/cfg_DAYS_M)</f>
        <v/>
      </c>
      <c r="N80" s="111" t="str">
        <f aca="false">IF($B80="","",الموظفون!$O80*$J80/cfg_DAYS_M)</f>
        <v/>
      </c>
      <c r="O80" s="151" t="str">
        <f aca="false">IF($B80="","",SUMIFS('الحركات الشهرية'!$F$6:$F$1005,'الحركات الشهرية'!$B$6:$B$1005,$B80,'الحركات الشهرية'!$A$6:$A$1005,$C$3))</f>
        <v/>
      </c>
      <c r="P80" s="111" t="str">
        <f aca="false">IF($B80="","",O80*(الموظفون!$P80+الموظفون!$L80*cfg_OT_P)/cfg_DAYS_M/cfg_HRS)</f>
        <v/>
      </c>
      <c r="Q80" s="111" t="str">
        <f aca="false">IF($B80="","",SUMIFS('الحركات الشهرية'!$G$6:$G$1005,'الحركات الشهرية'!$B$6:$B$1005,$B80,'الحركات الشهرية'!$A$6:$A$1005,$C$3))</f>
        <v/>
      </c>
      <c r="R80" s="111" t="str">
        <f aca="false">IF($B80="","",SUMIFS('الحركات الشهرية'!$H$6:$H$1005,'الحركات الشهرية'!$B$6:$B$1005,$B80,'الحركات الشهرية'!$A$6:$A$1005,$C$3))</f>
        <v/>
      </c>
      <c r="S80" s="111" t="str">
        <f aca="false">IF($B80="","",SUMIFS('سجل الإجازات والحالات'!$N$6:$N$505,'سجل الإجازات والحالات'!$B$6:$B$505,$B80,'سجل الإجازات والحالات'!$O$6:$O$505,$C$3))</f>
        <v/>
      </c>
      <c r="T80" s="152" t="str">
        <f aca="false">IF($B80="","",SUM(K80:N80)+SUM(P80:S80))</f>
        <v/>
      </c>
      <c r="U80" s="111" t="str">
        <f aca="false">IF($B80="","",الموظفون!$S80*IF(E80="سعودي",cfg_G_SE,cfg_G_NE)*G80/cfg_DAYS_M)</f>
        <v/>
      </c>
      <c r="V80" s="111" t="str">
        <f aca="false">IF($B80="","",SUMIFS('الحركات الشهرية'!$I$6:$I$1005,'الحركات الشهرية'!$B$6:$B$1005,$B80,'الحركات الشهرية'!$A$6:$A$1005,$C$3))</f>
        <v/>
      </c>
      <c r="W80" s="111" t="str">
        <f aca="false">IF($B80="","",SUMIFS('الحركات الشهرية'!$J$6:$J$1005,'الحركات الشهرية'!$B$6:$B$1005,$B80,'الحركات الشهرية'!$A$6:$A$1005,$C$3))</f>
        <v/>
      </c>
      <c r="X80" s="111" t="str">
        <f aca="false">IF($B80="","",SUM(U80:W80))</f>
        <v/>
      </c>
      <c r="Y80" s="153" t="str">
        <f aca="false">IF($B80="","",T80-X80)</f>
        <v/>
      </c>
      <c r="Z80" s="111" t="str">
        <f aca="false">IF($B80="","",الموظفون!$S80*IF(E80="سعودي",cfg_G_SR,cfg_G_NR)*G80/cfg_DAYS_M)</f>
        <v/>
      </c>
      <c r="AA80" s="111" t="str">
        <f aca="false">IF($B80="","",الموظفون!$Q80*(cfg_EOS_R1*(MIN(AH80,cfg_EOS_TH)-MIN(AI80,cfg_EOS_TH))+cfg_EOS_R2*(MAX(AH80-cfg_EOS_TH,0)-MAX(AI80-cfg_EOS_TH,0))))</f>
        <v/>
      </c>
      <c r="AB80" s="111" t="str">
        <f aca="false">IF($B80="","",IF(الموظفون!$T80&lt;&gt;"",الموظفون!$T80,IF(AH80&gt;=cfg_LV_TH,cfg_LV_D2,cfg_LV_D1))/cfg_DAYS_Y*AJ80*الموظفون!$R80/cfg_DAYS_M)</f>
        <v/>
      </c>
      <c r="AC80" s="111" t="str">
        <f aca="false">IF($B80="","",IF(AND(الموظفون!$U80="نعم",N(الموظفون!$W80)&gt;0),الموظفون!$V80/الموظفون!$W80*12/cfg_DAYS_Y*AJ80,0))</f>
        <v/>
      </c>
      <c r="AD80" s="111" t="str">
        <f aca="false">IF($B80="","",(IF(الموظفون!$X80&lt;&gt;"",الموظفون!$X80,IF(الموظفون!$E80="غير سعودي",cfg_IQ,0))+IF(الموظفون!$Y80&lt;&gt;"",الموظفون!$Y80,IF(الموظفون!$E80="غير سعودي",cfg_WP,0)))/12*G80/cfg_DAYS_M)</f>
        <v/>
      </c>
      <c r="AE80" s="111" t="str">
        <f aca="false">IF($B80="","",IF(الموظفون!$Z80&lt;&gt;"",الموظفون!$Z80,cfg_MED)/12*G80/cfg_DAYS_M)</f>
        <v/>
      </c>
      <c r="AF80" s="111" t="str">
        <f aca="false">IF($B80="","",N(الموظفون!$AA80)/12*G80/cfg_DAYS_M)</f>
        <v/>
      </c>
      <c r="AG80" s="154" t="str">
        <f aca="false">IF($B80="","",T80+SUM(Z80:AF80))</f>
        <v/>
      </c>
      <c r="AH80" s="155" t="str">
        <f aca="false">IF($B80="","",MAX(0,IF(OR(الموظفون!$AE80="",الموظفون!$AE80&gt;$F$3),$F$3,الموظفون!$AE80)-الموظفون!$H80+1-SUMIFS('سجل الإجازات والحالات'!$AP$6:$AP$505,'سجل الإجازات والحالات'!$B$6:$B$505,$B80))/cfg_DAYS_Y)</f>
        <v/>
      </c>
      <c r="AI80" s="155" t="str">
        <f aca="false">IF($B80="","",MAX(0,IF(OR(الموظفون!$AE80="",الموظفون!$AE80&gt;($E$3-1)),($E$3-1),الموظفون!$AE80)-الموظفون!$H80+1-SUMIFS('سجل الإجازات والحالات'!$AO$6:$AO$505,'سجل الإجازات والحالات'!$B$6:$B$505,$B80))/cfg_DAYS_Y)</f>
        <v/>
      </c>
      <c r="AJ80" s="65" t="str">
        <f aca="false">IF($B80="","",MAX(0,AK80-(SUMIFS('سجل الإجازات والحالات'!$AP$6:$AP$505,'سجل الإجازات والحالات'!$B$6:$B$505,$B80)-SUMIFS('سجل الإجازات والحالات'!$AO$6:$AO$505,'سجل الإجازات والحالات'!$B$6:$B$505,$B80))))</f>
        <v/>
      </c>
      <c r="AK80" s="65" t="str">
        <f aca="false">IF($B80="","",MAX(0,IF(OR(الموظفون!$AE80="",الموظفون!$AE80&gt;$F$3),$F$3,الموظفون!$AE80)-MAX($E$3,الموظفون!$H80)+1))</f>
        <v/>
      </c>
      <c r="AL80" s="151" t="str">
        <f aca="false">IF($B80="","",SUMIFS('سجل الإجازات والحالات'!$BB$6:$BB$505,'سجل الإجازات والحالات'!$B$6:$B$505,$B80)+SUMIFS('الحركات الشهرية'!$K$6:$K$1005,'الحركات الشهرية'!$B$6:$B$1005,$B80,'الحركات الشهرية'!$A$6:$A$1005,$C$3))</f>
        <v/>
      </c>
      <c r="AM80" s="111" t="str">
        <f aca="false">IF($B80="","",AL80*الموظفون!$R80/cfg_DAYS_M+S80)</f>
        <v/>
      </c>
      <c r="AN80" s="151" t="str">
        <f aca="false">IF($B80="","",SUMIFS('سجل الإجازات والحالات'!$AD$6:$AD$505,'سجل الإجازات والحالات'!$B$6:$B$505,$B80))</f>
        <v/>
      </c>
    </row>
    <row r="81" customFormat="false" ht="15" hidden="false" customHeight="false" outlineLevel="0" collapsed="false">
      <c r="A81" s="115" t="str">
        <f aca="false">IF($B81="","",الموظفون!$A81)</f>
        <v/>
      </c>
      <c r="B81" s="117" t="str">
        <f aca="false">IF(الموظفون!$B81="","",الموظفون!$B81)</f>
        <v/>
      </c>
      <c r="C81" s="117" t="str">
        <f aca="false">IF($B81="","",الموظفون!$C81)</f>
        <v/>
      </c>
      <c r="D81" s="117" t="str">
        <f aca="false">IF($B81="","",الموظفون!$F81)</f>
        <v/>
      </c>
      <c r="E81" s="117" t="str">
        <f aca="false">IF($B81="","",الموظفون!$E81)</f>
        <v/>
      </c>
      <c r="F81" s="117" t="str">
        <f aca="false">IF($B81="","",IF(AK81=0,IF(AND(الموظفون!$AE81&lt;&gt;"",الموظفون!$AE81&lt;$E$3),"✖ منتهي الخدمة","⏳ لم يباشر"),IF(S81&gt;0,"✈ راتب إجازة مقدم",IF(J81=0,"⛔ بدون راتب هذا الشهر",IF(I81&gt;0,"✈ خصم "&amp;ROUND(I81,2)&amp;" يوم بدون أجر",IF(AL81&gt;0,"🌴 إجازة سنوية "&amp;ROUND(AL81,2)&amp;" يوم",IF(H81&gt;0,"⚠ غياب "&amp;ROUND(H81,2)&amp;" يوم","✔ على رأس العمل")))))))</f>
        <v/>
      </c>
      <c r="G81" s="156" t="str">
        <f aca="false">IF($B81="","",IF(AK81&gt;=DAY($F$3),cfg_DAYS_M,MIN(AK81,cfg_DAYS_M)))</f>
        <v/>
      </c>
      <c r="H81" s="156" t="str">
        <f aca="false">IF($B81="","",SUMIFS('الحركات الشهرية'!$D$6:$D$1005,'الحركات الشهرية'!$B$6:$B$1005,$B81,'الحركات الشهرية'!$A$6:$A$1005,$C$3))</f>
        <v/>
      </c>
      <c r="I81" s="156" t="str">
        <f aca="false">IF($B81="","",MIN(G81,IF(AND(AK81&gt;0,AN81&gt;=AK81),G81,AN81)+SUMIFS('الحركات الشهرية'!$E$6:$E$1005,'الحركات الشهرية'!$B$6:$B$1005,$B81,'الحركات الشهرية'!$A$6:$A$1005,$C$3)))</f>
        <v/>
      </c>
      <c r="J81" s="156" t="str">
        <f aca="false">IF($B81="","",MAX(0,G81-H81-I81))</f>
        <v/>
      </c>
      <c r="K81" s="116" t="str">
        <f aca="false">IF($B81="","",الموظفون!$L81*$J81/cfg_DAYS_M)</f>
        <v/>
      </c>
      <c r="L81" s="116" t="str">
        <f aca="false">IF($B81="","",الموظفون!$M81*$J81/cfg_DAYS_M)</f>
        <v/>
      </c>
      <c r="M81" s="116" t="str">
        <f aca="false">IF($B81="","",الموظفون!$N81*$J81/cfg_DAYS_M)</f>
        <v/>
      </c>
      <c r="N81" s="116" t="str">
        <f aca="false">IF($B81="","",الموظفون!$O81*$J81/cfg_DAYS_M)</f>
        <v/>
      </c>
      <c r="O81" s="156" t="str">
        <f aca="false">IF($B81="","",SUMIFS('الحركات الشهرية'!$F$6:$F$1005,'الحركات الشهرية'!$B$6:$B$1005,$B81,'الحركات الشهرية'!$A$6:$A$1005,$C$3))</f>
        <v/>
      </c>
      <c r="P81" s="116" t="str">
        <f aca="false">IF($B81="","",O81*(الموظفون!$P81+الموظفون!$L81*cfg_OT_P)/cfg_DAYS_M/cfg_HRS)</f>
        <v/>
      </c>
      <c r="Q81" s="116" t="str">
        <f aca="false">IF($B81="","",SUMIFS('الحركات الشهرية'!$G$6:$G$1005,'الحركات الشهرية'!$B$6:$B$1005,$B81,'الحركات الشهرية'!$A$6:$A$1005,$C$3))</f>
        <v/>
      </c>
      <c r="R81" s="116" t="str">
        <f aca="false">IF($B81="","",SUMIFS('الحركات الشهرية'!$H$6:$H$1005,'الحركات الشهرية'!$B$6:$B$1005,$B81,'الحركات الشهرية'!$A$6:$A$1005,$C$3))</f>
        <v/>
      </c>
      <c r="S81" s="116" t="str">
        <f aca="false">IF($B81="","",SUMIFS('سجل الإجازات والحالات'!$N$6:$N$505,'سجل الإجازات والحالات'!$B$6:$B$505,$B81,'سجل الإجازات والحالات'!$O$6:$O$505,$C$3))</f>
        <v/>
      </c>
      <c r="T81" s="157" t="str">
        <f aca="false">IF($B81="","",SUM(K81:N81)+SUM(P81:S81))</f>
        <v/>
      </c>
      <c r="U81" s="116" t="str">
        <f aca="false">IF($B81="","",الموظفون!$S81*IF(E81="سعودي",cfg_G_SE,cfg_G_NE)*G81/cfg_DAYS_M)</f>
        <v/>
      </c>
      <c r="V81" s="116" t="str">
        <f aca="false">IF($B81="","",SUMIFS('الحركات الشهرية'!$I$6:$I$1005,'الحركات الشهرية'!$B$6:$B$1005,$B81,'الحركات الشهرية'!$A$6:$A$1005,$C$3))</f>
        <v/>
      </c>
      <c r="W81" s="116" t="str">
        <f aca="false">IF($B81="","",SUMIFS('الحركات الشهرية'!$J$6:$J$1005,'الحركات الشهرية'!$B$6:$B$1005,$B81,'الحركات الشهرية'!$A$6:$A$1005,$C$3))</f>
        <v/>
      </c>
      <c r="X81" s="116" t="str">
        <f aca="false">IF($B81="","",SUM(U81:W81))</f>
        <v/>
      </c>
      <c r="Y81" s="158" t="str">
        <f aca="false">IF($B81="","",T81-X81)</f>
        <v/>
      </c>
      <c r="Z81" s="116" t="str">
        <f aca="false">IF($B81="","",الموظفون!$S81*IF(E81="سعودي",cfg_G_SR,cfg_G_NR)*G81/cfg_DAYS_M)</f>
        <v/>
      </c>
      <c r="AA81" s="116" t="str">
        <f aca="false">IF($B81="","",الموظفون!$Q81*(cfg_EOS_R1*(MIN(AH81,cfg_EOS_TH)-MIN(AI81,cfg_EOS_TH))+cfg_EOS_R2*(MAX(AH81-cfg_EOS_TH,0)-MAX(AI81-cfg_EOS_TH,0))))</f>
        <v/>
      </c>
      <c r="AB81" s="116" t="str">
        <f aca="false">IF($B81="","",IF(الموظفون!$T81&lt;&gt;"",الموظفون!$T81,IF(AH81&gt;=cfg_LV_TH,cfg_LV_D2,cfg_LV_D1))/cfg_DAYS_Y*AJ81*الموظفون!$R81/cfg_DAYS_M)</f>
        <v/>
      </c>
      <c r="AC81" s="116" t="str">
        <f aca="false">IF($B81="","",IF(AND(الموظفون!$U81="نعم",N(الموظفون!$W81)&gt;0),الموظفون!$V81/الموظفون!$W81*12/cfg_DAYS_Y*AJ81,0))</f>
        <v/>
      </c>
      <c r="AD81" s="116" t="str">
        <f aca="false">IF($B81="","",(IF(الموظفون!$X81&lt;&gt;"",الموظفون!$X81,IF(الموظفون!$E81="غير سعودي",cfg_IQ,0))+IF(الموظفون!$Y81&lt;&gt;"",الموظفون!$Y81,IF(الموظفون!$E81="غير سعودي",cfg_WP,0)))/12*G81/cfg_DAYS_M)</f>
        <v/>
      </c>
      <c r="AE81" s="116" t="str">
        <f aca="false">IF($B81="","",IF(الموظفون!$Z81&lt;&gt;"",الموظفون!$Z81,cfg_MED)/12*G81/cfg_DAYS_M)</f>
        <v/>
      </c>
      <c r="AF81" s="116" t="str">
        <f aca="false">IF($B81="","",N(الموظفون!$AA81)/12*G81/cfg_DAYS_M)</f>
        <v/>
      </c>
      <c r="AG81" s="159" t="str">
        <f aca="false">IF($B81="","",T81+SUM(Z81:AF81))</f>
        <v/>
      </c>
      <c r="AH81" s="160" t="str">
        <f aca="false">IF($B81="","",MAX(0,IF(OR(الموظفون!$AE81="",الموظفون!$AE81&gt;$F$3),$F$3,الموظفون!$AE81)-الموظفون!$H81+1-SUMIFS('سجل الإجازات والحالات'!$AP$6:$AP$505,'سجل الإجازات والحالات'!$B$6:$B$505,$B81))/cfg_DAYS_Y)</f>
        <v/>
      </c>
      <c r="AI81" s="160" t="str">
        <f aca="false">IF($B81="","",MAX(0,IF(OR(الموظفون!$AE81="",الموظفون!$AE81&gt;($E$3-1)),($E$3-1),الموظفون!$AE81)-الموظفون!$H81+1-SUMIFS('سجل الإجازات والحالات'!$AO$6:$AO$505,'سجل الإجازات والحالات'!$B$6:$B$505,$B81))/cfg_DAYS_Y)</f>
        <v/>
      </c>
      <c r="AJ81" s="133" t="str">
        <f aca="false">IF($B81="","",MAX(0,AK81-(SUMIFS('سجل الإجازات والحالات'!$AP$6:$AP$505,'سجل الإجازات والحالات'!$B$6:$B$505,$B81)-SUMIFS('سجل الإجازات والحالات'!$AO$6:$AO$505,'سجل الإجازات والحالات'!$B$6:$B$505,$B81))))</f>
        <v/>
      </c>
      <c r="AK81" s="133" t="str">
        <f aca="false">IF($B81="","",MAX(0,IF(OR(الموظفون!$AE81="",الموظفون!$AE81&gt;$F$3),$F$3,الموظفون!$AE81)-MAX($E$3,الموظفون!$H81)+1))</f>
        <v/>
      </c>
      <c r="AL81" s="156" t="str">
        <f aca="false">IF($B81="","",SUMIFS('سجل الإجازات والحالات'!$BB$6:$BB$505,'سجل الإجازات والحالات'!$B$6:$B$505,$B81)+SUMIFS('الحركات الشهرية'!$K$6:$K$1005,'الحركات الشهرية'!$B$6:$B$1005,$B81,'الحركات الشهرية'!$A$6:$A$1005,$C$3))</f>
        <v/>
      </c>
      <c r="AM81" s="116" t="str">
        <f aca="false">IF($B81="","",AL81*الموظفون!$R81/cfg_DAYS_M+S81)</f>
        <v/>
      </c>
      <c r="AN81" s="156" t="str">
        <f aca="false">IF($B81="","",SUMIFS('سجل الإجازات والحالات'!$AD$6:$AD$505,'سجل الإجازات والحالات'!$B$6:$B$505,$B81))</f>
        <v/>
      </c>
    </row>
    <row r="82" customFormat="false" ht="15" hidden="false" customHeight="false" outlineLevel="0" collapsed="false">
      <c r="A82" s="106" t="str">
        <f aca="false">IF($B82="","",الموظفون!$A82)</f>
        <v/>
      </c>
      <c r="B82" s="114" t="str">
        <f aca="false">IF(الموظفون!$B82="","",الموظفون!$B82)</f>
        <v/>
      </c>
      <c r="C82" s="114" t="str">
        <f aca="false">IF($B82="","",الموظفون!$C82)</f>
        <v/>
      </c>
      <c r="D82" s="114" t="str">
        <f aca="false">IF($B82="","",الموظفون!$F82)</f>
        <v/>
      </c>
      <c r="E82" s="114" t="str">
        <f aca="false">IF($B82="","",الموظفون!$E82)</f>
        <v/>
      </c>
      <c r="F82" s="114" t="str">
        <f aca="false">IF($B82="","",IF(AK82=0,IF(AND(الموظفون!$AE82&lt;&gt;"",الموظفون!$AE82&lt;$E$3),"✖ منتهي الخدمة","⏳ لم يباشر"),IF(S82&gt;0,"✈ راتب إجازة مقدم",IF(J82=0,"⛔ بدون راتب هذا الشهر",IF(I82&gt;0,"✈ خصم "&amp;ROUND(I82,2)&amp;" يوم بدون أجر",IF(AL82&gt;0,"🌴 إجازة سنوية "&amp;ROUND(AL82,2)&amp;" يوم",IF(H82&gt;0,"⚠ غياب "&amp;ROUND(H82,2)&amp;" يوم","✔ على رأس العمل")))))))</f>
        <v/>
      </c>
      <c r="G82" s="151" t="str">
        <f aca="false">IF($B82="","",IF(AK82&gt;=DAY($F$3),cfg_DAYS_M,MIN(AK82,cfg_DAYS_M)))</f>
        <v/>
      </c>
      <c r="H82" s="151" t="str">
        <f aca="false">IF($B82="","",SUMIFS('الحركات الشهرية'!$D$6:$D$1005,'الحركات الشهرية'!$B$6:$B$1005,$B82,'الحركات الشهرية'!$A$6:$A$1005,$C$3))</f>
        <v/>
      </c>
      <c r="I82" s="151" t="str">
        <f aca="false">IF($B82="","",MIN(G82,IF(AND(AK82&gt;0,AN82&gt;=AK82),G82,AN82)+SUMIFS('الحركات الشهرية'!$E$6:$E$1005,'الحركات الشهرية'!$B$6:$B$1005,$B82,'الحركات الشهرية'!$A$6:$A$1005,$C$3)))</f>
        <v/>
      </c>
      <c r="J82" s="151" t="str">
        <f aca="false">IF($B82="","",MAX(0,G82-H82-I82))</f>
        <v/>
      </c>
      <c r="K82" s="111" t="str">
        <f aca="false">IF($B82="","",الموظفون!$L82*$J82/cfg_DAYS_M)</f>
        <v/>
      </c>
      <c r="L82" s="111" t="str">
        <f aca="false">IF($B82="","",الموظفون!$M82*$J82/cfg_DAYS_M)</f>
        <v/>
      </c>
      <c r="M82" s="111" t="str">
        <f aca="false">IF($B82="","",الموظفون!$N82*$J82/cfg_DAYS_M)</f>
        <v/>
      </c>
      <c r="N82" s="111" t="str">
        <f aca="false">IF($B82="","",الموظفون!$O82*$J82/cfg_DAYS_M)</f>
        <v/>
      </c>
      <c r="O82" s="151" t="str">
        <f aca="false">IF($B82="","",SUMIFS('الحركات الشهرية'!$F$6:$F$1005,'الحركات الشهرية'!$B$6:$B$1005,$B82,'الحركات الشهرية'!$A$6:$A$1005,$C$3))</f>
        <v/>
      </c>
      <c r="P82" s="111" t="str">
        <f aca="false">IF($B82="","",O82*(الموظفون!$P82+الموظفون!$L82*cfg_OT_P)/cfg_DAYS_M/cfg_HRS)</f>
        <v/>
      </c>
      <c r="Q82" s="111" t="str">
        <f aca="false">IF($B82="","",SUMIFS('الحركات الشهرية'!$G$6:$G$1005,'الحركات الشهرية'!$B$6:$B$1005,$B82,'الحركات الشهرية'!$A$6:$A$1005,$C$3))</f>
        <v/>
      </c>
      <c r="R82" s="111" t="str">
        <f aca="false">IF($B82="","",SUMIFS('الحركات الشهرية'!$H$6:$H$1005,'الحركات الشهرية'!$B$6:$B$1005,$B82,'الحركات الشهرية'!$A$6:$A$1005,$C$3))</f>
        <v/>
      </c>
      <c r="S82" s="111" t="str">
        <f aca="false">IF($B82="","",SUMIFS('سجل الإجازات والحالات'!$N$6:$N$505,'سجل الإجازات والحالات'!$B$6:$B$505,$B82,'سجل الإجازات والحالات'!$O$6:$O$505,$C$3))</f>
        <v/>
      </c>
      <c r="T82" s="152" t="str">
        <f aca="false">IF($B82="","",SUM(K82:N82)+SUM(P82:S82))</f>
        <v/>
      </c>
      <c r="U82" s="111" t="str">
        <f aca="false">IF($B82="","",الموظفون!$S82*IF(E82="سعودي",cfg_G_SE,cfg_G_NE)*G82/cfg_DAYS_M)</f>
        <v/>
      </c>
      <c r="V82" s="111" t="str">
        <f aca="false">IF($B82="","",SUMIFS('الحركات الشهرية'!$I$6:$I$1005,'الحركات الشهرية'!$B$6:$B$1005,$B82,'الحركات الشهرية'!$A$6:$A$1005,$C$3))</f>
        <v/>
      </c>
      <c r="W82" s="111" t="str">
        <f aca="false">IF($B82="","",SUMIFS('الحركات الشهرية'!$J$6:$J$1005,'الحركات الشهرية'!$B$6:$B$1005,$B82,'الحركات الشهرية'!$A$6:$A$1005,$C$3))</f>
        <v/>
      </c>
      <c r="X82" s="111" t="str">
        <f aca="false">IF($B82="","",SUM(U82:W82))</f>
        <v/>
      </c>
      <c r="Y82" s="153" t="str">
        <f aca="false">IF($B82="","",T82-X82)</f>
        <v/>
      </c>
      <c r="Z82" s="111" t="str">
        <f aca="false">IF($B82="","",الموظفون!$S82*IF(E82="سعودي",cfg_G_SR,cfg_G_NR)*G82/cfg_DAYS_M)</f>
        <v/>
      </c>
      <c r="AA82" s="111" t="str">
        <f aca="false">IF($B82="","",الموظفون!$Q82*(cfg_EOS_R1*(MIN(AH82,cfg_EOS_TH)-MIN(AI82,cfg_EOS_TH))+cfg_EOS_R2*(MAX(AH82-cfg_EOS_TH,0)-MAX(AI82-cfg_EOS_TH,0))))</f>
        <v/>
      </c>
      <c r="AB82" s="111" t="str">
        <f aca="false">IF($B82="","",IF(الموظفون!$T82&lt;&gt;"",الموظفون!$T82,IF(AH82&gt;=cfg_LV_TH,cfg_LV_D2,cfg_LV_D1))/cfg_DAYS_Y*AJ82*الموظفون!$R82/cfg_DAYS_M)</f>
        <v/>
      </c>
      <c r="AC82" s="111" t="str">
        <f aca="false">IF($B82="","",IF(AND(الموظفون!$U82="نعم",N(الموظفون!$W82)&gt;0),الموظفون!$V82/الموظفون!$W82*12/cfg_DAYS_Y*AJ82,0))</f>
        <v/>
      </c>
      <c r="AD82" s="111" t="str">
        <f aca="false">IF($B82="","",(IF(الموظفون!$X82&lt;&gt;"",الموظفون!$X82,IF(الموظفون!$E82="غير سعودي",cfg_IQ,0))+IF(الموظفون!$Y82&lt;&gt;"",الموظفون!$Y82,IF(الموظفون!$E82="غير سعودي",cfg_WP,0)))/12*G82/cfg_DAYS_M)</f>
        <v/>
      </c>
      <c r="AE82" s="111" t="str">
        <f aca="false">IF($B82="","",IF(الموظفون!$Z82&lt;&gt;"",الموظفون!$Z82,cfg_MED)/12*G82/cfg_DAYS_M)</f>
        <v/>
      </c>
      <c r="AF82" s="111" t="str">
        <f aca="false">IF($B82="","",N(الموظفون!$AA82)/12*G82/cfg_DAYS_M)</f>
        <v/>
      </c>
      <c r="AG82" s="154" t="str">
        <f aca="false">IF($B82="","",T82+SUM(Z82:AF82))</f>
        <v/>
      </c>
      <c r="AH82" s="155" t="str">
        <f aca="false">IF($B82="","",MAX(0,IF(OR(الموظفون!$AE82="",الموظفون!$AE82&gt;$F$3),$F$3,الموظفون!$AE82)-الموظفون!$H82+1-SUMIFS('سجل الإجازات والحالات'!$AP$6:$AP$505,'سجل الإجازات والحالات'!$B$6:$B$505,$B82))/cfg_DAYS_Y)</f>
        <v/>
      </c>
      <c r="AI82" s="155" t="str">
        <f aca="false">IF($B82="","",MAX(0,IF(OR(الموظفون!$AE82="",الموظفون!$AE82&gt;($E$3-1)),($E$3-1),الموظفون!$AE82)-الموظفون!$H82+1-SUMIFS('سجل الإجازات والحالات'!$AO$6:$AO$505,'سجل الإجازات والحالات'!$B$6:$B$505,$B82))/cfg_DAYS_Y)</f>
        <v/>
      </c>
      <c r="AJ82" s="65" t="str">
        <f aca="false">IF($B82="","",MAX(0,AK82-(SUMIFS('سجل الإجازات والحالات'!$AP$6:$AP$505,'سجل الإجازات والحالات'!$B$6:$B$505,$B82)-SUMIFS('سجل الإجازات والحالات'!$AO$6:$AO$505,'سجل الإجازات والحالات'!$B$6:$B$505,$B82))))</f>
        <v/>
      </c>
      <c r="AK82" s="65" t="str">
        <f aca="false">IF($B82="","",MAX(0,IF(OR(الموظفون!$AE82="",الموظفون!$AE82&gt;$F$3),$F$3,الموظفون!$AE82)-MAX($E$3,الموظفون!$H82)+1))</f>
        <v/>
      </c>
      <c r="AL82" s="151" t="str">
        <f aca="false">IF($B82="","",SUMIFS('سجل الإجازات والحالات'!$BB$6:$BB$505,'سجل الإجازات والحالات'!$B$6:$B$505,$B82)+SUMIFS('الحركات الشهرية'!$K$6:$K$1005,'الحركات الشهرية'!$B$6:$B$1005,$B82,'الحركات الشهرية'!$A$6:$A$1005,$C$3))</f>
        <v/>
      </c>
      <c r="AM82" s="111" t="str">
        <f aca="false">IF($B82="","",AL82*الموظفون!$R82/cfg_DAYS_M+S82)</f>
        <v/>
      </c>
      <c r="AN82" s="151" t="str">
        <f aca="false">IF($B82="","",SUMIFS('سجل الإجازات والحالات'!$AD$6:$AD$505,'سجل الإجازات والحالات'!$B$6:$B$505,$B82))</f>
        <v/>
      </c>
    </row>
    <row r="83" customFormat="false" ht="15" hidden="false" customHeight="false" outlineLevel="0" collapsed="false">
      <c r="A83" s="115" t="str">
        <f aca="false">IF($B83="","",الموظفون!$A83)</f>
        <v/>
      </c>
      <c r="B83" s="117" t="str">
        <f aca="false">IF(الموظفون!$B83="","",الموظفون!$B83)</f>
        <v/>
      </c>
      <c r="C83" s="117" t="str">
        <f aca="false">IF($B83="","",الموظفون!$C83)</f>
        <v/>
      </c>
      <c r="D83" s="117" t="str">
        <f aca="false">IF($B83="","",الموظفون!$F83)</f>
        <v/>
      </c>
      <c r="E83" s="117" t="str">
        <f aca="false">IF($B83="","",الموظفون!$E83)</f>
        <v/>
      </c>
      <c r="F83" s="117" t="str">
        <f aca="false">IF($B83="","",IF(AK83=0,IF(AND(الموظفون!$AE83&lt;&gt;"",الموظفون!$AE83&lt;$E$3),"✖ منتهي الخدمة","⏳ لم يباشر"),IF(S83&gt;0,"✈ راتب إجازة مقدم",IF(J83=0,"⛔ بدون راتب هذا الشهر",IF(I83&gt;0,"✈ خصم "&amp;ROUND(I83,2)&amp;" يوم بدون أجر",IF(AL83&gt;0,"🌴 إجازة سنوية "&amp;ROUND(AL83,2)&amp;" يوم",IF(H83&gt;0,"⚠ غياب "&amp;ROUND(H83,2)&amp;" يوم","✔ على رأس العمل")))))))</f>
        <v/>
      </c>
      <c r="G83" s="156" t="str">
        <f aca="false">IF($B83="","",IF(AK83&gt;=DAY($F$3),cfg_DAYS_M,MIN(AK83,cfg_DAYS_M)))</f>
        <v/>
      </c>
      <c r="H83" s="156" t="str">
        <f aca="false">IF($B83="","",SUMIFS('الحركات الشهرية'!$D$6:$D$1005,'الحركات الشهرية'!$B$6:$B$1005,$B83,'الحركات الشهرية'!$A$6:$A$1005,$C$3))</f>
        <v/>
      </c>
      <c r="I83" s="156" t="str">
        <f aca="false">IF($B83="","",MIN(G83,IF(AND(AK83&gt;0,AN83&gt;=AK83),G83,AN83)+SUMIFS('الحركات الشهرية'!$E$6:$E$1005,'الحركات الشهرية'!$B$6:$B$1005,$B83,'الحركات الشهرية'!$A$6:$A$1005,$C$3)))</f>
        <v/>
      </c>
      <c r="J83" s="156" t="str">
        <f aca="false">IF($B83="","",MAX(0,G83-H83-I83))</f>
        <v/>
      </c>
      <c r="K83" s="116" t="str">
        <f aca="false">IF($B83="","",الموظفون!$L83*$J83/cfg_DAYS_M)</f>
        <v/>
      </c>
      <c r="L83" s="116" t="str">
        <f aca="false">IF($B83="","",الموظفون!$M83*$J83/cfg_DAYS_M)</f>
        <v/>
      </c>
      <c r="M83" s="116" t="str">
        <f aca="false">IF($B83="","",الموظفون!$N83*$J83/cfg_DAYS_M)</f>
        <v/>
      </c>
      <c r="N83" s="116" t="str">
        <f aca="false">IF($B83="","",الموظفون!$O83*$J83/cfg_DAYS_M)</f>
        <v/>
      </c>
      <c r="O83" s="156" t="str">
        <f aca="false">IF($B83="","",SUMIFS('الحركات الشهرية'!$F$6:$F$1005,'الحركات الشهرية'!$B$6:$B$1005,$B83,'الحركات الشهرية'!$A$6:$A$1005,$C$3))</f>
        <v/>
      </c>
      <c r="P83" s="116" t="str">
        <f aca="false">IF($B83="","",O83*(الموظفون!$P83+الموظفون!$L83*cfg_OT_P)/cfg_DAYS_M/cfg_HRS)</f>
        <v/>
      </c>
      <c r="Q83" s="116" t="str">
        <f aca="false">IF($B83="","",SUMIFS('الحركات الشهرية'!$G$6:$G$1005,'الحركات الشهرية'!$B$6:$B$1005,$B83,'الحركات الشهرية'!$A$6:$A$1005,$C$3))</f>
        <v/>
      </c>
      <c r="R83" s="116" t="str">
        <f aca="false">IF($B83="","",SUMIFS('الحركات الشهرية'!$H$6:$H$1005,'الحركات الشهرية'!$B$6:$B$1005,$B83,'الحركات الشهرية'!$A$6:$A$1005,$C$3))</f>
        <v/>
      </c>
      <c r="S83" s="116" t="str">
        <f aca="false">IF($B83="","",SUMIFS('سجل الإجازات والحالات'!$N$6:$N$505,'سجل الإجازات والحالات'!$B$6:$B$505,$B83,'سجل الإجازات والحالات'!$O$6:$O$505,$C$3))</f>
        <v/>
      </c>
      <c r="T83" s="157" t="str">
        <f aca="false">IF($B83="","",SUM(K83:N83)+SUM(P83:S83))</f>
        <v/>
      </c>
      <c r="U83" s="116" t="str">
        <f aca="false">IF($B83="","",الموظفون!$S83*IF(E83="سعودي",cfg_G_SE,cfg_G_NE)*G83/cfg_DAYS_M)</f>
        <v/>
      </c>
      <c r="V83" s="116" t="str">
        <f aca="false">IF($B83="","",SUMIFS('الحركات الشهرية'!$I$6:$I$1005,'الحركات الشهرية'!$B$6:$B$1005,$B83,'الحركات الشهرية'!$A$6:$A$1005,$C$3))</f>
        <v/>
      </c>
      <c r="W83" s="116" t="str">
        <f aca="false">IF($B83="","",SUMIFS('الحركات الشهرية'!$J$6:$J$1005,'الحركات الشهرية'!$B$6:$B$1005,$B83,'الحركات الشهرية'!$A$6:$A$1005,$C$3))</f>
        <v/>
      </c>
      <c r="X83" s="116" t="str">
        <f aca="false">IF($B83="","",SUM(U83:W83))</f>
        <v/>
      </c>
      <c r="Y83" s="158" t="str">
        <f aca="false">IF($B83="","",T83-X83)</f>
        <v/>
      </c>
      <c r="Z83" s="116" t="str">
        <f aca="false">IF($B83="","",الموظفون!$S83*IF(E83="سعودي",cfg_G_SR,cfg_G_NR)*G83/cfg_DAYS_M)</f>
        <v/>
      </c>
      <c r="AA83" s="116" t="str">
        <f aca="false">IF($B83="","",الموظفون!$Q83*(cfg_EOS_R1*(MIN(AH83,cfg_EOS_TH)-MIN(AI83,cfg_EOS_TH))+cfg_EOS_R2*(MAX(AH83-cfg_EOS_TH,0)-MAX(AI83-cfg_EOS_TH,0))))</f>
        <v/>
      </c>
      <c r="AB83" s="116" t="str">
        <f aca="false">IF($B83="","",IF(الموظفون!$T83&lt;&gt;"",الموظفون!$T83,IF(AH83&gt;=cfg_LV_TH,cfg_LV_D2,cfg_LV_D1))/cfg_DAYS_Y*AJ83*الموظفون!$R83/cfg_DAYS_M)</f>
        <v/>
      </c>
      <c r="AC83" s="116" t="str">
        <f aca="false">IF($B83="","",IF(AND(الموظفون!$U83="نعم",N(الموظفون!$W83)&gt;0),الموظفون!$V83/الموظفون!$W83*12/cfg_DAYS_Y*AJ83,0))</f>
        <v/>
      </c>
      <c r="AD83" s="116" t="str">
        <f aca="false">IF($B83="","",(IF(الموظفون!$X83&lt;&gt;"",الموظفون!$X83,IF(الموظفون!$E83="غير سعودي",cfg_IQ,0))+IF(الموظفون!$Y83&lt;&gt;"",الموظفون!$Y83,IF(الموظفون!$E83="غير سعودي",cfg_WP,0)))/12*G83/cfg_DAYS_M)</f>
        <v/>
      </c>
      <c r="AE83" s="116" t="str">
        <f aca="false">IF($B83="","",IF(الموظفون!$Z83&lt;&gt;"",الموظفون!$Z83,cfg_MED)/12*G83/cfg_DAYS_M)</f>
        <v/>
      </c>
      <c r="AF83" s="116" t="str">
        <f aca="false">IF($B83="","",N(الموظفون!$AA83)/12*G83/cfg_DAYS_M)</f>
        <v/>
      </c>
      <c r="AG83" s="159" t="str">
        <f aca="false">IF($B83="","",T83+SUM(Z83:AF83))</f>
        <v/>
      </c>
      <c r="AH83" s="160" t="str">
        <f aca="false">IF($B83="","",MAX(0,IF(OR(الموظفون!$AE83="",الموظفون!$AE83&gt;$F$3),$F$3,الموظفون!$AE83)-الموظفون!$H83+1-SUMIFS('سجل الإجازات والحالات'!$AP$6:$AP$505,'سجل الإجازات والحالات'!$B$6:$B$505,$B83))/cfg_DAYS_Y)</f>
        <v/>
      </c>
      <c r="AI83" s="160" t="str">
        <f aca="false">IF($B83="","",MAX(0,IF(OR(الموظفون!$AE83="",الموظفون!$AE83&gt;($E$3-1)),($E$3-1),الموظفون!$AE83)-الموظفون!$H83+1-SUMIFS('سجل الإجازات والحالات'!$AO$6:$AO$505,'سجل الإجازات والحالات'!$B$6:$B$505,$B83))/cfg_DAYS_Y)</f>
        <v/>
      </c>
      <c r="AJ83" s="133" t="str">
        <f aca="false">IF($B83="","",MAX(0,AK83-(SUMIFS('سجل الإجازات والحالات'!$AP$6:$AP$505,'سجل الإجازات والحالات'!$B$6:$B$505,$B83)-SUMIFS('سجل الإجازات والحالات'!$AO$6:$AO$505,'سجل الإجازات والحالات'!$B$6:$B$505,$B83))))</f>
        <v/>
      </c>
      <c r="AK83" s="133" t="str">
        <f aca="false">IF($B83="","",MAX(0,IF(OR(الموظفون!$AE83="",الموظفون!$AE83&gt;$F$3),$F$3,الموظفون!$AE83)-MAX($E$3,الموظفون!$H83)+1))</f>
        <v/>
      </c>
      <c r="AL83" s="156" t="str">
        <f aca="false">IF($B83="","",SUMIFS('سجل الإجازات والحالات'!$BB$6:$BB$505,'سجل الإجازات والحالات'!$B$6:$B$505,$B83)+SUMIFS('الحركات الشهرية'!$K$6:$K$1005,'الحركات الشهرية'!$B$6:$B$1005,$B83,'الحركات الشهرية'!$A$6:$A$1005,$C$3))</f>
        <v/>
      </c>
      <c r="AM83" s="116" t="str">
        <f aca="false">IF($B83="","",AL83*الموظفون!$R83/cfg_DAYS_M+S83)</f>
        <v/>
      </c>
      <c r="AN83" s="156" t="str">
        <f aca="false">IF($B83="","",SUMIFS('سجل الإجازات والحالات'!$AD$6:$AD$505,'سجل الإجازات والحالات'!$B$6:$B$505,$B83))</f>
        <v/>
      </c>
    </row>
    <row r="84" customFormat="false" ht="15" hidden="false" customHeight="false" outlineLevel="0" collapsed="false">
      <c r="A84" s="106" t="str">
        <f aca="false">IF($B84="","",الموظفون!$A84)</f>
        <v/>
      </c>
      <c r="B84" s="114" t="str">
        <f aca="false">IF(الموظفون!$B84="","",الموظفون!$B84)</f>
        <v/>
      </c>
      <c r="C84" s="114" t="str">
        <f aca="false">IF($B84="","",الموظفون!$C84)</f>
        <v/>
      </c>
      <c r="D84" s="114" t="str">
        <f aca="false">IF($B84="","",الموظفون!$F84)</f>
        <v/>
      </c>
      <c r="E84" s="114" t="str">
        <f aca="false">IF($B84="","",الموظفون!$E84)</f>
        <v/>
      </c>
      <c r="F84" s="114" t="str">
        <f aca="false">IF($B84="","",IF(AK84=0,IF(AND(الموظفون!$AE84&lt;&gt;"",الموظفون!$AE84&lt;$E$3),"✖ منتهي الخدمة","⏳ لم يباشر"),IF(S84&gt;0,"✈ راتب إجازة مقدم",IF(J84=0,"⛔ بدون راتب هذا الشهر",IF(I84&gt;0,"✈ خصم "&amp;ROUND(I84,2)&amp;" يوم بدون أجر",IF(AL84&gt;0,"🌴 إجازة سنوية "&amp;ROUND(AL84,2)&amp;" يوم",IF(H84&gt;0,"⚠ غياب "&amp;ROUND(H84,2)&amp;" يوم","✔ على رأس العمل")))))))</f>
        <v/>
      </c>
      <c r="G84" s="151" t="str">
        <f aca="false">IF($B84="","",IF(AK84&gt;=DAY($F$3),cfg_DAYS_M,MIN(AK84,cfg_DAYS_M)))</f>
        <v/>
      </c>
      <c r="H84" s="151" t="str">
        <f aca="false">IF($B84="","",SUMIFS('الحركات الشهرية'!$D$6:$D$1005,'الحركات الشهرية'!$B$6:$B$1005,$B84,'الحركات الشهرية'!$A$6:$A$1005,$C$3))</f>
        <v/>
      </c>
      <c r="I84" s="151" t="str">
        <f aca="false">IF($B84="","",MIN(G84,IF(AND(AK84&gt;0,AN84&gt;=AK84),G84,AN84)+SUMIFS('الحركات الشهرية'!$E$6:$E$1005,'الحركات الشهرية'!$B$6:$B$1005,$B84,'الحركات الشهرية'!$A$6:$A$1005,$C$3)))</f>
        <v/>
      </c>
      <c r="J84" s="151" t="str">
        <f aca="false">IF($B84="","",MAX(0,G84-H84-I84))</f>
        <v/>
      </c>
      <c r="K84" s="111" t="str">
        <f aca="false">IF($B84="","",الموظفون!$L84*$J84/cfg_DAYS_M)</f>
        <v/>
      </c>
      <c r="L84" s="111" t="str">
        <f aca="false">IF($B84="","",الموظفون!$M84*$J84/cfg_DAYS_M)</f>
        <v/>
      </c>
      <c r="M84" s="111" t="str">
        <f aca="false">IF($B84="","",الموظفون!$N84*$J84/cfg_DAYS_M)</f>
        <v/>
      </c>
      <c r="N84" s="111" t="str">
        <f aca="false">IF($B84="","",الموظفون!$O84*$J84/cfg_DAYS_M)</f>
        <v/>
      </c>
      <c r="O84" s="151" t="str">
        <f aca="false">IF($B84="","",SUMIFS('الحركات الشهرية'!$F$6:$F$1005,'الحركات الشهرية'!$B$6:$B$1005,$B84,'الحركات الشهرية'!$A$6:$A$1005,$C$3))</f>
        <v/>
      </c>
      <c r="P84" s="111" t="str">
        <f aca="false">IF($B84="","",O84*(الموظفون!$P84+الموظفون!$L84*cfg_OT_P)/cfg_DAYS_M/cfg_HRS)</f>
        <v/>
      </c>
      <c r="Q84" s="111" t="str">
        <f aca="false">IF($B84="","",SUMIFS('الحركات الشهرية'!$G$6:$G$1005,'الحركات الشهرية'!$B$6:$B$1005,$B84,'الحركات الشهرية'!$A$6:$A$1005,$C$3))</f>
        <v/>
      </c>
      <c r="R84" s="111" t="str">
        <f aca="false">IF($B84="","",SUMIFS('الحركات الشهرية'!$H$6:$H$1005,'الحركات الشهرية'!$B$6:$B$1005,$B84,'الحركات الشهرية'!$A$6:$A$1005,$C$3))</f>
        <v/>
      </c>
      <c r="S84" s="111" t="str">
        <f aca="false">IF($B84="","",SUMIFS('سجل الإجازات والحالات'!$N$6:$N$505,'سجل الإجازات والحالات'!$B$6:$B$505,$B84,'سجل الإجازات والحالات'!$O$6:$O$505,$C$3))</f>
        <v/>
      </c>
      <c r="T84" s="152" t="str">
        <f aca="false">IF($B84="","",SUM(K84:N84)+SUM(P84:S84))</f>
        <v/>
      </c>
      <c r="U84" s="111" t="str">
        <f aca="false">IF($B84="","",الموظفون!$S84*IF(E84="سعودي",cfg_G_SE,cfg_G_NE)*G84/cfg_DAYS_M)</f>
        <v/>
      </c>
      <c r="V84" s="111" t="str">
        <f aca="false">IF($B84="","",SUMIFS('الحركات الشهرية'!$I$6:$I$1005,'الحركات الشهرية'!$B$6:$B$1005,$B84,'الحركات الشهرية'!$A$6:$A$1005,$C$3))</f>
        <v/>
      </c>
      <c r="W84" s="111" t="str">
        <f aca="false">IF($B84="","",SUMIFS('الحركات الشهرية'!$J$6:$J$1005,'الحركات الشهرية'!$B$6:$B$1005,$B84,'الحركات الشهرية'!$A$6:$A$1005,$C$3))</f>
        <v/>
      </c>
      <c r="X84" s="111" t="str">
        <f aca="false">IF($B84="","",SUM(U84:W84))</f>
        <v/>
      </c>
      <c r="Y84" s="153" t="str">
        <f aca="false">IF($B84="","",T84-X84)</f>
        <v/>
      </c>
      <c r="Z84" s="111" t="str">
        <f aca="false">IF($B84="","",الموظفون!$S84*IF(E84="سعودي",cfg_G_SR,cfg_G_NR)*G84/cfg_DAYS_M)</f>
        <v/>
      </c>
      <c r="AA84" s="111" t="str">
        <f aca="false">IF($B84="","",الموظفون!$Q84*(cfg_EOS_R1*(MIN(AH84,cfg_EOS_TH)-MIN(AI84,cfg_EOS_TH))+cfg_EOS_R2*(MAX(AH84-cfg_EOS_TH,0)-MAX(AI84-cfg_EOS_TH,0))))</f>
        <v/>
      </c>
      <c r="AB84" s="111" t="str">
        <f aca="false">IF($B84="","",IF(الموظفون!$T84&lt;&gt;"",الموظفون!$T84,IF(AH84&gt;=cfg_LV_TH,cfg_LV_D2,cfg_LV_D1))/cfg_DAYS_Y*AJ84*الموظفون!$R84/cfg_DAYS_M)</f>
        <v/>
      </c>
      <c r="AC84" s="111" t="str">
        <f aca="false">IF($B84="","",IF(AND(الموظفون!$U84="نعم",N(الموظفون!$W84)&gt;0),الموظفون!$V84/الموظفون!$W84*12/cfg_DAYS_Y*AJ84,0))</f>
        <v/>
      </c>
      <c r="AD84" s="111" t="str">
        <f aca="false">IF($B84="","",(IF(الموظفون!$X84&lt;&gt;"",الموظفون!$X84,IF(الموظفون!$E84="غير سعودي",cfg_IQ,0))+IF(الموظفون!$Y84&lt;&gt;"",الموظفون!$Y84,IF(الموظفون!$E84="غير سعودي",cfg_WP,0)))/12*G84/cfg_DAYS_M)</f>
        <v/>
      </c>
      <c r="AE84" s="111" t="str">
        <f aca="false">IF($B84="","",IF(الموظفون!$Z84&lt;&gt;"",الموظفون!$Z84,cfg_MED)/12*G84/cfg_DAYS_M)</f>
        <v/>
      </c>
      <c r="AF84" s="111" t="str">
        <f aca="false">IF($B84="","",N(الموظفون!$AA84)/12*G84/cfg_DAYS_M)</f>
        <v/>
      </c>
      <c r="AG84" s="154" t="str">
        <f aca="false">IF($B84="","",T84+SUM(Z84:AF84))</f>
        <v/>
      </c>
      <c r="AH84" s="155" t="str">
        <f aca="false">IF($B84="","",MAX(0,IF(OR(الموظفون!$AE84="",الموظفون!$AE84&gt;$F$3),$F$3,الموظفون!$AE84)-الموظفون!$H84+1-SUMIFS('سجل الإجازات والحالات'!$AP$6:$AP$505,'سجل الإجازات والحالات'!$B$6:$B$505,$B84))/cfg_DAYS_Y)</f>
        <v/>
      </c>
      <c r="AI84" s="155" t="str">
        <f aca="false">IF($B84="","",MAX(0,IF(OR(الموظفون!$AE84="",الموظفون!$AE84&gt;($E$3-1)),($E$3-1),الموظفون!$AE84)-الموظفون!$H84+1-SUMIFS('سجل الإجازات والحالات'!$AO$6:$AO$505,'سجل الإجازات والحالات'!$B$6:$B$505,$B84))/cfg_DAYS_Y)</f>
        <v/>
      </c>
      <c r="AJ84" s="65" t="str">
        <f aca="false">IF($B84="","",MAX(0,AK84-(SUMIFS('سجل الإجازات والحالات'!$AP$6:$AP$505,'سجل الإجازات والحالات'!$B$6:$B$505,$B84)-SUMIFS('سجل الإجازات والحالات'!$AO$6:$AO$505,'سجل الإجازات والحالات'!$B$6:$B$505,$B84))))</f>
        <v/>
      </c>
      <c r="AK84" s="65" t="str">
        <f aca="false">IF($B84="","",MAX(0,IF(OR(الموظفون!$AE84="",الموظفون!$AE84&gt;$F$3),$F$3,الموظفون!$AE84)-MAX($E$3,الموظفون!$H84)+1))</f>
        <v/>
      </c>
      <c r="AL84" s="151" t="str">
        <f aca="false">IF($B84="","",SUMIFS('سجل الإجازات والحالات'!$BB$6:$BB$505,'سجل الإجازات والحالات'!$B$6:$B$505,$B84)+SUMIFS('الحركات الشهرية'!$K$6:$K$1005,'الحركات الشهرية'!$B$6:$B$1005,$B84,'الحركات الشهرية'!$A$6:$A$1005,$C$3))</f>
        <v/>
      </c>
      <c r="AM84" s="111" t="str">
        <f aca="false">IF($B84="","",AL84*الموظفون!$R84/cfg_DAYS_M+S84)</f>
        <v/>
      </c>
      <c r="AN84" s="151" t="str">
        <f aca="false">IF($B84="","",SUMIFS('سجل الإجازات والحالات'!$AD$6:$AD$505,'سجل الإجازات والحالات'!$B$6:$B$505,$B84))</f>
        <v/>
      </c>
    </row>
    <row r="85" customFormat="false" ht="15" hidden="false" customHeight="false" outlineLevel="0" collapsed="false">
      <c r="A85" s="115" t="str">
        <f aca="false">IF($B85="","",الموظفون!$A85)</f>
        <v/>
      </c>
      <c r="B85" s="117" t="str">
        <f aca="false">IF(الموظفون!$B85="","",الموظفون!$B85)</f>
        <v/>
      </c>
      <c r="C85" s="117" t="str">
        <f aca="false">IF($B85="","",الموظفون!$C85)</f>
        <v/>
      </c>
      <c r="D85" s="117" t="str">
        <f aca="false">IF($B85="","",الموظفون!$F85)</f>
        <v/>
      </c>
      <c r="E85" s="117" t="str">
        <f aca="false">IF($B85="","",الموظفون!$E85)</f>
        <v/>
      </c>
      <c r="F85" s="117" t="str">
        <f aca="false">IF($B85="","",IF(AK85=0,IF(AND(الموظفون!$AE85&lt;&gt;"",الموظفون!$AE85&lt;$E$3),"✖ منتهي الخدمة","⏳ لم يباشر"),IF(S85&gt;0,"✈ راتب إجازة مقدم",IF(J85=0,"⛔ بدون راتب هذا الشهر",IF(I85&gt;0,"✈ خصم "&amp;ROUND(I85,2)&amp;" يوم بدون أجر",IF(AL85&gt;0,"🌴 إجازة سنوية "&amp;ROUND(AL85,2)&amp;" يوم",IF(H85&gt;0,"⚠ غياب "&amp;ROUND(H85,2)&amp;" يوم","✔ على رأس العمل")))))))</f>
        <v/>
      </c>
      <c r="G85" s="156" t="str">
        <f aca="false">IF($B85="","",IF(AK85&gt;=DAY($F$3),cfg_DAYS_M,MIN(AK85,cfg_DAYS_M)))</f>
        <v/>
      </c>
      <c r="H85" s="156" t="str">
        <f aca="false">IF($B85="","",SUMIFS('الحركات الشهرية'!$D$6:$D$1005,'الحركات الشهرية'!$B$6:$B$1005,$B85,'الحركات الشهرية'!$A$6:$A$1005,$C$3))</f>
        <v/>
      </c>
      <c r="I85" s="156" t="str">
        <f aca="false">IF($B85="","",MIN(G85,IF(AND(AK85&gt;0,AN85&gt;=AK85),G85,AN85)+SUMIFS('الحركات الشهرية'!$E$6:$E$1005,'الحركات الشهرية'!$B$6:$B$1005,$B85,'الحركات الشهرية'!$A$6:$A$1005,$C$3)))</f>
        <v/>
      </c>
      <c r="J85" s="156" t="str">
        <f aca="false">IF($B85="","",MAX(0,G85-H85-I85))</f>
        <v/>
      </c>
      <c r="K85" s="116" t="str">
        <f aca="false">IF($B85="","",الموظفون!$L85*$J85/cfg_DAYS_M)</f>
        <v/>
      </c>
      <c r="L85" s="116" t="str">
        <f aca="false">IF($B85="","",الموظفون!$M85*$J85/cfg_DAYS_M)</f>
        <v/>
      </c>
      <c r="M85" s="116" t="str">
        <f aca="false">IF($B85="","",الموظفون!$N85*$J85/cfg_DAYS_M)</f>
        <v/>
      </c>
      <c r="N85" s="116" t="str">
        <f aca="false">IF($B85="","",الموظفون!$O85*$J85/cfg_DAYS_M)</f>
        <v/>
      </c>
      <c r="O85" s="156" t="str">
        <f aca="false">IF($B85="","",SUMIFS('الحركات الشهرية'!$F$6:$F$1005,'الحركات الشهرية'!$B$6:$B$1005,$B85,'الحركات الشهرية'!$A$6:$A$1005,$C$3))</f>
        <v/>
      </c>
      <c r="P85" s="116" t="str">
        <f aca="false">IF($B85="","",O85*(الموظفون!$P85+الموظفون!$L85*cfg_OT_P)/cfg_DAYS_M/cfg_HRS)</f>
        <v/>
      </c>
      <c r="Q85" s="116" t="str">
        <f aca="false">IF($B85="","",SUMIFS('الحركات الشهرية'!$G$6:$G$1005,'الحركات الشهرية'!$B$6:$B$1005,$B85,'الحركات الشهرية'!$A$6:$A$1005,$C$3))</f>
        <v/>
      </c>
      <c r="R85" s="116" t="str">
        <f aca="false">IF($B85="","",SUMIFS('الحركات الشهرية'!$H$6:$H$1005,'الحركات الشهرية'!$B$6:$B$1005,$B85,'الحركات الشهرية'!$A$6:$A$1005,$C$3))</f>
        <v/>
      </c>
      <c r="S85" s="116" t="str">
        <f aca="false">IF($B85="","",SUMIFS('سجل الإجازات والحالات'!$N$6:$N$505,'سجل الإجازات والحالات'!$B$6:$B$505,$B85,'سجل الإجازات والحالات'!$O$6:$O$505,$C$3))</f>
        <v/>
      </c>
      <c r="T85" s="157" t="str">
        <f aca="false">IF($B85="","",SUM(K85:N85)+SUM(P85:S85))</f>
        <v/>
      </c>
      <c r="U85" s="116" t="str">
        <f aca="false">IF($B85="","",الموظفون!$S85*IF(E85="سعودي",cfg_G_SE,cfg_G_NE)*G85/cfg_DAYS_M)</f>
        <v/>
      </c>
      <c r="V85" s="116" t="str">
        <f aca="false">IF($B85="","",SUMIFS('الحركات الشهرية'!$I$6:$I$1005,'الحركات الشهرية'!$B$6:$B$1005,$B85,'الحركات الشهرية'!$A$6:$A$1005,$C$3))</f>
        <v/>
      </c>
      <c r="W85" s="116" t="str">
        <f aca="false">IF($B85="","",SUMIFS('الحركات الشهرية'!$J$6:$J$1005,'الحركات الشهرية'!$B$6:$B$1005,$B85,'الحركات الشهرية'!$A$6:$A$1005,$C$3))</f>
        <v/>
      </c>
      <c r="X85" s="116" t="str">
        <f aca="false">IF($B85="","",SUM(U85:W85))</f>
        <v/>
      </c>
      <c r="Y85" s="158" t="str">
        <f aca="false">IF($B85="","",T85-X85)</f>
        <v/>
      </c>
      <c r="Z85" s="116" t="str">
        <f aca="false">IF($B85="","",الموظفون!$S85*IF(E85="سعودي",cfg_G_SR,cfg_G_NR)*G85/cfg_DAYS_M)</f>
        <v/>
      </c>
      <c r="AA85" s="116" t="str">
        <f aca="false">IF($B85="","",الموظفون!$Q85*(cfg_EOS_R1*(MIN(AH85,cfg_EOS_TH)-MIN(AI85,cfg_EOS_TH))+cfg_EOS_R2*(MAX(AH85-cfg_EOS_TH,0)-MAX(AI85-cfg_EOS_TH,0))))</f>
        <v/>
      </c>
      <c r="AB85" s="116" t="str">
        <f aca="false">IF($B85="","",IF(الموظفون!$T85&lt;&gt;"",الموظفون!$T85,IF(AH85&gt;=cfg_LV_TH,cfg_LV_D2,cfg_LV_D1))/cfg_DAYS_Y*AJ85*الموظفون!$R85/cfg_DAYS_M)</f>
        <v/>
      </c>
      <c r="AC85" s="116" t="str">
        <f aca="false">IF($B85="","",IF(AND(الموظفون!$U85="نعم",N(الموظفون!$W85)&gt;0),الموظفون!$V85/الموظفون!$W85*12/cfg_DAYS_Y*AJ85,0))</f>
        <v/>
      </c>
      <c r="AD85" s="116" t="str">
        <f aca="false">IF($B85="","",(IF(الموظفون!$X85&lt;&gt;"",الموظفون!$X85,IF(الموظفون!$E85="غير سعودي",cfg_IQ,0))+IF(الموظفون!$Y85&lt;&gt;"",الموظفون!$Y85,IF(الموظفون!$E85="غير سعودي",cfg_WP,0)))/12*G85/cfg_DAYS_M)</f>
        <v/>
      </c>
      <c r="AE85" s="116" t="str">
        <f aca="false">IF($B85="","",IF(الموظفون!$Z85&lt;&gt;"",الموظفون!$Z85,cfg_MED)/12*G85/cfg_DAYS_M)</f>
        <v/>
      </c>
      <c r="AF85" s="116" t="str">
        <f aca="false">IF($B85="","",N(الموظفون!$AA85)/12*G85/cfg_DAYS_M)</f>
        <v/>
      </c>
      <c r="AG85" s="159" t="str">
        <f aca="false">IF($B85="","",T85+SUM(Z85:AF85))</f>
        <v/>
      </c>
      <c r="AH85" s="160" t="str">
        <f aca="false">IF($B85="","",MAX(0,IF(OR(الموظفون!$AE85="",الموظفون!$AE85&gt;$F$3),$F$3,الموظفون!$AE85)-الموظفون!$H85+1-SUMIFS('سجل الإجازات والحالات'!$AP$6:$AP$505,'سجل الإجازات والحالات'!$B$6:$B$505,$B85))/cfg_DAYS_Y)</f>
        <v/>
      </c>
      <c r="AI85" s="160" t="str">
        <f aca="false">IF($B85="","",MAX(0,IF(OR(الموظفون!$AE85="",الموظفون!$AE85&gt;($E$3-1)),($E$3-1),الموظفون!$AE85)-الموظفون!$H85+1-SUMIFS('سجل الإجازات والحالات'!$AO$6:$AO$505,'سجل الإجازات والحالات'!$B$6:$B$505,$B85))/cfg_DAYS_Y)</f>
        <v/>
      </c>
      <c r="AJ85" s="133" t="str">
        <f aca="false">IF($B85="","",MAX(0,AK85-(SUMIFS('سجل الإجازات والحالات'!$AP$6:$AP$505,'سجل الإجازات والحالات'!$B$6:$B$505,$B85)-SUMIFS('سجل الإجازات والحالات'!$AO$6:$AO$505,'سجل الإجازات والحالات'!$B$6:$B$505,$B85))))</f>
        <v/>
      </c>
      <c r="AK85" s="133" t="str">
        <f aca="false">IF($B85="","",MAX(0,IF(OR(الموظفون!$AE85="",الموظفون!$AE85&gt;$F$3),$F$3,الموظفون!$AE85)-MAX($E$3,الموظفون!$H85)+1))</f>
        <v/>
      </c>
      <c r="AL85" s="156" t="str">
        <f aca="false">IF($B85="","",SUMIFS('سجل الإجازات والحالات'!$BB$6:$BB$505,'سجل الإجازات والحالات'!$B$6:$B$505,$B85)+SUMIFS('الحركات الشهرية'!$K$6:$K$1005,'الحركات الشهرية'!$B$6:$B$1005,$B85,'الحركات الشهرية'!$A$6:$A$1005,$C$3))</f>
        <v/>
      </c>
      <c r="AM85" s="116" t="str">
        <f aca="false">IF($B85="","",AL85*الموظفون!$R85/cfg_DAYS_M+S85)</f>
        <v/>
      </c>
      <c r="AN85" s="156" t="str">
        <f aca="false">IF($B85="","",SUMIFS('سجل الإجازات والحالات'!$AD$6:$AD$505,'سجل الإجازات والحالات'!$B$6:$B$505,$B85))</f>
        <v/>
      </c>
    </row>
    <row r="86" customFormat="false" ht="15" hidden="false" customHeight="false" outlineLevel="0" collapsed="false">
      <c r="A86" s="106" t="str">
        <f aca="false">IF($B86="","",الموظفون!$A86)</f>
        <v/>
      </c>
      <c r="B86" s="114" t="str">
        <f aca="false">IF(الموظفون!$B86="","",الموظفون!$B86)</f>
        <v/>
      </c>
      <c r="C86" s="114" t="str">
        <f aca="false">IF($B86="","",الموظفون!$C86)</f>
        <v/>
      </c>
      <c r="D86" s="114" t="str">
        <f aca="false">IF($B86="","",الموظفون!$F86)</f>
        <v/>
      </c>
      <c r="E86" s="114" t="str">
        <f aca="false">IF($B86="","",الموظفون!$E86)</f>
        <v/>
      </c>
      <c r="F86" s="114" t="str">
        <f aca="false">IF($B86="","",IF(AK86=0,IF(AND(الموظفون!$AE86&lt;&gt;"",الموظفون!$AE86&lt;$E$3),"✖ منتهي الخدمة","⏳ لم يباشر"),IF(S86&gt;0,"✈ راتب إجازة مقدم",IF(J86=0,"⛔ بدون راتب هذا الشهر",IF(I86&gt;0,"✈ خصم "&amp;ROUND(I86,2)&amp;" يوم بدون أجر",IF(AL86&gt;0,"🌴 إجازة سنوية "&amp;ROUND(AL86,2)&amp;" يوم",IF(H86&gt;0,"⚠ غياب "&amp;ROUND(H86,2)&amp;" يوم","✔ على رأس العمل")))))))</f>
        <v/>
      </c>
      <c r="G86" s="151" t="str">
        <f aca="false">IF($B86="","",IF(AK86&gt;=DAY($F$3),cfg_DAYS_M,MIN(AK86,cfg_DAYS_M)))</f>
        <v/>
      </c>
      <c r="H86" s="151" t="str">
        <f aca="false">IF($B86="","",SUMIFS('الحركات الشهرية'!$D$6:$D$1005,'الحركات الشهرية'!$B$6:$B$1005,$B86,'الحركات الشهرية'!$A$6:$A$1005,$C$3))</f>
        <v/>
      </c>
      <c r="I86" s="151" t="str">
        <f aca="false">IF($B86="","",MIN(G86,IF(AND(AK86&gt;0,AN86&gt;=AK86),G86,AN86)+SUMIFS('الحركات الشهرية'!$E$6:$E$1005,'الحركات الشهرية'!$B$6:$B$1005,$B86,'الحركات الشهرية'!$A$6:$A$1005,$C$3)))</f>
        <v/>
      </c>
      <c r="J86" s="151" t="str">
        <f aca="false">IF($B86="","",MAX(0,G86-H86-I86))</f>
        <v/>
      </c>
      <c r="K86" s="111" t="str">
        <f aca="false">IF($B86="","",الموظفون!$L86*$J86/cfg_DAYS_M)</f>
        <v/>
      </c>
      <c r="L86" s="111" t="str">
        <f aca="false">IF($B86="","",الموظفون!$M86*$J86/cfg_DAYS_M)</f>
        <v/>
      </c>
      <c r="M86" s="111" t="str">
        <f aca="false">IF($B86="","",الموظفون!$N86*$J86/cfg_DAYS_M)</f>
        <v/>
      </c>
      <c r="N86" s="111" t="str">
        <f aca="false">IF($B86="","",الموظفون!$O86*$J86/cfg_DAYS_M)</f>
        <v/>
      </c>
      <c r="O86" s="151" t="str">
        <f aca="false">IF($B86="","",SUMIFS('الحركات الشهرية'!$F$6:$F$1005,'الحركات الشهرية'!$B$6:$B$1005,$B86,'الحركات الشهرية'!$A$6:$A$1005,$C$3))</f>
        <v/>
      </c>
      <c r="P86" s="111" t="str">
        <f aca="false">IF($B86="","",O86*(الموظفون!$P86+الموظفون!$L86*cfg_OT_P)/cfg_DAYS_M/cfg_HRS)</f>
        <v/>
      </c>
      <c r="Q86" s="111" t="str">
        <f aca="false">IF($B86="","",SUMIFS('الحركات الشهرية'!$G$6:$G$1005,'الحركات الشهرية'!$B$6:$B$1005,$B86,'الحركات الشهرية'!$A$6:$A$1005,$C$3))</f>
        <v/>
      </c>
      <c r="R86" s="111" t="str">
        <f aca="false">IF($B86="","",SUMIFS('الحركات الشهرية'!$H$6:$H$1005,'الحركات الشهرية'!$B$6:$B$1005,$B86,'الحركات الشهرية'!$A$6:$A$1005,$C$3))</f>
        <v/>
      </c>
      <c r="S86" s="111" t="str">
        <f aca="false">IF($B86="","",SUMIFS('سجل الإجازات والحالات'!$N$6:$N$505,'سجل الإجازات والحالات'!$B$6:$B$505,$B86,'سجل الإجازات والحالات'!$O$6:$O$505,$C$3))</f>
        <v/>
      </c>
      <c r="T86" s="152" t="str">
        <f aca="false">IF($B86="","",SUM(K86:N86)+SUM(P86:S86))</f>
        <v/>
      </c>
      <c r="U86" s="111" t="str">
        <f aca="false">IF($B86="","",الموظفون!$S86*IF(E86="سعودي",cfg_G_SE,cfg_G_NE)*G86/cfg_DAYS_M)</f>
        <v/>
      </c>
      <c r="V86" s="111" t="str">
        <f aca="false">IF($B86="","",SUMIFS('الحركات الشهرية'!$I$6:$I$1005,'الحركات الشهرية'!$B$6:$B$1005,$B86,'الحركات الشهرية'!$A$6:$A$1005,$C$3))</f>
        <v/>
      </c>
      <c r="W86" s="111" t="str">
        <f aca="false">IF($B86="","",SUMIFS('الحركات الشهرية'!$J$6:$J$1005,'الحركات الشهرية'!$B$6:$B$1005,$B86,'الحركات الشهرية'!$A$6:$A$1005,$C$3))</f>
        <v/>
      </c>
      <c r="X86" s="111" t="str">
        <f aca="false">IF($B86="","",SUM(U86:W86))</f>
        <v/>
      </c>
      <c r="Y86" s="153" t="str">
        <f aca="false">IF($B86="","",T86-X86)</f>
        <v/>
      </c>
      <c r="Z86" s="111" t="str">
        <f aca="false">IF($B86="","",الموظفون!$S86*IF(E86="سعودي",cfg_G_SR,cfg_G_NR)*G86/cfg_DAYS_M)</f>
        <v/>
      </c>
      <c r="AA86" s="111" t="str">
        <f aca="false">IF($B86="","",الموظفون!$Q86*(cfg_EOS_R1*(MIN(AH86,cfg_EOS_TH)-MIN(AI86,cfg_EOS_TH))+cfg_EOS_R2*(MAX(AH86-cfg_EOS_TH,0)-MAX(AI86-cfg_EOS_TH,0))))</f>
        <v/>
      </c>
      <c r="AB86" s="111" t="str">
        <f aca="false">IF($B86="","",IF(الموظفون!$T86&lt;&gt;"",الموظفون!$T86,IF(AH86&gt;=cfg_LV_TH,cfg_LV_D2,cfg_LV_D1))/cfg_DAYS_Y*AJ86*الموظفون!$R86/cfg_DAYS_M)</f>
        <v/>
      </c>
      <c r="AC86" s="111" t="str">
        <f aca="false">IF($B86="","",IF(AND(الموظفون!$U86="نعم",N(الموظفون!$W86)&gt;0),الموظفون!$V86/الموظفون!$W86*12/cfg_DAYS_Y*AJ86,0))</f>
        <v/>
      </c>
      <c r="AD86" s="111" t="str">
        <f aca="false">IF($B86="","",(IF(الموظفون!$X86&lt;&gt;"",الموظفون!$X86,IF(الموظفون!$E86="غير سعودي",cfg_IQ,0))+IF(الموظفون!$Y86&lt;&gt;"",الموظفون!$Y86,IF(الموظفون!$E86="غير سعودي",cfg_WP,0)))/12*G86/cfg_DAYS_M)</f>
        <v/>
      </c>
      <c r="AE86" s="111" t="str">
        <f aca="false">IF($B86="","",IF(الموظفون!$Z86&lt;&gt;"",الموظفون!$Z86,cfg_MED)/12*G86/cfg_DAYS_M)</f>
        <v/>
      </c>
      <c r="AF86" s="111" t="str">
        <f aca="false">IF($B86="","",N(الموظفون!$AA86)/12*G86/cfg_DAYS_M)</f>
        <v/>
      </c>
      <c r="AG86" s="154" t="str">
        <f aca="false">IF($B86="","",T86+SUM(Z86:AF86))</f>
        <v/>
      </c>
      <c r="AH86" s="155" t="str">
        <f aca="false">IF($B86="","",MAX(0,IF(OR(الموظفون!$AE86="",الموظفون!$AE86&gt;$F$3),$F$3,الموظفون!$AE86)-الموظفون!$H86+1-SUMIFS('سجل الإجازات والحالات'!$AP$6:$AP$505,'سجل الإجازات والحالات'!$B$6:$B$505,$B86))/cfg_DAYS_Y)</f>
        <v/>
      </c>
      <c r="AI86" s="155" t="str">
        <f aca="false">IF($B86="","",MAX(0,IF(OR(الموظفون!$AE86="",الموظفون!$AE86&gt;($E$3-1)),($E$3-1),الموظفون!$AE86)-الموظفون!$H86+1-SUMIFS('سجل الإجازات والحالات'!$AO$6:$AO$505,'سجل الإجازات والحالات'!$B$6:$B$505,$B86))/cfg_DAYS_Y)</f>
        <v/>
      </c>
      <c r="AJ86" s="65" t="str">
        <f aca="false">IF($B86="","",MAX(0,AK86-(SUMIFS('سجل الإجازات والحالات'!$AP$6:$AP$505,'سجل الإجازات والحالات'!$B$6:$B$505,$B86)-SUMIFS('سجل الإجازات والحالات'!$AO$6:$AO$505,'سجل الإجازات والحالات'!$B$6:$B$505,$B86))))</f>
        <v/>
      </c>
      <c r="AK86" s="65" t="str">
        <f aca="false">IF($B86="","",MAX(0,IF(OR(الموظفون!$AE86="",الموظفون!$AE86&gt;$F$3),$F$3,الموظفون!$AE86)-MAX($E$3,الموظفون!$H86)+1))</f>
        <v/>
      </c>
      <c r="AL86" s="151" t="str">
        <f aca="false">IF($B86="","",SUMIFS('سجل الإجازات والحالات'!$BB$6:$BB$505,'سجل الإجازات والحالات'!$B$6:$B$505,$B86)+SUMIFS('الحركات الشهرية'!$K$6:$K$1005,'الحركات الشهرية'!$B$6:$B$1005,$B86,'الحركات الشهرية'!$A$6:$A$1005,$C$3))</f>
        <v/>
      </c>
      <c r="AM86" s="111" t="str">
        <f aca="false">IF($B86="","",AL86*الموظفون!$R86/cfg_DAYS_M+S86)</f>
        <v/>
      </c>
      <c r="AN86" s="151" t="str">
        <f aca="false">IF($B86="","",SUMIFS('سجل الإجازات والحالات'!$AD$6:$AD$505,'سجل الإجازات والحالات'!$B$6:$B$505,$B86))</f>
        <v/>
      </c>
    </row>
    <row r="87" customFormat="false" ht="15" hidden="false" customHeight="false" outlineLevel="0" collapsed="false">
      <c r="A87" s="115" t="str">
        <f aca="false">IF($B87="","",الموظفون!$A87)</f>
        <v/>
      </c>
      <c r="B87" s="117" t="str">
        <f aca="false">IF(الموظفون!$B87="","",الموظفون!$B87)</f>
        <v/>
      </c>
      <c r="C87" s="117" t="str">
        <f aca="false">IF($B87="","",الموظفون!$C87)</f>
        <v/>
      </c>
      <c r="D87" s="117" t="str">
        <f aca="false">IF($B87="","",الموظفون!$F87)</f>
        <v/>
      </c>
      <c r="E87" s="117" t="str">
        <f aca="false">IF($B87="","",الموظفون!$E87)</f>
        <v/>
      </c>
      <c r="F87" s="117" t="str">
        <f aca="false">IF($B87="","",IF(AK87=0,IF(AND(الموظفون!$AE87&lt;&gt;"",الموظفون!$AE87&lt;$E$3),"✖ منتهي الخدمة","⏳ لم يباشر"),IF(S87&gt;0,"✈ راتب إجازة مقدم",IF(J87=0,"⛔ بدون راتب هذا الشهر",IF(I87&gt;0,"✈ خصم "&amp;ROUND(I87,2)&amp;" يوم بدون أجر",IF(AL87&gt;0,"🌴 إجازة سنوية "&amp;ROUND(AL87,2)&amp;" يوم",IF(H87&gt;0,"⚠ غياب "&amp;ROUND(H87,2)&amp;" يوم","✔ على رأس العمل")))))))</f>
        <v/>
      </c>
      <c r="G87" s="156" t="str">
        <f aca="false">IF($B87="","",IF(AK87&gt;=DAY($F$3),cfg_DAYS_M,MIN(AK87,cfg_DAYS_M)))</f>
        <v/>
      </c>
      <c r="H87" s="156" t="str">
        <f aca="false">IF($B87="","",SUMIFS('الحركات الشهرية'!$D$6:$D$1005,'الحركات الشهرية'!$B$6:$B$1005,$B87,'الحركات الشهرية'!$A$6:$A$1005,$C$3))</f>
        <v/>
      </c>
      <c r="I87" s="156" t="str">
        <f aca="false">IF($B87="","",MIN(G87,IF(AND(AK87&gt;0,AN87&gt;=AK87),G87,AN87)+SUMIFS('الحركات الشهرية'!$E$6:$E$1005,'الحركات الشهرية'!$B$6:$B$1005,$B87,'الحركات الشهرية'!$A$6:$A$1005,$C$3)))</f>
        <v/>
      </c>
      <c r="J87" s="156" t="str">
        <f aca="false">IF($B87="","",MAX(0,G87-H87-I87))</f>
        <v/>
      </c>
      <c r="K87" s="116" t="str">
        <f aca="false">IF($B87="","",الموظفون!$L87*$J87/cfg_DAYS_M)</f>
        <v/>
      </c>
      <c r="L87" s="116" t="str">
        <f aca="false">IF($B87="","",الموظفون!$M87*$J87/cfg_DAYS_M)</f>
        <v/>
      </c>
      <c r="M87" s="116" t="str">
        <f aca="false">IF($B87="","",الموظفون!$N87*$J87/cfg_DAYS_M)</f>
        <v/>
      </c>
      <c r="N87" s="116" t="str">
        <f aca="false">IF($B87="","",الموظفون!$O87*$J87/cfg_DAYS_M)</f>
        <v/>
      </c>
      <c r="O87" s="156" t="str">
        <f aca="false">IF($B87="","",SUMIFS('الحركات الشهرية'!$F$6:$F$1005,'الحركات الشهرية'!$B$6:$B$1005,$B87,'الحركات الشهرية'!$A$6:$A$1005,$C$3))</f>
        <v/>
      </c>
      <c r="P87" s="116" t="str">
        <f aca="false">IF($B87="","",O87*(الموظفون!$P87+الموظفون!$L87*cfg_OT_P)/cfg_DAYS_M/cfg_HRS)</f>
        <v/>
      </c>
      <c r="Q87" s="116" t="str">
        <f aca="false">IF($B87="","",SUMIFS('الحركات الشهرية'!$G$6:$G$1005,'الحركات الشهرية'!$B$6:$B$1005,$B87,'الحركات الشهرية'!$A$6:$A$1005,$C$3))</f>
        <v/>
      </c>
      <c r="R87" s="116" t="str">
        <f aca="false">IF($B87="","",SUMIFS('الحركات الشهرية'!$H$6:$H$1005,'الحركات الشهرية'!$B$6:$B$1005,$B87,'الحركات الشهرية'!$A$6:$A$1005,$C$3))</f>
        <v/>
      </c>
      <c r="S87" s="116" t="str">
        <f aca="false">IF($B87="","",SUMIFS('سجل الإجازات والحالات'!$N$6:$N$505,'سجل الإجازات والحالات'!$B$6:$B$505,$B87,'سجل الإجازات والحالات'!$O$6:$O$505,$C$3))</f>
        <v/>
      </c>
      <c r="T87" s="157" t="str">
        <f aca="false">IF($B87="","",SUM(K87:N87)+SUM(P87:S87))</f>
        <v/>
      </c>
      <c r="U87" s="116" t="str">
        <f aca="false">IF($B87="","",الموظفون!$S87*IF(E87="سعودي",cfg_G_SE,cfg_G_NE)*G87/cfg_DAYS_M)</f>
        <v/>
      </c>
      <c r="V87" s="116" t="str">
        <f aca="false">IF($B87="","",SUMIFS('الحركات الشهرية'!$I$6:$I$1005,'الحركات الشهرية'!$B$6:$B$1005,$B87,'الحركات الشهرية'!$A$6:$A$1005,$C$3))</f>
        <v/>
      </c>
      <c r="W87" s="116" t="str">
        <f aca="false">IF($B87="","",SUMIFS('الحركات الشهرية'!$J$6:$J$1005,'الحركات الشهرية'!$B$6:$B$1005,$B87,'الحركات الشهرية'!$A$6:$A$1005,$C$3))</f>
        <v/>
      </c>
      <c r="X87" s="116" t="str">
        <f aca="false">IF($B87="","",SUM(U87:W87))</f>
        <v/>
      </c>
      <c r="Y87" s="158" t="str">
        <f aca="false">IF($B87="","",T87-X87)</f>
        <v/>
      </c>
      <c r="Z87" s="116" t="str">
        <f aca="false">IF($B87="","",الموظفون!$S87*IF(E87="سعودي",cfg_G_SR,cfg_G_NR)*G87/cfg_DAYS_M)</f>
        <v/>
      </c>
      <c r="AA87" s="116" t="str">
        <f aca="false">IF($B87="","",الموظفون!$Q87*(cfg_EOS_R1*(MIN(AH87,cfg_EOS_TH)-MIN(AI87,cfg_EOS_TH))+cfg_EOS_R2*(MAX(AH87-cfg_EOS_TH,0)-MAX(AI87-cfg_EOS_TH,0))))</f>
        <v/>
      </c>
      <c r="AB87" s="116" t="str">
        <f aca="false">IF($B87="","",IF(الموظفون!$T87&lt;&gt;"",الموظفون!$T87,IF(AH87&gt;=cfg_LV_TH,cfg_LV_D2,cfg_LV_D1))/cfg_DAYS_Y*AJ87*الموظفون!$R87/cfg_DAYS_M)</f>
        <v/>
      </c>
      <c r="AC87" s="116" t="str">
        <f aca="false">IF($B87="","",IF(AND(الموظفون!$U87="نعم",N(الموظفون!$W87)&gt;0),الموظفون!$V87/الموظفون!$W87*12/cfg_DAYS_Y*AJ87,0))</f>
        <v/>
      </c>
      <c r="AD87" s="116" t="str">
        <f aca="false">IF($B87="","",(IF(الموظفون!$X87&lt;&gt;"",الموظفون!$X87,IF(الموظفون!$E87="غير سعودي",cfg_IQ,0))+IF(الموظفون!$Y87&lt;&gt;"",الموظفون!$Y87,IF(الموظفون!$E87="غير سعودي",cfg_WP,0)))/12*G87/cfg_DAYS_M)</f>
        <v/>
      </c>
      <c r="AE87" s="116" t="str">
        <f aca="false">IF($B87="","",IF(الموظفون!$Z87&lt;&gt;"",الموظفون!$Z87,cfg_MED)/12*G87/cfg_DAYS_M)</f>
        <v/>
      </c>
      <c r="AF87" s="116" t="str">
        <f aca="false">IF($B87="","",N(الموظفون!$AA87)/12*G87/cfg_DAYS_M)</f>
        <v/>
      </c>
      <c r="AG87" s="159" t="str">
        <f aca="false">IF($B87="","",T87+SUM(Z87:AF87))</f>
        <v/>
      </c>
      <c r="AH87" s="160" t="str">
        <f aca="false">IF($B87="","",MAX(0,IF(OR(الموظفون!$AE87="",الموظفون!$AE87&gt;$F$3),$F$3,الموظفون!$AE87)-الموظفون!$H87+1-SUMIFS('سجل الإجازات والحالات'!$AP$6:$AP$505,'سجل الإجازات والحالات'!$B$6:$B$505,$B87))/cfg_DAYS_Y)</f>
        <v/>
      </c>
      <c r="AI87" s="160" t="str">
        <f aca="false">IF($B87="","",MAX(0,IF(OR(الموظفون!$AE87="",الموظفون!$AE87&gt;($E$3-1)),($E$3-1),الموظفون!$AE87)-الموظفون!$H87+1-SUMIFS('سجل الإجازات والحالات'!$AO$6:$AO$505,'سجل الإجازات والحالات'!$B$6:$B$505,$B87))/cfg_DAYS_Y)</f>
        <v/>
      </c>
      <c r="AJ87" s="133" t="str">
        <f aca="false">IF($B87="","",MAX(0,AK87-(SUMIFS('سجل الإجازات والحالات'!$AP$6:$AP$505,'سجل الإجازات والحالات'!$B$6:$B$505,$B87)-SUMIFS('سجل الإجازات والحالات'!$AO$6:$AO$505,'سجل الإجازات والحالات'!$B$6:$B$505,$B87))))</f>
        <v/>
      </c>
      <c r="AK87" s="133" t="str">
        <f aca="false">IF($B87="","",MAX(0,IF(OR(الموظفون!$AE87="",الموظفون!$AE87&gt;$F$3),$F$3,الموظفون!$AE87)-MAX($E$3,الموظفون!$H87)+1))</f>
        <v/>
      </c>
      <c r="AL87" s="156" t="str">
        <f aca="false">IF($B87="","",SUMIFS('سجل الإجازات والحالات'!$BB$6:$BB$505,'سجل الإجازات والحالات'!$B$6:$B$505,$B87)+SUMIFS('الحركات الشهرية'!$K$6:$K$1005,'الحركات الشهرية'!$B$6:$B$1005,$B87,'الحركات الشهرية'!$A$6:$A$1005,$C$3))</f>
        <v/>
      </c>
      <c r="AM87" s="116" t="str">
        <f aca="false">IF($B87="","",AL87*الموظفون!$R87/cfg_DAYS_M+S87)</f>
        <v/>
      </c>
      <c r="AN87" s="156" t="str">
        <f aca="false">IF($B87="","",SUMIFS('سجل الإجازات والحالات'!$AD$6:$AD$505,'سجل الإجازات والحالات'!$B$6:$B$505,$B87))</f>
        <v/>
      </c>
    </row>
    <row r="88" customFormat="false" ht="15" hidden="false" customHeight="false" outlineLevel="0" collapsed="false">
      <c r="A88" s="106" t="str">
        <f aca="false">IF($B88="","",الموظفون!$A88)</f>
        <v/>
      </c>
      <c r="B88" s="114" t="str">
        <f aca="false">IF(الموظفون!$B88="","",الموظفون!$B88)</f>
        <v/>
      </c>
      <c r="C88" s="114" t="str">
        <f aca="false">IF($B88="","",الموظفون!$C88)</f>
        <v/>
      </c>
      <c r="D88" s="114" t="str">
        <f aca="false">IF($B88="","",الموظفون!$F88)</f>
        <v/>
      </c>
      <c r="E88" s="114" t="str">
        <f aca="false">IF($B88="","",الموظفون!$E88)</f>
        <v/>
      </c>
      <c r="F88" s="114" t="str">
        <f aca="false">IF($B88="","",IF(AK88=0,IF(AND(الموظفون!$AE88&lt;&gt;"",الموظفون!$AE88&lt;$E$3),"✖ منتهي الخدمة","⏳ لم يباشر"),IF(S88&gt;0,"✈ راتب إجازة مقدم",IF(J88=0,"⛔ بدون راتب هذا الشهر",IF(I88&gt;0,"✈ خصم "&amp;ROUND(I88,2)&amp;" يوم بدون أجر",IF(AL88&gt;0,"🌴 إجازة سنوية "&amp;ROUND(AL88,2)&amp;" يوم",IF(H88&gt;0,"⚠ غياب "&amp;ROUND(H88,2)&amp;" يوم","✔ على رأس العمل")))))))</f>
        <v/>
      </c>
      <c r="G88" s="151" t="str">
        <f aca="false">IF($B88="","",IF(AK88&gt;=DAY($F$3),cfg_DAYS_M,MIN(AK88,cfg_DAYS_M)))</f>
        <v/>
      </c>
      <c r="H88" s="151" t="str">
        <f aca="false">IF($B88="","",SUMIFS('الحركات الشهرية'!$D$6:$D$1005,'الحركات الشهرية'!$B$6:$B$1005,$B88,'الحركات الشهرية'!$A$6:$A$1005,$C$3))</f>
        <v/>
      </c>
      <c r="I88" s="151" t="str">
        <f aca="false">IF($B88="","",MIN(G88,IF(AND(AK88&gt;0,AN88&gt;=AK88),G88,AN88)+SUMIFS('الحركات الشهرية'!$E$6:$E$1005,'الحركات الشهرية'!$B$6:$B$1005,$B88,'الحركات الشهرية'!$A$6:$A$1005,$C$3)))</f>
        <v/>
      </c>
      <c r="J88" s="151" t="str">
        <f aca="false">IF($B88="","",MAX(0,G88-H88-I88))</f>
        <v/>
      </c>
      <c r="K88" s="111" t="str">
        <f aca="false">IF($B88="","",الموظفون!$L88*$J88/cfg_DAYS_M)</f>
        <v/>
      </c>
      <c r="L88" s="111" t="str">
        <f aca="false">IF($B88="","",الموظفون!$M88*$J88/cfg_DAYS_M)</f>
        <v/>
      </c>
      <c r="M88" s="111" t="str">
        <f aca="false">IF($B88="","",الموظفون!$N88*$J88/cfg_DAYS_M)</f>
        <v/>
      </c>
      <c r="N88" s="111" t="str">
        <f aca="false">IF($B88="","",الموظفون!$O88*$J88/cfg_DAYS_M)</f>
        <v/>
      </c>
      <c r="O88" s="151" t="str">
        <f aca="false">IF($B88="","",SUMIFS('الحركات الشهرية'!$F$6:$F$1005,'الحركات الشهرية'!$B$6:$B$1005,$B88,'الحركات الشهرية'!$A$6:$A$1005,$C$3))</f>
        <v/>
      </c>
      <c r="P88" s="111" t="str">
        <f aca="false">IF($B88="","",O88*(الموظفون!$P88+الموظفون!$L88*cfg_OT_P)/cfg_DAYS_M/cfg_HRS)</f>
        <v/>
      </c>
      <c r="Q88" s="111" t="str">
        <f aca="false">IF($B88="","",SUMIFS('الحركات الشهرية'!$G$6:$G$1005,'الحركات الشهرية'!$B$6:$B$1005,$B88,'الحركات الشهرية'!$A$6:$A$1005,$C$3))</f>
        <v/>
      </c>
      <c r="R88" s="111" t="str">
        <f aca="false">IF($B88="","",SUMIFS('الحركات الشهرية'!$H$6:$H$1005,'الحركات الشهرية'!$B$6:$B$1005,$B88,'الحركات الشهرية'!$A$6:$A$1005,$C$3))</f>
        <v/>
      </c>
      <c r="S88" s="111" t="str">
        <f aca="false">IF($B88="","",SUMIFS('سجل الإجازات والحالات'!$N$6:$N$505,'سجل الإجازات والحالات'!$B$6:$B$505,$B88,'سجل الإجازات والحالات'!$O$6:$O$505,$C$3))</f>
        <v/>
      </c>
      <c r="T88" s="152" t="str">
        <f aca="false">IF($B88="","",SUM(K88:N88)+SUM(P88:S88))</f>
        <v/>
      </c>
      <c r="U88" s="111" t="str">
        <f aca="false">IF($B88="","",الموظفون!$S88*IF(E88="سعودي",cfg_G_SE,cfg_G_NE)*G88/cfg_DAYS_M)</f>
        <v/>
      </c>
      <c r="V88" s="111" t="str">
        <f aca="false">IF($B88="","",SUMIFS('الحركات الشهرية'!$I$6:$I$1005,'الحركات الشهرية'!$B$6:$B$1005,$B88,'الحركات الشهرية'!$A$6:$A$1005,$C$3))</f>
        <v/>
      </c>
      <c r="W88" s="111" t="str">
        <f aca="false">IF($B88="","",SUMIFS('الحركات الشهرية'!$J$6:$J$1005,'الحركات الشهرية'!$B$6:$B$1005,$B88,'الحركات الشهرية'!$A$6:$A$1005,$C$3))</f>
        <v/>
      </c>
      <c r="X88" s="111" t="str">
        <f aca="false">IF($B88="","",SUM(U88:W88))</f>
        <v/>
      </c>
      <c r="Y88" s="153" t="str">
        <f aca="false">IF($B88="","",T88-X88)</f>
        <v/>
      </c>
      <c r="Z88" s="111" t="str">
        <f aca="false">IF($B88="","",الموظفون!$S88*IF(E88="سعودي",cfg_G_SR,cfg_G_NR)*G88/cfg_DAYS_M)</f>
        <v/>
      </c>
      <c r="AA88" s="111" t="str">
        <f aca="false">IF($B88="","",الموظفون!$Q88*(cfg_EOS_R1*(MIN(AH88,cfg_EOS_TH)-MIN(AI88,cfg_EOS_TH))+cfg_EOS_R2*(MAX(AH88-cfg_EOS_TH,0)-MAX(AI88-cfg_EOS_TH,0))))</f>
        <v/>
      </c>
      <c r="AB88" s="111" t="str">
        <f aca="false">IF($B88="","",IF(الموظفون!$T88&lt;&gt;"",الموظفون!$T88,IF(AH88&gt;=cfg_LV_TH,cfg_LV_D2,cfg_LV_D1))/cfg_DAYS_Y*AJ88*الموظفون!$R88/cfg_DAYS_M)</f>
        <v/>
      </c>
      <c r="AC88" s="111" t="str">
        <f aca="false">IF($B88="","",IF(AND(الموظفون!$U88="نعم",N(الموظفون!$W88)&gt;0),الموظفون!$V88/الموظفون!$W88*12/cfg_DAYS_Y*AJ88,0))</f>
        <v/>
      </c>
      <c r="AD88" s="111" t="str">
        <f aca="false">IF($B88="","",(IF(الموظفون!$X88&lt;&gt;"",الموظفون!$X88,IF(الموظفون!$E88="غير سعودي",cfg_IQ,0))+IF(الموظفون!$Y88&lt;&gt;"",الموظفون!$Y88,IF(الموظفون!$E88="غير سعودي",cfg_WP,0)))/12*G88/cfg_DAYS_M)</f>
        <v/>
      </c>
      <c r="AE88" s="111" t="str">
        <f aca="false">IF($B88="","",IF(الموظفون!$Z88&lt;&gt;"",الموظفون!$Z88,cfg_MED)/12*G88/cfg_DAYS_M)</f>
        <v/>
      </c>
      <c r="AF88" s="111" t="str">
        <f aca="false">IF($B88="","",N(الموظفون!$AA88)/12*G88/cfg_DAYS_M)</f>
        <v/>
      </c>
      <c r="AG88" s="154" t="str">
        <f aca="false">IF($B88="","",T88+SUM(Z88:AF88))</f>
        <v/>
      </c>
      <c r="AH88" s="155" t="str">
        <f aca="false">IF($B88="","",MAX(0,IF(OR(الموظفون!$AE88="",الموظفون!$AE88&gt;$F$3),$F$3,الموظفون!$AE88)-الموظفون!$H88+1-SUMIFS('سجل الإجازات والحالات'!$AP$6:$AP$505,'سجل الإجازات والحالات'!$B$6:$B$505,$B88))/cfg_DAYS_Y)</f>
        <v/>
      </c>
      <c r="AI88" s="155" t="str">
        <f aca="false">IF($B88="","",MAX(0,IF(OR(الموظفون!$AE88="",الموظفون!$AE88&gt;($E$3-1)),($E$3-1),الموظفون!$AE88)-الموظفون!$H88+1-SUMIFS('سجل الإجازات والحالات'!$AO$6:$AO$505,'سجل الإجازات والحالات'!$B$6:$B$505,$B88))/cfg_DAYS_Y)</f>
        <v/>
      </c>
      <c r="AJ88" s="65" t="str">
        <f aca="false">IF($B88="","",MAX(0,AK88-(SUMIFS('سجل الإجازات والحالات'!$AP$6:$AP$505,'سجل الإجازات والحالات'!$B$6:$B$505,$B88)-SUMIFS('سجل الإجازات والحالات'!$AO$6:$AO$505,'سجل الإجازات والحالات'!$B$6:$B$505,$B88))))</f>
        <v/>
      </c>
      <c r="AK88" s="65" t="str">
        <f aca="false">IF($B88="","",MAX(0,IF(OR(الموظفون!$AE88="",الموظفون!$AE88&gt;$F$3),$F$3,الموظفون!$AE88)-MAX($E$3,الموظفون!$H88)+1))</f>
        <v/>
      </c>
      <c r="AL88" s="151" t="str">
        <f aca="false">IF($B88="","",SUMIFS('سجل الإجازات والحالات'!$BB$6:$BB$505,'سجل الإجازات والحالات'!$B$6:$B$505,$B88)+SUMIFS('الحركات الشهرية'!$K$6:$K$1005,'الحركات الشهرية'!$B$6:$B$1005,$B88,'الحركات الشهرية'!$A$6:$A$1005,$C$3))</f>
        <v/>
      </c>
      <c r="AM88" s="111" t="str">
        <f aca="false">IF($B88="","",AL88*الموظفون!$R88/cfg_DAYS_M+S88)</f>
        <v/>
      </c>
      <c r="AN88" s="151" t="str">
        <f aca="false">IF($B88="","",SUMIFS('سجل الإجازات والحالات'!$AD$6:$AD$505,'سجل الإجازات والحالات'!$B$6:$B$505,$B88))</f>
        <v/>
      </c>
    </row>
    <row r="89" customFormat="false" ht="15" hidden="false" customHeight="false" outlineLevel="0" collapsed="false">
      <c r="A89" s="115" t="str">
        <f aca="false">IF($B89="","",الموظفون!$A89)</f>
        <v/>
      </c>
      <c r="B89" s="117" t="str">
        <f aca="false">IF(الموظفون!$B89="","",الموظفون!$B89)</f>
        <v/>
      </c>
      <c r="C89" s="117" t="str">
        <f aca="false">IF($B89="","",الموظفون!$C89)</f>
        <v/>
      </c>
      <c r="D89" s="117" t="str">
        <f aca="false">IF($B89="","",الموظفون!$F89)</f>
        <v/>
      </c>
      <c r="E89" s="117" t="str">
        <f aca="false">IF($B89="","",الموظفون!$E89)</f>
        <v/>
      </c>
      <c r="F89" s="117" t="str">
        <f aca="false">IF($B89="","",IF(AK89=0,IF(AND(الموظفون!$AE89&lt;&gt;"",الموظفون!$AE89&lt;$E$3),"✖ منتهي الخدمة","⏳ لم يباشر"),IF(S89&gt;0,"✈ راتب إجازة مقدم",IF(J89=0,"⛔ بدون راتب هذا الشهر",IF(I89&gt;0,"✈ خصم "&amp;ROUND(I89,2)&amp;" يوم بدون أجر",IF(AL89&gt;0,"🌴 إجازة سنوية "&amp;ROUND(AL89,2)&amp;" يوم",IF(H89&gt;0,"⚠ غياب "&amp;ROUND(H89,2)&amp;" يوم","✔ على رأس العمل")))))))</f>
        <v/>
      </c>
      <c r="G89" s="156" t="str">
        <f aca="false">IF($B89="","",IF(AK89&gt;=DAY($F$3),cfg_DAYS_M,MIN(AK89,cfg_DAYS_M)))</f>
        <v/>
      </c>
      <c r="H89" s="156" t="str">
        <f aca="false">IF($B89="","",SUMIFS('الحركات الشهرية'!$D$6:$D$1005,'الحركات الشهرية'!$B$6:$B$1005,$B89,'الحركات الشهرية'!$A$6:$A$1005,$C$3))</f>
        <v/>
      </c>
      <c r="I89" s="156" t="str">
        <f aca="false">IF($B89="","",MIN(G89,IF(AND(AK89&gt;0,AN89&gt;=AK89),G89,AN89)+SUMIFS('الحركات الشهرية'!$E$6:$E$1005,'الحركات الشهرية'!$B$6:$B$1005,$B89,'الحركات الشهرية'!$A$6:$A$1005,$C$3)))</f>
        <v/>
      </c>
      <c r="J89" s="156" t="str">
        <f aca="false">IF($B89="","",MAX(0,G89-H89-I89))</f>
        <v/>
      </c>
      <c r="K89" s="116" t="str">
        <f aca="false">IF($B89="","",الموظفون!$L89*$J89/cfg_DAYS_M)</f>
        <v/>
      </c>
      <c r="L89" s="116" t="str">
        <f aca="false">IF($B89="","",الموظفون!$M89*$J89/cfg_DAYS_M)</f>
        <v/>
      </c>
      <c r="M89" s="116" t="str">
        <f aca="false">IF($B89="","",الموظفون!$N89*$J89/cfg_DAYS_M)</f>
        <v/>
      </c>
      <c r="N89" s="116" t="str">
        <f aca="false">IF($B89="","",الموظفون!$O89*$J89/cfg_DAYS_M)</f>
        <v/>
      </c>
      <c r="O89" s="156" t="str">
        <f aca="false">IF($B89="","",SUMIFS('الحركات الشهرية'!$F$6:$F$1005,'الحركات الشهرية'!$B$6:$B$1005,$B89,'الحركات الشهرية'!$A$6:$A$1005,$C$3))</f>
        <v/>
      </c>
      <c r="P89" s="116" t="str">
        <f aca="false">IF($B89="","",O89*(الموظفون!$P89+الموظفون!$L89*cfg_OT_P)/cfg_DAYS_M/cfg_HRS)</f>
        <v/>
      </c>
      <c r="Q89" s="116" t="str">
        <f aca="false">IF($B89="","",SUMIFS('الحركات الشهرية'!$G$6:$G$1005,'الحركات الشهرية'!$B$6:$B$1005,$B89,'الحركات الشهرية'!$A$6:$A$1005,$C$3))</f>
        <v/>
      </c>
      <c r="R89" s="116" t="str">
        <f aca="false">IF($B89="","",SUMIFS('الحركات الشهرية'!$H$6:$H$1005,'الحركات الشهرية'!$B$6:$B$1005,$B89,'الحركات الشهرية'!$A$6:$A$1005,$C$3))</f>
        <v/>
      </c>
      <c r="S89" s="116" t="str">
        <f aca="false">IF($B89="","",SUMIFS('سجل الإجازات والحالات'!$N$6:$N$505,'سجل الإجازات والحالات'!$B$6:$B$505,$B89,'سجل الإجازات والحالات'!$O$6:$O$505,$C$3))</f>
        <v/>
      </c>
      <c r="T89" s="157" t="str">
        <f aca="false">IF($B89="","",SUM(K89:N89)+SUM(P89:S89))</f>
        <v/>
      </c>
      <c r="U89" s="116" t="str">
        <f aca="false">IF($B89="","",الموظفون!$S89*IF(E89="سعودي",cfg_G_SE,cfg_G_NE)*G89/cfg_DAYS_M)</f>
        <v/>
      </c>
      <c r="V89" s="116" t="str">
        <f aca="false">IF($B89="","",SUMIFS('الحركات الشهرية'!$I$6:$I$1005,'الحركات الشهرية'!$B$6:$B$1005,$B89,'الحركات الشهرية'!$A$6:$A$1005,$C$3))</f>
        <v/>
      </c>
      <c r="W89" s="116" t="str">
        <f aca="false">IF($B89="","",SUMIFS('الحركات الشهرية'!$J$6:$J$1005,'الحركات الشهرية'!$B$6:$B$1005,$B89,'الحركات الشهرية'!$A$6:$A$1005,$C$3))</f>
        <v/>
      </c>
      <c r="X89" s="116" t="str">
        <f aca="false">IF($B89="","",SUM(U89:W89))</f>
        <v/>
      </c>
      <c r="Y89" s="158" t="str">
        <f aca="false">IF($B89="","",T89-X89)</f>
        <v/>
      </c>
      <c r="Z89" s="116" t="str">
        <f aca="false">IF($B89="","",الموظفون!$S89*IF(E89="سعودي",cfg_G_SR,cfg_G_NR)*G89/cfg_DAYS_M)</f>
        <v/>
      </c>
      <c r="AA89" s="116" t="str">
        <f aca="false">IF($B89="","",الموظفون!$Q89*(cfg_EOS_R1*(MIN(AH89,cfg_EOS_TH)-MIN(AI89,cfg_EOS_TH))+cfg_EOS_R2*(MAX(AH89-cfg_EOS_TH,0)-MAX(AI89-cfg_EOS_TH,0))))</f>
        <v/>
      </c>
      <c r="AB89" s="116" t="str">
        <f aca="false">IF($B89="","",IF(الموظفون!$T89&lt;&gt;"",الموظفون!$T89,IF(AH89&gt;=cfg_LV_TH,cfg_LV_D2,cfg_LV_D1))/cfg_DAYS_Y*AJ89*الموظفون!$R89/cfg_DAYS_M)</f>
        <v/>
      </c>
      <c r="AC89" s="116" t="str">
        <f aca="false">IF($B89="","",IF(AND(الموظفون!$U89="نعم",N(الموظفون!$W89)&gt;0),الموظفون!$V89/الموظفون!$W89*12/cfg_DAYS_Y*AJ89,0))</f>
        <v/>
      </c>
      <c r="AD89" s="116" t="str">
        <f aca="false">IF($B89="","",(IF(الموظفون!$X89&lt;&gt;"",الموظفون!$X89,IF(الموظفون!$E89="غير سعودي",cfg_IQ,0))+IF(الموظفون!$Y89&lt;&gt;"",الموظفون!$Y89,IF(الموظفون!$E89="غير سعودي",cfg_WP,0)))/12*G89/cfg_DAYS_M)</f>
        <v/>
      </c>
      <c r="AE89" s="116" t="str">
        <f aca="false">IF($B89="","",IF(الموظفون!$Z89&lt;&gt;"",الموظفون!$Z89,cfg_MED)/12*G89/cfg_DAYS_M)</f>
        <v/>
      </c>
      <c r="AF89" s="116" t="str">
        <f aca="false">IF($B89="","",N(الموظفون!$AA89)/12*G89/cfg_DAYS_M)</f>
        <v/>
      </c>
      <c r="AG89" s="159" t="str">
        <f aca="false">IF($B89="","",T89+SUM(Z89:AF89))</f>
        <v/>
      </c>
      <c r="AH89" s="160" t="str">
        <f aca="false">IF($B89="","",MAX(0,IF(OR(الموظفون!$AE89="",الموظفون!$AE89&gt;$F$3),$F$3,الموظفون!$AE89)-الموظفون!$H89+1-SUMIFS('سجل الإجازات والحالات'!$AP$6:$AP$505,'سجل الإجازات والحالات'!$B$6:$B$505,$B89))/cfg_DAYS_Y)</f>
        <v/>
      </c>
      <c r="AI89" s="160" t="str">
        <f aca="false">IF($B89="","",MAX(0,IF(OR(الموظفون!$AE89="",الموظفون!$AE89&gt;($E$3-1)),($E$3-1),الموظفون!$AE89)-الموظفون!$H89+1-SUMIFS('سجل الإجازات والحالات'!$AO$6:$AO$505,'سجل الإجازات والحالات'!$B$6:$B$505,$B89))/cfg_DAYS_Y)</f>
        <v/>
      </c>
      <c r="AJ89" s="133" t="str">
        <f aca="false">IF($B89="","",MAX(0,AK89-(SUMIFS('سجل الإجازات والحالات'!$AP$6:$AP$505,'سجل الإجازات والحالات'!$B$6:$B$505,$B89)-SUMIFS('سجل الإجازات والحالات'!$AO$6:$AO$505,'سجل الإجازات والحالات'!$B$6:$B$505,$B89))))</f>
        <v/>
      </c>
      <c r="AK89" s="133" t="str">
        <f aca="false">IF($B89="","",MAX(0,IF(OR(الموظفون!$AE89="",الموظفون!$AE89&gt;$F$3),$F$3,الموظفون!$AE89)-MAX($E$3,الموظفون!$H89)+1))</f>
        <v/>
      </c>
      <c r="AL89" s="156" t="str">
        <f aca="false">IF($B89="","",SUMIFS('سجل الإجازات والحالات'!$BB$6:$BB$505,'سجل الإجازات والحالات'!$B$6:$B$505,$B89)+SUMIFS('الحركات الشهرية'!$K$6:$K$1005,'الحركات الشهرية'!$B$6:$B$1005,$B89,'الحركات الشهرية'!$A$6:$A$1005,$C$3))</f>
        <v/>
      </c>
      <c r="AM89" s="116" t="str">
        <f aca="false">IF($B89="","",AL89*الموظفون!$R89/cfg_DAYS_M+S89)</f>
        <v/>
      </c>
      <c r="AN89" s="156" t="str">
        <f aca="false">IF($B89="","",SUMIFS('سجل الإجازات والحالات'!$AD$6:$AD$505,'سجل الإجازات والحالات'!$B$6:$B$505,$B89))</f>
        <v/>
      </c>
    </row>
    <row r="90" customFormat="false" ht="15" hidden="false" customHeight="false" outlineLevel="0" collapsed="false">
      <c r="A90" s="106" t="str">
        <f aca="false">IF($B90="","",الموظفون!$A90)</f>
        <v/>
      </c>
      <c r="B90" s="114" t="str">
        <f aca="false">IF(الموظفون!$B90="","",الموظفون!$B90)</f>
        <v/>
      </c>
      <c r="C90" s="114" t="str">
        <f aca="false">IF($B90="","",الموظفون!$C90)</f>
        <v/>
      </c>
      <c r="D90" s="114" t="str">
        <f aca="false">IF($B90="","",الموظفون!$F90)</f>
        <v/>
      </c>
      <c r="E90" s="114" t="str">
        <f aca="false">IF($B90="","",الموظفون!$E90)</f>
        <v/>
      </c>
      <c r="F90" s="114" t="str">
        <f aca="false">IF($B90="","",IF(AK90=0,IF(AND(الموظفون!$AE90&lt;&gt;"",الموظفون!$AE90&lt;$E$3),"✖ منتهي الخدمة","⏳ لم يباشر"),IF(S90&gt;0,"✈ راتب إجازة مقدم",IF(J90=0,"⛔ بدون راتب هذا الشهر",IF(I90&gt;0,"✈ خصم "&amp;ROUND(I90,2)&amp;" يوم بدون أجر",IF(AL90&gt;0,"🌴 إجازة سنوية "&amp;ROUND(AL90,2)&amp;" يوم",IF(H90&gt;0,"⚠ غياب "&amp;ROUND(H90,2)&amp;" يوم","✔ على رأس العمل")))))))</f>
        <v/>
      </c>
      <c r="G90" s="151" t="str">
        <f aca="false">IF($B90="","",IF(AK90&gt;=DAY($F$3),cfg_DAYS_M,MIN(AK90,cfg_DAYS_M)))</f>
        <v/>
      </c>
      <c r="H90" s="151" t="str">
        <f aca="false">IF($B90="","",SUMIFS('الحركات الشهرية'!$D$6:$D$1005,'الحركات الشهرية'!$B$6:$B$1005,$B90,'الحركات الشهرية'!$A$6:$A$1005,$C$3))</f>
        <v/>
      </c>
      <c r="I90" s="151" t="str">
        <f aca="false">IF($B90="","",MIN(G90,IF(AND(AK90&gt;0,AN90&gt;=AK90),G90,AN90)+SUMIFS('الحركات الشهرية'!$E$6:$E$1005,'الحركات الشهرية'!$B$6:$B$1005,$B90,'الحركات الشهرية'!$A$6:$A$1005,$C$3)))</f>
        <v/>
      </c>
      <c r="J90" s="151" t="str">
        <f aca="false">IF($B90="","",MAX(0,G90-H90-I90))</f>
        <v/>
      </c>
      <c r="K90" s="111" t="str">
        <f aca="false">IF($B90="","",الموظفون!$L90*$J90/cfg_DAYS_M)</f>
        <v/>
      </c>
      <c r="L90" s="111" t="str">
        <f aca="false">IF($B90="","",الموظفون!$M90*$J90/cfg_DAYS_M)</f>
        <v/>
      </c>
      <c r="M90" s="111" t="str">
        <f aca="false">IF($B90="","",الموظفون!$N90*$J90/cfg_DAYS_M)</f>
        <v/>
      </c>
      <c r="N90" s="111" t="str">
        <f aca="false">IF($B90="","",الموظفون!$O90*$J90/cfg_DAYS_M)</f>
        <v/>
      </c>
      <c r="O90" s="151" t="str">
        <f aca="false">IF($B90="","",SUMIFS('الحركات الشهرية'!$F$6:$F$1005,'الحركات الشهرية'!$B$6:$B$1005,$B90,'الحركات الشهرية'!$A$6:$A$1005,$C$3))</f>
        <v/>
      </c>
      <c r="P90" s="111" t="str">
        <f aca="false">IF($B90="","",O90*(الموظفون!$P90+الموظفون!$L90*cfg_OT_P)/cfg_DAYS_M/cfg_HRS)</f>
        <v/>
      </c>
      <c r="Q90" s="111" t="str">
        <f aca="false">IF($B90="","",SUMIFS('الحركات الشهرية'!$G$6:$G$1005,'الحركات الشهرية'!$B$6:$B$1005,$B90,'الحركات الشهرية'!$A$6:$A$1005,$C$3))</f>
        <v/>
      </c>
      <c r="R90" s="111" t="str">
        <f aca="false">IF($B90="","",SUMIFS('الحركات الشهرية'!$H$6:$H$1005,'الحركات الشهرية'!$B$6:$B$1005,$B90,'الحركات الشهرية'!$A$6:$A$1005,$C$3))</f>
        <v/>
      </c>
      <c r="S90" s="111" t="str">
        <f aca="false">IF($B90="","",SUMIFS('سجل الإجازات والحالات'!$N$6:$N$505,'سجل الإجازات والحالات'!$B$6:$B$505,$B90,'سجل الإجازات والحالات'!$O$6:$O$505,$C$3))</f>
        <v/>
      </c>
      <c r="T90" s="152" t="str">
        <f aca="false">IF($B90="","",SUM(K90:N90)+SUM(P90:S90))</f>
        <v/>
      </c>
      <c r="U90" s="111" t="str">
        <f aca="false">IF($B90="","",الموظفون!$S90*IF(E90="سعودي",cfg_G_SE,cfg_G_NE)*G90/cfg_DAYS_M)</f>
        <v/>
      </c>
      <c r="V90" s="111" t="str">
        <f aca="false">IF($B90="","",SUMIFS('الحركات الشهرية'!$I$6:$I$1005,'الحركات الشهرية'!$B$6:$B$1005,$B90,'الحركات الشهرية'!$A$6:$A$1005,$C$3))</f>
        <v/>
      </c>
      <c r="W90" s="111" t="str">
        <f aca="false">IF($B90="","",SUMIFS('الحركات الشهرية'!$J$6:$J$1005,'الحركات الشهرية'!$B$6:$B$1005,$B90,'الحركات الشهرية'!$A$6:$A$1005,$C$3))</f>
        <v/>
      </c>
      <c r="X90" s="111" t="str">
        <f aca="false">IF($B90="","",SUM(U90:W90))</f>
        <v/>
      </c>
      <c r="Y90" s="153" t="str">
        <f aca="false">IF($B90="","",T90-X90)</f>
        <v/>
      </c>
      <c r="Z90" s="111" t="str">
        <f aca="false">IF($B90="","",الموظفون!$S90*IF(E90="سعودي",cfg_G_SR,cfg_G_NR)*G90/cfg_DAYS_M)</f>
        <v/>
      </c>
      <c r="AA90" s="111" t="str">
        <f aca="false">IF($B90="","",الموظفون!$Q90*(cfg_EOS_R1*(MIN(AH90,cfg_EOS_TH)-MIN(AI90,cfg_EOS_TH))+cfg_EOS_R2*(MAX(AH90-cfg_EOS_TH,0)-MAX(AI90-cfg_EOS_TH,0))))</f>
        <v/>
      </c>
      <c r="AB90" s="111" t="str">
        <f aca="false">IF($B90="","",IF(الموظفون!$T90&lt;&gt;"",الموظفون!$T90,IF(AH90&gt;=cfg_LV_TH,cfg_LV_D2,cfg_LV_D1))/cfg_DAYS_Y*AJ90*الموظفون!$R90/cfg_DAYS_M)</f>
        <v/>
      </c>
      <c r="AC90" s="111" t="str">
        <f aca="false">IF($B90="","",IF(AND(الموظفون!$U90="نعم",N(الموظفون!$W90)&gt;0),الموظفون!$V90/الموظفون!$W90*12/cfg_DAYS_Y*AJ90,0))</f>
        <v/>
      </c>
      <c r="AD90" s="111" t="str">
        <f aca="false">IF($B90="","",(IF(الموظفون!$X90&lt;&gt;"",الموظفون!$X90,IF(الموظفون!$E90="غير سعودي",cfg_IQ,0))+IF(الموظفون!$Y90&lt;&gt;"",الموظفون!$Y90,IF(الموظفون!$E90="غير سعودي",cfg_WP,0)))/12*G90/cfg_DAYS_M)</f>
        <v/>
      </c>
      <c r="AE90" s="111" t="str">
        <f aca="false">IF($B90="","",IF(الموظفون!$Z90&lt;&gt;"",الموظفون!$Z90,cfg_MED)/12*G90/cfg_DAYS_M)</f>
        <v/>
      </c>
      <c r="AF90" s="111" t="str">
        <f aca="false">IF($B90="","",N(الموظفون!$AA90)/12*G90/cfg_DAYS_M)</f>
        <v/>
      </c>
      <c r="AG90" s="154" t="str">
        <f aca="false">IF($B90="","",T90+SUM(Z90:AF90))</f>
        <v/>
      </c>
      <c r="AH90" s="155" t="str">
        <f aca="false">IF($B90="","",MAX(0,IF(OR(الموظفون!$AE90="",الموظفون!$AE90&gt;$F$3),$F$3,الموظفون!$AE90)-الموظفون!$H90+1-SUMIFS('سجل الإجازات والحالات'!$AP$6:$AP$505,'سجل الإجازات والحالات'!$B$6:$B$505,$B90))/cfg_DAYS_Y)</f>
        <v/>
      </c>
      <c r="AI90" s="155" t="str">
        <f aca="false">IF($B90="","",MAX(0,IF(OR(الموظفون!$AE90="",الموظفون!$AE90&gt;($E$3-1)),($E$3-1),الموظفون!$AE90)-الموظفون!$H90+1-SUMIFS('سجل الإجازات والحالات'!$AO$6:$AO$505,'سجل الإجازات والحالات'!$B$6:$B$505,$B90))/cfg_DAYS_Y)</f>
        <v/>
      </c>
      <c r="AJ90" s="65" t="str">
        <f aca="false">IF($B90="","",MAX(0,AK90-(SUMIFS('سجل الإجازات والحالات'!$AP$6:$AP$505,'سجل الإجازات والحالات'!$B$6:$B$505,$B90)-SUMIFS('سجل الإجازات والحالات'!$AO$6:$AO$505,'سجل الإجازات والحالات'!$B$6:$B$505,$B90))))</f>
        <v/>
      </c>
      <c r="AK90" s="65" t="str">
        <f aca="false">IF($B90="","",MAX(0,IF(OR(الموظفون!$AE90="",الموظفون!$AE90&gt;$F$3),$F$3,الموظفون!$AE90)-MAX($E$3,الموظفون!$H90)+1))</f>
        <v/>
      </c>
      <c r="AL90" s="151" t="str">
        <f aca="false">IF($B90="","",SUMIFS('سجل الإجازات والحالات'!$BB$6:$BB$505,'سجل الإجازات والحالات'!$B$6:$B$505,$B90)+SUMIFS('الحركات الشهرية'!$K$6:$K$1005,'الحركات الشهرية'!$B$6:$B$1005,$B90,'الحركات الشهرية'!$A$6:$A$1005,$C$3))</f>
        <v/>
      </c>
      <c r="AM90" s="111" t="str">
        <f aca="false">IF($B90="","",AL90*الموظفون!$R90/cfg_DAYS_M+S90)</f>
        <v/>
      </c>
      <c r="AN90" s="151" t="str">
        <f aca="false">IF($B90="","",SUMIFS('سجل الإجازات والحالات'!$AD$6:$AD$505,'سجل الإجازات والحالات'!$B$6:$B$505,$B90))</f>
        <v/>
      </c>
    </row>
    <row r="91" customFormat="false" ht="15" hidden="false" customHeight="false" outlineLevel="0" collapsed="false">
      <c r="A91" s="115" t="str">
        <f aca="false">IF($B91="","",الموظفون!$A91)</f>
        <v/>
      </c>
      <c r="B91" s="117" t="str">
        <f aca="false">IF(الموظفون!$B91="","",الموظفون!$B91)</f>
        <v/>
      </c>
      <c r="C91" s="117" t="str">
        <f aca="false">IF($B91="","",الموظفون!$C91)</f>
        <v/>
      </c>
      <c r="D91" s="117" t="str">
        <f aca="false">IF($B91="","",الموظفون!$F91)</f>
        <v/>
      </c>
      <c r="E91" s="117" t="str">
        <f aca="false">IF($B91="","",الموظفون!$E91)</f>
        <v/>
      </c>
      <c r="F91" s="117" t="str">
        <f aca="false">IF($B91="","",IF(AK91=0,IF(AND(الموظفون!$AE91&lt;&gt;"",الموظفون!$AE91&lt;$E$3),"✖ منتهي الخدمة","⏳ لم يباشر"),IF(S91&gt;0,"✈ راتب إجازة مقدم",IF(J91=0,"⛔ بدون راتب هذا الشهر",IF(I91&gt;0,"✈ خصم "&amp;ROUND(I91,2)&amp;" يوم بدون أجر",IF(AL91&gt;0,"🌴 إجازة سنوية "&amp;ROUND(AL91,2)&amp;" يوم",IF(H91&gt;0,"⚠ غياب "&amp;ROUND(H91,2)&amp;" يوم","✔ على رأس العمل")))))))</f>
        <v/>
      </c>
      <c r="G91" s="156" t="str">
        <f aca="false">IF($B91="","",IF(AK91&gt;=DAY($F$3),cfg_DAYS_M,MIN(AK91,cfg_DAYS_M)))</f>
        <v/>
      </c>
      <c r="H91" s="156" t="str">
        <f aca="false">IF($B91="","",SUMIFS('الحركات الشهرية'!$D$6:$D$1005,'الحركات الشهرية'!$B$6:$B$1005,$B91,'الحركات الشهرية'!$A$6:$A$1005,$C$3))</f>
        <v/>
      </c>
      <c r="I91" s="156" t="str">
        <f aca="false">IF($B91="","",MIN(G91,IF(AND(AK91&gt;0,AN91&gt;=AK91),G91,AN91)+SUMIFS('الحركات الشهرية'!$E$6:$E$1005,'الحركات الشهرية'!$B$6:$B$1005,$B91,'الحركات الشهرية'!$A$6:$A$1005,$C$3)))</f>
        <v/>
      </c>
      <c r="J91" s="156" t="str">
        <f aca="false">IF($B91="","",MAX(0,G91-H91-I91))</f>
        <v/>
      </c>
      <c r="K91" s="116" t="str">
        <f aca="false">IF($B91="","",الموظفون!$L91*$J91/cfg_DAYS_M)</f>
        <v/>
      </c>
      <c r="L91" s="116" t="str">
        <f aca="false">IF($B91="","",الموظفون!$M91*$J91/cfg_DAYS_M)</f>
        <v/>
      </c>
      <c r="M91" s="116" t="str">
        <f aca="false">IF($B91="","",الموظفون!$N91*$J91/cfg_DAYS_M)</f>
        <v/>
      </c>
      <c r="N91" s="116" t="str">
        <f aca="false">IF($B91="","",الموظفون!$O91*$J91/cfg_DAYS_M)</f>
        <v/>
      </c>
      <c r="O91" s="156" t="str">
        <f aca="false">IF($B91="","",SUMIFS('الحركات الشهرية'!$F$6:$F$1005,'الحركات الشهرية'!$B$6:$B$1005,$B91,'الحركات الشهرية'!$A$6:$A$1005,$C$3))</f>
        <v/>
      </c>
      <c r="P91" s="116" t="str">
        <f aca="false">IF($B91="","",O91*(الموظفون!$P91+الموظفون!$L91*cfg_OT_P)/cfg_DAYS_M/cfg_HRS)</f>
        <v/>
      </c>
      <c r="Q91" s="116" t="str">
        <f aca="false">IF($B91="","",SUMIFS('الحركات الشهرية'!$G$6:$G$1005,'الحركات الشهرية'!$B$6:$B$1005,$B91,'الحركات الشهرية'!$A$6:$A$1005,$C$3))</f>
        <v/>
      </c>
      <c r="R91" s="116" t="str">
        <f aca="false">IF($B91="","",SUMIFS('الحركات الشهرية'!$H$6:$H$1005,'الحركات الشهرية'!$B$6:$B$1005,$B91,'الحركات الشهرية'!$A$6:$A$1005,$C$3))</f>
        <v/>
      </c>
      <c r="S91" s="116" t="str">
        <f aca="false">IF($B91="","",SUMIFS('سجل الإجازات والحالات'!$N$6:$N$505,'سجل الإجازات والحالات'!$B$6:$B$505,$B91,'سجل الإجازات والحالات'!$O$6:$O$505,$C$3))</f>
        <v/>
      </c>
      <c r="T91" s="157" t="str">
        <f aca="false">IF($B91="","",SUM(K91:N91)+SUM(P91:S91))</f>
        <v/>
      </c>
      <c r="U91" s="116" t="str">
        <f aca="false">IF($B91="","",الموظفون!$S91*IF(E91="سعودي",cfg_G_SE,cfg_G_NE)*G91/cfg_DAYS_M)</f>
        <v/>
      </c>
      <c r="V91" s="116" t="str">
        <f aca="false">IF($B91="","",SUMIFS('الحركات الشهرية'!$I$6:$I$1005,'الحركات الشهرية'!$B$6:$B$1005,$B91,'الحركات الشهرية'!$A$6:$A$1005,$C$3))</f>
        <v/>
      </c>
      <c r="W91" s="116" t="str">
        <f aca="false">IF($B91="","",SUMIFS('الحركات الشهرية'!$J$6:$J$1005,'الحركات الشهرية'!$B$6:$B$1005,$B91,'الحركات الشهرية'!$A$6:$A$1005,$C$3))</f>
        <v/>
      </c>
      <c r="X91" s="116" t="str">
        <f aca="false">IF($B91="","",SUM(U91:W91))</f>
        <v/>
      </c>
      <c r="Y91" s="158" t="str">
        <f aca="false">IF($B91="","",T91-X91)</f>
        <v/>
      </c>
      <c r="Z91" s="116" t="str">
        <f aca="false">IF($B91="","",الموظفون!$S91*IF(E91="سعودي",cfg_G_SR,cfg_G_NR)*G91/cfg_DAYS_M)</f>
        <v/>
      </c>
      <c r="AA91" s="116" t="str">
        <f aca="false">IF($B91="","",الموظفون!$Q91*(cfg_EOS_R1*(MIN(AH91,cfg_EOS_TH)-MIN(AI91,cfg_EOS_TH))+cfg_EOS_R2*(MAX(AH91-cfg_EOS_TH,0)-MAX(AI91-cfg_EOS_TH,0))))</f>
        <v/>
      </c>
      <c r="AB91" s="116" t="str">
        <f aca="false">IF($B91="","",IF(الموظفون!$T91&lt;&gt;"",الموظفون!$T91,IF(AH91&gt;=cfg_LV_TH,cfg_LV_D2,cfg_LV_D1))/cfg_DAYS_Y*AJ91*الموظفون!$R91/cfg_DAYS_M)</f>
        <v/>
      </c>
      <c r="AC91" s="116" t="str">
        <f aca="false">IF($B91="","",IF(AND(الموظفون!$U91="نعم",N(الموظفون!$W91)&gt;0),الموظفون!$V91/الموظفون!$W91*12/cfg_DAYS_Y*AJ91,0))</f>
        <v/>
      </c>
      <c r="AD91" s="116" t="str">
        <f aca="false">IF($B91="","",(IF(الموظفون!$X91&lt;&gt;"",الموظفون!$X91,IF(الموظفون!$E91="غير سعودي",cfg_IQ,0))+IF(الموظفون!$Y91&lt;&gt;"",الموظفون!$Y91,IF(الموظفون!$E91="غير سعودي",cfg_WP,0)))/12*G91/cfg_DAYS_M)</f>
        <v/>
      </c>
      <c r="AE91" s="116" t="str">
        <f aca="false">IF($B91="","",IF(الموظفون!$Z91&lt;&gt;"",الموظفون!$Z91,cfg_MED)/12*G91/cfg_DAYS_M)</f>
        <v/>
      </c>
      <c r="AF91" s="116" t="str">
        <f aca="false">IF($B91="","",N(الموظفون!$AA91)/12*G91/cfg_DAYS_M)</f>
        <v/>
      </c>
      <c r="AG91" s="159" t="str">
        <f aca="false">IF($B91="","",T91+SUM(Z91:AF91))</f>
        <v/>
      </c>
      <c r="AH91" s="160" t="str">
        <f aca="false">IF($B91="","",MAX(0,IF(OR(الموظفون!$AE91="",الموظفون!$AE91&gt;$F$3),$F$3,الموظفون!$AE91)-الموظفون!$H91+1-SUMIFS('سجل الإجازات والحالات'!$AP$6:$AP$505,'سجل الإجازات والحالات'!$B$6:$B$505,$B91))/cfg_DAYS_Y)</f>
        <v/>
      </c>
      <c r="AI91" s="160" t="str">
        <f aca="false">IF($B91="","",MAX(0,IF(OR(الموظفون!$AE91="",الموظفون!$AE91&gt;($E$3-1)),($E$3-1),الموظفون!$AE91)-الموظفون!$H91+1-SUMIFS('سجل الإجازات والحالات'!$AO$6:$AO$505,'سجل الإجازات والحالات'!$B$6:$B$505,$B91))/cfg_DAYS_Y)</f>
        <v/>
      </c>
      <c r="AJ91" s="133" t="str">
        <f aca="false">IF($B91="","",MAX(0,AK91-(SUMIFS('سجل الإجازات والحالات'!$AP$6:$AP$505,'سجل الإجازات والحالات'!$B$6:$B$505,$B91)-SUMIFS('سجل الإجازات والحالات'!$AO$6:$AO$505,'سجل الإجازات والحالات'!$B$6:$B$505,$B91))))</f>
        <v/>
      </c>
      <c r="AK91" s="133" t="str">
        <f aca="false">IF($B91="","",MAX(0,IF(OR(الموظفون!$AE91="",الموظفون!$AE91&gt;$F$3),$F$3,الموظفون!$AE91)-MAX($E$3,الموظفون!$H91)+1))</f>
        <v/>
      </c>
      <c r="AL91" s="156" t="str">
        <f aca="false">IF($B91="","",SUMIFS('سجل الإجازات والحالات'!$BB$6:$BB$505,'سجل الإجازات والحالات'!$B$6:$B$505,$B91)+SUMIFS('الحركات الشهرية'!$K$6:$K$1005,'الحركات الشهرية'!$B$6:$B$1005,$B91,'الحركات الشهرية'!$A$6:$A$1005,$C$3))</f>
        <v/>
      </c>
      <c r="AM91" s="116" t="str">
        <f aca="false">IF($B91="","",AL91*الموظفون!$R91/cfg_DAYS_M+S91)</f>
        <v/>
      </c>
      <c r="AN91" s="156" t="str">
        <f aca="false">IF($B91="","",SUMIFS('سجل الإجازات والحالات'!$AD$6:$AD$505,'سجل الإجازات والحالات'!$B$6:$B$505,$B91))</f>
        <v/>
      </c>
    </row>
    <row r="92" customFormat="false" ht="15" hidden="false" customHeight="false" outlineLevel="0" collapsed="false">
      <c r="A92" s="106" t="str">
        <f aca="false">IF($B92="","",الموظفون!$A92)</f>
        <v/>
      </c>
      <c r="B92" s="114" t="str">
        <f aca="false">IF(الموظفون!$B92="","",الموظفون!$B92)</f>
        <v/>
      </c>
      <c r="C92" s="114" t="str">
        <f aca="false">IF($B92="","",الموظفون!$C92)</f>
        <v/>
      </c>
      <c r="D92" s="114" t="str">
        <f aca="false">IF($B92="","",الموظفون!$F92)</f>
        <v/>
      </c>
      <c r="E92" s="114" t="str">
        <f aca="false">IF($B92="","",الموظفون!$E92)</f>
        <v/>
      </c>
      <c r="F92" s="114" t="str">
        <f aca="false">IF($B92="","",IF(AK92=0,IF(AND(الموظفون!$AE92&lt;&gt;"",الموظفون!$AE92&lt;$E$3),"✖ منتهي الخدمة","⏳ لم يباشر"),IF(S92&gt;0,"✈ راتب إجازة مقدم",IF(J92=0,"⛔ بدون راتب هذا الشهر",IF(I92&gt;0,"✈ خصم "&amp;ROUND(I92,2)&amp;" يوم بدون أجر",IF(AL92&gt;0,"🌴 إجازة سنوية "&amp;ROUND(AL92,2)&amp;" يوم",IF(H92&gt;0,"⚠ غياب "&amp;ROUND(H92,2)&amp;" يوم","✔ على رأس العمل")))))))</f>
        <v/>
      </c>
      <c r="G92" s="151" t="str">
        <f aca="false">IF($B92="","",IF(AK92&gt;=DAY($F$3),cfg_DAYS_M,MIN(AK92,cfg_DAYS_M)))</f>
        <v/>
      </c>
      <c r="H92" s="151" t="str">
        <f aca="false">IF($B92="","",SUMIFS('الحركات الشهرية'!$D$6:$D$1005,'الحركات الشهرية'!$B$6:$B$1005,$B92,'الحركات الشهرية'!$A$6:$A$1005,$C$3))</f>
        <v/>
      </c>
      <c r="I92" s="151" t="str">
        <f aca="false">IF($B92="","",MIN(G92,IF(AND(AK92&gt;0,AN92&gt;=AK92),G92,AN92)+SUMIFS('الحركات الشهرية'!$E$6:$E$1005,'الحركات الشهرية'!$B$6:$B$1005,$B92,'الحركات الشهرية'!$A$6:$A$1005,$C$3)))</f>
        <v/>
      </c>
      <c r="J92" s="151" t="str">
        <f aca="false">IF($B92="","",MAX(0,G92-H92-I92))</f>
        <v/>
      </c>
      <c r="K92" s="111" t="str">
        <f aca="false">IF($B92="","",الموظفون!$L92*$J92/cfg_DAYS_M)</f>
        <v/>
      </c>
      <c r="L92" s="111" t="str">
        <f aca="false">IF($B92="","",الموظفون!$M92*$J92/cfg_DAYS_M)</f>
        <v/>
      </c>
      <c r="M92" s="111" t="str">
        <f aca="false">IF($B92="","",الموظفون!$N92*$J92/cfg_DAYS_M)</f>
        <v/>
      </c>
      <c r="N92" s="111" t="str">
        <f aca="false">IF($B92="","",الموظفون!$O92*$J92/cfg_DAYS_M)</f>
        <v/>
      </c>
      <c r="O92" s="151" t="str">
        <f aca="false">IF($B92="","",SUMIFS('الحركات الشهرية'!$F$6:$F$1005,'الحركات الشهرية'!$B$6:$B$1005,$B92,'الحركات الشهرية'!$A$6:$A$1005,$C$3))</f>
        <v/>
      </c>
      <c r="P92" s="111" t="str">
        <f aca="false">IF($B92="","",O92*(الموظفون!$P92+الموظفون!$L92*cfg_OT_P)/cfg_DAYS_M/cfg_HRS)</f>
        <v/>
      </c>
      <c r="Q92" s="111" t="str">
        <f aca="false">IF($B92="","",SUMIFS('الحركات الشهرية'!$G$6:$G$1005,'الحركات الشهرية'!$B$6:$B$1005,$B92,'الحركات الشهرية'!$A$6:$A$1005,$C$3))</f>
        <v/>
      </c>
      <c r="R92" s="111" t="str">
        <f aca="false">IF($B92="","",SUMIFS('الحركات الشهرية'!$H$6:$H$1005,'الحركات الشهرية'!$B$6:$B$1005,$B92,'الحركات الشهرية'!$A$6:$A$1005,$C$3))</f>
        <v/>
      </c>
      <c r="S92" s="111" t="str">
        <f aca="false">IF($B92="","",SUMIFS('سجل الإجازات والحالات'!$N$6:$N$505,'سجل الإجازات والحالات'!$B$6:$B$505,$B92,'سجل الإجازات والحالات'!$O$6:$O$505,$C$3))</f>
        <v/>
      </c>
      <c r="T92" s="152" t="str">
        <f aca="false">IF($B92="","",SUM(K92:N92)+SUM(P92:S92))</f>
        <v/>
      </c>
      <c r="U92" s="111" t="str">
        <f aca="false">IF($B92="","",الموظفون!$S92*IF(E92="سعودي",cfg_G_SE,cfg_G_NE)*G92/cfg_DAYS_M)</f>
        <v/>
      </c>
      <c r="V92" s="111" t="str">
        <f aca="false">IF($B92="","",SUMIFS('الحركات الشهرية'!$I$6:$I$1005,'الحركات الشهرية'!$B$6:$B$1005,$B92,'الحركات الشهرية'!$A$6:$A$1005,$C$3))</f>
        <v/>
      </c>
      <c r="W92" s="111" t="str">
        <f aca="false">IF($B92="","",SUMIFS('الحركات الشهرية'!$J$6:$J$1005,'الحركات الشهرية'!$B$6:$B$1005,$B92,'الحركات الشهرية'!$A$6:$A$1005,$C$3))</f>
        <v/>
      </c>
      <c r="X92" s="111" t="str">
        <f aca="false">IF($B92="","",SUM(U92:W92))</f>
        <v/>
      </c>
      <c r="Y92" s="153" t="str">
        <f aca="false">IF($B92="","",T92-X92)</f>
        <v/>
      </c>
      <c r="Z92" s="111" t="str">
        <f aca="false">IF($B92="","",الموظفون!$S92*IF(E92="سعودي",cfg_G_SR,cfg_G_NR)*G92/cfg_DAYS_M)</f>
        <v/>
      </c>
      <c r="AA92" s="111" t="str">
        <f aca="false">IF($B92="","",الموظفون!$Q92*(cfg_EOS_R1*(MIN(AH92,cfg_EOS_TH)-MIN(AI92,cfg_EOS_TH))+cfg_EOS_R2*(MAX(AH92-cfg_EOS_TH,0)-MAX(AI92-cfg_EOS_TH,0))))</f>
        <v/>
      </c>
      <c r="AB92" s="111" t="str">
        <f aca="false">IF($B92="","",IF(الموظفون!$T92&lt;&gt;"",الموظفون!$T92,IF(AH92&gt;=cfg_LV_TH,cfg_LV_D2,cfg_LV_D1))/cfg_DAYS_Y*AJ92*الموظفون!$R92/cfg_DAYS_M)</f>
        <v/>
      </c>
      <c r="AC92" s="111" t="str">
        <f aca="false">IF($B92="","",IF(AND(الموظفون!$U92="نعم",N(الموظفون!$W92)&gt;0),الموظفون!$V92/الموظفون!$W92*12/cfg_DAYS_Y*AJ92,0))</f>
        <v/>
      </c>
      <c r="AD92" s="111" t="str">
        <f aca="false">IF($B92="","",(IF(الموظفون!$X92&lt;&gt;"",الموظفون!$X92,IF(الموظفون!$E92="غير سعودي",cfg_IQ,0))+IF(الموظفون!$Y92&lt;&gt;"",الموظفون!$Y92,IF(الموظفون!$E92="غير سعودي",cfg_WP,0)))/12*G92/cfg_DAYS_M)</f>
        <v/>
      </c>
      <c r="AE92" s="111" t="str">
        <f aca="false">IF($B92="","",IF(الموظفون!$Z92&lt;&gt;"",الموظفون!$Z92,cfg_MED)/12*G92/cfg_DAYS_M)</f>
        <v/>
      </c>
      <c r="AF92" s="111" t="str">
        <f aca="false">IF($B92="","",N(الموظفون!$AA92)/12*G92/cfg_DAYS_M)</f>
        <v/>
      </c>
      <c r="AG92" s="154" t="str">
        <f aca="false">IF($B92="","",T92+SUM(Z92:AF92))</f>
        <v/>
      </c>
      <c r="AH92" s="155" t="str">
        <f aca="false">IF($B92="","",MAX(0,IF(OR(الموظفون!$AE92="",الموظفون!$AE92&gt;$F$3),$F$3,الموظفون!$AE92)-الموظفون!$H92+1-SUMIFS('سجل الإجازات والحالات'!$AP$6:$AP$505,'سجل الإجازات والحالات'!$B$6:$B$505,$B92))/cfg_DAYS_Y)</f>
        <v/>
      </c>
      <c r="AI92" s="155" t="str">
        <f aca="false">IF($B92="","",MAX(0,IF(OR(الموظفون!$AE92="",الموظفون!$AE92&gt;($E$3-1)),($E$3-1),الموظفون!$AE92)-الموظفون!$H92+1-SUMIFS('سجل الإجازات والحالات'!$AO$6:$AO$505,'سجل الإجازات والحالات'!$B$6:$B$505,$B92))/cfg_DAYS_Y)</f>
        <v/>
      </c>
      <c r="AJ92" s="65" t="str">
        <f aca="false">IF($B92="","",MAX(0,AK92-(SUMIFS('سجل الإجازات والحالات'!$AP$6:$AP$505,'سجل الإجازات والحالات'!$B$6:$B$505,$B92)-SUMIFS('سجل الإجازات والحالات'!$AO$6:$AO$505,'سجل الإجازات والحالات'!$B$6:$B$505,$B92))))</f>
        <v/>
      </c>
      <c r="AK92" s="65" t="str">
        <f aca="false">IF($B92="","",MAX(0,IF(OR(الموظفون!$AE92="",الموظفون!$AE92&gt;$F$3),$F$3,الموظفون!$AE92)-MAX($E$3,الموظفون!$H92)+1))</f>
        <v/>
      </c>
      <c r="AL92" s="151" t="str">
        <f aca="false">IF($B92="","",SUMIFS('سجل الإجازات والحالات'!$BB$6:$BB$505,'سجل الإجازات والحالات'!$B$6:$B$505,$B92)+SUMIFS('الحركات الشهرية'!$K$6:$K$1005,'الحركات الشهرية'!$B$6:$B$1005,$B92,'الحركات الشهرية'!$A$6:$A$1005,$C$3))</f>
        <v/>
      </c>
      <c r="AM92" s="111" t="str">
        <f aca="false">IF($B92="","",AL92*الموظفون!$R92/cfg_DAYS_M+S92)</f>
        <v/>
      </c>
      <c r="AN92" s="151" t="str">
        <f aca="false">IF($B92="","",SUMIFS('سجل الإجازات والحالات'!$AD$6:$AD$505,'سجل الإجازات والحالات'!$B$6:$B$505,$B92))</f>
        <v/>
      </c>
    </row>
    <row r="93" customFormat="false" ht="15" hidden="false" customHeight="false" outlineLevel="0" collapsed="false">
      <c r="A93" s="115" t="str">
        <f aca="false">IF($B93="","",الموظفون!$A93)</f>
        <v/>
      </c>
      <c r="B93" s="117" t="str">
        <f aca="false">IF(الموظفون!$B93="","",الموظفون!$B93)</f>
        <v/>
      </c>
      <c r="C93" s="117" t="str">
        <f aca="false">IF($B93="","",الموظفون!$C93)</f>
        <v/>
      </c>
      <c r="D93" s="117" t="str">
        <f aca="false">IF($B93="","",الموظفون!$F93)</f>
        <v/>
      </c>
      <c r="E93" s="117" t="str">
        <f aca="false">IF($B93="","",الموظفون!$E93)</f>
        <v/>
      </c>
      <c r="F93" s="117" t="str">
        <f aca="false">IF($B93="","",IF(AK93=0,IF(AND(الموظفون!$AE93&lt;&gt;"",الموظفون!$AE93&lt;$E$3),"✖ منتهي الخدمة","⏳ لم يباشر"),IF(S93&gt;0,"✈ راتب إجازة مقدم",IF(J93=0,"⛔ بدون راتب هذا الشهر",IF(I93&gt;0,"✈ خصم "&amp;ROUND(I93,2)&amp;" يوم بدون أجر",IF(AL93&gt;0,"🌴 إجازة سنوية "&amp;ROUND(AL93,2)&amp;" يوم",IF(H93&gt;0,"⚠ غياب "&amp;ROUND(H93,2)&amp;" يوم","✔ على رأس العمل")))))))</f>
        <v/>
      </c>
      <c r="G93" s="156" t="str">
        <f aca="false">IF($B93="","",IF(AK93&gt;=DAY($F$3),cfg_DAYS_M,MIN(AK93,cfg_DAYS_M)))</f>
        <v/>
      </c>
      <c r="H93" s="156" t="str">
        <f aca="false">IF($B93="","",SUMIFS('الحركات الشهرية'!$D$6:$D$1005,'الحركات الشهرية'!$B$6:$B$1005,$B93,'الحركات الشهرية'!$A$6:$A$1005,$C$3))</f>
        <v/>
      </c>
      <c r="I93" s="156" t="str">
        <f aca="false">IF($B93="","",MIN(G93,IF(AND(AK93&gt;0,AN93&gt;=AK93),G93,AN93)+SUMIFS('الحركات الشهرية'!$E$6:$E$1005,'الحركات الشهرية'!$B$6:$B$1005,$B93,'الحركات الشهرية'!$A$6:$A$1005,$C$3)))</f>
        <v/>
      </c>
      <c r="J93" s="156" t="str">
        <f aca="false">IF($B93="","",MAX(0,G93-H93-I93))</f>
        <v/>
      </c>
      <c r="K93" s="116" t="str">
        <f aca="false">IF($B93="","",الموظفون!$L93*$J93/cfg_DAYS_M)</f>
        <v/>
      </c>
      <c r="L93" s="116" t="str">
        <f aca="false">IF($B93="","",الموظفون!$M93*$J93/cfg_DAYS_M)</f>
        <v/>
      </c>
      <c r="M93" s="116" t="str">
        <f aca="false">IF($B93="","",الموظفون!$N93*$J93/cfg_DAYS_M)</f>
        <v/>
      </c>
      <c r="N93" s="116" t="str">
        <f aca="false">IF($B93="","",الموظفون!$O93*$J93/cfg_DAYS_M)</f>
        <v/>
      </c>
      <c r="O93" s="156" t="str">
        <f aca="false">IF($B93="","",SUMIFS('الحركات الشهرية'!$F$6:$F$1005,'الحركات الشهرية'!$B$6:$B$1005,$B93,'الحركات الشهرية'!$A$6:$A$1005,$C$3))</f>
        <v/>
      </c>
      <c r="P93" s="116" t="str">
        <f aca="false">IF($B93="","",O93*(الموظفون!$P93+الموظفون!$L93*cfg_OT_P)/cfg_DAYS_M/cfg_HRS)</f>
        <v/>
      </c>
      <c r="Q93" s="116" t="str">
        <f aca="false">IF($B93="","",SUMIFS('الحركات الشهرية'!$G$6:$G$1005,'الحركات الشهرية'!$B$6:$B$1005,$B93,'الحركات الشهرية'!$A$6:$A$1005,$C$3))</f>
        <v/>
      </c>
      <c r="R93" s="116" t="str">
        <f aca="false">IF($B93="","",SUMIFS('الحركات الشهرية'!$H$6:$H$1005,'الحركات الشهرية'!$B$6:$B$1005,$B93,'الحركات الشهرية'!$A$6:$A$1005,$C$3))</f>
        <v/>
      </c>
      <c r="S93" s="116" t="str">
        <f aca="false">IF($B93="","",SUMIFS('سجل الإجازات والحالات'!$N$6:$N$505,'سجل الإجازات والحالات'!$B$6:$B$505,$B93,'سجل الإجازات والحالات'!$O$6:$O$505,$C$3))</f>
        <v/>
      </c>
      <c r="T93" s="157" t="str">
        <f aca="false">IF($B93="","",SUM(K93:N93)+SUM(P93:S93))</f>
        <v/>
      </c>
      <c r="U93" s="116" t="str">
        <f aca="false">IF($B93="","",الموظفون!$S93*IF(E93="سعودي",cfg_G_SE,cfg_G_NE)*G93/cfg_DAYS_M)</f>
        <v/>
      </c>
      <c r="V93" s="116" t="str">
        <f aca="false">IF($B93="","",SUMIFS('الحركات الشهرية'!$I$6:$I$1005,'الحركات الشهرية'!$B$6:$B$1005,$B93,'الحركات الشهرية'!$A$6:$A$1005,$C$3))</f>
        <v/>
      </c>
      <c r="W93" s="116" t="str">
        <f aca="false">IF($B93="","",SUMIFS('الحركات الشهرية'!$J$6:$J$1005,'الحركات الشهرية'!$B$6:$B$1005,$B93,'الحركات الشهرية'!$A$6:$A$1005,$C$3))</f>
        <v/>
      </c>
      <c r="X93" s="116" t="str">
        <f aca="false">IF($B93="","",SUM(U93:W93))</f>
        <v/>
      </c>
      <c r="Y93" s="158" t="str">
        <f aca="false">IF($B93="","",T93-X93)</f>
        <v/>
      </c>
      <c r="Z93" s="116" t="str">
        <f aca="false">IF($B93="","",الموظفون!$S93*IF(E93="سعودي",cfg_G_SR,cfg_G_NR)*G93/cfg_DAYS_M)</f>
        <v/>
      </c>
      <c r="AA93" s="116" t="str">
        <f aca="false">IF($B93="","",الموظفون!$Q93*(cfg_EOS_R1*(MIN(AH93,cfg_EOS_TH)-MIN(AI93,cfg_EOS_TH))+cfg_EOS_R2*(MAX(AH93-cfg_EOS_TH,0)-MAX(AI93-cfg_EOS_TH,0))))</f>
        <v/>
      </c>
      <c r="AB93" s="116" t="str">
        <f aca="false">IF($B93="","",IF(الموظفون!$T93&lt;&gt;"",الموظفون!$T93,IF(AH93&gt;=cfg_LV_TH,cfg_LV_D2,cfg_LV_D1))/cfg_DAYS_Y*AJ93*الموظفون!$R93/cfg_DAYS_M)</f>
        <v/>
      </c>
      <c r="AC93" s="116" t="str">
        <f aca="false">IF($B93="","",IF(AND(الموظفون!$U93="نعم",N(الموظفون!$W93)&gt;0),الموظفون!$V93/الموظفون!$W93*12/cfg_DAYS_Y*AJ93,0))</f>
        <v/>
      </c>
      <c r="AD93" s="116" t="str">
        <f aca="false">IF($B93="","",(IF(الموظفون!$X93&lt;&gt;"",الموظفون!$X93,IF(الموظفون!$E93="غير سعودي",cfg_IQ,0))+IF(الموظفون!$Y93&lt;&gt;"",الموظفون!$Y93,IF(الموظفون!$E93="غير سعودي",cfg_WP,0)))/12*G93/cfg_DAYS_M)</f>
        <v/>
      </c>
      <c r="AE93" s="116" t="str">
        <f aca="false">IF($B93="","",IF(الموظفون!$Z93&lt;&gt;"",الموظفون!$Z93,cfg_MED)/12*G93/cfg_DAYS_M)</f>
        <v/>
      </c>
      <c r="AF93" s="116" t="str">
        <f aca="false">IF($B93="","",N(الموظفون!$AA93)/12*G93/cfg_DAYS_M)</f>
        <v/>
      </c>
      <c r="AG93" s="159" t="str">
        <f aca="false">IF($B93="","",T93+SUM(Z93:AF93))</f>
        <v/>
      </c>
      <c r="AH93" s="160" t="str">
        <f aca="false">IF($B93="","",MAX(0,IF(OR(الموظفون!$AE93="",الموظفون!$AE93&gt;$F$3),$F$3,الموظفون!$AE93)-الموظفون!$H93+1-SUMIFS('سجل الإجازات والحالات'!$AP$6:$AP$505,'سجل الإجازات والحالات'!$B$6:$B$505,$B93))/cfg_DAYS_Y)</f>
        <v/>
      </c>
      <c r="AI93" s="160" t="str">
        <f aca="false">IF($B93="","",MAX(0,IF(OR(الموظفون!$AE93="",الموظفون!$AE93&gt;($E$3-1)),($E$3-1),الموظفون!$AE93)-الموظفون!$H93+1-SUMIFS('سجل الإجازات والحالات'!$AO$6:$AO$505,'سجل الإجازات والحالات'!$B$6:$B$505,$B93))/cfg_DAYS_Y)</f>
        <v/>
      </c>
      <c r="AJ93" s="133" t="str">
        <f aca="false">IF($B93="","",MAX(0,AK93-(SUMIFS('سجل الإجازات والحالات'!$AP$6:$AP$505,'سجل الإجازات والحالات'!$B$6:$B$505,$B93)-SUMIFS('سجل الإجازات والحالات'!$AO$6:$AO$505,'سجل الإجازات والحالات'!$B$6:$B$505,$B93))))</f>
        <v/>
      </c>
      <c r="AK93" s="133" t="str">
        <f aca="false">IF($B93="","",MAX(0,IF(OR(الموظفون!$AE93="",الموظفون!$AE93&gt;$F$3),$F$3,الموظفون!$AE93)-MAX($E$3,الموظفون!$H93)+1))</f>
        <v/>
      </c>
      <c r="AL93" s="156" t="str">
        <f aca="false">IF($B93="","",SUMIFS('سجل الإجازات والحالات'!$BB$6:$BB$505,'سجل الإجازات والحالات'!$B$6:$B$505,$B93)+SUMIFS('الحركات الشهرية'!$K$6:$K$1005,'الحركات الشهرية'!$B$6:$B$1005,$B93,'الحركات الشهرية'!$A$6:$A$1005,$C$3))</f>
        <v/>
      </c>
      <c r="AM93" s="116" t="str">
        <f aca="false">IF($B93="","",AL93*الموظفون!$R93/cfg_DAYS_M+S93)</f>
        <v/>
      </c>
      <c r="AN93" s="156" t="str">
        <f aca="false">IF($B93="","",SUMIFS('سجل الإجازات والحالات'!$AD$6:$AD$505,'سجل الإجازات والحالات'!$B$6:$B$505,$B93))</f>
        <v/>
      </c>
    </row>
    <row r="94" customFormat="false" ht="15" hidden="false" customHeight="false" outlineLevel="0" collapsed="false">
      <c r="A94" s="106" t="str">
        <f aca="false">IF($B94="","",الموظفون!$A94)</f>
        <v/>
      </c>
      <c r="B94" s="114" t="str">
        <f aca="false">IF(الموظفون!$B94="","",الموظفون!$B94)</f>
        <v/>
      </c>
      <c r="C94" s="114" t="str">
        <f aca="false">IF($B94="","",الموظفون!$C94)</f>
        <v/>
      </c>
      <c r="D94" s="114" t="str">
        <f aca="false">IF($B94="","",الموظفون!$F94)</f>
        <v/>
      </c>
      <c r="E94" s="114" t="str">
        <f aca="false">IF($B94="","",الموظفون!$E94)</f>
        <v/>
      </c>
      <c r="F94" s="114" t="str">
        <f aca="false">IF($B94="","",IF(AK94=0,IF(AND(الموظفون!$AE94&lt;&gt;"",الموظفون!$AE94&lt;$E$3),"✖ منتهي الخدمة","⏳ لم يباشر"),IF(S94&gt;0,"✈ راتب إجازة مقدم",IF(J94=0,"⛔ بدون راتب هذا الشهر",IF(I94&gt;0,"✈ خصم "&amp;ROUND(I94,2)&amp;" يوم بدون أجر",IF(AL94&gt;0,"🌴 إجازة سنوية "&amp;ROUND(AL94,2)&amp;" يوم",IF(H94&gt;0,"⚠ غياب "&amp;ROUND(H94,2)&amp;" يوم","✔ على رأس العمل")))))))</f>
        <v/>
      </c>
      <c r="G94" s="151" t="str">
        <f aca="false">IF($B94="","",IF(AK94&gt;=DAY($F$3),cfg_DAYS_M,MIN(AK94,cfg_DAYS_M)))</f>
        <v/>
      </c>
      <c r="H94" s="151" t="str">
        <f aca="false">IF($B94="","",SUMIFS('الحركات الشهرية'!$D$6:$D$1005,'الحركات الشهرية'!$B$6:$B$1005,$B94,'الحركات الشهرية'!$A$6:$A$1005,$C$3))</f>
        <v/>
      </c>
      <c r="I94" s="151" t="str">
        <f aca="false">IF($B94="","",MIN(G94,IF(AND(AK94&gt;0,AN94&gt;=AK94),G94,AN94)+SUMIFS('الحركات الشهرية'!$E$6:$E$1005,'الحركات الشهرية'!$B$6:$B$1005,$B94,'الحركات الشهرية'!$A$6:$A$1005,$C$3)))</f>
        <v/>
      </c>
      <c r="J94" s="151" t="str">
        <f aca="false">IF($B94="","",MAX(0,G94-H94-I94))</f>
        <v/>
      </c>
      <c r="K94" s="111" t="str">
        <f aca="false">IF($B94="","",الموظفون!$L94*$J94/cfg_DAYS_M)</f>
        <v/>
      </c>
      <c r="L94" s="111" t="str">
        <f aca="false">IF($B94="","",الموظفون!$M94*$J94/cfg_DAYS_M)</f>
        <v/>
      </c>
      <c r="M94" s="111" t="str">
        <f aca="false">IF($B94="","",الموظفون!$N94*$J94/cfg_DAYS_M)</f>
        <v/>
      </c>
      <c r="N94" s="111" t="str">
        <f aca="false">IF($B94="","",الموظفون!$O94*$J94/cfg_DAYS_M)</f>
        <v/>
      </c>
      <c r="O94" s="151" t="str">
        <f aca="false">IF($B94="","",SUMIFS('الحركات الشهرية'!$F$6:$F$1005,'الحركات الشهرية'!$B$6:$B$1005,$B94,'الحركات الشهرية'!$A$6:$A$1005,$C$3))</f>
        <v/>
      </c>
      <c r="P94" s="111" t="str">
        <f aca="false">IF($B94="","",O94*(الموظفون!$P94+الموظفون!$L94*cfg_OT_P)/cfg_DAYS_M/cfg_HRS)</f>
        <v/>
      </c>
      <c r="Q94" s="111" t="str">
        <f aca="false">IF($B94="","",SUMIFS('الحركات الشهرية'!$G$6:$G$1005,'الحركات الشهرية'!$B$6:$B$1005,$B94,'الحركات الشهرية'!$A$6:$A$1005,$C$3))</f>
        <v/>
      </c>
      <c r="R94" s="111" t="str">
        <f aca="false">IF($B94="","",SUMIFS('الحركات الشهرية'!$H$6:$H$1005,'الحركات الشهرية'!$B$6:$B$1005,$B94,'الحركات الشهرية'!$A$6:$A$1005,$C$3))</f>
        <v/>
      </c>
      <c r="S94" s="111" t="str">
        <f aca="false">IF($B94="","",SUMIFS('سجل الإجازات والحالات'!$N$6:$N$505,'سجل الإجازات والحالات'!$B$6:$B$505,$B94,'سجل الإجازات والحالات'!$O$6:$O$505,$C$3))</f>
        <v/>
      </c>
      <c r="T94" s="152" t="str">
        <f aca="false">IF($B94="","",SUM(K94:N94)+SUM(P94:S94))</f>
        <v/>
      </c>
      <c r="U94" s="111" t="str">
        <f aca="false">IF($B94="","",الموظفون!$S94*IF(E94="سعودي",cfg_G_SE,cfg_G_NE)*G94/cfg_DAYS_M)</f>
        <v/>
      </c>
      <c r="V94" s="111" t="str">
        <f aca="false">IF($B94="","",SUMIFS('الحركات الشهرية'!$I$6:$I$1005,'الحركات الشهرية'!$B$6:$B$1005,$B94,'الحركات الشهرية'!$A$6:$A$1005,$C$3))</f>
        <v/>
      </c>
      <c r="W94" s="111" t="str">
        <f aca="false">IF($B94="","",SUMIFS('الحركات الشهرية'!$J$6:$J$1005,'الحركات الشهرية'!$B$6:$B$1005,$B94,'الحركات الشهرية'!$A$6:$A$1005,$C$3))</f>
        <v/>
      </c>
      <c r="X94" s="111" t="str">
        <f aca="false">IF($B94="","",SUM(U94:W94))</f>
        <v/>
      </c>
      <c r="Y94" s="153" t="str">
        <f aca="false">IF($B94="","",T94-X94)</f>
        <v/>
      </c>
      <c r="Z94" s="111" t="str">
        <f aca="false">IF($B94="","",الموظفون!$S94*IF(E94="سعودي",cfg_G_SR,cfg_G_NR)*G94/cfg_DAYS_M)</f>
        <v/>
      </c>
      <c r="AA94" s="111" t="str">
        <f aca="false">IF($B94="","",الموظفون!$Q94*(cfg_EOS_R1*(MIN(AH94,cfg_EOS_TH)-MIN(AI94,cfg_EOS_TH))+cfg_EOS_R2*(MAX(AH94-cfg_EOS_TH,0)-MAX(AI94-cfg_EOS_TH,0))))</f>
        <v/>
      </c>
      <c r="AB94" s="111" t="str">
        <f aca="false">IF($B94="","",IF(الموظفون!$T94&lt;&gt;"",الموظفون!$T94,IF(AH94&gt;=cfg_LV_TH,cfg_LV_D2,cfg_LV_D1))/cfg_DAYS_Y*AJ94*الموظفون!$R94/cfg_DAYS_M)</f>
        <v/>
      </c>
      <c r="AC94" s="111" t="str">
        <f aca="false">IF($B94="","",IF(AND(الموظفون!$U94="نعم",N(الموظفون!$W94)&gt;0),الموظفون!$V94/الموظفون!$W94*12/cfg_DAYS_Y*AJ94,0))</f>
        <v/>
      </c>
      <c r="AD94" s="111" t="str">
        <f aca="false">IF($B94="","",(IF(الموظفون!$X94&lt;&gt;"",الموظفون!$X94,IF(الموظفون!$E94="غير سعودي",cfg_IQ,0))+IF(الموظفون!$Y94&lt;&gt;"",الموظفون!$Y94,IF(الموظفون!$E94="غير سعودي",cfg_WP,0)))/12*G94/cfg_DAYS_M)</f>
        <v/>
      </c>
      <c r="AE94" s="111" t="str">
        <f aca="false">IF($B94="","",IF(الموظفون!$Z94&lt;&gt;"",الموظفون!$Z94,cfg_MED)/12*G94/cfg_DAYS_M)</f>
        <v/>
      </c>
      <c r="AF94" s="111" t="str">
        <f aca="false">IF($B94="","",N(الموظفون!$AA94)/12*G94/cfg_DAYS_M)</f>
        <v/>
      </c>
      <c r="AG94" s="154" t="str">
        <f aca="false">IF($B94="","",T94+SUM(Z94:AF94))</f>
        <v/>
      </c>
      <c r="AH94" s="155" t="str">
        <f aca="false">IF($B94="","",MAX(0,IF(OR(الموظفون!$AE94="",الموظفون!$AE94&gt;$F$3),$F$3,الموظفون!$AE94)-الموظفون!$H94+1-SUMIFS('سجل الإجازات والحالات'!$AP$6:$AP$505,'سجل الإجازات والحالات'!$B$6:$B$505,$B94))/cfg_DAYS_Y)</f>
        <v/>
      </c>
      <c r="AI94" s="155" t="str">
        <f aca="false">IF($B94="","",MAX(0,IF(OR(الموظفون!$AE94="",الموظفون!$AE94&gt;($E$3-1)),($E$3-1),الموظفون!$AE94)-الموظفون!$H94+1-SUMIFS('سجل الإجازات والحالات'!$AO$6:$AO$505,'سجل الإجازات والحالات'!$B$6:$B$505,$B94))/cfg_DAYS_Y)</f>
        <v/>
      </c>
      <c r="AJ94" s="65" t="str">
        <f aca="false">IF($B94="","",MAX(0,AK94-(SUMIFS('سجل الإجازات والحالات'!$AP$6:$AP$505,'سجل الإجازات والحالات'!$B$6:$B$505,$B94)-SUMIFS('سجل الإجازات والحالات'!$AO$6:$AO$505,'سجل الإجازات والحالات'!$B$6:$B$505,$B94))))</f>
        <v/>
      </c>
      <c r="AK94" s="65" t="str">
        <f aca="false">IF($B94="","",MAX(0,IF(OR(الموظفون!$AE94="",الموظفون!$AE94&gt;$F$3),$F$3,الموظفون!$AE94)-MAX($E$3,الموظفون!$H94)+1))</f>
        <v/>
      </c>
      <c r="AL94" s="151" t="str">
        <f aca="false">IF($B94="","",SUMIFS('سجل الإجازات والحالات'!$BB$6:$BB$505,'سجل الإجازات والحالات'!$B$6:$B$505,$B94)+SUMIFS('الحركات الشهرية'!$K$6:$K$1005,'الحركات الشهرية'!$B$6:$B$1005,$B94,'الحركات الشهرية'!$A$6:$A$1005,$C$3))</f>
        <v/>
      </c>
      <c r="AM94" s="111" t="str">
        <f aca="false">IF($B94="","",AL94*الموظفون!$R94/cfg_DAYS_M+S94)</f>
        <v/>
      </c>
      <c r="AN94" s="151" t="str">
        <f aca="false">IF($B94="","",SUMIFS('سجل الإجازات والحالات'!$AD$6:$AD$505,'سجل الإجازات والحالات'!$B$6:$B$505,$B94))</f>
        <v/>
      </c>
    </row>
    <row r="95" customFormat="false" ht="15" hidden="false" customHeight="false" outlineLevel="0" collapsed="false">
      <c r="A95" s="115" t="str">
        <f aca="false">IF($B95="","",الموظفون!$A95)</f>
        <v/>
      </c>
      <c r="B95" s="117" t="str">
        <f aca="false">IF(الموظفون!$B95="","",الموظفون!$B95)</f>
        <v/>
      </c>
      <c r="C95" s="117" t="str">
        <f aca="false">IF($B95="","",الموظفون!$C95)</f>
        <v/>
      </c>
      <c r="D95" s="117" t="str">
        <f aca="false">IF($B95="","",الموظفون!$F95)</f>
        <v/>
      </c>
      <c r="E95" s="117" t="str">
        <f aca="false">IF($B95="","",الموظفون!$E95)</f>
        <v/>
      </c>
      <c r="F95" s="117" t="str">
        <f aca="false">IF($B95="","",IF(AK95=0,IF(AND(الموظفون!$AE95&lt;&gt;"",الموظفون!$AE95&lt;$E$3),"✖ منتهي الخدمة","⏳ لم يباشر"),IF(S95&gt;0,"✈ راتب إجازة مقدم",IF(J95=0,"⛔ بدون راتب هذا الشهر",IF(I95&gt;0,"✈ خصم "&amp;ROUND(I95,2)&amp;" يوم بدون أجر",IF(AL95&gt;0,"🌴 إجازة سنوية "&amp;ROUND(AL95,2)&amp;" يوم",IF(H95&gt;0,"⚠ غياب "&amp;ROUND(H95,2)&amp;" يوم","✔ على رأس العمل")))))))</f>
        <v/>
      </c>
      <c r="G95" s="156" t="str">
        <f aca="false">IF($B95="","",IF(AK95&gt;=DAY($F$3),cfg_DAYS_M,MIN(AK95,cfg_DAYS_M)))</f>
        <v/>
      </c>
      <c r="H95" s="156" t="str">
        <f aca="false">IF($B95="","",SUMIFS('الحركات الشهرية'!$D$6:$D$1005,'الحركات الشهرية'!$B$6:$B$1005,$B95,'الحركات الشهرية'!$A$6:$A$1005,$C$3))</f>
        <v/>
      </c>
      <c r="I95" s="156" t="str">
        <f aca="false">IF($B95="","",MIN(G95,IF(AND(AK95&gt;0,AN95&gt;=AK95),G95,AN95)+SUMIFS('الحركات الشهرية'!$E$6:$E$1005,'الحركات الشهرية'!$B$6:$B$1005,$B95,'الحركات الشهرية'!$A$6:$A$1005,$C$3)))</f>
        <v/>
      </c>
      <c r="J95" s="156" t="str">
        <f aca="false">IF($B95="","",MAX(0,G95-H95-I95))</f>
        <v/>
      </c>
      <c r="K95" s="116" t="str">
        <f aca="false">IF($B95="","",الموظفون!$L95*$J95/cfg_DAYS_M)</f>
        <v/>
      </c>
      <c r="L95" s="116" t="str">
        <f aca="false">IF($B95="","",الموظفون!$M95*$J95/cfg_DAYS_M)</f>
        <v/>
      </c>
      <c r="M95" s="116" t="str">
        <f aca="false">IF($B95="","",الموظفون!$N95*$J95/cfg_DAYS_M)</f>
        <v/>
      </c>
      <c r="N95" s="116" t="str">
        <f aca="false">IF($B95="","",الموظفون!$O95*$J95/cfg_DAYS_M)</f>
        <v/>
      </c>
      <c r="O95" s="156" t="str">
        <f aca="false">IF($B95="","",SUMIFS('الحركات الشهرية'!$F$6:$F$1005,'الحركات الشهرية'!$B$6:$B$1005,$B95,'الحركات الشهرية'!$A$6:$A$1005,$C$3))</f>
        <v/>
      </c>
      <c r="P95" s="116" t="str">
        <f aca="false">IF($B95="","",O95*(الموظفون!$P95+الموظفون!$L95*cfg_OT_P)/cfg_DAYS_M/cfg_HRS)</f>
        <v/>
      </c>
      <c r="Q95" s="116" t="str">
        <f aca="false">IF($B95="","",SUMIFS('الحركات الشهرية'!$G$6:$G$1005,'الحركات الشهرية'!$B$6:$B$1005,$B95,'الحركات الشهرية'!$A$6:$A$1005,$C$3))</f>
        <v/>
      </c>
      <c r="R95" s="116" t="str">
        <f aca="false">IF($B95="","",SUMIFS('الحركات الشهرية'!$H$6:$H$1005,'الحركات الشهرية'!$B$6:$B$1005,$B95,'الحركات الشهرية'!$A$6:$A$1005,$C$3))</f>
        <v/>
      </c>
      <c r="S95" s="116" t="str">
        <f aca="false">IF($B95="","",SUMIFS('سجل الإجازات والحالات'!$N$6:$N$505,'سجل الإجازات والحالات'!$B$6:$B$505,$B95,'سجل الإجازات والحالات'!$O$6:$O$505,$C$3))</f>
        <v/>
      </c>
      <c r="T95" s="157" t="str">
        <f aca="false">IF($B95="","",SUM(K95:N95)+SUM(P95:S95))</f>
        <v/>
      </c>
      <c r="U95" s="116" t="str">
        <f aca="false">IF($B95="","",الموظفون!$S95*IF(E95="سعودي",cfg_G_SE,cfg_G_NE)*G95/cfg_DAYS_M)</f>
        <v/>
      </c>
      <c r="V95" s="116" t="str">
        <f aca="false">IF($B95="","",SUMIFS('الحركات الشهرية'!$I$6:$I$1005,'الحركات الشهرية'!$B$6:$B$1005,$B95,'الحركات الشهرية'!$A$6:$A$1005,$C$3))</f>
        <v/>
      </c>
      <c r="W95" s="116" t="str">
        <f aca="false">IF($B95="","",SUMIFS('الحركات الشهرية'!$J$6:$J$1005,'الحركات الشهرية'!$B$6:$B$1005,$B95,'الحركات الشهرية'!$A$6:$A$1005,$C$3))</f>
        <v/>
      </c>
      <c r="X95" s="116" t="str">
        <f aca="false">IF($B95="","",SUM(U95:W95))</f>
        <v/>
      </c>
      <c r="Y95" s="158" t="str">
        <f aca="false">IF($B95="","",T95-X95)</f>
        <v/>
      </c>
      <c r="Z95" s="116" t="str">
        <f aca="false">IF($B95="","",الموظفون!$S95*IF(E95="سعودي",cfg_G_SR,cfg_G_NR)*G95/cfg_DAYS_M)</f>
        <v/>
      </c>
      <c r="AA95" s="116" t="str">
        <f aca="false">IF($B95="","",الموظفون!$Q95*(cfg_EOS_R1*(MIN(AH95,cfg_EOS_TH)-MIN(AI95,cfg_EOS_TH))+cfg_EOS_R2*(MAX(AH95-cfg_EOS_TH,0)-MAX(AI95-cfg_EOS_TH,0))))</f>
        <v/>
      </c>
      <c r="AB95" s="116" t="str">
        <f aca="false">IF($B95="","",IF(الموظفون!$T95&lt;&gt;"",الموظفون!$T95,IF(AH95&gt;=cfg_LV_TH,cfg_LV_D2,cfg_LV_D1))/cfg_DAYS_Y*AJ95*الموظفون!$R95/cfg_DAYS_M)</f>
        <v/>
      </c>
      <c r="AC95" s="116" t="str">
        <f aca="false">IF($B95="","",IF(AND(الموظفون!$U95="نعم",N(الموظفون!$W95)&gt;0),الموظفون!$V95/الموظفون!$W95*12/cfg_DAYS_Y*AJ95,0))</f>
        <v/>
      </c>
      <c r="AD95" s="116" t="str">
        <f aca="false">IF($B95="","",(IF(الموظفون!$X95&lt;&gt;"",الموظفون!$X95,IF(الموظفون!$E95="غير سعودي",cfg_IQ,0))+IF(الموظفون!$Y95&lt;&gt;"",الموظفون!$Y95,IF(الموظفون!$E95="غير سعودي",cfg_WP,0)))/12*G95/cfg_DAYS_M)</f>
        <v/>
      </c>
      <c r="AE95" s="116" t="str">
        <f aca="false">IF($B95="","",IF(الموظفون!$Z95&lt;&gt;"",الموظفون!$Z95,cfg_MED)/12*G95/cfg_DAYS_M)</f>
        <v/>
      </c>
      <c r="AF95" s="116" t="str">
        <f aca="false">IF($B95="","",N(الموظفون!$AA95)/12*G95/cfg_DAYS_M)</f>
        <v/>
      </c>
      <c r="AG95" s="159" t="str">
        <f aca="false">IF($B95="","",T95+SUM(Z95:AF95))</f>
        <v/>
      </c>
      <c r="AH95" s="160" t="str">
        <f aca="false">IF($B95="","",MAX(0,IF(OR(الموظفون!$AE95="",الموظفون!$AE95&gt;$F$3),$F$3,الموظفون!$AE95)-الموظفون!$H95+1-SUMIFS('سجل الإجازات والحالات'!$AP$6:$AP$505,'سجل الإجازات والحالات'!$B$6:$B$505,$B95))/cfg_DAYS_Y)</f>
        <v/>
      </c>
      <c r="AI95" s="160" t="str">
        <f aca="false">IF($B95="","",MAX(0,IF(OR(الموظفون!$AE95="",الموظفون!$AE95&gt;($E$3-1)),($E$3-1),الموظفون!$AE95)-الموظفون!$H95+1-SUMIFS('سجل الإجازات والحالات'!$AO$6:$AO$505,'سجل الإجازات والحالات'!$B$6:$B$505,$B95))/cfg_DAYS_Y)</f>
        <v/>
      </c>
      <c r="AJ95" s="133" t="str">
        <f aca="false">IF($B95="","",MAX(0,AK95-(SUMIFS('سجل الإجازات والحالات'!$AP$6:$AP$505,'سجل الإجازات والحالات'!$B$6:$B$505,$B95)-SUMIFS('سجل الإجازات والحالات'!$AO$6:$AO$505,'سجل الإجازات والحالات'!$B$6:$B$505,$B95))))</f>
        <v/>
      </c>
      <c r="AK95" s="133" t="str">
        <f aca="false">IF($B95="","",MAX(0,IF(OR(الموظفون!$AE95="",الموظفون!$AE95&gt;$F$3),$F$3,الموظفون!$AE95)-MAX($E$3,الموظفون!$H95)+1))</f>
        <v/>
      </c>
      <c r="AL95" s="156" t="str">
        <f aca="false">IF($B95="","",SUMIFS('سجل الإجازات والحالات'!$BB$6:$BB$505,'سجل الإجازات والحالات'!$B$6:$B$505,$B95)+SUMIFS('الحركات الشهرية'!$K$6:$K$1005,'الحركات الشهرية'!$B$6:$B$1005,$B95,'الحركات الشهرية'!$A$6:$A$1005,$C$3))</f>
        <v/>
      </c>
      <c r="AM95" s="116" t="str">
        <f aca="false">IF($B95="","",AL95*الموظفون!$R95/cfg_DAYS_M+S95)</f>
        <v/>
      </c>
      <c r="AN95" s="156" t="str">
        <f aca="false">IF($B95="","",SUMIFS('سجل الإجازات والحالات'!$AD$6:$AD$505,'سجل الإجازات والحالات'!$B$6:$B$505,$B95))</f>
        <v/>
      </c>
    </row>
    <row r="96" customFormat="false" ht="15" hidden="false" customHeight="false" outlineLevel="0" collapsed="false">
      <c r="A96" s="106" t="str">
        <f aca="false">IF($B96="","",الموظفون!$A96)</f>
        <v/>
      </c>
      <c r="B96" s="114" t="str">
        <f aca="false">IF(الموظفون!$B96="","",الموظفون!$B96)</f>
        <v/>
      </c>
      <c r="C96" s="114" t="str">
        <f aca="false">IF($B96="","",الموظفون!$C96)</f>
        <v/>
      </c>
      <c r="D96" s="114" t="str">
        <f aca="false">IF($B96="","",الموظفون!$F96)</f>
        <v/>
      </c>
      <c r="E96" s="114" t="str">
        <f aca="false">IF($B96="","",الموظفون!$E96)</f>
        <v/>
      </c>
      <c r="F96" s="114" t="str">
        <f aca="false">IF($B96="","",IF(AK96=0,IF(AND(الموظفون!$AE96&lt;&gt;"",الموظفون!$AE96&lt;$E$3),"✖ منتهي الخدمة","⏳ لم يباشر"),IF(S96&gt;0,"✈ راتب إجازة مقدم",IF(J96=0,"⛔ بدون راتب هذا الشهر",IF(I96&gt;0,"✈ خصم "&amp;ROUND(I96,2)&amp;" يوم بدون أجر",IF(AL96&gt;0,"🌴 إجازة سنوية "&amp;ROUND(AL96,2)&amp;" يوم",IF(H96&gt;0,"⚠ غياب "&amp;ROUND(H96,2)&amp;" يوم","✔ على رأس العمل")))))))</f>
        <v/>
      </c>
      <c r="G96" s="151" t="str">
        <f aca="false">IF($B96="","",IF(AK96&gt;=DAY($F$3),cfg_DAYS_M,MIN(AK96,cfg_DAYS_M)))</f>
        <v/>
      </c>
      <c r="H96" s="151" t="str">
        <f aca="false">IF($B96="","",SUMIFS('الحركات الشهرية'!$D$6:$D$1005,'الحركات الشهرية'!$B$6:$B$1005,$B96,'الحركات الشهرية'!$A$6:$A$1005,$C$3))</f>
        <v/>
      </c>
      <c r="I96" s="151" t="str">
        <f aca="false">IF($B96="","",MIN(G96,IF(AND(AK96&gt;0,AN96&gt;=AK96),G96,AN96)+SUMIFS('الحركات الشهرية'!$E$6:$E$1005,'الحركات الشهرية'!$B$6:$B$1005,$B96,'الحركات الشهرية'!$A$6:$A$1005,$C$3)))</f>
        <v/>
      </c>
      <c r="J96" s="151" t="str">
        <f aca="false">IF($B96="","",MAX(0,G96-H96-I96))</f>
        <v/>
      </c>
      <c r="K96" s="111" t="str">
        <f aca="false">IF($B96="","",الموظفون!$L96*$J96/cfg_DAYS_M)</f>
        <v/>
      </c>
      <c r="L96" s="111" t="str">
        <f aca="false">IF($B96="","",الموظفون!$M96*$J96/cfg_DAYS_M)</f>
        <v/>
      </c>
      <c r="M96" s="111" t="str">
        <f aca="false">IF($B96="","",الموظفون!$N96*$J96/cfg_DAYS_M)</f>
        <v/>
      </c>
      <c r="N96" s="111" t="str">
        <f aca="false">IF($B96="","",الموظفون!$O96*$J96/cfg_DAYS_M)</f>
        <v/>
      </c>
      <c r="O96" s="151" t="str">
        <f aca="false">IF($B96="","",SUMIFS('الحركات الشهرية'!$F$6:$F$1005,'الحركات الشهرية'!$B$6:$B$1005,$B96,'الحركات الشهرية'!$A$6:$A$1005,$C$3))</f>
        <v/>
      </c>
      <c r="P96" s="111" t="str">
        <f aca="false">IF($B96="","",O96*(الموظفون!$P96+الموظفون!$L96*cfg_OT_P)/cfg_DAYS_M/cfg_HRS)</f>
        <v/>
      </c>
      <c r="Q96" s="111" t="str">
        <f aca="false">IF($B96="","",SUMIFS('الحركات الشهرية'!$G$6:$G$1005,'الحركات الشهرية'!$B$6:$B$1005,$B96,'الحركات الشهرية'!$A$6:$A$1005,$C$3))</f>
        <v/>
      </c>
      <c r="R96" s="111" t="str">
        <f aca="false">IF($B96="","",SUMIFS('الحركات الشهرية'!$H$6:$H$1005,'الحركات الشهرية'!$B$6:$B$1005,$B96,'الحركات الشهرية'!$A$6:$A$1005,$C$3))</f>
        <v/>
      </c>
      <c r="S96" s="111" t="str">
        <f aca="false">IF($B96="","",SUMIFS('سجل الإجازات والحالات'!$N$6:$N$505,'سجل الإجازات والحالات'!$B$6:$B$505,$B96,'سجل الإجازات والحالات'!$O$6:$O$505,$C$3))</f>
        <v/>
      </c>
      <c r="T96" s="152" t="str">
        <f aca="false">IF($B96="","",SUM(K96:N96)+SUM(P96:S96))</f>
        <v/>
      </c>
      <c r="U96" s="111" t="str">
        <f aca="false">IF($B96="","",الموظفون!$S96*IF(E96="سعودي",cfg_G_SE,cfg_G_NE)*G96/cfg_DAYS_M)</f>
        <v/>
      </c>
      <c r="V96" s="111" t="str">
        <f aca="false">IF($B96="","",SUMIFS('الحركات الشهرية'!$I$6:$I$1005,'الحركات الشهرية'!$B$6:$B$1005,$B96,'الحركات الشهرية'!$A$6:$A$1005,$C$3))</f>
        <v/>
      </c>
      <c r="W96" s="111" t="str">
        <f aca="false">IF($B96="","",SUMIFS('الحركات الشهرية'!$J$6:$J$1005,'الحركات الشهرية'!$B$6:$B$1005,$B96,'الحركات الشهرية'!$A$6:$A$1005,$C$3))</f>
        <v/>
      </c>
      <c r="X96" s="111" t="str">
        <f aca="false">IF($B96="","",SUM(U96:W96))</f>
        <v/>
      </c>
      <c r="Y96" s="153" t="str">
        <f aca="false">IF($B96="","",T96-X96)</f>
        <v/>
      </c>
      <c r="Z96" s="111" t="str">
        <f aca="false">IF($B96="","",الموظفون!$S96*IF(E96="سعودي",cfg_G_SR,cfg_G_NR)*G96/cfg_DAYS_M)</f>
        <v/>
      </c>
      <c r="AA96" s="111" t="str">
        <f aca="false">IF($B96="","",الموظفون!$Q96*(cfg_EOS_R1*(MIN(AH96,cfg_EOS_TH)-MIN(AI96,cfg_EOS_TH))+cfg_EOS_R2*(MAX(AH96-cfg_EOS_TH,0)-MAX(AI96-cfg_EOS_TH,0))))</f>
        <v/>
      </c>
      <c r="AB96" s="111" t="str">
        <f aca="false">IF($B96="","",IF(الموظفون!$T96&lt;&gt;"",الموظفون!$T96,IF(AH96&gt;=cfg_LV_TH,cfg_LV_D2,cfg_LV_D1))/cfg_DAYS_Y*AJ96*الموظفون!$R96/cfg_DAYS_M)</f>
        <v/>
      </c>
      <c r="AC96" s="111" t="str">
        <f aca="false">IF($B96="","",IF(AND(الموظفون!$U96="نعم",N(الموظفون!$W96)&gt;0),الموظفون!$V96/الموظفون!$W96*12/cfg_DAYS_Y*AJ96,0))</f>
        <v/>
      </c>
      <c r="AD96" s="111" t="str">
        <f aca="false">IF($B96="","",(IF(الموظفون!$X96&lt;&gt;"",الموظفون!$X96,IF(الموظفون!$E96="غير سعودي",cfg_IQ,0))+IF(الموظفون!$Y96&lt;&gt;"",الموظفون!$Y96,IF(الموظفون!$E96="غير سعودي",cfg_WP,0)))/12*G96/cfg_DAYS_M)</f>
        <v/>
      </c>
      <c r="AE96" s="111" t="str">
        <f aca="false">IF($B96="","",IF(الموظفون!$Z96&lt;&gt;"",الموظفون!$Z96,cfg_MED)/12*G96/cfg_DAYS_M)</f>
        <v/>
      </c>
      <c r="AF96" s="111" t="str">
        <f aca="false">IF($B96="","",N(الموظفون!$AA96)/12*G96/cfg_DAYS_M)</f>
        <v/>
      </c>
      <c r="AG96" s="154" t="str">
        <f aca="false">IF($B96="","",T96+SUM(Z96:AF96))</f>
        <v/>
      </c>
      <c r="AH96" s="155" t="str">
        <f aca="false">IF($B96="","",MAX(0,IF(OR(الموظفون!$AE96="",الموظفون!$AE96&gt;$F$3),$F$3,الموظفون!$AE96)-الموظفون!$H96+1-SUMIFS('سجل الإجازات والحالات'!$AP$6:$AP$505,'سجل الإجازات والحالات'!$B$6:$B$505,$B96))/cfg_DAYS_Y)</f>
        <v/>
      </c>
      <c r="AI96" s="155" t="str">
        <f aca="false">IF($B96="","",MAX(0,IF(OR(الموظفون!$AE96="",الموظفون!$AE96&gt;($E$3-1)),($E$3-1),الموظفون!$AE96)-الموظفون!$H96+1-SUMIFS('سجل الإجازات والحالات'!$AO$6:$AO$505,'سجل الإجازات والحالات'!$B$6:$B$505,$B96))/cfg_DAYS_Y)</f>
        <v/>
      </c>
      <c r="AJ96" s="65" t="str">
        <f aca="false">IF($B96="","",MAX(0,AK96-(SUMIFS('سجل الإجازات والحالات'!$AP$6:$AP$505,'سجل الإجازات والحالات'!$B$6:$B$505,$B96)-SUMIFS('سجل الإجازات والحالات'!$AO$6:$AO$505,'سجل الإجازات والحالات'!$B$6:$B$505,$B96))))</f>
        <v/>
      </c>
      <c r="AK96" s="65" t="str">
        <f aca="false">IF($B96="","",MAX(0,IF(OR(الموظفون!$AE96="",الموظفون!$AE96&gt;$F$3),$F$3,الموظفون!$AE96)-MAX($E$3,الموظفون!$H96)+1))</f>
        <v/>
      </c>
      <c r="AL96" s="151" t="str">
        <f aca="false">IF($B96="","",SUMIFS('سجل الإجازات والحالات'!$BB$6:$BB$505,'سجل الإجازات والحالات'!$B$6:$B$505,$B96)+SUMIFS('الحركات الشهرية'!$K$6:$K$1005,'الحركات الشهرية'!$B$6:$B$1005,$B96,'الحركات الشهرية'!$A$6:$A$1005,$C$3))</f>
        <v/>
      </c>
      <c r="AM96" s="111" t="str">
        <f aca="false">IF($B96="","",AL96*الموظفون!$R96/cfg_DAYS_M+S96)</f>
        <v/>
      </c>
      <c r="AN96" s="151" t="str">
        <f aca="false">IF($B96="","",SUMIFS('سجل الإجازات والحالات'!$AD$6:$AD$505,'سجل الإجازات والحالات'!$B$6:$B$505,$B96))</f>
        <v/>
      </c>
    </row>
    <row r="97" customFormat="false" ht="15" hidden="false" customHeight="false" outlineLevel="0" collapsed="false">
      <c r="A97" s="115" t="str">
        <f aca="false">IF($B97="","",الموظفون!$A97)</f>
        <v/>
      </c>
      <c r="B97" s="117" t="str">
        <f aca="false">IF(الموظفون!$B97="","",الموظفون!$B97)</f>
        <v/>
      </c>
      <c r="C97" s="117" t="str">
        <f aca="false">IF($B97="","",الموظفون!$C97)</f>
        <v/>
      </c>
      <c r="D97" s="117" t="str">
        <f aca="false">IF($B97="","",الموظفون!$F97)</f>
        <v/>
      </c>
      <c r="E97" s="117" t="str">
        <f aca="false">IF($B97="","",الموظفون!$E97)</f>
        <v/>
      </c>
      <c r="F97" s="117" t="str">
        <f aca="false">IF($B97="","",IF(AK97=0,IF(AND(الموظفون!$AE97&lt;&gt;"",الموظفون!$AE97&lt;$E$3),"✖ منتهي الخدمة","⏳ لم يباشر"),IF(S97&gt;0,"✈ راتب إجازة مقدم",IF(J97=0,"⛔ بدون راتب هذا الشهر",IF(I97&gt;0,"✈ خصم "&amp;ROUND(I97,2)&amp;" يوم بدون أجر",IF(AL97&gt;0,"🌴 إجازة سنوية "&amp;ROUND(AL97,2)&amp;" يوم",IF(H97&gt;0,"⚠ غياب "&amp;ROUND(H97,2)&amp;" يوم","✔ على رأس العمل")))))))</f>
        <v/>
      </c>
      <c r="G97" s="156" t="str">
        <f aca="false">IF($B97="","",IF(AK97&gt;=DAY($F$3),cfg_DAYS_M,MIN(AK97,cfg_DAYS_M)))</f>
        <v/>
      </c>
      <c r="H97" s="156" t="str">
        <f aca="false">IF($B97="","",SUMIFS('الحركات الشهرية'!$D$6:$D$1005,'الحركات الشهرية'!$B$6:$B$1005,$B97,'الحركات الشهرية'!$A$6:$A$1005,$C$3))</f>
        <v/>
      </c>
      <c r="I97" s="156" t="str">
        <f aca="false">IF($B97="","",MIN(G97,IF(AND(AK97&gt;0,AN97&gt;=AK97),G97,AN97)+SUMIFS('الحركات الشهرية'!$E$6:$E$1005,'الحركات الشهرية'!$B$6:$B$1005,$B97,'الحركات الشهرية'!$A$6:$A$1005,$C$3)))</f>
        <v/>
      </c>
      <c r="J97" s="156" t="str">
        <f aca="false">IF($B97="","",MAX(0,G97-H97-I97))</f>
        <v/>
      </c>
      <c r="K97" s="116" t="str">
        <f aca="false">IF($B97="","",الموظفون!$L97*$J97/cfg_DAYS_M)</f>
        <v/>
      </c>
      <c r="L97" s="116" t="str">
        <f aca="false">IF($B97="","",الموظفون!$M97*$J97/cfg_DAYS_M)</f>
        <v/>
      </c>
      <c r="M97" s="116" t="str">
        <f aca="false">IF($B97="","",الموظفون!$N97*$J97/cfg_DAYS_M)</f>
        <v/>
      </c>
      <c r="N97" s="116" t="str">
        <f aca="false">IF($B97="","",الموظفون!$O97*$J97/cfg_DAYS_M)</f>
        <v/>
      </c>
      <c r="O97" s="156" t="str">
        <f aca="false">IF($B97="","",SUMIFS('الحركات الشهرية'!$F$6:$F$1005,'الحركات الشهرية'!$B$6:$B$1005,$B97,'الحركات الشهرية'!$A$6:$A$1005,$C$3))</f>
        <v/>
      </c>
      <c r="P97" s="116" t="str">
        <f aca="false">IF($B97="","",O97*(الموظفون!$P97+الموظفون!$L97*cfg_OT_P)/cfg_DAYS_M/cfg_HRS)</f>
        <v/>
      </c>
      <c r="Q97" s="116" t="str">
        <f aca="false">IF($B97="","",SUMIFS('الحركات الشهرية'!$G$6:$G$1005,'الحركات الشهرية'!$B$6:$B$1005,$B97,'الحركات الشهرية'!$A$6:$A$1005,$C$3))</f>
        <v/>
      </c>
      <c r="R97" s="116" t="str">
        <f aca="false">IF($B97="","",SUMIFS('الحركات الشهرية'!$H$6:$H$1005,'الحركات الشهرية'!$B$6:$B$1005,$B97,'الحركات الشهرية'!$A$6:$A$1005,$C$3))</f>
        <v/>
      </c>
      <c r="S97" s="116" t="str">
        <f aca="false">IF($B97="","",SUMIFS('سجل الإجازات والحالات'!$N$6:$N$505,'سجل الإجازات والحالات'!$B$6:$B$505,$B97,'سجل الإجازات والحالات'!$O$6:$O$505,$C$3))</f>
        <v/>
      </c>
      <c r="T97" s="157" t="str">
        <f aca="false">IF($B97="","",SUM(K97:N97)+SUM(P97:S97))</f>
        <v/>
      </c>
      <c r="U97" s="116" t="str">
        <f aca="false">IF($B97="","",الموظفون!$S97*IF(E97="سعودي",cfg_G_SE,cfg_G_NE)*G97/cfg_DAYS_M)</f>
        <v/>
      </c>
      <c r="V97" s="116" t="str">
        <f aca="false">IF($B97="","",SUMIFS('الحركات الشهرية'!$I$6:$I$1005,'الحركات الشهرية'!$B$6:$B$1005,$B97,'الحركات الشهرية'!$A$6:$A$1005,$C$3))</f>
        <v/>
      </c>
      <c r="W97" s="116" t="str">
        <f aca="false">IF($B97="","",SUMIFS('الحركات الشهرية'!$J$6:$J$1005,'الحركات الشهرية'!$B$6:$B$1005,$B97,'الحركات الشهرية'!$A$6:$A$1005,$C$3))</f>
        <v/>
      </c>
      <c r="X97" s="116" t="str">
        <f aca="false">IF($B97="","",SUM(U97:W97))</f>
        <v/>
      </c>
      <c r="Y97" s="158" t="str">
        <f aca="false">IF($B97="","",T97-X97)</f>
        <v/>
      </c>
      <c r="Z97" s="116" t="str">
        <f aca="false">IF($B97="","",الموظفون!$S97*IF(E97="سعودي",cfg_G_SR,cfg_G_NR)*G97/cfg_DAYS_M)</f>
        <v/>
      </c>
      <c r="AA97" s="116" t="str">
        <f aca="false">IF($B97="","",الموظفون!$Q97*(cfg_EOS_R1*(MIN(AH97,cfg_EOS_TH)-MIN(AI97,cfg_EOS_TH))+cfg_EOS_R2*(MAX(AH97-cfg_EOS_TH,0)-MAX(AI97-cfg_EOS_TH,0))))</f>
        <v/>
      </c>
      <c r="AB97" s="116" t="str">
        <f aca="false">IF($B97="","",IF(الموظفون!$T97&lt;&gt;"",الموظفون!$T97,IF(AH97&gt;=cfg_LV_TH,cfg_LV_D2,cfg_LV_D1))/cfg_DAYS_Y*AJ97*الموظفون!$R97/cfg_DAYS_M)</f>
        <v/>
      </c>
      <c r="AC97" s="116" t="str">
        <f aca="false">IF($B97="","",IF(AND(الموظفون!$U97="نعم",N(الموظفون!$W97)&gt;0),الموظفون!$V97/الموظفون!$W97*12/cfg_DAYS_Y*AJ97,0))</f>
        <v/>
      </c>
      <c r="AD97" s="116" t="str">
        <f aca="false">IF($B97="","",(IF(الموظفون!$X97&lt;&gt;"",الموظفون!$X97,IF(الموظفون!$E97="غير سعودي",cfg_IQ,0))+IF(الموظفون!$Y97&lt;&gt;"",الموظفون!$Y97,IF(الموظفون!$E97="غير سعودي",cfg_WP,0)))/12*G97/cfg_DAYS_M)</f>
        <v/>
      </c>
      <c r="AE97" s="116" t="str">
        <f aca="false">IF($B97="","",IF(الموظفون!$Z97&lt;&gt;"",الموظفون!$Z97,cfg_MED)/12*G97/cfg_DAYS_M)</f>
        <v/>
      </c>
      <c r="AF97" s="116" t="str">
        <f aca="false">IF($B97="","",N(الموظفون!$AA97)/12*G97/cfg_DAYS_M)</f>
        <v/>
      </c>
      <c r="AG97" s="159" t="str">
        <f aca="false">IF($B97="","",T97+SUM(Z97:AF97))</f>
        <v/>
      </c>
      <c r="AH97" s="160" t="str">
        <f aca="false">IF($B97="","",MAX(0,IF(OR(الموظفون!$AE97="",الموظفون!$AE97&gt;$F$3),$F$3,الموظفون!$AE97)-الموظفون!$H97+1-SUMIFS('سجل الإجازات والحالات'!$AP$6:$AP$505,'سجل الإجازات والحالات'!$B$6:$B$505,$B97))/cfg_DAYS_Y)</f>
        <v/>
      </c>
      <c r="AI97" s="160" t="str">
        <f aca="false">IF($B97="","",MAX(0,IF(OR(الموظفون!$AE97="",الموظفون!$AE97&gt;($E$3-1)),($E$3-1),الموظفون!$AE97)-الموظفون!$H97+1-SUMIFS('سجل الإجازات والحالات'!$AO$6:$AO$505,'سجل الإجازات والحالات'!$B$6:$B$505,$B97))/cfg_DAYS_Y)</f>
        <v/>
      </c>
      <c r="AJ97" s="133" t="str">
        <f aca="false">IF($B97="","",MAX(0,AK97-(SUMIFS('سجل الإجازات والحالات'!$AP$6:$AP$505,'سجل الإجازات والحالات'!$B$6:$B$505,$B97)-SUMIFS('سجل الإجازات والحالات'!$AO$6:$AO$505,'سجل الإجازات والحالات'!$B$6:$B$505,$B97))))</f>
        <v/>
      </c>
      <c r="AK97" s="133" t="str">
        <f aca="false">IF($B97="","",MAX(0,IF(OR(الموظفون!$AE97="",الموظفون!$AE97&gt;$F$3),$F$3,الموظفون!$AE97)-MAX($E$3,الموظفون!$H97)+1))</f>
        <v/>
      </c>
      <c r="AL97" s="156" t="str">
        <f aca="false">IF($B97="","",SUMIFS('سجل الإجازات والحالات'!$BB$6:$BB$505,'سجل الإجازات والحالات'!$B$6:$B$505,$B97)+SUMIFS('الحركات الشهرية'!$K$6:$K$1005,'الحركات الشهرية'!$B$6:$B$1005,$B97,'الحركات الشهرية'!$A$6:$A$1005,$C$3))</f>
        <v/>
      </c>
      <c r="AM97" s="116" t="str">
        <f aca="false">IF($B97="","",AL97*الموظفون!$R97/cfg_DAYS_M+S97)</f>
        <v/>
      </c>
      <c r="AN97" s="156" t="str">
        <f aca="false">IF($B97="","",SUMIFS('سجل الإجازات والحالات'!$AD$6:$AD$505,'سجل الإجازات والحالات'!$B$6:$B$505,$B97))</f>
        <v/>
      </c>
    </row>
    <row r="98" customFormat="false" ht="15" hidden="false" customHeight="false" outlineLevel="0" collapsed="false">
      <c r="A98" s="106" t="str">
        <f aca="false">IF($B98="","",الموظفون!$A98)</f>
        <v/>
      </c>
      <c r="B98" s="114" t="str">
        <f aca="false">IF(الموظفون!$B98="","",الموظفون!$B98)</f>
        <v/>
      </c>
      <c r="C98" s="114" t="str">
        <f aca="false">IF($B98="","",الموظفون!$C98)</f>
        <v/>
      </c>
      <c r="D98" s="114" t="str">
        <f aca="false">IF($B98="","",الموظفون!$F98)</f>
        <v/>
      </c>
      <c r="E98" s="114" t="str">
        <f aca="false">IF($B98="","",الموظفون!$E98)</f>
        <v/>
      </c>
      <c r="F98" s="114" t="str">
        <f aca="false">IF($B98="","",IF(AK98=0,IF(AND(الموظفون!$AE98&lt;&gt;"",الموظفون!$AE98&lt;$E$3),"✖ منتهي الخدمة","⏳ لم يباشر"),IF(S98&gt;0,"✈ راتب إجازة مقدم",IF(J98=0,"⛔ بدون راتب هذا الشهر",IF(I98&gt;0,"✈ خصم "&amp;ROUND(I98,2)&amp;" يوم بدون أجر",IF(AL98&gt;0,"🌴 إجازة سنوية "&amp;ROUND(AL98,2)&amp;" يوم",IF(H98&gt;0,"⚠ غياب "&amp;ROUND(H98,2)&amp;" يوم","✔ على رأس العمل")))))))</f>
        <v/>
      </c>
      <c r="G98" s="151" t="str">
        <f aca="false">IF($B98="","",IF(AK98&gt;=DAY($F$3),cfg_DAYS_M,MIN(AK98,cfg_DAYS_M)))</f>
        <v/>
      </c>
      <c r="H98" s="151" t="str">
        <f aca="false">IF($B98="","",SUMIFS('الحركات الشهرية'!$D$6:$D$1005,'الحركات الشهرية'!$B$6:$B$1005,$B98,'الحركات الشهرية'!$A$6:$A$1005,$C$3))</f>
        <v/>
      </c>
      <c r="I98" s="151" t="str">
        <f aca="false">IF($B98="","",MIN(G98,IF(AND(AK98&gt;0,AN98&gt;=AK98),G98,AN98)+SUMIFS('الحركات الشهرية'!$E$6:$E$1005,'الحركات الشهرية'!$B$6:$B$1005,$B98,'الحركات الشهرية'!$A$6:$A$1005,$C$3)))</f>
        <v/>
      </c>
      <c r="J98" s="151" t="str">
        <f aca="false">IF($B98="","",MAX(0,G98-H98-I98))</f>
        <v/>
      </c>
      <c r="K98" s="111" t="str">
        <f aca="false">IF($B98="","",الموظفون!$L98*$J98/cfg_DAYS_M)</f>
        <v/>
      </c>
      <c r="L98" s="111" t="str">
        <f aca="false">IF($B98="","",الموظفون!$M98*$J98/cfg_DAYS_M)</f>
        <v/>
      </c>
      <c r="M98" s="111" t="str">
        <f aca="false">IF($B98="","",الموظفون!$N98*$J98/cfg_DAYS_M)</f>
        <v/>
      </c>
      <c r="N98" s="111" t="str">
        <f aca="false">IF($B98="","",الموظفون!$O98*$J98/cfg_DAYS_M)</f>
        <v/>
      </c>
      <c r="O98" s="151" t="str">
        <f aca="false">IF($B98="","",SUMIFS('الحركات الشهرية'!$F$6:$F$1005,'الحركات الشهرية'!$B$6:$B$1005,$B98,'الحركات الشهرية'!$A$6:$A$1005,$C$3))</f>
        <v/>
      </c>
      <c r="P98" s="111" t="str">
        <f aca="false">IF($B98="","",O98*(الموظفون!$P98+الموظفون!$L98*cfg_OT_P)/cfg_DAYS_M/cfg_HRS)</f>
        <v/>
      </c>
      <c r="Q98" s="111" t="str">
        <f aca="false">IF($B98="","",SUMIFS('الحركات الشهرية'!$G$6:$G$1005,'الحركات الشهرية'!$B$6:$B$1005,$B98,'الحركات الشهرية'!$A$6:$A$1005,$C$3))</f>
        <v/>
      </c>
      <c r="R98" s="111" t="str">
        <f aca="false">IF($B98="","",SUMIFS('الحركات الشهرية'!$H$6:$H$1005,'الحركات الشهرية'!$B$6:$B$1005,$B98,'الحركات الشهرية'!$A$6:$A$1005,$C$3))</f>
        <v/>
      </c>
      <c r="S98" s="111" t="str">
        <f aca="false">IF($B98="","",SUMIFS('سجل الإجازات والحالات'!$N$6:$N$505,'سجل الإجازات والحالات'!$B$6:$B$505,$B98,'سجل الإجازات والحالات'!$O$6:$O$505,$C$3))</f>
        <v/>
      </c>
      <c r="T98" s="152" t="str">
        <f aca="false">IF($B98="","",SUM(K98:N98)+SUM(P98:S98))</f>
        <v/>
      </c>
      <c r="U98" s="111" t="str">
        <f aca="false">IF($B98="","",الموظفون!$S98*IF(E98="سعودي",cfg_G_SE,cfg_G_NE)*G98/cfg_DAYS_M)</f>
        <v/>
      </c>
      <c r="V98" s="111" t="str">
        <f aca="false">IF($B98="","",SUMIFS('الحركات الشهرية'!$I$6:$I$1005,'الحركات الشهرية'!$B$6:$B$1005,$B98,'الحركات الشهرية'!$A$6:$A$1005,$C$3))</f>
        <v/>
      </c>
      <c r="W98" s="111" t="str">
        <f aca="false">IF($B98="","",SUMIFS('الحركات الشهرية'!$J$6:$J$1005,'الحركات الشهرية'!$B$6:$B$1005,$B98,'الحركات الشهرية'!$A$6:$A$1005,$C$3))</f>
        <v/>
      </c>
      <c r="X98" s="111" t="str">
        <f aca="false">IF($B98="","",SUM(U98:W98))</f>
        <v/>
      </c>
      <c r="Y98" s="153" t="str">
        <f aca="false">IF($B98="","",T98-X98)</f>
        <v/>
      </c>
      <c r="Z98" s="111" t="str">
        <f aca="false">IF($B98="","",الموظفون!$S98*IF(E98="سعودي",cfg_G_SR,cfg_G_NR)*G98/cfg_DAYS_M)</f>
        <v/>
      </c>
      <c r="AA98" s="111" t="str">
        <f aca="false">IF($B98="","",الموظفون!$Q98*(cfg_EOS_R1*(MIN(AH98,cfg_EOS_TH)-MIN(AI98,cfg_EOS_TH))+cfg_EOS_R2*(MAX(AH98-cfg_EOS_TH,0)-MAX(AI98-cfg_EOS_TH,0))))</f>
        <v/>
      </c>
      <c r="AB98" s="111" t="str">
        <f aca="false">IF($B98="","",IF(الموظفون!$T98&lt;&gt;"",الموظفون!$T98,IF(AH98&gt;=cfg_LV_TH,cfg_LV_D2,cfg_LV_D1))/cfg_DAYS_Y*AJ98*الموظفون!$R98/cfg_DAYS_M)</f>
        <v/>
      </c>
      <c r="AC98" s="111" t="str">
        <f aca="false">IF($B98="","",IF(AND(الموظفون!$U98="نعم",N(الموظفون!$W98)&gt;0),الموظفون!$V98/الموظفون!$W98*12/cfg_DAYS_Y*AJ98,0))</f>
        <v/>
      </c>
      <c r="AD98" s="111" t="str">
        <f aca="false">IF($B98="","",(IF(الموظفون!$X98&lt;&gt;"",الموظفون!$X98,IF(الموظفون!$E98="غير سعودي",cfg_IQ,0))+IF(الموظفون!$Y98&lt;&gt;"",الموظفون!$Y98,IF(الموظفون!$E98="غير سعودي",cfg_WP,0)))/12*G98/cfg_DAYS_M)</f>
        <v/>
      </c>
      <c r="AE98" s="111" t="str">
        <f aca="false">IF($B98="","",IF(الموظفون!$Z98&lt;&gt;"",الموظفون!$Z98,cfg_MED)/12*G98/cfg_DAYS_M)</f>
        <v/>
      </c>
      <c r="AF98" s="111" t="str">
        <f aca="false">IF($B98="","",N(الموظفون!$AA98)/12*G98/cfg_DAYS_M)</f>
        <v/>
      </c>
      <c r="AG98" s="154" t="str">
        <f aca="false">IF($B98="","",T98+SUM(Z98:AF98))</f>
        <v/>
      </c>
      <c r="AH98" s="155" t="str">
        <f aca="false">IF($B98="","",MAX(0,IF(OR(الموظفون!$AE98="",الموظفون!$AE98&gt;$F$3),$F$3,الموظفون!$AE98)-الموظفون!$H98+1-SUMIFS('سجل الإجازات والحالات'!$AP$6:$AP$505,'سجل الإجازات والحالات'!$B$6:$B$505,$B98))/cfg_DAYS_Y)</f>
        <v/>
      </c>
      <c r="AI98" s="155" t="str">
        <f aca="false">IF($B98="","",MAX(0,IF(OR(الموظفون!$AE98="",الموظفون!$AE98&gt;($E$3-1)),($E$3-1),الموظفون!$AE98)-الموظفون!$H98+1-SUMIFS('سجل الإجازات والحالات'!$AO$6:$AO$505,'سجل الإجازات والحالات'!$B$6:$B$505,$B98))/cfg_DAYS_Y)</f>
        <v/>
      </c>
      <c r="AJ98" s="65" t="str">
        <f aca="false">IF($B98="","",MAX(0,AK98-(SUMIFS('سجل الإجازات والحالات'!$AP$6:$AP$505,'سجل الإجازات والحالات'!$B$6:$B$505,$B98)-SUMIFS('سجل الإجازات والحالات'!$AO$6:$AO$505,'سجل الإجازات والحالات'!$B$6:$B$505,$B98))))</f>
        <v/>
      </c>
      <c r="AK98" s="65" t="str">
        <f aca="false">IF($B98="","",MAX(0,IF(OR(الموظفون!$AE98="",الموظفون!$AE98&gt;$F$3),$F$3,الموظفون!$AE98)-MAX($E$3,الموظفون!$H98)+1))</f>
        <v/>
      </c>
      <c r="AL98" s="151" t="str">
        <f aca="false">IF($B98="","",SUMIFS('سجل الإجازات والحالات'!$BB$6:$BB$505,'سجل الإجازات والحالات'!$B$6:$B$505,$B98)+SUMIFS('الحركات الشهرية'!$K$6:$K$1005,'الحركات الشهرية'!$B$6:$B$1005,$B98,'الحركات الشهرية'!$A$6:$A$1005,$C$3))</f>
        <v/>
      </c>
      <c r="AM98" s="111" t="str">
        <f aca="false">IF($B98="","",AL98*الموظفون!$R98/cfg_DAYS_M+S98)</f>
        <v/>
      </c>
      <c r="AN98" s="151" t="str">
        <f aca="false">IF($B98="","",SUMIFS('سجل الإجازات والحالات'!$AD$6:$AD$505,'سجل الإجازات والحالات'!$B$6:$B$505,$B98))</f>
        <v/>
      </c>
    </row>
    <row r="99" customFormat="false" ht="15" hidden="false" customHeight="false" outlineLevel="0" collapsed="false">
      <c r="A99" s="115" t="str">
        <f aca="false">IF($B99="","",الموظفون!$A99)</f>
        <v/>
      </c>
      <c r="B99" s="117" t="str">
        <f aca="false">IF(الموظفون!$B99="","",الموظفون!$B99)</f>
        <v/>
      </c>
      <c r="C99" s="117" t="str">
        <f aca="false">IF($B99="","",الموظفون!$C99)</f>
        <v/>
      </c>
      <c r="D99" s="117" t="str">
        <f aca="false">IF($B99="","",الموظفون!$F99)</f>
        <v/>
      </c>
      <c r="E99" s="117" t="str">
        <f aca="false">IF($B99="","",الموظفون!$E99)</f>
        <v/>
      </c>
      <c r="F99" s="117" t="str">
        <f aca="false">IF($B99="","",IF(AK99=0,IF(AND(الموظفون!$AE99&lt;&gt;"",الموظفون!$AE99&lt;$E$3),"✖ منتهي الخدمة","⏳ لم يباشر"),IF(S99&gt;0,"✈ راتب إجازة مقدم",IF(J99=0,"⛔ بدون راتب هذا الشهر",IF(I99&gt;0,"✈ خصم "&amp;ROUND(I99,2)&amp;" يوم بدون أجر",IF(AL99&gt;0,"🌴 إجازة سنوية "&amp;ROUND(AL99,2)&amp;" يوم",IF(H99&gt;0,"⚠ غياب "&amp;ROUND(H99,2)&amp;" يوم","✔ على رأس العمل")))))))</f>
        <v/>
      </c>
      <c r="G99" s="156" t="str">
        <f aca="false">IF($B99="","",IF(AK99&gt;=DAY($F$3),cfg_DAYS_M,MIN(AK99,cfg_DAYS_M)))</f>
        <v/>
      </c>
      <c r="H99" s="156" t="str">
        <f aca="false">IF($B99="","",SUMIFS('الحركات الشهرية'!$D$6:$D$1005,'الحركات الشهرية'!$B$6:$B$1005,$B99,'الحركات الشهرية'!$A$6:$A$1005,$C$3))</f>
        <v/>
      </c>
      <c r="I99" s="156" t="str">
        <f aca="false">IF($B99="","",MIN(G99,IF(AND(AK99&gt;0,AN99&gt;=AK99),G99,AN99)+SUMIFS('الحركات الشهرية'!$E$6:$E$1005,'الحركات الشهرية'!$B$6:$B$1005,$B99,'الحركات الشهرية'!$A$6:$A$1005,$C$3)))</f>
        <v/>
      </c>
      <c r="J99" s="156" t="str">
        <f aca="false">IF($B99="","",MAX(0,G99-H99-I99))</f>
        <v/>
      </c>
      <c r="K99" s="116" t="str">
        <f aca="false">IF($B99="","",الموظفون!$L99*$J99/cfg_DAYS_M)</f>
        <v/>
      </c>
      <c r="L99" s="116" t="str">
        <f aca="false">IF($B99="","",الموظفون!$M99*$J99/cfg_DAYS_M)</f>
        <v/>
      </c>
      <c r="M99" s="116" t="str">
        <f aca="false">IF($B99="","",الموظفون!$N99*$J99/cfg_DAYS_M)</f>
        <v/>
      </c>
      <c r="N99" s="116" t="str">
        <f aca="false">IF($B99="","",الموظفون!$O99*$J99/cfg_DAYS_M)</f>
        <v/>
      </c>
      <c r="O99" s="156" t="str">
        <f aca="false">IF($B99="","",SUMIFS('الحركات الشهرية'!$F$6:$F$1005,'الحركات الشهرية'!$B$6:$B$1005,$B99,'الحركات الشهرية'!$A$6:$A$1005,$C$3))</f>
        <v/>
      </c>
      <c r="P99" s="116" t="str">
        <f aca="false">IF($B99="","",O99*(الموظفون!$P99+الموظفون!$L99*cfg_OT_P)/cfg_DAYS_M/cfg_HRS)</f>
        <v/>
      </c>
      <c r="Q99" s="116" t="str">
        <f aca="false">IF($B99="","",SUMIFS('الحركات الشهرية'!$G$6:$G$1005,'الحركات الشهرية'!$B$6:$B$1005,$B99,'الحركات الشهرية'!$A$6:$A$1005,$C$3))</f>
        <v/>
      </c>
      <c r="R99" s="116" t="str">
        <f aca="false">IF($B99="","",SUMIFS('الحركات الشهرية'!$H$6:$H$1005,'الحركات الشهرية'!$B$6:$B$1005,$B99,'الحركات الشهرية'!$A$6:$A$1005,$C$3))</f>
        <v/>
      </c>
      <c r="S99" s="116" t="str">
        <f aca="false">IF($B99="","",SUMIFS('سجل الإجازات والحالات'!$N$6:$N$505,'سجل الإجازات والحالات'!$B$6:$B$505,$B99,'سجل الإجازات والحالات'!$O$6:$O$505,$C$3))</f>
        <v/>
      </c>
      <c r="T99" s="157" t="str">
        <f aca="false">IF($B99="","",SUM(K99:N99)+SUM(P99:S99))</f>
        <v/>
      </c>
      <c r="U99" s="116" t="str">
        <f aca="false">IF($B99="","",الموظفون!$S99*IF(E99="سعودي",cfg_G_SE,cfg_G_NE)*G99/cfg_DAYS_M)</f>
        <v/>
      </c>
      <c r="V99" s="116" t="str">
        <f aca="false">IF($B99="","",SUMIFS('الحركات الشهرية'!$I$6:$I$1005,'الحركات الشهرية'!$B$6:$B$1005,$B99,'الحركات الشهرية'!$A$6:$A$1005,$C$3))</f>
        <v/>
      </c>
      <c r="W99" s="116" t="str">
        <f aca="false">IF($B99="","",SUMIFS('الحركات الشهرية'!$J$6:$J$1005,'الحركات الشهرية'!$B$6:$B$1005,$B99,'الحركات الشهرية'!$A$6:$A$1005,$C$3))</f>
        <v/>
      </c>
      <c r="X99" s="116" t="str">
        <f aca="false">IF($B99="","",SUM(U99:W99))</f>
        <v/>
      </c>
      <c r="Y99" s="158" t="str">
        <f aca="false">IF($B99="","",T99-X99)</f>
        <v/>
      </c>
      <c r="Z99" s="116" t="str">
        <f aca="false">IF($B99="","",الموظفون!$S99*IF(E99="سعودي",cfg_G_SR,cfg_G_NR)*G99/cfg_DAYS_M)</f>
        <v/>
      </c>
      <c r="AA99" s="116" t="str">
        <f aca="false">IF($B99="","",الموظفون!$Q99*(cfg_EOS_R1*(MIN(AH99,cfg_EOS_TH)-MIN(AI99,cfg_EOS_TH))+cfg_EOS_R2*(MAX(AH99-cfg_EOS_TH,0)-MAX(AI99-cfg_EOS_TH,0))))</f>
        <v/>
      </c>
      <c r="AB99" s="116" t="str">
        <f aca="false">IF($B99="","",IF(الموظفون!$T99&lt;&gt;"",الموظفون!$T99,IF(AH99&gt;=cfg_LV_TH,cfg_LV_D2,cfg_LV_D1))/cfg_DAYS_Y*AJ99*الموظفون!$R99/cfg_DAYS_M)</f>
        <v/>
      </c>
      <c r="AC99" s="116" t="str">
        <f aca="false">IF($B99="","",IF(AND(الموظفون!$U99="نعم",N(الموظفون!$W99)&gt;0),الموظفون!$V99/الموظفون!$W99*12/cfg_DAYS_Y*AJ99,0))</f>
        <v/>
      </c>
      <c r="AD99" s="116" t="str">
        <f aca="false">IF($B99="","",(IF(الموظفون!$X99&lt;&gt;"",الموظفون!$X99,IF(الموظفون!$E99="غير سعودي",cfg_IQ,0))+IF(الموظفون!$Y99&lt;&gt;"",الموظفون!$Y99,IF(الموظفون!$E99="غير سعودي",cfg_WP,0)))/12*G99/cfg_DAYS_M)</f>
        <v/>
      </c>
      <c r="AE99" s="116" t="str">
        <f aca="false">IF($B99="","",IF(الموظفون!$Z99&lt;&gt;"",الموظفون!$Z99,cfg_MED)/12*G99/cfg_DAYS_M)</f>
        <v/>
      </c>
      <c r="AF99" s="116" t="str">
        <f aca="false">IF($B99="","",N(الموظفون!$AA99)/12*G99/cfg_DAYS_M)</f>
        <v/>
      </c>
      <c r="AG99" s="159" t="str">
        <f aca="false">IF($B99="","",T99+SUM(Z99:AF99))</f>
        <v/>
      </c>
      <c r="AH99" s="160" t="str">
        <f aca="false">IF($B99="","",MAX(0,IF(OR(الموظفون!$AE99="",الموظفون!$AE99&gt;$F$3),$F$3,الموظفون!$AE99)-الموظفون!$H99+1-SUMIFS('سجل الإجازات والحالات'!$AP$6:$AP$505,'سجل الإجازات والحالات'!$B$6:$B$505,$B99))/cfg_DAYS_Y)</f>
        <v/>
      </c>
      <c r="AI99" s="160" t="str">
        <f aca="false">IF($B99="","",MAX(0,IF(OR(الموظفون!$AE99="",الموظفون!$AE99&gt;($E$3-1)),($E$3-1),الموظفون!$AE99)-الموظفون!$H99+1-SUMIFS('سجل الإجازات والحالات'!$AO$6:$AO$505,'سجل الإجازات والحالات'!$B$6:$B$505,$B99))/cfg_DAYS_Y)</f>
        <v/>
      </c>
      <c r="AJ99" s="133" t="str">
        <f aca="false">IF($B99="","",MAX(0,AK99-(SUMIFS('سجل الإجازات والحالات'!$AP$6:$AP$505,'سجل الإجازات والحالات'!$B$6:$B$505,$B99)-SUMIFS('سجل الإجازات والحالات'!$AO$6:$AO$505,'سجل الإجازات والحالات'!$B$6:$B$505,$B99))))</f>
        <v/>
      </c>
      <c r="AK99" s="133" t="str">
        <f aca="false">IF($B99="","",MAX(0,IF(OR(الموظفون!$AE99="",الموظفون!$AE99&gt;$F$3),$F$3,الموظفون!$AE99)-MAX($E$3,الموظفون!$H99)+1))</f>
        <v/>
      </c>
      <c r="AL99" s="156" t="str">
        <f aca="false">IF($B99="","",SUMIFS('سجل الإجازات والحالات'!$BB$6:$BB$505,'سجل الإجازات والحالات'!$B$6:$B$505,$B99)+SUMIFS('الحركات الشهرية'!$K$6:$K$1005,'الحركات الشهرية'!$B$6:$B$1005,$B99,'الحركات الشهرية'!$A$6:$A$1005,$C$3))</f>
        <v/>
      </c>
      <c r="AM99" s="116" t="str">
        <f aca="false">IF($B99="","",AL99*الموظفون!$R99/cfg_DAYS_M+S99)</f>
        <v/>
      </c>
      <c r="AN99" s="156" t="str">
        <f aca="false">IF($B99="","",SUMIFS('سجل الإجازات والحالات'!$AD$6:$AD$505,'سجل الإجازات والحالات'!$B$6:$B$505,$B99))</f>
        <v/>
      </c>
    </row>
    <row r="100" customFormat="false" ht="15" hidden="false" customHeight="false" outlineLevel="0" collapsed="false">
      <c r="A100" s="106" t="str">
        <f aca="false">IF($B100="","",الموظفون!$A100)</f>
        <v/>
      </c>
      <c r="B100" s="114" t="str">
        <f aca="false">IF(الموظفون!$B100="","",الموظفون!$B100)</f>
        <v/>
      </c>
      <c r="C100" s="114" t="str">
        <f aca="false">IF($B100="","",الموظفون!$C100)</f>
        <v/>
      </c>
      <c r="D100" s="114" t="str">
        <f aca="false">IF($B100="","",الموظفون!$F100)</f>
        <v/>
      </c>
      <c r="E100" s="114" t="str">
        <f aca="false">IF($B100="","",الموظفون!$E100)</f>
        <v/>
      </c>
      <c r="F100" s="114" t="str">
        <f aca="false">IF($B100="","",IF(AK100=0,IF(AND(الموظفون!$AE100&lt;&gt;"",الموظفون!$AE100&lt;$E$3),"✖ منتهي الخدمة","⏳ لم يباشر"),IF(S100&gt;0,"✈ راتب إجازة مقدم",IF(J100=0,"⛔ بدون راتب هذا الشهر",IF(I100&gt;0,"✈ خصم "&amp;ROUND(I100,2)&amp;" يوم بدون أجر",IF(AL100&gt;0,"🌴 إجازة سنوية "&amp;ROUND(AL100,2)&amp;" يوم",IF(H100&gt;0,"⚠ غياب "&amp;ROUND(H100,2)&amp;" يوم","✔ على رأس العمل")))))))</f>
        <v/>
      </c>
      <c r="G100" s="151" t="str">
        <f aca="false">IF($B100="","",IF(AK100&gt;=DAY($F$3),cfg_DAYS_M,MIN(AK100,cfg_DAYS_M)))</f>
        <v/>
      </c>
      <c r="H100" s="151" t="str">
        <f aca="false">IF($B100="","",SUMIFS('الحركات الشهرية'!$D$6:$D$1005,'الحركات الشهرية'!$B$6:$B$1005,$B100,'الحركات الشهرية'!$A$6:$A$1005,$C$3))</f>
        <v/>
      </c>
      <c r="I100" s="151" t="str">
        <f aca="false">IF($B100="","",MIN(G100,IF(AND(AK100&gt;0,AN100&gt;=AK100),G100,AN100)+SUMIFS('الحركات الشهرية'!$E$6:$E$1005,'الحركات الشهرية'!$B$6:$B$1005,$B100,'الحركات الشهرية'!$A$6:$A$1005,$C$3)))</f>
        <v/>
      </c>
      <c r="J100" s="151" t="str">
        <f aca="false">IF($B100="","",MAX(0,G100-H100-I100))</f>
        <v/>
      </c>
      <c r="K100" s="111" t="str">
        <f aca="false">IF($B100="","",الموظفون!$L100*$J100/cfg_DAYS_M)</f>
        <v/>
      </c>
      <c r="L100" s="111" t="str">
        <f aca="false">IF($B100="","",الموظفون!$M100*$J100/cfg_DAYS_M)</f>
        <v/>
      </c>
      <c r="M100" s="111" t="str">
        <f aca="false">IF($B100="","",الموظفون!$N100*$J100/cfg_DAYS_M)</f>
        <v/>
      </c>
      <c r="N100" s="111" t="str">
        <f aca="false">IF($B100="","",الموظفون!$O100*$J100/cfg_DAYS_M)</f>
        <v/>
      </c>
      <c r="O100" s="151" t="str">
        <f aca="false">IF($B100="","",SUMIFS('الحركات الشهرية'!$F$6:$F$1005,'الحركات الشهرية'!$B$6:$B$1005,$B100,'الحركات الشهرية'!$A$6:$A$1005,$C$3))</f>
        <v/>
      </c>
      <c r="P100" s="111" t="str">
        <f aca="false">IF($B100="","",O100*(الموظفون!$P100+الموظفون!$L100*cfg_OT_P)/cfg_DAYS_M/cfg_HRS)</f>
        <v/>
      </c>
      <c r="Q100" s="111" t="str">
        <f aca="false">IF($B100="","",SUMIFS('الحركات الشهرية'!$G$6:$G$1005,'الحركات الشهرية'!$B$6:$B$1005,$B100,'الحركات الشهرية'!$A$6:$A$1005,$C$3))</f>
        <v/>
      </c>
      <c r="R100" s="111" t="str">
        <f aca="false">IF($B100="","",SUMIFS('الحركات الشهرية'!$H$6:$H$1005,'الحركات الشهرية'!$B$6:$B$1005,$B100,'الحركات الشهرية'!$A$6:$A$1005,$C$3))</f>
        <v/>
      </c>
      <c r="S100" s="111" t="str">
        <f aca="false">IF($B100="","",SUMIFS('سجل الإجازات والحالات'!$N$6:$N$505,'سجل الإجازات والحالات'!$B$6:$B$505,$B100,'سجل الإجازات والحالات'!$O$6:$O$505,$C$3))</f>
        <v/>
      </c>
      <c r="T100" s="152" t="str">
        <f aca="false">IF($B100="","",SUM(K100:N100)+SUM(P100:S100))</f>
        <v/>
      </c>
      <c r="U100" s="111" t="str">
        <f aca="false">IF($B100="","",الموظفون!$S100*IF(E100="سعودي",cfg_G_SE,cfg_G_NE)*G100/cfg_DAYS_M)</f>
        <v/>
      </c>
      <c r="V100" s="111" t="str">
        <f aca="false">IF($B100="","",SUMIFS('الحركات الشهرية'!$I$6:$I$1005,'الحركات الشهرية'!$B$6:$B$1005,$B100,'الحركات الشهرية'!$A$6:$A$1005,$C$3))</f>
        <v/>
      </c>
      <c r="W100" s="111" t="str">
        <f aca="false">IF($B100="","",SUMIFS('الحركات الشهرية'!$J$6:$J$1005,'الحركات الشهرية'!$B$6:$B$1005,$B100,'الحركات الشهرية'!$A$6:$A$1005,$C$3))</f>
        <v/>
      </c>
      <c r="X100" s="111" t="str">
        <f aca="false">IF($B100="","",SUM(U100:W100))</f>
        <v/>
      </c>
      <c r="Y100" s="153" t="str">
        <f aca="false">IF($B100="","",T100-X100)</f>
        <v/>
      </c>
      <c r="Z100" s="111" t="str">
        <f aca="false">IF($B100="","",الموظفون!$S100*IF(E100="سعودي",cfg_G_SR,cfg_G_NR)*G100/cfg_DAYS_M)</f>
        <v/>
      </c>
      <c r="AA100" s="111" t="str">
        <f aca="false">IF($B100="","",الموظفون!$Q100*(cfg_EOS_R1*(MIN(AH100,cfg_EOS_TH)-MIN(AI100,cfg_EOS_TH))+cfg_EOS_R2*(MAX(AH100-cfg_EOS_TH,0)-MAX(AI100-cfg_EOS_TH,0))))</f>
        <v/>
      </c>
      <c r="AB100" s="111" t="str">
        <f aca="false">IF($B100="","",IF(الموظفون!$T100&lt;&gt;"",الموظفون!$T100,IF(AH100&gt;=cfg_LV_TH,cfg_LV_D2,cfg_LV_D1))/cfg_DAYS_Y*AJ100*الموظفون!$R100/cfg_DAYS_M)</f>
        <v/>
      </c>
      <c r="AC100" s="111" t="str">
        <f aca="false">IF($B100="","",IF(AND(الموظفون!$U100="نعم",N(الموظفون!$W100)&gt;0),الموظفون!$V100/الموظفون!$W100*12/cfg_DAYS_Y*AJ100,0))</f>
        <v/>
      </c>
      <c r="AD100" s="111" t="str">
        <f aca="false">IF($B100="","",(IF(الموظفون!$X100&lt;&gt;"",الموظفون!$X100,IF(الموظفون!$E100="غير سعودي",cfg_IQ,0))+IF(الموظفون!$Y100&lt;&gt;"",الموظفون!$Y100,IF(الموظفون!$E100="غير سعودي",cfg_WP,0)))/12*G100/cfg_DAYS_M)</f>
        <v/>
      </c>
      <c r="AE100" s="111" t="str">
        <f aca="false">IF($B100="","",IF(الموظفون!$Z100&lt;&gt;"",الموظفون!$Z100,cfg_MED)/12*G100/cfg_DAYS_M)</f>
        <v/>
      </c>
      <c r="AF100" s="111" t="str">
        <f aca="false">IF($B100="","",N(الموظفون!$AA100)/12*G100/cfg_DAYS_M)</f>
        <v/>
      </c>
      <c r="AG100" s="154" t="str">
        <f aca="false">IF($B100="","",T100+SUM(Z100:AF100))</f>
        <v/>
      </c>
      <c r="AH100" s="155" t="str">
        <f aca="false">IF($B100="","",MAX(0,IF(OR(الموظفون!$AE100="",الموظفون!$AE100&gt;$F$3),$F$3,الموظفون!$AE100)-الموظفون!$H100+1-SUMIFS('سجل الإجازات والحالات'!$AP$6:$AP$505,'سجل الإجازات والحالات'!$B$6:$B$505,$B100))/cfg_DAYS_Y)</f>
        <v/>
      </c>
      <c r="AI100" s="155" t="str">
        <f aca="false">IF($B100="","",MAX(0,IF(OR(الموظفون!$AE100="",الموظفون!$AE100&gt;($E$3-1)),($E$3-1),الموظفون!$AE100)-الموظفون!$H100+1-SUMIFS('سجل الإجازات والحالات'!$AO$6:$AO$505,'سجل الإجازات والحالات'!$B$6:$B$505,$B100))/cfg_DAYS_Y)</f>
        <v/>
      </c>
      <c r="AJ100" s="65" t="str">
        <f aca="false">IF($B100="","",MAX(0,AK100-(SUMIFS('سجل الإجازات والحالات'!$AP$6:$AP$505,'سجل الإجازات والحالات'!$B$6:$B$505,$B100)-SUMIFS('سجل الإجازات والحالات'!$AO$6:$AO$505,'سجل الإجازات والحالات'!$B$6:$B$505,$B100))))</f>
        <v/>
      </c>
      <c r="AK100" s="65" t="str">
        <f aca="false">IF($B100="","",MAX(0,IF(OR(الموظفون!$AE100="",الموظفون!$AE100&gt;$F$3),$F$3,الموظفون!$AE100)-MAX($E$3,الموظفون!$H100)+1))</f>
        <v/>
      </c>
      <c r="AL100" s="151" t="str">
        <f aca="false">IF($B100="","",SUMIFS('سجل الإجازات والحالات'!$BB$6:$BB$505,'سجل الإجازات والحالات'!$B$6:$B$505,$B100)+SUMIFS('الحركات الشهرية'!$K$6:$K$1005,'الحركات الشهرية'!$B$6:$B$1005,$B100,'الحركات الشهرية'!$A$6:$A$1005,$C$3))</f>
        <v/>
      </c>
      <c r="AM100" s="111" t="str">
        <f aca="false">IF($B100="","",AL100*الموظفون!$R100/cfg_DAYS_M+S100)</f>
        <v/>
      </c>
      <c r="AN100" s="151" t="str">
        <f aca="false">IF($B100="","",SUMIFS('سجل الإجازات والحالات'!$AD$6:$AD$505,'سجل الإجازات والحالات'!$B$6:$B$505,$B100))</f>
        <v/>
      </c>
    </row>
    <row r="101" customFormat="false" ht="15" hidden="false" customHeight="false" outlineLevel="0" collapsed="false">
      <c r="A101" s="115" t="str">
        <f aca="false">IF($B101="","",الموظفون!$A101)</f>
        <v/>
      </c>
      <c r="B101" s="117" t="str">
        <f aca="false">IF(الموظفون!$B101="","",الموظفون!$B101)</f>
        <v/>
      </c>
      <c r="C101" s="117" t="str">
        <f aca="false">IF($B101="","",الموظفون!$C101)</f>
        <v/>
      </c>
      <c r="D101" s="117" t="str">
        <f aca="false">IF($B101="","",الموظفون!$F101)</f>
        <v/>
      </c>
      <c r="E101" s="117" t="str">
        <f aca="false">IF($B101="","",الموظفون!$E101)</f>
        <v/>
      </c>
      <c r="F101" s="117" t="str">
        <f aca="false">IF($B101="","",IF(AK101=0,IF(AND(الموظفون!$AE101&lt;&gt;"",الموظفون!$AE101&lt;$E$3),"✖ منتهي الخدمة","⏳ لم يباشر"),IF(S101&gt;0,"✈ راتب إجازة مقدم",IF(J101=0,"⛔ بدون راتب هذا الشهر",IF(I101&gt;0,"✈ خصم "&amp;ROUND(I101,2)&amp;" يوم بدون أجر",IF(AL101&gt;0,"🌴 إجازة سنوية "&amp;ROUND(AL101,2)&amp;" يوم",IF(H101&gt;0,"⚠ غياب "&amp;ROUND(H101,2)&amp;" يوم","✔ على رأس العمل")))))))</f>
        <v/>
      </c>
      <c r="G101" s="156" t="str">
        <f aca="false">IF($B101="","",IF(AK101&gt;=DAY($F$3),cfg_DAYS_M,MIN(AK101,cfg_DAYS_M)))</f>
        <v/>
      </c>
      <c r="H101" s="156" t="str">
        <f aca="false">IF($B101="","",SUMIFS('الحركات الشهرية'!$D$6:$D$1005,'الحركات الشهرية'!$B$6:$B$1005,$B101,'الحركات الشهرية'!$A$6:$A$1005,$C$3))</f>
        <v/>
      </c>
      <c r="I101" s="156" t="str">
        <f aca="false">IF($B101="","",MIN(G101,IF(AND(AK101&gt;0,AN101&gt;=AK101),G101,AN101)+SUMIFS('الحركات الشهرية'!$E$6:$E$1005,'الحركات الشهرية'!$B$6:$B$1005,$B101,'الحركات الشهرية'!$A$6:$A$1005,$C$3)))</f>
        <v/>
      </c>
      <c r="J101" s="156" t="str">
        <f aca="false">IF($B101="","",MAX(0,G101-H101-I101))</f>
        <v/>
      </c>
      <c r="K101" s="116" t="str">
        <f aca="false">IF($B101="","",الموظفون!$L101*$J101/cfg_DAYS_M)</f>
        <v/>
      </c>
      <c r="L101" s="116" t="str">
        <f aca="false">IF($B101="","",الموظفون!$M101*$J101/cfg_DAYS_M)</f>
        <v/>
      </c>
      <c r="M101" s="116" t="str">
        <f aca="false">IF($B101="","",الموظفون!$N101*$J101/cfg_DAYS_M)</f>
        <v/>
      </c>
      <c r="N101" s="116" t="str">
        <f aca="false">IF($B101="","",الموظفون!$O101*$J101/cfg_DAYS_M)</f>
        <v/>
      </c>
      <c r="O101" s="156" t="str">
        <f aca="false">IF($B101="","",SUMIFS('الحركات الشهرية'!$F$6:$F$1005,'الحركات الشهرية'!$B$6:$B$1005,$B101,'الحركات الشهرية'!$A$6:$A$1005,$C$3))</f>
        <v/>
      </c>
      <c r="P101" s="116" t="str">
        <f aca="false">IF($B101="","",O101*(الموظفون!$P101+الموظفون!$L101*cfg_OT_P)/cfg_DAYS_M/cfg_HRS)</f>
        <v/>
      </c>
      <c r="Q101" s="116" t="str">
        <f aca="false">IF($B101="","",SUMIFS('الحركات الشهرية'!$G$6:$G$1005,'الحركات الشهرية'!$B$6:$B$1005,$B101,'الحركات الشهرية'!$A$6:$A$1005,$C$3))</f>
        <v/>
      </c>
      <c r="R101" s="116" t="str">
        <f aca="false">IF($B101="","",SUMIFS('الحركات الشهرية'!$H$6:$H$1005,'الحركات الشهرية'!$B$6:$B$1005,$B101,'الحركات الشهرية'!$A$6:$A$1005,$C$3))</f>
        <v/>
      </c>
      <c r="S101" s="116" t="str">
        <f aca="false">IF($B101="","",SUMIFS('سجل الإجازات والحالات'!$N$6:$N$505,'سجل الإجازات والحالات'!$B$6:$B$505,$B101,'سجل الإجازات والحالات'!$O$6:$O$505,$C$3))</f>
        <v/>
      </c>
      <c r="T101" s="157" t="str">
        <f aca="false">IF($B101="","",SUM(K101:N101)+SUM(P101:S101))</f>
        <v/>
      </c>
      <c r="U101" s="116" t="str">
        <f aca="false">IF($B101="","",الموظفون!$S101*IF(E101="سعودي",cfg_G_SE,cfg_G_NE)*G101/cfg_DAYS_M)</f>
        <v/>
      </c>
      <c r="V101" s="116" t="str">
        <f aca="false">IF($B101="","",SUMIFS('الحركات الشهرية'!$I$6:$I$1005,'الحركات الشهرية'!$B$6:$B$1005,$B101,'الحركات الشهرية'!$A$6:$A$1005,$C$3))</f>
        <v/>
      </c>
      <c r="W101" s="116" t="str">
        <f aca="false">IF($B101="","",SUMIFS('الحركات الشهرية'!$J$6:$J$1005,'الحركات الشهرية'!$B$6:$B$1005,$B101,'الحركات الشهرية'!$A$6:$A$1005,$C$3))</f>
        <v/>
      </c>
      <c r="X101" s="116" t="str">
        <f aca="false">IF($B101="","",SUM(U101:W101))</f>
        <v/>
      </c>
      <c r="Y101" s="158" t="str">
        <f aca="false">IF($B101="","",T101-X101)</f>
        <v/>
      </c>
      <c r="Z101" s="116" t="str">
        <f aca="false">IF($B101="","",الموظفون!$S101*IF(E101="سعودي",cfg_G_SR,cfg_G_NR)*G101/cfg_DAYS_M)</f>
        <v/>
      </c>
      <c r="AA101" s="116" t="str">
        <f aca="false">IF($B101="","",الموظفون!$Q101*(cfg_EOS_R1*(MIN(AH101,cfg_EOS_TH)-MIN(AI101,cfg_EOS_TH))+cfg_EOS_R2*(MAX(AH101-cfg_EOS_TH,0)-MAX(AI101-cfg_EOS_TH,0))))</f>
        <v/>
      </c>
      <c r="AB101" s="116" t="str">
        <f aca="false">IF($B101="","",IF(الموظفون!$T101&lt;&gt;"",الموظفون!$T101,IF(AH101&gt;=cfg_LV_TH,cfg_LV_D2,cfg_LV_D1))/cfg_DAYS_Y*AJ101*الموظفون!$R101/cfg_DAYS_M)</f>
        <v/>
      </c>
      <c r="AC101" s="116" t="str">
        <f aca="false">IF($B101="","",IF(AND(الموظفون!$U101="نعم",N(الموظفون!$W101)&gt;0),الموظفون!$V101/الموظفون!$W101*12/cfg_DAYS_Y*AJ101,0))</f>
        <v/>
      </c>
      <c r="AD101" s="116" t="str">
        <f aca="false">IF($B101="","",(IF(الموظفون!$X101&lt;&gt;"",الموظفون!$X101,IF(الموظفون!$E101="غير سعودي",cfg_IQ,0))+IF(الموظفون!$Y101&lt;&gt;"",الموظفون!$Y101,IF(الموظفون!$E101="غير سعودي",cfg_WP,0)))/12*G101/cfg_DAYS_M)</f>
        <v/>
      </c>
      <c r="AE101" s="116" t="str">
        <f aca="false">IF($B101="","",IF(الموظفون!$Z101&lt;&gt;"",الموظفون!$Z101,cfg_MED)/12*G101/cfg_DAYS_M)</f>
        <v/>
      </c>
      <c r="AF101" s="116" t="str">
        <f aca="false">IF($B101="","",N(الموظفون!$AA101)/12*G101/cfg_DAYS_M)</f>
        <v/>
      </c>
      <c r="AG101" s="159" t="str">
        <f aca="false">IF($B101="","",T101+SUM(Z101:AF101))</f>
        <v/>
      </c>
      <c r="AH101" s="160" t="str">
        <f aca="false">IF($B101="","",MAX(0,IF(OR(الموظفون!$AE101="",الموظفون!$AE101&gt;$F$3),$F$3,الموظفون!$AE101)-الموظفون!$H101+1-SUMIFS('سجل الإجازات والحالات'!$AP$6:$AP$505,'سجل الإجازات والحالات'!$B$6:$B$505,$B101))/cfg_DAYS_Y)</f>
        <v/>
      </c>
      <c r="AI101" s="160" t="str">
        <f aca="false">IF($B101="","",MAX(0,IF(OR(الموظفون!$AE101="",الموظفون!$AE101&gt;($E$3-1)),($E$3-1),الموظفون!$AE101)-الموظفون!$H101+1-SUMIFS('سجل الإجازات والحالات'!$AO$6:$AO$505,'سجل الإجازات والحالات'!$B$6:$B$505,$B101))/cfg_DAYS_Y)</f>
        <v/>
      </c>
      <c r="AJ101" s="133" t="str">
        <f aca="false">IF($B101="","",MAX(0,AK101-(SUMIFS('سجل الإجازات والحالات'!$AP$6:$AP$505,'سجل الإجازات والحالات'!$B$6:$B$505,$B101)-SUMIFS('سجل الإجازات والحالات'!$AO$6:$AO$505,'سجل الإجازات والحالات'!$B$6:$B$505,$B101))))</f>
        <v/>
      </c>
      <c r="AK101" s="133" t="str">
        <f aca="false">IF($B101="","",MAX(0,IF(OR(الموظفون!$AE101="",الموظفون!$AE101&gt;$F$3),$F$3,الموظفون!$AE101)-MAX($E$3,الموظفون!$H101)+1))</f>
        <v/>
      </c>
      <c r="AL101" s="156" t="str">
        <f aca="false">IF($B101="","",SUMIFS('سجل الإجازات والحالات'!$BB$6:$BB$505,'سجل الإجازات والحالات'!$B$6:$B$505,$B101)+SUMIFS('الحركات الشهرية'!$K$6:$K$1005,'الحركات الشهرية'!$B$6:$B$1005,$B101,'الحركات الشهرية'!$A$6:$A$1005,$C$3))</f>
        <v/>
      </c>
      <c r="AM101" s="116" t="str">
        <f aca="false">IF($B101="","",AL101*الموظفون!$R101/cfg_DAYS_M+S101)</f>
        <v/>
      </c>
      <c r="AN101" s="156" t="str">
        <f aca="false">IF($B101="","",SUMIFS('سجل الإجازات والحالات'!$AD$6:$AD$505,'سجل الإجازات والحالات'!$B$6:$B$505,$B101))</f>
        <v/>
      </c>
    </row>
    <row r="102" customFormat="false" ht="15" hidden="false" customHeight="false" outlineLevel="0" collapsed="false">
      <c r="A102" s="106" t="str">
        <f aca="false">IF($B102="","",الموظفون!$A102)</f>
        <v/>
      </c>
      <c r="B102" s="114" t="str">
        <f aca="false">IF(الموظفون!$B102="","",الموظفون!$B102)</f>
        <v/>
      </c>
      <c r="C102" s="114" t="str">
        <f aca="false">IF($B102="","",الموظفون!$C102)</f>
        <v/>
      </c>
      <c r="D102" s="114" t="str">
        <f aca="false">IF($B102="","",الموظفون!$F102)</f>
        <v/>
      </c>
      <c r="E102" s="114" t="str">
        <f aca="false">IF($B102="","",الموظفون!$E102)</f>
        <v/>
      </c>
      <c r="F102" s="114" t="str">
        <f aca="false">IF($B102="","",IF(AK102=0,IF(AND(الموظفون!$AE102&lt;&gt;"",الموظفون!$AE102&lt;$E$3),"✖ منتهي الخدمة","⏳ لم يباشر"),IF(S102&gt;0,"✈ راتب إجازة مقدم",IF(J102=0,"⛔ بدون راتب هذا الشهر",IF(I102&gt;0,"✈ خصم "&amp;ROUND(I102,2)&amp;" يوم بدون أجر",IF(AL102&gt;0,"🌴 إجازة سنوية "&amp;ROUND(AL102,2)&amp;" يوم",IF(H102&gt;0,"⚠ غياب "&amp;ROUND(H102,2)&amp;" يوم","✔ على رأس العمل")))))))</f>
        <v/>
      </c>
      <c r="G102" s="151" t="str">
        <f aca="false">IF($B102="","",IF(AK102&gt;=DAY($F$3),cfg_DAYS_M,MIN(AK102,cfg_DAYS_M)))</f>
        <v/>
      </c>
      <c r="H102" s="151" t="str">
        <f aca="false">IF($B102="","",SUMIFS('الحركات الشهرية'!$D$6:$D$1005,'الحركات الشهرية'!$B$6:$B$1005,$B102,'الحركات الشهرية'!$A$6:$A$1005,$C$3))</f>
        <v/>
      </c>
      <c r="I102" s="151" t="str">
        <f aca="false">IF($B102="","",MIN(G102,IF(AND(AK102&gt;0,AN102&gt;=AK102),G102,AN102)+SUMIFS('الحركات الشهرية'!$E$6:$E$1005,'الحركات الشهرية'!$B$6:$B$1005,$B102,'الحركات الشهرية'!$A$6:$A$1005,$C$3)))</f>
        <v/>
      </c>
      <c r="J102" s="151" t="str">
        <f aca="false">IF($B102="","",MAX(0,G102-H102-I102))</f>
        <v/>
      </c>
      <c r="K102" s="111" t="str">
        <f aca="false">IF($B102="","",الموظفون!$L102*$J102/cfg_DAYS_M)</f>
        <v/>
      </c>
      <c r="L102" s="111" t="str">
        <f aca="false">IF($B102="","",الموظفون!$M102*$J102/cfg_DAYS_M)</f>
        <v/>
      </c>
      <c r="M102" s="111" t="str">
        <f aca="false">IF($B102="","",الموظفون!$N102*$J102/cfg_DAYS_M)</f>
        <v/>
      </c>
      <c r="N102" s="111" t="str">
        <f aca="false">IF($B102="","",الموظفون!$O102*$J102/cfg_DAYS_M)</f>
        <v/>
      </c>
      <c r="O102" s="151" t="str">
        <f aca="false">IF($B102="","",SUMIFS('الحركات الشهرية'!$F$6:$F$1005,'الحركات الشهرية'!$B$6:$B$1005,$B102,'الحركات الشهرية'!$A$6:$A$1005,$C$3))</f>
        <v/>
      </c>
      <c r="P102" s="111" t="str">
        <f aca="false">IF($B102="","",O102*(الموظفون!$P102+الموظفون!$L102*cfg_OT_P)/cfg_DAYS_M/cfg_HRS)</f>
        <v/>
      </c>
      <c r="Q102" s="111" t="str">
        <f aca="false">IF($B102="","",SUMIFS('الحركات الشهرية'!$G$6:$G$1005,'الحركات الشهرية'!$B$6:$B$1005,$B102,'الحركات الشهرية'!$A$6:$A$1005,$C$3))</f>
        <v/>
      </c>
      <c r="R102" s="111" t="str">
        <f aca="false">IF($B102="","",SUMIFS('الحركات الشهرية'!$H$6:$H$1005,'الحركات الشهرية'!$B$6:$B$1005,$B102,'الحركات الشهرية'!$A$6:$A$1005,$C$3))</f>
        <v/>
      </c>
      <c r="S102" s="111" t="str">
        <f aca="false">IF($B102="","",SUMIFS('سجل الإجازات والحالات'!$N$6:$N$505,'سجل الإجازات والحالات'!$B$6:$B$505,$B102,'سجل الإجازات والحالات'!$O$6:$O$505,$C$3))</f>
        <v/>
      </c>
      <c r="T102" s="152" t="str">
        <f aca="false">IF($B102="","",SUM(K102:N102)+SUM(P102:S102))</f>
        <v/>
      </c>
      <c r="U102" s="111" t="str">
        <f aca="false">IF($B102="","",الموظفون!$S102*IF(E102="سعودي",cfg_G_SE,cfg_G_NE)*G102/cfg_DAYS_M)</f>
        <v/>
      </c>
      <c r="V102" s="111" t="str">
        <f aca="false">IF($B102="","",SUMIFS('الحركات الشهرية'!$I$6:$I$1005,'الحركات الشهرية'!$B$6:$B$1005,$B102,'الحركات الشهرية'!$A$6:$A$1005,$C$3))</f>
        <v/>
      </c>
      <c r="W102" s="111" t="str">
        <f aca="false">IF($B102="","",SUMIFS('الحركات الشهرية'!$J$6:$J$1005,'الحركات الشهرية'!$B$6:$B$1005,$B102,'الحركات الشهرية'!$A$6:$A$1005,$C$3))</f>
        <v/>
      </c>
      <c r="X102" s="111" t="str">
        <f aca="false">IF($B102="","",SUM(U102:W102))</f>
        <v/>
      </c>
      <c r="Y102" s="153" t="str">
        <f aca="false">IF($B102="","",T102-X102)</f>
        <v/>
      </c>
      <c r="Z102" s="111" t="str">
        <f aca="false">IF($B102="","",الموظفون!$S102*IF(E102="سعودي",cfg_G_SR,cfg_G_NR)*G102/cfg_DAYS_M)</f>
        <v/>
      </c>
      <c r="AA102" s="111" t="str">
        <f aca="false">IF($B102="","",الموظفون!$Q102*(cfg_EOS_R1*(MIN(AH102,cfg_EOS_TH)-MIN(AI102,cfg_EOS_TH))+cfg_EOS_R2*(MAX(AH102-cfg_EOS_TH,0)-MAX(AI102-cfg_EOS_TH,0))))</f>
        <v/>
      </c>
      <c r="AB102" s="111" t="str">
        <f aca="false">IF($B102="","",IF(الموظفون!$T102&lt;&gt;"",الموظفون!$T102,IF(AH102&gt;=cfg_LV_TH,cfg_LV_D2,cfg_LV_D1))/cfg_DAYS_Y*AJ102*الموظفون!$R102/cfg_DAYS_M)</f>
        <v/>
      </c>
      <c r="AC102" s="111" t="str">
        <f aca="false">IF($B102="","",IF(AND(الموظفون!$U102="نعم",N(الموظفون!$W102)&gt;0),الموظفون!$V102/الموظفون!$W102*12/cfg_DAYS_Y*AJ102,0))</f>
        <v/>
      </c>
      <c r="AD102" s="111" t="str">
        <f aca="false">IF($B102="","",(IF(الموظفون!$X102&lt;&gt;"",الموظفون!$X102,IF(الموظفون!$E102="غير سعودي",cfg_IQ,0))+IF(الموظفون!$Y102&lt;&gt;"",الموظفون!$Y102,IF(الموظفون!$E102="غير سعودي",cfg_WP,0)))/12*G102/cfg_DAYS_M)</f>
        <v/>
      </c>
      <c r="AE102" s="111" t="str">
        <f aca="false">IF($B102="","",IF(الموظفون!$Z102&lt;&gt;"",الموظفون!$Z102,cfg_MED)/12*G102/cfg_DAYS_M)</f>
        <v/>
      </c>
      <c r="AF102" s="111" t="str">
        <f aca="false">IF($B102="","",N(الموظفون!$AA102)/12*G102/cfg_DAYS_M)</f>
        <v/>
      </c>
      <c r="AG102" s="154" t="str">
        <f aca="false">IF($B102="","",T102+SUM(Z102:AF102))</f>
        <v/>
      </c>
      <c r="AH102" s="155" t="str">
        <f aca="false">IF($B102="","",MAX(0,IF(OR(الموظفون!$AE102="",الموظفون!$AE102&gt;$F$3),$F$3,الموظفون!$AE102)-الموظفون!$H102+1-SUMIFS('سجل الإجازات والحالات'!$AP$6:$AP$505,'سجل الإجازات والحالات'!$B$6:$B$505,$B102))/cfg_DAYS_Y)</f>
        <v/>
      </c>
      <c r="AI102" s="155" t="str">
        <f aca="false">IF($B102="","",MAX(0,IF(OR(الموظفون!$AE102="",الموظفون!$AE102&gt;($E$3-1)),($E$3-1),الموظفون!$AE102)-الموظفون!$H102+1-SUMIFS('سجل الإجازات والحالات'!$AO$6:$AO$505,'سجل الإجازات والحالات'!$B$6:$B$505,$B102))/cfg_DAYS_Y)</f>
        <v/>
      </c>
      <c r="AJ102" s="65" t="str">
        <f aca="false">IF($B102="","",MAX(0,AK102-(SUMIFS('سجل الإجازات والحالات'!$AP$6:$AP$505,'سجل الإجازات والحالات'!$B$6:$B$505,$B102)-SUMIFS('سجل الإجازات والحالات'!$AO$6:$AO$505,'سجل الإجازات والحالات'!$B$6:$B$505,$B102))))</f>
        <v/>
      </c>
      <c r="AK102" s="65" t="str">
        <f aca="false">IF($B102="","",MAX(0,IF(OR(الموظفون!$AE102="",الموظفون!$AE102&gt;$F$3),$F$3,الموظفون!$AE102)-MAX($E$3,الموظفون!$H102)+1))</f>
        <v/>
      </c>
      <c r="AL102" s="151" t="str">
        <f aca="false">IF($B102="","",SUMIFS('سجل الإجازات والحالات'!$BB$6:$BB$505,'سجل الإجازات والحالات'!$B$6:$B$505,$B102)+SUMIFS('الحركات الشهرية'!$K$6:$K$1005,'الحركات الشهرية'!$B$6:$B$1005,$B102,'الحركات الشهرية'!$A$6:$A$1005,$C$3))</f>
        <v/>
      </c>
      <c r="AM102" s="111" t="str">
        <f aca="false">IF($B102="","",AL102*الموظفون!$R102/cfg_DAYS_M+S102)</f>
        <v/>
      </c>
      <c r="AN102" s="151" t="str">
        <f aca="false">IF($B102="","",SUMIFS('سجل الإجازات والحالات'!$AD$6:$AD$505,'سجل الإجازات والحالات'!$B$6:$B$505,$B102))</f>
        <v/>
      </c>
    </row>
    <row r="103" customFormat="false" ht="15" hidden="false" customHeight="false" outlineLevel="0" collapsed="false">
      <c r="A103" s="115" t="str">
        <f aca="false">IF($B103="","",الموظفون!$A103)</f>
        <v/>
      </c>
      <c r="B103" s="117" t="str">
        <f aca="false">IF(الموظفون!$B103="","",الموظفون!$B103)</f>
        <v/>
      </c>
      <c r="C103" s="117" t="str">
        <f aca="false">IF($B103="","",الموظفون!$C103)</f>
        <v/>
      </c>
      <c r="D103" s="117" t="str">
        <f aca="false">IF($B103="","",الموظفون!$F103)</f>
        <v/>
      </c>
      <c r="E103" s="117" t="str">
        <f aca="false">IF($B103="","",الموظفون!$E103)</f>
        <v/>
      </c>
      <c r="F103" s="117" t="str">
        <f aca="false">IF($B103="","",IF(AK103=0,IF(AND(الموظفون!$AE103&lt;&gt;"",الموظفون!$AE103&lt;$E$3),"✖ منتهي الخدمة","⏳ لم يباشر"),IF(S103&gt;0,"✈ راتب إجازة مقدم",IF(J103=0,"⛔ بدون راتب هذا الشهر",IF(I103&gt;0,"✈ خصم "&amp;ROUND(I103,2)&amp;" يوم بدون أجر",IF(AL103&gt;0,"🌴 إجازة سنوية "&amp;ROUND(AL103,2)&amp;" يوم",IF(H103&gt;0,"⚠ غياب "&amp;ROUND(H103,2)&amp;" يوم","✔ على رأس العمل")))))))</f>
        <v/>
      </c>
      <c r="G103" s="156" t="str">
        <f aca="false">IF($B103="","",IF(AK103&gt;=DAY($F$3),cfg_DAYS_M,MIN(AK103,cfg_DAYS_M)))</f>
        <v/>
      </c>
      <c r="H103" s="156" t="str">
        <f aca="false">IF($B103="","",SUMIFS('الحركات الشهرية'!$D$6:$D$1005,'الحركات الشهرية'!$B$6:$B$1005,$B103,'الحركات الشهرية'!$A$6:$A$1005,$C$3))</f>
        <v/>
      </c>
      <c r="I103" s="156" t="str">
        <f aca="false">IF($B103="","",MIN(G103,IF(AND(AK103&gt;0,AN103&gt;=AK103),G103,AN103)+SUMIFS('الحركات الشهرية'!$E$6:$E$1005,'الحركات الشهرية'!$B$6:$B$1005,$B103,'الحركات الشهرية'!$A$6:$A$1005,$C$3)))</f>
        <v/>
      </c>
      <c r="J103" s="156" t="str">
        <f aca="false">IF($B103="","",MAX(0,G103-H103-I103))</f>
        <v/>
      </c>
      <c r="K103" s="116" t="str">
        <f aca="false">IF($B103="","",الموظفون!$L103*$J103/cfg_DAYS_M)</f>
        <v/>
      </c>
      <c r="L103" s="116" t="str">
        <f aca="false">IF($B103="","",الموظفون!$M103*$J103/cfg_DAYS_M)</f>
        <v/>
      </c>
      <c r="M103" s="116" t="str">
        <f aca="false">IF($B103="","",الموظفون!$N103*$J103/cfg_DAYS_M)</f>
        <v/>
      </c>
      <c r="N103" s="116" t="str">
        <f aca="false">IF($B103="","",الموظفون!$O103*$J103/cfg_DAYS_M)</f>
        <v/>
      </c>
      <c r="O103" s="156" t="str">
        <f aca="false">IF($B103="","",SUMIFS('الحركات الشهرية'!$F$6:$F$1005,'الحركات الشهرية'!$B$6:$B$1005,$B103,'الحركات الشهرية'!$A$6:$A$1005,$C$3))</f>
        <v/>
      </c>
      <c r="P103" s="116" t="str">
        <f aca="false">IF($B103="","",O103*(الموظفون!$P103+الموظفون!$L103*cfg_OT_P)/cfg_DAYS_M/cfg_HRS)</f>
        <v/>
      </c>
      <c r="Q103" s="116" t="str">
        <f aca="false">IF($B103="","",SUMIFS('الحركات الشهرية'!$G$6:$G$1005,'الحركات الشهرية'!$B$6:$B$1005,$B103,'الحركات الشهرية'!$A$6:$A$1005,$C$3))</f>
        <v/>
      </c>
      <c r="R103" s="116" t="str">
        <f aca="false">IF($B103="","",SUMIFS('الحركات الشهرية'!$H$6:$H$1005,'الحركات الشهرية'!$B$6:$B$1005,$B103,'الحركات الشهرية'!$A$6:$A$1005,$C$3))</f>
        <v/>
      </c>
      <c r="S103" s="116" t="str">
        <f aca="false">IF($B103="","",SUMIFS('سجل الإجازات والحالات'!$N$6:$N$505,'سجل الإجازات والحالات'!$B$6:$B$505,$B103,'سجل الإجازات والحالات'!$O$6:$O$505,$C$3))</f>
        <v/>
      </c>
      <c r="T103" s="157" t="str">
        <f aca="false">IF($B103="","",SUM(K103:N103)+SUM(P103:S103))</f>
        <v/>
      </c>
      <c r="U103" s="116" t="str">
        <f aca="false">IF($B103="","",الموظفون!$S103*IF(E103="سعودي",cfg_G_SE,cfg_G_NE)*G103/cfg_DAYS_M)</f>
        <v/>
      </c>
      <c r="V103" s="116" t="str">
        <f aca="false">IF($B103="","",SUMIFS('الحركات الشهرية'!$I$6:$I$1005,'الحركات الشهرية'!$B$6:$B$1005,$B103,'الحركات الشهرية'!$A$6:$A$1005,$C$3))</f>
        <v/>
      </c>
      <c r="W103" s="116" t="str">
        <f aca="false">IF($B103="","",SUMIFS('الحركات الشهرية'!$J$6:$J$1005,'الحركات الشهرية'!$B$6:$B$1005,$B103,'الحركات الشهرية'!$A$6:$A$1005,$C$3))</f>
        <v/>
      </c>
      <c r="X103" s="116" t="str">
        <f aca="false">IF($B103="","",SUM(U103:W103))</f>
        <v/>
      </c>
      <c r="Y103" s="158" t="str">
        <f aca="false">IF($B103="","",T103-X103)</f>
        <v/>
      </c>
      <c r="Z103" s="116" t="str">
        <f aca="false">IF($B103="","",الموظفون!$S103*IF(E103="سعودي",cfg_G_SR,cfg_G_NR)*G103/cfg_DAYS_M)</f>
        <v/>
      </c>
      <c r="AA103" s="116" t="str">
        <f aca="false">IF($B103="","",الموظفون!$Q103*(cfg_EOS_R1*(MIN(AH103,cfg_EOS_TH)-MIN(AI103,cfg_EOS_TH))+cfg_EOS_R2*(MAX(AH103-cfg_EOS_TH,0)-MAX(AI103-cfg_EOS_TH,0))))</f>
        <v/>
      </c>
      <c r="AB103" s="116" t="str">
        <f aca="false">IF($B103="","",IF(الموظفون!$T103&lt;&gt;"",الموظفون!$T103,IF(AH103&gt;=cfg_LV_TH,cfg_LV_D2,cfg_LV_D1))/cfg_DAYS_Y*AJ103*الموظفون!$R103/cfg_DAYS_M)</f>
        <v/>
      </c>
      <c r="AC103" s="116" t="str">
        <f aca="false">IF($B103="","",IF(AND(الموظفون!$U103="نعم",N(الموظفون!$W103)&gt;0),الموظفون!$V103/الموظفون!$W103*12/cfg_DAYS_Y*AJ103,0))</f>
        <v/>
      </c>
      <c r="AD103" s="116" t="str">
        <f aca="false">IF($B103="","",(IF(الموظفون!$X103&lt;&gt;"",الموظفون!$X103,IF(الموظفون!$E103="غير سعودي",cfg_IQ,0))+IF(الموظفون!$Y103&lt;&gt;"",الموظفون!$Y103,IF(الموظفون!$E103="غير سعودي",cfg_WP,0)))/12*G103/cfg_DAYS_M)</f>
        <v/>
      </c>
      <c r="AE103" s="116" t="str">
        <f aca="false">IF($B103="","",IF(الموظفون!$Z103&lt;&gt;"",الموظفون!$Z103,cfg_MED)/12*G103/cfg_DAYS_M)</f>
        <v/>
      </c>
      <c r="AF103" s="116" t="str">
        <f aca="false">IF($B103="","",N(الموظفون!$AA103)/12*G103/cfg_DAYS_M)</f>
        <v/>
      </c>
      <c r="AG103" s="159" t="str">
        <f aca="false">IF($B103="","",T103+SUM(Z103:AF103))</f>
        <v/>
      </c>
      <c r="AH103" s="160" t="str">
        <f aca="false">IF($B103="","",MAX(0,IF(OR(الموظفون!$AE103="",الموظفون!$AE103&gt;$F$3),$F$3,الموظفون!$AE103)-الموظفون!$H103+1-SUMIFS('سجل الإجازات والحالات'!$AP$6:$AP$505,'سجل الإجازات والحالات'!$B$6:$B$505,$B103))/cfg_DAYS_Y)</f>
        <v/>
      </c>
      <c r="AI103" s="160" t="str">
        <f aca="false">IF($B103="","",MAX(0,IF(OR(الموظفون!$AE103="",الموظفون!$AE103&gt;($E$3-1)),($E$3-1),الموظفون!$AE103)-الموظفون!$H103+1-SUMIFS('سجل الإجازات والحالات'!$AO$6:$AO$505,'سجل الإجازات والحالات'!$B$6:$B$505,$B103))/cfg_DAYS_Y)</f>
        <v/>
      </c>
      <c r="AJ103" s="133" t="str">
        <f aca="false">IF($B103="","",MAX(0,AK103-(SUMIFS('سجل الإجازات والحالات'!$AP$6:$AP$505,'سجل الإجازات والحالات'!$B$6:$B$505,$B103)-SUMIFS('سجل الإجازات والحالات'!$AO$6:$AO$505,'سجل الإجازات والحالات'!$B$6:$B$505,$B103))))</f>
        <v/>
      </c>
      <c r="AK103" s="133" t="str">
        <f aca="false">IF($B103="","",MAX(0,IF(OR(الموظفون!$AE103="",الموظفون!$AE103&gt;$F$3),$F$3,الموظفون!$AE103)-MAX($E$3,الموظفون!$H103)+1))</f>
        <v/>
      </c>
      <c r="AL103" s="156" t="str">
        <f aca="false">IF($B103="","",SUMIFS('سجل الإجازات والحالات'!$BB$6:$BB$505,'سجل الإجازات والحالات'!$B$6:$B$505,$B103)+SUMIFS('الحركات الشهرية'!$K$6:$K$1005,'الحركات الشهرية'!$B$6:$B$1005,$B103,'الحركات الشهرية'!$A$6:$A$1005,$C$3))</f>
        <v/>
      </c>
      <c r="AM103" s="116" t="str">
        <f aca="false">IF($B103="","",AL103*الموظفون!$R103/cfg_DAYS_M+S103)</f>
        <v/>
      </c>
      <c r="AN103" s="156" t="str">
        <f aca="false">IF($B103="","",SUMIFS('سجل الإجازات والحالات'!$AD$6:$AD$505,'سجل الإجازات والحالات'!$B$6:$B$505,$B103))</f>
        <v/>
      </c>
    </row>
    <row r="104" customFormat="false" ht="15" hidden="false" customHeight="false" outlineLevel="0" collapsed="false">
      <c r="A104" s="106" t="str">
        <f aca="false">IF($B104="","",الموظفون!$A104)</f>
        <v/>
      </c>
      <c r="B104" s="114" t="str">
        <f aca="false">IF(الموظفون!$B104="","",الموظفون!$B104)</f>
        <v/>
      </c>
      <c r="C104" s="114" t="str">
        <f aca="false">IF($B104="","",الموظفون!$C104)</f>
        <v/>
      </c>
      <c r="D104" s="114" t="str">
        <f aca="false">IF($B104="","",الموظفون!$F104)</f>
        <v/>
      </c>
      <c r="E104" s="114" t="str">
        <f aca="false">IF($B104="","",الموظفون!$E104)</f>
        <v/>
      </c>
      <c r="F104" s="114" t="str">
        <f aca="false">IF($B104="","",IF(AK104=0,IF(AND(الموظفون!$AE104&lt;&gt;"",الموظفون!$AE104&lt;$E$3),"✖ منتهي الخدمة","⏳ لم يباشر"),IF(S104&gt;0,"✈ راتب إجازة مقدم",IF(J104=0,"⛔ بدون راتب هذا الشهر",IF(I104&gt;0,"✈ خصم "&amp;ROUND(I104,2)&amp;" يوم بدون أجر",IF(AL104&gt;0,"🌴 إجازة سنوية "&amp;ROUND(AL104,2)&amp;" يوم",IF(H104&gt;0,"⚠ غياب "&amp;ROUND(H104,2)&amp;" يوم","✔ على رأس العمل")))))))</f>
        <v/>
      </c>
      <c r="G104" s="151" t="str">
        <f aca="false">IF($B104="","",IF(AK104&gt;=DAY($F$3),cfg_DAYS_M,MIN(AK104,cfg_DAYS_M)))</f>
        <v/>
      </c>
      <c r="H104" s="151" t="str">
        <f aca="false">IF($B104="","",SUMIFS('الحركات الشهرية'!$D$6:$D$1005,'الحركات الشهرية'!$B$6:$B$1005,$B104,'الحركات الشهرية'!$A$6:$A$1005,$C$3))</f>
        <v/>
      </c>
      <c r="I104" s="151" t="str">
        <f aca="false">IF($B104="","",MIN(G104,IF(AND(AK104&gt;0,AN104&gt;=AK104),G104,AN104)+SUMIFS('الحركات الشهرية'!$E$6:$E$1005,'الحركات الشهرية'!$B$6:$B$1005,$B104,'الحركات الشهرية'!$A$6:$A$1005,$C$3)))</f>
        <v/>
      </c>
      <c r="J104" s="151" t="str">
        <f aca="false">IF($B104="","",MAX(0,G104-H104-I104))</f>
        <v/>
      </c>
      <c r="K104" s="111" t="str">
        <f aca="false">IF($B104="","",الموظفون!$L104*$J104/cfg_DAYS_M)</f>
        <v/>
      </c>
      <c r="L104" s="111" t="str">
        <f aca="false">IF($B104="","",الموظفون!$M104*$J104/cfg_DAYS_M)</f>
        <v/>
      </c>
      <c r="M104" s="111" t="str">
        <f aca="false">IF($B104="","",الموظفون!$N104*$J104/cfg_DAYS_M)</f>
        <v/>
      </c>
      <c r="N104" s="111" t="str">
        <f aca="false">IF($B104="","",الموظفون!$O104*$J104/cfg_DAYS_M)</f>
        <v/>
      </c>
      <c r="O104" s="151" t="str">
        <f aca="false">IF($B104="","",SUMIFS('الحركات الشهرية'!$F$6:$F$1005,'الحركات الشهرية'!$B$6:$B$1005,$B104,'الحركات الشهرية'!$A$6:$A$1005,$C$3))</f>
        <v/>
      </c>
      <c r="P104" s="111" t="str">
        <f aca="false">IF($B104="","",O104*(الموظفون!$P104+الموظفون!$L104*cfg_OT_P)/cfg_DAYS_M/cfg_HRS)</f>
        <v/>
      </c>
      <c r="Q104" s="111" t="str">
        <f aca="false">IF($B104="","",SUMIFS('الحركات الشهرية'!$G$6:$G$1005,'الحركات الشهرية'!$B$6:$B$1005,$B104,'الحركات الشهرية'!$A$6:$A$1005,$C$3))</f>
        <v/>
      </c>
      <c r="R104" s="111" t="str">
        <f aca="false">IF($B104="","",SUMIFS('الحركات الشهرية'!$H$6:$H$1005,'الحركات الشهرية'!$B$6:$B$1005,$B104,'الحركات الشهرية'!$A$6:$A$1005,$C$3))</f>
        <v/>
      </c>
      <c r="S104" s="111" t="str">
        <f aca="false">IF($B104="","",SUMIFS('سجل الإجازات والحالات'!$N$6:$N$505,'سجل الإجازات والحالات'!$B$6:$B$505,$B104,'سجل الإجازات والحالات'!$O$6:$O$505,$C$3))</f>
        <v/>
      </c>
      <c r="T104" s="152" t="str">
        <f aca="false">IF($B104="","",SUM(K104:N104)+SUM(P104:S104))</f>
        <v/>
      </c>
      <c r="U104" s="111" t="str">
        <f aca="false">IF($B104="","",الموظفون!$S104*IF(E104="سعودي",cfg_G_SE,cfg_G_NE)*G104/cfg_DAYS_M)</f>
        <v/>
      </c>
      <c r="V104" s="111" t="str">
        <f aca="false">IF($B104="","",SUMIFS('الحركات الشهرية'!$I$6:$I$1005,'الحركات الشهرية'!$B$6:$B$1005,$B104,'الحركات الشهرية'!$A$6:$A$1005,$C$3))</f>
        <v/>
      </c>
      <c r="W104" s="111" t="str">
        <f aca="false">IF($B104="","",SUMIFS('الحركات الشهرية'!$J$6:$J$1005,'الحركات الشهرية'!$B$6:$B$1005,$B104,'الحركات الشهرية'!$A$6:$A$1005,$C$3))</f>
        <v/>
      </c>
      <c r="X104" s="111" t="str">
        <f aca="false">IF($B104="","",SUM(U104:W104))</f>
        <v/>
      </c>
      <c r="Y104" s="153" t="str">
        <f aca="false">IF($B104="","",T104-X104)</f>
        <v/>
      </c>
      <c r="Z104" s="111" t="str">
        <f aca="false">IF($B104="","",الموظفون!$S104*IF(E104="سعودي",cfg_G_SR,cfg_G_NR)*G104/cfg_DAYS_M)</f>
        <v/>
      </c>
      <c r="AA104" s="111" t="str">
        <f aca="false">IF($B104="","",الموظفون!$Q104*(cfg_EOS_R1*(MIN(AH104,cfg_EOS_TH)-MIN(AI104,cfg_EOS_TH))+cfg_EOS_R2*(MAX(AH104-cfg_EOS_TH,0)-MAX(AI104-cfg_EOS_TH,0))))</f>
        <v/>
      </c>
      <c r="AB104" s="111" t="str">
        <f aca="false">IF($B104="","",IF(الموظفون!$T104&lt;&gt;"",الموظفون!$T104,IF(AH104&gt;=cfg_LV_TH,cfg_LV_D2,cfg_LV_D1))/cfg_DAYS_Y*AJ104*الموظفون!$R104/cfg_DAYS_M)</f>
        <v/>
      </c>
      <c r="AC104" s="111" t="str">
        <f aca="false">IF($B104="","",IF(AND(الموظفون!$U104="نعم",N(الموظفون!$W104)&gt;0),الموظفون!$V104/الموظفون!$W104*12/cfg_DAYS_Y*AJ104,0))</f>
        <v/>
      </c>
      <c r="AD104" s="111" t="str">
        <f aca="false">IF($B104="","",(IF(الموظفون!$X104&lt;&gt;"",الموظفون!$X104,IF(الموظفون!$E104="غير سعودي",cfg_IQ,0))+IF(الموظفون!$Y104&lt;&gt;"",الموظفون!$Y104,IF(الموظفون!$E104="غير سعودي",cfg_WP,0)))/12*G104/cfg_DAYS_M)</f>
        <v/>
      </c>
      <c r="AE104" s="111" t="str">
        <f aca="false">IF($B104="","",IF(الموظفون!$Z104&lt;&gt;"",الموظفون!$Z104,cfg_MED)/12*G104/cfg_DAYS_M)</f>
        <v/>
      </c>
      <c r="AF104" s="111" t="str">
        <f aca="false">IF($B104="","",N(الموظفون!$AA104)/12*G104/cfg_DAYS_M)</f>
        <v/>
      </c>
      <c r="AG104" s="154" t="str">
        <f aca="false">IF($B104="","",T104+SUM(Z104:AF104))</f>
        <v/>
      </c>
      <c r="AH104" s="155" t="str">
        <f aca="false">IF($B104="","",MAX(0,IF(OR(الموظفون!$AE104="",الموظفون!$AE104&gt;$F$3),$F$3,الموظفون!$AE104)-الموظفون!$H104+1-SUMIFS('سجل الإجازات والحالات'!$AP$6:$AP$505,'سجل الإجازات والحالات'!$B$6:$B$505,$B104))/cfg_DAYS_Y)</f>
        <v/>
      </c>
      <c r="AI104" s="155" t="str">
        <f aca="false">IF($B104="","",MAX(0,IF(OR(الموظفون!$AE104="",الموظفون!$AE104&gt;($E$3-1)),($E$3-1),الموظفون!$AE104)-الموظفون!$H104+1-SUMIFS('سجل الإجازات والحالات'!$AO$6:$AO$505,'سجل الإجازات والحالات'!$B$6:$B$505,$B104))/cfg_DAYS_Y)</f>
        <v/>
      </c>
      <c r="AJ104" s="65" t="str">
        <f aca="false">IF($B104="","",MAX(0,AK104-(SUMIFS('سجل الإجازات والحالات'!$AP$6:$AP$505,'سجل الإجازات والحالات'!$B$6:$B$505,$B104)-SUMIFS('سجل الإجازات والحالات'!$AO$6:$AO$505,'سجل الإجازات والحالات'!$B$6:$B$505,$B104))))</f>
        <v/>
      </c>
      <c r="AK104" s="65" t="str">
        <f aca="false">IF($B104="","",MAX(0,IF(OR(الموظفون!$AE104="",الموظفون!$AE104&gt;$F$3),$F$3,الموظفون!$AE104)-MAX($E$3,الموظفون!$H104)+1))</f>
        <v/>
      </c>
      <c r="AL104" s="151" t="str">
        <f aca="false">IF($B104="","",SUMIFS('سجل الإجازات والحالات'!$BB$6:$BB$505,'سجل الإجازات والحالات'!$B$6:$B$505,$B104)+SUMIFS('الحركات الشهرية'!$K$6:$K$1005,'الحركات الشهرية'!$B$6:$B$1005,$B104,'الحركات الشهرية'!$A$6:$A$1005,$C$3))</f>
        <v/>
      </c>
      <c r="AM104" s="111" t="str">
        <f aca="false">IF($B104="","",AL104*الموظفون!$R104/cfg_DAYS_M+S104)</f>
        <v/>
      </c>
      <c r="AN104" s="151" t="str">
        <f aca="false">IF($B104="","",SUMIFS('سجل الإجازات والحالات'!$AD$6:$AD$505,'سجل الإجازات والحالات'!$B$6:$B$505,$B104))</f>
        <v/>
      </c>
    </row>
    <row r="105" customFormat="false" ht="15" hidden="false" customHeight="false" outlineLevel="0" collapsed="false">
      <c r="A105" s="115" t="str">
        <f aca="false">IF($B105="","",الموظفون!$A105)</f>
        <v/>
      </c>
      <c r="B105" s="117" t="str">
        <f aca="false">IF(الموظفون!$B105="","",الموظفون!$B105)</f>
        <v/>
      </c>
      <c r="C105" s="117" t="str">
        <f aca="false">IF($B105="","",الموظفون!$C105)</f>
        <v/>
      </c>
      <c r="D105" s="117" t="str">
        <f aca="false">IF($B105="","",الموظفون!$F105)</f>
        <v/>
      </c>
      <c r="E105" s="117" t="str">
        <f aca="false">IF($B105="","",الموظفون!$E105)</f>
        <v/>
      </c>
      <c r="F105" s="117" t="str">
        <f aca="false">IF($B105="","",IF(AK105=0,IF(AND(الموظفون!$AE105&lt;&gt;"",الموظفون!$AE105&lt;$E$3),"✖ منتهي الخدمة","⏳ لم يباشر"),IF(S105&gt;0,"✈ راتب إجازة مقدم",IF(J105=0,"⛔ بدون راتب هذا الشهر",IF(I105&gt;0,"✈ خصم "&amp;ROUND(I105,2)&amp;" يوم بدون أجر",IF(AL105&gt;0,"🌴 إجازة سنوية "&amp;ROUND(AL105,2)&amp;" يوم",IF(H105&gt;0,"⚠ غياب "&amp;ROUND(H105,2)&amp;" يوم","✔ على رأس العمل")))))))</f>
        <v/>
      </c>
      <c r="G105" s="156" t="str">
        <f aca="false">IF($B105="","",IF(AK105&gt;=DAY($F$3),cfg_DAYS_M,MIN(AK105,cfg_DAYS_M)))</f>
        <v/>
      </c>
      <c r="H105" s="156" t="str">
        <f aca="false">IF($B105="","",SUMIFS('الحركات الشهرية'!$D$6:$D$1005,'الحركات الشهرية'!$B$6:$B$1005,$B105,'الحركات الشهرية'!$A$6:$A$1005,$C$3))</f>
        <v/>
      </c>
      <c r="I105" s="156" t="str">
        <f aca="false">IF($B105="","",MIN(G105,IF(AND(AK105&gt;0,AN105&gt;=AK105),G105,AN105)+SUMIFS('الحركات الشهرية'!$E$6:$E$1005,'الحركات الشهرية'!$B$6:$B$1005,$B105,'الحركات الشهرية'!$A$6:$A$1005,$C$3)))</f>
        <v/>
      </c>
      <c r="J105" s="156" t="str">
        <f aca="false">IF($B105="","",MAX(0,G105-H105-I105))</f>
        <v/>
      </c>
      <c r="K105" s="116" t="str">
        <f aca="false">IF($B105="","",الموظفون!$L105*$J105/cfg_DAYS_M)</f>
        <v/>
      </c>
      <c r="L105" s="116" t="str">
        <f aca="false">IF($B105="","",الموظفون!$M105*$J105/cfg_DAYS_M)</f>
        <v/>
      </c>
      <c r="M105" s="116" t="str">
        <f aca="false">IF($B105="","",الموظفون!$N105*$J105/cfg_DAYS_M)</f>
        <v/>
      </c>
      <c r="N105" s="116" t="str">
        <f aca="false">IF($B105="","",الموظفون!$O105*$J105/cfg_DAYS_M)</f>
        <v/>
      </c>
      <c r="O105" s="156" t="str">
        <f aca="false">IF($B105="","",SUMIFS('الحركات الشهرية'!$F$6:$F$1005,'الحركات الشهرية'!$B$6:$B$1005,$B105,'الحركات الشهرية'!$A$6:$A$1005,$C$3))</f>
        <v/>
      </c>
      <c r="P105" s="116" t="str">
        <f aca="false">IF($B105="","",O105*(الموظفون!$P105+الموظفون!$L105*cfg_OT_P)/cfg_DAYS_M/cfg_HRS)</f>
        <v/>
      </c>
      <c r="Q105" s="116" t="str">
        <f aca="false">IF($B105="","",SUMIFS('الحركات الشهرية'!$G$6:$G$1005,'الحركات الشهرية'!$B$6:$B$1005,$B105,'الحركات الشهرية'!$A$6:$A$1005,$C$3))</f>
        <v/>
      </c>
      <c r="R105" s="116" t="str">
        <f aca="false">IF($B105="","",SUMIFS('الحركات الشهرية'!$H$6:$H$1005,'الحركات الشهرية'!$B$6:$B$1005,$B105,'الحركات الشهرية'!$A$6:$A$1005,$C$3))</f>
        <v/>
      </c>
      <c r="S105" s="116" t="str">
        <f aca="false">IF($B105="","",SUMIFS('سجل الإجازات والحالات'!$N$6:$N$505,'سجل الإجازات والحالات'!$B$6:$B$505,$B105,'سجل الإجازات والحالات'!$O$6:$O$505,$C$3))</f>
        <v/>
      </c>
      <c r="T105" s="157" t="str">
        <f aca="false">IF($B105="","",SUM(K105:N105)+SUM(P105:S105))</f>
        <v/>
      </c>
      <c r="U105" s="116" t="str">
        <f aca="false">IF($B105="","",الموظفون!$S105*IF(E105="سعودي",cfg_G_SE,cfg_G_NE)*G105/cfg_DAYS_M)</f>
        <v/>
      </c>
      <c r="V105" s="116" t="str">
        <f aca="false">IF($B105="","",SUMIFS('الحركات الشهرية'!$I$6:$I$1005,'الحركات الشهرية'!$B$6:$B$1005,$B105,'الحركات الشهرية'!$A$6:$A$1005,$C$3))</f>
        <v/>
      </c>
      <c r="W105" s="116" t="str">
        <f aca="false">IF($B105="","",SUMIFS('الحركات الشهرية'!$J$6:$J$1005,'الحركات الشهرية'!$B$6:$B$1005,$B105,'الحركات الشهرية'!$A$6:$A$1005,$C$3))</f>
        <v/>
      </c>
      <c r="X105" s="116" t="str">
        <f aca="false">IF($B105="","",SUM(U105:W105))</f>
        <v/>
      </c>
      <c r="Y105" s="158" t="str">
        <f aca="false">IF($B105="","",T105-X105)</f>
        <v/>
      </c>
      <c r="Z105" s="116" t="str">
        <f aca="false">IF($B105="","",الموظفون!$S105*IF(E105="سعودي",cfg_G_SR,cfg_G_NR)*G105/cfg_DAYS_M)</f>
        <v/>
      </c>
      <c r="AA105" s="116" t="str">
        <f aca="false">IF($B105="","",الموظفون!$Q105*(cfg_EOS_R1*(MIN(AH105,cfg_EOS_TH)-MIN(AI105,cfg_EOS_TH))+cfg_EOS_R2*(MAX(AH105-cfg_EOS_TH,0)-MAX(AI105-cfg_EOS_TH,0))))</f>
        <v/>
      </c>
      <c r="AB105" s="116" t="str">
        <f aca="false">IF($B105="","",IF(الموظفون!$T105&lt;&gt;"",الموظفون!$T105,IF(AH105&gt;=cfg_LV_TH,cfg_LV_D2,cfg_LV_D1))/cfg_DAYS_Y*AJ105*الموظفون!$R105/cfg_DAYS_M)</f>
        <v/>
      </c>
      <c r="AC105" s="116" t="str">
        <f aca="false">IF($B105="","",IF(AND(الموظفون!$U105="نعم",N(الموظفون!$W105)&gt;0),الموظفون!$V105/الموظفون!$W105*12/cfg_DAYS_Y*AJ105,0))</f>
        <v/>
      </c>
      <c r="AD105" s="116" t="str">
        <f aca="false">IF($B105="","",(IF(الموظفون!$X105&lt;&gt;"",الموظفون!$X105,IF(الموظفون!$E105="غير سعودي",cfg_IQ,0))+IF(الموظفون!$Y105&lt;&gt;"",الموظفون!$Y105,IF(الموظفون!$E105="غير سعودي",cfg_WP,0)))/12*G105/cfg_DAYS_M)</f>
        <v/>
      </c>
      <c r="AE105" s="116" t="str">
        <f aca="false">IF($B105="","",IF(الموظفون!$Z105&lt;&gt;"",الموظفون!$Z105,cfg_MED)/12*G105/cfg_DAYS_M)</f>
        <v/>
      </c>
      <c r="AF105" s="116" t="str">
        <f aca="false">IF($B105="","",N(الموظفون!$AA105)/12*G105/cfg_DAYS_M)</f>
        <v/>
      </c>
      <c r="AG105" s="159" t="str">
        <f aca="false">IF($B105="","",T105+SUM(Z105:AF105))</f>
        <v/>
      </c>
      <c r="AH105" s="160" t="str">
        <f aca="false">IF($B105="","",MAX(0,IF(OR(الموظفون!$AE105="",الموظفون!$AE105&gt;$F$3),$F$3,الموظفون!$AE105)-الموظفون!$H105+1-SUMIFS('سجل الإجازات والحالات'!$AP$6:$AP$505,'سجل الإجازات والحالات'!$B$6:$B$505,$B105))/cfg_DAYS_Y)</f>
        <v/>
      </c>
      <c r="AI105" s="160" t="str">
        <f aca="false">IF($B105="","",MAX(0,IF(OR(الموظفون!$AE105="",الموظفون!$AE105&gt;($E$3-1)),($E$3-1),الموظفون!$AE105)-الموظفون!$H105+1-SUMIFS('سجل الإجازات والحالات'!$AO$6:$AO$505,'سجل الإجازات والحالات'!$B$6:$B$505,$B105))/cfg_DAYS_Y)</f>
        <v/>
      </c>
      <c r="AJ105" s="133" t="str">
        <f aca="false">IF($B105="","",MAX(0,AK105-(SUMIFS('سجل الإجازات والحالات'!$AP$6:$AP$505,'سجل الإجازات والحالات'!$B$6:$B$505,$B105)-SUMIFS('سجل الإجازات والحالات'!$AO$6:$AO$505,'سجل الإجازات والحالات'!$B$6:$B$505,$B105))))</f>
        <v/>
      </c>
      <c r="AK105" s="133" t="str">
        <f aca="false">IF($B105="","",MAX(0,IF(OR(الموظفون!$AE105="",الموظفون!$AE105&gt;$F$3),$F$3,الموظفون!$AE105)-MAX($E$3,الموظفون!$H105)+1))</f>
        <v/>
      </c>
      <c r="AL105" s="156" t="str">
        <f aca="false">IF($B105="","",SUMIFS('سجل الإجازات والحالات'!$BB$6:$BB$505,'سجل الإجازات والحالات'!$B$6:$B$505,$B105)+SUMIFS('الحركات الشهرية'!$K$6:$K$1005,'الحركات الشهرية'!$B$6:$B$1005,$B105,'الحركات الشهرية'!$A$6:$A$1005,$C$3))</f>
        <v/>
      </c>
      <c r="AM105" s="116" t="str">
        <f aca="false">IF($B105="","",AL105*الموظفون!$R105/cfg_DAYS_M+S105)</f>
        <v/>
      </c>
      <c r="AN105" s="156" t="str">
        <f aca="false">IF($B105="","",SUMIFS('سجل الإجازات والحالات'!$AD$6:$AD$505,'سجل الإجازات والحالات'!$B$6:$B$505,$B105))</f>
        <v/>
      </c>
    </row>
    <row r="106" customFormat="false" ht="24" hidden="false" customHeight="true" outlineLevel="0" collapsed="false">
      <c r="A106" s="124"/>
      <c r="B106" s="125" t="str">
        <f aca="false">COUNTIF(G6:G105,"&gt;0")&amp;" موظف"</f>
        <v>11 موظف</v>
      </c>
      <c r="C106" s="124" t="s">
        <v>161</v>
      </c>
      <c r="D106" s="124"/>
      <c r="E106" s="124"/>
      <c r="F106" s="125" t="str">
        <f aca="false">COUNTIFS(G6:G105,"&gt;0",J6:J105,0)&amp;" بدون راتب"</f>
        <v>0 بدون راتب</v>
      </c>
      <c r="G106" s="124"/>
      <c r="H106" s="161" t="n">
        <f aca="false">SUM(H6:H105)</f>
        <v>0</v>
      </c>
      <c r="I106" s="161" t="n">
        <f aca="false">SUM(I6:I105)</f>
        <v>13.5</v>
      </c>
      <c r="J106" s="161" t="n">
        <f aca="false">SUM(J6:J105)</f>
        <v>316.5</v>
      </c>
      <c r="K106" s="125" t="n">
        <f aca="false">SUM(K6:K105)</f>
        <v>130733.333333333</v>
      </c>
      <c r="L106" s="125" t="n">
        <f aca="false">SUM(L6:L105)</f>
        <v>32683.3333333333</v>
      </c>
      <c r="M106" s="125" t="n">
        <f aca="false">SUM(M6:M105)</f>
        <v>13073.3333333333</v>
      </c>
      <c r="N106" s="125" t="n">
        <f aca="false">SUM(N6:N105)</f>
        <v>9258.33333333333</v>
      </c>
      <c r="O106" s="161" t="n">
        <f aca="false">SUM(O6:O105)</f>
        <v>6</v>
      </c>
      <c r="P106" s="125" t="n">
        <f aca="false">SUM(P6:P105)</f>
        <v>416.25</v>
      </c>
      <c r="Q106" s="125" t="n">
        <f aca="false">SUM(Q6:Q105)</f>
        <v>0</v>
      </c>
      <c r="R106" s="125" t="n">
        <f aca="false">SUM(R6:R105)</f>
        <v>1500</v>
      </c>
      <c r="S106" s="125" t="n">
        <f aca="false">SUM(S6:S105)</f>
        <v>0</v>
      </c>
      <c r="T106" s="125" t="n">
        <f aca="false">SUM(T6:T105)</f>
        <v>187664.583333333</v>
      </c>
      <c r="U106" s="125" t="n">
        <f aca="false">SUM(U6:U105)</f>
        <v>12370.3125</v>
      </c>
      <c r="V106" s="125" t="n">
        <f aca="false">SUM(V6:V105)</f>
        <v>0</v>
      </c>
      <c r="W106" s="125" t="n">
        <f aca="false">SUM(W6:W105)</f>
        <v>250</v>
      </c>
      <c r="X106" s="125" t="n">
        <f aca="false">SUM(X6:X105)</f>
        <v>12620.3125</v>
      </c>
      <c r="Y106" s="125" t="n">
        <f aca="false">SUM(Y6:Y105)</f>
        <v>175044.270833333</v>
      </c>
      <c r="Z106" s="125" t="n">
        <f aca="false">SUM(Z6:Z105)</f>
        <v>15782.8125</v>
      </c>
      <c r="AA106" s="125" t="n">
        <f aca="false">SUM(AA6:AA105)</f>
        <v>13035.8219178082</v>
      </c>
      <c r="AB106" s="125" t="n">
        <f aca="false">SUM(AB6:AB105)</f>
        <v>13668.2876712329</v>
      </c>
      <c r="AC106" s="125" t="n">
        <f aca="false">SUM(AC6:AC105)</f>
        <v>821.917808219178</v>
      </c>
      <c r="AD106" s="125" t="n">
        <f aca="false">SUM(AD6:AD105)</f>
        <v>3416.66666666667</v>
      </c>
      <c r="AE106" s="125" t="n">
        <f aca="false">SUM(AE6:AE105)</f>
        <v>2650</v>
      </c>
      <c r="AF106" s="125" t="n">
        <f aca="false">SUM(AF6:AF105)</f>
        <v>400</v>
      </c>
      <c r="AG106" s="125" t="n">
        <f aca="false">SUM(AG6:AG105)</f>
        <v>237440.08989726</v>
      </c>
      <c r="AH106" s="124"/>
      <c r="AI106" s="124"/>
      <c r="AJ106" s="124"/>
      <c r="AK106" s="124"/>
      <c r="AL106" s="161" t="n">
        <f aca="false">SUM(AL6:AL105)</f>
        <v>0</v>
      </c>
      <c r="AM106" s="125" t="n">
        <f aca="false">SUM(AM6:AM105)</f>
        <v>0</v>
      </c>
      <c r="AN106" s="124"/>
    </row>
    <row r="107" customFormat="false" ht="48" hidden="false" customHeight="true" outlineLevel="0" collapsed="false">
      <c r="A107" s="24" t="s">
        <v>505</v>
      </c>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row>
  </sheetData>
  <sheetProtection sheet="true" password="ffa5" objects="true" scenarios="true"/>
  <autoFilter ref="A5:AN105"/>
  <mergeCells count="6">
    <mergeCell ref="A1:AG1"/>
    <mergeCell ref="A2:AG2"/>
    <mergeCell ref="G3:H3"/>
    <mergeCell ref="J3:K3"/>
    <mergeCell ref="L3:M3"/>
    <mergeCell ref="A107:AN107"/>
  </mergeCells>
  <conditionalFormatting sqref="G3">
    <cfRule type="expression" priority="2" aboveAverage="0" equalAverage="0" bottom="0" percent="0" rank="0" text="" dxfId="0">
      <formula>ISNUMBER(SEARCH("✔",G3))</formula>
    </cfRule>
    <cfRule type="expression" priority="3" aboveAverage="0" equalAverage="0" bottom="0" percent="0" rank="0" text="" dxfId="1">
      <formula>ISNUMBER(SEARCH("✖",G3))</formula>
    </cfRule>
    <cfRule type="expression" priority="4" aboveAverage="0" equalAverage="0" bottom="0" percent="0" rank="0" text="" dxfId="2">
      <formula>ISNUMBER(SEARCH("⚠",G3))</formula>
    </cfRule>
    <cfRule type="expression" priority="5" aboveAverage="0" equalAverage="0" bottom="0" percent="0" rank="0" text="" dxfId="3">
      <formula>ISNUMBER(SEARCH("✈",G3))</formula>
    </cfRule>
    <cfRule type="expression" priority="6" aboveAverage="0" equalAverage="0" bottom="0" percent="0" rank="0" text="" dxfId="1">
      <formula>ISNUMBER(SEARCH("⛔",G3))</formula>
    </cfRule>
    <cfRule type="expression" priority="7" aboveAverage="0" equalAverage="0" bottom="0" percent="0" rank="0" text="" dxfId="0">
      <formula>ISNUMBER(SEARCH("🌴",G3))</formula>
    </cfRule>
    <cfRule type="expression" priority="8" aboveAverage="0" equalAverage="0" bottom="0" percent="0" rank="0" text="" dxfId="4">
      <formula>ISNUMBER(SEARCH("⏳",G3))</formula>
    </cfRule>
  </conditionalFormatting>
  <conditionalFormatting sqref="F6:F105">
    <cfRule type="expression" priority="9" aboveAverage="0" equalAverage="0" bottom="0" percent="0" rank="0" text="" dxfId="0">
      <formula>ISNUMBER(SEARCH("✔",F6))</formula>
    </cfRule>
    <cfRule type="expression" priority="10" aboveAverage="0" equalAverage="0" bottom="0" percent="0" rank="0" text="" dxfId="1">
      <formula>ISNUMBER(SEARCH("✖",F6))</formula>
    </cfRule>
    <cfRule type="expression" priority="11" aboveAverage="0" equalAverage="0" bottom="0" percent="0" rank="0" text="" dxfId="2">
      <formula>ISNUMBER(SEARCH("⚠",F6))</formula>
    </cfRule>
    <cfRule type="expression" priority="12" aboveAverage="0" equalAverage="0" bottom="0" percent="0" rank="0" text="" dxfId="3">
      <formula>ISNUMBER(SEARCH("✈",F6))</formula>
    </cfRule>
    <cfRule type="expression" priority="13" aboveAverage="0" equalAverage="0" bottom="0" percent="0" rank="0" text="" dxfId="1">
      <formula>ISNUMBER(SEARCH("⛔",F6))</formula>
    </cfRule>
    <cfRule type="expression" priority="14" aboveAverage="0" equalAverage="0" bottom="0" percent="0" rank="0" text="" dxfId="0">
      <formula>ISNUMBER(SEARCH("🌴",F6))</formula>
    </cfRule>
    <cfRule type="expression" priority="15" aboveAverage="0" equalAverage="0" bottom="0" percent="0" rank="0" text="" dxfId="4">
      <formula>ISNUMBER(SEARCH("⏳",F6))</formula>
    </cfRule>
  </conditionalFormatting>
  <conditionalFormatting sqref="G6:AN105">
    <cfRule type="expression" priority="16" aboveAverage="0" equalAverage="0" bottom="0" percent="0" rank="0" text="" dxfId="31">
      <formula>AND($B6&lt;&gt;"",$J6=0)</formula>
    </cfRule>
  </conditionalFormatting>
  <conditionalFormatting sqref="Y6:Y105">
    <cfRule type="expression" priority="17" aboveAverage="0" equalAverage="0" bottom="0" percent="0" rank="0" text="" dxfId="1">
      <formula>AND(ISNUMBER(Y6),Y6&lt;0)</formula>
    </cfRule>
  </conditionalFormatting>
  <hyperlinks>
    <hyperlink ref="A2" r:id="rId1" display="https://accopro.net/"/>
    <hyperlink ref="J3" location="'مسير أغسطس'!A1" display="◀ الشهر السابق"/>
    <hyperlink ref="L3" location="'مسير أكتوبر'!A1" display="الشهر التالي ▶"/>
    <hyperlink ref="O3" location="'الرئيسية'!A1" display="🏠 الرئيسية"/>
    <hyperlink ref="P3" location="'لوحة التحكم'!A1" display="📊 لوحة التحكم"/>
    <hyperlink ref="R3" location="'الموظفون'!A1" display="👥 الموظفون"/>
    <hyperlink ref="S3" location="'سجل الإجازات والحالات'!A1" display="🌴 سجل الإجازات"/>
    <hyperlink ref="U3" location="'الحركات الشهرية'!A1" display="✍ الحركات"/>
    <hyperlink ref="W3" location="'الملخص الشهري'!A1" display="📅 الملخص الشهري"/>
    <hyperlink ref="Y3" location="'قيود الرواتب'!A1" display="🧾 القيود"/>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&amp;Cنسخة تجريبية — النسخة الكاملة: accopro.net</oddHeader>
    <oddFooter>&amp;CAccoPro — https://accopro.net</oddFooter>
  </headerFooter>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N107"/>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24"/>
    <col collapsed="false" customWidth="true" hidden="false" outlineLevel="0" max="4" min="4" style="0" width="14"/>
    <col collapsed="false" customWidth="true" hidden="false" outlineLevel="0" max="5" min="5" style="0" width="10"/>
    <col collapsed="false" customWidth="true" hidden="false" outlineLevel="0" max="6" min="6" style="0" width="20"/>
    <col collapsed="false" customWidth="true" hidden="false" outlineLevel="0" max="8" min="7" style="0" width="8"/>
    <col collapsed="false" customWidth="true" hidden="false" outlineLevel="0" max="9" min="9" style="0" width="9"/>
    <col collapsed="false" customWidth="true" hidden="false" outlineLevel="0" max="10" min="10" style="0" width="8"/>
    <col collapsed="false" customWidth="true" hidden="false" outlineLevel="0" max="11" min="11" style="0" width="12"/>
    <col collapsed="false" customWidth="true" hidden="false" outlineLevel="0" max="12" min="12" style="0" width="11"/>
    <col collapsed="false" customWidth="true" hidden="false" outlineLevel="0" max="14" min="13" style="0" width="10"/>
    <col collapsed="false" customWidth="true" hidden="false" outlineLevel="0" max="15" min="15" style="0" width="7"/>
    <col collapsed="false" customWidth="true" hidden="false" outlineLevel="0" max="19" min="16" style="0" width="11"/>
    <col collapsed="false" customWidth="true" hidden="false" outlineLevel="0" max="20" min="20" style="0" width="13"/>
    <col collapsed="false" customWidth="true" hidden="false" outlineLevel="0" max="21" min="21" style="0" width="11"/>
    <col collapsed="false" customWidth="true" hidden="false" outlineLevel="0" max="23" min="22" style="0" width="10"/>
    <col collapsed="false" customWidth="true" hidden="false" outlineLevel="0" max="24" min="24" style="0" width="12"/>
    <col collapsed="false" customWidth="true" hidden="false" outlineLevel="0" max="25" min="25" style="0" width="13"/>
    <col collapsed="false" customWidth="true" hidden="false" outlineLevel="0" max="26" min="26" style="0" width="11"/>
    <col collapsed="false" customWidth="true" hidden="false" outlineLevel="0" max="27" min="27" style="0" width="12"/>
    <col collapsed="false" customWidth="true" hidden="false" outlineLevel="0" max="29" min="28" style="0" width="11"/>
    <col collapsed="false" customWidth="true" hidden="false" outlineLevel="0" max="30" min="30" style="0" width="12"/>
    <col collapsed="false" customWidth="true" hidden="false" outlineLevel="0" max="31" min="31" style="0" width="11"/>
    <col collapsed="false" customWidth="true" hidden="false" outlineLevel="0" max="32" min="32" style="0" width="10"/>
    <col collapsed="false" customWidth="true" hidden="false" outlineLevel="0" max="33" min="33" style="0" width="14"/>
    <col collapsed="false" customWidth="true" hidden="true" outlineLevel="0" max="38" min="34" style="0" width="9"/>
    <col collapsed="false" customWidth="true" hidden="true" outlineLevel="0" max="39" min="39" style="0" width="11"/>
    <col collapsed="false" customWidth="true" hidden="true" outlineLevel="0" max="40" min="40" style="0" width="9"/>
  </cols>
  <sheetData>
    <row r="1" customFormat="false" ht="37.5" hidden="false" customHeight="true" outlineLevel="0" collapsed="false">
      <c r="A1" s="136" t="str">
        <f aca="false">"💵 مسير رواتب شهر أكتوبر "&amp;cfg_FY&amp;"   🔒 نسخة تجريبية"</f>
        <v>💵 مسير رواتب شهر أكتوبر 2026   🔒 نسخة تجريبية</v>
      </c>
      <c r="B1" s="136"/>
      <c r="C1" s="136"/>
      <c r="D1" s="136"/>
      <c r="E1" s="136"/>
      <c r="F1" s="136"/>
      <c r="G1" s="136"/>
      <c r="H1" s="136"/>
      <c r="I1" s="136"/>
      <c r="J1" s="136"/>
      <c r="K1" s="136"/>
      <c r="L1" s="136"/>
      <c r="M1" s="136"/>
      <c r="N1" s="136"/>
      <c r="O1" s="136"/>
      <c r="P1" s="136"/>
      <c r="Q1" s="136"/>
      <c r="R1" s="136"/>
      <c r="S1" s="136"/>
      <c r="T1" s="136"/>
      <c r="U1" s="136"/>
      <c r="V1" s="136"/>
      <c r="W1" s="136"/>
      <c r="X1" s="136"/>
      <c r="Y1" s="136"/>
      <c r="Z1" s="136"/>
      <c r="AA1" s="136"/>
      <c r="AB1" s="136"/>
      <c r="AC1" s="136"/>
      <c r="AD1" s="136"/>
      <c r="AE1" s="136"/>
      <c r="AF1" s="136"/>
      <c r="AG1" s="136"/>
    </row>
    <row r="2" customFormat="false" ht="19.5" hidden="false" customHeight="true" outlineLevel="0" collapsed="false">
      <c r="A2" s="2" t="str">
        <f aca="false">"🛒 نسخة تجريبية — للنسخة الكاملة اضغط هنا ← accopro.net   |   "&amp;cfg_CO&amp;"   |   السنة المالية "&amp;cfg_FY&amp;"   |   شهر التقرير: "&amp;INDEX(L_MONTH,cfg_VAL_M)&amp;"   |   المبالغ بـ "&amp;cfg_CUR</f>
        <v>🛒 نسخة تجريبية — للنسخة الكاملة اضغط هنا ← accopro.net   |   شركة النخبة للتجارة والمقاولات   |   السنة المالية 2026   |   شهر التقرير: سبتمبر   |   المبالغ بـ ريال سعودي</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row>
    <row r="3" customFormat="false" ht="25.5" hidden="false" customHeight="true" outlineLevel="0" collapsed="false">
      <c r="B3" s="137" t="s">
        <v>163</v>
      </c>
      <c r="C3" s="138" t="n">
        <v>10</v>
      </c>
      <c r="D3" s="137" t="s">
        <v>472</v>
      </c>
      <c r="E3" s="139" t="n">
        <f aca="false">DATE(cfg_FY,C3,1)</f>
        <v>46296</v>
      </c>
      <c r="F3" s="139" t="n">
        <f aca="false">EOMONTH(E3,0)</f>
        <v>46326</v>
      </c>
      <c r="G3" s="140" t="str">
        <f aca="false">IF(C3&lt;=cfg_VAL_M,"✔ فعلي","⚠ متوقع")</f>
        <v>⚠ متوقع</v>
      </c>
      <c r="H3" s="140"/>
      <c r="J3" s="141" t="s">
        <v>506</v>
      </c>
      <c r="K3" s="141"/>
      <c r="L3" s="141" t="s">
        <v>473</v>
      </c>
      <c r="M3" s="141"/>
      <c r="O3" s="31" t="s">
        <v>114</v>
      </c>
      <c r="P3" s="12" t="s">
        <v>172</v>
      </c>
      <c r="R3" s="32" t="s">
        <v>116</v>
      </c>
      <c r="S3" s="33" t="s">
        <v>117</v>
      </c>
      <c r="U3" s="32" t="s">
        <v>118</v>
      </c>
      <c r="W3" s="32" t="s">
        <v>39</v>
      </c>
      <c r="Y3" s="32" t="s">
        <v>173</v>
      </c>
    </row>
    <row r="4" customFormat="false" ht="7.5" hidden="false" customHeight="true" outlineLevel="0" collapsed="false"/>
    <row r="5" customFormat="false" ht="51.75" hidden="false" customHeight="true" outlineLevel="0" collapsed="false">
      <c r="A5" s="142" t="s">
        <v>308</v>
      </c>
      <c r="B5" s="142" t="s">
        <v>309</v>
      </c>
      <c r="C5" s="142" t="s">
        <v>310</v>
      </c>
      <c r="D5" s="142" t="s">
        <v>156</v>
      </c>
      <c r="E5" s="142" t="s">
        <v>142</v>
      </c>
      <c r="F5" s="142" t="s">
        <v>474</v>
      </c>
      <c r="G5" s="143" t="s">
        <v>475</v>
      </c>
      <c r="H5" s="143" t="s">
        <v>476</v>
      </c>
      <c r="I5" s="143" t="s">
        <v>477</v>
      </c>
      <c r="J5" s="143" t="s">
        <v>478</v>
      </c>
      <c r="K5" s="144" t="s">
        <v>479</v>
      </c>
      <c r="L5" s="144" t="s">
        <v>480</v>
      </c>
      <c r="M5" s="144" t="s">
        <v>481</v>
      </c>
      <c r="N5" s="144" t="s">
        <v>482</v>
      </c>
      <c r="O5" s="144" t="s">
        <v>483</v>
      </c>
      <c r="P5" s="144" t="s">
        <v>484</v>
      </c>
      <c r="Q5" s="144" t="s">
        <v>451</v>
      </c>
      <c r="R5" s="144" t="s">
        <v>485</v>
      </c>
      <c r="S5" s="144" t="s">
        <v>486</v>
      </c>
      <c r="T5" s="144" t="s">
        <v>127</v>
      </c>
      <c r="U5" s="145" t="s">
        <v>487</v>
      </c>
      <c r="V5" s="145" t="s">
        <v>453</v>
      </c>
      <c r="W5" s="145" t="s">
        <v>454</v>
      </c>
      <c r="X5" s="145" t="s">
        <v>488</v>
      </c>
      <c r="Y5" s="146" t="s">
        <v>489</v>
      </c>
      <c r="Z5" s="147" t="s">
        <v>490</v>
      </c>
      <c r="AA5" s="147" t="s">
        <v>491</v>
      </c>
      <c r="AB5" s="147" t="s">
        <v>492</v>
      </c>
      <c r="AC5" s="147" t="s">
        <v>493</v>
      </c>
      <c r="AD5" s="148" t="s">
        <v>494</v>
      </c>
      <c r="AE5" s="148" t="s">
        <v>495</v>
      </c>
      <c r="AF5" s="148" t="s">
        <v>496</v>
      </c>
      <c r="AG5" s="149" t="s">
        <v>497</v>
      </c>
      <c r="AH5" s="150" t="s">
        <v>498</v>
      </c>
      <c r="AI5" s="150" t="s">
        <v>499</v>
      </c>
      <c r="AJ5" s="150" t="s">
        <v>500</v>
      </c>
      <c r="AK5" s="150" t="s">
        <v>501</v>
      </c>
      <c r="AL5" s="150" t="s">
        <v>502</v>
      </c>
      <c r="AM5" s="150" t="s">
        <v>503</v>
      </c>
      <c r="AN5" s="150" t="s">
        <v>504</v>
      </c>
    </row>
    <row r="6" customFormat="false" ht="15" hidden="false" customHeight="false" outlineLevel="0" collapsed="false">
      <c r="A6" s="106" t="n">
        <f aca="false">IF($B6="","",الموظفون!$A6)</f>
        <v>1</v>
      </c>
      <c r="B6" s="114" t="str">
        <f aca="false">IF(الموظفون!$B6="","",الموظفون!$B6)</f>
        <v>E001</v>
      </c>
      <c r="C6" s="114" t="str">
        <f aca="false">IF($B6="","",الموظفون!$C6)</f>
        <v>عبدالله محمد العتيبي</v>
      </c>
      <c r="D6" s="114" t="str">
        <f aca="false">IF($B6="","",الموظفون!$F6)</f>
        <v>الإدارة العليا</v>
      </c>
      <c r="E6" s="114" t="str">
        <f aca="false">IF($B6="","",الموظفون!$E6)</f>
        <v>سعودي</v>
      </c>
      <c r="F6" s="114" t="str">
        <f aca="false">IF($B6="","",IF(AK6=0,IF(AND(الموظفون!$AE6&lt;&gt;"",الموظفون!$AE6&lt;$E$3),"✖ منتهي الخدمة","⏳ لم يباشر"),IF(S6&gt;0,"✈ راتب إجازة مقدم",IF(J6=0,"⛔ بدون راتب هذا الشهر",IF(I6&gt;0,"✈ خصم "&amp;ROUND(I6,2)&amp;" يوم بدون أجر",IF(AL6&gt;0,"🌴 إجازة سنوية "&amp;ROUND(AL6,2)&amp;" يوم",IF(H6&gt;0,"⚠ غياب "&amp;ROUND(H6,2)&amp;" يوم","✔ على رأس العمل")))))))</f>
        <v>✔ على رأس العمل</v>
      </c>
      <c r="G6" s="151" t="n">
        <f aca="false">IF($B6="","",IF(AK6&gt;=DAY($F$3),cfg_DAYS_M,MIN(AK6,cfg_DAYS_M)))</f>
        <v>30</v>
      </c>
      <c r="H6" s="151" t="n">
        <f aca="false">IF($B6="","",SUMIFS('الحركات الشهرية'!$D$6:$D$1005,'الحركات الشهرية'!$B$6:$B$1005,$B6,'الحركات الشهرية'!$A$6:$A$1005,$C$3))</f>
        <v>0</v>
      </c>
      <c r="I6" s="151" t="n">
        <f aca="false">IF($B6="","",MIN(G6,IF(AND(AK6&gt;0,AN6&gt;=AK6),G6,AN6)+SUMIFS('الحركات الشهرية'!$E$6:$E$1005,'الحركات الشهرية'!$B$6:$B$1005,$B6,'الحركات الشهرية'!$A$6:$A$1005,$C$3)))</f>
        <v>0</v>
      </c>
      <c r="J6" s="151" t="n">
        <f aca="false">IF($B6="","",MAX(0,G6-H6-I6))</f>
        <v>30</v>
      </c>
      <c r="K6" s="111" t="n">
        <f aca="false">IF($B6="","",الموظفون!$L6*$J6/cfg_DAYS_M)</f>
        <v>28000</v>
      </c>
      <c r="L6" s="111" t="n">
        <f aca="false">IF($B6="","",الموظفون!$M6*$J6/cfg_DAYS_M)</f>
        <v>7000</v>
      </c>
      <c r="M6" s="111" t="n">
        <f aca="false">IF($B6="","",الموظفون!$N6*$J6/cfg_DAYS_M)</f>
        <v>2800</v>
      </c>
      <c r="N6" s="111" t="n">
        <f aca="false">IF($B6="","",الموظفون!$O6*$J6/cfg_DAYS_M)</f>
        <v>3000</v>
      </c>
      <c r="O6" s="151" t="n">
        <f aca="false">IF($B6="","",SUMIFS('الحركات الشهرية'!$F$6:$F$1005,'الحركات الشهرية'!$B$6:$B$1005,$B6,'الحركات الشهرية'!$A$6:$A$1005,$C$3))</f>
        <v>0</v>
      </c>
      <c r="P6" s="111" t="n">
        <f aca="false">IF($B6="","",O6*(الموظفون!$P6+الموظفون!$L6*cfg_OT_P)/cfg_DAYS_M/cfg_HRS)</f>
        <v>0</v>
      </c>
      <c r="Q6" s="111" t="n">
        <f aca="false">IF($B6="","",SUMIFS('الحركات الشهرية'!$G$6:$G$1005,'الحركات الشهرية'!$B$6:$B$1005,$B6,'الحركات الشهرية'!$A$6:$A$1005,$C$3))</f>
        <v>0</v>
      </c>
      <c r="R6" s="111" t="n">
        <f aca="false">IF($B6="","",SUMIFS('الحركات الشهرية'!$H$6:$H$1005,'الحركات الشهرية'!$B$6:$B$1005,$B6,'الحركات الشهرية'!$A$6:$A$1005,$C$3))</f>
        <v>0</v>
      </c>
      <c r="S6" s="111" t="n">
        <f aca="false">IF($B6="","",SUMIFS('سجل الإجازات والحالات'!$N$6:$N$505,'سجل الإجازات والحالات'!$B$6:$B$505,$B6,'سجل الإجازات والحالات'!$O$6:$O$505,$C$3))</f>
        <v>0</v>
      </c>
      <c r="T6" s="152" t="n">
        <f aca="false">IF($B6="","",SUM(K6:N6)+SUM(P6:S6))</f>
        <v>40800</v>
      </c>
      <c r="U6" s="111" t="n">
        <f aca="false">IF($B6="","",الموظفون!$S6*IF(E6="سعودي",cfg_G_SE,cfg_G_NE)*G6/cfg_DAYS_M)</f>
        <v>3412.5</v>
      </c>
      <c r="V6" s="111" t="n">
        <f aca="false">IF($B6="","",SUMIFS('الحركات الشهرية'!$I$6:$I$1005,'الحركات الشهرية'!$B$6:$B$1005,$B6,'الحركات الشهرية'!$A$6:$A$1005,$C$3))</f>
        <v>0</v>
      </c>
      <c r="W6" s="111" t="n">
        <f aca="false">IF($B6="","",SUMIFS('الحركات الشهرية'!$J$6:$J$1005,'الحركات الشهرية'!$B$6:$B$1005,$B6,'الحركات الشهرية'!$A$6:$A$1005,$C$3))</f>
        <v>0</v>
      </c>
      <c r="X6" s="111" t="n">
        <f aca="false">IF($B6="","",SUM(U6:W6))</f>
        <v>3412.5</v>
      </c>
      <c r="Y6" s="153" t="n">
        <f aca="false">IF($B6="","",T6-X6)</f>
        <v>37387.5</v>
      </c>
      <c r="Z6" s="111" t="n">
        <f aca="false">IF($B6="","",الموظفون!$S6*IF(E6="سعودي",cfg_G_SR,cfg_G_NR)*G6/cfg_DAYS_M)</f>
        <v>4112.5</v>
      </c>
      <c r="AA6" s="111" t="n">
        <f aca="false">IF($B6="","",الموظفون!$Q6*(cfg_EOS_R1*(MIN(AH6,cfg_EOS_TH)-MIN(AI6,cfg_EOS_TH))+cfg_EOS_R2*(MAX(AH6-cfg_EOS_TH,0)-MAX(AI6-cfg_EOS_TH,0))))</f>
        <v>3210.41095890406</v>
      </c>
      <c r="AB6" s="111" t="n">
        <f aca="false">IF($B6="","",IF(الموظفون!$T6&lt;&gt;"",الموظفون!$T6,IF(AH6&gt;=cfg_LV_TH,cfg_LV_D2,cfg_LV_D1))/cfg_DAYS_Y*AJ6*الموظفون!$R6/cfg_DAYS_M)</f>
        <v>3210.41095890411</v>
      </c>
      <c r="AC6" s="111" t="n">
        <f aca="false">IF($B6="","",IF(AND(الموظفون!$U6="نعم",N(الموظفون!$W6)&gt;0),الموظفون!$V6/الموظفون!$W6*12/cfg_DAYS_Y*AJ6,0))</f>
        <v>0</v>
      </c>
      <c r="AD6" s="111" t="n">
        <f aca="false">IF($B6="","",(IF(الموظفون!$X6&lt;&gt;"",الموظفون!$X6,IF(الموظفون!$E6="غير سعودي",cfg_IQ,0))+IF(الموظفون!$Y6&lt;&gt;"",الموظفون!$Y6,IF(الموظفون!$E6="غير سعودي",cfg_WP,0)))/12*G6/cfg_DAYS_M)</f>
        <v>0</v>
      </c>
      <c r="AE6" s="111" t="n">
        <f aca="false">IF($B6="","",IF(الموظفون!$Z6&lt;&gt;"",الموظفون!$Z6,cfg_MED)/12*G6/cfg_DAYS_M)</f>
        <v>400</v>
      </c>
      <c r="AF6" s="111" t="n">
        <f aca="false">IF($B6="","",N(الموظفون!$AA6)/12*G6/cfg_DAYS_M)</f>
        <v>0</v>
      </c>
      <c r="AG6" s="154" t="n">
        <f aca="false">IF($B6="","",T6+SUM(Z6:AF6))</f>
        <v>51733.3219178082</v>
      </c>
      <c r="AH6" s="155" t="n">
        <f aca="false">IF($B6="","",MAX(0,IF(OR(الموظفون!$AE6="",الموظفون!$AE6&gt;$F$3),$F$3,الموظفون!$AE6)-الموظفون!$H6+1-SUMIFS('سجل الإجازات والحالات'!$AQ$6:$AQ$505,'سجل الإجازات والحالات'!$B$6:$B$505,$B6))/cfg_DAYS_Y)</f>
        <v>14.8054794520548</v>
      </c>
      <c r="AI6" s="155" t="n">
        <f aca="false">IF($B6="","",MAX(0,IF(OR(الموظفون!$AE6="",الموظفون!$AE6&gt;($E$3-1)),($E$3-1),الموظفون!$AE6)-الموظفون!$H6+1-SUMIFS('سجل الإجازات والحالات'!$AP$6:$AP$505,'سجل الإجازات والحالات'!$B$6:$B$505,$B6))/cfg_DAYS_Y)</f>
        <v>14.7205479452055</v>
      </c>
      <c r="AJ6" s="65" t="n">
        <f aca="false">IF($B6="","",MAX(0,AK6-(SUMIFS('سجل الإجازات والحالات'!$AQ$6:$AQ$505,'سجل الإجازات والحالات'!$B$6:$B$505,$B6)-SUMIFS('سجل الإجازات والحالات'!$AP$6:$AP$505,'سجل الإجازات والحالات'!$B$6:$B$505,$B6))))</f>
        <v>31</v>
      </c>
      <c r="AK6" s="65" t="n">
        <f aca="false">IF($B6="","",MAX(0,IF(OR(الموظفون!$AE6="",الموظفون!$AE6&gt;$F$3),$F$3,الموظفون!$AE6)-MAX($E$3,الموظفون!$H6)+1))</f>
        <v>31</v>
      </c>
      <c r="AL6" s="151" t="n">
        <f aca="false">IF($B6="","",SUMIFS('سجل الإجازات والحالات'!$BC$6:$BC$505,'سجل الإجازات والحالات'!$B$6:$B$505,$B6)+SUMIFS('الحركات الشهرية'!$K$6:$K$1005,'الحركات الشهرية'!$B$6:$B$1005,$B6,'الحركات الشهرية'!$A$6:$A$1005,$C$3))</f>
        <v>0</v>
      </c>
      <c r="AM6" s="111" t="n">
        <f aca="false">IF($B6="","",AL6*الموظفون!$R6/cfg_DAYS_M+S6)</f>
        <v>0</v>
      </c>
      <c r="AN6" s="151" t="n">
        <f aca="false">IF($B6="","",SUMIFS('سجل الإجازات والحالات'!$AE$6:$AE$505,'سجل الإجازات والحالات'!$B$6:$B$505,$B6))</f>
        <v>0</v>
      </c>
    </row>
    <row r="7" customFormat="false" ht="15" hidden="false" customHeight="false" outlineLevel="0" collapsed="false">
      <c r="A7" s="115" t="n">
        <f aca="false">IF($B7="","",الموظفون!$A7)</f>
        <v>2</v>
      </c>
      <c r="B7" s="117" t="str">
        <f aca="false">IF(الموظفون!$B7="","",الموظفون!$B7)</f>
        <v>E002</v>
      </c>
      <c r="C7" s="117" t="str">
        <f aca="false">IF($B7="","",الموظفون!$C7)</f>
        <v>أحمد سعيد القحطاني</v>
      </c>
      <c r="D7" s="117" t="str">
        <f aca="false">IF($B7="","",الموظفون!$F7)</f>
        <v>المالية</v>
      </c>
      <c r="E7" s="117" t="str">
        <f aca="false">IF($B7="","",الموظفون!$E7)</f>
        <v>سعودي</v>
      </c>
      <c r="F7" s="117" t="str">
        <f aca="false">IF($B7="","",IF(AK7=0,IF(AND(الموظفون!$AE7&lt;&gt;"",الموظفون!$AE7&lt;$E$3),"✖ منتهي الخدمة","⏳ لم يباشر"),IF(S7&gt;0,"✈ راتب إجازة مقدم",IF(J7=0,"⛔ بدون راتب هذا الشهر",IF(I7&gt;0,"✈ خصم "&amp;ROUND(I7,2)&amp;" يوم بدون أجر",IF(AL7&gt;0,"🌴 إجازة سنوية "&amp;ROUND(AL7,2)&amp;" يوم",IF(H7&gt;0,"⚠ غياب "&amp;ROUND(H7,2)&amp;" يوم","✔ على رأس العمل")))))))</f>
        <v>✔ على رأس العمل</v>
      </c>
      <c r="G7" s="156" t="n">
        <f aca="false">IF($B7="","",IF(AK7&gt;=DAY($F$3),cfg_DAYS_M,MIN(AK7,cfg_DAYS_M)))</f>
        <v>30</v>
      </c>
      <c r="H7" s="156" t="n">
        <f aca="false">IF($B7="","",SUMIFS('الحركات الشهرية'!$D$6:$D$1005,'الحركات الشهرية'!$B$6:$B$1005,$B7,'الحركات الشهرية'!$A$6:$A$1005,$C$3))</f>
        <v>0</v>
      </c>
      <c r="I7" s="156" t="n">
        <f aca="false">IF($B7="","",MIN(G7,IF(AND(AK7&gt;0,AN7&gt;=AK7),G7,AN7)+SUMIFS('الحركات الشهرية'!$E$6:$E$1005,'الحركات الشهرية'!$B$6:$B$1005,$B7,'الحركات الشهرية'!$A$6:$A$1005,$C$3)))</f>
        <v>0</v>
      </c>
      <c r="J7" s="156" t="n">
        <f aca="false">IF($B7="","",MAX(0,G7-H7-I7))</f>
        <v>30</v>
      </c>
      <c r="K7" s="116" t="n">
        <f aca="false">IF($B7="","",الموظفون!$L7*$J7/cfg_DAYS_M)</f>
        <v>18000</v>
      </c>
      <c r="L7" s="116" t="n">
        <f aca="false">IF($B7="","",الموظفون!$M7*$J7/cfg_DAYS_M)</f>
        <v>4500</v>
      </c>
      <c r="M7" s="116" t="n">
        <f aca="false">IF($B7="","",الموظفون!$N7*$J7/cfg_DAYS_M)</f>
        <v>1800</v>
      </c>
      <c r="N7" s="116" t="n">
        <f aca="false">IF($B7="","",الموظفون!$O7*$J7/cfg_DAYS_M)</f>
        <v>1000</v>
      </c>
      <c r="O7" s="156" t="n">
        <f aca="false">IF($B7="","",SUMIFS('الحركات الشهرية'!$F$6:$F$1005,'الحركات الشهرية'!$B$6:$B$1005,$B7,'الحركات الشهرية'!$A$6:$A$1005,$C$3))</f>
        <v>0</v>
      </c>
      <c r="P7" s="116" t="n">
        <f aca="false">IF($B7="","",O7*(الموظفون!$P7+الموظفون!$L7*cfg_OT_P)/cfg_DAYS_M/cfg_HRS)</f>
        <v>0</v>
      </c>
      <c r="Q7" s="116" t="n">
        <f aca="false">IF($B7="","",SUMIFS('الحركات الشهرية'!$G$6:$G$1005,'الحركات الشهرية'!$B$6:$B$1005,$B7,'الحركات الشهرية'!$A$6:$A$1005,$C$3))</f>
        <v>0</v>
      </c>
      <c r="R7" s="116" t="n">
        <f aca="false">IF($B7="","",SUMIFS('الحركات الشهرية'!$H$6:$H$1005,'الحركات الشهرية'!$B$6:$B$1005,$B7,'الحركات الشهرية'!$A$6:$A$1005,$C$3))</f>
        <v>0</v>
      </c>
      <c r="S7" s="116" t="n">
        <f aca="false">IF($B7="","",SUMIFS('سجل الإجازات والحالات'!$N$6:$N$505,'سجل الإجازات والحالات'!$B$6:$B$505,$B7,'سجل الإجازات والحالات'!$O$6:$O$505,$C$3))</f>
        <v>0</v>
      </c>
      <c r="T7" s="157" t="n">
        <f aca="false">IF($B7="","",SUM(K7:N7)+SUM(P7:S7))</f>
        <v>25300</v>
      </c>
      <c r="U7" s="116" t="n">
        <f aca="false">IF($B7="","",الموظفون!$S7*IF(E7="سعودي",cfg_G_SE,cfg_G_NE)*G7/cfg_DAYS_M)</f>
        <v>2193.75</v>
      </c>
      <c r="V7" s="116" t="n">
        <f aca="false">IF($B7="","",SUMIFS('الحركات الشهرية'!$I$6:$I$1005,'الحركات الشهرية'!$B$6:$B$1005,$B7,'الحركات الشهرية'!$A$6:$A$1005,$C$3))</f>
        <v>0</v>
      </c>
      <c r="W7" s="116" t="n">
        <f aca="false">IF($B7="","",SUMIFS('الحركات الشهرية'!$J$6:$J$1005,'الحركات الشهرية'!$B$6:$B$1005,$B7,'الحركات الشهرية'!$A$6:$A$1005,$C$3))</f>
        <v>0</v>
      </c>
      <c r="X7" s="116" t="n">
        <f aca="false">IF($B7="","",SUM(U7:W7))</f>
        <v>2193.75</v>
      </c>
      <c r="Y7" s="158" t="n">
        <f aca="false">IF($B7="","",T7-X7)</f>
        <v>23106.25</v>
      </c>
      <c r="Z7" s="116" t="n">
        <f aca="false">IF($B7="","",الموظفون!$S7*IF(E7="سعودي",cfg_G_SR,cfg_G_NR)*G7/cfg_DAYS_M)</f>
        <v>2643.75</v>
      </c>
      <c r="AA7" s="116" t="n">
        <f aca="false">IF($B7="","",الموظفون!$Q7*(cfg_EOS_R1*(MIN(AH7,cfg_EOS_TH)-MIN(AI7,cfg_EOS_TH))+cfg_EOS_R2*(MAX(AH7-cfg_EOS_TH,0)-MAX(AI7-cfg_EOS_TH,0))))</f>
        <v>2063.83561643837</v>
      </c>
      <c r="AB7" s="116" t="n">
        <f aca="false">IF($B7="","",IF(الموظفون!$T7&lt;&gt;"",الموظفون!$T7,IF(AH7&gt;=cfg_LV_TH,cfg_LV_D2,cfg_LV_D1))/cfg_DAYS_Y*AJ7*الموظفون!$R7/cfg_DAYS_M)</f>
        <v>2063.83561643836</v>
      </c>
      <c r="AC7" s="116" t="n">
        <f aca="false">IF($B7="","",IF(AND(الموظفون!$U7="نعم",N(الموظفون!$W7)&gt;0),الموظفون!$V7/الموظفون!$W7*12/cfg_DAYS_Y*AJ7,0))</f>
        <v>0</v>
      </c>
      <c r="AD7" s="116" t="n">
        <f aca="false">IF($B7="","",(IF(الموظفون!$X7&lt;&gt;"",الموظفون!$X7,IF(الموظفون!$E7="غير سعودي",cfg_IQ,0))+IF(الموظفون!$Y7&lt;&gt;"",الموظفون!$Y7,IF(الموظفون!$E7="غير سعودي",cfg_WP,0)))/12*G7/cfg_DAYS_M)</f>
        <v>0</v>
      </c>
      <c r="AE7" s="116" t="n">
        <f aca="false">IF($B7="","",IF(الموظفون!$Z7&lt;&gt;"",الموظفون!$Z7,cfg_MED)/12*G7/cfg_DAYS_M)</f>
        <v>300</v>
      </c>
      <c r="AF7" s="116" t="n">
        <f aca="false">IF($B7="","",N(الموظفون!$AA7)/12*G7/cfg_DAYS_M)</f>
        <v>0</v>
      </c>
      <c r="AG7" s="159" t="n">
        <f aca="false">IF($B7="","",T7+SUM(Z7:AF7))</f>
        <v>32371.4212328767</v>
      </c>
      <c r="AH7" s="160" t="n">
        <f aca="false">IF($B7="","",MAX(0,IF(OR(الموظفون!$AE7="",الموظفون!$AE7&gt;$F$3),$F$3,الموظفون!$AE7)-الموظفون!$H7+1-SUMIFS('سجل الإجازات والحالات'!$AQ$6:$AQ$505,'سجل الإجازات والحالات'!$B$6:$B$505,$B7))/cfg_DAYS_Y)</f>
        <v>10.4246575342466</v>
      </c>
      <c r="AI7" s="160" t="n">
        <f aca="false">IF($B7="","",MAX(0,IF(OR(الموظفون!$AE7="",الموظفون!$AE7&gt;($E$3-1)),($E$3-1),الموظفون!$AE7)-الموظفون!$H7+1-SUMIFS('سجل الإجازات والحالات'!$AP$6:$AP$505,'سجل الإجازات والحالات'!$B$6:$B$505,$B7))/cfg_DAYS_Y)</f>
        <v>10.3397260273973</v>
      </c>
      <c r="AJ7" s="133" t="n">
        <f aca="false">IF($B7="","",MAX(0,AK7-(SUMIFS('سجل الإجازات والحالات'!$AQ$6:$AQ$505,'سجل الإجازات والحالات'!$B$6:$B$505,$B7)-SUMIFS('سجل الإجازات والحالات'!$AP$6:$AP$505,'سجل الإجازات والحالات'!$B$6:$B$505,$B7))))</f>
        <v>31</v>
      </c>
      <c r="AK7" s="133" t="n">
        <f aca="false">IF($B7="","",MAX(0,IF(OR(الموظفون!$AE7="",الموظفون!$AE7&gt;$F$3),$F$3,الموظفون!$AE7)-MAX($E$3,الموظفون!$H7)+1))</f>
        <v>31</v>
      </c>
      <c r="AL7" s="156" t="n">
        <f aca="false">IF($B7="","",SUMIFS('سجل الإجازات والحالات'!$BC$6:$BC$505,'سجل الإجازات والحالات'!$B$6:$B$505,$B7)+SUMIFS('الحركات الشهرية'!$K$6:$K$1005,'الحركات الشهرية'!$B$6:$B$1005,$B7,'الحركات الشهرية'!$A$6:$A$1005,$C$3))</f>
        <v>0</v>
      </c>
      <c r="AM7" s="116" t="n">
        <f aca="false">IF($B7="","",AL7*الموظفون!$R7/cfg_DAYS_M+S7)</f>
        <v>0</v>
      </c>
      <c r="AN7" s="156" t="n">
        <f aca="false">IF($B7="","",SUMIFS('سجل الإجازات والحالات'!$AE$6:$AE$505,'سجل الإجازات والحالات'!$B$6:$B$505,$B7))</f>
        <v>0</v>
      </c>
    </row>
    <row r="8" customFormat="false" ht="15" hidden="false" customHeight="false" outlineLevel="0" collapsed="false">
      <c r="A8" s="106" t="n">
        <f aca="false">IF($B8="","",الموظفون!$A8)</f>
        <v>3</v>
      </c>
      <c r="B8" s="114" t="str">
        <f aca="false">IF(الموظفون!$B8="","",الموظفون!$B8)</f>
        <v>E003</v>
      </c>
      <c r="C8" s="114" t="str">
        <f aca="false">IF($B8="","",الموظفون!$C8)</f>
        <v>محمد علي حسن</v>
      </c>
      <c r="D8" s="114" t="str">
        <f aca="false">IF($B8="","",الموظفون!$F8)</f>
        <v>المالية</v>
      </c>
      <c r="E8" s="114" t="str">
        <f aca="false">IF($B8="","",الموظفون!$E8)</f>
        <v>غير سعودي</v>
      </c>
      <c r="F8" s="114" t="str">
        <f aca="false">IF($B8="","",IF(AK8=0,IF(AND(الموظفون!$AE8&lt;&gt;"",الموظفون!$AE8&lt;$E$3),"✖ منتهي الخدمة","⏳ لم يباشر"),IF(S8&gt;0,"✈ راتب إجازة مقدم",IF(J8=0,"⛔ بدون راتب هذا الشهر",IF(I8&gt;0,"✈ خصم "&amp;ROUND(I8,2)&amp;" يوم بدون أجر",IF(AL8&gt;0,"🌴 إجازة سنوية "&amp;ROUND(AL8,2)&amp;" يوم",IF(H8&gt;0,"⚠ غياب "&amp;ROUND(H8,2)&amp;" يوم","✔ على رأس العمل")))))))</f>
        <v>✔ على رأس العمل</v>
      </c>
      <c r="G8" s="151" t="n">
        <f aca="false">IF($B8="","",IF(AK8&gt;=DAY($F$3),cfg_DAYS_M,MIN(AK8,cfg_DAYS_M)))</f>
        <v>30</v>
      </c>
      <c r="H8" s="151" t="n">
        <f aca="false">IF($B8="","",SUMIFS('الحركات الشهرية'!$D$6:$D$1005,'الحركات الشهرية'!$B$6:$B$1005,$B8,'الحركات الشهرية'!$A$6:$A$1005,$C$3))</f>
        <v>0</v>
      </c>
      <c r="I8" s="151" t="n">
        <f aca="false">IF($B8="","",MIN(G8,IF(AND(AK8&gt;0,AN8&gt;=AK8),G8,AN8)+SUMIFS('الحركات الشهرية'!$E$6:$E$1005,'الحركات الشهرية'!$B$6:$B$1005,$B8,'الحركات الشهرية'!$A$6:$A$1005,$C$3)))</f>
        <v>0</v>
      </c>
      <c r="J8" s="151" t="n">
        <f aca="false">IF($B8="","",MAX(0,G8-H8-I8))</f>
        <v>30</v>
      </c>
      <c r="K8" s="111" t="n">
        <f aca="false">IF($B8="","",الموظفون!$L8*$J8/cfg_DAYS_M)</f>
        <v>8500</v>
      </c>
      <c r="L8" s="111" t="n">
        <f aca="false">IF($B8="","",الموظفون!$M8*$J8/cfg_DAYS_M)</f>
        <v>2125</v>
      </c>
      <c r="M8" s="111" t="n">
        <f aca="false">IF($B8="","",الموظفون!$N8*$J8/cfg_DAYS_M)</f>
        <v>850</v>
      </c>
      <c r="N8" s="111" t="n">
        <f aca="false">IF($B8="","",الموظفون!$O8*$J8/cfg_DAYS_M)</f>
        <v>500</v>
      </c>
      <c r="O8" s="151" t="n">
        <f aca="false">IF($B8="","",SUMIFS('الحركات الشهرية'!$F$6:$F$1005,'الحركات الشهرية'!$B$6:$B$1005,$B8,'الحركات الشهرية'!$A$6:$A$1005,$C$3))</f>
        <v>0</v>
      </c>
      <c r="P8" s="111" t="n">
        <f aca="false">IF($B8="","",O8*(الموظفون!$P8+الموظفون!$L8*cfg_OT_P)/cfg_DAYS_M/cfg_HRS)</f>
        <v>0</v>
      </c>
      <c r="Q8" s="111" t="n">
        <f aca="false">IF($B8="","",SUMIFS('الحركات الشهرية'!$G$6:$G$1005,'الحركات الشهرية'!$B$6:$B$1005,$B8,'الحركات الشهرية'!$A$6:$A$1005,$C$3))</f>
        <v>0</v>
      </c>
      <c r="R8" s="111" t="n">
        <f aca="false">IF($B8="","",SUMIFS('الحركات الشهرية'!$H$6:$H$1005,'الحركات الشهرية'!$B$6:$B$1005,$B8,'الحركات الشهرية'!$A$6:$A$1005,$C$3))</f>
        <v>0</v>
      </c>
      <c r="S8" s="111" t="n">
        <f aca="false">IF($B8="","",SUMIFS('سجل الإجازات والحالات'!$N$6:$N$505,'سجل الإجازات والحالات'!$B$6:$B$505,$B8,'سجل الإجازات والحالات'!$O$6:$O$505,$C$3))</f>
        <v>0</v>
      </c>
      <c r="T8" s="152" t="n">
        <f aca="false">IF($B8="","",SUM(K8:N8)+SUM(P8:S8))</f>
        <v>11975</v>
      </c>
      <c r="U8" s="111" t="n">
        <f aca="false">IF($B8="","",الموظفون!$S8*IF(E8="سعودي",cfg_G_SE,cfg_G_NE)*G8/cfg_DAYS_M)</f>
        <v>0</v>
      </c>
      <c r="V8" s="111" t="n">
        <f aca="false">IF($B8="","",SUMIFS('الحركات الشهرية'!$I$6:$I$1005,'الحركات الشهرية'!$B$6:$B$1005,$B8,'الحركات الشهرية'!$A$6:$A$1005,$C$3))</f>
        <v>0</v>
      </c>
      <c r="W8" s="111" t="n">
        <f aca="false">IF($B8="","",SUMIFS('الحركات الشهرية'!$J$6:$J$1005,'الحركات الشهرية'!$B$6:$B$1005,$B8,'الحركات الشهرية'!$A$6:$A$1005,$C$3))</f>
        <v>0</v>
      </c>
      <c r="X8" s="111" t="n">
        <f aca="false">IF($B8="","",SUM(U8:W8))</f>
        <v>0</v>
      </c>
      <c r="Y8" s="153" t="n">
        <f aca="false">IF($B8="","",T8-X8)</f>
        <v>11975</v>
      </c>
      <c r="Z8" s="111" t="n">
        <f aca="false">IF($B8="","",الموظفون!$S8*IF(E8="سعودي",cfg_G_SR,cfg_G_NR)*G8/cfg_DAYS_M)</f>
        <v>212.5</v>
      </c>
      <c r="AA8" s="111" t="n">
        <f aca="false">IF($B8="","",الموظفون!$Q8*(cfg_EOS_R1*(MIN(AH8,cfg_EOS_TH)-MIN(AI8,cfg_EOS_TH))+cfg_EOS_R2*(MAX(AH8-cfg_EOS_TH,0)-MAX(AI8-cfg_EOS_TH,0))))</f>
        <v>974.589041095895</v>
      </c>
      <c r="AB8" s="111" t="n">
        <f aca="false">IF($B8="","",IF(الموظفون!$T8&lt;&gt;"",الموظفون!$T8,IF(AH8&gt;=cfg_LV_TH,cfg_LV_D2,cfg_LV_D1))/cfg_DAYS_Y*AJ8*الموظفون!$R8/cfg_DAYS_M)</f>
        <v>974.589041095891</v>
      </c>
      <c r="AC8" s="111" t="n">
        <f aca="false">IF($B8="","",IF(AND(الموظفون!$U8="نعم",N(الموظفون!$W8)&gt;0),الموظفون!$V8/الموظفون!$W8*12/cfg_DAYS_Y*AJ8,0))</f>
        <v>135.890410958904</v>
      </c>
      <c r="AD8" s="111" t="n">
        <f aca="false">IF($B8="","",(IF(الموظفون!$X8&lt;&gt;"",الموظفون!$X8,IF(الموظفون!$E8="غير سعودي",cfg_IQ,0))+IF(الموظفون!$Y8&lt;&gt;"",الموظفون!$Y8,IF(الموظفون!$E8="غير سعودي",cfg_WP,0)))/12*G8/cfg_DAYS_M)</f>
        <v>854.166666666667</v>
      </c>
      <c r="AE8" s="111" t="n">
        <f aca="false">IF($B8="","",IF(الموظفون!$Z8&lt;&gt;"",الموظفون!$Z8,cfg_MED)/12*G8/cfg_DAYS_M)</f>
        <v>200</v>
      </c>
      <c r="AF8" s="111" t="n">
        <f aca="false">IF($B8="","",N(الموظفون!$AA8)/12*G8/cfg_DAYS_M)</f>
        <v>0</v>
      </c>
      <c r="AG8" s="154" t="n">
        <f aca="false">IF($B8="","",T8+SUM(Z8:AF8))</f>
        <v>15326.7351598174</v>
      </c>
      <c r="AH8" s="155" t="n">
        <f aca="false">IF($B8="","",MAX(0,IF(OR(الموظفون!$AE8="",الموظفون!$AE8&gt;$F$3),$F$3,الموظفون!$AE8)-الموظفون!$H8+1-SUMIFS('سجل الإجازات والحالات'!$AQ$6:$AQ$505,'سجل الإجازات والحالات'!$B$6:$B$505,$B8))/cfg_DAYS_Y)</f>
        <v>8.14794520547945</v>
      </c>
      <c r="AI8" s="155" t="n">
        <f aca="false">IF($B8="","",MAX(0,IF(OR(الموظفون!$AE8="",الموظفون!$AE8&gt;($E$3-1)),($E$3-1),الموظفون!$AE8)-الموظفون!$H8+1-SUMIFS('سجل الإجازات والحالات'!$AP$6:$AP$505,'سجل الإجازات والحالات'!$B$6:$B$505,$B8))/cfg_DAYS_Y)</f>
        <v>8.06301369863014</v>
      </c>
      <c r="AJ8" s="65" t="n">
        <f aca="false">IF($B8="","",MAX(0,AK8-(SUMIFS('سجل الإجازات والحالات'!$AQ$6:$AQ$505,'سجل الإجازات والحالات'!$B$6:$B$505,$B8)-SUMIFS('سجل الإجازات والحالات'!$AP$6:$AP$505,'سجل الإجازات والحالات'!$B$6:$B$505,$B8))))</f>
        <v>31</v>
      </c>
      <c r="AK8" s="65" t="n">
        <f aca="false">IF($B8="","",MAX(0,IF(OR(الموظفون!$AE8="",الموظفون!$AE8&gt;$F$3),$F$3,الموظفون!$AE8)-MAX($E$3,الموظفون!$H8)+1))</f>
        <v>31</v>
      </c>
      <c r="AL8" s="151" t="n">
        <f aca="false">IF($B8="","",SUMIFS('سجل الإجازات والحالات'!$BC$6:$BC$505,'سجل الإجازات والحالات'!$B$6:$B$505,$B8)+SUMIFS('الحركات الشهرية'!$K$6:$K$1005,'الحركات الشهرية'!$B$6:$B$1005,$B8,'الحركات الشهرية'!$A$6:$A$1005,$C$3))</f>
        <v>0</v>
      </c>
      <c r="AM8" s="111" t="n">
        <f aca="false">IF($B8="","",AL8*الموظفون!$R8/cfg_DAYS_M+S8)</f>
        <v>0</v>
      </c>
      <c r="AN8" s="151" t="n">
        <f aca="false">IF($B8="","",SUMIFS('سجل الإجازات والحالات'!$AE$6:$AE$505,'سجل الإجازات والحالات'!$B$6:$B$505,$B8))</f>
        <v>0</v>
      </c>
    </row>
    <row r="9" customFormat="false" ht="15" hidden="false" customHeight="false" outlineLevel="0" collapsed="false">
      <c r="A9" s="115" t="n">
        <f aca="false">IF($B9="","",الموظفون!$A9)</f>
        <v>4</v>
      </c>
      <c r="B9" s="117" t="str">
        <f aca="false">IF(الموظفون!$B9="","",الموظفون!$B9)</f>
        <v>E004</v>
      </c>
      <c r="C9" s="117" t="str">
        <f aca="false">IF($B9="","",الموظفون!$C9)</f>
        <v>نورة خالد الدوسري</v>
      </c>
      <c r="D9" s="117" t="str">
        <f aca="false">IF($B9="","",الموظفون!$F9)</f>
        <v>الموارد البشرية</v>
      </c>
      <c r="E9" s="117" t="str">
        <f aca="false">IF($B9="","",الموظفون!$E9)</f>
        <v>سعودي</v>
      </c>
      <c r="F9" s="117" t="str">
        <f aca="false">IF($B9="","",IF(AK9=0,IF(AND(الموظفون!$AE9&lt;&gt;"",الموظفون!$AE9&lt;$E$3),"✖ منتهي الخدمة","⏳ لم يباشر"),IF(S9&gt;0,"✈ راتب إجازة مقدم",IF(J9=0,"⛔ بدون راتب هذا الشهر",IF(I9&gt;0,"✈ خصم "&amp;ROUND(I9,2)&amp;" يوم بدون أجر",IF(AL9&gt;0,"🌴 إجازة سنوية "&amp;ROUND(AL9,2)&amp;" يوم",IF(H9&gt;0,"⚠ غياب "&amp;ROUND(H9,2)&amp;" يوم","✔ على رأس العمل")))))))</f>
        <v>✔ على رأس العمل</v>
      </c>
      <c r="G9" s="156" t="n">
        <f aca="false">IF($B9="","",IF(AK9&gt;=DAY($F$3),cfg_DAYS_M,MIN(AK9,cfg_DAYS_M)))</f>
        <v>30</v>
      </c>
      <c r="H9" s="156" t="n">
        <f aca="false">IF($B9="","",SUMIFS('الحركات الشهرية'!$D$6:$D$1005,'الحركات الشهرية'!$B$6:$B$1005,$B9,'الحركات الشهرية'!$A$6:$A$1005,$C$3))</f>
        <v>0</v>
      </c>
      <c r="I9" s="156" t="n">
        <f aca="false">IF($B9="","",MIN(G9,IF(AND(AK9&gt;0,AN9&gt;=AK9),G9,AN9)+SUMIFS('الحركات الشهرية'!$E$6:$E$1005,'الحركات الشهرية'!$B$6:$B$1005,$B9,'الحركات الشهرية'!$A$6:$A$1005,$C$3)))</f>
        <v>0</v>
      </c>
      <c r="J9" s="156" t="n">
        <f aca="false">IF($B9="","",MAX(0,G9-H9-I9))</f>
        <v>30</v>
      </c>
      <c r="K9" s="116" t="n">
        <f aca="false">IF($B9="","",الموظفون!$L9*$J9/cfg_DAYS_M)</f>
        <v>14000</v>
      </c>
      <c r="L9" s="116" t="n">
        <f aca="false">IF($B9="","",الموظفون!$M9*$J9/cfg_DAYS_M)</f>
        <v>3500</v>
      </c>
      <c r="M9" s="116" t="n">
        <f aca="false">IF($B9="","",الموظفون!$N9*$J9/cfg_DAYS_M)</f>
        <v>1400</v>
      </c>
      <c r="N9" s="116" t="n">
        <f aca="false">IF($B9="","",الموظفون!$O9*$J9/cfg_DAYS_M)</f>
        <v>0</v>
      </c>
      <c r="O9" s="156" t="n">
        <f aca="false">IF($B9="","",SUMIFS('الحركات الشهرية'!$F$6:$F$1005,'الحركات الشهرية'!$B$6:$B$1005,$B9,'الحركات الشهرية'!$A$6:$A$1005,$C$3))</f>
        <v>0</v>
      </c>
      <c r="P9" s="116" t="n">
        <f aca="false">IF($B9="","",O9*(الموظفون!$P9+الموظفون!$L9*cfg_OT_P)/cfg_DAYS_M/cfg_HRS)</f>
        <v>0</v>
      </c>
      <c r="Q9" s="116" t="n">
        <f aca="false">IF($B9="","",SUMIFS('الحركات الشهرية'!$G$6:$G$1005,'الحركات الشهرية'!$B$6:$B$1005,$B9,'الحركات الشهرية'!$A$6:$A$1005,$C$3))</f>
        <v>0</v>
      </c>
      <c r="R9" s="116" t="n">
        <f aca="false">IF($B9="","",SUMIFS('الحركات الشهرية'!$H$6:$H$1005,'الحركات الشهرية'!$B$6:$B$1005,$B9,'الحركات الشهرية'!$A$6:$A$1005,$C$3))</f>
        <v>0</v>
      </c>
      <c r="S9" s="116" t="n">
        <f aca="false">IF($B9="","",SUMIFS('سجل الإجازات والحالات'!$N$6:$N$505,'سجل الإجازات والحالات'!$B$6:$B$505,$B9,'سجل الإجازات والحالات'!$O$6:$O$505,$C$3))</f>
        <v>0</v>
      </c>
      <c r="T9" s="157" t="n">
        <f aca="false">IF($B9="","",SUM(K9:N9)+SUM(P9:S9))</f>
        <v>18900</v>
      </c>
      <c r="U9" s="116" t="n">
        <f aca="false">IF($B9="","",الموظفون!$S9*IF(E9="سعودي",cfg_G_SE,cfg_G_NE)*G9/cfg_DAYS_M)</f>
        <v>1706.25</v>
      </c>
      <c r="V9" s="116" t="n">
        <f aca="false">IF($B9="","",SUMIFS('الحركات الشهرية'!$I$6:$I$1005,'الحركات الشهرية'!$B$6:$B$1005,$B9,'الحركات الشهرية'!$A$6:$A$1005,$C$3))</f>
        <v>0</v>
      </c>
      <c r="W9" s="116" t="n">
        <f aca="false">IF($B9="","",SUMIFS('الحركات الشهرية'!$J$6:$J$1005,'الحركات الشهرية'!$B$6:$B$1005,$B9,'الحركات الشهرية'!$A$6:$A$1005,$C$3))</f>
        <v>0</v>
      </c>
      <c r="X9" s="116" t="n">
        <f aca="false">IF($B9="","",SUM(U9:W9))</f>
        <v>1706.25</v>
      </c>
      <c r="Y9" s="158" t="n">
        <f aca="false">IF($B9="","",T9-X9)</f>
        <v>17193.75</v>
      </c>
      <c r="Z9" s="116" t="n">
        <f aca="false">IF($B9="","",الموظفون!$S9*IF(E9="سعودي",cfg_G_SR,cfg_G_NR)*G9/cfg_DAYS_M)</f>
        <v>2056.25</v>
      </c>
      <c r="AA9" s="116" t="n">
        <f aca="false">IF($B9="","",الموظفون!$Q9*(cfg_EOS_R1*(MIN(AH9,cfg_EOS_TH)-MIN(AI9,cfg_EOS_TH))+cfg_EOS_R2*(MAX(AH9-cfg_EOS_TH,0)-MAX(AI9-cfg_EOS_TH,0))))</f>
        <v>1605.20547945205</v>
      </c>
      <c r="AB9" s="116" t="n">
        <f aca="false">IF($B9="","",IF(الموظفون!$T9&lt;&gt;"",الموظفون!$T9,IF(AH9&gt;=cfg_LV_TH,cfg_LV_D2,cfg_LV_D1))/cfg_DAYS_Y*AJ9*الموظفون!$R9/cfg_DAYS_M)</f>
        <v>1605.20547945205</v>
      </c>
      <c r="AC9" s="116" t="n">
        <f aca="false">IF($B9="","",IF(AND(الموظفون!$U9="نعم",N(الموظفون!$W9)&gt;0),الموظفون!$V9/الموظفون!$W9*12/cfg_DAYS_Y*AJ9,0))</f>
        <v>0</v>
      </c>
      <c r="AD9" s="116" t="n">
        <f aca="false">IF($B9="","",(IF(الموظفون!$X9&lt;&gt;"",الموظفون!$X9,IF(الموظفون!$E9="غير سعودي",cfg_IQ,0))+IF(الموظفون!$Y9&lt;&gt;"",الموظفون!$Y9,IF(الموظفون!$E9="غير سعودي",cfg_WP,0)))/12*G9/cfg_DAYS_M)</f>
        <v>0</v>
      </c>
      <c r="AE9" s="116" t="n">
        <f aca="false">IF($B9="","",IF(الموظفون!$Z9&lt;&gt;"",الموظفون!$Z9,cfg_MED)/12*G9/cfg_DAYS_M)</f>
        <v>300</v>
      </c>
      <c r="AF9" s="116" t="n">
        <f aca="false">IF($B9="","",N(الموظفون!$AA9)/12*G9/cfg_DAYS_M)</f>
        <v>0</v>
      </c>
      <c r="AG9" s="159" t="n">
        <f aca="false">IF($B9="","",T9+SUM(Z9:AF9))</f>
        <v>24466.6609589041</v>
      </c>
      <c r="AH9" s="160" t="n">
        <f aca="false">IF($B9="","",MAX(0,IF(OR(الموظفون!$AE9="",الموظفون!$AE9&gt;$F$3),$F$3,الموظفون!$AE9)-الموظفون!$H9+1-SUMIFS('سجل الإجازات والحالات'!$AQ$6:$AQ$505,'سجل الإجازات والحالات'!$B$6:$B$505,$B9))/cfg_DAYS_Y)</f>
        <v>7.75342465753425</v>
      </c>
      <c r="AI9" s="160" t="n">
        <f aca="false">IF($B9="","",MAX(0,IF(OR(الموظفون!$AE9="",الموظفون!$AE9&gt;($E$3-1)),($E$3-1),الموظفون!$AE9)-الموظفون!$H9+1-SUMIFS('سجل الإجازات والحالات'!$AP$6:$AP$505,'سجل الإجازات والحالات'!$B$6:$B$505,$B9))/cfg_DAYS_Y)</f>
        <v>7.66849315068493</v>
      </c>
      <c r="AJ9" s="133" t="n">
        <f aca="false">IF($B9="","",MAX(0,AK9-(SUMIFS('سجل الإجازات والحالات'!$AQ$6:$AQ$505,'سجل الإجازات والحالات'!$B$6:$B$505,$B9)-SUMIFS('سجل الإجازات والحالات'!$AP$6:$AP$505,'سجل الإجازات والحالات'!$B$6:$B$505,$B9))))</f>
        <v>31</v>
      </c>
      <c r="AK9" s="133" t="n">
        <f aca="false">IF($B9="","",MAX(0,IF(OR(الموظفون!$AE9="",الموظفون!$AE9&gt;$F$3),$F$3,الموظفون!$AE9)-MAX($E$3,الموظفون!$H9)+1))</f>
        <v>31</v>
      </c>
      <c r="AL9" s="156" t="n">
        <f aca="false">IF($B9="","",SUMIFS('سجل الإجازات والحالات'!$BC$6:$BC$505,'سجل الإجازات والحالات'!$B$6:$B$505,$B9)+SUMIFS('الحركات الشهرية'!$K$6:$K$1005,'الحركات الشهرية'!$B$6:$B$1005,$B9,'الحركات الشهرية'!$A$6:$A$1005,$C$3))</f>
        <v>0</v>
      </c>
      <c r="AM9" s="116" t="n">
        <f aca="false">IF($B9="","",AL9*الموظفون!$R9/cfg_DAYS_M+S9)</f>
        <v>0</v>
      </c>
      <c r="AN9" s="156" t="n">
        <f aca="false">IF($B9="","",SUMIFS('سجل الإجازات والحالات'!$AE$6:$AE$505,'سجل الإجازات والحالات'!$B$6:$B$505,$B9))</f>
        <v>0</v>
      </c>
    </row>
    <row r="10" customFormat="false" ht="15" hidden="false" customHeight="false" outlineLevel="0" collapsed="false">
      <c r="A10" s="106" t="n">
        <f aca="false">IF($B10="","",الموظفون!$A10)</f>
        <v>5</v>
      </c>
      <c r="B10" s="114" t="str">
        <f aca="false">IF(الموظفون!$B10="","",الموظفون!$B10)</f>
        <v>E005</v>
      </c>
      <c r="C10" s="114" t="str">
        <f aca="false">IF($B10="","",الموظفون!$C10)</f>
        <v>راجيش كومار</v>
      </c>
      <c r="D10" s="114" t="str">
        <f aca="false">IF($B10="","",الموظفون!$F10)</f>
        <v>تقنية المعلومات</v>
      </c>
      <c r="E10" s="114" t="str">
        <f aca="false">IF($B10="","",الموظفون!$E10)</f>
        <v>غير سعودي</v>
      </c>
      <c r="F10" s="114" t="str">
        <f aca="false">IF($B10="","",IF(AK10=0,IF(AND(الموظفون!$AE10&lt;&gt;"",الموظفون!$AE10&lt;$E$3),"✖ منتهي الخدمة","⏳ لم يباشر"),IF(S10&gt;0,"✈ راتب إجازة مقدم",IF(J10=0,"⛔ بدون راتب هذا الشهر",IF(I10&gt;0,"✈ خصم "&amp;ROUND(I10,2)&amp;" يوم بدون أجر",IF(AL10&gt;0,"🌴 إجازة سنوية "&amp;ROUND(AL10,2)&amp;" يوم",IF(H10&gt;0,"⚠ غياب "&amp;ROUND(H10,2)&amp;" يوم","✔ على رأس العمل")))))))</f>
        <v>✔ على رأس العمل</v>
      </c>
      <c r="G10" s="151" t="n">
        <f aca="false">IF($B10="","",IF(AK10&gt;=DAY($F$3),cfg_DAYS_M,MIN(AK10,cfg_DAYS_M)))</f>
        <v>30</v>
      </c>
      <c r="H10" s="151" t="n">
        <f aca="false">IF($B10="","",SUMIFS('الحركات الشهرية'!$D$6:$D$1005,'الحركات الشهرية'!$B$6:$B$1005,$B10,'الحركات الشهرية'!$A$6:$A$1005,$C$3))</f>
        <v>0</v>
      </c>
      <c r="I10" s="151" t="n">
        <f aca="false">IF($B10="","",MIN(G10,IF(AND(AK10&gt;0,AN10&gt;=AK10),G10,AN10)+SUMIFS('الحركات الشهرية'!$E$6:$E$1005,'الحركات الشهرية'!$B$6:$B$1005,$B10,'الحركات الشهرية'!$A$6:$A$1005,$C$3)))</f>
        <v>0</v>
      </c>
      <c r="J10" s="151" t="n">
        <f aca="false">IF($B10="","",MAX(0,G10-H10-I10))</f>
        <v>30</v>
      </c>
      <c r="K10" s="111" t="n">
        <f aca="false">IF($B10="","",الموظفون!$L10*$J10/cfg_DAYS_M)</f>
        <v>9000</v>
      </c>
      <c r="L10" s="111" t="n">
        <f aca="false">IF($B10="","",الموظفون!$M10*$J10/cfg_DAYS_M)</f>
        <v>2250</v>
      </c>
      <c r="M10" s="111" t="n">
        <f aca="false">IF($B10="","",الموظفون!$N10*$J10/cfg_DAYS_M)</f>
        <v>900</v>
      </c>
      <c r="N10" s="111" t="n">
        <f aca="false">IF($B10="","",الموظفون!$O10*$J10/cfg_DAYS_M)</f>
        <v>700</v>
      </c>
      <c r="O10" s="151" t="n">
        <f aca="false">IF($B10="","",SUMIFS('الحركات الشهرية'!$F$6:$F$1005,'الحركات الشهرية'!$B$6:$B$1005,$B10,'الحركات الشهرية'!$A$6:$A$1005,$C$3))</f>
        <v>0</v>
      </c>
      <c r="P10" s="111" t="n">
        <f aca="false">IF($B10="","",O10*(الموظفون!$P10+الموظفون!$L10*cfg_OT_P)/cfg_DAYS_M/cfg_HRS)</f>
        <v>0</v>
      </c>
      <c r="Q10" s="111" t="n">
        <f aca="false">IF($B10="","",SUMIFS('الحركات الشهرية'!$G$6:$G$1005,'الحركات الشهرية'!$B$6:$B$1005,$B10,'الحركات الشهرية'!$A$6:$A$1005,$C$3))</f>
        <v>0</v>
      </c>
      <c r="R10" s="111" t="n">
        <f aca="false">IF($B10="","",SUMIFS('الحركات الشهرية'!$H$6:$H$1005,'الحركات الشهرية'!$B$6:$B$1005,$B10,'الحركات الشهرية'!$A$6:$A$1005,$C$3))</f>
        <v>0</v>
      </c>
      <c r="S10" s="111" t="n">
        <f aca="false">IF($B10="","",SUMIFS('سجل الإجازات والحالات'!$N$6:$N$505,'سجل الإجازات والحالات'!$B$6:$B$505,$B10,'سجل الإجازات والحالات'!$O$6:$O$505,$C$3))</f>
        <v>0</v>
      </c>
      <c r="T10" s="152" t="n">
        <f aca="false">IF($B10="","",SUM(K10:N10)+SUM(P10:S10))</f>
        <v>12850</v>
      </c>
      <c r="U10" s="111" t="n">
        <f aca="false">IF($B10="","",الموظفون!$S10*IF(E10="سعودي",cfg_G_SE,cfg_G_NE)*G10/cfg_DAYS_M)</f>
        <v>0</v>
      </c>
      <c r="V10" s="111" t="n">
        <f aca="false">IF($B10="","",SUMIFS('الحركات الشهرية'!$I$6:$I$1005,'الحركات الشهرية'!$B$6:$B$1005,$B10,'الحركات الشهرية'!$A$6:$A$1005,$C$3))</f>
        <v>0</v>
      </c>
      <c r="W10" s="111" t="n">
        <f aca="false">IF($B10="","",SUMIFS('الحركات الشهرية'!$J$6:$J$1005,'الحركات الشهرية'!$B$6:$B$1005,$B10,'الحركات الشهرية'!$A$6:$A$1005,$C$3))</f>
        <v>0</v>
      </c>
      <c r="X10" s="111" t="n">
        <f aca="false">IF($B10="","",SUM(U10:W10))</f>
        <v>0</v>
      </c>
      <c r="Y10" s="153" t="n">
        <f aca="false">IF($B10="","",T10-X10)</f>
        <v>12850</v>
      </c>
      <c r="Z10" s="111" t="n">
        <f aca="false">IF($B10="","",الموظفون!$S10*IF(E10="سعودي",cfg_G_SR,cfg_G_NR)*G10/cfg_DAYS_M)</f>
        <v>225</v>
      </c>
      <c r="AA10" s="111" t="n">
        <f aca="false">IF($B10="","",الموظفون!$Q10*(cfg_EOS_R1*(MIN(AH10,cfg_EOS_TH)-MIN(AI10,cfg_EOS_TH))+cfg_EOS_R2*(MAX(AH10-cfg_EOS_TH,0)-MAX(AI10-cfg_EOS_TH,0))))</f>
        <v>1031.91780821917</v>
      </c>
      <c r="AB10" s="111" t="n">
        <f aca="false">IF($B10="","",IF(الموظفون!$T10&lt;&gt;"",الموظفون!$T10,IF(AH10&gt;=cfg_LV_TH,cfg_LV_D2,cfg_LV_D1))/cfg_DAYS_Y*AJ10*الموظفون!$R10/cfg_DAYS_M)</f>
        <v>1031.91780821918</v>
      </c>
      <c r="AC10" s="111" t="n">
        <f aca="false">IF($B10="","",IF(AND(الموظفون!$U10="نعم",N(الموظفون!$W10)&gt;0),الموظفون!$V10/الموظفون!$W10*12/cfg_DAYS_Y*AJ10,0))</f>
        <v>237.808219178082</v>
      </c>
      <c r="AD10" s="111" t="n">
        <f aca="false">IF($B10="","",(IF(الموظفون!$X10&lt;&gt;"",الموظفون!$X10,IF(الموظفون!$E10="غير سعودي",cfg_IQ,0))+IF(الموظفون!$Y10&lt;&gt;"",الموظفون!$Y10,IF(الموظفون!$E10="غير سعودي",cfg_WP,0)))/12*G10/cfg_DAYS_M)</f>
        <v>854.166666666667</v>
      </c>
      <c r="AE10" s="111" t="n">
        <f aca="false">IF($B10="","",IF(الموظفون!$Z10&lt;&gt;"",الموظفون!$Z10,cfg_MED)/12*G10/cfg_DAYS_M)</f>
        <v>200</v>
      </c>
      <c r="AF10" s="111" t="n">
        <f aca="false">IF($B10="","",N(الموظفون!$AA10)/12*G10/cfg_DAYS_M)</f>
        <v>0</v>
      </c>
      <c r="AG10" s="154" t="n">
        <f aca="false">IF($B10="","",T10+SUM(Z10:AF10))</f>
        <v>16430.8105022831</v>
      </c>
      <c r="AH10" s="155" t="n">
        <f aca="false">IF($B10="","",MAX(0,IF(OR(الموظفون!$AE10="",الموظفون!$AE10&gt;$F$3),$F$3,الموظفون!$AE10)-الموظفون!$H10+1-SUMIFS('سجل الإجازات والحالات'!$AQ$6:$AQ$505,'سجل الإجازات والحالات'!$B$6:$B$505,$B10))/cfg_DAYS_Y)</f>
        <v>6.55890410958904</v>
      </c>
      <c r="AI10" s="155" t="n">
        <f aca="false">IF($B10="","",MAX(0,IF(OR(الموظفون!$AE10="",الموظفون!$AE10&gt;($E$3-1)),($E$3-1),الموظفون!$AE10)-الموظفون!$H10+1-SUMIFS('سجل الإجازات والحالات'!$AP$6:$AP$505,'سجل الإجازات والحالات'!$B$6:$B$505,$B10))/cfg_DAYS_Y)</f>
        <v>6.47397260273973</v>
      </c>
      <c r="AJ10" s="65" t="n">
        <f aca="false">IF($B10="","",MAX(0,AK10-(SUMIFS('سجل الإجازات والحالات'!$AQ$6:$AQ$505,'سجل الإجازات والحالات'!$B$6:$B$505,$B10)-SUMIFS('سجل الإجازات والحالات'!$AP$6:$AP$505,'سجل الإجازات والحالات'!$B$6:$B$505,$B10))))</f>
        <v>31</v>
      </c>
      <c r="AK10" s="65" t="n">
        <f aca="false">IF($B10="","",MAX(0,IF(OR(الموظفون!$AE10="",الموظفون!$AE10&gt;$F$3),$F$3,الموظفون!$AE10)-MAX($E$3,الموظفون!$H10)+1))</f>
        <v>31</v>
      </c>
      <c r="AL10" s="151" t="n">
        <f aca="false">IF($B10="","",SUMIFS('سجل الإجازات والحالات'!$BC$6:$BC$505,'سجل الإجازات والحالات'!$B$6:$B$505,$B10)+SUMIFS('الحركات الشهرية'!$K$6:$K$1005,'الحركات الشهرية'!$B$6:$B$1005,$B10,'الحركات الشهرية'!$A$6:$A$1005,$C$3))</f>
        <v>0</v>
      </c>
      <c r="AM10" s="111" t="n">
        <f aca="false">IF($B10="","",AL10*الموظفون!$R10/cfg_DAYS_M+S10)</f>
        <v>0</v>
      </c>
      <c r="AN10" s="151" t="n">
        <f aca="false">IF($B10="","",SUMIFS('سجل الإجازات والحالات'!$AE$6:$AE$505,'سجل الإجازات والحالات'!$B$6:$B$505,$B10))</f>
        <v>0</v>
      </c>
    </row>
    <row r="11" customFormat="false" ht="15" hidden="false" customHeight="false" outlineLevel="0" collapsed="false">
      <c r="A11" s="115" t="n">
        <f aca="false">IF($B11="","",الموظفون!$A11)</f>
        <v>6</v>
      </c>
      <c r="B11" s="117" t="str">
        <f aca="false">IF(الموظفون!$B11="","",الموظفون!$B11)</f>
        <v>E006</v>
      </c>
      <c r="C11" s="117" t="str">
        <f aca="false">IF($B11="","",الموظفون!$C11)</f>
        <v>فهد ناصر الشمري</v>
      </c>
      <c r="D11" s="117" t="str">
        <f aca="false">IF($B11="","",الموظفون!$F11)</f>
        <v>المبيعات</v>
      </c>
      <c r="E11" s="117" t="str">
        <f aca="false">IF($B11="","",الموظفون!$E11)</f>
        <v>سعودي</v>
      </c>
      <c r="F11" s="117" t="str">
        <f aca="false">IF($B11="","",IF(AK11=0,IF(AND(الموظفون!$AE11&lt;&gt;"",الموظفون!$AE11&lt;$E$3),"✖ منتهي الخدمة","⏳ لم يباشر"),IF(S11&gt;0,"✈ راتب إجازة مقدم",IF(J11=0,"⛔ بدون راتب هذا الشهر",IF(I11&gt;0,"✈ خصم "&amp;ROUND(I11,2)&amp;" يوم بدون أجر",IF(AL11&gt;0,"🌴 إجازة سنوية "&amp;ROUND(AL11,2)&amp;" يوم",IF(H11&gt;0,"⚠ غياب "&amp;ROUND(H11,2)&amp;" يوم","✔ على رأس العمل")))))))</f>
        <v>✈ خصم 19 يوم بدون أجر</v>
      </c>
      <c r="G11" s="156" t="n">
        <f aca="false">IF($B11="","",IF(AK11&gt;=DAY($F$3),cfg_DAYS_M,MIN(AK11,cfg_DAYS_M)))</f>
        <v>30</v>
      </c>
      <c r="H11" s="156" t="n">
        <f aca="false">IF($B11="","",SUMIFS('الحركات الشهرية'!$D$6:$D$1005,'الحركات الشهرية'!$B$6:$B$1005,$B11,'الحركات الشهرية'!$A$6:$A$1005,$C$3))</f>
        <v>0</v>
      </c>
      <c r="I11" s="156" t="n">
        <f aca="false">IF($B11="","",MIN(G11,IF(AND(AK11&gt;0,AN11&gt;=AK11),G11,AN11)+SUMIFS('الحركات الشهرية'!$E$6:$E$1005,'الحركات الشهرية'!$B$6:$B$1005,$B11,'الحركات الشهرية'!$A$6:$A$1005,$C$3)))</f>
        <v>19</v>
      </c>
      <c r="J11" s="156" t="n">
        <f aca="false">IF($B11="","",MAX(0,G11-H11-I11))</f>
        <v>11</v>
      </c>
      <c r="K11" s="116" t="n">
        <f aca="false">IF($B11="","",الموظفون!$L11*$J11/cfg_DAYS_M)</f>
        <v>4766.66666666667</v>
      </c>
      <c r="L11" s="116" t="n">
        <f aca="false">IF($B11="","",الموظفون!$M11*$J11/cfg_DAYS_M)</f>
        <v>1191.66666666667</v>
      </c>
      <c r="M11" s="116" t="n">
        <f aca="false">IF($B11="","",الموظفون!$N11*$J11/cfg_DAYS_M)</f>
        <v>476.666666666667</v>
      </c>
      <c r="N11" s="116" t="n">
        <f aca="false">IF($B11="","",الموظفون!$O11*$J11/cfg_DAYS_M)</f>
        <v>916.666666666667</v>
      </c>
      <c r="O11" s="156" t="n">
        <f aca="false">IF($B11="","",SUMIFS('الحركات الشهرية'!$F$6:$F$1005,'الحركات الشهرية'!$B$6:$B$1005,$B11,'الحركات الشهرية'!$A$6:$A$1005,$C$3))</f>
        <v>0</v>
      </c>
      <c r="P11" s="116" t="n">
        <f aca="false">IF($B11="","",O11*(الموظفون!$P11+الموظفون!$L11*cfg_OT_P)/cfg_DAYS_M/cfg_HRS)</f>
        <v>0</v>
      </c>
      <c r="Q11" s="116" t="n">
        <f aca="false">IF($B11="","",SUMIFS('الحركات الشهرية'!$G$6:$G$1005,'الحركات الشهرية'!$B$6:$B$1005,$B11,'الحركات الشهرية'!$A$6:$A$1005,$C$3))</f>
        <v>0</v>
      </c>
      <c r="R11" s="116" t="n">
        <f aca="false">IF($B11="","",SUMIFS('الحركات الشهرية'!$H$6:$H$1005,'الحركات الشهرية'!$B$6:$B$1005,$B11,'الحركات الشهرية'!$A$6:$A$1005,$C$3))</f>
        <v>0</v>
      </c>
      <c r="S11" s="116" t="n">
        <f aca="false">IF($B11="","",SUMIFS('سجل الإجازات والحالات'!$N$6:$N$505,'سجل الإجازات والحالات'!$B$6:$B$505,$B11,'سجل الإجازات والحالات'!$O$6:$O$505,$C$3))</f>
        <v>0</v>
      </c>
      <c r="T11" s="157" t="n">
        <f aca="false">IF($B11="","",SUM(K11:N11)+SUM(P11:S11))</f>
        <v>7351.66666666667</v>
      </c>
      <c r="U11" s="116" t="n">
        <f aca="false">IF($B11="","",الموظفون!$S11*IF(E11="سعودي",cfg_G_SE,cfg_G_NE)*G11/cfg_DAYS_M)</f>
        <v>1584.375</v>
      </c>
      <c r="V11" s="116" t="n">
        <f aca="false">IF($B11="","",SUMIFS('الحركات الشهرية'!$I$6:$I$1005,'الحركات الشهرية'!$B$6:$B$1005,$B11,'الحركات الشهرية'!$A$6:$A$1005,$C$3))</f>
        <v>0</v>
      </c>
      <c r="W11" s="116" t="n">
        <f aca="false">IF($B11="","",SUMIFS('الحركات الشهرية'!$J$6:$J$1005,'الحركات الشهرية'!$B$6:$B$1005,$B11,'الحركات الشهرية'!$A$6:$A$1005,$C$3))</f>
        <v>0</v>
      </c>
      <c r="X11" s="116" t="n">
        <f aca="false">IF($B11="","",SUM(U11:W11))</f>
        <v>1584.375</v>
      </c>
      <c r="Y11" s="158" t="n">
        <f aca="false">IF($B11="","",T11-X11)</f>
        <v>5767.29166666667</v>
      </c>
      <c r="Z11" s="116" t="n">
        <f aca="false">IF($B11="","",الموظفون!$S11*IF(E11="سعودي",cfg_G_SR,cfg_G_NR)*G11/cfg_DAYS_M)</f>
        <v>1909.375</v>
      </c>
      <c r="AA11" s="116" t="n">
        <f aca="false">IF($B11="","",الموظفون!$Q11*(cfg_EOS_R1*(MIN(AH11,cfg_EOS_TH)-MIN(AI11,cfg_EOS_TH))+cfg_EOS_R2*(MAX(AH11-cfg_EOS_TH,0)-MAX(AI11-cfg_EOS_TH,0))))</f>
        <v>576.986301369884</v>
      </c>
      <c r="AB11" s="116" t="n">
        <f aca="false">IF($B11="","",IF(الموظفون!$T11&lt;&gt;"",الموظفون!$T11,IF(AH11&gt;=cfg_LV_TH,cfg_LV_D2,cfg_LV_D1))/cfg_DAYS_Y*AJ11*الموظفون!$R11/cfg_DAYS_M)</f>
        <v>576.986301369863</v>
      </c>
      <c r="AC11" s="116" t="n">
        <f aca="false">IF($B11="","",IF(AND(الموظفون!$U11="نعم",N(الموظفون!$W11)&gt;0),الموظفون!$V11/الموظفون!$W11*12/cfg_DAYS_Y*AJ11,0))</f>
        <v>0</v>
      </c>
      <c r="AD11" s="116" t="n">
        <f aca="false">IF($B11="","",(IF(الموظفون!$X11&lt;&gt;"",الموظفون!$X11,IF(الموظفون!$E11="غير سعودي",cfg_IQ,0))+IF(الموظفون!$Y11&lt;&gt;"",الموظفون!$Y11,IF(الموظفون!$E11="غير سعودي",cfg_WP,0)))/12*G11/cfg_DAYS_M)</f>
        <v>0</v>
      </c>
      <c r="AE11" s="116" t="n">
        <f aca="false">IF($B11="","",IF(الموظفون!$Z11&lt;&gt;"",الموظفون!$Z11,cfg_MED)/12*G11/cfg_DAYS_M)</f>
        <v>300</v>
      </c>
      <c r="AF11" s="116" t="n">
        <f aca="false">IF($B11="","",N(الموظفون!$AA11)/12*G11/cfg_DAYS_M)</f>
        <v>0</v>
      </c>
      <c r="AG11" s="159" t="n">
        <f aca="false">IF($B11="","",T11+SUM(Z11:AF11))</f>
        <v>10715.0142694064</v>
      </c>
      <c r="AH11" s="160" t="n">
        <f aca="false">IF($B11="","",MAX(0,IF(OR(الموظفون!$AE11="",الموظفون!$AE11&gt;$F$3),$F$3,الموظفون!$AE11)-الموظفون!$H11+1-SUMIFS('سجل الإجازات والحالات'!$AQ$6:$AQ$505,'سجل الإجازات والحالات'!$B$6:$B$505,$B11))/cfg_DAYS_Y)</f>
        <v>8.91232876712329</v>
      </c>
      <c r="AI11" s="160" t="n">
        <f aca="false">IF($B11="","",MAX(0,IF(OR(الموظفون!$AE11="",الموظفون!$AE11&gt;($E$3-1)),($E$3-1),الموظفون!$AE11)-الموظفون!$H11+1-SUMIFS('سجل الإجازات والحالات'!$AP$6:$AP$505,'سجل الإجازات والحالات'!$B$6:$B$505,$B11))/cfg_DAYS_Y)</f>
        <v>8.87945205479452</v>
      </c>
      <c r="AJ11" s="133" t="n">
        <f aca="false">IF($B11="","",MAX(0,AK11-(SUMIFS('سجل الإجازات والحالات'!$AQ$6:$AQ$505,'سجل الإجازات والحالات'!$B$6:$B$505,$B11)-SUMIFS('سجل الإجازات والحالات'!$AP$6:$AP$505,'سجل الإجازات والحالات'!$B$6:$B$505,$B11))))</f>
        <v>12</v>
      </c>
      <c r="AK11" s="133" t="n">
        <f aca="false">IF($B11="","",MAX(0,IF(OR(الموظفون!$AE11="",الموظفون!$AE11&gt;$F$3),$F$3,الموظفون!$AE11)-MAX($E$3,الموظفون!$H11)+1))</f>
        <v>31</v>
      </c>
      <c r="AL11" s="156" t="n">
        <f aca="false">IF($B11="","",SUMIFS('سجل الإجازات والحالات'!$BC$6:$BC$505,'سجل الإجازات والحالات'!$B$6:$B$505,$B11)+SUMIFS('الحركات الشهرية'!$K$6:$K$1005,'الحركات الشهرية'!$B$6:$B$1005,$B11,'الحركات الشهرية'!$A$6:$A$1005,$C$3))</f>
        <v>0</v>
      </c>
      <c r="AM11" s="116" t="n">
        <f aca="false">IF($B11="","",AL11*الموظفون!$R11/cfg_DAYS_M+S11)</f>
        <v>0</v>
      </c>
      <c r="AN11" s="156" t="n">
        <f aca="false">IF($B11="","",SUMIFS('سجل الإجازات والحالات'!$AE$6:$AE$505,'سجل الإجازات والحالات'!$B$6:$B$505,$B11))</f>
        <v>19</v>
      </c>
    </row>
    <row r="12" customFormat="false" ht="15" hidden="false" customHeight="false" outlineLevel="0" collapsed="false">
      <c r="A12" s="106" t="n">
        <f aca="false">IF($B12="","",الموظفون!$A12)</f>
        <v>7</v>
      </c>
      <c r="B12" s="114" t="str">
        <f aca="false">IF(الموظفون!$B12="","",الموظفون!$B12)</f>
        <v>E007</v>
      </c>
      <c r="C12" s="114" t="str">
        <f aca="false">IF($B12="","",الموظفون!$C12)</f>
        <v>خالد يوسف الأحمد</v>
      </c>
      <c r="D12" s="114" t="str">
        <f aca="false">IF($B12="","",الموظفون!$F12)</f>
        <v>المشاريع</v>
      </c>
      <c r="E12" s="114" t="str">
        <f aca="false">IF($B12="","",الموظفون!$E12)</f>
        <v>غير سعودي</v>
      </c>
      <c r="F12" s="114" t="str">
        <f aca="false">IF($B12="","",IF(AK12=0,IF(AND(الموظفون!$AE12&lt;&gt;"",الموظفون!$AE12&lt;$E$3),"✖ منتهي الخدمة","⏳ لم يباشر"),IF(S12&gt;0,"✈ راتب إجازة مقدم",IF(J12=0,"⛔ بدون راتب هذا الشهر",IF(I12&gt;0,"✈ خصم "&amp;ROUND(I12,2)&amp;" يوم بدون أجر",IF(AL12&gt;0,"🌴 إجازة سنوية "&amp;ROUND(AL12,2)&amp;" يوم",IF(H12&gt;0,"⚠ غياب "&amp;ROUND(H12,2)&amp;" يوم","✔ على رأس العمل")))))))</f>
        <v>✔ على رأس العمل</v>
      </c>
      <c r="G12" s="151" t="n">
        <f aca="false">IF($B12="","",IF(AK12&gt;=DAY($F$3),cfg_DAYS_M,MIN(AK12,cfg_DAYS_M)))</f>
        <v>30</v>
      </c>
      <c r="H12" s="151" t="n">
        <f aca="false">IF($B12="","",SUMIFS('الحركات الشهرية'!$D$6:$D$1005,'الحركات الشهرية'!$B$6:$B$1005,$B12,'الحركات الشهرية'!$A$6:$A$1005,$C$3))</f>
        <v>0</v>
      </c>
      <c r="I12" s="151" t="n">
        <f aca="false">IF($B12="","",MIN(G12,IF(AND(AK12&gt;0,AN12&gt;=AK12),G12,AN12)+SUMIFS('الحركات الشهرية'!$E$6:$E$1005,'الحركات الشهرية'!$B$6:$B$1005,$B12,'الحركات الشهرية'!$A$6:$A$1005,$C$3)))</f>
        <v>0</v>
      </c>
      <c r="J12" s="151" t="n">
        <f aca="false">IF($B12="","",MAX(0,G12-H12-I12))</f>
        <v>30</v>
      </c>
      <c r="K12" s="111" t="n">
        <f aca="false">IF($B12="","",الموظفون!$L12*$J12/cfg_DAYS_M)</f>
        <v>11000</v>
      </c>
      <c r="L12" s="111" t="n">
        <f aca="false">IF($B12="","",الموظفون!$M12*$J12/cfg_DAYS_M)</f>
        <v>2750</v>
      </c>
      <c r="M12" s="111" t="n">
        <f aca="false">IF($B12="","",الموظفون!$N12*$J12/cfg_DAYS_M)</f>
        <v>1100</v>
      </c>
      <c r="N12" s="111" t="n">
        <f aca="false">IF($B12="","",الموظفون!$O12*$J12/cfg_DAYS_M)</f>
        <v>800</v>
      </c>
      <c r="O12" s="151" t="n">
        <f aca="false">IF($B12="","",SUMIFS('الحركات الشهرية'!$F$6:$F$1005,'الحركات الشهرية'!$B$6:$B$1005,$B12,'الحركات الشهرية'!$A$6:$A$1005,$C$3))</f>
        <v>0</v>
      </c>
      <c r="P12" s="111" t="n">
        <f aca="false">IF($B12="","",O12*(الموظفون!$P12+الموظفون!$L12*cfg_OT_P)/cfg_DAYS_M/cfg_HRS)</f>
        <v>0</v>
      </c>
      <c r="Q12" s="111" t="n">
        <f aca="false">IF($B12="","",SUMIFS('الحركات الشهرية'!$G$6:$G$1005,'الحركات الشهرية'!$B$6:$B$1005,$B12,'الحركات الشهرية'!$A$6:$A$1005,$C$3))</f>
        <v>0</v>
      </c>
      <c r="R12" s="111" t="n">
        <f aca="false">IF($B12="","",SUMIFS('الحركات الشهرية'!$H$6:$H$1005,'الحركات الشهرية'!$B$6:$B$1005,$B12,'الحركات الشهرية'!$A$6:$A$1005,$C$3))</f>
        <v>0</v>
      </c>
      <c r="S12" s="111" t="n">
        <f aca="false">IF($B12="","",SUMIFS('سجل الإجازات والحالات'!$N$6:$N$505,'سجل الإجازات والحالات'!$B$6:$B$505,$B12,'سجل الإجازات والحالات'!$O$6:$O$505,$C$3))</f>
        <v>0</v>
      </c>
      <c r="T12" s="152" t="n">
        <f aca="false">IF($B12="","",SUM(K12:N12)+SUM(P12:S12))</f>
        <v>15650</v>
      </c>
      <c r="U12" s="111" t="n">
        <f aca="false">IF($B12="","",الموظفون!$S12*IF(E12="سعودي",cfg_G_SE,cfg_G_NE)*G12/cfg_DAYS_M)</f>
        <v>0</v>
      </c>
      <c r="V12" s="111" t="n">
        <f aca="false">IF($B12="","",SUMIFS('الحركات الشهرية'!$I$6:$I$1005,'الحركات الشهرية'!$B$6:$B$1005,$B12,'الحركات الشهرية'!$A$6:$A$1005,$C$3))</f>
        <v>0</v>
      </c>
      <c r="W12" s="111" t="n">
        <f aca="false">IF($B12="","",SUMIFS('الحركات الشهرية'!$J$6:$J$1005,'الحركات الشهرية'!$B$6:$B$1005,$B12,'الحركات الشهرية'!$A$6:$A$1005,$C$3))</f>
        <v>0</v>
      </c>
      <c r="X12" s="111" t="n">
        <f aca="false">IF($B12="","",SUM(U12:W12))</f>
        <v>0</v>
      </c>
      <c r="Y12" s="153" t="n">
        <f aca="false">IF($B12="","",T12-X12)</f>
        <v>15650</v>
      </c>
      <c r="Z12" s="111" t="n">
        <f aca="false">IF($B12="","",الموظفون!$S12*IF(E12="سعودي",cfg_G_SR,cfg_G_NR)*G12/cfg_DAYS_M)</f>
        <v>275</v>
      </c>
      <c r="AA12" s="111" t="n">
        <f aca="false">IF($B12="","",الموظفون!$Q12*(cfg_EOS_R1*(MIN(AH12,cfg_EOS_TH)-MIN(AI12,cfg_EOS_TH))+cfg_EOS_R2*(MAX(AH12-cfg_EOS_TH,0)-MAX(AI12-cfg_EOS_TH,0))))</f>
        <v>1261.23287671234</v>
      </c>
      <c r="AB12" s="111" t="n">
        <f aca="false">IF($B12="","",IF(الموظفون!$T12&lt;&gt;"",الموظفون!$T12,IF(AH12&gt;=cfg_LV_TH,cfg_LV_D2,cfg_LV_D1))/cfg_DAYS_Y*AJ12*الموظفون!$R12/cfg_DAYS_M)</f>
        <v>1261.23287671233</v>
      </c>
      <c r="AC12" s="111" t="n">
        <f aca="false">IF($B12="","",IF(AND(الموظفون!$U12="نعم",N(الموظفون!$W12)&gt;0),الموظفون!$V12/الموظفون!$W12*12/cfg_DAYS_Y*AJ12,0))</f>
        <v>382.191780821918</v>
      </c>
      <c r="AD12" s="111" t="n">
        <f aca="false">IF($B12="","",(IF(الموظفون!$X12&lt;&gt;"",الموظفون!$X12,IF(الموظفون!$E12="غير سعودي",cfg_IQ,0))+IF(الموظفون!$Y12&lt;&gt;"",الموظفون!$Y12,IF(الموظفون!$E12="غير سعودي",cfg_WP,0)))/12*G12/cfg_DAYS_M)</f>
        <v>854.166666666667</v>
      </c>
      <c r="AE12" s="111" t="n">
        <f aca="false">IF($B12="","",IF(الموظفون!$Z12&lt;&gt;"",الموظفون!$Z12,cfg_MED)/12*G12/cfg_DAYS_M)</f>
        <v>200</v>
      </c>
      <c r="AF12" s="111" t="n">
        <f aca="false">IF($B12="","",N(الموظفون!$AA12)/12*G12/cfg_DAYS_M)</f>
        <v>400</v>
      </c>
      <c r="AG12" s="154" t="n">
        <f aca="false">IF($B12="","",T12+SUM(Z12:AF12))</f>
        <v>20283.8242009133</v>
      </c>
      <c r="AH12" s="155" t="n">
        <f aca="false">IF($B12="","",MAX(0,IF(OR(الموظفون!$AE12="",الموظفون!$AE12&gt;$F$3),$F$3,الموظفون!$AE12)-الموظفون!$H12+1-SUMIFS('سجل الإجازات والحالات'!$AQ$6:$AQ$505,'سجل الإجازات والحالات'!$B$6:$B$505,$B12))/cfg_DAYS_Y)</f>
        <v>5.78356164383562</v>
      </c>
      <c r="AI12" s="155" t="n">
        <f aca="false">IF($B12="","",MAX(0,IF(OR(الموظفون!$AE12="",الموظفون!$AE12&gt;($E$3-1)),($E$3-1),الموظفون!$AE12)-الموظفون!$H12+1-SUMIFS('سجل الإجازات والحالات'!$AP$6:$AP$505,'سجل الإجازات والحالات'!$B$6:$B$505,$B12))/cfg_DAYS_Y)</f>
        <v>5.6986301369863</v>
      </c>
      <c r="AJ12" s="65" t="n">
        <f aca="false">IF($B12="","",MAX(0,AK12-(SUMIFS('سجل الإجازات والحالات'!$AQ$6:$AQ$505,'سجل الإجازات والحالات'!$B$6:$B$505,$B12)-SUMIFS('سجل الإجازات والحالات'!$AP$6:$AP$505,'سجل الإجازات والحالات'!$B$6:$B$505,$B12))))</f>
        <v>31</v>
      </c>
      <c r="AK12" s="65" t="n">
        <f aca="false">IF($B12="","",MAX(0,IF(OR(الموظفون!$AE12="",الموظفون!$AE12&gt;$F$3),$F$3,الموظفون!$AE12)-MAX($E$3,الموظفون!$H12)+1))</f>
        <v>31</v>
      </c>
      <c r="AL12" s="151" t="n">
        <f aca="false">IF($B12="","",SUMIFS('سجل الإجازات والحالات'!$BC$6:$BC$505,'سجل الإجازات والحالات'!$B$6:$B$505,$B12)+SUMIFS('الحركات الشهرية'!$K$6:$K$1005,'الحركات الشهرية'!$B$6:$B$1005,$B12,'الحركات الشهرية'!$A$6:$A$1005,$C$3))</f>
        <v>0</v>
      </c>
      <c r="AM12" s="111" t="n">
        <f aca="false">IF($B12="","",AL12*الموظفون!$R12/cfg_DAYS_M+S12)</f>
        <v>0</v>
      </c>
      <c r="AN12" s="151" t="n">
        <f aca="false">IF($B12="","",SUMIFS('سجل الإجازات والحالات'!$AE$6:$AE$505,'سجل الإجازات والحالات'!$B$6:$B$505,$B12))</f>
        <v>0</v>
      </c>
    </row>
    <row r="13" customFormat="false" ht="15" hidden="false" customHeight="false" outlineLevel="0" collapsed="false">
      <c r="A13" s="115" t="n">
        <f aca="false">IF($B13="","",الموظفون!$A13)</f>
        <v>8</v>
      </c>
      <c r="B13" s="117" t="str">
        <f aca="false">IF(الموظفون!$B13="","",الموظفون!$B13)</f>
        <v>E008</v>
      </c>
      <c r="C13" s="117" t="str">
        <f aca="false">IF($B13="","",الموظفون!$C13)</f>
        <v>سارة عبدالرحمن الزهراني</v>
      </c>
      <c r="D13" s="117" t="str">
        <f aca="false">IF($B13="","",الموظفون!$F13)</f>
        <v>المالية</v>
      </c>
      <c r="E13" s="117" t="str">
        <f aca="false">IF($B13="","",الموظفون!$E13)</f>
        <v>سعودي</v>
      </c>
      <c r="F13" s="117" t="str">
        <f aca="false">IF($B13="","",IF(AK13=0,IF(AND(الموظفون!$AE13&lt;&gt;"",الموظفون!$AE13&lt;$E$3),"✖ منتهي الخدمة","⏳ لم يباشر"),IF(S13&gt;0,"✈ راتب إجازة مقدم",IF(J13=0,"⛔ بدون راتب هذا الشهر",IF(I13&gt;0,"✈ خصم "&amp;ROUND(I13,2)&amp;" يوم بدون أجر",IF(AL13&gt;0,"🌴 إجازة سنوية "&amp;ROUND(AL13,2)&amp;" يوم",IF(H13&gt;0,"⚠ غياب "&amp;ROUND(H13,2)&amp;" يوم","✔ على رأس العمل")))))))</f>
        <v>✔ على رأس العمل</v>
      </c>
      <c r="G13" s="156" t="n">
        <f aca="false">IF($B13="","",IF(AK13&gt;=DAY($F$3),cfg_DAYS_M,MIN(AK13,cfg_DAYS_M)))</f>
        <v>30</v>
      </c>
      <c r="H13" s="156" t="n">
        <f aca="false">IF($B13="","",SUMIFS('الحركات الشهرية'!$D$6:$D$1005,'الحركات الشهرية'!$B$6:$B$1005,$B13,'الحركات الشهرية'!$A$6:$A$1005,$C$3))</f>
        <v>0</v>
      </c>
      <c r="I13" s="156" t="n">
        <f aca="false">IF($B13="","",MIN(G13,IF(AND(AK13&gt;0,AN13&gt;=AK13),G13,AN13)+SUMIFS('الحركات الشهرية'!$E$6:$E$1005,'الحركات الشهرية'!$B$6:$B$1005,$B13,'الحركات الشهرية'!$A$6:$A$1005,$C$3)))</f>
        <v>0</v>
      </c>
      <c r="J13" s="156" t="n">
        <f aca="false">IF($B13="","",MAX(0,G13-H13-I13))</f>
        <v>30</v>
      </c>
      <c r="K13" s="116" t="n">
        <f aca="false">IF($B13="","",الموظفون!$L13*$J13/cfg_DAYS_M)</f>
        <v>7500</v>
      </c>
      <c r="L13" s="116" t="n">
        <f aca="false">IF($B13="","",الموظفون!$M13*$J13/cfg_DAYS_M)</f>
        <v>1875</v>
      </c>
      <c r="M13" s="116" t="n">
        <f aca="false">IF($B13="","",الموظفون!$N13*$J13/cfg_DAYS_M)</f>
        <v>750</v>
      </c>
      <c r="N13" s="116" t="n">
        <f aca="false">IF($B13="","",الموظفون!$O13*$J13/cfg_DAYS_M)</f>
        <v>0</v>
      </c>
      <c r="O13" s="156" t="n">
        <f aca="false">IF($B13="","",SUMIFS('الحركات الشهرية'!$F$6:$F$1005,'الحركات الشهرية'!$B$6:$B$1005,$B13,'الحركات الشهرية'!$A$6:$A$1005,$C$3))</f>
        <v>0</v>
      </c>
      <c r="P13" s="116" t="n">
        <f aca="false">IF($B13="","",O13*(الموظفون!$P13+الموظفون!$L13*cfg_OT_P)/cfg_DAYS_M/cfg_HRS)</f>
        <v>0</v>
      </c>
      <c r="Q13" s="116" t="n">
        <f aca="false">IF($B13="","",SUMIFS('الحركات الشهرية'!$G$6:$G$1005,'الحركات الشهرية'!$B$6:$B$1005,$B13,'الحركات الشهرية'!$A$6:$A$1005,$C$3))</f>
        <v>0</v>
      </c>
      <c r="R13" s="116" t="n">
        <f aca="false">IF($B13="","",SUMIFS('الحركات الشهرية'!$H$6:$H$1005,'الحركات الشهرية'!$B$6:$B$1005,$B13,'الحركات الشهرية'!$A$6:$A$1005,$C$3))</f>
        <v>0</v>
      </c>
      <c r="S13" s="116" t="n">
        <f aca="false">IF($B13="","",SUMIFS('سجل الإجازات والحالات'!$N$6:$N$505,'سجل الإجازات والحالات'!$B$6:$B$505,$B13,'سجل الإجازات والحالات'!$O$6:$O$505,$C$3))</f>
        <v>0</v>
      </c>
      <c r="T13" s="157" t="n">
        <f aca="false">IF($B13="","",SUM(K13:N13)+SUM(P13:S13))</f>
        <v>10125</v>
      </c>
      <c r="U13" s="116" t="n">
        <f aca="false">IF($B13="","",الموظفون!$S13*IF(E13="سعودي",cfg_G_SE,cfg_G_NE)*G13/cfg_DAYS_M)</f>
        <v>914.0625</v>
      </c>
      <c r="V13" s="116" t="n">
        <f aca="false">IF($B13="","",SUMIFS('الحركات الشهرية'!$I$6:$I$1005,'الحركات الشهرية'!$B$6:$B$1005,$B13,'الحركات الشهرية'!$A$6:$A$1005,$C$3))</f>
        <v>0</v>
      </c>
      <c r="W13" s="116" t="n">
        <f aca="false">IF($B13="","",SUMIFS('الحركات الشهرية'!$J$6:$J$1005,'الحركات الشهرية'!$B$6:$B$1005,$B13,'الحركات الشهرية'!$A$6:$A$1005,$C$3))</f>
        <v>0</v>
      </c>
      <c r="X13" s="116" t="n">
        <f aca="false">IF($B13="","",SUM(U13:W13))</f>
        <v>914.0625</v>
      </c>
      <c r="Y13" s="158" t="n">
        <f aca="false">IF($B13="","",T13-X13)</f>
        <v>9210.9375</v>
      </c>
      <c r="Z13" s="116" t="n">
        <f aca="false">IF($B13="","",الموظفون!$S13*IF(E13="سعودي",cfg_G_SR,cfg_G_NR)*G13/cfg_DAYS_M)</f>
        <v>1101.5625</v>
      </c>
      <c r="AA13" s="116" t="n">
        <f aca="false">IF($B13="","",الموظفون!$Q13*(cfg_EOS_R1*(MIN(AH13,cfg_EOS_TH)-MIN(AI13,cfg_EOS_TH))+cfg_EOS_R2*(MAX(AH13-cfg_EOS_TH,0)-MAX(AI13-cfg_EOS_TH,0))))</f>
        <v>429.965753424657</v>
      </c>
      <c r="AB13" s="116" t="n">
        <f aca="false">IF($B13="","",IF(الموظفون!$T13&lt;&gt;"",الموظفون!$T13,IF(AH13&gt;=cfg_LV_TH,cfg_LV_D2,cfg_LV_D1))/cfg_DAYS_Y*AJ13*الموظفون!$R13/cfg_DAYS_M)</f>
        <v>601.952054794521</v>
      </c>
      <c r="AC13" s="116" t="n">
        <f aca="false">IF($B13="","",IF(AND(الموظفون!$U13="نعم",N(الموظفون!$W13)&gt;0),الموظفون!$V13/الموظفون!$W13*12/cfg_DAYS_Y*AJ13,0))</f>
        <v>0</v>
      </c>
      <c r="AD13" s="116" t="n">
        <f aca="false">IF($B13="","",(IF(الموظفون!$X13&lt;&gt;"",الموظفون!$X13,IF(الموظفون!$E13="غير سعودي",cfg_IQ,0))+IF(الموظفون!$Y13&lt;&gt;"",الموظفون!$Y13,IF(الموظفون!$E13="غير سعودي",cfg_WP,0)))/12*G13/cfg_DAYS_M)</f>
        <v>0</v>
      </c>
      <c r="AE13" s="116" t="n">
        <f aca="false">IF($B13="","",IF(الموظفون!$Z13&lt;&gt;"",الموظفون!$Z13,cfg_MED)/12*G13/cfg_DAYS_M)</f>
        <v>200</v>
      </c>
      <c r="AF13" s="116" t="n">
        <f aca="false">IF($B13="","",N(الموظفون!$AA13)/12*G13/cfg_DAYS_M)</f>
        <v>0</v>
      </c>
      <c r="AG13" s="159" t="n">
        <f aca="false">IF($B13="","",T13+SUM(Z13:AF13))</f>
        <v>12458.4803082192</v>
      </c>
      <c r="AH13" s="160" t="n">
        <f aca="false">IF($B13="","",MAX(0,IF(OR(الموظفون!$AE13="",الموظفون!$AE13&gt;$F$3),$F$3,الموظفون!$AE13)-الموظفون!$H13+1-SUMIFS('سجل الإجازات والحالات'!$AQ$6:$AQ$505,'سجل الإجازات والحالات'!$B$6:$B$505,$B13))/cfg_DAYS_Y)</f>
        <v>3.66575342465753</v>
      </c>
      <c r="AI13" s="160" t="n">
        <f aca="false">IF($B13="","",MAX(0,IF(OR(الموظفون!$AE13="",الموظفون!$AE13&gt;($E$3-1)),($E$3-1),الموظفون!$AE13)-الموظفون!$H13+1-SUMIFS('سجل الإجازات والحالات'!$AP$6:$AP$505,'سجل الإجازات والحالات'!$B$6:$B$505,$B13))/cfg_DAYS_Y)</f>
        <v>3.58082191780822</v>
      </c>
      <c r="AJ13" s="133" t="n">
        <f aca="false">IF($B13="","",MAX(0,AK13-(SUMIFS('سجل الإجازات والحالات'!$AQ$6:$AQ$505,'سجل الإجازات والحالات'!$B$6:$B$505,$B13)-SUMIFS('سجل الإجازات والحالات'!$AP$6:$AP$505,'سجل الإجازات والحالات'!$B$6:$B$505,$B13))))</f>
        <v>31</v>
      </c>
      <c r="AK13" s="133" t="n">
        <f aca="false">IF($B13="","",MAX(0,IF(OR(الموظفون!$AE13="",الموظفون!$AE13&gt;$F$3),$F$3,الموظفون!$AE13)-MAX($E$3,الموظفون!$H13)+1))</f>
        <v>31</v>
      </c>
      <c r="AL13" s="156" t="n">
        <f aca="false">IF($B13="","",SUMIFS('سجل الإجازات والحالات'!$BC$6:$BC$505,'سجل الإجازات والحالات'!$B$6:$B$505,$B13)+SUMIFS('الحركات الشهرية'!$K$6:$K$1005,'الحركات الشهرية'!$B$6:$B$1005,$B13,'الحركات الشهرية'!$A$6:$A$1005,$C$3))</f>
        <v>0</v>
      </c>
      <c r="AM13" s="116" t="n">
        <f aca="false">IF($B13="","",AL13*الموظفون!$R13/cfg_DAYS_M+S13)</f>
        <v>0</v>
      </c>
      <c r="AN13" s="156" t="n">
        <f aca="false">IF($B13="","",SUMIFS('سجل الإجازات والحالات'!$AE$6:$AE$505,'سجل الإجازات والحالات'!$B$6:$B$505,$B13))</f>
        <v>0</v>
      </c>
    </row>
    <row r="14" customFormat="false" ht="15" hidden="false" customHeight="false" outlineLevel="0" collapsed="false">
      <c r="A14" s="106" t="n">
        <f aca="false">IF($B14="","",الموظفون!$A14)</f>
        <v>9</v>
      </c>
      <c r="B14" s="114" t="str">
        <f aca="false">IF(الموظفون!$B14="","",الموظفون!$B14)</f>
        <v>E009</v>
      </c>
      <c r="C14" s="114" t="str">
        <f aca="false">IF($B14="","",الموظفون!$C14)</f>
        <v>محمد رفيق</v>
      </c>
      <c r="D14" s="114" t="str">
        <f aca="false">IF($B14="","",الموظفون!$F14)</f>
        <v>العمليات</v>
      </c>
      <c r="E14" s="114" t="str">
        <f aca="false">IF($B14="","",الموظفون!$E14)</f>
        <v>غير سعودي</v>
      </c>
      <c r="F14" s="114" t="str">
        <f aca="false">IF($B14="","",IF(AK14=0,IF(AND(الموظفون!$AE14&lt;&gt;"",الموظفون!$AE14&lt;$E$3),"✖ منتهي الخدمة","⏳ لم يباشر"),IF(S14&gt;0,"✈ راتب إجازة مقدم",IF(J14=0,"⛔ بدون راتب هذا الشهر",IF(I14&gt;0,"✈ خصم "&amp;ROUND(I14,2)&amp;" يوم بدون أجر",IF(AL14&gt;0,"🌴 إجازة سنوية "&amp;ROUND(AL14,2)&amp;" يوم",IF(H14&gt;0,"⚠ غياب "&amp;ROUND(H14,2)&amp;" يوم","✔ على رأس العمل")))))))</f>
        <v>✔ على رأس العمل</v>
      </c>
      <c r="G14" s="151" t="n">
        <f aca="false">IF($B14="","",IF(AK14&gt;=DAY($F$3),cfg_DAYS_M,MIN(AK14,cfg_DAYS_M)))</f>
        <v>30</v>
      </c>
      <c r="H14" s="151" t="n">
        <f aca="false">IF($B14="","",SUMIFS('الحركات الشهرية'!$D$6:$D$1005,'الحركات الشهرية'!$B$6:$B$1005,$B14,'الحركات الشهرية'!$A$6:$A$1005,$C$3))</f>
        <v>0</v>
      </c>
      <c r="I14" s="151" t="n">
        <f aca="false">IF($B14="","",MIN(G14,IF(AND(AK14&gt;0,AN14&gt;=AK14),G14,AN14)+SUMIFS('الحركات الشهرية'!$E$6:$E$1005,'الحركات الشهرية'!$B$6:$B$1005,$B14,'الحركات الشهرية'!$A$6:$A$1005,$C$3)))</f>
        <v>0</v>
      </c>
      <c r="J14" s="151" t="n">
        <f aca="false">IF($B14="","",MAX(0,G14-H14-I14))</f>
        <v>30</v>
      </c>
      <c r="K14" s="111" t="n">
        <f aca="false">IF($B14="","",الموظفون!$L14*$J14/cfg_DAYS_M)</f>
        <v>6500</v>
      </c>
      <c r="L14" s="111" t="n">
        <f aca="false">IF($B14="","",الموظفون!$M14*$J14/cfg_DAYS_M)</f>
        <v>1625</v>
      </c>
      <c r="M14" s="111" t="n">
        <f aca="false">IF($B14="","",الموظفون!$N14*$J14/cfg_DAYS_M)</f>
        <v>650</v>
      </c>
      <c r="N14" s="111" t="n">
        <f aca="false">IF($B14="","",الموظفون!$O14*$J14/cfg_DAYS_M)</f>
        <v>300</v>
      </c>
      <c r="O14" s="151" t="n">
        <f aca="false">IF($B14="","",SUMIFS('الحركات الشهرية'!$F$6:$F$1005,'الحركات الشهرية'!$B$6:$B$1005,$B14,'الحركات الشهرية'!$A$6:$A$1005,$C$3))</f>
        <v>0</v>
      </c>
      <c r="P14" s="111" t="n">
        <f aca="false">IF($B14="","",O14*(الموظفون!$P14+الموظفون!$L14*cfg_OT_P)/cfg_DAYS_M/cfg_HRS)</f>
        <v>0</v>
      </c>
      <c r="Q14" s="111" t="n">
        <f aca="false">IF($B14="","",SUMIFS('الحركات الشهرية'!$G$6:$G$1005,'الحركات الشهرية'!$B$6:$B$1005,$B14,'الحركات الشهرية'!$A$6:$A$1005,$C$3))</f>
        <v>0</v>
      </c>
      <c r="R14" s="111" t="n">
        <f aca="false">IF($B14="","",SUMIFS('الحركات الشهرية'!$H$6:$H$1005,'الحركات الشهرية'!$B$6:$B$1005,$B14,'الحركات الشهرية'!$A$6:$A$1005,$C$3))</f>
        <v>0</v>
      </c>
      <c r="S14" s="111" t="n">
        <f aca="false">IF($B14="","",SUMIFS('سجل الإجازات والحالات'!$N$6:$N$505,'سجل الإجازات والحالات'!$B$6:$B$505,$B14,'سجل الإجازات والحالات'!$O$6:$O$505,$C$3))</f>
        <v>0</v>
      </c>
      <c r="T14" s="152" t="n">
        <f aca="false">IF($B14="","",SUM(K14:N14)+SUM(P14:S14))</f>
        <v>9075</v>
      </c>
      <c r="U14" s="111" t="n">
        <f aca="false">IF($B14="","",الموظفون!$S14*IF(E14="سعودي",cfg_G_SE,cfg_G_NE)*G14/cfg_DAYS_M)</f>
        <v>0</v>
      </c>
      <c r="V14" s="111" t="n">
        <f aca="false">IF($B14="","",SUMIFS('الحركات الشهرية'!$I$6:$I$1005,'الحركات الشهرية'!$B$6:$B$1005,$B14,'الحركات الشهرية'!$A$6:$A$1005,$C$3))</f>
        <v>0</v>
      </c>
      <c r="W14" s="111" t="n">
        <f aca="false">IF($B14="","",SUMIFS('الحركات الشهرية'!$J$6:$J$1005,'الحركات الشهرية'!$B$6:$B$1005,$B14,'الحركات الشهرية'!$A$6:$A$1005,$C$3))</f>
        <v>0</v>
      </c>
      <c r="X14" s="111" t="n">
        <f aca="false">IF($B14="","",SUM(U14:W14))</f>
        <v>0</v>
      </c>
      <c r="Y14" s="153" t="n">
        <f aca="false">IF($B14="","",T14-X14)</f>
        <v>9075</v>
      </c>
      <c r="Z14" s="111" t="n">
        <f aca="false">IF($B14="","",الموظفون!$S14*IF(E14="سعودي",cfg_G_SR,cfg_G_NR)*G14/cfg_DAYS_M)</f>
        <v>162.5</v>
      </c>
      <c r="AA14" s="111" t="n">
        <f aca="false">IF($B14="","",الموظفون!$Q14*(cfg_EOS_R1*(MIN(AH14,cfg_EOS_TH)-MIN(AI14,cfg_EOS_TH))+cfg_EOS_R2*(MAX(AH14-cfg_EOS_TH,0)-MAX(AI14-cfg_EOS_TH,0))))</f>
        <v>745.273972602744</v>
      </c>
      <c r="AB14" s="111" t="n">
        <f aca="false">IF($B14="","",IF(الموظفون!$T14&lt;&gt;"",الموظفون!$T14,IF(AH14&gt;=cfg_LV_TH,cfg_LV_D2,cfg_LV_D1))/cfg_DAYS_Y*AJ14*الموظفون!$R14/cfg_DAYS_M)</f>
        <v>745.27397260274</v>
      </c>
      <c r="AC14" s="111" t="n">
        <f aca="false">IF($B14="","",IF(AND(الموظفون!$U14="نعم",N(الموظفون!$W14)&gt;0),الموظفون!$V14/الموظفون!$W14*12/cfg_DAYS_Y*AJ14,0))</f>
        <v>93.4246575342466</v>
      </c>
      <c r="AD14" s="111" t="n">
        <f aca="false">IF($B14="","",(IF(الموظفون!$X14&lt;&gt;"",الموظفون!$X14,IF(الموظفون!$E14="غير سعودي",cfg_IQ,0))+IF(الموظفون!$Y14&lt;&gt;"",الموظفون!$Y14,IF(الموظفون!$E14="غير سعودي",cfg_WP,0)))/12*G14/cfg_DAYS_M)</f>
        <v>854.166666666667</v>
      </c>
      <c r="AE14" s="111" t="n">
        <f aca="false">IF($B14="","",IF(الموظفون!$Z14&lt;&gt;"",الموظفون!$Z14,cfg_MED)/12*G14/cfg_DAYS_M)</f>
        <v>150</v>
      </c>
      <c r="AF14" s="111" t="n">
        <f aca="false">IF($B14="","",N(الموظفون!$AA14)/12*G14/cfg_DAYS_M)</f>
        <v>0</v>
      </c>
      <c r="AG14" s="154" t="n">
        <f aca="false">IF($B14="","",T14+SUM(Z14:AF14))</f>
        <v>11825.6392694064</v>
      </c>
      <c r="AH14" s="155" t="n">
        <f aca="false">IF($B14="","",MAX(0,IF(OR(الموظفون!$AE14="",الموظفون!$AE14&gt;$F$3),$F$3,الموظفون!$AE14)-الموظفون!$H14+1-SUMIFS('سجل الإجازات والحالات'!$AQ$6:$AQ$505,'سجل الإجازات والحالات'!$B$6:$B$505,$B14))/cfg_DAYS_Y)</f>
        <v>12.213698630137</v>
      </c>
      <c r="AI14" s="155" t="n">
        <f aca="false">IF($B14="","",MAX(0,IF(OR(الموظفون!$AE14="",الموظفون!$AE14&gt;($E$3-1)),($E$3-1),الموظفون!$AE14)-الموظفون!$H14+1-SUMIFS('سجل الإجازات والحالات'!$AP$6:$AP$505,'سجل الإجازات والحالات'!$B$6:$B$505,$B14))/cfg_DAYS_Y)</f>
        <v>12.1287671232877</v>
      </c>
      <c r="AJ14" s="65" t="n">
        <f aca="false">IF($B14="","",MAX(0,AK14-(SUMIFS('سجل الإجازات والحالات'!$AQ$6:$AQ$505,'سجل الإجازات والحالات'!$B$6:$B$505,$B14)-SUMIFS('سجل الإجازات والحالات'!$AP$6:$AP$505,'سجل الإجازات والحالات'!$B$6:$B$505,$B14))))</f>
        <v>31</v>
      </c>
      <c r="AK14" s="65" t="n">
        <f aca="false">IF($B14="","",MAX(0,IF(OR(الموظفون!$AE14="",الموظفون!$AE14&gt;$F$3),$F$3,الموظفون!$AE14)-MAX($E$3,الموظفون!$H14)+1))</f>
        <v>31</v>
      </c>
      <c r="AL14" s="151" t="n">
        <f aca="false">IF($B14="","",SUMIFS('سجل الإجازات والحالات'!$BC$6:$BC$505,'سجل الإجازات والحالات'!$B$6:$B$505,$B14)+SUMIFS('الحركات الشهرية'!$K$6:$K$1005,'الحركات الشهرية'!$B$6:$B$1005,$B14,'الحركات الشهرية'!$A$6:$A$1005,$C$3))</f>
        <v>0</v>
      </c>
      <c r="AM14" s="111" t="n">
        <f aca="false">IF($B14="","",AL14*الموظفون!$R14/cfg_DAYS_M+S14)</f>
        <v>0</v>
      </c>
      <c r="AN14" s="151" t="n">
        <f aca="false">IF($B14="","",SUMIFS('سجل الإجازات والحالات'!$AE$6:$AE$505,'سجل الإجازات والحالات'!$B$6:$B$505,$B14))</f>
        <v>0</v>
      </c>
    </row>
    <row r="15" customFormat="false" ht="15" hidden="false" customHeight="false" outlineLevel="0" collapsed="false">
      <c r="A15" s="115" t="n">
        <f aca="false">IF($B15="","",الموظفون!$A15)</f>
        <v>10</v>
      </c>
      <c r="B15" s="117" t="str">
        <f aca="false">IF(الموظفون!$B15="","",الموظفون!$B15)</f>
        <v>E010</v>
      </c>
      <c r="C15" s="117" t="str">
        <f aca="false">IF($B15="","",الموظفون!$C15)</f>
        <v>ريم سلطان المطيري</v>
      </c>
      <c r="D15" s="117" t="str">
        <f aca="false">IF($B15="","",الموظفون!$F15)</f>
        <v>المبيعات</v>
      </c>
      <c r="E15" s="117" t="str">
        <f aca="false">IF($B15="","",الموظفون!$E15)</f>
        <v>سعودي</v>
      </c>
      <c r="F15" s="117" t="str">
        <f aca="false">IF($B15="","",IF(AK15=0,IF(AND(الموظفون!$AE15&lt;&gt;"",الموظفون!$AE15&lt;$E$3),"✖ منتهي الخدمة","⏳ لم يباشر"),IF(S15&gt;0,"✈ راتب إجازة مقدم",IF(J15=0,"⛔ بدون راتب هذا الشهر",IF(I15&gt;0,"✈ خصم "&amp;ROUND(I15,2)&amp;" يوم بدون أجر",IF(AL15&gt;0,"🌴 إجازة سنوية "&amp;ROUND(AL15,2)&amp;" يوم",IF(H15&gt;0,"⚠ غياب "&amp;ROUND(H15,2)&amp;" يوم","✔ على رأس العمل")))))))</f>
        <v>✔ على رأس العمل</v>
      </c>
      <c r="G15" s="156" t="n">
        <f aca="false">IF($B15="","",IF(AK15&gt;=DAY($F$3),cfg_DAYS_M,MIN(AK15,cfg_DAYS_M)))</f>
        <v>30</v>
      </c>
      <c r="H15" s="156" t="n">
        <f aca="false">IF($B15="","",SUMIFS('الحركات الشهرية'!$D$6:$D$1005,'الحركات الشهرية'!$B$6:$B$1005,$B15,'الحركات الشهرية'!$A$6:$A$1005,$C$3))</f>
        <v>0</v>
      </c>
      <c r="I15" s="156" t="n">
        <f aca="false">IF($B15="","",MIN(G15,IF(AND(AK15&gt;0,AN15&gt;=AK15),G15,AN15)+SUMIFS('الحركات الشهرية'!$E$6:$E$1005,'الحركات الشهرية'!$B$6:$B$1005,$B15,'الحركات الشهرية'!$A$6:$A$1005,$C$3)))</f>
        <v>0</v>
      </c>
      <c r="J15" s="156" t="n">
        <f aca="false">IF($B15="","",MAX(0,G15-H15-I15))</f>
        <v>30</v>
      </c>
      <c r="K15" s="116" t="n">
        <f aca="false">IF($B15="","",الموظفون!$L15*$J15/cfg_DAYS_M)</f>
        <v>9000</v>
      </c>
      <c r="L15" s="116" t="n">
        <f aca="false">IF($B15="","",الموظفون!$M15*$J15/cfg_DAYS_M)</f>
        <v>2250</v>
      </c>
      <c r="M15" s="116" t="n">
        <f aca="false">IF($B15="","",الموظفون!$N15*$J15/cfg_DAYS_M)</f>
        <v>900</v>
      </c>
      <c r="N15" s="116" t="n">
        <f aca="false">IF($B15="","",الموظفون!$O15*$J15/cfg_DAYS_M)</f>
        <v>0</v>
      </c>
      <c r="O15" s="156" t="n">
        <f aca="false">IF($B15="","",SUMIFS('الحركات الشهرية'!$F$6:$F$1005,'الحركات الشهرية'!$B$6:$B$1005,$B15,'الحركات الشهرية'!$A$6:$A$1005,$C$3))</f>
        <v>0</v>
      </c>
      <c r="P15" s="116" t="n">
        <f aca="false">IF($B15="","",O15*(الموظفون!$P15+الموظفون!$L15*cfg_OT_P)/cfg_DAYS_M/cfg_HRS)</f>
        <v>0</v>
      </c>
      <c r="Q15" s="116" t="n">
        <f aca="false">IF($B15="","",SUMIFS('الحركات الشهرية'!$G$6:$G$1005,'الحركات الشهرية'!$B$6:$B$1005,$B15,'الحركات الشهرية'!$A$6:$A$1005,$C$3))</f>
        <v>0</v>
      </c>
      <c r="R15" s="116" t="n">
        <f aca="false">IF($B15="","",SUMIFS('الحركات الشهرية'!$H$6:$H$1005,'الحركات الشهرية'!$B$6:$B$1005,$B15,'الحركات الشهرية'!$A$6:$A$1005,$C$3))</f>
        <v>0</v>
      </c>
      <c r="S15" s="116" t="n">
        <f aca="false">IF($B15="","",SUMIFS('سجل الإجازات والحالات'!$N$6:$N$505,'سجل الإجازات والحالات'!$B$6:$B$505,$B15,'سجل الإجازات والحالات'!$O$6:$O$505,$C$3))</f>
        <v>0</v>
      </c>
      <c r="T15" s="157" t="n">
        <f aca="false">IF($B15="","",SUM(K15:N15)+SUM(P15:S15))</f>
        <v>12150</v>
      </c>
      <c r="U15" s="116" t="n">
        <f aca="false">IF($B15="","",الموظفون!$S15*IF(E15="سعودي",cfg_G_SE,cfg_G_NE)*G15/cfg_DAYS_M)</f>
        <v>1096.875</v>
      </c>
      <c r="V15" s="116" t="n">
        <f aca="false">IF($B15="","",SUMIFS('الحركات الشهرية'!$I$6:$I$1005,'الحركات الشهرية'!$B$6:$B$1005,$B15,'الحركات الشهرية'!$A$6:$A$1005,$C$3))</f>
        <v>0</v>
      </c>
      <c r="W15" s="116" t="n">
        <f aca="false">IF($B15="","",SUMIFS('الحركات الشهرية'!$J$6:$J$1005,'الحركات الشهرية'!$B$6:$B$1005,$B15,'الحركات الشهرية'!$A$6:$A$1005,$C$3))</f>
        <v>0</v>
      </c>
      <c r="X15" s="116" t="n">
        <f aca="false">IF($B15="","",SUM(U15:W15))</f>
        <v>1096.875</v>
      </c>
      <c r="Y15" s="158" t="n">
        <f aca="false">IF($B15="","",T15-X15)</f>
        <v>11053.125</v>
      </c>
      <c r="Z15" s="116" t="n">
        <f aca="false">IF($B15="","",الموظفون!$S15*IF(E15="سعودي",cfg_G_SR,cfg_G_NR)*G15/cfg_DAYS_M)</f>
        <v>1321.875</v>
      </c>
      <c r="AA15" s="116" t="n">
        <f aca="false">IF($B15="","",الموظفون!$Q15*(cfg_EOS_R1*(MIN(AH15,cfg_EOS_TH)-MIN(AI15,cfg_EOS_TH))+cfg_EOS_R2*(MAX(AH15-cfg_EOS_TH,0)-MAX(AI15-cfg_EOS_TH,0))))</f>
        <v>515.958904109589</v>
      </c>
      <c r="AB15" s="116" t="n">
        <f aca="false">IF($B15="","",IF(الموظفون!$T15&lt;&gt;"",الموظفون!$T15,IF(AH15&gt;=cfg_LV_TH,cfg_LV_D2,cfg_LV_D1))/cfg_DAYS_Y*AJ15*الموظفون!$R15/cfg_DAYS_M)</f>
        <v>722.342465753425</v>
      </c>
      <c r="AC15" s="116" t="n">
        <f aca="false">IF($B15="","",IF(AND(الموظفون!$U15="نعم",N(الموظفون!$W15)&gt;0),الموظفون!$V15/الموظفون!$W15*12/cfg_DAYS_Y*AJ15,0))</f>
        <v>0</v>
      </c>
      <c r="AD15" s="116" t="n">
        <f aca="false">IF($B15="","",(IF(الموظفون!$X15&lt;&gt;"",الموظفون!$X15,IF(الموظفون!$E15="غير سعودي",cfg_IQ,0))+IF(الموظفون!$Y15&lt;&gt;"",الموظفون!$Y15,IF(الموظفون!$E15="غير سعودي",cfg_WP,0)))/12*G15/cfg_DAYS_M)</f>
        <v>0</v>
      </c>
      <c r="AE15" s="116" t="n">
        <f aca="false">IF($B15="","",IF(الموظفون!$Z15&lt;&gt;"",الموظفون!$Z15,cfg_MED)/12*G15/cfg_DAYS_M)</f>
        <v>200</v>
      </c>
      <c r="AF15" s="116" t="n">
        <f aca="false">IF($B15="","",N(الموظفون!$AA15)/12*G15/cfg_DAYS_M)</f>
        <v>0</v>
      </c>
      <c r="AG15" s="159" t="n">
        <f aca="false">IF($B15="","",T15+SUM(Z15:AF15))</f>
        <v>14910.176369863</v>
      </c>
      <c r="AH15" s="160" t="n">
        <f aca="false">IF($B15="","",MAX(0,IF(OR(الموظفون!$AE15="",الموظفون!$AE15&gt;$F$3),$F$3,الموظفون!$AE15)-الموظفون!$H15+1-SUMIFS('سجل الإجازات والحالات'!$AQ$6:$AQ$505,'سجل الإجازات والحالات'!$B$6:$B$505,$B15))/cfg_DAYS_Y)</f>
        <v>0.547945205479452</v>
      </c>
      <c r="AI15" s="160" t="n">
        <f aca="false">IF($B15="","",MAX(0,IF(OR(الموظفون!$AE15="",الموظفون!$AE15&gt;($E$3-1)),($E$3-1),الموظفون!$AE15)-الموظفون!$H15+1-SUMIFS('سجل الإجازات والحالات'!$AP$6:$AP$505,'سجل الإجازات والحالات'!$B$6:$B$505,$B15))/cfg_DAYS_Y)</f>
        <v>0.463013698630137</v>
      </c>
      <c r="AJ15" s="133" t="n">
        <f aca="false">IF($B15="","",MAX(0,AK15-(SUMIFS('سجل الإجازات والحالات'!$AQ$6:$AQ$505,'سجل الإجازات والحالات'!$B$6:$B$505,$B15)-SUMIFS('سجل الإجازات والحالات'!$AP$6:$AP$505,'سجل الإجازات والحالات'!$B$6:$B$505,$B15))))</f>
        <v>31</v>
      </c>
      <c r="AK15" s="133" t="n">
        <f aca="false">IF($B15="","",MAX(0,IF(OR(الموظفون!$AE15="",الموظفون!$AE15&gt;$F$3),$F$3,الموظفون!$AE15)-MAX($E$3,الموظفون!$H15)+1))</f>
        <v>31</v>
      </c>
      <c r="AL15" s="156" t="n">
        <f aca="false">IF($B15="","",SUMIFS('سجل الإجازات والحالات'!$BC$6:$BC$505,'سجل الإجازات والحالات'!$B$6:$B$505,$B15)+SUMIFS('الحركات الشهرية'!$K$6:$K$1005,'الحركات الشهرية'!$B$6:$B$1005,$B15,'الحركات الشهرية'!$A$6:$A$1005,$C$3))</f>
        <v>0</v>
      </c>
      <c r="AM15" s="116" t="n">
        <f aca="false">IF($B15="","",AL15*الموظفون!$R15/cfg_DAYS_M+S15)</f>
        <v>0</v>
      </c>
      <c r="AN15" s="156" t="n">
        <f aca="false">IF($B15="","",SUMIFS('سجل الإجازات والحالات'!$AE$6:$AE$505,'سجل الإجازات والحالات'!$B$6:$B$505,$B15))</f>
        <v>0</v>
      </c>
    </row>
    <row r="16" customFormat="false" ht="15" hidden="false" customHeight="false" outlineLevel="0" collapsed="false">
      <c r="A16" s="106" t="n">
        <f aca="false">IF($B16="","",الموظفون!$A16)</f>
        <v>11</v>
      </c>
      <c r="B16" s="114" t="str">
        <f aca="false">IF(الموظفون!$B16="","",الموظفون!$B16)</f>
        <v>E011</v>
      </c>
      <c r="C16" s="114" t="str">
        <f aca="false">IF($B16="","",الموظفون!$C16)</f>
        <v>جون ماتيو</v>
      </c>
      <c r="D16" s="114" t="str">
        <f aca="false">IF($B16="","",الموظفون!$F16)</f>
        <v>العمليات</v>
      </c>
      <c r="E16" s="114" t="str">
        <f aca="false">IF($B16="","",الموظفون!$E16)</f>
        <v>غير سعودي</v>
      </c>
      <c r="F16" s="114" t="str">
        <f aca="false">IF($B16="","",IF(AK16=0,IF(AND(الموظفون!$AE16&lt;&gt;"",الموظفون!$AE16&lt;$E$3),"✖ منتهي الخدمة","⏳ لم يباشر"),IF(S16&gt;0,"✈ راتب إجازة مقدم",IF(J16=0,"⛔ بدون راتب هذا الشهر",IF(I16&gt;0,"✈ خصم "&amp;ROUND(I16,2)&amp;" يوم بدون أجر",IF(AL16&gt;0,"🌴 إجازة سنوية "&amp;ROUND(AL16,2)&amp;" يوم",IF(H16&gt;0,"⚠ غياب "&amp;ROUND(H16,2)&amp;" يوم","✔ على رأس العمل")))))))</f>
        <v>✖ منتهي الخدمة</v>
      </c>
      <c r="G16" s="151" t="n">
        <f aca="false">IF($B16="","",IF(AK16&gt;=DAY($F$3),cfg_DAYS_M,MIN(AK16,cfg_DAYS_M)))</f>
        <v>0</v>
      </c>
      <c r="H16" s="151" t="n">
        <f aca="false">IF($B16="","",SUMIFS('الحركات الشهرية'!$D$6:$D$1005,'الحركات الشهرية'!$B$6:$B$1005,$B16,'الحركات الشهرية'!$A$6:$A$1005,$C$3))</f>
        <v>0</v>
      </c>
      <c r="I16" s="151" t="n">
        <f aca="false">IF($B16="","",MIN(G16,IF(AND(AK16&gt;0,AN16&gt;=AK16),G16,AN16)+SUMIFS('الحركات الشهرية'!$E$6:$E$1005,'الحركات الشهرية'!$B$6:$B$1005,$B16,'الحركات الشهرية'!$A$6:$A$1005,$C$3)))</f>
        <v>0</v>
      </c>
      <c r="J16" s="151" t="n">
        <f aca="false">IF($B16="","",MAX(0,G16-H16-I16))</f>
        <v>0</v>
      </c>
      <c r="K16" s="111" t="n">
        <f aca="false">IF($B16="","",الموظفون!$L16*$J16/cfg_DAYS_M)</f>
        <v>0</v>
      </c>
      <c r="L16" s="111" t="n">
        <f aca="false">IF($B16="","",الموظفون!$M16*$J16/cfg_DAYS_M)</f>
        <v>0</v>
      </c>
      <c r="M16" s="111" t="n">
        <f aca="false">IF($B16="","",الموظفون!$N16*$J16/cfg_DAYS_M)</f>
        <v>0</v>
      </c>
      <c r="N16" s="111" t="n">
        <f aca="false">IF($B16="","",الموظفون!$O16*$J16/cfg_DAYS_M)</f>
        <v>0</v>
      </c>
      <c r="O16" s="151" t="n">
        <f aca="false">IF($B16="","",SUMIFS('الحركات الشهرية'!$F$6:$F$1005,'الحركات الشهرية'!$B$6:$B$1005,$B16,'الحركات الشهرية'!$A$6:$A$1005,$C$3))</f>
        <v>0</v>
      </c>
      <c r="P16" s="111" t="n">
        <f aca="false">IF($B16="","",O16*(الموظفون!$P16+الموظفون!$L16*cfg_OT_P)/cfg_DAYS_M/cfg_HRS)</f>
        <v>0</v>
      </c>
      <c r="Q16" s="111" t="n">
        <f aca="false">IF($B16="","",SUMIFS('الحركات الشهرية'!$G$6:$G$1005,'الحركات الشهرية'!$B$6:$B$1005,$B16,'الحركات الشهرية'!$A$6:$A$1005,$C$3))</f>
        <v>0</v>
      </c>
      <c r="R16" s="111" t="n">
        <f aca="false">IF($B16="","",SUMIFS('الحركات الشهرية'!$H$6:$H$1005,'الحركات الشهرية'!$B$6:$B$1005,$B16,'الحركات الشهرية'!$A$6:$A$1005,$C$3))</f>
        <v>0</v>
      </c>
      <c r="S16" s="111" t="n">
        <f aca="false">IF($B16="","",SUMIFS('سجل الإجازات والحالات'!$N$6:$N$505,'سجل الإجازات والحالات'!$B$6:$B$505,$B16,'سجل الإجازات والحالات'!$O$6:$O$505,$C$3))</f>
        <v>0</v>
      </c>
      <c r="T16" s="152" t="n">
        <f aca="false">IF($B16="","",SUM(K16:N16)+SUM(P16:S16))</f>
        <v>0</v>
      </c>
      <c r="U16" s="111" t="n">
        <f aca="false">IF($B16="","",الموظفون!$S16*IF(E16="سعودي",cfg_G_SE,cfg_G_NE)*G16/cfg_DAYS_M)</f>
        <v>0</v>
      </c>
      <c r="V16" s="111" t="n">
        <f aca="false">IF($B16="","",SUMIFS('الحركات الشهرية'!$I$6:$I$1005,'الحركات الشهرية'!$B$6:$B$1005,$B16,'الحركات الشهرية'!$A$6:$A$1005,$C$3))</f>
        <v>0</v>
      </c>
      <c r="W16" s="111" t="n">
        <f aca="false">IF($B16="","",SUMIFS('الحركات الشهرية'!$J$6:$J$1005,'الحركات الشهرية'!$B$6:$B$1005,$B16,'الحركات الشهرية'!$A$6:$A$1005,$C$3))</f>
        <v>0</v>
      </c>
      <c r="X16" s="111" t="n">
        <f aca="false">IF($B16="","",SUM(U16:W16))</f>
        <v>0</v>
      </c>
      <c r="Y16" s="153" t="n">
        <f aca="false">IF($B16="","",T16-X16)</f>
        <v>0</v>
      </c>
      <c r="Z16" s="111" t="n">
        <f aca="false">IF($B16="","",الموظفون!$S16*IF(E16="سعودي",cfg_G_SR,cfg_G_NR)*G16/cfg_DAYS_M)</f>
        <v>0</v>
      </c>
      <c r="AA16" s="111" t="n">
        <f aca="false">IF($B16="","",الموظفون!$Q16*(cfg_EOS_R1*(MIN(AH16,cfg_EOS_TH)-MIN(AI16,cfg_EOS_TH))+cfg_EOS_R2*(MAX(AH16-cfg_EOS_TH,0)-MAX(AI16-cfg_EOS_TH,0))))</f>
        <v>0</v>
      </c>
      <c r="AB16" s="111" t="n">
        <f aca="false">IF($B16="","",IF(الموظفون!$T16&lt;&gt;"",الموظفون!$T16,IF(AH16&gt;=cfg_LV_TH,cfg_LV_D2,cfg_LV_D1))/cfg_DAYS_Y*AJ16*الموظفون!$R16/cfg_DAYS_M)</f>
        <v>0</v>
      </c>
      <c r="AC16" s="111" t="n">
        <f aca="false">IF($B16="","",IF(AND(الموظفون!$U16="نعم",N(الموظفون!$W16)&gt;0),الموظفون!$V16/الموظفون!$W16*12/cfg_DAYS_Y*AJ16,0))</f>
        <v>0</v>
      </c>
      <c r="AD16" s="111" t="n">
        <f aca="false">IF($B16="","",(IF(الموظفون!$X16&lt;&gt;"",الموظفون!$X16,IF(الموظفون!$E16="غير سعودي",cfg_IQ,0))+IF(الموظفون!$Y16&lt;&gt;"",الموظفون!$Y16,IF(الموظفون!$E16="غير سعودي",cfg_WP,0)))/12*G16/cfg_DAYS_M)</f>
        <v>0</v>
      </c>
      <c r="AE16" s="111" t="n">
        <f aca="false">IF($B16="","",IF(الموظفون!$Z16&lt;&gt;"",الموظفون!$Z16,cfg_MED)/12*G16/cfg_DAYS_M)</f>
        <v>0</v>
      </c>
      <c r="AF16" s="111" t="n">
        <f aca="false">IF($B16="","",N(الموظفون!$AA16)/12*G16/cfg_DAYS_M)</f>
        <v>0</v>
      </c>
      <c r="AG16" s="154" t="n">
        <f aca="false">IF($B16="","",T16+SUM(Z16:AF16))</f>
        <v>0</v>
      </c>
      <c r="AH16" s="155" t="n">
        <f aca="false">IF($B16="","",MAX(0,IF(OR(الموظفون!$AE16="",الموظفون!$AE16&gt;$F$3),$F$3,الموظفون!$AE16)-الموظفون!$H16+1-SUMIFS('سجل الإجازات والحالات'!$AQ$6:$AQ$505,'سجل الإجازات والحالات'!$B$6:$B$505,$B16))/cfg_DAYS_Y)</f>
        <v>7.33972602739726</v>
      </c>
      <c r="AI16" s="155" t="n">
        <f aca="false">IF($B16="","",MAX(0,IF(OR(الموظفون!$AE16="",الموظفون!$AE16&gt;($E$3-1)),($E$3-1),الموظفون!$AE16)-الموظفون!$H16+1-SUMIFS('سجل الإجازات والحالات'!$AP$6:$AP$505,'سجل الإجازات والحالات'!$B$6:$B$505,$B16))/cfg_DAYS_Y)</f>
        <v>7.33972602739726</v>
      </c>
      <c r="AJ16" s="65" t="n">
        <f aca="false">IF($B16="","",MAX(0,AK16-(SUMIFS('سجل الإجازات والحالات'!$AQ$6:$AQ$505,'سجل الإجازات والحالات'!$B$6:$B$505,$B16)-SUMIFS('سجل الإجازات والحالات'!$AP$6:$AP$505,'سجل الإجازات والحالات'!$B$6:$B$505,$B16))))</f>
        <v>0</v>
      </c>
      <c r="AK16" s="65" t="n">
        <f aca="false">IF($B16="","",MAX(0,IF(OR(الموظفون!$AE16="",الموظفون!$AE16&gt;$F$3),$F$3,الموظفون!$AE16)-MAX($E$3,الموظفون!$H16)+1))</f>
        <v>0</v>
      </c>
      <c r="AL16" s="151" t="n">
        <f aca="false">IF($B16="","",SUMIFS('سجل الإجازات والحالات'!$BC$6:$BC$505,'سجل الإجازات والحالات'!$B$6:$B$505,$B16)+SUMIFS('الحركات الشهرية'!$K$6:$K$1005,'الحركات الشهرية'!$B$6:$B$1005,$B16,'الحركات الشهرية'!$A$6:$A$1005,$C$3))</f>
        <v>0</v>
      </c>
      <c r="AM16" s="111" t="n">
        <f aca="false">IF($B16="","",AL16*الموظفون!$R16/cfg_DAYS_M+S16)</f>
        <v>0</v>
      </c>
      <c r="AN16" s="151" t="n">
        <f aca="false">IF($B16="","",SUMIFS('سجل الإجازات والحالات'!$AE$6:$AE$505,'سجل الإجازات والحالات'!$B$6:$B$505,$B16))</f>
        <v>0</v>
      </c>
    </row>
    <row r="17" customFormat="false" ht="15" hidden="false" customHeight="false" outlineLevel="0" collapsed="false">
      <c r="A17" s="115" t="n">
        <f aca="false">IF($B17="","",الموظفون!$A17)</f>
        <v>12</v>
      </c>
      <c r="B17" s="117" t="str">
        <f aca="false">IF(الموظفون!$B17="","",الموظفون!$B17)</f>
        <v>E012</v>
      </c>
      <c r="C17" s="117" t="str">
        <f aca="false">IF($B17="","",الموظفون!$C17)</f>
        <v>عمر حسين البيشي</v>
      </c>
      <c r="D17" s="117" t="str">
        <f aca="false">IF($B17="","",الموظفون!$F17)</f>
        <v>تقنية المعلومات</v>
      </c>
      <c r="E17" s="117" t="str">
        <f aca="false">IF($B17="","",الموظفون!$E17)</f>
        <v>سعودي</v>
      </c>
      <c r="F17" s="117" t="str">
        <f aca="false">IF($B17="","",IF(AK17=0,IF(AND(الموظفون!$AE17&lt;&gt;"",الموظفون!$AE17&lt;$E$3),"✖ منتهي الخدمة","⏳ لم يباشر"),IF(S17&gt;0,"✈ راتب إجازة مقدم",IF(J17=0,"⛔ بدون راتب هذا الشهر",IF(I17&gt;0,"✈ خصم "&amp;ROUND(I17,2)&amp;" يوم بدون أجر",IF(AL17&gt;0,"🌴 إجازة سنوية "&amp;ROUND(AL17,2)&amp;" يوم",IF(H17&gt;0,"⚠ غياب "&amp;ROUND(H17,2)&amp;" يوم","✔ على رأس العمل")))))))</f>
        <v>✔ على رأس العمل</v>
      </c>
      <c r="G17" s="156" t="n">
        <f aca="false">IF($B17="","",IF(AK17&gt;=DAY($F$3),cfg_DAYS_M,MIN(AK17,cfg_DAYS_M)))</f>
        <v>30</v>
      </c>
      <c r="H17" s="156" t="n">
        <f aca="false">IF($B17="","",SUMIFS('الحركات الشهرية'!$D$6:$D$1005,'الحركات الشهرية'!$B$6:$B$1005,$B17,'الحركات الشهرية'!$A$6:$A$1005,$C$3))</f>
        <v>0</v>
      </c>
      <c r="I17" s="156" t="n">
        <f aca="false">IF($B17="","",MIN(G17,IF(AND(AK17&gt;0,AN17&gt;=AK17),G17,AN17)+SUMIFS('الحركات الشهرية'!$E$6:$E$1005,'الحركات الشهرية'!$B$6:$B$1005,$B17,'الحركات الشهرية'!$A$6:$A$1005,$C$3)))</f>
        <v>0</v>
      </c>
      <c r="J17" s="156" t="n">
        <f aca="false">IF($B17="","",MAX(0,G17-H17-I17))</f>
        <v>30</v>
      </c>
      <c r="K17" s="116" t="n">
        <f aca="false">IF($B17="","",الموظفون!$L17*$J17/cfg_DAYS_M)</f>
        <v>12000</v>
      </c>
      <c r="L17" s="116" t="n">
        <f aca="false">IF($B17="","",الموظفون!$M17*$J17/cfg_DAYS_M)</f>
        <v>3000</v>
      </c>
      <c r="M17" s="116" t="n">
        <f aca="false">IF($B17="","",الموظفون!$N17*$J17/cfg_DAYS_M)</f>
        <v>1200</v>
      </c>
      <c r="N17" s="116" t="n">
        <f aca="false">IF($B17="","",الموظفون!$O17*$J17/cfg_DAYS_M)</f>
        <v>1500</v>
      </c>
      <c r="O17" s="156" t="n">
        <f aca="false">IF($B17="","",SUMIFS('الحركات الشهرية'!$F$6:$F$1005,'الحركات الشهرية'!$B$6:$B$1005,$B17,'الحركات الشهرية'!$A$6:$A$1005,$C$3))</f>
        <v>0</v>
      </c>
      <c r="P17" s="116" t="n">
        <f aca="false">IF($B17="","",O17*(الموظفون!$P17+الموظفون!$L17*cfg_OT_P)/cfg_DAYS_M/cfg_HRS)</f>
        <v>0</v>
      </c>
      <c r="Q17" s="116" t="n">
        <f aca="false">IF($B17="","",SUMIFS('الحركات الشهرية'!$G$6:$G$1005,'الحركات الشهرية'!$B$6:$B$1005,$B17,'الحركات الشهرية'!$A$6:$A$1005,$C$3))</f>
        <v>0</v>
      </c>
      <c r="R17" s="116" t="n">
        <f aca="false">IF($B17="","",SUMIFS('الحركات الشهرية'!$H$6:$H$1005,'الحركات الشهرية'!$B$6:$B$1005,$B17,'الحركات الشهرية'!$A$6:$A$1005,$C$3))</f>
        <v>0</v>
      </c>
      <c r="S17" s="116" t="n">
        <f aca="false">IF($B17="","",SUMIFS('سجل الإجازات والحالات'!$N$6:$N$505,'سجل الإجازات والحالات'!$B$6:$B$505,$B17,'سجل الإجازات والحالات'!$O$6:$O$505,$C$3))</f>
        <v>0</v>
      </c>
      <c r="T17" s="157" t="n">
        <f aca="false">IF($B17="","",SUM(K17:N17)+SUM(P17:S17))</f>
        <v>17700</v>
      </c>
      <c r="U17" s="116" t="n">
        <f aca="false">IF($B17="","",الموظفون!$S17*IF(E17="سعودي",cfg_G_SE,cfg_G_NE)*G17/cfg_DAYS_M)</f>
        <v>1462.5</v>
      </c>
      <c r="V17" s="116" t="n">
        <f aca="false">IF($B17="","",SUMIFS('الحركات الشهرية'!$I$6:$I$1005,'الحركات الشهرية'!$B$6:$B$1005,$B17,'الحركات الشهرية'!$A$6:$A$1005,$C$3))</f>
        <v>0</v>
      </c>
      <c r="W17" s="116" t="n">
        <f aca="false">IF($B17="","",SUMIFS('الحركات الشهرية'!$J$6:$J$1005,'الحركات الشهرية'!$B$6:$B$1005,$B17,'الحركات الشهرية'!$A$6:$A$1005,$C$3))</f>
        <v>0</v>
      </c>
      <c r="X17" s="116" t="n">
        <f aca="false">IF($B17="","",SUM(U17:W17))</f>
        <v>1462.5</v>
      </c>
      <c r="Y17" s="158" t="n">
        <f aca="false">IF($B17="","",T17-X17)</f>
        <v>16237.5</v>
      </c>
      <c r="Z17" s="116" t="n">
        <f aca="false">IF($B17="","",الموظفون!$S17*IF(E17="سعودي",cfg_G_SR,cfg_G_NR)*G17/cfg_DAYS_M)</f>
        <v>1762.5</v>
      </c>
      <c r="AA17" s="116" t="n">
        <f aca="false">IF($B17="","",الموظفون!$Q17*(cfg_EOS_R1*(MIN(AH17,cfg_EOS_TH)-MIN(AI17,cfg_EOS_TH))+cfg_EOS_R2*(MAX(AH17-cfg_EOS_TH,0)-MAX(AI17-cfg_EOS_TH,0))))</f>
        <v>687.945205479448</v>
      </c>
      <c r="AB17" s="116" t="n">
        <f aca="false">IF($B17="","",IF(الموظفون!$T17&lt;&gt;"",الموظفون!$T17,IF(AH17&gt;=cfg_LV_TH,cfg_LV_D2,cfg_LV_D1))/cfg_DAYS_Y*AJ17*الموظفون!$R17/cfg_DAYS_M)</f>
        <v>963.123287671233</v>
      </c>
      <c r="AC17" s="116" t="n">
        <f aca="false">IF($B17="","",IF(AND(الموظفون!$U17="نعم",N(الموظفون!$W17)&gt;0),الموظفون!$V17/الموظفون!$W17*12/cfg_DAYS_Y*AJ17,0))</f>
        <v>0</v>
      </c>
      <c r="AD17" s="116" t="n">
        <f aca="false">IF($B17="","",(IF(الموظفون!$X17&lt;&gt;"",الموظفون!$X17,IF(الموظفون!$E17="غير سعودي",cfg_IQ,0))+IF(الموظفون!$Y17&lt;&gt;"",الموظفون!$Y17,IF(الموظفون!$E17="غير سعودي",cfg_WP,0)))/12*G17/cfg_DAYS_M)</f>
        <v>0</v>
      </c>
      <c r="AE17" s="116" t="n">
        <f aca="false">IF($B17="","",IF(الموظفون!$Z17&lt;&gt;"",الموظفون!$Z17,cfg_MED)/12*G17/cfg_DAYS_M)</f>
        <v>200</v>
      </c>
      <c r="AF17" s="116" t="n">
        <f aca="false">IF($B17="","",N(الموظفون!$AA17)/12*G17/cfg_DAYS_M)</f>
        <v>0</v>
      </c>
      <c r="AG17" s="159" t="n">
        <f aca="false">IF($B17="","",T17+SUM(Z17:AF17))</f>
        <v>21313.5684931507</v>
      </c>
      <c r="AH17" s="160" t="n">
        <f aca="false">IF($B17="","",MAX(0,IF(OR(الموظفون!$AE17="",الموظفون!$AE17&gt;$F$3),$F$3,الموظفون!$AE17)-الموظفون!$H17+1-SUMIFS('سجل الإجازات والحالات'!$AQ$6:$AQ$505,'سجل الإجازات والحالات'!$B$6:$B$505,$B17))/cfg_DAYS_Y)</f>
        <v>4.31506849315069</v>
      </c>
      <c r="AI17" s="160" t="n">
        <f aca="false">IF($B17="","",MAX(0,IF(OR(الموظفون!$AE17="",الموظفون!$AE17&gt;($E$3-1)),($E$3-1),الموظفون!$AE17)-الموظفون!$H17+1-SUMIFS('سجل الإجازات والحالات'!$AP$6:$AP$505,'سجل الإجازات والحالات'!$B$6:$B$505,$B17))/cfg_DAYS_Y)</f>
        <v>4.23013698630137</v>
      </c>
      <c r="AJ17" s="133" t="n">
        <f aca="false">IF($B17="","",MAX(0,AK17-(SUMIFS('سجل الإجازات والحالات'!$AQ$6:$AQ$505,'سجل الإجازات والحالات'!$B$6:$B$505,$B17)-SUMIFS('سجل الإجازات والحالات'!$AP$6:$AP$505,'سجل الإجازات والحالات'!$B$6:$B$505,$B17))))</f>
        <v>31</v>
      </c>
      <c r="AK17" s="133" t="n">
        <f aca="false">IF($B17="","",MAX(0,IF(OR(الموظفون!$AE17="",الموظفون!$AE17&gt;$F$3),$F$3,الموظفون!$AE17)-MAX($E$3,الموظفون!$H17)+1))</f>
        <v>31</v>
      </c>
      <c r="AL17" s="156" t="n">
        <f aca="false">IF($B17="","",SUMIFS('سجل الإجازات والحالات'!$BC$6:$BC$505,'سجل الإجازات والحالات'!$B$6:$B$505,$B17)+SUMIFS('الحركات الشهرية'!$K$6:$K$1005,'الحركات الشهرية'!$B$6:$B$1005,$B17,'الحركات الشهرية'!$A$6:$A$1005,$C$3))</f>
        <v>0</v>
      </c>
      <c r="AM17" s="116" t="n">
        <f aca="false">IF($B17="","",AL17*الموظفون!$R17/cfg_DAYS_M+S17)</f>
        <v>0</v>
      </c>
      <c r="AN17" s="156" t="n">
        <f aca="false">IF($B17="","",SUMIFS('سجل الإجازات والحالات'!$AE$6:$AE$505,'سجل الإجازات والحالات'!$B$6:$B$505,$B17))</f>
        <v>0</v>
      </c>
    </row>
    <row r="18" customFormat="false" ht="15" hidden="false" customHeight="false" outlineLevel="0" collapsed="false">
      <c r="A18" s="106" t="str">
        <f aca="false">IF($B18="","",الموظفون!$A18)</f>
        <v/>
      </c>
      <c r="B18" s="114" t="str">
        <f aca="false">IF(الموظفون!$B18="","",الموظفون!$B18)</f>
        <v/>
      </c>
      <c r="C18" s="114" t="str">
        <f aca="false">IF($B18="","",الموظفون!$C18)</f>
        <v/>
      </c>
      <c r="D18" s="114" t="str">
        <f aca="false">IF($B18="","",الموظفون!$F18)</f>
        <v/>
      </c>
      <c r="E18" s="114" t="str">
        <f aca="false">IF($B18="","",الموظفون!$E18)</f>
        <v/>
      </c>
      <c r="F18" s="114" t="str">
        <f aca="false">IF($B18="","",IF(AK18=0,IF(AND(الموظفون!$AE18&lt;&gt;"",الموظفون!$AE18&lt;$E$3),"✖ منتهي الخدمة","⏳ لم يباشر"),IF(S18&gt;0,"✈ راتب إجازة مقدم",IF(J18=0,"⛔ بدون راتب هذا الشهر",IF(I18&gt;0,"✈ خصم "&amp;ROUND(I18,2)&amp;" يوم بدون أجر",IF(AL18&gt;0,"🌴 إجازة سنوية "&amp;ROUND(AL18,2)&amp;" يوم",IF(H18&gt;0,"⚠ غياب "&amp;ROUND(H18,2)&amp;" يوم","✔ على رأس العمل")))))))</f>
        <v/>
      </c>
      <c r="G18" s="151" t="str">
        <f aca="false">IF($B18="","",IF(AK18&gt;=DAY($F$3),cfg_DAYS_M,MIN(AK18,cfg_DAYS_M)))</f>
        <v/>
      </c>
      <c r="H18" s="151" t="str">
        <f aca="false">IF($B18="","",SUMIFS('الحركات الشهرية'!$D$6:$D$1005,'الحركات الشهرية'!$B$6:$B$1005,$B18,'الحركات الشهرية'!$A$6:$A$1005,$C$3))</f>
        <v/>
      </c>
      <c r="I18" s="151" t="str">
        <f aca="false">IF($B18="","",MIN(G18,IF(AND(AK18&gt;0,AN18&gt;=AK18),G18,AN18)+SUMIFS('الحركات الشهرية'!$E$6:$E$1005,'الحركات الشهرية'!$B$6:$B$1005,$B18,'الحركات الشهرية'!$A$6:$A$1005,$C$3)))</f>
        <v/>
      </c>
      <c r="J18" s="151" t="str">
        <f aca="false">IF($B18="","",MAX(0,G18-H18-I18))</f>
        <v/>
      </c>
      <c r="K18" s="111" t="str">
        <f aca="false">IF($B18="","",الموظفون!$L18*$J18/cfg_DAYS_M)</f>
        <v/>
      </c>
      <c r="L18" s="111" t="str">
        <f aca="false">IF($B18="","",الموظفون!$M18*$J18/cfg_DAYS_M)</f>
        <v/>
      </c>
      <c r="M18" s="111" t="str">
        <f aca="false">IF($B18="","",الموظفون!$N18*$J18/cfg_DAYS_M)</f>
        <v/>
      </c>
      <c r="N18" s="111" t="str">
        <f aca="false">IF($B18="","",الموظفون!$O18*$J18/cfg_DAYS_M)</f>
        <v/>
      </c>
      <c r="O18" s="151" t="str">
        <f aca="false">IF($B18="","",SUMIFS('الحركات الشهرية'!$F$6:$F$1005,'الحركات الشهرية'!$B$6:$B$1005,$B18,'الحركات الشهرية'!$A$6:$A$1005,$C$3))</f>
        <v/>
      </c>
      <c r="P18" s="111" t="str">
        <f aca="false">IF($B18="","",O18*(الموظفون!$P18+الموظفون!$L18*cfg_OT_P)/cfg_DAYS_M/cfg_HRS)</f>
        <v/>
      </c>
      <c r="Q18" s="111" t="str">
        <f aca="false">IF($B18="","",SUMIFS('الحركات الشهرية'!$G$6:$G$1005,'الحركات الشهرية'!$B$6:$B$1005,$B18,'الحركات الشهرية'!$A$6:$A$1005,$C$3))</f>
        <v/>
      </c>
      <c r="R18" s="111" t="str">
        <f aca="false">IF($B18="","",SUMIFS('الحركات الشهرية'!$H$6:$H$1005,'الحركات الشهرية'!$B$6:$B$1005,$B18,'الحركات الشهرية'!$A$6:$A$1005,$C$3))</f>
        <v/>
      </c>
      <c r="S18" s="111" t="str">
        <f aca="false">IF($B18="","",SUMIFS('سجل الإجازات والحالات'!$N$6:$N$505,'سجل الإجازات والحالات'!$B$6:$B$505,$B18,'سجل الإجازات والحالات'!$O$6:$O$505,$C$3))</f>
        <v/>
      </c>
      <c r="T18" s="152" t="str">
        <f aca="false">IF($B18="","",SUM(K18:N18)+SUM(P18:S18))</f>
        <v/>
      </c>
      <c r="U18" s="111" t="str">
        <f aca="false">IF($B18="","",الموظفون!$S18*IF(E18="سعودي",cfg_G_SE,cfg_G_NE)*G18/cfg_DAYS_M)</f>
        <v/>
      </c>
      <c r="V18" s="111" t="str">
        <f aca="false">IF($B18="","",SUMIFS('الحركات الشهرية'!$I$6:$I$1005,'الحركات الشهرية'!$B$6:$B$1005,$B18,'الحركات الشهرية'!$A$6:$A$1005,$C$3))</f>
        <v/>
      </c>
      <c r="W18" s="111" t="str">
        <f aca="false">IF($B18="","",SUMIFS('الحركات الشهرية'!$J$6:$J$1005,'الحركات الشهرية'!$B$6:$B$1005,$B18,'الحركات الشهرية'!$A$6:$A$1005,$C$3))</f>
        <v/>
      </c>
      <c r="X18" s="111" t="str">
        <f aca="false">IF($B18="","",SUM(U18:W18))</f>
        <v/>
      </c>
      <c r="Y18" s="153" t="str">
        <f aca="false">IF($B18="","",T18-X18)</f>
        <v/>
      </c>
      <c r="Z18" s="111" t="str">
        <f aca="false">IF($B18="","",الموظفون!$S18*IF(E18="سعودي",cfg_G_SR,cfg_G_NR)*G18/cfg_DAYS_M)</f>
        <v/>
      </c>
      <c r="AA18" s="111" t="str">
        <f aca="false">IF($B18="","",الموظفون!$Q18*(cfg_EOS_R1*(MIN(AH18,cfg_EOS_TH)-MIN(AI18,cfg_EOS_TH))+cfg_EOS_R2*(MAX(AH18-cfg_EOS_TH,0)-MAX(AI18-cfg_EOS_TH,0))))</f>
        <v/>
      </c>
      <c r="AB18" s="111" t="str">
        <f aca="false">IF($B18="","",IF(الموظفون!$T18&lt;&gt;"",الموظفون!$T18,IF(AH18&gt;=cfg_LV_TH,cfg_LV_D2,cfg_LV_D1))/cfg_DAYS_Y*AJ18*الموظفون!$R18/cfg_DAYS_M)</f>
        <v/>
      </c>
      <c r="AC18" s="111" t="str">
        <f aca="false">IF($B18="","",IF(AND(الموظفون!$U18="نعم",N(الموظفون!$W18)&gt;0),الموظفون!$V18/الموظفون!$W18*12/cfg_DAYS_Y*AJ18,0))</f>
        <v/>
      </c>
      <c r="AD18" s="111" t="str">
        <f aca="false">IF($B18="","",(IF(الموظفون!$X18&lt;&gt;"",الموظفون!$X18,IF(الموظفون!$E18="غير سعودي",cfg_IQ,0))+IF(الموظفون!$Y18&lt;&gt;"",الموظفون!$Y18,IF(الموظفون!$E18="غير سعودي",cfg_WP,0)))/12*G18/cfg_DAYS_M)</f>
        <v/>
      </c>
      <c r="AE18" s="111" t="str">
        <f aca="false">IF($B18="","",IF(الموظفون!$Z18&lt;&gt;"",الموظفون!$Z18,cfg_MED)/12*G18/cfg_DAYS_M)</f>
        <v/>
      </c>
      <c r="AF18" s="111" t="str">
        <f aca="false">IF($B18="","",N(الموظفون!$AA18)/12*G18/cfg_DAYS_M)</f>
        <v/>
      </c>
      <c r="AG18" s="154" t="str">
        <f aca="false">IF($B18="","",T18+SUM(Z18:AF18))</f>
        <v/>
      </c>
      <c r="AH18" s="155" t="str">
        <f aca="false">IF($B18="","",MAX(0,IF(OR(الموظفون!$AE18="",الموظفون!$AE18&gt;$F$3),$F$3,الموظفون!$AE18)-الموظفون!$H18+1-SUMIFS('سجل الإجازات والحالات'!$AQ$6:$AQ$505,'سجل الإجازات والحالات'!$B$6:$B$505,$B18))/cfg_DAYS_Y)</f>
        <v/>
      </c>
      <c r="AI18" s="155" t="str">
        <f aca="false">IF($B18="","",MAX(0,IF(OR(الموظفون!$AE18="",الموظفون!$AE18&gt;($E$3-1)),($E$3-1),الموظفون!$AE18)-الموظفون!$H18+1-SUMIFS('سجل الإجازات والحالات'!$AP$6:$AP$505,'سجل الإجازات والحالات'!$B$6:$B$505,$B18))/cfg_DAYS_Y)</f>
        <v/>
      </c>
      <c r="AJ18" s="65" t="str">
        <f aca="false">IF($B18="","",MAX(0,AK18-(SUMIFS('سجل الإجازات والحالات'!$AQ$6:$AQ$505,'سجل الإجازات والحالات'!$B$6:$B$505,$B18)-SUMIFS('سجل الإجازات والحالات'!$AP$6:$AP$505,'سجل الإجازات والحالات'!$B$6:$B$505,$B18))))</f>
        <v/>
      </c>
      <c r="AK18" s="65" t="str">
        <f aca="false">IF($B18="","",MAX(0,IF(OR(الموظفون!$AE18="",الموظفون!$AE18&gt;$F$3),$F$3,الموظفون!$AE18)-MAX($E$3,الموظفون!$H18)+1))</f>
        <v/>
      </c>
      <c r="AL18" s="151" t="str">
        <f aca="false">IF($B18="","",SUMIFS('سجل الإجازات والحالات'!$BC$6:$BC$505,'سجل الإجازات والحالات'!$B$6:$B$505,$B18)+SUMIFS('الحركات الشهرية'!$K$6:$K$1005,'الحركات الشهرية'!$B$6:$B$1005,$B18,'الحركات الشهرية'!$A$6:$A$1005,$C$3))</f>
        <v/>
      </c>
      <c r="AM18" s="111" t="str">
        <f aca="false">IF($B18="","",AL18*الموظفون!$R18/cfg_DAYS_M+S18)</f>
        <v/>
      </c>
      <c r="AN18" s="151" t="str">
        <f aca="false">IF($B18="","",SUMIFS('سجل الإجازات والحالات'!$AE$6:$AE$505,'سجل الإجازات والحالات'!$B$6:$B$505,$B18))</f>
        <v/>
      </c>
    </row>
    <row r="19" customFormat="false" ht="15" hidden="false" customHeight="false" outlineLevel="0" collapsed="false">
      <c r="A19" s="115" t="str">
        <f aca="false">IF($B19="","",الموظفون!$A19)</f>
        <v/>
      </c>
      <c r="B19" s="117" t="str">
        <f aca="false">IF(الموظفون!$B19="","",الموظفون!$B19)</f>
        <v/>
      </c>
      <c r="C19" s="117" t="str">
        <f aca="false">IF($B19="","",الموظفون!$C19)</f>
        <v/>
      </c>
      <c r="D19" s="117" t="str">
        <f aca="false">IF($B19="","",الموظفون!$F19)</f>
        <v/>
      </c>
      <c r="E19" s="117" t="str">
        <f aca="false">IF($B19="","",الموظفون!$E19)</f>
        <v/>
      </c>
      <c r="F19" s="117" t="str">
        <f aca="false">IF($B19="","",IF(AK19=0,IF(AND(الموظفون!$AE19&lt;&gt;"",الموظفون!$AE19&lt;$E$3),"✖ منتهي الخدمة","⏳ لم يباشر"),IF(S19&gt;0,"✈ راتب إجازة مقدم",IF(J19=0,"⛔ بدون راتب هذا الشهر",IF(I19&gt;0,"✈ خصم "&amp;ROUND(I19,2)&amp;" يوم بدون أجر",IF(AL19&gt;0,"🌴 إجازة سنوية "&amp;ROUND(AL19,2)&amp;" يوم",IF(H19&gt;0,"⚠ غياب "&amp;ROUND(H19,2)&amp;" يوم","✔ على رأس العمل")))))))</f>
        <v/>
      </c>
      <c r="G19" s="156" t="str">
        <f aca="false">IF($B19="","",IF(AK19&gt;=DAY($F$3),cfg_DAYS_M,MIN(AK19,cfg_DAYS_M)))</f>
        <v/>
      </c>
      <c r="H19" s="156" t="str">
        <f aca="false">IF($B19="","",SUMIFS('الحركات الشهرية'!$D$6:$D$1005,'الحركات الشهرية'!$B$6:$B$1005,$B19,'الحركات الشهرية'!$A$6:$A$1005,$C$3))</f>
        <v/>
      </c>
      <c r="I19" s="156" t="str">
        <f aca="false">IF($B19="","",MIN(G19,IF(AND(AK19&gt;0,AN19&gt;=AK19),G19,AN19)+SUMIFS('الحركات الشهرية'!$E$6:$E$1005,'الحركات الشهرية'!$B$6:$B$1005,$B19,'الحركات الشهرية'!$A$6:$A$1005,$C$3)))</f>
        <v/>
      </c>
      <c r="J19" s="156" t="str">
        <f aca="false">IF($B19="","",MAX(0,G19-H19-I19))</f>
        <v/>
      </c>
      <c r="K19" s="116" t="str">
        <f aca="false">IF($B19="","",الموظفون!$L19*$J19/cfg_DAYS_M)</f>
        <v/>
      </c>
      <c r="L19" s="116" t="str">
        <f aca="false">IF($B19="","",الموظفون!$M19*$J19/cfg_DAYS_M)</f>
        <v/>
      </c>
      <c r="M19" s="116" t="str">
        <f aca="false">IF($B19="","",الموظفون!$N19*$J19/cfg_DAYS_M)</f>
        <v/>
      </c>
      <c r="N19" s="116" t="str">
        <f aca="false">IF($B19="","",الموظفون!$O19*$J19/cfg_DAYS_M)</f>
        <v/>
      </c>
      <c r="O19" s="156" t="str">
        <f aca="false">IF($B19="","",SUMIFS('الحركات الشهرية'!$F$6:$F$1005,'الحركات الشهرية'!$B$6:$B$1005,$B19,'الحركات الشهرية'!$A$6:$A$1005,$C$3))</f>
        <v/>
      </c>
      <c r="P19" s="116" t="str">
        <f aca="false">IF($B19="","",O19*(الموظفون!$P19+الموظفون!$L19*cfg_OT_P)/cfg_DAYS_M/cfg_HRS)</f>
        <v/>
      </c>
      <c r="Q19" s="116" t="str">
        <f aca="false">IF($B19="","",SUMIFS('الحركات الشهرية'!$G$6:$G$1005,'الحركات الشهرية'!$B$6:$B$1005,$B19,'الحركات الشهرية'!$A$6:$A$1005,$C$3))</f>
        <v/>
      </c>
      <c r="R19" s="116" t="str">
        <f aca="false">IF($B19="","",SUMIFS('الحركات الشهرية'!$H$6:$H$1005,'الحركات الشهرية'!$B$6:$B$1005,$B19,'الحركات الشهرية'!$A$6:$A$1005,$C$3))</f>
        <v/>
      </c>
      <c r="S19" s="116" t="str">
        <f aca="false">IF($B19="","",SUMIFS('سجل الإجازات والحالات'!$N$6:$N$505,'سجل الإجازات والحالات'!$B$6:$B$505,$B19,'سجل الإجازات والحالات'!$O$6:$O$505,$C$3))</f>
        <v/>
      </c>
      <c r="T19" s="157" t="str">
        <f aca="false">IF($B19="","",SUM(K19:N19)+SUM(P19:S19))</f>
        <v/>
      </c>
      <c r="U19" s="116" t="str">
        <f aca="false">IF($B19="","",الموظفون!$S19*IF(E19="سعودي",cfg_G_SE,cfg_G_NE)*G19/cfg_DAYS_M)</f>
        <v/>
      </c>
      <c r="V19" s="116" t="str">
        <f aca="false">IF($B19="","",SUMIFS('الحركات الشهرية'!$I$6:$I$1005,'الحركات الشهرية'!$B$6:$B$1005,$B19,'الحركات الشهرية'!$A$6:$A$1005,$C$3))</f>
        <v/>
      </c>
      <c r="W19" s="116" t="str">
        <f aca="false">IF($B19="","",SUMIFS('الحركات الشهرية'!$J$6:$J$1005,'الحركات الشهرية'!$B$6:$B$1005,$B19,'الحركات الشهرية'!$A$6:$A$1005,$C$3))</f>
        <v/>
      </c>
      <c r="X19" s="116" t="str">
        <f aca="false">IF($B19="","",SUM(U19:W19))</f>
        <v/>
      </c>
      <c r="Y19" s="158" t="str">
        <f aca="false">IF($B19="","",T19-X19)</f>
        <v/>
      </c>
      <c r="Z19" s="116" t="str">
        <f aca="false">IF($B19="","",الموظفون!$S19*IF(E19="سعودي",cfg_G_SR,cfg_G_NR)*G19/cfg_DAYS_M)</f>
        <v/>
      </c>
      <c r="AA19" s="116" t="str">
        <f aca="false">IF($B19="","",الموظفون!$Q19*(cfg_EOS_R1*(MIN(AH19,cfg_EOS_TH)-MIN(AI19,cfg_EOS_TH))+cfg_EOS_R2*(MAX(AH19-cfg_EOS_TH,0)-MAX(AI19-cfg_EOS_TH,0))))</f>
        <v/>
      </c>
      <c r="AB19" s="116" t="str">
        <f aca="false">IF($B19="","",IF(الموظفون!$T19&lt;&gt;"",الموظفون!$T19,IF(AH19&gt;=cfg_LV_TH,cfg_LV_D2,cfg_LV_D1))/cfg_DAYS_Y*AJ19*الموظفون!$R19/cfg_DAYS_M)</f>
        <v/>
      </c>
      <c r="AC19" s="116" t="str">
        <f aca="false">IF($B19="","",IF(AND(الموظفون!$U19="نعم",N(الموظفون!$W19)&gt;0),الموظفون!$V19/الموظفون!$W19*12/cfg_DAYS_Y*AJ19,0))</f>
        <v/>
      </c>
      <c r="AD19" s="116" t="str">
        <f aca="false">IF($B19="","",(IF(الموظفون!$X19&lt;&gt;"",الموظفون!$X19,IF(الموظفون!$E19="غير سعودي",cfg_IQ,0))+IF(الموظفون!$Y19&lt;&gt;"",الموظفون!$Y19,IF(الموظفون!$E19="غير سعودي",cfg_WP,0)))/12*G19/cfg_DAYS_M)</f>
        <v/>
      </c>
      <c r="AE19" s="116" t="str">
        <f aca="false">IF($B19="","",IF(الموظفون!$Z19&lt;&gt;"",الموظفون!$Z19,cfg_MED)/12*G19/cfg_DAYS_M)</f>
        <v/>
      </c>
      <c r="AF19" s="116" t="str">
        <f aca="false">IF($B19="","",N(الموظفون!$AA19)/12*G19/cfg_DAYS_M)</f>
        <v/>
      </c>
      <c r="AG19" s="159" t="str">
        <f aca="false">IF($B19="","",T19+SUM(Z19:AF19))</f>
        <v/>
      </c>
      <c r="AH19" s="160" t="str">
        <f aca="false">IF($B19="","",MAX(0,IF(OR(الموظفون!$AE19="",الموظفون!$AE19&gt;$F$3),$F$3,الموظفون!$AE19)-الموظفون!$H19+1-SUMIFS('سجل الإجازات والحالات'!$AQ$6:$AQ$505,'سجل الإجازات والحالات'!$B$6:$B$505,$B19))/cfg_DAYS_Y)</f>
        <v/>
      </c>
      <c r="AI19" s="160" t="str">
        <f aca="false">IF($B19="","",MAX(0,IF(OR(الموظفون!$AE19="",الموظفون!$AE19&gt;($E$3-1)),($E$3-1),الموظفون!$AE19)-الموظفون!$H19+1-SUMIFS('سجل الإجازات والحالات'!$AP$6:$AP$505,'سجل الإجازات والحالات'!$B$6:$B$505,$B19))/cfg_DAYS_Y)</f>
        <v/>
      </c>
      <c r="AJ19" s="133" t="str">
        <f aca="false">IF($B19="","",MAX(0,AK19-(SUMIFS('سجل الإجازات والحالات'!$AQ$6:$AQ$505,'سجل الإجازات والحالات'!$B$6:$B$505,$B19)-SUMIFS('سجل الإجازات والحالات'!$AP$6:$AP$505,'سجل الإجازات والحالات'!$B$6:$B$505,$B19))))</f>
        <v/>
      </c>
      <c r="AK19" s="133" t="str">
        <f aca="false">IF($B19="","",MAX(0,IF(OR(الموظفون!$AE19="",الموظفون!$AE19&gt;$F$3),$F$3,الموظفون!$AE19)-MAX($E$3,الموظفون!$H19)+1))</f>
        <v/>
      </c>
      <c r="AL19" s="156" t="str">
        <f aca="false">IF($B19="","",SUMIFS('سجل الإجازات والحالات'!$BC$6:$BC$505,'سجل الإجازات والحالات'!$B$6:$B$505,$B19)+SUMIFS('الحركات الشهرية'!$K$6:$K$1005,'الحركات الشهرية'!$B$6:$B$1005,$B19,'الحركات الشهرية'!$A$6:$A$1005,$C$3))</f>
        <v/>
      </c>
      <c r="AM19" s="116" t="str">
        <f aca="false">IF($B19="","",AL19*الموظفون!$R19/cfg_DAYS_M+S19)</f>
        <v/>
      </c>
      <c r="AN19" s="156" t="str">
        <f aca="false">IF($B19="","",SUMIFS('سجل الإجازات والحالات'!$AE$6:$AE$505,'سجل الإجازات والحالات'!$B$6:$B$505,$B19))</f>
        <v/>
      </c>
    </row>
    <row r="20" customFormat="false" ht="15" hidden="false" customHeight="false" outlineLevel="0" collapsed="false">
      <c r="A20" s="106" t="str">
        <f aca="false">IF($B20="","",الموظفون!$A20)</f>
        <v/>
      </c>
      <c r="B20" s="114" t="str">
        <f aca="false">IF(الموظفون!$B20="","",الموظفون!$B20)</f>
        <v/>
      </c>
      <c r="C20" s="114" t="str">
        <f aca="false">IF($B20="","",الموظفون!$C20)</f>
        <v/>
      </c>
      <c r="D20" s="114" t="str">
        <f aca="false">IF($B20="","",الموظفون!$F20)</f>
        <v/>
      </c>
      <c r="E20" s="114" t="str">
        <f aca="false">IF($B20="","",الموظفون!$E20)</f>
        <v/>
      </c>
      <c r="F20" s="114" t="str">
        <f aca="false">IF($B20="","",IF(AK20=0,IF(AND(الموظفون!$AE20&lt;&gt;"",الموظفون!$AE20&lt;$E$3),"✖ منتهي الخدمة","⏳ لم يباشر"),IF(S20&gt;0,"✈ راتب إجازة مقدم",IF(J20=0,"⛔ بدون راتب هذا الشهر",IF(I20&gt;0,"✈ خصم "&amp;ROUND(I20,2)&amp;" يوم بدون أجر",IF(AL20&gt;0,"🌴 إجازة سنوية "&amp;ROUND(AL20,2)&amp;" يوم",IF(H20&gt;0,"⚠ غياب "&amp;ROUND(H20,2)&amp;" يوم","✔ على رأس العمل")))))))</f>
        <v/>
      </c>
      <c r="G20" s="151" t="str">
        <f aca="false">IF($B20="","",IF(AK20&gt;=DAY($F$3),cfg_DAYS_M,MIN(AK20,cfg_DAYS_M)))</f>
        <v/>
      </c>
      <c r="H20" s="151" t="str">
        <f aca="false">IF($B20="","",SUMIFS('الحركات الشهرية'!$D$6:$D$1005,'الحركات الشهرية'!$B$6:$B$1005,$B20,'الحركات الشهرية'!$A$6:$A$1005,$C$3))</f>
        <v/>
      </c>
      <c r="I20" s="151" t="str">
        <f aca="false">IF($B20="","",MIN(G20,IF(AND(AK20&gt;0,AN20&gt;=AK20),G20,AN20)+SUMIFS('الحركات الشهرية'!$E$6:$E$1005,'الحركات الشهرية'!$B$6:$B$1005,$B20,'الحركات الشهرية'!$A$6:$A$1005,$C$3)))</f>
        <v/>
      </c>
      <c r="J20" s="151" t="str">
        <f aca="false">IF($B20="","",MAX(0,G20-H20-I20))</f>
        <v/>
      </c>
      <c r="K20" s="111" t="str">
        <f aca="false">IF($B20="","",الموظفون!$L20*$J20/cfg_DAYS_M)</f>
        <v/>
      </c>
      <c r="L20" s="111" t="str">
        <f aca="false">IF($B20="","",الموظفون!$M20*$J20/cfg_DAYS_M)</f>
        <v/>
      </c>
      <c r="M20" s="111" t="str">
        <f aca="false">IF($B20="","",الموظفون!$N20*$J20/cfg_DAYS_M)</f>
        <v/>
      </c>
      <c r="N20" s="111" t="str">
        <f aca="false">IF($B20="","",الموظفون!$O20*$J20/cfg_DAYS_M)</f>
        <v/>
      </c>
      <c r="O20" s="151" t="str">
        <f aca="false">IF($B20="","",SUMIFS('الحركات الشهرية'!$F$6:$F$1005,'الحركات الشهرية'!$B$6:$B$1005,$B20,'الحركات الشهرية'!$A$6:$A$1005,$C$3))</f>
        <v/>
      </c>
      <c r="P20" s="111" t="str">
        <f aca="false">IF($B20="","",O20*(الموظفون!$P20+الموظفون!$L20*cfg_OT_P)/cfg_DAYS_M/cfg_HRS)</f>
        <v/>
      </c>
      <c r="Q20" s="111" t="str">
        <f aca="false">IF($B20="","",SUMIFS('الحركات الشهرية'!$G$6:$G$1005,'الحركات الشهرية'!$B$6:$B$1005,$B20,'الحركات الشهرية'!$A$6:$A$1005,$C$3))</f>
        <v/>
      </c>
      <c r="R20" s="111" t="str">
        <f aca="false">IF($B20="","",SUMIFS('الحركات الشهرية'!$H$6:$H$1005,'الحركات الشهرية'!$B$6:$B$1005,$B20,'الحركات الشهرية'!$A$6:$A$1005,$C$3))</f>
        <v/>
      </c>
      <c r="S20" s="111" t="str">
        <f aca="false">IF($B20="","",SUMIFS('سجل الإجازات والحالات'!$N$6:$N$505,'سجل الإجازات والحالات'!$B$6:$B$505,$B20,'سجل الإجازات والحالات'!$O$6:$O$505,$C$3))</f>
        <v/>
      </c>
      <c r="T20" s="152" t="str">
        <f aca="false">IF($B20="","",SUM(K20:N20)+SUM(P20:S20))</f>
        <v/>
      </c>
      <c r="U20" s="111" t="str">
        <f aca="false">IF($B20="","",الموظفون!$S20*IF(E20="سعودي",cfg_G_SE,cfg_G_NE)*G20/cfg_DAYS_M)</f>
        <v/>
      </c>
      <c r="V20" s="111" t="str">
        <f aca="false">IF($B20="","",SUMIFS('الحركات الشهرية'!$I$6:$I$1005,'الحركات الشهرية'!$B$6:$B$1005,$B20,'الحركات الشهرية'!$A$6:$A$1005,$C$3))</f>
        <v/>
      </c>
      <c r="W20" s="111" t="str">
        <f aca="false">IF($B20="","",SUMIFS('الحركات الشهرية'!$J$6:$J$1005,'الحركات الشهرية'!$B$6:$B$1005,$B20,'الحركات الشهرية'!$A$6:$A$1005,$C$3))</f>
        <v/>
      </c>
      <c r="X20" s="111" t="str">
        <f aca="false">IF($B20="","",SUM(U20:W20))</f>
        <v/>
      </c>
      <c r="Y20" s="153" t="str">
        <f aca="false">IF($B20="","",T20-X20)</f>
        <v/>
      </c>
      <c r="Z20" s="111" t="str">
        <f aca="false">IF($B20="","",الموظفون!$S20*IF(E20="سعودي",cfg_G_SR,cfg_G_NR)*G20/cfg_DAYS_M)</f>
        <v/>
      </c>
      <c r="AA20" s="111" t="str">
        <f aca="false">IF($B20="","",الموظفون!$Q20*(cfg_EOS_R1*(MIN(AH20,cfg_EOS_TH)-MIN(AI20,cfg_EOS_TH))+cfg_EOS_R2*(MAX(AH20-cfg_EOS_TH,0)-MAX(AI20-cfg_EOS_TH,0))))</f>
        <v/>
      </c>
      <c r="AB20" s="111" t="str">
        <f aca="false">IF($B20="","",IF(الموظفون!$T20&lt;&gt;"",الموظفون!$T20,IF(AH20&gt;=cfg_LV_TH,cfg_LV_D2,cfg_LV_D1))/cfg_DAYS_Y*AJ20*الموظفون!$R20/cfg_DAYS_M)</f>
        <v/>
      </c>
      <c r="AC20" s="111" t="str">
        <f aca="false">IF($B20="","",IF(AND(الموظفون!$U20="نعم",N(الموظفون!$W20)&gt;0),الموظفون!$V20/الموظفون!$W20*12/cfg_DAYS_Y*AJ20,0))</f>
        <v/>
      </c>
      <c r="AD20" s="111" t="str">
        <f aca="false">IF($B20="","",(IF(الموظفون!$X20&lt;&gt;"",الموظفون!$X20,IF(الموظفون!$E20="غير سعودي",cfg_IQ,0))+IF(الموظفون!$Y20&lt;&gt;"",الموظفون!$Y20,IF(الموظفون!$E20="غير سعودي",cfg_WP,0)))/12*G20/cfg_DAYS_M)</f>
        <v/>
      </c>
      <c r="AE20" s="111" t="str">
        <f aca="false">IF($B20="","",IF(الموظفون!$Z20&lt;&gt;"",الموظفون!$Z20,cfg_MED)/12*G20/cfg_DAYS_M)</f>
        <v/>
      </c>
      <c r="AF20" s="111" t="str">
        <f aca="false">IF($B20="","",N(الموظفون!$AA20)/12*G20/cfg_DAYS_M)</f>
        <v/>
      </c>
      <c r="AG20" s="154" t="str">
        <f aca="false">IF($B20="","",T20+SUM(Z20:AF20))</f>
        <v/>
      </c>
      <c r="AH20" s="155" t="str">
        <f aca="false">IF($B20="","",MAX(0,IF(OR(الموظفون!$AE20="",الموظفون!$AE20&gt;$F$3),$F$3,الموظفون!$AE20)-الموظفون!$H20+1-SUMIFS('سجل الإجازات والحالات'!$AQ$6:$AQ$505,'سجل الإجازات والحالات'!$B$6:$B$505,$B20))/cfg_DAYS_Y)</f>
        <v/>
      </c>
      <c r="AI20" s="155" t="str">
        <f aca="false">IF($B20="","",MAX(0,IF(OR(الموظفون!$AE20="",الموظفون!$AE20&gt;($E$3-1)),($E$3-1),الموظفون!$AE20)-الموظفون!$H20+1-SUMIFS('سجل الإجازات والحالات'!$AP$6:$AP$505,'سجل الإجازات والحالات'!$B$6:$B$505,$B20))/cfg_DAYS_Y)</f>
        <v/>
      </c>
      <c r="AJ20" s="65" t="str">
        <f aca="false">IF($B20="","",MAX(0,AK20-(SUMIFS('سجل الإجازات والحالات'!$AQ$6:$AQ$505,'سجل الإجازات والحالات'!$B$6:$B$505,$B20)-SUMIFS('سجل الإجازات والحالات'!$AP$6:$AP$505,'سجل الإجازات والحالات'!$B$6:$B$505,$B20))))</f>
        <v/>
      </c>
      <c r="AK20" s="65" t="str">
        <f aca="false">IF($B20="","",MAX(0,IF(OR(الموظفون!$AE20="",الموظفون!$AE20&gt;$F$3),$F$3,الموظفون!$AE20)-MAX($E$3,الموظفون!$H20)+1))</f>
        <v/>
      </c>
      <c r="AL20" s="151" t="str">
        <f aca="false">IF($B20="","",SUMIFS('سجل الإجازات والحالات'!$BC$6:$BC$505,'سجل الإجازات والحالات'!$B$6:$B$505,$B20)+SUMIFS('الحركات الشهرية'!$K$6:$K$1005,'الحركات الشهرية'!$B$6:$B$1005,$B20,'الحركات الشهرية'!$A$6:$A$1005,$C$3))</f>
        <v/>
      </c>
      <c r="AM20" s="111" t="str">
        <f aca="false">IF($B20="","",AL20*الموظفون!$R20/cfg_DAYS_M+S20)</f>
        <v/>
      </c>
      <c r="AN20" s="151" t="str">
        <f aca="false">IF($B20="","",SUMIFS('سجل الإجازات والحالات'!$AE$6:$AE$505,'سجل الإجازات والحالات'!$B$6:$B$505,$B20))</f>
        <v/>
      </c>
    </row>
    <row r="21" customFormat="false" ht="15" hidden="false" customHeight="false" outlineLevel="0" collapsed="false">
      <c r="A21" s="115" t="str">
        <f aca="false">IF($B21="","",الموظفون!$A21)</f>
        <v/>
      </c>
      <c r="B21" s="117" t="str">
        <f aca="false">IF(الموظفون!$B21="","",الموظفون!$B21)</f>
        <v/>
      </c>
      <c r="C21" s="117" t="str">
        <f aca="false">IF($B21="","",الموظفون!$C21)</f>
        <v/>
      </c>
      <c r="D21" s="117" t="str">
        <f aca="false">IF($B21="","",الموظفون!$F21)</f>
        <v/>
      </c>
      <c r="E21" s="117" t="str">
        <f aca="false">IF($B21="","",الموظفون!$E21)</f>
        <v/>
      </c>
      <c r="F21" s="117" t="str">
        <f aca="false">IF($B21="","",IF(AK21=0,IF(AND(الموظفون!$AE21&lt;&gt;"",الموظفون!$AE21&lt;$E$3),"✖ منتهي الخدمة","⏳ لم يباشر"),IF(S21&gt;0,"✈ راتب إجازة مقدم",IF(J21=0,"⛔ بدون راتب هذا الشهر",IF(I21&gt;0,"✈ خصم "&amp;ROUND(I21,2)&amp;" يوم بدون أجر",IF(AL21&gt;0,"🌴 إجازة سنوية "&amp;ROUND(AL21,2)&amp;" يوم",IF(H21&gt;0,"⚠ غياب "&amp;ROUND(H21,2)&amp;" يوم","✔ على رأس العمل")))))))</f>
        <v/>
      </c>
      <c r="G21" s="156" t="str">
        <f aca="false">IF($B21="","",IF(AK21&gt;=DAY($F$3),cfg_DAYS_M,MIN(AK21,cfg_DAYS_M)))</f>
        <v/>
      </c>
      <c r="H21" s="156" t="str">
        <f aca="false">IF($B21="","",SUMIFS('الحركات الشهرية'!$D$6:$D$1005,'الحركات الشهرية'!$B$6:$B$1005,$B21,'الحركات الشهرية'!$A$6:$A$1005,$C$3))</f>
        <v/>
      </c>
      <c r="I21" s="156" t="str">
        <f aca="false">IF($B21="","",MIN(G21,IF(AND(AK21&gt;0,AN21&gt;=AK21),G21,AN21)+SUMIFS('الحركات الشهرية'!$E$6:$E$1005,'الحركات الشهرية'!$B$6:$B$1005,$B21,'الحركات الشهرية'!$A$6:$A$1005,$C$3)))</f>
        <v/>
      </c>
      <c r="J21" s="156" t="str">
        <f aca="false">IF($B21="","",MAX(0,G21-H21-I21))</f>
        <v/>
      </c>
      <c r="K21" s="116" t="str">
        <f aca="false">IF($B21="","",الموظفون!$L21*$J21/cfg_DAYS_M)</f>
        <v/>
      </c>
      <c r="L21" s="116" t="str">
        <f aca="false">IF($B21="","",الموظفون!$M21*$J21/cfg_DAYS_M)</f>
        <v/>
      </c>
      <c r="M21" s="116" t="str">
        <f aca="false">IF($B21="","",الموظفون!$N21*$J21/cfg_DAYS_M)</f>
        <v/>
      </c>
      <c r="N21" s="116" t="str">
        <f aca="false">IF($B21="","",الموظفون!$O21*$J21/cfg_DAYS_M)</f>
        <v/>
      </c>
      <c r="O21" s="156" t="str">
        <f aca="false">IF($B21="","",SUMIFS('الحركات الشهرية'!$F$6:$F$1005,'الحركات الشهرية'!$B$6:$B$1005,$B21,'الحركات الشهرية'!$A$6:$A$1005,$C$3))</f>
        <v/>
      </c>
      <c r="P21" s="116" t="str">
        <f aca="false">IF($B21="","",O21*(الموظفون!$P21+الموظفون!$L21*cfg_OT_P)/cfg_DAYS_M/cfg_HRS)</f>
        <v/>
      </c>
      <c r="Q21" s="116" t="str">
        <f aca="false">IF($B21="","",SUMIFS('الحركات الشهرية'!$G$6:$G$1005,'الحركات الشهرية'!$B$6:$B$1005,$B21,'الحركات الشهرية'!$A$6:$A$1005,$C$3))</f>
        <v/>
      </c>
      <c r="R21" s="116" t="str">
        <f aca="false">IF($B21="","",SUMIFS('الحركات الشهرية'!$H$6:$H$1005,'الحركات الشهرية'!$B$6:$B$1005,$B21,'الحركات الشهرية'!$A$6:$A$1005,$C$3))</f>
        <v/>
      </c>
      <c r="S21" s="116" t="str">
        <f aca="false">IF($B21="","",SUMIFS('سجل الإجازات والحالات'!$N$6:$N$505,'سجل الإجازات والحالات'!$B$6:$B$505,$B21,'سجل الإجازات والحالات'!$O$6:$O$505,$C$3))</f>
        <v/>
      </c>
      <c r="T21" s="157" t="str">
        <f aca="false">IF($B21="","",SUM(K21:N21)+SUM(P21:S21))</f>
        <v/>
      </c>
      <c r="U21" s="116" t="str">
        <f aca="false">IF($B21="","",الموظفون!$S21*IF(E21="سعودي",cfg_G_SE,cfg_G_NE)*G21/cfg_DAYS_M)</f>
        <v/>
      </c>
      <c r="V21" s="116" t="str">
        <f aca="false">IF($B21="","",SUMIFS('الحركات الشهرية'!$I$6:$I$1005,'الحركات الشهرية'!$B$6:$B$1005,$B21,'الحركات الشهرية'!$A$6:$A$1005,$C$3))</f>
        <v/>
      </c>
      <c r="W21" s="116" t="str">
        <f aca="false">IF($B21="","",SUMIFS('الحركات الشهرية'!$J$6:$J$1005,'الحركات الشهرية'!$B$6:$B$1005,$B21,'الحركات الشهرية'!$A$6:$A$1005,$C$3))</f>
        <v/>
      </c>
      <c r="X21" s="116" t="str">
        <f aca="false">IF($B21="","",SUM(U21:W21))</f>
        <v/>
      </c>
      <c r="Y21" s="158" t="str">
        <f aca="false">IF($B21="","",T21-X21)</f>
        <v/>
      </c>
      <c r="Z21" s="116" t="str">
        <f aca="false">IF($B21="","",الموظفون!$S21*IF(E21="سعودي",cfg_G_SR,cfg_G_NR)*G21/cfg_DAYS_M)</f>
        <v/>
      </c>
      <c r="AA21" s="116" t="str">
        <f aca="false">IF($B21="","",الموظفون!$Q21*(cfg_EOS_R1*(MIN(AH21,cfg_EOS_TH)-MIN(AI21,cfg_EOS_TH))+cfg_EOS_R2*(MAX(AH21-cfg_EOS_TH,0)-MAX(AI21-cfg_EOS_TH,0))))</f>
        <v/>
      </c>
      <c r="AB21" s="116" t="str">
        <f aca="false">IF($B21="","",IF(الموظفون!$T21&lt;&gt;"",الموظفون!$T21,IF(AH21&gt;=cfg_LV_TH,cfg_LV_D2,cfg_LV_D1))/cfg_DAYS_Y*AJ21*الموظفون!$R21/cfg_DAYS_M)</f>
        <v/>
      </c>
      <c r="AC21" s="116" t="str">
        <f aca="false">IF($B21="","",IF(AND(الموظفون!$U21="نعم",N(الموظفون!$W21)&gt;0),الموظفون!$V21/الموظفون!$W21*12/cfg_DAYS_Y*AJ21,0))</f>
        <v/>
      </c>
      <c r="AD21" s="116" t="str">
        <f aca="false">IF($B21="","",(IF(الموظفون!$X21&lt;&gt;"",الموظفون!$X21,IF(الموظفون!$E21="غير سعودي",cfg_IQ,0))+IF(الموظفون!$Y21&lt;&gt;"",الموظفون!$Y21,IF(الموظفون!$E21="غير سعودي",cfg_WP,0)))/12*G21/cfg_DAYS_M)</f>
        <v/>
      </c>
      <c r="AE21" s="116" t="str">
        <f aca="false">IF($B21="","",IF(الموظفون!$Z21&lt;&gt;"",الموظفون!$Z21,cfg_MED)/12*G21/cfg_DAYS_M)</f>
        <v/>
      </c>
      <c r="AF21" s="116" t="str">
        <f aca="false">IF($B21="","",N(الموظفون!$AA21)/12*G21/cfg_DAYS_M)</f>
        <v/>
      </c>
      <c r="AG21" s="159" t="str">
        <f aca="false">IF($B21="","",T21+SUM(Z21:AF21))</f>
        <v/>
      </c>
      <c r="AH21" s="160" t="str">
        <f aca="false">IF($B21="","",MAX(0,IF(OR(الموظفون!$AE21="",الموظفون!$AE21&gt;$F$3),$F$3,الموظفون!$AE21)-الموظفون!$H21+1-SUMIFS('سجل الإجازات والحالات'!$AQ$6:$AQ$505,'سجل الإجازات والحالات'!$B$6:$B$505,$B21))/cfg_DAYS_Y)</f>
        <v/>
      </c>
      <c r="AI21" s="160" t="str">
        <f aca="false">IF($B21="","",MAX(0,IF(OR(الموظفون!$AE21="",الموظفون!$AE21&gt;($E$3-1)),($E$3-1),الموظفون!$AE21)-الموظفون!$H21+1-SUMIFS('سجل الإجازات والحالات'!$AP$6:$AP$505,'سجل الإجازات والحالات'!$B$6:$B$505,$B21))/cfg_DAYS_Y)</f>
        <v/>
      </c>
      <c r="AJ21" s="133" t="str">
        <f aca="false">IF($B21="","",MAX(0,AK21-(SUMIFS('سجل الإجازات والحالات'!$AQ$6:$AQ$505,'سجل الإجازات والحالات'!$B$6:$B$505,$B21)-SUMIFS('سجل الإجازات والحالات'!$AP$6:$AP$505,'سجل الإجازات والحالات'!$B$6:$B$505,$B21))))</f>
        <v/>
      </c>
      <c r="AK21" s="133" t="str">
        <f aca="false">IF($B21="","",MAX(0,IF(OR(الموظفون!$AE21="",الموظفون!$AE21&gt;$F$3),$F$3,الموظفون!$AE21)-MAX($E$3,الموظفون!$H21)+1))</f>
        <v/>
      </c>
      <c r="AL21" s="156" t="str">
        <f aca="false">IF($B21="","",SUMIFS('سجل الإجازات والحالات'!$BC$6:$BC$505,'سجل الإجازات والحالات'!$B$6:$B$505,$B21)+SUMIFS('الحركات الشهرية'!$K$6:$K$1005,'الحركات الشهرية'!$B$6:$B$1005,$B21,'الحركات الشهرية'!$A$6:$A$1005,$C$3))</f>
        <v/>
      </c>
      <c r="AM21" s="116" t="str">
        <f aca="false">IF($B21="","",AL21*الموظفون!$R21/cfg_DAYS_M+S21)</f>
        <v/>
      </c>
      <c r="AN21" s="156" t="str">
        <f aca="false">IF($B21="","",SUMIFS('سجل الإجازات والحالات'!$AE$6:$AE$505,'سجل الإجازات والحالات'!$B$6:$B$505,$B21))</f>
        <v/>
      </c>
    </row>
    <row r="22" customFormat="false" ht="15" hidden="false" customHeight="false" outlineLevel="0" collapsed="false">
      <c r="A22" s="106" t="str">
        <f aca="false">IF($B22="","",الموظفون!$A22)</f>
        <v/>
      </c>
      <c r="B22" s="114" t="str">
        <f aca="false">IF(الموظفون!$B22="","",الموظفون!$B22)</f>
        <v/>
      </c>
      <c r="C22" s="114" t="str">
        <f aca="false">IF($B22="","",الموظفون!$C22)</f>
        <v/>
      </c>
      <c r="D22" s="114" t="str">
        <f aca="false">IF($B22="","",الموظفون!$F22)</f>
        <v/>
      </c>
      <c r="E22" s="114" t="str">
        <f aca="false">IF($B22="","",الموظفون!$E22)</f>
        <v/>
      </c>
      <c r="F22" s="114" t="str">
        <f aca="false">IF($B22="","",IF(AK22=0,IF(AND(الموظفون!$AE22&lt;&gt;"",الموظفون!$AE22&lt;$E$3),"✖ منتهي الخدمة","⏳ لم يباشر"),IF(S22&gt;0,"✈ راتب إجازة مقدم",IF(J22=0,"⛔ بدون راتب هذا الشهر",IF(I22&gt;0,"✈ خصم "&amp;ROUND(I22,2)&amp;" يوم بدون أجر",IF(AL22&gt;0,"🌴 إجازة سنوية "&amp;ROUND(AL22,2)&amp;" يوم",IF(H22&gt;0,"⚠ غياب "&amp;ROUND(H22,2)&amp;" يوم","✔ على رأس العمل")))))))</f>
        <v/>
      </c>
      <c r="G22" s="151" t="str">
        <f aca="false">IF($B22="","",IF(AK22&gt;=DAY($F$3),cfg_DAYS_M,MIN(AK22,cfg_DAYS_M)))</f>
        <v/>
      </c>
      <c r="H22" s="151" t="str">
        <f aca="false">IF($B22="","",SUMIFS('الحركات الشهرية'!$D$6:$D$1005,'الحركات الشهرية'!$B$6:$B$1005,$B22,'الحركات الشهرية'!$A$6:$A$1005,$C$3))</f>
        <v/>
      </c>
      <c r="I22" s="151" t="str">
        <f aca="false">IF($B22="","",MIN(G22,IF(AND(AK22&gt;0,AN22&gt;=AK22),G22,AN22)+SUMIFS('الحركات الشهرية'!$E$6:$E$1005,'الحركات الشهرية'!$B$6:$B$1005,$B22,'الحركات الشهرية'!$A$6:$A$1005,$C$3)))</f>
        <v/>
      </c>
      <c r="J22" s="151" t="str">
        <f aca="false">IF($B22="","",MAX(0,G22-H22-I22))</f>
        <v/>
      </c>
      <c r="K22" s="111" t="str">
        <f aca="false">IF($B22="","",الموظفون!$L22*$J22/cfg_DAYS_M)</f>
        <v/>
      </c>
      <c r="L22" s="111" t="str">
        <f aca="false">IF($B22="","",الموظفون!$M22*$J22/cfg_DAYS_M)</f>
        <v/>
      </c>
      <c r="M22" s="111" t="str">
        <f aca="false">IF($B22="","",الموظفون!$N22*$J22/cfg_DAYS_M)</f>
        <v/>
      </c>
      <c r="N22" s="111" t="str">
        <f aca="false">IF($B22="","",الموظفون!$O22*$J22/cfg_DAYS_M)</f>
        <v/>
      </c>
      <c r="O22" s="151" t="str">
        <f aca="false">IF($B22="","",SUMIFS('الحركات الشهرية'!$F$6:$F$1005,'الحركات الشهرية'!$B$6:$B$1005,$B22,'الحركات الشهرية'!$A$6:$A$1005,$C$3))</f>
        <v/>
      </c>
      <c r="P22" s="111" t="str">
        <f aca="false">IF($B22="","",O22*(الموظفون!$P22+الموظفون!$L22*cfg_OT_P)/cfg_DAYS_M/cfg_HRS)</f>
        <v/>
      </c>
      <c r="Q22" s="111" t="str">
        <f aca="false">IF($B22="","",SUMIFS('الحركات الشهرية'!$G$6:$G$1005,'الحركات الشهرية'!$B$6:$B$1005,$B22,'الحركات الشهرية'!$A$6:$A$1005,$C$3))</f>
        <v/>
      </c>
      <c r="R22" s="111" t="str">
        <f aca="false">IF($B22="","",SUMIFS('الحركات الشهرية'!$H$6:$H$1005,'الحركات الشهرية'!$B$6:$B$1005,$B22,'الحركات الشهرية'!$A$6:$A$1005,$C$3))</f>
        <v/>
      </c>
      <c r="S22" s="111" t="str">
        <f aca="false">IF($B22="","",SUMIFS('سجل الإجازات والحالات'!$N$6:$N$505,'سجل الإجازات والحالات'!$B$6:$B$505,$B22,'سجل الإجازات والحالات'!$O$6:$O$505,$C$3))</f>
        <v/>
      </c>
      <c r="T22" s="152" t="str">
        <f aca="false">IF($B22="","",SUM(K22:N22)+SUM(P22:S22))</f>
        <v/>
      </c>
      <c r="U22" s="111" t="str">
        <f aca="false">IF($B22="","",الموظفون!$S22*IF(E22="سعودي",cfg_G_SE,cfg_G_NE)*G22/cfg_DAYS_M)</f>
        <v/>
      </c>
      <c r="V22" s="111" t="str">
        <f aca="false">IF($B22="","",SUMIFS('الحركات الشهرية'!$I$6:$I$1005,'الحركات الشهرية'!$B$6:$B$1005,$B22,'الحركات الشهرية'!$A$6:$A$1005,$C$3))</f>
        <v/>
      </c>
      <c r="W22" s="111" t="str">
        <f aca="false">IF($B22="","",SUMIFS('الحركات الشهرية'!$J$6:$J$1005,'الحركات الشهرية'!$B$6:$B$1005,$B22,'الحركات الشهرية'!$A$6:$A$1005,$C$3))</f>
        <v/>
      </c>
      <c r="X22" s="111" t="str">
        <f aca="false">IF($B22="","",SUM(U22:W22))</f>
        <v/>
      </c>
      <c r="Y22" s="153" t="str">
        <f aca="false">IF($B22="","",T22-X22)</f>
        <v/>
      </c>
      <c r="Z22" s="111" t="str">
        <f aca="false">IF($B22="","",الموظفون!$S22*IF(E22="سعودي",cfg_G_SR,cfg_G_NR)*G22/cfg_DAYS_M)</f>
        <v/>
      </c>
      <c r="AA22" s="111" t="str">
        <f aca="false">IF($B22="","",الموظفون!$Q22*(cfg_EOS_R1*(MIN(AH22,cfg_EOS_TH)-MIN(AI22,cfg_EOS_TH))+cfg_EOS_R2*(MAX(AH22-cfg_EOS_TH,0)-MAX(AI22-cfg_EOS_TH,0))))</f>
        <v/>
      </c>
      <c r="AB22" s="111" t="str">
        <f aca="false">IF($B22="","",IF(الموظفون!$T22&lt;&gt;"",الموظفون!$T22,IF(AH22&gt;=cfg_LV_TH,cfg_LV_D2,cfg_LV_D1))/cfg_DAYS_Y*AJ22*الموظفون!$R22/cfg_DAYS_M)</f>
        <v/>
      </c>
      <c r="AC22" s="111" t="str">
        <f aca="false">IF($B22="","",IF(AND(الموظفون!$U22="نعم",N(الموظفون!$W22)&gt;0),الموظفون!$V22/الموظفون!$W22*12/cfg_DAYS_Y*AJ22,0))</f>
        <v/>
      </c>
      <c r="AD22" s="111" t="str">
        <f aca="false">IF($B22="","",(IF(الموظفون!$X22&lt;&gt;"",الموظفون!$X22,IF(الموظفون!$E22="غير سعودي",cfg_IQ,0))+IF(الموظفون!$Y22&lt;&gt;"",الموظفون!$Y22,IF(الموظفون!$E22="غير سعودي",cfg_WP,0)))/12*G22/cfg_DAYS_M)</f>
        <v/>
      </c>
      <c r="AE22" s="111" t="str">
        <f aca="false">IF($B22="","",IF(الموظفون!$Z22&lt;&gt;"",الموظفون!$Z22,cfg_MED)/12*G22/cfg_DAYS_M)</f>
        <v/>
      </c>
      <c r="AF22" s="111" t="str">
        <f aca="false">IF($B22="","",N(الموظفون!$AA22)/12*G22/cfg_DAYS_M)</f>
        <v/>
      </c>
      <c r="AG22" s="154" t="str">
        <f aca="false">IF($B22="","",T22+SUM(Z22:AF22))</f>
        <v/>
      </c>
      <c r="AH22" s="155" t="str">
        <f aca="false">IF($B22="","",MAX(0,IF(OR(الموظفون!$AE22="",الموظفون!$AE22&gt;$F$3),$F$3,الموظفون!$AE22)-الموظفون!$H22+1-SUMIFS('سجل الإجازات والحالات'!$AQ$6:$AQ$505,'سجل الإجازات والحالات'!$B$6:$B$505,$B22))/cfg_DAYS_Y)</f>
        <v/>
      </c>
      <c r="AI22" s="155" t="str">
        <f aca="false">IF($B22="","",MAX(0,IF(OR(الموظفون!$AE22="",الموظفون!$AE22&gt;($E$3-1)),($E$3-1),الموظفون!$AE22)-الموظفون!$H22+1-SUMIFS('سجل الإجازات والحالات'!$AP$6:$AP$505,'سجل الإجازات والحالات'!$B$6:$B$505,$B22))/cfg_DAYS_Y)</f>
        <v/>
      </c>
      <c r="AJ22" s="65" t="str">
        <f aca="false">IF($B22="","",MAX(0,AK22-(SUMIFS('سجل الإجازات والحالات'!$AQ$6:$AQ$505,'سجل الإجازات والحالات'!$B$6:$B$505,$B22)-SUMIFS('سجل الإجازات والحالات'!$AP$6:$AP$505,'سجل الإجازات والحالات'!$B$6:$B$505,$B22))))</f>
        <v/>
      </c>
      <c r="AK22" s="65" t="str">
        <f aca="false">IF($B22="","",MAX(0,IF(OR(الموظفون!$AE22="",الموظفون!$AE22&gt;$F$3),$F$3,الموظفون!$AE22)-MAX($E$3,الموظفون!$H22)+1))</f>
        <v/>
      </c>
      <c r="AL22" s="151" t="str">
        <f aca="false">IF($B22="","",SUMIFS('سجل الإجازات والحالات'!$BC$6:$BC$505,'سجل الإجازات والحالات'!$B$6:$B$505,$B22)+SUMIFS('الحركات الشهرية'!$K$6:$K$1005,'الحركات الشهرية'!$B$6:$B$1005,$B22,'الحركات الشهرية'!$A$6:$A$1005,$C$3))</f>
        <v/>
      </c>
      <c r="AM22" s="111" t="str">
        <f aca="false">IF($B22="","",AL22*الموظفون!$R22/cfg_DAYS_M+S22)</f>
        <v/>
      </c>
      <c r="AN22" s="151" t="str">
        <f aca="false">IF($B22="","",SUMIFS('سجل الإجازات والحالات'!$AE$6:$AE$505,'سجل الإجازات والحالات'!$B$6:$B$505,$B22))</f>
        <v/>
      </c>
    </row>
    <row r="23" customFormat="false" ht="15" hidden="false" customHeight="false" outlineLevel="0" collapsed="false">
      <c r="A23" s="115" t="str">
        <f aca="false">IF($B23="","",الموظفون!$A23)</f>
        <v/>
      </c>
      <c r="B23" s="117" t="str">
        <f aca="false">IF(الموظفون!$B23="","",الموظفون!$B23)</f>
        <v/>
      </c>
      <c r="C23" s="117" t="str">
        <f aca="false">IF($B23="","",الموظفون!$C23)</f>
        <v/>
      </c>
      <c r="D23" s="117" t="str">
        <f aca="false">IF($B23="","",الموظفون!$F23)</f>
        <v/>
      </c>
      <c r="E23" s="117" t="str">
        <f aca="false">IF($B23="","",الموظفون!$E23)</f>
        <v/>
      </c>
      <c r="F23" s="117" t="str">
        <f aca="false">IF($B23="","",IF(AK23=0,IF(AND(الموظفون!$AE23&lt;&gt;"",الموظفون!$AE23&lt;$E$3),"✖ منتهي الخدمة","⏳ لم يباشر"),IF(S23&gt;0,"✈ راتب إجازة مقدم",IF(J23=0,"⛔ بدون راتب هذا الشهر",IF(I23&gt;0,"✈ خصم "&amp;ROUND(I23,2)&amp;" يوم بدون أجر",IF(AL23&gt;0,"🌴 إجازة سنوية "&amp;ROUND(AL23,2)&amp;" يوم",IF(H23&gt;0,"⚠ غياب "&amp;ROUND(H23,2)&amp;" يوم","✔ على رأس العمل")))))))</f>
        <v/>
      </c>
      <c r="G23" s="156" t="str">
        <f aca="false">IF($B23="","",IF(AK23&gt;=DAY($F$3),cfg_DAYS_M,MIN(AK23,cfg_DAYS_M)))</f>
        <v/>
      </c>
      <c r="H23" s="156" t="str">
        <f aca="false">IF($B23="","",SUMIFS('الحركات الشهرية'!$D$6:$D$1005,'الحركات الشهرية'!$B$6:$B$1005,$B23,'الحركات الشهرية'!$A$6:$A$1005,$C$3))</f>
        <v/>
      </c>
      <c r="I23" s="156" t="str">
        <f aca="false">IF($B23="","",MIN(G23,IF(AND(AK23&gt;0,AN23&gt;=AK23),G23,AN23)+SUMIFS('الحركات الشهرية'!$E$6:$E$1005,'الحركات الشهرية'!$B$6:$B$1005,$B23,'الحركات الشهرية'!$A$6:$A$1005,$C$3)))</f>
        <v/>
      </c>
      <c r="J23" s="156" t="str">
        <f aca="false">IF($B23="","",MAX(0,G23-H23-I23))</f>
        <v/>
      </c>
      <c r="K23" s="116" t="str">
        <f aca="false">IF($B23="","",الموظفون!$L23*$J23/cfg_DAYS_M)</f>
        <v/>
      </c>
      <c r="L23" s="116" t="str">
        <f aca="false">IF($B23="","",الموظفون!$M23*$J23/cfg_DAYS_M)</f>
        <v/>
      </c>
      <c r="M23" s="116" t="str">
        <f aca="false">IF($B23="","",الموظفون!$N23*$J23/cfg_DAYS_M)</f>
        <v/>
      </c>
      <c r="N23" s="116" t="str">
        <f aca="false">IF($B23="","",الموظفون!$O23*$J23/cfg_DAYS_M)</f>
        <v/>
      </c>
      <c r="O23" s="156" t="str">
        <f aca="false">IF($B23="","",SUMIFS('الحركات الشهرية'!$F$6:$F$1005,'الحركات الشهرية'!$B$6:$B$1005,$B23,'الحركات الشهرية'!$A$6:$A$1005,$C$3))</f>
        <v/>
      </c>
      <c r="P23" s="116" t="str">
        <f aca="false">IF($B23="","",O23*(الموظفون!$P23+الموظفون!$L23*cfg_OT_P)/cfg_DAYS_M/cfg_HRS)</f>
        <v/>
      </c>
      <c r="Q23" s="116" t="str">
        <f aca="false">IF($B23="","",SUMIFS('الحركات الشهرية'!$G$6:$G$1005,'الحركات الشهرية'!$B$6:$B$1005,$B23,'الحركات الشهرية'!$A$6:$A$1005,$C$3))</f>
        <v/>
      </c>
      <c r="R23" s="116" t="str">
        <f aca="false">IF($B23="","",SUMIFS('الحركات الشهرية'!$H$6:$H$1005,'الحركات الشهرية'!$B$6:$B$1005,$B23,'الحركات الشهرية'!$A$6:$A$1005,$C$3))</f>
        <v/>
      </c>
      <c r="S23" s="116" t="str">
        <f aca="false">IF($B23="","",SUMIFS('سجل الإجازات والحالات'!$N$6:$N$505,'سجل الإجازات والحالات'!$B$6:$B$505,$B23,'سجل الإجازات والحالات'!$O$6:$O$505,$C$3))</f>
        <v/>
      </c>
      <c r="T23" s="157" t="str">
        <f aca="false">IF($B23="","",SUM(K23:N23)+SUM(P23:S23))</f>
        <v/>
      </c>
      <c r="U23" s="116" t="str">
        <f aca="false">IF($B23="","",الموظفون!$S23*IF(E23="سعودي",cfg_G_SE,cfg_G_NE)*G23/cfg_DAYS_M)</f>
        <v/>
      </c>
      <c r="V23" s="116" t="str">
        <f aca="false">IF($B23="","",SUMIFS('الحركات الشهرية'!$I$6:$I$1005,'الحركات الشهرية'!$B$6:$B$1005,$B23,'الحركات الشهرية'!$A$6:$A$1005,$C$3))</f>
        <v/>
      </c>
      <c r="W23" s="116" t="str">
        <f aca="false">IF($B23="","",SUMIFS('الحركات الشهرية'!$J$6:$J$1005,'الحركات الشهرية'!$B$6:$B$1005,$B23,'الحركات الشهرية'!$A$6:$A$1005,$C$3))</f>
        <v/>
      </c>
      <c r="X23" s="116" t="str">
        <f aca="false">IF($B23="","",SUM(U23:W23))</f>
        <v/>
      </c>
      <c r="Y23" s="158" t="str">
        <f aca="false">IF($B23="","",T23-X23)</f>
        <v/>
      </c>
      <c r="Z23" s="116" t="str">
        <f aca="false">IF($B23="","",الموظفون!$S23*IF(E23="سعودي",cfg_G_SR,cfg_G_NR)*G23/cfg_DAYS_M)</f>
        <v/>
      </c>
      <c r="AA23" s="116" t="str">
        <f aca="false">IF($B23="","",الموظفون!$Q23*(cfg_EOS_R1*(MIN(AH23,cfg_EOS_TH)-MIN(AI23,cfg_EOS_TH))+cfg_EOS_R2*(MAX(AH23-cfg_EOS_TH,0)-MAX(AI23-cfg_EOS_TH,0))))</f>
        <v/>
      </c>
      <c r="AB23" s="116" t="str">
        <f aca="false">IF($B23="","",IF(الموظفون!$T23&lt;&gt;"",الموظفون!$T23,IF(AH23&gt;=cfg_LV_TH,cfg_LV_D2,cfg_LV_D1))/cfg_DAYS_Y*AJ23*الموظفون!$R23/cfg_DAYS_M)</f>
        <v/>
      </c>
      <c r="AC23" s="116" t="str">
        <f aca="false">IF($B23="","",IF(AND(الموظفون!$U23="نعم",N(الموظفون!$W23)&gt;0),الموظفون!$V23/الموظفون!$W23*12/cfg_DAYS_Y*AJ23,0))</f>
        <v/>
      </c>
      <c r="AD23" s="116" t="str">
        <f aca="false">IF($B23="","",(IF(الموظفون!$X23&lt;&gt;"",الموظفون!$X23,IF(الموظفون!$E23="غير سعودي",cfg_IQ,0))+IF(الموظفون!$Y23&lt;&gt;"",الموظفون!$Y23,IF(الموظفون!$E23="غير سعودي",cfg_WP,0)))/12*G23/cfg_DAYS_M)</f>
        <v/>
      </c>
      <c r="AE23" s="116" t="str">
        <f aca="false">IF($B23="","",IF(الموظفون!$Z23&lt;&gt;"",الموظفون!$Z23,cfg_MED)/12*G23/cfg_DAYS_M)</f>
        <v/>
      </c>
      <c r="AF23" s="116" t="str">
        <f aca="false">IF($B23="","",N(الموظفون!$AA23)/12*G23/cfg_DAYS_M)</f>
        <v/>
      </c>
      <c r="AG23" s="159" t="str">
        <f aca="false">IF($B23="","",T23+SUM(Z23:AF23))</f>
        <v/>
      </c>
      <c r="AH23" s="160" t="str">
        <f aca="false">IF($B23="","",MAX(0,IF(OR(الموظفون!$AE23="",الموظفون!$AE23&gt;$F$3),$F$3,الموظفون!$AE23)-الموظفون!$H23+1-SUMIFS('سجل الإجازات والحالات'!$AQ$6:$AQ$505,'سجل الإجازات والحالات'!$B$6:$B$505,$B23))/cfg_DAYS_Y)</f>
        <v/>
      </c>
      <c r="AI23" s="160" t="str">
        <f aca="false">IF($B23="","",MAX(0,IF(OR(الموظفون!$AE23="",الموظفون!$AE23&gt;($E$3-1)),($E$3-1),الموظفون!$AE23)-الموظفون!$H23+1-SUMIFS('سجل الإجازات والحالات'!$AP$6:$AP$505,'سجل الإجازات والحالات'!$B$6:$B$505,$B23))/cfg_DAYS_Y)</f>
        <v/>
      </c>
      <c r="AJ23" s="133" t="str">
        <f aca="false">IF($B23="","",MAX(0,AK23-(SUMIFS('سجل الإجازات والحالات'!$AQ$6:$AQ$505,'سجل الإجازات والحالات'!$B$6:$B$505,$B23)-SUMIFS('سجل الإجازات والحالات'!$AP$6:$AP$505,'سجل الإجازات والحالات'!$B$6:$B$505,$B23))))</f>
        <v/>
      </c>
      <c r="AK23" s="133" t="str">
        <f aca="false">IF($B23="","",MAX(0,IF(OR(الموظفون!$AE23="",الموظفون!$AE23&gt;$F$3),$F$3,الموظفون!$AE23)-MAX($E$3,الموظفون!$H23)+1))</f>
        <v/>
      </c>
      <c r="AL23" s="156" t="str">
        <f aca="false">IF($B23="","",SUMIFS('سجل الإجازات والحالات'!$BC$6:$BC$505,'سجل الإجازات والحالات'!$B$6:$B$505,$B23)+SUMIFS('الحركات الشهرية'!$K$6:$K$1005,'الحركات الشهرية'!$B$6:$B$1005,$B23,'الحركات الشهرية'!$A$6:$A$1005,$C$3))</f>
        <v/>
      </c>
      <c r="AM23" s="116" t="str">
        <f aca="false">IF($B23="","",AL23*الموظفون!$R23/cfg_DAYS_M+S23)</f>
        <v/>
      </c>
      <c r="AN23" s="156" t="str">
        <f aca="false">IF($B23="","",SUMIFS('سجل الإجازات والحالات'!$AE$6:$AE$505,'سجل الإجازات والحالات'!$B$6:$B$505,$B23))</f>
        <v/>
      </c>
    </row>
    <row r="24" customFormat="false" ht="15" hidden="false" customHeight="false" outlineLevel="0" collapsed="false">
      <c r="A24" s="106" t="str">
        <f aca="false">IF($B24="","",الموظفون!$A24)</f>
        <v/>
      </c>
      <c r="B24" s="114" t="str">
        <f aca="false">IF(الموظفون!$B24="","",الموظفون!$B24)</f>
        <v/>
      </c>
      <c r="C24" s="114" t="str">
        <f aca="false">IF($B24="","",الموظفون!$C24)</f>
        <v/>
      </c>
      <c r="D24" s="114" t="str">
        <f aca="false">IF($B24="","",الموظفون!$F24)</f>
        <v/>
      </c>
      <c r="E24" s="114" t="str">
        <f aca="false">IF($B24="","",الموظفون!$E24)</f>
        <v/>
      </c>
      <c r="F24" s="114" t="str">
        <f aca="false">IF($B24="","",IF(AK24=0,IF(AND(الموظفون!$AE24&lt;&gt;"",الموظفون!$AE24&lt;$E$3),"✖ منتهي الخدمة","⏳ لم يباشر"),IF(S24&gt;0,"✈ راتب إجازة مقدم",IF(J24=0,"⛔ بدون راتب هذا الشهر",IF(I24&gt;0,"✈ خصم "&amp;ROUND(I24,2)&amp;" يوم بدون أجر",IF(AL24&gt;0,"🌴 إجازة سنوية "&amp;ROUND(AL24,2)&amp;" يوم",IF(H24&gt;0,"⚠ غياب "&amp;ROUND(H24,2)&amp;" يوم","✔ على رأس العمل")))))))</f>
        <v/>
      </c>
      <c r="G24" s="151" t="str">
        <f aca="false">IF($B24="","",IF(AK24&gt;=DAY($F$3),cfg_DAYS_M,MIN(AK24,cfg_DAYS_M)))</f>
        <v/>
      </c>
      <c r="H24" s="151" t="str">
        <f aca="false">IF($B24="","",SUMIFS('الحركات الشهرية'!$D$6:$D$1005,'الحركات الشهرية'!$B$6:$B$1005,$B24,'الحركات الشهرية'!$A$6:$A$1005,$C$3))</f>
        <v/>
      </c>
      <c r="I24" s="151" t="str">
        <f aca="false">IF($B24="","",MIN(G24,IF(AND(AK24&gt;0,AN24&gt;=AK24),G24,AN24)+SUMIFS('الحركات الشهرية'!$E$6:$E$1005,'الحركات الشهرية'!$B$6:$B$1005,$B24,'الحركات الشهرية'!$A$6:$A$1005,$C$3)))</f>
        <v/>
      </c>
      <c r="J24" s="151" t="str">
        <f aca="false">IF($B24="","",MAX(0,G24-H24-I24))</f>
        <v/>
      </c>
      <c r="K24" s="111" t="str">
        <f aca="false">IF($B24="","",الموظفون!$L24*$J24/cfg_DAYS_M)</f>
        <v/>
      </c>
      <c r="L24" s="111" t="str">
        <f aca="false">IF($B24="","",الموظفون!$M24*$J24/cfg_DAYS_M)</f>
        <v/>
      </c>
      <c r="M24" s="111" t="str">
        <f aca="false">IF($B24="","",الموظفون!$N24*$J24/cfg_DAYS_M)</f>
        <v/>
      </c>
      <c r="N24" s="111" t="str">
        <f aca="false">IF($B24="","",الموظفون!$O24*$J24/cfg_DAYS_M)</f>
        <v/>
      </c>
      <c r="O24" s="151" t="str">
        <f aca="false">IF($B24="","",SUMIFS('الحركات الشهرية'!$F$6:$F$1005,'الحركات الشهرية'!$B$6:$B$1005,$B24,'الحركات الشهرية'!$A$6:$A$1005,$C$3))</f>
        <v/>
      </c>
      <c r="P24" s="111" t="str">
        <f aca="false">IF($B24="","",O24*(الموظفون!$P24+الموظفون!$L24*cfg_OT_P)/cfg_DAYS_M/cfg_HRS)</f>
        <v/>
      </c>
      <c r="Q24" s="111" t="str">
        <f aca="false">IF($B24="","",SUMIFS('الحركات الشهرية'!$G$6:$G$1005,'الحركات الشهرية'!$B$6:$B$1005,$B24,'الحركات الشهرية'!$A$6:$A$1005,$C$3))</f>
        <v/>
      </c>
      <c r="R24" s="111" t="str">
        <f aca="false">IF($B24="","",SUMIFS('الحركات الشهرية'!$H$6:$H$1005,'الحركات الشهرية'!$B$6:$B$1005,$B24,'الحركات الشهرية'!$A$6:$A$1005,$C$3))</f>
        <v/>
      </c>
      <c r="S24" s="111" t="str">
        <f aca="false">IF($B24="","",SUMIFS('سجل الإجازات والحالات'!$N$6:$N$505,'سجل الإجازات والحالات'!$B$6:$B$505,$B24,'سجل الإجازات والحالات'!$O$6:$O$505,$C$3))</f>
        <v/>
      </c>
      <c r="T24" s="152" t="str">
        <f aca="false">IF($B24="","",SUM(K24:N24)+SUM(P24:S24))</f>
        <v/>
      </c>
      <c r="U24" s="111" t="str">
        <f aca="false">IF($B24="","",الموظفون!$S24*IF(E24="سعودي",cfg_G_SE,cfg_G_NE)*G24/cfg_DAYS_M)</f>
        <v/>
      </c>
      <c r="V24" s="111" t="str">
        <f aca="false">IF($B24="","",SUMIFS('الحركات الشهرية'!$I$6:$I$1005,'الحركات الشهرية'!$B$6:$B$1005,$B24,'الحركات الشهرية'!$A$6:$A$1005,$C$3))</f>
        <v/>
      </c>
      <c r="W24" s="111" t="str">
        <f aca="false">IF($B24="","",SUMIFS('الحركات الشهرية'!$J$6:$J$1005,'الحركات الشهرية'!$B$6:$B$1005,$B24,'الحركات الشهرية'!$A$6:$A$1005,$C$3))</f>
        <v/>
      </c>
      <c r="X24" s="111" t="str">
        <f aca="false">IF($B24="","",SUM(U24:W24))</f>
        <v/>
      </c>
      <c r="Y24" s="153" t="str">
        <f aca="false">IF($B24="","",T24-X24)</f>
        <v/>
      </c>
      <c r="Z24" s="111" t="str">
        <f aca="false">IF($B24="","",الموظفون!$S24*IF(E24="سعودي",cfg_G_SR,cfg_G_NR)*G24/cfg_DAYS_M)</f>
        <v/>
      </c>
      <c r="AA24" s="111" t="str">
        <f aca="false">IF($B24="","",الموظفون!$Q24*(cfg_EOS_R1*(MIN(AH24,cfg_EOS_TH)-MIN(AI24,cfg_EOS_TH))+cfg_EOS_R2*(MAX(AH24-cfg_EOS_TH,0)-MAX(AI24-cfg_EOS_TH,0))))</f>
        <v/>
      </c>
      <c r="AB24" s="111" t="str">
        <f aca="false">IF($B24="","",IF(الموظفون!$T24&lt;&gt;"",الموظفون!$T24,IF(AH24&gt;=cfg_LV_TH,cfg_LV_D2,cfg_LV_D1))/cfg_DAYS_Y*AJ24*الموظفون!$R24/cfg_DAYS_M)</f>
        <v/>
      </c>
      <c r="AC24" s="111" t="str">
        <f aca="false">IF($B24="","",IF(AND(الموظفون!$U24="نعم",N(الموظفون!$W24)&gt;0),الموظفون!$V24/الموظفون!$W24*12/cfg_DAYS_Y*AJ24,0))</f>
        <v/>
      </c>
      <c r="AD24" s="111" t="str">
        <f aca="false">IF($B24="","",(IF(الموظفون!$X24&lt;&gt;"",الموظفون!$X24,IF(الموظفون!$E24="غير سعودي",cfg_IQ,0))+IF(الموظفون!$Y24&lt;&gt;"",الموظفون!$Y24,IF(الموظفون!$E24="غير سعودي",cfg_WP,0)))/12*G24/cfg_DAYS_M)</f>
        <v/>
      </c>
      <c r="AE24" s="111" t="str">
        <f aca="false">IF($B24="","",IF(الموظفون!$Z24&lt;&gt;"",الموظفون!$Z24,cfg_MED)/12*G24/cfg_DAYS_M)</f>
        <v/>
      </c>
      <c r="AF24" s="111" t="str">
        <f aca="false">IF($B24="","",N(الموظفون!$AA24)/12*G24/cfg_DAYS_M)</f>
        <v/>
      </c>
      <c r="AG24" s="154" t="str">
        <f aca="false">IF($B24="","",T24+SUM(Z24:AF24))</f>
        <v/>
      </c>
      <c r="AH24" s="155" t="str">
        <f aca="false">IF($B24="","",MAX(0,IF(OR(الموظفون!$AE24="",الموظفون!$AE24&gt;$F$3),$F$3,الموظفون!$AE24)-الموظفون!$H24+1-SUMIFS('سجل الإجازات والحالات'!$AQ$6:$AQ$505,'سجل الإجازات والحالات'!$B$6:$B$505,$B24))/cfg_DAYS_Y)</f>
        <v/>
      </c>
      <c r="AI24" s="155" t="str">
        <f aca="false">IF($B24="","",MAX(0,IF(OR(الموظفون!$AE24="",الموظفون!$AE24&gt;($E$3-1)),($E$3-1),الموظفون!$AE24)-الموظفون!$H24+1-SUMIFS('سجل الإجازات والحالات'!$AP$6:$AP$505,'سجل الإجازات والحالات'!$B$6:$B$505,$B24))/cfg_DAYS_Y)</f>
        <v/>
      </c>
      <c r="AJ24" s="65" t="str">
        <f aca="false">IF($B24="","",MAX(0,AK24-(SUMIFS('سجل الإجازات والحالات'!$AQ$6:$AQ$505,'سجل الإجازات والحالات'!$B$6:$B$505,$B24)-SUMIFS('سجل الإجازات والحالات'!$AP$6:$AP$505,'سجل الإجازات والحالات'!$B$6:$B$505,$B24))))</f>
        <v/>
      </c>
      <c r="AK24" s="65" t="str">
        <f aca="false">IF($B24="","",MAX(0,IF(OR(الموظفون!$AE24="",الموظفون!$AE24&gt;$F$3),$F$3,الموظفون!$AE24)-MAX($E$3,الموظفون!$H24)+1))</f>
        <v/>
      </c>
      <c r="AL24" s="151" t="str">
        <f aca="false">IF($B24="","",SUMIFS('سجل الإجازات والحالات'!$BC$6:$BC$505,'سجل الإجازات والحالات'!$B$6:$B$505,$B24)+SUMIFS('الحركات الشهرية'!$K$6:$K$1005,'الحركات الشهرية'!$B$6:$B$1005,$B24,'الحركات الشهرية'!$A$6:$A$1005,$C$3))</f>
        <v/>
      </c>
      <c r="AM24" s="111" t="str">
        <f aca="false">IF($B24="","",AL24*الموظفون!$R24/cfg_DAYS_M+S24)</f>
        <v/>
      </c>
      <c r="AN24" s="151" t="str">
        <f aca="false">IF($B24="","",SUMIFS('سجل الإجازات والحالات'!$AE$6:$AE$505,'سجل الإجازات والحالات'!$B$6:$B$505,$B24))</f>
        <v/>
      </c>
    </row>
    <row r="25" customFormat="false" ht="15" hidden="false" customHeight="false" outlineLevel="0" collapsed="false">
      <c r="A25" s="115" t="str">
        <f aca="false">IF($B25="","",الموظفون!$A25)</f>
        <v/>
      </c>
      <c r="B25" s="117" t="str">
        <f aca="false">IF(الموظفون!$B25="","",الموظفون!$B25)</f>
        <v/>
      </c>
      <c r="C25" s="117" t="str">
        <f aca="false">IF($B25="","",الموظفون!$C25)</f>
        <v/>
      </c>
      <c r="D25" s="117" t="str">
        <f aca="false">IF($B25="","",الموظفون!$F25)</f>
        <v/>
      </c>
      <c r="E25" s="117" t="str">
        <f aca="false">IF($B25="","",الموظفون!$E25)</f>
        <v/>
      </c>
      <c r="F25" s="117" t="str">
        <f aca="false">IF($B25="","",IF(AK25=0,IF(AND(الموظفون!$AE25&lt;&gt;"",الموظفون!$AE25&lt;$E$3),"✖ منتهي الخدمة","⏳ لم يباشر"),IF(S25&gt;0,"✈ راتب إجازة مقدم",IF(J25=0,"⛔ بدون راتب هذا الشهر",IF(I25&gt;0,"✈ خصم "&amp;ROUND(I25,2)&amp;" يوم بدون أجر",IF(AL25&gt;0,"🌴 إجازة سنوية "&amp;ROUND(AL25,2)&amp;" يوم",IF(H25&gt;0,"⚠ غياب "&amp;ROUND(H25,2)&amp;" يوم","✔ على رأس العمل")))))))</f>
        <v/>
      </c>
      <c r="G25" s="156" t="str">
        <f aca="false">IF($B25="","",IF(AK25&gt;=DAY($F$3),cfg_DAYS_M,MIN(AK25,cfg_DAYS_M)))</f>
        <v/>
      </c>
      <c r="H25" s="156" t="str">
        <f aca="false">IF($B25="","",SUMIFS('الحركات الشهرية'!$D$6:$D$1005,'الحركات الشهرية'!$B$6:$B$1005,$B25,'الحركات الشهرية'!$A$6:$A$1005,$C$3))</f>
        <v/>
      </c>
      <c r="I25" s="156" t="str">
        <f aca="false">IF($B25="","",MIN(G25,IF(AND(AK25&gt;0,AN25&gt;=AK25),G25,AN25)+SUMIFS('الحركات الشهرية'!$E$6:$E$1005,'الحركات الشهرية'!$B$6:$B$1005,$B25,'الحركات الشهرية'!$A$6:$A$1005,$C$3)))</f>
        <v/>
      </c>
      <c r="J25" s="156" t="str">
        <f aca="false">IF($B25="","",MAX(0,G25-H25-I25))</f>
        <v/>
      </c>
      <c r="K25" s="116" t="str">
        <f aca="false">IF($B25="","",الموظفون!$L25*$J25/cfg_DAYS_M)</f>
        <v/>
      </c>
      <c r="L25" s="116" t="str">
        <f aca="false">IF($B25="","",الموظفون!$M25*$J25/cfg_DAYS_M)</f>
        <v/>
      </c>
      <c r="M25" s="116" t="str">
        <f aca="false">IF($B25="","",الموظفون!$N25*$J25/cfg_DAYS_M)</f>
        <v/>
      </c>
      <c r="N25" s="116" t="str">
        <f aca="false">IF($B25="","",الموظفون!$O25*$J25/cfg_DAYS_M)</f>
        <v/>
      </c>
      <c r="O25" s="156" t="str">
        <f aca="false">IF($B25="","",SUMIFS('الحركات الشهرية'!$F$6:$F$1005,'الحركات الشهرية'!$B$6:$B$1005,$B25,'الحركات الشهرية'!$A$6:$A$1005,$C$3))</f>
        <v/>
      </c>
      <c r="P25" s="116" t="str">
        <f aca="false">IF($B25="","",O25*(الموظفون!$P25+الموظفون!$L25*cfg_OT_P)/cfg_DAYS_M/cfg_HRS)</f>
        <v/>
      </c>
      <c r="Q25" s="116" t="str">
        <f aca="false">IF($B25="","",SUMIFS('الحركات الشهرية'!$G$6:$G$1005,'الحركات الشهرية'!$B$6:$B$1005,$B25,'الحركات الشهرية'!$A$6:$A$1005,$C$3))</f>
        <v/>
      </c>
      <c r="R25" s="116" t="str">
        <f aca="false">IF($B25="","",SUMIFS('الحركات الشهرية'!$H$6:$H$1005,'الحركات الشهرية'!$B$6:$B$1005,$B25,'الحركات الشهرية'!$A$6:$A$1005,$C$3))</f>
        <v/>
      </c>
      <c r="S25" s="116" t="str">
        <f aca="false">IF($B25="","",SUMIFS('سجل الإجازات والحالات'!$N$6:$N$505,'سجل الإجازات والحالات'!$B$6:$B$505,$B25,'سجل الإجازات والحالات'!$O$6:$O$505,$C$3))</f>
        <v/>
      </c>
      <c r="T25" s="157" t="str">
        <f aca="false">IF($B25="","",SUM(K25:N25)+SUM(P25:S25))</f>
        <v/>
      </c>
      <c r="U25" s="116" t="str">
        <f aca="false">IF($B25="","",الموظفون!$S25*IF(E25="سعودي",cfg_G_SE,cfg_G_NE)*G25/cfg_DAYS_M)</f>
        <v/>
      </c>
      <c r="V25" s="116" t="str">
        <f aca="false">IF($B25="","",SUMIFS('الحركات الشهرية'!$I$6:$I$1005,'الحركات الشهرية'!$B$6:$B$1005,$B25,'الحركات الشهرية'!$A$6:$A$1005,$C$3))</f>
        <v/>
      </c>
      <c r="W25" s="116" t="str">
        <f aca="false">IF($B25="","",SUMIFS('الحركات الشهرية'!$J$6:$J$1005,'الحركات الشهرية'!$B$6:$B$1005,$B25,'الحركات الشهرية'!$A$6:$A$1005,$C$3))</f>
        <v/>
      </c>
      <c r="X25" s="116" t="str">
        <f aca="false">IF($B25="","",SUM(U25:W25))</f>
        <v/>
      </c>
      <c r="Y25" s="158" t="str">
        <f aca="false">IF($B25="","",T25-X25)</f>
        <v/>
      </c>
      <c r="Z25" s="116" t="str">
        <f aca="false">IF($B25="","",الموظفون!$S25*IF(E25="سعودي",cfg_G_SR,cfg_G_NR)*G25/cfg_DAYS_M)</f>
        <v/>
      </c>
      <c r="AA25" s="116" t="str">
        <f aca="false">IF($B25="","",الموظفون!$Q25*(cfg_EOS_R1*(MIN(AH25,cfg_EOS_TH)-MIN(AI25,cfg_EOS_TH))+cfg_EOS_R2*(MAX(AH25-cfg_EOS_TH,0)-MAX(AI25-cfg_EOS_TH,0))))</f>
        <v/>
      </c>
      <c r="AB25" s="116" t="str">
        <f aca="false">IF($B25="","",IF(الموظفون!$T25&lt;&gt;"",الموظفون!$T25,IF(AH25&gt;=cfg_LV_TH,cfg_LV_D2,cfg_LV_D1))/cfg_DAYS_Y*AJ25*الموظفون!$R25/cfg_DAYS_M)</f>
        <v/>
      </c>
      <c r="AC25" s="116" t="str">
        <f aca="false">IF($B25="","",IF(AND(الموظفون!$U25="نعم",N(الموظفون!$W25)&gt;0),الموظفون!$V25/الموظفون!$W25*12/cfg_DAYS_Y*AJ25,0))</f>
        <v/>
      </c>
      <c r="AD25" s="116" t="str">
        <f aca="false">IF($B25="","",(IF(الموظفون!$X25&lt;&gt;"",الموظفون!$X25,IF(الموظفون!$E25="غير سعودي",cfg_IQ,0))+IF(الموظفون!$Y25&lt;&gt;"",الموظفون!$Y25,IF(الموظفون!$E25="غير سعودي",cfg_WP,0)))/12*G25/cfg_DAYS_M)</f>
        <v/>
      </c>
      <c r="AE25" s="116" t="str">
        <f aca="false">IF($B25="","",IF(الموظفون!$Z25&lt;&gt;"",الموظفون!$Z25,cfg_MED)/12*G25/cfg_DAYS_M)</f>
        <v/>
      </c>
      <c r="AF25" s="116" t="str">
        <f aca="false">IF($B25="","",N(الموظفون!$AA25)/12*G25/cfg_DAYS_M)</f>
        <v/>
      </c>
      <c r="AG25" s="159" t="str">
        <f aca="false">IF($B25="","",T25+SUM(Z25:AF25))</f>
        <v/>
      </c>
      <c r="AH25" s="160" t="str">
        <f aca="false">IF($B25="","",MAX(0,IF(OR(الموظفون!$AE25="",الموظفون!$AE25&gt;$F$3),$F$3,الموظفون!$AE25)-الموظفون!$H25+1-SUMIFS('سجل الإجازات والحالات'!$AQ$6:$AQ$505,'سجل الإجازات والحالات'!$B$6:$B$505,$B25))/cfg_DAYS_Y)</f>
        <v/>
      </c>
      <c r="AI25" s="160" t="str">
        <f aca="false">IF($B25="","",MAX(0,IF(OR(الموظفون!$AE25="",الموظفون!$AE25&gt;($E$3-1)),($E$3-1),الموظفون!$AE25)-الموظفون!$H25+1-SUMIFS('سجل الإجازات والحالات'!$AP$6:$AP$505,'سجل الإجازات والحالات'!$B$6:$B$505,$B25))/cfg_DAYS_Y)</f>
        <v/>
      </c>
      <c r="AJ25" s="133" t="str">
        <f aca="false">IF($B25="","",MAX(0,AK25-(SUMIFS('سجل الإجازات والحالات'!$AQ$6:$AQ$505,'سجل الإجازات والحالات'!$B$6:$B$505,$B25)-SUMIFS('سجل الإجازات والحالات'!$AP$6:$AP$505,'سجل الإجازات والحالات'!$B$6:$B$505,$B25))))</f>
        <v/>
      </c>
      <c r="AK25" s="133" t="str">
        <f aca="false">IF($B25="","",MAX(0,IF(OR(الموظفون!$AE25="",الموظفون!$AE25&gt;$F$3),$F$3,الموظفون!$AE25)-MAX($E$3,الموظفون!$H25)+1))</f>
        <v/>
      </c>
      <c r="AL25" s="156" t="str">
        <f aca="false">IF($B25="","",SUMIFS('سجل الإجازات والحالات'!$BC$6:$BC$505,'سجل الإجازات والحالات'!$B$6:$B$505,$B25)+SUMIFS('الحركات الشهرية'!$K$6:$K$1005,'الحركات الشهرية'!$B$6:$B$1005,$B25,'الحركات الشهرية'!$A$6:$A$1005,$C$3))</f>
        <v/>
      </c>
      <c r="AM25" s="116" t="str">
        <f aca="false">IF($B25="","",AL25*الموظفون!$R25/cfg_DAYS_M+S25)</f>
        <v/>
      </c>
      <c r="AN25" s="156" t="str">
        <f aca="false">IF($B25="","",SUMIFS('سجل الإجازات والحالات'!$AE$6:$AE$505,'سجل الإجازات والحالات'!$B$6:$B$505,$B25))</f>
        <v/>
      </c>
    </row>
    <row r="26" customFormat="false" ht="15" hidden="false" customHeight="false" outlineLevel="0" collapsed="false">
      <c r="A26" s="106" t="str">
        <f aca="false">IF($B26="","",الموظفون!$A26)</f>
        <v/>
      </c>
      <c r="B26" s="114" t="str">
        <f aca="false">IF(الموظفون!$B26="","",الموظفون!$B26)</f>
        <v/>
      </c>
      <c r="C26" s="114" t="str">
        <f aca="false">IF($B26="","",الموظفون!$C26)</f>
        <v/>
      </c>
      <c r="D26" s="114" t="str">
        <f aca="false">IF($B26="","",الموظفون!$F26)</f>
        <v/>
      </c>
      <c r="E26" s="114" t="str">
        <f aca="false">IF($B26="","",الموظفون!$E26)</f>
        <v/>
      </c>
      <c r="F26" s="114" t="str">
        <f aca="false">IF($B26="","",IF(AK26=0,IF(AND(الموظفون!$AE26&lt;&gt;"",الموظفون!$AE26&lt;$E$3),"✖ منتهي الخدمة","⏳ لم يباشر"),IF(S26&gt;0,"✈ راتب إجازة مقدم",IF(J26=0,"⛔ بدون راتب هذا الشهر",IF(I26&gt;0,"✈ خصم "&amp;ROUND(I26,2)&amp;" يوم بدون أجر",IF(AL26&gt;0,"🌴 إجازة سنوية "&amp;ROUND(AL26,2)&amp;" يوم",IF(H26&gt;0,"⚠ غياب "&amp;ROUND(H26,2)&amp;" يوم","✔ على رأس العمل")))))))</f>
        <v/>
      </c>
      <c r="G26" s="151" t="str">
        <f aca="false">IF($B26="","",IF(AK26&gt;=DAY($F$3),cfg_DAYS_M,MIN(AK26,cfg_DAYS_M)))</f>
        <v/>
      </c>
      <c r="H26" s="151" t="str">
        <f aca="false">IF($B26="","",SUMIFS('الحركات الشهرية'!$D$6:$D$1005,'الحركات الشهرية'!$B$6:$B$1005,$B26,'الحركات الشهرية'!$A$6:$A$1005,$C$3))</f>
        <v/>
      </c>
      <c r="I26" s="151" t="str">
        <f aca="false">IF($B26="","",MIN(G26,IF(AND(AK26&gt;0,AN26&gt;=AK26),G26,AN26)+SUMIFS('الحركات الشهرية'!$E$6:$E$1005,'الحركات الشهرية'!$B$6:$B$1005,$B26,'الحركات الشهرية'!$A$6:$A$1005,$C$3)))</f>
        <v/>
      </c>
      <c r="J26" s="151" t="str">
        <f aca="false">IF($B26="","",MAX(0,G26-H26-I26))</f>
        <v/>
      </c>
      <c r="K26" s="111" t="str">
        <f aca="false">IF($B26="","",الموظفون!$L26*$J26/cfg_DAYS_M)</f>
        <v/>
      </c>
      <c r="L26" s="111" t="str">
        <f aca="false">IF($B26="","",الموظفون!$M26*$J26/cfg_DAYS_M)</f>
        <v/>
      </c>
      <c r="M26" s="111" t="str">
        <f aca="false">IF($B26="","",الموظفون!$N26*$J26/cfg_DAYS_M)</f>
        <v/>
      </c>
      <c r="N26" s="111" t="str">
        <f aca="false">IF($B26="","",الموظفون!$O26*$J26/cfg_DAYS_M)</f>
        <v/>
      </c>
      <c r="O26" s="151" t="str">
        <f aca="false">IF($B26="","",SUMIFS('الحركات الشهرية'!$F$6:$F$1005,'الحركات الشهرية'!$B$6:$B$1005,$B26,'الحركات الشهرية'!$A$6:$A$1005,$C$3))</f>
        <v/>
      </c>
      <c r="P26" s="111" t="str">
        <f aca="false">IF($B26="","",O26*(الموظفون!$P26+الموظفون!$L26*cfg_OT_P)/cfg_DAYS_M/cfg_HRS)</f>
        <v/>
      </c>
      <c r="Q26" s="111" t="str">
        <f aca="false">IF($B26="","",SUMIFS('الحركات الشهرية'!$G$6:$G$1005,'الحركات الشهرية'!$B$6:$B$1005,$B26,'الحركات الشهرية'!$A$6:$A$1005,$C$3))</f>
        <v/>
      </c>
      <c r="R26" s="111" t="str">
        <f aca="false">IF($B26="","",SUMIFS('الحركات الشهرية'!$H$6:$H$1005,'الحركات الشهرية'!$B$6:$B$1005,$B26,'الحركات الشهرية'!$A$6:$A$1005,$C$3))</f>
        <v/>
      </c>
      <c r="S26" s="111" t="str">
        <f aca="false">IF($B26="","",SUMIFS('سجل الإجازات والحالات'!$N$6:$N$505,'سجل الإجازات والحالات'!$B$6:$B$505,$B26,'سجل الإجازات والحالات'!$O$6:$O$505,$C$3))</f>
        <v/>
      </c>
      <c r="T26" s="152" t="str">
        <f aca="false">IF($B26="","",SUM(K26:N26)+SUM(P26:S26))</f>
        <v/>
      </c>
      <c r="U26" s="111" t="str">
        <f aca="false">IF($B26="","",الموظفون!$S26*IF(E26="سعودي",cfg_G_SE,cfg_G_NE)*G26/cfg_DAYS_M)</f>
        <v/>
      </c>
      <c r="V26" s="111" t="str">
        <f aca="false">IF($B26="","",SUMIFS('الحركات الشهرية'!$I$6:$I$1005,'الحركات الشهرية'!$B$6:$B$1005,$B26,'الحركات الشهرية'!$A$6:$A$1005,$C$3))</f>
        <v/>
      </c>
      <c r="W26" s="111" t="str">
        <f aca="false">IF($B26="","",SUMIFS('الحركات الشهرية'!$J$6:$J$1005,'الحركات الشهرية'!$B$6:$B$1005,$B26,'الحركات الشهرية'!$A$6:$A$1005,$C$3))</f>
        <v/>
      </c>
      <c r="X26" s="111" t="str">
        <f aca="false">IF($B26="","",SUM(U26:W26))</f>
        <v/>
      </c>
      <c r="Y26" s="153" t="str">
        <f aca="false">IF($B26="","",T26-X26)</f>
        <v/>
      </c>
      <c r="Z26" s="111" t="str">
        <f aca="false">IF($B26="","",الموظفون!$S26*IF(E26="سعودي",cfg_G_SR,cfg_G_NR)*G26/cfg_DAYS_M)</f>
        <v/>
      </c>
      <c r="AA26" s="111" t="str">
        <f aca="false">IF($B26="","",الموظفون!$Q26*(cfg_EOS_R1*(MIN(AH26,cfg_EOS_TH)-MIN(AI26,cfg_EOS_TH))+cfg_EOS_R2*(MAX(AH26-cfg_EOS_TH,0)-MAX(AI26-cfg_EOS_TH,0))))</f>
        <v/>
      </c>
      <c r="AB26" s="111" t="str">
        <f aca="false">IF($B26="","",IF(الموظفون!$T26&lt;&gt;"",الموظفون!$T26,IF(AH26&gt;=cfg_LV_TH,cfg_LV_D2,cfg_LV_D1))/cfg_DAYS_Y*AJ26*الموظفون!$R26/cfg_DAYS_M)</f>
        <v/>
      </c>
      <c r="AC26" s="111" t="str">
        <f aca="false">IF($B26="","",IF(AND(الموظفون!$U26="نعم",N(الموظفون!$W26)&gt;0),الموظفون!$V26/الموظفون!$W26*12/cfg_DAYS_Y*AJ26,0))</f>
        <v/>
      </c>
      <c r="AD26" s="111" t="str">
        <f aca="false">IF($B26="","",(IF(الموظفون!$X26&lt;&gt;"",الموظفون!$X26,IF(الموظفون!$E26="غير سعودي",cfg_IQ,0))+IF(الموظفون!$Y26&lt;&gt;"",الموظفون!$Y26,IF(الموظفون!$E26="غير سعودي",cfg_WP,0)))/12*G26/cfg_DAYS_M)</f>
        <v/>
      </c>
      <c r="AE26" s="111" t="str">
        <f aca="false">IF($B26="","",IF(الموظفون!$Z26&lt;&gt;"",الموظفون!$Z26,cfg_MED)/12*G26/cfg_DAYS_M)</f>
        <v/>
      </c>
      <c r="AF26" s="111" t="str">
        <f aca="false">IF($B26="","",N(الموظفون!$AA26)/12*G26/cfg_DAYS_M)</f>
        <v/>
      </c>
      <c r="AG26" s="154" t="str">
        <f aca="false">IF($B26="","",T26+SUM(Z26:AF26))</f>
        <v/>
      </c>
      <c r="AH26" s="155" t="str">
        <f aca="false">IF($B26="","",MAX(0,IF(OR(الموظفون!$AE26="",الموظفون!$AE26&gt;$F$3),$F$3,الموظفون!$AE26)-الموظفون!$H26+1-SUMIFS('سجل الإجازات والحالات'!$AQ$6:$AQ$505,'سجل الإجازات والحالات'!$B$6:$B$505,$B26))/cfg_DAYS_Y)</f>
        <v/>
      </c>
      <c r="AI26" s="155" t="str">
        <f aca="false">IF($B26="","",MAX(0,IF(OR(الموظفون!$AE26="",الموظفون!$AE26&gt;($E$3-1)),($E$3-1),الموظفون!$AE26)-الموظفون!$H26+1-SUMIFS('سجل الإجازات والحالات'!$AP$6:$AP$505,'سجل الإجازات والحالات'!$B$6:$B$505,$B26))/cfg_DAYS_Y)</f>
        <v/>
      </c>
      <c r="AJ26" s="65" t="str">
        <f aca="false">IF($B26="","",MAX(0,AK26-(SUMIFS('سجل الإجازات والحالات'!$AQ$6:$AQ$505,'سجل الإجازات والحالات'!$B$6:$B$505,$B26)-SUMIFS('سجل الإجازات والحالات'!$AP$6:$AP$505,'سجل الإجازات والحالات'!$B$6:$B$505,$B26))))</f>
        <v/>
      </c>
      <c r="AK26" s="65" t="str">
        <f aca="false">IF($B26="","",MAX(0,IF(OR(الموظفون!$AE26="",الموظفون!$AE26&gt;$F$3),$F$3,الموظفون!$AE26)-MAX($E$3,الموظفون!$H26)+1))</f>
        <v/>
      </c>
      <c r="AL26" s="151" t="str">
        <f aca="false">IF($B26="","",SUMIFS('سجل الإجازات والحالات'!$BC$6:$BC$505,'سجل الإجازات والحالات'!$B$6:$B$505,$B26)+SUMIFS('الحركات الشهرية'!$K$6:$K$1005,'الحركات الشهرية'!$B$6:$B$1005,$B26,'الحركات الشهرية'!$A$6:$A$1005,$C$3))</f>
        <v/>
      </c>
      <c r="AM26" s="111" t="str">
        <f aca="false">IF($B26="","",AL26*الموظفون!$R26/cfg_DAYS_M+S26)</f>
        <v/>
      </c>
      <c r="AN26" s="151" t="str">
        <f aca="false">IF($B26="","",SUMIFS('سجل الإجازات والحالات'!$AE$6:$AE$505,'سجل الإجازات والحالات'!$B$6:$B$505,$B26))</f>
        <v/>
      </c>
    </row>
    <row r="27" customFormat="false" ht="15" hidden="false" customHeight="false" outlineLevel="0" collapsed="false">
      <c r="A27" s="115" t="str">
        <f aca="false">IF($B27="","",الموظفون!$A27)</f>
        <v/>
      </c>
      <c r="B27" s="117" t="str">
        <f aca="false">IF(الموظفون!$B27="","",الموظفون!$B27)</f>
        <v/>
      </c>
      <c r="C27" s="117" t="str">
        <f aca="false">IF($B27="","",الموظفون!$C27)</f>
        <v/>
      </c>
      <c r="D27" s="117" t="str">
        <f aca="false">IF($B27="","",الموظفون!$F27)</f>
        <v/>
      </c>
      <c r="E27" s="117" t="str">
        <f aca="false">IF($B27="","",الموظفون!$E27)</f>
        <v/>
      </c>
      <c r="F27" s="117" t="str">
        <f aca="false">IF($B27="","",IF(AK27=0,IF(AND(الموظفون!$AE27&lt;&gt;"",الموظفون!$AE27&lt;$E$3),"✖ منتهي الخدمة","⏳ لم يباشر"),IF(S27&gt;0,"✈ راتب إجازة مقدم",IF(J27=0,"⛔ بدون راتب هذا الشهر",IF(I27&gt;0,"✈ خصم "&amp;ROUND(I27,2)&amp;" يوم بدون أجر",IF(AL27&gt;0,"🌴 إجازة سنوية "&amp;ROUND(AL27,2)&amp;" يوم",IF(H27&gt;0,"⚠ غياب "&amp;ROUND(H27,2)&amp;" يوم","✔ على رأس العمل")))))))</f>
        <v/>
      </c>
      <c r="G27" s="156" t="str">
        <f aca="false">IF($B27="","",IF(AK27&gt;=DAY($F$3),cfg_DAYS_M,MIN(AK27,cfg_DAYS_M)))</f>
        <v/>
      </c>
      <c r="H27" s="156" t="str">
        <f aca="false">IF($B27="","",SUMIFS('الحركات الشهرية'!$D$6:$D$1005,'الحركات الشهرية'!$B$6:$B$1005,$B27,'الحركات الشهرية'!$A$6:$A$1005,$C$3))</f>
        <v/>
      </c>
      <c r="I27" s="156" t="str">
        <f aca="false">IF($B27="","",MIN(G27,IF(AND(AK27&gt;0,AN27&gt;=AK27),G27,AN27)+SUMIFS('الحركات الشهرية'!$E$6:$E$1005,'الحركات الشهرية'!$B$6:$B$1005,$B27,'الحركات الشهرية'!$A$6:$A$1005,$C$3)))</f>
        <v/>
      </c>
      <c r="J27" s="156" t="str">
        <f aca="false">IF($B27="","",MAX(0,G27-H27-I27))</f>
        <v/>
      </c>
      <c r="K27" s="116" t="str">
        <f aca="false">IF($B27="","",الموظفون!$L27*$J27/cfg_DAYS_M)</f>
        <v/>
      </c>
      <c r="L27" s="116" t="str">
        <f aca="false">IF($B27="","",الموظفون!$M27*$J27/cfg_DAYS_M)</f>
        <v/>
      </c>
      <c r="M27" s="116" t="str">
        <f aca="false">IF($B27="","",الموظفون!$N27*$J27/cfg_DAYS_M)</f>
        <v/>
      </c>
      <c r="N27" s="116" t="str">
        <f aca="false">IF($B27="","",الموظفون!$O27*$J27/cfg_DAYS_M)</f>
        <v/>
      </c>
      <c r="O27" s="156" t="str">
        <f aca="false">IF($B27="","",SUMIFS('الحركات الشهرية'!$F$6:$F$1005,'الحركات الشهرية'!$B$6:$B$1005,$B27,'الحركات الشهرية'!$A$6:$A$1005,$C$3))</f>
        <v/>
      </c>
      <c r="P27" s="116" t="str">
        <f aca="false">IF($B27="","",O27*(الموظفون!$P27+الموظفون!$L27*cfg_OT_P)/cfg_DAYS_M/cfg_HRS)</f>
        <v/>
      </c>
      <c r="Q27" s="116" t="str">
        <f aca="false">IF($B27="","",SUMIFS('الحركات الشهرية'!$G$6:$G$1005,'الحركات الشهرية'!$B$6:$B$1005,$B27,'الحركات الشهرية'!$A$6:$A$1005,$C$3))</f>
        <v/>
      </c>
      <c r="R27" s="116" t="str">
        <f aca="false">IF($B27="","",SUMIFS('الحركات الشهرية'!$H$6:$H$1005,'الحركات الشهرية'!$B$6:$B$1005,$B27,'الحركات الشهرية'!$A$6:$A$1005,$C$3))</f>
        <v/>
      </c>
      <c r="S27" s="116" t="str">
        <f aca="false">IF($B27="","",SUMIFS('سجل الإجازات والحالات'!$N$6:$N$505,'سجل الإجازات والحالات'!$B$6:$B$505,$B27,'سجل الإجازات والحالات'!$O$6:$O$505,$C$3))</f>
        <v/>
      </c>
      <c r="T27" s="157" t="str">
        <f aca="false">IF($B27="","",SUM(K27:N27)+SUM(P27:S27))</f>
        <v/>
      </c>
      <c r="U27" s="116" t="str">
        <f aca="false">IF($B27="","",الموظفون!$S27*IF(E27="سعودي",cfg_G_SE,cfg_G_NE)*G27/cfg_DAYS_M)</f>
        <v/>
      </c>
      <c r="V27" s="116" t="str">
        <f aca="false">IF($B27="","",SUMIFS('الحركات الشهرية'!$I$6:$I$1005,'الحركات الشهرية'!$B$6:$B$1005,$B27,'الحركات الشهرية'!$A$6:$A$1005,$C$3))</f>
        <v/>
      </c>
      <c r="W27" s="116" t="str">
        <f aca="false">IF($B27="","",SUMIFS('الحركات الشهرية'!$J$6:$J$1005,'الحركات الشهرية'!$B$6:$B$1005,$B27,'الحركات الشهرية'!$A$6:$A$1005,$C$3))</f>
        <v/>
      </c>
      <c r="X27" s="116" t="str">
        <f aca="false">IF($B27="","",SUM(U27:W27))</f>
        <v/>
      </c>
      <c r="Y27" s="158" t="str">
        <f aca="false">IF($B27="","",T27-X27)</f>
        <v/>
      </c>
      <c r="Z27" s="116" t="str">
        <f aca="false">IF($B27="","",الموظفون!$S27*IF(E27="سعودي",cfg_G_SR,cfg_G_NR)*G27/cfg_DAYS_M)</f>
        <v/>
      </c>
      <c r="AA27" s="116" t="str">
        <f aca="false">IF($B27="","",الموظفون!$Q27*(cfg_EOS_R1*(MIN(AH27,cfg_EOS_TH)-MIN(AI27,cfg_EOS_TH))+cfg_EOS_R2*(MAX(AH27-cfg_EOS_TH,0)-MAX(AI27-cfg_EOS_TH,0))))</f>
        <v/>
      </c>
      <c r="AB27" s="116" t="str">
        <f aca="false">IF($B27="","",IF(الموظفون!$T27&lt;&gt;"",الموظفون!$T27,IF(AH27&gt;=cfg_LV_TH,cfg_LV_D2,cfg_LV_D1))/cfg_DAYS_Y*AJ27*الموظفون!$R27/cfg_DAYS_M)</f>
        <v/>
      </c>
      <c r="AC27" s="116" t="str">
        <f aca="false">IF($B27="","",IF(AND(الموظفون!$U27="نعم",N(الموظفون!$W27)&gt;0),الموظفون!$V27/الموظفون!$W27*12/cfg_DAYS_Y*AJ27,0))</f>
        <v/>
      </c>
      <c r="AD27" s="116" t="str">
        <f aca="false">IF($B27="","",(IF(الموظفون!$X27&lt;&gt;"",الموظفون!$X27,IF(الموظفون!$E27="غير سعودي",cfg_IQ,0))+IF(الموظفون!$Y27&lt;&gt;"",الموظفون!$Y27,IF(الموظفون!$E27="غير سعودي",cfg_WP,0)))/12*G27/cfg_DAYS_M)</f>
        <v/>
      </c>
      <c r="AE27" s="116" t="str">
        <f aca="false">IF($B27="","",IF(الموظفون!$Z27&lt;&gt;"",الموظفون!$Z27,cfg_MED)/12*G27/cfg_DAYS_M)</f>
        <v/>
      </c>
      <c r="AF27" s="116" t="str">
        <f aca="false">IF($B27="","",N(الموظفون!$AA27)/12*G27/cfg_DAYS_M)</f>
        <v/>
      </c>
      <c r="AG27" s="159" t="str">
        <f aca="false">IF($B27="","",T27+SUM(Z27:AF27))</f>
        <v/>
      </c>
      <c r="AH27" s="160" t="str">
        <f aca="false">IF($B27="","",MAX(0,IF(OR(الموظفون!$AE27="",الموظفون!$AE27&gt;$F$3),$F$3,الموظفون!$AE27)-الموظفون!$H27+1-SUMIFS('سجل الإجازات والحالات'!$AQ$6:$AQ$505,'سجل الإجازات والحالات'!$B$6:$B$505,$B27))/cfg_DAYS_Y)</f>
        <v/>
      </c>
      <c r="AI27" s="160" t="str">
        <f aca="false">IF($B27="","",MAX(0,IF(OR(الموظفون!$AE27="",الموظفون!$AE27&gt;($E$3-1)),($E$3-1),الموظفون!$AE27)-الموظفون!$H27+1-SUMIFS('سجل الإجازات والحالات'!$AP$6:$AP$505,'سجل الإجازات والحالات'!$B$6:$B$505,$B27))/cfg_DAYS_Y)</f>
        <v/>
      </c>
      <c r="AJ27" s="133" t="str">
        <f aca="false">IF($B27="","",MAX(0,AK27-(SUMIFS('سجل الإجازات والحالات'!$AQ$6:$AQ$505,'سجل الإجازات والحالات'!$B$6:$B$505,$B27)-SUMIFS('سجل الإجازات والحالات'!$AP$6:$AP$505,'سجل الإجازات والحالات'!$B$6:$B$505,$B27))))</f>
        <v/>
      </c>
      <c r="AK27" s="133" t="str">
        <f aca="false">IF($B27="","",MAX(0,IF(OR(الموظفون!$AE27="",الموظفون!$AE27&gt;$F$3),$F$3,الموظفون!$AE27)-MAX($E$3,الموظفون!$H27)+1))</f>
        <v/>
      </c>
      <c r="AL27" s="156" t="str">
        <f aca="false">IF($B27="","",SUMIFS('سجل الإجازات والحالات'!$BC$6:$BC$505,'سجل الإجازات والحالات'!$B$6:$B$505,$B27)+SUMIFS('الحركات الشهرية'!$K$6:$K$1005,'الحركات الشهرية'!$B$6:$B$1005,$B27,'الحركات الشهرية'!$A$6:$A$1005,$C$3))</f>
        <v/>
      </c>
      <c r="AM27" s="116" t="str">
        <f aca="false">IF($B27="","",AL27*الموظفون!$R27/cfg_DAYS_M+S27)</f>
        <v/>
      </c>
      <c r="AN27" s="156" t="str">
        <f aca="false">IF($B27="","",SUMIFS('سجل الإجازات والحالات'!$AE$6:$AE$505,'سجل الإجازات والحالات'!$B$6:$B$505,$B27))</f>
        <v/>
      </c>
    </row>
    <row r="28" customFormat="false" ht="15" hidden="false" customHeight="false" outlineLevel="0" collapsed="false">
      <c r="A28" s="106" t="str">
        <f aca="false">IF($B28="","",الموظفون!$A28)</f>
        <v/>
      </c>
      <c r="B28" s="114" t="str">
        <f aca="false">IF(الموظفون!$B28="","",الموظفون!$B28)</f>
        <v/>
      </c>
      <c r="C28" s="114" t="str">
        <f aca="false">IF($B28="","",الموظفون!$C28)</f>
        <v/>
      </c>
      <c r="D28" s="114" t="str">
        <f aca="false">IF($B28="","",الموظفون!$F28)</f>
        <v/>
      </c>
      <c r="E28" s="114" t="str">
        <f aca="false">IF($B28="","",الموظفون!$E28)</f>
        <v/>
      </c>
      <c r="F28" s="114" t="str">
        <f aca="false">IF($B28="","",IF(AK28=0,IF(AND(الموظفون!$AE28&lt;&gt;"",الموظفون!$AE28&lt;$E$3),"✖ منتهي الخدمة","⏳ لم يباشر"),IF(S28&gt;0,"✈ راتب إجازة مقدم",IF(J28=0,"⛔ بدون راتب هذا الشهر",IF(I28&gt;0,"✈ خصم "&amp;ROUND(I28,2)&amp;" يوم بدون أجر",IF(AL28&gt;0,"🌴 إجازة سنوية "&amp;ROUND(AL28,2)&amp;" يوم",IF(H28&gt;0,"⚠ غياب "&amp;ROUND(H28,2)&amp;" يوم","✔ على رأس العمل")))))))</f>
        <v/>
      </c>
      <c r="G28" s="151" t="str">
        <f aca="false">IF($B28="","",IF(AK28&gt;=DAY($F$3),cfg_DAYS_M,MIN(AK28,cfg_DAYS_M)))</f>
        <v/>
      </c>
      <c r="H28" s="151" t="str">
        <f aca="false">IF($B28="","",SUMIFS('الحركات الشهرية'!$D$6:$D$1005,'الحركات الشهرية'!$B$6:$B$1005,$B28,'الحركات الشهرية'!$A$6:$A$1005,$C$3))</f>
        <v/>
      </c>
      <c r="I28" s="151" t="str">
        <f aca="false">IF($B28="","",MIN(G28,IF(AND(AK28&gt;0,AN28&gt;=AK28),G28,AN28)+SUMIFS('الحركات الشهرية'!$E$6:$E$1005,'الحركات الشهرية'!$B$6:$B$1005,$B28,'الحركات الشهرية'!$A$6:$A$1005,$C$3)))</f>
        <v/>
      </c>
      <c r="J28" s="151" t="str">
        <f aca="false">IF($B28="","",MAX(0,G28-H28-I28))</f>
        <v/>
      </c>
      <c r="K28" s="111" t="str">
        <f aca="false">IF($B28="","",الموظفون!$L28*$J28/cfg_DAYS_M)</f>
        <v/>
      </c>
      <c r="L28" s="111" t="str">
        <f aca="false">IF($B28="","",الموظفون!$M28*$J28/cfg_DAYS_M)</f>
        <v/>
      </c>
      <c r="M28" s="111" t="str">
        <f aca="false">IF($B28="","",الموظفون!$N28*$J28/cfg_DAYS_M)</f>
        <v/>
      </c>
      <c r="N28" s="111" t="str">
        <f aca="false">IF($B28="","",الموظفون!$O28*$J28/cfg_DAYS_M)</f>
        <v/>
      </c>
      <c r="O28" s="151" t="str">
        <f aca="false">IF($B28="","",SUMIFS('الحركات الشهرية'!$F$6:$F$1005,'الحركات الشهرية'!$B$6:$B$1005,$B28,'الحركات الشهرية'!$A$6:$A$1005,$C$3))</f>
        <v/>
      </c>
      <c r="P28" s="111" t="str">
        <f aca="false">IF($B28="","",O28*(الموظفون!$P28+الموظفون!$L28*cfg_OT_P)/cfg_DAYS_M/cfg_HRS)</f>
        <v/>
      </c>
      <c r="Q28" s="111" t="str">
        <f aca="false">IF($B28="","",SUMIFS('الحركات الشهرية'!$G$6:$G$1005,'الحركات الشهرية'!$B$6:$B$1005,$B28,'الحركات الشهرية'!$A$6:$A$1005,$C$3))</f>
        <v/>
      </c>
      <c r="R28" s="111" t="str">
        <f aca="false">IF($B28="","",SUMIFS('الحركات الشهرية'!$H$6:$H$1005,'الحركات الشهرية'!$B$6:$B$1005,$B28,'الحركات الشهرية'!$A$6:$A$1005,$C$3))</f>
        <v/>
      </c>
      <c r="S28" s="111" t="str">
        <f aca="false">IF($B28="","",SUMIFS('سجل الإجازات والحالات'!$N$6:$N$505,'سجل الإجازات والحالات'!$B$6:$B$505,$B28,'سجل الإجازات والحالات'!$O$6:$O$505,$C$3))</f>
        <v/>
      </c>
      <c r="T28" s="152" t="str">
        <f aca="false">IF($B28="","",SUM(K28:N28)+SUM(P28:S28))</f>
        <v/>
      </c>
      <c r="U28" s="111" t="str">
        <f aca="false">IF($B28="","",الموظفون!$S28*IF(E28="سعودي",cfg_G_SE,cfg_G_NE)*G28/cfg_DAYS_M)</f>
        <v/>
      </c>
      <c r="V28" s="111" t="str">
        <f aca="false">IF($B28="","",SUMIFS('الحركات الشهرية'!$I$6:$I$1005,'الحركات الشهرية'!$B$6:$B$1005,$B28,'الحركات الشهرية'!$A$6:$A$1005,$C$3))</f>
        <v/>
      </c>
      <c r="W28" s="111" t="str">
        <f aca="false">IF($B28="","",SUMIFS('الحركات الشهرية'!$J$6:$J$1005,'الحركات الشهرية'!$B$6:$B$1005,$B28,'الحركات الشهرية'!$A$6:$A$1005,$C$3))</f>
        <v/>
      </c>
      <c r="X28" s="111" t="str">
        <f aca="false">IF($B28="","",SUM(U28:W28))</f>
        <v/>
      </c>
      <c r="Y28" s="153" t="str">
        <f aca="false">IF($B28="","",T28-X28)</f>
        <v/>
      </c>
      <c r="Z28" s="111" t="str">
        <f aca="false">IF($B28="","",الموظفون!$S28*IF(E28="سعودي",cfg_G_SR,cfg_G_NR)*G28/cfg_DAYS_M)</f>
        <v/>
      </c>
      <c r="AA28" s="111" t="str">
        <f aca="false">IF($B28="","",الموظفون!$Q28*(cfg_EOS_R1*(MIN(AH28,cfg_EOS_TH)-MIN(AI28,cfg_EOS_TH))+cfg_EOS_R2*(MAX(AH28-cfg_EOS_TH,0)-MAX(AI28-cfg_EOS_TH,0))))</f>
        <v/>
      </c>
      <c r="AB28" s="111" t="str">
        <f aca="false">IF($B28="","",IF(الموظفون!$T28&lt;&gt;"",الموظفون!$T28,IF(AH28&gt;=cfg_LV_TH,cfg_LV_D2,cfg_LV_D1))/cfg_DAYS_Y*AJ28*الموظفون!$R28/cfg_DAYS_M)</f>
        <v/>
      </c>
      <c r="AC28" s="111" t="str">
        <f aca="false">IF($B28="","",IF(AND(الموظفون!$U28="نعم",N(الموظفون!$W28)&gt;0),الموظفون!$V28/الموظفون!$W28*12/cfg_DAYS_Y*AJ28,0))</f>
        <v/>
      </c>
      <c r="AD28" s="111" t="str">
        <f aca="false">IF($B28="","",(IF(الموظفون!$X28&lt;&gt;"",الموظفون!$X28,IF(الموظفون!$E28="غير سعودي",cfg_IQ,0))+IF(الموظفون!$Y28&lt;&gt;"",الموظفون!$Y28,IF(الموظفون!$E28="غير سعودي",cfg_WP,0)))/12*G28/cfg_DAYS_M)</f>
        <v/>
      </c>
      <c r="AE28" s="111" t="str">
        <f aca="false">IF($B28="","",IF(الموظفون!$Z28&lt;&gt;"",الموظفون!$Z28,cfg_MED)/12*G28/cfg_DAYS_M)</f>
        <v/>
      </c>
      <c r="AF28" s="111" t="str">
        <f aca="false">IF($B28="","",N(الموظفون!$AA28)/12*G28/cfg_DAYS_M)</f>
        <v/>
      </c>
      <c r="AG28" s="154" t="str">
        <f aca="false">IF($B28="","",T28+SUM(Z28:AF28))</f>
        <v/>
      </c>
      <c r="AH28" s="155" t="str">
        <f aca="false">IF($B28="","",MAX(0,IF(OR(الموظفون!$AE28="",الموظفون!$AE28&gt;$F$3),$F$3,الموظفون!$AE28)-الموظفون!$H28+1-SUMIFS('سجل الإجازات والحالات'!$AQ$6:$AQ$505,'سجل الإجازات والحالات'!$B$6:$B$505,$B28))/cfg_DAYS_Y)</f>
        <v/>
      </c>
      <c r="AI28" s="155" t="str">
        <f aca="false">IF($B28="","",MAX(0,IF(OR(الموظفون!$AE28="",الموظفون!$AE28&gt;($E$3-1)),($E$3-1),الموظفون!$AE28)-الموظفون!$H28+1-SUMIFS('سجل الإجازات والحالات'!$AP$6:$AP$505,'سجل الإجازات والحالات'!$B$6:$B$505,$B28))/cfg_DAYS_Y)</f>
        <v/>
      </c>
      <c r="AJ28" s="65" t="str">
        <f aca="false">IF($B28="","",MAX(0,AK28-(SUMIFS('سجل الإجازات والحالات'!$AQ$6:$AQ$505,'سجل الإجازات والحالات'!$B$6:$B$505,$B28)-SUMIFS('سجل الإجازات والحالات'!$AP$6:$AP$505,'سجل الإجازات والحالات'!$B$6:$B$505,$B28))))</f>
        <v/>
      </c>
      <c r="AK28" s="65" t="str">
        <f aca="false">IF($B28="","",MAX(0,IF(OR(الموظفون!$AE28="",الموظفون!$AE28&gt;$F$3),$F$3,الموظفون!$AE28)-MAX($E$3,الموظفون!$H28)+1))</f>
        <v/>
      </c>
      <c r="AL28" s="151" t="str">
        <f aca="false">IF($B28="","",SUMIFS('سجل الإجازات والحالات'!$BC$6:$BC$505,'سجل الإجازات والحالات'!$B$6:$B$505,$B28)+SUMIFS('الحركات الشهرية'!$K$6:$K$1005,'الحركات الشهرية'!$B$6:$B$1005,$B28,'الحركات الشهرية'!$A$6:$A$1005,$C$3))</f>
        <v/>
      </c>
      <c r="AM28" s="111" t="str">
        <f aca="false">IF($B28="","",AL28*الموظفون!$R28/cfg_DAYS_M+S28)</f>
        <v/>
      </c>
      <c r="AN28" s="151" t="str">
        <f aca="false">IF($B28="","",SUMIFS('سجل الإجازات والحالات'!$AE$6:$AE$505,'سجل الإجازات والحالات'!$B$6:$B$505,$B28))</f>
        <v/>
      </c>
    </row>
    <row r="29" customFormat="false" ht="15" hidden="false" customHeight="false" outlineLevel="0" collapsed="false">
      <c r="A29" s="115" t="str">
        <f aca="false">IF($B29="","",الموظفون!$A29)</f>
        <v/>
      </c>
      <c r="B29" s="117" t="str">
        <f aca="false">IF(الموظفون!$B29="","",الموظفون!$B29)</f>
        <v/>
      </c>
      <c r="C29" s="117" t="str">
        <f aca="false">IF($B29="","",الموظفون!$C29)</f>
        <v/>
      </c>
      <c r="D29" s="117" t="str">
        <f aca="false">IF($B29="","",الموظفون!$F29)</f>
        <v/>
      </c>
      <c r="E29" s="117" t="str">
        <f aca="false">IF($B29="","",الموظفون!$E29)</f>
        <v/>
      </c>
      <c r="F29" s="117" t="str">
        <f aca="false">IF($B29="","",IF(AK29=0,IF(AND(الموظفون!$AE29&lt;&gt;"",الموظفون!$AE29&lt;$E$3),"✖ منتهي الخدمة","⏳ لم يباشر"),IF(S29&gt;0,"✈ راتب إجازة مقدم",IF(J29=0,"⛔ بدون راتب هذا الشهر",IF(I29&gt;0,"✈ خصم "&amp;ROUND(I29,2)&amp;" يوم بدون أجر",IF(AL29&gt;0,"🌴 إجازة سنوية "&amp;ROUND(AL29,2)&amp;" يوم",IF(H29&gt;0,"⚠ غياب "&amp;ROUND(H29,2)&amp;" يوم","✔ على رأس العمل")))))))</f>
        <v/>
      </c>
      <c r="G29" s="156" t="str">
        <f aca="false">IF($B29="","",IF(AK29&gt;=DAY($F$3),cfg_DAYS_M,MIN(AK29,cfg_DAYS_M)))</f>
        <v/>
      </c>
      <c r="H29" s="156" t="str">
        <f aca="false">IF($B29="","",SUMIFS('الحركات الشهرية'!$D$6:$D$1005,'الحركات الشهرية'!$B$6:$B$1005,$B29,'الحركات الشهرية'!$A$6:$A$1005,$C$3))</f>
        <v/>
      </c>
      <c r="I29" s="156" t="str">
        <f aca="false">IF($B29="","",MIN(G29,IF(AND(AK29&gt;0,AN29&gt;=AK29),G29,AN29)+SUMIFS('الحركات الشهرية'!$E$6:$E$1005,'الحركات الشهرية'!$B$6:$B$1005,$B29,'الحركات الشهرية'!$A$6:$A$1005,$C$3)))</f>
        <v/>
      </c>
      <c r="J29" s="156" t="str">
        <f aca="false">IF($B29="","",MAX(0,G29-H29-I29))</f>
        <v/>
      </c>
      <c r="K29" s="116" t="str">
        <f aca="false">IF($B29="","",الموظفون!$L29*$J29/cfg_DAYS_M)</f>
        <v/>
      </c>
      <c r="L29" s="116" t="str">
        <f aca="false">IF($B29="","",الموظفون!$M29*$J29/cfg_DAYS_M)</f>
        <v/>
      </c>
      <c r="M29" s="116" t="str">
        <f aca="false">IF($B29="","",الموظفون!$N29*$J29/cfg_DAYS_M)</f>
        <v/>
      </c>
      <c r="N29" s="116" t="str">
        <f aca="false">IF($B29="","",الموظفون!$O29*$J29/cfg_DAYS_M)</f>
        <v/>
      </c>
      <c r="O29" s="156" t="str">
        <f aca="false">IF($B29="","",SUMIFS('الحركات الشهرية'!$F$6:$F$1005,'الحركات الشهرية'!$B$6:$B$1005,$B29,'الحركات الشهرية'!$A$6:$A$1005,$C$3))</f>
        <v/>
      </c>
      <c r="P29" s="116" t="str">
        <f aca="false">IF($B29="","",O29*(الموظفون!$P29+الموظفون!$L29*cfg_OT_P)/cfg_DAYS_M/cfg_HRS)</f>
        <v/>
      </c>
      <c r="Q29" s="116" t="str">
        <f aca="false">IF($B29="","",SUMIFS('الحركات الشهرية'!$G$6:$G$1005,'الحركات الشهرية'!$B$6:$B$1005,$B29,'الحركات الشهرية'!$A$6:$A$1005,$C$3))</f>
        <v/>
      </c>
      <c r="R29" s="116" t="str">
        <f aca="false">IF($B29="","",SUMIFS('الحركات الشهرية'!$H$6:$H$1005,'الحركات الشهرية'!$B$6:$B$1005,$B29,'الحركات الشهرية'!$A$6:$A$1005,$C$3))</f>
        <v/>
      </c>
      <c r="S29" s="116" t="str">
        <f aca="false">IF($B29="","",SUMIFS('سجل الإجازات والحالات'!$N$6:$N$505,'سجل الإجازات والحالات'!$B$6:$B$505,$B29,'سجل الإجازات والحالات'!$O$6:$O$505,$C$3))</f>
        <v/>
      </c>
      <c r="T29" s="157" t="str">
        <f aca="false">IF($B29="","",SUM(K29:N29)+SUM(P29:S29))</f>
        <v/>
      </c>
      <c r="U29" s="116" t="str">
        <f aca="false">IF($B29="","",الموظفون!$S29*IF(E29="سعودي",cfg_G_SE,cfg_G_NE)*G29/cfg_DAYS_M)</f>
        <v/>
      </c>
      <c r="V29" s="116" t="str">
        <f aca="false">IF($B29="","",SUMIFS('الحركات الشهرية'!$I$6:$I$1005,'الحركات الشهرية'!$B$6:$B$1005,$B29,'الحركات الشهرية'!$A$6:$A$1005,$C$3))</f>
        <v/>
      </c>
      <c r="W29" s="116" t="str">
        <f aca="false">IF($B29="","",SUMIFS('الحركات الشهرية'!$J$6:$J$1005,'الحركات الشهرية'!$B$6:$B$1005,$B29,'الحركات الشهرية'!$A$6:$A$1005,$C$3))</f>
        <v/>
      </c>
      <c r="X29" s="116" t="str">
        <f aca="false">IF($B29="","",SUM(U29:W29))</f>
        <v/>
      </c>
      <c r="Y29" s="158" t="str">
        <f aca="false">IF($B29="","",T29-X29)</f>
        <v/>
      </c>
      <c r="Z29" s="116" t="str">
        <f aca="false">IF($B29="","",الموظفون!$S29*IF(E29="سعودي",cfg_G_SR,cfg_G_NR)*G29/cfg_DAYS_M)</f>
        <v/>
      </c>
      <c r="AA29" s="116" t="str">
        <f aca="false">IF($B29="","",الموظفون!$Q29*(cfg_EOS_R1*(MIN(AH29,cfg_EOS_TH)-MIN(AI29,cfg_EOS_TH))+cfg_EOS_R2*(MAX(AH29-cfg_EOS_TH,0)-MAX(AI29-cfg_EOS_TH,0))))</f>
        <v/>
      </c>
      <c r="AB29" s="116" t="str">
        <f aca="false">IF($B29="","",IF(الموظفون!$T29&lt;&gt;"",الموظفون!$T29,IF(AH29&gt;=cfg_LV_TH,cfg_LV_D2,cfg_LV_D1))/cfg_DAYS_Y*AJ29*الموظفون!$R29/cfg_DAYS_M)</f>
        <v/>
      </c>
      <c r="AC29" s="116" t="str">
        <f aca="false">IF($B29="","",IF(AND(الموظفون!$U29="نعم",N(الموظفون!$W29)&gt;0),الموظفون!$V29/الموظفون!$W29*12/cfg_DAYS_Y*AJ29,0))</f>
        <v/>
      </c>
      <c r="AD29" s="116" t="str">
        <f aca="false">IF($B29="","",(IF(الموظفون!$X29&lt;&gt;"",الموظفون!$X29,IF(الموظفون!$E29="غير سعودي",cfg_IQ,0))+IF(الموظفون!$Y29&lt;&gt;"",الموظفون!$Y29,IF(الموظفون!$E29="غير سعودي",cfg_WP,0)))/12*G29/cfg_DAYS_M)</f>
        <v/>
      </c>
      <c r="AE29" s="116" t="str">
        <f aca="false">IF($B29="","",IF(الموظفون!$Z29&lt;&gt;"",الموظفون!$Z29,cfg_MED)/12*G29/cfg_DAYS_M)</f>
        <v/>
      </c>
      <c r="AF29" s="116" t="str">
        <f aca="false">IF($B29="","",N(الموظفون!$AA29)/12*G29/cfg_DAYS_M)</f>
        <v/>
      </c>
      <c r="AG29" s="159" t="str">
        <f aca="false">IF($B29="","",T29+SUM(Z29:AF29))</f>
        <v/>
      </c>
      <c r="AH29" s="160" t="str">
        <f aca="false">IF($B29="","",MAX(0,IF(OR(الموظفون!$AE29="",الموظفون!$AE29&gt;$F$3),$F$3,الموظفون!$AE29)-الموظفون!$H29+1-SUMIFS('سجل الإجازات والحالات'!$AQ$6:$AQ$505,'سجل الإجازات والحالات'!$B$6:$B$505,$B29))/cfg_DAYS_Y)</f>
        <v/>
      </c>
      <c r="AI29" s="160" t="str">
        <f aca="false">IF($B29="","",MAX(0,IF(OR(الموظفون!$AE29="",الموظفون!$AE29&gt;($E$3-1)),($E$3-1),الموظفون!$AE29)-الموظفون!$H29+1-SUMIFS('سجل الإجازات والحالات'!$AP$6:$AP$505,'سجل الإجازات والحالات'!$B$6:$B$505,$B29))/cfg_DAYS_Y)</f>
        <v/>
      </c>
      <c r="AJ29" s="133" t="str">
        <f aca="false">IF($B29="","",MAX(0,AK29-(SUMIFS('سجل الإجازات والحالات'!$AQ$6:$AQ$505,'سجل الإجازات والحالات'!$B$6:$B$505,$B29)-SUMIFS('سجل الإجازات والحالات'!$AP$6:$AP$505,'سجل الإجازات والحالات'!$B$6:$B$505,$B29))))</f>
        <v/>
      </c>
      <c r="AK29" s="133" t="str">
        <f aca="false">IF($B29="","",MAX(0,IF(OR(الموظفون!$AE29="",الموظفون!$AE29&gt;$F$3),$F$3,الموظفون!$AE29)-MAX($E$3,الموظفون!$H29)+1))</f>
        <v/>
      </c>
      <c r="AL29" s="156" t="str">
        <f aca="false">IF($B29="","",SUMIFS('سجل الإجازات والحالات'!$BC$6:$BC$505,'سجل الإجازات والحالات'!$B$6:$B$505,$B29)+SUMIFS('الحركات الشهرية'!$K$6:$K$1005,'الحركات الشهرية'!$B$6:$B$1005,$B29,'الحركات الشهرية'!$A$6:$A$1005,$C$3))</f>
        <v/>
      </c>
      <c r="AM29" s="116" t="str">
        <f aca="false">IF($B29="","",AL29*الموظفون!$R29/cfg_DAYS_M+S29)</f>
        <v/>
      </c>
      <c r="AN29" s="156" t="str">
        <f aca="false">IF($B29="","",SUMIFS('سجل الإجازات والحالات'!$AE$6:$AE$505,'سجل الإجازات والحالات'!$B$6:$B$505,$B29))</f>
        <v/>
      </c>
    </row>
    <row r="30" customFormat="false" ht="15" hidden="false" customHeight="false" outlineLevel="0" collapsed="false">
      <c r="A30" s="106" t="str">
        <f aca="false">IF($B30="","",الموظفون!$A30)</f>
        <v/>
      </c>
      <c r="B30" s="114" t="str">
        <f aca="false">IF(الموظفون!$B30="","",الموظفون!$B30)</f>
        <v/>
      </c>
      <c r="C30" s="114" t="str">
        <f aca="false">IF($B30="","",الموظفون!$C30)</f>
        <v/>
      </c>
      <c r="D30" s="114" t="str">
        <f aca="false">IF($B30="","",الموظفون!$F30)</f>
        <v/>
      </c>
      <c r="E30" s="114" t="str">
        <f aca="false">IF($B30="","",الموظفون!$E30)</f>
        <v/>
      </c>
      <c r="F30" s="114" t="str">
        <f aca="false">IF($B30="","",IF(AK30=0,IF(AND(الموظفون!$AE30&lt;&gt;"",الموظفون!$AE30&lt;$E$3),"✖ منتهي الخدمة","⏳ لم يباشر"),IF(S30&gt;0,"✈ راتب إجازة مقدم",IF(J30=0,"⛔ بدون راتب هذا الشهر",IF(I30&gt;0,"✈ خصم "&amp;ROUND(I30,2)&amp;" يوم بدون أجر",IF(AL30&gt;0,"🌴 إجازة سنوية "&amp;ROUND(AL30,2)&amp;" يوم",IF(H30&gt;0,"⚠ غياب "&amp;ROUND(H30,2)&amp;" يوم","✔ على رأس العمل")))))))</f>
        <v/>
      </c>
      <c r="G30" s="151" t="str">
        <f aca="false">IF($B30="","",IF(AK30&gt;=DAY($F$3),cfg_DAYS_M,MIN(AK30,cfg_DAYS_M)))</f>
        <v/>
      </c>
      <c r="H30" s="151" t="str">
        <f aca="false">IF($B30="","",SUMIFS('الحركات الشهرية'!$D$6:$D$1005,'الحركات الشهرية'!$B$6:$B$1005,$B30,'الحركات الشهرية'!$A$6:$A$1005,$C$3))</f>
        <v/>
      </c>
      <c r="I30" s="151" t="str">
        <f aca="false">IF($B30="","",MIN(G30,IF(AND(AK30&gt;0,AN30&gt;=AK30),G30,AN30)+SUMIFS('الحركات الشهرية'!$E$6:$E$1005,'الحركات الشهرية'!$B$6:$B$1005,$B30,'الحركات الشهرية'!$A$6:$A$1005,$C$3)))</f>
        <v/>
      </c>
      <c r="J30" s="151" t="str">
        <f aca="false">IF($B30="","",MAX(0,G30-H30-I30))</f>
        <v/>
      </c>
      <c r="K30" s="111" t="str">
        <f aca="false">IF($B30="","",الموظفون!$L30*$J30/cfg_DAYS_M)</f>
        <v/>
      </c>
      <c r="L30" s="111" t="str">
        <f aca="false">IF($B30="","",الموظفون!$M30*$J30/cfg_DAYS_M)</f>
        <v/>
      </c>
      <c r="M30" s="111" t="str">
        <f aca="false">IF($B30="","",الموظفون!$N30*$J30/cfg_DAYS_M)</f>
        <v/>
      </c>
      <c r="N30" s="111" t="str">
        <f aca="false">IF($B30="","",الموظفون!$O30*$J30/cfg_DAYS_M)</f>
        <v/>
      </c>
      <c r="O30" s="151" t="str">
        <f aca="false">IF($B30="","",SUMIFS('الحركات الشهرية'!$F$6:$F$1005,'الحركات الشهرية'!$B$6:$B$1005,$B30,'الحركات الشهرية'!$A$6:$A$1005,$C$3))</f>
        <v/>
      </c>
      <c r="P30" s="111" t="str">
        <f aca="false">IF($B30="","",O30*(الموظفون!$P30+الموظفون!$L30*cfg_OT_P)/cfg_DAYS_M/cfg_HRS)</f>
        <v/>
      </c>
      <c r="Q30" s="111" t="str">
        <f aca="false">IF($B30="","",SUMIFS('الحركات الشهرية'!$G$6:$G$1005,'الحركات الشهرية'!$B$6:$B$1005,$B30,'الحركات الشهرية'!$A$6:$A$1005,$C$3))</f>
        <v/>
      </c>
      <c r="R30" s="111" t="str">
        <f aca="false">IF($B30="","",SUMIFS('الحركات الشهرية'!$H$6:$H$1005,'الحركات الشهرية'!$B$6:$B$1005,$B30,'الحركات الشهرية'!$A$6:$A$1005,$C$3))</f>
        <v/>
      </c>
      <c r="S30" s="111" t="str">
        <f aca="false">IF($B30="","",SUMIFS('سجل الإجازات والحالات'!$N$6:$N$505,'سجل الإجازات والحالات'!$B$6:$B$505,$B30,'سجل الإجازات والحالات'!$O$6:$O$505,$C$3))</f>
        <v/>
      </c>
      <c r="T30" s="152" t="str">
        <f aca="false">IF($B30="","",SUM(K30:N30)+SUM(P30:S30))</f>
        <v/>
      </c>
      <c r="U30" s="111" t="str">
        <f aca="false">IF($B30="","",الموظفون!$S30*IF(E30="سعودي",cfg_G_SE,cfg_G_NE)*G30/cfg_DAYS_M)</f>
        <v/>
      </c>
      <c r="V30" s="111" t="str">
        <f aca="false">IF($B30="","",SUMIFS('الحركات الشهرية'!$I$6:$I$1005,'الحركات الشهرية'!$B$6:$B$1005,$B30,'الحركات الشهرية'!$A$6:$A$1005,$C$3))</f>
        <v/>
      </c>
      <c r="W30" s="111" t="str">
        <f aca="false">IF($B30="","",SUMIFS('الحركات الشهرية'!$J$6:$J$1005,'الحركات الشهرية'!$B$6:$B$1005,$B30,'الحركات الشهرية'!$A$6:$A$1005,$C$3))</f>
        <v/>
      </c>
      <c r="X30" s="111" t="str">
        <f aca="false">IF($B30="","",SUM(U30:W30))</f>
        <v/>
      </c>
      <c r="Y30" s="153" t="str">
        <f aca="false">IF($B30="","",T30-X30)</f>
        <v/>
      </c>
      <c r="Z30" s="111" t="str">
        <f aca="false">IF($B30="","",الموظفون!$S30*IF(E30="سعودي",cfg_G_SR,cfg_G_NR)*G30/cfg_DAYS_M)</f>
        <v/>
      </c>
      <c r="AA30" s="111" t="str">
        <f aca="false">IF($B30="","",الموظفون!$Q30*(cfg_EOS_R1*(MIN(AH30,cfg_EOS_TH)-MIN(AI30,cfg_EOS_TH))+cfg_EOS_R2*(MAX(AH30-cfg_EOS_TH,0)-MAX(AI30-cfg_EOS_TH,0))))</f>
        <v/>
      </c>
      <c r="AB30" s="111" t="str">
        <f aca="false">IF($B30="","",IF(الموظفون!$T30&lt;&gt;"",الموظفون!$T30,IF(AH30&gt;=cfg_LV_TH,cfg_LV_D2,cfg_LV_D1))/cfg_DAYS_Y*AJ30*الموظفون!$R30/cfg_DAYS_M)</f>
        <v/>
      </c>
      <c r="AC30" s="111" t="str">
        <f aca="false">IF($B30="","",IF(AND(الموظفون!$U30="نعم",N(الموظفون!$W30)&gt;0),الموظفون!$V30/الموظفون!$W30*12/cfg_DAYS_Y*AJ30,0))</f>
        <v/>
      </c>
      <c r="AD30" s="111" t="str">
        <f aca="false">IF($B30="","",(IF(الموظفون!$X30&lt;&gt;"",الموظفون!$X30,IF(الموظفون!$E30="غير سعودي",cfg_IQ,0))+IF(الموظفون!$Y30&lt;&gt;"",الموظفون!$Y30,IF(الموظفون!$E30="غير سعودي",cfg_WP,0)))/12*G30/cfg_DAYS_M)</f>
        <v/>
      </c>
      <c r="AE30" s="111" t="str">
        <f aca="false">IF($B30="","",IF(الموظفون!$Z30&lt;&gt;"",الموظفون!$Z30,cfg_MED)/12*G30/cfg_DAYS_M)</f>
        <v/>
      </c>
      <c r="AF30" s="111" t="str">
        <f aca="false">IF($B30="","",N(الموظفون!$AA30)/12*G30/cfg_DAYS_M)</f>
        <v/>
      </c>
      <c r="AG30" s="154" t="str">
        <f aca="false">IF($B30="","",T30+SUM(Z30:AF30))</f>
        <v/>
      </c>
      <c r="AH30" s="155" t="str">
        <f aca="false">IF($B30="","",MAX(0,IF(OR(الموظفون!$AE30="",الموظفون!$AE30&gt;$F$3),$F$3,الموظفون!$AE30)-الموظفون!$H30+1-SUMIFS('سجل الإجازات والحالات'!$AQ$6:$AQ$505,'سجل الإجازات والحالات'!$B$6:$B$505,$B30))/cfg_DAYS_Y)</f>
        <v/>
      </c>
      <c r="AI30" s="155" t="str">
        <f aca="false">IF($B30="","",MAX(0,IF(OR(الموظفون!$AE30="",الموظفون!$AE30&gt;($E$3-1)),($E$3-1),الموظفون!$AE30)-الموظفون!$H30+1-SUMIFS('سجل الإجازات والحالات'!$AP$6:$AP$505,'سجل الإجازات والحالات'!$B$6:$B$505,$B30))/cfg_DAYS_Y)</f>
        <v/>
      </c>
      <c r="AJ30" s="65" t="str">
        <f aca="false">IF($B30="","",MAX(0,AK30-(SUMIFS('سجل الإجازات والحالات'!$AQ$6:$AQ$505,'سجل الإجازات والحالات'!$B$6:$B$505,$B30)-SUMIFS('سجل الإجازات والحالات'!$AP$6:$AP$505,'سجل الإجازات والحالات'!$B$6:$B$505,$B30))))</f>
        <v/>
      </c>
      <c r="AK30" s="65" t="str">
        <f aca="false">IF($B30="","",MAX(0,IF(OR(الموظفون!$AE30="",الموظفون!$AE30&gt;$F$3),$F$3,الموظفون!$AE30)-MAX($E$3,الموظفون!$H30)+1))</f>
        <v/>
      </c>
      <c r="AL30" s="151" t="str">
        <f aca="false">IF($B30="","",SUMIFS('سجل الإجازات والحالات'!$BC$6:$BC$505,'سجل الإجازات والحالات'!$B$6:$B$505,$B30)+SUMIFS('الحركات الشهرية'!$K$6:$K$1005,'الحركات الشهرية'!$B$6:$B$1005,$B30,'الحركات الشهرية'!$A$6:$A$1005,$C$3))</f>
        <v/>
      </c>
      <c r="AM30" s="111" t="str">
        <f aca="false">IF($B30="","",AL30*الموظفون!$R30/cfg_DAYS_M+S30)</f>
        <v/>
      </c>
      <c r="AN30" s="151" t="str">
        <f aca="false">IF($B30="","",SUMIFS('سجل الإجازات والحالات'!$AE$6:$AE$505,'سجل الإجازات والحالات'!$B$6:$B$505,$B30))</f>
        <v/>
      </c>
    </row>
    <row r="31" customFormat="false" ht="15" hidden="false" customHeight="false" outlineLevel="0" collapsed="false">
      <c r="A31" s="115" t="str">
        <f aca="false">IF($B31="","",الموظفون!$A31)</f>
        <v/>
      </c>
      <c r="B31" s="117" t="str">
        <f aca="false">IF(الموظفون!$B31="","",الموظفون!$B31)</f>
        <v/>
      </c>
      <c r="C31" s="117" t="str">
        <f aca="false">IF($B31="","",الموظفون!$C31)</f>
        <v/>
      </c>
      <c r="D31" s="117" t="str">
        <f aca="false">IF($B31="","",الموظفون!$F31)</f>
        <v/>
      </c>
      <c r="E31" s="117" t="str">
        <f aca="false">IF($B31="","",الموظفون!$E31)</f>
        <v/>
      </c>
      <c r="F31" s="117" t="str">
        <f aca="false">IF($B31="","",IF(AK31=0,IF(AND(الموظفون!$AE31&lt;&gt;"",الموظفون!$AE31&lt;$E$3),"✖ منتهي الخدمة","⏳ لم يباشر"),IF(S31&gt;0,"✈ راتب إجازة مقدم",IF(J31=0,"⛔ بدون راتب هذا الشهر",IF(I31&gt;0,"✈ خصم "&amp;ROUND(I31,2)&amp;" يوم بدون أجر",IF(AL31&gt;0,"🌴 إجازة سنوية "&amp;ROUND(AL31,2)&amp;" يوم",IF(H31&gt;0,"⚠ غياب "&amp;ROUND(H31,2)&amp;" يوم","✔ على رأس العمل")))))))</f>
        <v/>
      </c>
      <c r="G31" s="156" t="str">
        <f aca="false">IF($B31="","",IF(AK31&gt;=DAY($F$3),cfg_DAYS_M,MIN(AK31,cfg_DAYS_M)))</f>
        <v/>
      </c>
      <c r="H31" s="156" t="str">
        <f aca="false">IF($B31="","",SUMIFS('الحركات الشهرية'!$D$6:$D$1005,'الحركات الشهرية'!$B$6:$B$1005,$B31,'الحركات الشهرية'!$A$6:$A$1005,$C$3))</f>
        <v/>
      </c>
      <c r="I31" s="156" t="str">
        <f aca="false">IF($B31="","",MIN(G31,IF(AND(AK31&gt;0,AN31&gt;=AK31),G31,AN31)+SUMIFS('الحركات الشهرية'!$E$6:$E$1005,'الحركات الشهرية'!$B$6:$B$1005,$B31,'الحركات الشهرية'!$A$6:$A$1005,$C$3)))</f>
        <v/>
      </c>
      <c r="J31" s="156" t="str">
        <f aca="false">IF($B31="","",MAX(0,G31-H31-I31))</f>
        <v/>
      </c>
      <c r="K31" s="116" t="str">
        <f aca="false">IF($B31="","",الموظفون!$L31*$J31/cfg_DAYS_M)</f>
        <v/>
      </c>
      <c r="L31" s="116" t="str">
        <f aca="false">IF($B31="","",الموظفون!$M31*$J31/cfg_DAYS_M)</f>
        <v/>
      </c>
      <c r="M31" s="116" t="str">
        <f aca="false">IF($B31="","",الموظفون!$N31*$J31/cfg_DAYS_M)</f>
        <v/>
      </c>
      <c r="N31" s="116" t="str">
        <f aca="false">IF($B31="","",الموظفون!$O31*$J31/cfg_DAYS_M)</f>
        <v/>
      </c>
      <c r="O31" s="156" t="str">
        <f aca="false">IF($B31="","",SUMIFS('الحركات الشهرية'!$F$6:$F$1005,'الحركات الشهرية'!$B$6:$B$1005,$B31,'الحركات الشهرية'!$A$6:$A$1005,$C$3))</f>
        <v/>
      </c>
      <c r="P31" s="116" t="str">
        <f aca="false">IF($B31="","",O31*(الموظفون!$P31+الموظفون!$L31*cfg_OT_P)/cfg_DAYS_M/cfg_HRS)</f>
        <v/>
      </c>
      <c r="Q31" s="116" t="str">
        <f aca="false">IF($B31="","",SUMIFS('الحركات الشهرية'!$G$6:$G$1005,'الحركات الشهرية'!$B$6:$B$1005,$B31,'الحركات الشهرية'!$A$6:$A$1005,$C$3))</f>
        <v/>
      </c>
      <c r="R31" s="116" t="str">
        <f aca="false">IF($B31="","",SUMIFS('الحركات الشهرية'!$H$6:$H$1005,'الحركات الشهرية'!$B$6:$B$1005,$B31,'الحركات الشهرية'!$A$6:$A$1005,$C$3))</f>
        <v/>
      </c>
      <c r="S31" s="116" t="str">
        <f aca="false">IF($B31="","",SUMIFS('سجل الإجازات والحالات'!$N$6:$N$505,'سجل الإجازات والحالات'!$B$6:$B$505,$B31,'سجل الإجازات والحالات'!$O$6:$O$505,$C$3))</f>
        <v/>
      </c>
      <c r="T31" s="157" t="str">
        <f aca="false">IF($B31="","",SUM(K31:N31)+SUM(P31:S31))</f>
        <v/>
      </c>
      <c r="U31" s="116" t="str">
        <f aca="false">IF($B31="","",الموظفون!$S31*IF(E31="سعودي",cfg_G_SE,cfg_G_NE)*G31/cfg_DAYS_M)</f>
        <v/>
      </c>
      <c r="V31" s="116" t="str">
        <f aca="false">IF($B31="","",SUMIFS('الحركات الشهرية'!$I$6:$I$1005,'الحركات الشهرية'!$B$6:$B$1005,$B31,'الحركات الشهرية'!$A$6:$A$1005,$C$3))</f>
        <v/>
      </c>
      <c r="W31" s="116" t="str">
        <f aca="false">IF($B31="","",SUMIFS('الحركات الشهرية'!$J$6:$J$1005,'الحركات الشهرية'!$B$6:$B$1005,$B31,'الحركات الشهرية'!$A$6:$A$1005,$C$3))</f>
        <v/>
      </c>
      <c r="X31" s="116" t="str">
        <f aca="false">IF($B31="","",SUM(U31:W31))</f>
        <v/>
      </c>
      <c r="Y31" s="158" t="str">
        <f aca="false">IF($B31="","",T31-X31)</f>
        <v/>
      </c>
      <c r="Z31" s="116" t="str">
        <f aca="false">IF($B31="","",الموظفون!$S31*IF(E31="سعودي",cfg_G_SR,cfg_G_NR)*G31/cfg_DAYS_M)</f>
        <v/>
      </c>
      <c r="AA31" s="116" t="str">
        <f aca="false">IF($B31="","",الموظفون!$Q31*(cfg_EOS_R1*(MIN(AH31,cfg_EOS_TH)-MIN(AI31,cfg_EOS_TH))+cfg_EOS_R2*(MAX(AH31-cfg_EOS_TH,0)-MAX(AI31-cfg_EOS_TH,0))))</f>
        <v/>
      </c>
      <c r="AB31" s="116" t="str">
        <f aca="false">IF($B31="","",IF(الموظفون!$T31&lt;&gt;"",الموظفون!$T31,IF(AH31&gt;=cfg_LV_TH,cfg_LV_D2,cfg_LV_D1))/cfg_DAYS_Y*AJ31*الموظفون!$R31/cfg_DAYS_M)</f>
        <v/>
      </c>
      <c r="AC31" s="116" t="str">
        <f aca="false">IF($B31="","",IF(AND(الموظفون!$U31="نعم",N(الموظفون!$W31)&gt;0),الموظفون!$V31/الموظفون!$W31*12/cfg_DAYS_Y*AJ31,0))</f>
        <v/>
      </c>
      <c r="AD31" s="116" t="str">
        <f aca="false">IF($B31="","",(IF(الموظفون!$X31&lt;&gt;"",الموظفون!$X31,IF(الموظفون!$E31="غير سعودي",cfg_IQ,0))+IF(الموظفون!$Y31&lt;&gt;"",الموظفون!$Y31,IF(الموظفون!$E31="غير سعودي",cfg_WP,0)))/12*G31/cfg_DAYS_M)</f>
        <v/>
      </c>
      <c r="AE31" s="116" t="str">
        <f aca="false">IF($B31="","",IF(الموظفون!$Z31&lt;&gt;"",الموظفون!$Z31,cfg_MED)/12*G31/cfg_DAYS_M)</f>
        <v/>
      </c>
      <c r="AF31" s="116" t="str">
        <f aca="false">IF($B31="","",N(الموظفون!$AA31)/12*G31/cfg_DAYS_M)</f>
        <v/>
      </c>
      <c r="AG31" s="159" t="str">
        <f aca="false">IF($B31="","",T31+SUM(Z31:AF31))</f>
        <v/>
      </c>
      <c r="AH31" s="160" t="str">
        <f aca="false">IF($B31="","",MAX(0,IF(OR(الموظفون!$AE31="",الموظفون!$AE31&gt;$F$3),$F$3,الموظفون!$AE31)-الموظفون!$H31+1-SUMIFS('سجل الإجازات والحالات'!$AQ$6:$AQ$505,'سجل الإجازات والحالات'!$B$6:$B$505,$B31))/cfg_DAYS_Y)</f>
        <v/>
      </c>
      <c r="AI31" s="160" t="str">
        <f aca="false">IF($B31="","",MAX(0,IF(OR(الموظفون!$AE31="",الموظفون!$AE31&gt;($E$3-1)),($E$3-1),الموظفون!$AE31)-الموظفون!$H31+1-SUMIFS('سجل الإجازات والحالات'!$AP$6:$AP$505,'سجل الإجازات والحالات'!$B$6:$B$505,$B31))/cfg_DAYS_Y)</f>
        <v/>
      </c>
      <c r="AJ31" s="133" t="str">
        <f aca="false">IF($B31="","",MAX(0,AK31-(SUMIFS('سجل الإجازات والحالات'!$AQ$6:$AQ$505,'سجل الإجازات والحالات'!$B$6:$B$505,$B31)-SUMIFS('سجل الإجازات والحالات'!$AP$6:$AP$505,'سجل الإجازات والحالات'!$B$6:$B$505,$B31))))</f>
        <v/>
      </c>
      <c r="AK31" s="133" t="str">
        <f aca="false">IF($B31="","",MAX(0,IF(OR(الموظفون!$AE31="",الموظفون!$AE31&gt;$F$3),$F$3,الموظفون!$AE31)-MAX($E$3,الموظفون!$H31)+1))</f>
        <v/>
      </c>
      <c r="AL31" s="156" t="str">
        <f aca="false">IF($B31="","",SUMIFS('سجل الإجازات والحالات'!$BC$6:$BC$505,'سجل الإجازات والحالات'!$B$6:$B$505,$B31)+SUMIFS('الحركات الشهرية'!$K$6:$K$1005,'الحركات الشهرية'!$B$6:$B$1005,$B31,'الحركات الشهرية'!$A$6:$A$1005,$C$3))</f>
        <v/>
      </c>
      <c r="AM31" s="116" t="str">
        <f aca="false">IF($B31="","",AL31*الموظفون!$R31/cfg_DAYS_M+S31)</f>
        <v/>
      </c>
      <c r="AN31" s="156" t="str">
        <f aca="false">IF($B31="","",SUMIFS('سجل الإجازات والحالات'!$AE$6:$AE$505,'سجل الإجازات والحالات'!$B$6:$B$505,$B31))</f>
        <v/>
      </c>
    </row>
    <row r="32" customFormat="false" ht="15" hidden="false" customHeight="false" outlineLevel="0" collapsed="false">
      <c r="A32" s="106" t="str">
        <f aca="false">IF($B32="","",الموظفون!$A32)</f>
        <v/>
      </c>
      <c r="B32" s="114" t="str">
        <f aca="false">IF(الموظفون!$B32="","",الموظفون!$B32)</f>
        <v/>
      </c>
      <c r="C32" s="114" t="str">
        <f aca="false">IF($B32="","",الموظفون!$C32)</f>
        <v/>
      </c>
      <c r="D32" s="114" t="str">
        <f aca="false">IF($B32="","",الموظفون!$F32)</f>
        <v/>
      </c>
      <c r="E32" s="114" t="str">
        <f aca="false">IF($B32="","",الموظفون!$E32)</f>
        <v/>
      </c>
      <c r="F32" s="114" t="str">
        <f aca="false">IF($B32="","",IF(AK32=0,IF(AND(الموظفون!$AE32&lt;&gt;"",الموظفون!$AE32&lt;$E$3),"✖ منتهي الخدمة","⏳ لم يباشر"),IF(S32&gt;0,"✈ راتب إجازة مقدم",IF(J32=0,"⛔ بدون راتب هذا الشهر",IF(I32&gt;0,"✈ خصم "&amp;ROUND(I32,2)&amp;" يوم بدون أجر",IF(AL32&gt;0,"🌴 إجازة سنوية "&amp;ROUND(AL32,2)&amp;" يوم",IF(H32&gt;0,"⚠ غياب "&amp;ROUND(H32,2)&amp;" يوم","✔ على رأس العمل")))))))</f>
        <v/>
      </c>
      <c r="G32" s="151" t="str">
        <f aca="false">IF($B32="","",IF(AK32&gt;=DAY($F$3),cfg_DAYS_M,MIN(AK32,cfg_DAYS_M)))</f>
        <v/>
      </c>
      <c r="H32" s="151" t="str">
        <f aca="false">IF($B32="","",SUMIFS('الحركات الشهرية'!$D$6:$D$1005,'الحركات الشهرية'!$B$6:$B$1005,$B32,'الحركات الشهرية'!$A$6:$A$1005,$C$3))</f>
        <v/>
      </c>
      <c r="I32" s="151" t="str">
        <f aca="false">IF($B32="","",MIN(G32,IF(AND(AK32&gt;0,AN32&gt;=AK32),G32,AN32)+SUMIFS('الحركات الشهرية'!$E$6:$E$1005,'الحركات الشهرية'!$B$6:$B$1005,$B32,'الحركات الشهرية'!$A$6:$A$1005,$C$3)))</f>
        <v/>
      </c>
      <c r="J32" s="151" t="str">
        <f aca="false">IF($B32="","",MAX(0,G32-H32-I32))</f>
        <v/>
      </c>
      <c r="K32" s="111" t="str">
        <f aca="false">IF($B32="","",الموظفون!$L32*$J32/cfg_DAYS_M)</f>
        <v/>
      </c>
      <c r="L32" s="111" t="str">
        <f aca="false">IF($B32="","",الموظفون!$M32*$J32/cfg_DAYS_M)</f>
        <v/>
      </c>
      <c r="M32" s="111" t="str">
        <f aca="false">IF($B32="","",الموظفون!$N32*$J32/cfg_DAYS_M)</f>
        <v/>
      </c>
      <c r="N32" s="111" t="str">
        <f aca="false">IF($B32="","",الموظفون!$O32*$J32/cfg_DAYS_M)</f>
        <v/>
      </c>
      <c r="O32" s="151" t="str">
        <f aca="false">IF($B32="","",SUMIFS('الحركات الشهرية'!$F$6:$F$1005,'الحركات الشهرية'!$B$6:$B$1005,$B32,'الحركات الشهرية'!$A$6:$A$1005,$C$3))</f>
        <v/>
      </c>
      <c r="P32" s="111" t="str">
        <f aca="false">IF($B32="","",O32*(الموظفون!$P32+الموظفون!$L32*cfg_OT_P)/cfg_DAYS_M/cfg_HRS)</f>
        <v/>
      </c>
      <c r="Q32" s="111" t="str">
        <f aca="false">IF($B32="","",SUMIFS('الحركات الشهرية'!$G$6:$G$1005,'الحركات الشهرية'!$B$6:$B$1005,$B32,'الحركات الشهرية'!$A$6:$A$1005,$C$3))</f>
        <v/>
      </c>
      <c r="R32" s="111" t="str">
        <f aca="false">IF($B32="","",SUMIFS('الحركات الشهرية'!$H$6:$H$1005,'الحركات الشهرية'!$B$6:$B$1005,$B32,'الحركات الشهرية'!$A$6:$A$1005,$C$3))</f>
        <v/>
      </c>
      <c r="S32" s="111" t="str">
        <f aca="false">IF($B32="","",SUMIFS('سجل الإجازات والحالات'!$N$6:$N$505,'سجل الإجازات والحالات'!$B$6:$B$505,$B32,'سجل الإجازات والحالات'!$O$6:$O$505,$C$3))</f>
        <v/>
      </c>
      <c r="T32" s="152" t="str">
        <f aca="false">IF($B32="","",SUM(K32:N32)+SUM(P32:S32))</f>
        <v/>
      </c>
      <c r="U32" s="111" t="str">
        <f aca="false">IF($B32="","",الموظفون!$S32*IF(E32="سعودي",cfg_G_SE,cfg_G_NE)*G32/cfg_DAYS_M)</f>
        <v/>
      </c>
      <c r="V32" s="111" t="str">
        <f aca="false">IF($B32="","",SUMIFS('الحركات الشهرية'!$I$6:$I$1005,'الحركات الشهرية'!$B$6:$B$1005,$B32,'الحركات الشهرية'!$A$6:$A$1005,$C$3))</f>
        <v/>
      </c>
      <c r="W32" s="111" t="str">
        <f aca="false">IF($B32="","",SUMIFS('الحركات الشهرية'!$J$6:$J$1005,'الحركات الشهرية'!$B$6:$B$1005,$B32,'الحركات الشهرية'!$A$6:$A$1005,$C$3))</f>
        <v/>
      </c>
      <c r="X32" s="111" t="str">
        <f aca="false">IF($B32="","",SUM(U32:W32))</f>
        <v/>
      </c>
      <c r="Y32" s="153" t="str">
        <f aca="false">IF($B32="","",T32-X32)</f>
        <v/>
      </c>
      <c r="Z32" s="111" t="str">
        <f aca="false">IF($B32="","",الموظفون!$S32*IF(E32="سعودي",cfg_G_SR,cfg_G_NR)*G32/cfg_DAYS_M)</f>
        <v/>
      </c>
      <c r="AA32" s="111" t="str">
        <f aca="false">IF($B32="","",الموظفون!$Q32*(cfg_EOS_R1*(MIN(AH32,cfg_EOS_TH)-MIN(AI32,cfg_EOS_TH))+cfg_EOS_R2*(MAX(AH32-cfg_EOS_TH,0)-MAX(AI32-cfg_EOS_TH,0))))</f>
        <v/>
      </c>
      <c r="AB32" s="111" t="str">
        <f aca="false">IF($B32="","",IF(الموظفون!$T32&lt;&gt;"",الموظفون!$T32,IF(AH32&gt;=cfg_LV_TH,cfg_LV_D2,cfg_LV_D1))/cfg_DAYS_Y*AJ32*الموظفون!$R32/cfg_DAYS_M)</f>
        <v/>
      </c>
      <c r="AC32" s="111" t="str">
        <f aca="false">IF($B32="","",IF(AND(الموظفون!$U32="نعم",N(الموظفون!$W32)&gt;0),الموظفون!$V32/الموظفون!$W32*12/cfg_DAYS_Y*AJ32,0))</f>
        <v/>
      </c>
      <c r="AD32" s="111" t="str">
        <f aca="false">IF($B32="","",(IF(الموظفون!$X32&lt;&gt;"",الموظفون!$X32,IF(الموظفون!$E32="غير سعودي",cfg_IQ,0))+IF(الموظفون!$Y32&lt;&gt;"",الموظفون!$Y32,IF(الموظفون!$E32="غير سعودي",cfg_WP,0)))/12*G32/cfg_DAYS_M)</f>
        <v/>
      </c>
      <c r="AE32" s="111" t="str">
        <f aca="false">IF($B32="","",IF(الموظفون!$Z32&lt;&gt;"",الموظفون!$Z32,cfg_MED)/12*G32/cfg_DAYS_M)</f>
        <v/>
      </c>
      <c r="AF32" s="111" t="str">
        <f aca="false">IF($B32="","",N(الموظفون!$AA32)/12*G32/cfg_DAYS_M)</f>
        <v/>
      </c>
      <c r="AG32" s="154" t="str">
        <f aca="false">IF($B32="","",T32+SUM(Z32:AF32))</f>
        <v/>
      </c>
      <c r="AH32" s="155" t="str">
        <f aca="false">IF($B32="","",MAX(0,IF(OR(الموظفون!$AE32="",الموظفون!$AE32&gt;$F$3),$F$3,الموظفون!$AE32)-الموظفون!$H32+1-SUMIFS('سجل الإجازات والحالات'!$AQ$6:$AQ$505,'سجل الإجازات والحالات'!$B$6:$B$505,$B32))/cfg_DAYS_Y)</f>
        <v/>
      </c>
      <c r="AI32" s="155" t="str">
        <f aca="false">IF($B32="","",MAX(0,IF(OR(الموظفون!$AE32="",الموظفون!$AE32&gt;($E$3-1)),($E$3-1),الموظفون!$AE32)-الموظفون!$H32+1-SUMIFS('سجل الإجازات والحالات'!$AP$6:$AP$505,'سجل الإجازات والحالات'!$B$6:$B$505,$B32))/cfg_DAYS_Y)</f>
        <v/>
      </c>
      <c r="AJ32" s="65" t="str">
        <f aca="false">IF($B32="","",MAX(0,AK32-(SUMIFS('سجل الإجازات والحالات'!$AQ$6:$AQ$505,'سجل الإجازات والحالات'!$B$6:$B$505,$B32)-SUMIFS('سجل الإجازات والحالات'!$AP$6:$AP$505,'سجل الإجازات والحالات'!$B$6:$B$505,$B32))))</f>
        <v/>
      </c>
      <c r="AK32" s="65" t="str">
        <f aca="false">IF($B32="","",MAX(0,IF(OR(الموظفون!$AE32="",الموظفون!$AE32&gt;$F$3),$F$3,الموظفون!$AE32)-MAX($E$3,الموظفون!$H32)+1))</f>
        <v/>
      </c>
      <c r="AL32" s="151" t="str">
        <f aca="false">IF($B32="","",SUMIFS('سجل الإجازات والحالات'!$BC$6:$BC$505,'سجل الإجازات والحالات'!$B$6:$B$505,$B32)+SUMIFS('الحركات الشهرية'!$K$6:$K$1005,'الحركات الشهرية'!$B$6:$B$1005,$B32,'الحركات الشهرية'!$A$6:$A$1005,$C$3))</f>
        <v/>
      </c>
      <c r="AM32" s="111" t="str">
        <f aca="false">IF($B32="","",AL32*الموظفون!$R32/cfg_DAYS_M+S32)</f>
        <v/>
      </c>
      <c r="AN32" s="151" t="str">
        <f aca="false">IF($B32="","",SUMIFS('سجل الإجازات والحالات'!$AE$6:$AE$505,'سجل الإجازات والحالات'!$B$6:$B$505,$B32))</f>
        <v/>
      </c>
    </row>
    <row r="33" customFormat="false" ht="15" hidden="false" customHeight="false" outlineLevel="0" collapsed="false">
      <c r="A33" s="115" t="str">
        <f aca="false">IF($B33="","",الموظفون!$A33)</f>
        <v/>
      </c>
      <c r="B33" s="117" t="str">
        <f aca="false">IF(الموظفون!$B33="","",الموظفون!$B33)</f>
        <v/>
      </c>
      <c r="C33" s="117" t="str">
        <f aca="false">IF($B33="","",الموظفون!$C33)</f>
        <v/>
      </c>
      <c r="D33" s="117" t="str">
        <f aca="false">IF($B33="","",الموظفون!$F33)</f>
        <v/>
      </c>
      <c r="E33" s="117" t="str">
        <f aca="false">IF($B33="","",الموظفون!$E33)</f>
        <v/>
      </c>
      <c r="F33" s="117" t="str">
        <f aca="false">IF($B33="","",IF(AK33=0,IF(AND(الموظفون!$AE33&lt;&gt;"",الموظفون!$AE33&lt;$E$3),"✖ منتهي الخدمة","⏳ لم يباشر"),IF(S33&gt;0,"✈ راتب إجازة مقدم",IF(J33=0,"⛔ بدون راتب هذا الشهر",IF(I33&gt;0,"✈ خصم "&amp;ROUND(I33,2)&amp;" يوم بدون أجر",IF(AL33&gt;0,"🌴 إجازة سنوية "&amp;ROUND(AL33,2)&amp;" يوم",IF(H33&gt;0,"⚠ غياب "&amp;ROUND(H33,2)&amp;" يوم","✔ على رأس العمل")))))))</f>
        <v/>
      </c>
      <c r="G33" s="156" t="str">
        <f aca="false">IF($B33="","",IF(AK33&gt;=DAY($F$3),cfg_DAYS_M,MIN(AK33,cfg_DAYS_M)))</f>
        <v/>
      </c>
      <c r="H33" s="156" t="str">
        <f aca="false">IF($B33="","",SUMIFS('الحركات الشهرية'!$D$6:$D$1005,'الحركات الشهرية'!$B$6:$B$1005,$B33,'الحركات الشهرية'!$A$6:$A$1005,$C$3))</f>
        <v/>
      </c>
      <c r="I33" s="156" t="str">
        <f aca="false">IF($B33="","",MIN(G33,IF(AND(AK33&gt;0,AN33&gt;=AK33),G33,AN33)+SUMIFS('الحركات الشهرية'!$E$6:$E$1005,'الحركات الشهرية'!$B$6:$B$1005,$B33,'الحركات الشهرية'!$A$6:$A$1005,$C$3)))</f>
        <v/>
      </c>
      <c r="J33" s="156" t="str">
        <f aca="false">IF($B33="","",MAX(0,G33-H33-I33))</f>
        <v/>
      </c>
      <c r="K33" s="116" t="str">
        <f aca="false">IF($B33="","",الموظفون!$L33*$J33/cfg_DAYS_M)</f>
        <v/>
      </c>
      <c r="L33" s="116" t="str">
        <f aca="false">IF($B33="","",الموظفون!$M33*$J33/cfg_DAYS_M)</f>
        <v/>
      </c>
      <c r="M33" s="116" t="str">
        <f aca="false">IF($B33="","",الموظفون!$N33*$J33/cfg_DAYS_M)</f>
        <v/>
      </c>
      <c r="N33" s="116" t="str">
        <f aca="false">IF($B33="","",الموظفون!$O33*$J33/cfg_DAYS_M)</f>
        <v/>
      </c>
      <c r="O33" s="156" t="str">
        <f aca="false">IF($B33="","",SUMIFS('الحركات الشهرية'!$F$6:$F$1005,'الحركات الشهرية'!$B$6:$B$1005,$B33,'الحركات الشهرية'!$A$6:$A$1005,$C$3))</f>
        <v/>
      </c>
      <c r="P33" s="116" t="str">
        <f aca="false">IF($B33="","",O33*(الموظفون!$P33+الموظفون!$L33*cfg_OT_P)/cfg_DAYS_M/cfg_HRS)</f>
        <v/>
      </c>
      <c r="Q33" s="116" t="str">
        <f aca="false">IF($B33="","",SUMIFS('الحركات الشهرية'!$G$6:$G$1005,'الحركات الشهرية'!$B$6:$B$1005,$B33,'الحركات الشهرية'!$A$6:$A$1005,$C$3))</f>
        <v/>
      </c>
      <c r="R33" s="116" t="str">
        <f aca="false">IF($B33="","",SUMIFS('الحركات الشهرية'!$H$6:$H$1005,'الحركات الشهرية'!$B$6:$B$1005,$B33,'الحركات الشهرية'!$A$6:$A$1005,$C$3))</f>
        <v/>
      </c>
      <c r="S33" s="116" t="str">
        <f aca="false">IF($B33="","",SUMIFS('سجل الإجازات والحالات'!$N$6:$N$505,'سجل الإجازات والحالات'!$B$6:$B$505,$B33,'سجل الإجازات والحالات'!$O$6:$O$505,$C$3))</f>
        <v/>
      </c>
      <c r="T33" s="157" t="str">
        <f aca="false">IF($B33="","",SUM(K33:N33)+SUM(P33:S33))</f>
        <v/>
      </c>
      <c r="U33" s="116" t="str">
        <f aca="false">IF($B33="","",الموظفون!$S33*IF(E33="سعودي",cfg_G_SE,cfg_G_NE)*G33/cfg_DAYS_M)</f>
        <v/>
      </c>
      <c r="V33" s="116" t="str">
        <f aca="false">IF($B33="","",SUMIFS('الحركات الشهرية'!$I$6:$I$1005,'الحركات الشهرية'!$B$6:$B$1005,$B33,'الحركات الشهرية'!$A$6:$A$1005,$C$3))</f>
        <v/>
      </c>
      <c r="W33" s="116" t="str">
        <f aca="false">IF($B33="","",SUMIFS('الحركات الشهرية'!$J$6:$J$1005,'الحركات الشهرية'!$B$6:$B$1005,$B33,'الحركات الشهرية'!$A$6:$A$1005,$C$3))</f>
        <v/>
      </c>
      <c r="X33" s="116" t="str">
        <f aca="false">IF($B33="","",SUM(U33:W33))</f>
        <v/>
      </c>
      <c r="Y33" s="158" t="str">
        <f aca="false">IF($B33="","",T33-X33)</f>
        <v/>
      </c>
      <c r="Z33" s="116" t="str">
        <f aca="false">IF($B33="","",الموظفون!$S33*IF(E33="سعودي",cfg_G_SR,cfg_G_NR)*G33/cfg_DAYS_M)</f>
        <v/>
      </c>
      <c r="AA33" s="116" t="str">
        <f aca="false">IF($B33="","",الموظفون!$Q33*(cfg_EOS_R1*(MIN(AH33,cfg_EOS_TH)-MIN(AI33,cfg_EOS_TH))+cfg_EOS_R2*(MAX(AH33-cfg_EOS_TH,0)-MAX(AI33-cfg_EOS_TH,0))))</f>
        <v/>
      </c>
      <c r="AB33" s="116" t="str">
        <f aca="false">IF($B33="","",IF(الموظفون!$T33&lt;&gt;"",الموظفون!$T33,IF(AH33&gt;=cfg_LV_TH,cfg_LV_D2,cfg_LV_D1))/cfg_DAYS_Y*AJ33*الموظفون!$R33/cfg_DAYS_M)</f>
        <v/>
      </c>
      <c r="AC33" s="116" t="str">
        <f aca="false">IF($B33="","",IF(AND(الموظفون!$U33="نعم",N(الموظفون!$W33)&gt;0),الموظفون!$V33/الموظفون!$W33*12/cfg_DAYS_Y*AJ33,0))</f>
        <v/>
      </c>
      <c r="AD33" s="116" t="str">
        <f aca="false">IF($B33="","",(IF(الموظفون!$X33&lt;&gt;"",الموظفون!$X33,IF(الموظفون!$E33="غير سعودي",cfg_IQ,0))+IF(الموظفون!$Y33&lt;&gt;"",الموظفون!$Y33,IF(الموظفون!$E33="غير سعودي",cfg_WP,0)))/12*G33/cfg_DAYS_M)</f>
        <v/>
      </c>
      <c r="AE33" s="116" t="str">
        <f aca="false">IF($B33="","",IF(الموظفون!$Z33&lt;&gt;"",الموظفون!$Z33,cfg_MED)/12*G33/cfg_DAYS_M)</f>
        <v/>
      </c>
      <c r="AF33" s="116" t="str">
        <f aca="false">IF($B33="","",N(الموظفون!$AA33)/12*G33/cfg_DAYS_M)</f>
        <v/>
      </c>
      <c r="AG33" s="159" t="str">
        <f aca="false">IF($B33="","",T33+SUM(Z33:AF33))</f>
        <v/>
      </c>
      <c r="AH33" s="160" t="str">
        <f aca="false">IF($B33="","",MAX(0,IF(OR(الموظفون!$AE33="",الموظفون!$AE33&gt;$F$3),$F$3,الموظفون!$AE33)-الموظفون!$H33+1-SUMIFS('سجل الإجازات والحالات'!$AQ$6:$AQ$505,'سجل الإجازات والحالات'!$B$6:$B$505,$B33))/cfg_DAYS_Y)</f>
        <v/>
      </c>
      <c r="AI33" s="160" t="str">
        <f aca="false">IF($B33="","",MAX(0,IF(OR(الموظفون!$AE33="",الموظفون!$AE33&gt;($E$3-1)),($E$3-1),الموظفون!$AE33)-الموظفون!$H33+1-SUMIFS('سجل الإجازات والحالات'!$AP$6:$AP$505,'سجل الإجازات والحالات'!$B$6:$B$505,$B33))/cfg_DAYS_Y)</f>
        <v/>
      </c>
      <c r="AJ33" s="133" t="str">
        <f aca="false">IF($B33="","",MAX(0,AK33-(SUMIFS('سجل الإجازات والحالات'!$AQ$6:$AQ$505,'سجل الإجازات والحالات'!$B$6:$B$505,$B33)-SUMIFS('سجل الإجازات والحالات'!$AP$6:$AP$505,'سجل الإجازات والحالات'!$B$6:$B$505,$B33))))</f>
        <v/>
      </c>
      <c r="AK33" s="133" t="str">
        <f aca="false">IF($B33="","",MAX(0,IF(OR(الموظفون!$AE33="",الموظفون!$AE33&gt;$F$3),$F$3,الموظفون!$AE33)-MAX($E$3,الموظفون!$H33)+1))</f>
        <v/>
      </c>
      <c r="AL33" s="156" t="str">
        <f aca="false">IF($B33="","",SUMIFS('سجل الإجازات والحالات'!$BC$6:$BC$505,'سجل الإجازات والحالات'!$B$6:$B$505,$B33)+SUMIFS('الحركات الشهرية'!$K$6:$K$1005,'الحركات الشهرية'!$B$6:$B$1005,$B33,'الحركات الشهرية'!$A$6:$A$1005,$C$3))</f>
        <v/>
      </c>
      <c r="AM33" s="116" t="str">
        <f aca="false">IF($B33="","",AL33*الموظفون!$R33/cfg_DAYS_M+S33)</f>
        <v/>
      </c>
      <c r="AN33" s="156" t="str">
        <f aca="false">IF($B33="","",SUMIFS('سجل الإجازات والحالات'!$AE$6:$AE$505,'سجل الإجازات والحالات'!$B$6:$B$505,$B33))</f>
        <v/>
      </c>
    </row>
    <row r="34" customFormat="false" ht="15" hidden="false" customHeight="false" outlineLevel="0" collapsed="false">
      <c r="A34" s="106" t="str">
        <f aca="false">IF($B34="","",الموظفون!$A34)</f>
        <v/>
      </c>
      <c r="B34" s="114" t="str">
        <f aca="false">IF(الموظفون!$B34="","",الموظفون!$B34)</f>
        <v/>
      </c>
      <c r="C34" s="114" t="str">
        <f aca="false">IF($B34="","",الموظفون!$C34)</f>
        <v/>
      </c>
      <c r="D34" s="114" t="str">
        <f aca="false">IF($B34="","",الموظفون!$F34)</f>
        <v/>
      </c>
      <c r="E34" s="114" t="str">
        <f aca="false">IF($B34="","",الموظفون!$E34)</f>
        <v/>
      </c>
      <c r="F34" s="114" t="str">
        <f aca="false">IF($B34="","",IF(AK34=0,IF(AND(الموظفون!$AE34&lt;&gt;"",الموظفون!$AE34&lt;$E$3),"✖ منتهي الخدمة","⏳ لم يباشر"),IF(S34&gt;0,"✈ راتب إجازة مقدم",IF(J34=0,"⛔ بدون راتب هذا الشهر",IF(I34&gt;0,"✈ خصم "&amp;ROUND(I34,2)&amp;" يوم بدون أجر",IF(AL34&gt;0,"🌴 إجازة سنوية "&amp;ROUND(AL34,2)&amp;" يوم",IF(H34&gt;0,"⚠ غياب "&amp;ROUND(H34,2)&amp;" يوم","✔ على رأس العمل")))))))</f>
        <v/>
      </c>
      <c r="G34" s="151" t="str">
        <f aca="false">IF($B34="","",IF(AK34&gt;=DAY($F$3),cfg_DAYS_M,MIN(AK34,cfg_DAYS_M)))</f>
        <v/>
      </c>
      <c r="H34" s="151" t="str">
        <f aca="false">IF($B34="","",SUMIFS('الحركات الشهرية'!$D$6:$D$1005,'الحركات الشهرية'!$B$6:$B$1005,$B34,'الحركات الشهرية'!$A$6:$A$1005,$C$3))</f>
        <v/>
      </c>
      <c r="I34" s="151" t="str">
        <f aca="false">IF($B34="","",MIN(G34,IF(AND(AK34&gt;0,AN34&gt;=AK34),G34,AN34)+SUMIFS('الحركات الشهرية'!$E$6:$E$1005,'الحركات الشهرية'!$B$6:$B$1005,$B34,'الحركات الشهرية'!$A$6:$A$1005,$C$3)))</f>
        <v/>
      </c>
      <c r="J34" s="151" t="str">
        <f aca="false">IF($B34="","",MAX(0,G34-H34-I34))</f>
        <v/>
      </c>
      <c r="K34" s="111" t="str">
        <f aca="false">IF($B34="","",الموظفون!$L34*$J34/cfg_DAYS_M)</f>
        <v/>
      </c>
      <c r="L34" s="111" t="str">
        <f aca="false">IF($B34="","",الموظفون!$M34*$J34/cfg_DAYS_M)</f>
        <v/>
      </c>
      <c r="M34" s="111" t="str">
        <f aca="false">IF($B34="","",الموظفون!$N34*$J34/cfg_DAYS_M)</f>
        <v/>
      </c>
      <c r="N34" s="111" t="str">
        <f aca="false">IF($B34="","",الموظفون!$O34*$J34/cfg_DAYS_M)</f>
        <v/>
      </c>
      <c r="O34" s="151" t="str">
        <f aca="false">IF($B34="","",SUMIFS('الحركات الشهرية'!$F$6:$F$1005,'الحركات الشهرية'!$B$6:$B$1005,$B34,'الحركات الشهرية'!$A$6:$A$1005,$C$3))</f>
        <v/>
      </c>
      <c r="P34" s="111" t="str">
        <f aca="false">IF($B34="","",O34*(الموظفون!$P34+الموظفون!$L34*cfg_OT_P)/cfg_DAYS_M/cfg_HRS)</f>
        <v/>
      </c>
      <c r="Q34" s="111" t="str">
        <f aca="false">IF($B34="","",SUMIFS('الحركات الشهرية'!$G$6:$G$1005,'الحركات الشهرية'!$B$6:$B$1005,$B34,'الحركات الشهرية'!$A$6:$A$1005,$C$3))</f>
        <v/>
      </c>
      <c r="R34" s="111" t="str">
        <f aca="false">IF($B34="","",SUMIFS('الحركات الشهرية'!$H$6:$H$1005,'الحركات الشهرية'!$B$6:$B$1005,$B34,'الحركات الشهرية'!$A$6:$A$1005,$C$3))</f>
        <v/>
      </c>
      <c r="S34" s="111" t="str">
        <f aca="false">IF($B34="","",SUMIFS('سجل الإجازات والحالات'!$N$6:$N$505,'سجل الإجازات والحالات'!$B$6:$B$505,$B34,'سجل الإجازات والحالات'!$O$6:$O$505,$C$3))</f>
        <v/>
      </c>
      <c r="T34" s="152" t="str">
        <f aca="false">IF($B34="","",SUM(K34:N34)+SUM(P34:S34))</f>
        <v/>
      </c>
      <c r="U34" s="111" t="str">
        <f aca="false">IF($B34="","",الموظفون!$S34*IF(E34="سعودي",cfg_G_SE,cfg_G_NE)*G34/cfg_DAYS_M)</f>
        <v/>
      </c>
      <c r="V34" s="111" t="str">
        <f aca="false">IF($B34="","",SUMIFS('الحركات الشهرية'!$I$6:$I$1005,'الحركات الشهرية'!$B$6:$B$1005,$B34,'الحركات الشهرية'!$A$6:$A$1005,$C$3))</f>
        <v/>
      </c>
      <c r="W34" s="111" t="str">
        <f aca="false">IF($B34="","",SUMIFS('الحركات الشهرية'!$J$6:$J$1005,'الحركات الشهرية'!$B$6:$B$1005,$B34,'الحركات الشهرية'!$A$6:$A$1005,$C$3))</f>
        <v/>
      </c>
      <c r="X34" s="111" t="str">
        <f aca="false">IF($B34="","",SUM(U34:W34))</f>
        <v/>
      </c>
      <c r="Y34" s="153" t="str">
        <f aca="false">IF($B34="","",T34-X34)</f>
        <v/>
      </c>
      <c r="Z34" s="111" t="str">
        <f aca="false">IF($B34="","",الموظفون!$S34*IF(E34="سعودي",cfg_G_SR,cfg_G_NR)*G34/cfg_DAYS_M)</f>
        <v/>
      </c>
      <c r="AA34" s="111" t="str">
        <f aca="false">IF($B34="","",الموظفون!$Q34*(cfg_EOS_R1*(MIN(AH34,cfg_EOS_TH)-MIN(AI34,cfg_EOS_TH))+cfg_EOS_R2*(MAX(AH34-cfg_EOS_TH,0)-MAX(AI34-cfg_EOS_TH,0))))</f>
        <v/>
      </c>
      <c r="AB34" s="111" t="str">
        <f aca="false">IF($B34="","",IF(الموظفون!$T34&lt;&gt;"",الموظفون!$T34,IF(AH34&gt;=cfg_LV_TH,cfg_LV_D2,cfg_LV_D1))/cfg_DAYS_Y*AJ34*الموظفون!$R34/cfg_DAYS_M)</f>
        <v/>
      </c>
      <c r="AC34" s="111" t="str">
        <f aca="false">IF($B34="","",IF(AND(الموظفون!$U34="نعم",N(الموظفون!$W34)&gt;0),الموظفون!$V34/الموظفون!$W34*12/cfg_DAYS_Y*AJ34,0))</f>
        <v/>
      </c>
      <c r="AD34" s="111" t="str">
        <f aca="false">IF($B34="","",(IF(الموظفون!$X34&lt;&gt;"",الموظفون!$X34,IF(الموظفون!$E34="غير سعودي",cfg_IQ,0))+IF(الموظفون!$Y34&lt;&gt;"",الموظفون!$Y34,IF(الموظفون!$E34="غير سعودي",cfg_WP,0)))/12*G34/cfg_DAYS_M)</f>
        <v/>
      </c>
      <c r="AE34" s="111" t="str">
        <f aca="false">IF($B34="","",IF(الموظفون!$Z34&lt;&gt;"",الموظفون!$Z34,cfg_MED)/12*G34/cfg_DAYS_M)</f>
        <v/>
      </c>
      <c r="AF34" s="111" t="str">
        <f aca="false">IF($B34="","",N(الموظفون!$AA34)/12*G34/cfg_DAYS_M)</f>
        <v/>
      </c>
      <c r="AG34" s="154" t="str">
        <f aca="false">IF($B34="","",T34+SUM(Z34:AF34))</f>
        <v/>
      </c>
      <c r="AH34" s="155" t="str">
        <f aca="false">IF($B34="","",MAX(0,IF(OR(الموظفون!$AE34="",الموظفون!$AE34&gt;$F$3),$F$3,الموظفون!$AE34)-الموظفون!$H34+1-SUMIFS('سجل الإجازات والحالات'!$AQ$6:$AQ$505,'سجل الإجازات والحالات'!$B$6:$B$505,$B34))/cfg_DAYS_Y)</f>
        <v/>
      </c>
      <c r="AI34" s="155" t="str">
        <f aca="false">IF($B34="","",MAX(0,IF(OR(الموظفون!$AE34="",الموظفون!$AE34&gt;($E$3-1)),($E$3-1),الموظفون!$AE34)-الموظفون!$H34+1-SUMIFS('سجل الإجازات والحالات'!$AP$6:$AP$505,'سجل الإجازات والحالات'!$B$6:$B$505,$B34))/cfg_DAYS_Y)</f>
        <v/>
      </c>
      <c r="AJ34" s="65" t="str">
        <f aca="false">IF($B34="","",MAX(0,AK34-(SUMIFS('سجل الإجازات والحالات'!$AQ$6:$AQ$505,'سجل الإجازات والحالات'!$B$6:$B$505,$B34)-SUMIFS('سجل الإجازات والحالات'!$AP$6:$AP$505,'سجل الإجازات والحالات'!$B$6:$B$505,$B34))))</f>
        <v/>
      </c>
      <c r="AK34" s="65" t="str">
        <f aca="false">IF($B34="","",MAX(0,IF(OR(الموظفون!$AE34="",الموظفون!$AE34&gt;$F$3),$F$3,الموظفون!$AE34)-MAX($E$3,الموظفون!$H34)+1))</f>
        <v/>
      </c>
      <c r="AL34" s="151" t="str">
        <f aca="false">IF($B34="","",SUMIFS('سجل الإجازات والحالات'!$BC$6:$BC$505,'سجل الإجازات والحالات'!$B$6:$B$505,$B34)+SUMIFS('الحركات الشهرية'!$K$6:$K$1005,'الحركات الشهرية'!$B$6:$B$1005,$B34,'الحركات الشهرية'!$A$6:$A$1005,$C$3))</f>
        <v/>
      </c>
      <c r="AM34" s="111" t="str">
        <f aca="false">IF($B34="","",AL34*الموظفون!$R34/cfg_DAYS_M+S34)</f>
        <v/>
      </c>
      <c r="AN34" s="151" t="str">
        <f aca="false">IF($B34="","",SUMIFS('سجل الإجازات والحالات'!$AE$6:$AE$505,'سجل الإجازات والحالات'!$B$6:$B$505,$B34))</f>
        <v/>
      </c>
    </row>
    <row r="35" customFormat="false" ht="15" hidden="false" customHeight="false" outlineLevel="0" collapsed="false">
      <c r="A35" s="115" t="str">
        <f aca="false">IF($B35="","",الموظفون!$A35)</f>
        <v/>
      </c>
      <c r="B35" s="117" t="str">
        <f aca="false">IF(الموظفون!$B35="","",الموظفون!$B35)</f>
        <v/>
      </c>
      <c r="C35" s="117" t="str">
        <f aca="false">IF($B35="","",الموظفون!$C35)</f>
        <v/>
      </c>
      <c r="D35" s="117" t="str">
        <f aca="false">IF($B35="","",الموظفون!$F35)</f>
        <v/>
      </c>
      <c r="E35" s="117" t="str">
        <f aca="false">IF($B35="","",الموظفون!$E35)</f>
        <v/>
      </c>
      <c r="F35" s="117" t="str">
        <f aca="false">IF($B35="","",IF(AK35=0,IF(AND(الموظفون!$AE35&lt;&gt;"",الموظفون!$AE35&lt;$E$3),"✖ منتهي الخدمة","⏳ لم يباشر"),IF(S35&gt;0,"✈ راتب إجازة مقدم",IF(J35=0,"⛔ بدون راتب هذا الشهر",IF(I35&gt;0,"✈ خصم "&amp;ROUND(I35,2)&amp;" يوم بدون أجر",IF(AL35&gt;0,"🌴 إجازة سنوية "&amp;ROUND(AL35,2)&amp;" يوم",IF(H35&gt;0,"⚠ غياب "&amp;ROUND(H35,2)&amp;" يوم","✔ على رأس العمل")))))))</f>
        <v/>
      </c>
      <c r="G35" s="156" t="str">
        <f aca="false">IF($B35="","",IF(AK35&gt;=DAY($F$3),cfg_DAYS_M,MIN(AK35,cfg_DAYS_M)))</f>
        <v/>
      </c>
      <c r="H35" s="156" t="str">
        <f aca="false">IF($B35="","",SUMIFS('الحركات الشهرية'!$D$6:$D$1005,'الحركات الشهرية'!$B$6:$B$1005,$B35,'الحركات الشهرية'!$A$6:$A$1005,$C$3))</f>
        <v/>
      </c>
      <c r="I35" s="156" t="str">
        <f aca="false">IF($B35="","",MIN(G35,IF(AND(AK35&gt;0,AN35&gt;=AK35),G35,AN35)+SUMIFS('الحركات الشهرية'!$E$6:$E$1005,'الحركات الشهرية'!$B$6:$B$1005,$B35,'الحركات الشهرية'!$A$6:$A$1005,$C$3)))</f>
        <v/>
      </c>
      <c r="J35" s="156" t="str">
        <f aca="false">IF($B35="","",MAX(0,G35-H35-I35))</f>
        <v/>
      </c>
      <c r="K35" s="116" t="str">
        <f aca="false">IF($B35="","",الموظفون!$L35*$J35/cfg_DAYS_M)</f>
        <v/>
      </c>
      <c r="L35" s="116" t="str">
        <f aca="false">IF($B35="","",الموظفون!$M35*$J35/cfg_DAYS_M)</f>
        <v/>
      </c>
      <c r="M35" s="116" t="str">
        <f aca="false">IF($B35="","",الموظفون!$N35*$J35/cfg_DAYS_M)</f>
        <v/>
      </c>
      <c r="N35" s="116" t="str">
        <f aca="false">IF($B35="","",الموظفون!$O35*$J35/cfg_DAYS_M)</f>
        <v/>
      </c>
      <c r="O35" s="156" t="str">
        <f aca="false">IF($B35="","",SUMIFS('الحركات الشهرية'!$F$6:$F$1005,'الحركات الشهرية'!$B$6:$B$1005,$B35,'الحركات الشهرية'!$A$6:$A$1005,$C$3))</f>
        <v/>
      </c>
      <c r="P35" s="116" t="str">
        <f aca="false">IF($B35="","",O35*(الموظفون!$P35+الموظفون!$L35*cfg_OT_P)/cfg_DAYS_M/cfg_HRS)</f>
        <v/>
      </c>
      <c r="Q35" s="116" t="str">
        <f aca="false">IF($B35="","",SUMIFS('الحركات الشهرية'!$G$6:$G$1005,'الحركات الشهرية'!$B$6:$B$1005,$B35,'الحركات الشهرية'!$A$6:$A$1005,$C$3))</f>
        <v/>
      </c>
      <c r="R35" s="116" t="str">
        <f aca="false">IF($B35="","",SUMIFS('الحركات الشهرية'!$H$6:$H$1005,'الحركات الشهرية'!$B$6:$B$1005,$B35,'الحركات الشهرية'!$A$6:$A$1005,$C$3))</f>
        <v/>
      </c>
      <c r="S35" s="116" t="str">
        <f aca="false">IF($B35="","",SUMIFS('سجل الإجازات والحالات'!$N$6:$N$505,'سجل الإجازات والحالات'!$B$6:$B$505,$B35,'سجل الإجازات والحالات'!$O$6:$O$505,$C$3))</f>
        <v/>
      </c>
      <c r="T35" s="157" t="str">
        <f aca="false">IF($B35="","",SUM(K35:N35)+SUM(P35:S35))</f>
        <v/>
      </c>
      <c r="U35" s="116" t="str">
        <f aca="false">IF($B35="","",الموظفون!$S35*IF(E35="سعودي",cfg_G_SE,cfg_G_NE)*G35/cfg_DAYS_M)</f>
        <v/>
      </c>
      <c r="V35" s="116" t="str">
        <f aca="false">IF($B35="","",SUMIFS('الحركات الشهرية'!$I$6:$I$1005,'الحركات الشهرية'!$B$6:$B$1005,$B35,'الحركات الشهرية'!$A$6:$A$1005,$C$3))</f>
        <v/>
      </c>
      <c r="W35" s="116" t="str">
        <f aca="false">IF($B35="","",SUMIFS('الحركات الشهرية'!$J$6:$J$1005,'الحركات الشهرية'!$B$6:$B$1005,$B35,'الحركات الشهرية'!$A$6:$A$1005,$C$3))</f>
        <v/>
      </c>
      <c r="X35" s="116" t="str">
        <f aca="false">IF($B35="","",SUM(U35:W35))</f>
        <v/>
      </c>
      <c r="Y35" s="158" t="str">
        <f aca="false">IF($B35="","",T35-X35)</f>
        <v/>
      </c>
      <c r="Z35" s="116" t="str">
        <f aca="false">IF($B35="","",الموظفون!$S35*IF(E35="سعودي",cfg_G_SR,cfg_G_NR)*G35/cfg_DAYS_M)</f>
        <v/>
      </c>
      <c r="AA35" s="116" t="str">
        <f aca="false">IF($B35="","",الموظفون!$Q35*(cfg_EOS_R1*(MIN(AH35,cfg_EOS_TH)-MIN(AI35,cfg_EOS_TH))+cfg_EOS_R2*(MAX(AH35-cfg_EOS_TH,0)-MAX(AI35-cfg_EOS_TH,0))))</f>
        <v/>
      </c>
      <c r="AB35" s="116" t="str">
        <f aca="false">IF($B35="","",IF(الموظفون!$T35&lt;&gt;"",الموظفون!$T35,IF(AH35&gt;=cfg_LV_TH,cfg_LV_D2,cfg_LV_D1))/cfg_DAYS_Y*AJ35*الموظفون!$R35/cfg_DAYS_M)</f>
        <v/>
      </c>
      <c r="AC35" s="116" t="str">
        <f aca="false">IF($B35="","",IF(AND(الموظفون!$U35="نعم",N(الموظفون!$W35)&gt;0),الموظفون!$V35/الموظفون!$W35*12/cfg_DAYS_Y*AJ35,0))</f>
        <v/>
      </c>
      <c r="AD35" s="116" t="str">
        <f aca="false">IF($B35="","",(IF(الموظفون!$X35&lt;&gt;"",الموظفون!$X35,IF(الموظفون!$E35="غير سعودي",cfg_IQ,0))+IF(الموظفون!$Y35&lt;&gt;"",الموظفون!$Y35,IF(الموظفون!$E35="غير سعودي",cfg_WP,0)))/12*G35/cfg_DAYS_M)</f>
        <v/>
      </c>
      <c r="AE35" s="116" t="str">
        <f aca="false">IF($B35="","",IF(الموظفون!$Z35&lt;&gt;"",الموظفون!$Z35,cfg_MED)/12*G35/cfg_DAYS_M)</f>
        <v/>
      </c>
      <c r="AF35" s="116" t="str">
        <f aca="false">IF($B35="","",N(الموظفون!$AA35)/12*G35/cfg_DAYS_M)</f>
        <v/>
      </c>
      <c r="AG35" s="159" t="str">
        <f aca="false">IF($B35="","",T35+SUM(Z35:AF35))</f>
        <v/>
      </c>
      <c r="AH35" s="160" t="str">
        <f aca="false">IF($B35="","",MAX(0,IF(OR(الموظفون!$AE35="",الموظفون!$AE35&gt;$F$3),$F$3,الموظفون!$AE35)-الموظفون!$H35+1-SUMIFS('سجل الإجازات والحالات'!$AQ$6:$AQ$505,'سجل الإجازات والحالات'!$B$6:$B$505,$B35))/cfg_DAYS_Y)</f>
        <v/>
      </c>
      <c r="AI35" s="160" t="str">
        <f aca="false">IF($B35="","",MAX(0,IF(OR(الموظفون!$AE35="",الموظفون!$AE35&gt;($E$3-1)),($E$3-1),الموظفون!$AE35)-الموظفون!$H35+1-SUMIFS('سجل الإجازات والحالات'!$AP$6:$AP$505,'سجل الإجازات والحالات'!$B$6:$B$505,$B35))/cfg_DAYS_Y)</f>
        <v/>
      </c>
      <c r="AJ35" s="133" t="str">
        <f aca="false">IF($B35="","",MAX(0,AK35-(SUMIFS('سجل الإجازات والحالات'!$AQ$6:$AQ$505,'سجل الإجازات والحالات'!$B$6:$B$505,$B35)-SUMIFS('سجل الإجازات والحالات'!$AP$6:$AP$505,'سجل الإجازات والحالات'!$B$6:$B$505,$B35))))</f>
        <v/>
      </c>
      <c r="AK35" s="133" t="str">
        <f aca="false">IF($B35="","",MAX(0,IF(OR(الموظفون!$AE35="",الموظفون!$AE35&gt;$F$3),$F$3,الموظفون!$AE35)-MAX($E$3,الموظفون!$H35)+1))</f>
        <v/>
      </c>
      <c r="AL35" s="156" t="str">
        <f aca="false">IF($B35="","",SUMIFS('سجل الإجازات والحالات'!$BC$6:$BC$505,'سجل الإجازات والحالات'!$B$6:$B$505,$B35)+SUMIFS('الحركات الشهرية'!$K$6:$K$1005,'الحركات الشهرية'!$B$6:$B$1005,$B35,'الحركات الشهرية'!$A$6:$A$1005,$C$3))</f>
        <v/>
      </c>
      <c r="AM35" s="116" t="str">
        <f aca="false">IF($B35="","",AL35*الموظفون!$R35/cfg_DAYS_M+S35)</f>
        <v/>
      </c>
      <c r="AN35" s="156" t="str">
        <f aca="false">IF($B35="","",SUMIFS('سجل الإجازات والحالات'!$AE$6:$AE$505,'سجل الإجازات والحالات'!$B$6:$B$505,$B35))</f>
        <v/>
      </c>
    </row>
    <row r="36" customFormat="false" ht="15" hidden="false" customHeight="false" outlineLevel="0" collapsed="false">
      <c r="A36" s="106" t="str">
        <f aca="false">IF($B36="","",الموظفون!$A36)</f>
        <v/>
      </c>
      <c r="B36" s="114" t="str">
        <f aca="false">IF(الموظفون!$B36="","",الموظفون!$B36)</f>
        <v/>
      </c>
      <c r="C36" s="114" t="str">
        <f aca="false">IF($B36="","",الموظفون!$C36)</f>
        <v/>
      </c>
      <c r="D36" s="114" t="str">
        <f aca="false">IF($B36="","",الموظفون!$F36)</f>
        <v/>
      </c>
      <c r="E36" s="114" t="str">
        <f aca="false">IF($B36="","",الموظفون!$E36)</f>
        <v/>
      </c>
      <c r="F36" s="114" t="str">
        <f aca="false">IF($B36="","",IF(AK36=0,IF(AND(الموظفون!$AE36&lt;&gt;"",الموظفون!$AE36&lt;$E$3),"✖ منتهي الخدمة","⏳ لم يباشر"),IF(S36&gt;0,"✈ راتب إجازة مقدم",IF(J36=0,"⛔ بدون راتب هذا الشهر",IF(I36&gt;0,"✈ خصم "&amp;ROUND(I36,2)&amp;" يوم بدون أجر",IF(AL36&gt;0,"🌴 إجازة سنوية "&amp;ROUND(AL36,2)&amp;" يوم",IF(H36&gt;0,"⚠ غياب "&amp;ROUND(H36,2)&amp;" يوم","✔ على رأس العمل")))))))</f>
        <v/>
      </c>
      <c r="G36" s="151" t="str">
        <f aca="false">IF($B36="","",IF(AK36&gt;=DAY($F$3),cfg_DAYS_M,MIN(AK36,cfg_DAYS_M)))</f>
        <v/>
      </c>
      <c r="H36" s="151" t="str">
        <f aca="false">IF($B36="","",SUMIFS('الحركات الشهرية'!$D$6:$D$1005,'الحركات الشهرية'!$B$6:$B$1005,$B36,'الحركات الشهرية'!$A$6:$A$1005,$C$3))</f>
        <v/>
      </c>
      <c r="I36" s="151" t="str">
        <f aca="false">IF($B36="","",MIN(G36,IF(AND(AK36&gt;0,AN36&gt;=AK36),G36,AN36)+SUMIFS('الحركات الشهرية'!$E$6:$E$1005,'الحركات الشهرية'!$B$6:$B$1005,$B36,'الحركات الشهرية'!$A$6:$A$1005,$C$3)))</f>
        <v/>
      </c>
      <c r="J36" s="151" t="str">
        <f aca="false">IF($B36="","",MAX(0,G36-H36-I36))</f>
        <v/>
      </c>
      <c r="K36" s="111" t="str">
        <f aca="false">IF($B36="","",الموظفون!$L36*$J36/cfg_DAYS_M)</f>
        <v/>
      </c>
      <c r="L36" s="111" t="str">
        <f aca="false">IF($B36="","",الموظفون!$M36*$J36/cfg_DAYS_M)</f>
        <v/>
      </c>
      <c r="M36" s="111" t="str">
        <f aca="false">IF($B36="","",الموظفون!$N36*$J36/cfg_DAYS_M)</f>
        <v/>
      </c>
      <c r="N36" s="111" t="str">
        <f aca="false">IF($B36="","",الموظفون!$O36*$J36/cfg_DAYS_M)</f>
        <v/>
      </c>
      <c r="O36" s="151" t="str">
        <f aca="false">IF($B36="","",SUMIFS('الحركات الشهرية'!$F$6:$F$1005,'الحركات الشهرية'!$B$6:$B$1005,$B36,'الحركات الشهرية'!$A$6:$A$1005,$C$3))</f>
        <v/>
      </c>
      <c r="P36" s="111" t="str">
        <f aca="false">IF($B36="","",O36*(الموظفون!$P36+الموظفون!$L36*cfg_OT_P)/cfg_DAYS_M/cfg_HRS)</f>
        <v/>
      </c>
      <c r="Q36" s="111" t="str">
        <f aca="false">IF($B36="","",SUMIFS('الحركات الشهرية'!$G$6:$G$1005,'الحركات الشهرية'!$B$6:$B$1005,$B36,'الحركات الشهرية'!$A$6:$A$1005,$C$3))</f>
        <v/>
      </c>
      <c r="R36" s="111" t="str">
        <f aca="false">IF($B36="","",SUMIFS('الحركات الشهرية'!$H$6:$H$1005,'الحركات الشهرية'!$B$6:$B$1005,$B36,'الحركات الشهرية'!$A$6:$A$1005,$C$3))</f>
        <v/>
      </c>
      <c r="S36" s="111" t="str">
        <f aca="false">IF($B36="","",SUMIFS('سجل الإجازات والحالات'!$N$6:$N$505,'سجل الإجازات والحالات'!$B$6:$B$505,$B36,'سجل الإجازات والحالات'!$O$6:$O$505,$C$3))</f>
        <v/>
      </c>
      <c r="T36" s="152" t="str">
        <f aca="false">IF($B36="","",SUM(K36:N36)+SUM(P36:S36))</f>
        <v/>
      </c>
      <c r="U36" s="111" t="str">
        <f aca="false">IF($B36="","",الموظفون!$S36*IF(E36="سعودي",cfg_G_SE,cfg_G_NE)*G36/cfg_DAYS_M)</f>
        <v/>
      </c>
      <c r="V36" s="111" t="str">
        <f aca="false">IF($B36="","",SUMIFS('الحركات الشهرية'!$I$6:$I$1005,'الحركات الشهرية'!$B$6:$B$1005,$B36,'الحركات الشهرية'!$A$6:$A$1005,$C$3))</f>
        <v/>
      </c>
      <c r="W36" s="111" t="str">
        <f aca="false">IF($B36="","",SUMIFS('الحركات الشهرية'!$J$6:$J$1005,'الحركات الشهرية'!$B$6:$B$1005,$B36,'الحركات الشهرية'!$A$6:$A$1005,$C$3))</f>
        <v/>
      </c>
      <c r="X36" s="111" t="str">
        <f aca="false">IF($B36="","",SUM(U36:W36))</f>
        <v/>
      </c>
      <c r="Y36" s="153" t="str">
        <f aca="false">IF($B36="","",T36-X36)</f>
        <v/>
      </c>
      <c r="Z36" s="111" t="str">
        <f aca="false">IF($B36="","",الموظفون!$S36*IF(E36="سعودي",cfg_G_SR,cfg_G_NR)*G36/cfg_DAYS_M)</f>
        <v/>
      </c>
      <c r="AA36" s="111" t="str">
        <f aca="false">IF($B36="","",الموظفون!$Q36*(cfg_EOS_R1*(MIN(AH36,cfg_EOS_TH)-MIN(AI36,cfg_EOS_TH))+cfg_EOS_R2*(MAX(AH36-cfg_EOS_TH,0)-MAX(AI36-cfg_EOS_TH,0))))</f>
        <v/>
      </c>
      <c r="AB36" s="111" t="str">
        <f aca="false">IF($B36="","",IF(الموظفون!$T36&lt;&gt;"",الموظفون!$T36,IF(AH36&gt;=cfg_LV_TH,cfg_LV_D2,cfg_LV_D1))/cfg_DAYS_Y*AJ36*الموظفون!$R36/cfg_DAYS_M)</f>
        <v/>
      </c>
      <c r="AC36" s="111" t="str">
        <f aca="false">IF($B36="","",IF(AND(الموظفون!$U36="نعم",N(الموظفون!$W36)&gt;0),الموظفون!$V36/الموظفون!$W36*12/cfg_DAYS_Y*AJ36,0))</f>
        <v/>
      </c>
      <c r="AD36" s="111" t="str">
        <f aca="false">IF($B36="","",(IF(الموظفون!$X36&lt;&gt;"",الموظفون!$X36,IF(الموظفون!$E36="غير سعودي",cfg_IQ,0))+IF(الموظفون!$Y36&lt;&gt;"",الموظفون!$Y36,IF(الموظفون!$E36="غير سعودي",cfg_WP,0)))/12*G36/cfg_DAYS_M)</f>
        <v/>
      </c>
      <c r="AE36" s="111" t="str">
        <f aca="false">IF($B36="","",IF(الموظفون!$Z36&lt;&gt;"",الموظفون!$Z36,cfg_MED)/12*G36/cfg_DAYS_M)</f>
        <v/>
      </c>
      <c r="AF36" s="111" t="str">
        <f aca="false">IF($B36="","",N(الموظفون!$AA36)/12*G36/cfg_DAYS_M)</f>
        <v/>
      </c>
      <c r="AG36" s="154" t="str">
        <f aca="false">IF($B36="","",T36+SUM(Z36:AF36))</f>
        <v/>
      </c>
      <c r="AH36" s="155" t="str">
        <f aca="false">IF($B36="","",MAX(0,IF(OR(الموظفون!$AE36="",الموظفون!$AE36&gt;$F$3),$F$3,الموظفون!$AE36)-الموظفون!$H36+1-SUMIFS('سجل الإجازات والحالات'!$AQ$6:$AQ$505,'سجل الإجازات والحالات'!$B$6:$B$505,$B36))/cfg_DAYS_Y)</f>
        <v/>
      </c>
      <c r="AI36" s="155" t="str">
        <f aca="false">IF($B36="","",MAX(0,IF(OR(الموظفون!$AE36="",الموظفون!$AE36&gt;($E$3-1)),($E$3-1),الموظفون!$AE36)-الموظفون!$H36+1-SUMIFS('سجل الإجازات والحالات'!$AP$6:$AP$505,'سجل الإجازات والحالات'!$B$6:$B$505,$B36))/cfg_DAYS_Y)</f>
        <v/>
      </c>
      <c r="AJ36" s="65" t="str">
        <f aca="false">IF($B36="","",MAX(0,AK36-(SUMIFS('سجل الإجازات والحالات'!$AQ$6:$AQ$505,'سجل الإجازات والحالات'!$B$6:$B$505,$B36)-SUMIFS('سجل الإجازات والحالات'!$AP$6:$AP$505,'سجل الإجازات والحالات'!$B$6:$B$505,$B36))))</f>
        <v/>
      </c>
      <c r="AK36" s="65" t="str">
        <f aca="false">IF($B36="","",MAX(0,IF(OR(الموظفون!$AE36="",الموظفون!$AE36&gt;$F$3),$F$3,الموظفون!$AE36)-MAX($E$3,الموظفون!$H36)+1))</f>
        <v/>
      </c>
      <c r="AL36" s="151" t="str">
        <f aca="false">IF($B36="","",SUMIFS('سجل الإجازات والحالات'!$BC$6:$BC$505,'سجل الإجازات والحالات'!$B$6:$B$505,$B36)+SUMIFS('الحركات الشهرية'!$K$6:$K$1005,'الحركات الشهرية'!$B$6:$B$1005,$B36,'الحركات الشهرية'!$A$6:$A$1005,$C$3))</f>
        <v/>
      </c>
      <c r="AM36" s="111" t="str">
        <f aca="false">IF($B36="","",AL36*الموظفون!$R36/cfg_DAYS_M+S36)</f>
        <v/>
      </c>
      <c r="AN36" s="151" t="str">
        <f aca="false">IF($B36="","",SUMIFS('سجل الإجازات والحالات'!$AE$6:$AE$505,'سجل الإجازات والحالات'!$B$6:$B$505,$B36))</f>
        <v/>
      </c>
    </row>
    <row r="37" customFormat="false" ht="15" hidden="false" customHeight="false" outlineLevel="0" collapsed="false">
      <c r="A37" s="115" t="str">
        <f aca="false">IF($B37="","",الموظفون!$A37)</f>
        <v/>
      </c>
      <c r="B37" s="117" t="str">
        <f aca="false">IF(الموظفون!$B37="","",الموظفون!$B37)</f>
        <v/>
      </c>
      <c r="C37" s="117" t="str">
        <f aca="false">IF($B37="","",الموظفون!$C37)</f>
        <v/>
      </c>
      <c r="D37" s="117" t="str">
        <f aca="false">IF($B37="","",الموظفون!$F37)</f>
        <v/>
      </c>
      <c r="E37" s="117" t="str">
        <f aca="false">IF($B37="","",الموظفون!$E37)</f>
        <v/>
      </c>
      <c r="F37" s="117" t="str">
        <f aca="false">IF($B37="","",IF(AK37=0,IF(AND(الموظفون!$AE37&lt;&gt;"",الموظفون!$AE37&lt;$E$3),"✖ منتهي الخدمة","⏳ لم يباشر"),IF(S37&gt;0,"✈ راتب إجازة مقدم",IF(J37=0,"⛔ بدون راتب هذا الشهر",IF(I37&gt;0,"✈ خصم "&amp;ROUND(I37,2)&amp;" يوم بدون أجر",IF(AL37&gt;0,"🌴 إجازة سنوية "&amp;ROUND(AL37,2)&amp;" يوم",IF(H37&gt;0,"⚠ غياب "&amp;ROUND(H37,2)&amp;" يوم","✔ على رأس العمل")))))))</f>
        <v/>
      </c>
      <c r="G37" s="156" t="str">
        <f aca="false">IF($B37="","",IF(AK37&gt;=DAY($F$3),cfg_DAYS_M,MIN(AK37,cfg_DAYS_M)))</f>
        <v/>
      </c>
      <c r="H37" s="156" t="str">
        <f aca="false">IF($B37="","",SUMIFS('الحركات الشهرية'!$D$6:$D$1005,'الحركات الشهرية'!$B$6:$B$1005,$B37,'الحركات الشهرية'!$A$6:$A$1005,$C$3))</f>
        <v/>
      </c>
      <c r="I37" s="156" t="str">
        <f aca="false">IF($B37="","",MIN(G37,IF(AND(AK37&gt;0,AN37&gt;=AK37),G37,AN37)+SUMIFS('الحركات الشهرية'!$E$6:$E$1005,'الحركات الشهرية'!$B$6:$B$1005,$B37,'الحركات الشهرية'!$A$6:$A$1005,$C$3)))</f>
        <v/>
      </c>
      <c r="J37" s="156" t="str">
        <f aca="false">IF($B37="","",MAX(0,G37-H37-I37))</f>
        <v/>
      </c>
      <c r="K37" s="116" t="str">
        <f aca="false">IF($B37="","",الموظفون!$L37*$J37/cfg_DAYS_M)</f>
        <v/>
      </c>
      <c r="L37" s="116" t="str">
        <f aca="false">IF($B37="","",الموظفون!$M37*$J37/cfg_DAYS_M)</f>
        <v/>
      </c>
      <c r="M37" s="116" t="str">
        <f aca="false">IF($B37="","",الموظفون!$N37*$J37/cfg_DAYS_M)</f>
        <v/>
      </c>
      <c r="N37" s="116" t="str">
        <f aca="false">IF($B37="","",الموظفون!$O37*$J37/cfg_DAYS_M)</f>
        <v/>
      </c>
      <c r="O37" s="156" t="str">
        <f aca="false">IF($B37="","",SUMIFS('الحركات الشهرية'!$F$6:$F$1005,'الحركات الشهرية'!$B$6:$B$1005,$B37,'الحركات الشهرية'!$A$6:$A$1005,$C$3))</f>
        <v/>
      </c>
      <c r="P37" s="116" t="str">
        <f aca="false">IF($B37="","",O37*(الموظفون!$P37+الموظفون!$L37*cfg_OT_P)/cfg_DAYS_M/cfg_HRS)</f>
        <v/>
      </c>
      <c r="Q37" s="116" t="str">
        <f aca="false">IF($B37="","",SUMIFS('الحركات الشهرية'!$G$6:$G$1005,'الحركات الشهرية'!$B$6:$B$1005,$B37,'الحركات الشهرية'!$A$6:$A$1005,$C$3))</f>
        <v/>
      </c>
      <c r="R37" s="116" t="str">
        <f aca="false">IF($B37="","",SUMIFS('الحركات الشهرية'!$H$6:$H$1005,'الحركات الشهرية'!$B$6:$B$1005,$B37,'الحركات الشهرية'!$A$6:$A$1005,$C$3))</f>
        <v/>
      </c>
      <c r="S37" s="116" t="str">
        <f aca="false">IF($B37="","",SUMIFS('سجل الإجازات والحالات'!$N$6:$N$505,'سجل الإجازات والحالات'!$B$6:$B$505,$B37,'سجل الإجازات والحالات'!$O$6:$O$505,$C$3))</f>
        <v/>
      </c>
      <c r="T37" s="157" t="str">
        <f aca="false">IF($B37="","",SUM(K37:N37)+SUM(P37:S37))</f>
        <v/>
      </c>
      <c r="U37" s="116" t="str">
        <f aca="false">IF($B37="","",الموظفون!$S37*IF(E37="سعودي",cfg_G_SE,cfg_G_NE)*G37/cfg_DAYS_M)</f>
        <v/>
      </c>
      <c r="V37" s="116" t="str">
        <f aca="false">IF($B37="","",SUMIFS('الحركات الشهرية'!$I$6:$I$1005,'الحركات الشهرية'!$B$6:$B$1005,$B37,'الحركات الشهرية'!$A$6:$A$1005,$C$3))</f>
        <v/>
      </c>
      <c r="W37" s="116" t="str">
        <f aca="false">IF($B37="","",SUMIFS('الحركات الشهرية'!$J$6:$J$1005,'الحركات الشهرية'!$B$6:$B$1005,$B37,'الحركات الشهرية'!$A$6:$A$1005,$C$3))</f>
        <v/>
      </c>
      <c r="X37" s="116" t="str">
        <f aca="false">IF($B37="","",SUM(U37:W37))</f>
        <v/>
      </c>
      <c r="Y37" s="158" t="str">
        <f aca="false">IF($B37="","",T37-X37)</f>
        <v/>
      </c>
      <c r="Z37" s="116" t="str">
        <f aca="false">IF($B37="","",الموظفون!$S37*IF(E37="سعودي",cfg_G_SR,cfg_G_NR)*G37/cfg_DAYS_M)</f>
        <v/>
      </c>
      <c r="AA37" s="116" t="str">
        <f aca="false">IF($B37="","",الموظفون!$Q37*(cfg_EOS_R1*(MIN(AH37,cfg_EOS_TH)-MIN(AI37,cfg_EOS_TH))+cfg_EOS_R2*(MAX(AH37-cfg_EOS_TH,0)-MAX(AI37-cfg_EOS_TH,0))))</f>
        <v/>
      </c>
      <c r="AB37" s="116" t="str">
        <f aca="false">IF($B37="","",IF(الموظفون!$T37&lt;&gt;"",الموظفون!$T37,IF(AH37&gt;=cfg_LV_TH,cfg_LV_D2,cfg_LV_D1))/cfg_DAYS_Y*AJ37*الموظفون!$R37/cfg_DAYS_M)</f>
        <v/>
      </c>
      <c r="AC37" s="116" t="str">
        <f aca="false">IF($B37="","",IF(AND(الموظفون!$U37="نعم",N(الموظفون!$W37)&gt;0),الموظفون!$V37/الموظفون!$W37*12/cfg_DAYS_Y*AJ37,0))</f>
        <v/>
      </c>
      <c r="AD37" s="116" t="str">
        <f aca="false">IF($B37="","",(IF(الموظفون!$X37&lt;&gt;"",الموظفون!$X37,IF(الموظفون!$E37="غير سعودي",cfg_IQ,0))+IF(الموظفون!$Y37&lt;&gt;"",الموظفون!$Y37,IF(الموظفون!$E37="غير سعودي",cfg_WP,0)))/12*G37/cfg_DAYS_M)</f>
        <v/>
      </c>
      <c r="AE37" s="116" t="str">
        <f aca="false">IF($B37="","",IF(الموظفون!$Z37&lt;&gt;"",الموظفون!$Z37,cfg_MED)/12*G37/cfg_DAYS_M)</f>
        <v/>
      </c>
      <c r="AF37" s="116" t="str">
        <f aca="false">IF($B37="","",N(الموظفون!$AA37)/12*G37/cfg_DAYS_M)</f>
        <v/>
      </c>
      <c r="AG37" s="159" t="str">
        <f aca="false">IF($B37="","",T37+SUM(Z37:AF37))</f>
        <v/>
      </c>
      <c r="AH37" s="160" t="str">
        <f aca="false">IF($B37="","",MAX(0,IF(OR(الموظفون!$AE37="",الموظفون!$AE37&gt;$F$3),$F$3,الموظفون!$AE37)-الموظفون!$H37+1-SUMIFS('سجل الإجازات والحالات'!$AQ$6:$AQ$505,'سجل الإجازات والحالات'!$B$6:$B$505,$B37))/cfg_DAYS_Y)</f>
        <v/>
      </c>
      <c r="AI37" s="160" t="str">
        <f aca="false">IF($B37="","",MAX(0,IF(OR(الموظفون!$AE37="",الموظفون!$AE37&gt;($E$3-1)),($E$3-1),الموظفون!$AE37)-الموظفون!$H37+1-SUMIFS('سجل الإجازات والحالات'!$AP$6:$AP$505,'سجل الإجازات والحالات'!$B$6:$B$505,$B37))/cfg_DAYS_Y)</f>
        <v/>
      </c>
      <c r="AJ37" s="133" t="str">
        <f aca="false">IF($B37="","",MAX(0,AK37-(SUMIFS('سجل الإجازات والحالات'!$AQ$6:$AQ$505,'سجل الإجازات والحالات'!$B$6:$B$505,$B37)-SUMIFS('سجل الإجازات والحالات'!$AP$6:$AP$505,'سجل الإجازات والحالات'!$B$6:$B$505,$B37))))</f>
        <v/>
      </c>
      <c r="AK37" s="133" t="str">
        <f aca="false">IF($B37="","",MAX(0,IF(OR(الموظفون!$AE37="",الموظفون!$AE37&gt;$F$3),$F$3,الموظفون!$AE37)-MAX($E$3,الموظفون!$H37)+1))</f>
        <v/>
      </c>
      <c r="AL37" s="156" t="str">
        <f aca="false">IF($B37="","",SUMIFS('سجل الإجازات والحالات'!$BC$6:$BC$505,'سجل الإجازات والحالات'!$B$6:$B$505,$B37)+SUMIFS('الحركات الشهرية'!$K$6:$K$1005,'الحركات الشهرية'!$B$6:$B$1005,$B37,'الحركات الشهرية'!$A$6:$A$1005,$C$3))</f>
        <v/>
      </c>
      <c r="AM37" s="116" t="str">
        <f aca="false">IF($B37="","",AL37*الموظفون!$R37/cfg_DAYS_M+S37)</f>
        <v/>
      </c>
      <c r="AN37" s="156" t="str">
        <f aca="false">IF($B37="","",SUMIFS('سجل الإجازات والحالات'!$AE$6:$AE$505,'سجل الإجازات والحالات'!$B$6:$B$505,$B37))</f>
        <v/>
      </c>
    </row>
    <row r="38" customFormat="false" ht="15" hidden="false" customHeight="false" outlineLevel="0" collapsed="false">
      <c r="A38" s="106" t="str">
        <f aca="false">IF($B38="","",الموظفون!$A38)</f>
        <v/>
      </c>
      <c r="B38" s="114" t="str">
        <f aca="false">IF(الموظفون!$B38="","",الموظفون!$B38)</f>
        <v/>
      </c>
      <c r="C38" s="114" t="str">
        <f aca="false">IF($B38="","",الموظفون!$C38)</f>
        <v/>
      </c>
      <c r="D38" s="114" t="str">
        <f aca="false">IF($B38="","",الموظفون!$F38)</f>
        <v/>
      </c>
      <c r="E38" s="114" t="str">
        <f aca="false">IF($B38="","",الموظفون!$E38)</f>
        <v/>
      </c>
      <c r="F38" s="114" t="str">
        <f aca="false">IF($B38="","",IF(AK38=0,IF(AND(الموظفون!$AE38&lt;&gt;"",الموظفون!$AE38&lt;$E$3),"✖ منتهي الخدمة","⏳ لم يباشر"),IF(S38&gt;0,"✈ راتب إجازة مقدم",IF(J38=0,"⛔ بدون راتب هذا الشهر",IF(I38&gt;0,"✈ خصم "&amp;ROUND(I38,2)&amp;" يوم بدون أجر",IF(AL38&gt;0,"🌴 إجازة سنوية "&amp;ROUND(AL38,2)&amp;" يوم",IF(H38&gt;0,"⚠ غياب "&amp;ROUND(H38,2)&amp;" يوم","✔ على رأس العمل")))))))</f>
        <v/>
      </c>
      <c r="G38" s="151" t="str">
        <f aca="false">IF($B38="","",IF(AK38&gt;=DAY($F$3),cfg_DAYS_M,MIN(AK38,cfg_DAYS_M)))</f>
        <v/>
      </c>
      <c r="H38" s="151" t="str">
        <f aca="false">IF($B38="","",SUMIFS('الحركات الشهرية'!$D$6:$D$1005,'الحركات الشهرية'!$B$6:$B$1005,$B38,'الحركات الشهرية'!$A$6:$A$1005,$C$3))</f>
        <v/>
      </c>
      <c r="I38" s="151" t="str">
        <f aca="false">IF($B38="","",MIN(G38,IF(AND(AK38&gt;0,AN38&gt;=AK38),G38,AN38)+SUMIFS('الحركات الشهرية'!$E$6:$E$1005,'الحركات الشهرية'!$B$6:$B$1005,$B38,'الحركات الشهرية'!$A$6:$A$1005,$C$3)))</f>
        <v/>
      </c>
      <c r="J38" s="151" t="str">
        <f aca="false">IF($B38="","",MAX(0,G38-H38-I38))</f>
        <v/>
      </c>
      <c r="K38" s="111" t="str">
        <f aca="false">IF($B38="","",الموظفون!$L38*$J38/cfg_DAYS_M)</f>
        <v/>
      </c>
      <c r="L38" s="111" t="str">
        <f aca="false">IF($B38="","",الموظفون!$M38*$J38/cfg_DAYS_M)</f>
        <v/>
      </c>
      <c r="M38" s="111" t="str">
        <f aca="false">IF($B38="","",الموظفون!$N38*$J38/cfg_DAYS_M)</f>
        <v/>
      </c>
      <c r="N38" s="111" t="str">
        <f aca="false">IF($B38="","",الموظفون!$O38*$J38/cfg_DAYS_M)</f>
        <v/>
      </c>
      <c r="O38" s="151" t="str">
        <f aca="false">IF($B38="","",SUMIFS('الحركات الشهرية'!$F$6:$F$1005,'الحركات الشهرية'!$B$6:$B$1005,$B38,'الحركات الشهرية'!$A$6:$A$1005,$C$3))</f>
        <v/>
      </c>
      <c r="P38" s="111" t="str">
        <f aca="false">IF($B38="","",O38*(الموظفون!$P38+الموظفون!$L38*cfg_OT_P)/cfg_DAYS_M/cfg_HRS)</f>
        <v/>
      </c>
      <c r="Q38" s="111" t="str">
        <f aca="false">IF($B38="","",SUMIFS('الحركات الشهرية'!$G$6:$G$1005,'الحركات الشهرية'!$B$6:$B$1005,$B38,'الحركات الشهرية'!$A$6:$A$1005,$C$3))</f>
        <v/>
      </c>
      <c r="R38" s="111" t="str">
        <f aca="false">IF($B38="","",SUMIFS('الحركات الشهرية'!$H$6:$H$1005,'الحركات الشهرية'!$B$6:$B$1005,$B38,'الحركات الشهرية'!$A$6:$A$1005,$C$3))</f>
        <v/>
      </c>
      <c r="S38" s="111" t="str">
        <f aca="false">IF($B38="","",SUMIFS('سجل الإجازات والحالات'!$N$6:$N$505,'سجل الإجازات والحالات'!$B$6:$B$505,$B38,'سجل الإجازات والحالات'!$O$6:$O$505,$C$3))</f>
        <v/>
      </c>
      <c r="T38" s="152" t="str">
        <f aca="false">IF($B38="","",SUM(K38:N38)+SUM(P38:S38))</f>
        <v/>
      </c>
      <c r="U38" s="111" t="str">
        <f aca="false">IF($B38="","",الموظفون!$S38*IF(E38="سعودي",cfg_G_SE,cfg_G_NE)*G38/cfg_DAYS_M)</f>
        <v/>
      </c>
      <c r="V38" s="111" t="str">
        <f aca="false">IF($B38="","",SUMIFS('الحركات الشهرية'!$I$6:$I$1005,'الحركات الشهرية'!$B$6:$B$1005,$B38,'الحركات الشهرية'!$A$6:$A$1005,$C$3))</f>
        <v/>
      </c>
      <c r="W38" s="111" t="str">
        <f aca="false">IF($B38="","",SUMIFS('الحركات الشهرية'!$J$6:$J$1005,'الحركات الشهرية'!$B$6:$B$1005,$B38,'الحركات الشهرية'!$A$6:$A$1005,$C$3))</f>
        <v/>
      </c>
      <c r="X38" s="111" t="str">
        <f aca="false">IF($B38="","",SUM(U38:W38))</f>
        <v/>
      </c>
      <c r="Y38" s="153" t="str">
        <f aca="false">IF($B38="","",T38-X38)</f>
        <v/>
      </c>
      <c r="Z38" s="111" t="str">
        <f aca="false">IF($B38="","",الموظفون!$S38*IF(E38="سعودي",cfg_G_SR,cfg_G_NR)*G38/cfg_DAYS_M)</f>
        <v/>
      </c>
      <c r="AA38" s="111" t="str">
        <f aca="false">IF($B38="","",الموظفون!$Q38*(cfg_EOS_R1*(MIN(AH38,cfg_EOS_TH)-MIN(AI38,cfg_EOS_TH))+cfg_EOS_R2*(MAX(AH38-cfg_EOS_TH,0)-MAX(AI38-cfg_EOS_TH,0))))</f>
        <v/>
      </c>
      <c r="AB38" s="111" t="str">
        <f aca="false">IF($B38="","",IF(الموظفون!$T38&lt;&gt;"",الموظفون!$T38,IF(AH38&gt;=cfg_LV_TH,cfg_LV_D2,cfg_LV_D1))/cfg_DAYS_Y*AJ38*الموظفون!$R38/cfg_DAYS_M)</f>
        <v/>
      </c>
      <c r="AC38" s="111" t="str">
        <f aca="false">IF($B38="","",IF(AND(الموظفون!$U38="نعم",N(الموظفون!$W38)&gt;0),الموظفون!$V38/الموظفون!$W38*12/cfg_DAYS_Y*AJ38,0))</f>
        <v/>
      </c>
      <c r="AD38" s="111" t="str">
        <f aca="false">IF($B38="","",(IF(الموظفون!$X38&lt;&gt;"",الموظفون!$X38,IF(الموظفون!$E38="غير سعودي",cfg_IQ,0))+IF(الموظفون!$Y38&lt;&gt;"",الموظفون!$Y38,IF(الموظفون!$E38="غير سعودي",cfg_WP,0)))/12*G38/cfg_DAYS_M)</f>
        <v/>
      </c>
      <c r="AE38" s="111" t="str">
        <f aca="false">IF($B38="","",IF(الموظفون!$Z38&lt;&gt;"",الموظفون!$Z38,cfg_MED)/12*G38/cfg_DAYS_M)</f>
        <v/>
      </c>
      <c r="AF38" s="111" t="str">
        <f aca="false">IF($B38="","",N(الموظفون!$AA38)/12*G38/cfg_DAYS_M)</f>
        <v/>
      </c>
      <c r="AG38" s="154" t="str">
        <f aca="false">IF($B38="","",T38+SUM(Z38:AF38))</f>
        <v/>
      </c>
      <c r="AH38" s="155" t="str">
        <f aca="false">IF($B38="","",MAX(0,IF(OR(الموظفون!$AE38="",الموظفون!$AE38&gt;$F$3),$F$3,الموظفون!$AE38)-الموظفون!$H38+1-SUMIFS('سجل الإجازات والحالات'!$AQ$6:$AQ$505,'سجل الإجازات والحالات'!$B$6:$B$505,$B38))/cfg_DAYS_Y)</f>
        <v/>
      </c>
      <c r="AI38" s="155" t="str">
        <f aca="false">IF($B38="","",MAX(0,IF(OR(الموظفون!$AE38="",الموظفون!$AE38&gt;($E$3-1)),($E$3-1),الموظفون!$AE38)-الموظفون!$H38+1-SUMIFS('سجل الإجازات والحالات'!$AP$6:$AP$505,'سجل الإجازات والحالات'!$B$6:$B$505,$B38))/cfg_DAYS_Y)</f>
        <v/>
      </c>
      <c r="AJ38" s="65" t="str">
        <f aca="false">IF($B38="","",MAX(0,AK38-(SUMIFS('سجل الإجازات والحالات'!$AQ$6:$AQ$505,'سجل الإجازات والحالات'!$B$6:$B$505,$B38)-SUMIFS('سجل الإجازات والحالات'!$AP$6:$AP$505,'سجل الإجازات والحالات'!$B$6:$B$505,$B38))))</f>
        <v/>
      </c>
      <c r="AK38" s="65" t="str">
        <f aca="false">IF($B38="","",MAX(0,IF(OR(الموظفون!$AE38="",الموظفون!$AE38&gt;$F$3),$F$3,الموظفون!$AE38)-MAX($E$3,الموظفون!$H38)+1))</f>
        <v/>
      </c>
      <c r="AL38" s="151" t="str">
        <f aca="false">IF($B38="","",SUMIFS('سجل الإجازات والحالات'!$BC$6:$BC$505,'سجل الإجازات والحالات'!$B$6:$B$505,$B38)+SUMIFS('الحركات الشهرية'!$K$6:$K$1005,'الحركات الشهرية'!$B$6:$B$1005,$B38,'الحركات الشهرية'!$A$6:$A$1005,$C$3))</f>
        <v/>
      </c>
      <c r="AM38" s="111" t="str">
        <f aca="false">IF($B38="","",AL38*الموظفون!$R38/cfg_DAYS_M+S38)</f>
        <v/>
      </c>
      <c r="AN38" s="151" t="str">
        <f aca="false">IF($B38="","",SUMIFS('سجل الإجازات والحالات'!$AE$6:$AE$505,'سجل الإجازات والحالات'!$B$6:$B$505,$B38))</f>
        <v/>
      </c>
    </row>
    <row r="39" customFormat="false" ht="15" hidden="false" customHeight="false" outlineLevel="0" collapsed="false">
      <c r="A39" s="115" t="str">
        <f aca="false">IF($B39="","",الموظفون!$A39)</f>
        <v/>
      </c>
      <c r="B39" s="117" t="str">
        <f aca="false">IF(الموظفون!$B39="","",الموظفون!$B39)</f>
        <v/>
      </c>
      <c r="C39" s="117" t="str">
        <f aca="false">IF($B39="","",الموظفون!$C39)</f>
        <v/>
      </c>
      <c r="D39" s="117" t="str">
        <f aca="false">IF($B39="","",الموظفون!$F39)</f>
        <v/>
      </c>
      <c r="E39" s="117" t="str">
        <f aca="false">IF($B39="","",الموظفون!$E39)</f>
        <v/>
      </c>
      <c r="F39" s="117" t="str">
        <f aca="false">IF($B39="","",IF(AK39=0,IF(AND(الموظفون!$AE39&lt;&gt;"",الموظفون!$AE39&lt;$E$3),"✖ منتهي الخدمة","⏳ لم يباشر"),IF(S39&gt;0,"✈ راتب إجازة مقدم",IF(J39=0,"⛔ بدون راتب هذا الشهر",IF(I39&gt;0,"✈ خصم "&amp;ROUND(I39,2)&amp;" يوم بدون أجر",IF(AL39&gt;0,"🌴 إجازة سنوية "&amp;ROUND(AL39,2)&amp;" يوم",IF(H39&gt;0,"⚠ غياب "&amp;ROUND(H39,2)&amp;" يوم","✔ على رأس العمل")))))))</f>
        <v/>
      </c>
      <c r="G39" s="156" t="str">
        <f aca="false">IF($B39="","",IF(AK39&gt;=DAY($F$3),cfg_DAYS_M,MIN(AK39,cfg_DAYS_M)))</f>
        <v/>
      </c>
      <c r="H39" s="156" t="str">
        <f aca="false">IF($B39="","",SUMIFS('الحركات الشهرية'!$D$6:$D$1005,'الحركات الشهرية'!$B$6:$B$1005,$B39,'الحركات الشهرية'!$A$6:$A$1005,$C$3))</f>
        <v/>
      </c>
      <c r="I39" s="156" t="str">
        <f aca="false">IF($B39="","",MIN(G39,IF(AND(AK39&gt;0,AN39&gt;=AK39),G39,AN39)+SUMIFS('الحركات الشهرية'!$E$6:$E$1005,'الحركات الشهرية'!$B$6:$B$1005,$B39,'الحركات الشهرية'!$A$6:$A$1005,$C$3)))</f>
        <v/>
      </c>
      <c r="J39" s="156" t="str">
        <f aca="false">IF($B39="","",MAX(0,G39-H39-I39))</f>
        <v/>
      </c>
      <c r="K39" s="116" t="str">
        <f aca="false">IF($B39="","",الموظفون!$L39*$J39/cfg_DAYS_M)</f>
        <v/>
      </c>
      <c r="L39" s="116" t="str">
        <f aca="false">IF($B39="","",الموظفون!$M39*$J39/cfg_DAYS_M)</f>
        <v/>
      </c>
      <c r="M39" s="116" t="str">
        <f aca="false">IF($B39="","",الموظفون!$N39*$J39/cfg_DAYS_M)</f>
        <v/>
      </c>
      <c r="N39" s="116" t="str">
        <f aca="false">IF($B39="","",الموظفون!$O39*$J39/cfg_DAYS_M)</f>
        <v/>
      </c>
      <c r="O39" s="156" t="str">
        <f aca="false">IF($B39="","",SUMIFS('الحركات الشهرية'!$F$6:$F$1005,'الحركات الشهرية'!$B$6:$B$1005,$B39,'الحركات الشهرية'!$A$6:$A$1005,$C$3))</f>
        <v/>
      </c>
      <c r="P39" s="116" t="str">
        <f aca="false">IF($B39="","",O39*(الموظفون!$P39+الموظفون!$L39*cfg_OT_P)/cfg_DAYS_M/cfg_HRS)</f>
        <v/>
      </c>
      <c r="Q39" s="116" t="str">
        <f aca="false">IF($B39="","",SUMIFS('الحركات الشهرية'!$G$6:$G$1005,'الحركات الشهرية'!$B$6:$B$1005,$B39,'الحركات الشهرية'!$A$6:$A$1005,$C$3))</f>
        <v/>
      </c>
      <c r="R39" s="116" t="str">
        <f aca="false">IF($B39="","",SUMIFS('الحركات الشهرية'!$H$6:$H$1005,'الحركات الشهرية'!$B$6:$B$1005,$B39,'الحركات الشهرية'!$A$6:$A$1005,$C$3))</f>
        <v/>
      </c>
      <c r="S39" s="116" t="str">
        <f aca="false">IF($B39="","",SUMIFS('سجل الإجازات والحالات'!$N$6:$N$505,'سجل الإجازات والحالات'!$B$6:$B$505,$B39,'سجل الإجازات والحالات'!$O$6:$O$505,$C$3))</f>
        <v/>
      </c>
      <c r="T39" s="157" t="str">
        <f aca="false">IF($B39="","",SUM(K39:N39)+SUM(P39:S39))</f>
        <v/>
      </c>
      <c r="U39" s="116" t="str">
        <f aca="false">IF($B39="","",الموظفون!$S39*IF(E39="سعودي",cfg_G_SE,cfg_G_NE)*G39/cfg_DAYS_M)</f>
        <v/>
      </c>
      <c r="V39" s="116" t="str">
        <f aca="false">IF($B39="","",SUMIFS('الحركات الشهرية'!$I$6:$I$1005,'الحركات الشهرية'!$B$6:$B$1005,$B39,'الحركات الشهرية'!$A$6:$A$1005,$C$3))</f>
        <v/>
      </c>
      <c r="W39" s="116" t="str">
        <f aca="false">IF($B39="","",SUMIFS('الحركات الشهرية'!$J$6:$J$1005,'الحركات الشهرية'!$B$6:$B$1005,$B39,'الحركات الشهرية'!$A$6:$A$1005,$C$3))</f>
        <v/>
      </c>
      <c r="X39" s="116" t="str">
        <f aca="false">IF($B39="","",SUM(U39:W39))</f>
        <v/>
      </c>
      <c r="Y39" s="158" t="str">
        <f aca="false">IF($B39="","",T39-X39)</f>
        <v/>
      </c>
      <c r="Z39" s="116" t="str">
        <f aca="false">IF($B39="","",الموظفون!$S39*IF(E39="سعودي",cfg_G_SR,cfg_G_NR)*G39/cfg_DAYS_M)</f>
        <v/>
      </c>
      <c r="AA39" s="116" t="str">
        <f aca="false">IF($B39="","",الموظفون!$Q39*(cfg_EOS_R1*(MIN(AH39,cfg_EOS_TH)-MIN(AI39,cfg_EOS_TH))+cfg_EOS_R2*(MAX(AH39-cfg_EOS_TH,0)-MAX(AI39-cfg_EOS_TH,0))))</f>
        <v/>
      </c>
      <c r="AB39" s="116" t="str">
        <f aca="false">IF($B39="","",IF(الموظفون!$T39&lt;&gt;"",الموظفون!$T39,IF(AH39&gt;=cfg_LV_TH,cfg_LV_D2,cfg_LV_D1))/cfg_DAYS_Y*AJ39*الموظفون!$R39/cfg_DAYS_M)</f>
        <v/>
      </c>
      <c r="AC39" s="116" t="str">
        <f aca="false">IF($B39="","",IF(AND(الموظفون!$U39="نعم",N(الموظفون!$W39)&gt;0),الموظفون!$V39/الموظفون!$W39*12/cfg_DAYS_Y*AJ39,0))</f>
        <v/>
      </c>
      <c r="AD39" s="116" t="str">
        <f aca="false">IF($B39="","",(IF(الموظفون!$X39&lt;&gt;"",الموظفون!$X39,IF(الموظفون!$E39="غير سعودي",cfg_IQ,0))+IF(الموظفون!$Y39&lt;&gt;"",الموظفون!$Y39,IF(الموظفون!$E39="غير سعودي",cfg_WP,0)))/12*G39/cfg_DAYS_M)</f>
        <v/>
      </c>
      <c r="AE39" s="116" t="str">
        <f aca="false">IF($B39="","",IF(الموظفون!$Z39&lt;&gt;"",الموظفون!$Z39,cfg_MED)/12*G39/cfg_DAYS_M)</f>
        <v/>
      </c>
      <c r="AF39" s="116" t="str">
        <f aca="false">IF($B39="","",N(الموظفون!$AA39)/12*G39/cfg_DAYS_M)</f>
        <v/>
      </c>
      <c r="AG39" s="159" t="str">
        <f aca="false">IF($B39="","",T39+SUM(Z39:AF39))</f>
        <v/>
      </c>
      <c r="AH39" s="160" t="str">
        <f aca="false">IF($B39="","",MAX(0,IF(OR(الموظفون!$AE39="",الموظفون!$AE39&gt;$F$3),$F$3,الموظفون!$AE39)-الموظفون!$H39+1-SUMIFS('سجل الإجازات والحالات'!$AQ$6:$AQ$505,'سجل الإجازات والحالات'!$B$6:$B$505,$B39))/cfg_DAYS_Y)</f>
        <v/>
      </c>
      <c r="AI39" s="160" t="str">
        <f aca="false">IF($B39="","",MAX(0,IF(OR(الموظفون!$AE39="",الموظفون!$AE39&gt;($E$3-1)),($E$3-1),الموظفون!$AE39)-الموظفون!$H39+1-SUMIFS('سجل الإجازات والحالات'!$AP$6:$AP$505,'سجل الإجازات والحالات'!$B$6:$B$505,$B39))/cfg_DAYS_Y)</f>
        <v/>
      </c>
      <c r="AJ39" s="133" t="str">
        <f aca="false">IF($B39="","",MAX(0,AK39-(SUMIFS('سجل الإجازات والحالات'!$AQ$6:$AQ$505,'سجل الإجازات والحالات'!$B$6:$B$505,$B39)-SUMIFS('سجل الإجازات والحالات'!$AP$6:$AP$505,'سجل الإجازات والحالات'!$B$6:$B$505,$B39))))</f>
        <v/>
      </c>
      <c r="AK39" s="133" t="str">
        <f aca="false">IF($B39="","",MAX(0,IF(OR(الموظفون!$AE39="",الموظفون!$AE39&gt;$F$3),$F$3,الموظفون!$AE39)-MAX($E$3,الموظفون!$H39)+1))</f>
        <v/>
      </c>
      <c r="AL39" s="156" t="str">
        <f aca="false">IF($B39="","",SUMIFS('سجل الإجازات والحالات'!$BC$6:$BC$505,'سجل الإجازات والحالات'!$B$6:$B$505,$B39)+SUMIFS('الحركات الشهرية'!$K$6:$K$1005,'الحركات الشهرية'!$B$6:$B$1005,$B39,'الحركات الشهرية'!$A$6:$A$1005,$C$3))</f>
        <v/>
      </c>
      <c r="AM39" s="116" t="str">
        <f aca="false">IF($B39="","",AL39*الموظفون!$R39/cfg_DAYS_M+S39)</f>
        <v/>
      </c>
      <c r="AN39" s="156" t="str">
        <f aca="false">IF($B39="","",SUMIFS('سجل الإجازات والحالات'!$AE$6:$AE$505,'سجل الإجازات والحالات'!$B$6:$B$505,$B39))</f>
        <v/>
      </c>
    </row>
    <row r="40" customFormat="false" ht="15" hidden="false" customHeight="false" outlineLevel="0" collapsed="false">
      <c r="A40" s="106" t="str">
        <f aca="false">IF($B40="","",الموظفون!$A40)</f>
        <v/>
      </c>
      <c r="B40" s="114" t="str">
        <f aca="false">IF(الموظفون!$B40="","",الموظفون!$B40)</f>
        <v/>
      </c>
      <c r="C40" s="114" t="str">
        <f aca="false">IF($B40="","",الموظفون!$C40)</f>
        <v/>
      </c>
      <c r="D40" s="114" t="str">
        <f aca="false">IF($B40="","",الموظفون!$F40)</f>
        <v/>
      </c>
      <c r="E40" s="114" t="str">
        <f aca="false">IF($B40="","",الموظفون!$E40)</f>
        <v/>
      </c>
      <c r="F40" s="114" t="str">
        <f aca="false">IF($B40="","",IF(AK40=0,IF(AND(الموظفون!$AE40&lt;&gt;"",الموظفون!$AE40&lt;$E$3),"✖ منتهي الخدمة","⏳ لم يباشر"),IF(S40&gt;0,"✈ راتب إجازة مقدم",IF(J40=0,"⛔ بدون راتب هذا الشهر",IF(I40&gt;0,"✈ خصم "&amp;ROUND(I40,2)&amp;" يوم بدون أجر",IF(AL40&gt;0,"🌴 إجازة سنوية "&amp;ROUND(AL40,2)&amp;" يوم",IF(H40&gt;0,"⚠ غياب "&amp;ROUND(H40,2)&amp;" يوم","✔ على رأس العمل")))))))</f>
        <v/>
      </c>
      <c r="G40" s="151" t="str">
        <f aca="false">IF($B40="","",IF(AK40&gt;=DAY($F$3),cfg_DAYS_M,MIN(AK40,cfg_DAYS_M)))</f>
        <v/>
      </c>
      <c r="H40" s="151" t="str">
        <f aca="false">IF($B40="","",SUMIFS('الحركات الشهرية'!$D$6:$D$1005,'الحركات الشهرية'!$B$6:$B$1005,$B40,'الحركات الشهرية'!$A$6:$A$1005,$C$3))</f>
        <v/>
      </c>
      <c r="I40" s="151" t="str">
        <f aca="false">IF($B40="","",MIN(G40,IF(AND(AK40&gt;0,AN40&gt;=AK40),G40,AN40)+SUMIFS('الحركات الشهرية'!$E$6:$E$1005,'الحركات الشهرية'!$B$6:$B$1005,$B40,'الحركات الشهرية'!$A$6:$A$1005,$C$3)))</f>
        <v/>
      </c>
      <c r="J40" s="151" t="str">
        <f aca="false">IF($B40="","",MAX(0,G40-H40-I40))</f>
        <v/>
      </c>
      <c r="K40" s="111" t="str">
        <f aca="false">IF($B40="","",الموظفون!$L40*$J40/cfg_DAYS_M)</f>
        <v/>
      </c>
      <c r="L40" s="111" t="str">
        <f aca="false">IF($B40="","",الموظفون!$M40*$J40/cfg_DAYS_M)</f>
        <v/>
      </c>
      <c r="M40" s="111" t="str">
        <f aca="false">IF($B40="","",الموظفون!$N40*$J40/cfg_DAYS_M)</f>
        <v/>
      </c>
      <c r="N40" s="111" t="str">
        <f aca="false">IF($B40="","",الموظفون!$O40*$J40/cfg_DAYS_M)</f>
        <v/>
      </c>
      <c r="O40" s="151" t="str">
        <f aca="false">IF($B40="","",SUMIFS('الحركات الشهرية'!$F$6:$F$1005,'الحركات الشهرية'!$B$6:$B$1005,$B40,'الحركات الشهرية'!$A$6:$A$1005,$C$3))</f>
        <v/>
      </c>
      <c r="P40" s="111" t="str">
        <f aca="false">IF($B40="","",O40*(الموظفون!$P40+الموظفون!$L40*cfg_OT_P)/cfg_DAYS_M/cfg_HRS)</f>
        <v/>
      </c>
      <c r="Q40" s="111" t="str">
        <f aca="false">IF($B40="","",SUMIFS('الحركات الشهرية'!$G$6:$G$1005,'الحركات الشهرية'!$B$6:$B$1005,$B40,'الحركات الشهرية'!$A$6:$A$1005,$C$3))</f>
        <v/>
      </c>
      <c r="R40" s="111" t="str">
        <f aca="false">IF($B40="","",SUMIFS('الحركات الشهرية'!$H$6:$H$1005,'الحركات الشهرية'!$B$6:$B$1005,$B40,'الحركات الشهرية'!$A$6:$A$1005,$C$3))</f>
        <v/>
      </c>
      <c r="S40" s="111" t="str">
        <f aca="false">IF($B40="","",SUMIFS('سجل الإجازات والحالات'!$N$6:$N$505,'سجل الإجازات والحالات'!$B$6:$B$505,$B40,'سجل الإجازات والحالات'!$O$6:$O$505,$C$3))</f>
        <v/>
      </c>
      <c r="T40" s="152" t="str">
        <f aca="false">IF($B40="","",SUM(K40:N40)+SUM(P40:S40))</f>
        <v/>
      </c>
      <c r="U40" s="111" t="str">
        <f aca="false">IF($B40="","",الموظفون!$S40*IF(E40="سعودي",cfg_G_SE,cfg_G_NE)*G40/cfg_DAYS_M)</f>
        <v/>
      </c>
      <c r="V40" s="111" t="str">
        <f aca="false">IF($B40="","",SUMIFS('الحركات الشهرية'!$I$6:$I$1005,'الحركات الشهرية'!$B$6:$B$1005,$B40,'الحركات الشهرية'!$A$6:$A$1005,$C$3))</f>
        <v/>
      </c>
      <c r="W40" s="111" t="str">
        <f aca="false">IF($B40="","",SUMIFS('الحركات الشهرية'!$J$6:$J$1005,'الحركات الشهرية'!$B$6:$B$1005,$B40,'الحركات الشهرية'!$A$6:$A$1005,$C$3))</f>
        <v/>
      </c>
      <c r="X40" s="111" t="str">
        <f aca="false">IF($B40="","",SUM(U40:W40))</f>
        <v/>
      </c>
      <c r="Y40" s="153" t="str">
        <f aca="false">IF($B40="","",T40-X40)</f>
        <v/>
      </c>
      <c r="Z40" s="111" t="str">
        <f aca="false">IF($B40="","",الموظفون!$S40*IF(E40="سعودي",cfg_G_SR,cfg_G_NR)*G40/cfg_DAYS_M)</f>
        <v/>
      </c>
      <c r="AA40" s="111" t="str">
        <f aca="false">IF($B40="","",الموظفون!$Q40*(cfg_EOS_R1*(MIN(AH40,cfg_EOS_TH)-MIN(AI40,cfg_EOS_TH))+cfg_EOS_R2*(MAX(AH40-cfg_EOS_TH,0)-MAX(AI40-cfg_EOS_TH,0))))</f>
        <v/>
      </c>
      <c r="AB40" s="111" t="str">
        <f aca="false">IF($B40="","",IF(الموظفون!$T40&lt;&gt;"",الموظفون!$T40,IF(AH40&gt;=cfg_LV_TH,cfg_LV_D2,cfg_LV_D1))/cfg_DAYS_Y*AJ40*الموظفون!$R40/cfg_DAYS_M)</f>
        <v/>
      </c>
      <c r="AC40" s="111" t="str">
        <f aca="false">IF($B40="","",IF(AND(الموظفون!$U40="نعم",N(الموظفون!$W40)&gt;0),الموظفون!$V40/الموظفون!$W40*12/cfg_DAYS_Y*AJ40,0))</f>
        <v/>
      </c>
      <c r="AD40" s="111" t="str">
        <f aca="false">IF($B40="","",(IF(الموظفون!$X40&lt;&gt;"",الموظفون!$X40,IF(الموظفون!$E40="غير سعودي",cfg_IQ,0))+IF(الموظفون!$Y40&lt;&gt;"",الموظفون!$Y40,IF(الموظفون!$E40="غير سعودي",cfg_WP,0)))/12*G40/cfg_DAYS_M)</f>
        <v/>
      </c>
      <c r="AE40" s="111" t="str">
        <f aca="false">IF($B40="","",IF(الموظفون!$Z40&lt;&gt;"",الموظفون!$Z40,cfg_MED)/12*G40/cfg_DAYS_M)</f>
        <v/>
      </c>
      <c r="AF40" s="111" t="str">
        <f aca="false">IF($B40="","",N(الموظفون!$AA40)/12*G40/cfg_DAYS_M)</f>
        <v/>
      </c>
      <c r="AG40" s="154" t="str">
        <f aca="false">IF($B40="","",T40+SUM(Z40:AF40))</f>
        <v/>
      </c>
      <c r="AH40" s="155" t="str">
        <f aca="false">IF($B40="","",MAX(0,IF(OR(الموظفون!$AE40="",الموظفون!$AE40&gt;$F$3),$F$3,الموظفون!$AE40)-الموظفون!$H40+1-SUMIFS('سجل الإجازات والحالات'!$AQ$6:$AQ$505,'سجل الإجازات والحالات'!$B$6:$B$505,$B40))/cfg_DAYS_Y)</f>
        <v/>
      </c>
      <c r="AI40" s="155" t="str">
        <f aca="false">IF($B40="","",MAX(0,IF(OR(الموظفون!$AE40="",الموظفون!$AE40&gt;($E$3-1)),($E$3-1),الموظفون!$AE40)-الموظفون!$H40+1-SUMIFS('سجل الإجازات والحالات'!$AP$6:$AP$505,'سجل الإجازات والحالات'!$B$6:$B$505,$B40))/cfg_DAYS_Y)</f>
        <v/>
      </c>
      <c r="AJ40" s="65" t="str">
        <f aca="false">IF($B40="","",MAX(0,AK40-(SUMIFS('سجل الإجازات والحالات'!$AQ$6:$AQ$505,'سجل الإجازات والحالات'!$B$6:$B$505,$B40)-SUMIFS('سجل الإجازات والحالات'!$AP$6:$AP$505,'سجل الإجازات والحالات'!$B$6:$B$505,$B40))))</f>
        <v/>
      </c>
      <c r="AK40" s="65" t="str">
        <f aca="false">IF($B40="","",MAX(0,IF(OR(الموظفون!$AE40="",الموظفون!$AE40&gt;$F$3),$F$3,الموظفون!$AE40)-MAX($E$3,الموظفون!$H40)+1))</f>
        <v/>
      </c>
      <c r="AL40" s="151" t="str">
        <f aca="false">IF($B40="","",SUMIFS('سجل الإجازات والحالات'!$BC$6:$BC$505,'سجل الإجازات والحالات'!$B$6:$B$505,$B40)+SUMIFS('الحركات الشهرية'!$K$6:$K$1005,'الحركات الشهرية'!$B$6:$B$1005,$B40,'الحركات الشهرية'!$A$6:$A$1005,$C$3))</f>
        <v/>
      </c>
      <c r="AM40" s="111" t="str">
        <f aca="false">IF($B40="","",AL40*الموظفون!$R40/cfg_DAYS_M+S40)</f>
        <v/>
      </c>
      <c r="AN40" s="151" t="str">
        <f aca="false">IF($B40="","",SUMIFS('سجل الإجازات والحالات'!$AE$6:$AE$505,'سجل الإجازات والحالات'!$B$6:$B$505,$B40))</f>
        <v/>
      </c>
    </row>
    <row r="41" customFormat="false" ht="15" hidden="false" customHeight="false" outlineLevel="0" collapsed="false">
      <c r="A41" s="115" t="str">
        <f aca="false">IF($B41="","",الموظفون!$A41)</f>
        <v/>
      </c>
      <c r="B41" s="117" t="str">
        <f aca="false">IF(الموظفون!$B41="","",الموظفون!$B41)</f>
        <v/>
      </c>
      <c r="C41" s="117" t="str">
        <f aca="false">IF($B41="","",الموظفون!$C41)</f>
        <v/>
      </c>
      <c r="D41" s="117" t="str">
        <f aca="false">IF($B41="","",الموظفون!$F41)</f>
        <v/>
      </c>
      <c r="E41" s="117" t="str">
        <f aca="false">IF($B41="","",الموظفون!$E41)</f>
        <v/>
      </c>
      <c r="F41" s="117" t="str">
        <f aca="false">IF($B41="","",IF(AK41=0,IF(AND(الموظفون!$AE41&lt;&gt;"",الموظفون!$AE41&lt;$E$3),"✖ منتهي الخدمة","⏳ لم يباشر"),IF(S41&gt;0,"✈ راتب إجازة مقدم",IF(J41=0,"⛔ بدون راتب هذا الشهر",IF(I41&gt;0,"✈ خصم "&amp;ROUND(I41,2)&amp;" يوم بدون أجر",IF(AL41&gt;0,"🌴 إجازة سنوية "&amp;ROUND(AL41,2)&amp;" يوم",IF(H41&gt;0,"⚠ غياب "&amp;ROUND(H41,2)&amp;" يوم","✔ على رأس العمل")))))))</f>
        <v/>
      </c>
      <c r="G41" s="156" t="str">
        <f aca="false">IF($B41="","",IF(AK41&gt;=DAY($F$3),cfg_DAYS_M,MIN(AK41,cfg_DAYS_M)))</f>
        <v/>
      </c>
      <c r="H41" s="156" t="str">
        <f aca="false">IF($B41="","",SUMIFS('الحركات الشهرية'!$D$6:$D$1005,'الحركات الشهرية'!$B$6:$B$1005,$B41,'الحركات الشهرية'!$A$6:$A$1005,$C$3))</f>
        <v/>
      </c>
      <c r="I41" s="156" t="str">
        <f aca="false">IF($B41="","",MIN(G41,IF(AND(AK41&gt;0,AN41&gt;=AK41),G41,AN41)+SUMIFS('الحركات الشهرية'!$E$6:$E$1005,'الحركات الشهرية'!$B$6:$B$1005,$B41,'الحركات الشهرية'!$A$6:$A$1005,$C$3)))</f>
        <v/>
      </c>
      <c r="J41" s="156" t="str">
        <f aca="false">IF($B41="","",MAX(0,G41-H41-I41))</f>
        <v/>
      </c>
      <c r="K41" s="116" t="str">
        <f aca="false">IF($B41="","",الموظفون!$L41*$J41/cfg_DAYS_M)</f>
        <v/>
      </c>
      <c r="L41" s="116" t="str">
        <f aca="false">IF($B41="","",الموظفون!$M41*$J41/cfg_DAYS_M)</f>
        <v/>
      </c>
      <c r="M41" s="116" t="str">
        <f aca="false">IF($B41="","",الموظفون!$N41*$J41/cfg_DAYS_M)</f>
        <v/>
      </c>
      <c r="N41" s="116" t="str">
        <f aca="false">IF($B41="","",الموظفون!$O41*$J41/cfg_DAYS_M)</f>
        <v/>
      </c>
      <c r="O41" s="156" t="str">
        <f aca="false">IF($B41="","",SUMIFS('الحركات الشهرية'!$F$6:$F$1005,'الحركات الشهرية'!$B$6:$B$1005,$B41,'الحركات الشهرية'!$A$6:$A$1005,$C$3))</f>
        <v/>
      </c>
      <c r="P41" s="116" t="str">
        <f aca="false">IF($B41="","",O41*(الموظفون!$P41+الموظفون!$L41*cfg_OT_P)/cfg_DAYS_M/cfg_HRS)</f>
        <v/>
      </c>
      <c r="Q41" s="116" t="str">
        <f aca="false">IF($B41="","",SUMIFS('الحركات الشهرية'!$G$6:$G$1005,'الحركات الشهرية'!$B$6:$B$1005,$B41,'الحركات الشهرية'!$A$6:$A$1005,$C$3))</f>
        <v/>
      </c>
      <c r="R41" s="116" t="str">
        <f aca="false">IF($B41="","",SUMIFS('الحركات الشهرية'!$H$6:$H$1005,'الحركات الشهرية'!$B$6:$B$1005,$B41,'الحركات الشهرية'!$A$6:$A$1005,$C$3))</f>
        <v/>
      </c>
      <c r="S41" s="116" t="str">
        <f aca="false">IF($B41="","",SUMIFS('سجل الإجازات والحالات'!$N$6:$N$505,'سجل الإجازات والحالات'!$B$6:$B$505,$B41,'سجل الإجازات والحالات'!$O$6:$O$505,$C$3))</f>
        <v/>
      </c>
      <c r="T41" s="157" t="str">
        <f aca="false">IF($B41="","",SUM(K41:N41)+SUM(P41:S41))</f>
        <v/>
      </c>
      <c r="U41" s="116" t="str">
        <f aca="false">IF($B41="","",الموظفون!$S41*IF(E41="سعودي",cfg_G_SE,cfg_G_NE)*G41/cfg_DAYS_M)</f>
        <v/>
      </c>
      <c r="V41" s="116" t="str">
        <f aca="false">IF($B41="","",SUMIFS('الحركات الشهرية'!$I$6:$I$1005,'الحركات الشهرية'!$B$6:$B$1005,$B41,'الحركات الشهرية'!$A$6:$A$1005,$C$3))</f>
        <v/>
      </c>
      <c r="W41" s="116" t="str">
        <f aca="false">IF($B41="","",SUMIFS('الحركات الشهرية'!$J$6:$J$1005,'الحركات الشهرية'!$B$6:$B$1005,$B41,'الحركات الشهرية'!$A$6:$A$1005,$C$3))</f>
        <v/>
      </c>
      <c r="X41" s="116" t="str">
        <f aca="false">IF($B41="","",SUM(U41:W41))</f>
        <v/>
      </c>
      <c r="Y41" s="158" t="str">
        <f aca="false">IF($B41="","",T41-X41)</f>
        <v/>
      </c>
      <c r="Z41" s="116" t="str">
        <f aca="false">IF($B41="","",الموظفون!$S41*IF(E41="سعودي",cfg_G_SR,cfg_G_NR)*G41/cfg_DAYS_M)</f>
        <v/>
      </c>
      <c r="AA41" s="116" t="str">
        <f aca="false">IF($B41="","",الموظفون!$Q41*(cfg_EOS_R1*(MIN(AH41,cfg_EOS_TH)-MIN(AI41,cfg_EOS_TH))+cfg_EOS_R2*(MAX(AH41-cfg_EOS_TH,0)-MAX(AI41-cfg_EOS_TH,0))))</f>
        <v/>
      </c>
      <c r="AB41" s="116" t="str">
        <f aca="false">IF($B41="","",IF(الموظفون!$T41&lt;&gt;"",الموظفون!$T41,IF(AH41&gt;=cfg_LV_TH,cfg_LV_D2,cfg_LV_D1))/cfg_DAYS_Y*AJ41*الموظفون!$R41/cfg_DAYS_M)</f>
        <v/>
      </c>
      <c r="AC41" s="116" t="str">
        <f aca="false">IF($B41="","",IF(AND(الموظفون!$U41="نعم",N(الموظفون!$W41)&gt;0),الموظفون!$V41/الموظفون!$W41*12/cfg_DAYS_Y*AJ41,0))</f>
        <v/>
      </c>
      <c r="AD41" s="116" t="str">
        <f aca="false">IF($B41="","",(IF(الموظفون!$X41&lt;&gt;"",الموظفون!$X41,IF(الموظفون!$E41="غير سعودي",cfg_IQ,0))+IF(الموظفون!$Y41&lt;&gt;"",الموظفون!$Y41,IF(الموظفون!$E41="غير سعودي",cfg_WP,0)))/12*G41/cfg_DAYS_M)</f>
        <v/>
      </c>
      <c r="AE41" s="116" t="str">
        <f aca="false">IF($B41="","",IF(الموظفون!$Z41&lt;&gt;"",الموظفون!$Z41,cfg_MED)/12*G41/cfg_DAYS_M)</f>
        <v/>
      </c>
      <c r="AF41" s="116" t="str">
        <f aca="false">IF($B41="","",N(الموظفون!$AA41)/12*G41/cfg_DAYS_M)</f>
        <v/>
      </c>
      <c r="AG41" s="159" t="str">
        <f aca="false">IF($B41="","",T41+SUM(Z41:AF41))</f>
        <v/>
      </c>
      <c r="AH41" s="160" t="str">
        <f aca="false">IF($B41="","",MAX(0,IF(OR(الموظفون!$AE41="",الموظفون!$AE41&gt;$F$3),$F$3,الموظفون!$AE41)-الموظفون!$H41+1-SUMIFS('سجل الإجازات والحالات'!$AQ$6:$AQ$505,'سجل الإجازات والحالات'!$B$6:$B$505,$B41))/cfg_DAYS_Y)</f>
        <v/>
      </c>
      <c r="AI41" s="160" t="str">
        <f aca="false">IF($B41="","",MAX(0,IF(OR(الموظفون!$AE41="",الموظفون!$AE41&gt;($E$3-1)),($E$3-1),الموظفون!$AE41)-الموظفون!$H41+1-SUMIFS('سجل الإجازات والحالات'!$AP$6:$AP$505,'سجل الإجازات والحالات'!$B$6:$B$505,$B41))/cfg_DAYS_Y)</f>
        <v/>
      </c>
      <c r="AJ41" s="133" t="str">
        <f aca="false">IF($B41="","",MAX(0,AK41-(SUMIFS('سجل الإجازات والحالات'!$AQ$6:$AQ$505,'سجل الإجازات والحالات'!$B$6:$B$505,$B41)-SUMIFS('سجل الإجازات والحالات'!$AP$6:$AP$505,'سجل الإجازات والحالات'!$B$6:$B$505,$B41))))</f>
        <v/>
      </c>
      <c r="AK41" s="133" t="str">
        <f aca="false">IF($B41="","",MAX(0,IF(OR(الموظفون!$AE41="",الموظفون!$AE41&gt;$F$3),$F$3,الموظفون!$AE41)-MAX($E$3,الموظفون!$H41)+1))</f>
        <v/>
      </c>
      <c r="AL41" s="156" t="str">
        <f aca="false">IF($B41="","",SUMIFS('سجل الإجازات والحالات'!$BC$6:$BC$505,'سجل الإجازات والحالات'!$B$6:$B$505,$B41)+SUMIFS('الحركات الشهرية'!$K$6:$K$1005,'الحركات الشهرية'!$B$6:$B$1005,$B41,'الحركات الشهرية'!$A$6:$A$1005,$C$3))</f>
        <v/>
      </c>
      <c r="AM41" s="116" t="str">
        <f aca="false">IF($B41="","",AL41*الموظفون!$R41/cfg_DAYS_M+S41)</f>
        <v/>
      </c>
      <c r="AN41" s="156" t="str">
        <f aca="false">IF($B41="","",SUMIFS('سجل الإجازات والحالات'!$AE$6:$AE$505,'سجل الإجازات والحالات'!$B$6:$B$505,$B41))</f>
        <v/>
      </c>
    </row>
    <row r="42" customFormat="false" ht="15" hidden="false" customHeight="false" outlineLevel="0" collapsed="false">
      <c r="A42" s="106" t="str">
        <f aca="false">IF($B42="","",الموظفون!$A42)</f>
        <v/>
      </c>
      <c r="B42" s="114" t="str">
        <f aca="false">IF(الموظفون!$B42="","",الموظفون!$B42)</f>
        <v/>
      </c>
      <c r="C42" s="114" t="str">
        <f aca="false">IF($B42="","",الموظفون!$C42)</f>
        <v/>
      </c>
      <c r="D42" s="114" t="str">
        <f aca="false">IF($B42="","",الموظفون!$F42)</f>
        <v/>
      </c>
      <c r="E42" s="114" t="str">
        <f aca="false">IF($B42="","",الموظفون!$E42)</f>
        <v/>
      </c>
      <c r="F42" s="114" t="str">
        <f aca="false">IF($B42="","",IF(AK42=0,IF(AND(الموظفون!$AE42&lt;&gt;"",الموظفون!$AE42&lt;$E$3),"✖ منتهي الخدمة","⏳ لم يباشر"),IF(S42&gt;0,"✈ راتب إجازة مقدم",IF(J42=0,"⛔ بدون راتب هذا الشهر",IF(I42&gt;0,"✈ خصم "&amp;ROUND(I42,2)&amp;" يوم بدون أجر",IF(AL42&gt;0,"🌴 إجازة سنوية "&amp;ROUND(AL42,2)&amp;" يوم",IF(H42&gt;0,"⚠ غياب "&amp;ROUND(H42,2)&amp;" يوم","✔ على رأس العمل")))))))</f>
        <v/>
      </c>
      <c r="G42" s="151" t="str">
        <f aca="false">IF($B42="","",IF(AK42&gt;=DAY($F$3),cfg_DAYS_M,MIN(AK42,cfg_DAYS_M)))</f>
        <v/>
      </c>
      <c r="H42" s="151" t="str">
        <f aca="false">IF($B42="","",SUMIFS('الحركات الشهرية'!$D$6:$D$1005,'الحركات الشهرية'!$B$6:$B$1005,$B42,'الحركات الشهرية'!$A$6:$A$1005,$C$3))</f>
        <v/>
      </c>
      <c r="I42" s="151" t="str">
        <f aca="false">IF($B42="","",MIN(G42,IF(AND(AK42&gt;0,AN42&gt;=AK42),G42,AN42)+SUMIFS('الحركات الشهرية'!$E$6:$E$1005,'الحركات الشهرية'!$B$6:$B$1005,$B42,'الحركات الشهرية'!$A$6:$A$1005,$C$3)))</f>
        <v/>
      </c>
      <c r="J42" s="151" t="str">
        <f aca="false">IF($B42="","",MAX(0,G42-H42-I42))</f>
        <v/>
      </c>
      <c r="K42" s="111" t="str">
        <f aca="false">IF($B42="","",الموظفون!$L42*$J42/cfg_DAYS_M)</f>
        <v/>
      </c>
      <c r="L42" s="111" t="str">
        <f aca="false">IF($B42="","",الموظفون!$M42*$J42/cfg_DAYS_M)</f>
        <v/>
      </c>
      <c r="M42" s="111" t="str">
        <f aca="false">IF($B42="","",الموظفون!$N42*$J42/cfg_DAYS_M)</f>
        <v/>
      </c>
      <c r="N42" s="111" t="str">
        <f aca="false">IF($B42="","",الموظفون!$O42*$J42/cfg_DAYS_M)</f>
        <v/>
      </c>
      <c r="O42" s="151" t="str">
        <f aca="false">IF($B42="","",SUMIFS('الحركات الشهرية'!$F$6:$F$1005,'الحركات الشهرية'!$B$6:$B$1005,$B42,'الحركات الشهرية'!$A$6:$A$1005,$C$3))</f>
        <v/>
      </c>
      <c r="P42" s="111" t="str">
        <f aca="false">IF($B42="","",O42*(الموظفون!$P42+الموظفون!$L42*cfg_OT_P)/cfg_DAYS_M/cfg_HRS)</f>
        <v/>
      </c>
      <c r="Q42" s="111" t="str">
        <f aca="false">IF($B42="","",SUMIFS('الحركات الشهرية'!$G$6:$G$1005,'الحركات الشهرية'!$B$6:$B$1005,$B42,'الحركات الشهرية'!$A$6:$A$1005,$C$3))</f>
        <v/>
      </c>
      <c r="R42" s="111" t="str">
        <f aca="false">IF($B42="","",SUMIFS('الحركات الشهرية'!$H$6:$H$1005,'الحركات الشهرية'!$B$6:$B$1005,$B42,'الحركات الشهرية'!$A$6:$A$1005,$C$3))</f>
        <v/>
      </c>
      <c r="S42" s="111" t="str">
        <f aca="false">IF($B42="","",SUMIFS('سجل الإجازات والحالات'!$N$6:$N$505,'سجل الإجازات والحالات'!$B$6:$B$505,$B42,'سجل الإجازات والحالات'!$O$6:$O$505,$C$3))</f>
        <v/>
      </c>
      <c r="T42" s="152" t="str">
        <f aca="false">IF($B42="","",SUM(K42:N42)+SUM(P42:S42))</f>
        <v/>
      </c>
      <c r="U42" s="111" t="str">
        <f aca="false">IF($B42="","",الموظفون!$S42*IF(E42="سعودي",cfg_G_SE,cfg_G_NE)*G42/cfg_DAYS_M)</f>
        <v/>
      </c>
      <c r="V42" s="111" t="str">
        <f aca="false">IF($B42="","",SUMIFS('الحركات الشهرية'!$I$6:$I$1005,'الحركات الشهرية'!$B$6:$B$1005,$B42,'الحركات الشهرية'!$A$6:$A$1005,$C$3))</f>
        <v/>
      </c>
      <c r="W42" s="111" t="str">
        <f aca="false">IF($B42="","",SUMIFS('الحركات الشهرية'!$J$6:$J$1005,'الحركات الشهرية'!$B$6:$B$1005,$B42,'الحركات الشهرية'!$A$6:$A$1005,$C$3))</f>
        <v/>
      </c>
      <c r="X42" s="111" t="str">
        <f aca="false">IF($B42="","",SUM(U42:W42))</f>
        <v/>
      </c>
      <c r="Y42" s="153" t="str">
        <f aca="false">IF($B42="","",T42-X42)</f>
        <v/>
      </c>
      <c r="Z42" s="111" t="str">
        <f aca="false">IF($B42="","",الموظفون!$S42*IF(E42="سعودي",cfg_G_SR,cfg_G_NR)*G42/cfg_DAYS_M)</f>
        <v/>
      </c>
      <c r="AA42" s="111" t="str">
        <f aca="false">IF($B42="","",الموظفون!$Q42*(cfg_EOS_R1*(MIN(AH42,cfg_EOS_TH)-MIN(AI42,cfg_EOS_TH))+cfg_EOS_R2*(MAX(AH42-cfg_EOS_TH,0)-MAX(AI42-cfg_EOS_TH,0))))</f>
        <v/>
      </c>
      <c r="AB42" s="111" t="str">
        <f aca="false">IF($B42="","",IF(الموظفون!$T42&lt;&gt;"",الموظفون!$T42,IF(AH42&gt;=cfg_LV_TH,cfg_LV_D2,cfg_LV_D1))/cfg_DAYS_Y*AJ42*الموظفون!$R42/cfg_DAYS_M)</f>
        <v/>
      </c>
      <c r="AC42" s="111" t="str">
        <f aca="false">IF($B42="","",IF(AND(الموظفون!$U42="نعم",N(الموظفون!$W42)&gt;0),الموظفون!$V42/الموظفون!$W42*12/cfg_DAYS_Y*AJ42,0))</f>
        <v/>
      </c>
      <c r="AD42" s="111" t="str">
        <f aca="false">IF($B42="","",(IF(الموظفون!$X42&lt;&gt;"",الموظفون!$X42,IF(الموظفون!$E42="غير سعودي",cfg_IQ,0))+IF(الموظفون!$Y42&lt;&gt;"",الموظفون!$Y42,IF(الموظفون!$E42="غير سعودي",cfg_WP,0)))/12*G42/cfg_DAYS_M)</f>
        <v/>
      </c>
      <c r="AE42" s="111" t="str">
        <f aca="false">IF($B42="","",IF(الموظفون!$Z42&lt;&gt;"",الموظفون!$Z42,cfg_MED)/12*G42/cfg_DAYS_M)</f>
        <v/>
      </c>
      <c r="AF42" s="111" t="str">
        <f aca="false">IF($B42="","",N(الموظفون!$AA42)/12*G42/cfg_DAYS_M)</f>
        <v/>
      </c>
      <c r="AG42" s="154" t="str">
        <f aca="false">IF($B42="","",T42+SUM(Z42:AF42))</f>
        <v/>
      </c>
      <c r="AH42" s="155" t="str">
        <f aca="false">IF($B42="","",MAX(0,IF(OR(الموظفون!$AE42="",الموظفون!$AE42&gt;$F$3),$F$3,الموظفون!$AE42)-الموظفون!$H42+1-SUMIFS('سجل الإجازات والحالات'!$AQ$6:$AQ$505,'سجل الإجازات والحالات'!$B$6:$B$505,$B42))/cfg_DAYS_Y)</f>
        <v/>
      </c>
      <c r="AI42" s="155" t="str">
        <f aca="false">IF($B42="","",MAX(0,IF(OR(الموظفون!$AE42="",الموظفون!$AE42&gt;($E$3-1)),($E$3-1),الموظفون!$AE42)-الموظفون!$H42+1-SUMIFS('سجل الإجازات والحالات'!$AP$6:$AP$505,'سجل الإجازات والحالات'!$B$6:$B$505,$B42))/cfg_DAYS_Y)</f>
        <v/>
      </c>
      <c r="AJ42" s="65" t="str">
        <f aca="false">IF($B42="","",MAX(0,AK42-(SUMIFS('سجل الإجازات والحالات'!$AQ$6:$AQ$505,'سجل الإجازات والحالات'!$B$6:$B$505,$B42)-SUMIFS('سجل الإجازات والحالات'!$AP$6:$AP$505,'سجل الإجازات والحالات'!$B$6:$B$505,$B42))))</f>
        <v/>
      </c>
      <c r="AK42" s="65" t="str">
        <f aca="false">IF($B42="","",MAX(0,IF(OR(الموظفون!$AE42="",الموظفون!$AE42&gt;$F$3),$F$3,الموظفون!$AE42)-MAX($E$3,الموظفون!$H42)+1))</f>
        <v/>
      </c>
      <c r="AL42" s="151" t="str">
        <f aca="false">IF($B42="","",SUMIFS('سجل الإجازات والحالات'!$BC$6:$BC$505,'سجل الإجازات والحالات'!$B$6:$B$505,$B42)+SUMIFS('الحركات الشهرية'!$K$6:$K$1005,'الحركات الشهرية'!$B$6:$B$1005,$B42,'الحركات الشهرية'!$A$6:$A$1005,$C$3))</f>
        <v/>
      </c>
      <c r="AM42" s="111" t="str">
        <f aca="false">IF($B42="","",AL42*الموظفون!$R42/cfg_DAYS_M+S42)</f>
        <v/>
      </c>
      <c r="AN42" s="151" t="str">
        <f aca="false">IF($B42="","",SUMIFS('سجل الإجازات والحالات'!$AE$6:$AE$505,'سجل الإجازات والحالات'!$B$6:$B$505,$B42))</f>
        <v/>
      </c>
    </row>
    <row r="43" customFormat="false" ht="15" hidden="false" customHeight="false" outlineLevel="0" collapsed="false">
      <c r="A43" s="115" t="str">
        <f aca="false">IF($B43="","",الموظفون!$A43)</f>
        <v/>
      </c>
      <c r="B43" s="117" t="str">
        <f aca="false">IF(الموظفون!$B43="","",الموظفون!$B43)</f>
        <v/>
      </c>
      <c r="C43" s="117" t="str">
        <f aca="false">IF($B43="","",الموظفون!$C43)</f>
        <v/>
      </c>
      <c r="D43" s="117" t="str">
        <f aca="false">IF($B43="","",الموظفون!$F43)</f>
        <v/>
      </c>
      <c r="E43" s="117" t="str">
        <f aca="false">IF($B43="","",الموظفون!$E43)</f>
        <v/>
      </c>
      <c r="F43" s="117" t="str">
        <f aca="false">IF($B43="","",IF(AK43=0,IF(AND(الموظفون!$AE43&lt;&gt;"",الموظفون!$AE43&lt;$E$3),"✖ منتهي الخدمة","⏳ لم يباشر"),IF(S43&gt;0,"✈ راتب إجازة مقدم",IF(J43=0,"⛔ بدون راتب هذا الشهر",IF(I43&gt;0,"✈ خصم "&amp;ROUND(I43,2)&amp;" يوم بدون أجر",IF(AL43&gt;0,"🌴 إجازة سنوية "&amp;ROUND(AL43,2)&amp;" يوم",IF(H43&gt;0,"⚠ غياب "&amp;ROUND(H43,2)&amp;" يوم","✔ على رأس العمل")))))))</f>
        <v/>
      </c>
      <c r="G43" s="156" t="str">
        <f aca="false">IF($B43="","",IF(AK43&gt;=DAY($F$3),cfg_DAYS_M,MIN(AK43,cfg_DAYS_M)))</f>
        <v/>
      </c>
      <c r="H43" s="156" t="str">
        <f aca="false">IF($B43="","",SUMIFS('الحركات الشهرية'!$D$6:$D$1005,'الحركات الشهرية'!$B$6:$B$1005,$B43,'الحركات الشهرية'!$A$6:$A$1005,$C$3))</f>
        <v/>
      </c>
      <c r="I43" s="156" t="str">
        <f aca="false">IF($B43="","",MIN(G43,IF(AND(AK43&gt;0,AN43&gt;=AK43),G43,AN43)+SUMIFS('الحركات الشهرية'!$E$6:$E$1005,'الحركات الشهرية'!$B$6:$B$1005,$B43,'الحركات الشهرية'!$A$6:$A$1005,$C$3)))</f>
        <v/>
      </c>
      <c r="J43" s="156" t="str">
        <f aca="false">IF($B43="","",MAX(0,G43-H43-I43))</f>
        <v/>
      </c>
      <c r="K43" s="116" t="str">
        <f aca="false">IF($B43="","",الموظفون!$L43*$J43/cfg_DAYS_M)</f>
        <v/>
      </c>
      <c r="L43" s="116" t="str">
        <f aca="false">IF($B43="","",الموظفون!$M43*$J43/cfg_DAYS_M)</f>
        <v/>
      </c>
      <c r="M43" s="116" t="str">
        <f aca="false">IF($B43="","",الموظفون!$N43*$J43/cfg_DAYS_M)</f>
        <v/>
      </c>
      <c r="N43" s="116" t="str">
        <f aca="false">IF($B43="","",الموظفون!$O43*$J43/cfg_DAYS_M)</f>
        <v/>
      </c>
      <c r="O43" s="156" t="str">
        <f aca="false">IF($B43="","",SUMIFS('الحركات الشهرية'!$F$6:$F$1005,'الحركات الشهرية'!$B$6:$B$1005,$B43,'الحركات الشهرية'!$A$6:$A$1005,$C$3))</f>
        <v/>
      </c>
      <c r="P43" s="116" t="str">
        <f aca="false">IF($B43="","",O43*(الموظفون!$P43+الموظفون!$L43*cfg_OT_P)/cfg_DAYS_M/cfg_HRS)</f>
        <v/>
      </c>
      <c r="Q43" s="116" t="str">
        <f aca="false">IF($B43="","",SUMIFS('الحركات الشهرية'!$G$6:$G$1005,'الحركات الشهرية'!$B$6:$B$1005,$B43,'الحركات الشهرية'!$A$6:$A$1005,$C$3))</f>
        <v/>
      </c>
      <c r="R43" s="116" t="str">
        <f aca="false">IF($B43="","",SUMIFS('الحركات الشهرية'!$H$6:$H$1005,'الحركات الشهرية'!$B$6:$B$1005,$B43,'الحركات الشهرية'!$A$6:$A$1005,$C$3))</f>
        <v/>
      </c>
      <c r="S43" s="116" t="str">
        <f aca="false">IF($B43="","",SUMIFS('سجل الإجازات والحالات'!$N$6:$N$505,'سجل الإجازات والحالات'!$B$6:$B$505,$B43,'سجل الإجازات والحالات'!$O$6:$O$505,$C$3))</f>
        <v/>
      </c>
      <c r="T43" s="157" t="str">
        <f aca="false">IF($B43="","",SUM(K43:N43)+SUM(P43:S43))</f>
        <v/>
      </c>
      <c r="U43" s="116" t="str">
        <f aca="false">IF($B43="","",الموظفون!$S43*IF(E43="سعودي",cfg_G_SE,cfg_G_NE)*G43/cfg_DAYS_M)</f>
        <v/>
      </c>
      <c r="V43" s="116" t="str">
        <f aca="false">IF($B43="","",SUMIFS('الحركات الشهرية'!$I$6:$I$1005,'الحركات الشهرية'!$B$6:$B$1005,$B43,'الحركات الشهرية'!$A$6:$A$1005,$C$3))</f>
        <v/>
      </c>
      <c r="W43" s="116" t="str">
        <f aca="false">IF($B43="","",SUMIFS('الحركات الشهرية'!$J$6:$J$1005,'الحركات الشهرية'!$B$6:$B$1005,$B43,'الحركات الشهرية'!$A$6:$A$1005,$C$3))</f>
        <v/>
      </c>
      <c r="X43" s="116" t="str">
        <f aca="false">IF($B43="","",SUM(U43:W43))</f>
        <v/>
      </c>
      <c r="Y43" s="158" t="str">
        <f aca="false">IF($B43="","",T43-X43)</f>
        <v/>
      </c>
      <c r="Z43" s="116" t="str">
        <f aca="false">IF($B43="","",الموظفون!$S43*IF(E43="سعودي",cfg_G_SR,cfg_G_NR)*G43/cfg_DAYS_M)</f>
        <v/>
      </c>
      <c r="AA43" s="116" t="str">
        <f aca="false">IF($B43="","",الموظفون!$Q43*(cfg_EOS_R1*(MIN(AH43,cfg_EOS_TH)-MIN(AI43,cfg_EOS_TH))+cfg_EOS_R2*(MAX(AH43-cfg_EOS_TH,0)-MAX(AI43-cfg_EOS_TH,0))))</f>
        <v/>
      </c>
      <c r="AB43" s="116" t="str">
        <f aca="false">IF($B43="","",IF(الموظفون!$T43&lt;&gt;"",الموظفون!$T43,IF(AH43&gt;=cfg_LV_TH,cfg_LV_D2,cfg_LV_D1))/cfg_DAYS_Y*AJ43*الموظفون!$R43/cfg_DAYS_M)</f>
        <v/>
      </c>
      <c r="AC43" s="116" t="str">
        <f aca="false">IF($B43="","",IF(AND(الموظفون!$U43="نعم",N(الموظفون!$W43)&gt;0),الموظفون!$V43/الموظفون!$W43*12/cfg_DAYS_Y*AJ43,0))</f>
        <v/>
      </c>
      <c r="AD43" s="116" t="str">
        <f aca="false">IF($B43="","",(IF(الموظفون!$X43&lt;&gt;"",الموظفون!$X43,IF(الموظفون!$E43="غير سعودي",cfg_IQ,0))+IF(الموظفون!$Y43&lt;&gt;"",الموظفون!$Y43,IF(الموظفون!$E43="غير سعودي",cfg_WP,0)))/12*G43/cfg_DAYS_M)</f>
        <v/>
      </c>
      <c r="AE43" s="116" t="str">
        <f aca="false">IF($B43="","",IF(الموظفون!$Z43&lt;&gt;"",الموظفون!$Z43,cfg_MED)/12*G43/cfg_DAYS_M)</f>
        <v/>
      </c>
      <c r="AF43" s="116" t="str">
        <f aca="false">IF($B43="","",N(الموظفون!$AA43)/12*G43/cfg_DAYS_M)</f>
        <v/>
      </c>
      <c r="AG43" s="159" t="str">
        <f aca="false">IF($B43="","",T43+SUM(Z43:AF43))</f>
        <v/>
      </c>
      <c r="AH43" s="160" t="str">
        <f aca="false">IF($B43="","",MAX(0,IF(OR(الموظفون!$AE43="",الموظفون!$AE43&gt;$F$3),$F$3,الموظفون!$AE43)-الموظفون!$H43+1-SUMIFS('سجل الإجازات والحالات'!$AQ$6:$AQ$505,'سجل الإجازات والحالات'!$B$6:$B$505,$B43))/cfg_DAYS_Y)</f>
        <v/>
      </c>
      <c r="AI43" s="160" t="str">
        <f aca="false">IF($B43="","",MAX(0,IF(OR(الموظفون!$AE43="",الموظفون!$AE43&gt;($E$3-1)),($E$3-1),الموظفون!$AE43)-الموظفون!$H43+1-SUMIFS('سجل الإجازات والحالات'!$AP$6:$AP$505,'سجل الإجازات والحالات'!$B$6:$B$505,$B43))/cfg_DAYS_Y)</f>
        <v/>
      </c>
      <c r="AJ43" s="133" t="str">
        <f aca="false">IF($B43="","",MAX(0,AK43-(SUMIFS('سجل الإجازات والحالات'!$AQ$6:$AQ$505,'سجل الإجازات والحالات'!$B$6:$B$505,$B43)-SUMIFS('سجل الإجازات والحالات'!$AP$6:$AP$505,'سجل الإجازات والحالات'!$B$6:$B$505,$B43))))</f>
        <v/>
      </c>
      <c r="AK43" s="133" t="str">
        <f aca="false">IF($B43="","",MAX(0,IF(OR(الموظفون!$AE43="",الموظفون!$AE43&gt;$F$3),$F$3,الموظفون!$AE43)-MAX($E$3,الموظفون!$H43)+1))</f>
        <v/>
      </c>
      <c r="AL43" s="156" t="str">
        <f aca="false">IF($B43="","",SUMIFS('سجل الإجازات والحالات'!$BC$6:$BC$505,'سجل الإجازات والحالات'!$B$6:$B$505,$B43)+SUMIFS('الحركات الشهرية'!$K$6:$K$1005,'الحركات الشهرية'!$B$6:$B$1005,$B43,'الحركات الشهرية'!$A$6:$A$1005,$C$3))</f>
        <v/>
      </c>
      <c r="AM43" s="116" t="str">
        <f aca="false">IF($B43="","",AL43*الموظفون!$R43/cfg_DAYS_M+S43)</f>
        <v/>
      </c>
      <c r="AN43" s="156" t="str">
        <f aca="false">IF($B43="","",SUMIFS('سجل الإجازات والحالات'!$AE$6:$AE$505,'سجل الإجازات والحالات'!$B$6:$B$505,$B43))</f>
        <v/>
      </c>
    </row>
    <row r="44" customFormat="false" ht="15" hidden="false" customHeight="false" outlineLevel="0" collapsed="false">
      <c r="A44" s="106" t="str">
        <f aca="false">IF($B44="","",الموظفون!$A44)</f>
        <v/>
      </c>
      <c r="B44" s="114" t="str">
        <f aca="false">IF(الموظفون!$B44="","",الموظفون!$B44)</f>
        <v/>
      </c>
      <c r="C44" s="114" t="str">
        <f aca="false">IF($B44="","",الموظفون!$C44)</f>
        <v/>
      </c>
      <c r="D44" s="114" t="str">
        <f aca="false">IF($B44="","",الموظفون!$F44)</f>
        <v/>
      </c>
      <c r="E44" s="114" t="str">
        <f aca="false">IF($B44="","",الموظفون!$E44)</f>
        <v/>
      </c>
      <c r="F44" s="114" t="str">
        <f aca="false">IF($B44="","",IF(AK44=0,IF(AND(الموظفون!$AE44&lt;&gt;"",الموظفون!$AE44&lt;$E$3),"✖ منتهي الخدمة","⏳ لم يباشر"),IF(S44&gt;0,"✈ راتب إجازة مقدم",IF(J44=0,"⛔ بدون راتب هذا الشهر",IF(I44&gt;0,"✈ خصم "&amp;ROUND(I44,2)&amp;" يوم بدون أجر",IF(AL44&gt;0,"🌴 إجازة سنوية "&amp;ROUND(AL44,2)&amp;" يوم",IF(H44&gt;0,"⚠ غياب "&amp;ROUND(H44,2)&amp;" يوم","✔ على رأس العمل")))))))</f>
        <v/>
      </c>
      <c r="G44" s="151" t="str">
        <f aca="false">IF($B44="","",IF(AK44&gt;=DAY($F$3),cfg_DAYS_M,MIN(AK44,cfg_DAYS_M)))</f>
        <v/>
      </c>
      <c r="H44" s="151" t="str">
        <f aca="false">IF($B44="","",SUMIFS('الحركات الشهرية'!$D$6:$D$1005,'الحركات الشهرية'!$B$6:$B$1005,$B44,'الحركات الشهرية'!$A$6:$A$1005,$C$3))</f>
        <v/>
      </c>
      <c r="I44" s="151" t="str">
        <f aca="false">IF($B44="","",MIN(G44,IF(AND(AK44&gt;0,AN44&gt;=AK44),G44,AN44)+SUMIFS('الحركات الشهرية'!$E$6:$E$1005,'الحركات الشهرية'!$B$6:$B$1005,$B44,'الحركات الشهرية'!$A$6:$A$1005,$C$3)))</f>
        <v/>
      </c>
      <c r="J44" s="151" t="str">
        <f aca="false">IF($B44="","",MAX(0,G44-H44-I44))</f>
        <v/>
      </c>
      <c r="K44" s="111" t="str">
        <f aca="false">IF($B44="","",الموظفون!$L44*$J44/cfg_DAYS_M)</f>
        <v/>
      </c>
      <c r="L44" s="111" t="str">
        <f aca="false">IF($B44="","",الموظفون!$M44*$J44/cfg_DAYS_M)</f>
        <v/>
      </c>
      <c r="M44" s="111" t="str">
        <f aca="false">IF($B44="","",الموظفون!$N44*$J44/cfg_DAYS_M)</f>
        <v/>
      </c>
      <c r="N44" s="111" t="str">
        <f aca="false">IF($B44="","",الموظفون!$O44*$J44/cfg_DAYS_M)</f>
        <v/>
      </c>
      <c r="O44" s="151" t="str">
        <f aca="false">IF($B44="","",SUMIFS('الحركات الشهرية'!$F$6:$F$1005,'الحركات الشهرية'!$B$6:$B$1005,$B44,'الحركات الشهرية'!$A$6:$A$1005,$C$3))</f>
        <v/>
      </c>
      <c r="P44" s="111" t="str">
        <f aca="false">IF($B44="","",O44*(الموظفون!$P44+الموظفون!$L44*cfg_OT_P)/cfg_DAYS_M/cfg_HRS)</f>
        <v/>
      </c>
      <c r="Q44" s="111" t="str">
        <f aca="false">IF($B44="","",SUMIFS('الحركات الشهرية'!$G$6:$G$1005,'الحركات الشهرية'!$B$6:$B$1005,$B44,'الحركات الشهرية'!$A$6:$A$1005,$C$3))</f>
        <v/>
      </c>
      <c r="R44" s="111" t="str">
        <f aca="false">IF($B44="","",SUMIFS('الحركات الشهرية'!$H$6:$H$1005,'الحركات الشهرية'!$B$6:$B$1005,$B44,'الحركات الشهرية'!$A$6:$A$1005,$C$3))</f>
        <v/>
      </c>
      <c r="S44" s="111" t="str">
        <f aca="false">IF($B44="","",SUMIFS('سجل الإجازات والحالات'!$N$6:$N$505,'سجل الإجازات والحالات'!$B$6:$B$505,$B44,'سجل الإجازات والحالات'!$O$6:$O$505,$C$3))</f>
        <v/>
      </c>
      <c r="T44" s="152" t="str">
        <f aca="false">IF($B44="","",SUM(K44:N44)+SUM(P44:S44))</f>
        <v/>
      </c>
      <c r="U44" s="111" t="str">
        <f aca="false">IF($B44="","",الموظفون!$S44*IF(E44="سعودي",cfg_G_SE,cfg_G_NE)*G44/cfg_DAYS_M)</f>
        <v/>
      </c>
      <c r="V44" s="111" t="str">
        <f aca="false">IF($B44="","",SUMIFS('الحركات الشهرية'!$I$6:$I$1005,'الحركات الشهرية'!$B$6:$B$1005,$B44,'الحركات الشهرية'!$A$6:$A$1005,$C$3))</f>
        <v/>
      </c>
      <c r="W44" s="111" t="str">
        <f aca="false">IF($B44="","",SUMIFS('الحركات الشهرية'!$J$6:$J$1005,'الحركات الشهرية'!$B$6:$B$1005,$B44,'الحركات الشهرية'!$A$6:$A$1005,$C$3))</f>
        <v/>
      </c>
      <c r="X44" s="111" t="str">
        <f aca="false">IF($B44="","",SUM(U44:W44))</f>
        <v/>
      </c>
      <c r="Y44" s="153" t="str">
        <f aca="false">IF($B44="","",T44-X44)</f>
        <v/>
      </c>
      <c r="Z44" s="111" t="str">
        <f aca="false">IF($B44="","",الموظفون!$S44*IF(E44="سعودي",cfg_G_SR,cfg_G_NR)*G44/cfg_DAYS_M)</f>
        <v/>
      </c>
      <c r="AA44" s="111" t="str">
        <f aca="false">IF($B44="","",الموظفون!$Q44*(cfg_EOS_R1*(MIN(AH44,cfg_EOS_TH)-MIN(AI44,cfg_EOS_TH))+cfg_EOS_R2*(MAX(AH44-cfg_EOS_TH,0)-MAX(AI44-cfg_EOS_TH,0))))</f>
        <v/>
      </c>
      <c r="AB44" s="111" t="str">
        <f aca="false">IF($B44="","",IF(الموظفون!$T44&lt;&gt;"",الموظفون!$T44,IF(AH44&gt;=cfg_LV_TH,cfg_LV_D2,cfg_LV_D1))/cfg_DAYS_Y*AJ44*الموظفون!$R44/cfg_DAYS_M)</f>
        <v/>
      </c>
      <c r="AC44" s="111" t="str">
        <f aca="false">IF($B44="","",IF(AND(الموظفون!$U44="نعم",N(الموظفون!$W44)&gt;0),الموظفون!$V44/الموظفون!$W44*12/cfg_DAYS_Y*AJ44,0))</f>
        <v/>
      </c>
      <c r="AD44" s="111" t="str">
        <f aca="false">IF($B44="","",(IF(الموظفون!$X44&lt;&gt;"",الموظفون!$X44,IF(الموظفون!$E44="غير سعودي",cfg_IQ,0))+IF(الموظفون!$Y44&lt;&gt;"",الموظفون!$Y44,IF(الموظفون!$E44="غير سعودي",cfg_WP,0)))/12*G44/cfg_DAYS_M)</f>
        <v/>
      </c>
      <c r="AE44" s="111" t="str">
        <f aca="false">IF($B44="","",IF(الموظفون!$Z44&lt;&gt;"",الموظفون!$Z44,cfg_MED)/12*G44/cfg_DAYS_M)</f>
        <v/>
      </c>
      <c r="AF44" s="111" t="str">
        <f aca="false">IF($B44="","",N(الموظفون!$AA44)/12*G44/cfg_DAYS_M)</f>
        <v/>
      </c>
      <c r="AG44" s="154" t="str">
        <f aca="false">IF($B44="","",T44+SUM(Z44:AF44))</f>
        <v/>
      </c>
      <c r="AH44" s="155" t="str">
        <f aca="false">IF($B44="","",MAX(0,IF(OR(الموظفون!$AE44="",الموظفون!$AE44&gt;$F$3),$F$3,الموظفون!$AE44)-الموظفون!$H44+1-SUMIFS('سجل الإجازات والحالات'!$AQ$6:$AQ$505,'سجل الإجازات والحالات'!$B$6:$B$505,$B44))/cfg_DAYS_Y)</f>
        <v/>
      </c>
      <c r="AI44" s="155" t="str">
        <f aca="false">IF($B44="","",MAX(0,IF(OR(الموظفون!$AE44="",الموظفون!$AE44&gt;($E$3-1)),($E$3-1),الموظفون!$AE44)-الموظفون!$H44+1-SUMIFS('سجل الإجازات والحالات'!$AP$6:$AP$505,'سجل الإجازات والحالات'!$B$6:$B$505,$B44))/cfg_DAYS_Y)</f>
        <v/>
      </c>
      <c r="AJ44" s="65" t="str">
        <f aca="false">IF($B44="","",MAX(0,AK44-(SUMIFS('سجل الإجازات والحالات'!$AQ$6:$AQ$505,'سجل الإجازات والحالات'!$B$6:$B$505,$B44)-SUMIFS('سجل الإجازات والحالات'!$AP$6:$AP$505,'سجل الإجازات والحالات'!$B$6:$B$505,$B44))))</f>
        <v/>
      </c>
      <c r="AK44" s="65" t="str">
        <f aca="false">IF($B44="","",MAX(0,IF(OR(الموظفون!$AE44="",الموظفون!$AE44&gt;$F$3),$F$3,الموظفون!$AE44)-MAX($E$3,الموظفون!$H44)+1))</f>
        <v/>
      </c>
      <c r="AL44" s="151" t="str">
        <f aca="false">IF($B44="","",SUMIFS('سجل الإجازات والحالات'!$BC$6:$BC$505,'سجل الإجازات والحالات'!$B$6:$B$505,$B44)+SUMIFS('الحركات الشهرية'!$K$6:$K$1005,'الحركات الشهرية'!$B$6:$B$1005,$B44,'الحركات الشهرية'!$A$6:$A$1005,$C$3))</f>
        <v/>
      </c>
      <c r="AM44" s="111" t="str">
        <f aca="false">IF($B44="","",AL44*الموظفون!$R44/cfg_DAYS_M+S44)</f>
        <v/>
      </c>
      <c r="AN44" s="151" t="str">
        <f aca="false">IF($B44="","",SUMIFS('سجل الإجازات والحالات'!$AE$6:$AE$505,'سجل الإجازات والحالات'!$B$6:$B$505,$B44))</f>
        <v/>
      </c>
    </row>
    <row r="45" customFormat="false" ht="15" hidden="false" customHeight="false" outlineLevel="0" collapsed="false">
      <c r="A45" s="115" t="str">
        <f aca="false">IF($B45="","",الموظفون!$A45)</f>
        <v/>
      </c>
      <c r="B45" s="117" t="str">
        <f aca="false">IF(الموظفون!$B45="","",الموظفون!$B45)</f>
        <v/>
      </c>
      <c r="C45" s="117" t="str">
        <f aca="false">IF($B45="","",الموظفون!$C45)</f>
        <v/>
      </c>
      <c r="D45" s="117" t="str">
        <f aca="false">IF($B45="","",الموظفون!$F45)</f>
        <v/>
      </c>
      <c r="E45" s="117" t="str">
        <f aca="false">IF($B45="","",الموظفون!$E45)</f>
        <v/>
      </c>
      <c r="F45" s="117" t="str">
        <f aca="false">IF($B45="","",IF(AK45=0,IF(AND(الموظفون!$AE45&lt;&gt;"",الموظفون!$AE45&lt;$E$3),"✖ منتهي الخدمة","⏳ لم يباشر"),IF(S45&gt;0,"✈ راتب إجازة مقدم",IF(J45=0,"⛔ بدون راتب هذا الشهر",IF(I45&gt;0,"✈ خصم "&amp;ROUND(I45,2)&amp;" يوم بدون أجر",IF(AL45&gt;0,"🌴 إجازة سنوية "&amp;ROUND(AL45,2)&amp;" يوم",IF(H45&gt;0,"⚠ غياب "&amp;ROUND(H45,2)&amp;" يوم","✔ على رأس العمل")))))))</f>
        <v/>
      </c>
      <c r="G45" s="156" t="str">
        <f aca="false">IF($B45="","",IF(AK45&gt;=DAY($F$3),cfg_DAYS_M,MIN(AK45,cfg_DAYS_M)))</f>
        <v/>
      </c>
      <c r="H45" s="156" t="str">
        <f aca="false">IF($B45="","",SUMIFS('الحركات الشهرية'!$D$6:$D$1005,'الحركات الشهرية'!$B$6:$B$1005,$B45,'الحركات الشهرية'!$A$6:$A$1005,$C$3))</f>
        <v/>
      </c>
      <c r="I45" s="156" t="str">
        <f aca="false">IF($B45="","",MIN(G45,IF(AND(AK45&gt;0,AN45&gt;=AK45),G45,AN45)+SUMIFS('الحركات الشهرية'!$E$6:$E$1005,'الحركات الشهرية'!$B$6:$B$1005,$B45,'الحركات الشهرية'!$A$6:$A$1005,$C$3)))</f>
        <v/>
      </c>
      <c r="J45" s="156" t="str">
        <f aca="false">IF($B45="","",MAX(0,G45-H45-I45))</f>
        <v/>
      </c>
      <c r="K45" s="116" t="str">
        <f aca="false">IF($B45="","",الموظفون!$L45*$J45/cfg_DAYS_M)</f>
        <v/>
      </c>
      <c r="L45" s="116" t="str">
        <f aca="false">IF($B45="","",الموظفون!$M45*$J45/cfg_DAYS_M)</f>
        <v/>
      </c>
      <c r="M45" s="116" t="str">
        <f aca="false">IF($B45="","",الموظفون!$N45*$J45/cfg_DAYS_M)</f>
        <v/>
      </c>
      <c r="N45" s="116" t="str">
        <f aca="false">IF($B45="","",الموظفون!$O45*$J45/cfg_DAYS_M)</f>
        <v/>
      </c>
      <c r="O45" s="156" t="str">
        <f aca="false">IF($B45="","",SUMIFS('الحركات الشهرية'!$F$6:$F$1005,'الحركات الشهرية'!$B$6:$B$1005,$B45,'الحركات الشهرية'!$A$6:$A$1005,$C$3))</f>
        <v/>
      </c>
      <c r="P45" s="116" t="str">
        <f aca="false">IF($B45="","",O45*(الموظفون!$P45+الموظفون!$L45*cfg_OT_P)/cfg_DAYS_M/cfg_HRS)</f>
        <v/>
      </c>
      <c r="Q45" s="116" t="str">
        <f aca="false">IF($B45="","",SUMIFS('الحركات الشهرية'!$G$6:$G$1005,'الحركات الشهرية'!$B$6:$B$1005,$B45,'الحركات الشهرية'!$A$6:$A$1005,$C$3))</f>
        <v/>
      </c>
      <c r="R45" s="116" t="str">
        <f aca="false">IF($B45="","",SUMIFS('الحركات الشهرية'!$H$6:$H$1005,'الحركات الشهرية'!$B$6:$B$1005,$B45,'الحركات الشهرية'!$A$6:$A$1005,$C$3))</f>
        <v/>
      </c>
      <c r="S45" s="116" t="str">
        <f aca="false">IF($B45="","",SUMIFS('سجل الإجازات والحالات'!$N$6:$N$505,'سجل الإجازات والحالات'!$B$6:$B$505,$B45,'سجل الإجازات والحالات'!$O$6:$O$505,$C$3))</f>
        <v/>
      </c>
      <c r="T45" s="157" t="str">
        <f aca="false">IF($B45="","",SUM(K45:N45)+SUM(P45:S45))</f>
        <v/>
      </c>
      <c r="U45" s="116" t="str">
        <f aca="false">IF($B45="","",الموظفون!$S45*IF(E45="سعودي",cfg_G_SE,cfg_G_NE)*G45/cfg_DAYS_M)</f>
        <v/>
      </c>
      <c r="V45" s="116" t="str">
        <f aca="false">IF($B45="","",SUMIFS('الحركات الشهرية'!$I$6:$I$1005,'الحركات الشهرية'!$B$6:$B$1005,$B45,'الحركات الشهرية'!$A$6:$A$1005,$C$3))</f>
        <v/>
      </c>
      <c r="W45" s="116" t="str">
        <f aca="false">IF($B45="","",SUMIFS('الحركات الشهرية'!$J$6:$J$1005,'الحركات الشهرية'!$B$6:$B$1005,$B45,'الحركات الشهرية'!$A$6:$A$1005,$C$3))</f>
        <v/>
      </c>
      <c r="X45" s="116" t="str">
        <f aca="false">IF($B45="","",SUM(U45:W45))</f>
        <v/>
      </c>
      <c r="Y45" s="158" t="str">
        <f aca="false">IF($B45="","",T45-X45)</f>
        <v/>
      </c>
      <c r="Z45" s="116" t="str">
        <f aca="false">IF($B45="","",الموظفون!$S45*IF(E45="سعودي",cfg_G_SR,cfg_G_NR)*G45/cfg_DAYS_M)</f>
        <v/>
      </c>
      <c r="AA45" s="116" t="str">
        <f aca="false">IF($B45="","",الموظفون!$Q45*(cfg_EOS_R1*(MIN(AH45,cfg_EOS_TH)-MIN(AI45,cfg_EOS_TH))+cfg_EOS_R2*(MAX(AH45-cfg_EOS_TH,0)-MAX(AI45-cfg_EOS_TH,0))))</f>
        <v/>
      </c>
      <c r="AB45" s="116" t="str">
        <f aca="false">IF($B45="","",IF(الموظفون!$T45&lt;&gt;"",الموظفون!$T45,IF(AH45&gt;=cfg_LV_TH,cfg_LV_D2,cfg_LV_D1))/cfg_DAYS_Y*AJ45*الموظفون!$R45/cfg_DAYS_M)</f>
        <v/>
      </c>
      <c r="AC45" s="116" t="str">
        <f aca="false">IF($B45="","",IF(AND(الموظفون!$U45="نعم",N(الموظفون!$W45)&gt;0),الموظفون!$V45/الموظفون!$W45*12/cfg_DAYS_Y*AJ45,0))</f>
        <v/>
      </c>
      <c r="AD45" s="116" t="str">
        <f aca="false">IF($B45="","",(IF(الموظفون!$X45&lt;&gt;"",الموظفون!$X45,IF(الموظفون!$E45="غير سعودي",cfg_IQ,0))+IF(الموظفون!$Y45&lt;&gt;"",الموظفون!$Y45,IF(الموظفون!$E45="غير سعودي",cfg_WP,0)))/12*G45/cfg_DAYS_M)</f>
        <v/>
      </c>
      <c r="AE45" s="116" t="str">
        <f aca="false">IF($B45="","",IF(الموظفون!$Z45&lt;&gt;"",الموظفون!$Z45,cfg_MED)/12*G45/cfg_DAYS_M)</f>
        <v/>
      </c>
      <c r="AF45" s="116" t="str">
        <f aca="false">IF($B45="","",N(الموظفون!$AA45)/12*G45/cfg_DAYS_M)</f>
        <v/>
      </c>
      <c r="AG45" s="159" t="str">
        <f aca="false">IF($B45="","",T45+SUM(Z45:AF45))</f>
        <v/>
      </c>
      <c r="AH45" s="160" t="str">
        <f aca="false">IF($B45="","",MAX(0,IF(OR(الموظفون!$AE45="",الموظفون!$AE45&gt;$F$3),$F$3,الموظفون!$AE45)-الموظفون!$H45+1-SUMIFS('سجل الإجازات والحالات'!$AQ$6:$AQ$505,'سجل الإجازات والحالات'!$B$6:$B$505,$B45))/cfg_DAYS_Y)</f>
        <v/>
      </c>
      <c r="AI45" s="160" t="str">
        <f aca="false">IF($B45="","",MAX(0,IF(OR(الموظفون!$AE45="",الموظفون!$AE45&gt;($E$3-1)),($E$3-1),الموظفون!$AE45)-الموظفون!$H45+1-SUMIFS('سجل الإجازات والحالات'!$AP$6:$AP$505,'سجل الإجازات والحالات'!$B$6:$B$505,$B45))/cfg_DAYS_Y)</f>
        <v/>
      </c>
      <c r="AJ45" s="133" t="str">
        <f aca="false">IF($B45="","",MAX(0,AK45-(SUMIFS('سجل الإجازات والحالات'!$AQ$6:$AQ$505,'سجل الإجازات والحالات'!$B$6:$B$505,$B45)-SUMIFS('سجل الإجازات والحالات'!$AP$6:$AP$505,'سجل الإجازات والحالات'!$B$6:$B$505,$B45))))</f>
        <v/>
      </c>
      <c r="AK45" s="133" t="str">
        <f aca="false">IF($B45="","",MAX(0,IF(OR(الموظفون!$AE45="",الموظفون!$AE45&gt;$F$3),$F$3,الموظفون!$AE45)-MAX($E$3,الموظفون!$H45)+1))</f>
        <v/>
      </c>
      <c r="AL45" s="156" t="str">
        <f aca="false">IF($B45="","",SUMIFS('سجل الإجازات والحالات'!$BC$6:$BC$505,'سجل الإجازات والحالات'!$B$6:$B$505,$B45)+SUMIFS('الحركات الشهرية'!$K$6:$K$1005,'الحركات الشهرية'!$B$6:$B$1005,$B45,'الحركات الشهرية'!$A$6:$A$1005,$C$3))</f>
        <v/>
      </c>
      <c r="AM45" s="116" t="str">
        <f aca="false">IF($B45="","",AL45*الموظفون!$R45/cfg_DAYS_M+S45)</f>
        <v/>
      </c>
      <c r="AN45" s="156" t="str">
        <f aca="false">IF($B45="","",SUMIFS('سجل الإجازات والحالات'!$AE$6:$AE$505,'سجل الإجازات والحالات'!$B$6:$B$505,$B45))</f>
        <v/>
      </c>
    </row>
    <row r="46" customFormat="false" ht="15" hidden="false" customHeight="false" outlineLevel="0" collapsed="false">
      <c r="A46" s="106" t="str">
        <f aca="false">IF($B46="","",الموظفون!$A46)</f>
        <v/>
      </c>
      <c r="B46" s="114" t="str">
        <f aca="false">IF(الموظفون!$B46="","",الموظفون!$B46)</f>
        <v/>
      </c>
      <c r="C46" s="114" t="str">
        <f aca="false">IF($B46="","",الموظفون!$C46)</f>
        <v/>
      </c>
      <c r="D46" s="114" t="str">
        <f aca="false">IF($B46="","",الموظفون!$F46)</f>
        <v/>
      </c>
      <c r="E46" s="114" t="str">
        <f aca="false">IF($B46="","",الموظفون!$E46)</f>
        <v/>
      </c>
      <c r="F46" s="114" t="str">
        <f aca="false">IF($B46="","",IF(AK46=0,IF(AND(الموظفون!$AE46&lt;&gt;"",الموظفون!$AE46&lt;$E$3),"✖ منتهي الخدمة","⏳ لم يباشر"),IF(S46&gt;0,"✈ راتب إجازة مقدم",IF(J46=0,"⛔ بدون راتب هذا الشهر",IF(I46&gt;0,"✈ خصم "&amp;ROUND(I46,2)&amp;" يوم بدون أجر",IF(AL46&gt;0,"🌴 إجازة سنوية "&amp;ROUND(AL46,2)&amp;" يوم",IF(H46&gt;0,"⚠ غياب "&amp;ROUND(H46,2)&amp;" يوم","✔ على رأس العمل")))))))</f>
        <v/>
      </c>
      <c r="G46" s="151" t="str">
        <f aca="false">IF($B46="","",IF(AK46&gt;=DAY($F$3),cfg_DAYS_M,MIN(AK46,cfg_DAYS_M)))</f>
        <v/>
      </c>
      <c r="H46" s="151" t="str">
        <f aca="false">IF($B46="","",SUMIFS('الحركات الشهرية'!$D$6:$D$1005,'الحركات الشهرية'!$B$6:$B$1005,$B46,'الحركات الشهرية'!$A$6:$A$1005,$C$3))</f>
        <v/>
      </c>
      <c r="I46" s="151" t="str">
        <f aca="false">IF($B46="","",MIN(G46,IF(AND(AK46&gt;0,AN46&gt;=AK46),G46,AN46)+SUMIFS('الحركات الشهرية'!$E$6:$E$1005,'الحركات الشهرية'!$B$6:$B$1005,$B46,'الحركات الشهرية'!$A$6:$A$1005,$C$3)))</f>
        <v/>
      </c>
      <c r="J46" s="151" t="str">
        <f aca="false">IF($B46="","",MAX(0,G46-H46-I46))</f>
        <v/>
      </c>
      <c r="K46" s="111" t="str">
        <f aca="false">IF($B46="","",الموظفون!$L46*$J46/cfg_DAYS_M)</f>
        <v/>
      </c>
      <c r="L46" s="111" t="str">
        <f aca="false">IF($B46="","",الموظفون!$M46*$J46/cfg_DAYS_M)</f>
        <v/>
      </c>
      <c r="M46" s="111" t="str">
        <f aca="false">IF($B46="","",الموظفون!$N46*$J46/cfg_DAYS_M)</f>
        <v/>
      </c>
      <c r="N46" s="111" t="str">
        <f aca="false">IF($B46="","",الموظفون!$O46*$J46/cfg_DAYS_M)</f>
        <v/>
      </c>
      <c r="O46" s="151" t="str">
        <f aca="false">IF($B46="","",SUMIFS('الحركات الشهرية'!$F$6:$F$1005,'الحركات الشهرية'!$B$6:$B$1005,$B46,'الحركات الشهرية'!$A$6:$A$1005,$C$3))</f>
        <v/>
      </c>
      <c r="P46" s="111" t="str">
        <f aca="false">IF($B46="","",O46*(الموظفون!$P46+الموظفون!$L46*cfg_OT_P)/cfg_DAYS_M/cfg_HRS)</f>
        <v/>
      </c>
      <c r="Q46" s="111" t="str">
        <f aca="false">IF($B46="","",SUMIFS('الحركات الشهرية'!$G$6:$G$1005,'الحركات الشهرية'!$B$6:$B$1005,$B46,'الحركات الشهرية'!$A$6:$A$1005,$C$3))</f>
        <v/>
      </c>
      <c r="R46" s="111" t="str">
        <f aca="false">IF($B46="","",SUMIFS('الحركات الشهرية'!$H$6:$H$1005,'الحركات الشهرية'!$B$6:$B$1005,$B46,'الحركات الشهرية'!$A$6:$A$1005,$C$3))</f>
        <v/>
      </c>
      <c r="S46" s="111" t="str">
        <f aca="false">IF($B46="","",SUMIFS('سجل الإجازات والحالات'!$N$6:$N$505,'سجل الإجازات والحالات'!$B$6:$B$505,$B46,'سجل الإجازات والحالات'!$O$6:$O$505,$C$3))</f>
        <v/>
      </c>
      <c r="T46" s="152" t="str">
        <f aca="false">IF($B46="","",SUM(K46:N46)+SUM(P46:S46))</f>
        <v/>
      </c>
      <c r="U46" s="111" t="str">
        <f aca="false">IF($B46="","",الموظفون!$S46*IF(E46="سعودي",cfg_G_SE,cfg_G_NE)*G46/cfg_DAYS_M)</f>
        <v/>
      </c>
      <c r="V46" s="111" t="str">
        <f aca="false">IF($B46="","",SUMIFS('الحركات الشهرية'!$I$6:$I$1005,'الحركات الشهرية'!$B$6:$B$1005,$B46,'الحركات الشهرية'!$A$6:$A$1005,$C$3))</f>
        <v/>
      </c>
      <c r="W46" s="111" t="str">
        <f aca="false">IF($B46="","",SUMIFS('الحركات الشهرية'!$J$6:$J$1005,'الحركات الشهرية'!$B$6:$B$1005,$B46,'الحركات الشهرية'!$A$6:$A$1005,$C$3))</f>
        <v/>
      </c>
      <c r="X46" s="111" t="str">
        <f aca="false">IF($B46="","",SUM(U46:W46))</f>
        <v/>
      </c>
      <c r="Y46" s="153" t="str">
        <f aca="false">IF($B46="","",T46-X46)</f>
        <v/>
      </c>
      <c r="Z46" s="111" t="str">
        <f aca="false">IF($B46="","",الموظفون!$S46*IF(E46="سعودي",cfg_G_SR,cfg_G_NR)*G46/cfg_DAYS_M)</f>
        <v/>
      </c>
      <c r="AA46" s="111" t="str">
        <f aca="false">IF($B46="","",الموظفون!$Q46*(cfg_EOS_R1*(MIN(AH46,cfg_EOS_TH)-MIN(AI46,cfg_EOS_TH))+cfg_EOS_R2*(MAX(AH46-cfg_EOS_TH,0)-MAX(AI46-cfg_EOS_TH,0))))</f>
        <v/>
      </c>
      <c r="AB46" s="111" t="str">
        <f aca="false">IF($B46="","",IF(الموظفون!$T46&lt;&gt;"",الموظفون!$T46,IF(AH46&gt;=cfg_LV_TH,cfg_LV_D2,cfg_LV_D1))/cfg_DAYS_Y*AJ46*الموظفون!$R46/cfg_DAYS_M)</f>
        <v/>
      </c>
      <c r="AC46" s="111" t="str">
        <f aca="false">IF($B46="","",IF(AND(الموظفون!$U46="نعم",N(الموظفون!$W46)&gt;0),الموظفون!$V46/الموظفون!$W46*12/cfg_DAYS_Y*AJ46,0))</f>
        <v/>
      </c>
      <c r="AD46" s="111" t="str">
        <f aca="false">IF($B46="","",(IF(الموظفون!$X46&lt;&gt;"",الموظفون!$X46,IF(الموظفون!$E46="غير سعودي",cfg_IQ,0))+IF(الموظفون!$Y46&lt;&gt;"",الموظفون!$Y46,IF(الموظفون!$E46="غير سعودي",cfg_WP,0)))/12*G46/cfg_DAYS_M)</f>
        <v/>
      </c>
      <c r="AE46" s="111" t="str">
        <f aca="false">IF($B46="","",IF(الموظفون!$Z46&lt;&gt;"",الموظفون!$Z46,cfg_MED)/12*G46/cfg_DAYS_M)</f>
        <v/>
      </c>
      <c r="AF46" s="111" t="str">
        <f aca="false">IF($B46="","",N(الموظفون!$AA46)/12*G46/cfg_DAYS_M)</f>
        <v/>
      </c>
      <c r="AG46" s="154" t="str">
        <f aca="false">IF($B46="","",T46+SUM(Z46:AF46))</f>
        <v/>
      </c>
      <c r="AH46" s="155" t="str">
        <f aca="false">IF($B46="","",MAX(0,IF(OR(الموظفون!$AE46="",الموظفون!$AE46&gt;$F$3),$F$3,الموظفون!$AE46)-الموظفون!$H46+1-SUMIFS('سجل الإجازات والحالات'!$AQ$6:$AQ$505,'سجل الإجازات والحالات'!$B$6:$B$505,$B46))/cfg_DAYS_Y)</f>
        <v/>
      </c>
      <c r="AI46" s="155" t="str">
        <f aca="false">IF($B46="","",MAX(0,IF(OR(الموظفون!$AE46="",الموظفون!$AE46&gt;($E$3-1)),($E$3-1),الموظفون!$AE46)-الموظفون!$H46+1-SUMIFS('سجل الإجازات والحالات'!$AP$6:$AP$505,'سجل الإجازات والحالات'!$B$6:$B$505,$B46))/cfg_DAYS_Y)</f>
        <v/>
      </c>
      <c r="AJ46" s="65" t="str">
        <f aca="false">IF($B46="","",MAX(0,AK46-(SUMIFS('سجل الإجازات والحالات'!$AQ$6:$AQ$505,'سجل الإجازات والحالات'!$B$6:$B$505,$B46)-SUMIFS('سجل الإجازات والحالات'!$AP$6:$AP$505,'سجل الإجازات والحالات'!$B$6:$B$505,$B46))))</f>
        <v/>
      </c>
      <c r="AK46" s="65" t="str">
        <f aca="false">IF($B46="","",MAX(0,IF(OR(الموظفون!$AE46="",الموظفون!$AE46&gt;$F$3),$F$3,الموظفون!$AE46)-MAX($E$3,الموظفون!$H46)+1))</f>
        <v/>
      </c>
      <c r="AL46" s="151" t="str">
        <f aca="false">IF($B46="","",SUMIFS('سجل الإجازات والحالات'!$BC$6:$BC$505,'سجل الإجازات والحالات'!$B$6:$B$505,$B46)+SUMIFS('الحركات الشهرية'!$K$6:$K$1005,'الحركات الشهرية'!$B$6:$B$1005,$B46,'الحركات الشهرية'!$A$6:$A$1005,$C$3))</f>
        <v/>
      </c>
      <c r="AM46" s="111" t="str">
        <f aca="false">IF($B46="","",AL46*الموظفون!$R46/cfg_DAYS_M+S46)</f>
        <v/>
      </c>
      <c r="AN46" s="151" t="str">
        <f aca="false">IF($B46="","",SUMIFS('سجل الإجازات والحالات'!$AE$6:$AE$505,'سجل الإجازات والحالات'!$B$6:$B$505,$B46))</f>
        <v/>
      </c>
    </row>
    <row r="47" customFormat="false" ht="15" hidden="false" customHeight="false" outlineLevel="0" collapsed="false">
      <c r="A47" s="115" t="str">
        <f aca="false">IF($B47="","",الموظفون!$A47)</f>
        <v/>
      </c>
      <c r="B47" s="117" t="str">
        <f aca="false">IF(الموظفون!$B47="","",الموظفون!$B47)</f>
        <v/>
      </c>
      <c r="C47" s="117" t="str">
        <f aca="false">IF($B47="","",الموظفون!$C47)</f>
        <v/>
      </c>
      <c r="D47" s="117" t="str">
        <f aca="false">IF($B47="","",الموظفون!$F47)</f>
        <v/>
      </c>
      <c r="E47" s="117" t="str">
        <f aca="false">IF($B47="","",الموظفون!$E47)</f>
        <v/>
      </c>
      <c r="F47" s="117" t="str">
        <f aca="false">IF($B47="","",IF(AK47=0,IF(AND(الموظفون!$AE47&lt;&gt;"",الموظفون!$AE47&lt;$E$3),"✖ منتهي الخدمة","⏳ لم يباشر"),IF(S47&gt;0,"✈ راتب إجازة مقدم",IF(J47=0,"⛔ بدون راتب هذا الشهر",IF(I47&gt;0,"✈ خصم "&amp;ROUND(I47,2)&amp;" يوم بدون أجر",IF(AL47&gt;0,"🌴 إجازة سنوية "&amp;ROUND(AL47,2)&amp;" يوم",IF(H47&gt;0,"⚠ غياب "&amp;ROUND(H47,2)&amp;" يوم","✔ على رأس العمل")))))))</f>
        <v/>
      </c>
      <c r="G47" s="156" t="str">
        <f aca="false">IF($B47="","",IF(AK47&gt;=DAY($F$3),cfg_DAYS_M,MIN(AK47,cfg_DAYS_M)))</f>
        <v/>
      </c>
      <c r="H47" s="156" t="str">
        <f aca="false">IF($B47="","",SUMIFS('الحركات الشهرية'!$D$6:$D$1005,'الحركات الشهرية'!$B$6:$B$1005,$B47,'الحركات الشهرية'!$A$6:$A$1005,$C$3))</f>
        <v/>
      </c>
      <c r="I47" s="156" t="str">
        <f aca="false">IF($B47="","",MIN(G47,IF(AND(AK47&gt;0,AN47&gt;=AK47),G47,AN47)+SUMIFS('الحركات الشهرية'!$E$6:$E$1005,'الحركات الشهرية'!$B$6:$B$1005,$B47,'الحركات الشهرية'!$A$6:$A$1005,$C$3)))</f>
        <v/>
      </c>
      <c r="J47" s="156" t="str">
        <f aca="false">IF($B47="","",MAX(0,G47-H47-I47))</f>
        <v/>
      </c>
      <c r="K47" s="116" t="str">
        <f aca="false">IF($B47="","",الموظفون!$L47*$J47/cfg_DAYS_M)</f>
        <v/>
      </c>
      <c r="L47" s="116" t="str">
        <f aca="false">IF($B47="","",الموظفون!$M47*$J47/cfg_DAYS_M)</f>
        <v/>
      </c>
      <c r="M47" s="116" t="str">
        <f aca="false">IF($B47="","",الموظفون!$N47*$J47/cfg_DAYS_M)</f>
        <v/>
      </c>
      <c r="N47" s="116" t="str">
        <f aca="false">IF($B47="","",الموظفون!$O47*$J47/cfg_DAYS_M)</f>
        <v/>
      </c>
      <c r="O47" s="156" t="str">
        <f aca="false">IF($B47="","",SUMIFS('الحركات الشهرية'!$F$6:$F$1005,'الحركات الشهرية'!$B$6:$B$1005,$B47,'الحركات الشهرية'!$A$6:$A$1005,$C$3))</f>
        <v/>
      </c>
      <c r="P47" s="116" t="str">
        <f aca="false">IF($B47="","",O47*(الموظفون!$P47+الموظفون!$L47*cfg_OT_P)/cfg_DAYS_M/cfg_HRS)</f>
        <v/>
      </c>
      <c r="Q47" s="116" t="str">
        <f aca="false">IF($B47="","",SUMIFS('الحركات الشهرية'!$G$6:$G$1005,'الحركات الشهرية'!$B$6:$B$1005,$B47,'الحركات الشهرية'!$A$6:$A$1005,$C$3))</f>
        <v/>
      </c>
      <c r="R47" s="116" t="str">
        <f aca="false">IF($B47="","",SUMIFS('الحركات الشهرية'!$H$6:$H$1005,'الحركات الشهرية'!$B$6:$B$1005,$B47,'الحركات الشهرية'!$A$6:$A$1005,$C$3))</f>
        <v/>
      </c>
      <c r="S47" s="116" t="str">
        <f aca="false">IF($B47="","",SUMIFS('سجل الإجازات والحالات'!$N$6:$N$505,'سجل الإجازات والحالات'!$B$6:$B$505,$B47,'سجل الإجازات والحالات'!$O$6:$O$505,$C$3))</f>
        <v/>
      </c>
      <c r="T47" s="157" t="str">
        <f aca="false">IF($B47="","",SUM(K47:N47)+SUM(P47:S47))</f>
        <v/>
      </c>
      <c r="U47" s="116" t="str">
        <f aca="false">IF($B47="","",الموظفون!$S47*IF(E47="سعودي",cfg_G_SE,cfg_G_NE)*G47/cfg_DAYS_M)</f>
        <v/>
      </c>
      <c r="V47" s="116" t="str">
        <f aca="false">IF($B47="","",SUMIFS('الحركات الشهرية'!$I$6:$I$1005,'الحركات الشهرية'!$B$6:$B$1005,$B47,'الحركات الشهرية'!$A$6:$A$1005,$C$3))</f>
        <v/>
      </c>
      <c r="W47" s="116" t="str">
        <f aca="false">IF($B47="","",SUMIFS('الحركات الشهرية'!$J$6:$J$1005,'الحركات الشهرية'!$B$6:$B$1005,$B47,'الحركات الشهرية'!$A$6:$A$1005,$C$3))</f>
        <v/>
      </c>
      <c r="X47" s="116" t="str">
        <f aca="false">IF($B47="","",SUM(U47:W47))</f>
        <v/>
      </c>
      <c r="Y47" s="158" t="str">
        <f aca="false">IF($B47="","",T47-X47)</f>
        <v/>
      </c>
      <c r="Z47" s="116" t="str">
        <f aca="false">IF($B47="","",الموظفون!$S47*IF(E47="سعودي",cfg_G_SR,cfg_G_NR)*G47/cfg_DAYS_M)</f>
        <v/>
      </c>
      <c r="AA47" s="116" t="str">
        <f aca="false">IF($B47="","",الموظفون!$Q47*(cfg_EOS_R1*(MIN(AH47,cfg_EOS_TH)-MIN(AI47,cfg_EOS_TH))+cfg_EOS_R2*(MAX(AH47-cfg_EOS_TH,0)-MAX(AI47-cfg_EOS_TH,0))))</f>
        <v/>
      </c>
      <c r="AB47" s="116" t="str">
        <f aca="false">IF($B47="","",IF(الموظفون!$T47&lt;&gt;"",الموظفون!$T47,IF(AH47&gt;=cfg_LV_TH,cfg_LV_D2,cfg_LV_D1))/cfg_DAYS_Y*AJ47*الموظفون!$R47/cfg_DAYS_M)</f>
        <v/>
      </c>
      <c r="AC47" s="116" t="str">
        <f aca="false">IF($B47="","",IF(AND(الموظفون!$U47="نعم",N(الموظفون!$W47)&gt;0),الموظفون!$V47/الموظفون!$W47*12/cfg_DAYS_Y*AJ47,0))</f>
        <v/>
      </c>
      <c r="AD47" s="116" t="str">
        <f aca="false">IF($B47="","",(IF(الموظفون!$X47&lt;&gt;"",الموظفون!$X47,IF(الموظفون!$E47="غير سعودي",cfg_IQ,0))+IF(الموظفون!$Y47&lt;&gt;"",الموظفون!$Y47,IF(الموظفون!$E47="غير سعودي",cfg_WP,0)))/12*G47/cfg_DAYS_M)</f>
        <v/>
      </c>
      <c r="AE47" s="116" t="str">
        <f aca="false">IF($B47="","",IF(الموظفون!$Z47&lt;&gt;"",الموظفون!$Z47,cfg_MED)/12*G47/cfg_DAYS_M)</f>
        <v/>
      </c>
      <c r="AF47" s="116" t="str">
        <f aca="false">IF($B47="","",N(الموظفون!$AA47)/12*G47/cfg_DAYS_M)</f>
        <v/>
      </c>
      <c r="AG47" s="159" t="str">
        <f aca="false">IF($B47="","",T47+SUM(Z47:AF47))</f>
        <v/>
      </c>
      <c r="AH47" s="160" t="str">
        <f aca="false">IF($B47="","",MAX(0,IF(OR(الموظفون!$AE47="",الموظفون!$AE47&gt;$F$3),$F$3,الموظفون!$AE47)-الموظفون!$H47+1-SUMIFS('سجل الإجازات والحالات'!$AQ$6:$AQ$505,'سجل الإجازات والحالات'!$B$6:$B$505,$B47))/cfg_DAYS_Y)</f>
        <v/>
      </c>
      <c r="AI47" s="160" t="str">
        <f aca="false">IF($B47="","",MAX(0,IF(OR(الموظفون!$AE47="",الموظفون!$AE47&gt;($E$3-1)),($E$3-1),الموظفون!$AE47)-الموظفون!$H47+1-SUMIFS('سجل الإجازات والحالات'!$AP$6:$AP$505,'سجل الإجازات والحالات'!$B$6:$B$505,$B47))/cfg_DAYS_Y)</f>
        <v/>
      </c>
      <c r="AJ47" s="133" t="str">
        <f aca="false">IF($B47="","",MAX(0,AK47-(SUMIFS('سجل الإجازات والحالات'!$AQ$6:$AQ$505,'سجل الإجازات والحالات'!$B$6:$B$505,$B47)-SUMIFS('سجل الإجازات والحالات'!$AP$6:$AP$505,'سجل الإجازات والحالات'!$B$6:$B$505,$B47))))</f>
        <v/>
      </c>
      <c r="AK47" s="133" t="str">
        <f aca="false">IF($B47="","",MAX(0,IF(OR(الموظفون!$AE47="",الموظفون!$AE47&gt;$F$3),$F$3,الموظفون!$AE47)-MAX($E$3,الموظفون!$H47)+1))</f>
        <v/>
      </c>
      <c r="AL47" s="156" t="str">
        <f aca="false">IF($B47="","",SUMIFS('سجل الإجازات والحالات'!$BC$6:$BC$505,'سجل الإجازات والحالات'!$B$6:$B$505,$B47)+SUMIFS('الحركات الشهرية'!$K$6:$K$1005,'الحركات الشهرية'!$B$6:$B$1005,$B47,'الحركات الشهرية'!$A$6:$A$1005,$C$3))</f>
        <v/>
      </c>
      <c r="AM47" s="116" t="str">
        <f aca="false">IF($B47="","",AL47*الموظفون!$R47/cfg_DAYS_M+S47)</f>
        <v/>
      </c>
      <c r="AN47" s="156" t="str">
        <f aca="false">IF($B47="","",SUMIFS('سجل الإجازات والحالات'!$AE$6:$AE$505,'سجل الإجازات والحالات'!$B$6:$B$505,$B47))</f>
        <v/>
      </c>
    </row>
    <row r="48" customFormat="false" ht="15" hidden="false" customHeight="false" outlineLevel="0" collapsed="false">
      <c r="A48" s="106" t="str">
        <f aca="false">IF($B48="","",الموظفون!$A48)</f>
        <v/>
      </c>
      <c r="B48" s="114" t="str">
        <f aca="false">IF(الموظفون!$B48="","",الموظفون!$B48)</f>
        <v/>
      </c>
      <c r="C48" s="114" t="str">
        <f aca="false">IF($B48="","",الموظفون!$C48)</f>
        <v/>
      </c>
      <c r="D48" s="114" t="str">
        <f aca="false">IF($B48="","",الموظفون!$F48)</f>
        <v/>
      </c>
      <c r="E48" s="114" t="str">
        <f aca="false">IF($B48="","",الموظفون!$E48)</f>
        <v/>
      </c>
      <c r="F48" s="114" t="str">
        <f aca="false">IF($B48="","",IF(AK48=0,IF(AND(الموظفون!$AE48&lt;&gt;"",الموظفون!$AE48&lt;$E$3),"✖ منتهي الخدمة","⏳ لم يباشر"),IF(S48&gt;0,"✈ راتب إجازة مقدم",IF(J48=0,"⛔ بدون راتب هذا الشهر",IF(I48&gt;0,"✈ خصم "&amp;ROUND(I48,2)&amp;" يوم بدون أجر",IF(AL48&gt;0,"🌴 إجازة سنوية "&amp;ROUND(AL48,2)&amp;" يوم",IF(H48&gt;0,"⚠ غياب "&amp;ROUND(H48,2)&amp;" يوم","✔ على رأس العمل")))))))</f>
        <v/>
      </c>
      <c r="G48" s="151" t="str">
        <f aca="false">IF($B48="","",IF(AK48&gt;=DAY($F$3),cfg_DAYS_M,MIN(AK48,cfg_DAYS_M)))</f>
        <v/>
      </c>
      <c r="H48" s="151" t="str">
        <f aca="false">IF($B48="","",SUMIFS('الحركات الشهرية'!$D$6:$D$1005,'الحركات الشهرية'!$B$6:$B$1005,$B48,'الحركات الشهرية'!$A$6:$A$1005,$C$3))</f>
        <v/>
      </c>
      <c r="I48" s="151" t="str">
        <f aca="false">IF($B48="","",MIN(G48,IF(AND(AK48&gt;0,AN48&gt;=AK48),G48,AN48)+SUMIFS('الحركات الشهرية'!$E$6:$E$1005,'الحركات الشهرية'!$B$6:$B$1005,$B48,'الحركات الشهرية'!$A$6:$A$1005,$C$3)))</f>
        <v/>
      </c>
      <c r="J48" s="151" t="str">
        <f aca="false">IF($B48="","",MAX(0,G48-H48-I48))</f>
        <v/>
      </c>
      <c r="K48" s="111" t="str">
        <f aca="false">IF($B48="","",الموظفون!$L48*$J48/cfg_DAYS_M)</f>
        <v/>
      </c>
      <c r="L48" s="111" t="str">
        <f aca="false">IF($B48="","",الموظفون!$M48*$J48/cfg_DAYS_M)</f>
        <v/>
      </c>
      <c r="M48" s="111" t="str">
        <f aca="false">IF($B48="","",الموظفون!$N48*$J48/cfg_DAYS_M)</f>
        <v/>
      </c>
      <c r="N48" s="111" t="str">
        <f aca="false">IF($B48="","",الموظفون!$O48*$J48/cfg_DAYS_M)</f>
        <v/>
      </c>
      <c r="O48" s="151" t="str">
        <f aca="false">IF($B48="","",SUMIFS('الحركات الشهرية'!$F$6:$F$1005,'الحركات الشهرية'!$B$6:$B$1005,$B48,'الحركات الشهرية'!$A$6:$A$1005,$C$3))</f>
        <v/>
      </c>
      <c r="P48" s="111" t="str">
        <f aca="false">IF($B48="","",O48*(الموظفون!$P48+الموظفون!$L48*cfg_OT_P)/cfg_DAYS_M/cfg_HRS)</f>
        <v/>
      </c>
      <c r="Q48" s="111" t="str">
        <f aca="false">IF($B48="","",SUMIFS('الحركات الشهرية'!$G$6:$G$1005,'الحركات الشهرية'!$B$6:$B$1005,$B48,'الحركات الشهرية'!$A$6:$A$1005,$C$3))</f>
        <v/>
      </c>
      <c r="R48" s="111" t="str">
        <f aca="false">IF($B48="","",SUMIFS('الحركات الشهرية'!$H$6:$H$1005,'الحركات الشهرية'!$B$6:$B$1005,$B48,'الحركات الشهرية'!$A$6:$A$1005,$C$3))</f>
        <v/>
      </c>
      <c r="S48" s="111" t="str">
        <f aca="false">IF($B48="","",SUMIFS('سجل الإجازات والحالات'!$N$6:$N$505,'سجل الإجازات والحالات'!$B$6:$B$505,$B48,'سجل الإجازات والحالات'!$O$6:$O$505,$C$3))</f>
        <v/>
      </c>
      <c r="T48" s="152" t="str">
        <f aca="false">IF($B48="","",SUM(K48:N48)+SUM(P48:S48))</f>
        <v/>
      </c>
      <c r="U48" s="111" t="str">
        <f aca="false">IF($B48="","",الموظفون!$S48*IF(E48="سعودي",cfg_G_SE,cfg_G_NE)*G48/cfg_DAYS_M)</f>
        <v/>
      </c>
      <c r="V48" s="111" t="str">
        <f aca="false">IF($B48="","",SUMIFS('الحركات الشهرية'!$I$6:$I$1005,'الحركات الشهرية'!$B$6:$B$1005,$B48,'الحركات الشهرية'!$A$6:$A$1005,$C$3))</f>
        <v/>
      </c>
      <c r="W48" s="111" t="str">
        <f aca="false">IF($B48="","",SUMIFS('الحركات الشهرية'!$J$6:$J$1005,'الحركات الشهرية'!$B$6:$B$1005,$B48,'الحركات الشهرية'!$A$6:$A$1005,$C$3))</f>
        <v/>
      </c>
      <c r="X48" s="111" t="str">
        <f aca="false">IF($B48="","",SUM(U48:W48))</f>
        <v/>
      </c>
      <c r="Y48" s="153" t="str">
        <f aca="false">IF($B48="","",T48-X48)</f>
        <v/>
      </c>
      <c r="Z48" s="111" t="str">
        <f aca="false">IF($B48="","",الموظفون!$S48*IF(E48="سعودي",cfg_G_SR,cfg_G_NR)*G48/cfg_DAYS_M)</f>
        <v/>
      </c>
      <c r="AA48" s="111" t="str">
        <f aca="false">IF($B48="","",الموظفون!$Q48*(cfg_EOS_R1*(MIN(AH48,cfg_EOS_TH)-MIN(AI48,cfg_EOS_TH))+cfg_EOS_R2*(MAX(AH48-cfg_EOS_TH,0)-MAX(AI48-cfg_EOS_TH,0))))</f>
        <v/>
      </c>
      <c r="AB48" s="111" t="str">
        <f aca="false">IF($B48="","",IF(الموظفون!$T48&lt;&gt;"",الموظفون!$T48,IF(AH48&gt;=cfg_LV_TH,cfg_LV_D2,cfg_LV_D1))/cfg_DAYS_Y*AJ48*الموظفون!$R48/cfg_DAYS_M)</f>
        <v/>
      </c>
      <c r="AC48" s="111" t="str">
        <f aca="false">IF($B48="","",IF(AND(الموظفون!$U48="نعم",N(الموظفون!$W48)&gt;0),الموظفون!$V48/الموظفون!$W48*12/cfg_DAYS_Y*AJ48,0))</f>
        <v/>
      </c>
      <c r="AD48" s="111" t="str">
        <f aca="false">IF($B48="","",(IF(الموظفون!$X48&lt;&gt;"",الموظفون!$X48,IF(الموظفون!$E48="غير سعودي",cfg_IQ,0))+IF(الموظفون!$Y48&lt;&gt;"",الموظفون!$Y48,IF(الموظفون!$E48="غير سعودي",cfg_WP,0)))/12*G48/cfg_DAYS_M)</f>
        <v/>
      </c>
      <c r="AE48" s="111" t="str">
        <f aca="false">IF($B48="","",IF(الموظفون!$Z48&lt;&gt;"",الموظفون!$Z48,cfg_MED)/12*G48/cfg_DAYS_M)</f>
        <v/>
      </c>
      <c r="AF48" s="111" t="str">
        <f aca="false">IF($B48="","",N(الموظفون!$AA48)/12*G48/cfg_DAYS_M)</f>
        <v/>
      </c>
      <c r="AG48" s="154" t="str">
        <f aca="false">IF($B48="","",T48+SUM(Z48:AF48))</f>
        <v/>
      </c>
      <c r="AH48" s="155" t="str">
        <f aca="false">IF($B48="","",MAX(0,IF(OR(الموظفون!$AE48="",الموظفون!$AE48&gt;$F$3),$F$3,الموظفون!$AE48)-الموظفون!$H48+1-SUMIFS('سجل الإجازات والحالات'!$AQ$6:$AQ$505,'سجل الإجازات والحالات'!$B$6:$B$505,$B48))/cfg_DAYS_Y)</f>
        <v/>
      </c>
      <c r="AI48" s="155" t="str">
        <f aca="false">IF($B48="","",MAX(0,IF(OR(الموظفون!$AE48="",الموظفون!$AE48&gt;($E$3-1)),($E$3-1),الموظفون!$AE48)-الموظفون!$H48+1-SUMIFS('سجل الإجازات والحالات'!$AP$6:$AP$505,'سجل الإجازات والحالات'!$B$6:$B$505,$B48))/cfg_DAYS_Y)</f>
        <v/>
      </c>
      <c r="AJ48" s="65" t="str">
        <f aca="false">IF($B48="","",MAX(0,AK48-(SUMIFS('سجل الإجازات والحالات'!$AQ$6:$AQ$505,'سجل الإجازات والحالات'!$B$6:$B$505,$B48)-SUMIFS('سجل الإجازات والحالات'!$AP$6:$AP$505,'سجل الإجازات والحالات'!$B$6:$B$505,$B48))))</f>
        <v/>
      </c>
      <c r="AK48" s="65" t="str">
        <f aca="false">IF($B48="","",MAX(0,IF(OR(الموظفون!$AE48="",الموظفون!$AE48&gt;$F$3),$F$3,الموظفون!$AE48)-MAX($E$3,الموظفون!$H48)+1))</f>
        <v/>
      </c>
      <c r="AL48" s="151" t="str">
        <f aca="false">IF($B48="","",SUMIFS('سجل الإجازات والحالات'!$BC$6:$BC$505,'سجل الإجازات والحالات'!$B$6:$B$505,$B48)+SUMIFS('الحركات الشهرية'!$K$6:$K$1005,'الحركات الشهرية'!$B$6:$B$1005,$B48,'الحركات الشهرية'!$A$6:$A$1005,$C$3))</f>
        <v/>
      </c>
      <c r="AM48" s="111" t="str">
        <f aca="false">IF($B48="","",AL48*الموظفون!$R48/cfg_DAYS_M+S48)</f>
        <v/>
      </c>
      <c r="AN48" s="151" t="str">
        <f aca="false">IF($B48="","",SUMIFS('سجل الإجازات والحالات'!$AE$6:$AE$505,'سجل الإجازات والحالات'!$B$6:$B$505,$B48))</f>
        <v/>
      </c>
    </row>
    <row r="49" customFormat="false" ht="15" hidden="false" customHeight="false" outlineLevel="0" collapsed="false">
      <c r="A49" s="115" t="str">
        <f aca="false">IF($B49="","",الموظفون!$A49)</f>
        <v/>
      </c>
      <c r="B49" s="117" t="str">
        <f aca="false">IF(الموظفون!$B49="","",الموظفون!$B49)</f>
        <v/>
      </c>
      <c r="C49" s="117" t="str">
        <f aca="false">IF($B49="","",الموظفون!$C49)</f>
        <v/>
      </c>
      <c r="D49" s="117" t="str">
        <f aca="false">IF($B49="","",الموظفون!$F49)</f>
        <v/>
      </c>
      <c r="E49" s="117" t="str">
        <f aca="false">IF($B49="","",الموظفون!$E49)</f>
        <v/>
      </c>
      <c r="F49" s="117" t="str">
        <f aca="false">IF($B49="","",IF(AK49=0,IF(AND(الموظفون!$AE49&lt;&gt;"",الموظفون!$AE49&lt;$E$3),"✖ منتهي الخدمة","⏳ لم يباشر"),IF(S49&gt;0,"✈ راتب إجازة مقدم",IF(J49=0,"⛔ بدون راتب هذا الشهر",IF(I49&gt;0,"✈ خصم "&amp;ROUND(I49,2)&amp;" يوم بدون أجر",IF(AL49&gt;0,"🌴 إجازة سنوية "&amp;ROUND(AL49,2)&amp;" يوم",IF(H49&gt;0,"⚠ غياب "&amp;ROUND(H49,2)&amp;" يوم","✔ على رأس العمل")))))))</f>
        <v/>
      </c>
      <c r="G49" s="156" t="str">
        <f aca="false">IF($B49="","",IF(AK49&gt;=DAY($F$3),cfg_DAYS_M,MIN(AK49,cfg_DAYS_M)))</f>
        <v/>
      </c>
      <c r="H49" s="156" t="str">
        <f aca="false">IF($B49="","",SUMIFS('الحركات الشهرية'!$D$6:$D$1005,'الحركات الشهرية'!$B$6:$B$1005,$B49,'الحركات الشهرية'!$A$6:$A$1005,$C$3))</f>
        <v/>
      </c>
      <c r="I49" s="156" t="str">
        <f aca="false">IF($B49="","",MIN(G49,IF(AND(AK49&gt;0,AN49&gt;=AK49),G49,AN49)+SUMIFS('الحركات الشهرية'!$E$6:$E$1005,'الحركات الشهرية'!$B$6:$B$1005,$B49,'الحركات الشهرية'!$A$6:$A$1005,$C$3)))</f>
        <v/>
      </c>
      <c r="J49" s="156" t="str">
        <f aca="false">IF($B49="","",MAX(0,G49-H49-I49))</f>
        <v/>
      </c>
      <c r="K49" s="116" t="str">
        <f aca="false">IF($B49="","",الموظفون!$L49*$J49/cfg_DAYS_M)</f>
        <v/>
      </c>
      <c r="L49" s="116" t="str">
        <f aca="false">IF($B49="","",الموظفون!$M49*$J49/cfg_DAYS_M)</f>
        <v/>
      </c>
      <c r="M49" s="116" t="str">
        <f aca="false">IF($B49="","",الموظفون!$N49*$J49/cfg_DAYS_M)</f>
        <v/>
      </c>
      <c r="N49" s="116" t="str">
        <f aca="false">IF($B49="","",الموظفون!$O49*$J49/cfg_DAYS_M)</f>
        <v/>
      </c>
      <c r="O49" s="156" t="str">
        <f aca="false">IF($B49="","",SUMIFS('الحركات الشهرية'!$F$6:$F$1005,'الحركات الشهرية'!$B$6:$B$1005,$B49,'الحركات الشهرية'!$A$6:$A$1005,$C$3))</f>
        <v/>
      </c>
      <c r="P49" s="116" t="str">
        <f aca="false">IF($B49="","",O49*(الموظفون!$P49+الموظفون!$L49*cfg_OT_P)/cfg_DAYS_M/cfg_HRS)</f>
        <v/>
      </c>
      <c r="Q49" s="116" t="str">
        <f aca="false">IF($B49="","",SUMIFS('الحركات الشهرية'!$G$6:$G$1005,'الحركات الشهرية'!$B$6:$B$1005,$B49,'الحركات الشهرية'!$A$6:$A$1005,$C$3))</f>
        <v/>
      </c>
      <c r="R49" s="116" t="str">
        <f aca="false">IF($B49="","",SUMIFS('الحركات الشهرية'!$H$6:$H$1005,'الحركات الشهرية'!$B$6:$B$1005,$B49,'الحركات الشهرية'!$A$6:$A$1005,$C$3))</f>
        <v/>
      </c>
      <c r="S49" s="116" t="str">
        <f aca="false">IF($B49="","",SUMIFS('سجل الإجازات والحالات'!$N$6:$N$505,'سجل الإجازات والحالات'!$B$6:$B$505,$B49,'سجل الإجازات والحالات'!$O$6:$O$505,$C$3))</f>
        <v/>
      </c>
      <c r="T49" s="157" t="str">
        <f aca="false">IF($B49="","",SUM(K49:N49)+SUM(P49:S49))</f>
        <v/>
      </c>
      <c r="U49" s="116" t="str">
        <f aca="false">IF($B49="","",الموظفون!$S49*IF(E49="سعودي",cfg_G_SE,cfg_G_NE)*G49/cfg_DAYS_M)</f>
        <v/>
      </c>
      <c r="V49" s="116" t="str">
        <f aca="false">IF($B49="","",SUMIFS('الحركات الشهرية'!$I$6:$I$1005,'الحركات الشهرية'!$B$6:$B$1005,$B49,'الحركات الشهرية'!$A$6:$A$1005,$C$3))</f>
        <v/>
      </c>
      <c r="W49" s="116" t="str">
        <f aca="false">IF($B49="","",SUMIFS('الحركات الشهرية'!$J$6:$J$1005,'الحركات الشهرية'!$B$6:$B$1005,$B49,'الحركات الشهرية'!$A$6:$A$1005,$C$3))</f>
        <v/>
      </c>
      <c r="X49" s="116" t="str">
        <f aca="false">IF($B49="","",SUM(U49:W49))</f>
        <v/>
      </c>
      <c r="Y49" s="158" t="str">
        <f aca="false">IF($B49="","",T49-X49)</f>
        <v/>
      </c>
      <c r="Z49" s="116" t="str">
        <f aca="false">IF($B49="","",الموظفون!$S49*IF(E49="سعودي",cfg_G_SR,cfg_G_NR)*G49/cfg_DAYS_M)</f>
        <v/>
      </c>
      <c r="AA49" s="116" t="str">
        <f aca="false">IF($B49="","",الموظفون!$Q49*(cfg_EOS_R1*(MIN(AH49,cfg_EOS_TH)-MIN(AI49,cfg_EOS_TH))+cfg_EOS_R2*(MAX(AH49-cfg_EOS_TH,0)-MAX(AI49-cfg_EOS_TH,0))))</f>
        <v/>
      </c>
      <c r="AB49" s="116" t="str">
        <f aca="false">IF($B49="","",IF(الموظفون!$T49&lt;&gt;"",الموظفون!$T49,IF(AH49&gt;=cfg_LV_TH,cfg_LV_D2,cfg_LV_D1))/cfg_DAYS_Y*AJ49*الموظفون!$R49/cfg_DAYS_M)</f>
        <v/>
      </c>
      <c r="AC49" s="116" t="str">
        <f aca="false">IF($B49="","",IF(AND(الموظفون!$U49="نعم",N(الموظفون!$W49)&gt;0),الموظفون!$V49/الموظفون!$W49*12/cfg_DAYS_Y*AJ49,0))</f>
        <v/>
      </c>
      <c r="AD49" s="116" t="str">
        <f aca="false">IF($B49="","",(IF(الموظفون!$X49&lt;&gt;"",الموظفون!$X49,IF(الموظفون!$E49="غير سعودي",cfg_IQ,0))+IF(الموظفون!$Y49&lt;&gt;"",الموظفون!$Y49,IF(الموظفون!$E49="غير سعودي",cfg_WP,0)))/12*G49/cfg_DAYS_M)</f>
        <v/>
      </c>
      <c r="AE49" s="116" t="str">
        <f aca="false">IF($B49="","",IF(الموظفون!$Z49&lt;&gt;"",الموظفون!$Z49,cfg_MED)/12*G49/cfg_DAYS_M)</f>
        <v/>
      </c>
      <c r="AF49" s="116" t="str">
        <f aca="false">IF($B49="","",N(الموظفون!$AA49)/12*G49/cfg_DAYS_M)</f>
        <v/>
      </c>
      <c r="AG49" s="159" t="str">
        <f aca="false">IF($B49="","",T49+SUM(Z49:AF49))</f>
        <v/>
      </c>
      <c r="AH49" s="160" t="str">
        <f aca="false">IF($B49="","",MAX(0,IF(OR(الموظفون!$AE49="",الموظفون!$AE49&gt;$F$3),$F$3,الموظفون!$AE49)-الموظفون!$H49+1-SUMIFS('سجل الإجازات والحالات'!$AQ$6:$AQ$505,'سجل الإجازات والحالات'!$B$6:$B$505,$B49))/cfg_DAYS_Y)</f>
        <v/>
      </c>
      <c r="AI49" s="160" t="str">
        <f aca="false">IF($B49="","",MAX(0,IF(OR(الموظفون!$AE49="",الموظفون!$AE49&gt;($E$3-1)),($E$3-1),الموظفون!$AE49)-الموظفون!$H49+1-SUMIFS('سجل الإجازات والحالات'!$AP$6:$AP$505,'سجل الإجازات والحالات'!$B$6:$B$505,$B49))/cfg_DAYS_Y)</f>
        <v/>
      </c>
      <c r="AJ49" s="133" t="str">
        <f aca="false">IF($B49="","",MAX(0,AK49-(SUMIFS('سجل الإجازات والحالات'!$AQ$6:$AQ$505,'سجل الإجازات والحالات'!$B$6:$B$505,$B49)-SUMIFS('سجل الإجازات والحالات'!$AP$6:$AP$505,'سجل الإجازات والحالات'!$B$6:$B$505,$B49))))</f>
        <v/>
      </c>
      <c r="AK49" s="133" t="str">
        <f aca="false">IF($B49="","",MAX(0,IF(OR(الموظفون!$AE49="",الموظفون!$AE49&gt;$F$3),$F$3,الموظفون!$AE49)-MAX($E$3,الموظفون!$H49)+1))</f>
        <v/>
      </c>
      <c r="AL49" s="156" t="str">
        <f aca="false">IF($B49="","",SUMIFS('سجل الإجازات والحالات'!$BC$6:$BC$505,'سجل الإجازات والحالات'!$B$6:$B$505,$B49)+SUMIFS('الحركات الشهرية'!$K$6:$K$1005,'الحركات الشهرية'!$B$6:$B$1005,$B49,'الحركات الشهرية'!$A$6:$A$1005,$C$3))</f>
        <v/>
      </c>
      <c r="AM49" s="116" t="str">
        <f aca="false">IF($B49="","",AL49*الموظفون!$R49/cfg_DAYS_M+S49)</f>
        <v/>
      </c>
      <c r="AN49" s="156" t="str">
        <f aca="false">IF($B49="","",SUMIFS('سجل الإجازات والحالات'!$AE$6:$AE$505,'سجل الإجازات والحالات'!$B$6:$B$505,$B49))</f>
        <v/>
      </c>
    </row>
    <row r="50" customFormat="false" ht="15" hidden="false" customHeight="false" outlineLevel="0" collapsed="false">
      <c r="A50" s="106" t="str">
        <f aca="false">IF($B50="","",الموظفون!$A50)</f>
        <v/>
      </c>
      <c r="B50" s="114" t="str">
        <f aca="false">IF(الموظفون!$B50="","",الموظفون!$B50)</f>
        <v/>
      </c>
      <c r="C50" s="114" t="str">
        <f aca="false">IF($B50="","",الموظفون!$C50)</f>
        <v/>
      </c>
      <c r="D50" s="114" t="str">
        <f aca="false">IF($B50="","",الموظفون!$F50)</f>
        <v/>
      </c>
      <c r="E50" s="114" t="str">
        <f aca="false">IF($B50="","",الموظفون!$E50)</f>
        <v/>
      </c>
      <c r="F50" s="114" t="str">
        <f aca="false">IF($B50="","",IF(AK50=0,IF(AND(الموظفون!$AE50&lt;&gt;"",الموظفون!$AE50&lt;$E$3),"✖ منتهي الخدمة","⏳ لم يباشر"),IF(S50&gt;0,"✈ راتب إجازة مقدم",IF(J50=0,"⛔ بدون راتب هذا الشهر",IF(I50&gt;0,"✈ خصم "&amp;ROUND(I50,2)&amp;" يوم بدون أجر",IF(AL50&gt;0,"🌴 إجازة سنوية "&amp;ROUND(AL50,2)&amp;" يوم",IF(H50&gt;0,"⚠ غياب "&amp;ROUND(H50,2)&amp;" يوم","✔ على رأس العمل")))))))</f>
        <v/>
      </c>
      <c r="G50" s="151" t="str">
        <f aca="false">IF($B50="","",IF(AK50&gt;=DAY($F$3),cfg_DAYS_M,MIN(AK50,cfg_DAYS_M)))</f>
        <v/>
      </c>
      <c r="H50" s="151" t="str">
        <f aca="false">IF($B50="","",SUMIFS('الحركات الشهرية'!$D$6:$D$1005,'الحركات الشهرية'!$B$6:$B$1005,$B50,'الحركات الشهرية'!$A$6:$A$1005,$C$3))</f>
        <v/>
      </c>
      <c r="I50" s="151" t="str">
        <f aca="false">IF($B50="","",MIN(G50,IF(AND(AK50&gt;0,AN50&gt;=AK50),G50,AN50)+SUMIFS('الحركات الشهرية'!$E$6:$E$1005,'الحركات الشهرية'!$B$6:$B$1005,$B50,'الحركات الشهرية'!$A$6:$A$1005,$C$3)))</f>
        <v/>
      </c>
      <c r="J50" s="151" t="str">
        <f aca="false">IF($B50="","",MAX(0,G50-H50-I50))</f>
        <v/>
      </c>
      <c r="K50" s="111" t="str">
        <f aca="false">IF($B50="","",الموظفون!$L50*$J50/cfg_DAYS_M)</f>
        <v/>
      </c>
      <c r="L50" s="111" t="str">
        <f aca="false">IF($B50="","",الموظفون!$M50*$J50/cfg_DAYS_M)</f>
        <v/>
      </c>
      <c r="M50" s="111" t="str">
        <f aca="false">IF($B50="","",الموظفون!$N50*$J50/cfg_DAYS_M)</f>
        <v/>
      </c>
      <c r="N50" s="111" t="str">
        <f aca="false">IF($B50="","",الموظفون!$O50*$J50/cfg_DAYS_M)</f>
        <v/>
      </c>
      <c r="O50" s="151" t="str">
        <f aca="false">IF($B50="","",SUMIFS('الحركات الشهرية'!$F$6:$F$1005,'الحركات الشهرية'!$B$6:$B$1005,$B50,'الحركات الشهرية'!$A$6:$A$1005,$C$3))</f>
        <v/>
      </c>
      <c r="P50" s="111" t="str">
        <f aca="false">IF($B50="","",O50*(الموظفون!$P50+الموظفون!$L50*cfg_OT_P)/cfg_DAYS_M/cfg_HRS)</f>
        <v/>
      </c>
      <c r="Q50" s="111" t="str">
        <f aca="false">IF($B50="","",SUMIFS('الحركات الشهرية'!$G$6:$G$1005,'الحركات الشهرية'!$B$6:$B$1005,$B50,'الحركات الشهرية'!$A$6:$A$1005,$C$3))</f>
        <v/>
      </c>
      <c r="R50" s="111" t="str">
        <f aca="false">IF($B50="","",SUMIFS('الحركات الشهرية'!$H$6:$H$1005,'الحركات الشهرية'!$B$6:$B$1005,$B50,'الحركات الشهرية'!$A$6:$A$1005,$C$3))</f>
        <v/>
      </c>
      <c r="S50" s="111" t="str">
        <f aca="false">IF($B50="","",SUMIFS('سجل الإجازات والحالات'!$N$6:$N$505,'سجل الإجازات والحالات'!$B$6:$B$505,$B50,'سجل الإجازات والحالات'!$O$6:$O$505,$C$3))</f>
        <v/>
      </c>
      <c r="T50" s="152" t="str">
        <f aca="false">IF($B50="","",SUM(K50:N50)+SUM(P50:S50))</f>
        <v/>
      </c>
      <c r="U50" s="111" t="str">
        <f aca="false">IF($B50="","",الموظفون!$S50*IF(E50="سعودي",cfg_G_SE,cfg_G_NE)*G50/cfg_DAYS_M)</f>
        <v/>
      </c>
      <c r="V50" s="111" t="str">
        <f aca="false">IF($B50="","",SUMIFS('الحركات الشهرية'!$I$6:$I$1005,'الحركات الشهرية'!$B$6:$B$1005,$B50,'الحركات الشهرية'!$A$6:$A$1005,$C$3))</f>
        <v/>
      </c>
      <c r="W50" s="111" t="str">
        <f aca="false">IF($B50="","",SUMIFS('الحركات الشهرية'!$J$6:$J$1005,'الحركات الشهرية'!$B$6:$B$1005,$B50,'الحركات الشهرية'!$A$6:$A$1005,$C$3))</f>
        <v/>
      </c>
      <c r="X50" s="111" t="str">
        <f aca="false">IF($B50="","",SUM(U50:W50))</f>
        <v/>
      </c>
      <c r="Y50" s="153" t="str">
        <f aca="false">IF($B50="","",T50-X50)</f>
        <v/>
      </c>
      <c r="Z50" s="111" t="str">
        <f aca="false">IF($B50="","",الموظفون!$S50*IF(E50="سعودي",cfg_G_SR,cfg_G_NR)*G50/cfg_DAYS_M)</f>
        <v/>
      </c>
      <c r="AA50" s="111" t="str">
        <f aca="false">IF($B50="","",الموظفون!$Q50*(cfg_EOS_R1*(MIN(AH50,cfg_EOS_TH)-MIN(AI50,cfg_EOS_TH))+cfg_EOS_R2*(MAX(AH50-cfg_EOS_TH,0)-MAX(AI50-cfg_EOS_TH,0))))</f>
        <v/>
      </c>
      <c r="AB50" s="111" t="str">
        <f aca="false">IF($B50="","",IF(الموظفون!$T50&lt;&gt;"",الموظفون!$T50,IF(AH50&gt;=cfg_LV_TH,cfg_LV_D2,cfg_LV_D1))/cfg_DAYS_Y*AJ50*الموظفون!$R50/cfg_DAYS_M)</f>
        <v/>
      </c>
      <c r="AC50" s="111" t="str">
        <f aca="false">IF($B50="","",IF(AND(الموظفون!$U50="نعم",N(الموظفون!$W50)&gt;0),الموظفون!$V50/الموظفون!$W50*12/cfg_DAYS_Y*AJ50,0))</f>
        <v/>
      </c>
      <c r="AD50" s="111" t="str">
        <f aca="false">IF($B50="","",(IF(الموظفون!$X50&lt;&gt;"",الموظفون!$X50,IF(الموظفون!$E50="غير سعودي",cfg_IQ,0))+IF(الموظفون!$Y50&lt;&gt;"",الموظفون!$Y50,IF(الموظفون!$E50="غير سعودي",cfg_WP,0)))/12*G50/cfg_DAYS_M)</f>
        <v/>
      </c>
      <c r="AE50" s="111" t="str">
        <f aca="false">IF($B50="","",IF(الموظفون!$Z50&lt;&gt;"",الموظفون!$Z50,cfg_MED)/12*G50/cfg_DAYS_M)</f>
        <v/>
      </c>
      <c r="AF50" s="111" t="str">
        <f aca="false">IF($B50="","",N(الموظفون!$AA50)/12*G50/cfg_DAYS_M)</f>
        <v/>
      </c>
      <c r="AG50" s="154" t="str">
        <f aca="false">IF($B50="","",T50+SUM(Z50:AF50))</f>
        <v/>
      </c>
      <c r="AH50" s="155" t="str">
        <f aca="false">IF($B50="","",MAX(0,IF(OR(الموظفون!$AE50="",الموظفون!$AE50&gt;$F$3),$F$3,الموظفون!$AE50)-الموظفون!$H50+1-SUMIFS('سجل الإجازات والحالات'!$AQ$6:$AQ$505,'سجل الإجازات والحالات'!$B$6:$B$505,$B50))/cfg_DAYS_Y)</f>
        <v/>
      </c>
      <c r="AI50" s="155" t="str">
        <f aca="false">IF($B50="","",MAX(0,IF(OR(الموظفون!$AE50="",الموظفون!$AE50&gt;($E$3-1)),($E$3-1),الموظفون!$AE50)-الموظفون!$H50+1-SUMIFS('سجل الإجازات والحالات'!$AP$6:$AP$505,'سجل الإجازات والحالات'!$B$6:$B$505,$B50))/cfg_DAYS_Y)</f>
        <v/>
      </c>
      <c r="AJ50" s="65" t="str">
        <f aca="false">IF($B50="","",MAX(0,AK50-(SUMIFS('سجل الإجازات والحالات'!$AQ$6:$AQ$505,'سجل الإجازات والحالات'!$B$6:$B$505,$B50)-SUMIFS('سجل الإجازات والحالات'!$AP$6:$AP$505,'سجل الإجازات والحالات'!$B$6:$B$505,$B50))))</f>
        <v/>
      </c>
      <c r="AK50" s="65" t="str">
        <f aca="false">IF($B50="","",MAX(0,IF(OR(الموظفون!$AE50="",الموظفون!$AE50&gt;$F$3),$F$3,الموظفون!$AE50)-MAX($E$3,الموظفون!$H50)+1))</f>
        <v/>
      </c>
      <c r="AL50" s="151" t="str">
        <f aca="false">IF($B50="","",SUMIFS('سجل الإجازات والحالات'!$BC$6:$BC$505,'سجل الإجازات والحالات'!$B$6:$B$505,$B50)+SUMIFS('الحركات الشهرية'!$K$6:$K$1005,'الحركات الشهرية'!$B$6:$B$1005,$B50,'الحركات الشهرية'!$A$6:$A$1005,$C$3))</f>
        <v/>
      </c>
      <c r="AM50" s="111" t="str">
        <f aca="false">IF($B50="","",AL50*الموظفون!$R50/cfg_DAYS_M+S50)</f>
        <v/>
      </c>
      <c r="AN50" s="151" t="str">
        <f aca="false">IF($B50="","",SUMIFS('سجل الإجازات والحالات'!$AE$6:$AE$505,'سجل الإجازات والحالات'!$B$6:$B$505,$B50))</f>
        <v/>
      </c>
    </row>
    <row r="51" customFormat="false" ht="15" hidden="false" customHeight="false" outlineLevel="0" collapsed="false">
      <c r="A51" s="115" t="str">
        <f aca="false">IF($B51="","",الموظفون!$A51)</f>
        <v/>
      </c>
      <c r="B51" s="117" t="str">
        <f aca="false">IF(الموظفون!$B51="","",الموظفون!$B51)</f>
        <v/>
      </c>
      <c r="C51" s="117" t="str">
        <f aca="false">IF($B51="","",الموظفون!$C51)</f>
        <v/>
      </c>
      <c r="D51" s="117" t="str">
        <f aca="false">IF($B51="","",الموظفون!$F51)</f>
        <v/>
      </c>
      <c r="E51" s="117" t="str">
        <f aca="false">IF($B51="","",الموظفون!$E51)</f>
        <v/>
      </c>
      <c r="F51" s="117" t="str">
        <f aca="false">IF($B51="","",IF(AK51=0,IF(AND(الموظفون!$AE51&lt;&gt;"",الموظفون!$AE51&lt;$E$3),"✖ منتهي الخدمة","⏳ لم يباشر"),IF(S51&gt;0,"✈ راتب إجازة مقدم",IF(J51=0,"⛔ بدون راتب هذا الشهر",IF(I51&gt;0,"✈ خصم "&amp;ROUND(I51,2)&amp;" يوم بدون أجر",IF(AL51&gt;0,"🌴 إجازة سنوية "&amp;ROUND(AL51,2)&amp;" يوم",IF(H51&gt;0,"⚠ غياب "&amp;ROUND(H51,2)&amp;" يوم","✔ على رأس العمل")))))))</f>
        <v/>
      </c>
      <c r="G51" s="156" t="str">
        <f aca="false">IF($B51="","",IF(AK51&gt;=DAY($F$3),cfg_DAYS_M,MIN(AK51,cfg_DAYS_M)))</f>
        <v/>
      </c>
      <c r="H51" s="156" t="str">
        <f aca="false">IF($B51="","",SUMIFS('الحركات الشهرية'!$D$6:$D$1005,'الحركات الشهرية'!$B$6:$B$1005,$B51,'الحركات الشهرية'!$A$6:$A$1005,$C$3))</f>
        <v/>
      </c>
      <c r="I51" s="156" t="str">
        <f aca="false">IF($B51="","",MIN(G51,IF(AND(AK51&gt;0,AN51&gt;=AK51),G51,AN51)+SUMIFS('الحركات الشهرية'!$E$6:$E$1005,'الحركات الشهرية'!$B$6:$B$1005,$B51,'الحركات الشهرية'!$A$6:$A$1005,$C$3)))</f>
        <v/>
      </c>
      <c r="J51" s="156" t="str">
        <f aca="false">IF($B51="","",MAX(0,G51-H51-I51))</f>
        <v/>
      </c>
      <c r="K51" s="116" t="str">
        <f aca="false">IF($B51="","",الموظفون!$L51*$J51/cfg_DAYS_M)</f>
        <v/>
      </c>
      <c r="L51" s="116" t="str">
        <f aca="false">IF($B51="","",الموظفون!$M51*$J51/cfg_DAYS_M)</f>
        <v/>
      </c>
      <c r="M51" s="116" t="str">
        <f aca="false">IF($B51="","",الموظفون!$N51*$J51/cfg_DAYS_M)</f>
        <v/>
      </c>
      <c r="N51" s="116" t="str">
        <f aca="false">IF($B51="","",الموظفون!$O51*$J51/cfg_DAYS_M)</f>
        <v/>
      </c>
      <c r="O51" s="156" t="str">
        <f aca="false">IF($B51="","",SUMIFS('الحركات الشهرية'!$F$6:$F$1005,'الحركات الشهرية'!$B$6:$B$1005,$B51,'الحركات الشهرية'!$A$6:$A$1005,$C$3))</f>
        <v/>
      </c>
      <c r="P51" s="116" t="str">
        <f aca="false">IF($B51="","",O51*(الموظفون!$P51+الموظفون!$L51*cfg_OT_P)/cfg_DAYS_M/cfg_HRS)</f>
        <v/>
      </c>
      <c r="Q51" s="116" t="str">
        <f aca="false">IF($B51="","",SUMIFS('الحركات الشهرية'!$G$6:$G$1005,'الحركات الشهرية'!$B$6:$B$1005,$B51,'الحركات الشهرية'!$A$6:$A$1005,$C$3))</f>
        <v/>
      </c>
      <c r="R51" s="116" t="str">
        <f aca="false">IF($B51="","",SUMIFS('الحركات الشهرية'!$H$6:$H$1005,'الحركات الشهرية'!$B$6:$B$1005,$B51,'الحركات الشهرية'!$A$6:$A$1005,$C$3))</f>
        <v/>
      </c>
      <c r="S51" s="116" t="str">
        <f aca="false">IF($B51="","",SUMIFS('سجل الإجازات والحالات'!$N$6:$N$505,'سجل الإجازات والحالات'!$B$6:$B$505,$B51,'سجل الإجازات والحالات'!$O$6:$O$505,$C$3))</f>
        <v/>
      </c>
      <c r="T51" s="157" t="str">
        <f aca="false">IF($B51="","",SUM(K51:N51)+SUM(P51:S51))</f>
        <v/>
      </c>
      <c r="U51" s="116" t="str">
        <f aca="false">IF($B51="","",الموظفون!$S51*IF(E51="سعودي",cfg_G_SE,cfg_G_NE)*G51/cfg_DAYS_M)</f>
        <v/>
      </c>
      <c r="V51" s="116" t="str">
        <f aca="false">IF($B51="","",SUMIFS('الحركات الشهرية'!$I$6:$I$1005,'الحركات الشهرية'!$B$6:$B$1005,$B51,'الحركات الشهرية'!$A$6:$A$1005,$C$3))</f>
        <v/>
      </c>
      <c r="W51" s="116" t="str">
        <f aca="false">IF($B51="","",SUMIFS('الحركات الشهرية'!$J$6:$J$1005,'الحركات الشهرية'!$B$6:$B$1005,$B51,'الحركات الشهرية'!$A$6:$A$1005,$C$3))</f>
        <v/>
      </c>
      <c r="X51" s="116" t="str">
        <f aca="false">IF($B51="","",SUM(U51:W51))</f>
        <v/>
      </c>
      <c r="Y51" s="158" t="str">
        <f aca="false">IF($B51="","",T51-X51)</f>
        <v/>
      </c>
      <c r="Z51" s="116" t="str">
        <f aca="false">IF($B51="","",الموظفون!$S51*IF(E51="سعودي",cfg_G_SR,cfg_G_NR)*G51/cfg_DAYS_M)</f>
        <v/>
      </c>
      <c r="AA51" s="116" t="str">
        <f aca="false">IF($B51="","",الموظفون!$Q51*(cfg_EOS_R1*(MIN(AH51,cfg_EOS_TH)-MIN(AI51,cfg_EOS_TH))+cfg_EOS_R2*(MAX(AH51-cfg_EOS_TH,0)-MAX(AI51-cfg_EOS_TH,0))))</f>
        <v/>
      </c>
      <c r="AB51" s="116" t="str">
        <f aca="false">IF($B51="","",IF(الموظفون!$T51&lt;&gt;"",الموظفون!$T51,IF(AH51&gt;=cfg_LV_TH,cfg_LV_D2,cfg_LV_D1))/cfg_DAYS_Y*AJ51*الموظفون!$R51/cfg_DAYS_M)</f>
        <v/>
      </c>
      <c r="AC51" s="116" t="str">
        <f aca="false">IF($B51="","",IF(AND(الموظفون!$U51="نعم",N(الموظفون!$W51)&gt;0),الموظفون!$V51/الموظفون!$W51*12/cfg_DAYS_Y*AJ51,0))</f>
        <v/>
      </c>
      <c r="AD51" s="116" t="str">
        <f aca="false">IF($B51="","",(IF(الموظفون!$X51&lt;&gt;"",الموظفون!$X51,IF(الموظفون!$E51="غير سعودي",cfg_IQ,0))+IF(الموظفون!$Y51&lt;&gt;"",الموظفون!$Y51,IF(الموظفون!$E51="غير سعودي",cfg_WP,0)))/12*G51/cfg_DAYS_M)</f>
        <v/>
      </c>
      <c r="AE51" s="116" t="str">
        <f aca="false">IF($B51="","",IF(الموظفون!$Z51&lt;&gt;"",الموظفون!$Z51,cfg_MED)/12*G51/cfg_DAYS_M)</f>
        <v/>
      </c>
      <c r="AF51" s="116" t="str">
        <f aca="false">IF($B51="","",N(الموظفون!$AA51)/12*G51/cfg_DAYS_M)</f>
        <v/>
      </c>
      <c r="AG51" s="159" t="str">
        <f aca="false">IF($B51="","",T51+SUM(Z51:AF51))</f>
        <v/>
      </c>
      <c r="AH51" s="160" t="str">
        <f aca="false">IF($B51="","",MAX(0,IF(OR(الموظفون!$AE51="",الموظفون!$AE51&gt;$F$3),$F$3,الموظفون!$AE51)-الموظفون!$H51+1-SUMIFS('سجل الإجازات والحالات'!$AQ$6:$AQ$505,'سجل الإجازات والحالات'!$B$6:$B$505,$B51))/cfg_DAYS_Y)</f>
        <v/>
      </c>
      <c r="AI51" s="160" t="str">
        <f aca="false">IF($B51="","",MAX(0,IF(OR(الموظفون!$AE51="",الموظفون!$AE51&gt;($E$3-1)),($E$3-1),الموظفون!$AE51)-الموظفون!$H51+1-SUMIFS('سجل الإجازات والحالات'!$AP$6:$AP$505,'سجل الإجازات والحالات'!$B$6:$B$505,$B51))/cfg_DAYS_Y)</f>
        <v/>
      </c>
      <c r="AJ51" s="133" t="str">
        <f aca="false">IF($B51="","",MAX(0,AK51-(SUMIFS('سجل الإجازات والحالات'!$AQ$6:$AQ$505,'سجل الإجازات والحالات'!$B$6:$B$505,$B51)-SUMIFS('سجل الإجازات والحالات'!$AP$6:$AP$505,'سجل الإجازات والحالات'!$B$6:$B$505,$B51))))</f>
        <v/>
      </c>
      <c r="AK51" s="133" t="str">
        <f aca="false">IF($B51="","",MAX(0,IF(OR(الموظفون!$AE51="",الموظفون!$AE51&gt;$F$3),$F$3,الموظفون!$AE51)-MAX($E$3,الموظفون!$H51)+1))</f>
        <v/>
      </c>
      <c r="AL51" s="156" t="str">
        <f aca="false">IF($B51="","",SUMIFS('سجل الإجازات والحالات'!$BC$6:$BC$505,'سجل الإجازات والحالات'!$B$6:$B$505,$B51)+SUMIFS('الحركات الشهرية'!$K$6:$K$1005,'الحركات الشهرية'!$B$6:$B$1005,$B51,'الحركات الشهرية'!$A$6:$A$1005,$C$3))</f>
        <v/>
      </c>
      <c r="AM51" s="116" t="str">
        <f aca="false">IF($B51="","",AL51*الموظفون!$R51/cfg_DAYS_M+S51)</f>
        <v/>
      </c>
      <c r="AN51" s="156" t="str">
        <f aca="false">IF($B51="","",SUMIFS('سجل الإجازات والحالات'!$AE$6:$AE$505,'سجل الإجازات والحالات'!$B$6:$B$505,$B51))</f>
        <v/>
      </c>
    </row>
    <row r="52" customFormat="false" ht="15" hidden="false" customHeight="false" outlineLevel="0" collapsed="false">
      <c r="A52" s="106" t="str">
        <f aca="false">IF($B52="","",الموظفون!$A52)</f>
        <v/>
      </c>
      <c r="B52" s="114" t="str">
        <f aca="false">IF(الموظفون!$B52="","",الموظفون!$B52)</f>
        <v/>
      </c>
      <c r="C52" s="114" t="str">
        <f aca="false">IF($B52="","",الموظفون!$C52)</f>
        <v/>
      </c>
      <c r="D52" s="114" t="str">
        <f aca="false">IF($B52="","",الموظفون!$F52)</f>
        <v/>
      </c>
      <c r="E52" s="114" t="str">
        <f aca="false">IF($B52="","",الموظفون!$E52)</f>
        <v/>
      </c>
      <c r="F52" s="114" t="str">
        <f aca="false">IF($B52="","",IF(AK52=0,IF(AND(الموظفون!$AE52&lt;&gt;"",الموظفون!$AE52&lt;$E$3),"✖ منتهي الخدمة","⏳ لم يباشر"),IF(S52&gt;0,"✈ راتب إجازة مقدم",IF(J52=0,"⛔ بدون راتب هذا الشهر",IF(I52&gt;0,"✈ خصم "&amp;ROUND(I52,2)&amp;" يوم بدون أجر",IF(AL52&gt;0,"🌴 إجازة سنوية "&amp;ROUND(AL52,2)&amp;" يوم",IF(H52&gt;0,"⚠ غياب "&amp;ROUND(H52,2)&amp;" يوم","✔ على رأس العمل")))))))</f>
        <v/>
      </c>
      <c r="G52" s="151" t="str">
        <f aca="false">IF($B52="","",IF(AK52&gt;=DAY($F$3),cfg_DAYS_M,MIN(AK52,cfg_DAYS_M)))</f>
        <v/>
      </c>
      <c r="H52" s="151" t="str">
        <f aca="false">IF($B52="","",SUMIFS('الحركات الشهرية'!$D$6:$D$1005,'الحركات الشهرية'!$B$6:$B$1005,$B52,'الحركات الشهرية'!$A$6:$A$1005,$C$3))</f>
        <v/>
      </c>
      <c r="I52" s="151" t="str">
        <f aca="false">IF($B52="","",MIN(G52,IF(AND(AK52&gt;0,AN52&gt;=AK52),G52,AN52)+SUMIFS('الحركات الشهرية'!$E$6:$E$1005,'الحركات الشهرية'!$B$6:$B$1005,$B52,'الحركات الشهرية'!$A$6:$A$1005,$C$3)))</f>
        <v/>
      </c>
      <c r="J52" s="151" t="str">
        <f aca="false">IF($B52="","",MAX(0,G52-H52-I52))</f>
        <v/>
      </c>
      <c r="K52" s="111" t="str">
        <f aca="false">IF($B52="","",الموظفون!$L52*$J52/cfg_DAYS_M)</f>
        <v/>
      </c>
      <c r="L52" s="111" t="str">
        <f aca="false">IF($B52="","",الموظفون!$M52*$J52/cfg_DAYS_M)</f>
        <v/>
      </c>
      <c r="M52" s="111" t="str">
        <f aca="false">IF($B52="","",الموظفون!$N52*$J52/cfg_DAYS_M)</f>
        <v/>
      </c>
      <c r="N52" s="111" t="str">
        <f aca="false">IF($B52="","",الموظفون!$O52*$J52/cfg_DAYS_M)</f>
        <v/>
      </c>
      <c r="O52" s="151" t="str">
        <f aca="false">IF($B52="","",SUMIFS('الحركات الشهرية'!$F$6:$F$1005,'الحركات الشهرية'!$B$6:$B$1005,$B52,'الحركات الشهرية'!$A$6:$A$1005,$C$3))</f>
        <v/>
      </c>
      <c r="P52" s="111" t="str">
        <f aca="false">IF($B52="","",O52*(الموظفون!$P52+الموظفون!$L52*cfg_OT_P)/cfg_DAYS_M/cfg_HRS)</f>
        <v/>
      </c>
      <c r="Q52" s="111" t="str">
        <f aca="false">IF($B52="","",SUMIFS('الحركات الشهرية'!$G$6:$G$1005,'الحركات الشهرية'!$B$6:$B$1005,$B52,'الحركات الشهرية'!$A$6:$A$1005,$C$3))</f>
        <v/>
      </c>
      <c r="R52" s="111" t="str">
        <f aca="false">IF($B52="","",SUMIFS('الحركات الشهرية'!$H$6:$H$1005,'الحركات الشهرية'!$B$6:$B$1005,$B52,'الحركات الشهرية'!$A$6:$A$1005,$C$3))</f>
        <v/>
      </c>
      <c r="S52" s="111" t="str">
        <f aca="false">IF($B52="","",SUMIFS('سجل الإجازات والحالات'!$N$6:$N$505,'سجل الإجازات والحالات'!$B$6:$B$505,$B52,'سجل الإجازات والحالات'!$O$6:$O$505,$C$3))</f>
        <v/>
      </c>
      <c r="T52" s="152" t="str">
        <f aca="false">IF($B52="","",SUM(K52:N52)+SUM(P52:S52))</f>
        <v/>
      </c>
      <c r="U52" s="111" t="str">
        <f aca="false">IF($B52="","",الموظفون!$S52*IF(E52="سعودي",cfg_G_SE,cfg_G_NE)*G52/cfg_DAYS_M)</f>
        <v/>
      </c>
      <c r="V52" s="111" t="str">
        <f aca="false">IF($B52="","",SUMIFS('الحركات الشهرية'!$I$6:$I$1005,'الحركات الشهرية'!$B$6:$B$1005,$B52,'الحركات الشهرية'!$A$6:$A$1005,$C$3))</f>
        <v/>
      </c>
      <c r="W52" s="111" t="str">
        <f aca="false">IF($B52="","",SUMIFS('الحركات الشهرية'!$J$6:$J$1005,'الحركات الشهرية'!$B$6:$B$1005,$B52,'الحركات الشهرية'!$A$6:$A$1005,$C$3))</f>
        <v/>
      </c>
      <c r="X52" s="111" t="str">
        <f aca="false">IF($B52="","",SUM(U52:W52))</f>
        <v/>
      </c>
      <c r="Y52" s="153" t="str">
        <f aca="false">IF($B52="","",T52-X52)</f>
        <v/>
      </c>
      <c r="Z52" s="111" t="str">
        <f aca="false">IF($B52="","",الموظفون!$S52*IF(E52="سعودي",cfg_G_SR,cfg_G_NR)*G52/cfg_DAYS_M)</f>
        <v/>
      </c>
      <c r="AA52" s="111" t="str">
        <f aca="false">IF($B52="","",الموظفون!$Q52*(cfg_EOS_R1*(MIN(AH52,cfg_EOS_TH)-MIN(AI52,cfg_EOS_TH))+cfg_EOS_R2*(MAX(AH52-cfg_EOS_TH,0)-MAX(AI52-cfg_EOS_TH,0))))</f>
        <v/>
      </c>
      <c r="AB52" s="111" t="str">
        <f aca="false">IF($B52="","",IF(الموظفون!$T52&lt;&gt;"",الموظفون!$T52,IF(AH52&gt;=cfg_LV_TH,cfg_LV_D2,cfg_LV_D1))/cfg_DAYS_Y*AJ52*الموظفون!$R52/cfg_DAYS_M)</f>
        <v/>
      </c>
      <c r="AC52" s="111" t="str">
        <f aca="false">IF($B52="","",IF(AND(الموظفون!$U52="نعم",N(الموظفون!$W52)&gt;0),الموظفون!$V52/الموظفون!$W52*12/cfg_DAYS_Y*AJ52,0))</f>
        <v/>
      </c>
      <c r="AD52" s="111" t="str">
        <f aca="false">IF($B52="","",(IF(الموظفون!$X52&lt;&gt;"",الموظفون!$X52,IF(الموظفون!$E52="غير سعودي",cfg_IQ,0))+IF(الموظفون!$Y52&lt;&gt;"",الموظفون!$Y52,IF(الموظفون!$E52="غير سعودي",cfg_WP,0)))/12*G52/cfg_DAYS_M)</f>
        <v/>
      </c>
      <c r="AE52" s="111" t="str">
        <f aca="false">IF($B52="","",IF(الموظفون!$Z52&lt;&gt;"",الموظفون!$Z52,cfg_MED)/12*G52/cfg_DAYS_M)</f>
        <v/>
      </c>
      <c r="AF52" s="111" t="str">
        <f aca="false">IF($B52="","",N(الموظفون!$AA52)/12*G52/cfg_DAYS_M)</f>
        <v/>
      </c>
      <c r="AG52" s="154" t="str">
        <f aca="false">IF($B52="","",T52+SUM(Z52:AF52))</f>
        <v/>
      </c>
      <c r="AH52" s="155" t="str">
        <f aca="false">IF($B52="","",MAX(0,IF(OR(الموظفون!$AE52="",الموظفون!$AE52&gt;$F$3),$F$3,الموظفون!$AE52)-الموظفون!$H52+1-SUMIFS('سجل الإجازات والحالات'!$AQ$6:$AQ$505,'سجل الإجازات والحالات'!$B$6:$B$505,$B52))/cfg_DAYS_Y)</f>
        <v/>
      </c>
      <c r="AI52" s="155" t="str">
        <f aca="false">IF($B52="","",MAX(0,IF(OR(الموظفون!$AE52="",الموظفون!$AE52&gt;($E$3-1)),($E$3-1),الموظفون!$AE52)-الموظفون!$H52+1-SUMIFS('سجل الإجازات والحالات'!$AP$6:$AP$505,'سجل الإجازات والحالات'!$B$6:$B$505,$B52))/cfg_DAYS_Y)</f>
        <v/>
      </c>
      <c r="AJ52" s="65" t="str">
        <f aca="false">IF($B52="","",MAX(0,AK52-(SUMIFS('سجل الإجازات والحالات'!$AQ$6:$AQ$505,'سجل الإجازات والحالات'!$B$6:$B$505,$B52)-SUMIFS('سجل الإجازات والحالات'!$AP$6:$AP$505,'سجل الإجازات والحالات'!$B$6:$B$505,$B52))))</f>
        <v/>
      </c>
      <c r="AK52" s="65" t="str">
        <f aca="false">IF($B52="","",MAX(0,IF(OR(الموظفون!$AE52="",الموظفون!$AE52&gt;$F$3),$F$3,الموظفون!$AE52)-MAX($E$3,الموظفون!$H52)+1))</f>
        <v/>
      </c>
      <c r="AL52" s="151" t="str">
        <f aca="false">IF($B52="","",SUMIFS('سجل الإجازات والحالات'!$BC$6:$BC$505,'سجل الإجازات والحالات'!$B$6:$B$505,$B52)+SUMIFS('الحركات الشهرية'!$K$6:$K$1005,'الحركات الشهرية'!$B$6:$B$1005,$B52,'الحركات الشهرية'!$A$6:$A$1005,$C$3))</f>
        <v/>
      </c>
      <c r="AM52" s="111" t="str">
        <f aca="false">IF($B52="","",AL52*الموظفون!$R52/cfg_DAYS_M+S52)</f>
        <v/>
      </c>
      <c r="AN52" s="151" t="str">
        <f aca="false">IF($B52="","",SUMIFS('سجل الإجازات والحالات'!$AE$6:$AE$505,'سجل الإجازات والحالات'!$B$6:$B$505,$B52))</f>
        <v/>
      </c>
    </row>
    <row r="53" customFormat="false" ht="15" hidden="false" customHeight="false" outlineLevel="0" collapsed="false">
      <c r="A53" s="115" t="str">
        <f aca="false">IF($B53="","",الموظفون!$A53)</f>
        <v/>
      </c>
      <c r="B53" s="117" t="str">
        <f aca="false">IF(الموظفون!$B53="","",الموظفون!$B53)</f>
        <v/>
      </c>
      <c r="C53" s="117" t="str">
        <f aca="false">IF($B53="","",الموظفون!$C53)</f>
        <v/>
      </c>
      <c r="D53" s="117" t="str">
        <f aca="false">IF($B53="","",الموظفون!$F53)</f>
        <v/>
      </c>
      <c r="E53" s="117" t="str">
        <f aca="false">IF($B53="","",الموظفون!$E53)</f>
        <v/>
      </c>
      <c r="F53" s="117" t="str">
        <f aca="false">IF($B53="","",IF(AK53=0,IF(AND(الموظفون!$AE53&lt;&gt;"",الموظفون!$AE53&lt;$E$3),"✖ منتهي الخدمة","⏳ لم يباشر"),IF(S53&gt;0,"✈ راتب إجازة مقدم",IF(J53=0,"⛔ بدون راتب هذا الشهر",IF(I53&gt;0,"✈ خصم "&amp;ROUND(I53,2)&amp;" يوم بدون أجر",IF(AL53&gt;0,"🌴 إجازة سنوية "&amp;ROUND(AL53,2)&amp;" يوم",IF(H53&gt;0,"⚠ غياب "&amp;ROUND(H53,2)&amp;" يوم","✔ على رأس العمل")))))))</f>
        <v/>
      </c>
      <c r="G53" s="156" t="str">
        <f aca="false">IF($B53="","",IF(AK53&gt;=DAY($F$3),cfg_DAYS_M,MIN(AK53,cfg_DAYS_M)))</f>
        <v/>
      </c>
      <c r="H53" s="156" t="str">
        <f aca="false">IF($B53="","",SUMIFS('الحركات الشهرية'!$D$6:$D$1005,'الحركات الشهرية'!$B$6:$B$1005,$B53,'الحركات الشهرية'!$A$6:$A$1005,$C$3))</f>
        <v/>
      </c>
      <c r="I53" s="156" t="str">
        <f aca="false">IF($B53="","",MIN(G53,IF(AND(AK53&gt;0,AN53&gt;=AK53),G53,AN53)+SUMIFS('الحركات الشهرية'!$E$6:$E$1005,'الحركات الشهرية'!$B$6:$B$1005,$B53,'الحركات الشهرية'!$A$6:$A$1005,$C$3)))</f>
        <v/>
      </c>
      <c r="J53" s="156" t="str">
        <f aca="false">IF($B53="","",MAX(0,G53-H53-I53))</f>
        <v/>
      </c>
      <c r="K53" s="116" t="str">
        <f aca="false">IF($B53="","",الموظفون!$L53*$J53/cfg_DAYS_M)</f>
        <v/>
      </c>
      <c r="L53" s="116" t="str">
        <f aca="false">IF($B53="","",الموظفون!$M53*$J53/cfg_DAYS_M)</f>
        <v/>
      </c>
      <c r="M53" s="116" t="str">
        <f aca="false">IF($B53="","",الموظفون!$N53*$J53/cfg_DAYS_M)</f>
        <v/>
      </c>
      <c r="N53" s="116" t="str">
        <f aca="false">IF($B53="","",الموظفون!$O53*$J53/cfg_DAYS_M)</f>
        <v/>
      </c>
      <c r="O53" s="156" t="str">
        <f aca="false">IF($B53="","",SUMIFS('الحركات الشهرية'!$F$6:$F$1005,'الحركات الشهرية'!$B$6:$B$1005,$B53,'الحركات الشهرية'!$A$6:$A$1005,$C$3))</f>
        <v/>
      </c>
      <c r="P53" s="116" t="str">
        <f aca="false">IF($B53="","",O53*(الموظفون!$P53+الموظفون!$L53*cfg_OT_P)/cfg_DAYS_M/cfg_HRS)</f>
        <v/>
      </c>
      <c r="Q53" s="116" t="str">
        <f aca="false">IF($B53="","",SUMIFS('الحركات الشهرية'!$G$6:$G$1005,'الحركات الشهرية'!$B$6:$B$1005,$B53,'الحركات الشهرية'!$A$6:$A$1005,$C$3))</f>
        <v/>
      </c>
      <c r="R53" s="116" t="str">
        <f aca="false">IF($B53="","",SUMIFS('الحركات الشهرية'!$H$6:$H$1005,'الحركات الشهرية'!$B$6:$B$1005,$B53,'الحركات الشهرية'!$A$6:$A$1005,$C$3))</f>
        <v/>
      </c>
      <c r="S53" s="116" t="str">
        <f aca="false">IF($B53="","",SUMIFS('سجل الإجازات والحالات'!$N$6:$N$505,'سجل الإجازات والحالات'!$B$6:$B$505,$B53,'سجل الإجازات والحالات'!$O$6:$O$505,$C$3))</f>
        <v/>
      </c>
      <c r="T53" s="157" t="str">
        <f aca="false">IF($B53="","",SUM(K53:N53)+SUM(P53:S53))</f>
        <v/>
      </c>
      <c r="U53" s="116" t="str">
        <f aca="false">IF($B53="","",الموظفون!$S53*IF(E53="سعودي",cfg_G_SE,cfg_G_NE)*G53/cfg_DAYS_M)</f>
        <v/>
      </c>
      <c r="V53" s="116" t="str">
        <f aca="false">IF($B53="","",SUMIFS('الحركات الشهرية'!$I$6:$I$1005,'الحركات الشهرية'!$B$6:$B$1005,$B53,'الحركات الشهرية'!$A$6:$A$1005,$C$3))</f>
        <v/>
      </c>
      <c r="W53" s="116" t="str">
        <f aca="false">IF($B53="","",SUMIFS('الحركات الشهرية'!$J$6:$J$1005,'الحركات الشهرية'!$B$6:$B$1005,$B53,'الحركات الشهرية'!$A$6:$A$1005,$C$3))</f>
        <v/>
      </c>
      <c r="X53" s="116" t="str">
        <f aca="false">IF($B53="","",SUM(U53:W53))</f>
        <v/>
      </c>
      <c r="Y53" s="158" t="str">
        <f aca="false">IF($B53="","",T53-X53)</f>
        <v/>
      </c>
      <c r="Z53" s="116" t="str">
        <f aca="false">IF($B53="","",الموظفون!$S53*IF(E53="سعودي",cfg_G_SR,cfg_G_NR)*G53/cfg_DAYS_M)</f>
        <v/>
      </c>
      <c r="AA53" s="116" t="str">
        <f aca="false">IF($B53="","",الموظفون!$Q53*(cfg_EOS_R1*(MIN(AH53,cfg_EOS_TH)-MIN(AI53,cfg_EOS_TH))+cfg_EOS_R2*(MAX(AH53-cfg_EOS_TH,0)-MAX(AI53-cfg_EOS_TH,0))))</f>
        <v/>
      </c>
      <c r="AB53" s="116" t="str">
        <f aca="false">IF($B53="","",IF(الموظفون!$T53&lt;&gt;"",الموظفون!$T53,IF(AH53&gt;=cfg_LV_TH,cfg_LV_D2,cfg_LV_D1))/cfg_DAYS_Y*AJ53*الموظفون!$R53/cfg_DAYS_M)</f>
        <v/>
      </c>
      <c r="AC53" s="116" t="str">
        <f aca="false">IF($B53="","",IF(AND(الموظفون!$U53="نعم",N(الموظفون!$W53)&gt;0),الموظفون!$V53/الموظفون!$W53*12/cfg_DAYS_Y*AJ53,0))</f>
        <v/>
      </c>
      <c r="AD53" s="116" t="str">
        <f aca="false">IF($B53="","",(IF(الموظفون!$X53&lt;&gt;"",الموظفون!$X53,IF(الموظفون!$E53="غير سعودي",cfg_IQ,0))+IF(الموظفون!$Y53&lt;&gt;"",الموظفون!$Y53,IF(الموظفون!$E53="غير سعودي",cfg_WP,0)))/12*G53/cfg_DAYS_M)</f>
        <v/>
      </c>
      <c r="AE53" s="116" t="str">
        <f aca="false">IF($B53="","",IF(الموظفون!$Z53&lt;&gt;"",الموظفون!$Z53,cfg_MED)/12*G53/cfg_DAYS_M)</f>
        <v/>
      </c>
      <c r="AF53" s="116" t="str">
        <f aca="false">IF($B53="","",N(الموظفون!$AA53)/12*G53/cfg_DAYS_M)</f>
        <v/>
      </c>
      <c r="AG53" s="159" t="str">
        <f aca="false">IF($B53="","",T53+SUM(Z53:AF53))</f>
        <v/>
      </c>
      <c r="AH53" s="160" t="str">
        <f aca="false">IF($B53="","",MAX(0,IF(OR(الموظفون!$AE53="",الموظفون!$AE53&gt;$F$3),$F$3,الموظفون!$AE53)-الموظفون!$H53+1-SUMIFS('سجل الإجازات والحالات'!$AQ$6:$AQ$505,'سجل الإجازات والحالات'!$B$6:$B$505,$B53))/cfg_DAYS_Y)</f>
        <v/>
      </c>
      <c r="AI53" s="160" t="str">
        <f aca="false">IF($B53="","",MAX(0,IF(OR(الموظفون!$AE53="",الموظفون!$AE53&gt;($E$3-1)),($E$3-1),الموظفون!$AE53)-الموظفون!$H53+1-SUMIFS('سجل الإجازات والحالات'!$AP$6:$AP$505,'سجل الإجازات والحالات'!$B$6:$B$505,$B53))/cfg_DAYS_Y)</f>
        <v/>
      </c>
      <c r="AJ53" s="133" t="str">
        <f aca="false">IF($B53="","",MAX(0,AK53-(SUMIFS('سجل الإجازات والحالات'!$AQ$6:$AQ$505,'سجل الإجازات والحالات'!$B$6:$B$505,$B53)-SUMIFS('سجل الإجازات والحالات'!$AP$6:$AP$505,'سجل الإجازات والحالات'!$B$6:$B$505,$B53))))</f>
        <v/>
      </c>
      <c r="AK53" s="133" t="str">
        <f aca="false">IF($B53="","",MAX(0,IF(OR(الموظفون!$AE53="",الموظفون!$AE53&gt;$F$3),$F$3,الموظفون!$AE53)-MAX($E$3,الموظفون!$H53)+1))</f>
        <v/>
      </c>
      <c r="AL53" s="156" t="str">
        <f aca="false">IF($B53="","",SUMIFS('سجل الإجازات والحالات'!$BC$6:$BC$505,'سجل الإجازات والحالات'!$B$6:$B$505,$B53)+SUMIFS('الحركات الشهرية'!$K$6:$K$1005,'الحركات الشهرية'!$B$6:$B$1005,$B53,'الحركات الشهرية'!$A$6:$A$1005,$C$3))</f>
        <v/>
      </c>
      <c r="AM53" s="116" t="str">
        <f aca="false">IF($B53="","",AL53*الموظفون!$R53/cfg_DAYS_M+S53)</f>
        <v/>
      </c>
      <c r="AN53" s="156" t="str">
        <f aca="false">IF($B53="","",SUMIFS('سجل الإجازات والحالات'!$AE$6:$AE$505,'سجل الإجازات والحالات'!$B$6:$B$505,$B53))</f>
        <v/>
      </c>
    </row>
    <row r="54" customFormat="false" ht="15" hidden="false" customHeight="false" outlineLevel="0" collapsed="false">
      <c r="A54" s="106" t="str">
        <f aca="false">IF($B54="","",الموظفون!$A54)</f>
        <v/>
      </c>
      <c r="B54" s="114" t="str">
        <f aca="false">IF(الموظفون!$B54="","",الموظفون!$B54)</f>
        <v/>
      </c>
      <c r="C54" s="114" t="str">
        <f aca="false">IF($B54="","",الموظفون!$C54)</f>
        <v/>
      </c>
      <c r="D54" s="114" t="str">
        <f aca="false">IF($B54="","",الموظفون!$F54)</f>
        <v/>
      </c>
      <c r="E54" s="114" t="str">
        <f aca="false">IF($B54="","",الموظفون!$E54)</f>
        <v/>
      </c>
      <c r="F54" s="114" t="str">
        <f aca="false">IF($B54="","",IF(AK54=0,IF(AND(الموظفون!$AE54&lt;&gt;"",الموظفون!$AE54&lt;$E$3),"✖ منتهي الخدمة","⏳ لم يباشر"),IF(S54&gt;0,"✈ راتب إجازة مقدم",IF(J54=0,"⛔ بدون راتب هذا الشهر",IF(I54&gt;0,"✈ خصم "&amp;ROUND(I54,2)&amp;" يوم بدون أجر",IF(AL54&gt;0,"🌴 إجازة سنوية "&amp;ROUND(AL54,2)&amp;" يوم",IF(H54&gt;0,"⚠ غياب "&amp;ROUND(H54,2)&amp;" يوم","✔ على رأس العمل")))))))</f>
        <v/>
      </c>
      <c r="G54" s="151" t="str">
        <f aca="false">IF($B54="","",IF(AK54&gt;=DAY($F$3),cfg_DAYS_M,MIN(AK54,cfg_DAYS_M)))</f>
        <v/>
      </c>
      <c r="H54" s="151" t="str">
        <f aca="false">IF($B54="","",SUMIFS('الحركات الشهرية'!$D$6:$D$1005,'الحركات الشهرية'!$B$6:$B$1005,$B54,'الحركات الشهرية'!$A$6:$A$1005,$C$3))</f>
        <v/>
      </c>
      <c r="I54" s="151" t="str">
        <f aca="false">IF($B54="","",MIN(G54,IF(AND(AK54&gt;0,AN54&gt;=AK54),G54,AN54)+SUMIFS('الحركات الشهرية'!$E$6:$E$1005,'الحركات الشهرية'!$B$6:$B$1005,$B54,'الحركات الشهرية'!$A$6:$A$1005,$C$3)))</f>
        <v/>
      </c>
      <c r="J54" s="151" t="str">
        <f aca="false">IF($B54="","",MAX(0,G54-H54-I54))</f>
        <v/>
      </c>
      <c r="K54" s="111" t="str">
        <f aca="false">IF($B54="","",الموظفون!$L54*$J54/cfg_DAYS_M)</f>
        <v/>
      </c>
      <c r="L54" s="111" t="str">
        <f aca="false">IF($B54="","",الموظفون!$M54*$J54/cfg_DAYS_M)</f>
        <v/>
      </c>
      <c r="M54" s="111" t="str">
        <f aca="false">IF($B54="","",الموظفون!$N54*$J54/cfg_DAYS_M)</f>
        <v/>
      </c>
      <c r="N54" s="111" t="str">
        <f aca="false">IF($B54="","",الموظفون!$O54*$J54/cfg_DAYS_M)</f>
        <v/>
      </c>
      <c r="O54" s="151" t="str">
        <f aca="false">IF($B54="","",SUMIFS('الحركات الشهرية'!$F$6:$F$1005,'الحركات الشهرية'!$B$6:$B$1005,$B54,'الحركات الشهرية'!$A$6:$A$1005,$C$3))</f>
        <v/>
      </c>
      <c r="P54" s="111" t="str">
        <f aca="false">IF($B54="","",O54*(الموظفون!$P54+الموظفون!$L54*cfg_OT_P)/cfg_DAYS_M/cfg_HRS)</f>
        <v/>
      </c>
      <c r="Q54" s="111" t="str">
        <f aca="false">IF($B54="","",SUMIFS('الحركات الشهرية'!$G$6:$G$1005,'الحركات الشهرية'!$B$6:$B$1005,$B54,'الحركات الشهرية'!$A$6:$A$1005,$C$3))</f>
        <v/>
      </c>
      <c r="R54" s="111" t="str">
        <f aca="false">IF($B54="","",SUMIFS('الحركات الشهرية'!$H$6:$H$1005,'الحركات الشهرية'!$B$6:$B$1005,$B54,'الحركات الشهرية'!$A$6:$A$1005,$C$3))</f>
        <v/>
      </c>
      <c r="S54" s="111" t="str">
        <f aca="false">IF($B54="","",SUMIFS('سجل الإجازات والحالات'!$N$6:$N$505,'سجل الإجازات والحالات'!$B$6:$B$505,$B54,'سجل الإجازات والحالات'!$O$6:$O$505,$C$3))</f>
        <v/>
      </c>
      <c r="T54" s="152" t="str">
        <f aca="false">IF($B54="","",SUM(K54:N54)+SUM(P54:S54))</f>
        <v/>
      </c>
      <c r="U54" s="111" t="str">
        <f aca="false">IF($B54="","",الموظفون!$S54*IF(E54="سعودي",cfg_G_SE,cfg_G_NE)*G54/cfg_DAYS_M)</f>
        <v/>
      </c>
      <c r="V54" s="111" t="str">
        <f aca="false">IF($B54="","",SUMIFS('الحركات الشهرية'!$I$6:$I$1005,'الحركات الشهرية'!$B$6:$B$1005,$B54,'الحركات الشهرية'!$A$6:$A$1005,$C$3))</f>
        <v/>
      </c>
      <c r="W54" s="111" t="str">
        <f aca="false">IF($B54="","",SUMIFS('الحركات الشهرية'!$J$6:$J$1005,'الحركات الشهرية'!$B$6:$B$1005,$B54,'الحركات الشهرية'!$A$6:$A$1005,$C$3))</f>
        <v/>
      </c>
      <c r="X54" s="111" t="str">
        <f aca="false">IF($B54="","",SUM(U54:W54))</f>
        <v/>
      </c>
      <c r="Y54" s="153" t="str">
        <f aca="false">IF($B54="","",T54-X54)</f>
        <v/>
      </c>
      <c r="Z54" s="111" t="str">
        <f aca="false">IF($B54="","",الموظفون!$S54*IF(E54="سعودي",cfg_G_SR,cfg_G_NR)*G54/cfg_DAYS_M)</f>
        <v/>
      </c>
      <c r="AA54" s="111" t="str">
        <f aca="false">IF($B54="","",الموظفون!$Q54*(cfg_EOS_R1*(MIN(AH54,cfg_EOS_TH)-MIN(AI54,cfg_EOS_TH))+cfg_EOS_R2*(MAX(AH54-cfg_EOS_TH,0)-MAX(AI54-cfg_EOS_TH,0))))</f>
        <v/>
      </c>
      <c r="AB54" s="111" t="str">
        <f aca="false">IF($B54="","",IF(الموظفون!$T54&lt;&gt;"",الموظفون!$T54,IF(AH54&gt;=cfg_LV_TH,cfg_LV_D2,cfg_LV_D1))/cfg_DAYS_Y*AJ54*الموظفون!$R54/cfg_DAYS_M)</f>
        <v/>
      </c>
      <c r="AC54" s="111" t="str">
        <f aca="false">IF($B54="","",IF(AND(الموظفون!$U54="نعم",N(الموظفون!$W54)&gt;0),الموظفون!$V54/الموظفون!$W54*12/cfg_DAYS_Y*AJ54,0))</f>
        <v/>
      </c>
      <c r="AD54" s="111" t="str">
        <f aca="false">IF($B54="","",(IF(الموظفون!$X54&lt;&gt;"",الموظفون!$X54,IF(الموظفون!$E54="غير سعودي",cfg_IQ,0))+IF(الموظفون!$Y54&lt;&gt;"",الموظفون!$Y54,IF(الموظفون!$E54="غير سعودي",cfg_WP,0)))/12*G54/cfg_DAYS_M)</f>
        <v/>
      </c>
      <c r="AE54" s="111" t="str">
        <f aca="false">IF($B54="","",IF(الموظفون!$Z54&lt;&gt;"",الموظفون!$Z54,cfg_MED)/12*G54/cfg_DAYS_M)</f>
        <v/>
      </c>
      <c r="AF54" s="111" t="str">
        <f aca="false">IF($B54="","",N(الموظفون!$AA54)/12*G54/cfg_DAYS_M)</f>
        <v/>
      </c>
      <c r="AG54" s="154" t="str">
        <f aca="false">IF($B54="","",T54+SUM(Z54:AF54))</f>
        <v/>
      </c>
      <c r="AH54" s="155" t="str">
        <f aca="false">IF($B54="","",MAX(0,IF(OR(الموظفون!$AE54="",الموظفون!$AE54&gt;$F$3),$F$3,الموظفون!$AE54)-الموظفون!$H54+1-SUMIFS('سجل الإجازات والحالات'!$AQ$6:$AQ$505,'سجل الإجازات والحالات'!$B$6:$B$505,$B54))/cfg_DAYS_Y)</f>
        <v/>
      </c>
      <c r="AI54" s="155" t="str">
        <f aca="false">IF($B54="","",MAX(0,IF(OR(الموظفون!$AE54="",الموظفون!$AE54&gt;($E$3-1)),($E$3-1),الموظفون!$AE54)-الموظفون!$H54+1-SUMIFS('سجل الإجازات والحالات'!$AP$6:$AP$505,'سجل الإجازات والحالات'!$B$6:$B$505,$B54))/cfg_DAYS_Y)</f>
        <v/>
      </c>
      <c r="AJ54" s="65" t="str">
        <f aca="false">IF($B54="","",MAX(0,AK54-(SUMIFS('سجل الإجازات والحالات'!$AQ$6:$AQ$505,'سجل الإجازات والحالات'!$B$6:$B$505,$B54)-SUMIFS('سجل الإجازات والحالات'!$AP$6:$AP$505,'سجل الإجازات والحالات'!$B$6:$B$505,$B54))))</f>
        <v/>
      </c>
      <c r="AK54" s="65" t="str">
        <f aca="false">IF($B54="","",MAX(0,IF(OR(الموظفون!$AE54="",الموظفون!$AE54&gt;$F$3),$F$3,الموظفون!$AE54)-MAX($E$3,الموظفون!$H54)+1))</f>
        <v/>
      </c>
      <c r="AL54" s="151" t="str">
        <f aca="false">IF($B54="","",SUMIFS('سجل الإجازات والحالات'!$BC$6:$BC$505,'سجل الإجازات والحالات'!$B$6:$B$505,$B54)+SUMIFS('الحركات الشهرية'!$K$6:$K$1005,'الحركات الشهرية'!$B$6:$B$1005,$B54,'الحركات الشهرية'!$A$6:$A$1005,$C$3))</f>
        <v/>
      </c>
      <c r="AM54" s="111" t="str">
        <f aca="false">IF($B54="","",AL54*الموظفون!$R54/cfg_DAYS_M+S54)</f>
        <v/>
      </c>
      <c r="AN54" s="151" t="str">
        <f aca="false">IF($B54="","",SUMIFS('سجل الإجازات والحالات'!$AE$6:$AE$505,'سجل الإجازات والحالات'!$B$6:$B$505,$B54))</f>
        <v/>
      </c>
    </row>
    <row r="55" customFormat="false" ht="15" hidden="false" customHeight="false" outlineLevel="0" collapsed="false">
      <c r="A55" s="115" t="str">
        <f aca="false">IF($B55="","",الموظفون!$A55)</f>
        <v/>
      </c>
      <c r="B55" s="117" t="str">
        <f aca="false">IF(الموظفون!$B55="","",الموظفون!$B55)</f>
        <v/>
      </c>
      <c r="C55" s="117" t="str">
        <f aca="false">IF($B55="","",الموظفون!$C55)</f>
        <v/>
      </c>
      <c r="D55" s="117" t="str">
        <f aca="false">IF($B55="","",الموظفون!$F55)</f>
        <v/>
      </c>
      <c r="E55" s="117" t="str">
        <f aca="false">IF($B55="","",الموظفون!$E55)</f>
        <v/>
      </c>
      <c r="F55" s="117" t="str">
        <f aca="false">IF($B55="","",IF(AK55=0,IF(AND(الموظفون!$AE55&lt;&gt;"",الموظفون!$AE55&lt;$E$3),"✖ منتهي الخدمة","⏳ لم يباشر"),IF(S55&gt;0,"✈ راتب إجازة مقدم",IF(J55=0,"⛔ بدون راتب هذا الشهر",IF(I55&gt;0,"✈ خصم "&amp;ROUND(I55,2)&amp;" يوم بدون أجر",IF(AL55&gt;0,"🌴 إجازة سنوية "&amp;ROUND(AL55,2)&amp;" يوم",IF(H55&gt;0,"⚠ غياب "&amp;ROUND(H55,2)&amp;" يوم","✔ على رأس العمل")))))))</f>
        <v/>
      </c>
      <c r="G55" s="156" t="str">
        <f aca="false">IF($B55="","",IF(AK55&gt;=DAY($F$3),cfg_DAYS_M,MIN(AK55,cfg_DAYS_M)))</f>
        <v/>
      </c>
      <c r="H55" s="156" t="str">
        <f aca="false">IF($B55="","",SUMIFS('الحركات الشهرية'!$D$6:$D$1005,'الحركات الشهرية'!$B$6:$B$1005,$B55,'الحركات الشهرية'!$A$6:$A$1005,$C$3))</f>
        <v/>
      </c>
      <c r="I55" s="156" t="str">
        <f aca="false">IF($B55="","",MIN(G55,IF(AND(AK55&gt;0,AN55&gt;=AK55),G55,AN55)+SUMIFS('الحركات الشهرية'!$E$6:$E$1005,'الحركات الشهرية'!$B$6:$B$1005,$B55,'الحركات الشهرية'!$A$6:$A$1005,$C$3)))</f>
        <v/>
      </c>
      <c r="J55" s="156" t="str">
        <f aca="false">IF($B55="","",MAX(0,G55-H55-I55))</f>
        <v/>
      </c>
      <c r="K55" s="116" t="str">
        <f aca="false">IF($B55="","",الموظفون!$L55*$J55/cfg_DAYS_M)</f>
        <v/>
      </c>
      <c r="L55" s="116" t="str">
        <f aca="false">IF($B55="","",الموظفون!$M55*$J55/cfg_DAYS_M)</f>
        <v/>
      </c>
      <c r="M55" s="116" t="str">
        <f aca="false">IF($B55="","",الموظفون!$N55*$J55/cfg_DAYS_M)</f>
        <v/>
      </c>
      <c r="N55" s="116" t="str">
        <f aca="false">IF($B55="","",الموظفون!$O55*$J55/cfg_DAYS_M)</f>
        <v/>
      </c>
      <c r="O55" s="156" t="str">
        <f aca="false">IF($B55="","",SUMIFS('الحركات الشهرية'!$F$6:$F$1005,'الحركات الشهرية'!$B$6:$B$1005,$B55,'الحركات الشهرية'!$A$6:$A$1005,$C$3))</f>
        <v/>
      </c>
      <c r="P55" s="116" t="str">
        <f aca="false">IF($B55="","",O55*(الموظفون!$P55+الموظفون!$L55*cfg_OT_P)/cfg_DAYS_M/cfg_HRS)</f>
        <v/>
      </c>
      <c r="Q55" s="116" t="str">
        <f aca="false">IF($B55="","",SUMIFS('الحركات الشهرية'!$G$6:$G$1005,'الحركات الشهرية'!$B$6:$B$1005,$B55,'الحركات الشهرية'!$A$6:$A$1005,$C$3))</f>
        <v/>
      </c>
      <c r="R55" s="116" t="str">
        <f aca="false">IF($B55="","",SUMIFS('الحركات الشهرية'!$H$6:$H$1005,'الحركات الشهرية'!$B$6:$B$1005,$B55,'الحركات الشهرية'!$A$6:$A$1005,$C$3))</f>
        <v/>
      </c>
      <c r="S55" s="116" t="str">
        <f aca="false">IF($B55="","",SUMIFS('سجل الإجازات والحالات'!$N$6:$N$505,'سجل الإجازات والحالات'!$B$6:$B$505,$B55,'سجل الإجازات والحالات'!$O$6:$O$505,$C$3))</f>
        <v/>
      </c>
      <c r="T55" s="157" t="str">
        <f aca="false">IF($B55="","",SUM(K55:N55)+SUM(P55:S55))</f>
        <v/>
      </c>
      <c r="U55" s="116" t="str">
        <f aca="false">IF($B55="","",الموظفون!$S55*IF(E55="سعودي",cfg_G_SE,cfg_G_NE)*G55/cfg_DAYS_M)</f>
        <v/>
      </c>
      <c r="V55" s="116" t="str">
        <f aca="false">IF($B55="","",SUMIFS('الحركات الشهرية'!$I$6:$I$1005,'الحركات الشهرية'!$B$6:$B$1005,$B55,'الحركات الشهرية'!$A$6:$A$1005,$C$3))</f>
        <v/>
      </c>
      <c r="W55" s="116" t="str">
        <f aca="false">IF($B55="","",SUMIFS('الحركات الشهرية'!$J$6:$J$1005,'الحركات الشهرية'!$B$6:$B$1005,$B55,'الحركات الشهرية'!$A$6:$A$1005,$C$3))</f>
        <v/>
      </c>
      <c r="X55" s="116" t="str">
        <f aca="false">IF($B55="","",SUM(U55:W55))</f>
        <v/>
      </c>
      <c r="Y55" s="158" t="str">
        <f aca="false">IF($B55="","",T55-X55)</f>
        <v/>
      </c>
      <c r="Z55" s="116" t="str">
        <f aca="false">IF($B55="","",الموظفون!$S55*IF(E55="سعودي",cfg_G_SR,cfg_G_NR)*G55/cfg_DAYS_M)</f>
        <v/>
      </c>
      <c r="AA55" s="116" t="str">
        <f aca="false">IF($B55="","",الموظفون!$Q55*(cfg_EOS_R1*(MIN(AH55,cfg_EOS_TH)-MIN(AI55,cfg_EOS_TH))+cfg_EOS_R2*(MAX(AH55-cfg_EOS_TH,0)-MAX(AI55-cfg_EOS_TH,0))))</f>
        <v/>
      </c>
      <c r="AB55" s="116" t="str">
        <f aca="false">IF($B55="","",IF(الموظفون!$T55&lt;&gt;"",الموظفون!$T55,IF(AH55&gt;=cfg_LV_TH,cfg_LV_D2,cfg_LV_D1))/cfg_DAYS_Y*AJ55*الموظفون!$R55/cfg_DAYS_M)</f>
        <v/>
      </c>
      <c r="AC55" s="116" t="str">
        <f aca="false">IF($B55="","",IF(AND(الموظفون!$U55="نعم",N(الموظفون!$W55)&gt;0),الموظفون!$V55/الموظفون!$W55*12/cfg_DAYS_Y*AJ55,0))</f>
        <v/>
      </c>
      <c r="AD55" s="116" t="str">
        <f aca="false">IF($B55="","",(IF(الموظفون!$X55&lt;&gt;"",الموظفون!$X55,IF(الموظفون!$E55="غير سعودي",cfg_IQ,0))+IF(الموظفون!$Y55&lt;&gt;"",الموظفون!$Y55,IF(الموظفون!$E55="غير سعودي",cfg_WP,0)))/12*G55/cfg_DAYS_M)</f>
        <v/>
      </c>
      <c r="AE55" s="116" t="str">
        <f aca="false">IF($B55="","",IF(الموظفون!$Z55&lt;&gt;"",الموظفون!$Z55,cfg_MED)/12*G55/cfg_DAYS_M)</f>
        <v/>
      </c>
      <c r="AF55" s="116" t="str">
        <f aca="false">IF($B55="","",N(الموظفون!$AA55)/12*G55/cfg_DAYS_M)</f>
        <v/>
      </c>
      <c r="AG55" s="159" t="str">
        <f aca="false">IF($B55="","",T55+SUM(Z55:AF55))</f>
        <v/>
      </c>
      <c r="AH55" s="160" t="str">
        <f aca="false">IF($B55="","",MAX(0,IF(OR(الموظفون!$AE55="",الموظفون!$AE55&gt;$F$3),$F$3,الموظفون!$AE55)-الموظفون!$H55+1-SUMIFS('سجل الإجازات والحالات'!$AQ$6:$AQ$505,'سجل الإجازات والحالات'!$B$6:$B$505,$B55))/cfg_DAYS_Y)</f>
        <v/>
      </c>
      <c r="AI55" s="160" t="str">
        <f aca="false">IF($B55="","",MAX(0,IF(OR(الموظفون!$AE55="",الموظفون!$AE55&gt;($E$3-1)),($E$3-1),الموظفون!$AE55)-الموظفون!$H55+1-SUMIFS('سجل الإجازات والحالات'!$AP$6:$AP$505,'سجل الإجازات والحالات'!$B$6:$B$505,$B55))/cfg_DAYS_Y)</f>
        <v/>
      </c>
      <c r="AJ55" s="133" t="str">
        <f aca="false">IF($B55="","",MAX(0,AK55-(SUMIFS('سجل الإجازات والحالات'!$AQ$6:$AQ$505,'سجل الإجازات والحالات'!$B$6:$B$505,$B55)-SUMIFS('سجل الإجازات والحالات'!$AP$6:$AP$505,'سجل الإجازات والحالات'!$B$6:$B$505,$B55))))</f>
        <v/>
      </c>
      <c r="AK55" s="133" t="str">
        <f aca="false">IF($B55="","",MAX(0,IF(OR(الموظفون!$AE55="",الموظفون!$AE55&gt;$F$3),$F$3,الموظفون!$AE55)-MAX($E$3,الموظفون!$H55)+1))</f>
        <v/>
      </c>
      <c r="AL55" s="156" t="str">
        <f aca="false">IF($B55="","",SUMIFS('سجل الإجازات والحالات'!$BC$6:$BC$505,'سجل الإجازات والحالات'!$B$6:$B$505,$B55)+SUMIFS('الحركات الشهرية'!$K$6:$K$1005,'الحركات الشهرية'!$B$6:$B$1005,$B55,'الحركات الشهرية'!$A$6:$A$1005,$C$3))</f>
        <v/>
      </c>
      <c r="AM55" s="116" t="str">
        <f aca="false">IF($B55="","",AL55*الموظفون!$R55/cfg_DAYS_M+S55)</f>
        <v/>
      </c>
      <c r="AN55" s="156" t="str">
        <f aca="false">IF($B55="","",SUMIFS('سجل الإجازات والحالات'!$AE$6:$AE$505,'سجل الإجازات والحالات'!$B$6:$B$505,$B55))</f>
        <v/>
      </c>
    </row>
    <row r="56" customFormat="false" ht="15" hidden="false" customHeight="false" outlineLevel="0" collapsed="false">
      <c r="A56" s="106" t="str">
        <f aca="false">IF($B56="","",الموظفون!$A56)</f>
        <v/>
      </c>
      <c r="B56" s="114" t="str">
        <f aca="false">IF(الموظفون!$B56="","",الموظفون!$B56)</f>
        <v/>
      </c>
      <c r="C56" s="114" t="str">
        <f aca="false">IF($B56="","",الموظفون!$C56)</f>
        <v/>
      </c>
      <c r="D56" s="114" t="str">
        <f aca="false">IF($B56="","",الموظفون!$F56)</f>
        <v/>
      </c>
      <c r="E56" s="114" t="str">
        <f aca="false">IF($B56="","",الموظفون!$E56)</f>
        <v/>
      </c>
      <c r="F56" s="114" t="str">
        <f aca="false">IF($B56="","",IF(AK56=0,IF(AND(الموظفون!$AE56&lt;&gt;"",الموظفون!$AE56&lt;$E$3),"✖ منتهي الخدمة","⏳ لم يباشر"),IF(S56&gt;0,"✈ راتب إجازة مقدم",IF(J56=0,"⛔ بدون راتب هذا الشهر",IF(I56&gt;0,"✈ خصم "&amp;ROUND(I56,2)&amp;" يوم بدون أجر",IF(AL56&gt;0,"🌴 إجازة سنوية "&amp;ROUND(AL56,2)&amp;" يوم",IF(H56&gt;0,"⚠ غياب "&amp;ROUND(H56,2)&amp;" يوم","✔ على رأس العمل")))))))</f>
        <v/>
      </c>
      <c r="G56" s="151" t="str">
        <f aca="false">IF($B56="","",IF(AK56&gt;=DAY($F$3),cfg_DAYS_M,MIN(AK56,cfg_DAYS_M)))</f>
        <v/>
      </c>
      <c r="H56" s="151" t="str">
        <f aca="false">IF($B56="","",SUMIFS('الحركات الشهرية'!$D$6:$D$1005,'الحركات الشهرية'!$B$6:$B$1005,$B56,'الحركات الشهرية'!$A$6:$A$1005,$C$3))</f>
        <v/>
      </c>
      <c r="I56" s="151" t="str">
        <f aca="false">IF($B56="","",MIN(G56,IF(AND(AK56&gt;0,AN56&gt;=AK56),G56,AN56)+SUMIFS('الحركات الشهرية'!$E$6:$E$1005,'الحركات الشهرية'!$B$6:$B$1005,$B56,'الحركات الشهرية'!$A$6:$A$1005,$C$3)))</f>
        <v/>
      </c>
      <c r="J56" s="151" t="str">
        <f aca="false">IF($B56="","",MAX(0,G56-H56-I56))</f>
        <v/>
      </c>
      <c r="K56" s="111" t="str">
        <f aca="false">IF($B56="","",الموظفون!$L56*$J56/cfg_DAYS_M)</f>
        <v/>
      </c>
      <c r="L56" s="111" t="str">
        <f aca="false">IF($B56="","",الموظفون!$M56*$J56/cfg_DAYS_M)</f>
        <v/>
      </c>
      <c r="M56" s="111" t="str">
        <f aca="false">IF($B56="","",الموظفون!$N56*$J56/cfg_DAYS_M)</f>
        <v/>
      </c>
      <c r="N56" s="111" t="str">
        <f aca="false">IF($B56="","",الموظفون!$O56*$J56/cfg_DAYS_M)</f>
        <v/>
      </c>
      <c r="O56" s="151" t="str">
        <f aca="false">IF($B56="","",SUMIFS('الحركات الشهرية'!$F$6:$F$1005,'الحركات الشهرية'!$B$6:$B$1005,$B56,'الحركات الشهرية'!$A$6:$A$1005,$C$3))</f>
        <v/>
      </c>
      <c r="P56" s="111" t="str">
        <f aca="false">IF($B56="","",O56*(الموظفون!$P56+الموظفون!$L56*cfg_OT_P)/cfg_DAYS_M/cfg_HRS)</f>
        <v/>
      </c>
      <c r="Q56" s="111" t="str">
        <f aca="false">IF($B56="","",SUMIFS('الحركات الشهرية'!$G$6:$G$1005,'الحركات الشهرية'!$B$6:$B$1005,$B56,'الحركات الشهرية'!$A$6:$A$1005,$C$3))</f>
        <v/>
      </c>
      <c r="R56" s="111" t="str">
        <f aca="false">IF($B56="","",SUMIFS('الحركات الشهرية'!$H$6:$H$1005,'الحركات الشهرية'!$B$6:$B$1005,$B56,'الحركات الشهرية'!$A$6:$A$1005,$C$3))</f>
        <v/>
      </c>
      <c r="S56" s="111" t="str">
        <f aca="false">IF($B56="","",SUMIFS('سجل الإجازات والحالات'!$N$6:$N$505,'سجل الإجازات والحالات'!$B$6:$B$505,$B56,'سجل الإجازات والحالات'!$O$6:$O$505,$C$3))</f>
        <v/>
      </c>
      <c r="T56" s="152" t="str">
        <f aca="false">IF($B56="","",SUM(K56:N56)+SUM(P56:S56))</f>
        <v/>
      </c>
      <c r="U56" s="111" t="str">
        <f aca="false">IF($B56="","",الموظفون!$S56*IF(E56="سعودي",cfg_G_SE,cfg_G_NE)*G56/cfg_DAYS_M)</f>
        <v/>
      </c>
      <c r="V56" s="111" t="str">
        <f aca="false">IF($B56="","",SUMIFS('الحركات الشهرية'!$I$6:$I$1005,'الحركات الشهرية'!$B$6:$B$1005,$B56,'الحركات الشهرية'!$A$6:$A$1005,$C$3))</f>
        <v/>
      </c>
      <c r="W56" s="111" t="str">
        <f aca="false">IF($B56="","",SUMIFS('الحركات الشهرية'!$J$6:$J$1005,'الحركات الشهرية'!$B$6:$B$1005,$B56,'الحركات الشهرية'!$A$6:$A$1005,$C$3))</f>
        <v/>
      </c>
      <c r="X56" s="111" t="str">
        <f aca="false">IF($B56="","",SUM(U56:W56))</f>
        <v/>
      </c>
      <c r="Y56" s="153" t="str">
        <f aca="false">IF($B56="","",T56-X56)</f>
        <v/>
      </c>
      <c r="Z56" s="111" t="str">
        <f aca="false">IF($B56="","",الموظفون!$S56*IF(E56="سعودي",cfg_G_SR,cfg_G_NR)*G56/cfg_DAYS_M)</f>
        <v/>
      </c>
      <c r="AA56" s="111" t="str">
        <f aca="false">IF($B56="","",الموظفون!$Q56*(cfg_EOS_R1*(MIN(AH56,cfg_EOS_TH)-MIN(AI56,cfg_EOS_TH))+cfg_EOS_R2*(MAX(AH56-cfg_EOS_TH,0)-MAX(AI56-cfg_EOS_TH,0))))</f>
        <v/>
      </c>
      <c r="AB56" s="111" t="str">
        <f aca="false">IF($B56="","",IF(الموظفون!$T56&lt;&gt;"",الموظفون!$T56,IF(AH56&gt;=cfg_LV_TH,cfg_LV_D2,cfg_LV_D1))/cfg_DAYS_Y*AJ56*الموظفون!$R56/cfg_DAYS_M)</f>
        <v/>
      </c>
      <c r="AC56" s="111" t="str">
        <f aca="false">IF($B56="","",IF(AND(الموظفون!$U56="نعم",N(الموظفون!$W56)&gt;0),الموظفون!$V56/الموظفون!$W56*12/cfg_DAYS_Y*AJ56,0))</f>
        <v/>
      </c>
      <c r="AD56" s="111" t="str">
        <f aca="false">IF($B56="","",(IF(الموظفون!$X56&lt;&gt;"",الموظفون!$X56,IF(الموظفون!$E56="غير سعودي",cfg_IQ,0))+IF(الموظفون!$Y56&lt;&gt;"",الموظفون!$Y56,IF(الموظفون!$E56="غير سعودي",cfg_WP,0)))/12*G56/cfg_DAYS_M)</f>
        <v/>
      </c>
      <c r="AE56" s="111" t="str">
        <f aca="false">IF($B56="","",IF(الموظفون!$Z56&lt;&gt;"",الموظفون!$Z56,cfg_MED)/12*G56/cfg_DAYS_M)</f>
        <v/>
      </c>
      <c r="AF56" s="111" t="str">
        <f aca="false">IF($B56="","",N(الموظفون!$AA56)/12*G56/cfg_DAYS_M)</f>
        <v/>
      </c>
      <c r="AG56" s="154" t="str">
        <f aca="false">IF($B56="","",T56+SUM(Z56:AF56))</f>
        <v/>
      </c>
      <c r="AH56" s="155" t="str">
        <f aca="false">IF($B56="","",MAX(0,IF(OR(الموظفون!$AE56="",الموظفون!$AE56&gt;$F$3),$F$3,الموظفون!$AE56)-الموظفون!$H56+1-SUMIFS('سجل الإجازات والحالات'!$AQ$6:$AQ$505,'سجل الإجازات والحالات'!$B$6:$B$505,$B56))/cfg_DAYS_Y)</f>
        <v/>
      </c>
      <c r="AI56" s="155" t="str">
        <f aca="false">IF($B56="","",MAX(0,IF(OR(الموظفون!$AE56="",الموظفون!$AE56&gt;($E$3-1)),($E$3-1),الموظفون!$AE56)-الموظفون!$H56+1-SUMIFS('سجل الإجازات والحالات'!$AP$6:$AP$505,'سجل الإجازات والحالات'!$B$6:$B$505,$B56))/cfg_DAYS_Y)</f>
        <v/>
      </c>
      <c r="AJ56" s="65" t="str">
        <f aca="false">IF($B56="","",MAX(0,AK56-(SUMIFS('سجل الإجازات والحالات'!$AQ$6:$AQ$505,'سجل الإجازات والحالات'!$B$6:$B$505,$B56)-SUMIFS('سجل الإجازات والحالات'!$AP$6:$AP$505,'سجل الإجازات والحالات'!$B$6:$B$505,$B56))))</f>
        <v/>
      </c>
      <c r="AK56" s="65" t="str">
        <f aca="false">IF($B56="","",MAX(0,IF(OR(الموظفون!$AE56="",الموظفون!$AE56&gt;$F$3),$F$3,الموظفون!$AE56)-MAX($E$3,الموظفون!$H56)+1))</f>
        <v/>
      </c>
      <c r="AL56" s="151" t="str">
        <f aca="false">IF($B56="","",SUMIFS('سجل الإجازات والحالات'!$BC$6:$BC$505,'سجل الإجازات والحالات'!$B$6:$B$505,$B56)+SUMIFS('الحركات الشهرية'!$K$6:$K$1005,'الحركات الشهرية'!$B$6:$B$1005,$B56,'الحركات الشهرية'!$A$6:$A$1005,$C$3))</f>
        <v/>
      </c>
      <c r="AM56" s="111" t="str">
        <f aca="false">IF($B56="","",AL56*الموظفون!$R56/cfg_DAYS_M+S56)</f>
        <v/>
      </c>
      <c r="AN56" s="151" t="str">
        <f aca="false">IF($B56="","",SUMIFS('سجل الإجازات والحالات'!$AE$6:$AE$505,'سجل الإجازات والحالات'!$B$6:$B$505,$B56))</f>
        <v/>
      </c>
    </row>
    <row r="57" customFormat="false" ht="15" hidden="false" customHeight="false" outlineLevel="0" collapsed="false">
      <c r="A57" s="115" t="str">
        <f aca="false">IF($B57="","",الموظفون!$A57)</f>
        <v/>
      </c>
      <c r="B57" s="117" t="str">
        <f aca="false">IF(الموظفون!$B57="","",الموظفون!$B57)</f>
        <v/>
      </c>
      <c r="C57" s="117" t="str">
        <f aca="false">IF($B57="","",الموظفون!$C57)</f>
        <v/>
      </c>
      <c r="D57" s="117" t="str">
        <f aca="false">IF($B57="","",الموظفون!$F57)</f>
        <v/>
      </c>
      <c r="E57" s="117" t="str">
        <f aca="false">IF($B57="","",الموظفون!$E57)</f>
        <v/>
      </c>
      <c r="F57" s="117" t="str">
        <f aca="false">IF($B57="","",IF(AK57=0,IF(AND(الموظفون!$AE57&lt;&gt;"",الموظفون!$AE57&lt;$E$3),"✖ منتهي الخدمة","⏳ لم يباشر"),IF(S57&gt;0,"✈ راتب إجازة مقدم",IF(J57=0,"⛔ بدون راتب هذا الشهر",IF(I57&gt;0,"✈ خصم "&amp;ROUND(I57,2)&amp;" يوم بدون أجر",IF(AL57&gt;0,"🌴 إجازة سنوية "&amp;ROUND(AL57,2)&amp;" يوم",IF(H57&gt;0,"⚠ غياب "&amp;ROUND(H57,2)&amp;" يوم","✔ على رأس العمل")))))))</f>
        <v/>
      </c>
      <c r="G57" s="156" t="str">
        <f aca="false">IF($B57="","",IF(AK57&gt;=DAY($F$3),cfg_DAYS_M,MIN(AK57,cfg_DAYS_M)))</f>
        <v/>
      </c>
      <c r="H57" s="156" t="str">
        <f aca="false">IF($B57="","",SUMIFS('الحركات الشهرية'!$D$6:$D$1005,'الحركات الشهرية'!$B$6:$B$1005,$B57,'الحركات الشهرية'!$A$6:$A$1005,$C$3))</f>
        <v/>
      </c>
      <c r="I57" s="156" t="str">
        <f aca="false">IF($B57="","",MIN(G57,IF(AND(AK57&gt;0,AN57&gt;=AK57),G57,AN57)+SUMIFS('الحركات الشهرية'!$E$6:$E$1005,'الحركات الشهرية'!$B$6:$B$1005,$B57,'الحركات الشهرية'!$A$6:$A$1005,$C$3)))</f>
        <v/>
      </c>
      <c r="J57" s="156" t="str">
        <f aca="false">IF($B57="","",MAX(0,G57-H57-I57))</f>
        <v/>
      </c>
      <c r="K57" s="116" t="str">
        <f aca="false">IF($B57="","",الموظفون!$L57*$J57/cfg_DAYS_M)</f>
        <v/>
      </c>
      <c r="L57" s="116" t="str">
        <f aca="false">IF($B57="","",الموظفون!$M57*$J57/cfg_DAYS_M)</f>
        <v/>
      </c>
      <c r="M57" s="116" t="str">
        <f aca="false">IF($B57="","",الموظفون!$N57*$J57/cfg_DAYS_M)</f>
        <v/>
      </c>
      <c r="N57" s="116" t="str">
        <f aca="false">IF($B57="","",الموظفون!$O57*$J57/cfg_DAYS_M)</f>
        <v/>
      </c>
      <c r="O57" s="156" t="str">
        <f aca="false">IF($B57="","",SUMIFS('الحركات الشهرية'!$F$6:$F$1005,'الحركات الشهرية'!$B$6:$B$1005,$B57,'الحركات الشهرية'!$A$6:$A$1005,$C$3))</f>
        <v/>
      </c>
      <c r="P57" s="116" t="str">
        <f aca="false">IF($B57="","",O57*(الموظفون!$P57+الموظفون!$L57*cfg_OT_P)/cfg_DAYS_M/cfg_HRS)</f>
        <v/>
      </c>
      <c r="Q57" s="116" t="str">
        <f aca="false">IF($B57="","",SUMIFS('الحركات الشهرية'!$G$6:$G$1005,'الحركات الشهرية'!$B$6:$B$1005,$B57,'الحركات الشهرية'!$A$6:$A$1005,$C$3))</f>
        <v/>
      </c>
      <c r="R57" s="116" t="str">
        <f aca="false">IF($B57="","",SUMIFS('الحركات الشهرية'!$H$6:$H$1005,'الحركات الشهرية'!$B$6:$B$1005,$B57,'الحركات الشهرية'!$A$6:$A$1005,$C$3))</f>
        <v/>
      </c>
      <c r="S57" s="116" t="str">
        <f aca="false">IF($B57="","",SUMIFS('سجل الإجازات والحالات'!$N$6:$N$505,'سجل الإجازات والحالات'!$B$6:$B$505,$B57,'سجل الإجازات والحالات'!$O$6:$O$505,$C$3))</f>
        <v/>
      </c>
      <c r="T57" s="157" t="str">
        <f aca="false">IF($B57="","",SUM(K57:N57)+SUM(P57:S57))</f>
        <v/>
      </c>
      <c r="U57" s="116" t="str">
        <f aca="false">IF($B57="","",الموظفون!$S57*IF(E57="سعودي",cfg_G_SE,cfg_G_NE)*G57/cfg_DAYS_M)</f>
        <v/>
      </c>
      <c r="V57" s="116" t="str">
        <f aca="false">IF($B57="","",SUMIFS('الحركات الشهرية'!$I$6:$I$1005,'الحركات الشهرية'!$B$6:$B$1005,$B57,'الحركات الشهرية'!$A$6:$A$1005,$C$3))</f>
        <v/>
      </c>
      <c r="W57" s="116" t="str">
        <f aca="false">IF($B57="","",SUMIFS('الحركات الشهرية'!$J$6:$J$1005,'الحركات الشهرية'!$B$6:$B$1005,$B57,'الحركات الشهرية'!$A$6:$A$1005,$C$3))</f>
        <v/>
      </c>
      <c r="X57" s="116" t="str">
        <f aca="false">IF($B57="","",SUM(U57:W57))</f>
        <v/>
      </c>
      <c r="Y57" s="158" t="str">
        <f aca="false">IF($B57="","",T57-X57)</f>
        <v/>
      </c>
      <c r="Z57" s="116" t="str">
        <f aca="false">IF($B57="","",الموظفون!$S57*IF(E57="سعودي",cfg_G_SR,cfg_G_NR)*G57/cfg_DAYS_M)</f>
        <v/>
      </c>
      <c r="AA57" s="116" t="str">
        <f aca="false">IF($B57="","",الموظفون!$Q57*(cfg_EOS_R1*(MIN(AH57,cfg_EOS_TH)-MIN(AI57,cfg_EOS_TH))+cfg_EOS_R2*(MAX(AH57-cfg_EOS_TH,0)-MAX(AI57-cfg_EOS_TH,0))))</f>
        <v/>
      </c>
      <c r="AB57" s="116" t="str">
        <f aca="false">IF($B57="","",IF(الموظفون!$T57&lt;&gt;"",الموظفون!$T57,IF(AH57&gt;=cfg_LV_TH,cfg_LV_D2,cfg_LV_D1))/cfg_DAYS_Y*AJ57*الموظفون!$R57/cfg_DAYS_M)</f>
        <v/>
      </c>
      <c r="AC57" s="116" t="str">
        <f aca="false">IF($B57="","",IF(AND(الموظفون!$U57="نعم",N(الموظفون!$W57)&gt;0),الموظفون!$V57/الموظفون!$W57*12/cfg_DAYS_Y*AJ57,0))</f>
        <v/>
      </c>
      <c r="AD57" s="116" t="str">
        <f aca="false">IF($B57="","",(IF(الموظفون!$X57&lt;&gt;"",الموظفون!$X57,IF(الموظفون!$E57="غير سعودي",cfg_IQ,0))+IF(الموظفون!$Y57&lt;&gt;"",الموظفون!$Y57,IF(الموظفون!$E57="غير سعودي",cfg_WP,0)))/12*G57/cfg_DAYS_M)</f>
        <v/>
      </c>
      <c r="AE57" s="116" t="str">
        <f aca="false">IF($B57="","",IF(الموظفون!$Z57&lt;&gt;"",الموظفون!$Z57,cfg_MED)/12*G57/cfg_DAYS_M)</f>
        <v/>
      </c>
      <c r="AF57" s="116" t="str">
        <f aca="false">IF($B57="","",N(الموظفون!$AA57)/12*G57/cfg_DAYS_M)</f>
        <v/>
      </c>
      <c r="AG57" s="159" t="str">
        <f aca="false">IF($B57="","",T57+SUM(Z57:AF57))</f>
        <v/>
      </c>
      <c r="AH57" s="160" t="str">
        <f aca="false">IF($B57="","",MAX(0,IF(OR(الموظفون!$AE57="",الموظفون!$AE57&gt;$F$3),$F$3,الموظفون!$AE57)-الموظفون!$H57+1-SUMIFS('سجل الإجازات والحالات'!$AQ$6:$AQ$505,'سجل الإجازات والحالات'!$B$6:$B$505,$B57))/cfg_DAYS_Y)</f>
        <v/>
      </c>
      <c r="AI57" s="160" t="str">
        <f aca="false">IF($B57="","",MAX(0,IF(OR(الموظفون!$AE57="",الموظفون!$AE57&gt;($E$3-1)),($E$3-1),الموظفون!$AE57)-الموظفون!$H57+1-SUMIFS('سجل الإجازات والحالات'!$AP$6:$AP$505,'سجل الإجازات والحالات'!$B$6:$B$505,$B57))/cfg_DAYS_Y)</f>
        <v/>
      </c>
      <c r="AJ57" s="133" t="str">
        <f aca="false">IF($B57="","",MAX(0,AK57-(SUMIFS('سجل الإجازات والحالات'!$AQ$6:$AQ$505,'سجل الإجازات والحالات'!$B$6:$B$505,$B57)-SUMIFS('سجل الإجازات والحالات'!$AP$6:$AP$505,'سجل الإجازات والحالات'!$B$6:$B$505,$B57))))</f>
        <v/>
      </c>
      <c r="AK57" s="133" t="str">
        <f aca="false">IF($B57="","",MAX(0,IF(OR(الموظفون!$AE57="",الموظفون!$AE57&gt;$F$3),$F$3,الموظفون!$AE57)-MAX($E$3,الموظفون!$H57)+1))</f>
        <v/>
      </c>
      <c r="AL57" s="156" t="str">
        <f aca="false">IF($B57="","",SUMIFS('سجل الإجازات والحالات'!$BC$6:$BC$505,'سجل الإجازات والحالات'!$B$6:$B$505,$B57)+SUMIFS('الحركات الشهرية'!$K$6:$K$1005,'الحركات الشهرية'!$B$6:$B$1005,$B57,'الحركات الشهرية'!$A$6:$A$1005,$C$3))</f>
        <v/>
      </c>
      <c r="AM57" s="116" t="str">
        <f aca="false">IF($B57="","",AL57*الموظفون!$R57/cfg_DAYS_M+S57)</f>
        <v/>
      </c>
      <c r="AN57" s="156" t="str">
        <f aca="false">IF($B57="","",SUMIFS('سجل الإجازات والحالات'!$AE$6:$AE$505,'سجل الإجازات والحالات'!$B$6:$B$505,$B57))</f>
        <v/>
      </c>
    </row>
    <row r="58" customFormat="false" ht="15" hidden="false" customHeight="false" outlineLevel="0" collapsed="false">
      <c r="A58" s="106" t="str">
        <f aca="false">IF($B58="","",الموظفون!$A58)</f>
        <v/>
      </c>
      <c r="B58" s="114" t="str">
        <f aca="false">IF(الموظفون!$B58="","",الموظفون!$B58)</f>
        <v/>
      </c>
      <c r="C58" s="114" t="str">
        <f aca="false">IF($B58="","",الموظفون!$C58)</f>
        <v/>
      </c>
      <c r="D58" s="114" t="str">
        <f aca="false">IF($B58="","",الموظفون!$F58)</f>
        <v/>
      </c>
      <c r="E58" s="114" t="str">
        <f aca="false">IF($B58="","",الموظفون!$E58)</f>
        <v/>
      </c>
      <c r="F58" s="114" t="str">
        <f aca="false">IF($B58="","",IF(AK58=0,IF(AND(الموظفون!$AE58&lt;&gt;"",الموظفون!$AE58&lt;$E$3),"✖ منتهي الخدمة","⏳ لم يباشر"),IF(S58&gt;0,"✈ راتب إجازة مقدم",IF(J58=0,"⛔ بدون راتب هذا الشهر",IF(I58&gt;0,"✈ خصم "&amp;ROUND(I58,2)&amp;" يوم بدون أجر",IF(AL58&gt;0,"🌴 إجازة سنوية "&amp;ROUND(AL58,2)&amp;" يوم",IF(H58&gt;0,"⚠ غياب "&amp;ROUND(H58,2)&amp;" يوم","✔ على رأس العمل")))))))</f>
        <v/>
      </c>
      <c r="G58" s="151" t="str">
        <f aca="false">IF($B58="","",IF(AK58&gt;=DAY($F$3),cfg_DAYS_M,MIN(AK58,cfg_DAYS_M)))</f>
        <v/>
      </c>
      <c r="H58" s="151" t="str">
        <f aca="false">IF($B58="","",SUMIFS('الحركات الشهرية'!$D$6:$D$1005,'الحركات الشهرية'!$B$6:$B$1005,$B58,'الحركات الشهرية'!$A$6:$A$1005,$C$3))</f>
        <v/>
      </c>
      <c r="I58" s="151" t="str">
        <f aca="false">IF($B58="","",MIN(G58,IF(AND(AK58&gt;0,AN58&gt;=AK58),G58,AN58)+SUMIFS('الحركات الشهرية'!$E$6:$E$1005,'الحركات الشهرية'!$B$6:$B$1005,$B58,'الحركات الشهرية'!$A$6:$A$1005,$C$3)))</f>
        <v/>
      </c>
      <c r="J58" s="151" t="str">
        <f aca="false">IF($B58="","",MAX(0,G58-H58-I58))</f>
        <v/>
      </c>
      <c r="K58" s="111" t="str">
        <f aca="false">IF($B58="","",الموظفون!$L58*$J58/cfg_DAYS_M)</f>
        <v/>
      </c>
      <c r="L58" s="111" t="str">
        <f aca="false">IF($B58="","",الموظفون!$M58*$J58/cfg_DAYS_M)</f>
        <v/>
      </c>
      <c r="M58" s="111" t="str">
        <f aca="false">IF($B58="","",الموظفون!$N58*$J58/cfg_DAYS_M)</f>
        <v/>
      </c>
      <c r="N58" s="111" t="str">
        <f aca="false">IF($B58="","",الموظفون!$O58*$J58/cfg_DAYS_M)</f>
        <v/>
      </c>
      <c r="O58" s="151" t="str">
        <f aca="false">IF($B58="","",SUMIFS('الحركات الشهرية'!$F$6:$F$1005,'الحركات الشهرية'!$B$6:$B$1005,$B58,'الحركات الشهرية'!$A$6:$A$1005,$C$3))</f>
        <v/>
      </c>
      <c r="P58" s="111" t="str">
        <f aca="false">IF($B58="","",O58*(الموظفون!$P58+الموظفون!$L58*cfg_OT_P)/cfg_DAYS_M/cfg_HRS)</f>
        <v/>
      </c>
      <c r="Q58" s="111" t="str">
        <f aca="false">IF($B58="","",SUMIFS('الحركات الشهرية'!$G$6:$G$1005,'الحركات الشهرية'!$B$6:$B$1005,$B58,'الحركات الشهرية'!$A$6:$A$1005,$C$3))</f>
        <v/>
      </c>
      <c r="R58" s="111" t="str">
        <f aca="false">IF($B58="","",SUMIFS('الحركات الشهرية'!$H$6:$H$1005,'الحركات الشهرية'!$B$6:$B$1005,$B58,'الحركات الشهرية'!$A$6:$A$1005,$C$3))</f>
        <v/>
      </c>
      <c r="S58" s="111" t="str">
        <f aca="false">IF($B58="","",SUMIFS('سجل الإجازات والحالات'!$N$6:$N$505,'سجل الإجازات والحالات'!$B$6:$B$505,$B58,'سجل الإجازات والحالات'!$O$6:$O$505,$C$3))</f>
        <v/>
      </c>
      <c r="T58" s="152" t="str">
        <f aca="false">IF($B58="","",SUM(K58:N58)+SUM(P58:S58))</f>
        <v/>
      </c>
      <c r="U58" s="111" t="str">
        <f aca="false">IF($B58="","",الموظفون!$S58*IF(E58="سعودي",cfg_G_SE,cfg_G_NE)*G58/cfg_DAYS_M)</f>
        <v/>
      </c>
      <c r="V58" s="111" t="str">
        <f aca="false">IF($B58="","",SUMIFS('الحركات الشهرية'!$I$6:$I$1005,'الحركات الشهرية'!$B$6:$B$1005,$B58,'الحركات الشهرية'!$A$6:$A$1005,$C$3))</f>
        <v/>
      </c>
      <c r="W58" s="111" t="str">
        <f aca="false">IF($B58="","",SUMIFS('الحركات الشهرية'!$J$6:$J$1005,'الحركات الشهرية'!$B$6:$B$1005,$B58,'الحركات الشهرية'!$A$6:$A$1005,$C$3))</f>
        <v/>
      </c>
      <c r="X58" s="111" t="str">
        <f aca="false">IF($B58="","",SUM(U58:W58))</f>
        <v/>
      </c>
      <c r="Y58" s="153" t="str">
        <f aca="false">IF($B58="","",T58-X58)</f>
        <v/>
      </c>
      <c r="Z58" s="111" t="str">
        <f aca="false">IF($B58="","",الموظفون!$S58*IF(E58="سعودي",cfg_G_SR,cfg_G_NR)*G58/cfg_DAYS_M)</f>
        <v/>
      </c>
      <c r="AA58" s="111" t="str">
        <f aca="false">IF($B58="","",الموظفون!$Q58*(cfg_EOS_R1*(MIN(AH58,cfg_EOS_TH)-MIN(AI58,cfg_EOS_TH))+cfg_EOS_R2*(MAX(AH58-cfg_EOS_TH,0)-MAX(AI58-cfg_EOS_TH,0))))</f>
        <v/>
      </c>
      <c r="AB58" s="111" t="str">
        <f aca="false">IF($B58="","",IF(الموظفون!$T58&lt;&gt;"",الموظفون!$T58,IF(AH58&gt;=cfg_LV_TH,cfg_LV_D2,cfg_LV_D1))/cfg_DAYS_Y*AJ58*الموظفون!$R58/cfg_DAYS_M)</f>
        <v/>
      </c>
      <c r="AC58" s="111" t="str">
        <f aca="false">IF($B58="","",IF(AND(الموظفون!$U58="نعم",N(الموظفون!$W58)&gt;0),الموظفون!$V58/الموظفون!$W58*12/cfg_DAYS_Y*AJ58,0))</f>
        <v/>
      </c>
      <c r="AD58" s="111" t="str">
        <f aca="false">IF($B58="","",(IF(الموظفون!$X58&lt;&gt;"",الموظفون!$X58,IF(الموظفون!$E58="غير سعودي",cfg_IQ,0))+IF(الموظفون!$Y58&lt;&gt;"",الموظفون!$Y58,IF(الموظفون!$E58="غير سعودي",cfg_WP,0)))/12*G58/cfg_DAYS_M)</f>
        <v/>
      </c>
      <c r="AE58" s="111" t="str">
        <f aca="false">IF($B58="","",IF(الموظفون!$Z58&lt;&gt;"",الموظفون!$Z58,cfg_MED)/12*G58/cfg_DAYS_M)</f>
        <v/>
      </c>
      <c r="AF58" s="111" t="str">
        <f aca="false">IF($B58="","",N(الموظفون!$AA58)/12*G58/cfg_DAYS_M)</f>
        <v/>
      </c>
      <c r="AG58" s="154" t="str">
        <f aca="false">IF($B58="","",T58+SUM(Z58:AF58))</f>
        <v/>
      </c>
      <c r="AH58" s="155" t="str">
        <f aca="false">IF($B58="","",MAX(0,IF(OR(الموظفون!$AE58="",الموظفون!$AE58&gt;$F$3),$F$3,الموظفون!$AE58)-الموظفون!$H58+1-SUMIFS('سجل الإجازات والحالات'!$AQ$6:$AQ$505,'سجل الإجازات والحالات'!$B$6:$B$505,$B58))/cfg_DAYS_Y)</f>
        <v/>
      </c>
      <c r="AI58" s="155" t="str">
        <f aca="false">IF($B58="","",MAX(0,IF(OR(الموظفون!$AE58="",الموظفون!$AE58&gt;($E$3-1)),($E$3-1),الموظفون!$AE58)-الموظفون!$H58+1-SUMIFS('سجل الإجازات والحالات'!$AP$6:$AP$505,'سجل الإجازات والحالات'!$B$6:$B$505,$B58))/cfg_DAYS_Y)</f>
        <v/>
      </c>
      <c r="AJ58" s="65" t="str">
        <f aca="false">IF($B58="","",MAX(0,AK58-(SUMIFS('سجل الإجازات والحالات'!$AQ$6:$AQ$505,'سجل الإجازات والحالات'!$B$6:$B$505,$B58)-SUMIFS('سجل الإجازات والحالات'!$AP$6:$AP$505,'سجل الإجازات والحالات'!$B$6:$B$505,$B58))))</f>
        <v/>
      </c>
      <c r="AK58" s="65" t="str">
        <f aca="false">IF($B58="","",MAX(0,IF(OR(الموظفون!$AE58="",الموظفون!$AE58&gt;$F$3),$F$3,الموظفون!$AE58)-MAX($E$3,الموظفون!$H58)+1))</f>
        <v/>
      </c>
      <c r="AL58" s="151" t="str">
        <f aca="false">IF($B58="","",SUMIFS('سجل الإجازات والحالات'!$BC$6:$BC$505,'سجل الإجازات والحالات'!$B$6:$B$505,$B58)+SUMIFS('الحركات الشهرية'!$K$6:$K$1005,'الحركات الشهرية'!$B$6:$B$1005,$B58,'الحركات الشهرية'!$A$6:$A$1005,$C$3))</f>
        <v/>
      </c>
      <c r="AM58" s="111" t="str">
        <f aca="false">IF($B58="","",AL58*الموظفون!$R58/cfg_DAYS_M+S58)</f>
        <v/>
      </c>
      <c r="AN58" s="151" t="str">
        <f aca="false">IF($B58="","",SUMIFS('سجل الإجازات والحالات'!$AE$6:$AE$505,'سجل الإجازات والحالات'!$B$6:$B$505,$B58))</f>
        <v/>
      </c>
    </row>
    <row r="59" customFormat="false" ht="15" hidden="false" customHeight="false" outlineLevel="0" collapsed="false">
      <c r="A59" s="115" t="str">
        <f aca="false">IF($B59="","",الموظفون!$A59)</f>
        <v/>
      </c>
      <c r="B59" s="117" t="str">
        <f aca="false">IF(الموظفون!$B59="","",الموظفون!$B59)</f>
        <v/>
      </c>
      <c r="C59" s="117" t="str">
        <f aca="false">IF($B59="","",الموظفون!$C59)</f>
        <v/>
      </c>
      <c r="D59" s="117" t="str">
        <f aca="false">IF($B59="","",الموظفون!$F59)</f>
        <v/>
      </c>
      <c r="E59" s="117" t="str">
        <f aca="false">IF($B59="","",الموظفون!$E59)</f>
        <v/>
      </c>
      <c r="F59" s="117" t="str">
        <f aca="false">IF($B59="","",IF(AK59=0,IF(AND(الموظفون!$AE59&lt;&gt;"",الموظفون!$AE59&lt;$E$3),"✖ منتهي الخدمة","⏳ لم يباشر"),IF(S59&gt;0,"✈ راتب إجازة مقدم",IF(J59=0,"⛔ بدون راتب هذا الشهر",IF(I59&gt;0,"✈ خصم "&amp;ROUND(I59,2)&amp;" يوم بدون أجر",IF(AL59&gt;0,"🌴 إجازة سنوية "&amp;ROUND(AL59,2)&amp;" يوم",IF(H59&gt;0,"⚠ غياب "&amp;ROUND(H59,2)&amp;" يوم","✔ على رأس العمل")))))))</f>
        <v/>
      </c>
      <c r="G59" s="156" t="str">
        <f aca="false">IF($B59="","",IF(AK59&gt;=DAY($F$3),cfg_DAYS_M,MIN(AK59,cfg_DAYS_M)))</f>
        <v/>
      </c>
      <c r="H59" s="156" t="str">
        <f aca="false">IF($B59="","",SUMIFS('الحركات الشهرية'!$D$6:$D$1005,'الحركات الشهرية'!$B$6:$B$1005,$B59,'الحركات الشهرية'!$A$6:$A$1005,$C$3))</f>
        <v/>
      </c>
      <c r="I59" s="156" t="str">
        <f aca="false">IF($B59="","",MIN(G59,IF(AND(AK59&gt;0,AN59&gt;=AK59),G59,AN59)+SUMIFS('الحركات الشهرية'!$E$6:$E$1005,'الحركات الشهرية'!$B$6:$B$1005,$B59,'الحركات الشهرية'!$A$6:$A$1005,$C$3)))</f>
        <v/>
      </c>
      <c r="J59" s="156" t="str">
        <f aca="false">IF($B59="","",MAX(0,G59-H59-I59))</f>
        <v/>
      </c>
      <c r="K59" s="116" t="str">
        <f aca="false">IF($B59="","",الموظفون!$L59*$J59/cfg_DAYS_M)</f>
        <v/>
      </c>
      <c r="L59" s="116" t="str">
        <f aca="false">IF($B59="","",الموظفون!$M59*$J59/cfg_DAYS_M)</f>
        <v/>
      </c>
      <c r="M59" s="116" t="str">
        <f aca="false">IF($B59="","",الموظفون!$N59*$J59/cfg_DAYS_M)</f>
        <v/>
      </c>
      <c r="N59" s="116" t="str">
        <f aca="false">IF($B59="","",الموظفون!$O59*$J59/cfg_DAYS_M)</f>
        <v/>
      </c>
      <c r="O59" s="156" t="str">
        <f aca="false">IF($B59="","",SUMIFS('الحركات الشهرية'!$F$6:$F$1005,'الحركات الشهرية'!$B$6:$B$1005,$B59,'الحركات الشهرية'!$A$6:$A$1005,$C$3))</f>
        <v/>
      </c>
      <c r="P59" s="116" t="str">
        <f aca="false">IF($B59="","",O59*(الموظفون!$P59+الموظفون!$L59*cfg_OT_P)/cfg_DAYS_M/cfg_HRS)</f>
        <v/>
      </c>
      <c r="Q59" s="116" t="str">
        <f aca="false">IF($B59="","",SUMIFS('الحركات الشهرية'!$G$6:$G$1005,'الحركات الشهرية'!$B$6:$B$1005,$B59,'الحركات الشهرية'!$A$6:$A$1005,$C$3))</f>
        <v/>
      </c>
      <c r="R59" s="116" t="str">
        <f aca="false">IF($B59="","",SUMIFS('الحركات الشهرية'!$H$6:$H$1005,'الحركات الشهرية'!$B$6:$B$1005,$B59,'الحركات الشهرية'!$A$6:$A$1005,$C$3))</f>
        <v/>
      </c>
      <c r="S59" s="116" t="str">
        <f aca="false">IF($B59="","",SUMIFS('سجل الإجازات والحالات'!$N$6:$N$505,'سجل الإجازات والحالات'!$B$6:$B$505,$B59,'سجل الإجازات والحالات'!$O$6:$O$505,$C$3))</f>
        <v/>
      </c>
      <c r="T59" s="157" t="str">
        <f aca="false">IF($B59="","",SUM(K59:N59)+SUM(P59:S59))</f>
        <v/>
      </c>
      <c r="U59" s="116" t="str">
        <f aca="false">IF($B59="","",الموظفون!$S59*IF(E59="سعودي",cfg_G_SE,cfg_G_NE)*G59/cfg_DAYS_M)</f>
        <v/>
      </c>
      <c r="V59" s="116" t="str">
        <f aca="false">IF($B59="","",SUMIFS('الحركات الشهرية'!$I$6:$I$1005,'الحركات الشهرية'!$B$6:$B$1005,$B59,'الحركات الشهرية'!$A$6:$A$1005,$C$3))</f>
        <v/>
      </c>
      <c r="W59" s="116" t="str">
        <f aca="false">IF($B59="","",SUMIFS('الحركات الشهرية'!$J$6:$J$1005,'الحركات الشهرية'!$B$6:$B$1005,$B59,'الحركات الشهرية'!$A$6:$A$1005,$C$3))</f>
        <v/>
      </c>
      <c r="X59" s="116" t="str">
        <f aca="false">IF($B59="","",SUM(U59:W59))</f>
        <v/>
      </c>
      <c r="Y59" s="158" t="str">
        <f aca="false">IF($B59="","",T59-X59)</f>
        <v/>
      </c>
      <c r="Z59" s="116" t="str">
        <f aca="false">IF($B59="","",الموظفون!$S59*IF(E59="سعودي",cfg_G_SR,cfg_G_NR)*G59/cfg_DAYS_M)</f>
        <v/>
      </c>
      <c r="AA59" s="116" t="str">
        <f aca="false">IF($B59="","",الموظفون!$Q59*(cfg_EOS_R1*(MIN(AH59,cfg_EOS_TH)-MIN(AI59,cfg_EOS_TH))+cfg_EOS_R2*(MAX(AH59-cfg_EOS_TH,0)-MAX(AI59-cfg_EOS_TH,0))))</f>
        <v/>
      </c>
      <c r="AB59" s="116" t="str">
        <f aca="false">IF($B59="","",IF(الموظفون!$T59&lt;&gt;"",الموظفون!$T59,IF(AH59&gt;=cfg_LV_TH,cfg_LV_D2,cfg_LV_D1))/cfg_DAYS_Y*AJ59*الموظفون!$R59/cfg_DAYS_M)</f>
        <v/>
      </c>
      <c r="AC59" s="116" t="str">
        <f aca="false">IF($B59="","",IF(AND(الموظفون!$U59="نعم",N(الموظفون!$W59)&gt;0),الموظفون!$V59/الموظفون!$W59*12/cfg_DAYS_Y*AJ59,0))</f>
        <v/>
      </c>
      <c r="AD59" s="116" t="str">
        <f aca="false">IF($B59="","",(IF(الموظفون!$X59&lt;&gt;"",الموظفون!$X59,IF(الموظفون!$E59="غير سعودي",cfg_IQ,0))+IF(الموظفون!$Y59&lt;&gt;"",الموظفون!$Y59,IF(الموظفون!$E59="غير سعودي",cfg_WP,0)))/12*G59/cfg_DAYS_M)</f>
        <v/>
      </c>
      <c r="AE59" s="116" t="str">
        <f aca="false">IF($B59="","",IF(الموظفون!$Z59&lt;&gt;"",الموظفون!$Z59,cfg_MED)/12*G59/cfg_DAYS_M)</f>
        <v/>
      </c>
      <c r="AF59" s="116" t="str">
        <f aca="false">IF($B59="","",N(الموظفون!$AA59)/12*G59/cfg_DAYS_M)</f>
        <v/>
      </c>
      <c r="AG59" s="159" t="str">
        <f aca="false">IF($B59="","",T59+SUM(Z59:AF59))</f>
        <v/>
      </c>
      <c r="AH59" s="160" t="str">
        <f aca="false">IF($B59="","",MAX(0,IF(OR(الموظفون!$AE59="",الموظفون!$AE59&gt;$F$3),$F$3,الموظفون!$AE59)-الموظفون!$H59+1-SUMIFS('سجل الإجازات والحالات'!$AQ$6:$AQ$505,'سجل الإجازات والحالات'!$B$6:$B$505,$B59))/cfg_DAYS_Y)</f>
        <v/>
      </c>
      <c r="AI59" s="160" t="str">
        <f aca="false">IF($B59="","",MAX(0,IF(OR(الموظفون!$AE59="",الموظفون!$AE59&gt;($E$3-1)),($E$3-1),الموظفون!$AE59)-الموظفون!$H59+1-SUMIFS('سجل الإجازات والحالات'!$AP$6:$AP$505,'سجل الإجازات والحالات'!$B$6:$B$505,$B59))/cfg_DAYS_Y)</f>
        <v/>
      </c>
      <c r="AJ59" s="133" t="str">
        <f aca="false">IF($B59="","",MAX(0,AK59-(SUMIFS('سجل الإجازات والحالات'!$AQ$6:$AQ$505,'سجل الإجازات والحالات'!$B$6:$B$505,$B59)-SUMIFS('سجل الإجازات والحالات'!$AP$6:$AP$505,'سجل الإجازات والحالات'!$B$6:$B$505,$B59))))</f>
        <v/>
      </c>
      <c r="AK59" s="133" t="str">
        <f aca="false">IF($B59="","",MAX(0,IF(OR(الموظفون!$AE59="",الموظفون!$AE59&gt;$F$3),$F$3,الموظفون!$AE59)-MAX($E$3,الموظفون!$H59)+1))</f>
        <v/>
      </c>
      <c r="AL59" s="156" t="str">
        <f aca="false">IF($B59="","",SUMIFS('سجل الإجازات والحالات'!$BC$6:$BC$505,'سجل الإجازات والحالات'!$B$6:$B$505,$B59)+SUMIFS('الحركات الشهرية'!$K$6:$K$1005,'الحركات الشهرية'!$B$6:$B$1005,$B59,'الحركات الشهرية'!$A$6:$A$1005,$C$3))</f>
        <v/>
      </c>
      <c r="AM59" s="116" t="str">
        <f aca="false">IF($B59="","",AL59*الموظفون!$R59/cfg_DAYS_M+S59)</f>
        <v/>
      </c>
      <c r="AN59" s="156" t="str">
        <f aca="false">IF($B59="","",SUMIFS('سجل الإجازات والحالات'!$AE$6:$AE$505,'سجل الإجازات والحالات'!$B$6:$B$505,$B59))</f>
        <v/>
      </c>
    </row>
    <row r="60" customFormat="false" ht="15" hidden="false" customHeight="false" outlineLevel="0" collapsed="false">
      <c r="A60" s="106" t="str">
        <f aca="false">IF($B60="","",الموظفون!$A60)</f>
        <v/>
      </c>
      <c r="B60" s="114" t="str">
        <f aca="false">IF(الموظفون!$B60="","",الموظفون!$B60)</f>
        <v/>
      </c>
      <c r="C60" s="114" t="str">
        <f aca="false">IF($B60="","",الموظفون!$C60)</f>
        <v/>
      </c>
      <c r="D60" s="114" t="str">
        <f aca="false">IF($B60="","",الموظفون!$F60)</f>
        <v/>
      </c>
      <c r="E60" s="114" t="str">
        <f aca="false">IF($B60="","",الموظفون!$E60)</f>
        <v/>
      </c>
      <c r="F60" s="114" t="str">
        <f aca="false">IF($B60="","",IF(AK60=0,IF(AND(الموظفون!$AE60&lt;&gt;"",الموظفون!$AE60&lt;$E$3),"✖ منتهي الخدمة","⏳ لم يباشر"),IF(S60&gt;0,"✈ راتب إجازة مقدم",IF(J60=0,"⛔ بدون راتب هذا الشهر",IF(I60&gt;0,"✈ خصم "&amp;ROUND(I60,2)&amp;" يوم بدون أجر",IF(AL60&gt;0,"🌴 إجازة سنوية "&amp;ROUND(AL60,2)&amp;" يوم",IF(H60&gt;0,"⚠ غياب "&amp;ROUND(H60,2)&amp;" يوم","✔ على رأس العمل")))))))</f>
        <v/>
      </c>
      <c r="G60" s="151" t="str">
        <f aca="false">IF($B60="","",IF(AK60&gt;=DAY($F$3),cfg_DAYS_M,MIN(AK60,cfg_DAYS_M)))</f>
        <v/>
      </c>
      <c r="H60" s="151" t="str">
        <f aca="false">IF($B60="","",SUMIFS('الحركات الشهرية'!$D$6:$D$1005,'الحركات الشهرية'!$B$6:$B$1005,$B60,'الحركات الشهرية'!$A$6:$A$1005,$C$3))</f>
        <v/>
      </c>
      <c r="I60" s="151" t="str">
        <f aca="false">IF($B60="","",MIN(G60,IF(AND(AK60&gt;0,AN60&gt;=AK60),G60,AN60)+SUMIFS('الحركات الشهرية'!$E$6:$E$1005,'الحركات الشهرية'!$B$6:$B$1005,$B60,'الحركات الشهرية'!$A$6:$A$1005,$C$3)))</f>
        <v/>
      </c>
      <c r="J60" s="151" t="str">
        <f aca="false">IF($B60="","",MAX(0,G60-H60-I60))</f>
        <v/>
      </c>
      <c r="K60" s="111" t="str">
        <f aca="false">IF($B60="","",الموظفون!$L60*$J60/cfg_DAYS_M)</f>
        <v/>
      </c>
      <c r="L60" s="111" t="str">
        <f aca="false">IF($B60="","",الموظفون!$M60*$J60/cfg_DAYS_M)</f>
        <v/>
      </c>
      <c r="M60" s="111" t="str">
        <f aca="false">IF($B60="","",الموظفون!$N60*$J60/cfg_DAYS_M)</f>
        <v/>
      </c>
      <c r="N60" s="111" t="str">
        <f aca="false">IF($B60="","",الموظفون!$O60*$J60/cfg_DAYS_M)</f>
        <v/>
      </c>
      <c r="O60" s="151" t="str">
        <f aca="false">IF($B60="","",SUMIFS('الحركات الشهرية'!$F$6:$F$1005,'الحركات الشهرية'!$B$6:$B$1005,$B60,'الحركات الشهرية'!$A$6:$A$1005,$C$3))</f>
        <v/>
      </c>
      <c r="P60" s="111" t="str">
        <f aca="false">IF($B60="","",O60*(الموظفون!$P60+الموظفون!$L60*cfg_OT_P)/cfg_DAYS_M/cfg_HRS)</f>
        <v/>
      </c>
      <c r="Q60" s="111" t="str">
        <f aca="false">IF($B60="","",SUMIFS('الحركات الشهرية'!$G$6:$G$1005,'الحركات الشهرية'!$B$6:$B$1005,$B60,'الحركات الشهرية'!$A$6:$A$1005,$C$3))</f>
        <v/>
      </c>
      <c r="R60" s="111" t="str">
        <f aca="false">IF($B60="","",SUMIFS('الحركات الشهرية'!$H$6:$H$1005,'الحركات الشهرية'!$B$6:$B$1005,$B60,'الحركات الشهرية'!$A$6:$A$1005,$C$3))</f>
        <v/>
      </c>
      <c r="S60" s="111" t="str">
        <f aca="false">IF($B60="","",SUMIFS('سجل الإجازات والحالات'!$N$6:$N$505,'سجل الإجازات والحالات'!$B$6:$B$505,$B60,'سجل الإجازات والحالات'!$O$6:$O$505,$C$3))</f>
        <v/>
      </c>
      <c r="T60" s="152" t="str">
        <f aca="false">IF($B60="","",SUM(K60:N60)+SUM(P60:S60))</f>
        <v/>
      </c>
      <c r="U60" s="111" t="str">
        <f aca="false">IF($B60="","",الموظفون!$S60*IF(E60="سعودي",cfg_G_SE,cfg_G_NE)*G60/cfg_DAYS_M)</f>
        <v/>
      </c>
      <c r="V60" s="111" t="str">
        <f aca="false">IF($B60="","",SUMIFS('الحركات الشهرية'!$I$6:$I$1005,'الحركات الشهرية'!$B$6:$B$1005,$B60,'الحركات الشهرية'!$A$6:$A$1005,$C$3))</f>
        <v/>
      </c>
      <c r="W60" s="111" t="str">
        <f aca="false">IF($B60="","",SUMIFS('الحركات الشهرية'!$J$6:$J$1005,'الحركات الشهرية'!$B$6:$B$1005,$B60,'الحركات الشهرية'!$A$6:$A$1005,$C$3))</f>
        <v/>
      </c>
      <c r="X60" s="111" t="str">
        <f aca="false">IF($B60="","",SUM(U60:W60))</f>
        <v/>
      </c>
      <c r="Y60" s="153" t="str">
        <f aca="false">IF($B60="","",T60-X60)</f>
        <v/>
      </c>
      <c r="Z60" s="111" t="str">
        <f aca="false">IF($B60="","",الموظفون!$S60*IF(E60="سعودي",cfg_G_SR,cfg_G_NR)*G60/cfg_DAYS_M)</f>
        <v/>
      </c>
      <c r="AA60" s="111" t="str">
        <f aca="false">IF($B60="","",الموظفون!$Q60*(cfg_EOS_R1*(MIN(AH60,cfg_EOS_TH)-MIN(AI60,cfg_EOS_TH))+cfg_EOS_R2*(MAX(AH60-cfg_EOS_TH,0)-MAX(AI60-cfg_EOS_TH,0))))</f>
        <v/>
      </c>
      <c r="AB60" s="111" t="str">
        <f aca="false">IF($B60="","",IF(الموظفون!$T60&lt;&gt;"",الموظفون!$T60,IF(AH60&gt;=cfg_LV_TH,cfg_LV_D2,cfg_LV_D1))/cfg_DAYS_Y*AJ60*الموظفون!$R60/cfg_DAYS_M)</f>
        <v/>
      </c>
      <c r="AC60" s="111" t="str">
        <f aca="false">IF($B60="","",IF(AND(الموظفون!$U60="نعم",N(الموظفون!$W60)&gt;0),الموظفون!$V60/الموظفون!$W60*12/cfg_DAYS_Y*AJ60,0))</f>
        <v/>
      </c>
      <c r="AD60" s="111" t="str">
        <f aca="false">IF($B60="","",(IF(الموظفون!$X60&lt;&gt;"",الموظفون!$X60,IF(الموظفون!$E60="غير سعودي",cfg_IQ,0))+IF(الموظفون!$Y60&lt;&gt;"",الموظفون!$Y60,IF(الموظفون!$E60="غير سعودي",cfg_WP,0)))/12*G60/cfg_DAYS_M)</f>
        <v/>
      </c>
      <c r="AE60" s="111" t="str">
        <f aca="false">IF($B60="","",IF(الموظفون!$Z60&lt;&gt;"",الموظفون!$Z60,cfg_MED)/12*G60/cfg_DAYS_M)</f>
        <v/>
      </c>
      <c r="AF60" s="111" t="str">
        <f aca="false">IF($B60="","",N(الموظفون!$AA60)/12*G60/cfg_DAYS_M)</f>
        <v/>
      </c>
      <c r="AG60" s="154" t="str">
        <f aca="false">IF($B60="","",T60+SUM(Z60:AF60))</f>
        <v/>
      </c>
      <c r="AH60" s="155" t="str">
        <f aca="false">IF($B60="","",MAX(0,IF(OR(الموظفون!$AE60="",الموظفون!$AE60&gt;$F$3),$F$3,الموظفون!$AE60)-الموظفون!$H60+1-SUMIFS('سجل الإجازات والحالات'!$AQ$6:$AQ$505,'سجل الإجازات والحالات'!$B$6:$B$505,$B60))/cfg_DAYS_Y)</f>
        <v/>
      </c>
      <c r="AI60" s="155" t="str">
        <f aca="false">IF($B60="","",MAX(0,IF(OR(الموظفون!$AE60="",الموظفون!$AE60&gt;($E$3-1)),($E$3-1),الموظفون!$AE60)-الموظفون!$H60+1-SUMIFS('سجل الإجازات والحالات'!$AP$6:$AP$505,'سجل الإجازات والحالات'!$B$6:$B$505,$B60))/cfg_DAYS_Y)</f>
        <v/>
      </c>
      <c r="AJ60" s="65" t="str">
        <f aca="false">IF($B60="","",MAX(0,AK60-(SUMIFS('سجل الإجازات والحالات'!$AQ$6:$AQ$505,'سجل الإجازات والحالات'!$B$6:$B$505,$B60)-SUMIFS('سجل الإجازات والحالات'!$AP$6:$AP$505,'سجل الإجازات والحالات'!$B$6:$B$505,$B60))))</f>
        <v/>
      </c>
      <c r="AK60" s="65" t="str">
        <f aca="false">IF($B60="","",MAX(0,IF(OR(الموظفون!$AE60="",الموظفون!$AE60&gt;$F$3),$F$3,الموظفون!$AE60)-MAX($E$3,الموظفون!$H60)+1))</f>
        <v/>
      </c>
      <c r="AL60" s="151" t="str">
        <f aca="false">IF($B60="","",SUMIFS('سجل الإجازات والحالات'!$BC$6:$BC$505,'سجل الإجازات والحالات'!$B$6:$B$505,$B60)+SUMIFS('الحركات الشهرية'!$K$6:$K$1005,'الحركات الشهرية'!$B$6:$B$1005,$B60,'الحركات الشهرية'!$A$6:$A$1005,$C$3))</f>
        <v/>
      </c>
      <c r="AM60" s="111" t="str">
        <f aca="false">IF($B60="","",AL60*الموظفون!$R60/cfg_DAYS_M+S60)</f>
        <v/>
      </c>
      <c r="AN60" s="151" t="str">
        <f aca="false">IF($B60="","",SUMIFS('سجل الإجازات والحالات'!$AE$6:$AE$505,'سجل الإجازات والحالات'!$B$6:$B$505,$B60))</f>
        <v/>
      </c>
    </row>
    <row r="61" customFormat="false" ht="15" hidden="false" customHeight="false" outlineLevel="0" collapsed="false">
      <c r="A61" s="115" t="str">
        <f aca="false">IF($B61="","",الموظفون!$A61)</f>
        <v/>
      </c>
      <c r="B61" s="117" t="str">
        <f aca="false">IF(الموظفون!$B61="","",الموظفون!$B61)</f>
        <v/>
      </c>
      <c r="C61" s="117" t="str">
        <f aca="false">IF($B61="","",الموظفون!$C61)</f>
        <v/>
      </c>
      <c r="D61" s="117" t="str">
        <f aca="false">IF($B61="","",الموظفون!$F61)</f>
        <v/>
      </c>
      <c r="E61" s="117" t="str">
        <f aca="false">IF($B61="","",الموظفون!$E61)</f>
        <v/>
      </c>
      <c r="F61" s="117" t="str">
        <f aca="false">IF($B61="","",IF(AK61=0,IF(AND(الموظفون!$AE61&lt;&gt;"",الموظفون!$AE61&lt;$E$3),"✖ منتهي الخدمة","⏳ لم يباشر"),IF(S61&gt;0,"✈ راتب إجازة مقدم",IF(J61=0,"⛔ بدون راتب هذا الشهر",IF(I61&gt;0,"✈ خصم "&amp;ROUND(I61,2)&amp;" يوم بدون أجر",IF(AL61&gt;0,"🌴 إجازة سنوية "&amp;ROUND(AL61,2)&amp;" يوم",IF(H61&gt;0,"⚠ غياب "&amp;ROUND(H61,2)&amp;" يوم","✔ على رأس العمل")))))))</f>
        <v/>
      </c>
      <c r="G61" s="156" t="str">
        <f aca="false">IF($B61="","",IF(AK61&gt;=DAY($F$3),cfg_DAYS_M,MIN(AK61,cfg_DAYS_M)))</f>
        <v/>
      </c>
      <c r="H61" s="156" t="str">
        <f aca="false">IF($B61="","",SUMIFS('الحركات الشهرية'!$D$6:$D$1005,'الحركات الشهرية'!$B$6:$B$1005,$B61,'الحركات الشهرية'!$A$6:$A$1005,$C$3))</f>
        <v/>
      </c>
      <c r="I61" s="156" t="str">
        <f aca="false">IF($B61="","",MIN(G61,IF(AND(AK61&gt;0,AN61&gt;=AK61),G61,AN61)+SUMIFS('الحركات الشهرية'!$E$6:$E$1005,'الحركات الشهرية'!$B$6:$B$1005,$B61,'الحركات الشهرية'!$A$6:$A$1005,$C$3)))</f>
        <v/>
      </c>
      <c r="J61" s="156" t="str">
        <f aca="false">IF($B61="","",MAX(0,G61-H61-I61))</f>
        <v/>
      </c>
      <c r="K61" s="116" t="str">
        <f aca="false">IF($B61="","",الموظفون!$L61*$J61/cfg_DAYS_M)</f>
        <v/>
      </c>
      <c r="L61" s="116" t="str">
        <f aca="false">IF($B61="","",الموظفون!$M61*$J61/cfg_DAYS_M)</f>
        <v/>
      </c>
      <c r="M61" s="116" t="str">
        <f aca="false">IF($B61="","",الموظفون!$N61*$J61/cfg_DAYS_M)</f>
        <v/>
      </c>
      <c r="N61" s="116" t="str">
        <f aca="false">IF($B61="","",الموظفون!$O61*$J61/cfg_DAYS_M)</f>
        <v/>
      </c>
      <c r="O61" s="156" t="str">
        <f aca="false">IF($B61="","",SUMIFS('الحركات الشهرية'!$F$6:$F$1005,'الحركات الشهرية'!$B$6:$B$1005,$B61,'الحركات الشهرية'!$A$6:$A$1005,$C$3))</f>
        <v/>
      </c>
      <c r="P61" s="116" t="str">
        <f aca="false">IF($B61="","",O61*(الموظفون!$P61+الموظفون!$L61*cfg_OT_P)/cfg_DAYS_M/cfg_HRS)</f>
        <v/>
      </c>
      <c r="Q61" s="116" t="str">
        <f aca="false">IF($B61="","",SUMIFS('الحركات الشهرية'!$G$6:$G$1005,'الحركات الشهرية'!$B$6:$B$1005,$B61,'الحركات الشهرية'!$A$6:$A$1005,$C$3))</f>
        <v/>
      </c>
      <c r="R61" s="116" t="str">
        <f aca="false">IF($B61="","",SUMIFS('الحركات الشهرية'!$H$6:$H$1005,'الحركات الشهرية'!$B$6:$B$1005,$B61,'الحركات الشهرية'!$A$6:$A$1005,$C$3))</f>
        <v/>
      </c>
      <c r="S61" s="116" t="str">
        <f aca="false">IF($B61="","",SUMIFS('سجل الإجازات والحالات'!$N$6:$N$505,'سجل الإجازات والحالات'!$B$6:$B$505,$B61,'سجل الإجازات والحالات'!$O$6:$O$505,$C$3))</f>
        <v/>
      </c>
      <c r="T61" s="157" t="str">
        <f aca="false">IF($B61="","",SUM(K61:N61)+SUM(P61:S61))</f>
        <v/>
      </c>
      <c r="U61" s="116" t="str">
        <f aca="false">IF($B61="","",الموظفون!$S61*IF(E61="سعودي",cfg_G_SE,cfg_G_NE)*G61/cfg_DAYS_M)</f>
        <v/>
      </c>
      <c r="V61" s="116" t="str">
        <f aca="false">IF($B61="","",SUMIFS('الحركات الشهرية'!$I$6:$I$1005,'الحركات الشهرية'!$B$6:$B$1005,$B61,'الحركات الشهرية'!$A$6:$A$1005,$C$3))</f>
        <v/>
      </c>
      <c r="W61" s="116" t="str">
        <f aca="false">IF($B61="","",SUMIFS('الحركات الشهرية'!$J$6:$J$1005,'الحركات الشهرية'!$B$6:$B$1005,$B61,'الحركات الشهرية'!$A$6:$A$1005,$C$3))</f>
        <v/>
      </c>
      <c r="X61" s="116" t="str">
        <f aca="false">IF($B61="","",SUM(U61:W61))</f>
        <v/>
      </c>
      <c r="Y61" s="158" t="str">
        <f aca="false">IF($B61="","",T61-X61)</f>
        <v/>
      </c>
      <c r="Z61" s="116" t="str">
        <f aca="false">IF($B61="","",الموظفون!$S61*IF(E61="سعودي",cfg_G_SR,cfg_G_NR)*G61/cfg_DAYS_M)</f>
        <v/>
      </c>
      <c r="AA61" s="116" t="str">
        <f aca="false">IF($B61="","",الموظفون!$Q61*(cfg_EOS_R1*(MIN(AH61,cfg_EOS_TH)-MIN(AI61,cfg_EOS_TH))+cfg_EOS_R2*(MAX(AH61-cfg_EOS_TH,0)-MAX(AI61-cfg_EOS_TH,0))))</f>
        <v/>
      </c>
      <c r="AB61" s="116" t="str">
        <f aca="false">IF($B61="","",IF(الموظفون!$T61&lt;&gt;"",الموظفون!$T61,IF(AH61&gt;=cfg_LV_TH,cfg_LV_D2,cfg_LV_D1))/cfg_DAYS_Y*AJ61*الموظفون!$R61/cfg_DAYS_M)</f>
        <v/>
      </c>
      <c r="AC61" s="116" t="str">
        <f aca="false">IF($B61="","",IF(AND(الموظفون!$U61="نعم",N(الموظفون!$W61)&gt;0),الموظفون!$V61/الموظفون!$W61*12/cfg_DAYS_Y*AJ61,0))</f>
        <v/>
      </c>
      <c r="AD61" s="116" t="str">
        <f aca="false">IF($B61="","",(IF(الموظفون!$X61&lt;&gt;"",الموظفون!$X61,IF(الموظفون!$E61="غير سعودي",cfg_IQ,0))+IF(الموظفون!$Y61&lt;&gt;"",الموظفون!$Y61,IF(الموظفون!$E61="غير سعودي",cfg_WP,0)))/12*G61/cfg_DAYS_M)</f>
        <v/>
      </c>
      <c r="AE61" s="116" t="str">
        <f aca="false">IF($B61="","",IF(الموظفون!$Z61&lt;&gt;"",الموظفون!$Z61,cfg_MED)/12*G61/cfg_DAYS_M)</f>
        <v/>
      </c>
      <c r="AF61" s="116" t="str">
        <f aca="false">IF($B61="","",N(الموظفون!$AA61)/12*G61/cfg_DAYS_M)</f>
        <v/>
      </c>
      <c r="AG61" s="159" t="str">
        <f aca="false">IF($B61="","",T61+SUM(Z61:AF61))</f>
        <v/>
      </c>
      <c r="AH61" s="160" t="str">
        <f aca="false">IF($B61="","",MAX(0,IF(OR(الموظفون!$AE61="",الموظفون!$AE61&gt;$F$3),$F$3,الموظفون!$AE61)-الموظفون!$H61+1-SUMIFS('سجل الإجازات والحالات'!$AQ$6:$AQ$505,'سجل الإجازات والحالات'!$B$6:$B$505,$B61))/cfg_DAYS_Y)</f>
        <v/>
      </c>
      <c r="AI61" s="160" t="str">
        <f aca="false">IF($B61="","",MAX(0,IF(OR(الموظفون!$AE61="",الموظفون!$AE61&gt;($E$3-1)),($E$3-1),الموظفون!$AE61)-الموظفون!$H61+1-SUMIFS('سجل الإجازات والحالات'!$AP$6:$AP$505,'سجل الإجازات والحالات'!$B$6:$B$505,$B61))/cfg_DAYS_Y)</f>
        <v/>
      </c>
      <c r="AJ61" s="133" t="str">
        <f aca="false">IF($B61="","",MAX(0,AK61-(SUMIFS('سجل الإجازات والحالات'!$AQ$6:$AQ$505,'سجل الإجازات والحالات'!$B$6:$B$505,$B61)-SUMIFS('سجل الإجازات والحالات'!$AP$6:$AP$505,'سجل الإجازات والحالات'!$B$6:$B$505,$B61))))</f>
        <v/>
      </c>
      <c r="AK61" s="133" t="str">
        <f aca="false">IF($B61="","",MAX(0,IF(OR(الموظفون!$AE61="",الموظفون!$AE61&gt;$F$3),$F$3,الموظفون!$AE61)-MAX($E$3,الموظفون!$H61)+1))</f>
        <v/>
      </c>
      <c r="AL61" s="156" t="str">
        <f aca="false">IF($B61="","",SUMIFS('سجل الإجازات والحالات'!$BC$6:$BC$505,'سجل الإجازات والحالات'!$B$6:$B$505,$B61)+SUMIFS('الحركات الشهرية'!$K$6:$K$1005,'الحركات الشهرية'!$B$6:$B$1005,$B61,'الحركات الشهرية'!$A$6:$A$1005,$C$3))</f>
        <v/>
      </c>
      <c r="AM61" s="116" t="str">
        <f aca="false">IF($B61="","",AL61*الموظفون!$R61/cfg_DAYS_M+S61)</f>
        <v/>
      </c>
      <c r="AN61" s="156" t="str">
        <f aca="false">IF($B61="","",SUMIFS('سجل الإجازات والحالات'!$AE$6:$AE$505,'سجل الإجازات والحالات'!$B$6:$B$505,$B61))</f>
        <v/>
      </c>
    </row>
    <row r="62" customFormat="false" ht="15" hidden="false" customHeight="false" outlineLevel="0" collapsed="false">
      <c r="A62" s="106" t="str">
        <f aca="false">IF($B62="","",الموظفون!$A62)</f>
        <v/>
      </c>
      <c r="B62" s="114" t="str">
        <f aca="false">IF(الموظفون!$B62="","",الموظفون!$B62)</f>
        <v/>
      </c>
      <c r="C62" s="114" t="str">
        <f aca="false">IF($B62="","",الموظفون!$C62)</f>
        <v/>
      </c>
      <c r="D62" s="114" t="str">
        <f aca="false">IF($B62="","",الموظفون!$F62)</f>
        <v/>
      </c>
      <c r="E62" s="114" t="str">
        <f aca="false">IF($B62="","",الموظفون!$E62)</f>
        <v/>
      </c>
      <c r="F62" s="114" t="str">
        <f aca="false">IF($B62="","",IF(AK62=0,IF(AND(الموظفون!$AE62&lt;&gt;"",الموظفون!$AE62&lt;$E$3),"✖ منتهي الخدمة","⏳ لم يباشر"),IF(S62&gt;0,"✈ راتب إجازة مقدم",IF(J62=0,"⛔ بدون راتب هذا الشهر",IF(I62&gt;0,"✈ خصم "&amp;ROUND(I62,2)&amp;" يوم بدون أجر",IF(AL62&gt;0,"🌴 إجازة سنوية "&amp;ROUND(AL62,2)&amp;" يوم",IF(H62&gt;0,"⚠ غياب "&amp;ROUND(H62,2)&amp;" يوم","✔ على رأس العمل")))))))</f>
        <v/>
      </c>
      <c r="G62" s="151" t="str">
        <f aca="false">IF($B62="","",IF(AK62&gt;=DAY($F$3),cfg_DAYS_M,MIN(AK62,cfg_DAYS_M)))</f>
        <v/>
      </c>
      <c r="H62" s="151" t="str">
        <f aca="false">IF($B62="","",SUMIFS('الحركات الشهرية'!$D$6:$D$1005,'الحركات الشهرية'!$B$6:$B$1005,$B62,'الحركات الشهرية'!$A$6:$A$1005,$C$3))</f>
        <v/>
      </c>
      <c r="I62" s="151" t="str">
        <f aca="false">IF($B62="","",MIN(G62,IF(AND(AK62&gt;0,AN62&gt;=AK62),G62,AN62)+SUMIFS('الحركات الشهرية'!$E$6:$E$1005,'الحركات الشهرية'!$B$6:$B$1005,$B62,'الحركات الشهرية'!$A$6:$A$1005,$C$3)))</f>
        <v/>
      </c>
      <c r="J62" s="151" t="str">
        <f aca="false">IF($B62="","",MAX(0,G62-H62-I62))</f>
        <v/>
      </c>
      <c r="K62" s="111" t="str">
        <f aca="false">IF($B62="","",الموظفون!$L62*$J62/cfg_DAYS_M)</f>
        <v/>
      </c>
      <c r="L62" s="111" t="str">
        <f aca="false">IF($B62="","",الموظفون!$M62*$J62/cfg_DAYS_M)</f>
        <v/>
      </c>
      <c r="M62" s="111" t="str">
        <f aca="false">IF($B62="","",الموظفون!$N62*$J62/cfg_DAYS_M)</f>
        <v/>
      </c>
      <c r="N62" s="111" t="str">
        <f aca="false">IF($B62="","",الموظفون!$O62*$J62/cfg_DAYS_M)</f>
        <v/>
      </c>
      <c r="O62" s="151" t="str">
        <f aca="false">IF($B62="","",SUMIFS('الحركات الشهرية'!$F$6:$F$1005,'الحركات الشهرية'!$B$6:$B$1005,$B62,'الحركات الشهرية'!$A$6:$A$1005,$C$3))</f>
        <v/>
      </c>
      <c r="P62" s="111" t="str">
        <f aca="false">IF($B62="","",O62*(الموظفون!$P62+الموظفون!$L62*cfg_OT_P)/cfg_DAYS_M/cfg_HRS)</f>
        <v/>
      </c>
      <c r="Q62" s="111" t="str">
        <f aca="false">IF($B62="","",SUMIFS('الحركات الشهرية'!$G$6:$G$1005,'الحركات الشهرية'!$B$6:$B$1005,$B62,'الحركات الشهرية'!$A$6:$A$1005,$C$3))</f>
        <v/>
      </c>
      <c r="R62" s="111" t="str">
        <f aca="false">IF($B62="","",SUMIFS('الحركات الشهرية'!$H$6:$H$1005,'الحركات الشهرية'!$B$6:$B$1005,$B62,'الحركات الشهرية'!$A$6:$A$1005,$C$3))</f>
        <v/>
      </c>
      <c r="S62" s="111" t="str">
        <f aca="false">IF($B62="","",SUMIFS('سجل الإجازات والحالات'!$N$6:$N$505,'سجل الإجازات والحالات'!$B$6:$B$505,$B62,'سجل الإجازات والحالات'!$O$6:$O$505,$C$3))</f>
        <v/>
      </c>
      <c r="T62" s="152" t="str">
        <f aca="false">IF($B62="","",SUM(K62:N62)+SUM(P62:S62))</f>
        <v/>
      </c>
      <c r="U62" s="111" t="str">
        <f aca="false">IF($B62="","",الموظفون!$S62*IF(E62="سعودي",cfg_G_SE,cfg_G_NE)*G62/cfg_DAYS_M)</f>
        <v/>
      </c>
      <c r="V62" s="111" t="str">
        <f aca="false">IF($B62="","",SUMIFS('الحركات الشهرية'!$I$6:$I$1005,'الحركات الشهرية'!$B$6:$B$1005,$B62,'الحركات الشهرية'!$A$6:$A$1005,$C$3))</f>
        <v/>
      </c>
      <c r="W62" s="111" t="str">
        <f aca="false">IF($B62="","",SUMIFS('الحركات الشهرية'!$J$6:$J$1005,'الحركات الشهرية'!$B$6:$B$1005,$B62,'الحركات الشهرية'!$A$6:$A$1005,$C$3))</f>
        <v/>
      </c>
      <c r="X62" s="111" t="str">
        <f aca="false">IF($B62="","",SUM(U62:W62))</f>
        <v/>
      </c>
      <c r="Y62" s="153" t="str">
        <f aca="false">IF($B62="","",T62-X62)</f>
        <v/>
      </c>
      <c r="Z62" s="111" t="str">
        <f aca="false">IF($B62="","",الموظفون!$S62*IF(E62="سعودي",cfg_G_SR,cfg_G_NR)*G62/cfg_DAYS_M)</f>
        <v/>
      </c>
      <c r="AA62" s="111" t="str">
        <f aca="false">IF($B62="","",الموظفون!$Q62*(cfg_EOS_R1*(MIN(AH62,cfg_EOS_TH)-MIN(AI62,cfg_EOS_TH))+cfg_EOS_R2*(MAX(AH62-cfg_EOS_TH,0)-MAX(AI62-cfg_EOS_TH,0))))</f>
        <v/>
      </c>
      <c r="AB62" s="111" t="str">
        <f aca="false">IF($B62="","",IF(الموظفون!$T62&lt;&gt;"",الموظفون!$T62,IF(AH62&gt;=cfg_LV_TH,cfg_LV_D2,cfg_LV_D1))/cfg_DAYS_Y*AJ62*الموظفون!$R62/cfg_DAYS_M)</f>
        <v/>
      </c>
      <c r="AC62" s="111" t="str">
        <f aca="false">IF($B62="","",IF(AND(الموظفون!$U62="نعم",N(الموظفون!$W62)&gt;0),الموظفون!$V62/الموظفون!$W62*12/cfg_DAYS_Y*AJ62,0))</f>
        <v/>
      </c>
      <c r="AD62" s="111" t="str">
        <f aca="false">IF($B62="","",(IF(الموظفون!$X62&lt;&gt;"",الموظفون!$X62,IF(الموظفون!$E62="غير سعودي",cfg_IQ,0))+IF(الموظفون!$Y62&lt;&gt;"",الموظفون!$Y62,IF(الموظفون!$E62="غير سعودي",cfg_WP,0)))/12*G62/cfg_DAYS_M)</f>
        <v/>
      </c>
      <c r="AE62" s="111" t="str">
        <f aca="false">IF($B62="","",IF(الموظفون!$Z62&lt;&gt;"",الموظفون!$Z62,cfg_MED)/12*G62/cfg_DAYS_M)</f>
        <v/>
      </c>
      <c r="AF62" s="111" t="str">
        <f aca="false">IF($B62="","",N(الموظفون!$AA62)/12*G62/cfg_DAYS_M)</f>
        <v/>
      </c>
      <c r="AG62" s="154" t="str">
        <f aca="false">IF($B62="","",T62+SUM(Z62:AF62))</f>
        <v/>
      </c>
      <c r="AH62" s="155" t="str">
        <f aca="false">IF($B62="","",MAX(0,IF(OR(الموظفون!$AE62="",الموظفون!$AE62&gt;$F$3),$F$3,الموظفون!$AE62)-الموظفون!$H62+1-SUMIFS('سجل الإجازات والحالات'!$AQ$6:$AQ$505,'سجل الإجازات والحالات'!$B$6:$B$505,$B62))/cfg_DAYS_Y)</f>
        <v/>
      </c>
      <c r="AI62" s="155" t="str">
        <f aca="false">IF($B62="","",MAX(0,IF(OR(الموظفون!$AE62="",الموظفون!$AE62&gt;($E$3-1)),($E$3-1),الموظفون!$AE62)-الموظفون!$H62+1-SUMIFS('سجل الإجازات والحالات'!$AP$6:$AP$505,'سجل الإجازات والحالات'!$B$6:$B$505,$B62))/cfg_DAYS_Y)</f>
        <v/>
      </c>
      <c r="AJ62" s="65" t="str">
        <f aca="false">IF($B62="","",MAX(0,AK62-(SUMIFS('سجل الإجازات والحالات'!$AQ$6:$AQ$505,'سجل الإجازات والحالات'!$B$6:$B$505,$B62)-SUMIFS('سجل الإجازات والحالات'!$AP$6:$AP$505,'سجل الإجازات والحالات'!$B$6:$B$505,$B62))))</f>
        <v/>
      </c>
      <c r="AK62" s="65" t="str">
        <f aca="false">IF($B62="","",MAX(0,IF(OR(الموظفون!$AE62="",الموظفون!$AE62&gt;$F$3),$F$3,الموظفون!$AE62)-MAX($E$3,الموظفون!$H62)+1))</f>
        <v/>
      </c>
      <c r="AL62" s="151" t="str">
        <f aca="false">IF($B62="","",SUMIFS('سجل الإجازات والحالات'!$BC$6:$BC$505,'سجل الإجازات والحالات'!$B$6:$B$505,$B62)+SUMIFS('الحركات الشهرية'!$K$6:$K$1005,'الحركات الشهرية'!$B$6:$B$1005,$B62,'الحركات الشهرية'!$A$6:$A$1005,$C$3))</f>
        <v/>
      </c>
      <c r="AM62" s="111" t="str">
        <f aca="false">IF($B62="","",AL62*الموظفون!$R62/cfg_DAYS_M+S62)</f>
        <v/>
      </c>
      <c r="AN62" s="151" t="str">
        <f aca="false">IF($B62="","",SUMIFS('سجل الإجازات والحالات'!$AE$6:$AE$505,'سجل الإجازات والحالات'!$B$6:$B$505,$B62))</f>
        <v/>
      </c>
    </row>
    <row r="63" customFormat="false" ht="15" hidden="false" customHeight="false" outlineLevel="0" collapsed="false">
      <c r="A63" s="115" t="str">
        <f aca="false">IF($B63="","",الموظفون!$A63)</f>
        <v/>
      </c>
      <c r="B63" s="117" t="str">
        <f aca="false">IF(الموظفون!$B63="","",الموظفون!$B63)</f>
        <v/>
      </c>
      <c r="C63" s="117" t="str">
        <f aca="false">IF($B63="","",الموظفون!$C63)</f>
        <v/>
      </c>
      <c r="D63" s="117" t="str">
        <f aca="false">IF($B63="","",الموظفون!$F63)</f>
        <v/>
      </c>
      <c r="E63" s="117" t="str">
        <f aca="false">IF($B63="","",الموظفون!$E63)</f>
        <v/>
      </c>
      <c r="F63" s="117" t="str">
        <f aca="false">IF($B63="","",IF(AK63=0,IF(AND(الموظفون!$AE63&lt;&gt;"",الموظفون!$AE63&lt;$E$3),"✖ منتهي الخدمة","⏳ لم يباشر"),IF(S63&gt;0,"✈ راتب إجازة مقدم",IF(J63=0,"⛔ بدون راتب هذا الشهر",IF(I63&gt;0,"✈ خصم "&amp;ROUND(I63,2)&amp;" يوم بدون أجر",IF(AL63&gt;0,"🌴 إجازة سنوية "&amp;ROUND(AL63,2)&amp;" يوم",IF(H63&gt;0,"⚠ غياب "&amp;ROUND(H63,2)&amp;" يوم","✔ على رأس العمل")))))))</f>
        <v/>
      </c>
      <c r="G63" s="156" t="str">
        <f aca="false">IF($B63="","",IF(AK63&gt;=DAY($F$3),cfg_DAYS_M,MIN(AK63,cfg_DAYS_M)))</f>
        <v/>
      </c>
      <c r="H63" s="156" t="str">
        <f aca="false">IF($B63="","",SUMIFS('الحركات الشهرية'!$D$6:$D$1005,'الحركات الشهرية'!$B$6:$B$1005,$B63,'الحركات الشهرية'!$A$6:$A$1005,$C$3))</f>
        <v/>
      </c>
      <c r="I63" s="156" t="str">
        <f aca="false">IF($B63="","",MIN(G63,IF(AND(AK63&gt;0,AN63&gt;=AK63),G63,AN63)+SUMIFS('الحركات الشهرية'!$E$6:$E$1005,'الحركات الشهرية'!$B$6:$B$1005,$B63,'الحركات الشهرية'!$A$6:$A$1005,$C$3)))</f>
        <v/>
      </c>
      <c r="J63" s="156" t="str">
        <f aca="false">IF($B63="","",MAX(0,G63-H63-I63))</f>
        <v/>
      </c>
      <c r="K63" s="116" t="str">
        <f aca="false">IF($B63="","",الموظفون!$L63*$J63/cfg_DAYS_M)</f>
        <v/>
      </c>
      <c r="L63" s="116" t="str">
        <f aca="false">IF($B63="","",الموظفون!$M63*$J63/cfg_DAYS_M)</f>
        <v/>
      </c>
      <c r="M63" s="116" t="str">
        <f aca="false">IF($B63="","",الموظفون!$N63*$J63/cfg_DAYS_M)</f>
        <v/>
      </c>
      <c r="N63" s="116" t="str">
        <f aca="false">IF($B63="","",الموظفون!$O63*$J63/cfg_DAYS_M)</f>
        <v/>
      </c>
      <c r="O63" s="156" t="str">
        <f aca="false">IF($B63="","",SUMIFS('الحركات الشهرية'!$F$6:$F$1005,'الحركات الشهرية'!$B$6:$B$1005,$B63,'الحركات الشهرية'!$A$6:$A$1005,$C$3))</f>
        <v/>
      </c>
      <c r="P63" s="116" t="str">
        <f aca="false">IF($B63="","",O63*(الموظفون!$P63+الموظفون!$L63*cfg_OT_P)/cfg_DAYS_M/cfg_HRS)</f>
        <v/>
      </c>
      <c r="Q63" s="116" t="str">
        <f aca="false">IF($B63="","",SUMIFS('الحركات الشهرية'!$G$6:$G$1005,'الحركات الشهرية'!$B$6:$B$1005,$B63,'الحركات الشهرية'!$A$6:$A$1005,$C$3))</f>
        <v/>
      </c>
      <c r="R63" s="116" t="str">
        <f aca="false">IF($B63="","",SUMIFS('الحركات الشهرية'!$H$6:$H$1005,'الحركات الشهرية'!$B$6:$B$1005,$B63,'الحركات الشهرية'!$A$6:$A$1005,$C$3))</f>
        <v/>
      </c>
      <c r="S63" s="116" t="str">
        <f aca="false">IF($B63="","",SUMIFS('سجل الإجازات والحالات'!$N$6:$N$505,'سجل الإجازات والحالات'!$B$6:$B$505,$B63,'سجل الإجازات والحالات'!$O$6:$O$505,$C$3))</f>
        <v/>
      </c>
      <c r="T63" s="157" t="str">
        <f aca="false">IF($B63="","",SUM(K63:N63)+SUM(P63:S63))</f>
        <v/>
      </c>
      <c r="U63" s="116" t="str">
        <f aca="false">IF($B63="","",الموظفون!$S63*IF(E63="سعودي",cfg_G_SE,cfg_G_NE)*G63/cfg_DAYS_M)</f>
        <v/>
      </c>
      <c r="V63" s="116" t="str">
        <f aca="false">IF($B63="","",SUMIFS('الحركات الشهرية'!$I$6:$I$1005,'الحركات الشهرية'!$B$6:$B$1005,$B63,'الحركات الشهرية'!$A$6:$A$1005,$C$3))</f>
        <v/>
      </c>
      <c r="W63" s="116" t="str">
        <f aca="false">IF($B63="","",SUMIFS('الحركات الشهرية'!$J$6:$J$1005,'الحركات الشهرية'!$B$6:$B$1005,$B63,'الحركات الشهرية'!$A$6:$A$1005,$C$3))</f>
        <v/>
      </c>
      <c r="X63" s="116" t="str">
        <f aca="false">IF($B63="","",SUM(U63:W63))</f>
        <v/>
      </c>
      <c r="Y63" s="158" t="str">
        <f aca="false">IF($B63="","",T63-X63)</f>
        <v/>
      </c>
      <c r="Z63" s="116" t="str">
        <f aca="false">IF($B63="","",الموظفون!$S63*IF(E63="سعودي",cfg_G_SR,cfg_G_NR)*G63/cfg_DAYS_M)</f>
        <v/>
      </c>
      <c r="AA63" s="116" t="str">
        <f aca="false">IF($B63="","",الموظفون!$Q63*(cfg_EOS_R1*(MIN(AH63,cfg_EOS_TH)-MIN(AI63,cfg_EOS_TH))+cfg_EOS_R2*(MAX(AH63-cfg_EOS_TH,0)-MAX(AI63-cfg_EOS_TH,0))))</f>
        <v/>
      </c>
      <c r="AB63" s="116" t="str">
        <f aca="false">IF($B63="","",IF(الموظفون!$T63&lt;&gt;"",الموظفون!$T63,IF(AH63&gt;=cfg_LV_TH,cfg_LV_D2,cfg_LV_D1))/cfg_DAYS_Y*AJ63*الموظفون!$R63/cfg_DAYS_M)</f>
        <v/>
      </c>
      <c r="AC63" s="116" t="str">
        <f aca="false">IF($B63="","",IF(AND(الموظفون!$U63="نعم",N(الموظفون!$W63)&gt;0),الموظفون!$V63/الموظفون!$W63*12/cfg_DAYS_Y*AJ63,0))</f>
        <v/>
      </c>
      <c r="AD63" s="116" t="str">
        <f aca="false">IF($B63="","",(IF(الموظفون!$X63&lt;&gt;"",الموظفون!$X63,IF(الموظفون!$E63="غير سعودي",cfg_IQ,0))+IF(الموظفون!$Y63&lt;&gt;"",الموظفون!$Y63,IF(الموظفون!$E63="غير سعودي",cfg_WP,0)))/12*G63/cfg_DAYS_M)</f>
        <v/>
      </c>
      <c r="AE63" s="116" t="str">
        <f aca="false">IF($B63="","",IF(الموظفون!$Z63&lt;&gt;"",الموظفون!$Z63,cfg_MED)/12*G63/cfg_DAYS_M)</f>
        <v/>
      </c>
      <c r="AF63" s="116" t="str">
        <f aca="false">IF($B63="","",N(الموظفون!$AA63)/12*G63/cfg_DAYS_M)</f>
        <v/>
      </c>
      <c r="AG63" s="159" t="str">
        <f aca="false">IF($B63="","",T63+SUM(Z63:AF63))</f>
        <v/>
      </c>
      <c r="AH63" s="160" t="str">
        <f aca="false">IF($B63="","",MAX(0,IF(OR(الموظفون!$AE63="",الموظفون!$AE63&gt;$F$3),$F$3,الموظفون!$AE63)-الموظفون!$H63+1-SUMIFS('سجل الإجازات والحالات'!$AQ$6:$AQ$505,'سجل الإجازات والحالات'!$B$6:$B$505,$B63))/cfg_DAYS_Y)</f>
        <v/>
      </c>
      <c r="AI63" s="160" t="str">
        <f aca="false">IF($B63="","",MAX(0,IF(OR(الموظفون!$AE63="",الموظفون!$AE63&gt;($E$3-1)),($E$3-1),الموظفون!$AE63)-الموظفون!$H63+1-SUMIFS('سجل الإجازات والحالات'!$AP$6:$AP$505,'سجل الإجازات والحالات'!$B$6:$B$505,$B63))/cfg_DAYS_Y)</f>
        <v/>
      </c>
      <c r="AJ63" s="133" t="str">
        <f aca="false">IF($B63="","",MAX(0,AK63-(SUMIFS('سجل الإجازات والحالات'!$AQ$6:$AQ$505,'سجل الإجازات والحالات'!$B$6:$B$505,$B63)-SUMIFS('سجل الإجازات والحالات'!$AP$6:$AP$505,'سجل الإجازات والحالات'!$B$6:$B$505,$B63))))</f>
        <v/>
      </c>
      <c r="AK63" s="133" t="str">
        <f aca="false">IF($B63="","",MAX(0,IF(OR(الموظفون!$AE63="",الموظفون!$AE63&gt;$F$3),$F$3,الموظفون!$AE63)-MAX($E$3,الموظفون!$H63)+1))</f>
        <v/>
      </c>
      <c r="AL63" s="156" t="str">
        <f aca="false">IF($B63="","",SUMIFS('سجل الإجازات والحالات'!$BC$6:$BC$505,'سجل الإجازات والحالات'!$B$6:$B$505,$B63)+SUMIFS('الحركات الشهرية'!$K$6:$K$1005,'الحركات الشهرية'!$B$6:$B$1005,$B63,'الحركات الشهرية'!$A$6:$A$1005,$C$3))</f>
        <v/>
      </c>
      <c r="AM63" s="116" t="str">
        <f aca="false">IF($B63="","",AL63*الموظفون!$R63/cfg_DAYS_M+S63)</f>
        <v/>
      </c>
      <c r="AN63" s="156" t="str">
        <f aca="false">IF($B63="","",SUMIFS('سجل الإجازات والحالات'!$AE$6:$AE$505,'سجل الإجازات والحالات'!$B$6:$B$505,$B63))</f>
        <v/>
      </c>
    </row>
    <row r="64" customFormat="false" ht="15" hidden="false" customHeight="false" outlineLevel="0" collapsed="false">
      <c r="A64" s="106" t="str">
        <f aca="false">IF($B64="","",الموظفون!$A64)</f>
        <v/>
      </c>
      <c r="B64" s="114" t="str">
        <f aca="false">IF(الموظفون!$B64="","",الموظفون!$B64)</f>
        <v/>
      </c>
      <c r="C64" s="114" t="str">
        <f aca="false">IF($B64="","",الموظفون!$C64)</f>
        <v/>
      </c>
      <c r="D64" s="114" t="str">
        <f aca="false">IF($B64="","",الموظفون!$F64)</f>
        <v/>
      </c>
      <c r="E64" s="114" t="str">
        <f aca="false">IF($B64="","",الموظفون!$E64)</f>
        <v/>
      </c>
      <c r="F64" s="114" t="str">
        <f aca="false">IF($B64="","",IF(AK64=0,IF(AND(الموظفون!$AE64&lt;&gt;"",الموظفون!$AE64&lt;$E$3),"✖ منتهي الخدمة","⏳ لم يباشر"),IF(S64&gt;0,"✈ راتب إجازة مقدم",IF(J64=0,"⛔ بدون راتب هذا الشهر",IF(I64&gt;0,"✈ خصم "&amp;ROUND(I64,2)&amp;" يوم بدون أجر",IF(AL64&gt;0,"🌴 إجازة سنوية "&amp;ROUND(AL64,2)&amp;" يوم",IF(H64&gt;0,"⚠ غياب "&amp;ROUND(H64,2)&amp;" يوم","✔ على رأس العمل")))))))</f>
        <v/>
      </c>
      <c r="G64" s="151" t="str">
        <f aca="false">IF($B64="","",IF(AK64&gt;=DAY($F$3),cfg_DAYS_M,MIN(AK64,cfg_DAYS_M)))</f>
        <v/>
      </c>
      <c r="H64" s="151" t="str">
        <f aca="false">IF($B64="","",SUMIFS('الحركات الشهرية'!$D$6:$D$1005,'الحركات الشهرية'!$B$6:$B$1005,$B64,'الحركات الشهرية'!$A$6:$A$1005,$C$3))</f>
        <v/>
      </c>
      <c r="I64" s="151" t="str">
        <f aca="false">IF($B64="","",MIN(G64,IF(AND(AK64&gt;0,AN64&gt;=AK64),G64,AN64)+SUMIFS('الحركات الشهرية'!$E$6:$E$1005,'الحركات الشهرية'!$B$6:$B$1005,$B64,'الحركات الشهرية'!$A$6:$A$1005,$C$3)))</f>
        <v/>
      </c>
      <c r="J64" s="151" t="str">
        <f aca="false">IF($B64="","",MAX(0,G64-H64-I64))</f>
        <v/>
      </c>
      <c r="K64" s="111" t="str">
        <f aca="false">IF($B64="","",الموظفون!$L64*$J64/cfg_DAYS_M)</f>
        <v/>
      </c>
      <c r="L64" s="111" t="str">
        <f aca="false">IF($B64="","",الموظفون!$M64*$J64/cfg_DAYS_M)</f>
        <v/>
      </c>
      <c r="M64" s="111" t="str">
        <f aca="false">IF($B64="","",الموظفون!$N64*$J64/cfg_DAYS_M)</f>
        <v/>
      </c>
      <c r="N64" s="111" t="str">
        <f aca="false">IF($B64="","",الموظفون!$O64*$J64/cfg_DAYS_M)</f>
        <v/>
      </c>
      <c r="O64" s="151" t="str">
        <f aca="false">IF($B64="","",SUMIFS('الحركات الشهرية'!$F$6:$F$1005,'الحركات الشهرية'!$B$6:$B$1005,$B64,'الحركات الشهرية'!$A$6:$A$1005,$C$3))</f>
        <v/>
      </c>
      <c r="P64" s="111" t="str">
        <f aca="false">IF($B64="","",O64*(الموظفون!$P64+الموظفون!$L64*cfg_OT_P)/cfg_DAYS_M/cfg_HRS)</f>
        <v/>
      </c>
      <c r="Q64" s="111" t="str">
        <f aca="false">IF($B64="","",SUMIFS('الحركات الشهرية'!$G$6:$G$1005,'الحركات الشهرية'!$B$6:$B$1005,$B64,'الحركات الشهرية'!$A$6:$A$1005,$C$3))</f>
        <v/>
      </c>
      <c r="R64" s="111" t="str">
        <f aca="false">IF($B64="","",SUMIFS('الحركات الشهرية'!$H$6:$H$1005,'الحركات الشهرية'!$B$6:$B$1005,$B64,'الحركات الشهرية'!$A$6:$A$1005,$C$3))</f>
        <v/>
      </c>
      <c r="S64" s="111" t="str">
        <f aca="false">IF($B64="","",SUMIFS('سجل الإجازات والحالات'!$N$6:$N$505,'سجل الإجازات والحالات'!$B$6:$B$505,$B64,'سجل الإجازات والحالات'!$O$6:$O$505,$C$3))</f>
        <v/>
      </c>
      <c r="T64" s="152" t="str">
        <f aca="false">IF($B64="","",SUM(K64:N64)+SUM(P64:S64))</f>
        <v/>
      </c>
      <c r="U64" s="111" t="str">
        <f aca="false">IF($B64="","",الموظفون!$S64*IF(E64="سعودي",cfg_G_SE,cfg_G_NE)*G64/cfg_DAYS_M)</f>
        <v/>
      </c>
      <c r="V64" s="111" t="str">
        <f aca="false">IF($B64="","",SUMIFS('الحركات الشهرية'!$I$6:$I$1005,'الحركات الشهرية'!$B$6:$B$1005,$B64,'الحركات الشهرية'!$A$6:$A$1005,$C$3))</f>
        <v/>
      </c>
      <c r="W64" s="111" t="str">
        <f aca="false">IF($B64="","",SUMIFS('الحركات الشهرية'!$J$6:$J$1005,'الحركات الشهرية'!$B$6:$B$1005,$B64,'الحركات الشهرية'!$A$6:$A$1005,$C$3))</f>
        <v/>
      </c>
      <c r="X64" s="111" t="str">
        <f aca="false">IF($B64="","",SUM(U64:W64))</f>
        <v/>
      </c>
      <c r="Y64" s="153" t="str">
        <f aca="false">IF($B64="","",T64-X64)</f>
        <v/>
      </c>
      <c r="Z64" s="111" t="str">
        <f aca="false">IF($B64="","",الموظفون!$S64*IF(E64="سعودي",cfg_G_SR,cfg_G_NR)*G64/cfg_DAYS_M)</f>
        <v/>
      </c>
      <c r="AA64" s="111" t="str">
        <f aca="false">IF($B64="","",الموظفون!$Q64*(cfg_EOS_R1*(MIN(AH64,cfg_EOS_TH)-MIN(AI64,cfg_EOS_TH))+cfg_EOS_R2*(MAX(AH64-cfg_EOS_TH,0)-MAX(AI64-cfg_EOS_TH,0))))</f>
        <v/>
      </c>
      <c r="AB64" s="111" t="str">
        <f aca="false">IF($B64="","",IF(الموظفون!$T64&lt;&gt;"",الموظفون!$T64,IF(AH64&gt;=cfg_LV_TH,cfg_LV_D2,cfg_LV_D1))/cfg_DAYS_Y*AJ64*الموظفون!$R64/cfg_DAYS_M)</f>
        <v/>
      </c>
      <c r="AC64" s="111" t="str">
        <f aca="false">IF($B64="","",IF(AND(الموظفون!$U64="نعم",N(الموظفون!$W64)&gt;0),الموظفون!$V64/الموظفون!$W64*12/cfg_DAYS_Y*AJ64,0))</f>
        <v/>
      </c>
      <c r="AD64" s="111" t="str">
        <f aca="false">IF($B64="","",(IF(الموظفون!$X64&lt;&gt;"",الموظفون!$X64,IF(الموظفون!$E64="غير سعودي",cfg_IQ,0))+IF(الموظفون!$Y64&lt;&gt;"",الموظفون!$Y64,IF(الموظفون!$E64="غير سعودي",cfg_WP,0)))/12*G64/cfg_DAYS_M)</f>
        <v/>
      </c>
      <c r="AE64" s="111" t="str">
        <f aca="false">IF($B64="","",IF(الموظفون!$Z64&lt;&gt;"",الموظفون!$Z64,cfg_MED)/12*G64/cfg_DAYS_M)</f>
        <v/>
      </c>
      <c r="AF64" s="111" t="str">
        <f aca="false">IF($B64="","",N(الموظفون!$AA64)/12*G64/cfg_DAYS_M)</f>
        <v/>
      </c>
      <c r="AG64" s="154" t="str">
        <f aca="false">IF($B64="","",T64+SUM(Z64:AF64))</f>
        <v/>
      </c>
      <c r="AH64" s="155" t="str">
        <f aca="false">IF($B64="","",MAX(0,IF(OR(الموظفون!$AE64="",الموظفون!$AE64&gt;$F$3),$F$3,الموظفون!$AE64)-الموظفون!$H64+1-SUMIFS('سجل الإجازات والحالات'!$AQ$6:$AQ$505,'سجل الإجازات والحالات'!$B$6:$B$505,$B64))/cfg_DAYS_Y)</f>
        <v/>
      </c>
      <c r="AI64" s="155" t="str">
        <f aca="false">IF($B64="","",MAX(0,IF(OR(الموظفون!$AE64="",الموظفون!$AE64&gt;($E$3-1)),($E$3-1),الموظفون!$AE64)-الموظفون!$H64+1-SUMIFS('سجل الإجازات والحالات'!$AP$6:$AP$505,'سجل الإجازات والحالات'!$B$6:$B$505,$B64))/cfg_DAYS_Y)</f>
        <v/>
      </c>
      <c r="AJ64" s="65" t="str">
        <f aca="false">IF($B64="","",MAX(0,AK64-(SUMIFS('سجل الإجازات والحالات'!$AQ$6:$AQ$505,'سجل الإجازات والحالات'!$B$6:$B$505,$B64)-SUMIFS('سجل الإجازات والحالات'!$AP$6:$AP$505,'سجل الإجازات والحالات'!$B$6:$B$505,$B64))))</f>
        <v/>
      </c>
      <c r="AK64" s="65" t="str">
        <f aca="false">IF($B64="","",MAX(0,IF(OR(الموظفون!$AE64="",الموظفون!$AE64&gt;$F$3),$F$3,الموظفون!$AE64)-MAX($E$3,الموظفون!$H64)+1))</f>
        <v/>
      </c>
      <c r="AL64" s="151" t="str">
        <f aca="false">IF($B64="","",SUMIFS('سجل الإجازات والحالات'!$BC$6:$BC$505,'سجل الإجازات والحالات'!$B$6:$B$505,$B64)+SUMIFS('الحركات الشهرية'!$K$6:$K$1005,'الحركات الشهرية'!$B$6:$B$1005,$B64,'الحركات الشهرية'!$A$6:$A$1005,$C$3))</f>
        <v/>
      </c>
      <c r="AM64" s="111" t="str">
        <f aca="false">IF($B64="","",AL64*الموظفون!$R64/cfg_DAYS_M+S64)</f>
        <v/>
      </c>
      <c r="AN64" s="151" t="str">
        <f aca="false">IF($B64="","",SUMIFS('سجل الإجازات والحالات'!$AE$6:$AE$505,'سجل الإجازات والحالات'!$B$6:$B$505,$B64))</f>
        <v/>
      </c>
    </row>
    <row r="65" customFormat="false" ht="15" hidden="false" customHeight="false" outlineLevel="0" collapsed="false">
      <c r="A65" s="115" t="str">
        <f aca="false">IF($B65="","",الموظفون!$A65)</f>
        <v/>
      </c>
      <c r="B65" s="117" t="str">
        <f aca="false">IF(الموظفون!$B65="","",الموظفون!$B65)</f>
        <v/>
      </c>
      <c r="C65" s="117" t="str">
        <f aca="false">IF($B65="","",الموظفون!$C65)</f>
        <v/>
      </c>
      <c r="D65" s="117" t="str">
        <f aca="false">IF($B65="","",الموظفون!$F65)</f>
        <v/>
      </c>
      <c r="E65" s="117" t="str">
        <f aca="false">IF($B65="","",الموظفون!$E65)</f>
        <v/>
      </c>
      <c r="F65" s="117" t="str">
        <f aca="false">IF($B65="","",IF(AK65=0,IF(AND(الموظفون!$AE65&lt;&gt;"",الموظفون!$AE65&lt;$E$3),"✖ منتهي الخدمة","⏳ لم يباشر"),IF(S65&gt;0,"✈ راتب إجازة مقدم",IF(J65=0,"⛔ بدون راتب هذا الشهر",IF(I65&gt;0,"✈ خصم "&amp;ROUND(I65,2)&amp;" يوم بدون أجر",IF(AL65&gt;0,"🌴 إجازة سنوية "&amp;ROUND(AL65,2)&amp;" يوم",IF(H65&gt;0,"⚠ غياب "&amp;ROUND(H65,2)&amp;" يوم","✔ على رأس العمل")))))))</f>
        <v/>
      </c>
      <c r="G65" s="156" t="str">
        <f aca="false">IF($B65="","",IF(AK65&gt;=DAY($F$3),cfg_DAYS_M,MIN(AK65,cfg_DAYS_M)))</f>
        <v/>
      </c>
      <c r="H65" s="156" t="str">
        <f aca="false">IF($B65="","",SUMIFS('الحركات الشهرية'!$D$6:$D$1005,'الحركات الشهرية'!$B$6:$B$1005,$B65,'الحركات الشهرية'!$A$6:$A$1005,$C$3))</f>
        <v/>
      </c>
      <c r="I65" s="156" t="str">
        <f aca="false">IF($B65="","",MIN(G65,IF(AND(AK65&gt;0,AN65&gt;=AK65),G65,AN65)+SUMIFS('الحركات الشهرية'!$E$6:$E$1005,'الحركات الشهرية'!$B$6:$B$1005,$B65,'الحركات الشهرية'!$A$6:$A$1005,$C$3)))</f>
        <v/>
      </c>
      <c r="J65" s="156" t="str">
        <f aca="false">IF($B65="","",MAX(0,G65-H65-I65))</f>
        <v/>
      </c>
      <c r="K65" s="116" t="str">
        <f aca="false">IF($B65="","",الموظفون!$L65*$J65/cfg_DAYS_M)</f>
        <v/>
      </c>
      <c r="L65" s="116" t="str">
        <f aca="false">IF($B65="","",الموظفون!$M65*$J65/cfg_DAYS_M)</f>
        <v/>
      </c>
      <c r="M65" s="116" t="str">
        <f aca="false">IF($B65="","",الموظفون!$N65*$J65/cfg_DAYS_M)</f>
        <v/>
      </c>
      <c r="N65" s="116" t="str">
        <f aca="false">IF($B65="","",الموظفون!$O65*$J65/cfg_DAYS_M)</f>
        <v/>
      </c>
      <c r="O65" s="156" t="str">
        <f aca="false">IF($B65="","",SUMIFS('الحركات الشهرية'!$F$6:$F$1005,'الحركات الشهرية'!$B$6:$B$1005,$B65,'الحركات الشهرية'!$A$6:$A$1005,$C$3))</f>
        <v/>
      </c>
      <c r="P65" s="116" t="str">
        <f aca="false">IF($B65="","",O65*(الموظفون!$P65+الموظفون!$L65*cfg_OT_P)/cfg_DAYS_M/cfg_HRS)</f>
        <v/>
      </c>
      <c r="Q65" s="116" t="str">
        <f aca="false">IF($B65="","",SUMIFS('الحركات الشهرية'!$G$6:$G$1005,'الحركات الشهرية'!$B$6:$B$1005,$B65,'الحركات الشهرية'!$A$6:$A$1005,$C$3))</f>
        <v/>
      </c>
      <c r="R65" s="116" t="str">
        <f aca="false">IF($B65="","",SUMIFS('الحركات الشهرية'!$H$6:$H$1005,'الحركات الشهرية'!$B$6:$B$1005,$B65,'الحركات الشهرية'!$A$6:$A$1005,$C$3))</f>
        <v/>
      </c>
      <c r="S65" s="116" t="str">
        <f aca="false">IF($B65="","",SUMIFS('سجل الإجازات والحالات'!$N$6:$N$505,'سجل الإجازات والحالات'!$B$6:$B$505,$B65,'سجل الإجازات والحالات'!$O$6:$O$505,$C$3))</f>
        <v/>
      </c>
      <c r="T65" s="157" t="str">
        <f aca="false">IF($B65="","",SUM(K65:N65)+SUM(P65:S65))</f>
        <v/>
      </c>
      <c r="U65" s="116" t="str">
        <f aca="false">IF($B65="","",الموظفون!$S65*IF(E65="سعودي",cfg_G_SE,cfg_G_NE)*G65/cfg_DAYS_M)</f>
        <v/>
      </c>
      <c r="V65" s="116" t="str">
        <f aca="false">IF($B65="","",SUMIFS('الحركات الشهرية'!$I$6:$I$1005,'الحركات الشهرية'!$B$6:$B$1005,$B65,'الحركات الشهرية'!$A$6:$A$1005,$C$3))</f>
        <v/>
      </c>
      <c r="W65" s="116" t="str">
        <f aca="false">IF($B65="","",SUMIFS('الحركات الشهرية'!$J$6:$J$1005,'الحركات الشهرية'!$B$6:$B$1005,$B65,'الحركات الشهرية'!$A$6:$A$1005,$C$3))</f>
        <v/>
      </c>
      <c r="X65" s="116" t="str">
        <f aca="false">IF($B65="","",SUM(U65:W65))</f>
        <v/>
      </c>
      <c r="Y65" s="158" t="str">
        <f aca="false">IF($B65="","",T65-X65)</f>
        <v/>
      </c>
      <c r="Z65" s="116" t="str">
        <f aca="false">IF($B65="","",الموظفون!$S65*IF(E65="سعودي",cfg_G_SR,cfg_G_NR)*G65/cfg_DAYS_M)</f>
        <v/>
      </c>
      <c r="AA65" s="116" t="str">
        <f aca="false">IF($B65="","",الموظفون!$Q65*(cfg_EOS_R1*(MIN(AH65,cfg_EOS_TH)-MIN(AI65,cfg_EOS_TH))+cfg_EOS_R2*(MAX(AH65-cfg_EOS_TH,0)-MAX(AI65-cfg_EOS_TH,0))))</f>
        <v/>
      </c>
      <c r="AB65" s="116" t="str">
        <f aca="false">IF($B65="","",IF(الموظفون!$T65&lt;&gt;"",الموظفون!$T65,IF(AH65&gt;=cfg_LV_TH,cfg_LV_D2,cfg_LV_D1))/cfg_DAYS_Y*AJ65*الموظفون!$R65/cfg_DAYS_M)</f>
        <v/>
      </c>
      <c r="AC65" s="116" t="str">
        <f aca="false">IF($B65="","",IF(AND(الموظفون!$U65="نعم",N(الموظفون!$W65)&gt;0),الموظفون!$V65/الموظفون!$W65*12/cfg_DAYS_Y*AJ65,0))</f>
        <v/>
      </c>
      <c r="AD65" s="116" t="str">
        <f aca="false">IF($B65="","",(IF(الموظفون!$X65&lt;&gt;"",الموظفون!$X65,IF(الموظفون!$E65="غير سعودي",cfg_IQ,0))+IF(الموظفون!$Y65&lt;&gt;"",الموظفون!$Y65,IF(الموظفون!$E65="غير سعودي",cfg_WP,0)))/12*G65/cfg_DAYS_M)</f>
        <v/>
      </c>
      <c r="AE65" s="116" t="str">
        <f aca="false">IF($B65="","",IF(الموظفون!$Z65&lt;&gt;"",الموظفون!$Z65,cfg_MED)/12*G65/cfg_DAYS_M)</f>
        <v/>
      </c>
      <c r="AF65" s="116" t="str">
        <f aca="false">IF($B65="","",N(الموظفون!$AA65)/12*G65/cfg_DAYS_M)</f>
        <v/>
      </c>
      <c r="AG65" s="159" t="str">
        <f aca="false">IF($B65="","",T65+SUM(Z65:AF65))</f>
        <v/>
      </c>
      <c r="AH65" s="160" t="str">
        <f aca="false">IF($B65="","",MAX(0,IF(OR(الموظفون!$AE65="",الموظفون!$AE65&gt;$F$3),$F$3,الموظفون!$AE65)-الموظفون!$H65+1-SUMIFS('سجل الإجازات والحالات'!$AQ$6:$AQ$505,'سجل الإجازات والحالات'!$B$6:$B$505,$B65))/cfg_DAYS_Y)</f>
        <v/>
      </c>
      <c r="AI65" s="160" t="str">
        <f aca="false">IF($B65="","",MAX(0,IF(OR(الموظفون!$AE65="",الموظفون!$AE65&gt;($E$3-1)),($E$3-1),الموظفون!$AE65)-الموظفون!$H65+1-SUMIFS('سجل الإجازات والحالات'!$AP$6:$AP$505,'سجل الإجازات والحالات'!$B$6:$B$505,$B65))/cfg_DAYS_Y)</f>
        <v/>
      </c>
      <c r="AJ65" s="133" t="str">
        <f aca="false">IF($B65="","",MAX(0,AK65-(SUMIFS('سجل الإجازات والحالات'!$AQ$6:$AQ$505,'سجل الإجازات والحالات'!$B$6:$B$505,$B65)-SUMIFS('سجل الإجازات والحالات'!$AP$6:$AP$505,'سجل الإجازات والحالات'!$B$6:$B$505,$B65))))</f>
        <v/>
      </c>
      <c r="AK65" s="133" t="str">
        <f aca="false">IF($B65="","",MAX(0,IF(OR(الموظفون!$AE65="",الموظفون!$AE65&gt;$F$3),$F$3,الموظفون!$AE65)-MAX($E$3,الموظفون!$H65)+1))</f>
        <v/>
      </c>
      <c r="AL65" s="156" t="str">
        <f aca="false">IF($B65="","",SUMIFS('سجل الإجازات والحالات'!$BC$6:$BC$505,'سجل الإجازات والحالات'!$B$6:$B$505,$B65)+SUMIFS('الحركات الشهرية'!$K$6:$K$1005,'الحركات الشهرية'!$B$6:$B$1005,$B65,'الحركات الشهرية'!$A$6:$A$1005,$C$3))</f>
        <v/>
      </c>
      <c r="AM65" s="116" t="str">
        <f aca="false">IF($B65="","",AL65*الموظفون!$R65/cfg_DAYS_M+S65)</f>
        <v/>
      </c>
      <c r="AN65" s="156" t="str">
        <f aca="false">IF($B65="","",SUMIFS('سجل الإجازات والحالات'!$AE$6:$AE$505,'سجل الإجازات والحالات'!$B$6:$B$505,$B65))</f>
        <v/>
      </c>
    </row>
    <row r="66" customFormat="false" ht="15" hidden="false" customHeight="false" outlineLevel="0" collapsed="false">
      <c r="A66" s="106" t="str">
        <f aca="false">IF($B66="","",الموظفون!$A66)</f>
        <v/>
      </c>
      <c r="B66" s="114" t="str">
        <f aca="false">IF(الموظفون!$B66="","",الموظفون!$B66)</f>
        <v/>
      </c>
      <c r="C66" s="114" t="str">
        <f aca="false">IF($B66="","",الموظفون!$C66)</f>
        <v/>
      </c>
      <c r="D66" s="114" t="str">
        <f aca="false">IF($B66="","",الموظفون!$F66)</f>
        <v/>
      </c>
      <c r="E66" s="114" t="str">
        <f aca="false">IF($B66="","",الموظفون!$E66)</f>
        <v/>
      </c>
      <c r="F66" s="114" t="str">
        <f aca="false">IF($B66="","",IF(AK66=0,IF(AND(الموظفون!$AE66&lt;&gt;"",الموظفون!$AE66&lt;$E$3),"✖ منتهي الخدمة","⏳ لم يباشر"),IF(S66&gt;0,"✈ راتب إجازة مقدم",IF(J66=0,"⛔ بدون راتب هذا الشهر",IF(I66&gt;0,"✈ خصم "&amp;ROUND(I66,2)&amp;" يوم بدون أجر",IF(AL66&gt;0,"🌴 إجازة سنوية "&amp;ROUND(AL66,2)&amp;" يوم",IF(H66&gt;0,"⚠ غياب "&amp;ROUND(H66,2)&amp;" يوم","✔ على رأس العمل")))))))</f>
        <v/>
      </c>
      <c r="G66" s="151" t="str">
        <f aca="false">IF($B66="","",IF(AK66&gt;=DAY($F$3),cfg_DAYS_M,MIN(AK66,cfg_DAYS_M)))</f>
        <v/>
      </c>
      <c r="H66" s="151" t="str">
        <f aca="false">IF($B66="","",SUMIFS('الحركات الشهرية'!$D$6:$D$1005,'الحركات الشهرية'!$B$6:$B$1005,$B66,'الحركات الشهرية'!$A$6:$A$1005,$C$3))</f>
        <v/>
      </c>
      <c r="I66" s="151" t="str">
        <f aca="false">IF($B66="","",MIN(G66,IF(AND(AK66&gt;0,AN66&gt;=AK66),G66,AN66)+SUMIFS('الحركات الشهرية'!$E$6:$E$1005,'الحركات الشهرية'!$B$6:$B$1005,$B66,'الحركات الشهرية'!$A$6:$A$1005,$C$3)))</f>
        <v/>
      </c>
      <c r="J66" s="151" t="str">
        <f aca="false">IF($B66="","",MAX(0,G66-H66-I66))</f>
        <v/>
      </c>
      <c r="K66" s="111" t="str">
        <f aca="false">IF($B66="","",الموظفون!$L66*$J66/cfg_DAYS_M)</f>
        <v/>
      </c>
      <c r="L66" s="111" t="str">
        <f aca="false">IF($B66="","",الموظفون!$M66*$J66/cfg_DAYS_M)</f>
        <v/>
      </c>
      <c r="M66" s="111" t="str">
        <f aca="false">IF($B66="","",الموظفون!$N66*$J66/cfg_DAYS_M)</f>
        <v/>
      </c>
      <c r="N66" s="111" t="str">
        <f aca="false">IF($B66="","",الموظفون!$O66*$J66/cfg_DAYS_M)</f>
        <v/>
      </c>
      <c r="O66" s="151" t="str">
        <f aca="false">IF($B66="","",SUMIFS('الحركات الشهرية'!$F$6:$F$1005,'الحركات الشهرية'!$B$6:$B$1005,$B66,'الحركات الشهرية'!$A$6:$A$1005,$C$3))</f>
        <v/>
      </c>
      <c r="P66" s="111" t="str">
        <f aca="false">IF($B66="","",O66*(الموظفون!$P66+الموظفون!$L66*cfg_OT_P)/cfg_DAYS_M/cfg_HRS)</f>
        <v/>
      </c>
      <c r="Q66" s="111" t="str">
        <f aca="false">IF($B66="","",SUMIFS('الحركات الشهرية'!$G$6:$G$1005,'الحركات الشهرية'!$B$6:$B$1005,$B66,'الحركات الشهرية'!$A$6:$A$1005,$C$3))</f>
        <v/>
      </c>
      <c r="R66" s="111" t="str">
        <f aca="false">IF($B66="","",SUMIFS('الحركات الشهرية'!$H$6:$H$1005,'الحركات الشهرية'!$B$6:$B$1005,$B66,'الحركات الشهرية'!$A$6:$A$1005,$C$3))</f>
        <v/>
      </c>
      <c r="S66" s="111" t="str">
        <f aca="false">IF($B66="","",SUMIFS('سجل الإجازات والحالات'!$N$6:$N$505,'سجل الإجازات والحالات'!$B$6:$B$505,$B66,'سجل الإجازات والحالات'!$O$6:$O$505,$C$3))</f>
        <v/>
      </c>
      <c r="T66" s="152" t="str">
        <f aca="false">IF($B66="","",SUM(K66:N66)+SUM(P66:S66))</f>
        <v/>
      </c>
      <c r="U66" s="111" t="str">
        <f aca="false">IF($B66="","",الموظفون!$S66*IF(E66="سعودي",cfg_G_SE,cfg_G_NE)*G66/cfg_DAYS_M)</f>
        <v/>
      </c>
      <c r="V66" s="111" t="str">
        <f aca="false">IF($B66="","",SUMIFS('الحركات الشهرية'!$I$6:$I$1005,'الحركات الشهرية'!$B$6:$B$1005,$B66,'الحركات الشهرية'!$A$6:$A$1005,$C$3))</f>
        <v/>
      </c>
      <c r="W66" s="111" t="str">
        <f aca="false">IF($B66="","",SUMIFS('الحركات الشهرية'!$J$6:$J$1005,'الحركات الشهرية'!$B$6:$B$1005,$B66,'الحركات الشهرية'!$A$6:$A$1005,$C$3))</f>
        <v/>
      </c>
      <c r="X66" s="111" t="str">
        <f aca="false">IF($B66="","",SUM(U66:W66))</f>
        <v/>
      </c>
      <c r="Y66" s="153" t="str">
        <f aca="false">IF($B66="","",T66-X66)</f>
        <v/>
      </c>
      <c r="Z66" s="111" t="str">
        <f aca="false">IF($B66="","",الموظفون!$S66*IF(E66="سعودي",cfg_G_SR,cfg_G_NR)*G66/cfg_DAYS_M)</f>
        <v/>
      </c>
      <c r="AA66" s="111" t="str">
        <f aca="false">IF($B66="","",الموظفون!$Q66*(cfg_EOS_R1*(MIN(AH66,cfg_EOS_TH)-MIN(AI66,cfg_EOS_TH))+cfg_EOS_R2*(MAX(AH66-cfg_EOS_TH,0)-MAX(AI66-cfg_EOS_TH,0))))</f>
        <v/>
      </c>
      <c r="AB66" s="111" t="str">
        <f aca="false">IF($B66="","",IF(الموظفون!$T66&lt;&gt;"",الموظفون!$T66,IF(AH66&gt;=cfg_LV_TH,cfg_LV_D2,cfg_LV_D1))/cfg_DAYS_Y*AJ66*الموظفون!$R66/cfg_DAYS_M)</f>
        <v/>
      </c>
      <c r="AC66" s="111" t="str">
        <f aca="false">IF($B66="","",IF(AND(الموظفون!$U66="نعم",N(الموظفون!$W66)&gt;0),الموظفون!$V66/الموظفون!$W66*12/cfg_DAYS_Y*AJ66,0))</f>
        <v/>
      </c>
      <c r="AD66" s="111" t="str">
        <f aca="false">IF($B66="","",(IF(الموظفون!$X66&lt;&gt;"",الموظفون!$X66,IF(الموظفون!$E66="غير سعودي",cfg_IQ,0))+IF(الموظفون!$Y66&lt;&gt;"",الموظفون!$Y66,IF(الموظفون!$E66="غير سعودي",cfg_WP,0)))/12*G66/cfg_DAYS_M)</f>
        <v/>
      </c>
      <c r="AE66" s="111" t="str">
        <f aca="false">IF($B66="","",IF(الموظفون!$Z66&lt;&gt;"",الموظفون!$Z66,cfg_MED)/12*G66/cfg_DAYS_M)</f>
        <v/>
      </c>
      <c r="AF66" s="111" t="str">
        <f aca="false">IF($B66="","",N(الموظفون!$AA66)/12*G66/cfg_DAYS_M)</f>
        <v/>
      </c>
      <c r="AG66" s="154" t="str">
        <f aca="false">IF($B66="","",T66+SUM(Z66:AF66))</f>
        <v/>
      </c>
      <c r="AH66" s="155" t="str">
        <f aca="false">IF($B66="","",MAX(0,IF(OR(الموظفون!$AE66="",الموظفون!$AE66&gt;$F$3),$F$3,الموظفون!$AE66)-الموظفون!$H66+1-SUMIFS('سجل الإجازات والحالات'!$AQ$6:$AQ$505,'سجل الإجازات والحالات'!$B$6:$B$505,$B66))/cfg_DAYS_Y)</f>
        <v/>
      </c>
      <c r="AI66" s="155" t="str">
        <f aca="false">IF($B66="","",MAX(0,IF(OR(الموظفون!$AE66="",الموظفون!$AE66&gt;($E$3-1)),($E$3-1),الموظفون!$AE66)-الموظفون!$H66+1-SUMIFS('سجل الإجازات والحالات'!$AP$6:$AP$505,'سجل الإجازات والحالات'!$B$6:$B$505,$B66))/cfg_DAYS_Y)</f>
        <v/>
      </c>
      <c r="AJ66" s="65" t="str">
        <f aca="false">IF($B66="","",MAX(0,AK66-(SUMIFS('سجل الإجازات والحالات'!$AQ$6:$AQ$505,'سجل الإجازات والحالات'!$B$6:$B$505,$B66)-SUMIFS('سجل الإجازات والحالات'!$AP$6:$AP$505,'سجل الإجازات والحالات'!$B$6:$B$505,$B66))))</f>
        <v/>
      </c>
      <c r="AK66" s="65" t="str">
        <f aca="false">IF($B66="","",MAX(0,IF(OR(الموظفون!$AE66="",الموظفون!$AE66&gt;$F$3),$F$3,الموظفون!$AE66)-MAX($E$3,الموظفون!$H66)+1))</f>
        <v/>
      </c>
      <c r="AL66" s="151" t="str">
        <f aca="false">IF($B66="","",SUMIFS('سجل الإجازات والحالات'!$BC$6:$BC$505,'سجل الإجازات والحالات'!$B$6:$B$505,$B66)+SUMIFS('الحركات الشهرية'!$K$6:$K$1005,'الحركات الشهرية'!$B$6:$B$1005,$B66,'الحركات الشهرية'!$A$6:$A$1005,$C$3))</f>
        <v/>
      </c>
      <c r="AM66" s="111" t="str">
        <f aca="false">IF($B66="","",AL66*الموظفون!$R66/cfg_DAYS_M+S66)</f>
        <v/>
      </c>
      <c r="AN66" s="151" t="str">
        <f aca="false">IF($B66="","",SUMIFS('سجل الإجازات والحالات'!$AE$6:$AE$505,'سجل الإجازات والحالات'!$B$6:$B$505,$B66))</f>
        <v/>
      </c>
    </row>
    <row r="67" customFormat="false" ht="15" hidden="false" customHeight="false" outlineLevel="0" collapsed="false">
      <c r="A67" s="115" t="str">
        <f aca="false">IF($B67="","",الموظفون!$A67)</f>
        <v/>
      </c>
      <c r="B67" s="117" t="str">
        <f aca="false">IF(الموظفون!$B67="","",الموظفون!$B67)</f>
        <v/>
      </c>
      <c r="C67" s="117" t="str">
        <f aca="false">IF($B67="","",الموظفون!$C67)</f>
        <v/>
      </c>
      <c r="D67" s="117" t="str">
        <f aca="false">IF($B67="","",الموظفون!$F67)</f>
        <v/>
      </c>
      <c r="E67" s="117" t="str">
        <f aca="false">IF($B67="","",الموظفون!$E67)</f>
        <v/>
      </c>
      <c r="F67" s="117" t="str">
        <f aca="false">IF($B67="","",IF(AK67=0,IF(AND(الموظفون!$AE67&lt;&gt;"",الموظفون!$AE67&lt;$E$3),"✖ منتهي الخدمة","⏳ لم يباشر"),IF(S67&gt;0,"✈ راتب إجازة مقدم",IF(J67=0,"⛔ بدون راتب هذا الشهر",IF(I67&gt;0,"✈ خصم "&amp;ROUND(I67,2)&amp;" يوم بدون أجر",IF(AL67&gt;0,"🌴 إجازة سنوية "&amp;ROUND(AL67,2)&amp;" يوم",IF(H67&gt;0,"⚠ غياب "&amp;ROUND(H67,2)&amp;" يوم","✔ على رأس العمل")))))))</f>
        <v/>
      </c>
      <c r="G67" s="156" t="str">
        <f aca="false">IF($B67="","",IF(AK67&gt;=DAY($F$3),cfg_DAYS_M,MIN(AK67,cfg_DAYS_M)))</f>
        <v/>
      </c>
      <c r="H67" s="156" t="str">
        <f aca="false">IF($B67="","",SUMIFS('الحركات الشهرية'!$D$6:$D$1005,'الحركات الشهرية'!$B$6:$B$1005,$B67,'الحركات الشهرية'!$A$6:$A$1005,$C$3))</f>
        <v/>
      </c>
      <c r="I67" s="156" t="str">
        <f aca="false">IF($B67="","",MIN(G67,IF(AND(AK67&gt;0,AN67&gt;=AK67),G67,AN67)+SUMIFS('الحركات الشهرية'!$E$6:$E$1005,'الحركات الشهرية'!$B$6:$B$1005,$B67,'الحركات الشهرية'!$A$6:$A$1005,$C$3)))</f>
        <v/>
      </c>
      <c r="J67" s="156" t="str">
        <f aca="false">IF($B67="","",MAX(0,G67-H67-I67))</f>
        <v/>
      </c>
      <c r="K67" s="116" t="str">
        <f aca="false">IF($B67="","",الموظفون!$L67*$J67/cfg_DAYS_M)</f>
        <v/>
      </c>
      <c r="L67" s="116" t="str">
        <f aca="false">IF($B67="","",الموظفون!$M67*$J67/cfg_DAYS_M)</f>
        <v/>
      </c>
      <c r="M67" s="116" t="str">
        <f aca="false">IF($B67="","",الموظفون!$N67*$J67/cfg_DAYS_M)</f>
        <v/>
      </c>
      <c r="N67" s="116" t="str">
        <f aca="false">IF($B67="","",الموظفون!$O67*$J67/cfg_DAYS_M)</f>
        <v/>
      </c>
      <c r="O67" s="156" t="str">
        <f aca="false">IF($B67="","",SUMIFS('الحركات الشهرية'!$F$6:$F$1005,'الحركات الشهرية'!$B$6:$B$1005,$B67,'الحركات الشهرية'!$A$6:$A$1005,$C$3))</f>
        <v/>
      </c>
      <c r="P67" s="116" t="str">
        <f aca="false">IF($B67="","",O67*(الموظفون!$P67+الموظفون!$L67*cfg_OT_P)/cfg_DAYS_M/cfg_HRS)</f>
        <v/>
      </c>
      <c r="Q67" s="116" t="str">
        <f aca="false">IF($B67="","",SUMIFS('الحركات الشهرية'!$G$6:$G$1005,'الحركات الشهرية'!$B$6:$B$1005,$B67,'الحركات الشهرية'!$A$6:$A$1005,$C$3))</f>
        <v/>
      </c>
      <c r="R67" s="116" t="str">
        <f aca="false">IF($B67="","",SUMIFS('الحركات الشهرية'!$H$6:$H$1005,'الحركات الشهرية'!$B$6:$B$1005,$B67,'الحركات الشهرية'!$A$6:$A$1005,$C$3))</f>
        <v/>
      </c>
      <c r="S67" s="116" t="str">
        <f aca="false">IF($B67="","",SUMIFS('سجل الإجازات والحالات'!$N$6:$N$505,'سجل الإجازات والحالات'!$B$6:$B$505,$B67,'سجل الإجازات والحالات'!$O$6:$O$505,$C$3))</f>
        <v/>
      </c>
      <c r="T67" s="157" t="str">
        <f aca="false">IF($B67="","",SUM(K67:N67)+SUM(P67:S67))</f>
        <v/>
      </c>
      <c r="U67" s="116" t="str">
        <f aca="false">IF($B67="","",الموظفون!$S67*IF(E67="سعودي",cfg_G_SE,cfg_G_NE)*G67/cfg_DAYS_M)</f>
        <v/>
      </c>
      <c r="V67" s="116" t="str">
        <f aca="false">IF($B67="","",SUMIFS('الحركات الشهرية'!$I$6:$I$1005,'الحركات الشهرية'!$B$6:$B$1005,$B67,'الحركات الشهرية'!$A$6:$A$1005,$C$3))</f>
        <v/>
      </c>
      <c r="W67" s="116" t="str">
        <f aca="false">IF($B67="","",SUMIFS('الحركات الشهرية'!$J$6:$J$1005,'الحركات الشهرية'!$B$6:$B$1005,$B67,'الحركات الشهرية'!$A$6:$A$1005,$C$3))</f>
        <v/>
      </c>
      <c r="X67" s="116" t="str">
        <f aca="false">IF($B67="","",SUM(U67:W67))</f>
        <v/>
      </c>
      <c r="Y67" s="158" t="str">
        <f aca="false">IF($B67="","",T67-X67)</f>
        <v/>
      </c>
      <c r="Z67" s="116" t="str">
        <f aca="false">IF($B67="","",الموظفون!$S67*IF(E67="سعودي",cfg_G_SR,cfg_G_NR)*G67/cfg_DAYS_M)</f>
        <v/>
      </c>
      <c r="AA67" s="116" t="str">
        <f aca="false">IF($B67="","",الموظفون!$Q67*(cfg_EOS_R1*(MIN(AH67,cfg_EOS_TH)-MIN(AI67,cfg_EOS_TH))+cfg_EOS_R2*(MAX(AH67-cfg_EOS_TH,0)-MAX(AI67-cfg_EOS_TH,0))))</f>
        <v/>
      </c>
      <c r="AB67" s="116" t="str">
        <f aca="false">IF($B67="","",IF(الموظفون!$T67&lt;&gt;"",الموظفون!$T67,IF(AH67&gt;=cfg_LV_TH,cfg_LV_D2,cfg_LV_D1))/cfg_DAYS_Y*AJ67*الموظفون!$R67/cfg_DAYS_M)</f>
        <v/>
      </c>
      <c r="AC67" s="116" t="str">
        <f aca="false">IF($B67="","",IF(AND(الموظفون!$U67="نعم",N(الموظفون!$W67)&gt;0),الموظفون!$V67/الموظفون!$W67*12/cfg_DAYS_Y*AJ67,0))</f>
        <v/>
      </c>
      <c r="AD67" s="116" t="str">
        <f aca="false">IF($B67="","",(IF(الموظفون!$X67&lt;&gt;"",الموظفون!$X67,IF(الموظفون!$E67="غير سعودي",cfg_IQ,0))+IF(الموظفون!$Y67&lt;&gt;"",الموظفون!$Y67,IF(الموظفون!$E67="غير سعودي",cfg_WP,0)))/12*G67/cfg_DAYS_M)</f>
        <v/>
      </c>
      <c r="AE67" s="116" t="str">
        <f aca="false">IF($B67="","",IF(الموظفون!$Z67&lt;&gt;"",الموظفون!$Z67,cfg_MED)/12*G67/cfg_DAYS_M)</f>
        <v/>
      </c>
      <c r="AF67" s="116" t="str">
        <f aca="false">IF($B67="","",N(الموظفون!$AA67)/12*G67/cfg_DAYS_M)</f>
        <v/>
      </c>
      <c r="AG67" s="159" t="str">
        <f aca="false">IF($B67="","",T67+SUM(Z67:AF67))</f>
        <v/>
      </c>
      <c r="AH67" s="160" t="str">
        <f aca="false">IF($B67="","",MAX(0,IF(OR(الموظفون!$AE67="",الموظفون!$AE67&gt;$F$3),$F$3,الموظفون!$AE67)-الموظفون!$H67+1-SUMIFS('سجل الإجازات والحالات'!$AQ$6:$AQ$505,'سجل الإجازات والحالات'!$B$6:$B$505,$B67))/cfg_DAYS_Y)</f>
        <v/>
      </c>
      <c r="AI67" s="160" t="str">
        <f aca="false">IF($B67="","",MAX(0,IF(OR(الموظفون!$AE67="",الموظفون!$AE67&gt;($E$3-1)),($E$3-1),الموظفون!$AE67)-الموظفون!$H67+1-SUMIFS('سجل الإجازات والحالات'!$AP$6:$AP$505,'سجل الإجازات والحالات'!$B$6:$B$505,$B67))/cfg_DAYS_Y)</f>
        <v/>
      </c>
      <c r="AJ67" s="133" t="str">
        <f aca="false">IF($B67="","",MAX(0,AK67-(SUMIFS('سجل الإجازات والحالات'!$AQ$6:$AQ$505,'سجل الإجازات والحالات'!$B$6:$B$505,$B67)-SUMIFS('سجل الإجازات والحالات'!$AP$6:$AP$505,'سجل الإجازات والحالات'!$B$6:$B$505,$B67))))</f>
        <v/>
      </c>
      <c r="AK67" s="133" t="str">
        <f aca="false">IF($B67="","",MAX(0,IF(OR(الموظفون!$AE67="",الموظفون!$AE67&gt;$F$3),$F$3,الموظفون!$AE67)-MAX($E$3,الموظفون!$H67)+1))</f>
        <v/>
      </c>
      <c r="AL67" s="156" t="str">
        <f aca="false">IF($B67="","",SUMIFS('سجل الإجازات والحالات'!$BC$6:$BC$505,'سجل الإجازات والحالات'!$B$6:$B$505,$B67)+SUMIFS('الحركات الشهرية'!$K$6:$K$1005,'الحركات الشهرية'!$B$6:$B$1005,$B67,'الحركات الشهرية'!$A$6:$A$1005,$C$3))</f>
        <v/>
      </c>
      <c r="AM67" s="116" t="str">
        <f aca="false">IF($B67="","",AL67*الموظفون!$R67/cfg_DAYS_M+S67)</f>
        <v/>
      </c>
      <c r="AN67" s="156" t="str">
        <f aca="false">IF($B67="","",SUMIFS('سجل الإجازات والحالات'!$AE$6:$AE$505,'سجل الإجازات والحالات'!$B$6:$B$505,$B67))</f>
        <v/>
      </c>
    </row>
    <row r="68" customFormat="false" ht="15" hidden="false" customHeight="false" outlineLevel="0" collapsed="false">
      <c r="A68" s="106" t="str">
        <f aca="false">IF($B68="","",الموظفون!$A68)</f>
        <v/>
      </c>
      <c r="B68" s="114" t="str">
        <f aca="false">IF(الموظفون!$B68="","",الموظفون!$B68)</f>
        <v/>
      </c>
      <c r="C68" s="114" t="str">
        <f aca="false">IF($B68="","",الموظفون!$C68)</f>
        <v/>
      </c>
      <c r="D68" s="114" t="str">
        <f aca="false">IF($B68="","",الموظفون!$F68)</f>
        <v/>
      </c>
      <c r="E68" s="114" t="str">
        <f aca="false">IF($B68="","",الموظفون!$E68)</f>
        <v/>
      </c>
      <c r="F68" s="114" t="str">
        <f aca="false">IF($B68="","",IF(AK68=0,IF(AND(الموظفون!$AE68&lt;&gt;"",الموظفون!$AE68&lt;$E$3),"✖ منتهي الخدمة","⏳ لم يباشر"),IF(S68&gt;0,"✈ راتب إجازة مقدم",IF(J68=0,"⛔ بدون راتب هذا الشهر",IF(I68&gt;0,"✈ خصم "&amp;ROUND(I68,2)&amp;" يوم بدون أجر",IF(AL68&gt;0,"🌴 إجازة سنوية "&amp;ROUND(AL68,2)&amp;" يوم",IF(H68&gt;0,"⚠ غياب "&amp;ROUND(H68,2)&amp;" يوم","✔ على رأس العمل")))))))</f>
        <v/>
      </c>
      <c r="G68" s="151" t="str">
        <f aca="false">IF($B68="","",IF(AK68&gt;=DAY($F$3),cfg_DAYS_M,MIN(AK68,cfg_DAYS_M)))</f>
        <v/>
      </c>
      <c r="H68" s="151" t="str">
        <f aca="false">IF($B68="","",SUMIFS('الحركات الشهرية'!$D$6:$D$1005,'الحركات الشهرية'!$B$6:$B$1005,$B68,'الحركات الشهرية'!$A$6:$A$1005,$C$3))</f>
        <v/>
      </c>
      <c r="I68" s="151" t="str">
        <f aca="false">IF($B68="","",MIN(G68,IF(AND(AK68&gt;0,AN68&gt;=AK68),G68,AN68)+SUMIFS('الحركات الشهرية'!$E$6:$E$1005,'الحركات الشهرية'!$B$6:$B$1005,$B68,'الحركات الشهرية'!$A$6:$A$1005,$C$3)))</f>
        <v/>
      </c>
      <c r="J68" s="151" t="str">
        <f aca="false">IF($B68="","",MAX(0,G68-H68-I68))</f>
        <v/>
      </c>
      <c r="K68" s="111" t="str">
        <f aca="false">IF($B68="","",الموظفون!$L68*$J68/cfg_DAYS_M)</f>
        <v/>
      </c>
      <c r="L68" s="111" t="str">
        <f aca="false">IF($B68="","",الموظفون!$M68*$J68/cfg_DAYS_M)</f>
        <v/>
      </c>
      <c r="M68" s="111" t="str">
        <f aca="false">IF($B68="","",الموظفون!$N68*$J68/cfg_DAYS_M)</f>
        <v/>
      </c>
      <c r="N68" s="111" t="str">
        <f aca="false">IF($B68="","",الموظفون!$O68*$J68/cfg_DAYS_M)</f>
        <v/>
      </c>
      <c r="O68" s="151" t="str">
        <f aca="false">IF($B68="","",SUMIFS('الحركات الشهرية'!$F$6:$F$1005,'الحركات الشهرية'!$B$6:$B$1005,$B68,'الحركات الشهرية'!$A$6:$A$1005,$C$3))</f>
        <v/>
      </c>
      <c r="P68" s="111" t="str">
        <f aca="false">IF($B68="","",O68*(الموظفون!$P68+الموظفون!$L68*cfg_OT_P)/cfg_DAYS_M/cfg_HRS)</f>
        <v/>
      </c>
      <c r="Q68" s="111" t="str">
        <f aca="false">IF($B68="","",SUMIFS('الحركات الشهرية'!$G$6:$G$1005,'الحركات الشهرية'!$B$6:$B$1005,$B68,'الحركات الشهرية'!$A$6:$A$1005,$C$3))</f>
        <v/>
      </c>
      <c r="R68" s="111" t="str">
        <f aca="false">IF($B68="","",SUMIFS('الحركات الشهرية'!$H$6:$H$1005,'الحركات الشهرية'!$B$6:$B$1005,$B68,'الحركات الشهرية'!$A$6:$A$1005,$C$3))</f>
        <v/>
      </c>
      <c r="S68" s="111" t="str">
        <f aca="false">IF($B68="","",SUMIFS('سجل الإجازات والحالات'!$N$6:$N$505,'سجل الإجازات والحالات'!$B$6:$B$505,$B68,'سجل الإجازات والحالات'!$O$6:$O$505,$C$3))</f>
        <v/>
      </c>
      <c r="T68" s="152" t="str">
        <f aca="false">IF($B68="","",SUM(K68:N68)+SUM(P68:S68))</f>
        <v/>
      </c>
      <c r="U68" s="111" t="str">
        <f aca="false">IF($B68="","",الموظفون!$S68*IF(E68="سعودي",cfg_G_SE,cfg_G_NE)*G68/cfg_DAYS_M)</f>
        <v/>
      </c>
      <c r="V68" s="111" t="str">
        <f aca="false">IF($B68="","",SUMIFS('الحركات الشهرية'!$I$6:$I$1005,'الحركات الشهرية'!$B$6:$B$1005,$B68,'الحركات الشهرية'!$A$6:$A$1005,$C$3))</f>
        <v/>
      </c>
      <c r="W68" s="111" t="str">
        <f aca="false">IF($B68="","",SUMIFS('الحركات الشهرية'!$J$6:$J$1005,'الحركات الشهرية'!$B$6:$B$1005,$B68,'الحركات الشهرية'!$A$6:$A$1005,$C$3))</f>
        <v/>
      </c>
      <c r="X68" s="111" t="str">
        <f aca="false">IF($B68="","",SUM(U68:W68))</f>
        <v/>
      </c>
      <c r="Y68" s="153" t="str">
        <f aca="false">IF($B68="","",T68-X68)</f>
        <v/>
      </c>
      <c r="Z68" s="111" t="str">
        <f aca="false">IF($B68="","",الموظفون!$S68*IF(E68="سعودي",cfg_G_SR,cfg_G_NR)*G68/cfg_DAYS_M)</f>
        <v/>
      </c>
      <c r="AA68" s="111" t="str">
        <f aca="false">IF($B68="","",الموظفون!$Q68*(cfg_EOS_R1*(MIN(AH68,cfg_EOS_TH)-MIN(AI68,cfg_EOS_TH))+cfg_EOS_R2*(MAX(AH68-cfg_EOS_TH,0)-MAX(AI68-cfg_EOS_TH,0))))</f>
        <v/>
      </c>
      <c r="AB68" s="111" t="str">
        <f aca="false">IF($B68="","",IF(الموظفون!$T68&lt;&gt;"",الموظفون!$T68,IF(AH68&gt;=cfg_LV_TH,cfg_LV_D2,cfg_LV_D1))/cfg_DAYS_Y*AJ68*الموظفون!$R68/cfg_DAYS_M)</f>
        <v/>
      </c>
      <c r="AC68" s="111" t="str">
        <f aca="false">IF($B68="","",IF(AND(الموظفون!$U68="نعم",N(الموظفون!$W68)&gt;0),الموظفون!$V68/الموظفون!$W68*12/cfg_DAYS_Y*AJ68,0))</f>
        <v/>
      </c>
      <c r="AD68" s="111" t="str">
        <f aca="false">IF($B68="","",(IF(الموظفون!$X68&lt;&gt;"",الموظفون!$X68,IF(الموظفون!$E68="غير سعودي",cfg_IQ,0))+IF(الموظفون!$Y68&lt;&gt;"",الموظفون!$Y68,IF(الموظفون!$E68="غير سعودي",cfg_WP,0)))/12*G68/cfg_DAYS_M)</f>
        <v/>
      </c>
      <c r="AE68" s="111" t="str">
        <f aca="false">IF($B68="","",IF(الموظفون!$Z68&lt;&gt;"",الموظفون!$Z68,cfg_MED)/12*G68/cfg_DAYS_M)</f>
        <v/>
      </c>
      <c r="AF68" s="111" t="str">
        <f aca="false">IF($B68="","",N(الموظفون!$AA68)/12*G68/cfg_DAYS_M)</f>
        <v/>
      </c>
      <c r="AG68" s="154" t="str">
        <f aca="false">IF($B68="","",T68+SUM(Z68:AF68))</f>
        <v/>
      </c>
      <c r="AH68" s="155" t="str">
        <f aca="false">IF($B68="","",MAX(0,IF(OR(الموظفون!$AE68="",الموظفون!$AE68&gt;$F$3),$F$3,الموظفون!$AE68)-الموظفون!$H68+1-SUMIFS('سجل الإجازات والحالات'!$AQ$6:$AQ$505,'سجل الإجازات والحالات'!$B$6:$B$505,$B68))/cfg_DAYS_Y)</f>
        <v/>
      </c>
      <c r="AI68" s="155" t="str">
        <f aca="false">IF($B68="","",MAX(0,IF(OR(الموظفون!$AE68="",الموظفون!$AE68&gt;($E$3-1)),($E$3-1),الموظفون!$AE68)-الموظفون!$H68+1-SUMIFS('سجل الإجازات والحالات'!$AP$6:$AP$505,'سجل الإجازات والحالات'!$B$6:$B$505,$B68))/cfg_DAYS_Y)</f>
        <v/>
      </c>
      <c r="AJ68" s="65" t="str">
        <f aca="false">IF($B68="","",MAX(0,AK68-(SUMIFS('سجل الإجازات والحالات'!$AQ$6:$AQ$505,'سجل الإجازات والحالات'!$B$6:$B$505,$B68)-SUMIFS('سجل الإجازات والحالات'!$AP$6:$AP$505,'سجل الإجازات والحالات'!$B$6:$B$505,$B68))))</f>
        <v/>
      </c>
      <c r="AK68" s="65" t="str">
        <f aca="false">IF($B68="","",MAX(0,IF(OR(الموظفون!$AE68="",الموظفون!$AE68&gt;$F$3),$F$3,الموظفون!$AE68)-MAX($E$3,الموظفون!$H68)+1))</f>
        <v/>
      </c>
      <c r="AL68" s="151" t="str">
        <f aca="false">IF($B68="","",SUMIFS('سجل الإجازات والحالات'!$BC$6:$BC$505,'سجل الإجازات والحالات'!$B$6:$B$505,$B68)+SUMIFS('الحركات الشهرية'!$K$6:$K$1005,'الحركات الشهرية'!$B$6:$B$1005,$B68,'الحركات الشهرية'!$A$6:$A$1005,$C$3))</f>
        <v/>
      </c>
      <c r="AM68" s="111" t="str">
        <f aca="false">IF($B68="","",AL68*الموظفون!$R68/cfg_DAYS_M+S68)</f>
        <v/>
      </c>
      <c r="AN68" s="151" t="str">
        <f aca="false">IF($B68="","",SUMIFS('سجل الإجازات والحالات'!$AE$6:$AE$505,'سجل الإجازات والحالات'!$B$6:$B$505,$B68))</f>
        <v/>
      </c>
    </row>
    <row r="69" customFormat="false" ht="15" hidden="false" customHeight="false" outlineLevel="0" collapsed="false">
      <c r="A69" s="115" t="str">
        <f aca="false">IF($B69="","",الموظفون!$A69)</f>
        <v/>
      </c>
      <c r="B69" s="117" t="str">
        <f aca="false">IF(الموظفون!$B69="","",الموظفون!$B69)</f>
        <v/>
      </c>
      <c r="C69" s="117" t="str">
        <f aca="false">IF($B69="","",الموظفون!$C69)</f>
        <v/>
      </c>
      <c r="D69" s="117" t="str">
        <f aca="false">IF($B69="","",الموظفون!$F69)</f>
        <v/>
      </c>
      <c r="E69" s="117" t="str">
        <f aca="false">IF($B69="","",الموظفون!$E69)</f>
        <v/>
      </c>
      <c r="F69" s="117" t="str">
        <f aca="false">IF($B69="","",IF(AK69=0,IF(AND(الموظفون!$AE69&lt;&gt;"",الموظفون!$AE69&lt;$E$3),"✖ منتهي الخدمة","⏳ لم يباشر"),IF(S69&gt;0,"✈ راتب إجازة مقدم",IF(J69=0,"⛔ بدون راتب هذا الشهر",IF(I69&gt;0,"✈ خصم "&amp;ROUND(I69,2)&amp;" يوم بدون أجر",IF(AL69&gt;0,"🌴 إجازة سنوية "&amp;ROUND(AL69,2)&amp;" يوم",IF(H69&gt;0,"⚠ غياب "&amp;ROUND(H69,2)&amp;" يوم","✔ على رأس العمل")))))))</f>
        <v/>
      </c>
      <c r="G69" s="156" t="str">
        <f aca="false">IF($B69="","",IF(AK69&gt;=DAY($F$3),cfg_DAYS_M,MIN(AK69,cfg_DAYS_M)))</f>
        <v/>
      </c>
      <c r="H69" s="156" t="str">
        <f aca="false">IF($B69="","",SUMIFS('الحركات الشهرية'!$D$6:$D$1005,'الحركات الشهرية'!$B$6:$B$1005,$B69,'الحركات الشهرية'!$A$6:$A$1005,$C$3))</f>
        <v/>
      </c>
      <c r="I69" s="156" t="str">
        <f aca="false">IF($B69="","",MIN(G69,IF(AND(AK69&gt;0,AN69&gt;=AK69),G69,AN69)+SUMIFS('الحركات الشهرية'!$E$6:$E$1005,'الحركات الشهرية'!$B$6:$B$1005,$B69,'الحركات الشهرية'!$A$6:$A$1005,$C$3)))</f>
        <v/>
      </c>
      <c r="J69" s="156" t="str">
        <f aca="false">IF($B69="","",MAX(0,G69-H69-I69))</f>
        <v/>
      </c>
      <c r="K69" s="116" t="str">
        <f aca="false">IF($B69="","",الموظفون!$L69*$J69/cfg_DAYS_M)</f>
        <v/>
      </c>
      <c r="L69" s="116" t="str">
        <f aca="false">IF($B69="","",الموظفون!$M69*$J69/cfg_DAYS_M)</f>
        <v/>
      </c>
      <c r="M69" s="116" t="str">
        <f aca="false">IF($B69="","",الموظفون!$N69*$J69/cfg_DAYS_M)</f>
        <v/>
      </c>
      <c r="N69" s="116" t="str">
        <f aca="false">IF($B69="","",الموظفون!$O69*$J69/cfg_DAYS_M)</f>
        <v/>
      </c>
      <c r="O69" s="156" t="str">
        <f aca="false">IF($B69="","",SUMIFS('الحركات الشهرية'!$F$6:$F$1005,'الحركات الشهرية'!$B$6:$B$1005,$B69,'الحركات الشهرية'!$A$6:$A$1005,$C$3))</f>
        <v/>
      </c>
      <c r="P69" s="116" t="str">
        <f aca="false">IF($B69="","",O69*(الموظفون!$P69+الموظفون!$L69*cfg_OT_P)/cfg_DAYS_M/cfg_HRS)</f>
        <v/>
      </c>
      <c r="Q69" s="116" t="str">
        <f aca="false">IF($B69="","",SUMIFS('الحركات الشهرية'!$G$6:$G$1005,'الحركات الشهرية'!$B$6:$B$1005,$B69,'الحركات الشهرية'!$A$6:$A$1005,$C$3))</f>
        <v/>
      </c>
      <c r="R69" s="116" t="str">
        <f aca="false">IF($B69="","",SUMIFS('الحركات الشهرية'!$H$6:$H$1005,'الحركات الشهرية'!$B$6:$B$1005,$B69,'الحركات الشهرية'!$A$6:$A$1005,$C$3))</f>
        <v/>
      </c>
      <c r="S69" s="116" t="str">
        <f aca="false">IF($B69="","",SUMIFS('سجل الإجازات والحالات'!$N$6:$N$505,'سجل الإجازات والحالات'!$B$6:$B$505,$B69,'سجل الإجازات والحالات'!$O$6:$O$505,$C$3))</f>
        <v/>
      </c>
      <c r="T69" s="157" t="str">
        <f aca="false">IF($B69="","",SUM(K69:N69)+SUM(P69:S69))</f>
        <v/>
      </c>
      <c r="U69" s="116" t="str">
        <f aca="false">IF($B69="","",الموظفون!$S69*IF(E69="سعودي",cfg_G_SE,cfg_G_NE)*G69/cfg_DAYS_M)</f>
        <v/>
      </c>
      <c r="V69" s="116" t="str">
        <f aca="false">IF($B69="","",SUMIFS('الحركات الشهرية'!$I$6:$I$1005,'الحركات الشهرية'!$B$6:$B$1005,$B69,'الحركات الشهرية'!$A$6:$A$1005,$C$3))</f>
        <v/>
      </c>
      <c r="W69" s="116" t="str">
        <f aca="false">IF($B69="","",SUMIFS('الحركات الشهرية'!$J$6:$J$1005,'الحركات الشهرية'!$B$6:$B$1005,$B69,'الحركات الشهرية'!$A$6:$A$1005,$C$3))</f>
        <v/>
      </c>
      <c r="X69" s="116" t="str">
        <f aca="false">IF($B69="","",SUM(U69:W69))</f>
        <v/>
      </c>
      <c r="Y69" s="158" t="str">
        <f aca="false">IF($B69="","",T69-X69)</f>
        <v/>
      </c>
      <c r="Z69" s="116" t="str">
        <f aca="false">IF($B69="","",الموظفون!$S69*IF(E69="سعودي",cfg_G_SR,cfg_G_NR)*G69/cfg_DAYS_M)</f>
        <v/>
      </c>
      <c r="AA69" s="116" t="str">
        <f aca="false">IF($B69="","",الموظفون!$Q69*(cfg_EOS_R1*(MIN(AH69,cfg_EOS_TH)-MIN(AI69,cfg_EOS_TH))+cfg_EOS_R2*(MAX(AH69-cfg_EOS_TH,0)-MAX(AI69-cfg_EOS_TH,0))))</f>
        <v/>
      </c>
      <c r="AB69" s="116" t="str">
        <f aca="false">IF($B69="","",IF(الموظفون!$T69&lt;&gt;"",الموظفون!$T69,IF(AH69&gt;=cfg_LV_TH,cfg_LV_D2,cfg_LV_D1))/cfg_DAYS_Y*AJ69*الموظفون!$R69/cfg_DAYS_M)</f>
        <v/>
      </c>
      <c r="AC69" s="116" t="str">
        <f aca="false">IF($B69="","",IF(AND(الموظفون!$U69="نعم",N(الموظفون!$W69)&gt;0),الموظفون!$V69/الموظفون!$W69*12/cfg_DAYS_Y*AJ69,0))</f>
        <v/>
      </c>
      <c r="AD69" s="116" t="str">
        <f aca="false">IF($B69="","",(IF(الموظفون!$X69&lt;&gt;"",الموظفون!$X69,IF(الموظفون!$E69="غير سعودي",cfg_IQ,0))+IF(الموظفون!$Y69&lt;&gt;"",الموظفون!$Y69,IF(الموظفون!$E69="غير سعودي",cfg_WP,0)))/12*G69/cfg_DAYS_M)</f>
        <v/>
      </c>
      <c r="AE69" s="116" t="str">
        <f aca="false">IF($B69="","",IF(الموظفون!$Z69&lt;&gt;"",الموظفون!$Z69,cfg_MED)/12*G69/cfg_DAYS_M)</f>
        <v/>
      </c>
      <c r="AF69" s="116" t="str">
        <f aca="false">IF($B69="","",N(الموظفون!$AA69)/12*G69/cfg_DAYS_M)</f>
        <v/>
      </c>
      <c r="AG69" s="159" t="str">
        <f aca="false">IF($B69="","",T69+SUM(Z69:AF69))</f>
        <v/>
      </c>
      <c r="AH69" s="160" t="str">
        <f aca="false">IF($B69="","",MAX(0,IF(OR(الموظفون!$AE69="",الموظفون!$AE69&gt;$F$3),$F$3,الموظفون!$AE69)-الموظفون!$H69+1-SUMIFS('سجل الإجازات والحالات'!$AQ$6:$AQ$505,'سجل الإجازات والحالات'!$B$6:$B$505,$B69))/cfg_DAYS_Y)</f>
        <v/>
      </c>
      <c r="AI69" s="160" t="str">
        <f aca="false">IF($B69="","",MAX(0,IF(OR(الموظفون!$AE69="",الموظفون!$AE69&gt;($E$3-1)),($E$3-1),الموظفون!$AE69)-الموظفون!$H69+1-SUMIFS('سجل الإجازات والحالات'!$AP$6:$AP$505,'سجل الإجازات والحالات'!$B$6:$B$505,$B69))/cfg_DAYS_Y)</f>
        <v/>
      </c>
      <c r="AJ69" s="133" t="str">
        <f aca="false">IF($B69="","",MAX(0,AK69-(SUMIFS('سجل الإجازات والحالات'!$AQ$6:$AQ$505,'سجل الإجازات والحالات'!$B$6:$B$505,$B69)-SUMIFS('سجل الإجازات والحالات'!$AP$6:$AP$505,'سجل الإجازات والحالات'!$B$6:$B$505,$B69))))</f>
        <v/>
      </c>
      <c r="AK69" s="133" t="str">
        <f aca="false">IF($B69="","",MAX(0,IF(OR(الموظفون!$AE69="",الموظفون!$AE69&gt;$F$3),$F$3,الموظفون!$AE69)-MAX($E$3,الموظفون!$H69)+1))</f>
        <v/>
      </c>
      <c r="AL69" s="156" t="str">
        <f aca="false">IF($B69="","",SUMIFS('سجل الإجازات والحالات'!$BC$6:$BC$505,'سجل الإجازات والحالات'!$B$6:$B$505,$B69)+SUMIFS('الحركات الشهرية'!$K$6:$K$1005,'الحركات الشهرية'!$B$6:$B$1005,$B69,'الحركات الشهرية'!$A$6:$A$1005,$C$3))</f>
        <v/>
      </c>
      <c r="AM69" s="116" t="str">
        <f aca="false">IF($B69="","",AL69*الموظفون!$R69/cfg_DAYS_M+S69)</f>
        <v/>
      </c>
      <c r="AN69" s="156" t="str">
        <f aca="false">IF($B69="","",SUMIFS('سجل الإجازات والحالات'!$AE$6:$AE$505,'سجل الإجازات والحالات'!$B$6:$B$505,$B69))</f>
        <v/>
      </c>
    </row>
    <row r="70" customFormat="false" ht="15" hidden="false" customHeight="false" outlineLevel="0" collapsed="false">
      <c r="A70" s="106" t="str">
        <f aca="false">IF($B70="","",الموظفون!$A70)</f>
        <v/>
      </c>
      <c r="B70" s="114" t="str">
        <f aca="false">IF(الموظفون!$B70="","",الموظفون!$B70)</f>
        <v/>
      </c>
      <c r="C70" s="114" t="str">
        <f aca="false">IF($B70="","",الموظفون!$C70)</f>
        <v/>
      </c>
      <c r="D70" s="114" t="str">
        <f aca="false">IF($B70="","",الموظفون!$F70)</f>
        <v/>
      </c>
      <c r="E70" s="114" t="str">
        <f aca="false">IF($B70="","",الموظفون!$E70)</f>
        <v/>
      </c>
      <c r="F70" s="114" t="str">
        <f aca="false">IF($B70="","",IF(AK70=0,IF(AND(الموظفون!$AE70&lt;&gt;"",الموظفون!$AE70&lt;$E$3),"✖ منتهي الخدمة","⏳ لم يباشر"),IF(S70&gt;0,"✈ راتب إجازة مقدم",IF(J70=0,"⛔ بدون راتب هذا الشهر",IF(I70&gt;0,"✈ خصم "&amp;ROUND(I70,2)&amp;" يوم بدون أجر",IF(AL70&gt;0,"🌴 إجازة سنوية "&amp;ROUND(AL70,2)&amp;" يوم",IF(H70&gt;0,"⚠ غياب "&amp;ROUND(H70,2)&amp;" يوم","✔ على رأس العمل")))))))</f>
        <v/>
      </c>
      <c r="G70" s="151" t="str">
        <f aca="false">IF($B70="","",IF(AK70&gt;=DAY($F$3),cfg_DAYS_M,MIN(AK70,cfg_DAYS_M)))</f>
        <v/>
      </c>
      <c r="H70" s="151" t="str">
        <f aca="false">IF($B70="","",SUMIFS('الحركات الشهرية'!$D$6:$D$1005,'الحركات الشهرية'!$B$6:$B$1005,$B70,'الحركات الشهرية'!$A$6:$A$1005,$C$3))</f>
        <v/>
      </c>
      <c r="I70" s="151" t="str">
        <f aca="false">IF($B70="","",MIN(G70,IF(AND(AK70&gt;0,AN70&gt;=AK70),G70,AN70)+SUMIFS('الحركات الشهرية'!$E$6:$E$1005,'الحركات الشهرية'!$B$6:$B$1005,$B70,'الحركات الشهرية'!$A$6:$A$1005,$C$3)))</f>
        <v/>
      </c>
      <c r="J70" s="151" t="str">
        <f aca="false">IF($B70="","",MAX(0,G70-H70-I70))</f>
        <v/>
      </c>
      <c r="K70" s="111" t="str">
        <f aca="false">IF($B70="","",الموظفون!$L70*$J70/cfg_DAYS_M)</f>
        <v/>
      </c>
      <c r="L70" s="111" t="str">
        <f aca="false">IF($B70="","",الموظفون!$M70*$J70/cfg_DAYS_M)</f>
        <v/>
      </c>
      <c r="M70" s="111" t="str">
        <f aca="false">IF($B70="","",الموظفون!$N70*$J70/cfg_DAYS_M)</f>
        <v/>
      </c>
      <c r="N70" s="111" t="str">
        <f aca="false">IF($B70="","",الموظفون!$O70*$J70/cfg_DAYS_M)</f>
        <v/>
      </c>
      <c r="O70" s="151" t="str">
        <f aca="false">IF($B70="","",SUMIFS('الحركات الشهرية'!$F$6:$F$1005,'الحركات الشهرية'!$B$6:$B$1005,$B70,'الحركات الشهرية'!$A$6:$A$1005,$C$3))</f>
        <v/>
      </c>
      <c r="P70" s="111" t="str">
        <f aca="false">IF($B70="","",O70*(الموظفون!$P70+الموظفون!$L70*cfg_OT_P)/cfg_DAYS_M/cfg_HRS)</f>
        <v/>
      </c>
      <c r="Q70" s="111" t="str">
        <f aca="false">IF($B70="","",SUMIFS('الحركات الشهرية'!$G$6:$G$1005,'الحركات الشهرية'!$B$6:$B$1005,$B70,'الحركات الشهرية'!$A$6:$A$1005,$C$3))</f>
        <v/>
      </c>
      <c r="R70" s="111" t="str">
        <f aca="false">IF($B70="","",SUMIFS('الحركات الشهرية'!$H$6:$H$1005,'الحركات الشهرية'!$B$6:$B$1005,$B70,'الحركات الشهرية'!$A$6:$A$1005,$C$3))</f>
        <v/>
      </c>
      <c r="S70" s="111" t="str">
        <f aca="false">IF($B70="","",SUMIFS('سجل الإجازات والحالات'!$N$6:$N$505,'سجل الإجازات والحالات'!$B$6:$B$505,$B70,'سجل الإجازات والحالات'!$O$6:$O$505,$C$3))</f>
        <v/>
      </c>
      <c r="T70" s="152" t="str">
        <f aca="false">IF($B70="","",SUM(K70:N70)+SUM(P70:S70))</f>
        <v/>
      </c>
      <c r="U70" s="111" t="str">
        <f aca="false">IF($B70="","",الموظفون!$S70*IF(E70="سعودي",cfg_G_SE,cfg_G_NE)*G70/cfg_DAYS_M)</f>
        <v/>
      </c>
      <c r="V70" s="111" t="str">
        <f aca="false">IF($B70="","",SUMIFS('الحركات الشهرية'!$I$6:$I$1005,'الحركات الشهرية'!$B$6:$B$1005,$B70,'الحركات الشهرية'!$A$6:$A$1005,$C$3))</f>
        <v/>
      </c>
      <c r="W70" s="111" t="str">
        <f aca="false">IF($B70="","",SUMIFS('الحركات الشهرية'!$J$6:$J$1005,'الحركات الشهرية'!$B$6:$B$1005,$B70,'الحركات الشهرية'!$A$6:$A$1005,$C$3))</f>
        <v/>
      </c>
      <c r="X70" s="111" t="str">
        <f aca="false">IF($B70="","",SUM(U70:W70))</f>
        <v/>
      </c>
      <c r="Y70" s="153" t="str">
        <f aca="false">IF($B70="","",T70-X70)</f>
        <v/>
      </c>
      <c r="Z70" s="111" t="str">
        <f aca="false">IF($B70="","",الموظفون!$S70*IF(E70="سعودي",cfg_G_SR,cfg_G_NR)*G70/cfg_DAYS_M)</f>
        <v/>
      </c>
      <c r="AA70" s="111" t="str">
        <f aca="false">IF($B70="","",الموظفون!$Q70*(cfg_EOS_R1*(MIN(AH70,cfg_EOS_TH)-MIN(AI70,cfg_EOS_TH))+cfg_EOS_R2*(MAX(AH70-cfg_EOS_TH,0)-MAX(AI70-cfg_EOS_TH,0))))</f>
        <v/>
      </c>
      <c r="AB70" s="111" t="str">
        <f aca="false">IF($B70="","",IF(الموظفون!$T70&lt;&gt;"",الموظفون!$T70,IF(AH70&gt;=cfg_LV_TH,cfg_LV_D2,cfg_LV_D1))/cfg_DAYS_Y*AJ70*الموظفون!$R70/cfg_DAYS_M)</f>
        <v/>
      </c>
      <c r="AC70" s="111" t="str">
        <f aca="false">IF($B70="","",IF(AND(الموظفون!$U70="نعم",N(الموظفون!$W70)&gt;0),الموظفون!$V70/الموظفون!$W70*12/cfg_DAYS_Y*AJ70,0))</f>
        <v/>
      </c>
      <c r="AD70" s="111" t="str">
        <f aca="false">IF($B70="","",(IF(الموظفون!$X70&lt;&gt;"",الموظفون!$X70,IF(الموظفون!$E70="غير سعودي",cfg_IQ,0))+IF(الموظفون!$Y70&lt;&gt;"",الموظفون!$Y70,IF(الموظفون!$E70="غير سعودي",cfg_WP,0)))/12*G70/cfg_DAYS_M)</f>
        <v/>
      </c>
      <c r="AE70" s="111" t="str">
        <f aca="false">IF($B70="","",IF(الموظفون!$Z70&lt;&gt;"",الموظفون!$Z70,cfg_MED)/12*G70/cfg_DAYS_M)</f>
        <v/>
      </c>
      <c r="AF70" s="111" t="str">
        <f aca="false">IF($B70="","",N(الموظفون!$AA70)/12*G70/cfg_DAYS_M)</f>
        <v/>
      </c>
      <c r="AG70" s="154" t="str">
        <f aca="false">IF($B70="","",T70+SUM(Z70:AF70))</f>
        <v/>
      </c>
      <c r="AH70" s="155" t="str">
        <f aca="false">IF($B70="","",MAX(0,IF(OR(الموظفون!$AE70="",الموظفون!$AE70&gt;$F$3),$F$3,الموظفون!$AE70)-الموظفون!$H70+1-SUMIFS('سجل الإجازات والحالات'!$AQ$6:$AQ$505,'سجل الإجازات والحالات'!$B$6:$B$505,$B70))/cfg_DAYS_Y)</f>
        <v/>
      </c>
      <c r="AI70" s="155" t="str">
        <f aca="false">IF($B70="","",MAX(0,IF(OR(الموظفون!$AE70="",الموظفون!$AE70&gt;($E$3-1)),($E$3-1),الموظفون!$AE70)-الموظفون!$H70+1-SUMIFS('سجل الإجازات والحالات'!$AP$6:$AP$505,'سجل الإجازات والحالات'!$B$6:$B$505,$B70))/cfg_DAYS_Y)</f>
        <v/>
      </c>
      <c r="AJ70" s="65" t="str">
        <f aca="false">IF($B70="","",MAX(0,AK70-(SUMIFS('سجل الإجازات والحالات'!$AQ$6:$AQ$505,'سجل الإجازات والحالات'!$B$6:$B$505,$B70)-SUMIFS('سجل الإجازات والحالات'!$AP$6:$AP$505,'سجل الإجازات والحالات'!$B$6:$B$505,$B70))))</f>
        <v/>
      </c>
      <c r="AK70" s="65" t="str">
        <f aca="false">IF($B70="","",MAX(0,IF(OR(الموظفون!$AE70="",الموظفون!$AE70&gt;$F$3),$F$3,الموظفون!$AE70)-MAX($E$3,الموظفون!$H70)+1))</f>
        <v/>
      </c>
      <c r="AL70" s="151" t="str">
        <f aca="false">IF($B70="","",SUMIFS('سجل الإجازات والحالات'!$BC$6:$BC$505,'سجل الإجازات والحالات'!$B$6:$B$505,$B70)+SUMIFS('الحركات الشهرية'!$K$6:$K$1005,'الحركات الشهرية'!$B$6:$B$1005,$B70,'الحركات الشهرية'!$A$6:$A$1005,$C$3))</f>
        <v/>
      </c>
      <c r="AM70" s="111" t="str">
        <f aca="false">IF($B70="","",AL70*الموظفون!$R70/cfg_DAYS_M+S70)</f>
        <v/>
      </c>
      <c r="AN70" s="151" t="str">
        <f aca="false">IF($B70="","",SUMIFS('سجل الإجازات والحالات'!$AE$6:$AE$505,'سجل الإجازات والحالات'!$B$6:$B$505,$B70))</f>
        <v/>
      </c>
    </row>
    <row r="71" customFormat="false" ht="15" hidden="false" customHeight="false" outlineLevel="0" collapsed="false">
      <c r="A71" s="115" t="str">
        <f aca="false">IF($B71="","",الموظفون!$A71)</f>
        <v/>
      </c>
      <c r="B71" s="117" t="str">
        <f aca="false">IF(الموظفون!$B71="","",الموظفون!$B71)</f>
        <v/>
      </c>
      <c r="C71" s="117" t="str">
        <f aca="false">IF($B71="","",الموظفون!$C71)</f>
        <v/>
      </c>
      <c r="D71" s="117" t="str">
        <f aca="false">IF($B71="","",الموظفون!$F71)</f>
        <v/>
      </c>
      <c r="E71" s="117" t="str">
        <f aca="false">IF($B71="","",الموظفون!$E71)</f>
        <v/>
      </c>
      <c r="F71" s="117" t="str">
        <f aca="false">IF($B71="","",IF(AK71=0,IF(AND(الموظفون!$AE71&lt;&gt;"",الموظفون!$AE71&lt;$E$3),"✖ منتهي الخدمة","⏳ لم يباشر"),IF(S71&gt;0,"✈ راتب إجازة مقدم",IF(J71=0,"⛔ بدون راتب هذا الشهر",IF(I71&gt;0,"✈ خصم "&amp;ROUND(I71,2)&amp;" يوم بدون أجر",IF(AL71&gt;0,"🌴 إجازة سنوية "&amp;ROUND(AL71,2)&amp;" يوم",IF(H71&gt;0,"⚠ غياب "&amp;ROUND(H71,2)&amp;" يوم","✔ على رأس العمل")))))))</f>
        <v/>
      </c>
      <c r="G71" s="156" t="str">
        <f aca="false">IF($B71="","",IF(AK71&gt;=DAY($F$3),cfg_DAYS_M,MIN(AK71,cfg_DAYS_M)))</f>
        <v/>
      </c>
      <c r="H71" s="156" t="str">
        <f aca="false">IF($B71="","",SUMIFS('الحركات الشهرية'!$D$6:$D$1005,'الحركات الشهرية'!$B$6:$B$1005,$B71,'الحركات الشهرية'!$A$6:$A$1005,$C$3))</f>
        <v/>
      </c>
      <c r="I71" s="156" t="str">
        <f aca="false">IF($B71="","",MIN(G71,IF(AND(AK71&gt;0,AN71&gt;=AK71),G71,AN71)+SUMIFS('الحركات الشهرية'!$E$6:$E$1005,'الحركات الشهرية'!$B$6:$B$1005,$B71,'الحركات الشهرية'!$A$6:$A$1005,$C$3)))</f>
        <v/>
      </c>
      <c r="J71" s="156" t="str">
        <f aca="false">IF($B71="","",MAX(0,G71-H71-I71))</f>
        <v/>
      </c>
      <c r="K71" s="116" t="str">
        <f aca="false">IF($B71="","",الموظفون!$L71*$J71/cfg_DAYS_M)</f>
        <v/>
      </c>
      <c r="L71" s="116" t="str">
        <f aca="false">IF($B71="","",الموظفون!$M71*$J71/cfg_DAYS_M)</f>
        <v/>
      </c>
      <c r="M71" s="116" t="str">
        <f aca="false">IF($B71="","",الموظفون!$N71*$J71/cfg_DAYS_M)</f>
        <v/>
      </c>
      <c r="N71" s="116" t="str">
        <f aca="false">IF($B71="","",الموظفون!$O71*$J71/cfg_DAYS_M)</f>
        <v/>
      </c>
      <c r="O71" s="156" t="str">
        <f aca="false">IF($B71="","",SUMIFS('الحركات الشهرية'!$F$6:$F$1005,'الحركات الشهرية'!$B$6:$B$1005,$B71,'الحركات الشهرية'!$A$6:$A$1005,$C$3))</f>
        <v/>
      </c>
      <c r="P71" s="116" t="str">
        <f aca="false">IF($B71="","",O71*(الموظفون!$P71+الموظفون!$L71*cfg_OT_P)/cfg_DAYS_M/cfg_HRS)</f>
        <v/>
      </c>
      <c r="Q71" s="116" t="str">
        <f aca="false">IF($B71="","",SUMIFS('الحركات الشهرية'!$G$6:$G$1005,'الحركات الشهرية'!$B$6:$B$1005,$B71,'الحركات الشهرية'!$A$6:$A$1005,$C$3))</f>
        <v/>
      </c>
      <c r="R71" s="116" t="str">
        <f aca="false">IF($B71="","",SUMIFS('الحركات الشهرية'!$H$6:$H$1005,'الحركات الشهرية'!$B$6:$B$1005,$B71,'الحركات الشهرية'!$A$6:$A$1005,$C$3))</f>
        <v/>
      </c>
      <c r="S71" s="116" t="str">
        <f aca="false">IF($B71="","",SUMIFS('سجل الإجازات والحالات'!$N$6:$N$505,'سجل الإجازات والحالات'!$B$6:$B$505,$B71,'سجل الإجازات والحالات'!$O$6:$O$505,$C$3))</f>
        <v/>
      </c>
      <c r="T71" s="157" t="str">
        <f aca="false">IF($B71="","",SUM(K71:N71)+SUM(P71:S71))</f>
        <v/>
      </c>
      <c r="U71" s="116" t="str">
        <f aca="false">IF($B71="","",الموظفون!$S71*IF(E71="سعودي",cfg_G_SE,cfg_G_NE)*G71/cfg_DAYS_M)</f>
        <v/>
      </c>
      <c r="V71" s="116" t="str">
        <f aca="false">IF($B71="","",SUMIFS('الحركات الشهرية'!$I$6:$I$1005,'الحركات الشهرية'!$B$6:$B$1005,$B71,'الحركات الشهرية'!$A$6:$A$1005,$C$3))</f>
        <v/>
      </c>
      <c r="W71" s="116" t="str">
        <f aca="false">IF($B71="","",SUMIFS('الحركات الشهرية'!$J$6:$J$1005,'الحركات الشهرية'!$B$6:$B$1005,$B71,'الحركات الشهرية'!$A$6:$A$1005,$C$3))</f>
        <v/>
      </c>
      <c r="X71" s="116" t="str">
        <f aca="false">IF($B71="","",SUM(U71:W71))</f>
        <v/>
      </c>
      <c r="Y71" s="158" t="str">
        <f aca="false">IF($B71="","",T71-X71)</f>
        <v/>
      </c>
      <c r="Z71" s="116" t="str">
        <f aca="false">IF($B71="","",الموظفون!$S71*IF(E71="سعودي",cfg_G_SR,cfg_G_NR)*G71/cfg_DAYS_M)</f>
        <v/>
      </c>
      <c r="AA71" s="116" t="str">
        <f aca="false">IF($B71="","",الموظفون!$Q71*(cfg_EOS_R1*(MIN(AH71,cfg_EOS_TH)-MIN(AI71,cfg_EOS_TH))+cfg_EOS_R2*(MAX(AH71-cfg_EOS_TH,0)-MAX(AI71-cfg_EOS_TH,0))))</f>
        <v/>
      </c>
      <c r="AB71" s="116" t="str">
        <f aca="false">IF($B71="","",IF(الموظفون!$T71&lt;&gt;"",الموظفون!$T71,IF(AH71&gt;=cfg_LV_TH,cfg_LV_D2,cfg_LV_D1))/cfg_DAYS_Y*AJ71*الموظفون!$R71/cfg_DAYS_M)</f>
        <v/>
      </c>
      <c r="AC71" s="116" t="str">
        <f aca="false">IF($B71="","",IF(AND(الموظفون!$U71="نعم",N(الموظفون!$W71)&gt;0),الموظفون!$V71/الموظفون!$W71*12/cfg_DAYS_Y*AJ71,0))</f>
        <v/>
      </c>
      <c r="AD71" s="116" t="str">
        <f aca="false">IF($B71="","",(IF(الموظفون!$X71&lt;&gt;"",الموظفون!$X71,IF(الموظفون!$E71="غير سعودي",cfg_IQ,0))+IF(الموظفون!$Y71&lt;&gt;"",الموظفون!$Y71,IF(الموظفون!$E71="غير سعودي",cfg_WP,0)))/12*G71/cfg_DAYS_M)</f>
        <v/>
      </c>
      <c r="AE71" s="116" t="str">
        <f aca="false">IF($B71="","",IF(الموظفون!$Z71&lt;&gt;"",الموظفون!$Z71,cfg_MED)/12*G71/cfg_DAYS_M)</f>
        <v/>
      </c>
      <c r="AF71" s="116" t="str">
        <f aca="false">IF($B71="","",N(الموظفون!$AA71)/12*G71/cfg_DAYS_M)</f>
        <v/>
      </c>
      <c r="AG71" s="159" t="str">
        <f aca="false">IF($B71="","",T71+SUM(Z71:AF71))</f>
        <v/>
      </c>
      <c r="AH71" s="160" t="str">
        <f aca="false">IF($B71="","",MAX(0,IF(OR(الموظفون!$AE71="",الموظفون!$AE71&gt;$F$3),$F$3,الموظفون!$AE71)-الموظفون!$H71+1-SUMIFS('سجل الإجازات والحالات'!$AQ$6:$AQ$505,'سجل الإجازات والحالات'!$B$6:$B$505,$B71))/cfg_DAYS_Y)</f>
        <v/>
      </c>
      <c r="AI71" s="160" t="str">
        <f aca="false">IF($B71="","",MAX(0,IF(OR(الموظفون!$AE71="",الموظفون!$AE71&gt;($E$3-1)),($E$3-1),الموظفون!$AE71)-الموظفون!$H71+1-SUMIFS('سجل الإجازات والحالات'!$AP$6:$AP$505,'سجل الإجازات والحالات'!$B$6:$B$505,$B71))/cfg_DAYS_Y)</f>
        <v/>
      </c>
      <c r="AJ71" s="133" t="str">
        <f aca="false">IF($B71="","",MAX(0,AK71-(SUMIFS('سجل الإجازات والحالات'!$AQ$6:$AQ$505,'سجل الإجازات والحالات'!$B$6:$B$505,$B71)-SUMIFS('سجل الإجازات والحالات'!$AP$6:$AP$505,'سجل الإجازات والحالات'!$B$6:$B$505,$B71))))</f>
        <v/>
      </c>
      <c r="AK71" s="133" t="str">
        <f aca="false">IF($B71="","",MAX(0,IF(OR(الموظفون!$AE71="",الموظفون!$AE71&gt;$F$3),$F$3,الموظفون!$AE71)-MAX($E$3,الموظفون!$H71)+1))</f>
        <v/>
      </c>
      <c r="AL71" s="156" t="str">
        <f aca="false">IF($B71="","",SUMIFS('سجل الإجازات والحالات'!$BC$6:$BC$505,'سجل الإجازات والحالات'!$B$6:$B$505,$B71)+SUMIFS('الحركات الشهرية'!$K$6:$K$1005,'الحركات الشهرية'!$B$6:$B$1005,$B71,'الحركات الشهرية'!$A$6:$A$1005,$C$3))</f>
        <v/>
      </c>
      <c r="AM71" s="116" t="str">
        <f aca="false">IF($B71="","",AL71*الموظفون!$R71/cfg_DAYS_M+S71)</f>
        <v/>
      </c>
      <c r="AN71" s="156" t="str">
        <f aca="false">IF($B71="","",SUMIFS('سجل الإجازات والحالات'!$AE$6:$AE$505,'سجل الإجازات والحالات'!$B$6:$B$505,$B71))</f>
        <v/>
      </c>
    </row>
    <row r="72" customFormat="false" ht="15" hidden="false" customHeight="false" outlineLevel="0" collapsed="false">
      <c r="A72" s="106" t="str">
        <f aca="false">IF($B72="","",الموظفون!$A72)</f>
        <v/>
      </c>
      <c r="B72" s="114" t="str">
        <f aca="false">IF(الموظفون!$B72="","",الموظفون!$B72)</f>
        <v/>
      </c>
      <c r="C72" s="114" t="str">
        <f aca="false">IF($B72="","",الموظفون!$C72)</f>
        <v/>
      </c>
      <c r="D72" s="114" t="str">
        <f aca="false">IF($B72="","",الموظفون!$F72)</f>
        <v/>
      </c>
      <c r="E72" s="114" t="str">
        <f aca="false">IF($B72="","",الموظفون!$E72)</f>
        <v/>
      </c>
      <c r="F72" s="114" t="str">
        <f aca="false">IF($B72="","",IF(AK72=0,IF(AND(الموظفون!$AE72&lt;&gt;"",الموظفون!$AE72&lt;$E$3),"✖ منتهي الخدمة","⏳ لم يباشر"),IF(S72&gt;0,"✈ راتب إجازة مقدم",IF(J72=0,"⛔ بدون راتب هذا الشهر",IF(I72&gt;0,"✈ خصم "&amp;ROUND(I72,2)&amp;" يوم بدون أجر",IF(AL72&gt;0,"🌴 إجازة سنوية "&amp;ROUND(AL72,2)&amp;" يوم",IF(H72&gt;0,"⚠ غياب "&amp;ROUND(H72,2)&amp;" يوم","✔ على رأس العمل")))))))</f>
        <v/>
      </c>
      <c r="G72" s="151" t="str">
        <f aca="false">IF($B72="","",IF(AK72&gt;=DAY($F$3),cfg_DAYS_M,MIN(AK72,cfg_DAYS_M)))</f>
        <v/>
      </c>
      <c r="H72" s="151" t="str">
        <f aca="false">IF($B72="","",SUMIFS('الحركات الشهرية'!$D$6:$D$1005,'الحركات الشهرية'!$B$6:$B$1005,$B72,'الحركات الشهرية'!$A$6:$A$1005,$C$3))</f>
        <v/>
      </c>
      <c r="I72" s="151" t="str">
        <f aca="false">IF($B72="","",MIN(G72,IF(AND(AK72&gt;0,AN72&gt;=AK72),G72,AN72)+SUMIFS('الحركات الشهرية'!$E$6:$E$1005,'الحركات الشهرية'!$B$6:$B$1005,$B72,'الحركات الشهرية'!$A$6:$A$1005,$C$3)))</f>
        <v/>
      </c>
      <c r="J72" s="151" t="str">
        <f aca="false">IF($B72="","",MAX(0,G72-H72-I72))</f>
        <v/>
      </c>
      <c r="K72" s="111" t="str">
        <f aca="false">IF($B72="","",الموظفون!$L72*$J72/cfg_DAYS_M)</f>
        <v/>
      </c>
      <c r="L72" s="111" t="str">
        <f aca="false">IF($B72="","",الموظفون!$M72*$J72/cfg_DAYS_M)</f>
        <v/>
      </c>
      <c r="M72" s="111" t="str">
        <f aca="false">IF($B72="","",الموظفون!$N72*$J72/cfg_DAYS_M)</f>
        <v/>
      </c>
      <c r="N72" s="111" t="str">
        <f aca="false">IF($B72="","",الموظفون!$O72*$J72/cfg_DAYS_M)</f>
        <v/>
      </c>
      <c r="O72" s="151" t="str">
        <f aca="false">IF($B72="","",SUMIFS('الحركات الشهرية'!$F$6:$F$1005,'الحركات الشهرية'!$B$6:$B$1005,$B72,'الحركات الشهرية'!$A$6:$A$1005,$C$3))</f>
        <v/>
      </c>
      <c r="P72" s="111" t="str">
        <f aca="false">IF($B72="","",O72*(الموظفون!$P72+الموظفون!$L72*cfg_OT_P)/cfg_DAYS_M/cfg_HRS)</f>
        <v/>
      </c>
      <c r="Q72" s="111" t="str">
        <f aca="false">IF($B72="","",SUMIFS('الحركات الشهرية'!$G$6:$G$1005,'الحركات الشهرية'!$B$6:$B$1005,$B72,'الحركات الشهرية'!$A$6:$A$1005,$C$3))</f>
        <v/>
      </c>
      <c r="R72" s="111" t="str">
        <f aca="false">IF($B72="","",SUMIFS('الحركات الشهرية'!$H$6:$H$1005,'الحركات الشهرية'!$B$6:$B$1005,$B72,'الحركات الشهرية'!$A$6:$A$1005,$C$3))</f>
        <v/>
      </c>
      <c r="S72" s="111" t="str">
        <f aca="false">IF($B72="","",SUMIFS('سجل الإجازات والحالات'!$N$6:$N$505,'سجل الإجازات والحالات'!$B$6:$B$505,$B72,'سجل الإجازات والحالات'!$O$6:$O$505,$C$3))</f>
        <v/>
      </c>
      <c r="T72" s="152" t="str">
        <f aca="false">IF($B72="","",SUM(K72:N72)+SUM(P72:S72))</f>
        <v/>
      </c>
      <c r="U72" s="111" t="str">
        <f aca="false">IF($B72="","",الموظفون!$S72*IF(E72="سعودي",cfg_G_SE,cfg_G_NE)*G72/cfg_DAYS_M)</f>
        <v/>
      </c>
      <c r="V72" s="111" t="str">
        <f aca="false">IF($B72="","",SUMIFS('الحركات الشهرية'!$I$6:$I$1005,'الحركات الشهرية'!$B$6:$B$1005,$B72,'الحركات الشهرية'!$A$6:$A$1005,$C$3))</f>
        <v/>
      </c>
      <c r="W72" s="111" t="str">
        <f aca="false">IF($B72="","",SUMIFS('الحركات الشهرية'!$J$6:$J$1005,'الحركات الشهرية'!$B$6:$B$1005,$B72,'الحركات الشهرية'!$A$6:$A$1005,$C$3))</f>
        <v/>
      </c>
      <c r="X72" s="111" t="str">
        <f aca="false">IF($B72="","",SUM(U72:W72))</f>
        <v/>
      </c>
      <c r="Y72" s="153" t="str">
        <f aca="false">IF($B72="","",T72-X72)</f>
        <v/>
      </c>
      <c r="Z72" s="111" t="str">
        <f aca="false">IF($B72="","",الموظفون!$S72*IF(E72="سعودي",cfg_G_SR,cfg_G_NR)*G72/cfg_DAYS_M)</f>
        <v/>
      </c>
      <c r="AA72" s="111" t="str">
        <f aca="false">IF($B72="","",الموظفون!$Q72*(cfg_EOS_R1*(MIN(AH72,cfg_EOS_TH)-MIN(AI72,cfg_EOS_TH))+cfg_EOS_R2*(MAX(AH72-cfg_EOS_TH,0)-MAX(AI72-cfg_EOS_TH,0))))</f>
        <v/>
      </c>
      <c r="AB72" s="111" t="str">
        <f aca="false">IF($B72="","",IF(الموظفون!$T72&lt;&gt;"",الموظفون!$T72,IF(AH72&gt;=cfg_LV_TH,cfg_LV_D2,cfg_LV_D1))/cfg_DAYS_Y*AJ72*الموظفون!$R72/cfg_DAYS_M)</f>
        <v/>
      </c>
      <c r="AC72" s="111" t="str">
        <f aca="false">IF($B72="","",IF(AND(الموظفون!$U72="نعم",N(الموظفون!$W72)&gt;0),الموظفون!$V72/الموظفون!$W72*12/cfg_DAYS_Y*AJ72,0))</f>
        <v/>
      </c>
      <c r="AD72" s="111" t="str">
        <f aca="false">IF($B72="","",(IF(الموظفون!$X72&lt;&gt;"",الموظفون!$X72,IF(الموظفون!$E72="غير سعودي",cfg_IQ,0))+IF(الموظفون!$Y72&lt;&gt;"",الموظفون!$Y72,IF(الموظفون!$E72="غير سعودي",cfg_WP,0)))/12*G72/cfg_DAYS_M)</f>
        <v/>
      </c>
      <c r="AE72" s="111" t="str">
        <f aca="false">IF($B72="","",IF(الموظفون!$Z72&lt;&gt;"",الموظفون!$Z72,cfg_MED)/12*G72/cfg_DAYS_M)</f>
        <v/>
      </c>
      <c r="AF72" s="111" t="str">
        <f aca="false">IF($B72="","",N(الموظفون!$AA72)/12*G72/cfg_DAYS_M)</f>
        <v/>
      </c>
      <c r="AG72" s="154" t="str">
        <f aca="false">IF($B72="","",T72+SUM(Z72:AF72))</f>
        <v/>
      </c>
      <c r="AH72" s="155" t="str">
        <f aca="false">IF($B72="","",MAX(0,IF(OR(الموظفون!$AE72="",الموظفون!$AE72&gt;$F$3),$F$3,الموظفون!$AE72)-الموظفون!$H72+1-SUMIFS('سجل الإجازات والحالات'!$AQ$6:$AQ$505,'سجل الإجازات والحالات'!$B$6:$B$505,$B72))/cfg_DAYS_Y)</f>
        <v/>
      </c>
      <c r="AI72" s="155" t="str">
        <f aca="false">IF($B72="","",MAX(0,IF(OR(الموظفون!$AE72="",الموظفون!$AE72&gt;($E$3-1)),($E$3-1),الموظفون!$AE72)-الموظفون!$H72+1-SUMIFS('سجل الإجازات والحالات'!$AP$6:$AP$505,'سجل الإجازات والحالات'!$B$6:$B$505,$B72))/cfg_DAYS_Y)</f>
        <v/>
      </c>
      <c r="AJ72" s="65" t="str">
        <f aca="false">IF($B72="","",MAX(0,AK72-(SUMIFS('سجل الإجازات والحالات'!$AQ$6:$AQ$505,'سجل الإجازات والحالات'!$B$6:$B$505,$B72)-SUMIFS('سجل الإجازات والحالات'!$AP$6:$AP$505,'سجل الإجازات والحالات'!$B$6:$B$505,$B72))))</f>
        <v/>
      </c>
      <c r="AK72" s="65" t="str">
        <f aca="false">IF($B72="","",MAX(0,IF(OR(الموظفون!$AE72="",الموظفون!$AE72&gt;$F$3),$F$3,الموظفون!$AE72)-MAX($E$3,الموظفون!$H72)+1))</f>
        <v/>
      </c>
      <c r="AL72" s="151" t="str">
        <f aca="false">IF($B72="","",SUMIFS('سجل الإجازات والحالات'!$BC$6:$BC$505,'سجل الإجازات والحالات'!$B$6:$B$505,$B72)+SUMIFS('الحركات الشهرية'!$K$6:$K$1005,'الحركات الشهرية'!$B$6:$B$1005,$B72,'الحركات الشهرية'!$A$6:$A$1005,$C$3))</f>
        <v/>
      </c>
      <c r="AM72" s="111" t="str">
        <f aca="false">IF($B72="","",AL72*الموظفون!$R72/cfg_DAYS_M+S72)</f>
        <v/>
      </c>
      <c r="AN72" s="151" t="str">
        <f aca="false">IF($B72="","",SUMIFS('سجل الإجازات والحالات'!$AE$6:$AE$505,'سجل الإجازات والحالات'!$B$6:$B$505,$B72))</f>
        <v/>
      </c>
    </row>
    <row r="73" customFormat="false" ht="15" hidden="false" customHeight="false" outlineLevel="0" collapsed="false">
      <c r="A73" s="115" t="str">
        <f aca="false">IF($B73="","",الموظفون!$A73)</f>
        <v/>
      </c>
      <c r="B73" s="117" t="str">
        <f aca="false">IF(الموظفون!$B73="","",الموظفون!$B73)</f>
        <v/>
      </c>
      <c r="C73" s="117" t="str">
        <f aca="false">IF($B73="","",الموظفون!$C73)</f>
        <v/>
      </c>
      <c r="D73" s="117" t="str">
        <f aca="false">IF($B73="","",الموظفون!$F73)</f>
        <v/>
      </c>
      <c r="E73" s="117" t="str">
        <f aca="false">IF($B73="","",الموظفون!$E73)</f>
        <v/>
      </c>
      <c r="F73" s="117" t="str">
        <f aca="false">IF($B73="","",IF(AK73=0,IF(AND(الموظفون!$AE73&lt;&gt;"",الموظفون!$AE73&lt;$E$3),"✖ منتهي الخدمة","⏳ لم يباشر"),IF(S73&gt;0,"✈ راتب إجازة مقدم",IF(J73=0,"⛔ بدون راتب هذا الشهر",IF(I73&gt;0,"✈ خصم "&amp;ROUND(I73,2)&amp;" يوم بدون أجر",IF(AL73&gt;0,"🌴 إجازة سنوية "&amp;ROUND(AL73,2)&amp;" يوم",IF(H73&gt;0,"⚠ غياب "&amp;ROUND(H73,2)&amp;" يوم","✔ على رأس العمل")))))))</f>
        <v/>
      </c>
      <c r="G73" s="156" t="str">
        <f aca="false">IF($B73="","",IF(AK73&gt;=DAY($F$3),cfg_DAYS_M,MIN(AK73,cfg_DAYS_M)))</f>
        <v/>
      </c>
      <c r="H73" s="156" t="str">
        <f aca="false">IF($B73="","",SUMIFS('الحركات الشهرية'!$D$6:$D$1005,'الحركات الشهرية'!$B$6:$B$1005,$B73,'الحركات الشهرية'!$A$6:$A$1005,$C$3))</f>
        <v/>
      </c>
      <c r="I73" s="156" t="str">
        <f aca="false">IF($B73="","",MIN(G73,IF(AND(AK73&gt;0,AN73&gt;=AK73),G73,AN73)+SUMIFS('الحركات الشهرية'!$E$6:$E$1005,'الحركات الشهرية'!$B$6:$B$1005,$B73,'الحركات الشهرية'!$A$6:$A$1005,$C$3)))</f>
        <v/>
      </c>
      <c r="J73" s="156" t="str">
        <f aca="false">IF($B73="","",MAX(0,G73-H73-I73))</f>
        <v/>
      </c>
      <c r="K73" s="116" t="str">
        <f aca="false">IF($B73="","",الموظفون!$L73*$J73/cfg_DAYS_M)</f>
        <v/>
      </c>
      <c r="L73" s="116" t="str">
        <f aca="false">IF($B73="","",الموظفون!$M73*$J73/cfg_DAYS_M)</f>
        <v/>
      </c>
      <c r="M73" s="116" t="str">
        <f aca="false">IF($B73="","",الموظفون!$N73*$J73/cfg_DAYS_M)</f>
        <v/>
      </c>
      <c r="N73" s="116" t="str">
        <f aca="false">IF($B73="","",الموظفون!$O73*$J73/cfg_DAYS_M)</f>
        <v/>
      </c>
      <c r="O73" s="156" t="str">
        <f aca="false">IF($B73="","",SUMIFS('الحركات الشهرية'!$F$6:$F$1005,'الحركات الشهرية'!$B$6:$B$1005,$B73,'الحركات الشهرية'!$A$6:$A$1005,$C$3))</f>
        <v/>
      </c>
      <c r="P73" s="116" t="str">
        <f aca="false">IF($B73="","",O73*(الموظفون!$P73+الموظفون!$L73*cfg_OT_P)/cfg_DAYS_M/cfg_HRS)</f>
        <v/>
      </c>
      <c r="Q73" s="116" t="str">
        <f aca="false">IF($B73="","",SUMIFS('الحركات الشهرية'!$G$6:$G$1005,'الحركات الشهرية'!$B$6:$B$1005,$B73,'الحركات الشهرية'!$A$6:$A$1005,$C$3))</f>
        <v/>
      </c>
      <c r="R73" s="116" t="str">
        <f aca="false">IF($B73="","",SUMIFS('الحركات الشهرية'!$H$6:$H$1005,'الحركات الشهرية'!$B$6:$B$1005,$B73,'الحركات الشهرية'!$A$6:$A$1005,$C$3))</f>
        <v/>
      </c>
      <c r="S73" s="116" t="str">
        <f aca="false">IF($B73="","",SUMIFS('سجل الإجازات والحالات'!$N$6:$N$505,'سجل الإجازات والحالات'!$B$6:$B$505,$B73,'سجل الإجازات والحالات'!$O$6:$O$505,$C$3))</f>
        <v/>
      </c>
      <c r="T73" s="157" t="str">
        <f aca="false">IF($B73="","",SUM(K73:N73)+SUM(P73:S73))</f>
        <v/>
      </c>
      <c r="U73" s="116" t="str">
        <f aca="false">IF($B73="","",الموظفون!$S73*IF(E73="سعودي",cfg_G_SE,cfg_G_NE)*G73/cfg_DAYS_M)</f>
        <v/>
      </c>
      <c r="V73" s="116" t="str">
        <f aca="false">IF($B73="","",SUMIFS('الحركات الشهرية'!$I$6:$I$1005,'الحركات الشهرية'!$B$6:$B$1005,$B73,'الحركات الشهرية'!$A$6:$A$1005,$C$3))</f>
        <v/>
      </c>
      <c r="W73" s="116" t="str">
        <f aca="false">IF($B73="","",SUMIFS('الحركات الشهرية'!$J$6:$J$1005,'الحركات الشهرية'!$B$6:$B$1005,$B73,'الحركات الشهرية'!$A$6:$A$1005,$C$3))</f>
        <v/>
      </c>
      <c r="X73" s="116" t="str">
        <f aca="false">IF($B73="","",SUM(U73:W73))</f>
        <v/>
      </c>
      <c r="Y73" s="158" t="str">
        <f aca="false">IF($B73="","",T73-X73)</f>
        <v/>
      </c>
      <c r="Z73" s="116" t="str">
        <f aca="false">IF($B73="","",الموظفون!$S73*IF(E73="سعودي",cfg_G_SR,cfg_G_NR)*G73/cfg_DAYS_M)</f>
        <v/>
      </c>
      <c r="AA73" s="116" t="str">
        <f aca="false">IF($B73="","",الموظفون!$Q73*(cfg_EOS_R1*(MIN(AH73,cfg_EOS_TH)-MIN(AI73,cfg_EOS_TH))+cfg_EOS_R2*(MAX(AH73-cfg_EOS_TH,0)-MAX(AI73-cfg_EOS_TH,0))))</f>
        <v/>
      </c>
      <c r="AB73" s="116" t="str">
        <f aca="false">IF($B73="","",IF(الموظفون!$T73&lt;&gt;"",الموظفون!$T73,IF(AH73&gt;=cfg_LV_TH,cfg_LV_D2,cfg_LV_D1))/cfg_DAYS_Y*AJ73*الموظفون!$R73/cfg_DAYS_M)</f>
        <v/>
      </c>
      <c r="AC73" s="116" t="str">
        <f aca="false">IF($B73="","",IF(AND(الموظفون!$U73="نعم",N(الموظفون!$W73)&gt;0),الموظفون!$V73/الموظفون!$W73*12/cfg_DAYS_Y*AJ73,0))</f>
        <v/>
      </c>
      <c r="AD73" s="116" t="str">
        <f aca="false">IF($B73="","",(IF(الموظفون!$X73&lt;&gt;"",الموظفون!$X73,IF(الموظفون!$E73="غير سعودي",cfg_IQ,0))+IF(الموظفون!$Y73&lt;&gt;"",الموظفون!$Y73,IF(الموظفون!$E73="غير سعودي",cfg_WP,0)))/12*G73/cfg_DAYS_M)</f>
        <v/>
      </c>
      <c r="AE73" s="116" t="str">
        <f aca="false">IF($B73="","",IF(الموظفون!$Z73&lt;&gt;"",الموظفون!$Z73,cfg_MED)/12*G73/cfg_DAYS_M)</f>
        <v/>
      </c>
      <c r="AF73" s="116" t="str">
        <f aca="false">IF($B73="","",N(الموظفون!$AA73)/12*G73/cfg_DAYS_M)</f>
        <v/>
      </c>
      <c r="AG73" s="159" t="str">
        <f aca="false">IF($B73="","",T73+SUM(Z73:AF73))</f>
        <v/>
      </c>
      <c r="AH73" s="160" t="str">
        <f aca="false">IF($B73="","",MAX(0,IF(OR(الموظفون!$AE73="",الموظفون!$AE73&gt;$F$3),$F$3,الموظفون!$AE73)-الموظفون!$H73+1-SUMIFS('سجل الإجازات والحالات'!$AQ$6:$AQ$505,'سجل الإجازات والحالات'!$B$6:$B$505,$B73))/cfg_DAYS_Y)</f>
        <v/>
      </c>
      <c r="AI73" s="160" t="str">
        <f aca="false">IF($B73="","",MAX(0,IF(OR(الموظفون!$AE73="",الموظفون!$AE73&gt;($E$3-1)),($E$3-1),الموظفون!$AE73)-الموظفون!$H73+1-SUMIFS('سجل الإجازات والحالات'!$AP$6:$AP$505,'سجل الإجازات والحالات'!$B$6:$B$505,$B73))/cfg_DAYS_Y)</f>
        <v/>
      </c>
      <c r="AJ73" s="133" t="str">
        <f aca="false">IF($B73="","",MAX(0,AK73-(SUMIFS('سجل الإجازات والحالات'!$AQ$6:$AQ$505,'سجل الإجازات والحالات'!$B$6:$B$505,$B73)-SUMIFS('سجل الإجازات والحالات'!$AP$6:$AP$505,'سجل الإجازات والحالات'!$B$6:$B$505,$B73))))</f>
        <v/>
      </c>
      <c r="AK73" s="133" t="str">
        <f aca="false">IF($B73="","",MAX(0,IF(OR(الموظفون!$AE73="",الموظفون!$AE73&gt;$F$3),$F$3,الموظفون!$AE73)-MAX($E$3,الموظفون!$H73)+1))</f>
        <v/>
      </c>
      <c r="AL73" s="156" t="str">
        <f aca="false">IF($B73="","",SUMIFS('سجل الإجازات والحالات'!$BC$6:$BC$505,'سجل الإجازات والحالات'!$B$6:$B$505,$B73)+SUMIFS('الحركات الشهرية'!$K$6:$K$1005,'الحركات الشهرية'!$B$6:$B$1005,$B73,'الحركات الشهرية'!$A$6:$A$1005,$C$3))</f>
        <v/>
      </c>
      <c r="AM73" s="116" t="str">
        <f aca="false">IF($B73="","",AL73*الموظفون!$R73/cfg_DAYS_M+S73)</f>
        <v/>
      </c>
      <c r="AN73" s="156" t="str">
        <f aca="false">IF($B73="","",SUMIFS('سجل الإجازات والحالات'!$AE$6:$AE$505,'سجل الإجازات والحالات'!$B$6:$B$505,$B73))</f>
        <v/>
      </c>
    </row>
    <row r="74" customFormat="false" ht="15" hidden="false" customHeight="false" outlineLevel="0" collapsed="false">
      <c r="A74" s="106" t="str">
        <f aca="false">IF($B74="","",الموظفون!$A74)</f>
        <v/>
      </c>
      <c r="B74" s="114" t="str">
        <f aca="false">IF(الموظفون!$B74="","",الموظفون!$B74)</f>
        <v/>
      </c>
      <c r="C74" s="114" t="str">
        <f aca="false">IF($B74="","",الموظفون!$C74)</f>
        <v/>
      </c>
      <c r="D74" s="114" t="str">
        <f aca="false">IF($B74="","",الموظفون!$F74)</f>
        <v/>
      </c>
      <c r="E74" s="114" t="str">
        <f aca="false">IF($B74="","",الموظفون!$E74)</f>
        <v/>
      </c>
      <c r="F74" s="114" t="str">
        <f aca="false">IF($B74="","",IF(AK74=0,IF(AND(الموظفون!$AE74&lt;&gt;"",الموظفون!$AE74&lt;$E$3),"✖ منتهي الخدمة","⏳ لم يباشر"),IF(S74&gt;0,"✈ راتب إجازة مقدم",IF(J74=0,"⛔ بدون راتب هذا الشهر",IF(I74&gt;0,"✈ خصم "&amp;ROUND(I74,2)&amp;" يوم بدون أجر",IF(AL74&gt;0,"🌴 إجازة سنوية "&amp;ROUND(AL74,2)&amp;" يوم",IF(H74&gt;0,"⚠ غياب "&amp;ROUND(H74,2)&amp;" يوم","✔ على رأس العمل")))))))</f>
        <v/>
      </c>
      <c r="G74" s="151" t="str">
        <f aca="false">IF($B74="","",IF(AK74&gt;=DAY($F$3),cfg_DAYS_M,MIN(AK74,cfg_DAYS_M)))</f>
        <v/>
      </c>
      <c r="H74" s="151" t="str">
        <f aca="false">IF($B74="","",SUMIFS('الحركات الشهرية'!$D$6:$D$1005,'الحركات الشهرية'!$B$6:$B$1005,$B74,'الحركات الشهرية'!$A$6:$A$1005,$C$3))</f>
        <v/>
      </c>
      <c r="I74" s="151" t="str">
        <f aca="false">IF($B74="","",MIN(G74,IF(AND(AK74&gt;0,AN74&gt;=AK74),G74,AN74)+SUMIFS('الحركات الشهرية'!$E$6:$E$1005,'الحركات الشهرية'!$B$6:$B$1005,$B74,'الحركات الشهرية'!$A$6:$A$1005,$C$3)))</f>
        <v/>
      </c>
      <c r="J74" s="151" t="str">
        <f aca="false">IF($B74="","",MAX(0,G74-H74-I74))</f>
        <v/>
      </c>
      <c r="K74" s="111" t="str">
        <f aca="false">IF($B74="","",الموظفون!$L74*$J74/cfg_DAYS_M)</f>
        <v/>
      </c>
      <c r="L74" s="111" t="str">
        <f aca="false">IF($B74="","",الموظفون!$M74*$J74/cfg_DAYS_M)</f>
        <v/>
      </c>
      <c r="M74" s="111" t="str">
        <f aca="false">IF($B74="","",الموظفون!$N74*$J74/cfg_DAYS_M)</f>
        <v/>
      </c>
      <c r="N74" s="111" t="str">
        <f aca="false">IF($B74="","",الموظفون!$O74*$J74/cfg_DAYS_M)</f>
        <v/>
      </c>
      <c r="O74" s="151" t="str">
        <f aca="false">IF($B74="","",SUMIFS('الحركات الشهرية'!$F$6:$F$1005,'الحركات الشهرية'!$B$6:$B$1005,$B74,'الحركات الشهرية'!$A$6:$A$1005,$C$3))</f>
        <v/>
      </c>
      <c r="P74" s="111" t="str">
        <f aca="false">IF($B74="","",O74*(الموظفون!$P74+الموظفون!$L74*cfg_OT_P)/cfg_DAYS_M/cfg_HRS)</f>
        <v/>
      </c>
      <c r="Q74" s="111" t="str">
        <f aca="false">IF($B74="","",SUMIFS('الحركات الشهرية'!$G$6:$G$1005,'الحركات الشهرية'!$B$6:$B$1005,$B74,'الحركات الشهرية'!$A$6:$A$1005,$C$3))</f>
        <v/>
      </c>
      <c r="R74" s="111" t="str">
        <f aca="false">IF($B74="","",SUMIFS('الحركات الشهرية'!$H$6:$H$1005,'الحركات الشهرية'!$B$6:$B$1005,$B74,'الحركات الشهرية'!$A$6:$A$1005,$C$3))</f>
        <v/>
      </c>
      <c r="S74" s="111" t="str">
        <f aca="false">IF($B74="","",SUMIFS('سجل الإجازات والحالات'!$N$6:$N$505,'سجل الإجازات والحالات'!$B$6:$B$505,$B74,'سجل الإجازات والحالات'!$O$6:$O$505,$C$3))</f>
        <v/>
      </c>
      <c r="T74" s="152" t="str">
        <f aca="false">IF($B74="","",SUM(K74:N74)+SUM(P74:S74))</f>
        <v/>
      </c>
      <c r="U74" s="111" t="str">
        <f aca="false">IF($B74="","",الموظفون!$S74*IF(E74="سعودي",cfg_G_SE,cfg_G_NE)*G74/cfg_DAYS_M)</f>
        <v/>
      </c>
      <c r="V74" s="111" t="str">
        <f aca="false">IF($B74="","",SUMIFS('الحركات الشهرية'!$I$6:$I$1005,'الحركات الشهرية'!$B$6:$B$1005,$B74,'الحركات الشهرية'!$A$6:$A$1005,$C$3))</f>
        <v/>
      </c>
      <c r="W74" s="111" t="str">
        <f aca="false">IF($B74="","",SUMIFS('الحركات الشهرية'!$J$6:$J$1005,'الحركات الشهرية'!$B$6:$B$1005,$B74,'الحركات الشهرية'!$A$6:$A$1005,$C$3))</f>
        <v/>
      </c>
      <c r="X74" s="111" t="str">
        <f aca="false">IF($B74="","",SUM(U74:W74))</f>
        <v/>
      </c>
      <c r="Y74" s="153" t="str">
        <f aca="false">IF($B74="","",T74-X74)</f>
        <v/>
      </c>
      <c r="Z74" s="111" t="str">
        <f aca="false">IF($B74="","",الموظفون!$S74*IF(E74="سعودي",cfg_G_SR,cfg_G_NR)*G74/cfg_DAYS_M)</f>
        <v/>
      </c>
      <c r="AA74" s="111" t="str">
        <f aca="false">IF($B74="","",الموظفون!$Q74*(cfg_EOS_R1*(MIN(AH74,cfg_EOS_TH)-MIN(AI74,cfg_EOS_TH))+cfg_EOS_R2*(MAX(AH74-cfg_EOS_TH,0)-MAX(AI74-cfg_EOS_TH,0))))</f>
        <v/>
      </c>
      <c r="AB74" s="111" t="str">
        <f aca="false">IF($B74="","",IF(الموظفون!$T74&lt;&gt;"",الموظفون!$T74,IF(AH74&gt;=cfg_LV_TH,cfg_LV_D2,cfg_LV_D1))/cfg_DAYS_Y*AJ74*الموظفون!$R74/cfg_DAYS_M)</f>
        <v/>
      </c>
      <c r="AC74" s="111" t="str">
        <f aca="false">IF($B74="","",IF(AND(الموظفون!$U74="نعم",N(الموظفون!$W74)&gt;0),الموظفون!$V74/الموظفون!$W74*12/cfg_DAYS_Y*AJ74,0))</f>
        <v/>
      </c>
      <c r="AD74" s="111" t="str">
        <f aca="false">IF($B74="","",(IF(الموظفون!$X74&lt;&gt;"",الموظفون!$X74,IF(الموظفون!$E74="غير سعودي",cfg_IQ,0))+IF(الموظفون!$Y74&lt;&gt;"",الموظفون!$Y74,IF(الموظفون!$E74="غير سعودي",cfg_WP,0)))/12*G74/cfg_DAYS_M)</f>
        <v/>
      </c>
      <c r="AE74" s="111" t="str">
        <f aca="false">IF($B74="","",IF(الموظفون!$Z74&lt;&gt;"",الموظفون!$Z74,cfg_MED)/12*G74/cfg_DAYS_M)</f>
        <v/>
      </c>
      <c r="AF74" s="111" t="str">
        <f aca="false">IF($B74="","",N(الموظفون!$AA74)/12*G74/cfg_DAYS_M)</f>
        <v/>
      </c>
      <c r="AG74" s="154" t="str">
        <f aca="false">IF($B74="","",T74+SUM(Z74:AF74))</f>
        <v/>
      </c>
      <c r="AH74" s="155" t="str">
        <f aca="false">IF($B74="","",MAX(0,IF(OR(الموظفون!$AE74="",الموظفون!$AE74&gt;$F$3),$F$3,الموظفون!$AE74)-الموظفون!$H74+1-SUMIFS('سجل الإجازات والحالات'!$AQ$6:$AQ$505,'سجل الإجازات والحالات'!$B$6:$B$505,$B74))/cfg_DAYS_Y)</f>
        <v/>
      </c>
      <c r="AI74" s="155" t="str">
        <f aca="false">IF($B74="","",MAX(0,IF(OR(الموظفون!$AE74="",الموظفون!$AE74&gt;($E$3-1)),($E$3-1),الموظفون!$AE74)-الموظفون!$H74+1-SUMIFS('سجل الإجازات والحالات'!$AP$6:$AP$505,'سجل الإجازات والحالات'!$B$6:$B$505,$B74))/cfg_DAYS_Y)</f>
        <v/>
      </c>
      <c r="AJ74" s="65" t="str">
        <f aca="false">IF($B74="","",MAX(0,AK74-(SUMIFS('سجل الإجازات والحالات'!$AQ$6:$AQ$505,'سجل الإجازات والحالات'!$B$6:$B$505,$B74)-SUMIFS('سجل الإجازات والحالات'!$AP$6:$AP$505,'سجل الإجازات والحالات'!$B$6:$B$505,$B74))))</f>
        <v/>
      </c>
      <c r="AK74" s="65" t="str">
        <f aca="false">IF($B74="","",MAX(0,IF(OR(الموظفون!$AE74="",الموظفون!$AE74&gt;$F$3),$F$3,الموظفون!$AE74)-MAX($E$3,الموظفون!$H74)+1))</f>
        <v/>
      </c>
      <c r="AL74" s="151" t="str">
        <f aca="false">IF($B74="","",SUMIFS('سجل الإجازات والحالات'!$BC$6:$BC$505,'سجل الإجازات والحالات'!$B$6:$B$505,$B74)+SUMIFS('الحركات الشهرية'!$K$6:$K$1005,'الحركات الشهرية'!$B$6:$B$1005,$B74,'الحركات الشهرية'!$A$6:$A$1005,$C$3))</f>
        <v/>
      </c>
      <c r="AM74" s="111" t="str">
        <f aca="false">IF($B74="","",AL74*الموظفون!$R74/cfg_DAYS_M+S74)</f>
        <v/>
      </c>
      <c r="AN74" s="151" t="str">
        <f aca="false">IF($B74="","",SUMIFS('سجل الإجازات والحالات'!$AE$6:$AE$505,'سجل الإجازات والحالات'!$B$6:$B$505,$B74))</f>
        <v/>
      </c>
    </row>
    <row r="75" customFormat="false" ht="15" hidden="false" customHeight="false" outlineLevel="0" collapsed="false">
      <c r="A75" s="115" t="str">
        <f aca="false">IF($B75="","",الموظفون!$A75)</f>
        <v/>
      </c>
      <c r="B75" s="117" t="str">
        <f aca="false">IF(الموظفون!$B75="","",الموظفون!$B75)</f>
        <v/>
      </c>
      <c r="C75" s="117" t="str">
        <f aca="false">IF($B75="","",الموظفون!$C75)</f>
        <v/>
      </c>
      <c r="D75" s="117" t="str">
        <f aca="false">IF($B75="","",الموظفون!$F75)</f>
        <v/>
      </c>
      <c r="E75" s="117" t="str">
        <f aca="false">IF($B75="","",الموظفون!$E75)</f>
        <v/>
      </c>
      <c r="F75" s="117" t="str">
        <f aca="false">IF($B75="","",IF(AK75=0,IF(AND(الموظفون!$AE75&lt;&gt;"",الموظفون!$AE75&lt;$E$3),"✖ منتهي الخدمة","⏳ لم يباشر"),IF(S75&gt;0,"✈ راتب إجازة مقدم",IF(J75=0,"⛔ بدون راتب هذا الشهر",IF(I75&gt;0,"✈ خصم "&amp;ROUND(I75,2)&amp;" يوم بدون أجر",IF(AL75&gt;0,"🌴 إجازة سنوية "&amp;ROUND(AL75,2)&amp;" يوم",IF(H75&gt;0,"⚠ غياب "&amp;ROUND(H75,2)&amp;" يوم","✔ على رأس العمل")))))))</f>
        <v/>
      </c>
      <c r="G75" s="156" t="str">
        <f aca="false">IF($B75="","",IF(AK75&gt;=DAY($F$3),cfg_DAYS_M,MIN(AK75,cfg_DAYS_M)))</f>
        <v/>
      </c>
      <c r="H75" s="156" t="str">
        <f aca="false">IF($B75="","",SUMIFS('الحركات الشهرية'!$D$6:$D$1005,'الحركات الشهرية'!$B$6:$B$1005,$B75,'الحركات الشهرية'!$A$6:$A$1005,$C$3))</f>
        <v/>
      </c>
      <c r="I75" s="156" t="str">
        <f aca="false">IF($B75="","",MIN(G75,IF(AND(AK75&gt;0,AN75&gt;=AK75),G75,AN75)+SUMIFS('الحركات الشهرية'!$E$6:$E$1005,'الحركات الشهرية'!$B$6:$B$1005,$B75,'الحركات الشهرية'!$A$6:$A$1005,$C$3)))</f>
        <v/>
      </c>
      <c r="J75" s="156" t="str">
        <f aca="false">IF($B75="","",MAX(0,G75-H75-I75))</f>
        <v/>
      </c>
      <c r="K75" s="116" t="str">
        <f aca="false">IF($B75="","",الموظفون!$L75*$J75/cfg_DAYS_M)</f>
        <v/>
      </c>
      <c r="L75" s="116" t="str">
        <f aca="false">IF($B75="","",الموظفون!$M75*$J75/cfg_DAYS_M)</f>
        <v/>
      </c>
      <c r="M75" s="116" t="str">
        <f aca="false">IF($B75="","",الموظفون!$N75*$J75/cfg_DAYS_M)</f>
        <v/>
      </c>
      <c r="N75" s="116" t="str">
        <f aca="false">IF($B75="","",الموظفون!$O75*$J75/cfg_DAYS_M)</f>
        <v/>
      </c>
      <c r="O75" s="156" t="str">
        <f aca="false">IF($B75="","",SUMIFS('الحركات الشهرية'!$F$6:$F$1005,'الحركات الشهرية'!$B$6:$B$1005,$B75,'الحركات الشهرية'!$A$6:$A$1005,$C$3))</f>
        <v/>
      </c>
      <c r="P75" s="116" t="str">
        <f aca="false">IF($B75="","",O75*(الموظفون!$P75+الموظفون!$L75*cfg_OT_P)/cfg_DAYS_M/cfg_HRS)</f>
        <v/>
      </c>
      <c r="Q75" s="116" t="str">
        <f aca="false">IF($B75="","",SUMIFS('الحركات الشهرية'!$G$6:$G$1005,'الحركات الشهرية'!$B$6:$B$1005,$B75,'الحركات الشهرية'!$A$6:$A$1005,$C$3))</f>
        <v/>
      </c>
      <c r="R75" s="116" t="str">
        <f aca="false">IF($B75="","",SUMIFS('الحركات الشهرية'!$H$6:$H$1005,'الحركات الشهرية'!$B$6:$B$1005,$B75,'الحركات الشهرية'!$A$6:$A$1005,$C$3))</f>
        <v/>
      </c>
      <c r="S75" s="116" t="str">
        <f aca="false">IF($B75="","",SUMIFS('سجل الإجازات والحالات'!$N$6:$N$505,'سجل الإجازات والحالات'!$B$6:$B$505,$B75,'سجل الإجازات والحالات'!$O$6:$O$505,$C$3))</f>
        <v/>
      </c>
      <c r="T75" s="157" t="str">
        <f aca="false">IF($B75="","",SUM(K75:N75)+SUM(P75:S75))</f>
        <v/>
      </c>
      <c r="U75" s="116" t="str">
        <f aca="false">IF($B75="","",الموظفون!$S75*IF(E75="سعودي",cfg_G_SE,cfg_G_NE)*G75/cfg_DAYS_M)</f>
        <v/>
      </c>
      <c r="V75" s="116" t="str">
        <f aca="false">IF($B75="","",SUMIFS('الحركات الشهرية'!$I$6:$I$1005,'الحركات الشهرية'!$B$6:$B$1005,$B75,'الحركات الشهرية'!$A$6:$A$1005,$C$3))</f>
        <v/>
      </c>
      <c r="W75" s="116" t="str">
        <f aca="false">IF($B75="","",SUMIFS('الحركات الشهرية'!$J$6:$J$1005,'الحركات الشهرية'!$B$6:$B$1005,$B75,'الحركات الشهرية'!$A$6:$A$1005,$C$3))</f>
        <v/>
      </c>
      <c r="X75" s="116" t="str">
        <f aca="false">IF($B75="","",SUM(U75:W75))</f>
        <v/>
      </c>
      <c r="Y75" s="158" t="str">
        <f aca="false">IF($B75="","",T75-X75)</f>
        <v/>
      </c>
      <c r="Z75" s="116" t="str">
        <f aca="false">IF($B75="","",الموظفون!$S75*IF(E75="سعودي",cfg_G_SR,cfg_G_NR)*G75/cfg_DAYS_M)</f>
        <v/>
      </c>
      <c r="AA75" s="116" t="str">
        <f aca="false">IF($B75="","",الموظفون!$Q75*(cfg_EOS_R1*(MIN(AH75,cfg_EOS_TH)-MIN(AI75,cfg_EOS_TH))+cfg_EOS_R2*(MAX(AH75-cfg_EOS_TH,0)-MAX(AI75-cfg_EOS_TH,0))))</f>
        <v/>
      </c>
      <c r="AB75" s="116" t="str">
        <f aca="false">IF($B75="","",IF(الموظفون!$T75&lt;&gt;"",الموظفون!$T75,IF(AH75&gt;=cfg_LV_TH,cfg_LV_D2,cfg_LV_D1))/cfg_DAYS_Y*AJ75*الموظفون!$R75/cfg_DAYS_M)</f>
        <v/>
      </c>
      <c r="AC75" s="116" t="str">
        <f aca="false">IF($B75="","",IF(AND(الموظفون!$U75="نعم",N(الموظفون!$W75)&gt;0),الموظفون!$V75/الموظفون!$W75*12/cfg_DAYS_Y*AJ75,0))</f>
        <v/>
      </c>
      <c r="AD75" s="116" t="str">
        <f aca="false">IF($B75="","",(IF(الموظفون!$X75&lt;&gt;"",الموظفون!$X75,IF(الموظفون!$E75="غير سعودي",cfg_IQ,0))+IF(الموظفون!$Y75&lt;&gt;"",الموظفون!$Y75,IF(الموظفون!$E75="غير سعودي",cfg_WP,0)))/12*G75/cfg_DAYS_M)</f>
        <v/>
      </c>
      <c r="AE75" s="116" t="str">
        <f aca="false">IF($B75="","",IF(الموظفون!$Z75&lt;&gt;"",الموظفون!$Z75,cfg_MED)/12*G75/cfg_DAYS_M)</f>
        <v/>
      </c>
      <c r="AF75" s="116" t="str">
        <f aca="false">IF($B75="","",N(الموظفون!$AA75)/12*G75/cfg_DAYS_M)</f>
        <v/>
      </c>
      <c r="AG75" s="159" t="str">
        <f aca="false">IF($B75="","",T75+SUM(Z75:AF75))</f>
        <v/>
      </c>
      <c r="AH75" s="160" t="str">
        <f aca="false">IF($B75="","",MAX(0,IF(OR(الموظفون!$AE75="",الموظفون!$AE75&gt;$F$3),$F$3,الموظفون!$AE75)-الموظفون!$H75+1-SUMIFS('سجل الإجازات والحالات'!$AQ$6:$AQ$505,'سجل الإجازات والحالات'!$B$6:$B$505,$B75))/cfg_DAYS_Y)</f>
        <v/>
      </c>
      <c r="AI75" s="160" t="str">
        <f aca="false">IF($B75="","",MAX(0,IF(OR(الموظفون!$AE75="",الموظفون!$AE75&gt;($E$3-1)),($E$3-1),الموظفون!$AE75)-الموظفون!$H75+1-SUMIFS('سجل الإجازات والحالات'!$AP$6:$AP$505,'سجل الإجازات والحالات'!$B$6:$B$505,$B75))/cfg_DAYS_Y)</f>
        <v/>
      </c>
      <c r="AJ75" s="133" t="str">
        <f aca="false">IF($B75="","",MAX(0,AK75-(SUMIFS('سجل الإجازات والحالات'!$AQ$6:$AQ$505,'سجل الإجازات والحالات'!$B$6:$B$505,$B75)-SUMIFS('سجل الإجازات والحالات'!$AP$6:$AP$505,'سجل الإجازات والحالات'!$B$6:$B$505,$B75))))</f>
        <v/>
      </c>
      <c r="AK75" s="133" t="str">
        <f aca="false">IF($B75="","",MAX(0,IF(OR(الموظفون!$AE75="",الموظفون!$AE75&gt;$F$3),$F$3,الموظفون!$AE75)-MAX($E$3,الموظفون!$H75)+1))</f>
        <v/>
      </c>
      <c r="AL75" s="156" t="str">
        <f aca="false">IF($B75="","",SUMIFS('سجل الإجازات والحالات'!$BC$6:$BC$505,'سجل الإجازات والحالات'!$B$6:$B$505,$B75)+SUMIFS('الحركات الشهرية'!$K$6:$K$1005,'الحركات الشهرية'!$B$6:$B$1005,$B75,'الحركات الشهرية'!$A$6:$A$1005,$C$3))</f>
        <v/>
      </c>
      <c r="AM75" s="116" t="str">
        <f aca="false">IF($B75="","",AL75*الموظفون!$R75/cfg_DAYS_M+S75)</f>
        <v/>
      </c>
      <c r="AN75" s="156" t="str">
        <f aca="false">IF($B75="","",SUMIFS('سجل الإجازات والحالات'!$AE$6:$AE$505,'سجل الإجازات والحالات'!$B$6:$B$505,$B75))</f>
        <v/>
      </c>
    </row>
    <row r="76" customFormat="false" ht="15" hidden="false" customHeight="false" outlineLevel="0" collapsed="false">
      <c r="A76" s="106" t="str">
        <f aca="false">IF($B76="","",الموظفون!$A76)</f>
        <v/>
      </c>
      <c r="B76" s="114" t="str">
        <f aca="false">IF(الموظفون!$B76="","",الموظفون!$B76)</f>
        <v/>
      </c>
      <c r="C76" s="114" t="str">
        <f aca="false">IF($B76="","",الموظفون!$C76)</f>
        <v/>
      </c>
      <c r="D76" s="114" t="str">
        <f aca="false">IF($B76="","",الموظفون!$F76)</f>
        <v/>
      </c>
      <c r="E76" s="114" t="str">
        <f aca="false">IF($B76="","",الموظفون!$E76)</f>
        <v/>
      </c>
      <c r="F76" s="114" t="str">
        <f aca="false">IF($B76="","",IF(AK76=0,IF(AND(الموظفون!$AE76&lt;&gt;"",الموظفون!$AE76&lt;$E$3),"✖ منتهي الخدمة","⏳ لم يباشر"),IF(S76&gt;0,"✈ راتب إجازة مقدم",IF(J76=0,"⛔ بدون راتب هذا الشهر",IF(I76&gt;0,"✈ خصم "&amp;ROUND(I76,2)&amp;" يوم بدون أجر",IF(AL76&gt;0,"🌴 إجازة سنوية "&amp;ROUND(AL76,2)&amp;" يوم",IF(H76&gt;0,"⚠ غياب "&amp;ROUND(H76,2)&amp;" يوم","✔ على رأس العمل")))))))</f>
        <v/>
      </c>
      <c r="G76" s="151" t="str">
        <f aca="false">IF($B76="","",IF(AK76&gt;=DAY($F$3),cfg_DAYS_M,MIN(AK76,cfg_DAYS_M)))</f>
        <v/>
      </c>
      <c r="H76" s="151" t="str">
        <f aca="false">IF($B76="","",SUMIFS('الحركات الشهرية'!$D$6:$D$1005,'الحركات الشهرية'!$B$6:$B$1005,$B76,'الحركات الشهرية'!$A$6:$A$1005,$C$3))</f>
        <v/>
      </c>
      <c r="I76" s="151" t="str">
        <f aca="false">IF($B76="","",MIN(G76,IF(AND(AK76&gt;0,AN76&gt;=AK76),G76,AN76)+SUMIFS('الحركات الشهرية'!$E$6:$E$1005,'الحركات الشهرية'!$B$6:$B$1005,$B76,'الحركات الشهرية'!$A$6:$A$1005,$C$3)))</f>
        <v/>
      </c>
      <c r="J76" s="151" t="str">
        <f aca="false">IF($B76="","",MAX(0,G76-H76-I76))</f>
        <v/>
      </c>
      <c r="K76" s="111" t="str">
        <f aca="false">IF($B76="","",الموظفون!$L76*$J76/cfg_DAYS_M)</f>
        <v/>
      </c>
      <c r="L76" s="111" t="str">
        <f aca="false">IF($B76="","",الموظفون!$M76*$J76/cfg_DAYS_M)</f>
        <v/>
      </c>
      <c r="M76" s="111" t="str">
        <f aca="false">IF($B76="","",الموظفون!$N76*$J76/cfg_DAYS_M)</f>
        <v/>
      </c>
      <c r="N76" s="111" t="str">
        <f aca="false">IF($B76="","",الموظفون!$O76*$J76/cfg_DAYS_M)</f>
        <v/>
      </c>
      <c r="O76" s="151" t="str">
        <f aca="false">IF($B76="","",SUMIFS('الحركات الشهرية'!$F$6:$F$1005,'الحركات الشهرية'!$B$6:$B$1005,$B76,'الحركات الشهرية'!$A$6:$A$1005,$C$3))</f>
        <v/>
      </c>
      <c r="P76" s="111" t="str">
        <f aca="false">IF($B76="","",O76*(الموظفون!$P76+الموظفون!$L76*cfg_OT_P)/cfg_DAYS_M/cfg_HRS)</f>
        <v/>
      </c>
      <c r="Q76" s="111" t="str">
        <f aca="false">IF($B76="","",SUMIFS('الحركات الشهرية'!$G$6:$G$1005,'الحركات الشهرية'!$B$6:$B$1005,$B76,'الحركات الشهرية'!$A$6:$A$1005,$C$3))</f>
        <v/>
      </c>
      <c r="R76" s="111" t="str">
        <f aca="false">IF($B76="","",SUMIFS('الحركات الشهرية'!$H$6:$H$1005,'الحركات الشهرية'!$B$6:$B$1005,$B76,'الحركات الشهرية'!$A$6:$A$1005,$C$3))</f>
        <v/>
      </c>
      <c r="S76" s="111" t="str">
        <f aca="false">IF($B76="","",SUMIFS('سجل الإجازات والحالات'!$N$6:$N$505,'سجل الإجازات والحالات'!$B$6:$B$505,$B76,'سجل الإجازات والحالات'!$O$6:$O$505,$C$3))</f>
        <v/>
      </c>
      <c r="T76" s="152" t="str">
        <f aca="false">IF($B76="","",SUM(K76:N76)+SUM(P76:S76))</f>
        <v/>
      </c>
      <c r="U76" s="111" t="str">
        <f aca="false">IF($B76="","",الموظفون!$S76*IF(E76="سعودي",cfg_G_SE,cfg_G_NE)*G76/cfg_DAYS_M)</f>
        <v/>
      </c>
      <c r="V76" s="111" t="str">
        <f aca="false">IF($B76="","",SUMIFS('الحركات الشهرية'!$I$6:$I$1005,'الحركات الشهرية'!$B$6:$B$1005,$B76,'الحركات الشهرية'!$A$6:$A$1005,$C$3))</f>
        <v/>
      </c>
      <c r="W76" s="111" t="str">
        <f aca="false">IF($B76="","",SUMIFS('الحركات الشهرية'!$J$6:$J$1005,'الحركات الشهرية'!$B$6:$B$1005,$B76,'الحركات الشهرية'!$A$6:$A$1005,$C$3))</f>
        <v/>
      </c>
      <c r="X76" s="111" t="str">
        <f aca="false">IF($B76="","",SUM(U76:W76))</f>
        <v/>
      </c>
      <c r="Y76" s="153" t="str">
        <f aca="false">IF($B76="","",T76-X76)</f>
        <v/>
      </c>
      <c r="Z76" s="111" t="str">
        <f aca="false">IF($B76="","",الموظفون!$S76*IF(E76="سعودي",cfg_G_SR,cfg_G_NR)*G76/cfg_DAYS_M)</f>
        <v/>
      </c>
      <c r="AA76" s="111" t="str">
        <f aca="false">IF($B76="","",الموظفون!$Q76*(cfg_EOS_R1*(MIN(AH76,cfg_EOS_TH)-MIN(AI76,cfg_EOS_TH))+cfg_EOS_R2*(MAX(AH76-cfg_EOS_TH,0)-MAX(AI76-cfg_EOS_TH,0))))</f>
        <v/>
      </c>
      <c r="AB76" s="111" t="str">
        <f aca="false">IF($B76="","",IF(الموظفون!$T76&lt;&gt;"",الموظفون!$T76,IF(AH76&gt;=cfg_LV_TH,cfg_LV_D2,cfg_LV_D1))/cfg_DAYS_Y*AJ76*الموظفون!$R76/cfg_DAYS_M)</f>
        <v/>
      </c>
      <c r="AC76" s="111" t="str">
        <f aca="false">IF($B76="","",IF(AND(الموظفون!$U76="نعم",N(الموظفون!$W76)&gt;0),الموظفون!$V76/الموظفون!$W76*12/cfg_DAYS_Y*AJ76,0))</f>
        <v/>
      </c>
      <c r="AD76" s="111" t="str">
        <f aca="false">IF($B76="","",(IF(الموظفون!$X76&lt;&gt;"",الموظفون!$X76,IF(الموظفون!$E76="غير سعودي",cfg_IQ,0))+IF(الموظفون!$Y76&lt;&gt;"",الموظفون!$Y76,IF(الموظفون!$E76="غير سعودي",cfg_WP,0)))/12*G76/cfg_DAYS_M)</f>
        <v/>
      </c>
      <c r="AE76" s="111" t="str">
        <f aca="false">IF($B76="","",IF(الموظفون!$Z76&lt;&gt;"",الموظفون!$Z76,cfg_MED)/12*G76/cfg_DAYS_M)</f>
        <v/>
      </c>
      <c r="AF76" s="111" t="str">
        <f aca="false">IF($B76="","",N(الموظفون!$AA76)/12*G76/cfg_DAYS_M)</f>
        <v/>
      </c>
      <c r="AG76" s="154" t="str">
        <f aca="false">IF($B76="","",T76+SUM(Z76:AF76))</f>
        <v/>
      </c>
      <c r="AH76" s="155" t="str">
        <f aca="false">IF($B76="","",MAX(0,IF(OR(الموظفون!$AE76="",الموظفون!$AE76&gt;$F$3),$F$3,الموظفون!$AE76)-الموظفون!$H76+1-SUMIFS('سجل الإجازات والحالات'!$AQ$6:$AQ$505,'سجل الإجازات والحالات'!$B$6:$B$505,$B76))/cfg_DAYS_Y)</f>
        <v/>
      </c>
      <c r="AI76" s="155" t="str">
        <f aca="false">IF($B76="","",MAX(0,IF(OR(الموظفون!$AE76="",الموظفون!$AE76&gt;($E$3-1)),($E$3-1),الموظفون!$AE76)-الموظفون!$H76+1-SUMIFS('سجل الإجازات والحالات'!$AP$6:$AP$505,'سجل الإجازات والحالات'!$B$6:$B$505,$B76))/cfg_DAYS_Y)</f>
        <v/>
      </c>
      <c r="AJ76" s="65" t="str">
        <f aca="false">IF($B76="","",MAX(0,AK76-(SUMIFS('سجل الإجازات والحالات'!$AQ$6:$AQ$505,'سجل الإجازات والحالات'!$B$6:$B$505,$B76)-SUMIFS('سجل الإجازات والحالات'!$AP$6:$AP$505,'سجل الإجازات والحالات'!$B$6:$B$505,$B76))))</f>
        <v/>
      </c>
      <c r="AK76" s="65" t="str">
        <f aca="false">IF($B76="","",MAX(0,IF(OR(الموظفون!$AE76="",الموظفون!$AE76&gt;$F$3),$F$3,الموظفون!$AE76)-MAX($E$3,الموظفون!$H76)+1))</f>
        <v/>
      </c>
      <c r="AL76" s="151" t="str">
        <f aca="false">IF($B76="","",SUMIFS('سجل الإجازات والحالات'!$BC$6:$BC$505,'سجل الإجازات والحالات'!$B$6:$B$505,$B76)+SUMIFS('الحركات الشهرية'!$K$6:$K$1005,'الحركات الشهرية'!$B$6:$B$1005,$B76,'الحركات الشهرية'!$A$6:$A$1005,$C$3))</f>
        <v/>
      </c>
      <c r="AM76" s="111" t="str">
        <f aca="false">IF($B76="","",AL76*الموظفون!$R76/cfg_DAYS_M+S76)</f>
        <v/>
      </c>
      <c r="AN76" s="151" t="str">
        <f aca="false">IF($B76="","",SUMIFS('سجل الإجازات والحالات'!$AE$6:$AE$505,'سجل الإجازات والحالات'!$B$6:$B$505,$B76))</f>
        <v/>
      </c>
    </row>
    <row r="77" customFormat="false" ht="15" hidden="false" customHeight="false" outlineLevel="0" collapsed="false">
      <c r="A77" s="115" t="str">
        <f aca="false">IF($B77="","",الموظفون!$A77)</f>
        <v/>
      </c>
      <c r="B77" s="117" t="str">
        <f aca="false">IF(الموظفون!$B77="","",الموظفون!$B77)</f>
        <v/>
      </c>
      <c r="C77" s="117" t="str">
        <f aca="false">IF($B77="","",الموظفون!$C77)</f>
        <v/>
      </c>
      <c r="D77" s="117" t="str">
        <f aca="false">IF($B77="","",الموظفون!$F77)</f>
        <v/>
      </c>
      <c r="E77" s="117" t="str">
        <f aca="false">IF($B77="","",الموظفون!$E77)</f>
        <v/>
      </c>
      <c r="F77" s="117" t="str">
        <f aca="false">IF($B77="","",IF(AK77=0,IF(AND(الموظفون!$AE77&lt;&gt;"",الموظفون!$AE77&lt;$E$3),"✖ منتهي الخدمة","⏳ لم يباشر"),IF(S77&gt;0,"✈ راتب إجازة مقدم",IF(J77=0,"⛔ بدون راتب هذا الشهر",IF(I77&gt;0,"✈ خصم "&amp;ROUND(I77,2)&amp;" يوم بدون أجر",IF(AL77&gt;0,"🌴 إجازة سنوية "&amp;ROUND(AL77,2)&amp;" يوم",IF(H77&gt;0,"⚠ غياب "&amp;ROUND(H77,2)&amp;" يوم","✔ على رأس العمل")))))))</f>
        <v/>
      </c>
      <c r="G77" s="156" t="str">
        <f aca="false">IF($B77="","",IF(AK77&gt;=DAY($F$3),cfg_DAYS_M,MIN(AK77,cfg_DAYS_M)))</f>
        <v/>
      </c>
      <c r="H77" s="156" t="str">
        <f aca="false">IF($B77="","",SUMIFS('الحركات الشهرية'!$D$6:$D$1005,'الحركات الشهرية'!$B$6:$B$1005,$B77,'الحركات الشهرية'!$A$6:$A$1005,$C$3))</f>
        <v/>
      </c>
      <c r="I77" s="156" t="str">
        <f aca="false">IF($B77="","",MIN(G77,IF(AND(AK77&gt;0,AN77&gt;=AK77),G77,AN77)+SUMIFS('الحركات الشهرية'!$E$6:$E$1005,'الحركات الشهرية'!$B$6:$B$1005,$B77,'الحركات الشهرية'!$A$6:$A$1005,$C$3)))</f>
        <v/>
      </c>
      <c r="J77" s="156" t="str">
        <f aca="false">IF($B77="","",MAX(0,G77-H77-I77))</f>
        <v/>
      </c>
      <c r="K77" s="116" t="str">
        <f aca="false">IF($B77="","",الموظفون!$L77*$J77/cfg_DAYS_M)</f>
        <v/>
      </c>
      <c r="L77" s="116" t="str">
        <f aca="false">IF($B77="","",الموظفون!$M77*$J77/cfg_DAYS_M)</f>
        <v/>
      </c>
      <c r="M77" s="116" t="str">
        <f aca="false">IF($B77="","",الموظفون!$N77*$J77/cfg_DAYS_M)</f>
        <v/>
      </c>
      <c r="N77" s="116" t="str">
        <f aca="false">IF($B77="","",الموظفون!$O77*$J77/cfg_DAYS_M)</f>
        <v/>
      </c>
      <c r="O77" s="156" t="str">
        <f aca="false">IF($B77="","",SUMIFS('الحركات الشهرية'!$F$6:$F$1005,'الحركات الشهرية'!$B$6:$B$1005,$B77,'الحركات الشهرية'!$A$6:$A$1005,$C$3))</f>
        <v/>
      </c>
      <c r="P77" s="116" t="str">
        <f aca="false">IF($B77="","",O77*(الموظفون!$P77+الموظفون!$L77*cfg_OT_P)/cfg_DAYS_M/cfg_HRS)</f>
        <v/>
      </c>
      <c r="Q77" s="116" t="str">
        <f aca="false">IF($B77="","",SUMIFS('الحركات الشهرية'!$G$6:$G$1005,'الحركات الشهرية'!$B$6:$B$1005,$B77,'الحركات الشهرية'!$A$6:$A$1005,$C$3))</f>
        <v/>
      </c>
      <c r="R77" s="116" t="str">
        <f aca="false">IF($B77="","",SUMIFS('الحركات الشهرية'!$H$6:$H$1005,'الحركات الشهرية'!$B$6:$B$1005,$B77,'الحركات الشهرية'!$A$6:$A$1005,$C$3))</f>
        <v/>
      </c>
      <c r="S77" s="116" t="str">
        <f aca="false">IF($B77="","",SUMIFS('سجل الإجازات والحالات'!$N$6:$N$505,'سجل الإجازات والحالات'!$B$6:$B$505,$B77,'سجل الإجازات والحالات'!$O$6:$O$505,$C$3))</f>
        <v/>
      </c>
      <c r="T77" s="157" t="str">
        <f aca="false">IF($B77="","",SUM(K77:N77)+SUM(P77:S77))</f>
        <v/>
      </c>
      <c r="U77" s="116" t="str">
        <f aca="false">IF($B77="","",الموظفون!$S77*IF(E77="سعودي",cfg_G_SE,cfg_G_NE)*G77/cfg_DAYS_M)</f>
        <v/>
      </c>
      <c r="V77" s="116" t="str">
        <f aca="false">IF($B77="","",SUMIFS('الحركات الشهرية'!$I$6:$I$1005,'الحركات الشهرية'!$B$6:$B$1005,$B77,'الحركات الشهرية'!$A$6:$A$1005,$C$3))</f>
        <v/>
      </c>
      <c r="W77" s="116" t="str">
        <f aca="false">IF($B77="","",SUMIFS('الحركات الشهرية'!$J$6:$J$1005,'الحركات الشهرية'!$B$6:$B$1005,$B77,'الحركات الشهرية'!$A$6:$A$1005,$C$3))</f>
        <v/>
      </c>
      <c r="X77" s="116" t="str">
        <f aca="false">IF($B77="","",SUM(U77:W77))</f>
        <v/>
      </c>
      <c r="Y77" s="158" t="str">
        <f aca="false">IF($B77="","",T77-X77)</f>
        <v/>
      </c>
      <c r="Z77" s="116" t="str">
        <f aca="false">IF($B77="","",الموظفون!$S77*IF(E77="سعودي",cfg_G_SR,cfg_G_NR)*G77/cfg_DAYS_M)</f>
        <v/>
      </c>
      <c r="AA77" s="116" t="str">
        <f aca="false">IF($B77="","",الموظفون!$Q77*(cfg_EOS_R1*(MIN(AH77,cfg_EOS_TH)-MIN(AI77,cfg_EOS_TH))+cfg_EOS_R2*(MAX(AH77-cfg_EOS_TH,0)-MAX(AI77-cfg_EOS_TH,0))))</f>
        <v/>
      </c>
      <c r="AB77" s="116" t="str">
        <f aca="false">IF($B77="","",IF(الموظفون!$T77&lt;&gt;"",الموظفون!$T77,IF(AH77&gt;=cfg_LV_TH,cfg_LV_D2,cfg_LV_D1))/cfg_DAYS_Y*AJ77*الموظفون!$R77/cfg_DAYS_M)</f>
        <v/>
      </c>
      <c r="AC77" s="116" t="str">
        <f aca="false">IF($B77="","",IF(AND(الموظفون!$U77="نعم",N(الموظفون!$W77)&gt;0),الموظفون!$V77/الموظفون!$W77*12/cfg_DAYS_Y*AJ77,0))</f>
        <v/>
      </c>
      <c r="AD77" s="116" t="str">
        <f aca="false">IF($B77="","",(IF(الموظفون!$X77&lt;&gt;"",الموظفون!$X77,IF(الموظفون!$E77="غير سعودي",cfg_IQ,0))+IF(الموظفون!$Y77&lt;&gt;"",الموظفون!$Y77,IF(الموظفون!$E77="غير سعودي",cfg_WP,0)))/12*G77/cfg_DAYS_M)</f>
        <v/>
      </c>
      <c r="AE77" s="116" t="str">
        <f aca="false">IF($B77="","",IF(الموظفون!$Z77&lt;&gt;"",الموظفون!$Z77,cfg_MED)/12*G77/cfg_DAYS_M)</f>
        <v/>
      </c>
      <c r="AF77" s="116" t="str">
        <f aca="false">IF($B77="","",N(الموظفون!$AA77)/12*G77/cfg_DAYS_M)</f>
        <v/>
      </c>
      <c r="AG77" s="159" t="str">
        <f aca="false">IF($B77="","",T77+SUM(Z77:AF77))</f>
        <v/>
      </c>
      <c r="AH77" s="160" t="str">
        <f aca="false">IF($B77="","",MAX(0,IF(OR(الموظفون!$AE77="",الموظفون!$AE77&gt;$F$3),$F$3,الموظفون!$AE77)-الموظفون!$H77+1-SUMIFS('سجل الإجازات والحالات'!$AQ$6:$AQ$505,'سجل الإجازات والحالات'!$B$6:$B$505,$B77))/cfg_DAYS_Y)</f>
        <v/>
      </c>
      <c r="AI77" s="160" t="str">
        <f aca="false">IF($B77="","",MAX(0,IF(OR(الموظفون!$AE77="",الموظفون!$AE77&gt;($E$3-1)),($E$3-1),الموظفون!$AE77)-الموظفون!$H77+1-SUMIFS('سجل الإجازات والحالات'!$AP$6:$AP$505,'سجل الإجازات والحالات'!$B$6:$B$505,$B77))/cfg_DAYS_Y)</f>
        <v/>
      </c>
      <c r="AJ77" s="133" t="str">
        <f aca="false">IF($B77="","",MAX(0,AK77-(SUMIFS('سجل الإجازات والحالات'!$AQ$6:$AQ$505,'سجل الإجازات والحالات'!$B$6:$B$505,$B77)-SUMIFS('سجل الإجازات والحالات'!$AP$6:$AP$505,'سجل الإجازات والحالات'!$B$6:$B$505,$B77))))</f>
        <v/>
      </c>
      <c r="AK77" s="133" t="str">
        <f aca="false">IF($B77="","",MAX(0,IF(OR(الموظفون!$AE77="",الموظفون!$AE77&gt;$F$3),$F$3,الموظفون!$AE77)-MAX($E$3,الموظفون!$H77)+1))</f>
        <v/>
      </c>
      <c r="AL77" s="156" t="str">
        <f aca="false">IF($B77="","",SUMIFS('سجل الإجازات والحالات'!$BC$6:$BC$505,'سجل الإجازات والحالات'!$B$6:$B$505,$B77)+SUMIFS('الحركات الشهرية'!$K$6:$K$1005,'الحركات الشهرية'!$B$6:$B$1005,$B77,'الحركات الشهرية'!$A$6:$A$1005,$C$3))</f>
        <v/>
      </c>
      <c r="AM77" s="116" t="str">
        <f aca="false">IF($B77="","",AL77*الموظفون!$R77/cfg_DAYS_M+S77)</f>
        <v/>
      </c>
      <c r="AN77" s="156" t="str">
        <f aca="false">IF($B77="","",SUMIFS('سجل الإجازات والحالات'!$AE$6:$AE$505,'سجل الإجازات والحالات'!$B$6:$B$505,$B77))</f>
        <v/>
      </c>
    </row>
    <row r="78" customFormat="false" ht="15" hidden="false" customHeight="false" outlineLevel="0" collapsed="false">
      <c r="A78" s="106" t="str">
        <f aca="false">IF($B78="","",الموظفون!$A78)</f>
        <v/>
      </c>
      <c r="B78" s="114" t="str">
        <f aca="false">IF(الموظفون!$B78="","",الموظفون!$B78)</f>
        <v/>
      </c>
      <c r="C78" s="114" t="str">
        <f aca="false">IF($B78="","",الموظفون!$C78)</f>
        <v/>
      </c>
      <c r="D78" s="114" t="str">
        <f aca="false">IF($B78="","",الموظفون!$F78)</f>
        <v/>
      </c>
      <c r="E78" s="114" t="str">
        <f aca="false">IF($B78="","",الموظفون!$E78)</f>
        <v/>
      </c>
      <c r="F78" s="114" t="str">
        <f aca="false">IF($B78="","",IF(AK78=0,IF(AND(الموظفون!$AE78&lt;&gt;"",الموظفون!$AE78&lt;$E$3),"✖ منتهي الخدمة","⏳ لم يباشر"),IF(S78&gt;0,"✈ راتب إجازة مقدم",IF(J78=0,"⛔ بدون راتب هذا الشهر",IF(I78&gt;0,"✈ خصم "&amp;ROUND(I78,2)&amp;" يوم بدون أجر",IF(AL78&gt;0,"🌴 إجازة سنوية "&amp;ROUND(AL78,2)&amp;" يوم",IF(H78&gt;0,"⚠ غياب "&amp;ROUND(H78,2)&amp;" يوم","✔ على رأس العمل")))))))</f>
        <v/>
      </c>
      <c r="G78" s="151" t="str">
        <f aca="false">IF($B78="","",IF(AK78&gt;=DAY($F$3),cfg_DAYS_M,MIN(AK78,cfg_DAYS_M)))</f>
        <v/>
      </c>
      <c r="H78" s="151" t="str">
        <f aca="false">IF($B78="","",SUMIFS('الحركات الشهرية'!$D$6:$D$1005,'الحركات الشهرية'!$B$6:$B$1005,$B78,'الحركات الشهرية'!$A$6:$A$1005,$C$3))</f>
        <v/>
      </c>
      <c r="I78" s="151" t="str">
        <f aca="false">IF($B78="","",MIN(G78,IF(AND(AK78&gt;0,AN78&gt;=AK78),G78,AN78)+SUMIFS('الحركات الشهرية'!$E$6:$E$1005,'الحركات الشهرية'!$B$6:$B$1005,$B78,'الحركات الشهرية'!$A$6:$A$1005,$C$3)))</f>
        <v/>
      </c>
      <c r="J78" s="151" t="str">
        <f aca="false">IF($B78="","",MAX(0,G78-H78-I78))</f>
        <v/>
      </c>
      <c r="K78" s="111" t="str">
        <f aca="false">IF($B78="","",الموظفون!$L78*$J78/cfg_DAYS_M)</f>
        <v/>
      </c>
      <c r="L78" s="111" t="str">
        <f aca="false">IF($B78="","",الموظفون!$M78*$J78/cfg_DAYS_M)</f>
        <v/>
      </c>
      <c r="M78" s="111" t="str">
        <f aca="false">IF($B78="","",الموظفون!$N78*$J78/cfg_DAYS_M)</f>
        <v/>
      </c>
      <c r="N78" s="111" t="str">
        <f aca="false">IF($B78="","",الموظفون!$O78*$J78/cfg_DAYS_M)</f>
        <v/>
      </c>
      <c r="O78" s="151" t="str">
        <f aca="false">IF($B78="","",SUMIFS('الحركات الشهرية'!$F$6:$F$1005,'الحركات الشهرية'!$B$6:$B$1005,$B78,'الحركات الشهرية'!$A$6:$A$1005,$C$3))</f>
        <v/>
      </c>
      <c r="P78" s="111" t="str">
        <f aca="false">IF($B78="","",O78*(الموظفون!$P78+الموظفون!$L78*cfg_OT_P)/cfg_DAYS_M/cfg_HRS)</f>
        <v/>
      </c>
      <c r="Q78" s="111" t="str">
        <f aca="false">IF($B78="","",SUMIFS('الحركات الشهرية'!$G$6:$G$1005,'الحركات الشهرية'!$B$6:$B$1005,$B78,'الحركات الشهرية'!$A$6:$A$1005,$C$3))</f>
        <v/>
      </c>
      <c r="R78" s="111" t="str">
        <f aca="false">IF($B78="","",SUMIFS('الحركات الشهرية'!$H$6:$H$1005,'الحركات الشهرية'!$B$6:$B$1005,$B78,'الحركات الشهرية'!$A$6:$A$1005,$C$3))</f>
        <v/>
      </c>
      <c r="S78" s="111" t="str">
        <f aca="false">IF($B78="","",SUMIFS('سجل الإجازات والحالات'!$N$6:$N$505,'سجل الإجازات والحالات'!$B$6:$B$505,$B78,'سجل الإجازات والحالات'!$O$6:$O$505,$C$3))</f>
        <v/>
      </c>
      <c r="T78" s="152" t="str">
        <f aca="false">IF($B78="","",SUM(K78:N78)+SUM(P78:S78))</f>
        <v/>
      </c>
      <c r="U78" s="111" t="str">
        <f aca="false">IF($B78="","",الموظفون!$S78*IF(E78="سعودي",cfg_G_SE,cfg_G_NE)*G78/cfg_DAYS_M)</f>
        <v/>
      </c>
      <c r="V78" s="111" t="str">
        <f aca="false">IF($B78="","",SUMIFS('الحركات الشهرية'!$I$6:$I$1005,'الحركات الشهرية'!$B$6:$B$1005,$B78,'الحركات الشهرية'!$A$6:$A$1005,$C$3))</f>
        <v/>
      </c>
      <c r="W78" s="111" t="str">
        <f aca="false">IF($B78="","",SUMIFS('الحركات الشهرية'!$J$6:$J$1005,'الحركات الشهرية'!$B$6:$B$1005,$B78,'الحركات الشهرية'!$A$6:$A$1005,$C$3))</f>
        <v/>
      </c>
      <c r="X78" s="111" t="str">
        <f aca="false">IF($B78="","",SUM(U78:W78))</f>
        <v/>
      </c>
      <c r="Y78" s="153" t="str">
        <f aca="false">IF($B78="","",T78-X78)</f>
        <v/>
      </c>
      <c r="Z78" s="111" t="str">
        <f aca="false">IF($B78="","",الموظفون!$S78*IF(E78="سعودي",cfg_G_SR,cfg_G_NR)*G78/cfg_DAYS_M)</f>
        <v/>
      </c>
      <c r="AA78" s="111" t="str">
        <f aca="false">IF($B78="","",الموظفون!$Q78*(cfg_EOS_R1*(MIN(AH78,cfg_EOS_TH)-MIN(AI78,cfg_EOS_TH))+cfg_EOS_R2*(MAX(AH78-cfg_EOS_TH,0)-MAX(AI78-cfg_EOS_TH,0))))</f>
        <v/>
      </c>
      <c r="AB78" s="111" t="str">
        <f aca="false">IF($B78="","",IF(الموظفون!$T78&lt;&gt;"",الموظفون!$T78,IF(AH78&gt;=cfg_LV_TH,cfg_LV_D2,cfg_LV_D1))/cfg_DAYS_Y*AJ78*الموظفون!$R78/cfg_DAYS_M)</f>
        <v/>
      </c>
      <c r="AC78" s="111" t="str">
        <f aca="false">IF($B78="","",IF(AND(الموظفون!$U78="نعم",N(الموظفون!$W78)&gt;0),الموظفون!$V78/الموظفون!$W78*12/cfg_DAYS_Y*AJ78,0))</f>
        <v/>
      </c>
      <c r="AD78" s="111" t="str">
        <f aca="false">IF($B78="","",(IF(الموظفون!$X78&lt;&gt;"",الموظفون!$X78,IF(الموظفون!$E78="غير سعودي",cfg_IQ,0))+IF(الموظفون!$Y78&lt;&gt;"",الموظفون!$Y78,IF(الموظفون!$E78="غير سعودي",cfg_WP,0)))/12*G78/cfg_DAYS_M)</f>
        <v/>
      </c>
      <c r="AE78" s="111" t="str">
        <f aca="false">IF($B78="","",IF(الموظفون!$Z78&lt;&gt;"",الموظفون!$Z78,cfg_MED)/12*G78/cfg_DAYS_M)</f>
        <v/>
      </c>
      <c r="AF78" s="111" t="str">
        <f aca="false">IF($B78="","",N(الموظفون!$AA78)/12*G78/cfg_DAYS_M)</f>
        <v/>
      </c>
      <c r="AG78" s="154" t="str">
        <f aca="false">IF($B78="","",T78+SUM(Z78:AF78))</f>
        <v/>
      </c>
      <c r="AH78" s="155" t="str">
        <f aca="false">IF($B78="","",MAX(0,IF(OR(الموظفون!$AE78="",الموظفون!$AE78&gt;$F$3),$F$3,الموظفون!$AE78)-الموظفون!$H78+1-SUMIFS('سجل الإجازات والحالات'!$AQ$6:$AQ$505,'سجل الإجازات والحالات'!$B$6:$B$505,$B78))/cfg_DAYS_Y)</f>
        <v/>
      </c>
      <c r="AI78" s="155" t="str">
        <f aca="false">IF($B78="","",MAX(0,IF(OR(الموظفون!$AE78="",الموظفون!$AE78&gt;($E$3-1)),($E$3-1),الموظفون!$AE78)-الموظفون!$H78+1-SUMIFS('سجل الإجازات والحالات'!$AP$6:$AP$505,'سجل الإجازات والحالات'!$B$6:$B$505,$B78))/cfg_DAYS_Y)</f>
        <v/>
      </c>
      <c r="AJ78" s="65" t="str">
        <f aca="false">IF($B78="","",MAX(0,AK78-(SUMIFS('سجل الإجازات والحالات'!$AQ$6:$AQ$505,'سجل الإجازات والحالات'!$B$6:$B$505,$B78)-SUMIFS('سجل الإجازات والحالات'!$AP$6:$AP$505,'سجل الإجازات والحالات'!$B$6:$B$505,$B78))))</f>
        <v/>
      </c>
      <c r="AK78" s="65" t="str">
        <f aca="false">IF($B78="","",MAX(0,IF(OR(الموظفون!$AE78="",الموظفون!$AE78&gt;$F$3),$F$3,الموظفون!$AE78)-MAX($E$3,الموظفون!$H78)+1))</f>
        <v/>
      </c>
      <c r="AL78" s="151" t="str">
        <f aca="false">IF($B78="","",SUMIFS('سجل الإجازات والحالات'!$BC$6:$BC$505,'سجل الإجازات والحالات'!$B$6:$B$505,$B78)+SUMIFS('الحركات الشهرية'!$K$6:$K$1005,'الحركات الشهرية'!$B$6:$B$1005,$B78,'الحركات الشهرية'!$A$6:$A$1005,$C$3))</f>
        <v/>
      </c>
      <c r="AM78" s="111" t="str">
        <f aca="false">IF($B78="","",AL78*الموظفون!$R78/cfg_DAYS_M+S78)</f>
        <v/>
      </c>
      <c r="AN78" s="151" t="str">
        <f aca="false">IF($B78="","",SUMIFS('سجل الإجازات والحالات'!$AE$6:$AE$505,'سجل الإجازات والحالات'!$B$6:$B$505,$B78))</f>
        <v/>
      </c>
    </row>
    <row r="79" customFormat="false" ht="15" hidden="false" customHeight="false" outlineLevel="0" collapsed="false">
      <c r="A79" s="115" t="str">
        <f aca="false">IF($B79="","",الموظفون!$A79)</f>
        <v/>
      </c>
      <c r="B79" s="117" t="str">
        <f aca="false">IF(الموظفون!$B79="","",الموظفون!$B79)</f>
        <v/>
      </c>
      <c r="C79" s="117" t="str">
        <f aca="false">IF($B79="","",الموظفون!$C79)</f>
        <v/>
      </c>
      <c r="D79" s="117" t="str">
        <f aca="false">IF($B79="","",الموظفون!$F79)</f>
        <v/>
      </c>
      <c r="E79" s="117" t="str">
        <f aca="false">IF($B79="","",الموظفون!$E79)</f>
        <v/>
      </c>
      <c r="F79" s="117" t="str">
        <f aca="false">IF($B79="","",IF(AK79=0,IF(AND(الموظفون!$AE79&lt;&gt;"",الموظفون!$AE79&lt;$E$3),"✖ منتهي الخدمة","⏳ لم يباشر"),IF(S79&gt;0,"✈ راتب إجازة مقدم",IF(J79=0,"⛔ بدون راتب هذا الشهر",IF(I79&gt;0,"✈ خصم "&amp;ROUND(I79,2)&amp;" يوم بدون أجر",IF(AL79&gt;0,"🌴 إجازة سنوية "&amp;ROUND(AL79,2)&amp;" يوم",IF(H79&gt;0,"⚠ غياب "&amp;ROUND(H79,2)&amp;" يوم","✔ على رأس العمل")))))))</f>
        <v/>
      </c>
      <c r="G79" s="156" t="str">
        <f aca="false">IF($B79="","",IF(AK79&gt;=DAY($F$3),cfg_DAYS_M,MIN(AK79,cfg_DAYS_M)))</f>
        <v/>
      </c>
      <c r="H79" s="156" t="str">
        <f aca="false">IF($B79="","",SUMIFS('الحركات الشهرية'!$D$6:$D$1005,'الحركات الشهرية'!$B$6:$B$1005,$B79,'الحركات الشهرية'!$A$6:$A$1005,$C$3))</f>
        <v/>
      </c>
      <c r="I79" s="156" t="str">
        <f aca="false">IF($B79="","",MIN(G79,IF(AND(AK79&gt;0,AN79&gt;=AK79),G79,AN79)+SUMIFS('الحركات الشهرية'!$E$6:$E$1005,'الحركات الشهرية'!$B$6:$B$1005,$B79,'الحركات الشهرية'!$A$6:$A$1005,$C$3)))</f>
        <v/>
      </c>
      <c r="J79" s="156" t="str">
        <f aca="false">IF($B79="","",MAX(0,G79-H79-I79))</f>
        <v/>
      </c>
      <c r="K79" s="116" t="str">
        <f aca="false">IF($B79="","",الموظفون!$L79*$J79/cfg_DAYS_M)</f>
        <v/>
      </c>
      <c r="L79" s="116" t="str">
        <f aca="false">IF($B79="","",الموظفون!$M79*$J79/cfg_DAYS_M)</f>
        <v/>
      </c>
      <c r="M79" s="116" t="str">
        <f aca="false">IF($B79="","",الموظفون!$N79*$J79/cfg_DAYS_M)</f>
        <v/>
      </c>
      <c r="N79" s="116" t="str">
        <f aca="false">IF($B79="","",الموظفون!$O79*$J79/cfg_DAYS_M)</f>
        <v/>
      </c>
      <c r="O79" s="156" t="str">
        <f aca="false">IF($B79="","",SUMIFS('الحركات الشهرية'!$F$6:$F$1005,'الحركات الشهرية'!$B$6:$B$1005,$B79,'الحركات الشهرية'!$A$6:$A$1005,$C$3))</f>
        <v/>
      </c>
      <c r="P79" s="116" t="str">
        <f aca="false">IF($B79="","",O79*(الموظفون!$P79+الموظفون!$L79*cfg_OT_P)/cfg_DAYS_M/cfg_HRS)</f>
        <v/>
      </c>
      <c r="Q79" s="116" t="str">
        <f aca="false">IF($B79="","",SUMIFS('الحركات الشهرية'!$G$6:$G$1005,'الحركات الشهرية'!$B$6:$B$1005,$B79,'الحركات الشهرية'!$A$6:$A$1005,$C$3))</f>
        <v/>
      </c>
      <c r="R79" s="116" t="str">
        <f aca="false">IF($B79="","",SUMIFS('الحركات الشهرية'!$H$6:$H$1005,'الحركات الشهرية'!$B$6:$B$1005,$B79,'الحركات الشهرية'!$A$6:$A$1005,$C$3))</f>
        <v/>
      </c>
      <c r="S79" s="116" t="str">
        <f aca="false">IF($B79="","",SUMIFS('سجل الإجازات والحالات'!$N$6:$N$505,'سجل الإجازات والحالات'!$B$6:$B$505,$B79,'سجل الإجازات والحالات'!$O$6:$O$505,$C$3))</f>
        <v/>
      </c>
      <c r="T79" s="157" t="str">
        <f aca="false">IF($B79="","",SUM(K79:N79)+SUM(P79:S79))</f>
        <v/>
      </c>
      <c r="U79" s="116" t="str">
        <f aca="false">IF($B79="","",الموظفون!$S79*IF(E79="سعودي",cfg_G_SE,cfg_G_NE)*G79/cfg_DAYS_M)</f>
        <v/>
      </c>
      <c r="V79" s="116" t="str">
        <f aca="false">IF($B79="","",SUMIFS('الحركات الشهرية'!$I$6:$I$1005,'الحركات الشهرية'!$B$6:$B$1005,$B79,'الحركات الشهرية'!$A$6:$A$1005,$C$3))</f>
        <v/>
      </c>
      <c r="W79" s="116" t="str">
        <f aca="false">IF($B79="","",SUMIFS('الحركات الشهرية'!$J$6:$J$1005,'الحركات الشهرية'!$B$6:$B$1005,$B79,'الحركات الشهرية'!$A$6:$A$1005,$C$3))</f>
        <v/>
      </c>
      <c r="X79" s="116" t="str">
        <f aca="false">IF($B79="","",SUM(U79:W79))</f>
        <v/>
      </c>
      <c r="Y79" s="158" t="str">
        <f aca="false">IF($B79="","",T79-X79)</f>
        <v/>
      </c>
      <c r="Z79" s="116" t="str">
        <f aca="false">IF($B79="","",الموظفون!$S79*IF(E79="سعودي",cfg_G_SR,cfg_G_NR)*G79/cfg_DAYS_M)</f>
        <v/>
      </c>
      <c r="AA79" s="116" t="str">
        <f aca="false">IF($B79="","",الموظفون!$Q79*(cfg_EOS_R1*(MIN(AH79,cfg_EOS_TH)-MIN(AI79,cfg_EOS_TH))+cfg_EOS_R2*(MAX(AH79-cfg_EOS_TH,0)-MAX(AI79-cfg_EOS_TH,0))))</f>
        <v/>
      </c>
      <c r="AB79" s="116" t="str">
        <f aca="false">IF($B79="","",IF(الموظفون!$T79&lt;&gt;"",الموظفون!$T79,IF(AH79&gt;=cfg_LV_TH,cfg_LV_D2,cfg_LV_D1))/cfg_DAYS_Y*AJ79*الموظفون!$R79/cfg_DAYS_M)</f>
        <v/>
      </c>
      <c r="AC79" s="116" t="str">
        <f aca="false">IF($B79="","",IF(AND(الموظفون!$U79="نعم",N(الموظفون!$W79)&gt;0),الموظفون!$V79/الموظفون!$W79*12/cfg_DAYS_Y*AJ79,0))</f>
        <v/>
      </c>
      <c r="AD79" s="116" t="str">
        <f aca="false">IF($B79="","",(IF(الموظفون!$X79&lt;&gt;"",الموظفون!$X79,IF(الموظفون!$E79="غير سعودي",cfg_IQ,0))+IF(الموظفون!$Y79&lt;&gt;"",الموظفون!$Y79,IF(الموظفون!$E79="غير سعودي",cfg_WP,0)))/12*G79/cfg_DAYS_M)</f>
        <v/>
      </c>
      <c r="AE79" s="116" t="str">
        <f aca="false">IF($B79="","",IF(الموظفون!$Z79&lt;&gt;"",الموظفون!$Z79,cfg_MED)/12*G79/cfg_DAYS_M)</f>
        <v/>
      </c>
      <c r="AF79" s="116" t="str">
        <f aca="false">IF($B79="","",N(الموظفون!$AA79)/12*G79/cfg_DAYS_M)</f>
        <v/>
      </c>
      <c r="AG79" s="159" t="str">
        <f aca="false">IF($B79="","",T79+SUM(Z79:AF79))</f>
        <v/>
      </c>
      <c r="AH79" s="160" t="str">
        <f aca="false">IF($B79="","",MAX(0,IF(OR(الموظفون!$AE79="",الموظفون!$AE79&gt;$F$3),$F$3,الموظفون!$AE79)-الموظفون!$H79+1-SUMIFS('سجل الإجازات والحالات'!$AQ$6:$AQ$505,'سجل الإجازات والحالات'!$B$6:$B$505,$B79))/cfg_DAYS_Y)</f>
        <v/>
      </c>
      <c r="AI79" s="160" t="str">
        <f aca="false">IF($B79="","",MAX(0,IF(OR(الموظفون!$AE79="",الموظفون!$AE79&gt;($E$3-1)),($E$3-1),الموظفون!$AE79)-الموظفون!$H79+1-SUMIFS('سجل الإجازات والحالات'!$AP$6:$AP$505,'سجل الإجازات والحالات'!$B$6:$B$505,$B79))/cfg_DAYS_Y)</f>
        <v/>
      </c>
      <c r="AJ79" s="133" t="str">
        <f aca="false">IF($B79="","",MAX(0,AK79-(SUMIFS('سجل الإجازات والحالات'!$AQ$6:$AQ$505,'سجل الإجازات والحالات'!$B$6:$B$505,$B79)-SUMIFS('سجل الإجازات والحالات'!$AP$6:$AP$505,'سجل الإجازات والحالات'!$B$6:$B$505,$B79))))</f>
        <v/>
      </c>
      <c r="AK79" s="133" t="str">
        <f aca="false">IF($B79="","",MAX(0,IF(OR(الموظفون!$AE79="",الموظفون!$AE79&gt;$F$3),$F$3,الموظفون!$AE79)-MAX($E$3,الموظفون!$H79)+1))</f>
        <v/>
      </c>
      <c r="AL79" s="156" t="str">
        <f aca="false">IF($B79="","",SUMIFS('سجل الإجازات والحالات'!$BC$6:$BC$505,'سجل الإجازات والحالات'!$B$6:$B$505,$B79)+SUMIFS('الحركات الشهرية'!$K$6:$K$1005,'الحركات الشهرية'!$B$6:$B$1005,$B79,'الحركات الشهرية'!$A$6:$A$1005,$C$3))</f>
        <v/>
      </c>
      <c r="AM79" s="116" t="str">
        <f aca="false">IF($B79="","",AL79*الموظفون!$R79/cfg_DAYS_M+S79)</f>
        <v/>
      </c>
      <c r="AN79" s="156" t="str">
        <f aca="false">IF($B79="","",SUMIFS('سجل الإجازات والحالات'!$AE$6:$AE$505,'سجل الإجازات والحالات'!$B$6:$B$505,$B79))</f>
        <v/>
      </c>
    </row>
    <row r="80" customFormat="false" ht="15" hidden="false" customHeight="false" outlineLevel="0" collapsed="false">
      <c r="A80" s="106" t="str">
        <f aca="false">IF($B80="","",الموظفون!$A80)</f>
        <v/>
      </c>
      <c r="B80" s="114" t="str">
        <f aca="false">IF(الموظفون!$B80="","",الموظفون!$B80)</f>
        <v/>
      </c>
      <c r="C80" s="114" t="str">
        <f aca="false">IF($B80="","",الموظفون!$C80)</f>
        <v/>
      </c>
      <c r="D80" s="114" t="str">
        <f aca="false">IF($B80="","",الموظفون!$F80)</f>
        <v/>
      </c>
      <c r="E80" s="114" t="str">
        <f aca="false">IF($B80="","",الموظفون!$E80)</f>
        <v/>
      </c>
      <c r="F80" s="114" t="str">
        <f aca="false">IF($B80="","",IF(AK80=0,IF(AND(الموظفون!$AE80&lt;&gt;"",الموظفون!$AE80&lt;$E$3),"✖ منتهي الخدمة","⏳ لم يباشر"),IF(S80&gt;0,"✈ راتب إجازة مقدم",IF(J80=0,"⛔ بدون راتب هذا الشهر",IF(I80&gt;0,"✈ خصم "&amp;ROUND(I80,2)&amp;" يوم بدون أجر",IF(AL80&gt;0,"🌴 إجازة سنوية "&amp;ROUND(AL80,2)&amp;" يوم",IF(H80&gt;0,"⚠ غياب "&amp;ROUND(H80,2)&amp;" يوم","✔ على رأس العمل")))))))</f>
        <v/>
      </c>
      <c r="G80" s="151" t="str">
        <f aca="false">IF($B80="","",IF(AK80&gt;=DAY($F$3),cfg_DAYS_M,MIN(AK80,cfg_DAYS_M)))</f>
        <v/>
      </c>
      <c r="H80" s="151" t="str">
        <f aca="false">IF($B80="","",SUMIFS('الحركات الشهرية'!$D$6:$D$1005,'الحركات الشهرية'!$B$6:$B$1005,$B80,'الحركات الشهرية'!$A$6:$A$1005,$C$3))</f>
        <v/>
      </c>
      <c r="I80" s="151" t="str">
        <f aca="false">IF($B80="","",MIN(G80,IF(AND(AK80&gt;0,AN80&gt;=AK80),G80,AN80)+SUMIFS('الحركات الشهرية'!$E$6:$E$1005,'الحركات الشهرية'!$B$6:$B$1005,$B80,'الحركات الشهرية'!$A$6:$A$1005,$C$3)))</f>
        <v/>
      </c>
      <c r="J80" s="151" t="str">
        <f aca="false">IF($B80="","",MAX(0,G80-H80-I80))</f>
        <v/>
      </c>
      <c r="K80" s="111" t="str">
        <f aca="false">IF($B80="","",الموظفون!$L80*$J80/cfg_DAYS_M)</f>
        <v/>
      </c>
      <c r="L80" s="111" t="str">
        <f aca="false">IF($B80="","",الموظفون!$M80*$J80/cfg_DAYS_M)</f>
        <v/>
      </c>
      <c r="M80" s="111" t="str">
        <f aca="false">IF($B80="","",الموظفون!$N80*$J80/cfg_DAYS_M)</f>
        <v/>
      </c>
      <c r="N80" s="111" t="str">
        <f aca="false">IF($B80="","",الموظفون!$O80*$J80/cfg_DAYS_M)</f>
        <v/>
      </c>
      <c r="O80" s="151" t="str">
        <f aca="false">IF($B80="","",SUMIFS('الحركات الشهرية'!$F$6:$F$1005,'الحركات الشهرية'!$B$6:$B$1005,$B80,'الحركات الشهرية'!$A$6:$A$1005,$C$3))</f>
        <v/>
      </c>
      <c r="P80" s="111" t="str">
        <f aca="false">IF($B80="","",O80*(الموظفون!$P80+الموظفون!$L80*cfg_OT_P)/cfg_DAYS_M/cfg_HRS)</f>
        <v/>
      </c>
      <c r="Q80" s="111" t="str">
        <f aca="false">IF($B80="","",SUMIFS('الحركات الشهرية'!$G$6:$G$1005,'الحركات الشهرية'!$B$6:$B$1005,$B80,'الحركات الشهرية'!$A$6:$A$1005,$C$3))</f>
        <v/>
      </c>
      <c r="R80" s="111" t="str">
        <f aca="false">IF($B80="","",SUMIFS('الحركات الشهرية'!$H$6:$H$1005,'الحركات الشهرية'!$B$6:$B$1005,$B80,'الحركات الشهرية'!$A$6:$A$1005,$C$3))</f>
        <v/>
      </c>
      <c r="S80" s="111" t="str">
        <f aca="false">IF($B80="","",SUMIFS('سجل الإجازات والحالات'!$N$6:$N$505,'سجل الإجازات والحالات'!$B$6:$B$505,$B80,'سجل الإجازات والحالات'!$O$6:$O$505,$C$3))</f>
        <v/>
      </c>
      <c r="T80" s="152" t="str">
        <f aca="false">IF($B80="","",SUM(K80:N80)+SUM(P80:S80))</f>
        <v/>
      </c>
      <c r="U80" s="111" t="str">
        <f aca="false">IF($B80="","",الموظفون!$S80*IF(E80="سعودي",cfg_G_SE,cfg_G_NE)*G80/cfg_DAYS_M)</f>
        <v/>
      </c>
      <c r="V80" s="111" t="str">
        <f aca="false">IF($B80="","",SUMIFS('الحركات الشهرية'!$I$6:$I$1005,'الحركات الشهرية'!$B$6:$B$1005,$B80,'الحركات الشهرية'!$A$6:$A$1005,$C$3))</f>
        <v/>
      </c>
      <c r="W80" s="111" t="str">
        <f aca="false">IF($B80="","",SUMIFS('الحركات الشهرية'!$J$6:$J$1005,'الحركات الشهرية'!$B$6:$B$1005,$B80,'الحركات الشهرية'!$A$6:$A$1005,$C$3))</f>
        <v/>
      </c>
      <c r="X80" s="111" t="str">
        <f aca="false">IF($B80="","",SUM(U80:W80))</f>
        <v/>
      </c>
      <c r="Y80" s="153" t="str">
        <f aca="false">IF($B80="","",T80-X80)</f>
        <v/>
      </c>
      <c r="Z80" s="111" t="str">
        <f aca="false">IF($B80="","",الموظفون!$S80*IF(E80="سعودي",cfg_G_SR,cfg_G_NR)*G80/cfg_DAYS_M)</f>
        <v/>
      </c>
      <c r="AA80" s="111" t="str">
        <f aca="false">IF($B80="","",الموظفون!$Q80*(cfg_EOS_R1*(MIN(AH80,cfg_EOS_TH)-MIN(AI80,cfg_EOS_TH))+cfg_EOS_R2*(MAX(AH80-cfg_EOS_TH,0)-MAX(AI80-cfg_EOS_TH,0))))</f>
        <v/>
      </c>
      <c r="AB80" s="111" t="str">
        <f aca="false">IF($B80="","",IF(الموظفون!$T80&lt;&gt;"",الموظفون!$T80,IF(AH80&gt;=cfg_LV_TH,cfg_LV_D2,cfg_LV_D1))/cfg_DAYS_Y*AJ80*الموظفون!$R80/cfg_DAYS_M)</f>
        <v/>
      </c>
      <c r="AC80" s="111" t="str">
        <f aca="false">IF($B80="","",IF(AND(الموظفون!$U80="نعم",N(الموظفون!$W80)&gt;0),الموظفون!$V80/الموظفون!$W80*12/cfg_DAYS_Y*AJ80,0))</f>
        <v/>
      </c>
      <c r="AD80" s="111" t="str">
        <f aca="false">IF($B80="","",(IF(الموظفون!$X80&lt;&gt;"",الموظفون!$X80,IF(الموظفون!$E80="غير سعودي",cfg_IQ,0))+IF(الموظفون!$Y80&lt;&gt;"",الموظفون!$Y80,IF(الموظفون!$E80="غير سعودي",cfg_WP,0)))/12*G80/cfg_DAYS_M)</f>
        <v/>
      </c>
      <c r="AE80" s="111" t="str">
        <f aca="false">IF($B80="","",IF(الموظفون!$Z80&lt;&gt;"",الموظفون!$Z80,cfg_MED)/12*G80/cfg_DAYS_M)</f>
        <v/>
      </c>
      <c r="AF80" s="111" t="str">
        <f aca="false">IF($B80="","",N(الموظفون!$AA80)/12*G80/cfg_DAYS_M)</f>
        <v/>
      </c>
      <c r="AG80" s="154" t="str">
        <f aca="false">IF($B80="","",T80+SUM(Z80:AF80))</f>
        <v/>
      </c>
      <c r="AH80" s="155" t="str">
        <f aca="false">IF($B80="","",MAX(0,IF(OR(الموظفون!$AE80="",الموظفون!$AE80&gt;$F$3),$F$3,الموظفون!$AE80)-الموظفون!$H80+1-SUMIFS('سجل الإجازات والحالات'!$AQ$6:$AQ$505,'سجل الإجازات والحالات'!$B$6:$B$505,$B80))/cfg_DAYS_Y)</f>
        <v/>
      </c>
      <c r="AI80" s="155" t="str">
        <f aca="false">IF($B80="","",MAX(0,IF(OR(الموظفون!$AE80="",الموظفون!$AE80&gt;($E$3-1)),($E$3-1),الموظفون!$AE80)-الموظفون!$H80+1-SUMIFS('سجل الإجازات والحالات'!$AP$6:$AP$505,'سجل الإجازات والحالات'!$B$6:$B$505,$B80))/cfg_DAYS_Y)</f>
        <v/>
      </c>
      <c r="AJ80" s="65" t="str">
        <f aca="false">IF($B80="","",MAX(0,AK80-(SUMIFS('سجل الإجازات والحالات'!$AQ$6:$AQ$505,'سجل الإجازات والحالات'!$B$6:$B$505,$B80)-SUMIFS('سجل الإجازات والحالات'!$AP$6:$AP$505,'سجل الإجازات والحالات'!$B$6:$B$505,$B80))))</f>
        <v/>
      </c>
      <c r="AK80" s="65" t="str">
        <f aca="false">IF($B80="","",MAX(0,IF(OR(الموظفون!$AE80="",الموظفون!$AE80&gt;$F$3),$F$3,الموظفون!$AE80)-MAX($E$3,الموظفون!$H80)+1))</f>
        <v/>
      </c>
      <c r="AL80" s="151" t="str">
        <f aca="false">IF($B80="","",SUMIFS('سجل الإجازات والحالات'!$BC$6:$BC$505,'سجل الإجازات والحالات'!$B$6:$B$505,$B80)+SUMIFS('الحركات الشهرية'!$K$6:$K$1005,'الحركات الشهرية'!$B$6:$B$1005,$B80,'الحركات الشهرية'!$A$6:$A$1005,$C$3))</f>
        <v/>
      </c>
      <c r="AM80" s="111" t="str">
        <f aca="false">IF($B80="","",AL80*الموظفون!$R80/cfg_DAYS_M+S80)</f>
        <v/>
      </c>
      <c r="AN80" s="151" t="str">
        <f aca="false">IF($B80="","",SUMIFS('سجل الإجازات والحالات'!$AE$6:$AE$505,'سجل الإجازات والحالات'!$B$6:$B$505,$B80))</f>
        <v/>
      </c>
    </row>
    <row r="81" customFormat="false" ht="15" hidden="false" customHeight="false" outlineLevel="0" collapsed="false">
      <c r="A81" s="115" t="str">
        <f aca="false">IF($B81="","",الموظفون!$A81)</f>
        <v/>
      </c>
      <c r="B81" s="117" t="str">
        <f aca="false">IF(الموظفون!$B81="","",الموظفون!$B81)</f>
        <v/>
      </c>
      <c r="C81" s="117" t="str">
        <f aca="false">IF($B81="","",الموظفون!$C81)</f>
        <v/>
      </c>
      <c r="D81" s="117" t="str">
        <f aca="false">IF($B81="","",الموظفون!$F81)</f>
        <v/>
      </c>
      <c r="E81" s="117" t="str">
        <f aca="false">IF($B81="","",الموظفون!$E81)</f>
        <v/>
      </c>
      <c r="F81" s="117" t="str">
        <f aca="false">IF($B81="","",IF(AK81=0,IF(AND(الموظفون!$AE81&lt;&gt;"",الموظفون!$AE81&lt;$E$3),"✖ منتهي الخدمة","⏳ لم يباشر"),IF(S81&gt;0,"✈ راتب إجازة مقدم",IF(J81=0,"⛔ بدون راتب هذا الشهر",IF(I81&gt;0,"✈ خصم "&amp;ROUND(I81,2)&amp;" يوم بدون أجر",IF(AL81&gt;0,"🌴 إجازة سنوية "&amp;ROUND(AL81,2)&amp;" يوم",IF(H81&gt;0,"⚠ غياب "&amp;ROUND(H81,2)&amp;" يوم","✔ على رأس العمل")))))))</f>
        <v/>
      </c>
      <c r="G81" s="156" t="str">
        <f aca="false">IF($B81="","",IF(AK81&gt;=DAY($F$3),cfg_DAYS_M,MIN(AK81,cfg_DAYS_M)))</f>
        <v/>
      </c>
      <c r="H81" s="156" t="str">
        <f aca="false">IF($B81="","",SUMIFS('الحركات الشهرية'!$D$6:$D$1005,'الحركات الشهرية'!$B$6:$B$1005,$B81,'الحركات الشهرية'!$A$6:$A$1005,$C$3))</f>
        <v/>
      </c>
      <c r="I81" s="156" t="str">
        <f aca="false">IF($B81="","",MIN(G81,IF(AND(AK81&gt;0,AN81&gt;=AK81),G81,AN81)+SUMIFS('الحركات الشهرية'!$E$6:$E$1005,'الحركات الشهرية'!$B$6:$B$1005,$B81,'الحركات الشهرية'!$A$6:$A$1005,$C$3)))</f>
        <v/>
      </c>
      <c r="J81" s="156" t="str">
        <f aca="false">IF($B81="","",MAX(0,G81-H81-I81))</f>
        <v/>
      </c>
      <c r="K81" s="116" t="str">
        <f aca="false">IF($B81="","",الموظفون!$L81*$J81/cfg_DAYS_M)</f>
        <v/>
      </c>
      <c r="L81" s="116" t="str">
        <f aca="false">IF($B81="","",الموظفون!$M81*$J81/cfg_DAYS_M)</f>
        <v/>
      </c>
      <c r="M81" s="116" t="str">
        <f aca="false">IF($B81="","",الموظفون!$N81*$J81/cfg_DAYS_M)</f>
        <v/>
      </c>
      <c r="N81" s="116" t="str">
        <f aca="false">IF($B81="","",الموظفون!$O81*$J81/cfg_DAYS_M)</f>
        <v/>
      </c>
      <c r="O81" s="156" t="str">
        <f aca="false">IF($B81="","",SUMIFS('الحركات الشهرية'!$F$6:$F$1005,'الحركات الشهرية'!$B$6:$B$1005,$B81,'الحركات الشهرية'!$A$6:$A$1005,$C$3))</f>
        <v/>
      </c>
      <c r="P81" s="116" t="str">
        <f aca="false">IF($B81="","",O81*(الموظفون!$P81+الموظفون!$L81*cfg_OT_P)/cfg_DAYS_M/cfg_HRS)</f>
        <v/>
      </c>
      <c r="Q81" s="116" t="str">
        <f aca="false">IF($B81="","",SUMIFS('الحركات الشهرية'!$G$6:$G$1005,'الحركات الشهرية'!$B$6:$B$1005,$B81,'الحركات الشهرية'!$A$6:$A$1005,$C$3))</f>
        <v/>
      </c>
      <c r="R81" s="116" t="str">
        <f aca="false">IF($B81="","",SUMIFS('الحركات الشهرية'!$H$6:$H$1005,'الحركات الشهرية'!$B$6:$B$1005,$B81,'الحركات الشهرية'!$A$6:$A$1005,$C$3))</f>
        <v/>
      </c>
      <c r="S81" s="116" t="str">
        <f aca="false">IF($B81="","",SUMIFS('سجل الإجازات والحالات'!$N$6:$N$505,'سجل الإجازات والحالات'!$B$6:$B$505,$B81,'سجل الإجازات والحالات'!$O$6:$O$505,$C$3))</f>
        <v/>
      </c>
      <c r="T81" s="157" t="str">
        <f aca="false">IF($B81="","",SUM(K81:N81)+SUM(P81:S81))</f>
        <v/>
      </c>
      <c r="U81" s="116" t="str">
        <f aca="false">IF($B81="","",الموظفون!$S81*IF(E81="سعودي",cfg_G_SE,cfg_G_NE)*G81/cfg_DAYS_M)</f>
        <v/>
      </c>
      <c r="V81" s="116" t="str">
        <f aca="false">IF($B81="","",SUMIFS('الحركات الشهرية'!$I$6:$I$1005,'الحركات الشهرية'!$B$6:$B$1005,$B81,'الحركات الشهرية'!$A$6:$A$1005,$C$3))</f>
        <v/>
      </c>
      <c r="W81" s="116" t="str">
        <f aca="false">IF($B81="","",SUMIFS('الحركات الشهرية'!$J$6:$J$1005,'الحركات الشهرية'!$B$6:$B$1005,$B81,'الحركات الشهرية'!$A$6:$A$1005,$C$3))</f>
        <v/>
      </c>
      <c r="X81" s="116" t="str">
        <f aca="false">IF($B81="","",SUM(U81:W81))</f>
        <v/>
      </c>
      <c r="Y81" s="158" t="str">
        <f aca="false">IF($B81="","",T81-X81)</f>
        <v/>
      </c>
      <c r="Z81" s="116" t="str">
        <f aca="false">IF($B81="","",الموظفون!$S81*IF(E81="سعودي",cfg_G_SR,cfg_G_NR)*G81/cfg_DAYS_M)</f>
        <v/>
      </c>
      <c r="AA81" s="116" t="str">
        <f aca="false">IF($B81="","",الموظفون!$Q81*(cfg_EOS_R1*(MIN(AH81,cfg_EOS_TH)-MIN(AI81,cfg_EOS_TH))+cfg_EOS_R2*(MAX(AH81-cfg_EOS_TH,0)-MAX(AI81-cfg_EOS_TH,0))))</f>
        <v/>
      </c>
      <c r="AB81" s="116" t="str">
        <f aca="false">IF($B81="","",IF(الموظفون!$T81&lt;&gt;"",الموظفون!$T81,IF(AH81&gt;=cfg_LV_TH,cfg_LV_D2,cfg_LV_D1))/cfg_DAYS_Y*AJ81*الموظفون!$R81/cfg_DAYS_M)</f>
        <v/>
      </c>
      <c r="AC81" s="116" t="str">
        <f aca="false">IF($B81="","",IF(AND(الموظفون!$U81="نعم",N(الموظفون!$W81)&gt;0),الموظفون!$V81/الموظفون!$W81*12/cfg_DAYS_Y*AJ81,0))</f>
        <v/>
      </c>
      <c r="AD81" s="116" t="str">
        <f aca="false">IF($B81="","",(IF(الموظفون!$X81&lt;&gt;"",الموظفون!$X81,IF(الموظفون!$E81="غير سعودي",cfg_IQ,0))+IF(الموظفون!$Y81&lt;&gt;"",الموظفون!$Y81,IF(الموظفون!$E81="غير سعودي",cfg_WP,0)))/12*G81/cfg_DAYS_M)</f>
        <v/>
      </c>
      <c r="AE81" s="116" t="str">
        <f aca="false">IF($B81="","",IF(الموظفون!$Z81&lt;&gt;"",الموظفون!$Z81,cfg_MED)/12*G81/cfg_DAYS_M)</f>
        <v/>
      </c>
      <c r="AF81" s="116" t="str">
        <f aca="false">IF($B81="","",N(الموظفون!$AA81)/12*G81/cfg_DAYS_M)</f>
        <v/>
      </c>
      <c r="AG81" s="159" t="str">
        <f aca="false">IF($B81="","",T81+SUM(Z81:AF81))</f>
        <v/>
      </c>
      <c r="AH81" s="160" t="str">
        <f aca="false">IF($B81="","",MAX(0,IF(OR(الموظفون!$AE81="",الموظفون!$AE81&gt;$F$3),$F$3,الموظفون!$AE81)-الموظفون!$H81+1-SUMIFS('سجل الإجازات والحالات'!$AQ$6:$AQ$505,'سجل الإجازات والحالات'!$B$6:$B$505,$B81))/cfg_DAYS_Y)</f>
        <v/>
      </c>
      <c r="AI81" s="160" t="str">
        <f aca="false">IF($B81="","",MAX(0,IF(OR(الموظفون!$AE81="",الموظفون!$AE81&gt;($E$3-1)),($E$3-1),الموظفون!$AE81)-الموظفون!$H81+1-SUMIFS('سجل الإجازات والحالات'!$AP$6:$AP$505,'سجل الإجازات والحالات'!$B$6:$B$505,$B81))/cfg_DAYS_Y)</f>
        <v/>
      </c>
      <c r="AJ81" s="133" t="str">
        <f aca="false">IF($B81="","",MAX(0,AK81-(SUMIFS('سجل الإجازات والحالات'!$AQ$6:$AQ$505,'سجل الإجازات والحالات'!$B$6:$B$505,$B81)-SUMIFS('سجل الإجازات والحالات'!$AP$6:$AP$505,'سجل الإجازات والحالات'!$B$6:$B$505,$B81))))</f>
        <v/>
      </c>
      <c r="AK81" s="133" t="str">
        <f aca="false">IF($B81="","",MAX(0,IF(OR(الموظفون!$AE81="",الموظفون!$AE81&gt;$F$3),$F$3,الموظفون!$AE81)-MAX($E$3,الموظفون!$H81)+1))</f>
        <v/>
      </c>
      <c r="AL81" s="156" t="str">
        <f aca="false">IF($B81="","",SUMIFS('سجل الإجازات والحالات'!$BC$6:$BC$505,'سجل الإجازات والحالات'!$B$6:$B$505,$B81)+SUMIFS('الحركات الشهرية'!$K$6:$K$1005,'الحركات الشهرية'!$B$6:$B$1005,$B81,'الحركات الشهرية'!$A$6:$A$1005,$C$3))</f>
        <v/>
      </c>
      <c r="AM81" s="116" t="str">
        <f aca="false">IF($B81="","",AL81*الموظفون!$R81/cfg_DAYS_M+S81)</f>
        <v/>
      </c>
      <c r="AN81" s="156" t="str">
        <f aca="false">IF($B81="","",SUMIFS('سجل الإجازات والحالات'!$AE$6:$AE$505,'سجل الإجازات والحالات'!$B$6:$B$505,$B81))</f>
        <v/>
      </c>
    </row>
    <row r="82" customFormat="false" ht="15" hidden="false" customHeight="false" outlineLevel="0" collapsed="false">
      <c r="A82" s="106" t="str">
        <f aca="false">IF($B82="","",الموظفون!$A82)</f>
        <v/>
      </c>
      <c r="B82" s="114" t="str">
        <f aca="false">IF(الموظفون!$B82="","",الموظفون!$B82)</f>
        <v/>
      </c>
      <c r="C82" s="114" t="str">
        <f aca="false">IF($B82="","",الموظفون!$C82)</f>
        <v/>
      </c>
      <c r="D82" s="114" t="str">
        <f aca="false">IF($B82="","",الموظفون!$F82)</f>
        <v/>
      </c>
      <c r="E82" s="114" t="str">
        <f aca="false">IF($B82="","",الموظفون!$E82)</f>
        <v/>
      </c>
      <c r="F82" s="114" t="str">
        <f aca="false">IF($B82="","",IF(AK82=0,IF(AND(الموظفون!$AE82&lt;&gt;"",الموظفون!$AE82&lt;$E$3),"✖ منتهي الخدمة","⏳ لم يباشر"),IF(S82&gt;0,"✈ راتب إجازة مقدم",IF(J82=0,"⛔ بدون راتب هذا الشهر",IF(I82&gt;0,"✈ خصم "&amp;ROUND(I82,2)&amp;" يوم بدون أجر",IF(AL82&gt;0,"🌴 إجازة سنوية "&amp;ROUND(AL82,2)&amp;" يوم",IF(H82&gt;0,"⚠ غياب "&amp;ROUND(H82,2)&amp;" يوم","✔ على رأس العمل")))))))</f>
        <v/>
      </c>
      <c r="G82" s="151" t="str">
        <f aca="false">IF($B82="","",IF(AK82&gt;=DAY($F$3),cfg_DAYS_M,MIN(AK82,cfg_DAYS_M)))</f>
        <v/>
      </c>
      <c r="H82" s="151" t="str">
        <f aca="false">IF($B82="","",SUMIFS('الحركات الشهرية'!$D$6:$D$1005,'الحركات الشهرية'!$B$6:$B$1005,$B82,'الحركات الشهرية'!$A$6:$A$1005,$C$3))</f>
        <v/>
      </c>
      <c r="I82" s="151" t="str">
        <f aca="false">IF($B82="","",MIN(G82,IF(AND(AK82&gt;0,AN82&gt;=AK82),G82,AN82)+SUMIFS('الحركات الشهرية'!$E$6:$E$1005,'الحركات الشهرية'!$B$6:$B$1005,$B82,'الحركات الشهرية'!$A$6:$A$1005,$C$3)))</f>
        <v/>
      </c>
      <c r="J82" s="151" t="str">
        <f aca="false">IF($B82="","",MAX(0,G82-H82-I82))</f>
        <v/>
      </c>
      <c r="K82" s="111" t="str">
        <f aca="false">IF($B82="","",الموظفون!$L82*$J82/cfg_DAYS_M)</f>
        <v/>
      </c>
      <c r="L82" s="111" t="str">
        <f aca="false">IF($B82="","",الموظفون!$M82*$J82/cfg_DAYS_M)</f>
        <v/>
      </c>
      <c r="M82" s="111" t="str">
        <f aca="false">IF($B82="","",الموظفون!$N82*$J82/cfg_DAYS_M)</f>
        <v/>
      </c>
      <c r="N82" s="111" t="str">
        <f aca="false">IF($B82="","",الموظفون!$O82*$J82/cfg_DAYS_M)</f>
        <v/>
      </c>
      <c r="O82" s="151" t="str">
        <f aca="false">IF($B82="","",SUMIFS('الحركات الشهرية'!$F$6:$F$1005,'الحركات الشهرية'!$B$6:$B$1005,$B82,'الحركات الشهرية'!$A$6:$A$1005,$C$3))</f>
        <v/>
      </c>
      <c r="P82" s="111" t="str">
        <f aca="false">IF($B82="","",O82*(الموظفون!$P82+الموظفون!$L82*cfg_OT_P)/cfg_DAYS_M/cfg_HRS)</f>
        <v/>
      </c>
      <c r="Q82" s="111" t="str">
        <f aca="false">IF($B82="","",SUMIFS('الحركات الشهرية'!$G$6:$G$1005,'الحركات الشهرية'!$B$6:$B$1005,$B82,'الحركات الشهرية'!$A$6:$A$1005,$C$3))</f>
        <v/>
      </c>
      <c r="R82" s="111" t="str">
        <f aca="false">IF($B82="","",SUMIFS('الحركات الشهرية'!$H$6:$H$1005,'الحركات الشهرية'!$B$6:$B$1005,$B82,'الحركات الشهرية'!$A$6:$A$1005,$C$3))</f>
        <v/>
      </c>
      <c r="S82" s="111" t="str">
        <f aca="false">IF($B82="","",SUMIFS('سجل الإجازات والحالات'!$N$6:$N$505,'سجل الإجازات والحالات'!$B$6:$B$505,$B82,'سجل الإجازات والحالات'!$O$6:$O$505,$C$3))</f>
        <v/>
      </c>
      <c r="T82" s="152" t="str">
        <f aca="false">IF($B82="","",SUM(K82:N82)+SUM(P82:S82))</f>
        <v/>
      </c>
      <c r="U82" s="111" t="str">
        <f aca="false">IF($B82="","",الموظفون!$S82*IF(E82="سعودي",cfg_G_SE,cfg_G_NE)*G82/cfg_DAYS_M)</f>
        <v/>
      </c>
      <c r="V82" s="111" t="str">
        <f aca="false">IF($B82="","",SUMIFS('الحركات الشهرية'!$I$6:$I$1005,'الحركات الشهرية'!$B$6:$B$1005,$B82,'الحركات الشهرية'!$A$6:$A$1005,$C$3))</f>
        <v/>
      </c>
      <c r="W82" s="111" t="str">
        <f aca="false">IF($B82="","",SUMIFS('الحركات الشهرية'!$J$6:$J$1005,'الحركات الشهرية'!$B$6:$B$1005,$B82,'الحركات الشهرية'!$A$6:$A$1005,$C$3))</f>
        <v/>
      </c>
      <c r="X82" s="111" t="str">
        <f aca="false">IF($B82="","",SUM(U82:W82))</f>
        <v/>
      </c>
      <c r="Y82" s="153" t="str">
        <f aca="false">IF($B82="","",T82-X82)</f>
        <v/>
      </c>
      <c r="Z82" s="111" t="str">
        <f aca="false">IF($B82="","",الموظفون!$S82*IF(E82="سعودي",cfg_G_SR,cfg_G_NR)*G82/cfg_DAYS_M)</f>
        <v/>
      </c>
      <c r="AA82" s="111" t="str">
        <f aca="false">IF($B82="","",الموظفون!$Q82*(cfg_EOS_R1*(MIN(AH82,cfg_EOS_TH)-MIN(AI82,cfg_EOS_TH))+cfg_EOS_R2*(MAX(AH82-cfg_EOS_TH,0)-MAX(AI82-cfg_EOS_TH,0))))</f>
        <v/>
      </c>
      <c r="AB82" s="111" t="str">
        <f aca="false">IF($B82="","",IF(الموظفون!$T82&lt;&gt;"",الموظفون!$T82,IF(AH82&gt;=cfg_LV_TH,cfg_LV_D2,cfg_LV_D1))/cfg_DAYS_Y*AJ82*الموظفون!$R82/cfg_DAYS_M)</f>
        <v/>
      </c>
      <c r="AC82" s="111" t="str">
        <f aca="false">IF($B82="","",IF(AND(الموظفون!$U82="نعم",N(الموظفون!$W82)&gt;0),الموظفون!$V82/الموظفون!$W82*12/cfg_DAYS_Y*AJ82,0))</f>
        <v/>
      </c>
      <c r="AD82" s="111" t="str">
        <f aca="false">IF($B82="","",(IF(الموظفون!$X82&lt;&gt;"",الموظفون!$X82,IF(الموظفون!$E82="غير سعودي",cfg_IQ,0))+IF(الموظفون!$Y82&lt;&gt;"",الموظفون!$Y82,IF(الموظفون!$E82="غير سعودي",cfg_WP,0)))/12*G82/cfg_DAYS_M)</f>
        <v/>
      </c>
      <c r="AE82" s="111" t="str">
        <f aca="false">IF($B82="","",IF(الموظفون!$Z82&lt;&gt;"",الموظفون!$Z82,cfg_MED)/12*G82/cfg_DAYS_M)</f>
        <v/>
      </c>
      <c r="AF82" s="111" t="str">
        <f aca="false">IF($B82="","",N(الموظفون!$AA82)/12*G82/cfg_DAYS_M)</f>
        <v/>
      </c>
      <c r="AG82" s="154" t="str">
        <f aca="false">IF($B82="","",T82+SUM(Z82:AF82))</f>
        <v/>
      </c>
      <c r="AH82" s="155" t="str">
        <f aca="false">IF($B82="","",MAX(0,IF(OR(الموظفون!$AE82="",الموظفون!$AE82&gt;$F$3),$F$3,الموظفون!$AE82)-الموظفون!$H82+1-SUMIFS('سجل الإجازات والحالات'!$AQ$6:$AQ$505,'سجل الإجازات والحالات'!$B$6:$B$505,$B82))/cfg_DAYS_Y)</f>
        <v/>
      </c>
      <c r="AI82" s="155" t="str">
        <f aca="false">IF($B82="","",MAX(0,IF(OR(الموظفون!$AE82="",الموظفون!$AE82&gt;($E$3-1)),($E$3-1),الموظفون!$AE82)-الموظفون!$H82+1-SUMIFS('سجل الإجازات والحالات'!$AP$6:$AP$505,'سجل الإجازات والحالات'!$B$6:$B$505,$B82))/cfg_DAYS_Y)</f>
        <v/>
      </c>
      <c r="AJ82" s="65" t="str">
        <f aca="false">IF($B82="","",MAX(0,AK82-(SUMIFS('سجل الإجازات والحالات'!$AQ$6:$AQ$505,'سجل الإجازات والحالات'!$B$6:$B$505,$B82)-SUMIFS('سجل الإجازات والحالات'!$AP$6:$AP$505,'سجل الإجازات والحالات'!$B$6:$B$505,$B82))))</f>
        <v/>
      </c>
      <c r="AK82" s="65" t="str">
        <f aca="false">IF($B82="","",MAX(0,IF(OR(الموظفون!$AE82="",الموظفون!$AE82&gt;$F$3),$F$3,الموظفون!$AE82)-MAX($E$3,الموظفون!$H82)+1))</f>
        <v/>
      </c>
      <c r="AL82" s="151" t="str">
        <f aca="false">IF($B82="","",SUMIFS('سجل الإجازات والحالات'!$BC$6:$BC$505,'سجل الإجازات والحالات'!$B$6:$B$505,$B82)+SUMIFS('الحركات الشهرية'!$K$6:$K$1005,'الحركات الشهرية'!$B$6:$B$1005,$B82,'الحركات الشهرية'!$A$6:$A$1005,$C$3))</f>
        <v/>
      </c>
      <c r="AM82" s="111" t="str">
        <f aca="false">IF($B82="","",AL82*الموظفون!$R82/cfg_DAYS_M+S82)</f>
        <v/>
      </c>
      <c r="AN82" s="151" t="str">
        <f aca="false">IF($B82="","",SUMIFS('سجل الإجازات والحالات'!$AE$6:$AE$505,'سجل الإجازات والحالات'!$B$6:$B$505,$B82))</f>
        <v/>
      </c>
    </row>
    <row r="83" customFormat="false" ht="15" hidden="false" customHeight="false" outlineLevel="0" collapsed="false">
      <c r="A83" s="115" t="str">
        <f aca="false">IF($B83="","",الموظفون!$A83)</f>
        <v/>
      </c>
      <c r="B83" s="117" t="str">
        <f aca="false">IF(الموظفون!$B83="","",الموظفون!$B83)</f>
        <v/>
      </c>
      <c r="C83" s="117" t="str">
        <f aca="false">IF($B83="","",الموظفون!$C83)</f>
        <v/>
      </c>
      <c r="D83" s="117" t="str">
        <f aca="false">IF($B83="","",الموظفون!$F83)</f>
        <v/>
      </c>
      <c r="E83" s="117" t="str">
        <f aca="false">IF($B83="","",الموظفون!$E83)</f>
        <v/>
      </c>
      <c r="F83" s="117" t="str">
        <f aca="false">IF($B83="","",IF(AK83=0,IF(AND(الموظفون!$AE83&lt;&gt;"",الموظفون!$AE83&lt;$E$3),"✖ منتهي الخدمة","⏳ لم يباشر"),IF(S83&gt;0,"✈ راتب إجازة مقدم",IF(J83=0,"⛔ بدون راتب هذا الشهر",IF(I83&gt;0,"✈ خصم "&amp;ROUND(I83,2)&amp;" يوم بدون أجر",IF(AL83&gt;0,"🌴 إجازة سنوية "&amp;ROUND(AL83,2)&amp;" يوم",IF(H83&gt;0,"⚠ غياب "&amp;ROUND(H83,2)&amp;" يوم","✔ على رأس العمل")))))))</f>
        <v/>
      </c>
      <c r="G83" s="156" t="str">
        <f aca="false">IF($B83="","",IF(AK83&gt;=DAY($F$3),cfg_DAYS_M,MIN(AK83,cfg_DAYS_M)))</f>
        <v/>
      </c>
      <c r="H83" s="156" t="str">
        <f aca="false">IF($B83="","",SUMIFS('الحركات الشهرية'!$D$6:$D$1005,'الحركات الشهرية'!$B$6:$B$1005,$B83,'الحركات الشهرية'!$A$6:$A$1005,$C$3))</f>
        <v/>
      </c>
      <c r="I83" s="156" t="str">
        <f aca="false">IF($B83="","",MIN(G83,IF(AND(AK83&gt;0,AN83&gt;=AK83),G83,AN83)+SUMIFS('الحركات الشهرية'!$E$6:$E$1005,'الحركات الشهرية'!$B$6:$B$1005,$B83,'الحركات الشهرية'!$A$6:$A$1005,$C$3)))</f>
        <v/>
      </c>
      <c r="J83" s="156" t="str">
        <f aca="false">IF($B83="","",MAX(0,G83-H83-I83))</f>
        <v/>
      </c>
      <c r="K83" s="116" t="str">
        <f aca="false">IF($B83="","",الموظفون!$L83*$J83/cfg_DAYS_M)</f>
        <v/>
      </c>
      <c r="L83" s="116" t="str">
        <f aca="false">IF($B83="","",الموظفون!$M83*$J83/cfg_DAYS_M)</f>
        <v/>
      </c>
      <c r="M83" s="116" t="str">
        <f aca="false">IF($B83="","",الموظفون!$N83*$J83/cfg_DAYS_M)</f>
        <v/>
      </c>
      <c r="N83" s="116" t="str">
        <f aca="false">IF($B83="","",الموظفون!$O83*$J83/cfg_DAYS_M)</f>
        <v/>
      </c>
      <c r="O83" s="156" t="str">
        <f aca="false">IF($B83="","",SUMIFS('الحركات الشهرية'!$F$6:$F$1005,'الحركات الشهرية'!$B$6:$B$1005,$B83,'الحركات الشهرية'!$A$6:$A$1005,$C$3))</f>
        <v/>
      </c>
      <c r="P83" s="116" t="str">
        <f aca="false">IF($B83="","",O83*(الموظفون!$P83+الموظفون!$L83*cfg_OT_P)/cfg_DAYS_M/cfg_HRS)</f>
        <v/>
      </c>
      <c r="Q83" s="116" t="str">
        <f aca="false">IF($B83="","",SUMIFS('الحركات الشهرية'!$G$6:$G$1005,'الحركات الشهرية'!$B$6:$B$1005,$B83,'الحركات الشهرية'!$A$6:$A$1005,$C$3))</f>
        <v/>
      </c>
      <c r="R83" s="116" t="str">
        <f aca="false">IF($B83="","",SUMIFS('الحركات الشهرية'!$H$6:$H$1005,'الحركات الشهرية'!$B$6:$B$1005,$B83,'الحركات الشهرية'!$A$6:$A$1005,$C$3))</f>
        <v/>
      </c>
      <c r="S83" s="116" t="str">
        <f aca="false">IF($B83="","",SUMIFS('سجل الإجازات والحالات'!$N$6:$N$505,'سجل الإجازات والحالات'!$B$6:$B$505,$B83,'سجل الإجازات والحالات'!$O$6:$O$505,$C$3))</f>
        <v/>
      </c>
      <c r="T83" s="157" t="str">
        <f aca="false">IF($B83="","",SUM(K83:N83)+SUM(P83:S83))</f>
        <v/>
      </c>
      <c r="U83" s="116" t="str">
        <f aca="false">IF($B83="","",الموظفون!$S83*IF(E83="سعودي",cfg_G_SE,cfg_G_NE)*G83/cfg_DAYS_M)</f>
        <v/>
      </c>
      <c r="V83" s="116" t="str">
        <f aca="false">IF($B83="","",SUMIFS('الحركات الشهرية'!$I$6:$I$1005,'الحركات الشهرية'!$B$6:$B$1005,$B83,'الحركات الشهرية'!$A$6:$A$1005,$C$3))</f>
        <v/>
      </c>
      <c r="W83" s="116" t="str">
        <f aca="false">IF($B83="","",SUMIFS('الحركات الشهرية'!$J$6:$J$1005,'الحركات الشهرية'!$B$6:$B$1005,$B83,'الحركات الشهرية'!$A$6:$A$1005,$C$3))</f>
        <v/>
      </c>
      <c r="X83" s="116" t="str">
        <f aca="false">IF($B83="","",SUM(U83:W83))</f>
        <v/>
      </c>
      <c r="Y83" s="158" t="str">
        <f aca="false">IF($B83="","",T83-X83)</f>
        <v/>
      </c>
      <c r="Z83" s="116" t="str">
        <f aca="false">IF($B83="","",الموظفون!$S83*IF(E83="سعودي",cfg_G_SR,cfg_G_NR)*G83/cfg_DAYS_M)</f>
        <v/>
      </c>
      <c r="AA83" s="116" t="str">
        <f aca="false">IF($B83="","",الموظفون!$Q83*(cfg_EOS_R1*(MIN(AH83,cfg_EOS_TH)-MIN(AI83,cfg_EOS_TH))+cfg_EOS_R2*(MAX(AH83-cfg_EOS_TH,0)-MAX(AI83-cfg_EOS_TH,0))))</f>
        <v/>
      </c>
      <c r="AB83" s="116" t="str">
        <f aca="false">IF($B83="","",IF(الموظفون!$T83&lt;&gt;"",الموظفون!$T83,IF(AH83&gt;=cfg_LV_TH,cfg_LV_D2,cfg_LV_D1))/cfg_DAYS_Y*AJ83*الموظفون!$R83/cfg_DAYS_M)</f>
        <v/>
      </c>
      <c r="AC83" s="116" t="str">
        <f aca="false">IF($B83="","",IF(AND(الموظفون!$U83="نعم",N(الموظفون!$W83)&gt;0),الموظفون!$V83/الموظفون!$W83*12/cfg_DAYS_Y*AJ83,0))</f>
        <v/>
      </c>
      <c r="AD83" s="116" t="str">
        <f aca="false">IF($B83="","",(IF(الموظفون!$X83&lt;&gt;"",الموظفون!$X83,IF(الموظفون!$E83="غير سعودي",cfg_IQ,0))+IF(الموظفون!$Y83&lt;&gt;"",الموظفون!$Y83,IF(الموظفون!$E83="غير سعودي",cfg_WP,0)))/12*G83/cfg_DAYS_M)</f>
        <v/>
      </c>
      <c r="AE83" s="116" t="str">
        <f aca="false">IF($B83="","",IF(الموظفون!$Z83&lt;&gt;"",الموظفون!$Z83,cfg_MED)/12*G83/cfg_DAYS_M)</f>
        <v/>
      </c>
      <c r="AF83" s="116" t="str">
        <f aca="false">IF($B83="","",N(الموظفون!$AA83)/12*G83/cfg_DAYS_M)</f>
        <v/>
      </c>
      <c r="AG83" s="159" t="str">
        <f aca="false">IF($B83="","",T83+SUM(Z83:AF83))</f>
        <v/>
      </c>
      <c r="AH83" s="160" t="str">
        <f aca="false">IF($B83="","",MAX(0,IF(OR(الموظفون!$AE83="",الموظفون!$AE83&gt;$F$3),$F$3,الموظفون!$AE83)-الموظفون!$H83+1-SUMIFS('سجل الإجازات والحالات'!$AQ$6:$AQ$505,'سجل الإجازات والحالات'!$B$6:$B$505,$B83))/cfg_DAYS_Y)</f>
        <v/>
      </c>
      <c r="AI83" s="160" t="str">
        <f aca="false">IF($B83="","",MAX(0,IF(OR(الموظفون!$AE83="",الموظفون!$AE83&gt;($E$3-1)),($E$3-1),الموظفون!$AE83)-الموظفون!$H83+1-SUMIFS('سجل الإجازات والحالات'!$AP$6:$AP$505,'سجل الإجازات والحالات'!$B$6:$B$505,$B83))/cfg_DAYS_Y)</f>
        <v/>
      </c>
      <c r="AJ83" s="133" t="str">
        <f aca="false">IF($B83="","",MAX(0,AK83-(SUMIFS('سجل الإجازات والحالات'!$AQ$6:$AQ$505,'سجل الإجازات والحالات'!$B$6:$B$505,$B83)-SUMIFS('سجل الإجازات والحالات'!$AP$6:$AP$505,'سجل الإجازات والحالات'!$B$6:$B$505,$B83))))</f>
        <v/>
      </c>
      <c r="AK83" s="133" t="str">
        <f aca="false">IF($B83="","",MAX(0,IF(OR(الموظفون!$AE83="",الموظفون!$AE83&gt;$F$3),$F$3,الموظفون!$AE83)-MAX($E$3,الموظفون!$H83)+1))</f>
        <v/>
      </c>
      <c r="AL83" s="156" t="str">
        <f aca="false">IF($B83="","",SUMIFS('سجل الإجازات والحالات'!$BC$6:$BC$505,'سجل الإجازات والحالات'!$B$6:$B$505,$B83)+SUMIFS('الحركات الشهرية'!$K$6:$K$1005,'الحركات الشهرية'!$B$6:$B$1005,$B83,'الحركات الشهرية'!$A$6:$A$1005,$C$3))</f>
        <v/>
      </c>
      <c r="AM83" s="116" t="str">
        <f aca="false">IF($B83="","",AL83*الموظفون!$R83/cfg_DAYS_M+S83)</f>
        <v/>
      </c>
      <c r="AN83" s="156" t="str">
        <f aca="false">IF($B83="","",SUMIFS('سجل الإجازات والحالات'!$AE$6:$AE$505,'سجل الإجازات والحالات'!$B$6:$B$505,$B83))</f>
        <v/>
      </c>
    </row>
    <row r="84" customFormat="false" ht="15" hidden="false" customHeight="false" outlineLevel="0" collapsed="false">
      <c r="A84" s="106" t="str">
        <f aca="false">IF($B84="","",الموظفون!$A84)</f>
        <v/>
      </c>
      <c r="B84" s="114" t="str">
        <f aca="false">IF(الموظفون!$B84="","",الموظفون!$B84)</f>
        <v/>
      </c>
      <c r="C84" s="114" t="str">
        <f aca="false">IF($B84="","",الموظفون!$C84)</f>
        <v/>
      </c>
      <c r="D84" s="114" t="str">
        <f aca="false">IF($B84="","",الموظفون!$F84)</f>
        <v/>
      </c>
      <c r="E84" s="114" t="str">
        <f aca="false">IF($B84="","",الموظفون!$E84)</f>
        <v/>
      </c>
      <c r="F84" s="114" t="str">
        <f aca="false">IF($B84="","",IF(AK84=0,IF(AND(الموظفون!$AE84&lt;&gt;"",الموظفون!$AE84&lt;$E$3),"✖ منتهي الخدمة","⏳ لم يباشر"),IF(S84&gt;0,"✈ راتب إجازة مقدم",IF(J84=0,"⛔ بدون راتب هذا الشهر",IF(I84&gt;0,"✈ خصم "&amp;ROUND(I84,2)&amp;" يوم بدون أجر",IF(AL84&gt;0,"🌴 إجازة سنوية "&amp;ROUND(AL84,2)&amp;" يوم",IF(H84&gt;0,"⚠ غياب "&amp;ROUND(H84,2)&amp;" يوم","✔ على رأس العمل")))))))</f>
        <v/>
      </c>
      <c r="G84" s="151" t="str">
        <f aca="false">IF($B84="","",IF(AK84&gt;=DAY($F$3),cfg_DAYS_M,MIN(AK84,cfg_DAYS_M)))</f>
        <v/>
      </c>
      <c r="H84" s="151" t="str">
        <f aca="false">IF($B84="","",SUMIFS('الحركات الشهرية'!$D$6:$D$1005,'الحركات الشهرية'!$B$6:$B$1005,$B84,'الحركات الشهرية'!$A$6:$A$1005,$C$3))</f>
        <v/>
      </c>
      <c r="I84" s="151" t="str">
        <f aca="false">IF($B84="","",MIN(G84,IF(AND(AK84&gt;0,AN84&gt;=AK84),G84,AN84)+SUMIFS('الحركات الشهرية'!$E$6:$E$1005,'الحركات الشهرية'!$B$6:$B$1005,$B84,'الحركات الشهرية'!$A$6:$A$1005,$C$3)))</f>
        <v/>
      </c>
      <c r="J84" s="151" t="str">
        <f aca="false">IF($B84="","",MAX(0,G84-H84-I84))</f>
        <v/>
      </c>
      <c r="K84" s="111" t="str">
        <f aca="false">IF($B84="","",الموظفون!$L84*$J84/cfg_DAYS_M)</f>
        <v/>
      </c>
      <c r="L84" s="111" t="str">
        <f aca="false">IF($B84="","",الموظفون!$M84*$J84/cfg_DAYS_M)</f>
        <v/>
      </c>
      <c r="M84" s="111" t="str">
        <f aca="false">IF($B84="","",الموظفون!$N84*$J84/cfg_DAYS_M)</f>
        <v/>
      </c>
      <c r="N84" s="111" t="str">
        <f aca="false">IF($B84="","",الموظفون!$O84*$J84/cfg_DAYS_M)</f>
        <v/>
      </c>
      <c r="O84" s="151" t="str">
        <f aca="false">IF($B84="","",SUMIFS('الحركات الشهرية'!$F$6:$F$1005,'الحركات الشهرية'!$B$6:$B$1005,$B84,'الحركات الشهرية'!$A$6:$A$1005,$C$3))</f>
        <v/>
      </c>
      <c r="P84" s="111" t="str">
        <f aca="false">IF($B84="","",O84*(الموظفون!$P84+الموظفون!$L84*cfg_OT_P)/cfg_DAYS_M/cfg_HRS)</f>
        <v/>
      </c>
      <c r="Q84" s="111" t="str">
        <f aca="false">IF($B84="","",SUMIFS('الحركات الشهرية'!$G$6:$G$1005,'الحركات الشهرية'!$B$6:$B$1005,$B84,'الحركات الشهرية'!$A$6:$A$1005,$C$3))</f>
        <v/>
      </c>
      <c r="R84" s="111" t="str">
        <f aca="false">IF($B84="","",SUMIFS('الحركات الشهرية'!$H$6:$H$1005,'الحركات الشهرية'!$B$6:$B$1005,$B84,'الحركات الشهرية'!$A$6:$A$1005,$C$3))</f>
        <v/>
      </c>
      <c r="S84" s="111" t="str">
        <f aca="false">IF($B84="","",SUMIFS('سجل الإجازات والحالات'!$N$6:$N$505,'سجل الإجازات والحالات'!$B$6:$B$505,$B84,'سجل الإجازات والحالات'!$O$6:$O$505,$C$3))</f>
        <v/>
      </c>
      <c r="T84" s="152" t="str">
        <f aca="false">IF($B84="","",SUM(K84:N84)+SUM(P84:S84))</f>
        <v/>
      </c>
      <c r="U84" s="111" t="str">
        <f aca="false">IF($B84="","",الموظفون!$S84*IF(E84="سعودي",cfg_G_SE,cfg_G_NE)*G84/cfg_DAYS_M)</f>
        <v/>
      </c>
      <c r="V84" s="111" t="str">
        <f aca="false">IF($B84="","",SUMIFS('الحركات الشهرية'!$I$6:$I$1005,'الحركات الشهرية'!$B$6:$B$1005,$B84,'الحركات الشهرية'!$A$6:$A$1005,$C$3))</f>
        <v/>
      </c>
      <c r="W84" s="111" t="str">
        <f aca="false">IF($B84="","",SUMIFS('الحركات الشهرية'!$J$6:$J$1005,'الحركات الشهرية'!$B$6:$B$1005,$B84,'الحركات الشهرية'!$A$6:$A$1005,$C$3))</f>
        <v/>
      </c>
      <c r="X84" s="111" t="str">
        <f aca="false">IF($B84="","",SUM(U84:W84))</f>
        <v/>
      </c>
      <c r="Y84" s="153" t="str">
        <f aca="false">IF($B84="","",T84-X84)</f>
        <v/>
      </c>
      <c r="Z84" s="111" t="str">
        <f aca="false">IF($B84="","",الموظفون!$S84*IF(E84="سعودي",cfg_G_SR,cfg_G_NR)*G84/cfg_DAYS_M)</f>
        <v/>
      </c>
      <c r="AA84" s="111" t="str">
        <f aca="false">IF($B84="","",الموظفون!$Q84*(cfg_EOS_R1*(MIN(AH84,cfg_EOS_TH)-MIN(AI84,cfg_EOS_TH))+cfg_EOS_R2*(MAX(AH84-cfg_EOS_TH,0)-MAX(AI84-cfg_EOS_TH,0))))</f>
        <v/>
      </c>
      <c r="AB84" s="111" t="str">
        <f aca="false">IF($B84="","",IF(الموظفون!$T84&lt;&gt;"",الموظفون!$T84,IF(AH84&gt;=cfg_LV_TH,cfg_LV_D2,cfg_LV_D1))/cfg_DAYS_Y*AJ84*الموظفون!$R84/cfg_DAYS_M)</f>
        <v/>
      </c>
      <c r="AC84" s="111" t="str">
        <f aca="false">IF($B84="","",IF(AND(الموظفون!$U84="نعم",N(الموظفون!$W84)&gt;0),الموظفون!$V84/الموظفون!$W84*12/cfg_DAYS_Y*AJ84,0))</f>
        <v/>
      </c>
      <c r="AD84" s="111" t="str">
        <f aca="false">IF($B84="","",(IF(الموظفون!$X84&lt;&gt;"",الموظفون!$X84,IF(الموظفون!$E84="غير سعودي",cfg_IQ,0))+IF(الموظفون!$Y84&lt;&gt;"",الموظفون!$Y84,IF(الموظفون!$E84="غير سعودي",cfg_WP,0)))/12*G84/cfg_DAYS_M)</f>
        <v/>
      </c>
      <c r="AE84" s="111" t="str">
        <f aca="false">IF($B84="","",IF(الموظفون!$Z84&lt;&gt;"",الموظفون!$Z84,cfg_MED)/12*G84/cfg_DAYS_M)</f>
        <v/>
      </c>
      <c r="AF84" s="111" t="str">
        <f aca="false">IF($B84="","",N(الموظفون!$AA84)/12*G84/cfg_DAYS_M)</f>
        <v/>
      </c>
      <c r="AG84" s="154" t="str">
        <f aca="false">IF($B84="","",T84+SUM(Z84:AF84))</f>
        <v/>
      </c>
      <c r="AH84" s="155" t="str">
        <f aca="false">IF($B84="","",MAX(0,IF(OR(الموظفون!$AE84="",الموظفون!$AE84&gt;$F$3),$F$3,الموظفون!$AE84)-الموظفون!$H84+1-SUMIFS('سجل الإجازات والحالات'!$AQ$6:$AQ$505,'سجل الإجازات والحالات'!$B$6:$B$505,$B84))/cfg_DAYS_Y)</f>
        <v/>
      </c>
      <c r="AI84" s="155" t="str">
        <f aca="false">IF($B84="","",MAX(0,IF(OR(الموظفون!$AE84="",الموظفون!$AE84&gt;($E$3-1)),($E$3-1),الموظفون!$AE84)-الموظفون!$H84+1-SUMIFS('سجل الإجازات والحالات'!$AP$6:$AP$505,'سجل الإجازات والحالات'!$B$6:$B$505,$B84))/cfg_DAYS_Y)</f>
        <v/>
      </c>
      <c r="AJ84" s="65" t="str">
        <f aca="false">IF($B84="","",MAX(0,AK84-(SUMIFS('سجل الإجازات والحالات'!$AQ$6:$AQ$505,'سجل الإجازات والحالات'!$B$6:$B$505,$B84)-SUMIFS('سجل الإجازات والحالات'!$AP$6:$AP$505,'سجل الإجازات والحالات'!$B$6:$B$505,$B84))))</f>
        <v/>
      </c>
      <c r="AK84" s="65" t="str">
        <f aca="false">IF($B84="","",MAX(0,IF(OR(الموظفون!$AE84="",الموظفون!$AE84&gt;$F$3),$F$3,الموظفون!$AE84)-MAX($E$3,الموظفون!$H84)+1))</f>
        <v/>
      </c>
      <c r="AL84" s="151" t="str">
        <f aca="false">IF($B84="","",SUMIFS('سجل الإجازات والحالات'!$BC$6:$BC$505,'سجل الإجازات والحالات'!$B$6:$B$505,$B84)+SUMIFS('الحركات الشهرية'!$K$6:$K$1005,'الحركات الشهرية'!$B$6:$B$1005,$B84,'الحركات الشهرية'!$A$6:$A$1005,$C$3))</f>
        <v/>
      </c>
      <c r="AM84" s="111" t="str">
        <f aca="false">IF($B84="","",AL84*الموظفون!$R84/cfg_DAYS_M+S84)</f>
        <v/>
      </c>
      <c r="AN84" s="151" t="str">
        <f aca="false">IF($B84="","",SUMIFS('سجل الإجازات والحالات'!$AE$6:$AE$505,'سجل الإجازات والحالات'!$B$6:$B$505,$B84))</f>
        <v/>
      </c>
    </row>
    <row r="85" customFormat="false" ht="15" hidden="false" customHeight="false" outlineLevel="0" collapsed="false">
      <c r="A85" s="115" t="str">
        <f aca="false">IF($B85="","",الموظفون!$A85)</f>
        <v/>
      </c>
      <c r="B85" s="117" t="str">
        <f aca="false">IF(الموظفون!$B85="","",الموظفون!$B85)</f>
        <v/>
      </c>
      <c r="C85" s="117" t="str">
        <f aca="false">IF($B85="","",الموظفون!$C85)</f>
        <v/>
      </c>
      <c r="D85" s="117" t="str">
        <f aca="false">IF($B85="","",الموظفون!$F85)</f>
        <v/>
      </c>
      <c r="E85" s="117" t="str">
        <f aca="false">IF($B85="","",الموظفون!$E85)</f>
        <v/>
      </c>
      <c r="F85" s="117" t="str">
        <f aca="false">IF($B85="","",IF(AK85=0,IF(AND(الموظفون!$AE85&lt;&gt;"",الموظفون!$AE85&lt;$E$3),"✖ منتهي الخدمة","⏳ لم يباشر"),IF(S85&gt;0,"✈ راتب إجازة مقدم",IF(J85=0,"⛔ بدون راتب هذا الشهر",IF(I85&gt;0,"✈ خصم "&amp;ROUND(I85,2)&amp;" يوم بدون أجر",IF(AL85&gt;0,"🌴 إجازة سنوية "&amp;ROUND(AL85,2)&amp;" يوم",IF(H85&gt;0,"⚠ غياب "&amp;ROUND(H85,2)&amp;" يوم","✔ على رأس العمل")))))))</f>
        <v/>
      </c>
      <c r="G85" s="156" t="str">
        <f aca="false">IF($B85="","",IF(AK85&gt;=DAY($F$3),cfg_DAYS_M,MIN(AK85,cfg_DAYS_M)))</f>
        <v/>
      </c>
      <c r="H85" s="156" t="str">
        <f aca="false">IF($B85="","",SUMIFS('الحركات الشهرية'!$D$6:$D$1005,'الحركات الشهرية'!$B$6:$B$1005,$B85,'الحركات الشهرية'!$A$6:$A$1005,$C$3))</f>
        <v/>
      </c>
      <c r="I85" s="156" t="str">
        <f aca="false">IF($B85="","",MIN(G85,IF(AND(AK85&gt;0,AN85&gt;=AK85),G85,AN85)+SUMIFS('الحركات الشهرية'!$E$6:$E$1005,'الحركات الشهرية'!$B$6:$B$1005,$B85,'الحركات الشهرية'!$A$6:$A$1005,$C$3)))</f>
        <v/>
      </c>
      <c r="J85" s="156" t="str">
        <f aca="false">IF($B85="","",MAX(0,G85-H85-I85))</f>
        <v/>
      </c>
      <c r="K85" s="116" t="str">
        <f aca="false">IF($B85="","",الموظفون!$L85*$J85/cfg_DAYS_M)</f>
        <v/>
      </c>
      <c r="L85" s="116" t="str">
        <f aca="false">IF($B85="","",الموظفون!$M85*$J85/cfg_DAYS_M)</f>
        <v/>
      </c>
      <c r="M85" s="116" t="str">
        <f aca="false">IF($B85="","",الموظفون!$N85*$J85/cfg_DAYS_M)</f>
        <v/>
      </c>
      <c r="N85" s="116" t="str">
        <f aca="false">IF($B85="","",الموظفون!$O85*$J85/cfg_DAYS_M)</f>
        <v/>
      </c>
      <c r="O85" s="156" t="str">
        <f aca="false">IF($B85="","",SUMIFS('الحركات الشهرية'!$F$6:$F$1005,'الحركات الشهرية'!$B$6:$B$1005,$B85,'الحركات الشهرية'!$A$6:$A$1005,$C$3))</f>
        <v/>
      </c>
      <c r="P85" s="116" t="str">
        <f aca="false">IF($B85="","",O85*(الموظفون!$P85+الموظفون!$L85*cfg_OT_P)/cfg_DAYS_M/cfg_HRS)</f>
        <v/>
      </c>
      <c r="Q85" s="116" t="str">
        <f aca="false">IF($B85="","",SUMIFS('الحركات الشهرية'!$G$6:$G$1005,'الحركات الشهرية'!$B$6:$B$1005,$B85,'الحركات الشهرية'!$A$6:$A$1005,$C$3))</f>
        <v/>
      </c>
      <c r="R85" s="116" t="str">
        <f aca="false">IF($B85="","",SUMIFS('الحركات الشهرية'!$H$6:$H$1005,'الحركات الشهرية'!$B$6:$B$1005,$B85,'الحركات الشهرية'!$A$6:$A$1005,$C$3))</f>
        <v/>
      </c>
      <c r="S85" s="116" t="str">
        <f aca="false">IF($B85="","",SUMIFS('سجل الإجازات والحالات'!$N$6:$N$505,'سجل الإجازات والحالات'!$B$6:$B$505,$B85,'سجل الإجازات والحالات'!$O$6:$O$505,$C$3))</f>
        <v/>
      </c>
      <c r="T85" s="157" t="str">
        <f aca="false">IF($B85="","",SUM(K85:N85)+SUM(P85:S85))</f>
        <v/>
      </c>
      <c r="U85" s="116" t="str">
        <f aca="false">IF($B85="","",الموظفون!$S85*IF(E85="سعودي",cfg_G_SE,cfg_G_NE)*G85/cfg_DAYS_M)</f>
        <v/>
      </c>
      <c r="V85" s="116" t="str">
        <f aca="false">IF($B85="","",SUMIFS('الحركات الشهرية'!$I$6:$I$1005,'الحركات الشهرية'!$B$6:$B$1005,$B85,'الحركات الشهرية'!$A$6:$A$1005,$C$3))</f>
        <v/>
      </c>
      <c r="W85" s="116" t="str">
        <f aca="false">IF($B85="","",SUMIFS('الحركات الشهرية'!$J$6:$J$1005,'الحركات الشهرية'!$B$6:$B$1005,$B85,'الحركات الشهرية'!$A$6:$A$1005,$C$3))</f>
        <v/>
      </c>
      <c r="X85" s="116" t="str">
        <f aca="false">IF($B85="","",SUM(U85:W85))</f>
        <v/>
      </c>
      <c r="Y85" s="158" t="str">
        <f aca="false">IF($B85="","",T85-X85)</f>
        <v/>
      </c>
      <c r="Z85" s="116" t="str">
        <f aca="false">IF($B85="","",الموظفون!$S85*IF(E85="سعودي",cfg_G_SR,cfg_G_NR)*G85/cfg_DAYS_M)</f>
        <v/>
      </c>
      <c r="AA85" s="116" t="str">
        <f aca="false">IF($B85="","",الموظفون!$Q85*(cfg_EOS_R1*(MIN(AH85,cfg_EOS_TH)-MIN(AI85,cfg_EOS_TH))+cfg_EOS_R2*(MAX(AH85-cfg_EOS_TH,0)-MAX(AI85-cfg_EOS_TH,0))))</f>
        <v/>
      </c>
      <c r="AB85" s="116" t="str">
        <f aca="false">IF($B85="","",IF(الموظفون!$T85&lt;&gt;"",الموظفون!$T85,IF(AH85&gt;=cfg_LV_TH,cfg_LV_D2,cfg_LV_D1))/cfg_DAYS_Y*AJ85*الموظفون!$R85/cfg_DAYS_M)</f>
        <v/>
      </c>
      <c r="AC85" s="116" t="str">
        <f aca="false">IF($B85="","",IF(AND(الموظفون!$U85="نعم",N(الموظفون!$W85)&gt;0),الموظفون!$V85/الموظفون!$W85*12/cfg_DAYS_Y*AJ85,0))</f>
        <v/>
      </c>
      <c r="AD85" s="116" t="str">
        <f aca="false">IF($B85="","",(IF(الموظفون!$X85&lt;&gt;"",الموظفون!$X85,IF(الموظفون!$E85="غير سعودي",cfg_IQ,0))+IF(الموظفون!$Y85&lt;&gt;"",الموظفون!$Y85,IF(الموظفون!$E85="غير سعودي",cfg_WP,0)))/12*G85/cfg_DAYS_M)</f>
        <v/>
      </c>
      <c r="AE85" s="116" t="str">
        <f aca="false">IF($B85="","",IF(الموظفون!$Z85&lt;&gt;"",الموظفون!$Z85,cfg_MED)/12*G85/cfg_DAYS_M)</f>
        <v/>
      </c>
      <c r="AF85" s="116" t="str">
        <f aca="false">IF($B85="","",N(الموظفون!$AA85)/12*G85/cfg_DAYS_M)</f>
        <v/>
      </c>
      <c r="AG85" s="159" t="str">
        <f aca="false">IF($B85="","",T85+SUM(Z85:AF85))</f>
        <v/>
      </c>
      <c r="AH85" s="160" t="str">
        <f aca="false">IF($B85="","",MAX(0,IF(OR(الموظفون!$AE85="",الموظفون!$AE85&gt;$F$3),$F$3,الموظفون!$AE85)-الموظفون!$H85+1-SUMIFS('سجل الإجازات والحالات'!$AQ$6:$AQ$505,'سجل الإجازات والحالات'!$B$6:$B$505,$B85))/cfg_DAYS_Y)</f>
        <v/>
      </c>
      <c r="AI85" s="160" t="str">
        <f aca="false">IF($B85="","",MAX(0,IF(OR(الموظفون!$AE85="",الموظفون!$AE85&gt;($E$3-1)),($E$3-1),الموظفون!$AE85)-الموظفون!$H85+1-SUMIFS('سجل الإجازات والحالات'!$AP$6:$AP$505,'سجل الإجازات والحالات'!$B$6:$B$505,$B85))/cfg_DAYS_Y)</f>
        <v/>
      </c>
      <c r="AJ85" s="133" t="str">
        <f aca="false">IF($B85="","",MAX(0,AK85-(SUMIFS('سجل الإجازات والحالات'!$AQ$6:$AQ$505,'سجل الإجازات والحالات'!$B$6:$B$505,$B85)-SUMIFS('سجل الإجازات والحالات'!$AP$6:$AP$505,'سجل الإجازات والحالات'!$B$6:$B$505,$B85))))</f>
        <v/>
      </c>
      <c r="AK85" s="133" t="str">
        <f aca="false">IF($B85="","",MAX(0,IF(OR(الموظفون!$AE85="",الموظفون!$AE85&gt;$F$3),$F$3,الموظفون!$AE85)-MAX($E$3,الموظفون!$H85)+1))</f>
        <v/>
      </c>
      <c r="AL85" s="156" t="str">
        <f aca="false">IF($B85="","",SUMIFS('سجل الإجازات والحالات'!$BC$6:$BC$505,'سجل الإجازات والحالات'!$B$6:$B$505,$B85)+SUMIFS('الحركات الشهرية'!$K$6:$K$1005,'الحركات الشهرية'!$B$6:$B$1005,$B85,'الحركات الشهرية'!$A$6:$A$1005,$C$3))</f>
        <v/>
      </c>
      <c r="AM85" s="116" t="str">
        <f aca="false">IF($B85="","",AL85*الموظفون!$R85/cfg_DAYS_M+S85)</f>
        <v/>
      </c>
      <c r="AN85" s="156" t="str">
        <f aca="false">IF($B85="","",SUMIFS('سجل الإجازات والحالات'!$AE$6:$AE$505,'سجل الإجازات والحالات'!$B$6:$B$505,$B85))</f>
        <v/>
      </c>
    </row>
    <row r="86" customFormat="false" ht="15" hidden="false" customHeight="false" outlineLevel="0" collapsed="false">
      <c r="A86" s="106" t="str">
        <f aca="false">IF($B86="","",الموظفون!$A86)</f>
        <v/>
      </c>
      <c r="B86" s="114" t="str">
        <f aca="false">IF(الموظفون!$B86="","",الموظفون!$B86)</f>
        <v/>
      </c>
      <c r="C86" s="114" t="str">
        <f aca="false">IF($B86="","",الموظفون!$C86)</f>
        <v/>
      </c>
      <c r="D86" s="114" t="str">
        <f aca="false">IF($B86="","",الموظفون!$F86)</f>
        <v/>
      </c>
      <c r="E86" s="114" t="str">
        <f aca="false">IF($B86="","",الموظفون!$E86)</f>
        <v/>
      </c>
      <c r="F86" s="114" t="str">
        <f aca="false">IF($B86="","",IF(AK86=0,IF(AND(الموظفون!$AE86&lt;&gt;"",الموظفون!$AE86&lt;$E$3),"✖ منتهي الخدمة","⏳ لم يباشر"),IF(S86&gt;0,"✈ راتب إجازة مقدم",IF(J86=0,"⛔ بدون راتب هذا الشهر",IF(I86&gt;0,"✈ خصم "&amp;ROUND(I86,2)&amp;" يوم بدون أجر",IF(AL86&gt;0,"🌴 إجازة سنوية "&amp;ROUND(AL86,2)&amp;" يوم",IF(H86&gt;0,"⚠ غياب "&amp;ROUND(H86,2)&amp;" يوم","✔ على رأس العمل")))))))</f>
        <v/>
      </c>
      <c r="G86" s="151" t="str">
        <f aca="false">IF($B86="","",IF(AK86&gt;=DAY($F$3),cfg_DAYS_M,MIN(AK86,cfg_DAYS_M)))</f>
        <v/>
      </c>
      <c r="H86" s="151" t="str">
        <f aca="false">IF($B86="","",SUMIFS('الحركات الشهرية'!$D$6:$D$1005,'الحركات الشهرية'!$B$6:$B$1005,$B86,'الحركات الشهرية'!$A$6:$A$1005,$C$3))</f>
        <v/>
      </c>
      <c r="I86" s="151" t="str">
        <f aca="false">IF($B86="","",MIN(G86,IF(AND(AK86&gt;0,AN86&gt;=AK86),G86,AN86)+SUMIFS('الحركات الشهرية'!$E$6:$E$1005,'الحركات الشهرية'!$B$6:$B$1005,$B86,'الحركات الشهرية'!$A$6:$A$1005,$C$3)))</f>
        <v/>
      </c>
      <c r="J86" s="151" t="str">
        <f aca="false">IF($B86="","",MAX(0,G86-H86-I86))</f>
        <v/>
      </c>
      <c r="K86" s="111" t="str">
        <f aca="false">IF($B86="","",الموظفون!$L86*$J86/cfg_DAYS_M)</f>
        <v/>
      </c>
      <c r="L86" s="111" t="str">
        <f aca="false">IF($B86="","",الموظفون!$M86*$J86/cfg_DAYS_M)</f>
        <v/>
      </c>
      <c r="M86" s="111" t="str">
        <f aca="false">IF($B86="","",الموظفون!$N86*$J86/cfg_DAYS_M)</f>
        <v/>
      </c>
      <c r="N86" s="111" t="str">
        <f aca="false">IF($B86="","",الموظفون!$O86*$J86/cfg_DAYS_M)</f>
        <v/>
      </c>
      <c r="O86" s="151" t="str">
        <f aca="false">IF($B86="","",SUMIFS('الحركات الشهرية'!$F$6:$F$1005,'الحركات الشهرية'!$B$6:$B$1005,$B86,'الحركات الشهرية'!$A$6:$A$1005,$C$3))</f>
        <v/>
      </c>
      <c r="P86" s="111" t="str">
        <f aca="false">IF($B86="","",O86*(الموظفون!$P86+الموظفون!$L86*cfg_OT_P)/cfg_DAYS_M/cfg_HRS)</f>
        <v/>
      </c>
      <c r="Q86" s="111" t="str">
        <f aca="false">IF($B86="","",SUMIFS('الحركات الشهرية'!$G$6:$G$1005,'الحركات الشهرية'!$B$6:$B$1005,$B86,'الحركات الشهرية'!$A$6:$A$1005,$C$3))</f>
        <v/>
      </c>
      <c r="R86" s="111" t="str">
        <f aca="false">IF($B86="","",SUMIFS('الحركات الشهرية'!$H$6:$H$1005,'الحركات الشهرية'!$B$6:$B$1005,$B86,'الحركات الشهرية'!$A$6:$A$1005,$C$3))</f>
        <v/>
      </c>
      <c r="S86" s="111" t="str">
        <f aca="false">IF($B86="","",SUMIFS('سجل الإجازات والحالات'!$N$6:$N$505,'سجل الإجازات والحالات'!$B$6:$B$505,$B86,'سجل الإجازات والحالات'!$O$6:$O$505,$C$3))</f>
        <v/>
      </c>
      <c r="T86" s="152" t="str">
        <f aca="false">IF($B86="","",SUM(K86:N86)+SUM(P86:S86))</f>
        <v/>
      </c>
      <c r="U86" s="111" t="str">
        <f aca="false">IF($B86="","",الموظفون!$S86*IF(E86="سعودي",cfg_G_SE,cfg_G_NE)*G86/cfg_DAYS_M)</f>
        <v/>
      </c>
      <c r="V86" s="111" t="str">
        <f aca="false">IF($B86="","",SUMIFS('الحركات الشهرية'!$I$6:$I$1005,'الحركات الشهرية'!$B$6:$B$1005,$B86,'الحركات الشهرية'!$A$6:$A$1005,$C$3))</f>
        <v/>
      </c>
      <c r="W86" s="111" t="str">
        <f aca="false">IF($B86="","",SUMIFS('الحركات الشهرية'!$J$6:$J$1005,'الحركات الشهرية'!$B$6:$B$1005,$B86,'الحركات الشهرية'!$A$6:$A$1005,$C$3))</f>
        <v/>
      </c>
      <c r="X86" s="111" t="str">
        <f aca="false">IF($B86="","",SUM(U86:W86))</f>
        <v/>
      </c>
      <c r="Y86" s="153" t="str">
        <f aca="false">IF($B86="","",T86-X86)</f>
        <v/>
      </c>
      <c r="Z86" s="111" t="str">
        <f aca="false">IF($B86="","",الموظفون!$S86*IF(E86="سعودي",cfg_G_SR,cfg_G_NR)*G86/cfg_DAYS_M)</f>
        <v/>
      </c>
      <c r="AA86" s="111" t="str">
        <f aca="false">IF($B86="","",الموظفون!$Q86*(cfg_EOS_R1*(MIN(AH86,cfg_EOS_TH)-MIN(AI86,cfg_EOS_TH))+cfg_EOS_R2*(MAX(AH86-cfg_EOS_TH,0)-MAX(AI86-cfg_EOS_TH,0))))</f>
        <v/>
      </c>
      <c r="AB86" s="111" t="str">
        <f aca="false">IF($B86="","",IF(الموظفون!$T86&lt;&gt;"",الموظفون!$T86,IF(AH86&gt;=cfg_LV_TH,cfg_LV_D2,cfg_LV_D1))/cfg_DAYS_Y*AJ86*الموظفون!$R86/cfg_DAYS_M)</f>
        <v/>
      </c>
      <c r="AC86" s="111" t="str">
        <f aca="false">IF($B86="","",IF(AND(الموظفون!$U86="نعم",N(الموظفون!$W86)&gt;0),الموظفون!$V86/الموظفون!$W86*12/cfg_DAYS_Y*AJ86,0))</f>
        <v/>
      </c>
      <c r="AD86" s="111" t="str">
        <f aca="false">IF($B86="","",(IF(الموظفون!$X86&lt;&gt;"",الموظفون!$X86,IF(الموظفون!$E86="غير سعودي",cfg_IQ,0))+IF(الموظفون!$Y86&lt;&gt;"",الموظفون!$Y86,IF(الموظفون!$E86="غير سعودي",cfg_WP,0)))/12*G86/cfg_DAYS_M)</f>
        <v/>
      </c>
      <c r="AE86" s="111" t="str">
        <f aca="false">IF($B86="","",IF(الموظفون!$Z86&lt;&gt;"",الموظفون!$Z86,cfg_MED)/12*G86/cfg_DAYS_M)</f>
        <v/>
      </c>
      <c r="AF86" s="111" t="str">
        <f aca="false">IF($B86="","",N(الموظفون!$AA86)/12*G86/cfg_DAYS_M)</f>
        <v/>
      </c>
      <c r="AG86" s="154" t="str">
        <f aca="false">IF($B86="","",T86+SUM(Z86:AF86))</f>
        <v/>
      </c>
      <c r="AH86" s="155" t="str">
        <f aca="false">IF($B86="","",MAX(0,IF(OR(الموظفون!$AE86="",الموظفون!$AE86&gt;$F$3),$F$3,الموظفون!$AE86)-الموظفون!$H86+1-SUMIFS('سجل الإجازات والحالات'!$AQ$6:$AQ$505,'سجل الإجازات والحالات'!$B$6:$B$505,$B86))/cfg_DAYS_Y)</f>
        <v/>
      </c>
      <c r="AI86" s="155" t="str">
        <f aca="false">IF($B86="","",MAX(0,IF(OR(الموظفون!$AE86="",الموظفون!$AE86&gt;($E$3-1)),($E$3-1),الموظفون!$AE86)-الموظفون!$H86+1-SUMIFS('سجل الإجازات والحالات'!$AP$6:$AP$505,'سجل الإجازات والحالات'!$B$6:$B$505,$B86))/cfg_DAYS_Y)</f>
        <v/>
      </c>
      <c r="AJ86" s="65" t="str">
        <f aca="false">IF($B86="","",MAX(0,AK86-(SUMIFS('سجل الإجازات والحالات'!$AQ$6:$AQ$505,'سجل الإجازات والحالات'!$B$6:$B$505,$B86)-SUMIFS('سجل الإجازات والحالات'!$AP$6:$AP$505,'سجل الإجازات والحالات'!$B$6:$B$505,$B86))))</f>
        <v/>
      </c>
      <c r="AK86" s="65" t="str">
        <f aca="false">IF($B86="","",MAX(0,IF(OR(الموظفون!$AE86="",الموظفون!$AE86&gt;$F$3),$F$3,الموظفون!$AE86)-MAX($E$3,الموظفون!$H86)+1))</f>
        <v/>
      </c>
      <c r="AL86" s="151" t="str">
        <f aca="false">IF($B86="","",SUMIFS('سجل الإجازات والحالات'!$BC$6:$BC$505,'سجل الإجازات والحالات'!$B$6:$B$505,$B86)+SUMIFS('الحركات الشهرية'!$K$6:$K$1005,'الحركات الشهرية'!$B$6:$B$1005,$B86,'الحركات الشهرية'!$A$6:$A$1005,$C$3))</f>
        <v/>
      </c>
      <c r="AM86" s="111" t="str">
        <f aca="false">IF($B86="","",AL86*الموظفون!$R86/cfg_DAYS_M+S86)</f>
        <v/>
      </c>
      <c r="AN86" s="151" t="str">
        <f aca="false">IF($B86="","",SUMIFS('سجل الإجازات والحالات'!$AE$6:$AE$505,'سجل الإجازات والحالات'!$B$6:$B$505,$B86))</f>
        <v/>
      </c>
    </row>
    <row r="87" customFormat="false" ht="15" hidden="false" customHeight="false" outlineLevel="0" collapsed="false">
      <c r="A87" s="115" t="str">
        <f aca="false">IF($B87="","",الموظفون!$A87)</f>
        <v/>
      </c>
      <c r="B87" s="117" t="str">
        <f aca="false">IF(الموظفون!$B87="","",الموظفون!$B87)</f>
        <v/>
      </c>
      <c r="C87" s="117" t="str">
        <f aca="false">IF($B87="","",الموظفون!$C87)</f>
        <v/>
      </c>
      <c r="D87" s="117" t="str">
        <f aca="false">IF($B87="","",الموظفون!$F87)</f>
        <v/>
      </c>
      <c r="E87" s="117" t="str">
        <f aca="false">IF($B87="","",الموظفون!$E87)</f>
        <v/>
      </c>
      <c r="F87" s="117" t="str">
        <f aca="false">IF($B87="","",IF(AK87=0,IF(AND(الموظفون!$AE87&lt;&gt;"",الموظفون!$AE87&lt;$E$3),"✖ منتهي الخدمة","⏳ لم يباشر"),IF(S87&gt;0,"✈ راتب إجازة مقدم",IF(J87=0,"⛔ بدون راتب هذا الشهر",IF(I87&gt;0,"✈ خصم "&amp;ROUND(I87,2)&amp;" يوم بدون أجر",IF(AL87&gt;0,"🌴 إجازة سنوية "&amp;ROUND(AL87,2)&amp;" يوم",IF(H87&gt;0,"⚠ غياب "&amp;ROUND(H87,2)&amp;" يوم","✔ على رأس العمل")))))))</f>
        <v/>
      </c>
      <c r="G87" s="156" t="str">
        <f aca="false">IF($B87="","",IF(AK87&gt;=DAY($F$3),cfg_DAYS_M,MIN(AK87,cfg_DAYS_M)))</f>
        <v/>
      </c>
      <c r="H87" s="156" t="str">
        <f aca="false">IF($B87="","",SUMIFS('الحركات الشهرية'!$D$6:$D$1005,'الحركات الشهرية'!$B$6:$B$1005,$B87,'الحركات الشهرية'!$A$6:$A$1005,$C$3))</f>
        <v/>
      </c>
      <c r="I87" s="156" t="str">
        <f aca="false">IF($B87="","",MIN(G87,IF(AND(AK87&gt;0,AN87&gt;=AK87),G87,AN87)+SUMIFS('الحركات الشهرية'!$E$6:$E$1005,'الحركات الشهرية'!$B$6:$B$1005,$B87,'الحركات الشهرية'!$A$6:$A$1005,$C$3)))</f>
        <v/>
      </c>
      <c r="J87" s="156" t="str">
        <f aca="false">IF($B87="","",MAX(0,G87-H87-I87))</f>
        <v/>
      </c>
      <c r="K87" s="116" t="str">
        <f aca="false">IF($B87="","",الموظفون!$L87*$J87/cfg_DAYS_M)</f>
        <v/>
      </c>
      <c r="L87" s="116" t="str">
        <f aca="false">IF($B87="","",الموظفون!$M87*$J87/cfg_DAYS_M)</f>
        <v/>
      </c>
      <c r="M87" s="116" t="str">
        <f aca="false">IF($B87="","",الموظفون!$N87*$J87/cfg_DAYS_M)</f>
        <v/>
      </c>
      <c r="N87" s="116" t="str">
        <f aca="false">IF($B87="","",الموظفون!$O87*$J87/cfg_DAYS_M)</f>
        <v/>
      </c>
      <c r="O87" s="156" t="str">
        <f aca="false">IF($B87="","",SUMIFS('الحركات الشهرية'!$F$6:$F$1005,'الحركات الشهرية'!$B$6:$B$1005,$B87,'الحركات الشهرية'!$A$6:$A$1005,$C$3))</f>
        <v/>
      </c>
      <c r="P87" s="116" t="str">
        <f aca="false">IF($B87="","",O87*(الموظفون!$P87+الموظفون!$L87*cfg_OT_P)/cfg_DAYS_M/cfg_HRS)</f>
        <v/>
      </c>
      <c r="Q87" s="116" t="str">
        <f aca="false">IF($B87="","",SUMIFS('الحركات الشهرية'!$G$6:$G$1005,'الحركات الشهرية'!$B$6:$B$1005,$B87,'الحركات الشهرية'!$A$6:$A$1005,$C$3))</f>
        <v/>
      </c>
      <c r="R87" s="116" t="str">
        <f aca="false">IF($B87="","",SUMIFS('الحركات الشهرية'!$H$6:$H$1005,'الحركات الشهرية'!$B$6:$B$1005,$B87,'الحركات الشهرية'!$A$6:$A$1005,$C$3))</f>
        <v/>
      </c>
      <c r="S87" s="116" t="str">
        <f aca="false">IF($B87="","",SUMIFS('سجل الإجازات والحالات'!$N$6:$N$505,'سجل الإجازات والحالات'!$B$6:$B$505,$B87,'سجل الإجازات والحالات'!$O$6:$O$505,$C$3))</f>
        <v/>
      </c>
      <c r="T87" s="157" t="str">
        <f aca="false">IF($B87="","",SUM(K87:N87)+SUM(P87:S87))</f>
        <v/>
      </c>
      <c r="U87" s="116" t="str">
        <f aca="false">IF($B87="","",الموظفون!$S87*IF(E87="سعودي",cfg_G_SE,cfg_G_NE)*G87/cfg_DAYS_M)</f>
        <v/>
      </c>
      <c r="V87" s="116" t="str">
        <f aca="false">IF($B87="","",SUMIFS('الحركات الشهرية'!$I$6:$I$1005,'الحركات الشهرية'!$B$6:$B$1005,$B87,'الحركات الشهرية'!$A$6:$A$1005,$C$3))</f>
        <v/>
      </c>
      <c r="W87" s="116" t="str">
        <f aca="false">IF($B87="","",SUMIFS('الحركات الشهرية'!$J$6:$J$1005,'الحركات الشهرية'!$B$6:$B$1005,$B87,'الحركات الشهرية'!$A$6:$A$1005,$C$3))</f>
        <v/>
      </c>
      <c r="X87" s="116" t="str">
        <f aca="false">IF($B87="","",SUM(U87:W87))</f>
        <v/>
      </c>
      <c r="Y87" s="158" t="str">
        <f aca="false">IF($B87="","",T87-X87)</f>
        <v/>
      </c>
      <c r="Z87" s="116" t="str">
        <f aca="false">IF($B87="","",الموظفون!$S87*IF(E87="سعودي",cfg_G_SR,cfg_G_NR)*G87/cfg_DAYS_M)</f>
        <v/>
      </c>
      <c r="AA87" s="116" t="str">
        <f aca="false">IF($B87="","",الموظفون!$Q87*(cfg_EOS_R1*(MIN(AH87,cfg_EOS_TH)-MIN(AI87,cfg_EOS_TH))+cfg_EOS_R2*(MAX(AH87-cfg_EOS_TH,0)-MAX(AI87-cfg_EOS_TH,0))))</f>
        <v/>
      </c>
      <c r="AB87" s="116" t="str">
        <f aca="false">IF($B87="","",IF(الموظفون!$T87&lt;&gt;"",الموظفون!$T87,IF(AH87&gt;=cfg_LV_TH,cfg_LV_D2,cfg_LV_D1))/cfg_DAYS_Y*AJ87*الموظفون!$R87/cfg_DAYS_M)</f>
        <v/>
      </c>
      <c r="AC87" s="116" t="str">
        <f aca="false">IF($B87="","",IF(AND(الموظفون!$U87="نعم",N(الموظفون!$W87)&gt;0),الموظفون!$V87/الموظفون!$W87*12/cfg_DAYS_Y*AJ87,0))</f>
        <v/>
      </c>
      <c r="AD87" s="116" t="str">
        <f aca="false">IF($B87="","",(IF(الموظفون!$X87&lt;&gt;"",الموظفون!$X87,IF(الموظفون!$E87="غير سعودي",cfg_IQ,0))+IF(الموظفون!$Y87&lt;&gt;"",الموظفون!$Y87,IF(الموظفون!$E87="غير سعودي",cfg_WP,0)))/12*G87/cfg_DAYS_M)</f>
        <v/>
      </c>
      <c r="AE87" s="116" t="str">
        <f aca="false">IF($B87="","",IF(الموظفون!$Z87&lt;&gt;"",الموظفون!$Z87,cfg_MED)/12*G87/cfg_DAYS_M)</f>
        <v/>
      </c>
      <c r="AF87" s="116" t="str">
        <f aca="false">IF($B87="","",N(الموظفون!$AA87)/12*G87/cfg_DAYS_M)</f>
        <v/>
      </c>
      <c r="AG87" s="159" t="str">
        <f aca="false">IF($B87="","",T87+SUM(Z87:AF87))</f>
        <v/>
      </c>
      <c r="AH87" s="160" t="str">
        <f aca="false">IF($B87="","",MAX(0,IF(OR(الموظفون!$AE87="",الموظفون!$AE87&gt;$F$3),$F$3,الموظفون!$AE87)-الموظفون!$H87+1-SUMIFS('سجل الإجازات والحالات'!$AQ$6:$AQ$505,'سجل الإجازات والحالات'!$B$6:$B$505,$B87))/cfg_DAYS_Y)</f>
        <v/>
      </c>
      <c r="AI87" s="160" t="str">
        <f aca="false">IF($B87="","",MAX(0,IF(OR(الموظفون!$AE87="",الموظفون!$AE87&gt;($E$3-1)),($E$3-1),الموظفون!$AE87)-الموظفون!$H87+1-SUMIFS('سجل الإجازات والحالات'!$AP$6:$AP$505,'سجل الإجازات والحالات'!$B$6:$B$505,$B87))/cfg_DAYS_Y)</f>
        <v/>
      </c>
      <c r="AJ87" s="133" t="str">
        <f aca="false">IF($B87="","",MAX(0,AK87-(SUMIFS('سجل الإجازات والحالات'!$AQ$6:$AQ$505,'سجل الإجازات والحالات'!$B$6:$B$505,$B87)-SUMIFS('سجل الإجازات والحالات'!$AP$6:$AP$505,'سجل الإجازات والحالات'!$B$6:$B$505,$B87))))</f>
        <v/>
      </c>
      <c r="AK87" s="133" t="str">
        <f aca="false">IF($B87="","",MAX(0,IF(OR(الموظفون!$AE87="",الموظفون!$AE87&gt;$F$3),$F$3,الموظفون!$AE87)-MAX($E$3,الموظفون!$H87)+1))</f>
        <v/>
      </c>
      <c r="AL87" s="156" t="str">
        <f aca="false">IF($B87="","",SUMIFS('سجل الإجازات والحالات'!$BC$6:$BC$505,'سجل الإجازات والحالات'!$B$6:$B$505,$B87)+SUMIFS('الحركات الشهرية'!$K$6:$K$1005,'الحركات الشهرية'!$B$6:$B$1005,$B87,'الحركات الشهرية'!$A$6:$A$1005,$C$3))</f>
        <v/>
      </c>
      <c r="AM87" s="116" t="str">
        <f aca="false">IF($B87="","",AL87*الموظفون!$R87/cfg_DAYS_M+S87)</f>
        <v/>
      </c>
      <c r="AN87" s="156" t="str">
        <f aca="false">IF($B87="","",SUMIFS('سجل الإجازات والحالات'!$AE$6:$AE$505,'سجل الإجازات والحالات'!$B$6:$B$505,$B87))</f>
        <v/>
      </c>
    </row>
    <row r="88" customFormat="false" ht="15" hidden="false" customHeight="false" outlineLevel="0" collapsed="false">
      <c r="A88" s="106" t="str">
        <f aca="false">IF($B88="","",الموظفون!$A88)</f>
        <v/>
      </c>
      <c r="B88" s="114" t="str">
        <f aca="false">IF(الموظفون!$B88="","",الموظفون!$B88)</f>
        <v/>
      </c>
      <c r="C88" s="114" t="str">
        <f aca="false">IF($B88="","",الموظفون!$C88)</f>
        <v/>
      </c>
      <c r="D88" s="114" t="str">
        <f aca="false">IF($B88="","",الموظفون!$F88)</f>
        <v/>
      </c>
      <c r="E88" s="114" t="str">
        <f aca="false">IF($B88="","",الموظفون!$E88)</f>
        <v/>
      </c>
      <c r="F88" s="114" t="str">
        <f aca="false">IF($B88="","",IF(AK88=0,IF(AND(الموظفون!$AE88&lt;&gt;"",الموظفون!$AE88&lt;$E$3),"✖ منتهي الخدمة","⏳ لم يباشر"),IF(S88&gt;0,"✈ راتب إجازة مقدم",IF(J88=0,"⛔ بدون راتب هذا الشهر",IF(I88&gt;0,"✈ خصم "&amp;ROUND(I88,2)&amp;" يوم بدون أجر",IF(AL88&gt;0,"🌴 إجازة سنوية "&amp;ROUND(AL88,2)&amp;" يوم",IF(H88&gt;0,"⚠ غياب "&amp;ROUND(H88,2)&amp;" يوم","✔ على رأس العمل")))))))</f>
        <v/>
      </c>
      <c r="G88" s="151" t="str">
        <f aca="false">IF($B88="","",IF(AK88&gt;=DAY($F$3),cfg_DAYS_M,MIN(AK88,cfg_DAYS_M)))</f>
        <v/>
      </c>
      <c r="H88" s="151" t="str">
        <f aca="false">IF($B88="","",SUMIFS('الحركات الشهرية'!$D$6:$D$1005,'الحركات الشهرية'!$B$6:$B$1005,$B88,'الحركات الشهرية'!$A$6:$A$1005,$C$3))</f>
        <v/>
      </c>
      <c r="I88" s="151" t="str">
        <f aca="false">IF($B88="","",MIN(G88,IF(AND(AK88&gt;0,AN88&gt;=AK88),G88,AN88)+SUMIFS('الحركات الشهرية'!$E$6:$E$1005,'الحركات الشهرية'!$B$6:$B$1005,$B88,'الحركات الشهرية'!$A$6:$A$1005,$C$3)))</f>
        <v/>
      </c>
      <c r="J88" s="151" t="str">
        <f aca="false">IF($B88="","",MAX(0,G88-H88-I88))</f>
        <v/>
      </c>
      <c r="K88" s="111" t="str">
        <f aca="false">IF($B88="","",الموظفون!$L88*$J88/cfg_DAYS_M)</f>
        <v/>
      </c>
      <c r="L88" s="111" t="str">
        <f aca="false">IF($B88="","",الموظفون!$M88*$J88/cfg_DAYS_M)</f>
        <v/>
      </c>
      <c r="M88" s="111" t="str">
        <f aca="false">IF($B88="","",الموظفون!$N88*$J88/cfg_DAYS_M)</f>
        <v/>
      </c>
      <c r="N88" s="111" t="str">
        <f aca="false">IF($B88="","",الموظفون!$O88*$J88/cfg_DAYS_M)</f>
        <v/>
      </c>
      <c r="O88" s="151" t="str">
        <f aca="false">IF($B88="","",SUMIFS('الحركات الشهرية'!$F$6:$F$1005,'الحركات الشهرية'!$B$6:$B$1005,$B88,'الحركات الشهرية'!$A$6:$A$1005,$C$3))</f>
        <v/>
      </c>
      <c r="P88" s="111" t="str">
        <f aca="false">IF($B88="","",O88*(الموظفون!$P88+الموظفون!$L88*cfg_OT_P)/cfg_DAYS_M/cfg_HRS)</f>
        <v/>
      </c>
      <c r="Q88" s="111" t="str">
        <f aca="false">IF($B88="","",SUMIFS('الحركات الشهرية'!$G$6:$G$1005,'الحركات الشهرية'!$B$6:$B$1005,$B88,'الحركات الشهرية'!$A$6:$A$1005,$C$3))</f>
        <v/>
      </c>
      <c r="R88" s="111" t="str">
        <f aca="false">IF($B88="","",SUMIFS('الحركات الشهرية'!$H$6:$H$1005,'الحركات الشهرية'!$B$6:$B$1005,$B88,'الحركات الشهرية'!$A$6:$A$1005,$C$3))</f>
        <v/>
      </c>
      <c r="S88" s="111" t="str">
        <f aca="false">IF($B88="","",SUMIFS('سجل الإجازات والحالات'!$N$6:$N$505,'سجل الإجازات والحالات'!$B$6:$B$505,$B88,'سجل الإجازات والحالات'!$O$6:$O$505,$C$3))</f>
        <v/>
      </c>
      <c r="T88" s="152" t="str">
        <f aca="false">IF($B88="","",SUM(K88:N88)+SUM(P88:S88))</f>
        <v/>
      </c>
      <c r="U88" s="111" t="str">
        <f aca="false">IF($B88="","",الموظفون!$S88*IF(E88="سعودي",cfg_G_SE,cfg_G_NE)*G88/cfg_DAYS_M)</f>
        <v/>
      </c>
      <c r="V88" s="111" t="str">
        <f aca="false">IF($B88="","",SUMIFS('الحركات الشهرية'!$I$6:$I$1005,'الحركات الشهرية'!$B$6:$B$1005,$B88,'الحركات الشهرية'!$A$6:$A$1005,$C$3))</f>
        <v/>
      </c>
      <c r="W88" s="111" t="str">
        <f aca="false">IF($B88="","",SUMIFS('الحركات الشهرية'!$J$6:$J$1005,'الحركات الشهرية'!$B$6:$B$1005,$B88,'الحركات الشهرية'!$A$6:$A$1005,$C$3))</f>
        <v/>
      </c>
      <c r="X88" s="111" t="str">
        <f aca="false">IF($B88="","",SUM(U88:W88))</f>
        <v/>
      </c>
      <c r="Y88" s="153" t="str">
        <f aca="false">IF($B88="","",T88-X88)</f>
        <v/>
      </c>
      <c r="Z88" s="111" t="str">
        <f aca="false">IF($B88="","",الموظفون!$S88*IF(E88="سعودي",cfg_G_SR,cfg_G_NR)*G88/cfg_DAYS_M)</f>
        <v/>
      </c>
      <c r="AA88" s="111" t="str">
        <f aca="false">IF($B88="","",الموظفون!$Q88*(cfg_EOS_R1*(MIN(AH88,cfg_EOS_TH)-MIN(AI88,cfg_EOS_TH))+cfg_EOS_R2*(MAX(AH88-cfg_EOS_TH,0)-MAX(AI88-cfg_EOS_TH,0))))</f>
        <v/>
      </c>
      <c r="AB88" s="111" t="str">
        <f aca="false">IF($B88="","",IF(الموظفون!$T88&lt;&gt;"",الموظفون!$T88,IF(AH88&gt;=cfg_LV_TH,cfg_LV_D2,cfg_LV_D1))/cfg_DAYS_Y*AJ88*الموظفون!$R88/cfg_DAYS_M)</f>
        <v/>
      </c>
      <c r="AC88" s="111" t="str">
        <f aca="false">IF($B88="","",IF(AND(الموظفون!$U88="نعم",N(الموظفون!$W88)&gt;0),الموظفون!$V88/الموظفون!$W88*12/cfg_DAYS_Y*AJ88,0))</f>
        <v/>
      </c>
      <c r="AD88" s="111" t="str">
        <f aca="false">IF($B88="","",(IF(الموظفون!$X88&lt;&gt;"",الموظفون!$X88,IF(الموظفون!$E88="غير سعودي",cfg_IQ,0))+IF(الموظفون!$Y88&lt;&gt;"",الموظفون!$Y88,IF(الموظفون!$E88="غير سعودي",cfg_WP,0)))/12*G88/cfg_DAYS_M)</f>
        <v/>
      </c>
      <c r="AE88" s="111" t="str">
        <f aca="false">IF($B88="","",IF(الموظفون!$Z88&lt;&gt;"",الموظفون!$Z88,cfg_MED)/12*G88/cfg_DAYS_M)</f>
        <v/>
      </c>
      <c r="AF88" s="111" t="str">
        <f aca="false">IF($B88="","",N(الموظفون!$AA88)/12*G88/cfg_DAYS_M)</f>
        <v/>
      </c>
      <c r="AG88" s="154" t="str">
        <f aca="false">IF($B88="","",T88+SUM(Z88:AF88))</f>
        <v/>
      </c>
      <c r="AH88" s="155" t="str">
        <f aca="false">IF($B88="","",MAX(0,IF(OR(الموظفون!$AE88="",الموظفون!$AE88&gt;$F$3),$F$3,الموظفون!$AE88)-الموظفون!$H88+1-SUMIFS('سجل الإجازات والحالات'!$AQ$6:$AQ$505,'سجل الإجازات والحالات'!$B$6:$B$505,$B88))/cfg_DAYS_Y)</f>
        <v/>
      </c>
      <c r="AI88" s="155" t="str">
        <f aca="false">IF($B88="","",MAX(0,IF(OR(الموظفون!$AE88="",الموظفون!$AE88&gt;($E$3-1)),($E$3-1),الموظفون!$AE88)-الموظفون!$H88+1-SUMIFS('سجل الإجازات والحالات'!$AP$6:$AP$505,'سجل الإجازات والحالات'!$B$6:$B$505,$B88))/cfg_DAYS_Y)</f>
        <v/>
      </c>
      <c r="AJ88" s="65" t="str">
        <f aca="false">IF($B88="","",MAX(0,AK88-(SUMIFS('سجل الإجازات والحالات'!$AQ$6:$AQ$505,'سجل الإجازات والحالات'!$B$6:$B$505,$B88)-SUMIFS('سجل الإجازات والحالات'!$AP$6:$AP$505,'سجل الإجازات والحالات'!$B$6:$B$505,$B88))))</f>
        <v/>
      </c>
      <c r="AK88" s="65" t="str">
        <f aca="false">IF($B88="","",MAX(0,IF(OR(الموظفون!$AE88="",الموظفون!$AE88&gt;$F$3),$F$3,الموظفون!$AE88)-MAX($E$3,الموظفون!$H88)+1))</f>
        <v/>
      </c>
      <c r="AL88" s="151" t="str">
        <f aca="false">IF($B88="","",SUMIFS('سجل الإجازات والحالات'!$BC$6:$BC$505,'سجل الإجازات والحالات'!$B$6:$B$505,$B88)+SUMIFS('الحركات الشهرية'!$K$6:$K$1005,'الحركات الشهرية'!$B$6:$B$1005,$B88,'الحركات الشهرية'!$A$6:$A$1005,$C$3))</f>
        <v/>
      </c>
      <c r="AM88" s="111" t="str">
        <f aca="false">IF($B88="","",AL88*الموظفون!$R88/cfg_DAYS_M+S88)</f>
        <v/>
      </c>
      <c r="AN88" s="151" t="str">
        <f aca="false">IF($B88="","",SUMIFS('سجل الإجازات والحالات'!$AE$6:$AE$505,'سجل الإجازات والحالات'!$B$6:$B$505,$B88))</f>
        <v/>
      </c>
    </row>
    <row r="89" customFormat="false" ht="15" hidden="false" customHeight="false" outlineLevel="0" collapsed="false">
      <c r="A89" s="115" t="str">
        <f aca="false">IF($B89="","",الموظفون!$A89)</f>
        <v/>
      </c>
      <c r="B89" s="117" t="str">
        <f aca="false">IF(الموظفون!$B89="","",الموظفون!$B89)</f>
        <v/>
      </c>
      <c r="C89" s="117" t="str">
        <f aca="false">IF($B89="","",الموظفون!$C89)</f>
        <v/>
      </c>
      <c r="D89" s="117" t="str">
        <f aca="false">IF($B89="","",الموظفون!$F89)</f>
        <v/>
      </c>
      <c r="E89" s="117" t="str">
        <f aca="false">IF($B89="","",الموظفون!$E89)</f>
        <v/>
      </c>
      <c r="F89" s="117" t="str">
        <f aca="false">IF($B89="","",IF(AK89=0,IF(AND(الموظفون!$AE89&lt;&gt;"",الموظفون!$AE89&lt;$E$3),"✖ منتهي الخدمة","⏳ لم يباشر"),IF(S89&gt;0,"✈ راتب إجازة مقدم",IF(J89=0,"⛔ بدون راتب هذا الشهر",IF(I89&gt;0,"✈ خصم "&amp;ROUND(I89,2)&amp;" يوم بدون أجر",IF(AL89&gt;0,"🌴 إجازة سنوية "&amp;ROUND(AL89,2)&amp;" يوم",IF(H89&gt;0,"⚠ غياب "&amp;ROUND(H89,2)&amp;" يوم","✔ على رأس العمل")))))))</f>
        <v/>
      </c>
      <c r="G89" s="156" t="str">
        <f aca="false">IF($B89="","",IF(AK89&gt;=DAY($F$3),cfg_DAYS_M,MIN(AK89,cfg_DAYS_M)))</f>
        <v/>
      </c>
      <c r="H89" s="156" t="str">
        <f aca="false">IF($B89="","",SUMIFS('الحركات الشهرية'!$D$6:$D$1005,'الحركات الشهرية'!$B$6:$B$1005,$B89,'الحركات الشهرية'!$A$6:$A$1005,$C$3))</f>
        <v/>
      </c>
      <c r="I89" s="156" t="str">
        <f aca="false">IF($B89="","",MIN(G89,IF(AND(AK89&gt;0,AN89&gt;=AK89),G89,AN89)+SUMIFS('الحركات الشهرية'!$E$6:$E$1005,'الحركات الشهرية'!$B$6:$B$1005,$B89,'الحركات الشهرية'!$A$6:$A$1005,$C$3)))</f>
        <v/>
      </c>
      <c r="J89" s="156" t="str">
        <f aca="false">IF($B89="","",MAX(0,G89-H89-I89))</f>
        <v/>
      </c>
      <c r="K89" s="116" t="str">
        <f aca="false">IF($B89="","",الموظفون!$L89*$J89/cfg_DAYS_M)</f>
        <v/>
      </c>
      <c r="L89" s="116" t="str">
        <f aca="false">IF($B89="","",الموظفون!$M89*$J89/cfg_DAYS_M)</f>
        <v/>
      </c>
      <c r="M89" s="116" t="str">
        <f aca="false">IF($B89="","",الموظفون!$N89*$J89/cfg_DAYS_M)</f>
        <v/>
      </c>
      <c r="N89" s="116" t="str">
        <f aca="false">IF($B89="","",الموظفون!$O89*$J89/cfg_DAYS_M)</f>
        <v/>
      </c>
      <c r="O89" s="156" t="str">
        <f aca="false">IF($B89="","",SUMIFS('الحركات الشهرية'!$F$6:$F$1005,'الحركات الشهرية'!$B$6:$B$1005,$B89,'الحركات الشهرية'!$A$6:$A$1005,$C$3))</f>
        <v/>
      </c>
      <c r="P89" s="116" t="str">
        <f aca="false">IF($B89="","",O89*(الموظفون!$P89+الموظفون!$L89*cfg_OT_P)/cfg_DAYS_M/cfg_HRS)</f>
        <v/>
      </c>
      <c r="Q89" s="116" t="str">
        <f aca="false">IF($B89="","",SUMIFS('الحركات الشهرية'!$G$6:$G$1005,'الحركات الشهرية'!$B$6:$B$1005,$B89,'الحركات الشهرية'!$A$6:$A$1005,$C$3))</f>
        <v/>
      </c>
      <c r="R89" s="116" t="str">
        <f aca="false">IF($B89="","",SUMIFS('الحركات الشهرية'!$H$6:$H$1005,'الحركات الشهرية'!$B$6:$B$1005,$B89,'الحركات الشهرية'!$A$6:$A$1005,$C$3))</f>
        <v/>
      </c>
      <c r="S89" s="116" t="str">
        <f aca="false">IF($B89="","",SUMIFS('سجل الإجازات والحالات'!$N$6:$N$505,'سجل الإجازات والحالات'!$B$6:$B$505,$B89,'سجل الإجازات والحالات'!$O$6:$O$505,$C$3))</f>
        <v/>
      </c>
      <c r="T89" s="157" t="str">
        <f aca="false">IF($B89="","",SUM(K89:N89)+SUM(P89:S89))</f>
        <v/>
      </c>
      <c r="U89" s="116" t="str">
        <f aca="false">IF($B89="","",الموظفون!$S89*IF(E89="سعودي",cfg_G_SE,cfg_G_NE)*G89/cfg_DAYS_M)</f>
        <v/>
      </c>
      <c r="V89" s="116" t="str">
        <f aca="false">IF($B89="","",SUMIFS('الحركات الشهرية'!$I$6:$I$1005,'الحركات الشهرية'!$B$6:$B$1005,$B89,'الحركات الشهرية'!$A$6:$A$1005,$C$3))</f>
        <v/>
      </c>
      <c r="W89" s="116" t="str">
        <f aca="false">IF($B89="","",SUMIFS('الحركات الشهرية'!$J$6:$J$1005,'الحركات الشهرية'!$B$6:$B$1005,$B89,'الحركات الشهرية'!$A$6:$A$1005,$C$3))</f>
        <v/>
      </c>
      <c r="X89" s="116" t="str">
        <f aca="false">IF($B89="","",SUM(U89:W89))</f>
        <v/>
      </c>
      <c r="Y89" s="158" t="str">
        <f aca="false">IF($B89="","",T89-X89)</f>
        <v/>
      </c>
      <c r="Z89" s="116" t="str">
        <f aca="false">IF($B89="","",الموظفون!$S89*IF(E89="سعودي",cfg_G_SR,cfg_G_NR)*G89/cfg_DAYS_M)</f>
        <v/>
      </c>
      <c r="AA89" s="116" t="str">
        <f aca="false">IF($B89="","",الموظفون!$Q89*(cfg_EOS_R1*(MIN(AH89,cfg_EOS_TH)-MIN(AI89,cfg_EOS_TH))+cfg_EOS_R2*(MAX(AH89-cfg_EOS_TH,0)-MAX(AI89-cfg_EOS_TH,0))))</f>
        <v/>
      </c>
      <c r="AB89" s="116" t="str">
        <f aca="false">IF($B89="","",IF(الموظفون!$T89&lt;&gt;"",الموظفون!$T89,IF(AH89&gt;=cfg_LV_TH,cfg_LV_D2,cfg_LV_D1))/cfg_DAYS_Y*AJ89*الموظفون!$R89/cfg_DAYS_M)</f>
        <v/>
      </c>
      <c r="AC89" s="116" t="str">
        <f aca="false">IF($B89="","",IF(AND(الموظفون!$U89="نعم",N(الموظفون!$W89)&gt;0),الموظفون!$V89/الموظفون!$W89*12/cfg_DAYS_Y*AJ89,0))</f>
        <v/>
      </c>
      <c r="AD89" s="116" t="str">
        <f aca="false">IF($B89="","",(IF(الموظفون!$X89&lt;&gt;"",الموظفون!$X89,IF(الموظفون!$E89="غير سعودي",cfg_IQ,0))+IF(الموظفون!$Y89&lt;&gt;"",الموظفون!$Y89,IF(الموظفون!$E89="غير سعودي",cfg_WP,0)))/12*G89/cfg_DAYS_M)</f>
        <v/>
      </c>
      <c r="AE89" s="116" t="str">
        <f aca="false">IF($B89="","",IF(الموظفون!$Z89&lt;&gt;"",الموظفون!$Z89,cfg_MED)/12*G89/cfg_DAYS_M)</f>
        <v/>
      </c>
      <c r="AF89" s="116" t="str">
        <f aca="false">IF($B89="","",N(الموظفون!$AA89)/12*G89/cfg_DAYS_M)</f>
        <v/>
      </c>
      <c r="AG89" s="159" t="str">
        <f aca="false">IF($B89="","",T89+SUM(Z89:AF89))</f>
        <v/>
      </c>
      <c r="AH89" s="160" t="str">
        <f aca="false">IF($B89="","",MAX(0,IF(OR(الموظفون!$AE89="",الموظفون!$AE89&gt;$F$3),$F$3,الموظفون!$AE89)-الموظفون!$H89+1-SUMIFS('سجل الإجازات والحالات'!$AQ$6:$AQ$505,'سجل الإجازات والحالات'!$B$6:$B$505,$B89))/cfg_DAYS_Y)</f>
        <v/>
      </c>
      <c r="AI89" s="160" t="str">
        <f aca="false">IF($B89="","",MAX(0,IF(OR(الموظفون!$AE89="",الموظفون!$AE89&gt;($E$3-1)),($E$3-1),الموظفون!$AE89)-الموظفون!$H89+1-SUMIFS('سجل الإجازات والحالات'!$AP$6:$AP$505,'سجل الإجازات والحالات'!$B$6:$B$505,$B89))/cfg_DAYS_Y)</f>
        <v/>
      </c>
      <c r="AJ89" s="133" t="str">
        <f aca="false">IF($B89="","",MAX(0,AK89-(SUMIFS('سجل الإجازات والحالات'!$AQ$6:$AQ$505,'سجل الإجازات والحالات'!$B$6:$B$505,$B89)-SUMIFS('سجل الإجازات والحالات'!$AP$6:$AP$505,'سجل الإجازات والحالات'!$B$6:$B$505,$B89))))</f>
        <v/>
      </c>
      <c r="AK89" s="133" t="str">
        <f aca="false">IF($B89="","",MAX(0,IF(OR(الموظفون!$AE89="",الموظفون!$AE89&gt;$F$3),$F$3,الموظفون!$AE89)-MAX($E$3,الموظفون!$H89)+1))</f>
        <v/>
      </c>
      <c r="AL89" s="156" t="str">
        <f aca="false">IF($B89="","",SUMIFS('سجل الإجازات والحالات'!$BC$6:$BC$505,'سجل الإجازات والحالات'!$B$6:$B$505,$B89)+SUMIFS('الحركات الشهرية'!$K$6:$K$1005,'الحركات الشهرية'!$B$6:$B$1005,$B89,'الحركات الشهرية'!$A$6:$A$1005,$C$3))</f>
        <v/>
      </c>
      <c r="AM89" s="116" t="str">
        <f aca="false">IF($B89="","",AL89*الموظفون!$R89/cfg_DAYS_M+S89)</f>
        <v/>
      </c>
      <c r="AN89" s="156" t="str">
        <f aca="false">IF($B89="","",SUMIFS('سجل الإجازات والحالات'!$AE$6:$AE$505,'سجل الإجازات والحالات'!$B$6:$B$505,$B89))</f>
        <v/>
      </c>
    </row>
    <row r="90" customFormat="false" ht="15" hidden="false" customHeight="false" outlineLevel="0" collapsed="false">
      <c r="A90" s="106" t="str">
        <f aca="false">IF($B90="","",الموظفون!$A90)</f>
        <v/>
      </c>
      <c r="B90" s="114" t="str">
        <f aca="false">IF(الموظفون!$B90="","",الموظفون!$B90)</f>
        <v/>
      </c>
      <c r="C90" s="114" t="str">
        <f aca="false">IF($B90="","",الموظفون!$C90)</f>
        <v/>
      </c>
      <c r="D90" s="114" t="str">
        <f aca="false">IF($B90="","",الموظفون!$F90)</f>
        <v/>
      </c>
      <c r="E90" s="114" t="str">
        <f aca="false">IF($B90="","",الموظفون!$E90)</f>
        <v/>
      </c>
      <c r="F90" s="114" t="str">
        <f aca="false">IF($B90="","",IF(AK90=0,IF(AND(الموظفون!$AE90&lt;&gt;"",الموظفون!$AE90&lt;$E$3),"✖ منتهي الخدمة","⏳ لم يباشر"),IF(S90&gt;0,"✈ راتب إجازة مقدم",IF(J90=0,"⛔ بدون راتب هذا الشهر",IF(I90&gt;0,"✈ خصم "&amp;ROUND(I90,2)&amp;" يوم بدون أجر",IF(AL90&gt;0,"🌴 إجازة سنوية "&amp;ROUND(AL90,2)&amp;" يوم",IF(H90&gt;0,"⚠ غياب "&amp;ROUND(H90,2)&amp;" يوم","✔ على رأس العمل")))))))</f>
        <v/>
      </c>
      <c r="G90" s="151" t="str">
        <f aca="false">IF($B90="","",IF(AK90&gt;=DAY($F$3),cfg_DAYS_M,MIN(AK90,cfg_DAYS_M)))</f>
        <v/>
      </c>
      <c r="H90" s="151" t="str">
        <f aca="false">IF($B90="","",SUMIFS('الحركات الشهرية'!$D$6:$D$1005,'الحركات الشهرية'!$B$6:$B$1005,$B90,'الحركات الشهرية'!$A$6:$A$1005,$C$3))</f>
        <v/>
      </c>
      <c r="I90" s="151" t="str">
        <f aca="false">IF($B90="","",MIN(G90,IF(AND(AK90&gt;0,AN90&gt;=AK90),G90,AN90)+SUMIFS('الحركات الشهرية'!$E$6:$E$1005,'الحركات الشهرية'!$B$6:$B$1005,$B90,'الحركات الشهرية'!$A$6:$A$1005,$C$3)))</f>
        <v/>
      </c>
      <c r="J90" s="151" t="str">
        <f aca="false">IF($B90="","",MAX(0,G90-H90-I90))</f>
        <v/>
      </c>
      <c r="K90" s="111" t="str">
        <f aca="false">IF($B90="","",الموظفون!$L90*$J90/cfg_DAYS_M)</f>
        <v/>
      </c>
      <c r="L90" s="111" t="str">
        <f aca="false">IF($B90="","",الموظفون!$M90*$J90/cfg_DAYS_M)</f>
        <v/>
      </c>
      <c r="M90" s="111" t="str">
        <f aca="false">IF($B90="","",الموظفون!$N90*$J90/cfg_DAYS_M)</f>
        <v/>
      </c>
      <c r="N90" s="111" t="str">
        <f aca="false">IF($B90="","",الموظفون!$O90*$J90/cfg_DAYS_M)</f>
        <v/>
      </c>
      <c r="O90" s="151" t="str">
        <f aca="false">IF($B90="","",SUMIFS('الحركات الشهرية'!$F$6:$F$1005,'الحركات الشهرية'!$B$6:$B$1005,$B90,'الحركات الشهرية'!$A$6:$A$1005,$C$3))</f>
        <v/>
      </c>
      <c r="P90" s="111" t="str">
        <f aca="false">IF($B90="","",O90*(الموظفون!$P90+الموظفون!$L90*cfg_OT_P)/cfg_DAYS_M/cfg_HRS)</f>
        <v/>
      </c>
      <c r="Q90" s="111" t="str">
        <f aca="false">IF($B90="","",SUMIFS('الحركات الشهرية'!$G$6:$G$1005,'الحركات الشهرية'!$B$6:$B$1005,$B90,'الحركات الشهرية'!$A$6:$A$1005,$C$3))</f>
        <v/>
      </c>
      <c r="R90" s="111" t="str">
        <f aca="false">IF($B90="","",SUMIFS('الحركات الشهرية'!$H$6:$H$1005,'الحركات الشهرية'!$B$6:$B$1005,$B90,'الحركات الشهرية'!$A$6:$A$1005,$C$3))</f>
        <v/>
      </c>
      <c r="S90" s="111" t="str">
        <f aca="false">IF($B90="","",SUMIFS('سجل الإجازات والحالات'!$N$6:$N$505,'سجل الإجازات والحالات'!$B$6:$B$505,$B90,'سجل الإجازات والحالات'!$O$6:$O$505,$C$3))</f>
        <v/>
      </c>
      <c r="T90" s="152" t="str">
        <f aca="false">IF($B90="","",SUM(K90:N90)+SUM(P90:S90))</f>
        <v/>
      </c>
      <c r="U90" s="111" t="str">
        <f aca="false">IF($B90="","",الموظفون!$S90*IF(E90="سعودي",cfg_G_SE,cfg_G_NE)*G90/cfg_DAYS_M)</f>
        <v/>
      </c>
      <c r="V90" s="111" t="str">
        <f aca="false">IF($B90="","",SUMIFS('الحركات الشهرية'!$I$6:$I$1005,'الحركات الشهرية'!$B$6:$B$1005,$B90,'الحركات الشهرية'!$A$6:$A$1005,$C$3))</f>
        <v/>
      </c>
      <c r="W90" s="111" t="str">
        <f aca="false">IF($B90="","",SUMIFS('الحركات الشهرية'!$J$6:$J$1005,'الحركات الشهرية'!$B$6:$B$1005,$B90,'الحركات الشهرية'!$A$6:$A$1005,$C$3))</f>
        <v/>
      </c>
      <c r="X90" s="111" t="str">
        <f aca="false">IF($B90="","",SUM(U90:W90))</f>
        <v/>
      </c>
      <c r="Y90" s="153" t="str">
        <f aca="false">IF($B90="","",T90-X90)</f>
        <v/>
      </c>
      <c r="Z90" s="111" t="str">
        <f aca="false">IF($B90="","",الموظفون!$S90*IF(E90="سعودي",cfg_G_SR,cfg_G_NR)*G90/cfg_DAYS_M)</f>
        <v/>
      </c>
      <c r="AA90" s="111" t="str">
        <f aca="false">IF($B90="","",الموظفون!$Q90*(cfg_EOS_R1*(MIN(AH90,cfg_EOS_TH)-MIN(AI90,cfg_EOS_TH))+cfg_EOS_R2*(MAX(AH90-cfg_EOS_TH,0)-MAX(AI90-cfg_EOS_TH,0))))</f>
        <v/>
      </c>
      <c r="AB90" s="111" t="str">
        <f aca="false">IF($B90="","",IF(الموظفون!$T90&lt;&gt;"",الموظفون!$T90,IF(AH90&gt;=cfg_LV_TH,cfg_LV_D2,cfg_LV_D1))/cfg_DAYS_Y*AJ90*الموظفون!$R90/cfg_DAYS_M)</f>
        <v/>
      </c>
      <c r="AC90" s="111" t="str">
        <f aca="false">IF($B90="","",IF(AND(الموظفون!$U90="نعم",N(الموظفون!$W90)&gt;0),الموظفون!$V90/الموظفون!$W90*12/cfg_DAYS_Y*AJ90,0))</f>
        <v/>
      </c>
      <c r="AD90" s="111" t="str">
        <f aca="false">IF($B90="","",(IF(الموظفون!$X90&lt;&gt;"",الموظفون!$X90,IF(الموظفون!$E90="غير سعودي",cfg_IQ,0))+IF(الموظفون!$Y90&lt;&gt;"",الموظفون!$Y90,IF(الموظفون!$E90="غير سعودي",cfg_WP,0)))/12*G90/cfg_DAYS_M)</f>
        <v/>
      </c>
      <c r="AE90" s="111" t="str">
        <f aca="false">IF($B90="","",IF(الموظفون!$Z90&lt;&gt;"",الموظفون!$Z90,cfg_MED)/12*G90/cfg_DAYS_M)</f>
        <v/>
      </c>
      <c r="AF90" s="111" t="str">
        <f aca="false">IF($B90="","",N(الموظفون!$AA90)/12*G90/cfg_DAYS_M)</f>
        <v/>
      </c>
      <c r="AG90" s="154" t="str">
        <f aca="false">IF($B90="","",T90+SUM(Z90:AF90))</f>
        <v/>
      </c>
      <c r="AH90" s="155" t="str">
        <f aca="false">IF($B90="","",MAX(0,IF(OR(الموظفون!$AE90="",الموظفون!$AE90&gt;$F$3),$F$3,الموظفون!$AE90)-الموظفون!$H90+1-SUMIFS('سجل الإجازات والحالات'!$AQ$6:$AQ$505,'سجل الإجازات والحالات'!$B$6:$B$505,$B90))/cfg_DAYS_Y)</f>
        <v/>
      </c>
      <c r="AI90" s="155" t="str">
        <f aca="false">IF($B90="","",MAX(0,IF(OR(الموظفون!$AE90="",الموظفون!$AE90&gt;($E$3-1)),($E$3-1),الموظفون!$AE90)-الموظفون!$H90+1-SUMIFS('سجل الإجازات والحالات'!$AP$6:$AP$505,'سجل الإجازات والحالات'!$B$6:$B$505,$B90))/cfg_DAYS_Y)</f>
        <v/>
      </c>
      <c r="AJ90" s="65" t="str">
        <f aca="false">IF($B90="","",MAX(0,AK90-(SUMIFS('سجل الإجازات والحالات'!$AQ$6:$AQ$505,'سجل الإجازات والحالات'!$B$6:$B$505,$B90)-SUMIFS('سجل الإجازات والحالات'!$AP$6:$AP$505,'سجل الإجازات والحالات'!$B$6:$B$505,$B90))))</f>
        <v/>
      </c>
      <c r="AK90" s="65" t="str">
        <f aca="false">IF($B90="","",MAX(0,IF(OR(الموظفون!$AE90="",الموظفون!$AE90&gt;$F$3),$F$3,الموظفون!$AE90)-MAX($E$3,الموظفون!$H90)+1))</f>
        <v/>
      </c>
      <c r="AL90" s="151" t="str">
        <f aca="false">IF($B90="","",SUMIFS('سجل الإجازات والحالات'!$BC$6:$BC$505,'سجل الإجازات والحالات'!$B$6:$B$505,$B90)+SUMIFS('الحركات الشهرية'!$K$6:$K$1005,'الحركات الشهرية'!$B$6:$B$1005,$B90,'الحركات الشهرية'!$A$6:$A$1005,$C$3))</f>
        <v/>
      </c>
      <c r="AM90" s="111" t="str">
        <f aca="false">IF($B90="","",AL90*الموظفون!$R90/cfg_DAYS_M+S90)</f>
        <v/>
      </c>
      <c r="AN90" s="151" t="str">
        <f aca="false">IF($B90="","",SUMIFS('سجل الإجازات والحالات'!$AE$6:$AE$505,'سجل الإجازات والحالات'!$B$6:$B$505,$B90))</f>
        <v/>
      </c>
    </row>
    <row r="91" customFormat="false" ht="15" hidden="false" customHeight="false" outlineLevel="0" collapsed="false">
      <c r="A91" s="115" t="str">
        <f aca="false">IF($B91="","",الموظفون!$A91)</f>
        <v/>
      </c>
      <c r="B91" s="117" t="str">
        <f aca="false">IF(الموظفون!$B91="","",الموظفون!$B91)</f>
        <v/>
      </c>
      <c r="C91" s="117" t="str">
        <f aca="false">IF($B91="","",الموظفون!$C91)</f>
        <v/>
      </c>
      <c r="D91" s="117" t="str">
        <f aca="false">IF($B91="","",الموظفون!$F91)</f>
        <v/>
      </c>
      <c r="E91" s="117" t="str">
        <f aca="false">IF($B91="","",الموظفون!$E91)</f>
        <v/>
      </c>
      <c r="F91" s="117" t="str">
        <f aca="false">IF($B91="","",IF(AK91=0,IF(AND(الموظفون!$AE91&lt;&gt;"",الموظفون!$AE91&lt;$E$3),"✖ منتهي الخدمة","⏳ لم يباشر"),IF(S91&gt;0,"✈ راتب إجازة مقدم",IF(J91=0,"⛔ بدون راتب هذا الشهر",IF(I91&gt;0,"✈ خصم "&amp;ROUND(I91,2)&amp;" يوم بدون أجر",IF(AL91&gt;0,"🌴 إجازة سنوية "&amp;ROUND(AL91,2)&amp;" يوم",IF(H91&gt;0,"⚠ غياب "&amp;ROUND(H91,2)&amp;" يوم","✔ على رأس العمل")))))))</f>
        <v/>
      </c>
      <c r="G91" s="156" t="str">
        <f aca="false">IF($B91="","",IF(AK91&gt;=DAY($F$3),cfg_DAYS_M,MIN(AK91,cfg_DAYS_M)))</f>
        <v/>
      </c>
      <c r="H91" s="156" t="str">
        <f aca="false">IF($B91="","",SUMIFS('الحركات الشهرية'!$D$6:$D$1005,'الحركات الشهرية'!$B$6:$B$1005,$B91,'الحركات الشهرية'!$A$6:$A$1005,$C$3))</f>
        <v/>
      </c>
      <c r="I91" s="156" t="str">
        <f aca="false">IF($B91="","",MIN(G91,IF(AND(AK91&gt;0,AN91&gt;=AK91),G91,AN91)+SUMIFS('الحركات الشهرية'!$E$6:$E$1005,'الحركات الشهرية'!$B$6:$B$1005,$B91,'الحركات الشهرية'!$A$6:$A$1005,$C$3)))</f>
        <v/>
      </c>
      <c r="J91" s="156" t="str">
        <f aca="false">IF($B91="","",MAX(0,G91-H91-I91))</f>
        <v/>
      </c>
      <c r="K91" s="116" t="str">
        <f aca="false">IF($B91="","",الموظفون!$L91*$J91/cfg_DAYS_M)</f>
        <v/>
      </c>
      <c r="L91" s="116" t="str">
        <f aca="false">IF($B91="","",الموظفون!$M91*$J91/cfg_DAYS_M)</f>
        <v/>
      </c>
      <c r="M91" s="116" t="str">
        <f aca="false">IF($B91="","",الموظفون!$N91*$J91/cfg_DAYS_M)</f>
        <v/>
      </c>
      <c r="N91" s="116" t="str">
        <f aca="false">IF($B91="","",الموظفون!$O91*$J91/cfg_DAYS_M)</f>
        <v/>
      </c>
      <c r="O91" s="156" t="str">
        <f aca="false">IF($B91="","",SUMIFS('الحركات الشهرية'!$F$6:$F$1005,'الحركات الشهرية'!$B$6:$B$1005,$B91,'الحركات الشهرية'!$A$6:$A$1005,$C$3))</f>
        <v/>
      </c>
      <c r="P91" s="116" t="str">
        <f aca="false">IF($B91="","",O91*(الموظفون!$P91+الموظفون!$L91*cfg_OT_P)/cfg_DAYS_M/cfg_HRS)</f>
        <v/>
      </c>
      <c r="Q91" s="116" t="str">
        <f aca="false">IF($B91="","",SUMIFS('الحركات الشهرية'!$G$6:$G$1005,'الحركات الشهرية'!$B$6:$B$1005,$B91,'الحركات الشهرية'!$A$6:$A$1005,$C$3))</f>
        <v/>
      </c>
      <c r="R91" s="116" t="str">
        <f aca="false">IF($B91="","",SUMIFS('الحركات الشهرية'!$H$6:$H$1005,'الحركات الشهرية'!$B$6:$B$1005,$B91,'الحركات الشهرية'!$A$6:$A$1005,$C$3))</f>
        <v/>
      </c>
      <c r="S91" s="116" t="str">
        <f aca="false">IF($B91="","",SUMIFS('سجل الإجازات والحالات'!$N$6:$N$505,'سجل الإجازات والحالات'!$B$6:$B$505,$B91,'سجل الإجازات والحالات'!$O$6:$O$505,$C$3))</f>
        <v/>
      </c>
      <c r="T91" s="157" t="str">
        <f aca="false">IF($B91="","",SUM(K91:N91)+SUM(P91:S91))</f>
        <v/>
      </c>
      <c r="U91" s="116" t="str">
        <f aca="false">IF($B91="","",الموظفون!$S91*IF(E91="سعودي",cfg_G_SE,cfg_G_NE)*G91/cfg_DAYS_M)</f>
        <v/>
      </c>
      <c r="V91" s="116" t="str">
        <f aca="false">IF($B91="","",SUMIFS('الحركات الشهرية'!$I$6:$I$1005,'الحركات الشهرية'!$B$6:$B$1005,$B91,'الحركات الشهرية'!$A$6:$A$1005,$C$3))</f>
        <v/>
      </c>
      <c r="W91" s="116" t="str">
        <f aca="false">IF($B91="","",SUMIFS('الحركات الشهرية'!$J$6:$J$1005,'الحركات الشهرية'!$B$6:$B$1005,$B91,'الحركات الشهرية'!$A$6:$A$1005,$C$3))</f>
        <v/>
      </c>
      <c r="X91" s="116" t="str">
        <f aca="false">IF($B91="","",SUM(U91:W91))</f>
        <v/>
      </c>
      <c r="Y91" s="158" t="str">
        <f aca="false">IF($B91="","",T91-X91)</f>
        <v/>
      </c>
      <c r="Z91" s="116" t="str">
        <f aca="false">IF($B91="","",الموظفون!$S91*IF(E91="سعودي",cfg_G_SR,cfg_G_NR)*G91/cfg_DAYS_M)</f>
        <v/>
      </c>
      <c r="AA91" s="116" t="str">
        <f aca="false">IF($B91="","",الموظفون!$Q91*(cfg_EOS_R1*(MIN(AH91,cfg_EOS_TH)-MIN(AI91,cfg_EOS_TH))+cfg_EOS_R2*(MAX(AH91-cfg_EOS_TH,0)-MAX(AI91-cfg_EOS_TH,0))))</f>
        <v/>
      </c>
      <c r="AB91" s="116" t="str">
        <f aca="false">IF($B91="","",IF(الموظفون!$T91&lt;&gt;"",الموظفون!$T91,IF(AH91&gt;=cfg_LV_TH,cfg_LV_D2,cfg_LV_D1))/cfg_DAYS_Y*AJ91*الموظفون!$R91/cfg_DAYS_M)</f>
        <v/>
      </c>
      <c r="AC91" s="116" t="str">
        <f aca="false">IF($B91="","",IF(AND(الموظفون!$U91="نعم",N(الموظفون!$W91)&gt;0),الموظفون!$V91/الموظفون!$W91*12/cfg_DAYS_Y*AJ91,0))</f>
        <v/>
      </c>
      <c r="AD91" s="116" t="str">
        <f aca="false">IF($B91="","",(IF(الموظفون!$X91&lt;&gt;"",الموظفون!$X91,IF(الموظفون!$E91="غير سعودي",cfg_IQ,0))+IF(الموظفون!$Y91&lt;&gt;"",الموظفون!$Y91,IF(الموظفون!$E91="غير سعودي",cfg_WP,0)))/12*G91/cfg_DAYS_M)</f>
        <v/>
      </c>
      <c r="AE91" s="116" t="str">
        <f aca="false">IF($B91="","",IF(الموظفون!$Z91&lt;&gt;"",الموظفون!$Z91,cfg_MED)/12*G91/cfg_DAYS_M)</f>
        <v/>
      </c>
      <c r="AF91" s="116" t="str">
        <f aca="false">IF($B91="","",N(الموظفون!$AA91)/12*G91/cfg_DAYS_M)</f>
        <v/>
      </c>
      <c r="AG91" s="159" t="str">
        <f aca="false">IF($B91="","",T91+SUM(Z91:AF91))</f>
        <v/>
      </c>
      <c r="AH91" s="160" t="str">
        <f aca="false">IF($B91="","",MAX(0,IF(OR(الموظفون!$AE91="",الموظفون!$AE91&gt;$F$3),$F$3,الموظفون!$AE91)-الموظفون!$H91+1-SUMIFS('سجل الإجازات والحالات'!$AQ$6:$AQ$505,'سجل الإجازات والحالات'!$B$6:$B$505,$B91))/cfg_DAYS_Y)</f>
        <v/>
      </c>
      <c r="AI91" s="160" t="str">
        <f aca="false">IF($B91="","",MAX(0,IF(OR(الموظفون!$AE91="",الموظفون!$AE91&gt;($E$3-1)),($E$3-1),الموظفون!$AE91)-الموظفون!$H91+1-SUMIFS('سجل الإجازات والحالات'!$AP$6:$AP$505,'سجل الإجازات والحالات'!$B$6:$B$505,$B91))/cfg_DAYS_Y)</f>
        <v/>
      </c>
      <c r="AJ91" s="133" t="str">
        <f aca="false">IF($B91="","",MAX(0,AK91-(SUMIFS('سجل الإجازات والحالات'!$AQ$6:$AQ$505,'سجل الإجازات والحالات'!$B$6:$B$505,$B91)-SUMIFS('سجل الإجازات والحالات'!$AP$6:$AP$505,'سجل الإجازات والحالات'!$B$6:$B$505,$B91))))</f>
        <v/>
      </c>
      <c r="AK91" s="133" t="str">
        <f aca="false">IF($B91="","",MAX(0,IF(OR(الموظفون!$AE91="",الموظفون!$AE91&gt;$F$3),$F$3,الموظفون!$AE91)-MAX($E$3,الموظفون!$H91)+1))</f>
        <v/>
      </c>
      <c r="AL91" s="156" t="str">
        <f aca="false">IF($B91="","",SUMIFS('سجل الإجازات والحالات'!$BC$6:$BC$505,'سجل الإجازات والحالات'!$B$6:$B$505,$B91)+SUMIFS('الحركات الشهرية'!$K$6:$K$1005,'الحركات الشهرية'!$B$6:$B$1005,$B91,'الحركات الشهرية'!$A$6:$A$1005,$C$3))</f>
        <v/>
      </c>
      <c r="AM91" s="116" t="str">
        <f aca="false">IF($B91="","",AL91*الموظفون!$R91/cfg_DAYS_M+S91)</f>
        <v/>
      </c>
      <c r="AN91" s="156" t="str">
        <f aca="false">IF($B91="","",SUMIFS('سجل الإجازات والحالات'!$AE$6:$AE$505,'سجل الإجازات والحالات'!$B$6:$B$505,$B91))</f>
        <v/>
      </c>
    </row>
    <row r="92" customFormat="false" ht="15" hidden="false" customHeight="false" outlineLevel="0" collapsed="false">
      <c r="A92" s="106" t="str">
        <f aca="false">IF($B92="","",الموظفون!$A92)</f>
        <v/>
      </c>
      <c r="B92" s="114" t="str">
        <f aca="false">IF(الموظفون!$B92="","",الموظفون!$B92)</f>
        <v/>
      </c>
      <c r="C92" s="114" t="str">
        <f aca="false">IF($B92="","",الموظفون!$C92)</f>
        <v/>
      </c>
      <c r="D92" s="114" t="str">
        <f aca="false">IF($B92="","",الموظفون!$F92)</f>
        <v/>
      </c>
      <c r="E92" s="114" t="str">
        <f aca="false">IF($B92="","",الموظفون!$E92)</f>
        <v/>
      </c>
      <c r="F92" s="114" t="str">
        <f aca="false">IF($B92="","",IF(AK92=0,IF(AND(الموظفون!$AE92&lt;&gt;"",الموظفون!$AE92&lt;$E$3),"✖ منتهي الخدمة","⏳ لم يباشر"),IF(S92&gt;0,"✈ راتب إجازة مقدم",IF(J92=0,"⛔ بدون راتب هذا الشهر",IF(I92&gt;0,"✈ خصم "&amp;ROUND(I92,2)&amp;" يوم بدون أجر",IF(AL92&gt;0,"🌴 إجازة سنوية "&amp;ROUND(AL92,2)&amp;" يوم",IF(H92&gt;0,"⚠ غياب "&amp;ROUND(H92,2)&amp;" يوم","✔ على رأس العمل")))))))</f>
        <v/>
      </c>
      <c r="G92" s="151" t="str">
        <f aca="false">IF($B92="","",IF(AK92&gt;=DAY($F$3),cfg_DAYS_M,MIN(AK92,cfg_DAYS_M)))</f>
        <v/>
      </c>
      <c r="H92" s="151" t="str">
        <f aca="false">IF($B92="","",SUMIFS('الحركات الشهرية'!$D$6:$D$1005,'الحركات الشهرية'!$B$6:$B$1005,$B92,'الحركات الشهرية'!$A$6:$A$1005,$C$3))</f>
        <v/>
      </c>
      <c r="I92" s="151" t="str">
        <f aca="false">IF($B92="","",MIN(G92,IF(AND(AK92&gt;0,AN92&gt;=AK92),G92,AN92)+SUMIFS('الحركات الشهرية'!$E$6:$E$1005,'الحركات الشهرية'!$B$6:$B$1005,$B92,'الحركات الشهرية'!$A$6:$A$1005,$C$3)))</f>
        <v/>
      </c>
      <c r="J92" s="151" t="str">
        <f aca="false">IF($B92="","",MAX(0,G92-H92-I92))</f>
        <v/>
      </c>
      <c r="K92" s="111" t="str">
        <f aca="false">IF($B92="","",الموظفون!$L92*$J92/cfg_DAYS_M)</f>
        <v/>
      </c>
      <c r="L92" s="111" t="str">
        <f aca="false">IF($B92="","",الموظفون!$M92*$J92/cfg_DAYS_M)</f>
        <v/>
      </c>
      <c r="M92" s="111" t="str">
        <f aca="false">IF($B92="","",الموظفون!$N92*$J92/cfg_DAYS_M)</f>
        <v/>
      </c>
      <c r="N92" s="111" t="str">
        <f aca="false">IF($B92="","",الموظفون!$O92*$J92/cfg_DAYS_M)</f>
        <v/>
      </c>
      <c r="O92" s="151" t="str">
        <f aca="false">IF($B92="","",SUMIFS('الحركات الشهرية'!$F$6:$F$1005,'الحركات الشهرية'!$B$6:$B$1005,$B92,'الحركات الشهرية'!$A$6:$A$1005,$C$3))</f>
        <v/>
      </c>
      <c r="P92" s="111" t="str">
        <f aca="false">IF($B92="","",O92*(الموظفون!$P92+الموظفون!$L92*cfg_OT_P)/cfg_DAYS_M/cfg_HRS)</f>
        <v/>
      </c>
      <c r="Q92" s="111" t="str">
        <f aca="false">IF($B92="","",SUMIFS('الحركات الشهرية'!$G$6:$G$1005,'الحركات الشهرية'!$B$6:$B$1005,$B92,'الحركات الشهرية'!$A$6:$A$1005,$C$3))</f>
        <v/>
      </c>
      <c r="R92" s="111" t="str">
        <f aca="false">IF($B92="","",SUMIFS('الحركات الشهرية'!$H$6:$H$1005,'الحركات الشهرية'!$B$6:$B$1005,$B92,'الحركات الشهرية'!$A$6:$A$1005,$C$3))</f>
        <v/>
      </c>
      <c r="S92" s="111" t="str">
        <f aca="false">IF($B92="","",SUMIFS('سجل الإجازات والحالات'!$N$6:$N$505,'سجل الإجازات والحالات'!$B$6:$B$505,$B92,'سجل الإجازات والحالات'!$O$6:$O$505,$C$3))</f>
        <v/>
      </c>
      <c r="T92" s="152" t="str">
        <f aca="false">IF($B92="","",SUM(K92:N92)+SUM(P92:S92))</f>
        <v/>
      </c>
      <c r="U92" s="111" t="str">
        <f aca="false">IF($B92="","",الموظفون!$S92*IF(E92="سعودي",cfg_G_SE,cfg_G_NE)*G92/cfg_DAYS_M)</f>
        <v/>
      </c>
      <c r="V92" s="111" t="str">
        <f aca="false">IF($B92="","",SUMIFS('الحركات الشهرية'!$I$6:$I$1005,'الحركات الشهرية'!$B$6:$B$1005,$B92,'الحركات الشهرية'!$A$6:$A$1005,$C$3))</f>
        <v/>
      </c>
      <c r="W92" s="111" t="str">
        <f aca="false">IF($B92="","",SUMIFS('الحركات الشهرية'!$J$6:$J$1005,'الحركات الشهرية'!$B$6:$B$1005,$B92,'الحركات الشهرية'!$A$6:$A$1005,$C$3))</f>
        <v/>
      </c>
      <c r="X92" s="111" t="str">
        <f aca="false">IF($B92="","",SUM(U92:W92))</f>
        <v/>
      </c>
      <c r="Y92" s="153" t="str">
        <f aca="false">IF($B92="","",T92-X92)</f>
        <v/>
      </c>
      <c r="Z92" s="111" t="str">
        <f aca="false">IF($B92="","",الموظفون!$S92*IF(E92="سعودي",cfg_G_SR,cfg_G_NR)*G92/cfg_DAYS_M)</f>
        <v/>
      </c>
      <c r="AA92" s="111" t="str">
        <f aca="false">IF($B92="","",الموظفون!$Q92*(cfg_EOS_R1*(MIN(AH92,cfg_EOS_TH)-MIN(AI92,cfg_EOS_TH))+cfg_EOS_R2*(MAX(AH92-cfg_EOS_TH,0)-MAX(AI92-cfg_EOS_TH,0))))</f>
        <v/>
      </c>
      <c r="AB92" s="111" t="str">
        <f aca="false">IF($B92="","",IF(الموظفون!$T92&lt;&gt;"",الموظفون!$T92,IF(AH92&gt;=cfg_LV_TH,cfg_LV_D2,cfg_LV_D1))/cfg_DAYS_Y*AJ92*الموظفون!$R92/cfg_DAYS_M)</f>
        <v/>
      </c>
      <c r="AC92" s="111" t="str">
        <f aca="false">IF($B92="","",IF(AND(الموظفون!$U92="نعم",N(الموظفون!$W92)&gt;0),الموظفون!$V92/الموظفون!$W92*12/cfg_DAYS_Y*AJ92,0))</f>
        <v/>
      </c>
      <c r="AD92" s="111" t="str">
        <f aca="false">IF($B92="","",(IF(الموظفون!$X92&lt;&gt;"",الموظفون!$X92,IF(الموظفون!$E92="غير سعودي",cfg_IQ,0))+IF(الموظفون!$Y92&lt;&gt;"",الموظفون!$Y92,IF(الموظفون!$E92="غير سعودي",cfg_WP,0)))/12*G92/cfg_DAYS_M)</f>
        <v/>
      </c>
      <c r="AE92" s="111" t="str">
        <f aca="false">IF($B92="","",IF(الموظفون!$Z92&lt;&gt;"",الموظفون!$Z92,cfg_MED)/12*G92/cfg_DAYS_M)</f>
        <v/>
      </c>
      <c r="AF92" s="111" t="str">
        <f aca="false">IF($B92="","",N(الموظفون!$AA92)/12*G92/cfg_DAYS_M)</f>
        <v/>
      </c>
      <c r="AG92" s="154" t="str">
        <f aca="false">IF($B92="","",T92+SUM(Z92:AF92))</f>
        <v/>
      </c>
      <c r="AH92" s="155" t="str">
        <f aca="false">IF($B92="","",MAX(0,IF(OR(الموظفون!$AE92="",الموظفون!$AE92&gt;$F$3),$F$3,الموظفون!$AE92)-الموظفون!$H92+1-SUMIFS('سجل الإجازات والحالات'!$AQ$6:$AQ$505,'سجل الإجازات والحالات'!$B$6:$B$505,$B92))/cfg_DAYS_Y)</f>
        <v/>
      </c>
      <c r="AI92" s="155" t="str">
        <f aca="false">IF($B92="","",MAX(0,IF(OR(الموظفون!$AE92="",الموظفون!$AE92&gt;($E$3-1)),($E$3-1),الموظفون!$AE92)-الموظفون!$H92+1-SUMIFS('سجل الإجازات والحالات'!$AP$6:$AP$505,'سجل الإجازات والحالات'!$B$6:$B$505,$B92))/cfg_DAYS_Y)</f>
        <v/>
      </c>
      <c r="AJ92" s="65" t="str">
        <f aca="false">IF($B92="","",MAX(0,AK92-(SUMIFS('سجل الإجازات والحالات'!$AQ$6:$AQ$505,'سجل الإجازات والحالات'!$B$6:$B$505,$B92)-SUMIFS('سجل الإجازات والحالات'!$AP$6:$AP$505,'سجل الإجازات والحالات'!$B$6:$B$505,$B92))))</f>
        <v/>
      </c>
      <c r="AK92" s="65" t="str">
        <f aca="false">IF($B92="","",MAX(0,IF(OR(الموظفون!$AE92="",الموظفون!$AE92&gt;$F$3),$F$3,الموظفون!$AE92)-MAX($E$3,الموظفون!$H92)+1))</f>
        <v/>
      </c>
      <c r="AL92" s="151" t="str">
        <f aca="false">IF($B92="","",SUMIFS('سجل الإجازات والحالات'!$BC$6:$BC$505,'سجل الإجازات والحالات'!$B$6:$B$505,$B92)+SUMIFS('الحركات الشهرية'!$K$6:$K$1005,'الحركات الشهرية'!$B$6:$B$1005,$B92,'الحركات الشهرية'!$A$6:$A$1005,$C$3))</f>
        <v/>
      </c>
      <c r="AM92" s="111" t="str">
        <f aca="false">IF($B92="","",AL92*الموظفون!$R92/cfg_DAYS_M+S92)</f>
        <v/>
      </c>
      <c r="AN92" s="151" t="str">
        <f aca="false">IF($B92="","",SUMIFS('سجل الإجازات والحالات'!$AE$6:$AE$505,'سجل الإجازات والحالات'!$B$6:$B$505,$B92))</f>
        <v/>
      </c>
    </row>
    <row r="93" customFormat="false" ht="15" hidden="false" customHeight="false" outlineLevel="0" collapsed="false">
      <c r="A93" s="115" t="str">
        <f aca="false">IF($B93="","",الموظفون!$A93)</f>
        <v/>
      </c>
      <c r="B93" s="117" t="str">
        <f aca="false">IF(الموظفون!$B93="","",الموظفون!$B93)</f>
        <v/>
      </c>
      <c r="C93" s="117" t="str">
        <f aca="false">IF($B93="","",الموظفون!$C93)</f>
        <v/>
      </c>
      <c r="D93" s="117" t="str">
        <f aca="false">IF($B93="","",الموظفون!$F93)</f>
        <v/>
      </c>
      <c r="E93" s="117" t="str">
        <f aca="false">IF($B93="","",الموظفون!$E93)</f>
        <v/>
      </c>
      <c r="F93" s="117" t="str">
        <f aca="false">IF($B93="","",IF(AK93=0,IF(AND(الموظفون!$AE93&lt;&gt;"",الموظفون!$AE93&lt;$E$3),"✖ منتهي الخدمة","⏳ لم يباشر"),IF(S93&gt;0,"✈ راتب إجازة مقدم",IF(J93=0,"⛔ بدون راتب هذا الشهر",IF(I93&gt;0,"✈ خصم "&amp;ROUND(I93,2)&amp;" يوم بدون أجر",IF(AL93&gt;0,"🌴 إجازة سنوية "&amp;ROUND(AL93,2)&amp;" يوم",IF(H93&gt;0,"⚠ غياب "&amp;ROUND(H93,2)&amp;" يوم","✔ على رأس العمل")))))))</f>
        <v/>
      </c>
      <c r="G93" s="156" t="str">
        <f aca="false">IF($B93="","",IF(AK93&gt;=DAY($F$3),cfg_DAYS_M,MIN(AK93,cfg_DAYS_M)))</f>
        <v/>
      </c>
      <c r="H93" s="156" t="str">
        <f aca="false">IF($B93="","",SUMIFS('الحركات الشهرية'!$D$6:$D$1005,'الحركات الشهرية'!$B$6:$B$1005,$B93,'الحركات الشهرية'!$A$6:$A$1005,$C$3))</f>
        <v/>
      </c>
      <c r="I93" s="156" t="str">
        <f aca="false">IF($B93="","",MIN(G93,IF(AND(AK93&gt;0,AN93&gt;=AK93),G93,AN93)+SUMIFS('الحركات الشهرية'!$E$6:$E$1005,'الحركات الشهرية'!$B$6:$B$1005,$B93,'الحركات الشهرية'!$A$6:$A$1005,$C$3)))</f>
        <v/>
      </c>
      <c r="J93" s="156" t="str">
        <f aca="false">IF($B93="","",MAX(0,G93-H93-I93))</f>
        <v/>
      </c>
      <c r="K93" s="116" t="str">
        <f aca="false">IF($B93="","",الموظفون!$L93*$J93/cfg_DAYS_M)</f>
        <v/>
      </c>
      <c r="L93" s="116" t="str">
        <f aca="false">IF($B93="","",الموظفون!$M93*$J93/cfg_DAYS_M)</f>
        <v/>
      </c>
      <c r="M93" s="116" t="str">
        <f aca="false">IF($B93="","",الموظفون!$N93*$J93/cfg_DAYS_M)</f>
        <v/>
      </c>
      <c r="N93" s="116" t="str">
        <f aca="false">IF($B93="","",الموظفون!$O93*$J93/cfg_DAYS_M)</f>
        <v/>
      </c>
      <c r="O93" s="156" t="str">
        <f aca="false">IF($B93="","",SUMIFS('الحركات الشهرية'!$F$6:$F$1005,'الحركات الشهرية'!$B$6:$B$1005,$B93,'الحركات الشهرية'!$A$6:$A$1005,$C$3))</f>
        <v/>
      </c>
      <c r="P93" s="116" t="str">
        <f aca="false">IF($B93="","",O93*(الموظفون!$P93+الموظفون!$L93*cfg_OT_P)/cfg_DAYS_M/cfg_HRS)</f>
        <v/>
      </c>
      <c r="Q93" s="116" t="str">
        <f aca="false">IF($B93="","",SUMIFS('الحركات الشهرية'!$G$6:$G$1005,'الحركات الشهرية'!$B$6:$B$1005,$B93,'الحركات الشهرية'!$A$6:$A$1005,$C$3))</f>
        <v/>
      </c>
      <c r="R93" s="116" t="str">
        <f aca="false">IF($B93="","",SUMIFS('الحركات الشهرية'!$H$6:$H$1005,'الحركات الشهرية'!$B$6:$B$1005,$B93,'الحركات الشهرية'!$A$6:$A$1005,$C$3))</f>
        <v/>
      </c>
      <c r="S93" s="116" t="str">
        <f aca="false">IF($B93="","",SUMIFS('سجل الإجازات والحالات'!$N$6:$N$505,'سجل الإجازات والحالات'!$B$6:$B$505,$B93,'سجل الإجازات والحالات'!$O$6:$O$505,$C$3))</f>
        <v/>
      </c>
      <c r="T93" s="157" t="str">
        <f aca="false">IF($B93="","",SUM(K93:N93)+SUM(P93:S93))</f>
        <v/>
      </c>
      <c r="U93" s="116" t="str">
        <f aca="false">IF($B93="","",الموظفون!$S93*IF(E93="سعودي",cfg_G_SE,cfg_G_NE)*G93/cfg_DAYS_M)</f>
        <v/>
      </c>
      <c r="V93" s="116" t="str">
        <f aca="false">IF($B93="","",SUMIFS('الحركات الشهرية'!$I$6:$I$1005,'الحركات الشهرية'!$B$6:$B$1005,$B93,'الحركات الشهرية'!$A$6:$A$1005,$C$3))</f>
        <v/>
      </c>
      <c r="W93" s="116" t="str">
        <f aca="false">IF($B93="","",SUMIFS('الحركات الشهرية'!$J$6:$J$1005,'الحركات الشهرية'!$B$6:$B$1005,$B93,'الحركات الشهرية'!$A$6:$A$1005,$C$3))</f>
        <v/>
      </c>
      <c r="X93" s="116" t="str">
        <f aca="false">IF($B93="","",SUM(U93:W93))</f>
        <v/>
      </c>
      <c r="Y93" s="158" t="str">
        <f aca="false">IF($B93="","",T93-X93)</f>
        <v/>
      </c>
      <c r="Z93" s="116" t="str">
        <f aca="false">IF($B93="","",الموظفون!$S93*IF(E93="سعودي",cfg_G_SR,cfg_G_NR)*G93/cfg_DAYS_M)</f>
        <v/>
      </c>
      <c r="AA93" s="116" t="str">
        <f aca="false">IF($B93="","",الموظفون!$Q93*(cfg_EOS_R1*(MIN(AH93,cfg_EOS_TH)-MIN(AI93,cfg_EOS_TH))+cfg_EOS_R2*(MAX(AH93-cfg_EOS_TH,0)-MAX(AI93-cfg_EOS_TH,0))))</f>
        <v/>
      </c>
      <c r="AB93" s="116" t="str">
        <f aca="false">IF($B93="","",IF(الموظفون!$T93&lt;&gt;"",الموظفون!$T93,IF(AH93&gt;=cfg_LV_TH,cfg_LV_D2,cfg_LV_D1))/cfg_DAYS_Y*AJ93*الموظفون!$R93/cfg_DAYS_M)</f>
        <v/>
      </c>
      <c r="AC93" s="116" t="str">
        <f aca="false">IF($B93="","",IF(AND(الموظفون!$U93="نعم",N(الموظفون!$W93)&gt;0),الموظفون!$V93/الموظفون!$W93*12/cfg_DAYS_Y*AJ93,0))</f>
        <v/>
      </c>
      <c r="AD93" s="116" t="str">
        <f aca="false">IF($B93="","",(IF(الموظفون!$X93&lt;&gt;"",الموظفون!$X93,IF(الموظفون!$E93="غير سعودي",cfg_IQ,0))+IF(الموظفون!$Y93&lt;&gt;"",الموظفون!$Y93,IF(الموظفون!$E93="غير سعودي",cfg_WP,0)))/12*G93/cfg_DAYS_M)</f>
        <v/>
      </c>
      <c r="AE93" s="116" t="str">
        <f aca="false">IF($B93="","",IF(الموظفون!$Z93&lt;&gt;"",الموظفون!$Z93,cfg_MED)/12*G93/cfg_DAYS_M)</f>
        <v/>
      </c>
      <c r="AF93" s="116" t="str">
        <f aca="false">IF($B93="","",N(الموظفون!$AA93)/12*G93/cfg_DAYS_M)</f>
        <v/>
      </c>
      <c r="AG93" s="159" t="str">
        <f aca="false">IF($B93="","",T93+SUM(Z93:AF93))</f>
        <v/>
      </c>
      <c r="AH93" s="160" t="str">
        <f aca="false">IF($B93="","",MAX(0,IF(OR(الموظفون!$AE93="",الموظفون!$AE93&gt;$F$3),$F$3,الموظفون!$AE93)-الموظفون!$H93+1-SUMIFS('سجل الإجازات والحالات'!$AQ$6:$AQ$505,'سجل الإجازات والحالات'!$B$6:$B$505,$B93))/cfg_DAYS_Y)</f>
        <v/>
      </c>
      <c r="AI93" s="160" t="str">
        <f aca="false">IF($B93="","",MAX(0,IF(OR(الموظفون!$AE93="",الموظفون!$AE93&gt;($E$3-1)),($E$3-1),الموظفون!$AE93)-الموظفون!$H93+1-SUMIFS('سجل الإجازات والحالات'!$AP$6:$AP$505,'سجل الإجازات والحالات'!$B$6:$B$505,$B93))/cfg_DAYS_Y)</f>
        <v/>
      </c>
      <c r="AJ93" s="133" t="str">
        <f aca="false">IF($B93="","",MAX(0,AK93-(SUMIFS('سجل الإجازات والحالات'!$AQ$6:$AQ$505,'سجل الإجازات والحالات'!$B$6:$B$505,$B93)-SUMIFS('سجل الإجازات والحالات'!$AP$6:$AP$505,'سجل الإجازات والحالات'!$B$6:$B$505,$B93))))</f>
        <v/>
      </c>
      <c r="AK93" s="133" t="str">
        <f aca="false">IF($B93="","",MAX(0,IF(OR(الموظفون!$AE93="",الموظفون!$AE93&gt;$F$3),$F$3,الموظفون!$AE93)-MAX($E$3,الموظفون!$H93)+1))</f>
        <v/>
      </c>
      <c r="AL93" s="156" t="str">
        <f aca="false">IF($B93="","",SUMIFS('سجل الإجازات والحالات'!$BC$6:$BC$505,'سجل الإجازات والحالات'!$B$6:$B$505,$B93)+SUMIFS('الحركات الشهرية'!$K$6:$K$1005,'الحركات الشهرية'!$B$6:$B$1005,$B93,'الحركات الشهرية'!$A$6:$A$1005,$C$3))</f>
        <v/>
      </c>
      <c r="AM93" s="116" t="str">
        <f aca="false">IF($B93="","",AL93*الموظفون!$R93/cfg_DAYS_M+S93)</f>
        <v/>
      </c>
      <c r="AN93" s="156" t="str">
        <f aca="false">IF($B93="","",SUMIFS('سجل الإجازات والحالات'!$AE$6:$AE$505,'سجل الإجازات والحالات'!$B$6:$B$505,$B93))</f>
        <v/>
      </c>
    </row>
    <row r="94" customFormat="false" ht="15" hidden="false" customHeight="false" outlineLevel="0" collapsed="false">
      <c r="A94" s="106" t="str">
        <f aca="false">IF($B94="","",الموظفون!$A94)</f>
        <v/>
      </c>
      <c r="B94" s="114" t="str">
        <f aca="false">IF(الموظفون!$B94="","",الموظفون!$B94)</f>
        <v/>
      </c>
      <c r="C94" s="114" t="str">
        <f aca="false">IF($B94="","",الموظفون!$C94)</f>
        <v/>
      </c>
      <c r="D94" s="114" t="str">
        <f aca="false">IF($B94="","",الموظفون!$F94)</f>
        <v/>
      </c>
      <c r="E94" s="114" t="str">
        <f aca="false">IF($B94="","",الموظفون!$E94)</f>
        <v/>
      </c>
      <c r="F94" s="114" t="str">
        <f aca="false">IF($B94="","",IF(AK94=0,IF(AND(الموظفون!$AE94&lt;&gt;"",الموظفون!$AE94&lt;$E$3),"✖ منتهي الخدمة","⏳ لم يباشر"),IF(S94&gt;0,"✈ راتب إجازة مقدم",IF(J94=0,"⛔ بدون راتب هذا الشهر",IF(I94&gt;0,"✈ خصم "&amp;ROUND(I94,2)&amp;" يوم بدون أجر",IF(AL94&gt;0,"🌴 إجازة سنوية "&amp;ROUND(AL94,2)&amp;" يوم",IF(H94&gt;0,"⚠ غياب "&amp;ROUND(H94,2)&amp;" يوم","✔ على رأس العمل")))))))</f>
        <v/>
      </c>
      <c r="G94" s="151" t="str">
        <f aca="false">IF($B94="","",IF(AK94&gt;=DAY($F$3),cfg_DAYS_M,MIN(AK94,cfg_DAYS_M)))</f>
        <v/>
      </c>
      <c r="H94" s="151" t="str">
        <f aca="false">IF($B94="","",SUMIFS('الحركات الشهرية'!$D$6:$D$1005,'الحركات الشهرية'!$B$6:$B$1005,$B94,'الحركات الشهرية'!$A$6:$A$1005,$C$3))</f>
        <v/>
      </c>
      <c r="I94" s="151" t="str">
        <f aca="false">IF($B94="","",MIN(G94,IF(AND(AK94&gt;0,AN94&gt;=AK94),G94,AN94)+SUMIFS('الحركات الشهرية'!$E$6:$E$1005,'الحركات الشهرية'!$B$6:$B$1005,$B94,'الحركات الشهرية'!$A$6:$A$1005,$C$3)))</f>
        <v/>
      </c>
      <c r="J94" s="151" t="str">
        <f aca="false">IF($B94="","",MAX(0,G94-H94-I94))</f>
        <v/>
      </c>
      <c r="K94" s="111" t="str">
        <f aca="false">IF($B94="","",الموظفون!$L94*$J94/cfg_DAYS_M)</f>
        <v/>
      </c>
      <c r="L94" s="111" t="str">
        <f aca="false">IF($B94="","",الموظفون!$M94*$J94/cfg_DAYS_M)</f>
        <v/>
      </c>
      <c r="M94" s="111" t="str">
        <f aca="false">IF($B94="","",الموظفون!$N94*$J94/cfg_DAYS_M)</f>
        <v/>
      </c>
      <c r="N94" s="111" t="str">
        <f aca="false">IF($B94="","",الموظفون!$O94*$J94/cfg_DAYS_M)</f>
        <v/>
      </c>
      <c r="O94" s="151" t="str">
        <f aca="false">IF($B94="","",SUMIFS('الحركات الشهرية'!$F$6:$F$1005,'الحركات الشهرية'!$B$6:$B$1005,$B94,'الحركات الشهرية'!$A$6:$A$1005,$C$3))</f>
        <v/>
      </c>
      <c r="P94" s="111" t="str">
        <f aca="false">IF($B94="","",O94*(الموظفون!$P94+الموظفون!$L94*cfg_OT_P)/cfg_DAYS_M/cfg_HRS)</f>
        <v/>
      </c>
      <c r="Q94" s="111" t="str">
        <f aca="false">IF($B94="","",SUMIFS('الحركات الشهرية'!$G$6:$G$1005,'الحركات الشهرية'!$B$6:$B$1005,$B94,'الحركات الشهرية'!$A$6:$A$1005,$C$3))</f>
        <v/>
      </c>
      <c r="R94" s="111" t="str">
        <f aca="false">IF($B94="","",SUMIFS('الحركات الشهرية'!$H$6:$H$1005,'الحركات الشهرية'!$B$6:$B$1005,$B94,'الحركات الشهرية'!$A$6:$A$1005,$C$3))</f>
        <v/>
      </c>
      <c r="S94" s="111" t="str">
        <f aca="false">IF($B94="","",SUMIFS('سجل الإجازات والحالات'!$N$6:$N$505,'سجل الإجازات والحالات'!$B$6:$B$505,$B94,'سجل الإجازات والحالات'!$O$6:$O$505,$C$3))</f>
        <v/>
      </c>
      <c r="T94" s="152" t="str">
        <f aca="false">IF($B94="","",SUM(K94:N94)+SUM(P94:S94))</f>
        <v/>
      </c>
      <c r="U94" s="111" t="str">
        <f aca="false">IF($B94="","",الموظفون!$S94*IF(E94="سعودي",cfg_G_SE,cfg_G_NE)*G94/cfg_DAYS_M)</f>
        <v/>
      </c>
      <c r="V94" s="111" t="str">
        <f aca="false">IF($B94="","",SUMIFS('الحركات الشهرية'!$I$6:$I$1005,'الحركات الشهرية'!$B$6:$B$1005,$B94,'الحركات الشهرية'!$A$6:$A$1005,$C$3))</f>
        <v/>
      </c>
      <c r="W94" s="111" t="str">
        <f aca="false">IF($B94="","",SUMIFS('الحركات الشهرية'!$J$6:$J$1005,'الحركات الشهرية'!$B$6:$B$1005,$B94,'الحركات الشهرية'!$A$6:$A$1005,$C$3))</f>
        <v/>
      </c>
      <c r="X94" s="111" t="str">
        <f aca="false">IF($B94="","",SUM(U94:W94))</f>
        <v/>
      </c>
      <c r="Y94" s="153" t="str">
        <f aca="false">IF($B94="","",T94-X94)</f>
        <v/>
      </c>
      <c r="Z94" s="111" t="str">
        <f aca="false">IF($B94="","",الموظفون!$S94*IF(E94="سعودي",cfg_G_SR,cfg_G_NR)*G94/cfg_DAYS_M)</f>
        <v/>
      </c>
      <c r="AA94" s="111" t="str">
        <f aca="false">IF($B94="","",الموظفون!$Q94*(cfg_EOS_R1*(MIN(AH94,cfg_EOS_TH)-MIN(AI94,cfg_EOS_TH))+cfg_EOS_R2*(MAX(AH94-cfg_EOS_TH,0)-MAX(AI94-cfg_EOS_TH,0))))</f>
        <v/>
      </c>
      <c r="AB94" s="111" t="str">
        <f aca="false">IF($B94="","",IF(الموظفون!$T94&lt;&gt;"",الموظفون!$T94,IF(AH94&gt;=cfg_LV_TH,cfg_LV_D2,cfg_LV_D1))/cfg_DAYS_Y*AJ94*الموظفون!$R94/cfg_DAYS_M)</f>
        <v/>
      </c>
      <c r="AC94" s="111" t="str">
        <f aca="false">IF($B94="","",IF(AND(الموظفون!$U94="نعم",N(الموظفون!$W94)&gt;0),الموظفون!$V94/الموظفون!$W94*12/cfg_DAYS_Y*AJ94,0))</f>
        <v/>
      </c>
      <c r="AD94" s="111" t="str">
        <f aca="false">IF($B94="","",(IF(الموظفون!$X94&lt;&gt;"",الموظفون!$X94,IF(الموظفون!$E94="غير سعودي",cfg_IQ,0))+IF(الموظفون!$Y94&lt;&gt;"",الموظفون!$Y94,IF(الموظفون!$E94="غير سعودي",cfg_WP,0)))/12*G94/cfg_DAYS_M)</f>
        <v/>
      </c>
      <c r="AE94" s="111" t="str">
        <f aca="false">IF($B94="","",IF(الموظفون!$Z94&lt;&gt;"",الموظفون!$Z94,cfg_MED)/12*G94/cfg_DAYS_M)</f>
        <v/>
      </c>
      <c r="AF94" s="111" t="str">
        <f aca="false">IF($B94="","",N(الموظفون!$AA94)/12*G94/cfg_DAYS_M)</f>
        <v/>
      </c>
      <c r="AG94" s="154" t="str">
        <f aca="false">IF($B94="","",T94+SUM(Z94:AF94))</f>
        <v/>
      </c>
      <c r="AH94" s="155" t="str">
        <f aca="false">IF($B94="","",MAX(0,IF(OR(الموظفون!$AE94="",الموظفون!$AE94&gt;$F$3),$F$3,الموظفون!$AE94)-الموظفون!$H94+1-SUMIFS('سجل الإجازات والحالات'!$AQ$6:$AQ$505,'سجل الإجازات والحالات'!$B$6:$B$505,$B94))/cfg_DAYS_Y)</f>
        <v/>
      </c>
      <c r="AI94" s="155" t="str">
        <f aca="false">IF($B94="","",MAX(0,IF(OR(الموظفون!$AE94="",الموظفون!$AE94&gt;($E$3-1)),($E$3-1),الموظفون!$AE94)-الموظفون!$H94+1-SUMIFS('سجل الإجازات والحالات'!$AP$6:$AP$505,'سجل الإجازات والحالات'!$B$6:$B$505,$B94))/cfg_DAYS_Y)</f>
        <v/>
      </c>
      <c r="AJ94" s="65" t="str">
        <f aca="false">IF($B94="","",MAX(0,AK94-(SUMIFS('سجل الإجازات والحالات'!$AQ$6:$AQ$505,'سجل الإجازات والحالات'!$B$6:$B$505,$B94)-SUMIFS('سجل الإجازات والحالات'!$AP$6:$AP$505,'سجل الإجازات والحالات'!$B$6:$B$505,$B94))))</f>
        <v/>
      </c>
      <c r="AK94" s="65" t="str">
        <f aca="false">IF($B94="","",MAX(0,IF(OR(الموظفون!$AE94="",الموظفون!$AE94&gt;$F$3),$F$3,الموظفون!$AE94)-MAX($E$3,الموظفون!$H94)+1))</f>
        <v/>
      </c>
      <c r="AL94" s="151" t="str">
        <f aca="false">IF($B94="","",SUMIFS('سجل الإجازات والحالات'!$BC$6:$BC$505,'سجل الإجازات والحالات'!$B$6:$B$505,$B94)+SUMIFS('الحركات الشهرية'!$K$6:$K$1005,'الحركات الشهرية'!$B$6:$B$1005,$B94,'الحركات الشهرية'!$A$6:$A$1005,$C$3))</f>
        <v/>
      </c>
      <c r="AM94" s="111" t="str">
        <f aca="false">IF($B94="","",AL94*الموظفون!$R94/cfg_DAYS_M+S94)</f>
        <v/>
      </c>
      <c r="AN94" s="151" t="str">
        <f aca="false">IF($B94="","",SUMIFS('سجل الإجازات والحالات'!$AE$6:$AE$505,'سجل الإجازات والحالات'!$B$6:$B$505,$B94))</f>
        <v/>
      </c>
    </row>
    <row r="95" customFormat="false" ht="15" hidden="false" customHeight="false" outlineLevel="0" collapsed="false">
      <c r="A95" s="115" t="str">
        <f aca="false">IF($B95="","",الموظفون!$A95)</f>
        <v/>
      </c>
      <c r="B95" s="117" t="str">
        <f aca="false">IF(الموظفون!$B95="","",الموظفون!$B95)</f>
        <v/>
      </c>
      <c r="C95" s="117" t="str">
        <f aca="false">IF($B95="","",الموظفون!$C95)</f>
        <v/>
      </c>
      <c r="D95" s="117" t="str">
        <f aca="false">IF($B95="","",الموظفون!$F95)</f>
        <v/>
      </c>
      <c r="E95" s="117" t="str">
        <f aca="false">IF($B95="","",الموظفون!$E95)</f>
        <v/>
      </c>
      <c r="F95" s="117" t="str">
        <f aca="false">IF($B95="","",IF(AK95=0,IF(AND(الموظفون!$AE95&lt;&gt;"",الموظفون!$AE95&lt;$E$3),"✖ منتهي الخدمة","⏳ لم يباشر"),IF(S95&gt;0,"✈ راتب إجازة مقدم",IF(J95=0,"⛔ بدون راتب هذا الشهر",IF(I95&gt;0,"✈ خصم "&amp;ROUND(I95,2)&amp;" يوم بدون أجر",IF(AL95&gt;0,"🌴 إجازة سنوية "&amp;ROUND(AL95,2)&amp;" يوم",IF(H95&gt;0,"⚠ غياب "&amp;ROUND(H95,2)&amp;" يوم","✔ على رأس العمل")))))))</f>
        <v/>
      </c>
      <c r="G95" s="156" t="str">
        <f aca="false">IF($B95="","",IF(AK95&gt;=DAY($F$3),cfg_DAYS_M,MIN(AK95,cfg_DAYS_M)))</f>
        <v/>
      </c>
      <c r="H95" s="156" t="str">
        <f aca="false">IF($B95="","",SUMIFS('الحركات الشهرية'!$D$6:$D$1005,'الحركات الشهرية'!$B$6:$B$1005,$B95,'الحركات الشهرية'!$A$6:$A$1005,$C$3))</f>
        <v/>
      </c>
      <c r="I95" s="156" t="str">
        <f aca="false">IF($B95="","",MIN(G95,IF(AND(AK95&gt;0,AN95&gt;=AK95),G95,AN95)+SUMIFS('الحركات الشهرية'!$E$6:$E$1005,'الحركات الشهرية'!$B$6:$B$1005,$B95,'الحركات الشهرية'!$A$6:$A$1005,$C$3)))</f>
        <v/>
      </c>
      <c r="J95" s="156" t="str">
        <f aca="false">IF($B95="","",MAX(0,G95-H95-I95))</f>
        <v/>
      </c>
      <c r="K95" s="116" t="str">
        <f aca="false">IF($B95="","",الموظفون!$L95*$J95/cfg_DAYS_M)</f>
        <v/>
      </c>
      <c r="L95" s="116" t="str">
        <f aca="false">IF($B95="","",الموظفون!$M95*$J95/cfg_DAYS_M)</f>
        <v/>
      </c>
      <c r="M95" s="116" t="str">
        <f aca="false">IF($B95="","",الموظفون!$N95*$J95/cfg_DAYS_M)</f>
        <v/>
      </c>
      <c r="N95" s="116" t="str">
        <f aca="false">IF($B95="","",الموظفون!$O95*$J95/cfg_DAYS_M)</f>
        <v/>
      </c>
      <c r="O95" s="156" t="str">
        <f aca="false">IF($B95="","",SUMIFS('الحركات الشهرية'!$F$6:$F$1005,'الحركات الشهرية'!$B$6:$B$1005,$B95,'الحركات الشهرية'!$A$6:$A$1005,$C$3))</f>
        <v/>
      </c>
      <c r="P95" s="116" t="str">
        <f aca="false">IF($B95="","",O95*(الموظفون!$P95+الموظفون!$L95*cfg_OT_P)/cfg_DAYS_M/cfg_HRS)</f>
        <v/>
      </c>
      <c r="Q95" s="116" t="str">
        <f aca="false">IF($B95="","",SUMIFS('الحركات الشهرية'!$G$6:$G$1005,'الحركات الشهرية'!$B$6:$B$1005,$B95,'الحركات الشهرية'!$A$6:$A$1005,$C$3))</f>
        <v/>
      </c>
      <c r="R95" s="116" t="str">
        <f aca="false">IF($B95="","",SUMIFS('الحركات الشهرية'!$H$6:$H$1005,'الحركات الشهرية'!$B$6:$B$1005,$B95,'الحركات الشهرية'!$A$6:$A$1005,$C$3))</f>
        <v/>
      </c>
      <c r="S95" s="116" t="str">
        <f aca="false">IF($B95="","",SUMIFS('سجل الإجازات والحالات'!$N$6:$N$505,'سجل الإجازات والحالات'!$B$6:$B$505,$B95,'سجل الإجازات والحالات'!$O$6:$O$505,$C$3))</f>
        <v/>
      </c>
      <c r="T95" s="157" t="str">
        <f aca="false">IF($B95="","",SUM(K95:N95)+SUM(P95:S95))</f>
        <v/>
      </c>
      <c r="U95" s="116" t="str">
        <f aca="false">IF($B95="","",الموظفون!$S95*IF(E95="سعودي",cfg_G_SE,cfg_G_NE)*G95/cfg_DAYS_M)</f>
        <v/>
      </c>
      <c r="V95" s="116" t="str">
        <f aca="false">IF($B95="","",SUMIFS('الحركات الشهرية'!$I$6:$I$1005,'الحركات الشهرية'!$B$6:$B$1005,$B95,'الحركات الشهرية'!$A$6:$A$1005,$C$3))</f>
        <v/>
      </c>
      <c r="W95" s="116" t="str">
        <f aca="false">IF($B95="","",SUMIFS('الحركات الشهرية'!$J$6:$J$1005,'الحركات الشهرية'!$B$6:$B$1005,$B95,'الحركات الشهرية'!$A$6:$A$1005,$C$3))</f>
        <v/>
      </c>
      <c r="X95" s="116" t="str">
        <f aca="false">IF($B95="","",SUM(U95:W95))</f>
        <v/>
      </c>
      <c r="Y95" s="158" t="str">
        <f aca="false">IF($B95="","",T95-X95)</f>
        <v/>
      </c>
      <c r="Z95" s="116" t="str">
        <f aca="false">IF($B95="","",الموظفون!$S95*IF(E95="سعودي",cfg_G_SR,cfg_G_NR)*G95/cfg_DAYS_M)</f>
        <v/>
      </c>
      <c r="AA95" s="116" t="str">
        <f aca="false">IF($B95="","",الموظفون!$Q95*(cfg_EOS_R1*(MIN(AH95,cfg_EOS_TH)-MIN(AI95,cfg_EOS_TH))+cfg_EOS_R2*(MAX(AH95-cfg_EOS_TH,0)-MAX(AI95-cfg_EOS_TH,0))))</f>
        <v/>
      </c>
      <c r="AB95" s="116" t="str">
        <f aca="false">IF($B95="","",IF(الموظفون!$T95&lt;&gt;"",الموظفون!$T95,IF(AH95&gt;=cfg_LV_TH,cfg_LV_D2,cfg_LV_D1))/cfg_DAYS_Y*AJ95*الموظفون!$R95/cfg_DAYS_M)</f>
        <v/>
      </c>
      <c r="AC95" s="116" t="str">
        <f aca="false">IF($B95="","",IF(AND(الموظفون!$U95="نعم",N(الموظفون!$W95)&gt;0),الموظفون!$V95/الموظفون!$W95*12/cfg_DAYS_Y*AJ95,0))</f>
        <v/>
      </c>
      <c r="AD95" s="116" t="str">
        <f aca="false">IF($B95="","",(IF(الموظفون!$X95&lt;&gt;"",الموظفون!$X95,IF(الموظفون!$E95="غير سعودي",cfg_IQ,0))+IF(الموظفون!$Y95&lt;&gt;"",الموظفون!$Y95,IF(الموظفون!$E95="غير سعودي",cfg_WP,0)))/12*G95/cfg_DAYS_M)</f>
        <v/>
      </c>
      <c r="AE95" s="116" t="str">
        <f aca="false">IF($B95="","",IF(الموظفون!$Z95&lt;&gt;"",الموظفون!$Z95,cfg_MED)/12*G95/cfg_DAYS_M)</f>
        <v/>
      </c>
      <c r="AF95" s="116" t="str">
        <f aca="false">IF($B95="","",N(الموظفون!$AA95)/12*G95/cfg_DAYS_M)</f>
        <v/>
      </c>
      <c r="AG95" s="159" t="str">
        <f aca="false">IF($B95="","",T95+SUM(Z95:AF95))</f>
        <v/>
      </c>
      <c r="AH95" s="160" t="str">
        <f aca="false">IF($B95="","",MAX(0,IF(OR(الموظفون!$AE95="",الموظفون!$AE95&gt;$F$3),$F$3,الموظفون!$AE95)-الموظفون!$H95+1-SUMIFS('سجل الإجازات والحالات'!$AQ$6:$AQ$505,'سجل الإجازات والحالات'!$B$6:$B$505,$B95))/cfg_DAYS_Y)</f>
        <v/>
      </c>
      <c r="AI95" s="160" t="str">
        <f aca="false">IF($B95="","",MAX(0,IF(OR(الموظفون!$AE95="",الموظفون!$AE95&gt;($E$3-1)),($E$3-1),الموظفون!$AE95)-الموظفون!$H95+1-SUMIFS('سجل الإجازات والحالات'!$AP$6:$AP$505,'سجل الإجازات والحالات'!$B$6:$B$505,$B95))/cfg_DAYS_Y)</f>
        <v/>
      </c>
      <c r="AJ95" s="133" t="str">
        <f aca="false">IF($B95="","",MAX(0,AK95-(SUMIFS('سجل الإجازات والحالات'!$AQ$6:$AQ$505,'سجل الإجازات والحالات'!$B$6:$B$505,$B95)-SUMIFS('سجل الإجازات والحالات'!$AP$6:$AP$505,'سجل الإجازات والحالات'!$B$6:$B$505,$B95))))</f>
        <v/>
      </c>
      <c r="AK95" s="133" t="str">
        <f aca="false">IF($B95="","",MAX(0,IF(OR(الموظفون!$AE95="",الموظفون!$AE95&gt;$F$3),$F$3,الموظفون!$AE95)-MAX($E$3,الموظفون!$H95)+1))</f>
        <v/>
      </c>
      <c r="AL95" s="156" t="str">
        <f aca="false">IF($B95="","",SUMIFS('سجل الإجازات والحالات'!$BC$6:$BC$505,'سجل الإجازات والحالات'!$B$6:$B$505,$B95)+SUMIFS('الحركات الشهرية'!$K$6:$K$1005,'الحركات الشهرية'!$B$6:$B$1005,$B95,'الحركات الشهرية'!$A$6:$A$1005,$C$3))</f>
        <v/>
      </c>
      <c r="AM95" s="116" t="str">
        <f aca="false">IF($B95="","",AL95*الموظفون!$R95/cfg_DAYS_M+S95)</f>
        <v/>
      </c>
      <c r="AN95" s="156" t="str">
        <f aca="false">IF($B95="","",SUMIFS('سجل الإجازات والحالات'!$AE$6:$AE$505,'سجل الإجازات والحالات'!$B$6:$B$505,$B95))</f>
        <v/>
      </c>
    </row>
    <row r="96" customFormat="false" ht="15" hidden="false" customHeight="false" outlineLevel="0" collapsed="false">
      <c r="A96" s="106" t="str">
        <f aca="false">IF($B96="","",الموظفون!$A96)</f>
        <v/>
      </c>
      <c r="B96" s="114" t="str">
        <f aca="false">IF(الموظفون!$B96="","",الموظفون!$B96)</f>
        <v/>
      </c>
      <c r="C96" s="114" t="str">
        <f aca="false">IF($B96="","",الموظفون!$C96)</f>
        <v/>
      </c>
      <c r="D96" s="114" t="str">
        <f aca="false">IF($B96="","",الموظفون!$F96)</f>
        <v/>
      </c>
      <c r="E96" s="114" t="str">
        <f aca="false">IF($B96="","",الموظفون!$E96)</f>
        <v/>
      </c>
      <c r="F96" s="114" t="str">
        <f aca="false">IF($B96="","",IF(AK96=0,IF(AND(الموظفون!$AE96&lt;&gt;"",الموظفون!$AE96&lt;$E$3),"✖ منتهي الخدمة","⏳ لم يباشر"),IF(S96&gt;0,"✈ راتب إجازة مقدم",IF(J96=0,"⛔ بدون راتب هذا الشهر",IF(I96&gt;0,"✈ خصم "&amp;ROUND(I96,2)&amp;" يوم بدون أجر",IF(AL96&gt;0,"🌴 إجازة سنوية "&amp;ROUND(AL96,2)&amp;" يوم",IF(H96&gt;0,"⚠ غياب "&amp;ROUND(H96,2)&amp;" يوم","✔ على رأس العمل")))))))</f>
        <v/>
      </c>
      <c r="G96" s="151" t="str">
        <f aca="false">IF($B96="","",IF(AK96&gt;=DAY($F$3),cfg_DAYS_M,MIN(AK96,cfg_DAYS_M)))</f>
        <v/>
      </c>
      <c r="H96" s="151" t="str">
        <f aca="false">IF($B96="","",SUMIFS('الحركات الشهرية'!$D$6:$D$1005,'الحركات الشهرية'!$B$6:$B$1005,$B96,'الحركات الشهرية'!$A$6:$A$1005,$C$3))</f>
        <v/>
      </c>
      <c r="I96" s="151" t="str">
        <f aca="false">IF($B96="","",MIN(G96,IF(AND(AK96&gt;0,AN96&gt;=AK96),G96,AN96)+SUMIFS('الحركات الشهرية'!$E$6:$E$1005,'الحركات الشهرية'!$B$6:$B$1005,$B96,'الحركات الشهرية'!$A$6:$A$1005,$C$3)))</f>
        <v/>
      </c>
      <c r="J96" s="151" t="str">
        <f aca="false">IF($B96="","",MAX(0,G96-H96-I96))</f>
        <v/>
      </c>
      <c r="K96" s="111" t="str">
        <f aca="false">IF($B96="","",الموظفون!$L96*$J96/cfg_DAYS_M)</f>
        <v/>
      </c>
      <c r="L96" s="111" t="str">
        <f aca="false">IF($B96="","",الموظفون!$M96*$J96/cfg_DAYS_M)</f>
        <v/>
      </c>
      <c r="M96" s="111" t="str">
        <f aca="false">IF($B96="","",الموظفون!$N96*$J96/cfg_DAYS_M)</f>
        <v/>
      </c>
      <c r="N96" s="111" t="str">
        <f aca="false">IF($B96="","",الموظفون!$O96*$J96/cfg_DAYS_M)</f>
        <v/>
      </c>
      <c r="O96" s="151" t="str">
        <f aca="false">IF($B96="","",SUMIFS('الحركات الشهرية'!$F$6:$F$1005,'الحركات الشهرية'!$B$6:$B$1005,$B96,'الحركات الشهرية'!$A$6:$A$1005,$C$3))</f>
        <v/>
      </c>
      <c r="P96" s="111" t="str">
        <f aca="false">IF($B96="","",O96*(الموظفون!$P96+الموظفون!$L96*cfg_OT_P)/cfg_DAYS_M/cfg_HRS)</f>
        <v/>
      </c>
      <c r="Q96" s="111" t="str">
        <f aca="false">IF($B96="","",SUMIFS('الحركات الشهرية'!$G$6:$G$1005,'الحركات الشهرية'!$B$6:$B$1005,$B96,'الحركات الشهرية'!$A$6:$A$1005,$C$3))</f>
        <v/>
      </c>
      <c r="R96" s="111" t="str">
        <f aca="false">IF($B96="","",SUMIFS('الحركات الشهرية'!$H$6:$H$1005,'الحركات الشهرية'!$B$6:$B$1005,$B96,'الحركات الشهرية'!$A$6:$A$1005,$C$3))</f>
        <v/>
      </c>
      <c r="S96" s="111" t="str">
        <f aca="false">IF($B96="","",SUMIFS('سجل الإجازات والحالات'!$N$6:$N$505,'سجل الإجازات والحالات'!$B$6:$B$505,$B96,'سجل الإجازات والحالات'!$O$6:$O$505,$C$3))</f>
        <v/>
      </c>
      <c r="T96" s="152" t="str">
        <f aca="false">IF($B96="","",SUM(K96:N96)+SUM(P96:S96))</f>
        <v/>
      </c>
      <c r="U96" s="111" t="str">
        <f aca="false">IF($B96="","",الموظفون!$S96*IF(E96="سعودي",cfg_G_SE,cfg_G_NE)*G96/cfg_DAYS_M)</f>
        <v/>
      </c>
      <c r="V96" s="111" t="str">
        <f aca="false">IF($B96="","",SUMIFS('الحركات الشهرية'!$I$6:$I$1005,'الحركات الشهرية'!$B$6:$B$1005,$B96,'الحركات الشهرية'!$A$6:$A$1005,$C$3))</f>
        <v/>
      </c>
      <c r="W96" s="111" t="str">
        <f aca="false">IF($B96="","",SUMIFS('الحركات الشهرية'!$J$6:$J$1005,'الحركات الشهرية'!$B$6:$B$1005,$B96,'الحركات الشهرية'!$A$6:$A$1005,$C$3))</f>
        <v/>
      </c>
      <c r="X96" s="111" t="str">
        <f aca="false">IF($B96="","",SUM(U96:W96))</f>
        <v/>
      </c>
      <c r="Y96" s="153" t="str">
        <f aca="false">IF($B96="","",T96-X96)</f>
        <v/>
      </c>
      <c r="Z96" s="111" t="str">
        <f aca="false">IF($B96="","",الموظفون!$S96*IF(E96="سعودي",cfg_G_SR,cfg_G_NR)*G96/cfg_DAYS_M)</f>
        <v/>
      </c>
      <c r="AA96" s="111" t="str">
        <f aca="false">IF($B96="","",الموظفون!$Q96*(cfg_EOS_R1*(MIN(AH96,cfg_EOS_TH)-MIN(AI96,cfg_EOS_TH))+cfg_EOS_R2*(MAX(AH96-cfg_EOS_TH,0)-MAX(AI96-cfg_EOS_TH,0))))</f>
        <v/>
      </c>
      <c r="AB96" s="111" t="str">
        <f aca="false">IF($B96="","",IF(الموظفون!$T96&lt;&gt;"",الموظفون!$T96,IF(AH96&gt;=cfg_LV_TH,cfg_LV_D2,cfg_LV_D1))/cfg_DAYS_Y*AJ96*الموظفون!$R96/cfg_DAYS_M)</f>
        <v/>
      </c>
      <c r="AC96" s="111" t="str">
        <f aca="false">IF($B96="","",IF(AND(الموظفون!$U96="نعم",N(الموظفون!$W96)&gt;0),الموظفون!$V96/الموظفون!$W96*12/cfg_DAYS_Y*AJ96,0))</f>
        <v/>
      </c>
      <c r="AD96" s="111" t="str">
        <f aca="false">IF($B96="","",(IF(الموظفون!$X96&lt;&gt;"",الموظفون!$X96,IF(الموظفون!$E96="غير سعودي",cfg_IQ,0))+IF(الموظفون!$Y96&lt;&gt;"",الموظفون!$Y96,IF(الموظفون!$E96="غير سعودي",cfg_WP,0)))/12*G96/cfg_DAYS_M)</f>
        <v/>
      </c>
      <c r="AE96" s="111" t="str">
        <f aca="false">IF($B96="","",IF(الموظفون!$Z96&lt;&gt;"",الموظفون!$Z96,cfg_MED)/12*G96/cfg_DAYS_M)</f>
        <v/>
      </c>
      <c r="AF96" s="111" t="str">
        <f aca="false">IF($B96="","",N(الموظفون!$AA96)/12*G96/cfg_DAYS_M)</f>
        <v/>
      </c>
      <c r="AG96" s="154" t="str">
        <f aca="false">IF($B96="","",T96+SUM(Z96:AF96))</f>
        <v/>
      </c>
      <c r="AH96" s="155" t="str">
        <f aca="false">IF($B96="","",MAX(0,IF(OR(الموظفون!$AE96="",الموظفون!$AE96&gt;$F$3),$F$3,الموظفون!$AE96)-الموظفون!$H96+1-SUMIFS('سجل الإجازات والحالات'!$AQ$6:$AQ$505,'سجل الإجازات والحالات'!$B$6:$B$505,$B96))/cfg_DAYS_Y)</f>
        <v/>
      </c>
      <c r="AI96" s="155" t="str">
        <f aca="false">IF($B96="","",MAX(0,IF(OR(الموظفون!$AE96="",الموظفون!$AE96&gt;($E$3-1)),($E$3-1),الموظفون!$AE96)-الموظفون!$H96+1-SUMIFS('سجل الإجازات والحالات'!$AP$6:$AP$505,'سجل الإجازات والحالات'!$B$6:$B$505,$B96))/cfg_DAYS_Y)</f>
        <v/>
      </c>
      <c r="AJ96" s="65" t="str">
        <f aca="false">IF($B96="","",MAX(0,AK96-(SUMIFS('سجل الإجازات والحالات'!$AQ$6:$AQ$505,'سجل الإجازات والحالات'!$B$6:$B$505,$B96)-SUMIFS('سجل الإجازات والحالات'!$AP$6:$AP$505,'سجل الإجازات والحالات'!$B$6:$B$505,$B96))))</f>
        <v/>
      </c>
      <c r="AK96" s="65" t="str">
        <f aca="false">IF($B96="","",MAX(0,IF(OR(الموظفون!$AE96="",الموظفون!$AE96&gt;$F$3),$F$3,الموظفون!$AE96)-MAX($E$3,الموظفون!$H96)+1))</f>
        <v/>
      </c>
      <c r="AL96" s="151" t="str">
        <f aca="false">IF($B96="","",SUMIFS('سجل الإجازات والحالات'!$BC$6:$BC$505,'سجل الإجازات والحالات'!$B$6:$B$505,$B96)+SUMIFS('الحركات الشهرية'!$K$6:$K$1005,'الحركات الشهرية'!$B$6:$B$1005,$B96,'الحركات الشهرية'!$A$6:$A$1005,$C$3))</f>
        <v/>
      </c>
      <c r="AM96" s="111" t="str">
        <f aca="false">IF($B96="","",AL96*الموظفون!$R96/cfg_DAYS_M+S96)</f>
        <v/>
      </c>
      <c r="AN96" s="151" t="str">
        <f aca="false">IF($B96="","",SUMIFS('سجل الإجازات والحالات'!$AE$6:$AE$505,'سجل الإجازات والحالات'!$B$6:$B$505,$B96))</f>
        <v/>
      </c>
    </row>
    <row r="97" customFormat="false" ht="15" hidden="false" customHeight="false" outlineLevel="0" collapsed="false">
      <c r="A97" s="115" t="str">
        <f aca="false">IF($B97="","",الموظفون!$A97)</f>
        <v/>
      </c>
      <c r="B97" s="117" t="str">
        <f aca="false">IF(الموظفون!$B97="","",الموظفون!$B97)</f>
        <v/>
      </c>
      <c r="C97" s="117" t="str">
        <f aca="false">IF($B97="","",الموظفون!$C97)</f>
        <v/>
      </c>
      <c r="D97" s="117" t="str">
        <f aca="false">IF($B97="","",الموظفون!$F97)</f>
        <v/>
      </c>
      <c r="E97" s="117" t="str">
        <f aca="false">IF($B97="","",الموظفون!$E97)</f>
        <v/>
      </c>
      <c r="F97" s="117" t="str">
        <f aca="false">IF($B97="","",IF(AK97=0,IF(AND(الموظفون!$AE97&lt;&gt;"",الموظفون!$AE97&lt;$E$3),"✖ منتهي الخدمة","⏳ لم يباشر"),IF(S97&gt;0,"✈ راتب إجازة مقدم",IF(J97=0,"⛔ بدون راتب هذا الشهر",IF(I97&gt;0,"✈ خصم "&amp;ROUND(I97,2)&amp;" يوم بدون أجر",IF(AL97&gt;0,"🌴 إجازة سنوية "&amp;ROUND(AL97,2)&amp;" يوم",IF(H97&gt;0,"⚠ غياب "&amp;ROUND(H97,2)&amp;" يوم","✔ على رأس العمل")))))))</f>
        <v/>
      </c>
      <c r="G97" s="156" t="str">
        <f aca="false">IF($B97="","",IF(AK97&gt;=DAY($F$3),cfg_DAYS_M,MIN(AK97,cfg_DAYS_M)))</f>
        <v/>
      </c>
      <c r="H97" s="156" t="str">
        <f aca="false">IF($B97="","",SUMIFS('الحركات الشهرية'!$D$6:$D$1005,'الحركات الشهرية'!$B$6:$B$1005,$B97,'الحركات الشهرية'!$A$6:$A$1005,$C$3))</f>
        <v/>
      </c>
      <c r="I97" s="156" t="str">
        <f aca="false">IF($B97="","",MIN(G97,IF(AND(AK97&gt;0,AN97&gt;=AK97),G97,AN97)+SUMIFS('الحركات الشهرية'!$E$6:$E$1005,'الحركات الشهرية'!$B$6:$B$1005,$B97,'الحركات الشهرية'!$A$6:$A$1005,$C$3)))</f>
        <v/>
      </c>
      <c r="J97" s="156" t="str">
        <f aca="false">IF($B97="","",MAX(0,G97-H97-I97))</f>
        <v/>
      </c>
      <c r="K97" s="116" t="str">
        <f aca="false">IF($B97="","",الموظفون!$L97*$J97/cfg_DAYS_M)</f>
        <v/>
      </c>
      <c r="L97" s="116" t="str">
        <f aca="false">IF($B97="","",الموظفون!$M97*$J97/cfg_DAYS_M)</f>
        <v/>
      </c>
      <c r="M97" s="116" t="str">
        <f aca="false">IF($B97="","",الموظفون!$N97*$J97/cfg_DAYS_M)</f>
        <v/>
      </c>
      <c r="N97" s="116" t="str">
        <f aca="false">IF($B97="","",الموظفون!$O97*$J97/cfg_DAYS_M)</f>
        <v/>
      </c>
      <c r="O97" s="156" t="str">
        <f aca="false">IF($B97="","",SUMIFS('الحركات الشهرية'!$F$6:$F$1005,'الحركات الشهرية'!$B$6:$B$1005,$B97,'الحركات الشهرية'!$A$6:$A$1005,$C$3))</f>
        <v/>
      </c>
      <c r="P97" s="116" t="str">
        <f aca="false">IF($B97="","",O97*(الموظفون!$P97+الموظفون!$L97*cfg_OT_P)/cfg_DAYS_M/cfg_HRS)</f>
        <v/>
      </c>
      <c r="Q97" s="116" t="str">
        <f aca="false">IF($B97="","",SUMIFS('الحركات الشهرية'!$G$6:$G$1005,'الحركات الشهرية'!$B$6:$B$1005,$B97,'الحركات الشهرية'!$A$6:$A$1005,$C$3))</f>
        <v/>
      </c>
      <c r="R97" s="116" t="str">
        <f aca="false">IF($B97="","",SUMIFS('الحركات الشهرية'!$H$6:$H$1005,'الحركات الشهرية'!$B$6:$B$1005,$B97,'الحركات الشهرية'!$A$6:$A$1005,$C$3))</f>
        <v/>
      </c>
      <c r="S97" s="116" t="str">
        <f aca="false">IF($B97="","",SUMIFS('سجل الإجازات والحالات'!$N$6:$N$505,'سجل الإجازات والحالات'!$B$6:$B$505,$B97,'سجل الإجازات والحالات'!$O$6:$O$505,$C$3))</f>
        <v/>
      </c>
      <c r="T97" s="157" t="str">
        <f aca="false">IF($B97="","",SUM(K97:N97)+SUM(P97:S97))</f>
        <v/>
      </c>
      <c r="U97" s="116" t="str">
        <f aca="false">IF($B97="","",الموظفون!$S97*IF(E97="سعودي",cfg_G_SE,cfg_G_NE)*G97/cfg_DAYS_M)</f>
        <v/>
      </c>
      <c r="V97" s="116" t="str">
        <f aca="false">IF($B97="","",SUMIFS('الحركات الشهرية'!$I$6:$I$1005,'الحركات الشهرية'!$B$6:$B$1005,$B97,'الحركات الشهرية'!$A$6:$A$1005,$C$3))</f>
        <v/>
      </c>
      <c r="W97" s="116" t="str">
        <f aca="false">IF($B97="","",SUMIFS('الحركات الشهرية'!$J$6:$J$1005,'الحركات الشهرية'!$B$6:$B$1005,$B97,'الحركات الشهرية'!$A$6:$A$1005,$C$3))</f>
        <v/>
      </c>
      <c r="X97" s="116" t="str">
        <f aca="false">IF($B97="","",SUM(U97:W97))</f>
        <v/>
      </c>
      <c r="Y97" s="158" t="str">
        <f aca="false">IF($B97="","",T97-X97)</f>
        <v/>
      </c>
      <c r="Z97" s="116" t="str">
        <f aca="false">IF($B97="","",الموظفون!$S97*IF(E97="سعودي",cfg_G_SR,cfg_G_NR)*G97/cfg_DAYS_M)</f>
        <v/>
      </c>
      <c r="AA97" s="116" t="str">
        <f aca="false">IF($B97="","",الموظفون!$Q97*(cfg_EOS_R1*(MIN(AH97,cfg_EOS_TH)-MIN(AI97,cfg_EOS_TH))+cfg_EOS_R2*(MAX(AH97-cfg_EOS_TH,0)-MAX(AI97-cfg_EOS_TH,0))))</f>
        <v/>
      </c>
      <c r="AB97" s="116" t="str">
        <f aca="false">IF($B97="","",IF(الموظفون!$T97&lt;&gt;"",الموظفون!$T97,IF(AH97&gt;=cfg_LV_TH,cfg_LV_D2,cfg_LV_D1))/cfg_DAYS_Y*AJ97*الموظفون!$R97/cfg_DAYS_M)</f>
        <v/>
      </c>
      <c r="AC97" s="116" t="str">
        <f aca="false">IF($B97="","",IF(AND(الموظفون!$U97="نعم",N(الموظفون!$W97)&gt;0),الموظفون!$V97/الموظفون!$W97*12/cfg_DAYS_Y*AJ97,0))</f>
        <v/>
      </c>
      <c r="AD97" s="116" t="str">
        <f aca="false">IF($B97="","",(IF(الموظفون!$X97&lt;&gt;"",الموظفون!$X97,IF(الموظفون!$E97="غير سعودي",cfg_IQ,0))+IF(الموظفون!$Y97&lt;&gt;"",الموظفون!$Y97,IF(الموظفون!$E97="غير سعودي",cfg_WP,0)))/12*G97/cfg_DAYS_M)</f>
        <v/>
      </c>
      <c r="AE97" s="116" t="str">
        <f aca="false">IF($B97="","",IF(الموظفون!$Z97&lt;&gt;"",الموظفون!$Z97,cfg_MED)/12*G97/cfg_DAYS_M)</f>
        <v/>
      </c>
      <c r="AF97" s="116" t="str">
        <f aca="false">IF($B97="","",N(الموظفون!$AA97)/12*G97/cfg_DAYS_M)</f>
        <v/>
      </c>
      <c r="AG97" s="159" t="str">
        <f aca="false">IF($B97="","",T97+SUM(Z97:AF97))</f>
        <v/>
      </c>
      <c r="AH97" s="160" t="str">
        <f aca="false">IF($B97="","",MAX(0,IF(OR(الموظفون!$AE97="",الموظفون!$AE97&gt;$F$3),$F$3,الموظفون!$AE97)-الموظفون!$H97+1-SUMIFS('سجل الإجازات والحالات'!$AQ$6:$AQ$505,'سجل الإجازات والحالات'!$B$6:$B$505,$B97))/cfg_DAYS_Y)</f>
        <v/>
      </c>
      <c r="AI97" s="160" t="str">
        <f aca="false">IF($B97="","",MAX(0,IF(OR(الموظفون!$AE97="",الموظفون!$AE97&gt;($E$3-1)),($E$3-1),الموظفون!$AE97)-الموظفون!$H97+1-SUMIFS('سجل الإجازات والحالات'!$AP$6:$AP$505,'سجل الإجازات والحالات'!$B$6:$B$505,$B97))/cfg_DAYS_Y)</f>
        <v/>
      </c>
      <c r="AJ97" s="133" t="str">
        <f aca="false">IF($B97="","",MAX(0,AK97-(SUMIFS('سجل الإجازات والحالات'!$AQ$6:$AQ$505,'سجل الإجازات والحالات'!$B$6:$B$505,$B97)-SUMIFS('سجل الإجازات والحالات'!$AP$6:$AP$505,'سجل الإجازات والحالات'!$B$6:$B$505,$B97))))</f>
        <v/>
      </c>
      <c r="AK97" s="133" t="str">
        <f aca="false">IF($B97="","",MAX(0,IF(OR(الموظفون!$AE97="",الموظفون!$AE97&gt;$F$3),$F$3,الموظفون!$AE97)-MAX($E$3,الموظفون!$H97)+1))</f>
        <v/>
      </c>
      <c r="AL97" s="156" t="str">
        <f aca="false">IF($B97="","",SUMIFS('سجل الإجازات والحالات'!$BC$6:$BC$505,'سجل الإجازات والحالات'!$B$6:$B$505,$B97)+SUMIFS('الحركات الشهرية'!$K$6:$K$1005,'الحركات الشهرية'!$B$6:$B$1005,$B97,'الحركات الشهرية'!$A$6:$A$1005,$C$3))</f>
        <v/>
      </c>
      <c r="AM97" s="116" t="str">
        <f aca="false">IF($B97="","",AL97*الموظفون!$R97/cfg_DAYS_M+S97)</f>
        <v/>
      </c>
      <c r="AN97" s="156" t="str">
        <f aca="false">IF($B97="","",SUMIFS('سجل الإجازات والحالات'!$AE$6:$AE$505,'سجل الإجازات والحالات'!$B$6:$B$505,$B97))</f>
        <v/>
      </c>
    </row>
    <row r="98" customFormat="false" ht="15" hidden="false" customHeight="false" outlineLevel="0" collapsed="false">
      <c r="A98" s="106" t="str">
        <f aca="false">IF($B98="","",الموظفون!$A98)</f>
        <v/>
      </c>
      <c r="B98" s="114" t="str">
        <f aca="false">IF(الموظفون!$B98="","",الموظفون!$B98)</f>
        <v/>
      </c>
      <c r="C98" s="114" t="str">
        <f aca="false">IF($B98="","",الموظفون!$C98)</f>
        <v/>
      </c>
      <c r="D98" s="114" t="str">
        <f aca="false">IF($B98="","",الموظفون!$F98)</f>
        <v/>
      </c>
      <c r="E98" s="114" t="str">
        <f aca="false">IF($B98="","",الموظفون!$E98)</f>
        <v/>
      </c>
      <c r="F98" s="114" t="str">
        <f aca="false">IF($B98="","",IF(AK98=0,IF(AND(الموظفون!$AE98&lt;&gt;"",الموظفون!$AE98&lt;$E$3),"✖ منتهي الخدمة","⏳ لم يباشر"),IF(S98&gt;0,"✈ راتب إجازة مقدم",IF(J98=0,"⛔ بدون راتب هذا الشهر",IF(I98&gt;0,"✈ خصم "&amp;ROUND(I98,2)&amp;" يوم بدون أجر",IF(AL98&gt;0,"🌴 إجازة سنوية "&amp;ROUND(AL98,2)&amp;" يوم",IF(H98&gt;0,"⚠ غياب "&amp;ROUND(H98,2)&amp;" يوم","✔ على رأس العمل")))))))</f>
        <v/>
      </c>
      <c r="G98" s="151" t="str">
        <f aca="false">IF($B98="","",IF(AK98&gt;=DAY($F$3),cfg_DAYS_M,MIN(AK98,cfg_DAYS_M)))</f>
        <v/>
      </c>
      <c r="H98" s="151" t="str">
        <f aca="false">IF($B98="","",SUMIFS('الحركات الشهرية'!$D$6:$D$1005,'الحركات الشهرية'!$B$6:$B$1005,$B98,'الحركات الشهرية'!$A$6:$A$1005,$C$3))</f>
        <v/>
      </c>
      <c r="I98" s="151" t="str">
        <f aca="false">IF($B98="","",MIN(G98,IF(AND(AK98&gt;0,AN98&gt;=AK98),G98,AN98)+SUMIFS('الحركات الشهرية'!$E$6:$E$1005,'الحركات الشهرية'!$B$6:$B$1005,$B98,'الحركات الشهرية'!$A$6:$A$1005,$C$3)))</f>
        <v/>
      </c>
      <c r="J98" s="151" t="str">
        <f aca="false">IF($B98="","",MAX(0,G98-H98-I98))</f>
        <v/>
      </c>
      <c r="K98" s="111" t="str">
        <f aca="false">IF($B98="","",الموظفون!$L98*$J98/cfg_DAYS_M)</f>
        <v/>
      </c>
      <c r="L98" s="111" t="str">
        <f aca="false">IF($B98="","",الموظفون!$M98*$J98/cfg_DAYS_M)</f>
        <v/>
      </c>
      <c r="M98" s="111" t="str">
        <f aca="false">IF($B98="","",الموظفون!$N98*$J98/cfg_DAYS_M)</f>
        <v/>
      </c>
      <c r="N98" s="111" t="str">
        <f aca="false">IF($B98="","",الموظفون!$O98*$J98/cfg_DAYS_M)</f>
        <v/>
      </c>
      <c r="O98" s="151" t="str">
        <f aca="false">IF($B98="","",SUMIFS('الحركات الشهرية'!$F$6:$F$1005,'الحركات الشهرية'!$B$6:$B$1005,$B98,'الحركات الشهرية'!$A$6:$A$1005,$C$3))</f>
        <v/>
      </c>
      <c r="P98" s="111" t="str">
        <f aca="false">IF($B98="","",O98*(الموظفون!$P98+الموظفون!$L98*cfg_OT_P)/cfg_DAYS_M/cfg_HRS)</f>
        <v/>
      </c>
      <c r="Q98" s="111" t="str">
        <f aca="false">IF($B98="","",SUMIFS('الحركات الشهرية'!$G$6:$G$1005,'الحركات الشهرية'!$B$6:$B$1005,$B98,'الحركات الشهرية'!$A$6:$A$1005,$C$3))</f>
        <v/>
      </c>
      <c r="R98" s="111" t="str">
        <f aca="false">IF($B98="","",SUMIFS('الحركات الشهرية'!$H$6:$H$1005,'الحركات الشهرية'!$B$6:$B$1005,$B98,'الحركات الشهرية'!$A$6:$A$1005,$C$3))</f>
        <v/>
      </c>
      <c r="S98" s="111" t="str">
        <f aca="false">IF($B98="","",SUMIFS('سجل الإجازات والحالات'!$N$6:$N$505,'سجل الإجازات والحالات'!$B$6:$B$505,$B98,'سجل الإجازات والحالات'!$O$6:$O$505,$C$3))</f>
        <v/>
      </c>
      <c r="T98" s="152" t="str">
        <f aca="false">IF($B98="","",SUM(K98:N98)+SUM(P98:S98))</f>
        <v/>
      </c>
      <c r="U98" s="111" t="str">
        <f aca="false">IF($B98="","",الموظفون!$S98*IF(E98="سعودي",cfg_G_SE,cfg_G_NE)*G98/cfg_DAYS_M)</f>
        <v/>
      </c>
      <c r="V98" s="111" t="str">
        <f aca="false">IF($B98="","",SUMIFS('الحركات الشهرية'!$I$6:$I$1005,'الحركات الشهرية'!$B$6:$B$1005,$B98,'الحركات الشهرية'!$A$6:$A$1005,$C$3))</f>
        <v/>
      </c>
      <c r="W98" s="111" t="str">
        <f aca="false">IF($B98="","",SUMIFS('الحركات الشهرية'!$J$6:$J$1005,'الحركات الشهرية'!$B$6:$B$1005,$B98,'الحركات الشهرية'!$A$6:$A$1005,$C$3))</f>
        <v/>
      </c>
      <c r="X98" s="111" t="str">
        <f aca="false">IF($B98="","",SUM(U98:W98))</f>
        <v/>
      </c>
      <c r="Y98" s="153" t="str">
        <f aca="false">IF($B98="","",T98-X98)</f>
        <v/>
      </c>
      <c r="Z98" s="111" t="str">
        <f aca="false">IF($B98="","",الموظفون!$S98*IF(E98="سعودي",cfg_G_SR,cfg_G_NR)*G98/cfg_DAYS_M)</f>
        <v/>
      </c>
      <c r="AA98" s="111" t="str">
        <f aca="false">IF($B98="","",الموظفون!$Q98*(cfg_EOS_R1*(MIN(AH98,cfg_EOS_TH)-MIN(AI98,cfg_EOS_TH))+cfg_EOS_R2*(MAX(AH98-cfg_EOS_TH,0)-MAX(AI98-cfg_EOS_TH,0))))</f>
        <v/>
      </c>
      <c r="AB98" s="111" t="str">
        <f aca="false">IF($B98="","",IF(الموظفون!$T98&lt;&gt;"",الموظفون!$T98,IF(AH98&gt;=cfg_LV_TH,cfg_LV_D2,cfg_LV_D1))/cfg_DAYS_Y*AJ98*الموظفون!$R98/cfg_DAYS_M)</f>
        <v/>
      </c>
      <c r="AC98" s="111" t="str">
        <f aca="false">IF($B98="","",IF(AND(الموظفون!$U98="نعم",N(الموظفون!$W98)&gt;0),الموظفون!$V98/الموظفون!$W98*12/cfg_DAYS_Y*AJ98,0))</f>
        <v/>
      </c>
      <c r="AD98" s="111" t="str">
        <f aca="false">IF($B98="","",(IF(الموظفون!$X98&lt;&gt;"",الموظفون!$X98,IF(الموظفون!$E98="غير سعودي",cfg_IQ,0))+IF(الموظفون!$Y98&lt;&gt;"",الموظفون!$Y98,IF(الموظفون!$E98="غير سعودي",cfg_WP,0)))/12*G98/cfg_DAYS_M)</f>
        <v/>
      </c>
      <c r="AE98" s="111" t="str">
        <f aca="false">IF($B98="","",IF(الموظفون!$Z98&lt;&gt;"",الموظفون!$Z98,cfg_MED)/12*G98/cfg_DAYS_M)</f>
        <v/>
      </c>
      <c r="AF98" s="111" t="str">
        <f aca="false">IF($B98="","",N(الموظفون!$AA98)/12*G98/cfg_DAYS_M)</f>
        <v/>
      </c>
      <c r="AG98" s="154" t="str">
        <f aca="false">IF($B98="","",T98+SUM(Z98:AF98))</f>
        <v/>
      </c>
      <c r="AH98" s="155" t="str">
        <f aca="false">IF($B98="","",MAX(0,IF(OR(الموظفون!$AE98="",الموظفون!$AE98&gt;$F$3),$F$3,الموظفون!$AE98)-الموظفون!$H98+1-SUMIFS('سجل الإجازات والحالات'!$AQ$6:$AQ$505,'سجل الإجازات والحالات'!$B$6:$B$505,$B98))/cfg_DAYS_Y)</f>
        <v/>
      </c>
      <c r="AI98" s="155" t="str">
        <f aca="false">IF($B98="","",MAX(0,IF(OR(الموظفون!$AE98="",الموظفون!$AE98&gt;($E$3-1)),($E$3-1),الموظفون!$AE98)-الموظفون!$H98+1-SUMIFS('سجل الإجازات والحالات'!$AP$6:$AP$505,'سجل الإجازات والحالات'!$B$6:$B$505,$B98))/cfg_DAYS_Y)</f>
        <v/>
      </c>
      <c r="AJ98" s="65" t="str">
        <f aca="false">IF($B98="","",MAX(0,AK98-(SUMIFS('سجل الإجازات والحالات'!$AQ$6:$AQ$505,'سجل الإجازات والحالات'!$B$6:$B$505,$B98)-SUMIFS('سجل الإجازات والحالات'!$AP$6:$AP$505,'سجل الإجازات والحالات'!$B$6:$B$505,$B98))))</f>
        <v/>
      </c>
      <c r="AK98" s="65" t="str">
        <f aca="false">IF($B98="","",MAX(0,IF(OR(الموظفون!$AE98="",الموظفون!$AE98&gt;$F$3),$F$3,الموظفون!$AE98)-MAX($E$3,الموظفون!$H98)+1))</f>
        <v/>
      </c>
      <c r="AL98" s="151" t="str">
        <f aca="false">IF($B98="","",SUMIFS('سجل الإجازات والحالات'!$BC$6:$BC$505,'سجل الإجازات والحالات'!$B$6:$B$505,$B98)+SUMIFS('الحركات الشهرية'!$K$6:$K$1005,'الحركات الشهرية'!$B$6:$B$1005,$B98,'الحركات الشهرية'!$A$6:$A$1005,$C$3))</f>
        <v/>
      </c>
      <c r="AM98" s="111" t="str">
        <f aca="false">IF($B98="","",AL98*الموظفون!$R98/cfg_DAYS_M+S98)</f>
        <v/>
      </c>
      <c r="AN98" s="151" t="str">
        <f aca="false">IF($B98="","",SUMIFS('سجل الإجازات والحالات'!$AE$6:$AE$505,'سجل الإجازات والحالات'!$B$6:$B$505,$B98))</f>
        <v/>
      </c>
    </row>
    <row r="99" customFormat="false" ht="15" hidden="false" customHeight="false" outlineLevel="0" collapsed="false">
      <c r="A99" s="115" t="str">
        <f aca="false">IF($B99="","",الموظفون!$A99)</f>
        <v/>
      </c>
      <c r="B99" s="117" t="str">
        <f aca="false">IF(الموظفون!$B99="","",الموظفون!$B99)</f>
        <v/>
      </c>
      <c r="C99" s="117" t="str">
        <f aca="false">IF($B99="","",الموظفون!$C99)</f>
        <v/>
      </c>
      <c r="D99" s="117" t="str">
        <f aca="false">IF($B99="","",الموظفون!$F99)</f>
        <v/>
      </c>
      <c r="E99" s="117" t="str">
        <f aca="false">IF($B99="","",الموظفون!$E99)</f>
        <v/>
      </c>
      <c r="F99" s="117" t="str">
        <f aca="false">IF($B99="","",IF(AK99=0,IF(AND(الموظفون!$AE99&lt;&gt;"",الموظفون!$AE99&lt;$E$3),"✖ منتهي الخدمة","⏳ لم يباشر"),IF(S99&gt;0,"✈ راتب إجازة مقدم",IF(J99=0,"⛔ بدون راتب هذا الشهر",IF(I99&gt;0,"✈ خصم "&amp;ROUND(I99,2)&amp;" يوم بدون أجر",IF(AL99&gt;0,"🌴 إجازة سنوية "&amp;ROUND(AL99,2)&amp;" يوم",IF(H99&gt;0,"⚠ غياب "&amp;ROUND(H99,2)&amp;" يوم","✔ على رأس العمل")))))))</f>
        <v/>
      </c>
      <c r="G99" s="156" t="str">
        <f aca="false">IF($B99="","",IF(AK99&gt;=DAY($F$3),cfg_DAYS_M,MIN(AK99,cfg_DAYS_M)))</f>
        <v/>
      </c>
      <c r="H99" s="156" t="str">
        <f aca="false">IF($B99="","",SUMIFS('الحركات الشهرية'!$D$6:$D$1005,'الحركات الشهرية'!$B$6:$B$1005,$B99,'الحركات الشهرية'!$A$6:$A$1005,$C$3))</f>
        <v/>
      </c>
      <c r="I99" s="156" t="str">
        <f aca="false">IF($B99="","",MIN(G99,IF(AND(AK99&gt;0,AN99&gt;=AK99),G99,AN99)+SUMIFS('الحركات الشهرية'!$E$6:$E$1005,'الحركات الشهرية'!$B$6:$B$1005,$B99,'الحركات الشهرية'!$A$6:$A$1005,$C$3)))</f>
        <v/>
      </c>
      <c r="J99" s="156" t="str">
        <f aca="false">IF($B99="","",MAX(0,G99-H99-I99))</f>
        <v/>
      </c>
      <c r="K99" s="116" t="str">
        <f aca="false">IF($B99="","",الموظفون!$L99*$J99/cfg_DAYS_M)</f>
        <v/>
      </c>
      <c r="L99" s="116" t="str">
        <f aca="false">IF($B99="","",الموظفون!$M99*$J99/cfg_DAYS_M)</f>
        <v/>
      </c>
      <c r="M99" s="116" t="str">
        <f aca="false">IF($B99="","",الموظفون!$N99*$J99/cfg_DAYS_M)</f>
        <v/>
      </c>
      <c r="N99" s="116" t="str">
        <f aca="false">IF($B99="","",الموظفون!$O99*$J99/cfg_DAYS_M)</f>
        <v/>
      </c>
      <c r="O99" s="156" t="str">
        <f aca="false">IF($B99="","",SUMIFS('الحركات الشهرية'!$F$6:$F$1005,'الحركات الشهرية'!$B$6:$B$1005,$B99,'الحركات الشهرية'!$A$6:$A$1005,$C$3))</f>
        <v/>
      </c>
      <c r="P99" s="116" t="str">
        <f aca="false">IF($B99="","",O99*(الموظفون!$P99+الموظفون!$L99*cfg_OT_P)/cfg_DAYS_M/cfg_HRS)</f>
        <v/>
      </c>
      <c r="Q99" s="116" t="str">
        <f aca="false">IF($B99="","",SUMIFS('الحركات الشهرية'!$G$6:$G$1005,'الحركات الشهرية'!$B$6:$B$1005,$B99,'الحركات الشهرية'!$A$6:$A$1005,$C$3))</f>
        <v/>
      </c>
      <c r="R99" s="116" t="str">
        <f aca="false">IF($B99="","",SUMIFS('الحركات الشهرية'!$H$6:$H$1005,'الحركات الشهرية'!$B$6:$B$1005,$B99,'الحركات الشهرية'!$A$6:$A$1005,$C$3))</f>
        <v/>
      </c>
      <c r="S99" s="116" t="str">
        <f aca="false">IF($B99="","",SUMIFS('سجل الإجازات والحالات'!$N$6:$N$505,'سجل الإجازات والحالات'!$B$6:$B$505,$B99,'سجل الإجازات والحالات'!$O$6:$O$505,$C$3))</f>
        <v/>
      </c>
      <c r="T99" s="157" t="str">
        <f aca="false">IF($B99="","",SUM(K99:N99)+SUM(P99:S99))</f>
        <v/>
      </c>
      <c r="U99" s="116" t="str">
        <f aca="false">IF($B99="","",الموظفون!$S99*IF(E99="سعودي",cfg_G_SE,cfg_G_NE)*G99/cfg_DAYS_M)</f>
        <v/>
      </c>
      <c r="V99" s="116" t="str">
        <f aca="false">IF($B99="","",SUMIFS('الحركات الشهرية'!$I$6:$I$1005,'الحركات الشهرية'!$B$6:$B$1005,$B99,'الحركات الشهرية'!$A$6:$A$1005,$C$3))</f>
        <v/>
      </c>
      <c r="W99" s="116" t="str">
        <f aca="false">IF($B99="","",SUMIFS('الحركات الشهرية'!$J$6:$J$1005,'الحركات الشهرية'!$B$6:$B$1005,$B99,'الحركات الشهرية'!$A$6:$A$1005,$C$3))</f>
        <v/>
      </c>
      <c r="X99" s="116" t="str">
        <f aca="false">IF($B99="","",SUM(U99:W99))</f>
        <v/>
      </c>
      <c r="Y99" s="158" t="str">
        <f aca="false">IF($B99="","",T99-X99)</f>
        <v/>
      </c>
      <c r="Z99" s="116" t="str">
        <f aca="false">IF($B99="","",الموظفون!$S99*IF(E99="سعودي",cfg_G_SR,cfg_G_NR)*G99/cfg_DAYS_M)</f>
        <v/>
      </c>
      <c r="AA99" s="116" t="str">
        <f aca="false">IF($B99="","",الموظفون!$Q99*(cfg_EOS_R1*(MIN(AH99,cfg_EOS_TH)-MIN(AI99,cfg_EOS_TH))+cfg_EOS_R2*(MAX(AH99-cfg_EOS_TH,0)-MAX(AI99-cfg_EOS_TH,0))))</f>
        <v/>
      </c>
      <c r="AB99" s="116" t="str">
        <f aca="false">IF($B99="","",IF(الموظفون!$T99&lt;&gt;"",الموظفون!$T99,IF(AH99&gt;=cfg_LV_TH,cfg_LV_D2,cfg_LV_D1))/cfg_DAYS_Y*AJ99*الموظفون!$R99/cfg_DAYS_M)</f>
        <v/>
      </c>
      <c r="AC99" s="116" t="str">
        <f aca="false">IF($B99="","",IF(AND(الموظفون!$U99="نعم",N(الموظفون!$W99)&gt;0),الموظفون!$V99/الموظفون!$W99*12/cfg_DAYS_Y*AJ99,0))</f>
        <v/>
      </c>
      <c r="AD99" s="116" t="str">
        <f aca="false">IF($B99="","",(IF(الموظفون!$X99&lt;&gt;"",الموظفون!$X99,IF(الموظفون!$E99="غير سعودي",cfg_IQ,0))+IF(الموظفون!$Y99&lt;&gt;"",الموظفون!$Y99,IF(الموظفون!$E99="غير سعودي",cfg_WP,0)))/12*G99/cfg_DAYS_M)</f>
        <v/>
      </c>
      <c r="AE99" s="116" t="str">
        <f aca="false">IF($B99="","",IF(الموظفون!$Z99&lt;&gt;"",الموظفون!$Z99,cfg_MED)/12*G99/cfg_DAYS_M)</f>
        <v/>
      </c>
      <c r="AF99" s="116" t="str">
        <f aca="false">IF($B99="","",N(الموظفون!$AA99)/12*G99/cfg_DAYS_M)</f>
        <v/>
      </c>
      <c r="AG99" s="159" t="str">
        <f aca="false">IF($B99="","",T99+SUM(Z99:AF99))</f>
        <v/>
      </c>
      <c r="AH99" s="160" t="str">
        <f aca="false">IF($B99="","",MAX(0,IF(OR(الموظفون!$AE99="",الموظفون!$AE99&gt;$F$3),$F$3,الموظفون!$AE99)-الموظفون!$H99+1-SUMIFS('سجل الإجازات والحالات'!$AQ$6:$AQ$505,'سجل الإجازات والحالات'!$B$6:$B$505,$B99))/cfg_DAYS_Y)</f>
        <v/>
      </c>
      <c r="AI99" s="160" t="str">
        <f aca="false">IF($B99="","",MAX(0,IF(OR(الموظفون!$AE99="",الموظفون!$AE99&gt;($E$3-1)),($E$3-1),الموظفون!$AE99)-الموظفون!$H99+1-SUMIFS('سجل الإجازات والحالات'!$AP$6:$AP$505,'سجل الإجازات والحالات'!$B$6:$B$505,$B99))/cfg_DAYS_Y)</f>
        <v/>
      </c>
      <c r="AJ99" s="133" t="str">
        <f aca="false">IF($B99="","",MAX(0,AK99-(SUMIFS('سجل الإجازات والحالات'!$AQ$6:$AQ$505,'سجل الإجازات والحالات'!$B$6:$B$505,$B99)-SUMIFS('سجل الإجازات والحالات'!$AP$6:$AP$505,'سجل الإجازات والحالات'!$B$6:$B$505,$B99))))</f>
        <v/>
      </c>
      <c r="AK99" s="133" t="str">
        <f aca="false">IF($B99="","",MAX(0,IF(OR(الموظفون!$AE99="",الموظفون!$AE99&gt;$F$3),$F$3,الموظفون!$AE99)-MAX($E$3,الموظفون!$H99)+1))</f>
        <v/>
      </c>
      <c r="AL99" s="156" t="str">
        <f aca="false">IF($B99="","",SUMIFS('سجل الإجازات والحالات'!$BC$6:$BC$505,'سجل الإجازات والحالات'!$B$6:$B$505,$B99)+SUMIFS('الحركات الشهرية'!$K$6:$K$1005,'الحركات الشهرية'!$B$6:$B$1005,$B99,'الحركات الشهرية'!$A$6:$A$1005,$C$3))</f>
        <v/>
      </c>
      <c r="AM99" s="116" t="str">
        <f aca="false">IF($B99="","",AL99*الموظفون!$R99/cfg_DAYS_M+S99)</f>
        <v/>
      </c>
      <c r="AN99" s="156" t="str">
        <f aca="false">IF($B99="","",SUMIFS('سجل الإجازات والحالات'!$AE$6:$AE$505,'سجل الإجازات والحالات'!$B$6:$B$505,$B99))</f>
        <v/>
      </c>
    </row>
    <row r="100" customFormat="false" ht="15" hidden="false" customHeight="false" outlineLevel="0" collapsed="false">
      <c r="A100" s="106" t="str">
        <f aca="false">IF($B100="","",الموظفون!$A100)</f>
        <v/>
      </c>
      <c r="B100" s="114" t="str">
        <f aca="false">IF(الموظفون!$B100="","",الموظفون!$B100)</f>
        <v/>
      </c>
      <c r="C100" s="114" t="str">
        <f aca="false">IF($B100="","",الموظفون!$C100)</f>
        <v/>
      </c>
      <c r="D100" s="114" t="str">
        <f aca="false">IF($B100="","",الموظفون!$F100)</f>
        <v/>
      </c>
      <c r="E100" s="114" t="str">
        <f aca="false">IF($B100="","",الموظفون!$E100)</f>
        <v/>
      </c>
      <c r="F100" s="114" t="str">
        <f aca="false">IF($B100="","",IF(AK100=0,IF(AND(الموظفون!$AE100&lt;&gt;"",الموظفون!$AE100&lt;$E$3),"✖ منتهي الخدمة","⏳ لم يباشر"),IF(S100&gt;0,"✈ راتب إجازة مقدم",IF(J100=0,"⛔ بدون راتب هذا الشهر",IF(I100&gt;0,"✈ خصم "&amp;ROUND(I100,2)&amp;" يوم بدون أجر",IF(AL100&gt;0,"🌴 إجازة سنوية "&amp;ROUND(AL100,2)&amp;" يوم",IF(H100&gt;0,"⚠ غياب "&amp;ROUND(H100,2)&amp;" يوم","✔ على رأس العمل")))))))</f>
        <v/>
      </c>
      <c r="G100" s="151" t="str">
        <f aca="false">IF($B100="","",IF(AK100&gt;=DAY($F$3),cfg_DAYS_M,MIN(AK100,cfg_DAYS_M)))</f>
        <v/>
      </c>
      <c r="H100" s="151" t="str">
        <f aca="false">IF($B100="","",SUMIFS('الحركات الشهرية'!$D$6:$D$1005,'الحركات الشهرية'!$B$6:$B$1005,$B100,'الحركات الشهرية'!$A$6:$A$1005,$C$3))</f>
        <v/>
      </c>
      <c r="I100" s="151" t="str">
        <f aca="false">IF($B100="","",MIN(G100,IF(AND(AK100&gt;0,AN100&gt;=AK100),G100,AN100)+SUMIFS('الحركات الشهرية'!$E$6:$E$1005,'الحركات الشهرية'!$B$6:$B$1005,$B100,'الحركات الشهرية'!$A$6:$A$1005,$C$3)))</f>
        <v/>
      </c>
      <c r="J100" s="151" t="str">
        <f aca="false">IF($B100="","",MAX(0,G100-H100-I100))</f>
        <v/>
      </c>
      <c r="K100" s="111" t="str">
        <f aca="false">IF($B100="","",الموظفون!$L100*$J100/cfg_DAYS_M)</f>
        <v/>
      </c>
      <c r="L100" s="111" t="str">
        <f aca="false">IF($B100="","",الموظفون!$M100*$J100/cfg_DAYS_M)</f>
        <v/>
      </c>
      <c r="M100" s="111" t="str">
        <f aca="false">IF($B100="","",الموظفون!$N100*$J100/cfg_DAYS_M)</f>
        <v/>
      </c>
      <c r="N100" s="111" t="str">
        <f aca="false">IF($B100="","",الموظفون!$O100*$J100/cfg_DAYS_M)</f>
        <v/>
      </c>
      <c r="O100" s="151" t="str">
        <f aca="false">IF($B100="","",SUMIFS('الحركات الشهرية'!$F$6:$F$1005,'الحركات الشهرية'!$B$6:$B$1005,$B100,'الحركات الشهرية'!$A$6:$A$1005,$C$3))</f>
        <v/>
      </c>
      <c r="P100" s="111" t="str">
        <f aca="false">IF($B100="","",O100*(الموظفون!$P100+الموظفون!$L100*cfg_OT_P)/cfg_DAYS_M/cfg_HRS)</f>
        <v/>
      </c>
      <c r="Q100" s="111" t="str">
        <f aca="false">IF($B100="","",SUMIFS('الحركات الشهرية'!$G$6:$G$1005,'الحركات الشهرية'!$B$6:$B$1005,$B100,'الحركات الشهرية'!$A$6:$A$1005,$C$3))</f>
        <v/>
      </c>
      <c r="R100" s="111" t="str">
        <f aca="false">IF($B100="","",SUMIFS('الحركات الشهرية'!$H$6:$H$1005,'الحركات الشهرية'!$B$6:$B$1005,$B100,'الحركات الشهرية'!$A$6:$A$1005,$C$3))</f>
        <v/>
      </c>
      <c r="S100" s="111" t="str">
        <f aca="false">IF($B100="","",SUMIFS('سجل الإجازات والحالات'!$N$6:$N$505,'سجل الإجازات والحالات'!$B$6:$B$505,$B100,'سجل الإجازات والحالات'!$O$6:$O$505,$C$3))</f>
        <v/>
      </c>
      <c r="T100" s="152" t="str">
        <f aca="false">IF($B100="","",SUM(K100:N100)+SUM(P100:S100))</f>
        <v/>
      </c>
      <c r="U100" s="111" t="str">
        <f aca="false">IF($B100="","",الموظفون!$S100*IF(E100="سعودي",cfg_G_SE,cfg_G_NE)*G100/cfg_DAYS_M)</f>
        <v/>
      </c>
      <c r="V100" s="111" t="str">
        <f aca="false">IF($B100="","",SUMIFS('الحركات الشهرية'!$I$6:$I$1005,'الحركات الشهرية'!$B$6:$B$1005,$B100,'الحركات الشهرية'!$A$6:$A$1005,$C$3))</f>
        <v/>
      </c>
      <c r="W100" s="111" t="str">
        <f aca="false">IF($B100="","",SUMIFS('الحركات الشهرية'!$J$6:$J$1005,'الحركات الشهرية'!$B$6:$B$1005,$B100,'الحركات الشهرية'!$A$6:$A$1005,$C$3))</f>
        <v/>
      </c>
      <c r="X100" s="111" t="str">
        <f aca="false">IF($B100="","",SUM(U100:W100))</f>
        <v/>
      </c>
      <c r="Y100" s="153" t="str">
        <f aca="false">IF($B100="","",T100-X100)</f>
        <v/>
      </c>
      <c r="Z100" s="111" t="str">
        <f aca="false">IF($B100="","",الموظفون!$S100*IF(E100="سعودي",cfg_G_SR,cfg_G_NR)*G100/cfg_DAYS_M)</f>
        <v/>
      </c>
      <c r="AA100" s="111" t="str">
        <f aca="false">IF($B100="","",الموظفون!$Q100*(cfg_EOS_R1*(MIN(AH100,cfg_EOS_TH)-MIN(AI100,cfg_EOS_TH))+cfg_EOS_R2*(MAX(AH100-cfg_EOS_TH,0)-MAX(AI100-cfg_EOS_TH,0))))</f>
        <v/>
      </c>
      <c r="AB100" s="111" t="str">
        <f aca="false">IF($B100="","",IF(الموظفون!$T100&lt;&gt;"",الموظفون!$T100,IF(AH100&gt;=cfg_LV_TH,cfg_LV_D2,cfg_LV_D1))/cfg_DAYS_Y*AJ100*الموظفون!$R100/cfg_DAYS_M)</f>
        <v/>
      </c>
      <c r="AC100" s="111" t="str">
        <f aca="false">IF($B100="","",IF(AND(الموظفون!$U100="نعم",N(الموظفون!$W100)&gt;0),الموظفون!$V100/الموظفون!$W100*12/cfg_DAYS_Y*AJ100,0))</f>
        <v/>
      </c>
      <c r="AD100" s="111" t="str">
        <f aca="false">IF($B100="","",(IF(الموظفون!$X100&lt;&gt;"",الموظفون!$X100,IF(الموظفون!$E100="غير سعودي",cfg_IQ,0))+IF(الموظفون!$Y100&lt;&gt;"",الموظفون!$Y100,IF(الموظفون!$E100="غير سعودي",cfg_WP,0)))/12*G100/cfg_DAYS_M)</f>
        <v/>
      </c>
      <c r="AE100" s="111" t="str">
        <f aca="false">IF($B100="","",IF(الموظفون!$Z100&lt;&gt;"",الموظفون!$Z100,cfg_MED)/12*G100/cfg_DAYS_M)</f>
        <v/>
      </c>
      <c r="AF100" s="111" t="str">
        <f aca="false">IF($B100="","",N(الموظفون!$AA100)/12*G100/cfg_DAYS_M)</f>
        <v/>
      </c>
      <c r="AG100" s="154" t="str">
        <f aca="false">IF($B100="","",T100+SUM(Z100:AF100))</f>
        <v/>
      </c>
      <c r="AH100" s="155" t="str">
        <f aca="false">IF($B100="","",MAX(0,IF(OR(الموظفون!$AE100="",الموظفون!$AE100&gt;$F$3),$F$3,الموظفون!$AE100)-الموظفون!$H100+1-SUMIFS('سجل الإجازات والحالات'!$AQ$6:$AQ$505,'سجل الإجازات والحالات'!$B$6:$B$505,$B100))/cfg_DAYS_Y)</f>
        <v/>
      </c>
      <c r="AI100" s="155" t="str">
        <f aca="false">IF($B100="","",MAX(0,IF(OR(الموظفون!$AE100="",الموظفون!$AE100&gt;($E$3-1)),($E$3-1),الموظفون!$AE100)-الموظفون!$H100+1-SUMIFS('سجل الإجازات والحالات'!$AP$6:$AP$505,'سجل الإجازات والحالات'!$B$6:$B$505,$B100))/cfg_DAYS_Y)</f>
        <v/>
      </c>
      <c r="AJ100" s="65" t="str">
        <f aca="false">IF($B100="","",MAX(0,AK100-(SUMIFS('سجل الإجازات والحالات'!$AQ$6:$AQ$505,'سجل الإجازات والحالات'!$B$6:$B$505,$B100)-SUMIFS('سجل الإجازات والحالات'!$AP$6:$AP$505,'سجل الإجازات والحالات'!$B$6:$B$505,$B100))))</f>
        <v/>
      </c>
      <c r="AK100" s="65" t="str">
        <f aca="false">IF($B100="","",MAX(0,IF(OR(الموظفون!$AE100="",الموظفون!$AE100&gt;$F$3),$F$3,الموظفون!$AE100)-MAX($E$3,الموظفون!$H100)+1))</f>
        <v/>
      </c>
      <c r="AL100" s="151" t="str">
        <f aca="false">IF($B100="","",SUMIFS('سجل الإجازات والحالات'!$BC$6:$BC$505,'سجل الإجازات والحالات'!$B$6:$B$505,$B100)+SUMIFS('الحركات الشهرية'!$K$6:$K$1005,'الحركات الشهرية'!$B$6:$B$1005,$B100,'الحركات الشهرية'!$A$6:$A$1005,$C$3))</f>
        <v/>
      </c>
      <c r="AM100" s="111" t="str">
        <f aca="false">IF($B100="","",AL100*الموظفون!$R100/cfg_DAYS_M+S100)</f>
        <v/>
      </c>
      <c r="AN100" s="151" t="str">
        <f aca="false">IF($B100="","",SUMIFS('سجل الإجازات والحالات'!$AE$6:$AE$505,'سجل الإجازات والحالات'!$B$6:$B$505,$B100))</f>
        <v/>
      </c>
    </row>
    <row r="101" customFormat="false" ht="15" hidden="false" customHeight="false" outlineLevel="0" collapsed="false">
      <c r="A101" s="115" t="str">
        <f aca="false">IF($B101="","",الموظفون!$A101)</f>
        <v/>
      </c>
      <c r="B101" s="117" t="str">
        <f aca="false">IF(الموظفون!$B101="","",الموظفون!$B101)</f>
        <v/>
      </c>
      <c r="C101" s="117" t="str">
        <f aca="false">IF($B101="","",الموظفون!$C101)</f>
        <v/>
      </c>
      <c r="D101" s="117" t="str">
        <f aca="false">IF($B101="","",الموظفون!$F101)</f>
        <v/>
      </c>
      <c r="E101" s="117" t="str">
        <f aca="false">IF($B101="","",الموظفون!$E101)</f>
        <v/>
      </c>
      <c r="F101" s="117" t="str">
        <f aca="false">IF($B101="","",IF(AK101=0,IF(AND(الموظفون!$AE101&lt;&gt;"",الموظفون!$AE101&lt;$E$3),"✖ منتهي الخدمة","⏳ لم يباشر"),IF(S101&gt;0,"✈ راتب إجازة مقدم",IF(J101=0,"⛔ بدون راتب هذا الشهر",IF(I101&gt;0,"✈ خصم "&amp;ROUND(I101,2)&amp;" يوم بدون أجر",IF(AL101&gt;0,"🌴 إجازة سنوية "&amp;ROUND(AL101,2)&amp;" يوم",IF(H101&gt;0,"⚠ غياب "&amp;ROUND(H101,2)&amp;" يوم","✔ على رأس العمل")))))))</f>
        <v/>
      </c>
      <c r="G101" s="156" t="str">
        <f aca="false">IF($B101="","",IF(AK101&gt;=DAY($F$3),cfg_DAYS_M,MIN(AK101,cfg_DAYS_M)))</f>
        <v/>
      </c>
      <c r="H101" s="156" t="str">
        <f aca="false">IF($B101="","",SUMIFS('الحركات الشهرية'!$D$6:$D$1005,'الحركات الشهرية'!$B$6:$B$1005,$B101,'الحركات الشهرية'!$A$6:$A$1005,$C$3))</f>
        <v/>
      </c>
      <c r="I101" s="156" t="str">
        <f aca="false">IF($B101="","",MIN(G101,IF(AND(AK101&gt;0,AN101&gt;=AK101),G101,AN101)+SUMIFS('الحركات الشهرية'!$E$6:$E$1005,'الحركات الشهرية'!$B$6:$B$1005,$B101,'الحركات الشهرية'!$A$6:$A$1005,$C$3)))</f>
        <v/>
      </c>
      <c r="J101" s="156" t="str">
        <f aca="false">IF($B101="","",MAX(0,G101-H101-I101))</f>
        <v/>
      </c>
      <c r="K101" s="116" t="str">
        <f aca="false">IF($B101="","",الموظفون!$L101*$J101/cfg_DAYS_M)</f>
        <v/>
      </c>
      <c r="L101" s="116" t="str">
        <f aca="false">IF($B101="","",الموظفون!$M101*$J101/cfg_DAYS_M)</f>
        <v/>
      </c>
      <c r="M101" s="116" t="str">
        <f aca="false">IF($B101="","",الموظفون!$N101*$J101/cfg_DAYS_M)</f>
        <v/>
      </c>
      <c r="N101" s="116" t="str">
        <f aca="false">IF($B101="","",الموظفون!$O101*$J101/cfg_DAYS_M)</f>
        <v/>
      </c>
      <c r="O101" s="156" t="str">
        <f aca="false">IF($B101="","",SUMIFS('الحركات الشهرية'!$F$6:$F$1005,'الحركات الشهرية'!$B$6:$B$1005,$B101,'الحركات الشهرية'!$A$6:$A$1005,$C$3))</f>
        <v/>
      </c>
      <c r="P101" s="116" t="str">
        <f aca="false">IF($B101="","",O101*(الموظفون!$P101+الموظفون!$L101*cfg_OT_P)/cfg_DAYS_M/cfg_HRS)</f>
        <v/>
      </c>
      <c r="Q101" s="116" t="str">
        <f aca="false">IF($B101="","",SUMIFS('الحركات الشهرية'!$G$6:$G$1005,'الحركات الشهرية'!$B$6:$B$1005,$B101,'الحركات الشهرية'!$A$6:$A$1005,$C$3))</f>
        <v/>
      </c>
      <c r="R101" s="116" t="str">
        <f aca="false">IF($B101="","",SUMIFS('الحركات الشهرية'!$H$6:$H$1005,'الحركات الشهرية'!$B$6:$B$1005,$B101,'الحركات الشهرية'!$A$6:$A$1005,$C$3))</f>
        <v/>
      </c>
      <c r="S101" s="116" t="str">
        <f aca="false">IF($B101="","",SUMIFS('سجل الإجازات والحالات'!$N$6:$N$505,'سجل الإجازات والحالات'!$B$6:$B$505,$B101,'سجل الإجازات والحالات'!$O$6:$O$505,$C$3))</f>
        <v/>
      </c>
      <c r="T101" s="157" t="str">
        <f aca="false">IF($B101="","",SUM(K101:N101)+SUM(P101:S101))</f>
        <v/>
      </c>
      <c r="U101" s="116" t="str">
        <f aca="false">IF($B101="","",الموظفون!$S101*IF(E101="سعودي",cfg_G_SE,cfg_G_NE)*G101/cfg_DAYS_M)</f>
        <v/>
      </c>
      <c r="V101" s="116" t="str">
        <f aca="false">IF($B101="","",SUMIFS('الحركات الشهرية'!$I$6:$I$1005,'الحركات الشهرية'!$B$6:$B$1005,$B101,'الحركات الشهرية'!$A$6:$A$1005,$C$3))</f>
        <v/>
      </c>
      <c r="W101" s="116" t="str">
        <f aca="false">IF($B101="","",SUMIFS('الحركات الشهرية'!$J$6:$J$1005,'الحركات الشهرية'!$B$6:$B$1005,$B101,'الحركات الشهرية'!$A$6:$A$1005,$C$3))</f>
        <v/>
      </c>
      <c r="X101" s="116" t="str">
        <f aca="false">IF($B101="","",SUM(U101:W101))</f>
        <v/>
      </c>
      <c r="Y101" s="158" t="str">
        <f aca="false">IF($B101="","",T101-X101)</f>
        <v/>
      </c>
      <c r="Z101" s="116" t="str">
        <f aca="false">IF($B101="","",الموظفون!$S101*IF(E101="سعودي",cfg_G_SR,cfg_G_NR)*G101/cfg_DAYS_M)</f>
        <v/>
      </c>
      <c r="AA101" s="116" t="str">
        <f aca="false">IF($B101="","",الموظفون!$Q101*(cfg_EOS_R1*(MIN(AH101,cfg_EOS_TH)-MIN(AI101,cfg_EOS_TH))+cfg_EOS_R2*(MAX(AH101-cfg_EOS_TH,0)-MAX(AI101-cfg_EOS_TH,0))))</f>
        <v/>
      </c>
      <c r="AB101" s="116" t="str">
        <f aca="false">IF($B101="","",IF(الموظفون!$T101&lt;&gt;"",الموظفون!$T101,IF(AH101&gt;=cfg_LV_TH,cfg_LV_D2,cfg_LV_D1))/cfg_DAYS_Y*AJ101*الموظفون!$R101/cfg_DAYS_M)</f>
        <v/>
      </c>
      <c r="AC101" s="116" t="str">
        <f aca="false">IF($B101="","",IF(AND(الموظفون!$U101="نعم",N(الموظفون!$W101)&gt;0),الموظفون!$V101/الموظفون!$W101*12/cfg_DAYS_Y*AJ101,0))</f>
        <v/>
      </c>
      <c r="AD101" s="116" t="str">
        <f aca="false">IF($B101="","",(IF(الموظفون!$X101&lt;&gt;"",الموظفون!$X101,IF(الموظفون!$E101="غير سعودي",cfg_IQ,0))+IF(الموظفون!$Y101&lt;&gt;"",الموظفون!$Y101,IF(الموظفون!$E101="غير سعودي",cfg_WP,0)))/12*G101/cfg_DAYS_M)</f>
        <v/>
      </c>
      <c r="AE101" s="116" t="str">
        <f aca="false">IF($B101="","",IF(الموظفون!$Z101&lt;&gt;"",الموظفون!$Z101,cfg_MED)/12*G101/cfg_DAYS_M)</f>
        <v/>
      </c>
      <c r="AF101" s="116" t="str">
        <f aca="false">IF($B101="","",N(الموظفون!$AA101)/12*G101/cfg_DAYS_M)</f>
        <v/>
      </c>
      <c r="AG101" s="159" t="str">
        <f aca="false">IF($B101="","",T101+SUM(Z101:AF101))</f>
        <v/>
      </c>
      <c r="AH101" s="160" t="str">
        <f aca="false">IF($B101="","",MAX(0,IF(OR(الموظفون!$AE101="",الموظفون!$AE101&gt;$F$3),$F$3,الموظفون!$AE101)-الموظفون!$H101+1-SUMIFS('سجل الإجازات والحالات'!$AQ$6:$AQ$505,'سجل الإجازات والحالات'!$B$6:$B$505,$B101))/cfg_DAYS_Y)</f>
        <v/>
      </c>
      <c r="AI101" s="160" t="str">
        <f aca="false">IF($B101="","",MAX(0,IF(OR(الموظفون!$AE101="",الموظفون!$AE101&gt;($E$3-1)),($E$3-1),الموظفون!$AE101)-الموظفون!$H101+1-SUMIFS('سجل الإجازات والحالات'!$AP$6:$AP$505,'سجل الإجازات والحالات'!$B$6:$B$505,$B101))/cfg_DAYS_Y)</f>
        <v/>
      </c>
      <c r="AJ101" s="133" t="str">
        <f aca="false">IF($B101="","",MAX(0,AK101-(SUMIFS('سجل الإجازات والحالات'!$AQ$6:$AQ$505,'سجل الإجازات والحالات'!$B$6:$B$505,$B101)-SUMIFS('سجل الإجازات والحالات'!$AP$6:$AP$505,'سجل الإجازات والحالات'!$B$6:$B$505,$B101))))</f>
        <v/>
      </c>
      <c r="AK101" s="133" t="str">
        <f aca="false">IF($B101="","",MAX(0,IF(OR(الموظفون!$AE101="",الموظفون!$AE101&gt;$F$3),$F$3,الموظفون!$AE101)-MAX($E$3,الموظفون!$H101)+1))</f>
        <v/>
      </c>
      <c r="AL101" s="156" t="str">
        <f aca="false">IF($B101="","",SUMIFS('سجل الإجازات والحالات'!$BC$6:$BC$505,'سجل الإجازات والحالات'!$B$6:$B$505,$B101)+SUMIFS('الحركات الشهرية'!$K$6:$K$1005,'الحركات الشهرية'!$B$6:$B$1005,$B101,'الحركات الشهرية'!$A$6:$A$1005,$C$3))</f>
        <v/>
      </c>
      <c r="AM101" s="116" t="str">
        <f aca="false">IF($B101="","",AL101*الموظفون!$R101/cfg_DAYS_M+S101)</f>
        <v/>
      </c>
      <c r="AN101" s="156" t="str">
        <f aca="false">IF($B101="","",SUMIFS('سجل الإجازات والحالات'!$AE$6:$AE$505,'سجل الإجازات والحالات'!$B$6:$B$505,$B101))</f>
        <v/>
      </c>
    </row>
    <row r="102" customFormat="false" ht="15" hidden="false" customHeight="false" outlineLevel="0" collapsed="false">
      <c r="A102" s="106" t="str">
        <f aca="false">IF($B102="","",الموظفون!$A102)</f>
        <v/>
      </c>
      <c r="B102" s="114" t="str">
        <f aca="false">IF(الموظفون!$B102="","",الموظفون!$B102)</f>
        <v/>
      </c>
      <c r="C102" s="114" t="str">
        <f aca="false">IF($B102="","",الموظفون!$C102)</f>
        <v/>
      </c>
      <c r="D102" s="114" t="str">
        <f aca="false">IF($B102="","",الموظفون!$F102)</f>
        <v/>
      </c>
      <c r="E102" s="114" t="str">
        <f aca="false">IF($B102="","",الموظفون!$E102)</f>
        <v/>
      </c>
      <c r="F102" s="114" t="str">
        <f aca="false">IF($B102="","",IF(AK102=0,IF(AND(الموظفون!$AE102&lt;&gt;"",الموظفون!$AE102&lt;$E$3),"✖ منتهي الخدمة","⏳ لم يباشر"),IF(S102&gt;0,"✈ راتب إجازة مقدم",IF(J102=0,"⛔ بدون راتب هذا الشهر",IF(I102&gt;0,"✈ خصم "&amp;ROUND(I102,2)&amp;" يوم بدون أجر",IF(AL102&gt;0,"🌴 إجازة سنوية "&amp;ROUND(AL102,2)&amp;" يوم",IF(H102&gt;0,"⚠ غياب "&amp;ROUND(H102,2)&amp;" يوم","✔ على رأس العمل")))))))</f>
        <v/>
      </c>
      <c r="G102" s="151" t="str">
        <f aca="false">IF($B102="","",IF(AK102&gt;=DAY($F$3),cfg_DAYS_M,MIN(AK102,cfg_DAYS_M)))</f>
        <v/>
      </c>
      <c r="H102" s="151" t="str">
        <f aca="false">IF($B102="","",SUMIFS('الحركات الشهرية'!$D$6:$D$1005,'الحركات الشهرية'!$B$6:$B$1005,$B102,'الحركات الشهرية'!$A$6:$A$1005,$C$3))</f>
        <v/>
      </c>
      <c r="I102" s="151" t="str">
        <f aca="false">IF($B102="","",MIN(G102,IF(AND(AK102&gt;0,AN102&gt;=AK102),G102,AN102)+SUMIFS('الحركات الشهرية'!$E$6:$E$1005,'الحركات الشهرية'!$B$6:$B$1005,$B102,'الحركات الشهرية'!$A$6:$A$1005,$C$3)))</f>
        <v/>
      </c>
      <c r="J102" s="151" t="str">
        <f aca="false">IF($B102="","",MAX(0,G102-H102-I102))</f>
        <v/>
      </c>
      <c r="K102" s="111" t="str">
        <f aca="false">IF($B102="","",الموظفون!$L102*$J102/cfg_DAYS_M)</f>
        <v/>
      </c>
      <c r="L102" s="111" t="str">
        <f aca="false">IF($B102="","",الموظفون!$M102*$J102/cfg_DAYS_M)</f>
        <v/>
      </c>
      <c r="M102" s="111" t="str">
        <f aca="false">IF($B102="","",الموظفون!$N102*$J102/cfg_DAYS_M)</f>
        <v/>
      </c>
      <c r="N102" s="111" t="str">
        <f aca="false">IF($B102="","",الموظفون!$O102*$J102/cfg_DAYS_M)</f>
        <v/>
      </c>
      <c r="O102" s="151" t="str">
        <f aca="false">IF($B102="","",SUMIFS('الحركات الشهرية'!$F$6:$F$1005,'الحركات الشهرية'!$B$6:$B$1005,$B102,'الحركات الشهرية'!$A$6:$A$1005,$C$3))</f>
        <v/>
      </c>
      <c r="P102" s="111" t="str">
        <f aca="false">IF($B102="","",O102*(الموظفون!$P102+الموظفون!$L102*cfg_OT_P)/cfg_DAYS_M/cfg_HRS)</f>
        <v/>
      </c>
      <c r="Q102" s="111" t="str">
        <f aca="false">IF($B102="","",SUMIFS('الحركات الشهرية'!$G$6:$G$1005,'الحركات الشهرية'!$B$6:$B$1005,$B102,'الحركات الشهرية'!$A$6:$A$1005,$C$3))</f>
        <v/>
      </c>
      <c r="R102" s="111" t="str">
        <f aca="false">IF($B102="","",SUMIFS('الحركات الشهرية'!$H$6:$H$1005,'الحركات الشهرية'!$B$6:$B$1005,$B102,'الحركات الشهرية'!$A$6:$A$1005,$C$3))</f>
        <v/>
      </c>
      <c r="S102" s="111" t="str">
        <f aca="false">IF($B102="","",SUMIFS('سجل الإجازات والحالات'!$N$6:$N$505,'سجل الإجازات والحالات'!$B$6:$B$505,$B102,'سجل الإجازات والحالات'!$O$6:$O$505,$C$3))</f>
        <v/>
      </c>
      <c r="T102" s="152" t="str">
        <f aca="false">IF($B102="","",SUM(K102:N102)+SUM(P102:S102))</f>
        <v/>
      </c>
      <c r="U102" s="111" t="str">
        <f aca="false">IF($B102="","",الموظفون!$S102*IF(E102="سعودي",cfg_G_SE,cfg_G_NE)*G102/cfg_DAYS_M)</f>
        <v/>
      </c>
      <c r="V102" s="111" t="str">
        <f aca="false">IF($B102="","",SUMIFS('الحركات الشهرية'!$I$6:$I$1005,'الحركات الشهرية'!$B$6:$B$1005,$B102,'الحركات الشهرية'!$A$6:$A$1005,$C$3))</f>
        <v/>
      </c>
      <c r="W102" s="111" t="str">
        <f aca="false">IF($B102="","",SUMIFS('الحركات الشهرية'!$J$6:$J$1005,'الحركات الشهرية'!$B$6:$B$1005,$B102,'الحركات الشهرية'!$A$6:$A$1005,$C$3))</f>
        <v/>
      </c>
      <c r="X102" s="111" t="str">
        <f aca="false">IF($B102="","",SUM(U102:W102))</f>
        <v/>
      </c>
      <c r="Y102" s="153" t="str">
        <f aca="false">IF($B102="","",T102-X102)</f>
        <v/>
      </c>
      <c r="Z102" s="111" t="str">
        <f aca="false">IF($B102="","",الموظفون!$S102*IF(E102="سعودي",cfg_G_SR,cfg_G_NR)*G102/cfg_DAYS_M)</f>
        <v/>
      </c>
      <c r="AA102" s="111" t="str">
        <f aca="false">IF($B102="","",الموظفون!$Q102*(cfg_EOS_R1*(MIN(AH102,cfg_EOS_TH)-MIN(AI102,cfg_EOS_TH))+cfg_EOS_R2*(MAX(AH102-cfg_EOS_TH,0)-MAX(AI102-cfg_EOS_TH,0))))</f>
        <v/>
      </c>
      <c r="AB102" s="111" t="str">
        <f aca="false">IF($B102="","",IF(الموظفون!$T102&lt;&gt;"",الموظفون!$T102,IF(AH102&gt;=cfg_LV_TH,cfg_LV_D2,cfg_LV_D1))/cfg_DAYS_Y*AJ102*الموظفون!$R102/cfg_DAYS_M)</f>
        <v/>
      </c>
      <c r="AC102" s="111" t="str">
        <f aca="false">IF($B102="","",IF(AND(الموظفون!$U102="نعم",N(الموظفون!$W102)&gt;0),الموظفون!$V102/الموظفون!$W102*12/cfg_DAYS_Y*AJ102,0))</f>
        <v/>
      </c>
      <c r="AD102" s="111" t="str">
        <f aca="false">IF($B102="","",(IF(الموظفون!$X102&lt;&gt;"",الموظفون!$X102,IF(الموظفون!$E102="غير سعودي",cfg_IQ,0))+IF(الموظفون!$Y102&lt;&gt;"",الموظفون!$Y102,IF(الموظفون!$E102="غير سعودي",cfg_WP,0)))/12*G102/cfg_DAYS_M)</f>
        <v/>
      </c>
      <c r="AE102" s="111" t="str">
        <f aca="false">IF($B102="","",IF(الموظفون!$Z102&lt;&gt;"",الموظفون!$Z102,cfg_MED)/12*G102/cfg_DAYS_M)</f>
        <v/>
      </c>
      <c r="AF102" s="111" t="str">
        <f aca="false">IF($B102="","",N(الموظفون!$AA102)/12*G102/cfg_DAYS_M)</f>
        <v/>
      </c>
      <c r="AG102" s="154" t="str">
        <f aca="false">IF($B102="","",T102+SUM(Z102:AF102))</f>
        <v/>
      </c>
      <c r="AH102" s="155" t="str">
        <f aca="false">IF($B102="","",MAX(0,IF(OR(الموظفون!$AE102="",الموظفون!$AE102&gt;$F$3),$F$3,الموظفون!$AE102)-الموظفون!$H102+1-SUMIFS('سجل الإجازات والحالات'!$AQ$6:$AQ$505,'سجل الإجازات والحالات'!$B$6:$B$505,$B102))/cfg_DAYS_Y)</f>
        <v/>
      </c>
      <c r="AI102" s="155" t="str">
        <f aca="false">IF($B102="","",MAX(0,IF(OR(الموظفون!$AE102="",الموظفون!$AE102&gt;($E$3-1)),($E$3-1),الموظفون!$AE102)-الموظفون!$H102+1-SUMIFS('سجل الإجازات والحالات'!$AP$6:$AP$505,'سجل الإجازات والحالات'!$B$6:$B$505,$B102))/cfg_DAYS_Y)</f>
        <v/>
      </c>
      <c r="AJ102" s="65" t="str">
        <f aca="false">IF($B102="","",MAX(0,AK102-(SUMIFS('سجل الإجازات والحالات'!$AQ$6:$AQ$505,'سجل الإجازات والحالات'!$B$6:$B$505,$B102)-SUMIFS('سجل الإجازات والحالات'!$AP$6:$AP$505,'سجل الإجازات والحالات'!$B$6:$B$505,$B102))))</f>
        <v/>
      </c>
      <c r="AK102" s="65" t="str">
        <f aca="false">IF($B102="","",MAX(0,IF(OR(الموظفون!$AE102="",الموظفون!$AE102&gt;$F$3),$F$3,الموظفون!$AE102)-MAX($E$3,الموظفون!$H102)+1))</f>
        <v/>
      </c>
      <c r="AL102" s="151" t="str">
        <f aca="false">IF($B102="","",SUMIFS('سجل الإجازات والحالات'!$BC$6:$BC$505,'سجل الإجازات والحالات'!$B$6:$B$505,$B102)+SUMIFS('الحركات الشهرية'!$K$6:$K$1005,'الحركات الشهرية'!$B$6:$B$1005,$B102,'الحركات الشهرية'!$A$6:$A$1005,$C$3))</f>
        <v/>
      </c>
      <c r="AM102" s="111" t="str">
        <f aca="false">IF($B102="","",AL102*الموظفون!$R102/cfg_DAYS_M+S102)</f>
        <v/>
      </c>
      <c r="AN102" s="151" t="str">
        <f aca="false">IF($B102="","",SUMIFS('سجل الإجازات والحالات'!$AE$6:$AE$505,'سجل الإجازات والحالات'!$B$6:$B$505,$B102))</f>
        <v/>
      </c>
    </row>
    <row r="103" customFormat="false" ht="15" hidden="false" customHeight="false" outlineLevel="0" collapsed="false">
      <c r="A103" s="115" t="str">
        <f aca="false">IF($B103="","",الموظفون!$A103)</f>
        <v/>
      </c>
      <c r="B103" s="117" t="str">
        <f aca="false">IF(الموظفون!$B103="","",الموظفون!$B103)</f>
        <v/>
      </c>
      <c r="C103" s="117" t="str">
        <f aca="false">IF($B103="","",الموظفون!$C103)</f>
        <v/>
      </c>
      <c r="D103" s="117" t="str">
        <f aca="false">IF($B103="","",الموظفون!$F103)</f>
        <v/>
      </c>
      <c r="E103" s="117" t="str">
        <f aca="false">IF($B103="","",الموظفون!$E103)</f>
        <v/>
      </c>
      <c r="F103" s="117" t="str">
        <f aca="false">IF($B103="","",IF(AK103=0,IF(AND(الموظفون!$AE103&lt;&gt;"",الموظفون!$AE103&lt;$E$3),"✖ منتهي الخدمة","⏳ لم يباشر"),IF(S103&gt;0,"✈ راتب إجازة مقدم",IF(J103=0,"⛔ بدون راتب هذا الشهر",IF(I103&gt;0,"✈ خصم "&amp;ROUND(I103,2)&amp;" يوم بدون أجر",IF(AL103&gt;0,"🌴 إجازة سنوية "&amp;ROUND(AL103,2)&amp;" يوم",IF(H103&gt;0,"⚠ غياب "&amp;ROUND(H103,2)&amp;" يوم","✔ على رأس العمل")))))))</f>
        <v/>
      </c>
      <c r="G103" s="156" t="str">
        <f aca="false">IF($B103="","",IF(AK103&gt;=DAY($F$3),cfg_DAYS_M,MIN(AK103,cfg_DAYS_M)))</f>
        <v/>
      </c>
      <c r="H103" s="156" t="str">
        <f aca="false">IF($B103="","",SUMIFS('الحركات الشهرية'!$D$6:$D$1005,'الحركات الشهرية'!$B$6:$B$1005,$B103,'الحركات الشهرية'!$A$6:$A$1005,$C$3))</f>
        <v/>
      </c>
      <c r="I103" s="156" t="str">
        <f aca="false">IF($B103="","",MIN(G103,IF(AND(AK103&gt;0,AN103&gt;=AK103),G103,AN103)+SUMIFS('الحركات الشهرية'!$E$6:$E$1005,'الحركات الشهرية'!$B$6:$B$1005,$B103,'الحركات الشهرية'!$A$6:$A$1005,$C$3)))</f>
        <v/>
      </c>
      <c r="J103" s="156" t="str">
        <f aca="false">IF($B103="","",MAX(0,G103-H103-I103))</f>
        <v/>
      </c>
      <c r="K103" s="116" t="str">
        <f aca="false">IF($B103="","",الموظفون!$L103*$J103/cfg_DAYS_M)</f>
        <v/>
      </c>
      <c r="L103" s="116" t="str">
        <f aca="false">IF($B103="","",الموظفون!$M103*$J103/cfg_DAYS_M)</f>
        <v/>
      </c>
      <c r="M103" s="116" t="str">
        <f aca="false">IF($B103="","",الموظفون!$N103*$J103/cfg_DAYS_M)</f>
        <v/>
      </c>
      <c r="N103" s="116" t="str">
        <f aca="false">IF($B103="","",الموظفون!$O103*$J103/cfg_DAYS_M)</f>
        <v/>
      </c>
      <c r="O103" s="156" t="str">
        <f aca="false">IF($B103="","",SUMIFS('الحركات الشهرية'!$F$6:$F$1005,'الحركات الشهرية'!$B$6:$B$1005,$B103,'الحركات الشهرية'!$A$6:$A$1005,$C$3))</f>
        <v/>
      </c>
      <c r="P103" s="116" t="str">
        <f aca="false">IF($B103="","",O103*(الموظفون!$P103+الموظفون!$L103*cfg_OT_P)/cfg_DAYS_M/cfg_HRS)</f>
        <v/>
      </c>
      <c r="Q103" s="116" t="str">
        <f aca="false">IF($B103="","",SUMIFS('الحركات الشهرية'!$G$6:$G$1005,'الحركات الشهرية'!$B$6:$B$1005,$B103,'الحركات الشهرية'!$A$6:$A$1005,$C$3))</f>
        <v/>
      </c>
      <c r="R103" s="116" t="str">
        <f aca="false">IF($B103="","",SUMIFS('الحركات الشهرية'!$H$6:$H$1005,'الحركات الشهرية'!$B$6:$B$1005,$B103,'الحركات الشهرية'!$A$6:$A$1005,$C$3))</f>
        <v/>
      </c>
      <c r="S103" s="116" t="str">
        <f aca="false">IF($B103="","",SUMIFS('سجل الإجازات والحالات'!$N$6:$N$505,'سجل الإجازات والحالات'!$B$6:$B$505,$B103,'سجل الإجازات والحالات'!$O$6:$O$505,$C$3))</f>
        <v/>
      </c>
      <c r="T103" s="157" t="str">
        <f aca="false">IF($B103="","",SUM(K103:N103)+SUM(P103:S103))</f>
        <v/>
      </c>
      <c r="U103" s="116" t="str">
        <f aca="false">IF($B103="","",الموظفون!$S103*IF(E103="سعودي",cfg_G_SE,cfg_G_NE)*G103/cfg_DAYS_M)</f>
        <v/>
      </c>
      <c r="V103" s="116" t="str">
        <f aca="false">IF($B103="","",SUMIFS('الحركات الشهرية'!$I$6:$I$1005,'الحركات الشهرية'!$B$6:$B$1005,$B103,'الحركات الشهرية'!$A$6:$A$1005,$C$3))</f>
        <v/>
      </c>
      <c r="W103" s="116" t="str">
        <f aca="false">IF($B103="","",SUMIFS('الحركات الشهرية'!$J$6:$J$1005,'الحركات الشهرية'!$B$6:$B$1005,$B103,'الحركات الشهرية'!$A$6:$A$1005,$C$3))</f>
        <v/>
      </c>
      <c r="X103" s="116" t="str">
        <f aca="false">IF($B103="","",SUM(U103:W103))</f>
        <v/>
      </c>
      <c r="Y103" s="158" t="str">
        <f aca="false">IF($B103="","",T103-X103)</f>
        <v/>
      </c>
      <c r="Z103" s="116" t="str">
        <f aca="false">IF($B103="","",الموظفون!$S103*IF(E103="سعودي",cfg_G_SR,cfg_G_NR)*G103/cfg_DAYS_M)</f>
        <v/>
      </c>
      <c r="AA103" s="116" t="str">
        <f aca="false">IF($B103="","",الموظفون!$Q103*(cfg_EOS_R1*(MIN(AH103,cfg_EOS_TH)-MIN(AI103,cfg_EOS_TH))+cfg_EOS_R2*(MAX(AH103-cfg_EOS_TH,0)-MAX(AI103-cfg_EOS_TH,0))))</f>
        <v/>
      </c>
      <c r="AB103" s="116" t="str">
        <f aca="false">IF($B103="","",IF(الموظفون!$T103&lt;&gt;"",الموظفون!$T103,IF(AH103&gt;=cfg_LV_TH,cfg_LV_D2,cfg_LV_D1))/cfg_DAYS_Y*AJ103*الموظفون!$R103/cfg_DAYS_M)</f>
        <v/>
      </c>
      <c r="AC103" s="116" t="str">
        <f aca="false">IF($B103="","",IF(AND(الموظفون!$U103="نعم",N(الموظفون!$W103)&gt;0),الموظفون!$V103/الموظفون!$W103*12/cfg_DAYS_Y*AJ103,0))</f>
        <v/>
      </c>
      <c r="AD103" s="116" t="str">
        <f aca="false">IF($B103="","",(IF(الموظفون!$X103&lt;&gt;"",الموظفون!$X103,IF(الموظفون!$E103="غير سعودي",cfg_IQ,0))+IF(الموظفون!$Y103&lt;&gt;"",الموظفون!$Y103,IF(الموظفون!$E103="غير سعودي",cfg_WP,0)))/12*G103/cfg_DAYS_M)</f>
        <v/>
      </c>
      <c r="AE103" s="116" t="str">
        <f aca="false">IF($B103="","",IF(الموظفون!$Z103&lt;&gt;"",الموظفون!$Z103,cfg_MED)/12*G103/cfg_DAYS_M)</f>
        <v/>
      </c>
      <c r="AF103" s="116" t="str">
        <f aca="false">IF($B103="","",N(الموظفون!$AA103)/12*G103/cfg_DAYS_M)</f>
        <v/>
      </c>
      <c r="AG103" s="159" t="str">
        <f aca="false">IF($B103="","",T103+SUM(Z103:AF103))</f>
        <v/>
      </c>
      <c r="AH103" s="160" t="str">
        <f aca="false">IF($B103="","",MAX(0,IF(OR(الموظفون!$AE103="",الموظفون!$AE103&gt;$F$3),$F$3,الموظفون!$AE103)-الموظفون!$H103+1-SUMIFS('سجل الإجازات والحالات'!$AQ$6:$AQ$505,'سجل الإجازات والحالات'!$B$6:$B$505,$B103))/cfg_DAYS_Y)</f>
        <v/>
      </c>
      <c r="AI103" s="160" t="str">
        <f aca="false">IF($B103="","",MAX(0,IF(OR(الموظفون!$AE103="",الموظفون!$AE103&gt;($E$3-1)),($E$3-1),الموظفون!$AE103)-الموظفون!$H103+1-SUMIFS('سجل الإجازات والحالات'!$AP$6:$AP$505,'سجل الإجازات والحالات'!$B$6:$B$505,$B103))/cfg_DAYS_Y)</f>
        <v/>
      </c>
      <c r="AJ103" s="133" t="str">
        <f aca="false">IF($B103="","",MAX(0,AK103-(SUMIFS('سجل الإجازات والحالات'!$AQ$6:$AQ$505,'سجل الإجازات والحالات'!$B$6:$B$505,$B103)-SUMIFS('سجل الإجازات والحالات'!$AP$6:$AP$505,'سجل الإجازات والحالات'!$B$6:$B$505,$B103))))</f>
        <v/>
      </c>
      <c r="AK103" s="133" t="str">
        <f aca="false">IF($B103="","",MAX(0,IF(OR(الموظفون!$AE103="",الموظفون!$AE103&gt;$F$3),$F$3,الموظفون!$AE103)-MAX($E$3,الموظفون!$H103)+1))</f>
        <v/>
      </c>
      <c r="AL103" s="156" t="str">
        <f aca="false">IF($B103="","",SUMIFS('سجل الإجازات والحالات'!$BC$6:$BC$505,'سجل الإجازات والحالات'!$B$6:$B$505,$B103)+SUMIFS('الحركات الشهرية'!$K$6:$K$1005,'الحركات الشهرية'!$B$6:$B$1005,$B103,'الحركات الشهرية'!$A$6:$A$1005,$C$3))</f>
        <v/>
      </c>
      <c r="AM103" s="116" t="str">
        <f aca="false">IF($B103="","",AL103*الموظفون!$R103/cfg_DAYS_M+S103)</f>
        <v/>
      </c>
      <c r="AN103" s="156" t="str">
        <f aca="false">IF($B103="","",SUMIFS('سجل الإجازات والحالات'!$AE$6:$AE$505,'سجل الإجازات والحالات'!$B$6:$B$505,$B103))</f>
        <v/>
      </c>
    </row>
    <row r="104" customFormat="false" ht="15" hidden="false" customHeight="false" outlineLevel="0" collapsed="false">
      <c r="A104" s="106" t="str">
        <f aca="false">IF($B104="","",الموظفون!$A104)</f>
        <v/>
      </c>
      <c r="B104" s="114" t="str">
        <f aca="false">IF(الموظفون!$B104="","",الموظفون!$B104)</f>
        <v/>
      </c>
      <c r="C104" s="114" t="str">
        <f aca="false">IF($B104="","",الموظفون!$C104)</f>
        <v/>
      </c>
      <c r="D104" s="114" t="str">
        <f aca="false">IF($B104="","",الموظفون!$F104)</f>
        <v/>
      </c>
      <c r="E104" s="114" t="str">
        <f aca="false">IF($B104="","",الموظفون!$E104)</f>
        <v/>
      </c>
      <c r="F104" s="114" t="str">
        <f aca="false">IF($B104="","",IF(AK104=0,IF(AND(الموظفون!$AE104&lt;&gt;"",الموظفون!$AE104&lt;$E$3),"✖ منتهي الخدمة","⏳ لم يباشر"),IF(S104&gt;0,"✈ راتب إجازة مقدم",IF(J104=0,"⛔ بدون راتب هذا الشهر",IF(I104&gt;0,"✈ خصم "&amp;ROUND(I104,2)&amp;" يوم بدون أجر",IF(AL104&gt;0,"🌴 إجازة سنوية "&amp;ROUND(AL104,2)&amp;" يوم",IF(H104&gt;0,"⚠ غياب "&amp;ROUND(H104,2)&amp;" يوم","✔ على رأس العمل")))))))</f>
        <v/>
      </c>
      <c r="G104" s="151" t="str">
        <f aca="false">IF($B104="","",IF(AK104&gt;=DAY($F$3),cfg_DAYS_M,MIN(AK104,cfg_DAYS_M)))</f>
        <v/>
      </c>
      <c r="H104" s="151" t="str">
        <f aca="false">IF($B104="","",SUMIFS('الحركات الشهرية'!$D$6:$D$1005,'الحركات الشهرية'!$B$6:$B$1005,$B104,'الحركات الشهرية'!$A$6:$A$1005,$C$3))</f>
        <v/>
      </c>
      <c r="I104" s="151" t="str">
        <f aca="false">IF($B104="","",MIN(G104,IF(AND(AK104&gt;0,AN104&gt;=AK104),G104,AN104)+SUMIFS('الحركات الشهرية'!$E$6:$E$1005,'الحركات الشهرية'!$B$6:$B$1005,$B104,'الحركات الشهرية'!$A$6:$A$1005,$C$3)))</f>
        <v/>
      </c>
      <c r="J104" s="151" t="str">
        <f aca="false">IF($B104="","",MAX(0,G104-H104-I104))</f>
        <v/>
      </c>
      <c r="K104" s="111" t="str">
        <f aca="false">IF($B104="","",الموظفون!$L104*$J104/cfg_DAYS_M)</f>
        <v/>
      </c>
      <c r="L104" s="111" t="str">
        <f aca="false">IF($B104="","",الموظفون!$M104*$J104/cfg_DAYS_M)</f>
        <v/>
      </c>
      <c r="M104" s="111" t="str">
        <f aca="false">IF($B104="","",الموظفون!$N104*$J104/cfg_DAYS_M)</f>
        <v/>
      </c>
      <c r="N104" s="111" t="str">
        <f aca="false">IF($B104="","",الموظفون!$O104*$J104/cfg_DAYS_M)</f>
        <v/>
      </c>
      <c r="O104" s="151" t="str">
        <f aca="false">IF($B104="","",SUMIFS('الحركات الشهرية'!$F$6:$F$1005,'الحركات الشهرية'!$B$6:$B$1005,$B104,'الحركات الشهرية'!$A$6:$A$1005,$C$3))</f>
        <v/>
      </c>
      <c r="P104" s="111" t="str">
        <f aca="false">IF($B104="","",O104*(الموظفون!$P104+الموظفون!$L104*cfg_OT_P)/cfg_DAYS_M/cfg_HRS)</f>
        <v/>
      </c>
      <c r="Q104" s="111" t="str">
        <f aca="false">IF($B104="","",SUMIFS('الحركات الشهرية'!$G$6:$G$1005,'الحركات الشهرية'!$B$6:$B$1005,$B104,'الحركات الشهرية'!$A$6:$A$1005,$C$3))</f>
        <v/>
      </c>
      <c r="R104" s="111" t="str">
        <f aca="false">IF($B104="","",SUMIFS('الحركات الشهرية'!$H$6:$H$1005,'الحركات الشهرية'!$B$6:$B$1005,$B104,'الحركات الشهرية'!$A$6:$A$1005,$C$3))</f>
        <v/>
      </c>
      <c r="S104" s="111" t="str">
        <f aca="false">IF($B104="","",SUMIFS('سجل الإجازات والحالات'!$N$6:$N$505,'سجل الإجازات والحالات'!$B$6:$B$505,$B104,'سجل الإجازات والحالات'!$O$6:$O$505,$C$3))</f>
        <v/>
      </c>
      <c r="T104" s="152" t="str">
        <f aca="false">IF($B104="","",SUM(K104:N104)+SUM(P104:S104))</f>
        <v/>
      </c>
      <c r="U104" s="111" t="str">
        <f aca="false">IF($B104="","",الموظفون!$S104*IF(E104="سعودي",cfg_G_SE,cfg_G_NE)*G104/cfg_DAYS_M)</f>
        <v/>
      </c>
      <c r="V104" s="111" t="str">
        <f aca="false">IF($B104="","",SUMIFS('الحركات الشهرية'!$I$6:$I$1005,'الحركات الشهرية'!$B$6:$B$1005,$B104,'الحركات الشهرية'!$A$6:$A$1005,$C$3))</f>
        <v/>
      </c>
      <c r="W104" s="111" t="str">
        <f aca="false">IF($B104="","",SUMIFS('الحركات الشهرية'!$J$6:$J$1005,'الحركات الشهرية'!$B$6:$B$1005,$B104,'الحركات الشهرية'!$A$6:$A$1005,$C$3))</f>
        <v/>
      </c>
      <c r="X104" s="111" t="str">
        <f aca="false">IF($B104="","",SUM(U104:W104))</f>
        <v/>
      </c>
      <c r="Y104" s="153" t="str">
        <f aca="false">IF($B104="","",T104-X104)</f>
        <v/>
      </c>
      <c r="Z104" s="111" t="str">
        <f aca="false">IF($B104="","",الموظفون!$S104*IF(E104="سعودي",cfg_G_SR,cfg_G_NR)*G104/cfg_DAYS_M)</f>
        <v/>
      </c>
      <c r="AA104" s="111" t="str">
        <f aca="false">IF($B104="","",الموظفون!$Q104*(cfg_EOS_R1*(MIN(AH104,cfg_EOS_TH)-MIN(AI104,cfg_EOS_TH))+cfg_EOS_R2*(MAX(AH104-cfg_EOS_TH,0)-MAX(AI104-cfg_EOS_TH,0))))</f>
        <v/>
      </c>
      <c r="AB104" s="111" t="str">
        <f aca="false">IF($B104="","",IF(الموظفون!$T104&lt;&gt;"",الموظفون!$T104,IF(AH104&gt;=cfg_LV_TH,cfg_LV_D2,cfg_LV_D1))/cfg_DAYS_Y*AJ104*الموظفون!$R104/cfg_DAYS_M)</f>
        <v/>
      </c>
      <c r="AC104" s="111" t="str">
        <f aca="false">IF($B104="","",IF(AND(الموظفون!$U104="نعم",N(الموظفون!$W104)&gt;0),الموظفون!$V104/الموظفون!$W104*12/cfg_DAYS_Y*AJ104,0))</f>
        <v/>
      </c>
      <c r="AD104" s="111" t="str">
        <f aca="false">IF($B104="","",(IF(الموظفون!$X104&lt;&gt;"",الموظفون!$X104,IF(الموظفون!$E104="غير سعودي",cfg_IQ,0))+IF(الموظفون!$Y104&lt;&gt;"",الموظفون!$Y104,IF(الموظفون!$E104="غير سعودي",cfg_WP,0)))/12*G104/cfg_DAYS_M)</f>
        <v/>
      </c>
      <c r="AE104" s="111" t="str">
        <f aca="false">IF($B104="","",IF(الموظفون!$Z104&lt;&gt;"",الموظفون!$Z104,cfg_MED)/12*G104/cfg_DAYS_M)</f>
        <v/>
      </c>
      <c r="AF104" s="111" t="str">
        <f aca="false">IF($B104="","",N(الموظفون!$AA104)/12*G104/cfg_DAYS_M)</f>
        <v/>
      </c>
      <c r="AG104" s="154" t="str">
        <f aca="false">IF($B104="","",T104+SUM(Z104:AF104))</f>
        <v/>
      </c>
      <c r="AH104" s="155" t="str">
        <f aca="false">IF($B104="","",MAX(0,IF(OR(الموظفون!$AE104="",الموظفون!$AE104&gt;$F$3),$F$3,الموظفون!$AE104)-الموظفون!$H104+1-SUMIFS('سجل الإجازات والحالات'!$AQ$6:$AQ$505,'سجل الإجازات والحالات'!$B$6:$B$505,$B104))/cfg_DAYS_Y)</f>
        <v/>
      </c>
      <c r="AI104" s="155" t="str">
        <f aca="false">IF($B104="","",MAX(0,IF(OR(الموظفون!$AE104="",الموظفون!$AE104&gt;($E$3-1)),($E$3-1),الموظفون!$AE104)-الموظفون!$H104+1-SUMIFS('سجل الإجازات والحالات'!$AP$6:$AP$505,'سجل الإجازات والحالات'!$B$6:$B$505,$B104))/cfg_DAYS_Y)</f>
        <v/>
      </c>
      <c r="AJ104" s="65" t="str">
        <f aca="false">IF($B104="","",MAX(0,AK104-(SUMIFS('سجل الإجازات والحالات'!$AQ$6:$AQ$505,'سجل الإجازات والحالات'!$B$6:$B$505,$B104)-SUMIFS('سجل الإجازات والحالات'!$AP$6:$AP$505,'سجل الإجازات والحالات'!$B$6:$B$505,$B104))))</f>
        <v/>
      </c>
      <c r="AK104" s="65" t="str">
        <f aca="false">IF($B104="","",MAX(0,IF(OR(الموظفون!$AE104="",الموظفون!$AE104&gt;$F$3),$F$3,الموظفون!$AE104)-MAX($E$3,الموظفون!$H104)+1))</f>
        <v/>
      </c>
      <c r="AL104" s="151" t="str">
        <f aca="false">IF($B104="","",SUMIFS('سجل الإجازات والحالات'!$BC$6:$BC$505,'سجل الإجازات والحالات'!$B$6:$B$505,$B104)+SUMIFS('الحركات الشهرية'!$K$6:$K$1005,'الحركات الشهرية'!$B$6:$B$1005,$B104,'الحركات الشهرية'!$A$6:$A$1005,$C$3))</f>
        <v/>
      </c>
      <c r="AM104" s="111" t="str">
        <f aca="false">IF($B104="","",AL104*الموظفون!$R104/cfg_DAYS_M+S104)</f>
        <v/>
      </c>
      <c r="AN104" s="151" t="str">
        <f aca="false">IF($B104="","",SUMIFS('سجل الإجازات والحالات'!$AE$6:$AE$505,'سجل الإجازات والحالات'!$B$6:$B$505,$B104))</f>
        <v/>
      </c>
    </row>
    <row r="105" customFormat="false" ht="15" hidden="false" customHeight="false" outlineLevel="0" collapsed="false">
      <c r="A105" s="115" t="str">
        <f aca="false">IF($B105="","",الموظفون!$A105)</f>
        <v/>
      </c>
      <c r="B105" s="117" t="str">
        <f aca="false">IF(الموظفون!$B105="","",الموظفون!$B105)</f>
        <v/>
      </c>
      <c r="C105" s="117" t="str">
        <f aca="false">IF($B105="","",الموظفون!$C105)</f>
        <v/>
      </c>
      <c r="D105" s="117" t="str">
        <f aca="false">IF($B105="","",الموظفون!$F105)</f>
        <v/>
      </c>
      <c r="E105" s="117" t="str">
        <f aca="false">IF($B105="","",الموظفون!$E105)</f>
        <v/>
      </c>
      <c r="F105" s="117" t="str">
        <f aca="false">IF($B105="","",IF(AK105=0,IF(AND(الموظفون!$AE105&lt;&gt;"",الموظفون!$AE105&lt;$E$3),"✖ منتهي الخدمة","⏳ لم يباشر"),IF(S105&gt;0,"✈ راتب إجازة مقدم",IF(J105=0,"⛔ بدون راتب هذا الشهر",IF(I105&gt;0,"✈ خصم "&amp;ROUND(I105,2)&amp;" يوم بدون أجر",IF(AL105&gt;0,"🌴 إجازة سنوية "&amp;ROUND(AL105,2)&amp;" يوم",IF(H105&gt;0,"⚠ غياب "&amp;ROUND(H105,2)&amp;" يوم","✔ على رأس العمل")))))))</f>
        <v/>
      </c>
      <c r="G105" s="156" t="str">
        <f aca="false">IF($B105="","",IF(AK105&gt;=DAY($F$3),cfg_DAYS_M,MIN(AK105,cfg_DAYS_M)))</f>
        <v/>
      </c>
      <c r="H105" s="156" t="str">
        <f aca="false">IF($B105="","",SUMIFS('الحركات الشهرية'!$D$6:$D$1005,'الحركات الشهرية'!$B$6:$B$1005,$B105,'الحركات الشهرية'!$A$6:$A$1005,$C$3))</f>
        <v/>
      </c>
      <c r="I105" s="156" t="str">
        <f aca="false">IF($B105="","",MIN(G105,IF(AND(AK105&gt;0,AN105&gt;=AK105),G105,AN105)+SUMIFS('الحركات الشهرية'!$E$6:$E$1005,'الحركات الشهرية'!$B$6:$B$1005,$B105,'الحركات الشهرية'!$A$6:$A$1005,$C$3)))</f>
        <v/>
      </c>
      <c r="J105" s="156" t="str">
        <f aca="false">IF($B105="","",MAX(0,G105-H105-I105))</f>
        <v/>
      </c>
      <c r="K105" s="116" t="str">
        <f aca="false">IF($B105="","",الموظفون!$L105*$J105/cfg_DAYS_M)</f>
        <v/>
      </c>
      <c r="L105" s="116" t="str">
        <f aca="false">IF($B105="","",الموظفون!$M105*$J105/cfg_DAYS_M)</f>
        <v/>
      </c>
      <c r="M105" s="116" t="str">
        <f aca="false">IF($B105="","",الموظفون!$N105*$J105/cfg_DAYS_M)</f>
        <v/>
      </c>
      <c r="N105" s="116" t="str">
        <f aca="false">IF($B105="","",الموظفون!$O105*$J105/cfg_DAYS_M)</f>
        <v/>
      </c>
      <c r="O105" s="156" t="str">
        <f aca="false">IF($B105="","",SUMIFS('الحركات الشهرية'!$F$6:$F$1005,'الحركات الشهرية'!$B$6:$B$1005,$B105,'الحركات الشهرية'!$A$6:$A$1005,$C$3))</f>
        <v/>
      </c>
      <c r="P105" s="116" t="str">
        <f aca="false">IF($B105="","",O105*(الموظفون!$P105+الموظفون!$L105*cfg_OT_P)/cfg_DAYS_M/cfg_HRS)</f>
        <v/>
      </c>
      <c r="Q105" s="116" t="str">
        <f aca="false">IF($B105="","",SUMIFS('الحركات الشهرية'!$G$6:$G$1005,'الحركات الشهرية'!$B$6:$B$1005,$B105,'الحركات الشهرية'!$A$6:$A$1005,$C$3))</f>
        <v/>
      </c>
      <c r="R105" s="116" t="str">
        <f aca="false">IF($B105="","",SUMIFS('الحركات الشهرية'!$H$6:$H$1005,'الحركات الشهرية'!$B$6:$B$1005,$B105,'الحركات الشهرية'!$A$6:$A$1005,$C$3))</f>
        <v/>
      </c>
      <c r="S105" s="116" t="str">
        <f aca="false">IF($B105="","",SUMIFS('سجل الإجازات والحالات'!$N$6:$N$505,'سجل الإجازات والحالات'!$B$6:$B$505,$B105,'سجل الإجازات والحالات'!$O$6:$O$505,$C$3))</f>
        <v/>
      </c>
      <c r="T105" s="157" t="str">
        <f aca="false">IF($B105="","",SUM(K105:N105)+SUM(P105:S105))</f>
        <v/>
      </c>
      <c r="U105" s="116" t="str">
        <f aca="false">IF($B105="","",الموظفون!$S105*IF(E105="سعودي",cfg_G_SE,cfg_G_NE)*G105/cfg_DAYS_M)</f>
        <v/>
      </c>
      <c r="V105" s="116" t="str">
        <f aca="false">IF($B105="","",SUMIFS('الحركات الشهرية'!$I$6:$I$1005,'الحركات الشهرية'!$B$6:$B$1005,$B105,'الحركات الشهرية'!$A$6:$A$1005,$C$3))</f>
        <v/>
      </c>
      <c r="W105" s="116" t="str">
        <f aca="false">IF($B105="","",SUMIFS('الحركات الشهرية'!$J$6:$J$1005,'الحركات الشهرية'!$B$6:$B$1005,$B105,'الحركات الشهرية'!$A$6:$A$1005,$C$3))</f>
        <v/>
      </c>
      <c r="X105" s="116" t="str">
        <f aca="false">IF($B105="","",SUM(U105:W105))</f>
        <v/>
      </c>
      <c r="Y105" s="158" t="str">
        <f aca="false">IF($B105="","",T105-X105)</f>
        <v/>
      </c>
      <c r="Z105" s="116" t="str">
        <f aca="false">IF($B105="","",الموظفون!$S105*IF(E105="سعودي",cfg_G_SR,cfg_G_NR)*G105/cfg_DAYS_M)</f>
        <v/>
      </c>
      <c r="AA105" s="116" t="str">
        <f aca="false">IF($B105="","",الموظفون!$Q105*(cfg_EOS_R1*(MIN(AH105,cfg_EOS_TH)-MIN(AI105,cfg_EOS_TH))+cfg_EOS_R2*(MAX(AH105-cfg_EOS_TH,0)-MAX(AI105-cfg_EOS_TH,0))))</f>
        <v/>
      </c>
      <c r="AB105" s="116" t="str">
        <f aca="false">IF($B105="","",IF(الموظفون!$T105&lt;&gt;"",الموظفون!$T105,IF(AH105&gt;=cfg_LV_TH,cfg_LV_D2,cfg_LV_D1))/cfg_DAYS_Y*AJ105*الموظفون!$R105/cfg_DAYS_M)</f>
        <v/>
      </c>
      <c r="AC105" s="116" t="str">
        <f aca="false">IF($B105="","",IF(AND(الموظفون!$U105="نعم",N(الموظفون!$W105)&gt;0),الموظفون!$V105/الموظفون!$W105*12/cfg_DAYS_Y*AJ105,0))</f>
        <v/>
      </c>
      <c r="AD105" s="116" t="str">
        <f aca="false">IF($B105="","",(IF(الموظفون!$X105&lt;&gt;"",الموظفون!$X105,IF(الموظفون!$E105="غير سعودي",cfg_IQ,0))+IF(الموظفون!$Y105&lt;&gt;"",الموظفون!$Y105,IF(الموظفون!$E105="غير سعودي",cfg_WP,0)))/12*G105/cfg_DAYS_M)</f>
        <v/>
      </c>
      <c r="AE105" s="116" t="str">
        <f aca="false">IF($B105="","",IF(الموظفون!$Z105&lt;&gt;"",الموظفون!$Z105,cfg_MED)/12*G105/cfg_DAYS_M)</f>
        <v/>
      </c>
      <c r="AF105" s="116" t="str">
        <f aca="false">IF($B105="","",N(الموظفون!$AA105)/12*G105/cfg_DAYS_M)</f>
        <v/>
      </c>
      <c r="AG105" s="159" t="str">
        <f aca="false">IF($B105="","",T105+SUM(Z105:AF105))</f>
        <v/>
      </c>
      <c r="AH105" s="160" t="str">
        <f aca="false">IF($B105="","",MAX(0,IF(OR(الموظفون!$AE105="",الموظفون!$AE105&gt;$F$3),$F$3,الموظفون!$AE105)-الموظفون!$H105+1-SUMIFS('سجل الإجازات والحالات'!$AQ$6:$AQ$505,'سجل الإجازات والحالات'!$B$6:$B$505,$B105))/cfg_DAYS_Y)</f>
        <v/>
      </c>
      <c r="AI105" s="160" t="str">
        <f aca="false">IF($B105="","",MAX(0,IF(OR(الموظفون!$AE105="",الموظفون!$AE105&gt;($E$3-1)),($E$3-1),الموظفون!$AE105)-الموظفون!$H105+1-SUMIFS('سجل الإجازات والحالات'!$AP$6:$AP$505,'سجل الإجازات والحالات'!$B$6:$B$505,$B105))/cfg_DAYS_Y)</f>
        <v/>
      </c>
      <c r="AJ105" s="133" t="str">
        <f aca="false">IF($B105="","",MAX(0,AK105-(SUMIFS('سجل الإجازات والحالات'!$AQ$6:$AQ$505,'سجل الإجازات والحالات'!$B$6:$B$505,$B105)-SUMIFS('سجل الإجازات والحالات'!$AP$6:$AP$505,'سجل الإجازات والحالات'!$B$6:$B$505,$B105))))</f>
        <v/>
      </c>
      <c r="AK105" s="133" t="str">
        <f aca="false">IF($B105="","",MAX(0,IF(OR(الموظفون!$AE105="",الموظفون!$AE105&gt;$F$3),$F$3,الموظفون!$AE105)-MAX($E$3,الموظفون!$H105)+1))</f>
        <v/>
      </c>
      <c r="AL105" s="156" t="str">
        <f aca="false">IF($B105="","",SUMIFS('سجل الإجازات والحالات'!$BC$6:$BC$505,'سجل الإجازات والحالات'!$B$6:$B$505,$B105)+SUMIFS('الحركات الشهرية'!$K$6:$K$1005,'الحركات الشهرية'!$B$6:$B$1005,$B105,'الحركات الشهرية'!$A$6:$A$1005,$C$3))</f>
        <v/>
      </c>
      <c r="AM105" s="116" t="str">
        <f aca="false">IF($B105="","",AL105*الموظفون!$R105/cfg_DAYS_M+S105)</f>
        <v/>
      </c>
      <c r="AN105" s="156" t="str">
        <f aca="false">IF($B105="","",SUMIFS('سجل الإجازات والحالات'!$AE$6:$AE$505,'سجل الإجازات والحالات'!$B$6:$B$505,$B105))</f>
        <v/>
      </c>
    </row>
    <row r="106" customFormat="false" ht="24" hidden="false" customHeight="true" outlineLevel="0" collapsed="false">
      <c r="A106" s="124"/>
      <c r="B106" s="125" t="str">
        <f aca="false">COUNTIF(G6:G105,"&gt;0")&amp;" موظف"</f>
        <v>11 موظف</v>
      </c>
      <c r="C106" s="124" t="s">
        <v>161</v>
      </c>
      <c r="D106" s="124"/>
      <c r="E106" s="124"/>
      <c r="F106" s="125" t="str">
        <f aca="false">COUNTIFS(G6:G105,"&gt;0",J6:J105,0)&amp;" بدون راتب"</f>
        <v>0 بدون راتب</v>
      </c>
      <c r="G106" s="124"/>
      <c r="H106" s="161" t="n">
        <f aca="false">SUM(H6:H105)</f>
        <v>0</v>
      </c>
      <c r="I106" s="161" t="n">
        <f aca="false">SUM(I6:I105)</f>
        <v>19</v>
      </c>
      <c r="J106" s="161" t="n">
        <f aca="false">SUM(J6:J105)</f>
        <v>311</v>
      </c>
      <c r="K106" s="125" t="n">
        <f aca="false">SUM(K6:K105)</f>
        <v>128266.666666667</v>
      </c>
      <c r="L106" s="125" t="n">
        <f aca="false">SUM(L6:L105)</f>
        <v>32066.6666666667</v>
      </c>
      <c r="M106" s="125" t="n">
        <f aca="false">SUM(M6:M105)</f>
        <v>12826.6666666667</v>
      </c>
      <c r="N106" s="125" t="n">
        <f aca="false">SUM(N6:N105)</f>
        <v>8716.66666666667</v>
      </c>
      <c r="O106" s="161" t="n">
        <f aca="false">SUM(O6:O105)</f>
        <v>0</v>
      </c>
      <c r="P106" s="125" t="n">
        <f aca="false">SUM(P6:P105)</f>
        <v>0</v>
      </c>
      <c r="Q106" s="125" t="n">
        <f aca="false">SUM(Q6:Q105)</f>
        <v>0</v>
      </c>
      <c r="R106" s="125" t="n">
        <f aca="false">SUM(R6:R105)</f>
        <v>0</v>
      </c>
      <c r="S106" s="125" t="n">
        <f aca="false">SUM(S6:S105)</f>
        <v>0</v>
      </c>
      <c r="T106" s="125" t="n">
        <f aca="false">SUM(T6:T105)</f>
        <v>181876.666666667</v>
      </c>
      <c r="U106" s="125" t="n">
        <f aca="false">SUM(U6:U105)</f>
        <v>12370.3125</v>
      </c>
      <c r="V106" s="125" t="n">
        <f aca="false">SUM(V6:V105)</f>
        <v>0</v>
      </c>
      <c r="W106" s="125" t="n">
        <f aca="false">SUM(W6:W105)</f>
        <v>0</v>
      </c>
      <c r="X106" s="125" t="n">
        <f aca="false">SUM(X6:X105)</f>
        <v>12370.3125</v>
      </c>
      <c r="Y106" s="125" t="n">
        <f aca="false">SUM(Y6:Y105)</f>
        <v>169506.354166667</v>
      </c>
      <c r="Z106" s="125" t="n">
        <f aca="false">SUM(Z6:Z105)</f>
        <v>15782.8125</v>
      </c>
      <c r="AA106" s="125" t="n">
        <f aca="false">SUM(AA6:AA105)</f>
        <v>13103.3219178082</v>
      </c>
      <c r="AB106" s="125" t="n">
        <f aca="false">SUM(AB6:AB105)</f>
        <v>13756.8698630137</v>
      </c>
      <c r="AC106" s="125" t="n">
        <f aca="false">SUM(AC6:AC105)</f>
        <v>849.315068493151</v>
      </c>
      <c r="AD106" s="125" t="n">
        <f aca="false">SUM(AD6:AD105)</f>
        <v>3416.66666666667</v>
      </c>
      <c r="AE106" s="125" t="n">
        <f aca="false">SUM(AE6:AE105)</f>
        <v>2650</v>
      </c>
      <c r="AF106" s="125" t="n">
        <f aca="false">SUM(AF6:AF105)</f>
        <v>400</v>
      </c>
      <c r="AG106" s="125" t="n">
        <f aca="false">SUM(AG6:AG105)</f>
        <v>231835.652682648</v>
      </c>
      <c r="AH106" s="124"/>
      <c r="AI106" s="124"/>
      <c r="AJ106" s="124"/>
      <c r="AK106" s="124"/>
      <c r="AL106" s="161" t="n">
        <f aca="false">SUM(AL6:AL105)</f>
        <v>0</v>
      </c>
      <c r="AM106" s="125" t="n">
        <f aca="false">SUM(AM6:AM105)</f>
        <v>0</v>
      </c>
      <c r="AN106" s="124"/>
    </row>
    <row r="107" customFormat="false" ht="48" hidden="false" customHeight="true" outlineLevel="0" collapsed="false">
      <c r="A107" s="24" t="s">
        <v>505</v>
      </c>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row>
  </sheetData>
  <sheetProtection sheet="true" password="ffa5" objects="true" scenarios="true"/>
  <autoFilter ref="A5:AN105"/>
  <mergeCells count="6">
    <mergeCell ref="A1:AG1"/>
    <mergeCell ref="A2:AG2"/>
    <mergeCell ref="G3:H3"/>
    <mergeCell ref="J3:K3"/>
    <mergeCell ref="L3:M3"/>
    <mergeCell ref="A107:AN107"/>
  </mergeCells>
  <conditionalFormatting sqref="G3">
    <cfRule type="expression" priority="2" aboveAverage="0" equalAverage="0" bottom="0" percent="0" rank="0" text="" dxfId="0">
      <formula>ISNUMBER(SEARCH("✔",G3))</formula>
    </cfRule>
    <cfRule type="expression" priority="3" aboveAverage="0" equalAverage="0" bottom="0" percent="0" rank="0" text="" dxfId="1">
      <formula>ISNUMBER(SEARCH("✖",G3))</formula>
    </cfRule>
    <cfRule type="expression" priority="4" aboveAverage="0" equalAverage="0" bottom="0" percent="0" rank="0" text="" dxfId="2">
      <formula>ISNUMBER(SEARCH("⚠",G3))</formula>
    </cfRule>
    <cfRule type="expression" priority="5" aboveAverage="0" equalAverage="0" bottom="0" percent="0" rank="0" text="" dxfId="3">
      <formula>ISNUMBER(SEARCH("✈",G3))</formula>
    </cfRule>
    <cfRule type="expression" priority="6" aboveAverage="0" equalAverage="0" bottom="0" percent="0" rank="0" text="" dxfId="1">
      <formula>ISNUMBER(SEARCH("⛔",G3))</formula>
    </cfRule>
    <cfRule type="expression" priority="7" aboveAverage="0" equalAverage="0" bottom="0" percent="0" rank="0" text="" dxfId="0">
      <formula>ISNUMBER(SEARCH("🌴",G3))</formula>
    </cfRule>
    <cfRule type="expression" priority="8" aboveAverage="0" equalAverage="0" bottom="0" percent="0" rank="0" text="" dxfId="4">
      <formula>ISNUMBER(SEARCH("⏳",G3))</formula>
    </cfRule>
  </conditionalFormatting>
  <conditionalFormatting sqref="F6:F105">
    <cfRule type="expression" priority="9" aboveAverage="0" equalAverage="0" bottom="0" percent="0" rank="0" text="" dxfId="0">
      <formula>ISNUMBER(SEARCH("✔",F6))</formula>
    </cfRule>
    <cfRule type="expression" priority="10" aboveAverage="0" equalAverage="0" bottom="0" percent="0" rank="0" text="" dxfId="1">
      <formula>ISNUMBER(SEARCH("✖",F6))</formula>
    </cfRule>
    <cfRule type="expression" priority="11" aboveAverage="0" equalAverage="0" bottom="0" percent="0" rank="0" text="" dxfId="2">
      <formula>ISNUMBER(SEARCH("⚠",F6))</formula>
    </cfRule>
    <cfRule type="expression" priority="12" aboveAverage="0" equalAverage="0" bottom="0" percent="0" rank="0" text="" dxfId="3">
      <formula>ISNUMBER(SEARCH("✈",F6))</formula>
    </cfRule>
    <cfRule type="expression" priority="13" aboveAverage="0" equalAverage="0" bottom="0" percent="0" rank="0" text="" dxfId="1">
      <formula>ISNUMBER(SEARCH("⛔",F6))</formula>
    </cfRule>
    <cfRule type="expression" priority="14" aboveAverage="0" equalAverage="0" bottom="0" percent="0" rank="0" text="" dxfId="0">
      <formula>ISNUMBER(SEARCH("🌴",F6))</formula>
    </cfRule>
    <cfRule type="expression" priority="15" aboveAverage="0" equalAverage="0" bottom="0" percent="0" rank="0" text="" dxfId="4">
      <formula>ISNUMBER(SEARCH("⏳",F6))</formula>
    </cfRule>
  </conditionalFormatting>
  <conditionalFormatting sqref="G6:AN105">
    <cfRule type="expression" priority="16" aboveAverage="0" equalAverage="0" bottom="0" percent="0" rank="0" text="" dxfId="31">
      <formula>AND($B6&lt;&gt;"",$J6=0)</formula>
    </cfRule>
  </conditionalFormatting>
  <conditionalFormatting sqref="Y6:Y105">
    <cfRule type="expression" priority="17" aboveAverage="0" equalAverage="0" bottom="0" percent="0" rank="0" text="" dxfId="1">
      <formula>AND(ISNUMBER(Y6),Y6&lt;0)</formula>
    </cfRule>
  </conditionalFormatting>
  <hyperlinks>
    <hyperlink ref="A2" r:id="rId1" display="https://accopro.net/"/>
    <hyperlink ref="J3" location="'مسير سبتمبر'!A1" display="◀ الشهر السابق"/>
    <hyperlink ref="L3" location="'مسير نوفمبر'!A1" display="الشهر التالي ▶"/>
    <hyperlink ref="O3" location="'الرئيسية'!A1" display="🏠 الرئيسية"/>
    <hyperlink ref="P3" location="'لوحة التحكم'!A1" display="📊 لوحة التحكم"/>
    <hyperlink ref="R3" location="'الموظفون'!A1" display="👥 الموظفون"/>
    <hyperlink ref="S3" location="'سجل الإجازات والحالات'!A1" display="🌴 سجل الإجازات"/>
    <hyperlink ref="U3" location="'الحركات الشهرية'!A1" display="✍ الحركات"/>
    <hyperlink ref="W3" location="'الملخص الشهري'!A1" display="📅 الملخص الشهري"/>
    <hyperlink ref="Y3" location="'قيود الرواتب'!A1" display="🧾 القيود"/>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&amp;Cنسخة تجريبية — النسخة الكاملة: accopro.net</oddHeader>
    <oddFooter>&amp;CAccoPro — https://accopro.net</oddFooter>
  </headerFooter>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N107"/>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24"/>
    <col collapsed="false" customWidth="true" hidden="false" outlineLevel="0" max="4" min="4" style="0" width="14"/>
    <col collapsed="false" customWidth="true" hidden="false" outlineLevel="0" max="5" min="5" style="0" width="10"/>
    <col collapsed="false" customWidth="true" hidden="false" outlineLevel="0" max="6" min="6" style="0" width="20"/>
    <col collapsed="false" customWidth="true" hidden="false" outlineLevel="0" max="8" min="7" style="0" width="8"/>
    <col collapsed="false" customWidth="true" hidden="false" outlineLevel="0" max="9" min="9" style="0" width="9"/>
    <col collapsed="false" customWidth="true" hidden="false" outlineLevel="0" max="10" min="10" style="0" width="8"/>
    <col collapsed="false" customWidth="true" hidden="false" outlineLevel="0" max="11" min="11" style="0" width="12"/>
    <col collapsed="false" customWidth="true" hidden="false" outlineLevel="0" max="12" min="12" style="0" width="11"/>
    <col collapsed="false" customWidth="true" hidden="false" outlineLevel="0" max="14" min="13" style="0" width="10"/>
    <col collapsed="false" customWidth="true" hidden="false" outlineLevel="0" max="15" min="15" style="0" width="7"/>
    <col collapsed="false" customWidth="true" hidden="false" outlineLevel="0" max="19" min="16" style="0" width="11"/>
    <col collapsed="false" customWidth="true" hidden="false" outlineLevel="0" max="20" min="20" style="0" width="13"/>
    <col collapsed="false" customWidth="true" hidden="false" outlineLevel="0" max="21" min="21" style="0" width="11"/>
    <col collapsed="false" customWidth="true" hidden="false" outlineLevel="0" max="23" min="22" style="0" width="10"/>
    <col collapsed="false" customWidth="true" hidden="false" outlineLevel="0" max="24" min="24" style="0" width="12"/>
    <col collapsed="false" customWidth="true" hidden="false" outlineLevel="0" max="25" min="25" style="0" width="13"/>
    <col collapsed="false" customWidth="true" hidden="false" outlineLevel="0" max="26" min="26" style="0" width="11"/>
    <col collapsed="false" customWidth="true" hidden="false" outlineLevel="0" max="27" min="27" style="0" width="12"/>
    <col collapsed="false" customWidth="true" hidden="false" outlineLevel="0" max="29" min="28" style="0" width="11"/>
    <col collapsed="false" customWidth="true" hidden="false" outlineLevel="0" max="30" min="30" style="0" width="12"/>
    <col collapsed="false" customWidth="true" hidden="false" outlineLevel="0" max="31" min="31" style="0" width="11"/>
    <col collapsed="false" customWidth="true" hidden="false" outlineLevel="0" max="32" min="32" style="0" width="10"/>
    <col collapsed="false" customWidth="true" hidden="false" outlineLevel="0" max="33" min="33" style="0" width="14"/>
    <col collapsed="false" customWidth="true" hidden="true" outlineLevel="0" max="38" min="34" style="0" width="9"/>
    <col collapsed="false" customWidth="true" hidden="true" outlineLevel="0" max="39" min="39" style="0" width="11"/>
    <col collapsed="false" customWidth="true" hidden="true" outlineLevel="0" max="40" min="40" style="0" width="9"/>
  </cols>
  <sheetData>
    <row r="1" customFormat="false" ht="37.5" hidden="false" customHeight="true" outlineLevel="0" collapsed="false">
      <c r="A1" s="136" t="str">
        <f aca="false">"💵 مسير رواتب شهر نوفمبر "&amp;cfg_FY&amp;"   🔒 نسخة تجريبية"</f>
        <v>💵 مسير رواتب شهر نوفمبر 2026   🔒 نسخة تجريبية</v>
      </c>
      <c r="B1" s="136"/>
      <c r="C1" s="136"/>
      <c r="D1" s="136"/>
      <c r="E1" s="136"/>
      <c r="F1" s="136"/>
      <c r="G1" s="136"/>
      <c r="H1" s="136"/>
      <c r="I1" s="136"/>
      <c r="J1" s="136"/>
      <c r="K1" s="136"/>
      <c r="L1" s="136"/>
      <c r="M1" s="136"/>
      <c r="N1" s="136"/>
      <c r="O1" s="136"/>
      <c r="P1" s="136"/>
      <c r="Q1" s="136"/>
      <c r="R1" s="136"/>
      <c r="S1" s="136"/>
      <c r="T1" s="136"/>
      <c r="U1" s="136"/>
      <c r="V1" s="136"/>
      <c r="W1" s="136"/>
      <c r="X1" s="136"/>
      <c r="Y1" s="136"/>
      <c r="Z1" s="136"/>
      <c r="AA1" s="136"/>
      <c r="AB1" s="136"/>
      <c r="AC1" s="136"/>
      <c r="AD1" s="136"/>
      <c r="AE1" s="136"/>
      <c r="AF1" s="136"/>
      <c r="AG1" s="136"/>
    </row>
    <row r="2" customFormat="false" ht="19.5" hidden="false" customHeight="true" outlineLevel="0" collapsed="false">
      <c r="A2" s="2" t="str">
        <f aca="false">"🛒 نسخة تجريبية — للنسخة الكاملة اضغط هنا ← accopro.net   |   "&amp;cfg_CO&amp;"   |   السنة المالية "&amp;cfg_FY&amp;"   |   شهر التقرير: "&amp;INDEX(L_MONTH,cfg_VAL_M)&amp;"   |   المبالغ بـ "&amp;cfg_CUR</f>
        <v>🛒 نسخة تجريبية — للنسخة الكاملة اضغط هنا ← accopro.net   |   شركة النخبة للتجارة والمقاولات   |   السنة المالية 2026   |   شهر التقرير: سبتمبر   |   المبالغ بـ ريال سعودي</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row>
    <row r="3" customFormat="false" ht="25.5" hidden="false" customHeight="true" outlineLevel="0" collapsed="false">
      <c r="B3" s="137" t="s">
        <v>163</v>
      </c>
      <c r="C3" s="138" t="n">
        <v>11</v>
      </c>
      <c r="D3" s="137" t="s">
        <v>472</v>
      </c>
      <c r="E3" s="139" t="n">
        <f aca="false">DATE(cfg_FY,C3,1)</f>
        <v>46327</v>
      </c>
      <c r="F3" s="139" t="n">
        <f aca="false">EOMONTH(E3,0)</f>
        <v>46356</v>
      </c>
      <c r="G3" s="140" t="str">
        <f aca="false">IF(C3&lt;=cfg_VAL_M,"✔ فعلي","⚠ متوقع")</f>
        <v>⚠ متوقع</v>
      </c>
      <c r="H3" s="140"/>
      <c r="J3" s="141" t="s">
        <v>506</v>
      </c>
      <c r="K3" s="141"/>
      <c r="L3" s="141" t="s">
        <v>473</v>
      </c>
      <c r="M3" s="141"/>
      <c r="O3" s="31" t="s">
        <v>114</v>
      </c>
      <c r="P3" s="12" t="s">
        <v>172</v>
      </c>
      <c r="R3" s="32" t="s">
        <v>116</v>
      </c>
      <c r="S3" s="33" t="s">
        <v>117</v>
      </c>
      <c r="U3" s="32" t="s">
        <v>118</v>
      </c>
      <c r="W3" s="32" t="s">
        <v>39</v>
      </c>
      <c r="Y3" s="32" t="s">
        <v>173</v>
      </c>
    </row>
    <row r="4" customFormat="false" ht="7.5" hidden="false" customHeight="true" outlineLevel="0" collapsed="false"/>
    <row r="5" customFormat="false" ht="51.75" hidden="false" customHeight="true" outlineLevel="0" collapsed="false">
      <c r="A5" s="142" t="s">
        <v>308</v>
      </c>
      <c r="B5" s="142" t="s">
        <v>309</v>
      </c>
      <c r="C5" s="142" t="s">
        <v>310</v>
      </c>
      <c r="D5" s="142" t="s">
        <v>156</v>
      </c>
      <c r="E5" s="142" t="s">
        <v>142</v>
      </c>
      <c r="F5" s="142" t="s">
        <v>474</v>
      </c>
      <c r="G5" s="143" t="s">
        <v>475</v>
      </c>
      <c r="H5" s="143" t="s">
        <v>476</v>
      </c>
      <c r="I5" s="143" t="s">
        <v>477</v>
      </c>
      <c r="J5" s="143" t="s">
        <v>478</v>
      </c>
      <c r="K5" s="144" t="s">
        <v>479</v>
      </c>
      <c r="L5" s="144" t="s">
        <v>480</v>
      </c>
      <c r="M5" s="144" t="s">
        <v>481</v>
      </c>
      <c r="N5" s="144" t="s">
        <v>482</v>
      </c>
      <c r="O5" s="144" t="s">
        <v>483</v>
      </c>
      <c r="P5" s="144" t="s">
        <v>484</v>
      </c>
      <c r="Q5" s="144" t="s">
        <v>451</v>
      </c>
      <c r="R5" s="144" t="s">
        <v>485</v>
      </c>
      <c r="S5" s="144" t="s">
        <v>486</v>
      </c>
      <c r="T5" s="144" t="s">
        <v>127</v>
      </c>
      <c r="U5" s="145" t="s">
        <v>487</v>
      </c>
      <c r="V5" s="145" t="s">
        <v>453</v>
      </c>
      <c r="W5" s="145" t="s">
        <v>454</v>
      </c>
      <c r="X5" s="145" t="s">
        <v>488</v>
      </c>
      <c r="Y5" s="146" t="s">
        <v>489</v>
      </c>
      <c r="Z5" s="147" t="s">
        <v>490</v>
      </c>
      <c r="AA5" s="147" t="s">
        <v>491</v>
      </c>
      <c r="AB5" s="147" t="s">
        <v>492</v>
      </c>
      <c r="AC5" s="147" t="s">
        <v>493</v>
      </c>
      <c r="AD5" s="148" t="s">
        <v>494</v>
      </c>
      <c r="AE5" s="148" t="s">
        <v>495</v>
      </c>
      <c r="AF5" s="148" t="s">
        <v>496</v>
      </c>
      <c r="AG5" s="149" t="s">
        <v>497</v>
      </c>
      <c r="AH5" s="150" t="s">
        <v>498</v>
      </c>
      <c r="AI5" s="150" t="s">
        <v>499</v>
      </c>
      <c r="AJ5" s="150" t="s">
        <v>500</v>
      </c>
      <c r="AK5" s="150" t="s">
        <v>501</v>
      </c>
      <c r="AL5" s="150" t="s">
        <v>502</v>
      </c>
      <c r="AM5" s="150" t="s">
        <v>503</v>
      </c>
      <c r="AN5" s="150" t="s">
        <v>504</v>
      </c>
    </row>
    <row r="6" customFormat="false" ht="15" hidden="false" customHeight="false" outlineLevel="0" collapsed="false">
      <c r="A6" s="106" t="n">
        <f aca="false">IF($B6="","",الموظفون!$A6)</f>
        <v>1</v>
      </c>
      <c r="B6" s="114" t="str">
        <f aca="false">IF(الموظفون!$B6="","",الموظفون!$B6)</f>
        <v>E001</v>
      </c>
      <c r="C6" s="114" t="str">
        <f aca="false">IF($B6="","",الموظفون!$C6)</f>
        <v>عبدالله محمد العتيبي</v>
      </c>
      <c r="D6" s="114" t="str">
        <f aca="false">IF($B6="","",الموظفون!$F6)</f>
        <v>الإدارة العليا</v>
      </c>
      <c r="E6" s="114" t="str">
        <f aca="false">IF($B6="","",الموظفون!$E6)</f>
        <v>سعودي</v>
      </c>
      <c r="F6" s="114" t="str">
        <f aca="false">IF($B6="","",IF(AK6=0,IF(AND(الموظفون!$AE6&lt;&gt;"",الموظفون!$AE6&lt;$E$3),"✖ منتهي الخدمة","⏳ لم يباشر"),IF(S6&gt;0,"✈ راتب إجازة مقدم",IF(J6=0,"⛔ بدون راتب هذا الشهر",IF(I6&gt;0,"✈ خصم "&amp;ROUND(I6,2)&amp;" يوم بدون أجر",IF(AL6&gt;0,"🌴 إجازة سنوية "&amp;ROUND(AL6,2)&amp;" يوم",IF(H6&gt;0,"⚠ غياب "&amp;ROUND(H6,2)&amp;" يوم","✔ على رأس العمل")))))))</f>
        <v>✔ على رأس العمل</v>
      </c>
      <c r="G6" s="151" t="n">
        <f aca="false">IF($B6="","",IF(AK6&gt;=DAY($F$3),cfg_DAYS_M,MIN(AK6,cfg_DAYS_M)))</f>
        <v>30</v>
      </c>
      <c r="H6" s="151" t="n">
        <f aca="false">IF($B6="","",SUMIFS('الحركات الشهرية'!$D$6:$D$1005,'الحركات الشهرية'!$B$6:$B$1005,$B6,'الحركات الشهرية'!$A$6:$A$1005,$C$3))</f>
        <v>0</v>
      </c>
      <c r="I6" s="151" t="n">
        <f aca="false">IF($B6="","",MIN(G6,IF(AND(AK6&gt;0,AN6&gt;=AK6),G6,AN6)+SUMIFS('الحركات الشهرية'!$E$6:$E$1005,'الحركات الشهرية'!$B$6:$B$1005,$B6,'الحركات الشهرية'!$A$6:$A$1005,$C$3)))</f>
        <v>0</v>
      </c>
      <c r="J6" s="151" t="n">
        <f aca="false">IF($B6="","",MAX(0,G6-H6-I6))</f>
        <v>30</v>
      </c>
      <c r="K6" s="111" t="n">
        <f aca="false">IF($B6="","",الموظفون!$L6*$J6/cfg_DAYS_M)</f>
        <v>28000</v>
      </c>
      <c r="L6" s="111" t="n">
        <f aca="false">IF($B6="","",الموظفون!$M6*$J6/cfg_DAYS_M)</f>
        <v>7000</v>
      </c>
      <c r="M6" s="111" t="n">
        <f aca="false">IF($B6="","",الموظفون!$N6*$J6/cfg_DAYS_M)</f>
        <v>2800</v>
      </c>
      <c r="N6" s="111" t="n">
        <f aca="false">IF($B6="","",الموظفون!$O6*$J6/cfg_DAYS_M)</f>
        <v>3000</v>
      </c>
      <c r="O6" s="151" t="n">
        <f aca="false">IF($B6="","",SUMIFS('الحركات الشهرية'!$F$6:$F$1005,'الحركات الشهرية'!$B$6:$B$1005,$B6,'الحركات الشهرية'!$A$6:$A$1005,$C$3))</f>
        <v>0</v>
      </c>
      <c r="P6" s="111" t="n">
        <f aca="false">IF($B6="","",O6*(الموظفون!$P6+الموظفون!$L6*cfg_OT_P)/cfg_DAYS_M/cfg_HRS)</f>
        <v>0</v>
      </c>
      <c r="Q6" s="111" t="n">
        <f aca="false">IF($B6="","",SUMIFS('الحركات الشهرية'!$G$6:$G$1005,'الحركات الشهرية'!$B$6:$B$1005,$B6,'الحركات الشهرية'!$A$6:$A$1005,$C$3))</f>
        <v>0</v>
      </c>
      <c r="R6" s="111" t="n">
        <f aca="false">IF($B6="","",SUMIFS('الحركات الشهرية'!$H$6:$H$1005,'الحركات الشهرية'!$B$6:$B$1005,$B6,'الحركات الشهرية'!$A$6:$A$1005,$C$3))</f>
        <v>0</v>
      </c>
      <c r="S6" s="111" t="n">
        <f aca="false">IF($B6="","",SUMIFS('سجل الإجازات والحالات'!$N$6:$N$505,'سجل الإجازات والحالات'!$B$6:$B$505,$B6,'سجل الإجازات والحالات'!$O$6:$O$505,$C$3))</f>
        <v>0</v>
      </c>
      <c r="T6" s="152" t="n">
        <f aca="false">IF($B6="","",SUM(K6:N6)+SUM(P6:S6))</f>
        <v>40800</v>
      </c>
      <c r="U6" s="111" t="n">
        <f aca="false">IF($B6="","",الموظفون!$S6*IF(E6="سعودي",cfg_G_SE,cfg_G_NE)*G6/cfg_DAYS_M)</f>
        <v>3412.5</v>
      </c>
      <c r="V6" s="111" t="n">
        <f aca="false">IF($B6="","",SUMIFS('الحركات الشهرية'!$I$6:$I$1005,'الحركات الشهرية'!$B$6:$B$1005,$B6,'الحركات الشهرية'!$A$6:$A$1005,$C$3))</f>
        <v>0</v>
      </c>
      <c r="W6" s="111" t="n">
        <f aca="false">IF($B6="","",SUMIFS('الحركات الشهرية'!$J$6:$J$1005,'الحركات الشهرية'!$B$6:$B$1005,$B6,'الحركات الشهرية'!$A$6:$A$1005,$C$3))</f>
        <v>0</v>
      </c>
      <c r="X6" s="111" t="n">
        <f aca="false">IF($B6="","",SUM(U6:W6))</f>
        <v>3412.5</v>
      </c>
      <c r="Y6" s="153" t="n">
        <f aca="false">IF($B6="","",T6-X6)</f>
        <v>37387.5</v>
      </c>
      <c r="Z6" s="111" t="n">
        <f aca="false">IF($B6="","",الموظفون!$S6*IF(E6="سعودي",cfg_G_SR,cfg_G_NR)*G6/cfg_DAYS_M)</f>
        <v>4112.5</v>
      </c>
      <c r="AA6" s="111" t="n">
        <f aca="false">IF($B6="","",الموظفون!$Q6*(cfg_EOS_R1*(MIN(AH6,cfg_EOS_TH)-MIN(AI6,cfg_EOS_TH))+cfg_EOS_R2*(MAX(AH6-cfg_EOS_TH,0)-MAX(AI6-cfg_EOS_TH,0))))</f>
        <v>3106.84931506854</v>
      </c>
      <c r="AB6" s="111" t="n">
        <f aca="false">IF($B6="","",IF(الموظفون!$T6&lt;&gt;"",الموظفون!$T6,IF(AH6&gt;=cfg_LV_TH,cfg_LV_D2,cfg_LV_D1))/cfg_DAYS_Y*AJ6*الموظفون!$R6/cfg_DAYS_M)</f>
        <v>3106.84931506849</v>
      </c>
      <c r="AC6" s="111" t="n">
        <f aca="false">IF($B6="","",IF(AND(الموظفون!$U6="نعم",N(الموظفون!$W6)&gt;0),الموظفون!$V6/الموظفون!$W6*12/cfg_DAYS_Y*AJ6,0))</f>
        <v>0</v>
      </c>
      <c r="AD6" s="111" t="n">
        <f aca="false">IF($B6="","",(IF(الموظفون!$X6&lt;&gt;"",الموظفون!$X6,IF(الموظفون!$E6="غير سعودي",cfg_IQ,0))+IF(الموظفون!$Y6&lt;&gt;"",الموظفون!$Y6,IF(الموظفون!$E6="غير سعودي",cfg_WP,0)))/12*G6/cfg_DAYS_M)</f>
        <v>0</v>
      </c>
      <c r="AE6" s="111" t="n">
        <f aca="false">IF($B6="","",IF(الموظفون!$Z6&lt;&gt;"",الموظفون!$Z6,cfg_MED)/12*G6/cfg_DAYS_M)</f>
        <v>400</v>
      </c>
      <c r="AF6" s="111" t="n">
        <f aca="false">IF($B6="","",N(الموظفون!$AA6)/12*G6/cfg_DAYS_M)</f>
        <v>0</v>
      </c>
      <c r="AG6" s="154" t="n">
        <f aca="false">IF($B6="","",T6+SUM(Z6:AF6))</f>
        <v>51526.198630137</v>
      </c>
      <c r="AH6" s="155" t="n">
        <f aca="false">IF($B6="","",MAX(0,IF(OR(الموظفون!$AE6="",الموظفون!$AE6&gt;$F$3),$F$3,الموظفون!$AE6)-الموظفون!$H6+1-SUMIFS('سجل الإجازات والحالات'!$AR$6:$AR$505,'سجل الإجازات والحالات'!$B$6:$B$505,$B6))/cfg_DAYS_Y)</f>
        <v>14.8876712328767</v>
      </c>
      <c r="AI6" s="155" t="n">
        <f aca="false">IF($B6="","",MAX(0,IF(OR(الموظفون!$AE6="",الموظفون!$AE6&gt;($E$3-1)),($E$3-1),الموظفون!$AE6)-الموظفون!$H6+1-SUMIFS('سجل الإجازات والحالات'!$AQ$6:$AQ$505,'سجل الإجازات والحالات'!$B$6:$B$505,$B6))/cfg_DAYS_Y)</f>
        <v>14.8054794520548</v>
      </c>
      <c r="AJ6" s="65" t="n">
        <f aca="false">IF($B6="","",MAX(0,AK6-(SUMIFS('سجل الإجازات والحالات'!$AR$6:$AR$505,'سجل الإجازات والحالات'!$B$6:$B$505,$B6)-SUMIFS('سجل الإجازات والحالات'!$AQ$6:$AQ$505,'سجل الإجازات والحالات'!$B$6:$B$505,$B6))))</f>
        <v>30</v>
      </c>
      <c r="AK6" s="65" t="n">
        <f aca="false">IF($B6="","",MAX(0,IF(OR(الموظفون!$AE6="",الموظفون!$AE6&gt;$F$3),$F$3,الموظفون!$AE6)-MAX($E$3,الموظفون!$H6)+1))</f>
        <v>30</v>
      </c>
      <c r="AL6" s="151" t="n">
        <f aca="false">IF($B6="","",SUMIFS('سجل الإجازات والحالات'!$BD$6:$BD$505,'سجل الإجازات والحالات'!$B$6:$B$505,$B6)+SUMIFS('الحركات الشهرية'!$K$6:$K$1005,'الحركات الشهرية'!$B$6:$B$1005,$B6,'الحركات الشهرية'!$A$6:$A$1005,$C$3))</f>
        <v>0</v>
      </c>
      <c r="AM6" s="111" t="n">
        <f aca="false">IF($B6="","",AL6*الموظفون!$R6/cfg_DAYS_M+S6)</f>
        <v>0</v>
      </c>
      <c r="AN6" s="151" t="n">
        <f aca="false">IF($B6="","",SUMIFS('سجل الإجازات والحالات'!$AF$6:$AF$505,'سجل الإجازات والحالات'!$B$6:$B$505,$B6))</f>
        <v>0</v>
      </c>
    </row>
    <row r="7" customFormat="false" ht="15" hidden="false" customHeight="false" outlineLevel="0" collapsed="false">
      <c r="A7" s="115" t="n">
        <f aca="false">IF($B7="","",الموظفون!$A7)</f>
        <v>2</v>
      </c>
      <c r="B7" s="117" t="str">
        <f aca="false">IF(الموظفون!$B7="","",الموظفون!$B7)</f>
        <v>E002</v>
      </c>
      <c r="C7" s="117" t="str">
        <f aca="false">IF($B7="","",الموظفون!$C7)</f>
        <v>أحمد سعيد القحطاني</v>
      </c>
      <c r="D7" s="117" t="str">
        <f aca="false">IF($B7="","",الموظفون!$F7)</f>
        <v>المالية</v>
      </c>
      <c r="E7" s="117" t="str">
        <f aca="false">IF($B7="","",الموظفون!$E7)</f>
        <v>سعودي</v>
      </c>
      <c r="F7" s="117" t="str">
        <f aca="false">IF($B7="","",IF(AK7=0,IF(AND(الموظفون!$AE7&lt;&gt;"",الموظفون!$AE7&lt;$E$3),"✖ منتهي الخدمة","⏳ لم يباشر"),IF(S7&gt;0,"✈ راتب إجازة مقدم",IF(J7=0,"⛔ بدون راتب هذا الشهر",IF(I7&gt;0,"✈ خصم "&amp;ROUND(I7,2)&amp;" يوم بدون أجر",IF(AL7&gt;0,"🌴 إجازة سنوية "&amp;ROUND(AL7,2)&amp;" يوم",IF(H7&gt;0,"⚠ غياب "&amp;ROUND(H7,2)&amp;" يوم","✔ على رأس العمل")))))))</f>
        <v>✔ على رأس العمل</v>
      </c>
      <c r="G7" s="156" t="n">
        <f aca="false">IF($B7="","",IF(AK7&gt;=DAY($F$3),cfg_DAYS_M,MIN(AK7,cfg_DAYS_M)))</f>
        <v>30</v>
      </c>
      <c r="H7" s="156" t="n">
        <f aca="false">IF($B7="","",SUMIFS('الحركات الشهرية'!$D$6:$D$1005,'الحركات الشهرية'!$B$6:$B$1005,$B7,'الحركات الشهرية'!$A$6:$A$1005,$C$3))</f>
        <v>0</v>
      </c>
      <c r="I7" s="156" t="n">
        <f aca="false">IF($B7="","",MIN(G7,IF(AND(AK7&gt;0,AN7&gt;=AK7),G7,AN7)+SUMIFS('الحركات الشهرية'!$E$6:$E$1005,'الحركات الشهرية'!$B$6:$B$1005,$B7,'الحركات الشهرية'!$A$6:$A$1005,$C$3)))</f>
        <v>0</v>
      </c>
      <c r="J7" s="156" t="n">
        <f aca="false">IF($B7="","",MAX(0,G7-H7-I7))</f>
        <v>30</v>
      </c>
      <c r="K7" s="116" t="n">
        <f aca="false">IF($B7="","",الموظفون!$L7*$J7/cfg_DAYS_M)</f>
        <v>18000</v>
      </c>
      <c r="L7" s="116" t="n">
        <f aca="false">IF($B7="","",الموظفون!$M7*$J7/cfg_DAYS_M)</f>
        <v>4500</v>
      </c>
      <c r="M7" s="116" t="n">
        <f aca="false">IF($B7="","",الموظفون!$N7*$J7/cfg_DAYS_M)</f>
        <v>1800</v>
      </c>
      <c r="N7" s="116" t="n">
        <f aca="false">IF($B7="","",الموظفون!$O7*$J7/cfg_DAYS_M)</f>
        <v>1000</v>
      </c>
      <c r="O7" s="156" t="n">
        <f aca="false">IF($B7="","",SUMIFS('الحركات الشهرية'!$F$6:$F$1005,'الحركات الشهرية'!$B$6:$B$1005,$B7,'الحركات الشهرية'!$A$6:$A$1005,$C$3))</f>
        <v>0</v>
      </c>
      <c r="P7" s="116" t="n">
        <f aca="false">IF($B7="","",O7*(الموظفون!$P7+الموظفون!$L7*cfg_OT_P)/cfg_DAYS_M/cfg_HRS)</f>
        <v>0</v>
      </c>
      <c r="Q7" s="116" t="n">
        <f aca="false">IF($B7="","",SUMIFS('الحركات الشهرية'!$G$6:$G$1005,'الحركات الشهرية'!$B$6:$B$1005,$B7,'الحركات الشهرية'!$A$6:$A$1005,$C$3))</f>
        <v>0</v>
      </c>
      <c r="R7" s="116" t="n">
        <f aca="false">IF($B7="","",SUMIFS('الحركات الشهرية'!$H$6:$H$1005,'الحركات الشهرية'!$B$6:$B$1005,$B7,'الحركات الشهرية'!$A$6:$A$1005,$C$3))</f>
        <v>0</v>
      </c>
      <c r="S7" s="116" t="n">
        <f aca="false">IF($B7="","",SUMIFS('سجل الإجازات والحالات'!$N$6:$N$505,'سجل الإجازات والحالات'!$B$6:$B$505,$B7,'سجل الإجازات والحالات'!$O$6:$O$505,$C$3))</f>
        <v>0</v>
      </c>
      <c r="T7" s="157" t="n">
        <f aca="false">IF($B7="","",SUM(K7:N7)+SUM(P7:S7))</f>
        <v>25300</v>
      </c>
      <c r="U7" s="116" t="n">
        <f aca="false">IF($B7="","",الموظفون!$S7*IF(E7="سعودي",cfg_G_SE,cfg_G_NE)*G7/cfg_DAYS_M)</f>
        <v>2193.75</v>
      </c>
      <c r="V7" s="116" t="n">
        <f aca="false">IF($B7="","",SUMIFS('الحركات الشهرية'!$I$6:$I$1005,'الحركات الشهرية'!$B$6:$B$1005,$B7,'الحركات الشهرية'!$A$6:$A$1005,$C$3))</f>
        <v>0</v>
      </c>
      <c r="W7" s="116" t="n">
        <f aca="false">IF($B7="","",SUMIFS('الحركات الشهرية'!$J$6:$J$1005,'الحركات الشهرية'!$B$6:$B$1005,$B7,'الحركات الشهرية'!$A$6:$A$1005,$C$3))</f>
        <v>0</v>
      </c>
      <c r="X7" s="116" t="n">
        <f aca="false">IF($B7="","",SUM(U7:W7))</f>
        <v>2193.75</v>
      </c>
      <c r="Y7" s="158" t="n">
        <f aca="false">IF($B7="","",T7-X7)</f>
        <v>23106.25</v>
      </c>
      <c r="Z7" s="116" t="n">
        <f aca="false">IF($B7="","",الموظفون!$S7*IF(E7="سعودي",cfg_G_SR,cfg_G_NR)*G7/cfg_DAYS_M)</f>
        <v>2643.75</v>
      </c>
      <c r="AA7" s="116" t="n">
        <f aca="false">IF($B7="","",الموظفون!$Q7*(cfg_EOS_R1*(MIN(AH7,cfg_EOS_TH)-MIN(AI7,cfg_EOS_TH))+cfg_EOS_R2*(MAX(AH7-cfg_EOS_TH,0)-MAX(AI7-cfg_EOS_TH,0))))</f>
        <v>1997.26027397259</v>
      </c>
      <c r="AB7" s="116" t="n">
        <f aca="false">IF($B7="","",IF(الموظفون!$T7&lt;&gt;"",الموظفون!$T7,IF(AH7&gt;=cfg_LV_TH,cfg_LV_D2,cfg_LV_D1))/cfg_DAYS_Y*AJ7*الموظفون!$R7/cfg_DAYS_M)</f>
        <v>1997.2602739726</v>
      </c>
      <c r="AC7" s="116" t="n">
        <f aca="false">IF($B7="","",IF(AND(الموظفون!$U7="نعم",N(الموظفون!$W7)&gt;0),الموظفون!$V7/الموظفون!$W7*12/cfg_DAYS_Y*AJ7,0))</f>
        <v>0</v>
      </c>
      <c r="AD7" s="116" t="n">
        <f aca="false">IF($B7="","",(IF(الموظفون!$X7&lt;&gt;"",الموظفون!$X7,IF(الموظفون!$E7="غير سعودي",cfg_IQ,0))+IF(الموظفون!$Y7&lt;&gt;"",الموظفون!$Y7,IF(الموظفون!$E7="غير سعودي",cfg_WP,0)))/12*G7/cfg_DAYS_M)</f>
        <v>0</v>
      </c>
      <c r="AE7" s="116" t="n">
        <f aca="false">IF($B7="","",IF(الموظفون!$Z7&lt;&gt;"",الموظفون!$Z7,cfg_MED)/12*G7/cfg_DAYS_M)</f>
        <v>300</v>
      </c>
      <c r="AF7" s="116" t="n">
        <f aca="false">IF($B7="","",N(الموظفون!$AA7)/12*G7/cfg_DAYS_M)</f>
        <v>0</v>
      </c>
      <c r="AG7" s="159" t="n">
        <f aca="false">IF($B7="","",T7+SUM(Z7:AF7))</f>
        <v>32238.2705479452</v>
      </c>
      <c r="AH7" s="160" t="n">
        <f aca="false">IF($B7="","",MAX(0,IF(OR(الموظفون!$AE7="",الموظفون!$AE7&gt;$F$3),$F$3,الموظفون!$AE7)-الموظفون!$H7+1-SUMIFS('سجل الإجازات والحالات'!$AR$6:$AR$505,'سجل الإجازات والحالات'!$B$6:$B$505,$B7))/cfg_DAYS_Y)</f>
        <v>10.5068493150685</v>
      </c>
      <c r="AI7" s="160" t="n">
        <f aca="false">IF($B7="","",MAX(0,IF(OR(الموظفون!$AE7="",الموظفون!$AE7&gt;($E$3-1)),($E$3-1),الموظفون!$AE7)-الموظفون!$H7+1-SUMIFS('سجل الإجازات والحالات'!$AQ$6:$AQ$505,'سجل الإجازات والحالات'!$B$6:$B$505,$B7))/cfg_DAYS_Y)</f>
        <v>10.4246575342466</v>
      </c>
      <c r="AJ7" s="133" t="n">
        <f aca="false">IF($B7="","",MAX(0,AK7-(SUMIFS('سجل الإجازات والحالات'!$AR$6:$AR$505,'سجل الإجازات والحالات'!$B$6:$B$505,$B7)-SUMIFS('سجل الإجازات والحالات'!$AQ$6:$AQ$505,'سجل الإجازات والحالات'!$B$6:$B$505,$B7))))</f>
        <v>30</v>
      </c>
      <c r="AK7" s="133" t="n">
        <f aca="false">IF($B7="","",MAX(0,IF(OR(الموظفون!$AE7="",الموظفون!$AE7&gt;$F$3),$F$3,الموظفون!$AE7)-MAX($E$3,الموظفون!$H7)+1))</f>
        <v>30</v>
      </c>
      <c r="AL7" s="156" t="n">
        <f aca="false">IF($B7="","",SUMIFS('سجل الإجازات والحالات'!$BD$6:$BD$505,'سجل الإجازات والحالات'!$B$6:$B$505,$B7)+SUMIFS('الحركات الشهرية'!$K$6:$K$1005,'الحركات الشهرية'!$B$6:$B$1005,$B7,'الحركات الشهرية'!$A$6:$A$1005,$C$3))</f>
        <v>0</v>
      </c>
      <c r="AM7" s="116" t="n">
        <f aca="false">IF($B7="","",AL7*الموظفون!$R7/cfg_DAYS_M+S7)</f>
        <v>0</v>
      </c>
      <c r="AN7" s="156" t="n">
        <f aca="false">IF($B7="","",SUMIFS('سجل الإجازات والحالات'!$AF$6:$AF$505,'سجل الإجازات والحالات'!$B$6:$B$505,$B7))</f>
        <v>0</v>
      </c>
    </row>
    <row r="8" customFormat="false" ht="15" hidden="false" customHeight="false" outlineLevel="0" collapsed="false">
      <c r="A8" s="106" t="n">
        <f aca="false">IF($B8="","",الموظفون!$A8)</f>
        <v>3</v>
      </c>
      <c r="B8" s="114" t="str">
        <f aca="false">IF(الموظفون!$B8="","",الموظفون!$B8)</f>
        <v>E003</v>
      </c>
      <c r="C8" s="114" t="str">
        <f aca="false">IF($B8="","",الموظفون!$C8)</f>
        <v>محمد علي حسن</v>
      </c>
      <c r="D8" s="114" t="str">
        <f aca="false">IF($B8="","",الموظفون!$F8)</f>
        <v>المالية</v>
      </c>
      <c r="E8" s="114" t="str">
        <f aca="false">IF($B8="","",الموظفون!$E8)</f>
        <v>غير سعودي</v>
      </c>
      <c r="F8" s="114" t="str">
        <f aca="false">IF($B8="","",IF(AK8=0,IF(AND(الموظفون!$AE8&lt;&gt;"",الموظفون!$AE8&lt;$E$3),"✖ منتهي الخدمة","⏳ لم يباشر"),IF(S8&gt;0,"✈ راتب إجازة مقدم",IF(J8=0,"⛔ بدون راتب هذا الشهر",IF(I8&gt;0,"✈ خصم "&amp;ROUND(I8,2)&amp;" يوم بدون أجر",IF(AL8&gt;0,"🌴 إجازة سنوية "&amp;ROUND(AL8,2)&amp;" يوم",IF(H8&gt;0,"⚠ غياب "&amp;ROUND(H8,2)&amp;" يوم","✔ على رأس العمل")))))))</f>
        <v>✔ على رأس العمل</v>
      </c>
      <c r="G8" s="151" t="n">
        <f aca="false">IF($B8="","",IF(AK8&gt;=DAY($F$3),cfg_DAYS_M,MIN(AK8,cfg_DAYS_M)))</f>
        <v>30</v>
      </c>
      <c r="H8" s="151" t="n">
        <f aca="false">IF($B8="","",SUMIFS('الحركات الشهرية'!$D$6:$D$1005,'الحركات الشهرية'!$B$6:$B$1005,$B8,'الحركات الشهرية'!$A$6:$A$1005,$C$3))</f>
        <v>0</v>
      </c>
      <c r="I8" s="151" t="n">
        <f aca="false">IF($B8="","",MIN(G8,IF(AND(AK8&gt;0,AN8&gt;=AK8),G8,AN8)+SUMIFS('الحركات الشهرية'!$E$6:$E$1005,'الحركات الشهرية'!$B$6:$B$1005,$B8,'الحركات الشهرية'!$A$6:$A$1005,$C$3)))</f>
        <v>0</v>
      </c>
      <c r="J8" s="151" t="n">
        <f aca="false">IF($B8="","",MAX(0,G8-H8-I8))</f>
        <v>30</v>
      </c>
      <c r="K8" s="111" t="n">
        <f aca="false">IF($B8="","",الموظفون!$L8*$J8/cfg_DAYS_M)</f>
        <v>8500</v>
      </c>
      <c r="L8" s="111" t="n">
        <f aca="false">IF($B8="","",الموظفون!$M8*$J8/cfg_DAYS_M)</f>
        <v>2125</v>
      </c>
      <c r="M8" s="111" t="n">
        <f aca="false">IF($B8="","",الموظفون!$N8*$J8/cfg_DAYS_M)</f>
        <v>850</v>
      </c>
      <c r="N8" s="111" t="n">
        <f aca="false">IF($B8="","",الموظفون!$O8*$J8/cfg_DAYS_M)</f>
        <v>500</v>
      </c>
      <c r="O8" s="151" t="n">
        <f aca="false">IF($B8="","",SUMIFS('الحركات الشهرية'!$F$6:$F$1005,'الحركات الشهرية'!$B$6:$B$1005,$B8,'الحركات الشهرية'!$A$6:$A$1005,$C$3))</f>
        <v>0</v>
      </c>
      <c r="P8" s="111" t="n">
        <f aca="false">IF($B8="","",O8*(الموظفون!$P8+الموظفون!$L8*cfg_OT_P)/cfg_DAYS_M/cfg_HRS)</f>
        <v>0</v>
      </c>
      <c r="Q8" s="111" t="n">
        <f aca="false">IF($B8="","",SUMIFS('الحركات الشهرية'!$G$6:$G$1005,'الحركات الشهرية'!$B$6:$B$1005,$B8,'الحركات الشهرية'!$A$6:$A$1005,$C$3))</f>
        <v>0</v>
      </c>
      <c r="R8" s="111" t="n">
        <f aca="false">IF($B8="","",SUMIFS('الحركات الشهرية'!$H$6:$H$1005,'الحركات الشهرية'!$B$6:$B$1005,$B8,'الحركات الشهرية'!$A$6:$A$1005,$C$3))</f>
        <v>0</v>
      </c>
      <c r="S8" s="111" t="n">
        <f aca="false">IF($B8="","",SUMIFS('سجل الإجازات والحالات'!$N$6:$N$505,'سجل الإجازات والحالات'!$B$6:$B$505,$B8,'سجل الإجازات والحالات'!$O$6:$O$505,$C$3))</f>
        <v>0</v>
      </c>
      <c r="T8" s="152" t="n">
        <f aca="false">IF($B8="","",SUM(K8:N8)+SUM(P8:S8))</f>
        <v>11975</v>
      </c>
      <c r="U8" s="111" t="n">
        <f aca="false">IF($B8="","",الموظفون!$S8*IF(E8="سعودي",cfg_G_SE,cfg_G_NE)*G8/cfg_DAYS_M)</f>
        <v>0</v>
      </c>
      <c r="V8" s="111" t="n">
        <f aca="false">IF($B8="","",SUMIFS('الحركات الشهرية'!$I$6:$I$1005,'الحركات الشهرية'!$B$6:$B$1005,$B8,'الحركات الشهرية'!$A$6:$A$1005,$C$3))</f>
        <v>0</v>
      </c>
      <c r="W8" s="111" t="n">
        <f aca="false">IF($B8="","",SUMIFS('الحركات الشهرية'!$J$6:$J$1005,'الحركات الشهرية'!$B$6:$B$1005,$B8,'الحركات الشهرية'!$A$6:$A$1005,$C$3))</f>
        <v>0</v>
      </c>
      <c r="X8" s="111" t="n">
        <f aca="false">IF($B8="","",SUM(U8:W8))</f>
        <v>0</v>
      </c>
      <c r="Y8" s="153" t="n">
        <f aca="false">IF($B8="","",T8-X8)</f>
        <v>11975</v>
      </c>
      <c r="Z8" s="111" t="n">
        <f aca="false">IF($B8="","",الموظفون!$S8*IF(E8="سعودي",cfg_G_SR,cfg_G_NR)*G8/cfg_DAYS_M)</f>
        <v>212.5</v>
      </c>
      <c r="AA8" s="111" t="n">
        <f aca="false">IF($B8="","",الموظفون!$Q8*(cfg_EOS_R1*(MIN(AH8,cfg_EOS_TH)-MIN(AI8,cfg_EOS_TH))+cfg_EOS_R2*(MAX(AH8-cfg_EOS_TH,0)-MAX(AI8-cfg_EOS_TH,0))))</f>
        <v>943.150684931501</v>
      </c>
      <c r="AB8" s="111" t="n">
        <f aca="false">IF($B8="","",IF(الموظفون!$T8&lt;&gt;"",الموظفون!$T8,IF(AH8&gt;=cfg_LV_TH,cfg_LV_D2,cfg_LV_D1))/cfg_DAYS_Y*AJ8*الموظفون!$R8/cfg_DAYS_M)</f>
        <v>943.150684931507</v>
      </c>
      <c r="AC8" s="111" t="n">
        <f aca="false">IF($B8="","",IF(AND(الموظفون!$U8="نعم",N(الموظفون!$W8)&gt;0),الموظفون!$V8/الموظفون!$W8*12/cfg_DAYS_Y*AJ8,0))</f>
        <v>131.506849315068</v>
      </c>
      <c r="AD8" s="111" t="n">
        <f aca="false">IF($B8="","",(IF(الموظفون!$X8&lt;&gt;"",الموظفون!$X8,IF(الموظفون!$E8="غير سعودي",cfg_IQ,0))+IF(الموظفون!$Y8&lt;&gt;"",الموظفون!$Y8,IF(الموظفون!$E8="غير سعودي",cfg_WP,0)))/12*G8/cfg_DAYS_M)</f>
        <v>854.166666666667</v>
      </c>
      <c r="AE8" s="111" t="n">
        <f aca="false">IF($B8="","",IF(الموظفون!$Z8&lt;&gt;"",الموظفون!$Z8,cfg_MED)/12*G8/cfg_DAYS_M)</f>
        <v>200</v>
      </c>
      <c r="AF8" s="111" t="n">
        <f aca="false">IF($B8="","",N(الموظفون!$AA8)/12*G8/cfg_DAYS_M)</f>
        <v>0</v>
      </c>
      <c r="AG8" s="154" t="n">
        <f aca="false">IF($B8="","",T8+SUM(Z8:AF8))</f>
        <v>15259.4748858447</v>
      </c>
      <c r="AH8" s="155" t="n">
        <f aca="false">IF($B8="","",MAX(0,IF(OR(الموظفون!$AE8="",الموظفون!$AE8&gt;$F$3),$F$3,الموظفون!$AE8)-الموظفون!$H8+1-SUMIFS('سجل الإجازات والحالات'!$AR$6:$AR$505,'سجل الإجازات والحالات'!$B$6:$B$505,$B8))/cfg_DAYS_Y)</f>
        <v>8.23013698630137</v>
      </c>
      <c r="AI8" s="155" t="n">
        <f aca="false">IF($B8="","",MAX(0,IF(OR(الموظفون!$AE8="",الموظفون!$AE8&gt;($E$3-1)),($E$3-1),الموظفون!$AE8)-الموظفون!$H8+1-SUMIFS('سجل الإجازات والحالات'!$AQ$6:$AQ$505,'سجل الإجازات والحالات'!$B$6:$B$505,$B8))/cfg_DAYS_Y)</f>
        <v>8.14794520547945</v>
      </c>
      <c r="AJ8" s="65" t="n">
        <f aca="false">IF($B8="","",MAX(0,AK8-(SUMIFS('سجل الإجازات والحالات'!$AR$6:$AR$505,'سجل الإجازات والحالات'!$B$6:$B$505,$B8)-SUMIFS('سجل الإجازات والحالات'!$AQ$6:$AQ$505,'سجل الإجازات والحالات'!$B$6:$B$505,$B8))))</f>
        <v>30</v>
      </c>
      <c r="AK8" s="65" t="n">
        <f aca="false">IF($B8="","",MAX(0,IF(OR(الموظفون!$AE8="",الموظفون!$AE8&gt;$F$3),$F$3,الموظفون!$AE8)-MAX($E$3,الموظفون!$H8)+1))</f>
        <v>30</v>
      </c>
      <c r="AL8" s="151" t="n">
        <f aca="false">IF($B8="","",SUMIFS('سجل الإجازات والحالات'!$BD$6:$BD$505,'سجل الإجازات والحالات'!$B$6:$B$505,$B8)+SUMIFS('الحركات الشهرية'!$K$6:$K$1005,'الحركات الشهرية'!$B$6:$B$1005,$B8,'الحركات الشهرية'!$A$6:$A$1005,$C$3))</f>
        <v>0</v>
      </c>
      <c r="AM8" s="111" t="n">
        <f aca="false">IF($B8="","",AL8*الموظفون!$R8/cfg_DAYS_M+S8)</f>
        <v>0</v>
      </c>
      <c r="AN8" s="151" t="n">
        <f aca="false">IF($B8="","",SUMIFS('سجل الإجازات والحالات'!$AF$6:$AF$505,'سجل الإجازات والحالات'!$B$6:$B$505,$B8))</f>
        <v>0</v>
      </c>
    </row>
    <row r="9" customFormat="false" ht="15" hidden="false" customHeight="false" outlineLevel="0" collapsed="false">
      <c r="A9" s="115" t="n">
        <f aca="false">IF($B9="","",الموظفون!$A9)</f>
        <v>4</v>
      </c>
      <c r="B9" s="117" t="str">
        <f aca="false">IF(الموظفون!$B9="","",الموظفون!$B9)</f>
        <v>E004</v>
      </c>
      <c r="C9" s="117" t="str">
        <f aca="false">IF($B9="","",الموظفون!$C9)</f>
        <v>نورة خالد الدوسري</v>
      </c>
      <c r="D9" s="117" t="str">
        <f aca="false">IF($B9="","",الموظفون!$F9)</f>
        <v>الموارد البشرية</v>
      </c>
      <c r="E9" s="117" t="str">
        <f aca="false">IF($B9="","",الموظفون!$E9)</f>
        <v>سعودي</v>
      </c>
      <c r="F9" s="117" t="str">
        <f aca="false">IF($B9="","",IF(AK9=0,IF(AND(الموظفون!$AE9&lt;&gt;"",الموظفون!$AE9&lt;$E$3),"✖ منتهي الخدمة","⏳ لم يباشر"),IF(S9&gt;0,"✈ راتب إجازة مقدم",IF(J9=0,"⛔ بدون راتب هذا الشهر",IF(I9&gt;0,"✈ خصم "&amp;ROUND(I9,2)&amp;" يوم بدون أجر",IF(AL9&gt;0,"🌴 إجازة سنوية "&amp;ROUND(AL9,2)&amp;" يوم",IF(H9&gt;0,"⚠ غياب "&amp;ROUND(H9,2)&amp;" يوم","✔ على رأس العمل")))))))</f>
        <v>✔ على رأس العمل</v>
      </c>
      <c r="G9" s="156" t="n">
        <f aca="false">IF($B9="","",IF(AK9&gt;=DAY($F$3),cfg_DAYS_M,MIN(AK9,cfg_DAYS_M)))</f>
        <v>30</v>
      </c>
      <c r="H9" s="156" t="n">
        <f aca="false">IF($B9="","",SUMIFS('الحركات الشهرية'!$D$6:$D$1005,'الحركات الشهرية'!$B$6:$B$1005,$B9,'الحركات الشهرية'!$A$6:$A$1005,$C$3))</f>
        <v>0</v>
      </c>
      <c r="I9" s="156" t="n">
        <f aca="false">IF($B9="","",MIN(G9,IF(AND(AK9&gt;0,AN9&gt;=AK9),G9,AN9)+SUMIFS('الحركات الشهرية'!$E$6:$E$1005,'الحركات الشهرية'!$B$6:$B$1005,$B9,'الحركات الشهرية'!$A$6:$A$1005,$C$3)))</f>
        <v>0</v>
      </c>
      <c r="J9" s="156" t="n">
        <f aca="false">IF($B9="","",MAX(0,G9-H9-I9))</f>
        <v>30</v>
      </c>
      <c r="K9" s="116" t="n">
        <f aca="false">IF($B9="","",الموظفون!$L9*$J9/cfg_DAYS_M)</f>
        <v>14000</v>
      </c>
      <c r="L9" s="116" t="n">
        <f aca="false">IF($B9="","",الموظفون!$M9*$J9/cfg_DAYS_M)</f>
        <v>3500</v>
      </c>
      <c r="M9" s="116" t="n">
        <f aca="false">IF($B9="","",الموظفون!$N9*$J9/cfg_DAYS_M)</f>
        <v>1400</v>
      </c>
      <c r="N9" s="116" t="n">
        <f aca="false">IF($B9="","",الموظفون!$O9*$J9/cfg_DAYS_M)</f>
        <v>0</v>
      </c>
      <c r="O9" s="156" t="n">
        <f aca="false">IF($B9="","",SUMIFS('الحركات الشهرية'!$F$6:$F$1005,'الحركات الشهرية'!$B$6:$B$1005,$B9,'الحركات الشهرية'!$A$6:$A$1005,$C$3))</f>
        <v>0</v>
      </c>
      <c r="P9" s="116" t="n">
        <f aca="false">IF($B9="","",O9*(الموظفون!$P9+الموظفون!$L9*cfg_OT_P)/cfg_DAYS_M/cfg_HRS)</f>
        <v>0</v>
      </c>
      <c r="Q9" s="116" t="n">
        <f aca="false">IF($B9="","",SUMIFS('الحركات الشهرية'!$G$6:$G$1005,'الحركات الشهرية'!$B$6:$B$1005,$B9,'الحركات الشهرية'!$A$6:$A$1005,$C$3))</f>
        <v>0</v>
      </c>
      <c r="R9" s="116" t="n">
        <f aca="false">IF($B9="","",SUMIFS('الحركات الشهرية'!$H$6:$H$1005,'الحركات الشهرية'!$B$6:$B$1005,$B9,'الحركات الشهرية'!$A$6:$A$1005,$C$3))</f>
        <v>0</v>
      </c>
      <c r="S9" s="116" t="n">
        <f aca="false">IF($B9="","",SUMIFS('سجل الإجازات والحالات'!$N$6:$N$505,'سجل الإجازات والحالات'!$B$6:$B$505,$B9,'سجل الإجازات والحالات'!$O$6:$O$505,$C$3))</f>
        <v>0</v>
      </c>
      <c r="T9" s="157" t="n">
        <f aca="false">IF($B9="","",SUM(K9:N9)+SUM(P9:S9))</f>
        <v>18900</v>
      </c>
      <c r="U9" s="116" t="n">
        <f aca="false">IF($B9="","",الموظفون!$S9*IF(E9="سعودي",cfg_G_SE,cfg_G_NE)*G9/cfg_DAYS_M)</f>
        <v>1706.25</v>
      </c>
      <c r="V9" s="116" t="n">
        <f aca="false">IF($B9="","",SUMIFS('الحركات الشهرية'!$I$6:$I$1005,'الحركات الشهرية'!$B$6:$B$1005,$B9,'الحركات الشهرية'!$A$6:$A$1005,$C$3))</f>
        <v>0</v>
      </c>
      <c r="W9" s="116" t="n">
        <f aca="false">IF($B9="","",SUMIFS('الحركات الشهرية'!$J$6:$J$1005,'الحركات الشهرية'!$B$6:$B$1005,$B9,'الحركات الشهرية'!$A$6:$A$1005,$C$3))</f>
        <v>0</v>
      </c>
      <c r="X9" s="116" t="n">
        <f aca="false">IF($B9="","",SUM(U9:W9))</f>
        <v>1706.25</v>
      </c>
      <c r="Y9" s="158" t="n">
        <f aca="false">IF($B9="","",T9-X9)</f>
        <v>17193.75</v>
      </c>
      <c r="Z9" s="116" t="n">
        <f aca="false">IF($B9="","",الموظفون!$S9*IF(E9="سعودي",cfg_G_SR,cfg_G_NR)*G9/cfg_DAYS_M)</f>
        <v>2056.25</v>
      </c>
      <c r="AA9" s="116" t="n">
        <f aca="false">IF($B9="","",الموظفون!$Q9*(cfg_EOS_R1*(MIN(AH9,cfg_EOS_TH)-MIN(AI9,cfg_EOS_TH))+cfg_EOS_R2*(MAX(AH9-cfg_EOS_TH,0)-MAX(AI9-cfg_EOS_TH,0))))</f>
        <v>1553.42465753425</v>
      </c>
      <c r="AB9" s="116" t="n">
        <f aca="false">IF($B9="","",IF(الموظفون!$T9&lt;&gt;"",الموظفون!$T9,IF(AH9&gt;=cfg_LV_TH,cfg_LV_D2,cfg_LV_D1))/cfg_DAYS_Y*AJ9*الموظفون!$R9/cfg_DAYS_M)</f>
        <v>1553.42465753425</v>
      </c>
      <c r="AC9" s="116" t="n">
        <f aca="false">IF($B9="","",IF(AND(الموظفون!$U9="نعم",N(الموظفون!$W9)&gt;0),الموظفون!$V9/الموظفون!$W9*12/cfg_DAYS_Y*AJ9,0))</f>
        <v>0</v>
      </c>
      <c r="AD9" s="116" t="n">
        <f aca="false">IF($B9="","",(IF(الموظفون!$X9&lt;&gt;"",الموظفون!$X9,IF(الموظفون!$E9="غير سعودي",cfg_IQ,0))+IF(الموظفون!$Y9&lt;&gt;"",الموظفون!$Y9,IF(الموظفون!$E9="غير سعودي",cfg_WP,0)))/12*G9/cfg_DAYS_M)</f>
        <v>0</v>
      </c>
      <c r="AE9" s="116" t="n">
        <f aca="false">IF($B9="","",IF(الموظفون!$Z9&lt;&gt;"",الموظفون!$Z9,cfg_MED)/12*G9/cfg_DAYS_M)</f>
        <v>300</v>
      </c>
      <c r="AF9" s="116" t="n">
        <f aca="false">IF($B9="","",N(الموظفون!$AA9)/12*G9/cfg_DAYS_M)</f>
        <v>0</v>
      </c>
      <c r="AG9" s="159" t="n">
        <f aca="false">IF($B9="","",T9+SUM(Z9:AF9))</f>
        <v>24363.0993150685</v>
      </c>
      <c r="AH9" s="160" t="n">
        <f aca="false">IF($B9="","",MAX(0,IF(OR(الموظفون!$AE9="",الموظفون!$AE9&gt;$F$3),$F$3,الموظفون!$AE9)-الموظفون!$H9+1-SUMIFS('سجل الإجازات والحالات'!$AR$6:$AR$505,'سجل الإجازات والحالات'!$B$6:$B$505,$B9))/cfg_DAYS_Y)</f>
        <v>7.83561643835617</v>
      </c>
      <c r="AI9" s="160" t="n">
        <f aca="false">IF($B9="","",MAX(0,IF(OR(الموظفون!$AE9="",الموظفون!$AE9&gt;($E$3-1)),($E$3-1),الموظفون!$AE9)-الموظفون!$H9+1-SUMIFS('سجل الإجازات والحالات'!$AQ$6:$AQ$505,'سجل الإجازات والحالات'!$B$6:$B$505,$B9))/cfg_DAYS_Y)</f>
        <v>7.75342465753425</v>
      </c>
      <c r="AJ9" s="133" t="n">
        <f aca="false">IF($B9="","",MAX(0,AK9-(SUMIFS('سجل الإجازات والحالات'!$AR$6:$AR$505,'سجل الإجازات والحالات'!$B$6:$B$505,$B9)-SUMIFS('سجل الإجازات والحالات'!$AQ$6:$AQ$505,'سجل الإجازات والحالات'!$B$6:$B$505,$B9))))</f>
        <v>30</v>
      </c>
      <c r="AK9" s="133" t="n">
        <f aca="false">IF($B9="","",MAX(0,IF(OR(الموظفون!$AE9="",الموظفون!$AE9&gt;$F$3),$F$3,الموظفون!$AE9)-MAX($E$3,الموظفون!$H9)+1))</f>
        <v>30</v>
      </c>
      <c r="AL9" s="156" t="n">
        <f aca="false">IF($B9="","",SUMIFS('سجل الإجازات والحالات'!$BD$6:$BD$505,'سجل الإجازات والحالات'!$B$6:$B$505,$B9)+SUMIFS('الحركات الشهرية'!$K$6:$K$1005,'الحركات الشهرية'!$B$6:$B$1005,$B9,'الحركات الشهرية'!$A$6:$A$1005,$C$3))</f>
        <v>0</v>
      </c>
      <c r="AM9" s="116" t="n">
        <f aca="false">IF($B9="","",AL9*الموظفون!$R9/cfg_DAYS_M+S9)</f>
        <v>0</v>
      </c>
      <c r="AN9" s="156" t="n">
        <f aca="false">IF($B9="","",SUMIFS('سجل الإجازات والحالات'!$AF$6:$AF$505,'سجل الإجازات والحالات'!$B$6:$B$505,$B9))</f>
        <v>0</v>
      </c>
    </row>
    <row r="10" customFormat="false" ht="15" hidden="false" customHeight="false" outlineLevel="0" collapsed="false">
      <c r="A10" s="106" t="n">
        <f aca="false">IF($B10="","",الموظفون!$A10)</f>
        <v>5</v>
      </c>
      <c r="B10" s="114" t="str">
        <f aca="false">IF(الموظفون!$B10="","",الموظفون!$B10)</f>
        <v>E005</v>
      </c>
      <c r="C10" s="114" t="str">
        <f aca="false">IF($B10="","",الموظفون!$C10)</f>
        <v>راجيش كومار</v>
      </c>
      <c r="D10" s="114" t="str">
        <f aca="false">IF($B10="","",الموظفون!$F10)</f>
        <v>تقنية المعلومات</v>
      </c>
      <c r="E10" s="114" t="str">
        <f aca="false">IF($B10="","",الموظفون!$E10)</f>
        <v>غير سعودي</v>
      </c>
      <c r="F10" s="114" t="str">
        <f aca="false">IF($B10="","",IF(AK10=0,IF(AND(الموظفون!$AE10&lt;&gt;"",الموظفون!$AE10&lt;$E$3),"✖ منتهي الخدمة","⏳ لم يباشر"),IF(S10&gt;0,"✈ راتب إجازة مقدم",IF(J10=0,"⛔ بدون راتب هذا الشهر",IF(I10&gt;0,"✈ خصم "&amp;ROUND(I10,2)&amp;" يوم بدون أجر",IF(AL10&gt;0,"🌴 إجازة سنوية "&amp;ROUND(AL10,2)&amp;" يوم",IF(H10&gt;0,"⚠ غياب "&amp;ROUND(H10,2)&amp;" يوم","✔ على رأس العمل")))))))</f>
        <v>✔ على رأس العمل</v>
      </c>
      <c r="G10" s="151" t="n">
        <f aca="false">IF($B10="","",IF(AK10&gt;=DAY($F$3),cfg_DAYS_M,MIN(AK10,cfg_DAYS_M)))</f>
        <v>30</v>
      </c>
      <c r="H10" s="151" t="n">
        <f aca="false">IF($B10="","",SUMIFS('الحركات الشهرية'!$D$6:$D$1005,'الحركات الشهرية'!$B$6:$B$1005,$B10,'الحركات الشهرية'!$A$6:$A$1005,$C$3))</f>
        <v>0</v>
      </c>
      <c r="I10" s="151" t="n">
        <f aca="false">IF($B10="","",MIN(G10,IF(AND(AK10&gt;0,AN10&gt;=AK10),G10,AN10)+SUMIFS('الحركات الشهرية'!$E$6:$E$1005,'الحركات الشهرية'!$B$6:$B$1005,$B10,'الحركات الشهرية'!$A$6:$A$1005,$C$3)))</f>
        <v>0</v>
      </c>
      <c r="J10" s="151" t="n">
        <f aca="false">IF($B10="","",MAX(0,G10-H10-I10))</f>
        <v>30</v>
      </c>
      <c r="K10" s="111" t="n">
        <f aca="false">IF($B10="","",الموظفون!$L10*$J10/cfg_DAYS_M)</f>
        <v>9000</v>
      </c>
      <c r="L10" s="111" t="n">
        <f aca="false">IF($B10="","",الموظفون!$M10*$J10/cfg_DAYS_M)</f>
        <v>2250</v>
      </c>
      <c r="M10" s="111" t="n">
        <f aca="false">IF($B10="","",الموظفون!$N10*$J10/cfg_DAYS_M)</f>
        <v>900</v>
      </c>
      <c r="N10" s="111" t="n">
        <f aca="false">IF($B10="","",الموظفون!$O10*$J10/cfg_DAYS_M)</f>
        <v>700</v>
      </c>
      <c r="O10" s="151" t="n">
        <f aca="false">IF($B10="","",SUMIFS('الحركات الشهرية'!$F$6:$F$1005,'الحركات الشهرية'!$B$6:$B$1005,$B10,'الحركات الشهرية'!$A$6:$A$1005,$C$3))</f>
        <v>0</v>
      </c>
      <c r="P10" s="111" t="n">
        <f aca="false">IF($B10="","",O10*(الموظفون!$P10+الموظفون!$L10*cfg_OT_P)/cfg_DAYS_M/cfg_HRS)</f>
        <v>0</v>
      </c>
      <c r="Q10" s="111" t="n">
        <f aca="false">IF($B10="","",SUMIFS('الحركات الشهرية'!$G$6:$G$1005,'الحركات الشهرية'!$B$6:$B$1005,$B10,'الحركات الشهرية'!$A$6:$A$1005,$C$3))</f>
        <v>0</v>
      </c>
      <c r="R10" s="111" t="n">
        <f aca="false">IF($B10="","",SUMIFS('الحركات الشهرية'!$H$6:$H$1005,'الحركات الشهرية'!$B$6:$B$1005,$B10,'الحركات الشهرية'!$A$6:$A$1005,$C$3))</f>
        <v>0</v>
      </c>
      <c r="S10" s="111" t="n">
        <f aca="false">IF($B10="","",SUMIFS('سجل الإجازات والحالات'!$N$6:$N$505,'سجل الإجازات والحالات'!$B$6:$B$505,$B10,'سجل الإجازات والحالات'!$O$6:$O$505,$C$3))</f>
        <v>0</v>
      </c>
      <c r="T10" s="152" t="n">
        <f aca="false">IF($B10="","",SUM(K10:N10)+SUM(P10:S10))</f>
        <v>12850</v>
      </c>
      <c r="U10" s="111" t="n">
        <f aca="false">IF($B10="","",الموظفون!$S10*IF(E10="سعودي",cfg_G_SE,cfg_G_NE)*G10/cfg_DAYS_M)</f>
        <v>0</v>
      </c>
      <c r="V10" s="111" t="n">
        <f aca="false">IF($B10="","",SUMIFS('الحركات الشهرية'!$I$6:$I$1005,'الحركات الشهرية'!$B$6:$B$1005,$B10,'الحركات الشهرية'!$A$6:$A$1005,$C$3))</f>
        <v>0</v>
      </c>
      <c r="W10" s="111" t="n">
        <f aca="false">IF($B10="","",SUMIFS('الحركات الشهرية'!$J$6:$J$1005,'الحركات الشهرية'!$B$6:$B$1005,$B10,'الحركات الشهرية'!$A$6:$A$1005,$C$3))</f>
        <v>0</v>
      </c>
      <c r="X10" s="111" t="n">
        <f aca="false">IF($B10="","",SUM(U10:W10))</f>
        <v>0</v>
      </c>
      <c r="Y10" s="153" t="n">
        <f aca="false">IF($B10="","",T10-X10)</f>
        <v>12850</v>
      </c>
      <c r="Z10" s="111" t="n">
        <f aca="false">IF($B10="","",الموظفون!$S10*IF(E10="سعودي",cfg_G_SR,cfg_G_NR)*G10/cfg_DAYS_M)</f>
        <v>225</v>
      </c>
      <c r="AA10" s="111" t="n">
        <f aca="false">IF($B10="","",الموظفون!$Q10*(cfg_EOS_R1*(MIN(AH10,cfg_EOS_TH)-MIN(AI10,cfg_EOS_TH))+cfg_EOS_R2*(MAX(AH10-cfg_EOS_TH,0)-MAX(AI10-cfg_EOS_TH,0))))</f>
        <v>998.630136986305</v>
      </c>
      <c r="AB10" s="111" t="n">
        <f aca="false">IF($B10="","",IF(الموظفون!$T10&lt;&gt;"",الموظفون!$T10,IF(AH10&gt;=cfg_LV_TH,cfg_LV_D2,cfg_LV_D1))/cfg_DAYS_Y*AJ10*الموظفون!$R10/cfg_DAYS_M)</f>
        <v>998.630136986301</v>
      </c>
      <c r="AC10" s="111" t="n">
        <f aca="false">IF($B10="","",IF(AND(الموظفون!$U10="نعم",N(الموظفون!$W10)&gt;0),الموظفون!$V10/الموظفون!$W10*12/cfg_DAYS_Y*AJ10,0))</f>
        <v>230.13698630137</v>
      </c>
      <c r="AD10" s="111" t="n">
        <f aca="false">IF($B10="","",(IF(الموظفون!$X10&lt;&gt;"",الموظفون!$X10,IF(الموظفون!$E10="غير سعودي",cfg_IQ,0))+IF(الموظفون!$Y10&lt;&gt;"",الموظفون!$Y10,IF(الموظفون!$E10="غير سعودي",cfg_WP,0)))/12*G10/cfg_DAYS_M)</f>
        <v>854.166666666667</v>
      </c>
      <c r="AE10" s="111" t="n">
        <f aca="false">IF($B10="","",IF(الموظفون!$Z10&lt;&gt;"",الموظفون!$Z10,cfg_MED)/12*G10/cfg_DAYS_M)</f>
        <v>200</v>
      </c>
      <c r="AF10" s="111" t="n">
        <f aca="false">IF($B10="","",N(الموظفون!$AA10)/12*G10/cfg_DAYS_M)</f>
        <v>0</v>
      </c>
      <c r="AG10" s="154" t="n">
        <f aca="false">IF($B10="","",T10+SUM(Z10:AF10))</f>
        <v>16356.5639269406</v>
      </c>
      <c r="AH10" s="155" t="n">
        <f aca="false">IF($B10="","",MAX(0,IF(OR(الموظفون!$AE10="",الموظفون!$AE10&gt;$F$3),$F$3,الموظفون!$AE10)-الموظفون!$H10+1-SUMIFS('سجل الإجازات والحالات'!$AR$6:$AR$505,'سجل الإجازات والحالات'!$B$6:$B$505,$B10))/cfg_DAYS_Y)</f>
        <v>6.64109589041096</v>
      </c>
      <c r="AI10" s="155" t="n">
        <f aca="false">IF($B10="","",MAX(0,IF(OR(الموظفون!$AE10="",الموظفون!$AE10&gt;($E$3-1)),($E$3-1),الموظفون!$AE10)-الموظفون!$H10+1-SUMIFS('سجل الإجازات والحالات'!$AQ$6:$AQ$505,'سجل الإجازات والحالات'!$B$6:$B$505,$B10))/cfg_DAYS_Y)</f>
        <v>6.55890410958904</v>
      </c>
      <c r="AJ10" s="65" t="n">
        <f aca="false">IF($B10="","",MAX(0,AK10-(SUMIFS('سجل الإجازات والحالات'!$AR$6:$AR$505,'سجل الإجازات والحالات'!$B$6:$B$505,$B10)-SUMIFS('سجل الإجازات والحالات'!$AQ$6:$AQ$505,'سجل الإجازات والحالات'!$B$6:$B$505,$B10))))</f>
        <v>30</v>
      </c>
      <c r="AK10" s="65" t="n">
        <f aca="false">IF($B10="","",MAX(0,IF(OR(الموظفون!$AE10="",الموظفون!$AE10&gt;$F$3),$F$3,الموظفون!$AE10)-MAX($E$3,الموظفون!$H10)+1))</f>
        <v>30</v>
      </c>
      <c r="AL10" s="151" t="n">
        <f aca="false">IF($B10="","",SUMIFS('سجل الإجازات والحالات'!$BD$6:$BD$505,'سجل الإجازات والحالات'!$B$6:$B$505,$B10)+SUMIFS('الحركات الشهرية'!$K$6:$K$1005,'الحركات الشهرية'!$B$6:$B$1005,$B10,'الحركات الشهرية'!$A$6:$A$1005,$C$3))</f>
        <v>0</v>
      </c>
      <c r="AM10" s="111" t="n">
        <f aca="false">IF($B10="","",AL10*الموظفون!$R10/cfg_DAYS_M+S10)</f>
        <v>0</v>
      </c>
      <c r="AN10" s="151" t="n">
        <f aca="false">IF($B10="","",SUMIFS('سجل الإجازات والحالات'!$AF$6:$AF$505,'سجل الإجازات والحالات'!$B$6:$B$505,$B10))</f>
        <v>0</v>
      </c>
    </row>
    <row r="11" customFormat="false" ht="15" hidden="false" customHeight="false" outlineLevel="0" collapsed="false">
      <c r="A11" s="115" t="n">
        <f aca="false">IF($B11="","",الموظفون!$A11)</f>
        <v>6</v>
      </c>
      <c r="B11" s="117" t="str">
        <f aca="false">IF(الموظفون!$B11="","",الموظفون!$B11)</f>
        <v>E006</v>
      </c>
      <c r="C11" s="117" t="str">
        <f aca="false">IF($B11="","",الموظفون!$C11)</f>
        <v>فهد ناصر الشمري</v>
      </c>
      <c r="D11" s="117" t="str">
        <f aca="false">IF($B11="","",الموظفون!$F11)</f>
        <v>المبيعات</v>
      </c>
      <c r="E11" s="117" t="str">
        <f aca="false">IF($B11="","",الموظفون!$E11)</f>
        <v>سعودي</v>
      </c>
      <c r="F11" s="117" t="str">
        <f aca="false">IF($B11="","",IF(AK11=0,IF(AND(الموظفون!$AE11&lt;&gt;"",الموظفون!$AE11&lt;$E$3),"✖ منتهي الخدمة","⏳ لم يباشر"),IF(S11&gt;0,"✈ راتب إجازة مقدم",IF(J11=0,"⛔ بدون راتب هذا الشهر",IF(I11&gt;0,"✈ خصم "&amp;ROUND(I11,2)&amp;" يوم بدون أجر",IF(AL11&gt;0,"🌴 إجازة سنوية "&amp;ROUND(AL11,2)&amp;" يوم",IF(H11&gt;0,"⚠ غياب "&amp;ROUND(H11,2)&amp;" يوم","✔ على رأس العمل")))))))</f>
        <v>✔ على رأس العمل</v>
      </c>
      <c r="G11" s="156" t="n">
        <f aca="false">IF($B11="","",IF(AK11&gt;=DAY($F$3),cfg_DAYS_M,MIN(AK11,cfg_DAYS_M)))</f>
        <v>30</v>
      </c>
      <c r="H11" s="156" t="n">
        <f aca="false">IF($B11="","",SUMIFS('الحركات الشهرية'!$D$6:$D$1005,'الحركات الشهرية'!$B$6:$B$1005,$B11,'الحركات الشهرية'!$A$6:$A$1005,$C$3))</f>
        <v>0</v>
      </c>
      <c r="I11" s="156" t="n">
        <f aca="false">IF($B11="","",MIN(G11,IF(AND(AK11&gt;0,AN11&gt;=AK11),G11,AN11)+SUMIFS('الحركات الشهرية'!$E$6:$E$1005,'الحركات الشهرية'!$B$6:$B$1005,$B11,'الحركات الشهرية'!$A$6:$A$1005,$C$3)))</f>
        <v>0</v>
      </c>
      <c r="J11" s="156" t="n">
        <f aca="false">IF($B11="","",MAX(0,G11-H11-I11))</f>
        <v>30</v>
      </c>
      <c r="K11" s="116" t="n">
        <f aca="false">IF($B11="","",الموظفون!$L11*$J11/cfg_DAYS_M)</f>
        <v>13000</v>
      </c>
      <c r="L11" s="116" t="n">
        <f aca="false">IF($B11="","",الموظفون!$M11*$J11/cfg_DAYS_M)</f>
        <v>3250</v>
      </c>
      <c r="M11" s="116" t="n">
        <f aca="false">IF($B11="","",الموظفون!$N11*$J11/cfg_DAYS_M)</f>
        <v>1300</v>
      </c>
      <c r="N11" s="116" t="n">
        <f aca="false">IF($B11="","",الموظفون!$O11*$J11/cfg_DAYS_M)</f>
        <v>2500</v>
      </c>
      <c r="O11" s="156" t="n">
        <f aca="false">IF($B11="","",SUMIFS('الحركات الشهرية'!$F$6:$F$1005,'الحركات الشهرية'!$B$6:$B$1005,$B11,'الحركات الشهرية'!$A$6:$A$1005,$C$3))</f>
        <v>0</v>
      </c>
      <c r="P11" s="116" t="n">
        <f aca="false">IF($B11="","",O11*(الموظفون!$P11+الموظفون!$L11*cfg_OT_P)/cfg_DAYS_M/cfg_HRS)</f>
        <v>0</v>
      </c>
      <c r="Q11" s="116" t="n">
        <f aca="false">IF($B11="","",SUMIFS('الحركات الشهرية'!$G$6:$G$1005,'الحركات الشهرية'!$B$6:$B$1005,$B11,'الحركات الشهرية'!$A$6:$A$1005,$C$3))</f>
        <v>0</v>
      </c>
      <c r="R11" s="116" t="n">
        <f aca="false">IF($B11="","",SUMIFS('الحركات الشهرية'!$H$6:$H$1005,'الحركات الشهرية'!$B$6:$B$1005,$B11,'الحركات الشهرية'!$A$6:$A$1005,$C$3))</f>
        <v>0</v>
      </c>
      <c r="S11" s="116" t="n">
        <f aca="false">IF($B11="","",SUMIFS('سجل الإجازات والحالات'!$N$6:$N$505,'سجل الإجازات والحالات'!$B$6:$B$505,$B11,'سجل الإجازات والحالات'!$O$6:$O$505,$C$3))</f>
        <v>0</v>
      </c>
      <c r="T11" s="157" t="n">
        <f aca="false">IF($B11="","",SUM(K11:N11)+SUM(P11:S11))</f>
        <v>20050</v>
      </c>
      <c r="U11" s="116" t="n">
        <f aca="false">IF($B11="","",الموظفون!$S11*IF(E11="سعودي",cfg_G_SE,cfg_G_NE)*G11/cfg_DAYS_M)</f>
        <v>1584.375</v>
      </c>
      <c r="V11" s="116" t="n">
        <f aca="false">IF($B11="","",SUMIFS('الحركات الشهرية'!$I$6:$I$1005,'الحركات الشهرية'!$B$6:$B$1005,$B11,'الحركات الشهرية'!$A$6:$A$1005,$C$3))</f>
        <v>0</v>
      </c>
      <c r="W11" s="116" t="n">
        <f aca="false">IF($B11="","",SUMIFS('الحركات الشهرية'!$J$6:$J$1005,'الحركات الشهرية'!$B$6:$B$1005,$B11,'الحركات الشهرية'!$A$6:$A$1005,$C$3))</f>
        <v>0</v>
      </c>
      <c r="X11" s="116" t="n">
        <f aca="false">IF($B11="","",SUM(U11:W11))</f>
        <v>1584.375</v>
      </c>
      <c r="Y11" s="158" t="n">
        <f aca="false">IF($B11="","",T11-X11)</f>
        <v>18465.625</v>
      </c>
      <c r="Z11" s="116" t="n">
        <f aca="false">IF($B11="","",الموظفون!$S11*IF(E11="سعودي",cfg_G_SR,cfg_G_NR)*G11/cfg_DAYS_M)</f>
        <v>1909.375</v>
      </c>
      <c r="AA11" s="116" t="n">
        <f aca="false">IF($B11="","",الموظفون!$Q11*(cfg_EOS_R1*(MIN(AH11,cfg_EOS_TH)-MIN(AI11,cfg_EOS_TH))+cfg_EOS_R2*(MAX(AH11-cfg_EOS_TH,0)-MAX(AI11-cfg_EOS_TH,0))))</f>
        <v>1442.46575342465</v>
      </c>
      <c r="AB11" s="116" t="n">
        <f aca="false">IF($B11="","",IF(الموظفون!$T11&lt;&gt;"",الموظفون!$T11,IF(AH11&gt;=cfg_LV_TH,cfg_LV_D2,cfg_LV_D1))/cfg_DAYS_Y*AJ11*الموظفون!$R11/cfg_DAYS_M)</f>
        <v>1442.46575342466</v>
      </c>
      <c r="AC11" s="116" t="n">
        <f aca="false">IF($B11="","",IF(AND(الموظفون!$U11="نعم",N(الموظفون!$W11)&gt;0),الموظفون!$V11/الموظفون!$W11*12/cfg_DAYS_Y*AJ11,0))</f>
        <v>0</v>
      </c>
      <c r="AD11" s="116" t="n">
        <f aca="false">IF($B11="","",(IF(الموظفون!$X11&lt;&gt;"",الموظفون!$X11,IF(الموظفون!$E11="غير سعودي",cfg_IQ,0))+IF(الموظفون!$Y11&lt;&gt;"",الموظفون!$Y11,IF(الموظفون!$E11="غير سعودي",cfg_WP,0)))/12*G11/cfg_DAYS_M)</f>
        <v>0</v>
      </c>
      <c r="AE11" s="116" t="n">
        <f aca="false">IF($B11="","",IF(الموظفون!$Z11&lt;&gt;"",الموظفون!$Z11,cfg_MED)/12*G11/cfg_DAYS_M)</f>
        <v>300</v>
      </c>
      <c r="AF11" s="116" t="n">
        <f aca="false">IF($B11="","",N(الموظفون!$AA11)/12*G11/cfg_DAYS_M)</f>
        <v>0</v>
      </c>
      <c r="AG11" s="159" t="n">
        <f aca="false">IF($B11="","",T11+SUM(Z11:AF11))</f>
        <v>25144.3065068493</v>
      </c>
      <c r="AH11" s="160" t="n">
        <f aca="false">IF($B11="","",MAX(0,IF(OR(الموظفون!$AE11="",الموظفون!$AE11&gt;$F$3),$F$3,الموظفون!$AE11)-الموظفون!$H11+1-SUMIFS('سجل الإجازات والحالات'!$AR$6:$AR$505,'سجل الإجازات والحالات'!$B$6:$B$505,$B11))/cfg_DAYS_Y)</f>
        <v>8.99452054794521</v>
      </c>
      <c r="AI11" s="160" t="n">
        <f aca="false">IF($B11="","",MAX(0,IF(OR(الموظفون!$AE11="",الموظفون!$AE11&gt;($E$3-1)),($E$3-1),الموظفون!$AE11)-الموظفون!$H11+1-SUMIFS('سجل الإجازات والحالات'!$AQ$6:$AQ$505,'سجل الإجازات والحالات'!$B$6:$B$505,$B11))/cfg_DAYS_Y)</f>
        <v>8.91232876712329</v>
      </c>
      <c r="AJ11" s="133" t="n">
        <f aca="false">IF($B11="","",MAX(0,AK11-(SUMIFS('سجل الإجازات والحالات'!$AR$6:$AR$505,'سجل الإجازات والحالات'!$B$6:$B$505,$B11)-SUMIFS('سجل الإجازات والحالات'!$AQ$6:$AQ$505,'سجل الإجازات والحالات'!$B$6:$B$505,$B11))))</f>
        <v>30</v>
      </c>
      <c r="AK11" s="133" t="n">
        <f aca="false">IF($B11="","",MAX(0,IF(OR(الموظفون!$AE11="",الموظفون!$AE11&gt;$F$3),$F$3,الموظفون!$AE11)-MAX($E$3,الموظفون!$H11)+1))</f>
        <v>30</v>
      </c>
      <c r="AL11" s="156" t="n">
        <f aca="false">IF($B11="","",SUMIFS('سجل الإجازات والحالات'!$BD$6:$BD$505,'سجل الإجازات والحالات'!$B$6:$B$505,$B11)+SUMIFS('الحركات الشهرية'!$K$6:$K$1005,'الحركات الشهرية'!$B$6:$B$1005,$B11,'الحركات الشهرية'!$A$6:$A$1005,$C$3))</f>
        <v>0</v>
      </c>
      <c r="AM11" s="116" t="n">
        <f aca="false">IF($B11="","",AL11*الموظفون!$R11/cfg_DAYS_M+S11)</f>
        <v>0</v>
      </c>
      <c r="AN11" s="156" t="n">
        <f aca="false">IF($B11="","",SUMIFS('سجل الإجازات والحالات'!$AF$6:$AF$505,'سجل الإجازات والحالات'!$B$6:$B$505,$B11))</f>
        <v>0</v>
      </c>
    </row>
    <row r="12" customFormat="false" ht="15" hidden="false" customHeight="false" outlineLevel="0" collapsed="false">
      <c r="A12" s="106" t="n">
        <f aca="false">IF($B12="","",الموظفون!$A12)</f>
        <v>7</v>
      </c>
      <c r="B12" s="114" t="str">
        <f aca="false">IF(الموظفون!$B12="","",الموظفون!$B12)</f>
        <v>E007</v>
      </c>
      <c r="C12" s="114" t="str">
        <f aca="false">IF($B12="","",الموظفون!$C12)</f>
        <v>خالد يوسف الأحمد</v>
      </c>
      <c r="D12" s="114" t="str">
        <f aca="false">IF($B12="","",الموظفون!$F12)</f>
        <v>المشاريع</v>
      </c>
      <c r="E12" s="114" t="str">
        <f aca="false">IF($B12="","",الموظفون!$E12)</f>
        <v>غير سعودي</v>
      </c>
      <c r="F12" s="114" t="str">
        <f aca="false">IF($B12="","",IF(AK12=0,IF(AND(الموظفون!$AE12&lt;&gt;"",الموظفون!$AE12&lt;$E$3),"✖ منتهي الخدمة","⏳ لم يباشر"),IF(S12&gt;0,"✈ راتب إجازة مقدم",IF(J12=0,"⛔ بدون راتب هذا الشهر",IF(I12&gt;0,"✈ خصم "&amp;ROUND(I12,2)&amp;" يوم بدون أجر",IF(AL12&gt;0,"🌴 إجازة سنوية "&amp;ROUND(AL12,2)&amp;" يوم",IF(H12&gt;0,"⚠ غياب "&amp;ROUND(H12,2)&amp;" يوم","✔ على رأس العمل")))))))</f>
        <v>✔ على رأس العمل</v>
      </c>
      <c r="G12" s="151" t="n">
        <f aca="false">IF($B12="","",IF(AK12&gt;=DAY($F$3),cfg_DAYS_M,MIN(AK12,cfg_DAYS_M)))</f>
        <v>30</v>
      </c>
      <c r="H12" s="151" t="n">
        <f aca="false">IF($B12="","",SUMIFS('الحركات الشهرية'!$D$6:$D$1005,'الحركات الشهرية'!$B$6:$B$1005,$B12,'الحركات الشهرية'!$A$6:$A$1005,$C$3))</f>
        <v>0</v>
      </c>
      <c r="I12" s="151" t="n">
        <f aca="false">IF($B12="","",MIN(G12,IF(AND(AK12&gt;0,AN12&gt;=AK12),G12,AN12)+SUMIFS('الحركات الشهرية'!$E$6:$E$1005,'الحركات الشهرية'!$B$6:$B$1005,$B12,'الحركات الشهرية'!$A$6:$A$1005,$C$3)))</f>
        <v>0</v>
      </c>
      <c r="J12" s="151" t="n">
        <f aca="false">IF($B12="","",MAX(0,G12-H12-I12))</f>
        <v>30</v>
      </c>
      <c r="K12" s="111" t="n">
        <f aca="false">IF($B12="","",الموظفون!$L12*$J12/cfg_DAYS_M)</f>
        <v>11000</v>
      </c>
      <c r="L12" s="111" t="n">
        <f aca="false">IF($B12="","",الموظفون!$M12*$J12/cfg_DAYS_M)</f>
        <v>2750</v>
      </c>
      <c r="M12" s="111" t="n">
        <f aca="false">IF($B12="","",الموظفون!$N12*$J12/cfg_DAYS_M)</f>
        <v>1100</v>
      </c>
      <c r="N12" s="111" t="n">
        <f aca="false">IF($B12="","",الموظفون!$O12*$J12/cfg_DAYS_M)</f>
        <v>800</v>
      </c>
      <c r="O12" s="151" t="n">
        <f aca="false">IF($B12="","",SUMIFS('الحركات الشهرية'!$F$6:$F$1005,'الحركات الشهرية'!$B$6:$B$1005,$B12,'الحركات الشهرية'!$A$6:$A$1005,$C$3))</f>
        <v>0</v>
      </c>
      <c r="P12" s="111" t="n">
        <f aca="false">IF($B12="","",O12*(الموظفون!$P12+الموظفون!$L12*cfg_OT_P)/cfg_DAYS_M/cfg_HRS)</f>
        <v>0</v>
      </c>
      <c r="Q12" s="111" t="n">
        <f aca="false">IF($B12="","",SUMIFS('الحركات الشهرية'!$G$6:$G$1005,'الحركات الشهرية'!$B$6:$B$1005,$B12,'الحركات الشهرية'!$A$6:$A$1005,$C$3))</f>
        <v>0</v>
      </c>
      <c r="R12" s="111" t="n">
        <f aca="false">IF($B12="","",SUMIFS('الحركات الشهرية'!$H$6:$H$1005,'الحركات الشهرية'!$B$6:$B$1005,$B12,'الحركات الشهرية'!$A$6:$A$1005,$C$3))</f>
        <v>0</v>
      </c>
      <c r="S12" s="111" t="n">
        <f aca="false">IF($B12="","",SUMIFS('سجل الإجازات والحالات'!$N$6:$N$505,'سجل الإجازات والحالات'!$B$6:$B$505,$B12,'سجل الإجازات والحالات'!$O$6:$O$505,$C$3))</f>
        <v>0</v>
      </c>
      <c r="T12" s="152" t="n">
        <f aca="false">IF($B12="","",SUM(K12:N12)+SUM(P12:S12))</f>
        <v>15650</v>
      </c>
      <c r="U12" s="111" t="n">
        <f aca="false">IF($B12="","",الموظفون!$S12*IF(E12="سعودي",cfg_G_SE,cfg_G_NE)*G12/cfg_DAYS_M)</f>
        <v>0</v>
      </c>
      <c r="V12" s="111" t="n">
        <f aca="false">IF($B12="","",SUMIFS('الحركات الشهرية'!$I$6:$I$1005,'الحركات الشهرية'!$B$6:$B$1005,$B12,'الحركات الشهرية'!$A$6:$A$1005,$C$3))</f>
        <v>0</v>
      </c>
      <c r="W12" s="111" t="n">
        <f aca="false">IF($B12="","",SUMIFS('الحركات الشهرية'!$J$6:$J$1005,'الحركات الشهرية'!$B$6:$B$1005,$B12,'الحركات الشهرية'!$A$6:$A$1005,$C$3))</f>
        <v>0</v>
      </c>
      <c r="X12" s="111" t="n">
        <f aca="false">IF($B12="","",SUM(U12:W12))</f>
        <v>0</v>
      </c>
      <c r="Y12" s="153" t="n">
        <f aca="false">IF($B12="","",T12-X12)</f>
        <v>15650</v>
      </c>
      <c r="Z12" s="111" t="n">
        <f aca="false">IF($B12="","",الموظفون!$S12*IF(E12="سعودي",cfg_G_SR,cfg_G_NR)*G12/cfg_DAYS_M)</f>
        <v>275</v>
      </c>
      <c r="AA12" s="111" t="n">
        <f aca="false">IF($B12="","",الموظفون!$Q12*(cfg_EOS_R1*(MIN(AH12,cfg_EOS_TH)-MIN(AI12,cfg_EOS_TH))+cfg_EOS_R2*(MAX(AH12-cfg_EOS_TH,0)-MAX(AI12-cfg_EOS_TH,0))))</f>
        <v>1220.54794520548</v>
      </c>
      <c r="AB12" s="111" t="n">
        <f aca="false">IF($B12="","",IF(الموظفون!$T12&lt;&gt;"",الموظفون!$T12,IF(AH12&gt;=cfg_LV_TH,cfg_LV_D2,cfg_LV_D1))/cfg_DAYS_Y*AJ12*الموظفون!$R12/cfg_DAYS_M)</f>
        <v>1220.54794520548</v>
      </c>
      <c r="AC12" s="111" t="n">
        <f aca="false">IF($B12="","",IF(AND(الموظفون!$U12="نعم",N(الموظفون!$W12)&gt;0),الموظفون!$V12/الموظفون!$W12*12/cfg_DAYS_Y*AJ12,0))</f>
        <v>369.86301369863</v>
      </c>
      <c r="AD12" s="111" t="n">
        <f aca="false">IF($B12="","",(IF(الموظفون!$X12&lt;&gt;"",الموظفون!$X12,IF(الموظفون!$E12="غير سعودي",cfg_IQ,0))+IF(الموظفون!$Y12&lt;&gt;"",الموظفون!$Y12,IF(الموظفون!$E12="غير سعودي",cfg_WP,0)))/12*G12/cfg_DAYS_M)</f>
        <v>854.166666666667</v>
      </c>
      <c r="AE12" s="111" t="n">
        <f aca="false">IF($B12="","",IF(الموظفون!$Z12&lt;&gt;"",الموظفون!$Z12,cfg_MED)/12*G12/cfg_DAYS_M)</f>
        <v>200</v>
      </c>
      <c r="AF12" s="111" t="n">
        <f aca="false">IF($B12="","",N(الموظفون!$AA12)/12*G12/cfg_DAYS_M)</f>
        <v>400</v>
      </c>
      <c r="AG12" s="154" t="n">
        <f aca="false">IF($B12="","",T12+SUM(Z12:AF12))</f>
        <v>20190.1255707763</v>
      </c>
      <c r="AH12" s="155" t="n">
        <f aca="false">IF($B12="","",MAX(0,IF(OR(الموظفون!$AE12="",الموظفون!$AE12&gt;$F$3),$F$3,الموظفون!$AE12)-الموظفون!$H12+1-SUMIFS('سجل الإجازات والحالات'!$AR$6:$AR$505,'سجل الإجازات والحالات'!$B$6:$B$505,$B12))/cfg_DAYS_Y)</f>
        <v>5.86575342465754</v>
      </c>
      <c r="AI12" s="155" t="n">
        <f aca="false">IF($B12="","",MAX(0,IF(OR(الموظفون!$AE12="",الموظفون!$AE12&gt;($E$3-1)),($E$3-1),الموظفون!$AE12)-الموظفون!$H12+1-SUMIFS('سجل الإجازات والحالات'!$AQ$6:$AQ$505,'سجل الإجازات والحالات'!$B$6:$B$505,$B12))/cfg_DAYS_Y)</f>
        <v>5.78356164383562</v>
      </c>
      <c r="AJ12" s="65" t="n">
        <f aca="false">IF($B12="","",MAX(0,AK12-(SUMIFS('سجل الإجازات والحالات'!$AR$6:$AR$505,'سجل الإجازات والحالات'!$B$6:$B$505,$B12)-SUMIFS('سجل الإجازات والحالات'!$AQ$6:$AQ$505,'سجل الإجازات والحالات'!$B$6:$B$505,$B12))))</f>
        <v>30</v>
      </c>
      <c r="AK12" s="65" t="n">
        <f aca="false">IF($B12="","",MAX(0,IF(OR(الموظفون!$AE12="",الموظفون!$AE12&gt;$F$3),$F$3,الموظفون!$AE12)-MAX($E$3,الموظفون!$H12)+1))</f>
        <v>30</v>
      </c>
      <c r="AL12" s="151" t="n">
        <f aca="false">IF($B12="","",SUMIFS('سجل الإجازات والحالات'!$BD$6:$BD$505,'سجل الإجازات والحالات'!$B$6:$B$505,$B12)+SUMIFS('الحركات الشهرية'!$K$6:$K$1005,'الحركات الشهرية'!$B$6:$B$1005,$B12,'الحركات الشهرية'!$A$6:$A$1005,$C$3))</f>
        <v>0</v>
      </c>
      <c r="AM12" s="111" t="n">
        <f aca="false">IF($B12="","",AL12*الموظفون!$R12/cfg_DAYS_M+S12)</f>
        <v>0</v>
      </c>
      <c r="AN12" s="151" t="n">
        <f aca="false">IF($B12="","",SUMIFS('سجل الإجازات والحالات'!$AF$6:$AF$505,'سجل الإجازات والحالات'!$B$6:$B$505,$B12))</f>
        <v>0</v>
      </c>
    </row>
    <row r="13" customFormat="false" ht="15" hidden="false" customHeight="false" outlineLevel="0" collapsed="false">
      <c r="A13" s="115" t="n">
        <f aca="false">IF($B13="","",الموظفون!$A13)</f>
        <v>8</v>
      </c>
      <c r="B13" s="117" t="str">
        <f aca="false">IF(الموظفون!$B13="","",الموظفون!$B13)</f>
        <v>E008</v>
      </c>
      <c r="C13" s="117" t="str">
        <f aca="false">IF($B13="","",الموظفون!$C13)</f>
        <v>سارة عبدالرحمن الزهراني</v>
      </c>
      <c r="D13" s="117" t="str">
        <f aca="false">IF($B13="","",الموظفون!$F13)</f>
        <v>المالية</v>
      </c>
      <c r="E13" s="117" t="str">
        <f aca="false">IF($B13="","",الموظفون!$E13)</f>
        <v>سعودي</v>
      </c>
      <c r="F13" s="117" t="str">
        <f aca="false">IF($B13="","",IF(AK13=0,IF(AND(الموظفون!$AE13&lt;&gt;"",الموظفون!$AE13&lt;$E$3),"✖ منتهي الخدمة","⏳ لم يباشر"),IF(S13&gt;0,"✈ راتب إجازة مقدم",IF(J13=0,"⛔ بدون راتب هذا الشهر",IF(I13&gt;0,"✈ خصم "&amp;ROUND(I13,2)&amp;" يوم بدون أجر",IF(AL13&gt;0,"🌴 إجازة سنوية "&amp;ROUND(AL13,2)&amp;" يوم",IF(H13&gt;0,"⚠ غياب "&amp;ROUND(H13,2)&amp;" يوم","✔ على رأس العمل")))))))</f>
        <v>✔ على رأس العمل</v>
      </c>
      <c r="G13" s="156" t="n">
        <f aca="false">IF($B13="","",IF(AK13&gt;=DAY($F$3),cfg_DAYS_M,MIN(AK13,cfg_DAYS_M)))</f>
        <v>30</v>
      </c>
      <c r="H13" s="156" t="n">
        <f aca="false">IF($B13="","",SUMIFS('الحركات الشهرية'!$D$6:$D$1005,'الحركات الشهرية'!$B$6:$B$1005,$B13,'الحركات الشهرية'!$A$6:$A$1005,$C$3))</f>
        <v>0</v>
      </c>
      <c r="I13" s="156" t="n">
        <f aca="false">IF($B13="","",MIN(G13,IF(AND(AK13&gt;0,AN13&gt;=AK13),G13,AN13)+SUMIFS('الحركات الشهرية'!$E$6:$E$1005,'الحركات الشهرية'!$B$6:$B$1005,$B13,'الحركات الشهرية'!$A$6:$A$1005,$C$3)))</f>
        <v>0</v>
      </c>
      <c r="J13" s="156" t="n">
        <f aca="false">IF($B13="","",MAX(0,G13-H13-I13))</f>
        <v>30</v>
      </c>
      <c r="K13" s="116" t="n">
        <f aca="false">IF($B13="","",الموظفون!$L13*$J13/cfg_DAYS_M)</f>
        <v>7500</v>
      </c>
      <c r="L13" s="116" t="n">
        <f aca="false">IF($B13="","",الموظفون!$M13*$J13/cfg_DAYS_M)</f>
        <v>1875</v>
      </c>
      <c r="M13" s="116" t="n">
        <f aca="false">IF($B13="","",الموظفون!$N13*$J13/cfg_DAYS_M)</f>
        <v>750</v>
      </c>
      <c r="N13" s="116" t="n">
        <f aca="false">IF($B13="","",الموظفون!$O13*$J13/cfg_DAYS_M)</f>
        <v>0</v>
      </c>
      <c r="O13" s="156" t="n">
        <f aca="false">IF($B13="","",SUMIFS('الحركات الشهرية'!$F$6:$F$1005,'الحركات الشهرية'!$B$6:$B$1005,$B13,'الحركات الشهرية'!$A$6:$A$1005,$C$3))</f>
        <v>0</v>
      </c>
      <c r="P13" s="116" t="n">
        <f aca="false">IF($B13="","",O13*(الموظفون!$P13+الموظفون!$L13*cfg_OT_P)/cfg_DAYS_M/cfg_HRS)</f>
        <v>0</v>
      </c>
      <c r="Q13" s="116" t="n">
        <f aca="false">IF($B13="","",SUMIFS('الحركات الشهرية'!$G$6:$G$1005,'الحركات الشهرية'!$B$6:$B$1005,$B13,'الحركات الشهرية'!$A$6:$A$1005,$C$3))</f>
        <v>0</v>
      </c>
      <c r="R13" s="116" t="n">
        <f aca="false">IF($B13="","",SUMIFS('الحركات الشهرية'!$H$6:$H$1005,'الحركات الشهرية'!$B$6:$B$1005,$B13,'الحركات الشهرية'!$A$6:$A$1005,$C$3))</f>
        <v>0</v>
      </c>
      <c r="S13" s="116" t="n">
        <f aca="false">IF($B13="","",SUMIFS('سجل الإجازات والحالات'!$N$6:$N$505,'سجل الإجازات والحالات'!$B$6:$B$505,$B13,'سجل الإجازات والحالات'!$O$6:$O$505,$C$3))</f>
        <v>0</v>
      </c>
      <c r="T13" s="157" t="n">
        <f aca="false">IF($B13="","",SUM(K13:N13)+SUM(P13:S13))</f>
        <v>10125</v>
      </c>
      <c r="U13" s="116" t="n">
        <f aca="false">IF($B13="","",الموظفون!$S13*IF(E13="سعودي",cfg_G_SE,cfg_G_NE)*G13/cfg_DAYS_M)</f>
        <v>914.0625</v>
      </c>
      <c r="V13" s="116" t="n">
        <f aca="false">IF($B13="","",SUMIFS('الحركات الشهرية'!$I$6:$I$1005,'الحركات الشهرية'!$B$6:$B$1005,$B13,'الحركات الشهرية'!$A$6:$A$1005,$C$3))</f>
        <v>0</v>
      </c>
      <c r="W13" s="116" t="n">
        <f aca="false">IF($B13="","",SUMIFS('الحركات الشهرية'!$J$6:$J$1005,'الحركات الشهرية'!$B$6:$B$1005,$B13,'الحركات الشهرية'!$A$6:$A$1005,$C$3))</f>
        <v>0</v>
      </c>
      <c r="X13" s="116" t="n">
        <f aca="false">IF($B13="","",SUM(U13:W13))</f>
        <v>914.0625</v>
      </c>
      <c r="Y13" s="158" t="n">
        <f aca="false">IF($B13="","",T13-X13)</f>
        <v>9210.9375</v>
      </c>
      <c r="Z13" s="116" t="n">
        <f aca="false">IF($B13="","",الموظفون!$S13*IF(E13="سعودي",cfg_G_SR,cfg_G_NR)*G13/cfg_DAYS_M)</f>
        <v>1101.5625</v>
      </c>
      <c r="AA13" s="116" t="n">
        <f aca="false">IF($B13="","",الموظفون!$Q13*(cfg_EOS_R1*(MIN(AH13,cfg_EOS_TH)-MIN(AI13,cfg_EOS_TH))+cfg_EOS_R2*(MAX(AH13-cfg_EOS_TH,0)-MAX(AI13-cfg_EOS_TH,0))))</f>
        <v>416.095890410961</v>
      </c>
      <c r="AB13" s="116" t="n">
        <f aca="false">IF($B13="","",IF(الموظفون!$T13&lt;&gt;"",الموظفون!$T13,IF(AH13&gt;=cfg_LV_TH,cfg_LV_D2,cfg_LV_D1))/cfg_DAYS_Y*AJ13*الموظفون!$R13/cfg_DAYS_M)</f>
        <v>582.534246575342</v>
      </c>
      <c r="AC13" s="116" t="n">
        <f aca="false">IF($B13="","",IF(AND(الموظفون!$U13="نعم",N(الموظفون!$W13)&gt;0),الموظفون!$V13/الموظفون!$W13*12/cfg_DAYS_Y*AJ13,0))</f>
        <v>0</v>
      </c>
      <c r="AD13" s="116" t="n">
        <f aca="false">IF($B13="","",(IF(الموظفون!$X13&lt;&gt;"",الموظفون!$X13,IF(الموظفون!$E13="غير سعودي",cfg_IQ,0))+IF(الموظفون!$Y13&lt;&gt;"",الموظفون!$Y13,IF(الموظفون!$E13="غير سعودي",cfg_WP,0)))/12*G13/cfg_DAYS_M)</f>
        <v>0</v>
      </c>
      <c r="AE13" s="116" t="n">
        <f aca="false">IF($B13="","",IF(الموظفون!$Z13&lt;&gt;"",الموظفون!$Z13,cfg_MED)/12*G13/cfg_DAYS_M)</f>
        <v>200</v>
      </c>
      <c r="AF13" s="116" t="n">
        <f aca="false">IF($B13="","",N(الموظفون!$AA13)/12*G13/cfg_DAYS_M)</f>
        <v>0</v>
      </c>
      <c r="AG13" s="159" t="n">
        <f aca="false">IF($B13="","",T13+SUM(Z13:AF13))</f>
        <v>12425.1926369863</v>
      </c>
      <c r="AH13" s="160" t="n">
        <f aca="false">IF($B13="","",MAX(0,IF(OR(الموظفون!$AE13="",الموظفون!$AE13&gt;$F$3),$F$3,الموظفون!$AE13)-الموظفون!$H13+1-SUMIFS('سجل الإجازات والحالات'!$AR$6:$AR$505,'سجل الإجازات والحالات'!$B$6:$B$505,$B13))/cfg_DAYS_Y)</f>
        <v>3.74794520547945</v>
      </c>
      <c r="AI13" s="160" t="n">
        <f aca="false">IF($B13="","",MAX(0,IF(OR(الموظفون!$AE13="",الموظفون!$AE13&gt;($E$3-1)),($E$3-1),الموظفون!$AE13)-الموظفون!$H13+1-SUMIFS('سجل الإجازات والحالات'!$AQ$6:$AQ$505,'سجل الإجازات والحالات'!$B$6:$B$505,$B13))/cfg_DAYS_Y)</f>
        <v>3.66575342465753</v>
      </c>
      <c r="AJ13" s="133" t="n">
        <f aca="false">IF($B13="","",MAX(0,AK13-(SUMIFS('سجل الإجازات والحالات'!$AR$6:$AR$505,'سجل الإجازات والحالات'!$B$6:$B$505,$B13)-SUMIFS('سجل الإجازات والحالات'!$AQ$6:$AQ$505,'سجل الإجازات والحالات'!$B$6:$B$505,$B13))))</f>
        <v>30</v>
      </c>
      <c r="AK13" s="133" t="n">
        <f aca="false">IF($B13="","",MAX(0,IF(OR(الموظفون!$AE13="",الموظفون!$AE13&gt;$F$3),$F$3,الموظفون!$AE13)-MAX($E$3,الموظفون!$H13)+1))</f>
        <v>30</v>
      </c>
      <c r="AL13" s="156" t="n">
        <f aca="false">IF($B13="","",SUMIFS('سجل الإجازات والحالات'!$BD$6:$BD$505,'سجل الإجازات والحالات'!$B$6:$B$505,$B13)+SUMIFS('الحركات الشهرية'!$K$6:$K$1005,'الحركات الشهرية'!$B$6:$B$1005,$B13,'الحركات الشهرية'!$A$6:$A$1005,$C$3))</f>
        <v>0</v>
      </c>
      <c r="AM13" s="116" t="n">
        <f aca="false">IF($B13="","",AL13*الموظفون!$R13/cfg_DAYS_M+S13)</f>
        <v>0</v>
      </c>
      <c r="AN13" s="156" t="n">
        <f aca="false">IF($B13="","",SUMIFS('سجل الإجازات والحالات'!$AF$6:$AF$505,'سجل الإجازات والحالات'!$B$6:$B$505,$B13))</f>
        <v>0</v>
      </c>
    </row>
    <row r="14" customFormat="false" ht="15" hidden="false" customHeight="false" outlineLevel="0" collapsed="false">
      <c r="A14" s="106" t="n">
        <f aca="false">IF($B14="","",الموظفون!$A14)</f>
        <v>9</v>
      </c>
      <c r="B14" s="114" t="str">
        <f aca="false">IF(الموظفون!$B14="","",الموظفون!$B14)</f>
        <v>E009</v>
      </c>
      <c r="C14" s="114" t="str">
        <f aca="false">IF($B14="","",الموظفون!$C14)</f>
        <v>محمد رفيق</v>
      </c>
      <c r="D14" s="114" t="str">
        <f aca="false">IF($B14="","",الموظفون!$F14)</f>
        <v>العمليات</v>
      </c>
      <c r="E14" s="114" t="str">
        <f aca="false">IF($B14="","",الموظفون!$E14)</f>
        <v>غير سعودي</v>
      </c>
      <c r="F14" s="114" t="str">
        <f aca="false">IF($B14="","",IF(AK14=0,IF(AND(الموظفون!$AE14&lt;&gt;"",الموظفون!$AE14&lt;$E$3),"✖ منتهي الخدمة","⏳ لم يباشر"),IF(S14&gt;0,"✈ راتب إجازة مقدم",IF(J14=0,"⛔ بدون راتب هذا الشهر",IF(I14&gt;0,"✈ خصم "&amp;ROUND(I14,2)&amp;" يوم بدون أجر",IF(AL14&gt;0,"🌴 إجازة سنوية "&amp;ROUND(AL14,2)&amp;" يوم",IF(H14&gt;0,"⚠ غياب "&amp;ROUND(H14,2)&amp;" يوم","✔ على رأس العمل")))))))</f>
        <v>✔ على رأس العمل</v>
      </c>
      <c r="G14" s="151" t="n">
        <f aca="false">IF($B14="","",IF(AK14&gt;=DAY($F$3),cfg_DAYS_M,MIN(AK14,cfg_DAYS_M)))</f>
        <v>30</v>
      </c>
      <c r="H14" s="151" t="n">
        <f aca="false">IF($B14="","",SUMIFS('الحركات الشهرية'!$D$6:$D$1005,'الحركات الشهرية'!$B$6:$B$1005,$B14,'الحركات الشهرية'!$A$6:$A$1005,$C$3))</f>
        <v>0</v>
      </c>
      <c r="I14" s="151" t="n">
        <f aca="false">IF($B14="","",MIN(G14,IF(AND(AK14&gt;0,AN14&gt;=AK14),G14,AN14)+SUMIFS('الحركات الشهرية'!$E$6:$E$1005,'الحركات الشهرية'!$B$6:$B$1005,$B14,'الحركات الشهرية'!$A$6:$A$1005,$C$3)))</f>
        <v>0</v>
      </c>
      <c r="J14" s="151" t="n">
        <f aca="false">IF($B14="","",MAX(0,G14-H14-I14))</f>
        <v>30</v>
      </c>
      <c r="K14" s="111" t="n">
        <f aca="false">IF($B14="","",الموظفون!$L14*$J14/cfg_DAYS_M)</f>
        <v>6500</v>
      </c>
      <c r="L14" s="111" t="n">
        <f aca="false">IF($B14="","",الموظفون!$M14*$J14/cfg_DAYS_M)</f>
        <v>1625</v>
      </c>
      <c r="M14" s="111" t="n">
        <f aca="false">IF($B14="","",الموظفون!$N14*$J14/cfg_DAYS_M)</f>
        <v>650</v>
      </c>
      <c r="N14" s="111" t="n">
        <f aca="false">IF($B14="","",الموظفون!$O14*$J14/cfg_DAYS_M)</f>
        <v>300</v>
      </c>
      <c r="O14" s="151" t="n">
        <f aca="false">IF($B14="","",SUMIFS('الحركات الشهرية'!$F$6:$F$1005,'الحركات الشهرية'!$B$6:$B$1005,$B14,'الحركات الشهرية'!$A$6:$A$1005,$C$3))</f>
        <v>0</v>
      </c>
      <c r="P14" s="111" t="n">
        <f aca="false">IF($B14="","",O14*(الموظفون!$P14+الموظفون!$L14*cfg_OT_P)/cfg_DAYS_M/cfg_HRS)</f>
        <v>0</v>
      </c>
      <c r="Q14" s="111" t="n">
        <f aca="false">IF($B14="","",SUMIFS('الحركات الشهرية'!$G$6:$G$1005,'الحركات الشهرية'!$B$6:$B$1005,$B14,'الحركات الشهرية'!$A$6:$A$1005,$C$3))</f>
        <v>0</v>
      </c>
      <c r="R14" s="111" t="n">
        <f aca="false">IF($B14="","",SUMIFS('الحركات الشهرية'!$H$6:$H$1005,'الحركات الشهرية'!$B$6:$B$1005,$B14,'الحركات الشهرية'!$A$6:$A$1005,$C$3))</f>
        <v>0</v>
      </c>
      <c r="S14" s="111" t="n">
        <f aca="false">IF($B14="","",SUMIFS('سجل الإجازات والحالات'!$N$6:$N$505,'سجل الإجازات والحالات'!$B$6:$B$505,$B14,'سجل الإجازات والحالات'!$O$6:$O$505,$C$3))</f>
        <v>0</v>
      </c>
      <c r="T14" s="152" t="n">
        <f aca="false">IF($B14="","",SUM(K14:N14)+SUM(P14:S14))</f>
        <v>9075</v>
      </c>
      <c r="U14" s="111" t="n">
        <f aca="false">IF($B14="","",الموظفون!$S14*IF(E14="سعودي",cfg_G_SE,cfg_G_NE)*G14/cfg_DAYS_M)</f>
        <v>0</v>
      </c>
      <c r="V14" s="111" t="n">
        <f aca="false">IF($B14="","",SUMIFS('الحركات الشهرية'!$I$6:$I$1005,'الحركات الشهرية'!$B$6:$B$1005,$B14,'الحركات الشهرية'!$A$6:$A$1005,$C$3))</f>
        <v>0</v>
      </c>
      <c r="W14" s="111" t="n">
        <f aca="false">IF($B14="","",SUMIFS('الحركات الشهرية'!$J$6:$J$1005,'الحركات الشهرية'!$B$6:$B$1005,$B14,'الحركات الشهرية'!$A$6:$A$1005,$C$3))</f>
        <v>0</v>
      </c>
      <c r="X14" s="111" t="n">
        <f aca="false">IF($B14="","",SUM(U14:W14))</f>
        <v>0</v>
      </c>
      <c r="Y14" s="153" t="n">
        <f aca="false">IF($B14="","",T14-X14)</f>
        <v>9075</v>
      </c>
      <c r="Z14" s="111" t="n">
        <f aca="false">IF($B14="","",الموظفون!$S14*IF(E14="سعودي",cfg_G_SR,cfg_G_NR)*G14/cfg_DAYS_M)</f>
        <v>162.5</v>
      </c>
      <c r="AA14" s="111" t="n">
        <f aca="false">IF($B14="","",الموظفون!$Q14*(cfg_EOS_R1*(MIN(AH14,cfg_EOS_TH)-MIN(AI14,cfg_EOS_TH))+cfg_EOS_R2*(MAX(AH14-cfg_EOS_TH,0)-MAX(AI14-cfg_EOS_TH,0))))</f>
        <v>721.232876712324</v>
      </c>
      <c r="AB14" s="111" t="n">
        <f aca="false">IF($B14="","",IF(الموظفون!$T14&lt;&gt;"",الموظفون!$T14,IF(AH14&gt;=cfg_LV_TH,cfg_LV_D2,cfg_LV_D1))/cfg_DAYS_Y*AJ14*الموظفون!$R14/cfg_DAYS_M)</f>
        <v>721.232876712329</v>
      </c>
      <c r="AC14" s="111" t="n">
        <f aca="false">IF($B14="","",IF(AND(الموظفون!$U14="نعم",N(الموظفون!$W14)&gt;0),الموظفون!$V14/الموظفون!$W14*12/cfg_DAYS_Y*AJ14,0))</f>
        <v>90.4109589041096</v>
      </c>
      <c r="AD14" s="111" t="n">
        <f aca="false">IF($B14="","",(IF(الموظفون!$X14&lt;&gt;"",الموظفون!$X14,IF(الموظفون!$E14="غير سعودي",cfg_IQ,0))+IF(الموظفون!$Y14&lt;&gt;"",الموظفون!$Y14,IF(الموظفون!$E14="غير سعودي",cfg_WP,0)))/12*G14/cfg_DAYS_M)</f>
        <v>854.166666666667</v>
      </c>
      <c r="AE14" s="111" t="n">
        <f aca="false">IF($B14="","",IF(الموظفون!$Z14&lt;&gt;"",الموظفون!$Z14,cfg_MED)/12*G14/cfg_DAYS_M)</f>
        <v>150</v>
      </c>
      <c r="AF14" s="111" t="n">
        <f aca="false">IF($B14="","",N(الموظفون!$AA14)/12*G14/cfg_DAYS_M)</f>
        <v>0</v>
      </c>
      <c r="AG14" s="154" t="n">
        <f aca="false">IF($B14="","",T14+SUM(Z14:AF14))</f>
        <v>11774.5433789954</v>
      </c>
      <c r="AH14" s="155" t="n">
        <f aca="false">IF($B14="","",MAX(0,IF(OR(الموظفون!$AE14="",الموظفون!$AE14&gt;$F$3),$F$3,الموظفون!$AE14)-الموظفون!$H14+1-SUMIFS('سجل الإجازات والحالات'!$AR$6:$AR$505,'سجل الإجازات والحالات'!$B$6:$B$505,$B14))/cfg_DAYS_Y)</f>
        <v>12.2958904109589</v>
      </c>
      <c r="AI14" s="155" t="n">
        <f aca="false">IF($B14="","",MAX(0,IF(OR(الموظفون!$AE14="",الموظفون!$AE14&gt;($E$3-1)),($E$3-1),الموظفون!$AE14)-الموظفون!$H14+1-SUMIFS('سجل الإجازات والحالات'!$AQ$6:$AQ$505,'سجل الإجازات والحالات'!$B$6:$B$505,$B14))/cfg_DAYS_Y)</f>
        <v>12.213698630137</v>
      </c>
      <c r="AJ14" s="65" t="n">
        <f aca="false">IF($B14="","",MAX(0,AK14-(SUMIFS('سجل الإجازات والحالات'!$AR$6:$AR$505,'سجل الإجازات والحالات'!$B$6:$B$505,$B14)-SUMIFS('سجل الإجازات والحالات'!$AQ$6:$AQ$505,'سجل الإجازات والحالات'!$B$6:$B$505,$B14))))</f>
        <v>30</v>
      </c>
      <c r="AK14" s="65" t="n">
        <f aca="false">IF($B14="","",MAX(0,IF(OR(الموظفون!$AE14="",الموظفون!$AE14&gt;$F$3),$F$3,الموظفون!$AE14)-MAX($E$3,الموظفون!$H14)+1))</f>
        <v>30</v>
      </c>
      <c r="AL14" s="151" t="n">
        <f aca="false">IF($B14="","",SUMIFS('سجل الإجازات والحالات'!$BD$6:$BD$505,'سجل الإجازات والحالات'!$B$6:$B$505,$B14)+SUMIFS('الحركات الشهرية'!$K$6:$K$1005,'الحركات الشهرية'!$B$6:$B$1005,$B14,'الحركات الشهرية'!$A$6:$A$1005,$C$3))</f>
        <v>0</v>
      </c>
      <c r="AM14" s="111" t="n">
        <f aca="false">IF($B14="","",AL14*الموظفون!$R14/cfg_DAYS_M+S14)</f>
        <v>0</v>
      </c>
      <c r="AN14" s="151" t="n">
        <f aca="false">IF($B14="","",SUMIFS('سجل الإجازات والحالات'!$AF$6:$AF$505,'سجل الإجازات والحالات'!$B$6:$B$505,$B14))</f>
        <v>0</v>
      </c>
    </row>
    <row r="15" customFormat="false" ht="15" hidden="false" customHeight="false" outlineLevel="0" collapsed="false">
      <c r="A15" s="115" t="n">
        <f aca="false">IF($B15="","",الموظفون!$A15)</f>
        <v>10</v>
      </c>
      <c r="B15" s="117" t="str">
        <f aca="false">IF(الموظفون!$B15="","",الموظفون!$B15)</f>
        <v>E010</v>
      </c>
      <c r="C15" s="117" t="str">
        <f aca="false">IF($B15="","",الموظفون!$C15)</f>
        <v>ريم سلطان المطيري</v>
      </c>
      <c r="D15" s="117" t="str">
        <f aca="false">IF($B15="","",الموظفون!$F15)</f>
        <v>المبيعات</v>
      </c>
      <c r="E15" s="117" t="str">
        <f aca="false">IF($B15="","",الموظفون!$E15)</f>
        <v>سعودي</v>
      </c>
      <c r="F15" s="117" t="str">
        <f aca="false">IF($B15="","",IF(AK15=0,IF(AND(الموظفون!$AE15&lt;&gt;"",الموظفون!$AE15&lt;$E$3),"✖ منتهي الخدمة","⏳ لم يباشر"),IF(S15&gt;0,"✈ راتب إجازة مقدم",IF(J15=0,"⛔ بدون راتب هذا الشهر",IF(I15&gt;0,"✈ خصم "&amp;ROUND(I15,2)&amp;" يوم بدون أجر",IF(AL15&gt;0,"🌴 إجازة سنوية "&amp;ROUND(AL15,2)&amp;" يوم",IF(H15&gt;0,"⚠ غياب "&amp;ROUND(H15,2)&amp;" يوم","✔ على رأس العمل")))))))</f>
        <v>✔ على رأس العمل</v>
      </c>
      <c r="G15" s="156" t="n">
        <f aca="false">IF($B15="","",IF(AK15&gt;=DAY($F$3),cfg_DAYS_M,MIN(AK15,cfg_DAYS_M)))</f>
        <v>30</v>
      </c>
      <c r="H15" s="156" t="n">
        <f aca="false">IF($B15="","",SUMIFS('الحركات الشهرية'!$D$6:$D$1005,'الحركات الشهرية'!$B$6:$B$1005,$B15,'الحركات الشهرية'!$A$6:$A$1005,$C$3))</f>
        <v>0</v>
      </c>
      <c r="I15" s="156" t="n">
        <f aca="false">IF($B15="","",MIN(G15,IF(AND(AK15&gt;0,AN15&gt;=AK15),G15,AN15)+SUMIFS('الحركات الشهرية'!$E$6:$E$1005,'الحركات الشهرية'!$B$6:$B$1005,$B15,'الحركات الشهرية'!$A$6:$A$1005,$C$3)))</f>
        <v>0</v>
      </c>
      <c r="J15" s="156" t="n">
        <f aca="false">IF($B15="","",MAX(0,G15-H15-I15))</f>
        <v>30</v>
      </c>
      <c r="K15" s="116" t="n">
        <f aca="false">IF($B15="","",الموظفون!$L15*$J15/cfg_DAYS_M)</f>
        <v>9000</v>
      </c>
      <c r="L15" s="116" t="n">
        <f aca="false">IF($B15="","",الموظفون!$M15*$J15/cfg_DAYS_M)</f>
        <v>2250</v>
      </c>
      <c r="M15" s="116" t="n">
        <f aca="false">IF($B15="","",الموظفون!$N15*$J15/cfg_DAYS_M)</f>
        <v>900</v>
      </c>
      <c r="N15" s="116" t="n">
        <f aca="false">IF($B15="","",الموظفون!$O15*$J15/cfg_DAYS_M)</f>
        <v>0</v>
      </c>
      <c r="O15" s="156" t="n">
        <f aca="false">IF($B15="","",SUMIFS('الحركات الشهرية'!$F$6:$F$1005,'الحركات الشهرية'!$B$6:$B$1005,$B15,'الحركات الشهرية'!$A$6:$A$1005,$C$3))</f>
        <v>0</v>
      </c>
      <c r="P15" s="116" t="n">
        <f aca="false">IF($B15="","",O15*(الموظفون!$P15+الموظفون!$L15*cfg_OT_P)/cfg_DAYS_M/cfg_HRS)</f>
        <v>0</v>
      </c>
      <c r="Q15" s="116" t="n">
        <f aca="false">IF($B15="","",SUMIFS('الحركات الشهرية'!$G$6:$G$1005,'الحركات الشهرية'!$B$6:$B$1005,$B15,'الحركات الشهرية'!$A$6:$A$1005,$C$3))</f>
        <v>0</v>
      </c>
      <c r="R15" s="116" t="n">
        <f aca="false">IF($B15="","",SUMIFS('الحركات الشهرية'!$H$6:$H$1005,'الحركات الشهرية'!$B$6:$B$1005,$B15,'الحركات الشهرية'!$A$6:$A$1005,$C$3))</f>
        <v>0</v>
      </c>
      <c r="S15" s="116" t="n">
        <f aca="false">IF($B15="","",SUMIFS('سجل الإجازات والحالات'!$N$6:$N$505,'سجل الإجازات والحالات'!$B$6:$B$505,$B15,'سجل الإجازات والحالات'!$O$6:$O$505,$C$3))</f>
        <v>0</v>
      </c>
      <c r="T15" s="157" t="n">
        <f aca="false">IF($B15="","",SUM(K15:N15)+SUM(P15:S15))</f>
        <v>12150</v>
      </c>
      <c r="U15" s="116" t="n">
        <f aca="false">IF($B15="","",الموظفون!$S15*IF(E15="سعودي",cfg_G_SE,cfg_G_NE)*G15/cfg_DAYS_M)</f>
        <v>1096.875</v>
      </c>
      <c r="V15" s="116" t="n">
        <f aca="false">IF($B15="","",SUMIFS('الحركات الشهرية'!$I$6:$I$1005,'الحركات الشهرية'!$B$6:$B$1005,$B15,'الحركات الشهرية'!$A$6:$A$1005,$C$3))</f>
        <v>0</v>
      </c>
      <c r="W15" s="116" t="n">
        <f aca="false">IF($B15="","",SUMIFS('الحركات الشهرية'!$J$6:$J$1005,'الحركات الشهرية'!$B$6:$B$1005,$B15,'الحركات الشهرية'!$A$6:$A$1005,$C$3))</f>
        <v>0</v>
      </c>
      <c r="X15" s="116" t="n">
        <f aca="false">IF($B15="","",SUM(U15:W15))</f>
        <v>1096.875</v>
      </c>
      <c r="Y15" s="158" t="n">
        <f aca="false">IF($B15="","",T15-X15)</f>
        <v>11053.125</v>
      </c>
      <c r="Z15" s="116" t="n">
        <f aca="false">IF($B15="","",الموظفون!$S15*IF(E15="سعودي",cfg_G_SR,cfg_G_NR)*G15/cfg_DAYS_M)</f>
        <v>1321.875</v>
      </c>
      <c r="AA15" s="116" t="n">
        <f aca="false">IF($B15="","",الموظفون!$Q15*(cfg_EOS_R1*(MIN(AH15,cfg_EOS_TH)-MIN(AI15,cfg_EOS_TH))+cfg_EOS_R2*(MAX(AH15-cfg_EOS_TH,0)-MAX(AI15-cfg_EOS_TH,0))))</f>
        <v>499.315068493151</v>
      </c>
      <c r="AB15" s="116" t="n">
        <f aca="false">IF($B15="","",IF(الموظفون!$T15&lt;&gt;"",الموظفون!$T15,IF(AH15&gt;=cfg_LV_TH,cfg_LV_D2,cfg_LV_D1))/cfg_DAYS_Y*AJ15*الموظفون!$R15/cfg_DAYS_M)</f>
        <v>699.041095890411</v>
      </c>
      <c r="AC15" s="116" t="n">
        <f aca="false">IF($B15="","",IF(AND(الموظفون!$U15="نعم",N(الموظفون!$W15)&gt;0),الموظفون!$V15/الموظفون!$W15*12/cfg_DAYS_Y*AJ15,0))</f>
        <v>0</v>
      </c>
      <c r="AD15" s="116" t="n">
        <f aca="false">IF($B15="","",(IF(الموظفون!$X15&lt;&gt;"",الموظفون!$X15,IF(الموظفون!$E15="غير سعودي",cfg_IQ,0))+IF(الموظفون!$Y15&lt;&gt;"",الموظفون!$Y15,IF(الموظفون!$E15="غير سعودي",cfg_WP,0)))/12*G15/cfg_DAYS_M)</f>
        <v>0</v>
      </c>
      <c r="AE15" s="116" t="n">
        <f aca="false">IF($B15="","",IF(الموظفون!$Z15&lt;&gt;"",الموظفون!$Z15,cfg_MED)/12*G15/cfg_DAYS_M)</f>
        <v>200</v>
      </c>
      <c r="AF15" s="116" t="n">
        <f aca="false">IF($B15="","",N(الموظفون!$AA15)/12*G15/cfg_DAYS_M)</f>
        <v>0</v>
      </c>
      <c r="AG15" s="159" t="n">
        <f aca="false">IF($B15="","",T15+SUM(Z15:AF15))</f>
        <v>14870.2311643836</v>
      </c>
      <c r="AH15" s="160" t="n">
        <f aca="false">IF($B15="","",MAX(0,IF(OR(الموظفون!$AE15="",الموظفون!$AE15&gt;$F$3),$F$3,الموظفون!$AE15)-الموظفون!$H15+1-SUMIFS('سجل الإجازات والحالات'!$AR$6:$AR$505,'سجل الإجازات والحالات'!$B$6:$B$505,$B15))/cfg_DAYS_Y)</f>
        <v>0.63013698630137</v>
      </c>
      <c r="AI15" s="160" t="n">
        <f aca="false">IF($B15="","",MAX(0,IF(OR(الموظفون!$AE15="",الموظفون!$AE15&gt;($E$3-1)),($E$3-1),الموظفون!$AE15)-الموظفون!$H15+1-SUMIFS('سجل الإجازات والحالات'!$AQ$6:$AQ$505,'سجل الإجازات والحالات'!$B$6:$B$505,$B15))/cfg_DAYS_Y)</f>
        <v>0.547945205479452</v>
      </c>
      <c r="AJ15" s="133" t="n">
        <f aca="false">IF($B15="","",MAX(0,AK15-(SUMIFS('سجل الإجازات والحالات'!$AR$6:$AR$505,'سجل الإجازات والحالات'!$B$6:$B$505,$B15)-SUMIFS('سجل الإجازات والحالات'!$AQ$6:$AQ$505,'سجل الإجازات والحالات'!$B$6:$B$505,$B15))))</f>
        <v>30</v>
      </c>
      <c r="AK15" s="133" t="n">
        <f aca="false">IF($B15="","",MAX(0,IF(OR(الموظفون!$AE15="",الموظفون!$AE15&gt;$F$3),$F$3,الموظفون!$AE15)-MAX($E$3,الموظفون!$H15)+1))</f>
        <v>30</v>
      </c>
      <c r="AL15" s="156" t="n">
        <f aca="false">IF($B15="","",SUMIFS('سجل الإجازات والحالات'!$BD$6:$BD$505,'سجل الإجازات والحالات'!$B$6:$B$505,$B15)+SUMIFS('الحركات الشهرية'!$K$6:$K$1005,'الحركات الشهرية'!$B$6:$B$1005,$B15,'الحركات الشهرية'!$A$6:$A$1005,$C$3))</f>
        <v>0</v>
      </c>
      <c r="AM15" s="116" t="n">
        <f aca="false">IF($B15="","",AL15*الموظفون!$R15/cfg_DAYS_M+S15)</f>
        <v>0</v>
      </c>
      <c r="AN15" s="156" t="n">
        <f aca="false">IF($B15="","",SUMIFS('سجل الإجازات والحالات'!$AF$6:$AF$505,'سجل الإجازات والحالات'!$B$6:$B$505,$B15))</f>
        <v>0</v>
      </c>
    </row>
    <row r="16" customFormat="false" ht="15" hidden="false" customHeight="false" outlineLevel="0" collapsed="false">
      <c r="A16" s="106" t="n">
        <f aca="false">IF($B16="","",الموظفون!$A16)</f>
        <v>11</v>
      </c>
      <c r="B16" s="114" t="str">
        <f aca="false">IF(الموظفون!$B16="","",الموظفون!$B16)</f>
        <v>E011</v>
      </c>
      <c r="C16" s="114" t="str">
        <f aca="false">IF($B16="","",الموظفون!$C16)</f>
        <v>جون ماتيو</v>
      </c>
      <c r="D16" s="114" t="str">
        <f aca="false">IF($B16="","",الموظفون!$F16)</f>
        <v>العمليات</v>
      </c>
      <c r="E16" s="114" t="str">
        <f aca="false">IF($B16="","",الموظفون!$E16)</f>
        <v>غير سعودي</v>
      </c>
      <c r="F16" s="114" t="str">
        <f aca="false">IF($B16="","",IF(AK16=0,IF(AND(الموظفون!$AE16&lt;&gt;"",الموظفون!$AE16&lt;$E$3),"✖ منتهي الخدمة","⏳ لم يباشر"),IF(S16&gt;0,"✈ راتب إجازة مقدم",IF(J16=0,"⛔ بدون راتب هذا الشهر",IF(I16&gt;0,"✈ خصم "&amp;ROUND(I16,2)&amp;" يوم بدون أجر",IF(AL16&gt;0,"🌴 إجازة سنوية "&amp;ROUND(AL16,2)&amp;" يوم",IF(H16&gt;0,"⚠ غياب "&amp;ROUND(H16,2)&amp;" يوم","✔ على رأس العمل")))))))</f>
        <v>✖ منتهي الخدمة</v>
      </c>
      <c r="G16" s="151" t="n">
        <f aca="false">IF($B16="","",IF(AK16&gt;=DAY($F$3),cfg_DAYS_M,MIN(AK16,cfg_DAYS_M)))</f>
        <v>0</v>
      </c>
      <c r="H16" s="151" t="n">
        <f aca="false">IF($B16="","",SUMIFS('الحركات الشهرية'!$D$6:$D$1005,'الحركات الشهرية'!$B$6:$B$1005,$B16,'الحركات الشهرية'!$A$6:$A$1005,$C$3))</f>
        <v>0</v>
      </c>
      <c r="I16" s="151" t="n">
        <f aca="false">IF($B16="","",MIN(G16,IF(AND(AK16&gt;0,AN16&gt;=AK16),G16,AN16)+SUMIFS('الحركات الشهرية'!$E$6:$E$1005,'الحركات الشهرية'!$B$6:$B$1005,$B16,'الحركات الشهرية'!$A$6:$A$1005,$C$3)))</f>
        <v>0</v>
      </c>
      <c r="J16" s="151" t="n">
        <f aca="false">IF($B16="","",MAX(0,G16-H16-I16))</f>
        <v>0</v>
      </c>
      <c r="K16" s="111" t="n">
        <f aca="false">IF($B16="","",الموظفون!$L16*$J16/cfg_DAYS_M)</f>
        <v>0</v>
      </c>
      <c r="L16" s="111" t="n">
        <f aca="false">IF($B16="","",الموظفون!$M16*$J16/cfg_DAYS_M)</f>
        <v>0</v>
      </c>
      <c r="M16" s="111" t="n">
        <f aca="false">IF($B16="","",الموظفون!$N16*$J16/cfg_DAYS_M)</f>
        <v>0</v>
      </c>
      <c r="N16" s="111" t="n">
        <f aca="false">IF($B16="","",الموظفون!$O16*$J16/cfg_DAYS_M)</f>
        <v>0</v>
      </c>
      <c r="O16" s="151" t="n">
        <f aca="false">IF($B16="","",SUMIFS('الحركات الشهرية'!$F$6:$F$1005,'الحركات الشهرية'!$B$6:$B$1005,$B16,'الحركات الشهرية'!$A$6:$A$1005,$C$3))</f>
        <v>0</v>
      </c>
      <c r="P16" s="111" t="n">
        <f aca="false">IF($B16="","",O16*(الموظفون!$P16+الموظفون!$L16*cfg_OT_P)/cfg_DAYS_M/cfg_HRS)</f>
        <v>0</v>
      </c>
      <c r="Q16" s="111" t="n">
        <f aca="false">IF($B16="","",SUMIFS('الحركات الشهرية'!$G$6:$G$1005,'الحركات الشهرية'!$B$6:$B$1005,$B16,'الحركات الشهرية'!$A$6:$A$1005,$C$3))</f>
        <v>0</v>
      </c>
      <c r="R16" s="111" t="n">
        <f aca="false">IF($B16="","",SUMIFS('الحركات الشهرية'!$H$6:$H$1005,'الحركات الشهرية'!$B$6:$B$1005,$B16,'الحركات الشهرية'!$A$6:$A$1005,$C$3))</f>
        <v>0</v>
      </c>
      <c r="S16" s="111" t="n">
        <f aca="false">IF($B16="","",SUMIFS('سجل الإجازات والحالات'!$N$6:$N$505,'سجل الإجازات والحالات'!$B$6:$B$505,$B16,'سجل الإجازات والحالات'!$O$6:$O$505,$C$3))</f>
        <v>0</v>
      </c>
      <c r="T16" s="152" t="n">
        <f aca="false">IF($B16="","",SUM(K16:N16)+SUM(P16:S16))</f>
        <v>0</v>
      </c>
      <c r="U16" s="111" t="n">
        <f aca="false">IF($B16="","",الموظفون!$S16*IF(E16="سعودي",cfg_G_SE,cfg_G_NE)*G16/cfg_DAYS_M)</f>
        <v>0</v>
      </c>
      <c r="V16" s="111" t="n">
        <f aca="false">IF($B16="","",SUMIFS('الحركات الشهرية'!$I$6:$I$1005,'الحركات الشهرية'!$B$6:$B$1005,$B16,'الحركات الشهرية'!$A$6:$A$1005,$C$3))</f>
        <v>0</v>
      </c>
      <c r="W16" s="111" t="n">
        <f aca="false">IF($B16="","",SUMIFS('الحركات الشهرية'!$J$6:$J$1005,'الحركات الشهرية'!$B$6:$B$1005,$B16,'الحركات الشهرية'!$A$6:$A$1005,$C$3))</f>
        <v>0</v>
      </c>
      <c r="X16" s="111" t="n">
        <f aca="false">IF($B16="","",SUM(U16:W16))</f>
        <v>0</v>
      </c>
      <c r="Y16" s="153" t="n">
        <f aca="false">IF($B16="","",T16-X16)</f>
        <v>0</v>
      </c>
      <c r="Z16" s="111" t="n">
        <f aca="false">IF($B16="","",الموظفون!$S16*IF(E16="سعودي",cfg_G_SR,cfg_G_NR)*G16/cfg_DAYS_M)</f>
        <v>0</v>
      </c>
      <c r="AA16" s="111" t="n">
        <f aca="false">IF($B16="","",الموظفون!$Q16*(cfg_EOS_R1*(MIN(AH16,cfg_EOS_TH)-MIN(AI16,cfg_EOS_TH))+cfg_EOS_R2*(MAX(AH16-cfg_EOS_TH,0)-MAX(AI16-cfg_EOS_TH,0))))</f>
        <v>0</v>
      </c>
      <c r="AB16" s="111" t="n">
        <f aca="false">IF($B16="","",IF(الموظفون!$T16&lt;&gt;"",الموظفون!$T16,IF(AH16&gt;=cfg_LV_TH,cfg_LV_D2,cfg_LV_D1))/cfg_DAYS_Y*AJ16*الموظفون!$R16/cfg_DAYS_M)</f>
        <v>0</v>
      </c>
      <c r="AC16" s="111" t="n">
        <f aca="false">IF($B16="","",IF(AND(الموظفون!$U16="نعم",N(الموظفون!$W16)&gt;0),الموظفون!$V16/الموظفون!$W16*12/cfg_DAYS_Y*AJ16,0))</f>
        <v>0</v>
      </c>
      <c r="AD16" s="111" t="n">
        <f aca="false">IF($B16="","",(IF(الموظفون!$X16&lt;&gt;"",الموظفون!$X16,IF(الموظفون!$E16="غير سعودي",cfg_IQ,0))+IF(الموظفون!$Y16&lt;&gt;"",الموظفون!$Y16,IF(الموظفون!$E16="غير سعودي",cfg_WP,0)))/12*G16/cfg_DAYS_M)</f>
        <v>0</v>
      </c>
      <c r="AE16" s="111" t="n">
        <f aca="false">IF($B16="","",IF(الموظفون!$Z16&lt;&gt;"",الموظفون!$Z16,cfg_MED)/12*G16/cfg_DAYS_M)</f>
        <v>0</v>
      </c>
      <c r="AF16" s="111" t="n">
        <f aca="false">IF($B16="","",N(الموظفون!$AA16)/12*G16/cfg_DAYS_M)</f>
        <v>0</v>
      </c>
      <c r="AG16" s="154" t="n">
        <f aca="false">IF($B16="","",T16+SUM(Z16:AF16))</f>
        <v>0</v>
      </c>
      <c r="AH16" s="155" t="n">
        <f aca="false">IF($B16="","",MAX(0,IF(OR(الموظفون!$AE16="",الموظفون!$AE16&gt;$F$3),$F$3,الموظفون!$AE16)-الموظفون!$H16+1-SUMIFS('سجل الإجازات والحالات'!$AR$6:$AR$505,'سجل الإجازات والحالات'!$B$6:$B$505,$B16))/cfg_DAYS_Y)</f>
        <v>7.33972602739726</v>
      </c>
      <c r="AI16" s="155" t="n">
        <f aca="false">IF($B16="","",MAX(0,IF(OR(الموظفون!$AE16="",الموظفون!$AE16&gt;($E$3-1)),($E$3-1),الموظفون!$AE16)-الموظفون!$H16+1-SUMIFS('سجل الإجازات والحالات'!$AQ$6:$AQ$505,'سجل الإجازات والحالات'!$B$6:$B$505,$B16))/cfg_DAYS_Y)</f>
        <v>7.33972602739726</v>
      </c>
      <c r="AJ16" s="65" t="n">
        <f aca="false">IF($B16="","",MAX(0,AK16-(SUMIFS('سجل الإجازات والحالات'!$AR$6:$AR$505,'سجل الإجازات والحالات'!$B$6:$B$505,$B16)-SUMIFS('سجل الإجازات والحالات'!$AQ$6:$AQ$505,'سجل الإجازات والحالات'!$B$6:$B$505,$B16))))</f>
        <v>0</v>
      </c>
      <c r="AK16" s="65" t="n">
        <f aca="false">IF($B16="","",MAX(0,IF(OR(الموظفون!$AE16="",الموظفون!$AE16&gt;$F$3),$F$3,الموظفون!$AE16)-MAX($E$3,الموظفون!$H16)+1))</f>
        <v>0</v>
      </c>
      <c r="AL16" s="151" t="n">
        <f aca="false">IF($B16="","",SUMIFS('سجل الإجازات والحالات'!$BD$6:$BD$505,'سجل الإجازات والحالات'!$B$6:$B$505,$B16)+SUMIFS('الحركات الشهرية'!$K$6:$K$1005,'الحركات الشهرية'!$B$6:$B$1005,$B16,'الحركات الشهرية'!$A$6:$A$1005,$C$3))</f>
        <v>0</v>
      </c>
      <c r="AM16" s="111" t="n">
        <f aca="false">IF($B16="","",AL16*الموظفون!$R16/cfg_DAYS_M+S16)</f>
        <v>0</v>
      </c>
      <c r="AN16" s="151" t="n">
        <f aca="false">IF($B16="","",SUMIFS('سجل الإجازات والحالات'!$AF$6:$AF$505,'سجل الإجازات والحالات'!$B$6:$B$505,$B16))</f>
        <v>0</v>
      </c>
    </row>
    <row r="17" customFormat="false" ht="15" hidden="false" customHeight="false" outlineLevel="0" collapsed="false">
      <c r="A17" s="115" t="n">
        <f aca="false">IF($B17="","",الموظفون!$A17)</f>
        <v>12</v>
      </c>
      <c r="B17" s="117" t="str">
        <f aca="false">IF(الموظفون!$B17="","",الموظفون!$B17)</f>
        <v>E012</v>
      </c>
      <c r="C17" s="117" t="str">
        <f aca="false">IF($B17="","",الموظفون!$C17)</f>
        <v>عمر حسين البيشي</v>
      </c>
      <c r="D17" s="117" t="str">
        <f aca="false">IF($B17="","",الموظفون!$F17)</f>
        <v>تقنية المعلومات</v>
      </c>
      <c r="E17" s="117" t="str">
        <f aca="false">IF($B17="","",الموظفون!$E17)</f>
        <v>سعودي</v>
      </c>
      <c r="F17" s="117" t="str">
        <f aca="false">IF($B17="","",IF(AK17=0,IF(AND(الموظفون!$AE17&lt;&gt;"",الموظفون!$AE17&lt;$E$3),"✖ منتهي الخدمة","⏳ لم يباشر"),IF(S17&gt;0,"✈ راتب إجازة مقدم",IF(J17=0,"⛔ بدون راتب هذا الشهر",IF(I17&gt;0,"✈ خصم "&amp;ROUND(I17,2)&amp;" يوم بدون أجر",IF(AL17&gt;0,"🌴 إجازة سنوية "&amp;ROUND(AL17,2)&amp;" يوم",IF(H17&gt;0,"⚠ غياب "&amp;ROUND(H17,2)&amp;" يوم","✔ على رأس العمل")))))))</f>
        <v>✔ على رأس العمل</v>
      </c>
      <c r="G17" s="156" t="n">
        <f aca="false">IF($B17="","",IF(AK17&gt;=DAY($F$3),cfg_DAYS_M,MIN(AK17,cfg_DAYS_M)))</f>
        <v>30</v>
      </c>
      <c r="H17" s="156" t="n">
        <f aca="false">IF($B17="","",SUMIFS('الحركات الشهرية'!$D$6:$D$1005,'الحركات الشهرية'!$B$6:$B$1005,$B17,'الحركات الشهرية'!$A$6:$A$1005,$C$3))</f>
        <v>0</v>
      </c>
      <c r="I17" s="156" t="n">
        <f aca="false">IF($B17="","",MIN(G17,IF(AND(AK17&gt;0,AN17&gt;=AK17),G17,AN17)+SUMIFS('الحركات الشهرية'!$E$6:$E$1005,'الحركات الشهرية'!$B$6:$B$1005,$B17,'الحركات الشهرية'!$A$6:$A$1005,$C$3)))</f>
        <v>0</v>
      </c>
      <c r="J17" s="156" t="n">
        <f aca="false">IF($B17="","",MAX(0,G17-H17-I17))</f>
        <v>30</v>
      </c>
      <c r="K17" s="116" t="n">
        <f aca="false">IF($B17="","",الموظفون!$L17*$J17/cfg_DAYS_M)</f>
        <v>12000</v>
      </c>
      <c r="L17" s="116" t="n">
        <f aca="false">IF($B17="","",الموظفون!$M17*$J17/cfg_DAYS_M)</f>
        <v>3000</v>
      </c>
      <c r="M17" s="116" t="n">
        <f aca="false">IF($B17="","",الموظفون!$N17*$J17/cfg_DAYS_M)</f>
        <v>1200</v>
      </c>
      <c r="N17" s="116" t="n">
        <f aca="false">IF($B17="","",الموظفون!$O17*$J17/cfg_DAYS_M)</f>
        <v>1500</v>
      </c>
      <c r="O17" s="156" t="n">
        <f aca="false">IF($B17="","",SUMIFS('الحركات الشهرية'!$F$6:$F$1005,'الحركات الشهرية'!$B$6:$B$1005,$B17,'الحركات الشهرية'!$A$6:$A$1005,$C$3))</f>
        <v>0</v>
      </c>
      <c r="P17" s="116" t="n">
        <f aca="false">IF($B17="","",O17*(الموظفون!$P17+الموظفون!$L17*cfg_OT_P)/cfg_DAYS_M/cfg_HRS)</f>
        <v>0</v>
      </c>
      <c r="Q17" s="116" t="n">
        <f aca="false">IF($B17="","",SUMIFS('الحركات الشهرية'!$G$6:$G$1005,'الحركات الشهرية'!$B$6:$B$1005,$B17,'الحركات الشهرية'!$A$6:$A$1005,$C$3))</f>
        <v>0</v>
      </c>
      <c r="R17" s="116" t="n">
        <f aca="false">IF($B17="","",SUMIFS('الحركات الشهرية'!$H$6:$H$1005,'الحركات الشهرية'!$B$6:$B$1005,$B17,'الحركات الشهرية'!$A$6:$A$1005,$C$3))</f>
        <v>0</v>
      </c>
      <c r="S17" s="116" t="n">
        <f aca="false">IF($B17="","",SUMIFS('سجل الإجازات والحالات'!$N$6:$N$505,'سجل الإجازات والحالات'!$B$6:$B$505,$B17,'سجل الإجازات والحالات'!$O$6:$O$505,$C$3))</f>
        <v>0</v>
      </c>
      <c r="T17" s="157" t="n">
        <f aca="false">IF($B17="","",SUM(K17:N17)+SUM(P17:S17))</f>
        <v>17700</v>
      </c>
      <c r="U17" s="116" t="n">
        <f aca="false">IF($B17="","",الموظفون!$S17*IF(E17="سعودي",cfg_G_SE,cfg_G_NE)*G17/cfg_DAYS_M)</f>
        <v>1462.5</v>
      </c>
      <c r="V17" s="116" t="n">
        <f aca="false">IF($B17="","",SUMIFS('الحركات الشهرية'!$I$6:$I$1005,'الحركات الشهرية'!$B$6:$B$1005,$B17,'الحركات الشهرية'!$A$6:$A$1005,$C$3))</f>
        <v>0</v>
      </c>
      <c r="W17" s="116" t="n">
        <f aca="false">IF($B17="","",SUMIFS('الحركات الشهرية'!$J$6:$J$1005,'الحركات الشهرية'!$B$6:$B$1005,$B17,'الحركات الشهرية'!$A$6:$A$1005,$C$3))</f>
        <v>0</v>
      </c>
      <c r="X17" s="116" t="n">
        <f aca="false">IF($B17="","",SUM(U17:W17))</f>
        <v>1462.5</v>
      </c>
      <c r="Y17" s="158" t="n">
        <f aca="false">IF($B17="","",T17-X17)</f>
        <v>16237.5</v>
      </c>
      <c r="Z17" s="116" t="n">
        <f aca="false">IF($B17="","",الموظفون!$S17*IF(E17="سعودي",cfg_G_SR,cfg_G_NR)*G17/cfg_DAYS_M)</f>
        <v>1762.5</v>
      </c>
      <c r="AA17" s="116" t="n">
        <f aca="false">IF($B17="","",الموظفون!$Q17*(cfg_EOS_R1*(MIN(AH17,cfg_EOS_TH)-MIN(AI17,cfg_EOS_TH))+cfg_EOS_R2*(MAX(AH17-cfg_EOS_TH,0)-MAX(AI17-cfg_EOS_TH,0))))</f>
        <v>665.753424657537</v>
      </c>
      <c r="AB17" s="116" t="n">
        <f aca="false">IF($B17="","",IF(الموظفون!$T17&lt;&gt;"",الموظفون!$T17,IF(AH17&gt;=cfg_LV_TH,cfg_LV_D2,cfg_LV_D1))/cfg_DAYS_Y*AJ17*الموظفون!$R17/cfg_DAYS_M)</f>
        <v>932.054794520548</v>
      </c>
      <c r="AC17" s="116" t="n">
        <f aca="false">IF($B17="","",IF(AND(الموظفون!$U17="نعم",N(الموظفون!$W17)&gt;0),الموظفون!$V17/الموظفون!$W17*12/cfg_DAYS_Y*AJ17,0))</f>
        <v>0</v>
      </c>
      <c r="AD17" s="116" t="n">
        <f aca="false">IF($B17="","",(IF(الموظفون!$X17&lt;&gt;"",الموظفون!$X17,IF(الموظفون!$E17="غير سعودي",cfg_IQ,0))+IF(الموظفون!$Y17&lt;&gt;"",الموظفون!$Y17,IF(الموظفون!$E17="غير سعودي",cfg_WP,0)))/12*G17/cfg_DAYS_M)</f>
        <v>0</v>
      </c>
      <c r="AE17" s="116" t="n">
        <f aca="false">IF($B17="","",IF(الموظفون!$Z17&lt;&gt;"",الموظفون!$Z17,cfg_MED)/12*G17/cfg_DAYS_M)</f>
        <v>200</v>
      </c>
      <c r="AF17" s="116" t="n">
        <f aca="false">IF($B17="","",N(الموظفون!$AA17)/12*G17/cfg_DAYS_M)</f>
        <v>0</v>
      </c>
      <c r="AG17" s="159" t="n">
        <f aca="false">IF($B17="","",T17+SUM(Z17:AF17))</f>
        <v>21260.3082191781</v>
      </c>
      <c r="AH17" s="160" t="n">
        <f aca="false">IF($B17="","",MAX(0,IF(OR(الموظفون!$AE17="",الموظفون!$AE17&gt;$F$3),$F$3,الموظفون!$AE17)-الموظفون!$H17+1-SUMIFS('سجل الإجازات والحالات'!$AR$6:$AR$505,'سجل الإجازات والحالات'!$B$6:$B$505,$B17))/cfg_DAYS_Y)</f>
        <v>4.3972602739726</v>
      </c>
      <c r="AI17" s="160" t="n">
        <f aca="false">IF($B17="","",MAX(0,IF(OR(الموظفون!$AE17="",الموظفون!$AE17&gt;($E$3-1)),($E$3-1),الموظفون!$AE17)-الموظفون!$H17+1-SUMIFS('سجل الإجازات والحالات'!$AQ$6:$AQ$505,'سجل الإجازات والحالات'!$B$6:$B$505,$B17))/cfg_DAYS_Y)</f>
        <v>4.31506849315069</v>
      </c>
      <c r="AJ17" s="133" t="n">
        <f aca="false">IF($B17="","",MAX(0,AK17-(SUMIFS('سجل الإجازات والحالات'!$AR$6:$AR$505,'سجل الإجازات والحالات'!$B$6:$B$505,$B17)-SUMIFS('سجل الإجازات والحالات'!$AQ$6:$AQ$505,'سجل الإجازات والحالات'!$B$6:$B$505,$B17))))</f>
        <v>30</v>
      </c>
      <c r="AK17" s="133" t="n">
        <f aca="false">IF($B17="","",MAX(0,IF(OR(الموظفون!$AE17="",الموظفون!$AE17&gt;$F$3),$F$3,الموظفون!$AE17)-MAX($E$3,الموظفون!$H17)+1))</f>
        <v>30</v>
      </c>
      <c r="AL17" s="156" t="n">
        <f aca="false">IF($B17="","",SUMIFS('سجل الإجازات والحالات'!$BD$6:$BD$505,'سجل الإجازات والحالات'!$B$6:$B$505,$B17)+SUMIFS('الحركات الشهرية'!$K$6:$K$1005,'الحركات الشهرية'!$B$6:$B$1005,$B17,'الحركات الشهرية'!$A$6:$A$1005,$C$3))</f>
        <v>0</v>
      </c>
      <c r="AM17" s="116" t="n">
        <f aca="false">IF($B17="","",AL17*الموظفون!$R17/cfg_DAYS_M+S17)</f>
        <v>0</v>
      </c>
      <c r="AN17" s="156" t="n">
        <f aca="false">IF($B17="","",SUMIFS('سجل الإجازات والحالات'!$AF$6:$AF$505,'سجل الإجازات والحالات'!$B$6:$B$505,$B17))</f>
        <v>0</v>
      </c>
    </row>
    <row r="18" customFormat="false" ht="15" hidden="false" customHeight="false" outlineLevel="0" collapsed="false">
      <c r="A18" s="106" t="str">
        <f aca="false">IF($B18="","",الموظفون!$A18)</f>
        <v/>
      </c>
      <c r="B18" s="114" t="str">
        <f aca="false">IF(الموظفون!$B18="","",الموظفون!$B18)</f>
        <v/>
      </c>
      <c r="C18" s="114" t="str">
        <f aca="false">IF($B18="","",الموظفون!$C18)</f>
        <v/>
      </c>
      <c r="D18" s="114" t="str">
        <f aca="false">IF($B18="","",الموظفون!$F18)</f>
        <v/>
      </c>
      <c r="E18" s="114" t="str">
        <f aca="false">IF($B18="","",الموظفون!$E18)</f>
        <v/>
      </c>
      <c r="F18" s="114" t="str">
        <f aca="false">IF($B18="","",IF(AK18=0,IF(AND(الموظفون!$AE18&lt;&gt;"",الموظفون!$AE18&lt;$E$3),"✖ منتهي الخدمة","⏳ لم يباشر"),IF(S18&gt;0,"✈ راتب إجازة مقدم",IF(J18=0,"⛔ بدون راتب هذا الشهر",IF(I18&gt;0,"✈ خصم "&amp;ROUND(I18,2)&amp;" يوم بدون أجر",IF(AL18&gt;0,"🌴 إجازة سنوية "&amp;ROUND(AL18,2)&amp;" يوم",IF(H18&gt;0,"⚠ غياب "&amp;ROUND(H18,2)&amp;" يوم","✔ على رأس العمل")))))))</f>
        <v/>
      </c>
      <c r="G18" s="151" t="str">
        <f aca="false">IF($B18="","",IF(AK18&gt;=DAY($F$3),cfg_DAYS_M,MIN(AK18,cfg_DAYS_M)))</f>
        <v/>
      </c>
      <c r="H18" s="151" t="str">
        <f aca="false">IF($B18="","",SUMIFS('الحركات الشهرية'!$D$6:$D$1005,'الحركات الشهرية'!$B$6:$B$1005,$B18,'الحركات الشهرية'!$A$6:$A$1005,$C$3))</f>
        <v/>
      </c>
      <c r="I18" s="151" t="str">
        <f aca="false">IF($B18="","",MIN(G18,IF(AND(AK18&gt;0,AN18&gt;=AK18),G18,AN18)+SUMIFS('الحركات الشهرية'!$E$6:$E$1005,'الحركات الشهرية'!$B$6:$B$1005,$B18,'الحركات الشهرية'!$A$6:$A$1005,$C$3)))</f>
        <v/>
      </c>
      <c r="J18" s="151" t="str">
        <f aca="false">IF($B18="","",MAX(0,G18-H18-I18))</f>
        <v/>
      </c>
      <c r="K18" s="111" t="str">
        <f aca="false">IF($B18="","",الموظفون!$L18*$J18/cfg_DAYS_M)</f>
        <v/>
      </c>
      <c r="L18" s="111" t="str">
        <f aca="false">IF($B18="","",الموظفون!$M18*$J18/cfg_DAYS_M)</f>
        <v/>
      </c>
      <c r="M18" s="111" t="str">
        <f aca="false">IF($B18="","",الموظفون!$N18*$J18/cfg_DAYS_M)</f>
        <v/>
      </c>
      <c r="N18" s="111" t="str">
        <f aca="false">IF($B18="","",الموظفون!$O18*$J18/cfg_DAYS_M)</f>
        <v/>
      </c>
      <c r="O18" s="151" t="str">
        <f aca="false">IF($B18="","",SUMIFS('الحركات الشهرية'!$F$6:$F$1005,'الحركات الشهرية'!$B$6:$B$1005,$B18,'الحركات الشهرية'!$A$6:$A$1005,$C$3))</f>
        <v/>
      </c>
      <c r="P18" s="111" t="str">
        <f aca="false">IF($B18="","",O18*(الموظفون!$P18+الموظفون!$L18*cfg_OT_P)/cfg_DAYS_M/cfg_HRS)</f>
        <v/>
      </c>
      <c r="Q18" s="111" t="str">
        <f aca="false">IF($B18="","",SUMIFS('الحركات الشهرية'!$G$6:$G$1005,'الحركات الشهرية'!$B$6:$B$1005,$B18,'الحركات الشهرية'!$A$6:$A$1005,$C$3))</f>
        <v/>
      </c>
      <c r="R18" s="111" t="str">
        <f aca="false">IF($B18="","",SUMIFS('الحركات الشهرية'!$H$6:$H$1005,'الحركات الشهرية'!$B$6:$B$1005,$B18,'الحركات الشهرية'!$A$6:$A$1005,$C$3))</f>
        <v/>
      </c>
      <c r="S18" s="111" t="str">
        <f aca="false">IF($B18="","",SUMIFS('سجل الإجازات والحالات'!$N$6:$N$505,'سجل الإجازات والحالات'!$B$6:$B$505,$B18,'سجل الإجازات والحالات'!$O$6:$O$505,$C$3))</f>
        <v/>
      </c>
      <c r="T18" s="152" t="str">
        <f aca="false">IF($B18="","",SUM(K18:N18)+SUM(P18:S18))</f>
        <v/>
      </c>
      <c r="U18" s="111" t="str">
        <f aca="false">IF($B18="","",الموظفون!$S18*IF(E18="سعودي",cfg_G_SE,cfg_G_NE)*G18/cfg_DAYS_M)</f>
        <v/>
      </c>
      <c r="V18" s="111" t="str">
        <f aca="false">IF($B18="","",SUMIFS('الحركات الشهرية'!$I$6:$I$1005,'الحركات الشهرية'!$B$6:$B$1005,$B18,'الحركات الشهرية'!$A$6:$A$1005,$C$3))</f>
        <v/>
      </c>
      <c r="W18" s="111" t="str">
        <f aca="false">IF($B18="","",SUMIFS('الحركات الشهرية'!$J$6:$J$1005,'الحركات الشهرية'!$B$6:$B$1005,$B18,'الحركات الشهرية'!$A$6:$A$1005,$C$3))</f>
        <v/>
      </c>
      <c r="X18" s="111" t="str">
        <f aca="false">IF($B18="","",SUM(U18:W18))</f>
        <v/>
      </c>
      <c r="Y18" s="153" t="str">
        <f aca="false">IF($B18="","",T18-X18)</f>
        <v/>
      </c>
      <c r="Z18" s="111" t="str">
        <f aca="false">IF($B18="","",الموظفون!$S18*IF(E18="سعودي",cfg_G_SR,cfg_G_NR)*G18/cfg_DAYS_M)</f>
        <v/>
      </c>
      <c r="AA18" s="111" t="str">
        <f aca="false">IF($B18="","",الموظفون!$Q18*(cfg_EOS_R1*(MIN(AH18,cfg_EOS_TH)-MIN(AI18,cfg_EOS_TH))+cfg_EOS_R2*(MAX(AH18-cfg_EOS_TH,0)-MAX(AI18-cfg_EOS_TH,0))))</f>
        <v/>
      </c>
      <c r="AB18" s="111" t="str">
        <f aca="false">IF($B18="","",IF(الموظفون!$T18&lt;&gt;"",الموظفون!$T18,IF(AH18&gt;=cfg_LV_TH,cfg_LV_D2,cfg_LV_D1))/cfg_DAYS_Y*AJ18*الموظفون!$R18/cfg_DAYS_M)</f>
        <v/>
      </c>
      <c r="AC18" s="111" t="str">
        <f aca="false">IF($B18="","",IF(AND(الموظفون!$U18="نعم",N(الموظفون!$W18)&gt;0),الموظفون!$V18/الموظفون!$W18*12/cfg_DAYS_Y*AJ18,0))</f>
        <v/>
      </c>
      <c r="AD18" s="111" t="str">
        <f aca="false">IF($B18="","",(IF(الموظفون!$X18&lt;&gt;"",الموظفون!$X18,IF(الموظفون!$E18="غير سعودي",cfg_IQ,0))+IF(الموظفون!$Y18&lt;&gt;"",الموظفون!$Y18,IF(الموظفون!$E18="غير سعودي",cfg_WP,0)))/12*G18/cfg_DAYS_M)</f>
        <v/>
      </c>
      <c r="AE18" s="111" t="str">
        <f aca="false">IF($B18="","",IF(الموظفون!$Z18&lt;&gt;"",الموظفون!$Z18,cfg_MED)/12*G18/cfg_DAYS_M)</f>
        <v/>
      </c>
      <c r="AF18" s="111" t="str">
        <f aca="false">IF($B18="","",N(الموظفون!$AA18)/12*G18/cfg_DAYS_M)</f>
        <v/>
      </c>
      <c r="AG18" s="154" t="str">
        <f aca="false">IF($B18="","",T18+SUM(Z18:AF18))</f>
        <v/>
      </c>
      <c r="AH18" s="155" t="str">
        <f aca="false">IF($B18="","",MAX(0,IF(OR(الموظفون!$AE18="",الموظفون!$AE18&gt;$F$3),$F$3,الموظفون!$AE18)-الموظفون!$H18+1-SUMIFS('سجل الإجازات والحالات'!$AR$6:$AR$505,'سجل الإجازات والحالات'!$B$6:$B$505,$B18))/cfg_DAYS_Y)</f>
        <v/>
      </c>
      <c r="AI18" s="155" t="str">
        <f aca="false">IF($B18="","",MAX(0,IF(OR(الموظفون!$AE18="",الموظفون!$AE18&gt;($E$3-1)),($E$3-1),الموظفون!$AE18)-الموظفون!$H18+1-SUMIFS('سجل الإجازات والحالات'!$AQ$6:$AQ$505,'سجل الإجازات والحالات'!$B$6:$B$505,$B18))/cfg_DAYS_Y)</f>
        <v/>
      </c>
      <c r="AJ18" s="65" t="str">
        <f aca="false">IF($B18="","",MAX(0,AK18-(SUMIFS('سجل الإجازات والحالات'!$AR$6:$AR$505,'سجل الإجازات والحالات'!$B$6:$B$505,$B18)-SUMIFS('سجل الإجازات والحالات'!$AQ$6:$AQ$505,'سجل الإجازات والحالات'!$B$6:$B$505,$B18))))</f>
        <v/>
      </c>
      <c r="AK18" s="65" t="str">
        <f aca="false">IF($B18="","",MAX(0,IF(OR(الموظفون!$AE18="",الموظفون!$AE18&gt;$F$3),$F$3,الموظفون!$AE18)-MAX($E$3,الموظفون!$H18)+1))</f>
        <v/>
      </c>
      <c r="AL18" s="151" t="str">
        <f aca="false">IF($B18="","",SUMIFS('سجل الإجازات والحالات'!$BD$6:$BD$505,'سجل الإجازات والحالات'!$B$6:$B$505,$B18)+SUMIFS('الحركات الشهرية'!$K$6:$K$1005,'الحركات الشهرية'!$B$6:$B$1005,$B18,'الحركات الشهرية'!$A$6:$A$1005,$C$3))</f>
        <v/>
      </c>
      <c r="AM18" s="111" t="str">
        <f aca="false">IF($B18="","",AL18*الموظفون!$R18/cfg_DAYS_M+S18)</f>
        <v/>
      </c>
      <c r="AN18" s="151" t="str">
        <f aca="false">IF($B18="","",SUMIFS('سجل الإجازات والحالات'!$AF$6:$AF$505,'سجل الإجازات والحالات'!$B$6:$B$505,$B18))</f>
        <v/>
      </c>
    </row>
    <row r="19" customFormat="false" ht="15" hidden="false" customHeight="false" outlineLevel="0" collapsed="false">
      <c r="A19" s="115" t="str">
        <f aca="false">IF($B19="","",الموظفون!$A19)</f>
        <v/>
      </c>
      <c r="B19" s="117" t="str">
        <f aca="false">IF(الموظفون!$B19="","",الموظفون!$B19)</f>
        <v/>
      </c>
      <c r="C19" s="117" t="str">
        <f aca="false">IF($B19="","",الموظفون!$C19)</f>
        <v/>
      </c>
      <c r="D19" s="117" t="str">
        <f aca="false">IF($B19="","",الموظفون!$F19)</f>
        <v/>
      </c>
      <c r="E19" s="117" t="str">
        <f aca="false">IF($B19="","",الموظفون!$E19)</f>
        <v/>
      </c>
      <c r="F19" s="117" t="str">
        <f aca="false">IF($B19="","",IF(AK19=0,IF(AND(الموظفون!$AE19&lt;&gt;"",الموظفون!$AE19&lt;$E$3),"✖ منتهي الخدمة","⏳ لم يباشر"),IF(S19&gt;0,"✈ راتب إجازة مقدم",IF(J19=0,"⛔ بدون راتب هذا الشهر",IF(I19&gt;0,"✈ خصم "&amp;ROUND(I19,2)&amp;" يوم بدون أجر",IF(AL19&gt;0,"🌴 إجازة سنوية "&amp;ROUND(AL19,2)&amp;" يوم",IF(H19&gt;0,"⚠ غياب "&amp;ROUND(H19,2)&amp;" يوم","✔ على رأس العمل")))))))</f>
        <v/>
      </c>
      <c r="G19" s="156" t="str">
        <f aca="false">IF($B19="","",IF(AK19&gt;=DAY($F$3),cfg_DAYS_M,MIN(AK19,cfg_DAYS_M)))</f>
        <v/>
      </c>
      <c r="H19" s="156" t="str">
        <f aca="false">IF($B19="","",SUMIFS('الحركات الشهرية'!$D$6:$D$1005,'الحركات الشهرية'!$B$6:$B$1005,$B19,'الحركات الشهرية'!$A$6:$A$1005,$C$3))</f>
        <v/>
      </c>
      <c r="I19" s="156" t="str">
        <f aca="false">IF($B19="","",MIN(G19,IF(AND(AK19&gt;0,AN19&gt;=AK19),G19,AN19)+SUMIFS('الحركات الشهرية'!$E$6:$E$1005,'الحركات الشهرية'!$B$6:$B$1005,$B19,'الحركات الشهرية'!$A$6:$A$1005,$C$3)))</f>
        <v/>
      </c>
      <c r="J19" s="156" t="str">
        <f aca="false">IF($B19="","",MAX(0,G19-H19-I19))</f>
        <v/>
      </c>
      <c r="K19" s="116" t="str">
        <f aca="false">IF($B19="","",الموظفون!$L19*$J19/cfg_DAYS_M)</f>
        <v/>
      </c>
      <c r="L19" s="116" t="str">
        <f aca="false">IF($B19="","",الموظفون!$M19*$J19/cfg_DAYS_M)</f>
        <v/>
      </c>
      <c r="M19" s="116" t="str">
        <f aca="false">IF($B19="","",الموظفون!$N19*$J19/cfg_DAYS_M)</f>
        <v/>
      </c>
      <c r="N19" s="116" t="str">
        <f aca="false">IF($B19="","",الموظفون!$O19*$J19/cfg_DAYS_M)</f>
        <v/>
      </c>
      <c r="O19" s="156" t="str">
        <f aca="false">IF($B19="","",SUMIFS('الحركات الشهرية'!$F$6:$F$1005,'الحركات الشهرية'!$B$6:$B$1005,$B19,'الحركات الشهرية'!$A$6:$A$1005,$C$3))</f>
        <v/>
      </c>
      <c r="P19" s="116" t="str">
        <f aca="false">IF($B19="","",O19*(الموظفون!$P19+الموظفون!$L19*cfg_OT_P)/cfg_DAYS_M/cfg_HRS)</f>
        <v/>
      </c>
      <c r="Q19" s="116" t="str">
        <f aca="false">IF($B19="","",SUMIFS('الحركات الشهرية'!$G$6:$G$1005,'الحركات الشهرية'!$B$6:$B$1005,$B19,'الحركات الشهرية'!$A$6:$A$1005,$C$3))</f>
        <v/>
      </c>
      <c r="R19" s="116" t="str">
        <f aca="false">IF($B19="","",SUMIFS('الحركات الشهرية'!$H$6:$H$1005,'الحركات الشهرية'!$B$6:$B$1005,$B19,'الحركات الشهرية'!$A$6:$A$1005,$C$3))</f>
        <v/>
      </c>
      <c r="S19" s="116" t="str">
        <f aca="false">IF($B19="","",SUMIFS('سجل الإجازات والحالات'!$N$6:$N$505,'سجل الإجازات والحالات'!$B$6:$B$505,$B19,'سجل الإجازات والحالات'!$O$6:$O$505,$C$3))</f>
        <v/>
      </c>
      <c r="T19" s="157" t="str">
        <f aca="false">IF($B19="","",SUM(K19:N19)+SUM(P19:S19))</f>
        <v/>
      </c>
      <c r="U19" s="116" t="str">
        <f aca="false">IF($B19="","",الموظفون!$S19*IF(E19="سعودي",cfg_G_SE,cfg_G_NE)*G19/cfg_DAYS_M)</f>
        <v/>
      </c>
      <c r="V19" s="116" t="str">
        <f aca="false">IF($B19="","",SUMIFS('الحركات الشهرية'!$I$6:$I$1005,'الحركات الشهرية'!$B$6:$B$1005,$B19,'الحركات الشهرية'!$A$6:$A$1005,$C$3))</f>
        <v/>
      </c>
      <c r="W19" s="116" t="str">
        <f aca="false">IF($B19="","",SUMIFS('الحركات الشهرية'!$J$6:$J$1005,'الحركات الشهرية'!$B$6:$B$1005,$B19,'الحركات الشهرية'!$A$6:$A$1005,$C$3))</f>
        <v/>
      </c>
      <c r="X19" s="116" t="str">
        <f aca="false">IF($B19="","",SUM(U19:W19))</f>
        <v/>
      </c>
      <c r="Y19" s="158" t="str">
        <f aca="false">IF($B19="","",T19-X19)</f>
        <v/>
      </c>
      <c r="Z19" s="116" t="str">
        <f aca="false">IF($B19="","",الموظفون!$S19*IF(E19="سعودي",cfg_G_SR,cfg_G_NR)*G19/cfg_DAYS_M)</f>
        <v/>
      </c>
      <c r="AA19" s="116" t="str">
        <f aca="false">IF($B19="","",الموظفون!$Q19*(cfg_EOS_R1*(MIN(AH19,cfg_EOS_TH)-MIN(AI19,cfg_EOS_TH))+cfg_EOS_R2*(MAX(AH19-cfg_EOS_TH,0)-MAX(AI19-cfg_EOS_TH,0))))</f>
        <v/>
      </c>
      <c r="AB19" s="116" t="str">
        <f aca="false">IF($B19="","",IF(الموظفون!$T19&lt;&gt;"",الموظفون!$T19,IF(AH19&gt;=cfg_LV_TH,cfg_LV_D2,cfg_LV_D1))/cfg_DAYS_Y*AJ19*الموظفون!$R19/cfg_DAYS_M)</f>
        <v/>
      </c>
      <c r="AC19" s="116" t="str">
        <f aca="false">IF($B19="","",IF(AND(الموظفون!$U19="نعم",N(الموظفون!$W19)&gt;0),الموظفون!$V19/الموظفون!$W19*12/cfg_DAYS_Y*AJ19,0))</f>
        <v/>
      </c>
      <c r="AD19" s="116" t="str">
        <f aca="false">IF($B19="","",(IF(الموظفون!$X19&lt;&gt;"",الموظفون!$X19,IF(الموظفون!$E19="غير سعودي",cfg_IQ,0))+IF(الموظفون!$Y19&lt;&gt;"",الموظفون!$Y19,IF(الموظفون!$E19="غير سعودي",cfg_WP,0)))/12*G19/cfg_DAYS_M)</f>
        <v/>
      </c>
      <c r="AE19" s="116" t="str">
        <f aca="false">IF($B19="","",IF(الموظفون!$Z19&lt;&gt;"",الموظفون!$Z19,cfg_MED)/12*G19/cfg_DAYS_M)</f>
        <v/>
      </c>
      <c r="AF19" s="116" t="str">
        <f aca="false">IF($B19="","",N(الموظفون!$AA19)/12*G19/cfg_DAYS_M)</f>
        <v/>
      </c>
      <c r="AG19" s="159" t="str">
        <f aca="false">IF($B19="","",T19+SUM(Z19:AF19))</f>
        <v/>
      </c>
      <c r="AH19" s="160" t="str">
        <f aca="false">IF($B19="","",MAX(0,IF(OR(الموظفون!$AE19="",الموظفون!$AE19&gt;$F$3),$F$3,الموظفون!$AE19)-الموظفون!$H19+1-SUMIFS('سجل الإجازات والحالات'!$AR$6:$AR$505,'سجل الإجازات والحالات'!$B$6:$B$505,$B19))/cfg_DAYS_Y)</f>
        <v/>
      </c>
      <c r="AI19" s="160" t="str">
        <f aca="false">IF($B19="","",MAX(0,IF(OR(الموظفون!$AE19="",الموظفون!$AE19&gt;($E$3-1)),($E$3-1),الموظفون!$AE19)-الموظفون!$H19+1-SUMIFS('سجل الإجازات والحالات'!$AQ$6:$AQ$505,'سجل الإجازات والحالات'!$B$6:$B$505,$B19))/cfg_DAYS_Y)</f>
        <v/>
      </c>
      <c r="AJ19" s="133" t="str">
        <f aca="false">IF($B19="","",MAX(0,AK19-(SUMIFS('سجل الإجازات والحالات'!$AR$6:$AR$505,'سجل الإجازات والحالات'!$B$6:$B$505,$B19)-SUMIFS('سجل الإجازات والحالات'!$AQ$6:$AQ$505,'سجل الإجازات والحالات'!$B$6:$B$505,$B19))))</f>
        <v/>
      </c>
      <c r="AK19" s="133" t="str">
        <f aca="false">IF($B19="","",MAX(0,IF(OR(الموظفون!$AE19="",الموظفون!$AE19&gt;$F$3),$F$3,الموظفون!$AE19)-MAX($E$3,الموظفون!$H19)+1))</f>
        <v/>
      </c>
      <c r="AL19" s="156" t="str">
        <f aca="false">IF($B19="","",SUMIFS('سجل الإجازات والحالات'!$BD$6:$BD$505,'سجل الإجازات والحالات'!$B$6:$B$505,$B19)+SUMIFS('الحركات الشهرية'!$K$6:$K$1005,'الحركات الشهرية'!$B$6:$B$1005,$B19,'الحركات الشهرية'!$A$6:$A$1005,$C$3))</f>
        <v/>
      </c>
      <c r="AM19" s="116" t="str">
        <f aca="false">IF($B19="","",AL19*الموظفون!$R19/cfg_DAYS_M+S19)</f>
        <v/>
      </c>
      <c r="AN19" s="156" t="str">
        <f aca="false">IF($B19="","",SUMIFS('سجل الإجازات والحالات'!$AF$6:$AF$505,'سجل الإجازات والحالات'!$B$6:$B$505,$B19))</f>
        <v/>
      </c>
    </row>
    <row r="20" customFormat="false" ht="15" hidden="false" customHeight="false" outlineLevel="0" collapsed="false">
      <c r="A20" s="106" t="str">
        <f aca="false">IF($B20="","",الموظفون!$A20)</f>
        <v/>
      </c>
      <c r="B20" s="114" t="str">
        <f aca="false">IF(الموظفون!$B20="","",الموظفون!$B20)</f>
        <v/>
      </c>
      <c r="C20" s="114" t="str">
        <f aca="false">IF($B20="","",الموظفون!$C20)</f>
        <v/>
      </c>
      <c r="D20" s="114" t="str">
        <f aca="false">IF($B20="","",الموظفون!$F20)</f>
        <v/>
      </c>
      <c r="E20" s="114" t="str">
        <f aca="false">IF($B20="","",الموظفون!$E20)</f>
        <v/>
      </c>
      <c r="F20" s="114" t="str">
        <f aca="false">IF($B20="","",IF(AK20=0,IF(AND(الموظفون!$AE20&lt;&gt;"",الموظفون!$AE20&lt;$E$3),"✖ منتهي الخدمة","⏳ لم يباشر"),IF(S20&gt;0,"✈ راتب إجازة مقدم",IF(J20=0,"⛔ بدون راتب هذا الشهر",IF(I20&gt;0,"✈ خصم "&amp;ROUND(I20,2)&amp;" يوم بدون أجر",IF(AL20&gt;0,"🌴 إجازة سنوية "&amp;ROUND(AL20,2)&amp;" يوم",IF(H20&gt;0,"⚠ غياب "&amp;ROUND(H20,2)&amp;" يوم","✔ على رأس العمل")))))))</f>
        <v/>
      </c>
      <c r="G20" s="151" t="str">
        <f aca="false">IF($B20="","",IF(AK20&gt;=DAY($F$3),cfg_DAYS_M,MIN(AK20,cfg_DAYS_M)))</f>
        <v/>
      </c>
      <c r="H20" s="151" t="str">
        <f aca="false">IF($B20="","",SUMIFS('الحركات الشهرية'!$D$6:$D$1005,'الحركات الشهرية'!$B$6:$B$1005,$B20,'الحركات الشهرية'!$A$6:$A$1005,$C$3))</f>
        <v/>
      </c>
      <c r="I20" s="151" t="str">
        <f aca="false">IF($B20="","",MIN(G20,IF(AND(AK20&gt;0,AN20&gt;=AK20),G20,AN20)+SUMIFS('الحركات الشهرية'!$E$6:$E$1005,'الحركات الشهرية'!$B$6:$B$1005,$B20,'الحركات الشهرية'!$A$6:$A$1005,$C$3)))</f>
        <v/>
      </c>
      <c r="J20" s="151" t="str">
        <f aca="false">IF($B20="","",MAX(0,G20-H20-I20))</f>
        <v/>
      </c>
      <c r="K20" s="111" t="str">
        <f aca="false">IF($B20="","",الموظفون!$L20*$J20/cfg_DAYS_M)</f>
        <v/>
      </c>
      <c r="L20" s="111" t="str">
        <f aca="false">IF($B20="","",الموظفون!$M20*$J20/cfg_DAYS_M)</f>
        <v/>
      </c>
      <c r="M20" s="111" t="str">
        <f aca="false">IF($B20="","",الموظفون!$N20*$J20/cfg_DAYS_M)</f>
        <v/>
      </c>
      <c r="N20" s="111" t="str">
        <f aca="false">IF($B20="","",الموظفون!$O20*$J20/cfg_DAYS_M)</f>
        <v/>
      </c>
      <c r="O20" s="151" t="str">
        <f aca="false">IF($B20="","",SUMIFS('الحركات الشهرية'!$F$6:$F$1005,'الحركات الشهرية'!$B$6:$B$1005,$B20,'الحركات الشهرية'!$A$6:$A$1005,$C$3))</f>
        <v/>
      </c>
      <c r="P20" s="111" t="str">
        <f aca="false">IF($B20="","",O20*(الموظفون!$P20+الموظفون!$L20*cfg_OT_P)/cfg_DAYS_M/cfg_HRS)</f>
        <v/>
      </c>
      <c r="Q20" s="111" t="str">
        <f aca="false">IF($B20="","",SUMIFS('الحركات الشهرية'!$G$6:$G$1005,'الحركات الشهرية'!$B$6:$B$1005,$B20,'الحركات الشهرية'!$A$6:$A$1005,$C$3))</f>
        <v/>
      </c>
      <c r="R20" s="111" t="str">
        <f aca="false">IF($B20="","",SUMIFS('الحركات الشهرية'!$H$6:$H$1005,'الحركات الشهرية'!$B$6:$B$1005,$B20,'الحركات الشهرية'!$A$6:$A$1005,$C$3))</f>
        <v/>
      </c>
      <c r="S20" s="111" t="str">
        <f aca="false">IF($B20="","",SUMIFS('سجل الإجازات والحالات'!$N$6:$N$505,'سجل الإجازات والحالات'!$B$6:$B$505,$B20,'سجل الإجازات والحالات'!$O$6:$O$505,$C$3))</f>
        <v/>
      </c>
      <c r="T20" s="152" t="str">
        <f aca="false">IF($B20="","",SUM(K20:N20)+SUM(P20:S20))</f>
        <v/>
      </c>
      <c r="U20" s="111" t="str">
        <f aca="false">IF($B20="","",الموظفون!$S20*IF(E20="سعودي",cfg_G_SE,cfg_G_NE)*G20/cfg_DAYS_M)</f>
        <v/>
      </c>
      <c r="V20" s="111" t="str">
        <f aca="false">IF($B20="","",SUMIFS('الحركات الشهرية'!$I$6:$I$1005,'الحركات الشهرية'!$B$6:$B$1005,$B20,'الحركات الشهرية'!$A$6:$A$1005,$C$3))</f>
        <v/>
      </c>
      <c r="W20" s="111" t="str">
        <f aca="false">IF($B20="","",SUMIFS('الحركات الشهرية'!$J$6:$J$1005,'الحركات الشهرية'!$B$6:$B$1005,$B20,'الحركات الشهرية'!$A$6:$A$1005,$C$3))</f>
        <v/>
      </c>
      <c r="X20" s="111" t="str">
        <f aca="false">IF($B20="","",SUM(U20:W20))</f>
        <v/>
      </c>
      <c r="Y20" s="153" t="str">
        <f aca="false">IF($B20="","",T20-X20)</f>
        <v/>
      </c>
      <c r="Z20" s="111" t="str">
        <f aca="false">IF($B20="","",الموظفون!$S20*IF(E20="سعودي",cfg_G_SR,cfg_G_NR)*G20/cfg_DAYS_M)</f>
        <v/>
      </c>
      <c r="AA20" s="111" t="str">
        <f aca="false">IF($B20="","",الموظفون!$Q20*(cfg_EOS_R1*(MIN(AH20,cfg_EOS_TH)-MIN(AI20,cfg_EOS_TH))+cfg_EOS_R2*(MAX(AH20-cfg_EOS_TH,0)-MAX(AI20-cfg_EOS_TH,0))))</f>
        <v/>
      </c>
      <c r="AB20" s="111" t="str">
        <f aca="false">IF($B20="","",IF(الموظفون!$T20&lt;&gt;"",الموظفون!$T20,IF(AH20&gt;=cfg_LV_TH,cfg_LV_D2,cfg_LV_D1))/cfg_DAYS_Y*AJ20*الموظفون!$R20/cfg_DAYS_M)</f>
        <v/>
      </c>
      <c r="AC20" s="111" t="str">
        <f aca="false">IF($B20="","",IF(AND(الموظفون!$U20="نعم",N(الموظفون!$W20)&gt;0),الموظفون!$V20/الموظفون!$W20*12/cfg_DAYS_Y*AJ20,0))</f>
        <v/>
      </c>
      <c r="AD20" s="111" t="str">
        <f aca="false">IF($B20="","",(IF(الموظفون!$X20&lt;&gt;"",الموظفون!$X20,IF(الموظفون!$E20="غير سعودي",cfg_IQ,0))+IF(الموظفون!$Y20&lt;&gt;"",الموظفون!$Y20,IF(الموظفون!$E20="غير سعودي",cfg_WP,0)))/12*G20/cfg_DAYS_M)</f>
        <v/>
      </c>
      <c r="AE20" s="111" t="str">
        <f aca="false">IF($B20="","",IF(الموظفون!$Z20&lt;&gt;"",الموظفون!$Z20,cfg_MED)/12*G20/cfg_DAYS_M)</f>
        <v/>
      </c>
      <c r="AF20" s="111" t="str">
        <f aca="false">IF($B20="","",N(الموظفون!$AA20)/12*G20/cfg_DAYS_M)</f>
        <v/>
      </c>
      <c r="AG20" s="154" t="str">
        <f aca="false">IF($B20="","",T20+SUM(Z20:AF20))</f>
        <v/>
      </c>
      <c r="AH20" s="155" t="str">
        <f aca="false">IF($B20="","",MAX(0,IF(OR(الموظفون!$AE20="",الموظفون!$AE20&gt;$F$3),$F$3,الموظفون!$AE20)-الموظفون!$H20+1-SUMIFS('سجل الإجازات والحالات'!$AR$6:$AR$505,'سجل الإجازات والحالات'!$B$6:$B$505,$B20))/cfg_DAYS_Y)</f>
        <v/>
      </c>
      <c r="AI20" s="155" t="str">
        <f aca="false">IF($B20="","",MAX(0,IF(OR(الموظفون!$AE20="",الموظفون!$AE20&gt;($E$3-1)),($E$3-1),الموظفون!$AE20)-الموظفون!$H20+1-SUMIFS('سجل الإجازات والحالات'!$AQ$6:$AQ$505,'سجل الإجازات والحالات'!$B$6:$B$505,$B20))/cfg_DAYS_Y)</f>
        <v/>
      </c>
      <c r="AJ20" s="65" t="str">
        <f aca="false">IF($B20="","",MAX(0,AK20-(SUMIFS('سجل الإجازات والحالات'!$AR$6:$AR$505,'سجل الإجازات والحالات'!$B$6:$B$505,$B20)-SUMIFS('سجل الإجازات والحالات'!$AQ$6:$AQ$505,'سجل الإجازات والحالات'!$B$6:$B$505,$B20))))</f>
        <v/>
      </c>
      <c r="AK20" s="65" t="str">
        <f aca="false">IF($B20="","",MAX(0,IF(OR(الموظفون!$AE20="",الموظفون!$AE20&gt;$F$3),$F$3,الموظفون!$AE20)-MAX($E$3,الموظفون!$H20)+1))</f>
        <v/>
      </c>
      <c r="AL20" s="151" t="str">
        <f aca="false">IF($B20="","",SUMIFS('سجل الإجازات والحالات'!$BD$6:$BD$505,'سجل الإجازات والحالات'!$B$6:$B$505,$B20)+SUMIFS('الحركات الشهرية'!$K$6:$K$1005,'الحركات الشهرية'!$B$6:$B$1005,$B20,'الحركات الشهرية'!$A$6:$A$1005,$C$3))</f>
        <v/>
      </c>
      <c r="AM20" s="111" t="str">
        <f aca="false">IF($B20="","",AL20*الموظفون!$R20/cfg_DAYS_M+S20)</f>
        <v/>
      </c>
      <c r="AN20" s="151" t="str">
        <f aca="false">IF($B20="","",SUMIFS('سجل الإجازات والحالات'!$AF$6:$AF$505,'سجل الإجازات والحالات'!$B$6:$B$505,$B20))</f>
        <v/>
      </c>
    </row>
    <row r="21" customFormat="false" ht="15" hidden="false" customHeight="false" outlineLevel="0" collapsed="false">
      <c r="A21" s="115" t="str">
        <f aca="false">IF($B21="","",الموظفون!$A21)</f>
        <v/>
      </c>
      <c r="B21" s="117" t="str">
        <f aca="false">IF(الموظفون!$B21="","",الموظفون!$B21)</f>
        <v/>
      </c>
      <c r="C21" s="117" t="str">
        <f aca="false">IF($B21="","",الموظفون!$C21)</f>
        <v/>
      </c>
      <c r="D21" s="117" t="str">
        <f aca="false">IF($B21="","",الموظفون!$F21)</f>
        <v/>
      </c>
      <c r="E21" s="117" t="str">
        <f aca="false">IF($B21="","",الموظفون!$E21)</f>
        <v/>
      </c>
      <c r="F21" s="117" t="str">
        <f aca="false">IF($B21="","",IF(AK21=0,IF(AND(الموظفون!$AE21&lt;&gt;"",الموظفون!$AE21&lt;$E$3),"✖ منتهي الخدمة","⏳ لم يباشر"),IF(S21&gt;0,"✈ راتب إجازة مقدم",IF(J21=0,"⛔ بدون راتب هذا الشهر",IF(I21&gt;0,"✈ خصم "&amp;ROUND(I21,2)&amp;" يوم بدون أجر",IF(AL21&gt;0,"🌴 إجازة سنوية "&amp;ROUND(AL21,2)&amp;" يوم",IF(H21&gt;0,"⚠ غياب "&amp;ROUND(H21,2)&amp;" يوم","✔ على رأس العمل")))))))</f>
        <v/>
      </c>
      <c r="G21" s="156" t="str">
        <f aca="false">IF($B21="","",IF(AK21&gt;=DAY($F$3),cfg_DAYS_M,MIN(AK21,cfg_DAYS_M)))</f>
        <v/>
      </c>
      <c r="H21" s="156" t="str">
        <f aca="false">IF($B21="","",SUMIFS('الحركات الشهرية'!$D$6:$D$1005,'الحركات الشهرية'!$B$6:$B$1005,$B21,'الحركات الشهرية'!$A$6:$A$1005,$C$3))</f>
        <v/>
      </c>
      <c r="I21" s="156" t="str">
        <f aca="false">IF($B21="","",MIN(G21,IF(AND(AK21&gt;0,AN21&gt;=AK21),G21,AN21)+SUMIFS('الحركات الشهرية'!$E$6:$E$1005,'الحركات الشهرية'!$B$6:$B$1005,$B21,'الحركات الشهرية'!$A$6:$A$1005,$C$3)))</f>
        <v/>
      </c>
      <c r="J21" s="156" t="str">
        <f aca="false">IF($B21="","",MAX(0,G21-H21-I21))</f>
        <v/>
      </c>
      <c r="K21" s="116" t="str">
        <f aca="false">IF($B21="","",الموظفون!$L21*$J21/cfg_DAYS_M)</f>
        <v/>
      </c>
      <c r="L21" s="116" t="str">
        <f aca="false">IF($B21="","",الموظفون!$M21*$J21/cfg_DAYS_M)</f>
        <v/>
      </c>
      <c r="M21" s="116" t="str">
        <f aca="false">IF($B21="","",الموظفون!$N21*$J21/cfg_DAYS_M)</f>
        <v/>
      </c>
      <c r="N21" s="116" t="str">
        <f aca="false">IF($B21="","",الموظفون!$O21*$J21/cfg_DAYS_M)</f>
        <v/>
      </c>
      <c r="O21" s="156" t="str">
        <f aca="false">IF($B21="","",SUMIFS('الحركات الشهرية'!$F$6:$F$1005,'الحركات الشهرية'!$B$6:$B$1005,$B21,'الحركات الشهرية'!$A$6:$A$1005,$C$3))</f>
        <v/>
      </c>
      <c r="P21" s="116" t="str">
        <f aca="false">IF($B21="","",O21*(الموظفون!$P21+الموظفون!$L21*cfg_OT_P)/cfg_DAYS_M/cfg_HRS)</f>
        <v/>
      </c>
      <c r="Q21" s="116" t="str">
        <f aca="false">IF($B21="","",SUMIFS('الحركات الشهرية'!$G$6:$G$1005,'الحركات الشهرية'!$B$6:$B$1005,$B21,'الحركات الشهرية'!$A$6:$A$1005,$C$3))</f>
        <v/>
      </c>
      <c r="R21" s="116" t="str">
        <f aca="false">IF($B21="","",SUMIFS('الحركات الشهرية'!$H$6:$H$1005,'الحركات الشهرية'!$B$6:$B$1005,$B21,'الحركات الشهرية'!$A$6:$A$1005,$C$3))</f>
        <v/>
      </c>
      <c r="S21" s="116" t="str">
        <f aca="false">IF($B21="","",SUMIFS('سجل الإجازات والحالات'!$N$6:$N$505,'سجل الإجازات والحالات'!$B$6:$B$505,$B21,'سجل الإجازات والحالات'!$O$6:$O$505,$C$3))</f>
        <v/>
      </c>
      <c r="T21" s="157" t="str">
        <f aca="false">IF($B21="","",SUM(K21:N21)+SUM(P21:S21))</f>
        <v/>
      </c>
      <c r="U21" s="116" t="str">
        <f aca="false">IF($B21="","",الموظفون!$S21*IF(E21="سعودي",cfg_G_SE,cfg_G_NE)*G21/cfg_DAYS_M)</f>
        <v/>
      </c>
      <c r="V21" s="116" t="str">
        <f aca="false">IF($B21="","",SUMIFS('الحركات الشهرية'!$I$6:$I$1005,'الحركات الشهرية'!$B$6:$B$1005,$B21,'الحركات الشهرية'!$A$6:$A$1005,$C$3))</f>
        <v/>
      </c>
      <c r="W21" s="116" t="str">
        <f aca="false">IF($B21="","",SUMIFS('الحركات الشهرية'!$J$6:$J$1005,'الحركات الشهرية'!$B$6:$B$1005,$B21,'الحركات الشهرية'!$A$6:$A$1005,$C$3))</f>
        <v/>
      </c>
      <c r="X21" s="116" t="str">
        <f aca="false">IF($B21="","",SUM(U21:W21))</f>
        <v/>
      </c>
      <c r="Y21" s="158" t="str">
        <f aca="false">IF($B21="","",T21-X21)</f>
        <v/>
      </c>
      <c r="Z21" s="116" t="str">
        <f aca="false">IF($B21="","",الموظفون!$S21*IF(E21="سعودي",cfg_G_SR,cfg_G_NR)*G21/cfg_DAYS_M)</f>
        <v/>
      </c>
      <c r="AA21" s="116" t="str">
        <f aca="false">IF($B21="","",الموظفون!$Q21*(cfg_EOS_R1*(MIN(AH21,cfg_EOS_TH)-MIN(AI21,cfg_EOS_TH))+cfg_EOS_R2*(MAX(AH21-cfg_EOS_TH,0)-MAX(AI21-cfg_EOS_TH,0))))</f>
        <v/>
      </c>
      <c r="AB21" s="116" t="str">
        <f aca="false">IF($B21="","",IF(الموظفون!$T21&lt;&gt;"",الموظفون!$T21,IF(AH21&gt;=cfg_LV_TH,cfg_LV_D2,cfg_LV_D1))/cfg_DAYS_Y*AJ21*الموظفون!$R21/cfg_DAYS_M)</f>
        <v/>
      </c>
      <c r="AC21" s="116" t="str">
        <f aca="false">IF($B21="","",IF(AND(الموظفون!$U21="نعم",N(الموظفون!$W21)&gt;0),الموظفون!$V21/الموظفون!$W21*12/cfg_DAYS_Y*AJ21,0))</f>
        <v/>
      </c>
      <c r="AD21" s="116" t="str">
        <f aca="false">IF($B21="","",(IF(الموظفون!$X21&lt;&gt;"",الموظفون!$X21,IF(الموظفون!$E21="غير سعودي",cfg_IQ,0))+IF(الموظفون!$Y21&lt;&gt;"",الموظفون!$Y21,IF(الموظفون!$E21="غير سعودي",cfg_WP,0)))/12*G21/cfg_DAYS_M)</f>
        <v/>
      </c>
      <c r="AE21" s="116" t="str">
        <f aca="false">IF($B21="","",IF(الموظفون!$Z21&lt;&gt;"",الموظفون!$Z21,cfg_MED)/12*G21/cfg_DAYS_M)</f>
        <v/>
      </c>
      <c r="AF21" s="116" t="str">
        <f aca="false">IF($B21="","",N(الموظفون!$AA21)/12*G21/cfg_DAYS_M)</f>
        <v/>
      </c>
      <c r="AG21" s="159" t="str">
        <f aca="false">IF($B21="","",T21+SUM(Z21:AF21))</f>
        <v/>
      </c>
      <c r="AH21" s="160" t="str">
        <f aca="false">IF($B21="","",MAX(0,IF(OR(الموظفون!$AE21="",الموظفون!$AE21&gt;$F$3),$F$3,الموظفون!$AE21)-الموظفون!$H21+1-SUMIFS('سجل الإجازات والحالات'!$AR$6:$AR$505,'سجل الإجازات والحالات'!$B$6:$B$505,$B21))/cfg_DAYS_Y)</f>
        <v/>
      </c>
      <c r="AI21" s="160" t="str">
        <f aca="false">IF($B21="","",MAX(0,IF(OR(الموظفون!$AE21="",الموظفون!$AE21&gt;($E$3-1)),($E$3-1),الموظفون!$AE21)-الموظفون!$H21+1-SUMIFS('سجل الإجازات والحالات'!$AQ$6:$AQ$505,'سجل الإجازات والحالات'!$B$6:$B$505,$B21))/cfg_DAYS_Y)</f>
        <v/>
      </c>
      <c r="AJ21" s="133" t="str">
        <f aca="false">IF($B21="","",MAX(0,AK21-(SUMIFS('سجل الإجازات والحالات'!$AR$6:$AR$505,'سجل الإجازات والحالات'!$B$6:$B$505,$B21)-SUMIFS('سجل الإجازات والحالات'!$AQ$6:$AQ$505,'سجل الإجازات والحالات'!$B$6:$B$505,$B21))))</f>
        <v/>
      </c>
      <c r="AK21" s="133" t="str">
        <f aca="false">IF($B21="","",MAX(0,IF(OR(الموظفون!$AE21="",الموظفون!$AE21&gt;$F$3),$F$3,الموظفون!$AE21)-MAX($E$3,الموظفون!$H21)+1))</f>
        <v/>
      </c>
      <c r="AL21" s="156" t="str">
        <f aca="false">IF($B21="","",SUMIFS('سجل الإجازات والحالات'!$BD$6:$BD$505,'سجل الإجازات والحالات'!$B$6:$B$505,$B21)+SUMIFS('الحركات الشهرية'!$K$6:$K$1005,'الحركات الشهرية'!$B$6:$B$1005,$B21,'الحركات الشهرية'!$A$6:$A$1005,$C$3))</f>
        <v/>
      </c>
      <c r="AM21" s="116" t="str">
        <f aca="false">IF($B21="","",AL21*الموظفون!$R21/cfg_DAYS_M+S21)</f>
        <v/>
      </c>
      <c r="AN21" s="156" t="str">
        <f aca="false">IF($B21="","",SUMIFS('سجل الإجازات والحالات'!$AF$6:$AF$505,'سجل الإجازات والحالات'!$B$6:$B$505,$B21))</f>
        <v/>
      </c>
    </row>
    <row r="22" customFormat="false" ht="15" hidden="false" customHeight="false" outlineLevel="0" collapsed="false">
      <c r="A22" s="106" t="str">
        <f aca="false">IF($B22="","",الموظفون!$A22)</f>
        <v/>
      </c>
      <c r="B22" s="114" t="str">
        <f aca="false">IF(الموظفون!$B22="","",الموظفون!$B22)</f>
        <v/>
      </c>
      <c r="C22" s="114" t="str">
        <f aca="false">IF($B22="","",الموظفون!$C22)</f>
        <v/>
      </c>
      <c r="D22" s="114" t="str">
        <f aca="false">IF($B22="","",الموظفون!$F22)</f>
        <v/>
      </c>
      <c r="E22" s="114" t="str">
        <f aca="false">IF($B22="","",الموظفون!$E22)</f>
        <v/>
      </c>
      <c r="F22" s="114" t="str">
        <f aca="false">IF($B22="","",IF(AK22=0,IF(AND(الموظفون!$AE22&lt;&gt;"",الموظفون!$AE22&lt;$E$3),"✖ منتهي الخدمة","⏳ لم يباشر"),IF(S22&gt;0,"✈ راتب إجازة مقدم",IF(J22=0,"⛔ بدون راتب هذا الشهر",IF(I22&gt;0,"✈ خصم "&amp;ROUND(I22,2)&amp;" يوم بدون أجر",IF(AL22&gt;0,"🌴 إجازة سنوية "&amp;ROUND(AL22,2)&amp;" يوم",IF(H22&gt;0,"⚠ غياب "&amp;ROUND(H22,2)&amp;" يوم","✔ على رأس العمل")))))))</f>
        <v/>
      </c>
      <c r="G22" s="151" t="str">
        <f aca="false">IF($B22="","",IF(AK22&gt;=DAY($F$3),cfg_DAYS_M,MIN(AK22,cfg_DAYS_M)))</f>
        <v/>
      </c>
      <c r="H22" s="151" t="str">
        <f aca="false">IF($B22="","",SUMIFS('الحركات الشهرية'!$D$6:$D$1005,'الحركات الشهرية'!$B$6:$B$1005,$B22,'الحركات الشهرية'!$A$6:$A$1005,$C$3))</f>
        <v/>
      </c>
      <c r="I22" s="151" t="str">
        <f aca="false">IF($B22="","",MIN(G22,IF(AND(AK22&gt;0,AN22&gt;=AK22),G22,AN22)+SUMIFS('الحركات الشهرية'!$E$6:$E$1005,'الحركات الشهرية'!$B$6:$B$1005,$B22,'الحركات الشهرية'!$A$6:$A$1005,$C$3)))</f>
        <v/>
      </c>
      <c r="J22" s="151" t="str">
        <f aca="false">IF($B22="","",MAX(0,G22-H22-I22))</f>
        <v/>
      </c>
      <c r="K22" s="111" t="str">
        <f aca="false">IF($B22="","",الموظفون!$L22*$J22/cfg_DAYS_M)</f>
        <v/>
      </c>
      <c r="L22" s="111" t="str">
        <f aca="false">IF($B22="","",الموظفون!$M22*$J22/cfg_DAYS_M)</f>
        <v/>
      </c>
      <c r="M22" s="111" t="str">
        <f aca="false">IF($B22="","",الموظفون!$N22*$J22/cfg_DAYS_M)</f>
        <v/>
      </c>
      <c r="N22" s="111" t="str">
        <f aca="false">IF($B22="","",الموظفون!$O22*$J22/cfg_DAYS_M)</f>
        <v/>
      </c>
      <c r="O22" s="151" t="str">
        <f aca="false">IF($B22="","",SUMIFS('الحركات الشهرية'!$F$6:$F$1005,'الحركات الشهرية'!$B$6:$B$1005,$B22,'الحركات الشهرية'!$A$6:$A$1005,$C$3))</f>
        <v/>
      </c>
      <c r="P22" s="111" t="str">
        <f aca="false">IF($B22="","",O22*(الموظفون!$P22+الموظفون!$L22*cfg_OT_P)/cfg_DAYS_M/cfg_HRS)</f>
        <v/>
      </c>
      <c r="Q22" s="111" t="str">
        <f aca="false">IF($B22="","",SUMIFS('الحركات الشهرية'!$G$6:$G$1005,'الحركات الشهرية'!$B$6:$B$1005,$B22,'الحركات الشهرية'!$A$6:$A$1005,$C$3))</f>
        <v/>
      </c>
      <c r="R22" s="111" t="str">
        <f aca="false">IF($B22="","",SUMIFS('الحركات الشهرية'!$H$6:$H$1005,'الحركات الشهرية'!$B$6:$B$1005,$B22,'الحركات الشهرية'!$A$6:$A$1005,$C$3))</f>
        <v/>
      </c>
      <c r="S22" s="111" t="str">
        <f aca="false">IF($B22="","",SUMIFS('سجل الإجازات والحالات'!$N$6:$N$505,'سجل الإجازات والحالات'!$B$6:$B$505,$B22,'سجل الإجازات والحالات'!$O$6:$O$505,$C$3))</f>
        <v/>
      </c>
      <c r="T22" s="152" t="str">
        <f aca="false">IF($B22="","",SUM(K22:N22)+SUM(P22:S22))</f>
        <v/>
      </c>
      <c r="U22" s="111" t="str">
        <f aca="false">IF($B22="","",الموظفون!$S22*IF(E22="سعودي",cfg_G_SE,cfg_G_NE)*G22/cfg_DAYS_M)</f>
        <v/>
      </c>
      <c r="V22" s="111" t="str">
        <f aca="false">IF($B22="","",SUMIFS('الحركات الشهرية'!$I$6:$I$1005,'الحركات الشهرية'!$B$6:$B$1005,$B22,'الحركات الشهرية'!$A$6:$A$1005,$C$3))</f>
        <v/>
      </c>
      <c r="W22" s="111" t="str">
        <f aca="false">IF($B22="","",SUMIFS('الحركات الشهرية'!$J$6:$J$1005,'الحركات الشهرية'!$B$6:$B$1005,$B22,'الحركات الشهرية'!$A$6:$A$1005,$C$3))</f>
        <v/>
      </c>
      <c r="X22" s="111" t="str">
        <f aca="false">IF($B22="","",SUM(U22:W22))</f>
        <v/>
      </c>
      <c r="Y22" s="153" t="str">
        <f aca="false">IF($B22="","",T22-X22)</f>
        <v/>
      </c>
      <c r="Z22" s="111" t="str">
        <f aca="false">IF($B22="","",الموظفون!$S22*IF(E22="سعودي",cfg_G_SR,cfg_G_NR)*G22/cfg_DAYS_M)</f>
        <v/>
      </c>
      <c r="AA22" s="111" t="str">
        <f aca="false">IF($B22="","",الموظفون!$Q22*(cfg_EOS_R1*(MIN(AH22,cfg_EOS_TH)-MIN(AI22,cfg_EOS_TH))+cfg_EOS_R2*(MAX(AH22-cfg_EOS_TH,0)-MAX(AI22-cfg_EOS_TH,0))))</f>
        <v/>
      </c>
      <c r="AB22" s="111" t="str">
        <f aca="false">IF($B22="","",IF(الموظفون!$T22&lt;&gt;"",الموظفون!$T22,IF(AH22&gt;=cfg_LV_TH,cfg_LV_D2,cfg_LV_D1))/cfg_DAYS_Y*AJ22*الموظفون!$R22/cfg_DAYS_M)</f>
        <v/>
      </c>
      <c r="AC22" s="111" t="str">
        <f aca="false">IF($B22="","",IF(AND(الموظفون!$U22="نعم",N(الموظفون!$W22)&gt;0),الموظفون!$V22/الموظفون!$W22*12/cfg_DAYS_Y*AJ22,0))</f>
        <v/>
      </c>
      <c r="AD22" s="111" t="str">
        <f aca="false">IF($B22="","",(IF(الموظفون!$X22&lt;&gt;"",الموظفون!$X22,IF(الموظفون!$E22="غير سعودي",cfg_IQ,0))+IF(الموظفون!$Y22&lt;&gt;"",الموظفون!$Y22,IF(الموظفون!$E22="غير سعودي",cfg_WP,0)))/12*G22/cfg_DAYS_M)</f>
        <v/>
      </c>
      <c r="AE22" s="111" t="str">
        <f aca="false">IF($B22="","",IF(الموظفون!$Z22&lt;&gt;"",الموظفون!$Z22,cfg_MED)/12*G22/cfg_DAYS_M)</f>
        <v/>
      </c>
      <c r="AF22" s="111" t="str">
        <f aca="false">IF($B22="","",N(الموظفون!$AA22)/12*G22/cfg_DAYS_M)</f>
        <v/>
      </c>
      <c r="AG22" s="154" t="str">
        <f aca="false">IF($B22="","",T22+SUM(Z22:AF22))</f>
        <v/>
      </c>
      <c r="AH22" s="155" t="str">
        <f aca="false">IF($B22="","",MAX(0,IF(OR(الموظفون!$AE22="",الموظفون!$AE22&gt;$F$3),$F$3,الموظفون!$AE22)-الموظفون!$H22+1-SUMIFS('سجل الإجازات والحالات'!$AR$6:$AR$505,'سجل الإجازات والحالات'!$B$6:$B$505,$B22))/cfg_DAYS_Y)</f>
        <v/>
      </c>
      <c r="AI22" s="155" t="str">
        <f aca="false">IF($B22="","",MAX(0,IF(OR(الموظفون!$AE22="",الموظفون!$AE22&gt;($E$3-1)),($E$3-1),الموظفون!$AE22)-الموظفون!$H22+1-SUMIFS('سجل الإجازات والحالات'!$AQ$6:$AQ$505,'سجل الإجازات والحالات'!$B$6:$B$505,$B22))/cfg_DAYS_Y)</f>
        <v/>
      </c>
      <c r="AJ22" s="65" t="str">
        <f aca="false">IF($B22="","",MAX(0,AK22-(SUMIFS('سجل الإجازات والحالات'!$AR$6:$AR$505,'سجل الإجازات والحالات'!$B$6:$B$505,$B22)-SUMIFS('سجل الإجازات والحالات'!$AQ$6:$AQ$505,'سجل الإجازات والحالات'!$B$6:$B$505,$B22))))</f>
        <v/>
      </c>
      <c r="AK22" s="65" t="str">
        <f aca="false">IF($B22="","",MAX(0,IF(OR(الموظفون!$AE22="",الموظفون!$AE22&gt;$F$3),$F$3,الموظفون!$AE22)-MAX($E$3,الموظفون!$H22)+1))</f>
        <v/>
      </c>
      <c r="AL22" s="151" t="str">
        <f aca="false">IF($B22="","",SUMIFS('سجل الإجازات والحالات'!$BD$6:$BD$505,'سجل الإجازات والحالات'!$B$6:$B$505,$B22)+SUMIFS('الحركات الشهرية'!$K$6:$K$1005,'الحركات الشهرية'!$B$6:$B$1005,$B22,'الحركات الشهرية'!$A$6:$A$1005,$C$3))</f>
        <v/>
      </c>
      <c r="AM22" s="111" t="str">
        <f aca="false">IF($B22="","",AL22*الموظفون!$R22/cfg_DAYS_M+S22)</f>
        <v/>
      </c>
      <c r="AN22" s="151" t="str">
        <f aca="false">IF($B22="","",SUMIFS('سجل الإجازات والحالات'!$AF$6:$AF$505,'سجل الإجازات والحالات'!$B$6:$B$505,$B22))</f>
        <v/>
      </c>
    </row>
    <row r="23" customFormat="false" ht="15" hidden="false" customHeight="false" outlineLevel="0" collapsed="false">
      <c r="A23" s="115" t="str">
        <f aca="false">IF($B23="","",الموظفون!$A23)</f>
        <v/>
      </c>
      <c r="B23" s="117" t="str">
        <f aca="false">IF(الموظفون!$B23="","",الموظفون!$B23)</f>
        <v/>
      </c>
      <c r="C23" s="117" t="str">
        <f aca="false">IF($B23="","",الموظفون!$C23)</f>
        <v/>
      </c>
      <c r="D23" s="117" t="str">
        <f aca="false">IF($B23="","",الموظفون!$F23)</f>
        <v/>
      </c>
      <c r="E23" s="117" t="str">
        <f aca="false">IF($B23="","",الموظفون!$E23)</f>
        <v/>
      </c>
      <c r="F23" s="117" t="str">
        <f aca="false">IF($B23="","",IF(AK23=0,IF(AND(الموظفون!$AE23&lt;&gt;"",الموظفون!$AE23&lt;$E$3),"✖ منتهي الخدمة","⏳ لم يباشر"),IF(S23&gt;0,"✈ راتب إجازة مقدم",IF(J23=0,"⛔ بدون راتب هذا الشهر",IF(I23&gt;0,"✈ خصم "&amp;ROUND(I23,2)&amp;" يوم بدون أجر",IF(AL23&gt;0,"🌴 إجازة سنوية "&amp;ROUND(AL23,2)&amp;" يوم",IF(H23&gt;0,"⚠ غياب "&amp;ROUND(H23,2)&amp;" يوم","✔ على رأس العمل")))))))</f>
        <v/>
      </c>
      <c r="G23" s="156" t="str">
        <f aca="false">IF($B23="","",IF(AK23&gt;=DAY($F$3),cfg_DAYS_M,MIN(AK23,cfg_DAYS_M)))</f>
        <v/>
      </c>
      <c r="H23" s="156" t="str">
        <f aca="false">IF($B23="","",SUMIFS('الحركات الشهرية'!$D$6:$D$1005,'الحركات الشهرية'!$B$6:$B$1005,$B23,'الحركات الشهرية'!$A$6:$A$1005,$C$3))</f>
        <v/>
      </c>
      <c r="I23" s="156" t="str">
        <f aca="false">IF($B23="","",MIN(G23,IF(AND(AK23&gt;0,AN23&gt;=AK23),G23,AN23)+SUMIFS('الحركات الشهرية'!$E$6:$E$1005,'الحركات الشهرية'!$B$6:$B$1005,$B23,'الحركات الشهرية'!$A$6:$A$1005,$C$3)))</f>
        <v/>
      </c>
      <c r="J23" s="156" t="str">
        <f aca="false">IF($B23="","",MAX(0,G23-H23-I23))</f>
        <v/>
      </c>
      <c r="K23" s="116" t="str">
        <f aca="false">IF($B23="","",الموظفون!$L23*$J23/cfg_DAYS_M)</f>
        <v/>
      </c>
      <c r="L23" s="116" t="str">
        <f aca="false">IF($B23="","",الموظفون!$M23*$J23/cfg_DAYS_M)</f>
        <v/>
      </c>
      <c r="M23" s="116" t="str">
        <f aca="false">IF($B23="","",الموظفون!$N23*$J23/cfg_DAYS_M)</f>
        <v/>
      </c>
      <c r="N23" s="116" t="str">
        <f aca="false">IF($B23="","",الموظفون!$O23*$J23/cfg_DAYS_M)</f>
        <v/>
      </c>
      <c r="O23" s="156" t="str">
        <f aca="false">IF($B23="","",SUMIFS('الحركات الشهرية'!$F$6:$F$1005,'الحركات الشهرية'!$B$6:$B$1005,$B23,'الحركات الشهرية'!$A$6:$A$1005,$C$3))</f>
        <v/>
      </c>
      <c r="P23" s="116" t="str">
        <f aca="false">IF($B23="","",O23*(الموظفون!$P23+الموظفون!$L23*cfg_OT_P)/cfg_DAYS_M/cfg_HRS)</f>
        <v/>
      </c>
      <c r="Q23" s="116" t="str">
        <f aca="false">IF($B23="","",SUMIFS('الحركات الشهرية'!$G$6:$G$1005,'الحركات الشهرية'!$B$6:$B$1005,$B23,'الحركات الشهرية'!$A$6:$A$1005,$C$3))</f>
        <v/>
      </c>
      <c r="R23" s="116" t="str">
        <f aca="false">IF($B23="","",SUMIFS('الحركات الشهرية'!$H$6:$H$1005,'الحركات الشهرية'!$B$6:$B$1005,$B23,'الحركات الشهرية'!$A$6:$A$1005,$C$3))</f>
        <v/>
      </c>
      <c r="S23" s="116" t="str">
        <f aca="false">IF($B23="","",SUMIFS('سجل الإجازات والحالات'!$N$6:$N$505,'سجل الإجازات والحالات'!$B$6:$B$505,$B23,'سجل الإجازات والحالات'!$O$6:$O$505,$C$3))</f>
        <v/>
      </c>
      <c r="T23" s="157" t="str">
        <f aca="false">IF($B23="","",SUM(K23:N23)+SUM(P23:S23))</f>
        <v/>
      </c>
      <c r="U23" s="116" t="str">
        <f aca="false">IF($B23="","",الموظفون!$S23*IF(E23="سعودي",cfg_G_SE,cfg_G_NE)*G23/cfg_DAYS_M)</f>
        <v/>
      </c>
      <c r="V23" s="116" t="str">
        <f aca="false">IF($B23="","",SUMIFS('الحركات الشهرية'!$I$6:$I$1005,'الحركات الشهرية'!$B$6:$B$1005,$B23,'الحركات الشهرية'!$A$6:$A$1005,$C$3))</f>
        <v/>
      </c>
      <c r="W23" s="116" t="str">
        <f aca="false">IF($B23="","",SUMIFS('الحركات الشهرية'!$J$6:$J$1005,'الحركات الشهرية'!$B$6:$B$1005,$B23,'الحركات الشهرية'!$A$6:$A$1005,$C$3))</f>
        <v/>
      </c>
      <c r="X23" s="116" t="str">
        <f aca="false">IF($B23="","",SUM(U23:W23))</f>
        <v/>
      </c>
      <c r="Y23" s="158" t="str">
        <f aca="false">IF($B23="","",T23-X23)</f>
        <v/>
      </c>
      <c r="Z23" s="116" t="str">
        <f aca="false">IF($B23="","",الموظفون!$S23*IF(E23="سعودي",cfg_G_SR,cfg_G_NR)*G23/cfg_DAYS_M)</f>
        <v/>
      </c>
      <c r="AA23" s="116" t="str">
        <f aca="false">IF($B23="","",الموظفون!$Q23*(cfg_EOS_R1*(MIN(AH23,cfg_EOS_TH)-MIN(AI23,cfg_EOS_TH))+cfg_EOS_R2*(MAX(AH23-cfg_EOS_TH,0)-MAX(AI23-cfg_EOS_TH,0))))</f>
        <v/>
      </c>
      <c r="AB23" s="116" t="str">
        <f aca="false">IF($B23="","",IF(الموظفون!$T23&lt;&gt;"",الموظفون!$T23,IF(AH23&gt;=cfg_LV_TH,cfg_LV_D2,cfg_LV_D1))/cfg_DAYS_Y*AJ23*الموظفون!$R23/cfg_DAYS_M)</f>
        <v/>
      </c>
      <c r="AC23" s="116" t="str">
        <f aca="false">IF($B23="","",IF(AND(الموظفون!$U23="نعم",N(الموظفون!$W23)&gt;0),الموظفون!$V23/الموظفون!$W23*12/cfg_DAYS_Y*AJ23,0))</f>
        <v/>
      </c>
      <c r="AD23" s="116" t="str">
        <f aca="false">IF($B23="","",(IF(الموظفون!$X23&lt;&gt;"",الموظفون!$X23,IF(الموظفون!$E23="غير سعودي",cfg_IQ,0))+IF(الموظفون!$Y23&lt;&gt;"",الموظفون!$Y23,IF(الموظفون!$E23="غير سعودي",cfg_WP,0)))/12*G23/cfg_DAYS_M)</f>
        <v/>
      </c>
      <c r="AE23" s="116" t="str">
        <f aca="false">IF($B23="","",IF(الموظفون!$Z23&lt;&gt;"",الموظفون!$Z23,cfg_MED)/12*G23/cfg_DAYS_M)</f>
        <v/>
      </c>
      <c r="AF23" s="116" t="str">
        <f aca="false">IF($B23="","",N(الموظفون!$AA23)/12*G23/cfg_DAYS_M)</f>
        <v/>
      </c>
      <c r="AG23" s="159" t="str">
        <f aca="false">IF($B23="","",T23+SUM(Z23:AF23))</f>
        <v/>
      </c>
      <c r="AH23" s="160" t="str">
        <f aca="false">IF($B23="","",MAX(0,IF(OR(الموظفون!$AE23="",الموظفون!$AE23&gt;$F$3),$F$3,الموظفون!$AE23)-الموظفون!$H23+1-SUMIFS('سجل الإجازات والحالات'!$AR$6:$AR$505,'سجل الإجازات والحالات'!$B$6:$B$505,$B23))/cfg_DAYS_Y)</f>
        <v/>
      </c>
      <c r="AI23" s="160" t="str">
        <f aca="false">IF($B23="","",MAX(0,IF(OR(الموظفون!$AE23="",الموظفون!$AE23&gt;($E$3-1)),($E$3-1),الموظفون!$AE23)-الموظفون!$H23+1-SUMIFS('سجل الإجازات والحالات'!$AQ$6:$AQ$505,'سجل الإجازات والحالات'!$B$6:$B$505,$B23))/cfg_DAYS_Y)</f>
        <v/>
      </c>
      <c r="AJ23" s="133" t="str">
        <f aca="false">IF($B23="","",MAX(0,AK23-(SUMIFS('سجل الإجازات والحالات'!$AR$6:$AR$505,'سجل الإجازات والحالات'!$B$6:$B$505,$B23)-SUMIFS('سجل الإجازات والحالات'!$AQ$6:$AQ$505,'سجل الإجازات والحالات'!$B$6:$B$505,$B23))))</f>
        <v/>
      </c>
      <c r="AK23" s="133" t="str">
        <f aca="false">IF($B23="","",MAX(0,IF(OR(الموظفون!$AE23="",الموظفون!$AE23&gt;$F$3),$F$3,الموظفون!$AE23)-MAX($E$3,الموظفون!$H23)+1))</f>
        <v/>
      </c>
      <c r="AL23" s="156" t="str">
        <f aca="false">IF($B23="","",SUMIFS('سجل الإجازات والحالات'!$BD$6:$BD$505,'سجل الإجازات والحالات'!$B$6:$B$505,$B23)+SUMIFS('الحركات الشهرية'!$K$6:$K$1005,'الحركات الشهرية'!$B$6:$B$1005,$B23,'الحركات الشهرية'!$A$6:$A$1005,$C$3))</f>
        <v/>
      </c>
      <c r="AM23" s="116" t="str">
        <f aca="false">IF($B23="","",AL23*الموظفون!$R23/cfg_DAYS_M+S23)</f>
        <v/>
      </c>
      <c r="AN23" s="156" t="str">
        <f aca="false">IF($B23="","",SUMIFS('سجل الإجازات والحالات'!$AF$6:$AF$505,'سجل الإجازات والحالات'!$B$6:$B$505,$B23))</f>
        <v/>
      </c>
    </row>
    <row r="24" customFormat="false" ht="15" hidden="false" customHeight="false" outlineLevel="0" collapsed="false">
      <c r="A24" s="106" t="str">
        <f aca="false">IF($B24="","",الموظفون!$A24)</f>
        <v/>
      </c>
      <c r="B24" s="114" t="str">
        <f aca="false">IF(الموظفون!$B24="","",الموظفون!$B24)</f>
        <v/>
      </c>
      <c r="C24" s="114" t="str">
        <f aca="false">IF($B24="","",الموظفون!$C24)</f>
        <v/>
      </c>
      <c r="D24" s="114" t="str">
        <f aca="false">IF($B24="","",الموظفون!$F24)</f>
        <v/>
      </c>
      <c r="E24" s="114" t="str">
        <f aca="false">IF($B24="","",الموظفون!$E24)</f>
        <v/>
      </c>
      <c r="F24" s="114" t="str">
        <f aca="false">IF($B24="","",IF(AK24=0,IF(AND(الموظفون!$AE24&lt;&gt;"",الموظفون!$AE24&lt;$E$3),"✖ منتهي الخدمة","⏳ لم يباشر"),IF(S24&gt;0,"✈ راتب إجازة مقدم",IF(J24=0,"⛔ بدون راتب هذا الشهر",IF(I24&gt;0,"✈ خصم "&amp;ROUND(I24,2)&amp;" يوم بدون أجر",IF(AL24&gt;0,"🌴 إجازة سنوية "&amp;ROUND(AL24,2)&amp;" يوم",IF(H24&gt;0,"⚠ غياب "&amp;ROUND(H24,2)&amp;" يوم","✔ على رأس العمل")))))))</f>
        <v/>
      </c>
      <c r="G24" s="151" t="str">
        <f aca="false">IF($B24="","",IF(AK24&gt;=DAY($F$3),cfg_DAYS_M,MIN(AK24,cfg_DAYS_M)))</f>
        <v/>
      </c>
      <c r="H24" s="151" t="str">
        <f aca="false">IF($B24="","",SUMIFS('الحركات الشهرية'!$D$6:$D$1005,'الحركات الشهرية'!$B$6:$B$1005,$B24,'الحركات الشهرية'!$A$6:$A$1005,$C$3))</f>
        <v/>
      </c>
      <c r="I24" s="151" t="str">
        <f aca="false">IF($B24="","",MIN(G24,IF(AND(AK24&gt;0,AN24&gt;=AK24),G24,AN24)+SUMIFS('الحركات الشهرية'!$E$6:$E$1005,'الحركات الشهرية'!$B$6:$B$1005,$B24,'الحركات الشهرية'!$A$6:$A$1005,$C$3)))</f>
        <v/>
      </c>
      <c r="J24" s="151" t="str">
        <f aca="false">IF($B24="","",MAX(0,G24-H24-I24))</f>
        <v/>
      </c>
      <c r="K24" s="111" t="str">
        <f aca="false">IF($B24="","",الموظفون!$L24*$J24/cfg_DAYS_M)</f>
        <v/>
      </c>
      <c r="L24" s="111" t="str">
        <f aca="false">IF($B24="","",الموظفون!$M24*$J24/cfg_DAYS_M)</f>
        <v/>
      </c>
      <c r="M24" s="111" t="str">
        <f aca="false">IF($B24="","",الموظفون!$N24*$J24/cfg_DAYS_M)</f>
        <v/>
      </c>
      <c r="N24" s="111" t="str">
        <f aca="false">IF($B24="","",الموظفون!$O24*$J24/cfg_DAYS_M)</f>
        <v/>
      </c>
      <c r="O24" s="151" t="str">
        <f aca="false">IF($B24="","",SUMIFS('الحركات الشهرية'!$F$6:$F$1005,'الحركات الشهرية'!$B$6:$B$1005,$B24,'الحركات الشهرية'!$A$6:$A$1005,$C$3))</f>
        <v/>
      </c>
      <c r="P24" s="111" t="str">
        <f aca="false">IF($B24="","",O24*(الموظفون!$P24+الموظفون!$L24*cfg_OT_P)/cfg_DAYS_M/cfg_HRS)</f>
        <v/>
      </c>
      <c r="Q24" s="111" t="str">
        <f aca="false">IF($B24="","",SUMIFS('الحركات الشهرية'!$G$6:$G$1005,'الحركات الشهرية'!$B$6:$B$1005,$B24,'الحركات الشهرية'!$A$6:$A$1005,$C$3))</f>
        <v/>
      </c>
      <c r="R24" s="111" t="str">
        <f aca="false">IF($B24="","",SUMIFS('الحركات الشهرية'!$H$6:$H$1005,'الحركات الشهرية'!$B$6:$B$1005,$B24,'الحركات الشهرية'!$A$6:$A$1005,$C$3))</f>
        <v/>
      </c>
      <c r="S24" s="111" t="str">
        <f aca="false">IF($B24="","",SUMIFS('سجل الإجازات والحالات'!$N$6:$N$505,'سجل الإجازات والحالات'!$B$6:$B$505,$B24,'سجل الإجازات والحالات'!$O$6:$O$505,$C$3))</f>
        <v/>
      </c>
      <c r="T24" s="152" t="str">
        <f aca="false">IF($B24="","",SUM(K24:N24)+SUM(P24:S24))</f>
        <v/>
      </c>
      <c r="U24" s="111" t="str">
        <f aca="false">IF($B24="","",الموظفون!$S24*IF(E24="سعودي",cfg_G_SE,cfg_G_NE)*G24/cfg_DAYS_M)</f>
        <v/>
      </c>
      <c r="V24" s="111" t="str">
        <f aca="false">IF($B24="","",SUMIFS('الحركات الشهرية'!$I$6:$I$1005,'الحركات الشهرية'!$B$6:$B$1005,$B24,'الحركات الشهرية'!$A$6:$A$1005,$C$3))</f>
        <v/>
      </c>
      <c r="W24" s="111" t="str">
        <f aca="false">IF($B24="","",SUMIFS('الحركات الشهرية'!$J$6:$J$1005,'الحركات الشهرية'!$B$6:$B$1005,$B24,'الحركات الشهرية'!$A$6:$A$1005,$C$3))</f>
        <v/>
      </c>
      <c r="X24" s="111" t="str">
        <f aca="false">IF($B24="","",SUM(U24:W24))</f>
        <v/>
      </c>
      <c r="Y24" s="153" t="str">
        <f aca="false">IF($B24="","",T24-X24)</f>
        <v/>
      </c>
      <c r="Z24" s="111" t="str">
        <f aca="false">IF($B24="","",الموظفون!$S24*IF(E24="سعودي",cfg_G_SR,cfg_G_NR)*G24/cfg_DAYS_M)</f>
        <v/>
      </c>
      <c r="AA24" s="111" t="str">
        <f aca="false">IF($B24="","",الموظفون!$Q24*(cfg_EOS_R1*(MIN(AH24,cfg_EOS_TH)-MIN(AI24,cfg_EOS_TH))+cfg_EOS_R2*(MAX(AH24-cfg_EOS_TH,0)-MAX(AI24-cfg_EOS_TH,0))))</f>
        <v/>
      </c>
      <c r="AB24" s="111" t="str">
        <f aca="false">IF($B24="","",IF(الموظفون!$T24&lt;&gt;"",الموظفون!$T24,IF(AH24&gt;=cfg_LV_TH,cfg_LV_D2,cfg_LV_D1))/cfg_DAYS_Y*AJ24*الموظفون!$R24/cfg_DAYS_M)</f>
        <v/>
      </c>
      <c r="AC24" s="111" t="str">
        <f aca="false">IF($B24="","",IF(AND(الموظفون!$U24="نعم",N(الموظفون!$W24)&gt;0),الموظفون!$V24/الموظفون!$W24*12/cfg_DAYS_Y*AJ24,0))</f>
        <v/>
      </c>
      <c r="AD24" s="111" t="str">
        <f aca="false">IF($B24="","",(IF(الموظفون!$X24&lt;&gt;"",الموظفون!$X24,IF(الموظفون!$E24="غير سعودي",cfg_IQ,0))+IF(الموظفون!$Y24&lt;&gt;"",الموظفون!$Y24,IF(الموظفون!$E24="غير سعودي",cfg_WP,0)))/12*G24/cfg_DAYS_M)</f>
        <v/>
      </c>
      <c r="AE24" s="111" t="str">
        <f aca="false">IF($B24="","",IF(الموظفون!$Z24&lt;&gt;"",الموظفون!$Z24,cfg_MED)/12*G24/cfg_DAYS_M)</f>
        <v/>
      </c>
      <c r="AF24" s="111" t="str">
        <f aca="false">IF($B24="","",N(الموظفون!$AA24)/12*G24/cfg_DAYS_M)</f>
        <v/>
      </c>
      <c r="AG24" s="154" t="str">
        <f aca="false">IF($B24="","",T24+SUM(Z24:AF24))</f>
        <v/>
      </c>
      <c r="AH24" s="155" t="str">
        <f aca="false">IF($B24="","",MAX(0,IF(OR(الموظفون!$AE24="",الموظفون!$AE24&gt;$F$3),$F$3,الموظفون!$AE24)-الموظفون!$H24+1-SUMIFS('سجل الإجازات والحالات'!$AR$6:$AR$505,'سجل الإجازات والحالات'!$B$6:$B$505,$B24))/cfg_DAYS_Y)</f>
        <v/>
      </c>
      <c r="AI24" s="155" t="str">
        <f aca="false">IF($B24="","",MAX(0,IF(OR(الموظفون!$AE24="",الموظفون!$AE24&gt;($E$3-1)),($E$3-1),الموظفون!$AE24)-الموظفون!$H24+1-SUMIFS('سجل الإجازات والحالات'!$AQ$6:$AQ$505,'سجل الإجازات والحالات'!$B$6:$B$505,$B24))/cfg_DAYS_Y)</f>
        <v/>
      </c>
      <c r="AJ24" s="65" t="str">
        <f aca="false">IF($B24="","",MAX(0,AK24-(SUMIFS('سجل الإجازات والحالات'!$AR$6:$AR$505,'سجل الإجازات والحالات'!$B$6:$B$505,$B24)-SUMIFS('سجل الإجازات والحالات'!$AQ$6:$AQ$505,'سجل الإجازات والحالات'!$B$6:$B$505,$B24))))</f>
        <v/>
      </c>
      <c r="AK24" s="65" t="str">
        <f aca="false">IF($B24="","",MAX(0,IF(OR(الموظفون!$AE24="",الموظفون!$AE24&gt;$F$3),$F$3,الموظفون!$AE24)-MAX($E$3,الموظفون!$H24)+1))</f>
        <v/>
      </c>
      <c r="AL24" s="151" t="str">
        <f aca="false">IF($B24="","",SUMIFS('سجل الإجازات والحالات'!$BD$6:$BD$505,'سجل الإجازات والحالات'!$B$6:$B$505,$B24)+SUMIFS('الحركات الشهرية'!$K$6:$K$1005,'الحركات الشهرية'!$B$6:$B$1005,$B24,'الحركات الشهرية'!$A$6:$A$1005,$C$3))</f>
        <v/>
      </c>
      <c r="AM24" s="111" t="str">
        <f aca="false">IF($B24="","",AL24*الموظفون!$R24/cfg_DAYS_M+S24)</f>
        <v/>
      </c>
      <c r="AN24" s="151" t="str">
        <f aca="false">IF($B24="","",SUMIFS('سجل الإجازات والحالات'!$AF$6:$AF$505,'سجل الإجازات والحالات'!$B$6:$B$505,$B24))</f>
        <v/>
      </c>
    </row>
    <row r="25" customFormat="false" ht="15" hidden="false" customHeight="false" outlineLevel="0" collapsed="false">
      <c r="A25" s="115" t="str">
        <f aca="false">IF($B25="","",الموظفون!$A25)</f>
        <v/>
      </c>
      <c r="B25" s="117" t="str">
        <f aca="false">IF(الموظفون!$B25="","",الموظفون!$B25)</f>
        <v/>
      </c>
      <c r="C25" s="117" t="str">
        <f aca="false">IF($B25="","",الموظفون!$C25)</f>
        <v/>
      </c>
      <c r="D25" s="117" t="str">
        <f aca="false">IF($B25="","",الموظفون!$F25)</f>
        <v/>
      </c>
      <c r="E25" s="117" t="str">
        <f aca="false">IF($B25="","",الموظفون!$E25)</f>
        <v/>
      </c>
      <c r="F25" s="117" t="str">
        <f aca="false">IF($B25="","",IF(AK25=0,IF(AND(الموظفون!$AE25&lt;&gt;"",الموظفون!$AE25&lt;$E$3),"✖ منتهي الخدمة","⏳ لم يباشر"),IF(S25&gt;0,"✈ راتب إجازة مقدم",IF(J25=0,"⛔ بدون راتب هذا الشهر",IF(I25&gt;0,"✈ خصم "&amp;ROUND(I25,2)&amp;" يوم بدون أجر",IF(AL25&gt;0,"🌴 إجازة سنوية "&amp;ROUND(AL25,2)&amp;" يوم",IF(H25&gt;0,"⚠ غياب "&amp;ROUND(H25,2)&amp;" يوم","✔ على رأس العمل")))))))</f>
        <v/>
      </c>
      <c r="G25" s="156" t="str">
        <f aca="false">IF($B25="","",IF(AK25&gt;=DAY($F$3),cfg_DAYS_M,MIN(AK25,cfg_DAYS_M)))</f>
        <v/>
      </c>
      <c r="H25" s="156" t="str">
        <f aca="false">IF($B25="","",SUMIFS('الحركات الشهرية'!$D$6:$D$1005,'الحركات الشهرية'!$B$6:$B$1005,$B25,'الحركات الشهرية'!$A$6:$A$1005,$C$3))</f>
        <v/>
      </c>
      <c r="I25" s="156" t="str">
        <f aca="false">IF($B25="","",MIN(G25,IF(AND(AK25&gt;0,AN25&gt;=AK25),G25,AN25)+SUMIFS('الحركات الشهرية'!$E$6:$E$1005,'الحركات الشهرية'!$B$6:$B$1005,$B25,'الحركات الشهرية'!$A$6:$A$1005,$C$3)))</f>
        <v/>
      </c>
      <c r="J25" s="156" t="str">
        <f aca="false">IF($B25="","",MAX(0,G25-H25-I25))</f>
        <v/>
      </c>
      <c r="K25" s="116" t="str">
        <f aca="false">IF($B25="","",الموظفون!$L25*$J25/cfg_DAYS_M)</f>
        <v/>
      </c>
      <c r="L25" s="116" t="str">
        <f aca="false">IF($B25="","",الموظفون!$M25*$J25/cfg_DAYS_M)</f>
        <v/>
      </c>
      <c r="M25" s="116" t="str">
        <f aca="false">IF($B25="","",الموظفون!$N25*$J25/cfg_DAYS_M)</f>
        <v/>
      </c>
      <c r="N25" s="116" t="str">
        <f aca="false">IF($B25="","",الموظفون!$O25*$J25/cfg_DAYS_M)</f>
        <v/>
      </c>
      <c r="O25" s="156" t="str">
        <f aca="false">IF($B25="","",SUMIFS('الحركات الشهرية'!$F$6:$F$1005,'الحركات الشهرية'!$B$6:$B$1005,$B25,'الحركات الشهرية'!$A$6:$A$1005,$C$3))</f>
        <v/>
      </c>
      <c r="P25" s="116" t="str">
        <f aca="false">IF($B25="","",O25*(الموظفون!$P25+الموظفون!$L25*cfg_OT_P)/cfg_DAYS_M/cfg_HRS)</f>
        <v/>
      </c>
      <c r="Q25" s="116" t="str">
        <f aca="false">IF($B25="","",SUMIFS('الحركات الشهرية'!$G$6:$G$1005,'الحركات الشهرية'!$B$6:$B$1005,$B25,'الحركات الشهرية'!$A$6:$A$1005,$C$3))</f>
        <v/>
      </c>
      <c r="R25" s="116" t="str">
        <f aca="false">IF($B25="","",SUMIFS('الحركات الشهرية'!$H$6:$H$1005,'الحركات الشهرية'!$B$6:$B$1005,$B25,'الحركات الشهرية'!$A$6:$A$1005,$C$3))</f>
        <v/>
      </c>
      <c r="S25" s="116" t="str">
        <f aca="false">IF($B25="","",SUMIFS('سجل الإجازات والحالات'!$N$6:$N$505,'سجل الإجازات والحالات'!$B$6:$B$505,$B25,'سجل الإجازات والحالات'!$O$6:$O$505,$C$3))</f>
        <v/>
      </c>
      <c r="T25" s="157" t="str">
        <f aca="false">IF($B25="","",SUM(K25:N25)+SUM(P25:S25))</f>
        <v/>
      </c>
      <c r="U25" s="116" t="str">
        <f aca="false">IF($B25="","",الموظفون!$S25*IF(E25="سعودي",cfg_G_SE,cfg_G_NE)*G25/cfg_DAYS_M)</f>
        <v/>
      </c>
      <c r="V25" s="116" t="str">
        <f aca="false">IF($B25="","",SUMIFS('الحركات الشهرية'!$I$6:$I$1005,'الحركات الشهرية'!$B$6:$B$1005,$B25,'الحركات الشهرية'!$A$6:$A$1005,$C$3))</f>
        <v/>
      </c>
      <c r="W25" s="116" t="str">
        <f aca="false">IF($B25="","",SUMIFS('الحركات الشهرية'!$J$6:$J$1005,'الحركات الشهرية'!$B$6:$B$1005,$B25,'الحركات الشهرية'!$A$6:$A$1005,$C$3))</f>
        <v/>
      </c>
      <c r="X25" s="116" t="str">
        <f aca="false">IF($B25="","",SUM(U25:W25))</f>
        <v/>
      </c>
      <c r="Y25" s="158" t="str">
        <f aca="false">IF($B25="","",T25-X25)</f>
        <v/>
      </c>
      <c r="Z25" s="116" t="str">
        <f aca="false">IF($B25="","",الموظفون!$S25*IF(E25="سعودي",cfg_G_SR,cfg_G_NR)*G25/cfg_DAYS_M)</f>
        <v/>
      </c>
      <c r="AA25" s="116" t="str">
        <f aca="false">IF($B25="","",الموظفون!$Q25*(cfg_EOS_R1*(MIN(AH25,cfg_EOS_TH)-MIN(AI25,cfg_EOS_TH))+cfg_EOS_R2*(MAX(AH25-cfg_EOS_TH,0)-MAX(AI25-cfg_EOS_TH,0))))</f>
        <v/>
      </c>
      <c r="AB25" s="116" t="str">
        <f aca="false">IF($B25="","",IF(الموظفون!$T25&lt;&gt;"",الموظفون!$T25,IF(AH25&gt;=cfg_LV_TH,cfg_LV_D2,cfg_LV_D1))/cfg_DAYS_Y*AJ25*الموظفون!$R25/cfg_DAYS_M)</f>
        <v/>
      </c>
      <c r="AC25" s="116" t="str">
        <f aca="false">IF($B25="","",IF(AND(الموظفون!$U25="نعم",N(الموظفون!$W25)&gt;0),الموظفون!$V25/الموظفون!$W25*12/cfg_DAYS_Y*AJ25,0))</f>
        <v/>
      </c>
      <c r="AD25" s="116" t="str">
        <f aca="false">IF($B25="","",(IF(الموظفون!$X25&lt;&gt;"",الموظفون!$X25,IF(الموظفون!$E25="غير سعودي",cfg_IQ,0))+IF(الموظفون!$Y25&lt;&gt;"",الموظفون!$Y25,IF(الموظفون!$E25="غير سعودي",cfg_WP,0)))/12*G25/cfg_DAYS_M)</f>
        <v/>
      </c>
      <c r="AE25" s="116" t="str">
        <f aca="false">IF($B25="","",IF(الموظفون!$Z25&lt;&gt;"",الموظفون!$Z25,cfg_MED)/12*G25/cfg_DAYS_M)</f>
        <v/>
      </c>
      <c r="AF25" s="116" t="str">
        <f aca="false">IF($B25="","",N(الموظفون!$AA25)/12*G25/cfg_DAYS_M)</f>
        <v/>
      </c>
      <c r="AG25" s="159" t="str">
        <f aca="false">IF($B25="","",T25+SUM(Z25:AF25))</f>
        <v/>
      </c>
      <c r="AH25" s="160" t="str">
        <f aca="false">IF($B25="","",MAX(0,IF(OR(الموظفون!$AE25="",الموظفون!$AE25&gt;$F$3),$F$3,الموظفون!$AE25)-الموظفون!$H25+1-SUMIFS('سجل الإجازات والحالات'!$AR$6:$AR$505,'سجل الإجازات والحالات'!$B$6:$B$505,$B25))/cfg_DAYS_Y)</f>
        <v/>
      </c>
      <c r="AI25" s="160" t="str">
        <f aca="false">IF($B25="","",MAX(0,IF(OR(الموظفون!$AE25="",الموظفون!$AE25&gt;($E$3-1)),($E$3-1),الموظفون!$AE25)-الموظفون!$H25+1-SUMIFS('سجل الإجازات والحالات'!$AQ$6:$AQ$505,'سجل الإجازات والحالات'!$B$6:$B$505,$B25))/cfg_DAYS_Y)</f>
        <v/>
      </c>
      <c r="AJ25" s="133" t="str">
        <f aca="false">IF($B25="","",MAX(0,AK25-(SUMIFS('سجل الإجازات والحالات'!$AR$6:$AR$505,'سجل الإجازات والحالات'!$B$6:$B$505,$B25)-SUMIFS('سجل الإجازات والحالات'!$AQ$6:$AQ$505,'سجل الإجازات والحالات'!$B$6:$B$505,$B25))))</f>
        <v/>
      </c>
      <c r="AK25" s="133" t="str">
        <f aca="false">IF($B25="","",MAX(0,IF(OR(الموظفون!$AE25="",الموظفون!$AE25&gt;$F$3),$F$3,الموظفون!$AE25)-MAX($E$3,الموظفون!$H25)+1))</f>
        <v/>
      </c>
      <c r="AL25" s="156" t="str">
        <f aca="false">IF($B25="","",SUMIFS('سجل الإجازات والحالات'!$BD$6:$BD$505,'سجل الإجازات والحالات'!$B$6:$B$505,$B25)+SUMIFS('الحركات الشهرية'!$K$6:$K$1005,'الحركات الشهرية'!$B$6:$B$1005,$B25,'الحركات الشهرية'!$A$6:$A$1005,$C$3))</f>
        <v/>
      </c>
      <c r="AM25" s="116" t="str">
        <f aca="false">IF($B25="","",AL25*الموظفون!$R25/cfg_DAYS_M+S25)</f>
        <v/>
      </c>
      <c r="AN25" s="156" t="str">
        <f aca="false">IF($B25="","",SUMIFS('سجل الإجازات والحالات'!$AF$6:$AF$505,'سجل الإجازات والحالات'!$B$6:$B$505,$B25))</f>
        <v/>
      </c>
    </row>
    <row r="26" customFormat="false" ht="15" hidden="false" customHeight="false" outlineLevel="0" collapsed="false">
      <c r="A26" s="106" t="str">
        <f aca="false">IF($B26="","",الموظفون!$A26)</f>
        <v/>
      </c>
      <c r="B26" s="114" t="str">
        <f aca="false">IF(الموظفون!$B26="","",الموظفون!$B26)</f>
        <v/>
      </c>
      <c r="C26" s="114" t="str">
        <f aca="false">IF($B26="","",الموظفون!$C26)</f>
        <v/>
      </c>
      <c r="D26" s="114" t="str">
        <f aca="false">IF($B26="","",الموظفون!$F26)</f>
        <v/>
      </c>
      <c r="E26" s="114" t="str">
        <f aca="false">IF($B26="","",الموظفون!$E26)</f>
        <v/>
      </c>
      <c r="F26" s="114" t="str">
        <f aca="false">IF($B26="","",IF(AK26=0,IF(AND(الموظفون!$AE26&lt;&gt;"",الموظفون!$AE26&lt;$E$3),"✖ منتهي الخدمة","⏳ لم يباشر"),IF(S26&gt;0,"✈ راتب إجازة مقدم",IF(J26=0,"⛔ بدون راتب هذا الشهر",IF(I26&gt;0,"✈ خصم "&amp;ROUND(I26,2)&amp;" يوم بدون أجر",IF(AL26&gt;0,"🌴 إجازة سنوية "&amp;ROUND(AL26,2)&amp;" يوم",IF(H26&gt;0,"⚠ غياب "&amp;ROUND(H26,2)&amp;" يوم","✔ على رأس العمل")))))))</f>
        <v/>
      </c>
      <c r="G26" s="151" t="str">
        <f aca="false">IF($B26="","",IF(AK26&gt;=DAY($F$3),cfg_DAYS_M,MIN(AK26,cfg_DAYS_M)))</f>
        <v/>
      </c>
      <c r="H26" s="151" t="str">
        <f aca="false">IF($B26="","",SUMIFS('الحركات الشهرية'!$D$6:$D$1005,'الحركات الشهرية'!$B$6:$B$1005,$B26,'الحركات الشهرية'!$A$6:$A$1005,$C$3))</f>
        <v/>
      </c>
      <c r="I26" s="151" t="str">
        <f aca="false">IF($B26="","",MIN(G26,IF(AND(AK26&gt;0,AN26&gt;=AK26),G26,AN26)+SUMIFS('الحركات الشهرية'!$E$6:$E$1005,'الحركات الشهرية'!$B$6:$B$1005,$B26,'الحركات الشهرية'!$A$6:$A$1005,$C$3)))</f>
        <v/>
      </c>
      <c r="J26" s="151" t="str">
        <f aca="false">IF($B26="","",MAX(0,G26-H26-I26))</f>
        <v/>
      </c>
      <c r="K26" s="111" t="str">
        <f aca="false">IF($B26="","",الموظفون!$L26*$J26/cfg_DAYS_M)</f>
        <v/>
      </c>
      <c r="L26" s="111" t="str">
        <f aca="false">IF($B26="","",الموظفون!$M26*$J26/cfg_DAYS_M)</f>
        <v/>
      </c>
      <c r="M26" s="111" t="str">
        <f aca="false">IF($B26="","",الموظفون!$N26*$J26/cfg_DAYS_M)</f>
        <v/>
      </c>
      <c r="N26" s="111" t="str">
        <f aca="false">IF($B26="","",الموظفون!$O26*$J26/cfg_DAYS_M)</f>
        <v/>
      </c>
      <c r="O26" s="151" t="str">
        <f aca="false">IF($B26="","",SUMIFS('الحركات الشهرية'!$F$6:$F$1005,'الحركات الشهرية'!$B$6:$B$1005,$B26,'الحركات الشهرية'!$A$6:$A$1005,$C$3))</f>
        <v/>
      </c>
      <c r="P26" s="111" t="str">
        <f aca="false">IF($B26="","",O26*(الموظفون!$P26+الموظفون!$L26*cfg_OT_P)/cfg_DAYS_M/cfg_HRS)</f>
        <v/>
      </c>
      <c r="Q26" s="111" t="str">
        <f aca="false">IF($B26="","",SUMIFS('الحركات الشهرية'!$G$6:$G$1005,'الحركات الشهرية'!$B$6:$B$1005,$B26,'الحركات الشهرية'!$A$6:$A$1005,$C$3))</f>
        <v/>
      </c>
      <c r="R26" s="111" t="str">
        <f aca="false">IF($B26="","",SUMIFS('الحركات الشهرية'!$H$6:$H$1005,'الحركات الشهرية'!$B$6:$B$1005,$B26,'الحركات الشهرية'!$A$6:$A$1005,$C$3))</f>
        <v/>
      </c>
      <c r="S26" s="111" t="str">
        <f aca="false">IF($B26="","",SUMIFS('سجل الإجازات والحالات'!$N$6:$N$505,'سجل الإجازات والحالات'!$B$6:$B$505,$B26,'سجل الإجازات والحالات'!$O$6:$O$505,$C$3))</f>
        <v/>
      </c>
      <c r="T26" s="152" t="str">
        <f aca="false">IF($B26="","",SUM(K26:N26)+SUM(P26:S26))</f>
        <v/>
      </c>
      <c r="U26" s="111" t="str">
        <f aca="false">IF($B26="","",الموظفون!$S26*IF(E26="سعودي",cfg_G_SE,cfg_G_NE)*G26/cfg_DAYS_M)</f>
        <v/>
      </c>
      <c r="V26" s="111" t="str">
        <f aca="false">IF($B26="","",SUMIFS('الحركات الشهرية'!$I$6:$I$1005,'الحركات الشهرية'!$B$6:$B$1005,$B26,'الحركات الشهرية'!$A$6:$A$1005,$C$3))</f>
        <v/>
      </c>
      <c r="W26" s="111" t="str">
        <f aca="false">IF($B26="","",SUMIFS('الحركات الشهرية'!$J$6:$J$1005,'الحركات الشهرية'!$B$6:$B$1005,$B26,'الحركات الشهرية'!$A$6:$A$1005,$C$3))</f>
        <v/>
      </c>
      <c r="X26" s="111" t="str">
        <f aca="false">IF($B26="","",SUM(U26:W26))</f>
        <v/>
      </c>
      <c r="Y26" s="153" t="str">
        <f aca="false">IF($B26="","",T26-X26)</f>
        <v/>
      </c>
      <c r="Z26" s="111" t="str">
        <f aca="false">IF($B26="","",الموظفون!$S26*IF(E26="سعودي",cfg_G_SR,cfg_G_NR)*G26/cfg_DAYS_M)</f>
        <v/>
      </c>
      <c r="AA26" s="111" t="str">
        <f aca="false">IF($B26="","",الموظفون!$Q26*(cfg_EOS_R1*(MIN(AH26,cfg_EOS_TH)-MIN(AI26,cfg_EOS_TH))+cfg_EOS_R2*(MAX(AH26-cfg_EOS_TH,0)-MAX(AI26-cfg_EOS_TH,0))))</f>
        <v/>
      </c>
      <c r="AB26" s="111" t="str">
        <f aca="false">IF($B26="","",IF(الموظفون!$T26&lt;&gt;"",الموظفون!$T26,IF(AH26&gt;=cfg_LV_TH,cfg_LV_D2,cfg_LV_D1))/cfg_DAYS_Y*AJ26*الموظفون!$R26/cfg_DAYS_M)</f>
        <v/>
      </c>
      <c r="AC26" s="111" t="str">
        <f aca="false">IF($B26="","",IF(AND(الموظفون!$U26="نعم",N(الموظفون!$W26)&gt;0),الموظفون!$V26/الموظفون!$W26*12/cfg_DAYS_Y*AJ26,0))</f>
        <v/>
      </c>
      <c r="AD26" s="111" t="str">
        <f aca="false">IF($B26="","",(IF(الموظفون!$X26&lt;&gt;"",الموظفون!$X26,IF(الموظفون!$E26="غير سعودي",cfg_IQ,0))+IF(الموظفون!$Y26&lt;&gt;"",الموظفون!$Y26,IF(الموظفون!$E26="غير سعودي",cfg_WP,0)))/12*G26/cfg_DAYS_M)</f>
        <v/>
      </c>
      <c r="AE26" s="111" t="str">
        <f aca="false">IF($B26="","",IF(الموظفون!$Z26&lt;&gt;"",الموظفون!$Z26,cfg_MED)/12*G26/cfg_DAYS_M)</f>
        <v/>
      </c>
      <c r="AF26" s="111" t="str">
        <f aca="false">IF($B26="","",N(الموظفون!$AA26)/12*G26/cfg_DAYS_M)</f>
        <v/>
      </c>
      <c r="AG26" s="154" t="str">
        <f aca="false">IF($B26="","",T26+SUM(Z26:AF26))</f>
        <v/>
      </c>
      <c r="AH26" s="155" t="str">
        <f aca="false">IF($B26="","",MAX(0,IF(OR(الموظفون!$AE26="",الموظفون!$AE26&gt;$F$3),$F$3,الموظفون!$AE26)-الموظفون!$H26+1-SUMIFS('سجل الإجازات والحالات'!$AR$6:$AR$505,'سجل الإجازات والحالات'!$B$6:$B$505,$B26))/cfg_DAYS_Y)</f>
        <v/>
      </c>
      <c r="AI26" s="155" t="str">
        <f aca="false">IF($B26="","",MAX(0,IF(OR(الموظفون!$AE26="",الموظفون!$AE26&gt;($E$3-1)),($E$3-1),الموظفون!$AE26)-الموظفون!$H26+1-SUMIFS('سجل الإجازات والحالات'!$AQ$6:$AQ$505,'سجل الإجازات والحالات'!$B$6:$B$505,$B26))/cfg_DAYS_Y)</f>
        <v/>
      </c>
      <c r="AJ26" s="65" t="str">
        <f aca="false">IF($B26="","",MAX(0,AK26-(SUMIFS('سجل الإجازات والحالات'!$AR$6:$AR$505,'سجل الإجازات والحالات'!$B$6:$B$505,$B26)-SUMIFS('سجل الإجازات والحالات'!$AQ$6:$AQ$505,'سجل الإجازات والحالات'!$B$6:$B$505,$B26))))</f>
        <v/>
      </c>
      <c r="AK26" s="65" t="str">
        <f aca="false">IF($B26="","",MAX(0,IF(OR(الموظفون!$AE26="",الموظفون!$AE26&gt;$F$3),$F$3,الموظفون!$AE26)-MAX($E$3,الموظفون!$H26)+1))</f>
        <v/>
      </c>
      <c r="AL26" s="151" t="str">
        <f aca="false">IF($B26="","",SUMIFS('سجل الإجازات والحالات'!$BD$6:$BD$505,'سجل الإجازات والحالات'!$B$6:$B$505,$B26)+SUMIFS('الحركات الشهرية'!$K$6:$K$1005,'الحركات الشهرية'!$B$6:$B$1005,$B26,'الحركات الشهرية'!$A$6:$A$1005,$C$3))</f>
        <v/>
      </c>
      <c r="AM26" s="111" t="str">
        <f aca="false">IF($B26="","",AL26*الموظفون!$R26/cfg_DAYS_M+S26)</f>
        <v/>
      </c>
      <c r="AN26" s="151" t="str">
        <f aca="false">IF($B26="","",SUMIFS('سجل الإجازات والحالات'!$AF$6:$AF$505,'سجل الإجازات والحالات'!$B$6:$B$505,$B26))</f>
        <v/>
      </c>
    </row>
    <row r="27" customFormat="false" ht="15" hidden="false" customHeight="false" outlineLevel="0" collapsed="false">
      <c r="A27" s="115" t="str">
        <f aca="false">IF($B27="","",الموظفون!$A27)</f>
        <v/>
      </c>
      <c r="B27" s="117" t="str">
        <f aca="false">IF(الموظفون!$B27="","",الموظفون!$B27)</f>
        <v/>
      </c>
      <c r="C27" s="117" t="str">
        <f aca="false">IF($B27="","",الموظفون!$C27)</f>
        <v/>
      </c>
      <c r="D27" s="117" t="str">
        <f aca="false">IF($B27="","",الموظفون!$F27)</f>
        <v/>
      </c>
      <c r="E27" s="117" t="str">
        <f aca="false">IF($B27="","",الموظفون!$E27)</f>
        <v/>
      </c>
      <c r="F27" s="117" t="str">
        <f aca="false">IF($B27="","",IF(AK27=0,IF(AND(الموظفون!$AE27&lt;&gt;"",الموظفون!$AE27&lt;$E$3),"✖ منتهي الخدمة","⏳ لم يباشر"),IF(S27&gt;0,"✈ راتب إجازة مقدم",IF(J27=0,"⛔ بدون راتب هذا الشهر",IF(I27&gt;0,"✈ خصم "&amp;ROUND(I27,2)&amp;" يوم بدون أجر",IF(AL27&gt;0,"🌴 إجازة سنوية "&amp;ROUND(AL27,2)&amp;" يوم",IF(H27&gt;0,"⚠ غياب "&amp;ROUND(H27,2)&amp;" يوم","✔ على رأس العمل")))))))</f>
        <v/>
      </c>
      <c r="G27" s="156" t="str">
        <f aca="false">IF($B27="","",IF(AK27&gt;=DAY($F$3),cfg_DAYS_M,MIN(AK27,cfg_DAYS_M)))</f>
        <v/>
      </c>
      <c r="H27" s="156" t="str">
        <f aca="false">IF($B27="","",SUMIFS('الحركات الشهرية'!$D$6:$D$1005,'الحركات الشهرية'!$B$6:$B$1005,$B27,'الحركات الشهرية'!$A$6:$A$1005,$C$3))</f>
        <v/>
      </c>
      <c r="I27" s="156" t="str">
        <f aca="false">IF($B27="","",MIN(G27,IF(AND(AK27&gt;0,AN27&gt;=AK27),G27,AN27)+SUMIFS('الحركات الشهرية'!$E$6:$E$1005,'الحركات الشهرية'!$B$6:$B$1005,$B27,'الحركات الشهرية'!$A$6:$A$1005,$C$3)))</f>
        <v/>
      </c>
      <c r="J27" s="156" t="str">
        <f aca="false">IF($B27="","",MAX(0,G27-H27-I27))</f>
        <v/>
      </c>
      <c r="K27" s="116" t="str">
        <f aca="false">IF($B27="","",الموظفون!$L27*$J27/cfg_DAYS_M)</f>
        <v/>
      </c>
      <c r="L27" s="116" t="str">
        <f aca="false">IF($B27="","",الموظفون!$M27*$J27/cfg_DAYS_M)</f>
        <v/>
      </c>
      <c r="M27" s="116" t="str">
        <f aca="false">IF($B27="","",الموظفون!$N27*$J27/cfg_DAYS_M)</f>
        <v/>
      </c>
      <c r="N27" s="116" t="str">
        <f aca="false">IF($B27="","",الموظفون!$O27*$J27/cfg_DAYS_M)</f>
        <v/>
      </c>
      <c r="O27" s="156" t="str">
        <f aca="false">IF($B27="","",SUMIFS('الحركات الشهرية'!$F$6:$F$1005,'الحركات الشهرية'!$B$6:$B$1005,$B27,'الحركات الشهرية'!$A$6:$A$1005,$C$3))</f>
        <v/>
      </c>
      <c r="P27" s="116" t="str">
        <f aca="false">IF($B27="","",O27*(الموظفون!$P27+الموظفون!$L27*cfg_OT_P)/cfg_DAYS_M/cfg_HRS)</f>
        <v/>
      </c>
      <c r="Q27" s="116" t="str">
        <f aca="false">IF($B27="","",SUMIFS('الحركات الشهرية'!$G$6:$G$1005,'الحركات الشهرية'!$B$6:$B$1005,$B27,'الحركات الشهرية'!$A$6:$A$1005,$C$3))</f>
        <v/>
      </c>
      <c r="R27" s="116" t="str">
        <f aca="false">IF($B27="","",SUMIFS('الحركات الشهرية'!$H$6:$H$1005,'الحركات الشهرية'!$B$6:$B$1005,$B27,'الحركات الشهرية'!$A$6:$A$1005,$C$3))</f>
        <v/>
      </c>
      <c r="S27" s="116" t="str">
        <f aca="false">IF($B27="","",SUMIFS('سجل الإجازات والحالات'!$N$6:$N$505,'سجل الإجازات والحالات'!$B$6:$B$505,$B27,'سجل الإجازات والحالات'!$O$6:$O$505,$C$3))</f>
        <v/>
      </c>
      <c r="T27" s="157" t="str">
        <f aca="false">IF($B27="","",SUM(K27:N27)+SUM(P27:S27))</f>
        <v/>
      </c>
      <c r="U27" s="116" t="str">
        <f aca="false">IF($B27="","",الموظفون!$S27*IF(E27="سعودي",cfg_G_SE,cfg_G_NE)*G27/cfg_DAYS_M)</f>
        <v/>
      </c>
      <c r="V27" s="116" t="str">
        <f aca="false">IF($B27="","",SUMIFS('الحركات الشهرية'!$I$6:$I$1005,'الحركات الشهرية'!$B$6:$B$1005,$B27,'الحركات الشهرية'!$A$6:$A$1005,$C$3))</f>
        <v/>
      </c>
      <c r="W27" s="116" t="str">
        <f aca="false">IF($B27="","",SUMIFS('الحركات الشهرية'!$J$6:$J$1005,'الحركات الشهرية'!$B$6:$B$1005,$B27,'الحركات الشهرية'!$A$6:$A$1005,$C$3))</f>
        <v/>
      </c>
      <c r="X27" s="116" t="str">
        <f aca="false">IF($B27="","",SUM(U27:W27))</f>
        <v/>
      </c>
      <c r="Y27" s="158" t="str">
        <f aca="false">IF($B27="","",T27-X27)</f>
        <v/>
      </c>
      <c r="Z27" s="116" t="str">
        <f aca="false">IF($B27="","",الموظفون!$S27*IF(E27="سعودي",cfg_G_SR,cfg_G_NR)*G27/cfg_DAYS_M)</f>
        <v/>
      </c>
      <c r="AA27" s="116" t="str">
        <f aca="false">IF($B27="","",الموظفون!$Q27*(cfg_EOS_R1*(MIN(AH27,cfg_EOS_TH)-MIN(AI27,cfg_EOS_TH))+cfg_EOS_R2*(MAX(AH27-cfg_EOS_TH,0)-MAX(AI27-cfg_EOS_TH,0))))</f>
        <v/>
      </c>
      <c r="AB27" s="116" t="str">
        <f aca="false">IF($B27="","",IF(الموظفون!$T27&lt;&gt;"",الموظفون!$T27,IF(AH27&gt;=cfg_LV_TH,cfg_LV_D2,cfg_LV_D1))/cfg_DAYS_Y*AJ27*الموظفون!$R27/cfg_DAYS_M)</f>
        <v/>
      </c>
      <c r="AC27" s="116" t="str">
        <f aca="false">IF($B27="","",IF(AND(الموظفون!$U27="نعم",N(الموظفون!$W27)&gt;0),الموظفون!$V27/الموظفون!$W27*12/cfg_DAYS_Y*AJ27,0))</f>
        <v/>
      </c>
      <c r="AD27" s="116" t="str">
        <f aca="false">IF($B27="","",(IF(الموظفون!$X27&lt;&gt;"",الموظفون!$X27,IF(الموظفون!$E27="غير سعودي",cfg_IQ,0))+IF(الموظفون!$Y27&lt;&gt;"",الموظفون!$Y27,IF(الموظفون!$E27="غير سعودي",cfg_WP,0)))/12*G27/cfg_DAYS_M)</f>
        <v/>
      </c>
      <c r="AE27" s="116" t="str">
        <f aca="false">IF($B27="","",IF(الموظفون!$Z27&lt;&gt;"",الموظفون!$Z27,cfg_MED)/12*G27/cfg_DAYS_M)</f>
        <v/>
      </c>
      <c r="AF27" s="116" t="str">
        <f aca="false">IF($B27="","",N(الموظفون!$AA27)/12*G27/cfg_DAYS_M)</f>
        <v/>
      </c>
      <c r="AG27" s="159" t="str">
        <f aca="false">IF($B27="","",T27+SUM(Z27:AF27))</f>
        <v/>
      </c>
      <c r="AH27" s="160" t="str">
        <f aca="false">IF($B27="","",MAX(0,IF(OR(الموظفون!$AE27="",الموظفون!$AE27&gt;$F$3),$F$3,الموظفون!$AE27)-الموظفون!$H27+1-SUMIFS('سجل الإجازات والحالات'!$AR$6:$AR$505,'سجل الإجازات والحالات'!$B$6:$B$505,$B27))/cfg_DAYS_Y)</f>
        <v/>
      </c>
      <c r="AI27" s="160" t="str">
        <f aca="false">IF($B27="","",MAX(0,IF(OR(الموظفون!$AE27="",الموظفون!$AE27&gt;($E$3-1)),($E$3-1),الموظفون!$AE27)-الموظفون!$H27+1-SUMIFS('سجل الإجازات والحالات'!$AQ$6:$AQ$505,'سجل الإجازات والحالات'!$B$6:$B$505,$B27))/cfg_DAYS_Y)</f>
        <v/>
      </c>
      <c r="AJ27" s="133" t="str">
        <f aca="false">IF($B27="","",MAX(0,AK27-(SUMIFS('سجل الإجازات والحالات'!$AR$6:$AR$505,'سجل الإجازات والحالات'!$B$6:$B$505,$B27)-SUMIFS('سجل الإجازات والحالات'!$AQ$6:$AQ$505,'سجل الإجازات والحالات'!$B$6:$B$505,$B27))))</f>
        <v/>
      </c>
      <c r="AK27" s="133" t="str">
        <f aca="false">IF($B27="","",MAX(0,IF(OR(الموظفون!$AE27="",الموظفون!$AE27&gt;$F$3),$F$3,الموظفون!$AE27)-MAX($E$3,الموظفون!$H27)+1))</f>
        <v/>
      </c>
      <c r="AL27" s="156" t="str">
        <f aca="false">IF($B27="","",SUMIFS('سجل الإجازات والحالات'!$BD$6:$BD$505,'سجل الإجازات والحالات'!$B$6:$B$505,$B27)+SUMIFS('الحركات الشهرية'!$K$6:$K$1005,'الحركات الشهرية'!$B$6:$B$1005,$B27,'الحركات الشهرية'!$A$6:$A$1005,$C$3))</f>
        <v/>
      </c>
      <c r="AM27" s="116" t="str">
        <f aca="false">IF($B27="","",AL27*الموظفون!$R27/cfg_DAYS_M+S27)</f>
        <v/>
      </c>
      <c r="AN27" s="156" t="str">
        <f aca="false">IF($B27="","",SUMIFS('سجل الإجازات والحالات'!$AF$6:$AF$505,'سجل الإجازات والحالات'!$B$6:$B$505,$B27))</f>
        <v/>
      </c>
    </row>
    <row r="28" customFormat="false" ht="15" hidden="false" customHeight="false" outlineLevel="0" collapsed="false">
      <c r="A28" s="106" t="str">
        <f aca="false">IF($B28="","",الموظفون!$A28)</f>
        <v/>
      </c>
      <c r="B28" s="114" t="str">
        <f aca="false">IF(الموظفون!$B28="","",الموظفون!$B28)</f>
        <v/>
      </c>
      <c r="C28" s="114" t="str">
        <f aca="false">IF($B28="","",الموظفون!$C28)</f>
        <v/>
      </c>
      <c r="D28" s="114" t="str">
        <f aca="false">IF($B28="","",الموظفون!$F28)</f>
        <v/>
      </c>
      <c r="E28" s="114" t="str">
        <f aca="false">IF($B28="","",الموظفون!$E28)</f>
        <v/>
      </c>
      <c r="F28" s="114" t="str">
        <f aca="false">IF($B28="","",IF(AK28=0,IF(AND(الموظفون!$AE28&lt;&gt;"",الموظفون!$AE28&lt;$E$3),"✖ منتهي الخدمة","⏳ لم يباشر"),IF(S28&gt;0,"✈ راتب إجازة مقدم",IF(J28=0,"⛔ بدون راتب هذا الشهر",IF(I28&gt;0,"✈ خصم "&amp;ROUND(I28,2)&amp;" يوم بدون أجر",IF(AL28&gt;0,"🌴 إجازة سنوية "&amp;ROUND(AL28,2)&amp;" يوم",IF(H28&gt;0,"⚠ غياب "&amp;ROUND(H28,2)&amp;" يوم","✔ على رأس العمل")))))))</f>
        <v/>
      </c>
      <c r="G28" s="151" t="str">
        <f aca="false">IF($B28="","",IF(AK28&gt;=DAY($F$3),cfg_DAYS_M,MIN(AK28,cfg_DAYS_M)))</f>
        <v/>
      </c>
      <c r="H28" s="151" t="str">
        <f aca="false">IF($B28="","",SUMIFS('الحركات الشهرية'!$D$6:$D$1005,'الحركات الشهرية'!$B$6:$B$1005,$B28,'الحركات الشهرية'!$A$6:$A$1005,$C$3))</f>
        <v/>
      </c>
      <c r="I28" s="151" t="str">
        <f aca="false">IF($B28="","",MIN(G28,IF(AND(AK28&gt;0,AN28&gt;=AK28),G28,AN28)+SUMIFS('الحركات الشهرية'!$E$6:$E$1005,'الحركات الشهرية'!$B$6:$B$1005,$B28,'الحركات الشهرية'!$A$6:$A$1005,$C$3)))</f>
        <v/>
      </c>
      <c r="J28" s="151" t="str">
        <f aca="false">IF($B28="","",MAX(0,G28-H28-I28))</f>
        <v/>
      </c>
      <c r="K28" s="111" t="str">
        <f aca="false">IF($B28="","",الموظفون!$L28*$J28/cfg_DAYS_M)</f>
        <v/>
      </c>
      <c r="L28" s="111" t="str">
        <f aca="false">IF($B28="","",الموظفون!$M28*$J28/cfg_DAYS_M)</f>
        <v/>
      </c>
      <c r="M28" s="111" t="str">
        <f aca="false">IF($B28="","",الموظفون!$N28*$J28/cfg_DAYS_M)</f>
        <v/>
      </c>
      <c r="N28" s="111" t="str">
        <f aca="false">IF($B28="","",الموظفون!$O28*$J28/cfg_DAYS_M)</f>
        <v/>
      </c>
      <c r="O28" s="151" t="str">
        <f aca="false">IF($B28="","",SUMIFS('الحركات الشهرية'!$F$6:$F$1005,'الحركات الشهرية'!$B$6:$B$1005,$B28,'الحركات الشهرية'!$A$6:$A$1005,$C$3))</f>
        <v/>
      </c>
      <c r="P28" s="111" t="str">
        <f aca="false">IF($B28="","",O28*(الموظفون!$P28+الموظفون!$L28*cfg_OT_P)/cfg_DAYS_M/cfg_HRS)</f>
        <v/>
      </c>
      <c r="Q28" s="111" t="str">
        <f aca="false">IF($B28="","",SUMIFS('الحركات الشهرية'!$G$6:$G$1005,'الحركات الشهرية'!$B$6:$B$1005,$B28,'الحركات الشهرية'!$A$6:$A$1005,$C$3))</f>
        <v/>
      </c>
      <c r="R28" s="111" t="str">
        <f aca="false">IF($B28="","",SUMIFS('الحركات الشهرية'!$H$6:$H$1005,'الحركات الشهرية'!$B$6:$B$1005,$B28,'الحركات الشهرية'!$A$6:$A$1005,$C$3))</f>
        <v/>
      </c>
      <c r="S28" s="111" t="str">
        <f aca="false">IF($B28="","",SUMIFS('سجل الإجازات والحالات'!$N$6:$N$505,'سجل الإجازات والحالات'!$B$6:$B$505,$B28,'سجل الإجازات والحالات'!$O$6:$O$505,$C$3))</f>
        <v/>
      </c>
      <c r="T28" s="152" t="str">
        <f aca="false">IF($B28="","",SUM(K28:N28)+SUM(P28:S28))</f>
        <v/>
      </c>
      <c r="U28" s="111" t="str">
        <f aca="false">IF($B28="","",الموظفون!$S28*IF(E28="سعودي",cfg_G_SE,cfg_G_NE)*G28/cfg_DAYS_M)</f>
        <v/>
      </c>
      <c r="V28" s="111" t="str">
        <f aca="false">IF($B28="","",SUMIFS('الحركات الشهرية'!$I$6:$I$1005,'الحركات الشهرية'!$B$6:$B$1005,$B28,'الحركات الشهرية'!$A$6:$A$1005,$C$3))</f>
        <v/>
      </c>
      <c r="W28" s="111" t="str">
        <f aca="false">IF($B28="","",SUMIFS('الحركات الشهرية'!$J$6:$J$1005,'الحركات الشهرية'!$B$6:$B$1005,$B28,'الحركات الشهرية'!$A$6:$A$1005,$C$3))</f>
        <v/>
      </c>
      <c r="X28" s="111" t="str">
        <f aca="false">IF($B28="","",SUM(U28:W28))</f>
        <v/>
      </c>
      <c r="Y28" s="153" t="str">
        <f aca="false">IF($B28="","",T28-X28)</f>
        <v/>
      </c>
      <c r="Z28" s="111" t="str">
        <f aca="false">IF($B28="","",الموظفون!$S28*IF(E28="سعودي",cfg_G_SR,cfg_G_NR)*G28/cfg_DAYS_M)</f>
        <v/>
      </c>
      <c r="AA28" s="111" t="str">
        <f aca="false">IF($B28="","",الموظفون!$Q28*(cfg_EOS_R1*(MIN(AH28,cfg_EOS_TH)-MIN(AI28,cfg_EOS_TH))+cfg_EOS_R2*(MAX(AH28-cfg_EOS_TH,0)-MAX(AI28-cfg_EOS_TH,0))))</f>
        <v/>
      </c>
      <c r="AB28" s="111" t="str">
        <f aca="false">IF($B28="","",IF(الموظفون!$T28&lt;&gt;"",الموظفون!$T28,IF(AH28&gt;=cfg_LV_TH,cfg_LV_D2,cfg_LV_D1))/cfg_DAYS_Y*AJ28*الموظفون!$R28/cfg_DAYS_M)</f>
        <v/>
      </c>
      <c r="AC28" s="111" t="str">
        <f aca="false">IF($B28="","",IF(AND(الموظفون!$U28="نعم",N(الموظفون!$W28)&gt;0),الموظفون!$V28/الموظفون!$W28*12/cfg_DAYS_Y*AJ28,0))</f>
        <v/>
      </c>
      <c r="AD28" s="111" t="str">
        <f aca="false">IF($B28="","",(IF(الموظفون!$X28&lt;&gt;"",الموظفون!$X28,IF(الموظفون!$E28="غير سعودي",cfg_IQ,0))+IF(الموظفون!$Y28&lt;&gt;"",الموظفون!$Y28,IF(الموظفون!$E28="غير سعودي",cfg_WP,0)))/12*G28/cfg_DAYS_M)</f>
        <v/>
      </c>
      <c r="AE28" s="111" t="str">
        <f aca="false">IF($B28="","",IF(الموظفون!$Z28&lt;&gt;"",الموظفون!$Z28,cfg_MED)/12*G28/cfg_DAYS_M)</f>
        <v/>
      </c>
      <c r="AF28" s="111" t="str">
        <f aca="false">IF($B28="","",N(الموظفون!$AA28)/12*G28/cfg_DAYS_M)</f>
        <v/>
      </c>
      <c r="AG28" s="154" t="str">
        <f aca="false">IF($B28="","",T28+SUM(Z28:AF28))</f>
        <v/>
      </c>
      <c r="AH28" s="155" t="str">
        <f aca="false">IF($B28="","",MAX(0,IF(OR(الموظفون!$AE28="",الموظفون!$AE28&gt;$F$3),$F$3,الموظفون!$AE28)-الموظفون!$H28+1-SUMIFS('سجل الإجازات والحالات'!$AR$6:$AR$505,'سجل الإجازات والحالات'!$B$6:$B$505,$B28))/cfg_DAYS_Y)</f>
        <v/>
      </c>
      <c r="AI28" s="155" t="str">
        <f aca="false">IF($B28="","",MAX(0,IF(OR(الموظفون!$AE28="",الموظفون!$AE28&gt;($E$3-1)),($E$3-1),الموظفون!$AE28)-الموظفون!$H28+1-SUMIFS('سجل الإجازات والحالات'!$AQ$6:$AQ$505,'سجل الإجازات والحالات'!$B$6:$B$505,$B28))/cfg_DAYS_Y)</f>
        <v/>
      </c>
      <c r="AJ28" s="65" t="str">
        <f aca="false">IF($B28="","",MAX(0,AK28-(SUMIFS('سجل الإجازات والحالات'!$AR$6:$AR$505,'سجل الإجازات والحالات'!$B$6:$B$505,$B28)-SUMIFS('سجل الإجازات والحالات'!$AQ$6:$AQ$505,'سجل الإجازات والحالات'!$B$6:$B$505,$B28))))</f>
        <v/>
      </c>
      <c r="AK28" s="65" t="str">
        <f aca="false">IF($B28="","",MAX(0,IF(OR(الموظفون!$AE28="",الموظفون!$AE28&gt;$F$3),$F$3,الموظفون!$AE28)-MAX($E$3,الموظفون!$H28)+1))</f>
        <v/>
      </c>
      <c r="AL28" s="151" t="str">
        <f aca="false">IF($B28="","",SUMIFS('سجل الإجازات والحالات'!$BD$6:$BD$505,'سجل الإجازات والحالات'!$B$6:$B$505,$B28)+SUMIFS('الحركات الشهرية'!$K$6:$K$1005,'الحركات الشهرية'!$B$6:$B$1005,$B28,'الحركات الشهرية'!$A$6:$A$1005,$C$3))</f>
        <v/>
      </c>
      <c r="AM28" s="111" t="str">
        <f aca="false">IF($B28="","",AL28*الموظفون!$R28/cfg_DAYS_M+S28)</f>
        <v/>
      </c>
      <c r="AN28" s="151" t="str">
        <f aca="false">IF($B28="","",SUMIFS('سجل الإجازات والحالات'!$AF$6:$AF$505,'سجل الإجازات والحالات'!$B$6:$B$505,$B28))</f>
        <v/>
      </c>
    </row>
    <row r="29" customFormat="false" ht="15" hidden="false" customHeight="false" outlineLevel="0" collapsed="false">
      <c r="A29" s="115" t="str">
        <f aca="false">IF($B29="","",الموظفون!$A29)</f>
        <v/>
      </c>
      <c r="B29" s="117" t="str">
        <f aca="false">IF(الموظفون!$B29="","",الموظفون!$B29)</f>
        <v/>
      </c>
      <c r="C29" s="117" t="str">
        <f aca="false">IF($B29="","",الموظفون!$C29)</f>
        <v/>
      </c>
      <c r="D29" s="117" t="str">
        <f aca="false">IF($B29="","",الموظفون!$F29)</f>
        <v/>
      </c>
      <c r="E29" s="117" t="str">
        <f aca="false">IF($B29="","",الموظفون!$E29)</f>
        <v/>
      </c>
      <c r="F29" s="117" t="str">
        <f aca="false">IF($B29="","",IF(AK29=0,IF(AND(الموظفون!$AE29&lt;&gt;"",الموظفون!$AE29&lt;$E$3),"✖ منتهي الخدمة","⏳ لم يباشر"),IF(S29&gt;0,"✈ راتب إجازة مقدم",IF(J29=0,"⛔ بدون راتب هذا الشهر",IF(I29&gt;0,"✈ خصم "&amp;ROUND(I29,2)&amp;" يوم بدون أجر",IF(AL29&gt;0,"🌴 إجازة سنوية "&amp;ROUND(AL29,2)&amp;" يوم",IF(H29&gt;0,"⚠ غياب "&amp;ROUND(H29,2)&amp;" يوم","✔ على رأس العمل")))))))</f>
        <v/>
      </c>
      <c r="G29" s="156" t="str">
        <f aca="false">IF($B29="","",IF(AK29&gt;=DAY($F$3),cfg_DAYS_M,MIN(AK29,cfg_DAYS_M)))</f>
        <v/>
      </c>
      <c r="H29" s="156" t="str">
        <f aca="false">IF($B29="","",SUMIFS('الحركات الشهرية'!$D$6:$D$1005,'الحركات الشهرية'!$B$6:$B$1005,$B29,'الحركات الشهرية'!$A$6:$A$1005,$C$3))</f>
        <v/>
      </c>
      <c r="I29" s="156" t="str">
        <f aca="false">IF($B29="","",MIN(G29,IF(AND(AK29&gt;0,AN29&gt;=AK29),G29,AN29)+SUMIFS('الحركات الشهرية'!$E$6:$E$1005,'الحركات الشهرية'!$B$6:$B$1005,$B29,'الحركات الشهرية'!$A$6:$A$1005,$C$3)))</f>
        <v/>
      </c>
      <c r="J29" s="156" t="str">
        <f aca="false">IF($B29="","",MAX(0,G29-H29-I29))</f>
        <v/>
      </c>
      <c r="K29" s="116" t="str">
        <f aca="false">IF($B29="","",الموظفون!$L29*$J29/cfg_DAYS_M)</f>
        <v/>
      </c>
      <c r="L29" s="116" t="str">
        <f aca="false">IF($B29="","",الموظفون!$M29*$J29/cfg_DAYS_M)</f>
        <v/>
      </c>
      <c r="M29" s="116" t="str">
        <f aca="false">IF($B29="","",الموظفون!$N29*$J29/cfg_DAYS_M)</f>
        <v/>
      </c>
      <c r="N29" s="116" t="str">
        <f aca="false">IF($B29="","",الموظفون!$O29*$J29/cfg_DAYS_M)</f>
        <v/>
      </c>
      <c r="O29" s="156" t="str">
        <f aca="false">IF($B29="","",SUMIFS('الحركات الشهرية'!$F$6:$F$1005,'الحركات الشهرية'!$B$6:$B$1005,$B29,'الحركات الشهرية'!$A$6:$A$1005,$C$3))</f>
        <v/>
      </c>
      <c r="P29" s="116" t="str">
        <f aca="false">IF($B29="","",O29*(الموظفون!$P29+الموظفون!$L29*cfg_OT_P)/cfg_DAYS_M/cfg_HRS)</f>
        <v/>
      </c>
      <c r="Q29" s="116" t="str">
        <f aca="false">IF($B29="","",SUMIFS('الحركات الشهرية'!$G$6:$G$1005,'الحركات الشهرية'!$B$6:$B$1005,$B29,'الحركات الشهرية'!$A$6:$A$1005,$C$3))</f>
        <v/>
      </c>
      <c r="R29" s="116" t="str">
        <f aca="false">IF($B29="","",SUMIFS('الحركات الشهرية'!$H$6:$H$1005,'الحركات الشهرية'!$B$6:$B$1005,$B29,'الحركات الشهرية'!$A$6:$A$1005,$C$3))</f>
        <v/>
      </c>
      <c r="S29" s="116" t="str">
        <f aca="false">IF($B29="","",SUMIFS('سجل الإجازات والحالات'!$N$6:$N$505,'سجل الإجازات والحالات'!$B$6:$B$505,$B29,'سجل الإجازات والحالات'!$O$6:$O$505,$C$3))</f>
        <v/>
      </c>
      <c r="T29" s="157" t="str">
        <f aca="false">IF($B29="","",SUM(K29:N29)+SUM(P29:S29))</f>
        <v/>
      </c>
      <c r="U29" s="116" t="str">
        <f aca="false">IF($B29="","",الموظفون!$S29*IF(E29="سعودي",cfg_G_SE,cfg_G_NE)*G29/cfg_DAYS_M)</f>
        <v/>
      </c>
      <c r="V29" s="116" t="str">
        <f aca="false">IF($B29="","",SUMIFS('الحركات الشهرية'!$I$6:$I$1005,'الحركات الشهرية'!$B$6:$B$1005,$B29,'الحركات الشهرية'!$A$6:$A$1005,$C$3))</f>
        <v/>
      </c>
      <c r="W29" s="116" t="str">
        <f aca="false">IF($B29="","",SUMIFS('الحركات الشهرية'!$J$6:$J$1005,'الحركات الشهرية'!$B$6:$B$1005,$B29,'الحركات الشهرية'!$A$6:$A$1005,$C$3))</f>
        <v/>
      </c>
      <c r="X29" s="116" t="str">
        <f aca="false">IF($B29="","",SUM(U29:W29))</f>
        <v/>
      </c>
      <c r="Y29" s="158" t="str">
        <f aca="false">IF($B29="","",T29-X29)</f>
        <v/>
      </c>
      <c r="Z29" s="116" t="str">
        <f aca="false">IF($B29="","",الموظفون!$S29*IF(E29="سعودي",cfg_G_SR,cfg_G_NR)*G29/cfg_DAYS_M)</f>
        <v/>
      </c>
      <c r="AA29" s="116" t="str">
        <f aca="false">IF($B29="","",الموظفون!$Q29*(cfg_EOS_R1*(MIN(AH29,cfg_EOS_TH)-MIN(AI29,cfg_EOS_TH))+cfg_EOS_R2*(MAX(AH29-cfg_EOS_TH,0)-MAX(AI29-cfg_EOS_TH,0))))</f>
        <v/>
      </c>
      <c r="AB29" s="116" t="str">
        <f aca="false">IF($B29="","",IF(الموظفون!$T29&lt;&gt;"",الموظفون!$T29,IF(AH29&gt;=cfg_LV_TH,cfg_LV_D2,cfg_LV_D1))/cfg_DAYS_Y*AJ29*الموظفون!$R29/cfg_DAYS_M)</f>
        <v/>
      </c>
      <c r="AC29" s="116" t="str">
        <f aca="false">IF($B29="","",IF(AND(الموظفون!$U29="نعم",N(الموظفون!$W29)&gt;0),الموظفون!$V29/الموظفون!$W29*12/cfg_DAYS_Y*AJ29,0))</f>
        <v/>
      </c>
      <c r="AD29" s="116" t="str">
        <f aca="false">IF($B29="","",(IF(الموظفون!$X29&lt;&gt;"",الموظفون!$X29,IF(الموظفون!$E29="غير سعودي",cfg_IQ,0))+IF(الموظفون!$Y29&lt;&gt;"",الموظفون!$Y29,IF(الموظفون!$E29="غير سعودي",cfg_WP,0)))/12*G29/cfg_DAYS_M)</f>
        <v/>
      </c>
      <c r="AE29" s="116" t="str">
        <f aca="false">IF($B29="","",IF(الموظفون!$Z29&lt;&gt;"",الموظفون!$Z29,cfg_MED)/12*G29/cfg_DAYS_M)</f>
        <v/>
      </c>
      <c r="AF29" s="116" t="str">
        <f aca="false">IF($B29="","",N(الموظفون!$AA29)/12*G29/cfg_DAYS_M)</f>
        <v/>
      </c>
      <c r="AG29" s="159" t="str">
        <f aca="false">IF($B29="","",T29+SUM(Z29:AF29))</f>
        <v/>
      </c>
      <c r="AH29" s="160" t="str">
        <f aca="false">IF($B29="","",MAX(0,IF(OR(الموظفون!$AE29="",الموظفون!$AE29&gt;$F$3),$F$3,الموظفون!$AE29)-الموظفون!$H29+1-SUMIFS('سجل الإجازات والحالات'!$AR$6:$AR$505,'سجل الإجازات والحالات'!$B$6:$B$505,$B29))/cfg_DAYS_Y)</f>
        <v/>
      </c>
      <c r="AI29" s="160" t="str">
        <f aca="false">IF($B29="","",MAX(0,IF(OR(الموظفون!$AE29="",الموظفون!$AE29&gt;($E$3-1)),($E$3-1),الموظفون!$AE29)-الموظفون!$H29+1-SUMIFS('سجل الإجازات والحالات'!$AQ$6:$AQ$505,'سجل الإجازات والحالات'!$B$6:$B$505,$B29))/cfg_DAYS_Y)</f>
        <v/>
      </c>
      <c r="AJ29" s="133" t="str">
        <f aca="false">IF($B29="","",MAX(0,AK29-(SUMIFS('سجل الإجازات والحالات'!$AR$6:$AR$505,'سجل الإجازات والحالات'!$B$6:$B$505,$B29)-SUMIFS('سجل الإجازات والحالات'!$AQ$6:$AQ$505,'سجل الإجازات والحالات'!$B$6:$B$505,$B29))))</f>
        <v/>
      </c>
      <c r="AK29" s="133" t="str">
        <f aca="false">IF($B29="","",MAX(0,IF(OR(الموظفون!$AE29="",الموظفون!$AE29&gt;$F$3),$F$3,الموظفون!$AE29)-MAX($E$3,الموظفون!$H29)+1))</f>
        <v/>
      </c>
      <c r="AL29" s="156" t="str">
        <f aca="false">IF($B29="","",SUMIFS('سجل الإجازات والحالات'!$BD$6:$BD$505,'سجل الإجازات والحالات'!$B$6:$B$505,$B29)+SUMIFS('الحركات الشهرية'!$K$6:$K$1005,'الحركات الشهرية'!$B$6:$B$1005,$B29,'الحركات الشهرية'!$A$6:$A$1005,$C$3))</f>
        <v/>
      </c>
      <c r="AM29" s="116" t="str">
        <f aca="false">IF($B29="","",AL29*الموظفون!$R29/cfg_DAYS_M+S29)</f>
        <v/>
      </c>
      <c r="AN29" s="156" t="str">
        <f aca="false">IF($B29="","",SUMIFS('سجل الإجازات والحالات'!$AF$6:$AF$505,'سجل الإجازات والحالات'!$B$6:$B$505,$B29))</f>
        <v/>
      </c>
    </row>
    <row r="30" customFormat="false" ht="15" hidden="false" customHeight="false" outlineLevel="0" collapsed="false">
      <c r="A30" s="106" t="str">
        <f aca="false">IF($B30="","",الموظفون!$A30)</f>
        <v/>
      </c>
      <c r="B30" s="114" t="str">
        <f aca="false">IF(الموظفون!$B30="","",الموظفون!$B30)</f>
        <v/>
      </c>
      <c r="C30" s="114" t="str">
        <f aca="false">IF($B30="","",الموظفون!$C30)</f>
        <v/>
      </c>
      <c r="D30" s="114" t="str">
        <f aca="false">IF($B30="","",الموظفون!$F30)</f>
        <v/>
      </c>
      <c r="E30" s="114" t="str">
        <f aca="false">IF($B30="","",الموظفون!$E30)</f>
        <v/>
      </c>
      <c r="F30" s="114" t="str">
        <f aca="false">IF($B30="","",IF(AK30=0,IF(AND(الموظفون!$AE30&lt;&gt;"",الموظفون!$AE30&lt;$E$3),"✖ منتهي الخدمة","⏳ لم يباشر"),IF(S30&gt;0,"✈ راتب إجازة مقدم",IF(J30=0,"⛔ بدون راتب هذا الشهر",IF(I30&gt;0,"✈ خصم "&amp;ROUND(I30,2)&amp;" يوم بدون أجر",IF(AL30&gt;0,"🌴 إجازة سنوية "&amp;ROUND(AL30,2)&amp;" يوم",IF(H30&gt;0,"⚠ غياب "&amp;ROUND(H30,2)&amp;" يوم","✔ على رأس العمل")))))))</f>
        <v/>
      </c>
      <c r="G30" s="151" t="str">
        <f aca="false">IF($B30="","",IF(AK30&gt;=DAY($F$3),cfg_DAYS_M,MIN(AK30,cfg_DAYS_M)))</f>
        <v/>
      </c>
      <c r="H30" s="151" t="str">
        <f aca="false">IF($B30="","",SUMIFS('الحركات الشهرية'!$D$6:$D$1005,'الحركات الشهرية'!$B$6:$B$1005,$B30,'الحركات الشهرية'!$A$6:$A$1005,$C$3))</f>
        <v/>
      </c>
      <c r="I30" s="151" t="str">
        <f aca="false">IF($B30="","",MIN(G30,IF(AND(AK30&gt;0,AN30&gt;=AK30),G30,AN30)+SUMIFS('الحركات الشهرية'!$E$6:$E$1005,'الحركات الشهرية'!$B$6:$B$1005,$B30,'الحركات الشهرية'!$A$6:$A$1005,$C$3)))</f>
        <v/>
      </c>
      <c r="J30" s="151" t="str">
        <f aca="false">IF($B30="","",MAX(0,G30-H30-I30))</f>
        <v/>
      </c>
      <c r="K30" s="111" t="str">
        <f aca="false">IF($B30="","",الموظفون!$L30*$J30/cfg_DAYS_M)</f>
        <v/>
      </c>
      <c r="L30" s="111" t="str">
        <f aca="false">IF($B30="","",الموظفون!$M30*$J30/cfg_DAYS_M)</f>
        <v/>
      </c>
      <c r="M30" s="111" t="str">
        <f aca="false">IF($B30="","",الموظفون!$N30*$J30/cfg_DAYS_M)</f>
        <v/>
      </c>
      <c r="N30" s="111" t="str">
        <f aca="false">IF($B30="","",الموظفون!$O30*$J30/cfg_DAYS_M)</f>
        <v/>
      </c>
      <c r="O30" s="151" t="str">
        <f aca="false">IF($B30="","",SUMIFS('الحركات الشهرية'!$F$6:$F$1005,'الحركات الشهرية'!$B$6:$B$1005,$B30,'الحركات الشهرية'!$A$6:$A$1005,$C$3))</f>
        <v/>
      </c>
      <c r="P30" s="111" t="str">
        <f aca="false">IF($B30="","",O30*(الموظفون!$P30+الموظفون!$L30*cfg_OT_P)/cfg_DAYS_M/cfg_HRS)</f>
        <v/>
      </c>
      <c r="Q30" s="111" t="str">
        <f aca="false">IF($B30="","",SUMIFS('الحركات الشهرية'!$G$6:$G$1005,'الحركات الشهرية'!$B$6:$B$1005,$B30,'الحركات الشهرية'!$A$6:$A$1005,$C$3))</f>
        <v/>
      </c>
      <c r="R30" s="111" t="str">
        <f aca="false">IF($B30="","",SUMIFS('الحركات الشهرية'!$H$6:$H$1005,'الحركات الشهرية'!$B$6:$B$1005,$B30,'الحركات الشهرية'!$A$6:$A$1005,$C$3))</f>
        <v/>
      </c>
      <c r="S30" s="111" t="str">
        <f aca="false">IF($B30="","",SUMIFS('سجل الإجازات والحالات'!$N$6:$N$505,'سجل الإجازات والحالات'!$B$6:$B$505,$B30,'سجل الإجازات والحالات'!$O$6:$O$505,$C$3))</f>
        <v/>
      </c>
      <c r="T30" s="152" t="str">
        <f aca="false">IF($B30="","",SUM(K30:N30)+SUM(P30:S30))</f>
        <v/>
      </c>
      <c r="U30" s="111" t="str">
        <f aca="false">IF($B30="","",الموظفون!$S30*IF(E30="سعودي",cfg_G_SE,cfg_G_NE)*G30/cfg_DAYS_M)</f>
        <v/>
      </c>
      <c r="V30" s="111" t="str">
        <f aca="false">IF($B30="","",SUMIFS('الحركات الشهرية'!$I$6:$I$1005,'الحركات الشهرية'!$B$6:$B$1005,$B30,'الحركات الشهرية'!$A$6:$A$1005,$C$3))</f>
        <v/>
      </c>
      <c r="W30" s="111" t="str">
        <f aca="false">IF($B30="","",SUMIFS('الحركات الشهرية'!$J$6:$J$1005,'الحركات الشهرية'!$B$6:$B$1005,$B30,'الحركات الشهرية'!$A$6:$A$1005,$C$3))</f>
        <v/>
      </c>
      <c r="X30" s="111" t="str">
        <f aca="false">IF($B30="","",SUM(U30:W30))</f>
        <v/>
      </c>
      <c r="Y30" s="153" t="str">
        <f aca="false">IF($B30="","",T30-X30)</f>
        <v/>
      </c>
      <c r="Z30" s="111" t="str">
        <f aca="false">IF($B30="","",الموظفون!$S30*IF(E30="سعودي",cfg_G_SR,cfg_G_NR)*G30/cfg_DAYS_M)</f>
        <v/>
      </c>
      <c r="AA30" s="111" t="str">
        <f aca="false">IF($B30="","",الموظفون!$Q30*(cfg_EOS_R1*(MIN(AH30,cfg_EOS_TH)-MIN(AI30,cfg_EOS_TH))+cfg_EOS_R2*(MAX(AH30-cfg_EOS_TH,0)-MAX(AI30-cfg_EOS_TH,0))))</f>
        <v/>
      </c>
      <c r="AB30" s="111" t="str">
        <f aca="false">IF($B30="","",IF(الموظفون!$T30&lt;&gt;"",الموظفون!$T30,IF(AH30&gt;=cfg_LV_TH,cfg_LV_D2,cfg_LV_D1))/cfg_DAYS_Y*AJ30*الموظفون!$R30/cfg_DAYS_M)</f>
        <v/>
      </c>
      <c r="AC30" s="111" t="str">
        <f aca="false">IF($B30="","",IF(AND(الموظفون!$U30="نعم",N(الموظفون!$W30)&gt;0),الموظفون!$V30/الموظفون!$W30*12/cfg_DAYS_Y*AJ30,0))</f>
        <v/>
      </c>
      <c r="AD30" s="111" t="str">
        <f aca="false">IF($B30="","",(IF(الموظفون!$X30&lt;&gt;"",الموظفون!$X30,IF(الموظفون!$E30="غير سعودي",cfg_IQ,0))+IF(الموظفون!$Y30&lt;&gt;"",الموظفون!$Y30,IF(الموظفون!$E30="غير سعودي",cfg_WP,0)))/12*G30/cfg_DAYS_M)</f>
        <v/>
      </c>
      <c r="AE30" s="111" t="str">
        <f aca="false">IF($B30="","",IF(الموظفون!$Z30&lt;&gt;"",الموظفون!$Z30,cfg_MED)/12*G30/cfg_DAYS_M)</f>
        <v/>
      </c>
      <c r="AF30" s="111" t="str">
        <f aca="false">IF($B30="","",N(الموظفون!$AA30)/12*G30/cfg_DAYS_M)</f>
        <v/>
      </c>
      <c r="AG30" s="154" t="str">
        <f aca="false">IF($B30="","",T30+SUM(Z30:AF30))</f>
        <v/>
      </c>
      <c r="AH30" s="155" t="str">
        <f aca="false">IF($B30="","",MAX(0,IF(OR(الموظفون!$AE30="",الموظفون!$AE30&gt;$F$3),$F$3,الموظفون!$AE30)-الموظفون!$H30+1-SUMIFS('سجل الإجازات والحالات'!$AR$6:$AR$505,'سجل الإجازات والحالات'!$B$6:$B$505,$B30))/cfg_DAYS_Y)</f>
        <v/>
      </c>
      <c r="AI30" s="155" t="str">
        <f aca="false">IF($B30="","",MAX(0,IF(OR(الموظفون!$AE30="",الموظفون!$AE30&gt;($E$3-1)),($E$3-1),الموظفون!$AE30)-الموظفون!$H30+1-SUMIFS('سجل الإجازات والحالات'!$AQ$6:$AQ$505,'سجل الإجازات والحالات'!$B$6:$B$505,$B30))/cfg_DAYS_Y)</f>
        <v/>
      </c>
      <c r="AJ30" s="65" t="str">
        <f aca="false">IF($B30="","",MAX(0,AK30-(SUMIFS('سجل الإجازات والحالات'!$AR$6:$AR$505,'سجل الإجازات والحالات'!$B$6:$B$505,$B30)-SUMIFS('سجل الإجازات والحالات'!$AQ$6:$AQ$505,'سجل الإجازات والحالات'!$B$6:$B$505,$B30))))</f>
        <v/>
      </c>
      <c r="AK30" s="65" t="str">
        <f aca="false">IF($B30="","",MAX(0,IF(OR(الموظفون!$AE30="",الموظفون!$AE30&gt;$F$3),$F$3,الموظفون!$AE30)-MAX($E$3,الموظفون!$H30)+1))</f>
        <v/>
      </c>
      <c r="AL30" s="151" t="str">
        <f aca="false">IF($B30="","",SUMIFS('سجل الإجازات والحالات'!$BD$6:$BD$505,'سجل الإجازات والحالات'!$B$6:$B$505,$B30)+SUMIFS('الحركات الشهرية'!$K$6:$K$1005,'الحركات الشهرية'!$B$6:$B$1005,$B30,'الحركات الشهرية'!$A$6:$A$1005,$C$3))</f>
        <v/>
      </c>
      <c r="AM30" s="111" t="str">
        <f aca="false">IF($B30="","",AL30*الموظفون!$R30/cfg_DAYS_M+S30)</f>
        <v/>
      </c>
      <c r="AN30" s="151" t="str">
        <f aca="false">IF($B30="","",SUMIFS('سجل الإجازات والحالات'!$AF$6:$AF$505,'سجل الإجازات والحالات'!$B$6:$B$505,$B30))</f>
        <v/>
      </c>
    </row>
    <row r="31" customFormat="false" ht="15" hidden="false" customHeight="false" outlineLevel="0" collapsed="false">
      <c r="A31" s="115" t="str">
        <f aca="false">IF($B31="","",الموظفون!$A31)</f>
        <v/>
      </c>
      <c r="B31" s="117" t="str">
        <f aca="false">IF(الموظفون!$B31="","",الموظفون!$B31)</f>
        <v/>
      </c>
      <c r="C31" s="117" t="str">
        <f aca="false">IF($B31="","",الموظفون!$C31)</f>
        <v/>
      </c>
      <c r="D31" s="117" t="str">
        <f aca="false">IF($B31="","",الموظفون!$F31)</f>
        <v/>
      </c>
      <c r="E31" s="117" t="str">
        <f aca="false">IF($B31="","",الموظفون!$E31)</f>
        <v/>
      </c>
      <c r="F31" s="117" t="str">
        <f aca="false">IF($B31="","",IF(AK31=0,IF(AND(الموظفون!$AE31&lt;&gt;"",الموظفون!$AE31&lt;$E$3),"✖ منتهي الخدمة","⏳ لم يباشر"),IF(S31&gt;0,"✈ راتب إجازة مقدم",IF(J31=0,"⛔ بدون راتب هذا الشهر",IF(I31&gt;0,"✈ خصم "&amp;ROUND(I31,2)&amp;" يوم بدون أجر",IF(AL31&gt;0,"🌴 إجازة سنوية "&amp;ROUND(AL31,2)&amp;" يوم",IF(H31&gt;0,"⚠ غياب "&amp;ROUND(H31,2)&amp;" يوم","✔ على رأس العمل")))))))</f>
        <v/>
      </c>
      <c r="G31" s="156" t="str">
        <f aca="false">IF($B31="","",IF(AK31&gt;=DAY($F$3),cfg_DAYS_M,MIN(AK31,cfg_DAYS_M)))</f>
        <v/>
      </c>
      <c r="H31" s="156" t="str">
        <f aca="false">IF($B31="","",SUMIFS('الحركات الشهرية'!$D$6:$D$1005,'الحركات الشهرية'!$B$6:$B$1005,$B31,'الحركات الشهرية'!$A$6:$A$1005,$C$3))</f>
        <v/>
      </c>
      <c r="I31" s="156" t="str">
        <f aca="false">IF($B31="","",MIN(G31,IF(AND(AK31&gt;0,AN31&gt;=AK31),G31,AN31)+SUMIFS('الحركات الشهرية'!$E$6:$E$1005,'الحركات الشهرية'!$B$6:$B$1005,$B31,'الحركات الشهرية'!$A$6:$A$1005,$C$3)))</f>
        <v/>
      </c>
      <c r="J31" s="156" t="str">
        <f aca="false">IF($B31="","",MAX(0,G31-H31-I31))</f>
        <v/>
      </c>
      <c r="K31" s="116" t="str">
        <f aca="false">IF($B31="","",الموظفون!$L31*$J31/cfg_DAYS_M)</f>
        <v/>
      </c>
      <c r="L31" s="116" t="str">
        <f aca="false">IF($B31="","",الموظفون!$M31*$J31/cfg_DAYS_M)</f>
        <v/>
      </c>
      <c r="M31" s="116" t="str">
        <f aca="false">IF($B31="","",الموظفون!$N31*$J31/cfg_DAYS_M)</f>
        <v/>
      </c>
      <c r="N31" s="116" t="str">
        <f aca="false">IF($B31="","",الموظفون!$O31*$J31/cfg_DAYS_M)</f>
        <v/>
      </c>
      <c r="O31" s="156" t="str">
        <f aca="false">IF($B31="","",SUMIFS('الحركات الشهرية'!$F$6:$F$1005,'الحركات الشهرية'!$B$6:$B$1005,$B31,'الحركات الشهرية'!$A$6:$A$1005,$C$3))</f>
        <v/>
      </c>
      <c r="P31" s="116" t="str">
        <f aca="false">IF($B31="","",O31*(الموظفون!$P31+الموظفون!$L31*cfg_OT_P)/cfg_DAYS_M/cfg_HRS)</f>
        <v/>
      </c>
      <c r="Q31" s="116" t="str">
        <f aca="false">IF($B31="","",SUMIFS('الحركات الشهرية'!$G$6:$G$1005,'الحركات الشهرية'!$B$6:$B$1005,$B31,'الحركات الشهرية'!$A$6:$A$1005,$C$3))</f>
        <v/>
      </c>
      <c r="R31" s="116" t="str">
        <f aca="false">IF($B31="","",SUMIFS('الحركات الشهرية'!$H$6:$H$1005,'الحركات الشهرية'!$B$6:$B$1005,$B31,'الحركات الشهرية'!$A$6:$A$1005,$C$3))</f>
        <v/>
      </c>
      <c r="S31" s="116" t="str">
        <f aca="false">IF($B31="","",SUMIFS('سجل الإجازات والحالات'!$N$6:$N$505,'سجل الإجازات والحالات'!$B$6:$B$505,$B31,'سجل الإجازات والحالات'!$O$6:$O$505,$C$3))</f>
        <v/>
      </c>
      <c r="T31" s="157" t="str">
        <f aca="false">IF($B31="","",SUM(K31:N31)+SUM(P31:S31))</f>
        <v/>
      </c>
      <c r="U31" s="116" t="str">
        <f aca="false">IF($B31="","",الموظفون!$S31*IF(E31="سعودي",cfg_G_SE,cfg_G_NE)*G31/cfg_DAYS_M)</f>
        <v/>
      </c>
      <c r="V31" s="116" t="str">
        <f aca="false">IF($B31="","",SUMIFS('الحركات الشهرية'!$I$6:$I$1005,'الحركات الشهرية'!$B$6:$B$1005,$B31,'الحركات الشهرية'!$A$6:$A$1005,$C$3))</f>
        <v/>
      </c>
      <c r="W31" s="116" t="str">
        <f aca="false">IF($B31="","",SUMIFS('الحركات الشهرية'!$J$6:$J$1005,'الحركات الشهرية'!$B$6:$B$1005,$B31,'الحركات الشهرية'!$A$6:$A$1005,$C$3))</f>
        <v/>
      </c>
      <c r="X31" s="116" t="str">
        <f aca="false">IF($B31="","",SUM(U31:W31))</f>
        <v/>
      </c>
      <c r="Y31" s="158" t="str">
        <f aca="false">IF($B31="","",T31-X31)</f>
        <v/>
      </c>
      <c r="Z31" s="116" t="str">
        <f aca="false">IF($B31="","",الموظفون!$S31*IF(E31="سعودي",cfg_G_SR,cfg_G_NR)*G31/cfg_DAYS_M)</f>
        <v/>
      </c>
      <c r="AA31" s="116" t="str">
        <f aca="false">IF($B31="","",الموظفون!$Q31*(cfg_EOS_R1*(MIN(AH31,cfg_EOS_TH)-MIN(AI31,cfg_EOS_TH))+cfg_EOS_R2*(MAX(AH31-cfg_EOS_TH,0)-MAX(AI31-cfg_EOS_TH,0))))</f>
        <v/>
      </c>
      <c r="AB31" s="116" t="str">
        <f aca="false">IF($B31="","",IF(الموظفون!$T31&lt;&gt;"",الموظفون!$T31,IF(AH31&gt;=cfg_LV_TH,cfg_LV_D2,cfg_LV_D1))/cfg_DAYS_Y*AJ31*الموظفون!$R31/cfg_DAYS_M)</f>
        <v/>
      </c>
      <c r="AC31" s="116" t="str">
        <f aca="false">IF($B31="","",IF(AND(الموظفون!$U31="نعم",N(الموظفون!$W31)&gt;0),الموظفون!$V31/الموظفون!$W31*12/cfg_DAYS_Y*AJ31,0))</f>
        <v/>
      </c>
      <c r="AD31" s="116" t="str">
        <f aca="false">IF($B31="","",(IF(الموظفون!$X31&lt;&gt;"",الموظفون!$X31,IF(الموظفون!$E31="غير سعودي",cfg_IQ,0))+IF(الموظفون!$Y31&lt;&gt;"",الموظفون!$Y31,IF(الموظفون!$E31="غير سعودي",cfg_WP,0)))/12*G31/cfg_DAYS_M)</f>
        <v/>
      </c>
      <c r="AE31" s="116" t="str">
        <f aca="false">IF($B31="","",IF(الموظفون!$Z31&lt;&gt;"",الموظفون!$Z31,cfg_MED)/12*G31/cfg_DAYS_M)</f>
        <v/>
      </c>
      <c r="AF31" s="116" t="str">
        <f aca="false">IF($B31="","",N(الموظفون!$AA31)/12*G31/cfg_DAYS_M)</f>
        <v/>
      </c>
      <c r="AG31" s="159" t="str">
        <f aca="false">IF($B31="","",T31+SUM(Z31:AF31))</f>
        <v/>
      </c>
      <c r="AH31" s="160" t="str">
        <f aca="false">IF($B31="","",MAX(0,IF(OR(الموظفون!$AE31="",الموظفون!$AE31&gt;$F$3),$F$3,الموظفون!$AE31)-الموظفون!$H31+1-SUMIFS('سجل الإجازات والحالات'!$AR$6:$AR$505,'سجل الإجازات والحالات'!$B$6:$B$505,$B31))/cfg_DAYS_Y)</f>
        <v/>
      </c>
      <c r="AI31" s="160" t="str">
        <f aca="false">IF($B31="","",MAX(0,IF(OR(الموظفون!$AE31="",الموظفون!$AE31&gt;($E$3-1)),($E$3-1),الموظفون!$AE31)-الموظفون!$H31+1-SUMIFS('سجل الإجازات والحالات'!$AQ$6:$AQ$505,'سجل الإجازات والحالات'!$B$6:$B$505,$B31))/cfg_DAYS_Y)</f>
        <v/>
      </c>
      <c r="AJ31" s="133" t="str">
        <f aca="false">IF($B31="","",MAX(0,AK31-(SUMIFS('سجل الإجازات والحالات'!$AR$6:$AR$505,'سجل الإجازات والحالات'!$B$6:$B$505,$B31)-SUMIFS('سجل الإجازات والحالات'!$AQ$6:$AQ$505,'سجل الإجازات والحالات'!$B$6:$B$505,$B31))))</f>
        <v/>
      </c>
      <c r="AK31" s="133" t="str">
        <f aca="false">IF($B31="","",MAX(0,IF(OR(الموظفون!$AE31="",الموظفون!$AE31&gt;$F$3),$F$3,الموظفون!$AE31)-MAX($E$3,الموظفون!$H31)+1))</f>
        <v/>
      </c>
      <c r="AL31" s="156" t="str">
        <f aca="false">IF($B31="","",SUMIFS('سجل الإجازات والحالات'!$BD$6:$BD$505,'سجل الإجازات والحالات'!$B$6:$B$505,$B31)+SUMIFS('الحركات الشهرية'!$K$6:$K$1005,'الحركات الشهرية'!$B$6:$B$1005,$B31,'الحركات الشهرية'!$A$6:$A$1005,$C$3))</f>
        <v/>
      </c>
      <c r="AM31" s="116" t="str">
        <f aca="false">IF($B31="","",AL31*الموظفون!$R31/cfg_DAYS_M+S31)</f>
        <v/>
      </c>
      <c r="AN31" s="156" t="str">
        <f aca="false">IF($B31="","",SUMIFS('سجل الإجازات والحالات'!$AF$6:$AF$505,'سجل الإجازات والحالات'!$B$6:$B$505,$B31))</f>
        <v/>
      </c>
    </row>
    <row r="32" customFormat="false" ht="15" hidden="false" customHeight="false" outlineLevel="0" collapsed="false">
      <c r="A32" s="106" t="str">
        <f aca="false">IF($B32="","",الموظفون!$A32)</f>
        <v/>
      </c>
      <c r="B32" s="114" t="str">
        <f aca="false">IF(الموظفون!$B32="","",الموظفون!$B32)</f>
        <v/>
      </c>
      <c r="C32" s="114" t="str">
        <f aca="false">IF($B32="","",الموظفون!$C32)</f>
        <v/>
      </c>
      <c r="D32" s="114" t="str">
        <f aca="false">IF($B32="","",الموظفون!$F32)</f>
        <v/>
      </c>
      <c r="E32" s="114" t="str">
        <f aca="false">IF($B32="","",الموظفون!$E32)</f>
        <v/>
      </c>
      <c r="F32" s="114" t="str">
        <f aca="false">IF($B32="","",IF(AK32=0,IF(AND(الموظفون!$AE32&lt;&gt;"",الموظفون!$AE32&lt;$E$3),"✖ منتهي الخدمة","⏳ لم يباشر"),IF(S32&gt;0,"✈ راتب إجازة مقدم",IF(J32=0,"⛔ بدون راتب هذا الشهر",IF(I32&gt;0,"✈ خصم "&amp;ROUND(I32,2)&amp;" يوم بدون أجر",IF(AL32&gt;0,"🌴 إجازة سنوية "&amp;ROUND(AL32,2)&amp;" يوم",IF(H32&gt;0,"⚠ غياب "&amp;ROUND(H32,2)&amp;" يوم","✔ على رأس العمل")))))))</f>
        <v/>
      </c>
      <c r="G32" s="151" t="str">
        <f aca="false">IF($B32="","",IF(AK32&gt;=DAY($F$3),cfg_DAYS_M,MIN(AK32,cfg_DAYS_M)))</f>
        <v/>
      </c>
      <c r="H32" s="151" t="str">
        <f aca="false">IF($B32="","",SUMIFS('الحركات الشهرية'!$D$6:$D$1005,'الحركات الشهرية'!$B$6:$B$1005,$B32,'الحركات الشهرية'!$A$6:$A$1005,$C$3))</f>
        <v/>
      </c>
      <c r="I32" s="151" t="str">
        <f aca="false">IF($B32="","",MIN(G32,IF(AND(AK32&gt;0,AN32&gt;=AK32),G32,AN32)+SUMIFS('الحركات الشهرية'!$E$6:$E$1005,'الحركات الشهرية'!$B$6:$B$1005,$B32,'الحركات الشهرية'!$A$6:$A$1005,$C$3)))</f>
        <v/>
      </c>
      <c r="J32" s="151" t="str">
        <f aca="false">IF($B32="","",MAX(0,G32-H32-I32))</f>
        <v/>
      </c>
      <c r="K32" s="111" t="str">
        <f aca="false">IF($B32="","",الموظفون!$L32*$J32/cfg_DAYS_M)</f>
        <v/>
      </c>
      <c r="L32" s="111" t="str">
        <f aca="false">IF($B32="","",الموظفون!$M32*$J32/cfg_DAYS_M)</f>
        <v/>
      </c>
      <c r="M32" s="111" t="str">
        <f aca="false">IF($B32="","",الموظفون!$N32*$J32/cfg_DAYS_M)</f>
        <v/>
      </c>
      <c r="N32" s="111" t="str">
        <f aca="false">IF($B32="","",الموظفون!$O32*$J32/cfg_DAYS_M)</f>
        <v/>
      </c>
      <c r="O32" s="151" t="str">
        <f aca="false">IF($B32="","",SUMIFS('الحركات الشهرية'!$F$6:$F$1005,'الحركات الشهرية'!$B$6:$B$1005,$B32,'الحركات الشهرية'!$A$6:$A$1005,$C$3))</f>
        <v/>
      </c>
      <c r="P32" s="111" t="str">
        <f aca="false">IF($B32="","",O32*(الموظفون!$P32+الموظفون!$L32*cfg_OT_P)/cfg_DAYS_M/cfg_HRS)</f>
        <v/>
      </c>
      <c r="Q32" s="111" t="str">
        <f aca="false">IF($B32="","",SUMIFS('الحركات الشهرية'!$G$6:$G$1005,'الحركات الشهرية'!$B$6:$B$1005,$B32,'الحركات الشهرية'!$A$6:$A$1005,$C$3))</f>
        <v/>
      </c>
      <c r="R32" s="111" t="str">
        <f aca="false">IF($B32="","",SUMIFS('الحركات الشهرية'!$H$6:$H$1005,'الحركات الشهرية'!$B$6:$B$1005,$B32,'الحركات الشهرية'!$A$6:$A$1005,$C$3))</f>
        <v/>
      </c>
      <c r="S32" s="111" t="str">
        <f aca="false">IF($B32="","",SUMIFS('سجل الإجازات والحالات'!$N$6:$N$505,'سجل الإجازات والحالات'!$B$6:$B$505,$B32,'سجل الإجازات والحالات'!$O$6:$O$505,$C$3))</f>
        <v/>
      </c>
      <c r="T32" s="152" t="str">
        <f aca="false">IF($B32="","",SUM(K32:N32)+SUM(P32:S32))</f>
        <v/>
      </c>
      <c r="U32" s="111" t="str">
        <f aca="false">IF($B32="","",الموظفون!$S32*IF(E32="سعودي",cfg_G_SE,cfg_G_NE)*G32/cfg_DAYS_M)</f>
        <v/>
      </c>
      <c r="V32" s="111" t="str">
        <f aca="false">IF($B32="","",SUMIFS('الحركات الشهرية'!$I$6:$I$1005,'الحركات الشهرية'!$B$6:$B$1005,$B32,'الحركات الشهرية'!$A$6:$A$1005,$C$3))</f>
        <v/>
      </c>
      <c r="W32" s="111" t="str">
        <f aca="false">IF($B32="","",SUMIFS('الحركات الشهرية'!$J$6:$J$1005,'الحركات الشهرية'!$B$6:$B$1005,$B32,'الحركات الشهرية'!$A$6:$A$1005,$C$3))</f>
        <v/>
      </c>
      <c r="X32" s="111" t="str">
        <f aca="false">IF($B32="","",SUM(U32:W32))</f>
        <v/>
      </c>
      <c r="Y32" s="153" t="str">
        <f aca="false">IF($B32="","",T32-X32)</f>
        <v/>
      </c>
      <c r="Z32" s="111" t="str">
        <f aca="false">IF($B32="","",الموظفون!$S32*IF(E32="سعودي",cfg_G_SR,cfg_G_NR)*G32/cfg_DAYS_M)</f>
        <v/>
      </c>
      <c r="AA32" s="111" t="str">
        <f aca="false">IF($B32="","",الموظفون!$Q32*(cfg_EOS_R1*(MIN(AH32,cfg_EOS_TH)-MIN(AI32,cfg_EOS_TH))+cfg_EOS_R2*(MAX(AH32-cfg_EOS_TH,0)-MAX(AI32-cfg_EOS_TH,0))))</f>
        <v/>
      </c>
      <c r="AB32" s="111" t="str">
        <f aca="false">IF($B32="","",IF(الموظفون!$T32&lt;&gt;"",الموظفون!$T32,IF(AH32&gt;=cfg_LV_TH,cfg_LV_D2,cfg_LV_D1))/cfg_DAYS_Y*AJ32*الموظفون!$R32/cfg_DAYS_M)</f>
        <v/>
      </c>
      <c r="AC32" s="111" t="str">
        <f aca="false">IF($B32="","",IF(AND(الموظفون!$U32="نعم",N(الموظفون!$W32)&gt;0),الموظفون!$V32/الموظفون!$W32*12/cfg_DAYS_Y*AJ32,0))</f>
        <v/>
      </c>
      <c r="AD32" s="111" t="str">
        <f aca="false">IF($B32="","",(IF(الموظفون!$X32&lt;&gt;"",الموظفون!$X32,IF(الموظفون!$E32="غير سعودي",cfg_IQ,0))+IF(الموظفون!$Y32&lt;&gt;"",الموظفون!$Y32,IF(الموظفون!$E32="غير سعودي",cfg_WP,0)))/12*G32/cfg_DAYS_M)</f>
        <v/>
      </c>
      <c r="AE32" s="111" t="str">
        <f aca="false">IF($B32="","",IF(الموظفون!$Z32&lt;&gt;"",الموظفون!$Z32,cfg_MED)/12*G32/cfg_DAYS_M)</f>
        <v/>
      </c>
      <c r="AF32" s="111" t="str">
        <f aca="false">IF($B32="","",N(الموظفون!$AA32)/12*G32/cfg_DAYS_M)</f>
        <v/>
      </c>
      <c r="AG32" s="154" t="str">
        <f aca="false">IF($B32="","",T32+SUM(Z32:AF32))</f>
        <v/>
      </c>
      <c r="AH32" s="155" t="str">
        <f aca="false">IF($B32="","",MAX(0,IF(OR(الموظفون!$AE32="",الموظفون!$AE32&gt;$F$3),$F$3,الموظفون!$AE32)-الموظفون!$H32+1-SUMIFS('سجل الإجازات والحالات'!$AR$6:$AR$505,'سجل الإجازات والحالات'!$B$6:$B$505,$B32))/cfg_DAYS_Y)</f>
        <v/>
      </c>
      <c r="AI32" s="155" t="str">
        <f aca="false">IF($B32="","",MAX(0,IF(OR(الموظفون!$AE32="",الموظفون!$AE32&gt;($E$3-1)),($E$3-1),الموظفون!$AE32)-الموظفون!$H32+1-SUMIFS('سجل الإجازات والحالات'!$AQ$6:$AQ$505,'سجل الإجازات والحالات'!$B$6:$B$505,$B32))/cfg_DAYS_Y)</f>
        <v/>
      </c>
      <c r="AJ32" s="65" t="str">
        <f aca="false">IF($B32="","",MAX(0,AK32-(SUMIFS('سجل الإجازات والحالات'!$AR$6:$AR$505,'سجل الإجازات والحالات'!$B$6:$B$505,$B32)-SUMIFS('سجل الإجازات والحالات'!$AQ$6:$AQ$505,'سجل الإجازات والحالات'!$B$6:$B$505,$B32))))</f>
        <v/>
      </c>
      <c r="AK32" s="65" t="str">
        <f aca="false">IF($B32="","",MAX(0,IF(OR(الموظفون!$AE32="",الموظفون!$AE32&gt;$F$3),$F$3,الموظفون!$AE32)-MAX($E$3,الموظفون!$H32)+1))</f>
        <v/>
      </c>
      <c r="AL32" s="151" t="str">
        <f aca="false">IF($B32="","",SUMIFS('سجل الإجازات والحالات'!$BD$6:$BD$505,'سجل الإجازات والحالات'!$B$6:$B$505,$B32)+SUMIFS('الحركات الشهرية'!$K$6:$K$1005,'الحركات الشهرية'!$B$6:$B$1005,$B32,'الحركات الشهرية'!$A$6:$A$1005,$C$3))</f>
        <v/>
      </c>
      <c r="AM32" s="111" t="str">
        <f aca="false">IF($B32="","",AL32*الموظفون!$R32/cfg_DAYS_M+S32)</f>
        <v/>
      </c>
      <c r="AN32" s="151" t="str">
        <f aca="false">IF($B32="","",SUMIFS('سجل الإجازات والحالات'!$AF$6:$AF$505,'سجل الإجازات والحالات'!$B$6:$B$505,$B32))</f>
        <v/>
      </c>
    </row>
    <row r="33" customFormat="false" ht="15" hidden="false" customHeight="false" outlineLevel="0" collapsed="false">
      <c r="A33" s="115" t="str">
        <f aca="false">IF($B33="","",الموظفون!$A33)</f>
        <v/>
      </c>
      <c r="B33" s="117" t="str">
        <f aca="false">IF(الموظفون!$B33="","",الموظفون!$B33)</f>
        <v/>
      </c>
      <c r="C33" s="117" t="str">
        <f aca="false">IF($B33="","",الموظفون!$C33)</f>
        <v/>
      </c>
      <c r="D33" s="117" t="str">
        <f aca="false">IF($B33="","",الموظفون!$F33)</f>
        <v/>
      </c>
      <c r="E33" s="117" t="str">
        <f aca="false">IF($B33="","",الموظفون!$E33)</f>
        <v/>
      </c>
      <c r="F33" s="117" t="str">
        <f aca="false">IF($B33="","",IF(AK33=0,IF(AND(الموظفون!$AE33&lt;&gt;"",الموظفون!$AE33&lt;$E$3),"✖ منتهي الخدمة","⏳ لم يباشر"),IF(S33&gt;0,"✈ راتب إجازة مقدم",IF(J33=0,"⛔ بدون راتب هذا الشهر",IF(I33&gt;0,"✈ خصم "&amp;ROUND(I33,2)&amp;" يوم بدون أجر",IF(AL33&gt;0,"🌴 إجازة سنوية "&amp;ROUND(AL33,2)&amp;" يوم",IF(H33&gt;0,"⚠ غياب "&amp;ROUND(H33,2)&amp;" يوم","✔ على رأس العمل")))))))</f>
        <v/>
      </c>
      <c r="G33" s="156" t="str">
        <f aca="false">IF($B33="","",IF(AK33&gt;=DAY($F$3),cfg_DAYS_M,MIN(AK33,cfg_DAYS_M)))</f>
        <v/>
      </c>
      <c r="H33" s="156" t="str">
        <f aca="false">IF($B33="","",SUMIFS('الحركات الشهرية'!$D$6:$D$1005,'الحركات الشهرية'!$B$6:$B$1005,$B33,'الحركات الشهرية'!$A$6:$A$1005,$C$3))</f>
        <v/>
      </c>
      <c r="I33" s="156" t="str">
        <f aca="false">IF($B33="","",MIN(G33,IF(AND(AK33&gt;0,AN33&gt;=AK33),G33,AN33)+SUMIFS('الحركات الشهرية'!$E$6:$E$1005,'الحركات الشهرية'!$B$6:$B$1005,$B33,'الحركات الشهرية'!$A$6:$A$1005,$C$3)))</f>
        <v/>
      </c>
      <c r="J33" s="156" t="str">
        <f aca="false">IF($B33="","",MAX(0,G33-H33-I33))</f>
        <v/>
      </c>
      <c r="K33" s="116" t="str">
        <f aca="false">IF($B33="","",الموظفون!$L33*$J33/cfg_DAYS_M)</f>
        <v/>
      </c>
      <c r="L33" s="116" t="str">
        <f aca="false">IF($B33="","",الموظفون!$M33*$J33/cfg_DAYS_M)</f>
        <v/>
      </c>
      <c r="M33" s="116" t="str">
        <f aca="false">IF($B33="","",الموظفون!$N33*$J33/cfg_DAYS_M)</f>
        <v/>
      </c>
      <c r="N33" s="116" t="str">
        <f aca="false">IF($B33="","",الموظفون!$O33*$J33/cfg_DAYS_M)</f>
        <v/>
      </c>
      <c r="O33" s="156" t="str">
        <f aca="false">IF($B33="","",SUMIFS('الحركات الشهرية'!$F$6:$F$1005,'الحركات الشهرية'!$B$6:$B$1005,$B33,'الحركات الشهرية'!$A$6:$A$1005,$C$3))</f>
        <v/>
      </c>
      <c r="P33" s="116" t="str">
        <f aca="false">IF($B33="","",O33*(الموظفون!$P33+الموظفون!$L33*cfg_OT_P)/cfg_DAYS_M/cfg_HRS)</f>
        <v/>
      </c>
      <c r="Q33" s="116" t="str">
        <f aca="false">IF($B33="","",SUMIFS('الحركات الشهرية'!$G$6:$G$1005,'الحركات الشهرية'!$B$6:$B$1005,$B33,'الحركات الشهرية'!$A$6:$A$1005,$C$3))</f>
        <v/>
      </c>
      <c r="R33" s="116" t="str">
        <f aca="false">IF($B33="","",SUMIFS('الحركات الشهرية'!$H$6:$H$1005,'الحركات الشهرية'!$B$6:$B$1005,$B33,'الحركات الشهرية'!$A$6:$A$1005,$C$3))</f>
        <v/>
      </c>
      <c r="S33" s="116" t="str">
        <f aca="false">IF($B33="","",SUMIFS('سجل الإجازات والحالات'!$N$6:$N$505,'سجل الإجازات والحالات'!$B$6:$B$505,$B33,'سجل الإجازات والحالات'!$O$6:$O$505,$C$3))</f>
        <v/>
      </c>
      <c r="T33" s="157" t="str">
        <f aca="false">IF($B33="","",SUM(K33:N33)+SUM(P33:S33))</f>
        <v/>
      </c>
      <c r="U33" s="116" t="str">
        <f aca="false">IF($B33="","",الموظفون!$S33*IF(E33="سعودي",cfg_G_SE,cfg_G_NE)*G33/cfg_DAYS_M)</f>
        <v/>
      </c>
      <c r="V33" s="116" t="str">
        <f aca="false">IF($B33="","",SUMIFS('الحركات الشهرية'!$I$6:$I$1005,'الحركات الشهرية'!$B$6:$B$1005,$B33,'الحركات الشهرية'!$A$6:$A$1005,$C$3))</f>
        <v/>
      </c>
      <c r="W33" s="116" t="str">
        <f aca="false">IF($B33="","",SUMIFS('الحركات الشهرية'!$J$6:$J$1005,'الحركات الشهرية'!$B$6:$B$1005,$B33,'الحركات الشهرية'!$A$6:$A$1005,$C$3))</f>
        <v/>
      </c>
      <c r="X33" s="116" t="str">
        <f aca="false">IF($B33="","",SUM(U33:W33))</f>
        <v/>
      </c>
      <c r="Y33" s="158" t="str">
        <f aca="false">IF($B33="","",T33-X33)</f>
        <v/>
      </c>
      <c r="Z33" s="116" t="str">
        <f aca="false">IF($B33="","",الموظفون!$S33*IF(E33="سعودي",cfg_G_SR,cfg_G_NR)*G33/cfg_DAYS_M)</f>
        <v/>
      </c>
      <c r="AA33" s="116" t="str">
        <f aca="false">IF($B33="","",الموظفون!$Q33*(cfg_EOS_R1*(MIN(AH33,cfg_EOS_TH)-MIN(AI33,cfg_EOS_TH))+cfg_EOS_R2*(MAX(AH33-cfg_EOS_TH,0)-MAX(AI33-cfg_EOS_TH,0))))</f>
        <v/>
      </c>
      <c r="AB33" s="116" t="str">
        <f aca="false">IF($B33="","",IF(الموظفون!$T33&lt;&gt;"",الموظفون!$T33,IF(AH33&gt;=cfg_LV_TH,cfg_LV_D2,cfg_LV_D1))/cfg_DAYS_Y*AJ33*الموظفون!$R33/cfg_DAYS_M)</f>
        <v/>
      </c>
      <c r="AC33" s="116" t="str">
        <f aca="false">IF($B33="","",IF(AND(الموظفون!$U33="نعم",N(الموظفون!$W33)&gt;0),الموظفون!$V33/الموظفون!$W33*12/cfg_DAYS_Y*AJ33,0))</f>
        <v/>
      </c>
      <c r="AD33" s="116" t="str">
        <f aca="false">IF($B33="","",(IF(الموظفون!$X33&lt;&gt;"",الموظفون!$X33,IF(الموظفون!$E33="غير سعودي",cfg_IQ,0))+IF(الموظفون!$Y33&lt;&gt;"",الموظفون!$Y33,IF(الموظفون!$E33="غير سعودي",cfg_WP,0)))/12*G33/cfg_DAYS_M)</f>
        <v/>
      </c>
      <c r="AE33" s="116" t="str">
        <f aca="false">IF($B33="","",IF(الموظفون!$Z33&lt;&gt;"",الموظفون!$Z33,cfg_MED)/12*G33/cfg_DAYS_M)</f>
        <v/>
      </c>
      <c r="AF33" s="116" t="str">
        <f aca="false">IF($B33="","",N(الموظفون!$AA33)/12*G33/cfg_DAYS_M)</f>
        <v/>
      </c>
      <c r="AG33" s="159" t="str">
        <f aca="false">IF($B33="","",T33+SUM(Z33:AF33))</f>
        <v/>
      </c>
      <c r="AH33" s="160" t="str">
        <f aca="false">IF($B33="","",MAX(0,IF(OR(الموظفون!$AE33="",الموظفون!$AE33&gt;$F$3),$F$3,الموظفون!$AE33)-الموظفون!$H33+1-SUMIFS('سجل الإجازات والحالات'!$AR$6:$AR$505,'سجل الإجازات والحالات'!$B$6:$B$505,$B33))/cfg_DAYS_Y)</f>
        <v/>
      </c>
      <c r="AI33" s="160" t="str">
        <f aca="false">IF($B33="","",MAX(0,IF(OR(الموظفون!$AE33="",الموظفون!$AE33&gt;($E$3-1)),($E$3-1),الموظفون!$AE33)-الموظفون!$H33+1-SUMIFS('سجل الإجازات والحالات'!$AQ$6:$AQ$505,'سجل الإجازات والحالات'!$B$6:$B$505,$B33))/cfg_DAYS_Y)</f>
        <v/>
      </c>
      <c r="AJ33" s="133" t="str">
        <f aca="false">IF($B33="","",MAX(0,AK33-(SUMIFS('سجل الإجازات والحالات'!$AR$6:$AR$505,'سجل الإجازات والحالات'!$B$6:$B$505,$B33)-SUMIFS('سجل الإجازات والحالات'!$AQ$6:$AQ$505,'سجل الإجازات والحالات'!$B$6:$B$505,$B33))))</f>
        <v/>
      </c>
      <c r="AK33" s="133" t="str">
        <f aca="false">IF($B33="","",MAX(0,IF(OR(الموظفون!$AE33="",الموظفون!$AE33&gt;$F$3),$F$3,الموظفون!$AE33)-MAX($E$3,الموظفون!$H33)+1))</f>
        <v/>
      </c>
      <c r="AL33" s="156" t="str">
        <f aca="false">IF($B33="","",SUMIFS('سجل الإجازات والحالات'!$BD$6:$BD$505,'سجل الإجازات والحالات'!$B$6:$B$505,$B33)+SUMIFS('الحركات الشهرية'!$K$6:$K$1005,'الحركات الشهرية'!$B$6:$B$1005,$B33,'الحركات الشهرية'!$A$6:$A$1005,$C$3))</f>
        <v/>
      </c>
      <c r="AM33" s="116" t="str">
        <f aca="false">IF($B33="","",AL33*الموظفون!$R33/cfg_DAYS_M+S33)</f>
        <v/>
      </c>
      <c r="AN33" s="156" t="str">
        <f aca="false">IF($B33="","",SUMIFS('سجل الإجازات والحالات'!$AF$6:$AF$505,'سجل الإجازات والحالات'!$B$6:$B$505,$B33))</f>
        <v/>
      </c>
    </row>
    <row r="34" customFormat="false" ht="15" hidden="false" customHeight="false" outlineLevel="0" collapsed="false">
      <c r="A34" s="106" t="str">
        <f aca="false">IF($B34="","",الموظفون!$A34)</f>
        <v/>
      </c>
      <c r="B34" s="114" t="str">
        <f aca="false">IF(الموظفون!$B34="","",الموظفون!$B34)</f>
        <v/>
      </c>
      <c r="C34" s="114" t="str">
        <f aca="false">IF($B34="","",الموظفون!$C34)</f>
        <v/>
      </c>
      <c r="D34" s="114" t="str">
        <f aca="false">IF($B34="","",الموظفون!$F34)</f>
        <v/>
      </c>
      <c r="E34" s="114" t="str">
        <f aca="false">IF($B34="","",الموظفون!$E34)</f>
        <v/>
      </c>
      <c r="F34" s="114" t="str">
        <f aca="false">IF($B34="","",IF(AK34=0,IF(AND(الموظفون!$AE34&lt;&gt;"",الموظفون!$AE34&lt;$E$3),"✖ منتهي الخدمة","⏳ لم يباشر"),IF(S34&gt;0,"✈ راتب إجازة مقدم",IF(J34=0,"⛔ بدون راتب هذا الشهر",IF(I34&gt;0,"✈ خصم "&amp;ROUND(I34,2)&amp;" يوم بدون أجر",IF(AL34&gt;0,"🌴 إجازة سنوية "&amp;ROUND(AL34,2)&amp;" يوم",IF(H34&gt;0,"⚠ غياب "&amp;ROUND(H34,2)&amp;" يوم","✔ على رأس العمل")))))))</f>
        <v/>
      </c>
      <c r="G34" s="151" t="str">
        <f aca="false">IF($B34="","",IF(AK34&gt;=DAY($F$3),cfg_DAYS_M,MIN(AK34,cfg_DAYS_M)))</f>
        <v/>
      </c>
      <c r="H34" s="151" t="str">
        <f aca="false">IF($B34="","",SUMIFS('الحركات الشهرية'!$D$6:$D$1005,'الحركات الشهرية'!$B$6:$B$1005,$B34,'الحركات الشهرية'!$A$6:$A$1005,$C$3))</f>
        <v/>
      </c>
      <c r="I34" s="151" t="str">
        <f aca="false">IF($B34="","",MIN(G34,IF(AND(AK34&gt;0,AN34&gt;=AK34),G34,AN34)+SUMIFS('الحركات الشهرية'!$E$6:$E$1005,'الحركات الشهرية'!$B$6:$B$1005,$B34,'الحركات الشهرية'!$A$6:$A$1005,$C$3)))</f>
        <v/>
      </c>
      <c r="J34" s="151" t="str">
        <f aca="false">IF($B34="","",MAX(0,G34-H34-I34))</f>
        <v/>
      </c>
      <c r="K34" s="111" t="str">
        <f aca="false">IF($B34="","",الموظفون!$L34*$J34/cfg_DAYS_M)</f>
        <v/>
      </c>
      <c r="L34" s="111" t="str">
        <f aca="false">IF($B34="","",الموظفون!$M34*$J34/cfg_DAYS_M)</f>
        <v/>
      </c>
      <c r="M34" s="111" t="str">
        <f aca="false">IF($B34="","",الموظفون!$N34*$J34/cfg_DAYS_M)</f>
        <v/>
      </c>
      <c r="N34" s="111" t="str">
        <f aca="false">IF($B34="","",الموظفون!$O34*$J34/cfg_DAYS_M)</f>
        <v/>
      </c>
      <c r="O34" s="151" t="str">
        <f aca="false">IF($B34="","",SUMIFS('الحركات الشهرية'!$F$6:$F$1005,'الحركات الشهرية'!$B$6:$B$1005,$B34,'الحركات الشهرية'!$A$6:$A$1005,$C$3))</f>
        <v/>
      </c>
      <c r="P34" s="111" t="str">
        <f aca="false">IF($B34="","",O34*(الموظفون!$P34+الموظفون!$L34*cfg_OT_P)/cfg_DAYS_M/cfg_HRS)</f>
        <v/>
      </c>
      <c r="Q34" s="111" t="str">
        <f aca="false">IF($B34="","",SUMIFS('الحركات الشهرية'!$G$6:$G$1005,'الحركات الشهرية'!$B$6:$B$1005,$B34,'الحركات الشهرية'!$A$6:$A$1005,$C$3))</f>
        <v/>
      </c>
      <c r="R34" s="111" t="str">
        <f aca="false">IF($B34="","",SUMIFS('الحركات الشهرية'!$H$6:$H$1005,'الحركات الشهرية'!$B$6:$B$1005,$B34,'الحركات الشهرية'!$A$6:$A$1005,$C$3))</f>
        <v/>
      </c>
      <c r="S34" s="111" t="str">
        <f aca="false">IF($B34="","",SUMIFS('سجل الإجازات والحالات'!$N$6:$N$505,'سجل الإجازات والحالات'!$B$6:$B$505,$B34,'سجل الإجازات والحالات'!$O$6:$O$505,$C$3))</f>
        <v/>
      </c>
      <c r="T34" s="152" t="str">
        <f aca="false">IF($B34="","",SUM(K34:N34)+SUM(P34:S34))</f>
        <v/>
      </c>
      <c r="U34" s="111" t="str">
        <f aca="false">IF($B34="","",الموظفون!$S34*IF(E34="سعودي",cfg_G_SE,cfg_G_NE)*G34/cfg_DAYS_M)</f>
        <v/>
      </c>
      <c r="V34" s="111" t="str">
        <f aca="false">IF($B34="","",SUMIFS('الحركات الشهرية'!$I$6:$I$1005,'الحركات الشهرية'!$B$6:$B$1005,$B34,'الحركات الشهرية'!$A$6:$A$1005,$C$3))</f>
        <v/>
      </c>
      <c r="W34" s="111" t="str">
        <f aca="false">IF($B34="","",SUMIFS('الحركات الشهرية'!$J$6:$J$1005,'الحركات الشهرية'!$B$6:$B$1005,$B34,'الحركات الشهرية'!$A$6:$A$1005,$C$3))</f>
        <v/>
      </c>
      <c r="X34" s="111" t="str">
        <f aca="false">IF($B34="","",SUM(U34:W34))</f>
        <v/>
      </c>
      <c r="Y34" s="153" t="str">
        <f aca="false">IF($B34="","",T34-X34)</f>
        <v/>
      </c>
      <c r="Z34" s="111" t="str">
        <f aca="false">IF($B34="","",الموظفون!$S34*IF(E34="سعودي",cfg_G_SR,cfg_G_NR)*G34/cfg_DAYS_M)</f>
        <v/>
      </c>
      <c r="AA34" s="111" t="str">
        <f aca="false">IF($B34="","",الموظفون!$Q34*(cfg_EOS_R1*(MIN(AH34,cfg_EOS_TH)-MIN(AI34,cfg_EOS_TH))+cfg_EOS_R2*(MAX(AH34-cfg_EOS_TH,0)-MAX(AI34-cfg_EOS_TH,0))))</f>
        <v/>
      </c>
      <c r="AB34" s="111" t="str">
        <f aca="false">IF($B34="","",IF(الموظفون!$T34&lt;&gt;"",الموظفون!$T34,IF(AH34&gt;=cfg_LV_TH,cfg_LV_D2,cfg_LV_D1))/cfg_DAYS_Y*AJ34*الموظفون!$R34/cfg_DAYS_M)</f>
        <v/>
      </c>
      <c r="AC34" s="111" t="str">
        <f aca="false">IF($B34="","",IF(AND(الموظفون!$U34="نعم",N(الموظفون!$W34)&gt;0),الموظفون!$V34/الموظفون!$W34*12/cfg_DAYS_Y*AJ34,0))</f>
        <v/>
      </c>
      <c r="AD34" s="111" t="str">
        <f aca="false">IF($B34="","",(IF(الموظفون!$X34&lt;&gt;"",الموظفون!$X34,IF(الموظفون!$E34="غير سعودي",cfg_IQ,0))+IF(الموظفون!$Y34&lt;&gt;"",الموظفون!$Y34,IF(الموظفون!$E34="غير سعودي",cfg_WP,0)))/12*G34/cfg_DAYS_M)</f>
        <v/>
      </c>
      <c r="AE34" s="111" t="str">
        <f aca="false">IF($B34="","",IF(الموظفون!$Z34&lt;&gt;"",الموظفون!$Z34,cfg_MED)/12*G34/cfg_DAYS_M)</f>
        <v/>
      </c>
      <c r="AF34" s="111" t="str">
        <f aca="false">IF($B34="","",N(الموظفون!$AA34)/12*G34/cfg_DAYS_M)</f>
        <v/>
      </c>
      <c r="AG34" s="154" t="str">
        <f aca="false">IF($B34="","",T34+SUM(Z34:AF34))</f>
        <v/>
      </c>
      <c r="AH34" s="155" t="str">
        <f aca="false">IF($B34="","",MAX(0,IF(OR(الموظفون!$AE34="",الموظفون!$AE34&gt;$F$3),$F$3,الموظفون!$AE34)-الموظفون!$H34+1-SUMIFS('سجل الإجازات والحالات'!$AR$6:$AR$505,'سجل الإجازات والحالات'!$B$6:$B$505,$B34))/cfg_DAYS_Y)</f>
        <v/>
      </c>
      <c r="AI34" s="155" t="str">
        <f aca="false">IF($B34="","",MAX(0,IF(OR(الموظفون!$AE34="",الموظفون!$AE34&gt;($E$3-1)),($E$3-1),الموظفون!$AE34)-الموظفون!$H34+1-SUMIFS('سجل الإجازات والحالات'!$AQ$6:$AQ$505,'سجل الإجازات والحالات'!$B$6:$B$505,$B34))/cfg_DAYS_Y)</f>
        <v/>
      </c>
      <c r="AJ34" s="65" t="str">
        <f aca="false">IF($B34="","",MAX(0,AK34-(SUMIFS('سجل الإجازات والحالات'!$AR$6:$AR$505,'سجل الإجازات والحالات'!$B$6:$B$505,$B34)-SUMIFS('سجل الإجازات والحالات'!$AQ$6:$AQ$505,'سجل الإجازات والحالات'!$B$6:$B$505,$B34))))</f>
        <v/>
      </c>
      <c r="AK34" s="65" t="str">
        <f aca="false">IF($B34="","",MAX(0,IF(OR(الموظفون!$AE34="",الموظفون!$AE34&gt;$F$3),$F$3,الموظفون!$AE34)-MAX($E$3,الموظفون!$H34)+1))</f>
        <v/>
      </c>
      <c r="AL34" s="151" t="str">
        <f aca="false">IF($B34="","",SUMIFS('سجل الإجازات والحالات'!$BD$6:$BD$505,'سجل الإجازات والحالات'!$B$6:$B$505,$B34)+SUMIFS('الحركات الشهرية'!$K$6:$K$1005,'الحركات الشهرية'!$B$6:$B$1005,$B34,'الحركات الشهرية'!$A$6:$A$1005,$C$3))</f>
        <v/>
      </c>
      <c r="AM34" s="111" t="str">
        <f aca="false">IF($B34="","",AL34*الموظفون!$R34/cfg_DAYS_M+S34)</f>
        <v/>
      </c>
      <c r="AN34" s="151" t="str">
        <f aca="false">IF($B34="","",SUMIFS('سجل الإجازات والحالات'!$AF$6:$AF$505,'سجل الإجازات والحالات'!$B$6:$B$505,$B34))</f>
        <v/>
      </c>
    </row>
    <row r="35" customFormat="false" ht="15" hidden="false" customHeight="false" outlineLevel="0" collapsed="false">
      <c r="A35" s="115" t="str">
        <f aca="false">IF($B35="","",الموظفون!$A35)</f>
        <v/>
      </c>
      <c r="B35" s="117" t="str">
        <f aca="false">IF(الموظفون!$B35="","",الموظفون!$B35)</f>
        <v/>
      </c>
      <c r="C35" s="117" t="str">
        <f aca="false">IF($B35="","",الموظفون!$C35)</f>
        <v/>
      </c>
      <c r="D35" s="117" t="str">
        <f aca="false">IF($B35="","",الموظفون!$F35)</f>
        <v/>
      </c>
      <c r="E35" s="117" t="str">
        <f aca="false">IF($B35="","",الموظفون!$E35)</f>
        <v/>
      </c>
      <c r="F35" s="117" t="str">
        <f aca="false">IF($B35="","",IF(AK35=0,IF(AND(الموظفون!$AE35&lt;&gt;"",الموظفون!$AE35&lt;$E$3),"✖ منتهي الخدمة","⏳ لم يباشر"),IF(S35&gt;0,"✈ راتب إجازة مقدم",IF(J35=0,"⛔ بدون راتب هذا الشهر",IF(I35&gt;0,"✈ خصم "&amp;ROUND(I35,2)&amp;" يوم بدون أجر",IF(AL35&gt;0,"🌴 إجازة سنوية "&amp;ROUND(AL35,2)&amp;" يوم",IF(H35&gt;0,"⚠ غياب "&amp;ROUND(H35,2)&amp;" يوم","✔ على رأس العمل")))))))</f>
        <v/>
      </c>
      <c r="G35" s="156" t="str">
        <f aca="false">IF($B35="","",IF(AK35&gt;=DAY($F$3),cfg_DAYS_M,MIN(AK35,cfg_DAYS_M)))</f>
        <v/>
      </c>
      <c r="H35" s="156" t="str">
        <f aca="false">IF($B35="","",SUMIFS('الحركات الشهرية'!$D$6:$D$1005,'الحركات الشهرية'!$B$6:$B$1005,$B35,'الحركات الشهرية'!$A$6:$A$1005,$C$3))</f>
        <v/>
      </c>
      <c r="I35" s="156" t="str">
        <f aca="false">IF($B35="","",MIN(G35,IF(AND(AK35&gt;0,AN35&gt;=AK35),G35,AN35)+SUMIFS('الحركات الشهرية'!$E$6:$E$1005,'الحركات الشهرية'!$B$6:$B$1005,$B35,'الحركات الشهرية'!$A$6:$A$1005,$C$3)))</f>
        <v/>
      </c>
      <c r="J35" s="156" t="str">
        <f aca="false">IF($B35="","",MAX(0,G35-H35-I35))</f>
        <v/>
      </c>
      <c r="K35" s="116" t="str">
        <f aca="false">IF($B35="","",الموظفون!$L35*$J35/cfg_DAYS_M)</f>
        <v/>
      </c>
      <c r="L35" s="116" t="str">
        <f aca="false">IF($B35="","",الموظفون!$M35*$J35/cfg_DAYS_M)</f>
        <v/>
      </c>
      <c r="M35" s="116" t="str">
        <f aca="false">IF($B35="","",الموظفون!$N35*$J35/cfg_DAYS_M)</f>
        <v/>
      </c>
      <c r="N35" s="116" t="str">
        <f aca="false">IF($B35="","",الموظفون!$O35*$J35/cfg_DAYS_M)</f>
        <v/>
      </c>
      <c r="O35" s="156" t="str">
        <f aca="false">IF($B35="","",SUMIFS('الحركات الشهرية'!$F$6:$F$1005,'الحركات الشهرية'!$B$6:$B$1005,$B35,'الحركات الشهرية'!$A$6:$A$1005,$C$3))</f>
        <v/>
      </c>
      <c r="P35" s="116" t="str">
        <f aca="false">IF($B35="","",O35*(الموظفون!$P35+الموظفون!$L35*cfg_OT_P)/cfg_DAYS_M/cfg_HRS)</f>
        <v/>
      </c>
      <c r="Q35" s="116" t="str">
        <f aca="false">IF($B35="","",SUMIFS('الحركات الشهرية'!$G$6:$G$1005,'الحركات الشهرية'!$B$6:$B$1005,$B35,'الحركات الشهرية'!$A$6:$A$1005,$C$3))</f>
        <v/>
      </c>
      <c r="R35" s="116" t="str">
        <f aca="false">IF($B35="","",SUMIFS('الحركات الشهرية'!$H$6:$H$1005,'الحركات الشهرية'!$B$6:$B$1005,$B35,'الحركات الشهرية'!$A$6:$A$1005,$C$3))</f>
        <v/>
      </c>
      <c r="S35" s="116" t="str">
        <f aca="false">IF($B35="","",SUMIFS('سجل الإجازات والحالات'!$N$6:$N$505,'سجل الإجازات والحالات'!$B$6:$B$505,$B35,'سجل الإجازات والحالات'!$O$6:$O$505,$C$3))</f>
        <v/>
      </c>
      <c r="T35" s="157" t="str">
        <f aca="false">IF($B35="","",SUM(K35:N35)+SUM(P35:S35))</f>
        <v/>
      </c>
      <c r="U35" s="116" t="str">
        <f aca="false">IF($B35="","",الموظفون!$S35*IF(E35="سعودي",cfg_G_SE,cfg_G_NE)*G35/cfg_DAYS_M)</f>
        <v/>
      </c>
      <c r="V35" s="116" t="str">
        <f aca="false">IF($B35="","",SUMIFS('الحركات الشهرية'!$I$6:$I$1005,'الحركات الشهرية'!$B$6:$B$1005,$B35,'الحركات الشهرية'!$A$6:$A$1005,$C$3))</f>
        <v/>
      </c>
      <c r="W35" s="116" t="str">
        <f aca="false">IF($B35="","",SUMIFS('الحركات الشهرية'!$J$6:$J$1005,'الحركات الشهرية'!$B$6:$B$1005,$B35,'الحركات الشهرية'!$A$6:$A$1005,$C$3))</f>
        <v/>
      </c>
      <c r="X35" s="116" t="str">
        <f aca="false">IF($B35="","",SUM(U35:W35))</f>
        <v/>
      </c>
      <c r="Y35" s="158" t="str">
        <f aca="false">IF($B35="","",T35-X35)</f>
        <v/>
      </c>
      <c r="Z35" s="116" t="str">
        <f aca="false">IF($B35="","",الموظفون!$S35*IF(E35="سعودي",cfg_G_SR,cfg_G_NR)*G35/cfg_DAYS_M)</f>
        <v/>
      </c>
      <c r="AA35" s="116" t="str">
        <f aca="false">IF($B35="","",الموظفون!$Q35*(cfg_EOS_R1*(MIN(AH35,cfg_EOS_TH)-MIN(AI35,cfg_EOS_TH))+cfg_EOS_R2*(MAX(AH35-cfg_EOS_TH,0)-MAX(AI35-cfg_EOS_TH,0))))</f>
        <v/>
      </c>
      <c r="AB35" s="116" t="str">
        <f aca="false">IF($B35="","",IF(الموظفون!$T35&lt;&gt;"",الموظفون!$T35,IF(AH35&gt;=cfg_LV_TH,cfg_LV_D2,cfg_LV_D1))/cfg_DAYS_Y*AJ35*الموظفون!$R35/cfg_DAYS_M)</f>
        <v/>
      </c>
      <c r="AC35" s="116" t="str">
        <f aca="false">IF($B35="","",IF(AND(الموظفون!$U35="نعم",N(الموظفون!$W35)&gt;0),الموظفون!$V35/الموظفون!$W35*12/cfg_DAYS_Y*AJ35,0))</f>
        <v/>
      </c>
      <c r="AD35" s="116" t="str">
        <f aca="false">IF($B35="","",(IF(الموظفون!$X35&lt;&gt;"",الموظفون!$X35,IF(الموظفون!$E35="غير سعودي",cfg_IQ,0))+IF(الموظفون!$Y35&lt;&gt;"",الموظفون!$Y35,IF(الموظفون!$E35="غير سعودي",cfg_WP,0)))/12*G35/cfg_DAYS_M)</f>
        <v/>
      </c>
      <c r="AE35" s="116" t="str">
        <f aca="false">IF($B35="","",IF(الموظفون!$Z35&lt;&gt;"",الموظفون!$Z35,cfg_MED)/12*G35/cfg_DAYS_M)</f>
        <v/>
      </c>
      <c r="AF35" s="116" t="str">
        <f aca="false">IF($B35="","",N(الموظفون!$AA35)/12*G35/cfg_DAYS_M)</f>
        <v/>
      </c>
      <c r="AG35" s="159" t="str">
        <f aca="false">IF($B35="","",T35+SUM(Z35:AF35))</f>
        <v/>
      </c>
      <c r="AH35" s="160" t="str">
        <f aca="false">IF($B35="","",MAX(0,IF(OR(الموظفون!$AE35="",الموظفون!$AE35&gt;$F$3),$F$3,الموظفون!$AE35)-الموظفون!$H35+1-SUMIFS('سجل الإجازات والحالات'!$AR$6:$AR$505,'سجل الإجازات والحالات'!$B$6:$B$505,$B35))/cfg_DAYS_Y)</f>
        <v/>
      </c>
      <c r="AI35" s="160" t="str">
        <f aca="false">IF($B35="","",MAX(0,IF(OR(الموظفون!$AE35="",الموظفون!$AE35&gt;($E$3-1)),($E$3-1),الموظفون!$AE35)-الموظفون!$H35+1-SUMIFS('سجل الإجازات والحالات'!$AQ$6:$AQ$505,'سجل الإجازات والحالات'!$B$6:$B$505,$B35))/cfg_DAYS_Y)</f>
        <v/>
      </c>
      <c r="AJ35" s="133" t="str">
        <f aca="false">IF($B35="","",MAX(0,AK35-(SUMIFS('سجل الإجازات والحالات'!$AR$6:$AR$505,'سجل الإجازات والحالات'!$B$6:$B$505,$B35)-SUMIFS('سجل الإجازات والحالات'!$AQ$6:$AQ$505,'سجل الإجازات والحالات'!$B$6:$B$505,$B35))))</f>
        <v/>
      </c>
      <c r="AK35" s="133" t="str">
        <f aca="false">IF($B35="","",MAX(0,IF(OR(الموظفون!$AE35="",الموظفون!$AE35&gt;$F$3),$F$3,الموظفون!$AE35)-MAX($E$3,الموظفون!$H35)+1))</f>
        <v/>
      </c>
      <c r="AL35" s="156" t="str">
        <f aca="false">IF($B35="","",SUMIFS('سجل الإجازات والحالات'!$BD$6:$BD$505,'سجل الإجازات والحالات'!$B$6:$B$505,$B35)+SUMIFS('الحركات الشهرية'!$K$6:$K$1005,'الحركات الشهرية'!$B$6:$B$1005,$B35,'الحركات الشهرية'!$A$6:$A$1005,$C$3))</f>
        <v/>
      </c>
      <c r="AM35" s="116" t="str">
        <f aca="false">IF($B35="","",AL35*الموظفون!$R35/cfg_DAYS_M+S35)</f>
        <v/>
      </c>
      <c r="AN35" s="156" t="str">
        <f aca="false">IF($B35="","",SUMIFS('سجل الإجازات والحالات'!$AF$6:$AF$505,'سجل الإجازات والحالات'!$B$6:$B$505,$B35))</f>
        <v/>
      </c>
    </row>
    <row r="36" customFormat="false" ht="15" hidden="false" customHeight="false" outlineLevel="0" collapsed="false">
      <c r="A36" s="106" t="str">
        <f aca="false">IF($B36="","",الموظفون!$A36)</f>
        <v/>
      </c>
      <c r="B36" s="114" t="str">
        <f aca="false">IF(الموظفون!$B36="","",الموظفون!$B36)</f>
        <v/>
      </c>
      <c r="C36" s="114" t="str">
        <f aca="false">IF($B36="","",الموظفون!$C36)</f>
        <v/>
      </c>
      <c r="D36" s="114" t="str">
        <f aca="false">IF($B36="","",الموظفون!$F36)</f>
        <v/>
      </c>
      <c r="E36" s="114" t="str">
        <f aca="false">IF($B36="","",الموظفون!$E36)</f>
        <v/>
      </c>
      <c r="F36" s="114" t="str">
        <f aca="false">IF($B36="","",IF(AK36=0,IF(AND(الموظفون!$AE36&lt;&gt;"",الموظفون!$AE36&lt;$E$3),"✖ منتهي الخدمة","⏳ لم يباشر"),IF(S36&gt;0,"✈ راتب إجازة مقدم",IF(J36=0,"⛔ بدون راتب هذا الشهر",IF(I36&gt;0,"✈ خصم "&amp;ROUND(I36,2)&amp;" يوم بدون أجر",IF(AL36&gt;0,"🌴 إجازة سنوية "&amp;ROUND(AL36,2)&amp;" يوم",IF(H36&gt;0,"⚠ غياب "&amp;ROUND(H36,2)&amp;" يوم","✔ على رأس العمل")))))))</f>
        <v/>
      </c>
      <c r="G36" s="151" t="str">
        <f aca="false">IF($B36="","",IF(AK36&gt;=DAY($F$3),cfg_DAYS_M,MIN(AK36,cfg_DAYS_M)))</f>
        <v/>
      </c>
      <c r="H36" s="151" t="str">
        <f aca="false">IF($B36="","",SUMIFS('الحركات الشهرية'!$D$6:$D$1005,'الحركات الشهرية'!$B$6:$B$1005,$B36,'الحركات الشهرية'!$A$6:$A$1005,$C$3))</f>
        <v/>
      </c>
      <c r="I36" s="151" t="str">
        <f aca="false">IF($B36="","",MIN(G36,IF(AND(AK36&gt;0,AN36&gt;=AK36),G36,AN36)+SUMIFS('الحركات الشهرية'!$E$6:$E$1005,'الحركات الشهرية'!$B$6:$B$1005,$B36,'الحركات الشهرية'!$A$6:$A$1005,$C$3)))</f>
        <v/>
      </c>
      <c r="J36" s="151" t="str">
        <f aca="false">IF($B36="","",MAX(0,G36-H36-I36))</f>
        <v/>
      </c>
      <c r="K36" s="111" t="str">
        <f aca="false">IF($B36="","",الموظفون!$L36*$J36/cfg_DAYS_M)</f>
        <v/>
      </c>
      <c r="L36" s="111" t="str">
        <f aca="false">IF($B36="","",الموظفون!$M36*$J36/cfg_DAYS_M)</f>
        <v/>
      </c>
      <c r="M36" s="111" t="str">
        <f aca="false">IF($B36="","",الموظفون!$N36*$J36/cfg_DAYS_M)</f>
        <v/>
      </c>
      <c r="N36" s="111" t="str">
        <f aca="false">IF($B36="","",الموظفون!$O36*$J36/cfg_DAYS_M)</f>
        <v/>
      </c>
      <c r="O36" s="151" t="str">
        <f aca="false">IF($B36="","",SUMIFS('الحركات الشهرية'!$F$6:$F$1005,'الحركات الشهرية'!$B$6:$B$1005,$B36,'الحركات الشهرية'!$A$6:$A$1005,$C$3))</f>
        <v/>
      </c>
      <c r="P36" s="111" t="str">
        <f aca="false">IF($B36="","",O36*(الموظفون!$P36+الموظفون!$L36*cfg_OT_P)/cfg_DAYS_M/cfg_HRS)</f>
        <v/>
      </c>
      <c r="Q36" s="111" t="str">
        <f aca="false">IF($B36="","",SUMIFS('الحركات الشهرية'!$G$6:$G$1005,'الحركات الشهرية'!$B$6:$B$1005,$B36,'الحركات الشهرية'!$A$6:$A$1005,$C$3))</f>
        <v/>
      </c>
      <c r="R36" s="111" t="str">
        <f aca="false">IF($B36="","",SUMIFS('الحركات الشهرية'!$H$6:$H$1005,'الحركات الشهرية'!$B$6:$B$1005,$B36,'الحركات الشهرية'!$A$6:$A$1005,$C$3))</f>
        <v/>
      </c>
      <c r="S36" s="111" t="str">
        <f aca="false">IF($B36="","",SUMIFS('سجل الإجازات والحالات'!$N$6:$N$505,'سجل الإجازات والحالات'!$B$6:$B$505,$B36,'سجل الإجازات والحالات'!$O$6:$O$505,$C$3))</f>
        <v/>
      </c>
      <c r="T36" s="152" t="str">
        <f aca="false">IF($B36="","",SUM(K36:N36)+SUM(P36:S36))</f>
        <v/>
      </c>
      <c r="U36" s="111" t="str">
        <f aca="false">IF($B36="","",الموظفون!$S36*IF(E36="سعودي",cfg_G_SE,cfg_G_NE)*G36/cfg_DAYS_M)</f>
        <v/>
      </c>
      <c r="V36" s="111" t="str">
        <f aca="false">IF($B36="","",SUMIFS('الحركات الشهرية'!$I$6:$I$1005,'الحركات الشهرية'!$B$6:$B$1005,$B36,'الحركات الشهرية'!$A$6:$A$1005,$C$3))</f>
        <v/>
      </c>
      <c r="W36" s="111" t="str">
        <f aca="false">IF($B36="","",SUMIFS('الحركات الشهرية'!$J$6:$J$1005,'الحركات الشهرية'!$B$6:$B$1005,$B36,'الحركات الشهرية'!$A$6:$A$1005,$C$3))</f>
        <v/>
      </c>
      <c r="X36" s="111" t="str">
        <f aca="false">IF($B36="","",SUM(U36:W36))</f>
        <v/>
      </c>
      <c r="Y36" s="153" t="str">
        <f aca="false">IF($B36="","",T36-X36)</f>
        <v/>
      </c>
      <c r="Z36" s="111" t="str">
        <f aca="false">IF($B36="","",الموظفون!$S36*IF(E36="سعودي",cfg_G_SR,cfg_G_NR)*G36/cfg_DAYS_M)</f>
        <v/>
      </c>
      <c r="AA36" s="111" t="str">
        <f aca="false">IF($B36="","",الموظفون!$Q36*(cfg_EOS_R1*(MIN(AH36,cfg_EOS_TH)-MIN(AI36,cfg_EOS_TH))+cfg_EOS_R2*(MAX(AH36-cfg_EOS_TH,0)-MAX(AI36-cfg_EOS_TH,0))))</f>
        <v/>
      </c>
      <c r="AB36" s="111" t="str">
        <f aca="false">IF($B36="","",IF(الموظفون!$T36&lt;&gt;"",الموظفون!$T36,IF(AH36&gt;=cfg_LV_TH,cfg_LV_D2,cfg_LV_D1))/cfg_DAYS_Y*AJ36*الموظفون!$R36/cfg_DAYS_M)</f>
        <v/>
      </c>
      <c r="AC36" s="111" t="str">
        <f aca="false">IF($B36="","",IF(AND(الموظفون!$U36="نعم",N(الموظفون!$W36)&gt;0),الموظفون!$V36/الموظفون!$W36*12/cfg_DAYS_Y*AJ36,0))</f>
        <v/>
      </c>
      <c r="AD36" s="111" t="str">
        <f aca="false">IF($B36="","",(IF(الموظفون!$X36&lt;&gt;"",الموظفون!$X36,IF(الموظفون!$E36="غير سعودي",cfg_IQ,0))+IF(الموظفون!$Y36&lt;&gt;"",الموظفون!$Y36,IF(الموظفون!$E36="غير سعودي",cfg_WP,0)))/12*G36/cfg_DAYS_M)</f>
        <v/>
      </c>
      <c r="AE36" s="111" t="str">
        <f aca="false">IF($B36="","",IF(الموظفون!$Z36&lt;&gt;"",الموظفون!$Z36,cfg_MED)/12*G36/cfg_DAYS_M)</f>
        <v/>
      </c>
      <c r="AF36" s="111" t="str">
        <f aca="false">IF($B36="","",N(الموظفون!$AA36)/12*G36/cfg_DAYS_M)</f>
        <v/>
      </c>
      <c r="AG36" s="154" t="str">
        <f aca="false">IF($B36="","",T36+SUM(Z36:AF36))</f>
        <v/>
      </c>
      <c r="AH36" s="155" t="str">
        <f aca="false">IF($B36="","",MAX(0,IF(OR(الموظفون!$AE36="",الموظفون!$AE36&gt;$F$3),$F$3,الموظفون!$AE36)-الموظفون!$H36+1-SUMIFS('سجل الإجازات والحالات'!$AR$6:$AR$505,'سجل الإجازات والحالات'!$B$6:$B$505,$B36))/cfg_DAYS_Y)</f>
        <v/>
      </c>
      <c r="AI36" s="155" t="str">
        <f aca="false">IF($B36="","",MAX(0,IF(OR(الموظفون!$AE36="",الموظفون!$AE36&gt;($E$3-1)),($E$3-1),الموظفون!$AE36)-الموظفون!$H36+1-SUMIFS('سجل الإجازات والحالات'!$AQ$6:$AQ$505,'سجل الإجازات والحالات'!$B$6:$B$505,$B36))/cfg_DAYS_Y)</f>
        <v/>
      </c>
      <c r="AJ36" s="65" t="str">
        <f aca="false">IF($B36="","",MAX(0,AK36-(SUMIFS('سجل الإجازات والحالات'!$AR$6:$AR$505,'سجل الإجازات والحالات'!$B$6:$B$505,$B36)-SUMIFS('سجل الإجازات والحالات'!$AQ$6:$AQ$505,'سجل الإجازات والحالات'!$B$6:$B$505,$B36))))</f>
        <v/>
      </c>
      <c r="AK36" s="65" t="str">
        <f aca="false">IF($B36="","",MAX(0,IF(OR(الموظفون!$AE36="",الموظفون!$AE36&gt;$F$3),$F$3,الموظفون!$AE36)-MAX($E$3,الموظفون!$H36)+1))</f>
        <v/>
      </c>
      <c r="AL36" s="151" t="str">
        <f aca="false">IF($B36="","",SUMIFS('سجل الإجازات والحالات'!$BD$6:$BD$505,'سجل الإجازات والحالات'!$B$6:$B$505,$B36)+SUMIFS('الحركات الشهرية'!$K$6:$K$1005,'الحركات الشهرية'!$B$6:$B$1005,$B36,'الحركات الشهرية'!$A$6:$A$1005,$C$3))</f>
        <v/>
      </c>
      <c r="AM36" s="111" t="str">
        <f aca="false">IF($B36="","",AL36*الموظفون!$R36/cfg_DAYS_M+S36)</f>
        <v/>
      </c>
      <c r="AN36" s="151" t="str">
        <f aca="false">IF($B36="","",SUMIFS('سجل الإجازات والحالات'!$AF$6:$AF$505,'سجل الإجازات والحالات'!$B$6:$B$505,$B36))</f>
        <v/>
      </c>
    </row>
    <row r="37" customFormat="false" ht="15" hidden="false" customHeight="false" outlineLevel="0" collapsed="false">
      <c r="A37" s="115" t="str">
        <f aca="false">IF($B37="","",الموظفون!$A37)</f>
        <v/>
      </c>
      <c r="B37" s="117" t="str">
        <f aca="false">IF(الموظفون!$B37="","",الموظفون!$B37)</f>
        <v/>
      </c>
      <c r="C37" s="117" t="str">
        <f aca="false">IF($B37="","",الموظفون!$C37)</f>
        <v/>
      </c>
      <c r="D37" s="117" t="str">
        <f aca="false">IF($B37="","",الموظفون!$F37)</f>
        <v/>
      </c>
      <c r="E37" s="117" t="str">
        <f aca="false">IF($B37="","",الموظفون!$E37)</f>
        <v/>
      </c>
      <c r="F37" s="117" t="str">
        <f aca="false">IF($B37="","",IF(AK37=0,IF(AND(الموظفون!$AE37&lt;&gt;"",الموظفون!$AE37&lt;$E$3),"✖ منتهي الخدمة","⏳ لم يباشر"),IF(S37&gt;0,"✈ راتب إجازة مقدم",IF(J37=0,"⛔ بدون راتب هذا الشهر",IF(I37&gt;0,"✈ خصم "&amp;ROUND(I37,2)&amp;" يوم بدون أجر",IF(AL37&gt;0,"🌴 إجازة سنوية "&amp;ROUND(AL37,2)&amp;" يوم",IF(H37&gt;0,"⚠ غياب "&amp;ROUND(H37,2)&amp;" يوم","✔ على رأس العمل")))))))</f>
        <v/>
      </c>
      <c r="G37" s="156" t="str">
        <f aca="false">IF($B37="","",IF(AK37&gt;=DAY($F$3),cfg_DAYS_M,MIN(AK37,cfg_DAYS_M)))</f>
        <v/>
      </c>
      <c r="H37" s="156" t="str">
        <f aca="false">IF($B37="","",SUMIFS('الحركات الشهرية'!$D$6:$D$1005,'الحركات الشهرية'!$B$6:$B$1005,$B37,'الحركات الشهرية'!$A$6:$A$1005,$C$3))</f>
        <v/>
      </c>
      <c r="I37" s="156" t="str">
        <f aca="false">IF($B37="","",MIN(G37,IF(AND(AK37&gt;0,AN37&gt;=AK37),G37,AN37)+SUMIFS('الحركات الشهرية'!$E$6:$E$1005,'الحركات الشهرية'!$B$6:$B$1005,$B37,'الحركات الشهرية'!$A$6:$A$1005,$C$3)))</f>
        <v/>
      </c>
      <c r="J37" s="156" t="str">
        <f aca="false">IF($B37="","",MAX(0,G37-H37-I37))</f>
        <v/>
      </c>
      <c r="K37" s="116" t="str">
        <f aca="false">IF($B37="","",الموظفون!$L37*$J37/cfg_DAYS_M)</f>
        <v/>
      </c>
      <c r="L37" s="116" t="str">
        <f aca="false">IF($B37="","",الموظفون!$M37*$J37/cfg_DAYS_M)</f>
        <v/>
      </c>
      <c r="M37" s="116" t="str">
        <f aca="false">IF($B37="","",الموظفون!$N37*$J37/cfg_DAYS_M)</f>
        <v/>
      </c>
      <c r="N37" s="116" t="str">
        <f aca="false">IF($B37="","",الموظفون!$O37*$J37/cfg_DAYS_M)</f>
        <v/>
      </c>
      <c r="O37" s="156" t="str">
        <f aca="false">IF($B37="","",SUMIFS('الحركات الشهرية'!$F$6:$F$1005,'الحركات الشهرية'!$B$6:$B$1005,$B37,'الحركات الشهرية'!$A$6:$A$1005,$C$3))</f>
        <v/>
      </c>
      <c r="P37" s="116" t="str">
        <f aca="false">IF($B37="","",O37*(الموظفون!$P37+الموظفون!$L37*cfg_OT_P)/cfg_DAYS_M/cfg_HRS)</f>
        <v/>
      </c>
      <c r="Q37" s="116" t="str">
        <f aca="false">IF($B37="","",SUMIFS('الحركات الشهرية'!$G$6:$G$1005,'الحركات الشهرية'!$B$6:$B$1005,$B37,'الحركات الشهرية'!$A$6:$A$1005,$C$3))</f>
        <v/>
      </c>
      <c r="R37" s="116" t="str">
        <f aca="false">IF($B37="","",SUMIFS('الحركات الشهرية'!$H$6:$H$1005,'الحركات الشهرية'!$B$6:$B$1005,$B37,'الحركات الشهرية'!$A$6:$A$1005,$C$3))</f>
        <v/>
      </c>
      <c r="S37" s="116" t="str">
        <f aca="false">IF($B37="","",SUMIFS('سجل الإجازات والحالات'!$N$6:$N$505,'سجل الإجازات والحالات'!$B$6:$B$505,$B37,'سجل الإجازات والحالات'!$O$6:$O$505,$C$3))</f>
        <v/>
      </c>
      <c r="T37" s="157" t="str">
        <f aca="false">IF($B37="","",SUM(K37:N37)+SUM(P37:S37))</f>
        <v/>
      </c>
      <c r="U37" s="116" t="str">
        <f aca="false">IF($B37="","",الموظفون!$S37*IF(E37="سعودي",cfg_G_SE,cfg_G_NE)*G37/cfg_DAYS_M)</f>
        <v/>
      </c>
      <c r="V37" s="116" t="str">
        <f aca="false">IF($B37="","",SUMIFS('الحركات الشهرية'!$I$6:$I$1005,'الحركات الشهرية'!$B$6:$B$1005,$B37,'الحركات الشهرية'!$A$6:$A$1005,$C$3))</f>
        <v/>
      </c>
      <c r="W37" s="116" t="str">
        <f aca="false">IF($B37="","",SUMIFS('الحركات الشهرية'!$J$6:$J$1005,'الحركات الشهرية'!$B$6:$B$1005,$B37,'الحركات الشهرية'!$A$6:$A$1005,$C$3))</f>
        <v/>
      </c>
      <c r="X37" s="116" t="str">
        <f aca="false">IF($B37="","",SUM(U37:W37))</f>
        <v/>
      </c>
      <c r="Y37" s="158" t="str">
        <f aca="false">IF($B37="","",T37-X37)</f>
        <v/>
      </c>
      <c r="Z37" s="116" t="str">
        <f aca="false">IF($B37="","",الموظفون!$S37*IF(E37="سعودي",cfg_G_SR,cfg_G_NR)*G37/cfg_DAYS_M)</f>
        <v/>
      </c>
      <c r="AA37" s="116" t="str">
        <f aca="false">IF($B37="","",الموظفون!$Q37*(cfg_EOS_R1*(MIN(AH37,cfg_EOS_TH)-MIN(AI37,cfg_EOS_TH))+cfg_EOS_R2*(MAX(AH37-cfg_EOS_TH,0)-MAX(AI37-cfg_EOS_TH,0))))</f>
        <v/>
      </c>
      <c r="AB37" s="116" t="str">
        <f aca="false">IF($B37="","",IF(الموظفون!$T37&lt;&gt;"",الموظفون!$T37,IF(AH37&gt;=cfg_LV_TH,cfg_LV_D2,cfg_LV_D1))/cfg_DAYS_Y*AJ37*الموظفون!$R37/cfg_DAYS_M)</f>
        <v/>
      </c>
      <c r="AC37" s="116" t="str">
        <f aca="false">IF($B37="","",IF(AND(الموظفون!$U37="نعم",N(الموظفون!$W37)&gt;0),الموظفون!$V37/الموظفون!$W37*12/cfg_DAYS_Y*AJ37,0))</f>
        <v/>
      </c>
      <c r="AD37" s="116" t="str">
        <f aca="false">IF($B37="","",(IF(الموظفون!$X37&lt;&gt;"",الموظفون!$X37,IF(الموظفون!$E37="غير سعودي",cfg_IQ,0))+IF(الموظفون!$Y37&lt;&gt;"",الموظفون!$Y37,IF(الموظفون!$E37="غير سعودي",cfg_WP,0)))/12*G37/cfg_DAYS_M)</f>
        <v/>
      </c>
      <c r="AE37" s="116" t="str">
        <f aca="false">IF($B37="","",IF(الموظفون!$Z37&lt;&gt;"",الموظفون!$Z37,cfg_MED)/12*G37/cfg_DAYS_M)</f>
        <v/>
      </c>
      <c r="AF37" s="116" t="str">
        <f aca="false">IF($B37="","",N(الموظفون!$AA37)/12*G37/cfg_DAYS_M)</f>
        <v/>
      </c>
      <c r="AG37" s="159" t="str">
        <f aca="false">IF($B37="","",T37+SUM(Z37:AF37))</f>
        <v/>
      </c>
      <c r="AH37" s="160" t="str">
        <f aca="false">IF($B37="","",MAX(0,IF(OR(الموظفون!$AE37="",الموظفون!$AE37&gt;$F$3),$F$3,الموظفون!$AE37)-الموظفون!$H37+1-SUMIFS('سجل الإجازات والحالات'!$AR$6:$AR$505,'سجل الإجازات والحالات'!$B$6:$B$505,$B37))/cfg_DAYS_Y)</f>
        <v/>
      </c>
      <c r="AI37" s="160" t="str">
        <f aca="false">IF($B37="","",MAX(0,IF(OR(الموظفون!$AE37="",الموظفون!$AE37&gt;($E$3-1)),($E$3-1),الموظفون!$AE37)-الموظفون!$H37+1-SUMIFS('سجل الإجازات والحالات'!$AQ$6:$AQ$505,'سجل الإجازات والحالات'!$B$6:$B$505,$B37))/cfg_DAYS_Y)</f>
        <v/>
      </c>
      <c r="AJ37" s="133" t="str">
        <f aca="false">IF($B37="","",MAX(0,AK37-(SUMIFS('سجل الإجازات والحالات'!$AR$6:$AR$505,'سجل الإجازات والحالات'!$B$6:$B$505,$B37)-SUMIFS('سجل الإجازات والحالات'!$AQ$6:$AQ$505,'سجل الإجازات والحالات'!$B$6:$B$505,$B37))))</f>
        <v/>
      </c>
      <c r="AK37" s="133" t="str">
        <f aca="false">IF($B37="","",MAX(0,IF(OR(الموظفون!$AE37="",الموظفون!$AE37&gt;$F$3),$F$3,الموظفون!$AE37)-MAX($E$3,الموظفون!$H37)+1))</f>
        <v/>
      </c>
      <c r="AL37" s="156" t="str">
        <f aca="false">IF($B37="","",SUMIFS('سجل الإجازات والحالات'!$BD$6:$BD$505,'سجل الإجازات والحالات'!$B$6:$B$505,$B37)+SUMIFS('الحركات الشهرية'!$K$6:$K$1005,'الحركات الشهرية'!$B$6:$B$1005,$B37,'الحركات الشهرية'!$A$6:$A$1005,$C$3))</f>
        <v/>
      </c>
      <c r="AM37" s="116" t="str">
        <f aca="false">IF($B37="","",AL37*الموظفون!$R37/cfg_DAYS_M+S37)</f>
        <v/>
      </c>
      <c r="AN37" s="156" t="str">
        <f aca="false">IF($B37="","",SUMIFS('سجل الإجازات والحالات'!$AF$6:$AF$505,'سجل الإجازات والحالات'!$B$6:$B$505,$B37))</f>
        <v/>
      </c>
    </row>
    <row r="38" customFormat="false" ht="15" hidden="false" customHeight="false" outlineLevel="0" collapsed="false">
      <c r="A38" s="106" t="str">
        <f aca="false">IF($B38="","",الموظفون!$A38)</f>
        <v/>
      </c>
      <c r="B38" s="114" t="str">
        <f aca="false">IF(الموظفون!$B38="","",الموظفون!$B38)</f>
        <v/>
      </c>
      <c r="C38" s="114" t="str">
        <f aca="false">IF($B38="","",الموظفون!$C38)</f>
        <v/>
      </c>
      <c r="D38" s="114" t="str">
        <f aca="false">IF($B38="","",الموظفون!$F38)</f>
        <v/>
      </c>
      <c r="E38" s="114" t="str">
        <f aca="false">IF($B38="","",الموظفون!$E38)</f>
        <v/>
      </c>
      <c r="F38" s="114" t="str">
        <f aca="false">IF($B38="","",IF(AK38=0,IF(AND(الموظفون!$AE38&lt;&gt;"",الموظفون!$AE38&lt;$E$3),"✖ منتهي الخدمة","⏳ لم يباشر"),IF(S38&gt;0,"✈ راتب إجازة مقدم",IF(J38=0,"⛔ بدون راتب هذا الشهر",IF(I38&gt;0,"✈ خصم "&amp;ROUND(I38,2)&amp;" يوم بدون أجر",IF(AL38&gt;0,"🌴 إجازة سنوية "&amp;ROUND(AL38,2)&amp;" يوم",IF(H38&gt;0,"⚠ غياب "&amp;ROUND(H38,2)&amp;" يوم","✔ على رأس العمل")))))))</f>
        <v/>
      </c>
      <c r="G38" s="151" t="str">
        <f aca="false">IF($B38="","",IF(AK38&gt;=DAY($F$3),cfg_DAYS_M,MIN(AK38,cfg_DAYS_M)))</f>
        <v/>
      </c>
      <c r="H38" s="151" t="str">
        <f aca="false">IF($B38="","",SUMIFS('الحركات الشهرية'!$D$6:$D$1005,'الحركات الشهرية'!$B$6:$B$1005,$B38,'الحركات الشهرية'!$A$6:$A$1005,$C$3))</f>
        <v/>
      </c>
      <c r="I38" s="151" t="str">
        <f aca="false">IF($B38="","",MIN(G38,IF(AND(AK38&gt;0,AN38&gt;=AK38),G38,AN38)+SUMIFS('الحركات الشهرية'!$E$6:$E$1005,'الحركات الشهرية'!$B$6:$B$1005,$B38,'الحركات الشهرية'!$A$6:$A$1005,$C$3)))</f>
        <v/>
      </c>
      <c r="J38" s="151" t="str">
        <f aca="false">IF($B38="","",MAX(0,G38-H38-I38))</f>
        <v/>
      </c>
      <c r="K38" s="111" t="str">
        <f aca="false">IF($B38="","",الموظفون!$L38*$J38/cfg_DAYS_M)</f>
        <v/>
      </c>
      <c r="L38" s="111" t="str">
        <f aca="false">IF($B38="","",الموظفون!$M38*$J38/cfg_DAYS_M)</f>
        <v/>
      </c>
      <c r="M38" s="111" t="str">
        <f aca="false">IF($B38="","",الموظفون!$N38*$J38/cfg_DAYS_M)</f>
        <v/>
      </c>
      <c r="N38" s="111" t="str">
        <f aca="false">IF($B38="","",الموظفون!$O38*$J38/cfg_DAYS_M)</f>
        <v/>
      </c>
      <c r="O38" s="151" t="str">
        <f aca="false">IF($B38="","",SUMIFS('الحركات الشهرية'!$F$6:$F$1005,'الحركات الشهرية'!$B$6:$B$1005,$B38,'الحركات الشهرية'!$A$6:$A$1005,$C$3))</f>
        <v/>
      </c>
      <c r="P38" s="111" t="str">
        <f aca="false">IF($B38="","",O38*(الموظفون!$P38+الموظفون!$L38*cfg_OT_P)/cfg_DAYS_M/cfg_HRS)</f>
        <v/>
      </c>
      <c r="Q38" s="111" t="str">
        <f aca="false">IF($B38="","",SUMIFS('الحركات الشهرية'!$G$6:$G$1005,'الحركات الشهرية'!$B$6:$B$1005,$B38,'الحركات الشهرية'!$A$6:$A$1005,$C$3))</f>
        <v/>
      </c>
      <c r="R38" s="111" t="str">
        <f aca="false">IF($B38="","",SUMIFS('الحركات الشهرية'!$H$6:$H$1005,'الحركات الشهرية'!$B$6:$B$1005,$B38,'الحركات الشهرية'!$A$6:$A$1005,$C$3))</f>
        <v/>
      </c>
      <c r="S38" s="111" t="str">
        <f aca="false">IF($B38="","",SUMIFS('سجل الإجازات والحالات'!$N$6:$N$505,'سجل الإجازات والحالات'!$B$6:$B$505,$B38,'سجل الإجازات والحالات'!$O$6:$O$505,$C$3))</f>
        <v/>
      </c>
      <c r="T38" s="152" t="str">
        <f aca="false">IF($B38="","",SUM(K38:N38)+SUM(P38:S38))</f>
        <v/>
      </c>
      <c r="U38" s="111" t="str">
        <f aca="false">IF($B38="","",الموظفون!$S38*IF(E38="سعودي",cfg_G_SE,cfg_G_NE)*G38/cfg_DAYS_M)</f>
        <v/>
      </c>
      <c r="V38" s="111" t="str">
        <f aca="false">IF($B38="","",SUMIFS('الحركات الشهرية'!$I$6:$I$1005,'الحركات الشهرية'!$B$6:$B$1005,$B38,'الحركات الشهرية'!$A$6:$A$1005,$C$3))</f>
        <v/>
      </c>
      <c r="W38" s="111" t="str">
        <f aca="false">IF($B38="","",SUMIFS('الحركات الشهرية'!$J$6:$J$1005,'الحركات الشهرية'!$B$6:$B$1005,$B38,'الحركات الشهرية'!$A$6:$A$1005,$C$3))</f>
        <v/>
      </c>
      <c r="X38" s="111" t="str">
        <f aca="false">IF($B38="","",SUM(U38:W38))</f>
        <v/>
      </c>
      <c r="Y38" s="153" t="str">
        <f aca="false">IF($B38="","",T38-X38)</f>
        <v/>
      </c>
      <c r="Z38" s="111" t="str">
        <f aca="false">IF($B38="","",الموظفون!$S38*IF(E38="سعودي",cfg_G_SR,cfg_G_NR)*G38/cfg_DAYS_M)</f>
        <v/>
      </c>
      <c r="AA38" s="111" t="str">
        <f aca="false">IF($B38="","",الموظفون!$Q38*(cfg_EOS_R1*(MIN(AH38,cfg_EOS_TH)-MIN(AI38,cfg_EOS_TH))+cfg_EOS_R2*(MAX(AH38-cfg_EOS_TH,0)-MAX(AI38-cfg_EOS_TH,0))))</f>
        <v/>
      </c>
      <c r="AB38" s="111" t="str">
        <f aca="false">IF($B38="","",IF(الموظفون!$T38&lt;&gt;"",الموظفون!$T38,IF(AH38&gt;=cfg_LV_TH,cfg_LV_D2,cfg_LV_D1))/cfg_DAYS_Y*AJ38*الموظفون!$R38/cfg_DAYS_M)</f>
        <v/>
      </c>
      <c r="AC38" s="111" t="str">
        <f aca="false">IF($B38="","",IF(AND(الموظفون!$U38="نعم",N(الموظفون!$W38)&gt;0),الموظفون!$V38/الموظفون!$W38*12/cfg_DAYS_Y*AJ38,0))</f>
        <v/>
      </c>
      <c r="AD38" s="111" t="str">
        <f aca="false">IF($B38="","",(IF(الموظفون!$X38&lt;&gt;"",الموظفون!$X38,IF(الموظفون!$E38="غير سعودي",cfg_IQ,0))+IF(الموظفون!$Y38&lt;&gt;"",الموظفون!$Y38,IF(الموظفون!$E38="غير سعودي",cfg_WP,0)))/12*G38/cfg_DAYS_M)</f>
        <v/>
      </c>
      <c r="AE38" s="111" t="str">
        <f aca="false">IF($B38="","",IF(الموظفون!$Z38&lt;&gt;"",الموظفون!$Z38,cfg_MED)/12*G38/cfg_DAYS_M)</f>
        <v/>
      </c>
      <c r="AF38" s="111" t="str">
        <f aca="false">IF($B38="","",N(الموظفون!$AA38)/12*G38/cfg_DAYS_M)</f>
        <v/>
      </c>
      <c r="AG38" s="154" t="str">
        <f aca="false">IF($B38="","",T38+SUM(Z38:AF38))</f>
        <v/>
      </c>
      <c r="AH38" s="155" t="str">
        <f aca="false">IF($B38="","",MAX(0,IF(OR(الموظفون!$AE38="",الموظفون!$AE38&gt;$F$3),$F$3,الموظفون!$AE38)-الموظفون!$H38+1-SUMIFS('سجل الإجازات والحالات'!$AR$6:$AR$505,'سجل الإجازات والحالات'!$B$6:$B$505,$B38))/cfg_DAYS_Y)</f>
        <v/>
      </c>
      <c r="AI38" s="155" t="str">
        <f aca="false">IF($B38="","",MAX(0,IF(OR(الموظفون!$AE38="",الموظفون!$AE38&gt;($E$3-1)),($E$3-1),الموظفون!$AE38)-الموظفون!$H38+1-SUMIFS('سجل الإجازات والحالات'!$AQ$6:$AQ$505,'سجل الإجازات والحالات'!$B$6:$B$505,$B38))/cfg_DAYS_Y)</f>
        <v/>
      </c>
      <c r="AJ38" s="65" t="str">
        <f aca="false">IF($B38="","",MAX(0,AK38-(SUMIFS('سجل الإجازات والحالات'!$AR$6:$AR$505,'سجل الإجازات والحالات'!$B$6:$B$505,$B38)-SUMIFS('سجل الإجازات والحالات'!$AQ$6:$AQ$505,'سجل الإجازات والحالات'!$B$6:$B$505,$B38))))</f>
        <v/>
      </c>
      <c r="AK38" s="65" t="str">
        <f aca="false">IF($B38="","",MAX(0,IF(OR(الموظفون!$AE38="",الموظفون!$AE38&gt;$F$3),$F$3,الموظفون!$AE38)-MAX($E$3,الموظفون!$H38)+1))</f>
        <v/>
      </c>
      <c r="AL38" s="151" t="str">
        <f aca="false">IF($B38="","",SUMIFS('سجل الإجازات والحالات'!$BD$6:$BD$505,'سجل الإجازات والحالات'!$B$6:$B$505,$B38)+SUMIFS('الحركات الشهرية'!$K$6:$K$1005,'الحركات الشهرية'!$B$6:$B$1005,$B38,'الحركات الشهرية'!$A$6:$A$1005,$C$3))</f>
        <v/>
      </c>
      <c r="AM38" s="111" t="str">
        <f aca="false">IF($B38="","",AL38*الموظفون!$R38/cfg_DAYS_M+S38)</f>
        <v/>
      </c>
      <c r="AN38" s="151" t="str">
        <f aca="false">IF($B38="","",SUMIFS('سجل الإجازات والحالات'!$AF$6:$AF$505,'سجل الإجازات والحالات'!$B$6:$B$505,$B38))</f>
        <v/>
      </c>
    </row>
    <row r="39" customFormat="false" ht="15" hidden="false" customHeight="false" outlineLevel="0" collapsed="false">
      <c r="A39" s="115" t="str">
        <f aca="false">IF($B39="","",الموظفون!$A39)</f>
        <v/>
      </c>
      <c r="B39" s="117" t="str">
        <f aca="false">IF(الموظفون!$B39="","",الموظفون!$B39)</f>
        <v/>
      </c>
      <c r="C39" s="117" t="str">
        <f aca="false">IF($B39="","",الموظفون!$C39)</f>
        <v/>
      </c>
      <c r="D39" s="117" t="str">
        <f aca="false">IF($B39="","",الموظفون!$F39)</f>
        <v/>
      </c>
      <c r="E39" s="117" t="str">
        <f aca="false">IF($B39="","",الموظفون!$E39)</f>
        <v/>
      </c>
      <c r="F39" s="117" t="str">
        <f aca="false">IF($B39="","",IF(AK39=0,IF(AND(الموظفون!$AE39&lt;&gt;"",الموظفون!$AE39&lt;$E$3),"✖ منتهي الخدمة","⏳ لم يباشر"),IF(S39&gt;0,"✈ راتب إجازة مقدم",IF(J39=0,"⛔ بدون راتب هذا الشهر",IF(I39&gt;0,"✈ خصم "&amp;ROUND(I39,2)&amp;" يوم بدون أجر",IF(AL39&gt;0,"🌴 إجازة سنوية "&amp;ROUND(AL39,2)&amp;" يوم",IF(H39&gt;0,"⚠ غياب "&amp;ROUND(H39,2)&amp;" يوم","✔ على رأس العمل")))))))</f>
        <v/>
      </c>
      <c r="G39" s="156" t="str">
        <f aca="false">IF($B39="","",IF(AK39&gt;=DAY($F$3),cfg_DAYS_M,MIN(AK39,cfg_DAYS_M)))</f>
        <v/>
      </c>
      <c r="H39" s="156" t="str">
        <f aca="false">IF($B39="","",SUMIFS('الحركات الشهرية'!$D$6:$D$1005,'الحركات الشهرية'!$B$6:$B$1005,$B39,'الحركات الشهرية'!$A$6:$A$1005,$C$3))</f>
        <v/>
      </c>
      <c r="I39" s="156" t="str">
        <f aca="false">IF($B39="","",MIN(G39,IF(AND(AK39&gt;0,AN39&gt;=AK39),G39,AN39)+SUMIFS('الحركات الشهرية'!$E$6:$E$1005,'الحركات الشهرية'!$B$6:$B$1005,$B39,'الحركات الشهرية'!$A$6:$A$1005,$C$3)))</f>
        <v/>
      </c>
      <c r="J39" s="156" t="str">
        <f aca="false">IF($B39="","",MAX(0,G39-H39-I39))</f>
        <v/>
      </c>
      <c r="K39" s="116" t="str">
        <f aca="false">IF($B39="","",الموظفون!$L39*$J39/cfg_DAYS_M)</f>
        <v/>
      </c>
      <c r="L39" s="116" t="str">
        <f aca="false">IF($B39="","",الموظفون!$M39*$J39/cfg_DAYS_M)</f>
        <v/>
      </c>
      <c r="M39" s="116" t="str">
        <f aca="false">IF($B39="","",الموظفون!$N39*$J39/cfg_DAYS_M)</f>
        <v/>
      </c>
      <c r="N39" s="116" t="str">
        <f aca="false">IF($B39="","",الموظفون!$O39*$J39/cfg_DAYS_M)</f>
        <v/>
      </c>
      <c r="O39" s="156" t="str">
        <f aca="false">IF($B39="","",SUMIFS('الحركات الشهرية'!$F$6:$F$1005,'الحركات الشهرية'!$B$6:$B$1005,$B39,'الحركات الشهرية'!$A$6:$A$1005,$C$3))</f>
        <v/>
      </c>
      <c r="P39" s="116" t="str">
        <f aca="false">IF($B39="","",O39*(الموظفون!$P39+الموظفون!$L39*cfg_OT_P)/cfg_DAYS_M/cfg_HRS)</f>
        <v/>
      </c>
      <c r="Q39" s="116" t="str">
        <f aca="false">IF($B39="","",SUMIFS('الحركات الشهرية'!$G$6:$G$1005,'الحركات الشهرية'!$B$6:$B$1005,$B39,'الحركات الشهرية'!$A$6:$A$1005,$C$3))</f>
        <v/>
      </c>
      <c r="R39" s="116" t="str">
        <f aca="false">IF($B39="","",SUMIFS('الحركات الشهرية'!$H$6:$H$1005,'الحركات الشهرية'!$B$6:$B$1005,$B39,'الحركات الشهرية'!$A$6:$A$1005,$C$3))</f>
        <v/>
      </c>
      <c r="S39" s="116" t="str">
        <f aca="false">IF($B39="","",SUMIFS('سجل الإجازات والحالات'!$N$6:$N$505,'سجل الإجازات والحالات'!$B$6:$B$505,$B39,'سجل الإجازات والحالات'!$O$6:$O$505,$C$3))</f>
        <v/>
      </c>
      <c r="T39" s="157" t="str">
        <f aca="false">IF($B39="","",SUM(K39:N39)+SUM(P39:S39))</f>
        <v/>
      </c>
      <c r="U39" s="116" t="str">
        <f aca="false">IF($B39="","",الموظفون!$S39*IF(E39="سعودي",cfg_G_SE,cfg_G_NE)*G39/cfg_DAYS_M)</f>
        <v/>
      </c>
      <c r="V39" s="116" t="str">
        <f aca="false">IF($B39="","",SUMIFS('الحركات الشهرية'!$I$6:$I$1005,'الحركات الشهرية'!$B$6:$B$1005,$B39,'الحركات الشهرية'!$A$6:$A$1005,$C$3))</f>
        <v/>
      </c>
      <c r="W39" s="116" t="str">
        <f aca="false">IF($B39="","",SUMIFS('الحركات الشهرية'!$J$6:$J$1005,'الحركات الشهرية'!$B$6:$B$1005,$B39,'الحركات الشهرية'!$A$6:$A$1005,$C$3))</f>
        <v/>
      </c>
      <c r="X39" s="116" t="str">
        <f aca="false">IF($B39="","",SUM(U39:W39))</f>
        <v/>
      </c>
      <c r="Y39" s="158" t="str">
        <f aca="false">IF($B39="","",T39-X39)</f>
        <v/>
      </c>
      <c r="Z39" s="116" t="str">
        <f aca="false">IF($B39="","",الموظفون!$S39*IF(E39="سعودي",cfg_G_SR,cfg_G_NR)*G39/cfg_DAYS_M)</f>
        <v/>
      </c>
      <c r="AA39" s="116" t="str">
        <f aca="false">IF($B39="","",الموظفون!$Q39*(cfg_EOS_R1*(MIN(AH39,cfg_EOS_TH)-MIN(AI39,cfg_EOS_TH))+cfg_EOS_R2*(MAX(AH39-cfg_EOS_TH,0)-MAX(AI39-cfg_EOS_TH,0))))</f>
        <v/>
      </c>
      <c r="AB39" s="116" t="str">
        <f aca="false">IF($B39="","",IF(الموظفون!$T39&lt;&gt;"",الموظفون!$T39,IF(AH39&gt;=cfg_LV_TH,cfg_LV_D2,cfg_LV_D1))/cfg_DAYS_Y*AJ39*الموظفون!$R39/cfg_DAYS_M)</f>
        <v/>
      </c>
      <c r="AC39" s="116" t="str">
        <f aca="false">IF($B39="","",IF(AND(الموظفون!$U39="نعم",N(الموظفون!$W39)&gt;0),الموظفون!$V39/الموظفون!$W39*12/cfg_DAYS_Y*AJ39,0))</f>
        <v/>
      </c>
      <c r="AD39" s="116" t="str">
        <f aca="false">IF($B39="","",(IF(الموظفون!$X39&lt;&gt;"",الموظفون!$X39,IF(الموظفون!$E39="غير سعودي",cfg_IQ,0))+IF(الموظفون!$Y39&lt;&gt;"",الموظفون!$Y39,IF(الموظفون!$E39="غير سعودي",cfg_WP,0)))/12*G39/cfg_DAYS_M)</f>
        <v/>
      </c>
      <c r="AE39" s="116" t="str">
        <f aca="false">IF($B39="","",IF(الموظفون!$Z39&lt;&gt;"",الموظفون!$Z39,cfg_MED)/12*G39/cfg_DAYS_M)</f>
        <v/>
      </c>
      <c r="AF39" s="116" t="str">
        <f aca="false">IF($B39="","",N(الموظفون!$AA39)/12*G39/cfg_DAYS_M)</f>
        <v/>
      </c>
      <c r="AG39" s="159" t="str">
        <f aca="false">IF($B39="","",T39+SUM(Z39:AF39))</f>
        <v/>
      </c>
      <c r="AH39" s="160" t="str">
        <f aca="false">IF($B39="","",MAX(0,IF(OR(الموظفون!$AE39="",الموظفون!$AE39&gt;$F$3),$F$3,الموظفون!$AE39)-الموظفون!$H39+1-SUMIFS('سجل الإجازات والحالات'!$AR$6:$AR$505,'سجل الإجازات والحالات'!$B$6:$B$505,$B39))/cfg_DAYS_Y)</f>
        <v/>
      </c>
      <c r="AI39" s="160" t="str">
        <f aca="false">IF($B39="","",MAX(0,IF(OR(الموظفون!$AE39="",الموظفون!$AE39&gt;($E$3-1)),($E$3-1),الموظفون!$AE39)-الموظفون!$H39+1-SUMIFS('سجل الإجازات والحالات'!$AQ$6:$AQ$505,'سجل الإجازات والحالات'!$B$6:$B$505,$B39))/cfg_DAYS_Y)</f>
        <v/>
      </c>
      <c r="AJ39" s="133" t="str">
        <f aca="false">IF($B39="","",MAX(0,AK39-(SUMIFS('سجل الإجازات والحالات'!$AR$6:$AR$505,'سجل الإجازات والحالات'!$B$6:$B$505,$B39)-SUMIFS('سجل الإجازات والحالات'!$AQ$6:$AQ$505,'سجل الإجازات والحالات'!$B$6:$B$505,$B39))))</f>
        <v/>
      </c>
      <c r="AK39" s="133" t="str">
        <f aca="false">IF($B39="","",MAX(0,IF(OR(الموظفون!$AE39="",الموظفون!$AE39&gt;$F$3),$F$3,الموظفون!$AE39)-MAX($E$3,الموظفون!$H39)+1))</f>
        <v/>
      </c>
      <c r="AL39" s="156" t="str">
        <f aca="false">IF($B39="","",SUMIFS('سجل الإجازات والحالات'!$BD$6:$BD$505,'سجل الإجازات والحالات'!$B$6:$B$505,$B39)+SUMIFS('الحركات الشهرية'!$K$6:$K$1005,'الحركات الشهرية'!$B$6:$B$1005,$B39,'الحركات الشهرية'!$A$6:$A$1005,$C$3))</f>
        <v/>
      </c>
      <c r="AM39" s="116" t="str">
        <f aca="false">IF($B39="","",AL39*الموظفون!$R39/cfg_DAYS_M+S39)</f>
        <v/>
      </c>
      <c r="AN39" s="156" t="str">
        <f aca="false">IF($B39="","",SUMIFS('سجل الإجازات والحالات'!$AF$6:$AF$505,'سجل الإجازات والحالات'!$B$6:$B$505,$B39))</f>
        <v/>
      </c>
    </row>
    <row r="40" customFormat="false" ht="15" hidden="false" customHeight="false" outlineLevel="0" collapsed="false">
      <c r="A40" s="106" t="str">
        <f aca="false">IF($B40="","",الموظفون!$A40)</f>
        <v/>
      </c>
      <c r="B40" s="114" t="str">
        <f aca="false">IF(الموظفون!$B40="","",الموظفون!$B40)</f>
        <v/>
      </c>
      <c r="C40" s="114" t="str">
        <f aca="false">IF($B40="","",الموظفون!$C40)</f>
        <v/>
      </c>
      <c r="D40" s="114" t="str">
        <f aca="false">IF($B40="","",الموظفون!$F40)</f>
        <v/>
      </c>
      <c r="E40" s="114" t="str">
        <f aca="false">IF($B40="","",الموظفون!$E40)</f>
        <v/>
      </c>
      <c r="F40" s="114" t="str">
        <f aca="false">IF($B40="","",IF(AK40=0,IF(AND(الموظفون!$AE40&lt;&gt;"",الموظفون!$AE40&lt;$E$3),"✖ منتهي الخدمة","⏳ لم يباشر"),IF(S40&gt;0,"✈ راتب إجازة مقدم",IF(J40=0,"⛔ بدون راتب هذا الشهر",IF(I40&gt;0,"✈ خصم "&amp;ROUND(I40,2)&amp;" يوم بدون أجر",IF(AL40&gt;0,"🌴 إجازة سنوية "&amp;ROUND(AL40,2)&amp;" يوم",IF(H40&gt;0,"⚠ غياب "&amp;ROUND(H40,2)&amp;" يوم","✔ على رأس العمل")))))))</f>
        <v/>
      </c>
      <c r="G40" s="151" t="str">
        <f aca="false">IF($B40="","",IF(AK40&gt;=DAY($F$3),cfg_DAYS_M,MIN(AK40,cfg_DAYS_M)))</f>
        <v/>
      </c>
      <c r="H40" s="151" t="str">
        <f aca="false">IF($B40="","",SUMIFS('الحركات الشهرية'!$D$6:$D$1005,'الحركات الشهرية'!$B$6:$B$1005,$B40,'الحركات الشهرية'!$A$6:$A$1005,$C$3))</f>
        <v/>
      </c>
      <c r="I40" s="151" t="str">
        <f aca="false">IF($B40="","",MIN(G40,IF(AND(AK40&gt;0,AN40&gt;=AK40),G40,AN40)+SUMIFS('الحركات الشهرية'!$E$6:$E$1005,'الحركات الشهرية'!$B$6:$B$1005,$B40,'الحركات الشهرية'!$A$6:$A$1005,$C$3)))</f>
        <v/>
      </c>
      <c r="J40" s="151" t="str">
        <f aca="false">IF($B40="","",MAX(0,G40-H40-I40))</f>
        <v/>
      </c>
      <c r="K40" s="111" t="str">
        <f aca="false">IF($B40="","",الموظفون!$L40*$J40/cfg_DAYS_M)</f>
        <v/>
      </c>
      <c r="L40" s="111" t="str">
        <f aca="false">IF($B40="","",الموظفون!$M40*$J40/cfg_DAYS_M)</f>
        <v/>
      </c>
      <c r="M40" s="111" t="str">
        <f aca="false">IF($B40="","",الموظفون!$N40*$J40/cfg_DAYS_M)</f>
        <v/>
      </c>
      <c r="N40" s="111" t="str">
        <f aca="false">IF($B40="","",الموظفون!$O40*$J40/cfg_DAYS_M)</f>
        <v/>
      </c>
      <c r="O40" s="151" t="str">
        <f aca="false">IF($B40="","",SUMIFS('الحركات الشهرية'!$F$6:$F$1005,'الحركات الشهرية'!$B$6:$B$1005,$B40,'الحركات الشهرية'!$A$6:$A$1005,$C$3))</f>
        <v/>
      </c>
      <c r="P40" s="111" t="str">
        <f aca="false">IF($B40="","",O40*(الموظفون!$P40+الموظفون!$L40*cfg_OT_P)/cfg_DAYS_M/cfg_HRS)</f>
        <v/>
      </c>
      <c r="Q40" s="111" t="str">
        <f aca="false">IF($B40="","",SUMIFS('الحركات الشهرية'!$G$6:$G$1005,'الحركات الشهرية'!$B$6:$B$1005,$B40,'الحركات الشهرية'!$A$6:$A$1005,$C$3))</f>
        <v/>
      </c>
      <c r="R40" s="111" t="str">
        <f aca="false">IF($B40="","",SUMIFS('الحركات الشهرية'!$H$6:$H$1005,'الحركات الشهرية'!$B$6:$B$1005,$B40,'الحركات الشهرية'!$A$6:$A$1005,$C$3))</f>
        <v/>
      </c>
      <c r="S40" s="111" t="str">
        <f aca="false">IF($B40="","",SUMIFS('سجل الإجازات والحالات'!$N$6:$N$505,'سجل الإجازات والحالات'!$B$6:$B$505,$B40,'سجل الإجازات والحالات'!$O$6:$O$505,$C$3))</f>
        <v/>
      </c>
      <c r="T40" s="152" t="str">
        <f aca="false">IF($B40="","",SUM(K40:N40)+SUM(P40:S40))</f>
        <v/>
      </c>
      <c r="U40" s="111" t="str">
        <f aca="false">IF($B40="","",الموظفون!$S40*IF(E40="سعودي",cfg_G_SE,cfg_G_NE)*G40/cfg_DAYS_M)</f>
        <v/>
      </c>
      <c r="V40" s="111" t="str">
        <f aca="false">IF($B40="","",SUMIFS('الحركات الشهرية'!$I$6:$I$1005,'الحركات الشهرية'!$B$6:$B$1005,$B40,'الحركات الشهرية'!$A$6:$A$1005,$C$3))</f>
        <v/>
      </c>
      <c r="W40" s="111" t="str">
        <f aca="false">IF($B40="","",SUMIFS('الحركات الشهرية'!$J$6:$J$1005,'الحركات الشهرية'!$B$6:$B$1005,$B40,'الحركات الشهرية'!$A$6:$A$1005,$C$3))</f>
        <v/>
      </c>
      <c r="X40" s="111" t="str">
        <f aca="false">IF($B40="","",SUM(U40:W40))</f>
        <v/>
      </c>
      <c r="Y40" s="153" t="str">
        <f aca="false">IF($B40="","",T40-X40)</f>
        <v/>
      </c>
      <c r="Z40" s="111" t="str">
        <f aca="false">IF($B40="","",الموظفون!$S40*IF(E40="سعودي",cfg_G_SR,cfg_G_NR)*G40/cfg_DAYS_M)</f>
        <v/>
      </c>
      <c r="AA40" s="111" t="str">
        <f aca="false">IF($B40="","",الموظفون!$Q40*(cfg_EOS_R1*(MIN(AH40,cfg_EOS_TH)-MIN(AI40,cfg_EOS_TH))+cfg_EOS_R2*(MAX(AH40-cfg_EOS_TH,0)-MAX(AI40-cfg_EOS_TH,0))))</f>
        <v/>
      </c>
      <c r="AB40" s="111" t="str">
        <f aca="false">IF($B40="","",IF(الموظفون!$T40&lt;&gt;"",الموظفون!$T40,IF(AH40&gt;=cfg_LV_TH,cfg_LV_D2,cfg_LV_D1))/cfg_DAYS_Y*AJ40*الموظفون!$R40/cfg_DAYS_M)</f>
        <v/>
      </c>
      <c r="AC40" s="111" t="str">
        <f aca="false">IF($B40="","",IF(AND(الموظفون!$U40="نعم",N(الموظفون!$W40)&gt;0),الموظفون!$V40/الموظفون!$W40*12/cfg_DAYS_Y*AJ40,0))</f>
        <v/>
      </c>
      <c r="AD40" s="111" t="str">
        <f aca="false">IF($B40="","",(IF(الموظفون!$X40&lt;&gt;"",الموظفون!$X40,IF(الموظفون!$E40="غير سعودي",cfg_IQ,0))+IF(الموظفون!$Y40&lt;&gt;"",الموظفون!$Y40,IF(الموظفون!$E40="غير سعودي",cfg_WP,0)))/12*G40/cfg_DAYS_M)</f>
        <v/>
      </c>
      <c r="AE40" s="111" t="str">
        <f aca="false">IF($B40="","",IF(الموظفون!$Z40&lt;&gt;"",الموظفون!$Z40,cfg_MED)/12*G40/cfg_DAYS_M)</f>
        <v/>
      </c>
      <c r="AF40" s="111" t="str">
        <f aca="false">IF($B40="","",N(الموظفون!$AA40)/12*G40/cfg_DAYS_M)</f>
        <v/>
      </c>
      <c r="AG40" s="154" t="str">
        <f aca="false">IF($B40="","",T40+SUM(Z40:AF40))</f>
        <v/>
      </c>
      <c r="AH40" s="155" t="str">
        <f aca="false">IF($B40="","",MAX(0,IF(OR(الموظفون!$AE40="",الموظفون!$AE40&gt;$F$3),$F$3,الموظفون!$AE40)-الموظفون!$H40+1-SUMIFS('سجل الإجازات والحالات'!$AR$6:$AR$505,'سجل الإجازات والحالات'!$B$6:$B$505,$B40))/cfg_DAYS_Y)</f>
        <v/>
      </c>
      <c r="AI40" s="155" t="str">
        <f aca="false">IF($B40="","",MAX(0,IF(OR(الموظفون!$AE40="",الموظفون!$AE40&gt;($E$3-1)),($E$3-1),الموظفون!$AE40)-الموظفون!$H40+1-SUMIFS('سجل الإجازات والحالات'!$AQ$6:$AQ$505,'سجل الإجازات والحالات'!$B$6:$B$505,$B40))/cfg_DAYS_Y)</f>
        <v/>
      </c>
      <c r="AJ40" s="65" t="str">
        <f aca="false">IF($B40="","",MAX(0,AK40-(SUMIFS('سجل الإجازات والحالات'!$AR$6:$AR$505,'سجل الإجازات والحالات'!$B$6:$B$505,$B40)-SUMIFS('سجل الإجازات والحالات'!$AQ$6:$AQ$505,'سجل الإجازات والحالات'!$B$6:$B$505,$B40))))</f>
        <v/>
      </c>
      <c r="AK40" s="65" t="str">
        <f aca="false">IF($B40="","",MAX(0,IF(OR(الموظفون!$AE40="",الموظفون!$AE40&gt;$F$3),$F$3,الموظفون!$AE40)-MAX($E$3,الموظفون!$H40)+1))</f>
        <v/>
      </c>
      <c r="AL40" s="151" t="str">
        <f aca="false">IF($B40="","",SUMIFS('سجل الإجازات والحالات'!$BD$6:$BD$505,'سجل الإجازات والحالات'!$B$6:$B$505,$B40)+SUMIFS('الحركات الشهرية'!$K$6:$K$1005,'الحركات الشهرية'!$B$6:$B$1005,$B40,'الحركات الشهرية'!$A$6:$A$1005,$C$3))</f>
        <v/>
      </c>
      <c r="AM40" s="111" t="str">
        <f aca="false">IF($B40="","",AL40*الموظفون!$R40/cfg_DAYS_M+S40)</f>
        <v/>
      </c>
      <c r="AN40" s="151" t="str">
        <f aca="false">IF($B40="","",SUMIFS('سجل الإجازات والحالات'!$AF$6:$AF$505,'سجل الإجازات والحالات'!$B$6:$B$505,$B40))</f>
        <v/>
      </c>
    </row>
    <row r="41" customFormat="false" ht="15" hidden="false" customHeight="false" outlineLevel="0" collapsed="false">
      <c r="A41" s="115" t="str">
        <f aca="false">IF($B41="","",الموظفون!$A41)</f>
        <v/>
      </c>
      <c r="B41" s="117" t="str">
        <f aca="false">IF(الموظفون!$B41="","",الموظفون!$B41)</f>
        <v/>
      </c>
      <c r="C41" s="117" t="str">
        <f aca="false">IF($B41="","",الموظفون!$C41)</f>
        <v/>
      </c>
      <c r="D41" s="117" t="str">
        <f aca="false">IF($B41="","",الموظفون!$F41)</f>
        <v/>
      </c>
      <c r="E41" s="117" t="str">
        <f aca="false">IF($B41="","",الموظفون!$E41)</f>
        <v/>
      </c>
      <c r="F41" s="117" t="str">
        <f aca="false">IF($B41="","",IF(AK41=0,IF(AND(الموظفون!$AE41&lt;&gt;"",الموظفون!$AE41&lt;$E$3),"✖ منتهي الخدمة","⏳ لم يباشر"),IF(S41&gt;0,"✈ راتب إجازة مقدم",IF(J41=0,"⛔ بدون راتب هذا الشهر",IF(I41&gt;0,"✈ خصم "&amp;ROUND(I41,2)&amp;" يوم بدون أجر",IF(AL41&gt;0,"🌴 إجازة سنوية "&amp;ROUND(AL41,2)&amp;" يوم",IF(H41&gt;0,"⚠ غياب "&amp;ROUND(H41,2)&amp;" يوم","✔ على رأس العمل")))))))</f>
        <v/>
      </c>
      <c r="G41" s="156" t="str">
        <f aca="false">IF($B41="","",IF(AK41&gt;=DAY($F$3),cfg_DAYS_M,MIN(AK41,cfg_DAYS_M)))</f>
        <v/>
      </c>
      <c r="H41" s="156" t="str">
        <f aca="false">IF($B41="","",SUMIFS('الحركات الشهرية'!$D$6:$D$1005,'الحركات الشهرية'!$B$6:$B$1005,$B41,'الحركات الشهرية'!$A$6:$A$1005,$C$3))</f>
        <v/>
      </c>
      <c r="I41" s="156" t="str">
        <f aca="false">IF($B41="","",MIN(G41,IF(AND(AK41&gt;0,AN41&gt;=AK41),G41,AN41)+SUMIFS('الحركات الشهرية'!$E$6:$E$1005,'الحركات الشهرية'!$B$6:$B$1005,$B41,'الحركات الشهرية'!$A$6:$A$1005,$C$3)))</f>
        <v/>
      </c>
      <c r="J41" s="156" t="str">
        <f aca="false">IF($B41="","",MAX(0,G41-H41-I41))</f>
        <v/>
      </c>
      <c r="K41" s="116" t="str">
        <f aca="false">IF($B41="","",الموظفون!$L41*$J41/cfg_DAYS_M)</f>
        <v/>
      </c>
      <c r="L41" s="116" t="str">
        <f aca="false">IF($B41="","",الموظفون!$M41*$J41/cfg_DAYS_M)</f>
        <v/>
      </c>
      <c r="M41" s="116" t="str">
        <f aca="false">IF($B41="","",الموظفون!$N41*$J41/cfg_DAYS_M)</f>
        <v/>
      </c>
      <c r="N41" s="116" t="str">
        <f aca="false">IF($B41="","",الموظفون!$O41*$J41/cfg_DAYS_M)</f>
        <v/>
      </c>
      <c r="O41" s="156" t="str">
        <f aca="false">IF($B41="","",SUMIFS('الحركات الشهرية'!$F$6:$F$1005,'الحركات الشهرية'!$B$6:$B$1005,$B41,'الحركات الشهرية'!$A$6:$A$1005,$C$3))</f>
        <v/>
      </c>
      <c r="P41" s="116" t="str">
        <f aca="false">IF($B41="","",O41*(الموظفون!$P41+الموظفون!$L41*cfg_OT_P)/cfg_DAYS_M/cfg_HRS)</f>
        <v/>
      </c>
      <c r="Q41" s="116" t="str">
        <f aca="false">IF($B41="","",SUMIFS('الحركات الشهرية'!$G$6:$G$1005,'الحركات الشهرية'!$B$6:$B$1005,$B41,'الحركات الشهرية'!$A$6:$A$1005,$C$3))</f>
        <v/>
      </c>
      <c r="R41" s="116" t="str">
        <f aca="false">IF($B41="","",SUMIFS('الحركات الشهرية'!$H$6:$H$1005,'الحركات الشهرية'!$B$6:$B$1005,$B41,'الحركات الشهرية'!$A$6:$A$1005,$C$3))</f>
        <v/>
      </c>
      <c r="S41" s="116" t="str">
        <f aca="false">IF($B41="","",SUMIFS('سجل الإجازات والحالات'!$N$6:$N$505,'سجل الإجازات والحالات'!$B$6:$B$505,$B41,'سجل الإجازات والحالات'!$O$6:$O$505,$C$3))</f>
        <v/>
      </c>
      <c r="T41" s="157" t="str">
        <f aca="false">IF($B41="","",SUM(K41:N41)+SUM(P41:S41))</f>
        <v/>
      </c>
      <c r="U41" s="116" t="str">
        <f aca="false">IF($B41="","",الموظفون!$S41*IF(E41="سعودي",cfg_G_SE,cfg_G_NE)*G41/cfg_DAYS_M)</f>
        <v/>
      </c>
      <c r="V41" s="116" t="str">
        <f aca="false">IF($B41="","",SUMIFS('الحركات الشهرية'!$I$6:$I$1005,'الحركات الشهرية'!$B$6:$B$1005,$B41,'الحركات الشهرية'!$A$6:$A$1005,$C$3))</f>
        <v/>
      </c>
      <c r="W41" s="116" t="str">
        <f aca="false">IF($B41="","",SUMIFS('الحركات الشهرية'!$J$6:$J$1005,'الحركات الشهرية'!$B$6:$B$1005,$B41,'الحركات الشهرية'!$A$6:$A$1005,$C$3))</f>
        <v/>
      </c>
      <c r="X41" s="116" t="str">
        <f aca="false">IF($B41="","",SUM(U41:W41))</f>
        <v/>
      </c>
      <c r="Y41" s="158" t="str">
        <f aca="false">IF($B41="","",T41-X41)</f>
        <v/>
      </c>
      <c r="Z41" s="116" t="str">
        <f aca="false">IF($B41="","",الموظفون!$S41*IF(E41="سعودي",cfg_G_SR,cfg_G_NR)*G41/cfg_DAYS_M)</f>
        <v/>
      </c>
      <c r="AA41" s="116" t="str">
        <f aca="false">IF($B41="","",الموظفون!$Q41*(cfg_EOS_R1*(MIN(AH41,cfg_EOS_TH)-MIN(AI41,cfg_EOS_TH))+cfg_EOS_R2*(MAX(AH41-cfg_EOS_TH,0)-MAX(AI41-cfg_EOS_TH,0))))</f>
        <v/>
      </c>
      <c r="AB41" s="116" t="str">
        <f aca="false">IF($B41="","",IF(الموظفون!$T41&lt;&gt;"",الموظفون!$T41,IF(AH41&gt;=cfg_LV_TH,cfg_LV_D2,cfg_LV_D1))/cfg_DAYS_Y*AJ41*الموظفون!$R41/cfg_DAYS_M)</f>
        <v/>
      </c>
      <c r="AC41" s="116" t="str">
        <f aca="false">IF($B41="","",IF(AND(الموظفون!$U41="نعم",N(الموظفون!$W41)&gt;0),الموظفون!$V41/الموظفون!$W41*12/cfg_DAYS_Y*AJ41,0))</f>
        <v/>
      </c>
      <c r="AD41" s="116" t="str">
        <f aca="false">IF($B41="","",(IF(الموظفون!$X41&lt;&gt;"",الموظفون!$X41,IF(الموظفون!$E41="غير سعودي",cfg_IQ,0))+IF(الموظفون!$Y41&lt;&gt;"",الموظفون!$Y41,IF(الموظفون!$E41="غير سعودي",cfg_WP,0)))/12*G41/cfg_DAYS_M)</f>
        <v/>
      </c>
      <c r="AE41" s="116" t="str">
        <f aca="false">IF($B41="","",IF(الموظفون!$Z41&lt;&gt;"",الموظفون!$Z41,cfg_MED)/12*G41/cfg_DAYS_M)</f>
        <v/>
      </c>
      <c r="AF41" s="116" t="str">
        <f aca="false">IF($B41="","",N(الموظفون!$AA41)/12*G41/cfg_DAYS_M)</f>
        <v/>
      </c>
      <c r="AG41" s="159" t="str">
        <f aca="false">IF($B41="","",T41+SUM(Z41:AF41))</f>
        <v/>
      </c>
      <c r="AH41" s="160" t="str">
        <f aca="false">IF($B41="","",MAX(0,IF(OR(الموظفون!$AE41="",الموظفون!$AE41&gt;$F$3),$F$3,الموظفون!$AE41)-الموظفون!$H41+1-SUMIFS('سجل الإجازات والحالات'!$AR$6:$AR$505,'سجل الإجازات والحالات'!$B$6:$B$505,$B41))/cfg_DAYS_Y)</f>
        <v/>
      </c>
      <c r="AI41" s="160" t="str">
        <f aca="false">IF($B41="","",MAX(0,IF(OR(الموظفون!$AE41="",الموظفون!$AE41&gt;($E$3-1)),($E$3-1),الموظفون!$AE41)-الموظفون!$H41+1-SUMIFS('سجل الإجازات والحالات'!$AQ$6:$AQ$505,'سجل الإجازات والحالات'!$B$6:$B$505,$B41))/cfg_DAYS_Y)</f>
        <v/>
      </c>
      <c r="AJ41" s="133" t="str">
        <f aca="false">IF($B41="","",MAX(0,AK41-(SUMIFS('سجل الإجازات والحالات'!$AR$6:$AR$505,'سجل الإجازات والحالات'!$B$6:$B$505,$B41)-SUMIFS('سجل الإجازات والحالات'!$AQ$6:$AQ$505,'سجل الإجازات والحالات'!$B$6:$B$505,$B41))))</f>
        <v/>
      </c>
      <c r="AK41" s="133" t="str">
        <f aca="false">IF($B41="","",MAX(0,IF(OR(الموظفون!$AE41="",الموظفون!$AE41&gt;$F$3),$F$3,الموظفون!$AE41)-MAX($E$3,الموظفون!$H41)+1))</f>
        <v/>
      </c>
      <c r="AL41" s="156" t="str">
        <f aca="false">IF($B41="","",SUMIFS('سجل الإجازات والحالات'!$BD$6:$BD$505,'سجل الإجازات والحالات'!$B$6:$B$505,$B41)+SUMIFS('الحركات الشهرية'!$K$6:$K$1005,'الحركات الشهرية'!$B$6:$B$1005,$B41,'الحركات الشهرية'!$A$6:$A$1005,$C$3))</f>
        <v/>
      </c>
      <c r="AM41" s="116" t="str">
        <f aca="false">IF($B41="","",AL41*الموظفون!$R41/cfg_DAYS_M+S41)</f>
        <v/>
      </c>
      <c r="AN41" s="156" t="str">
        <f aca="false">IF($B41="","",SUMIFS('سجل الإجازات والحالات'!$AF$6:$AF$505,'سجل الإجازات والحالات'!$B$6:$B$505,$B41))</f>
        <v/>
      </c>
    </row>
    <row r="42" customFormat="false" ht="15" hidden="false" customHeight="false" outlineLevel="0" collapsed="false">
      <c r="A42" s="106" t="str">
        <f aca="false">IF($B42="","",الموظفون!$A42)</f>
        <v/>
      </c>
      <c r="B42" s="114" t="str">
        <f aca="false">IF(الموظفون!$B42="","",الموظفون!$B42)</f>
        <v/>
      </c>
      <c r="C42" s="114" t="str">
        <f aca="false">IF($B42="","",الموظفون!$C42)</f>
        <v/>
      </c>
      <c r="D42" s="114" t="str">
        <f aca="false">IF($B42="","",الموظفون!$F42)</f>
        <v/>
      </c>
      <c r="E42" s="114" t="str">
        <f aca="false">IF($B42="","",الموظفون!$E42)</f>
        <v/>
      </c>
      <c r="F42" s="114" t="str">
        <f aca="false">IF($B42="","",IF(AK42=0,IF(AND(الموظفون!$AE42&lt;&gt;"",الموظفون!$AE42&lt;$E$3),"✖ منتهي الخدمة","⏳ لم يباشر"),IF(S42&gt;0,"✈ راتب إجازة مقدم",IF(J42=0,"⛔ بدون راتب هذا الشهر",IF(I42&gt;0,"✈ خصم "&amp;ROUND(I42,2)&amp;" يوم بدون أجر",IF(AL42&gt;0,"🌴 إجازة سنوية "&amp;ROUND(AL42,2)&amp;" يوم",IF(H42&gt;0,"⚠ غياب "&amp;ROUND(H42,2)&amp;" يوم","✔ على رأس العمل")))))))</f>
        <v/>
      </c>
      <c r="G42" s="151" t="str">
        <f aca="false">IF($B42="","",IF(AK42&gt;=DAY($F$3),cfg_DAYS_M,MIN(AK42,cfg_DAYS_M)))</f>
        <v/>
      </c>
      <c r="H42" s="151" t="str">
        <f aca="false">IF($B42="","",SUMIFS('الحركات الشهرية'!$D$6:$D$1005,'الحركات الشهرية'!$B$6:$B$1005,$B42,'الحركات الشهرية'!$A$6:$A$1005,$C$3))</f>
        <v/>
      </c>
      <c r="I42" s="151" t="str">
        <f aca="false">IF($B42="","",MIN(G42,IF(AND(AK42&gt;0,AN42&gt;=AK42),G42,AN42)+SUMIFS('الحركات الشهرية'!$E$6:$E$1005,'الحركات الشهرية'!$B$6:$B$1005,$B42,'الحركات الشهرية'!$A$6:$A$1005,$C$3)))</f>
        <v/>
      </c>
      <c r="J42" s="151" t="str">
        <f aca="false">IF($B42="","",MAX(0,G42-H42-I42))</f>
        <v/>
      </c>
      <c r="K42" s="111" t="str">
        <f aca="false">IF($B42="","",الموظفون!$L42*$J42/cfg_DAYS_M)</f>
        <v/>
      </c>
      <c r="L42" s="111" t="str">
        <f aca="false">IF($B42="","",الموظفون!$M42*$J42/cfg_DAYS_M)</f>
        <v/>
      </c>
      <c r="M42" s="111" t="str">
        <f aca="false">IF($B42="","",الموظفون!$N42*$J42/cfg_DAYS_M)</f>
        <v/>
      </c>
      <c r="N42" s="111" t="str">
        <f aca="false">IF($B42="","",الموظفون!$O42*$J42/cfg_DAYS_M)</f>
        <v/>
      </c>
      <c r="O42" s="151" t="str">
        <f aca="false">IF($B42="","",SUMIFS('الحركات الشهرية'!$F$6:$F$1005,'الحركات الشهرية'!$B$6:$B$1005,$B42,'الحركات الشهرية'!$A$6:$A$1005,$C$3))</f>
        <v/>
      </c>
      <c r="P42" s="111" t="str">
        <f aca="false">IF($B42="","",O42*(الموظفون!$P42+الموظفون!$L42*cfg_OT_P)/cfg_DAYS_M/cfg_HRS)</f>
        <v/>
      </c>
      <c r="Q42" s="111" t="str">
        <f aca="false">IF($B42="","",SUMIFS('الحركات الشهرية'!$G$6:$G$1005,'الحركات الشهرية'!$B$6:$B$1005,$B42,'الحركات الشهرية'!$A$6:$A$1005,$C$3))</f>
        <v/>
      </c>
      <c r="R42" s="111" t="str">
        <f aca="false">IF($B42="","",SUMIFS('الحركات الشهرية'!$H$6:$H$1005,'الحركات الشهرية'!$B$6:$B$1005,$B42,'الحركات الشهرية'!$A$6:$A$1005,$C$3))</f>
        <v/>
      </c>
      <c r="S42" s="111" t="str">
        <f aca="false">IF($B42="","",SUMIFS('سجل الإجازات والحالات'!$N$6:$N$505,'سجل الإجازات والحالات'!$B$6:$B$505,$B42,'سجل الإجازات والحالات'!$O$6:$O$505,$C$3))</f>
        <v/>
      </c>
      <c r="T42" s="152" t="str">
        <f aca="false">IF($B42="","",SUM(K42:N42)+SUM(P42:S42))</f>
        <v/>
      </c>
      <c r="U42" s="111" t="str">
        <f aca="false">IF($B42="","",الموظفون!$S42*IF(E42="سعودي",cfg_G_SE,cfg_G_NE)*G42/cfg_DAYS_M)</f>
        <v/>
      </c>
      <c r="V42" s="111" t="str">
        <f aca="false">IF($B42="","",SUMIFS('الحركات الشهرية'!$I$6:$I$1005,'الحركات الشهرية'!$B$6:$B$1005,$B42,'الحركات الشهرية'!$A$6:$A$1005,$C$3))</f>
        <v/>
      </c>
      <c r="W42" s="111" t="str">
        <f aca="false">IF($B42="","",SUMIFS('الحركات الشهرية'!$J$6:$J$1005,'الحركات الشهرية'!$B$6:$B$1005,$B42,'الحركات الشهرية'!$A$6:$A$1005,$C$3))</f>
        <v/>
      </c>
      <c r="X42" s="111" t="str">
        <f aca="false">IF($B42="","",SUM(U42:W42))</f>
        <v/>
      </c>
      <c r="Y42" s="153" t="str">
        <f aca="false">IF($B42="","",T42-X42)</f>
        <v/>
      </c>
      <c r="Z42" s="111" t="str">
        <f aca="false">IF($B42="","",الموظفون!$S42*IF(E42="سعودي",cfg_G_SR,cfg_G_NR)*G42/cfg_DAYS_M)</f>
        <v/>
      </c>
      <c r="AA42" s="111" t="str">
        <f aca="false">IF($B42="","",الموظفون!$Q42*(cfg_EOS_R1*(MIN(AH42,cfg_EOS_TH)-MIN(AI42,cfg_EOS_TH))+cfg_EOS_R2*(MAX(AH42-cfg_EOS_TH,0)-MAX(AI42-cfg_EOS_TH,0))))</f>
        <v/>
      </c>
      <c r="AB42" s="111" t="str">
        <f aca="false">IF($B42="","",IF(الموظفون!$T42&lt;&gt;"",الموظفون!$T42,IF(AH42&gt;=cfg_LV_TH,cfg_LV_D2,cfg_LV_D1))/cfg_DAYS_Y*AJ42*الموظفون!$R42/cfg_DAYS_M)</f>
        <v/>
      </c>
      <c r="AC42" s="111" t="str">
        <f aca="false">IF($B42="","",IF(AND(الموظفون!$U42="نعم",N(الموظفون!$W42)&gt;0),الموظفون!$V42/الموظفون!$W42*12/cfg_DAYS_Y*AJ42,0))</f>
        <v/>
      </c>
      <c r="AD42" s="111" t="str">
        <f aca="false">IF($B42="","",(IF(الموظفون!$X42&lt;&gt;"",الموظفون!$X42,IF(الموظفون!$E42="غير سعودي",cfg_IQ,0))+IF(الموظفون!$Y42&lt;&gt;"",الموظفون!$Y42,IF(الموظفون!$E42="غير سعودي",cfg_WP,0)))/12*G42/cfg_DAYS_M)</f>
        <v/>
      </c>
      <c r="AE42" s="111" t="str">
        <f aca="false">IF($B42="","",IF(الموظفون!$Z42&lt;&gt;"",الموظفون!$Z42,cfg_MED)/12*G42/cfg_DAYS_M)</f>
        <v/>
      </c>
      <c r="AF42" s="111" t="str">
        <f aca="false">IF($B42="","",N(الموظفون!$AA42)/12*G42/cfg_DAYS_M)</f>
        <v/>
      </c>
      <c r="AG42" s="154" t="str">
        <f aca="false">IF($B42="","",T42+SUM(Z42:AF42))</f>
        <v/>
      </c>
      <c r="AH42" s="155" t="str">
        <f aca="false">IF($B42="","",MAX(0,IF(OR(الموظفون!$AE42="",الموظفون!$AE42&gt;$F$3),$F$3,الموظفون!$AE42)-الموظفون!$H42+1-SUMIFS('سجل الإجازات والحالات'!$AR$6:$AR$505,'سجل الإجازات والحالات'!$B$6:$B$505,$B42))/cfg_DAYS_Y)</f>
        <v/>
      </c>
      <c r="AI42" s="155" t="str">
        <f aca="false">IF($B42="","",MAX(0,IF(OR(الموظفون!$AE42="",الموظفون!$AE42&gt;($E$3-1)),($E$3-1),الموظفون!$AE42)-الموظفون!$H42+1-SUMIFS('سجل الإجازات والحالات'!$AQ$6:$AQ$505,'سجل الإجازات والحالات'!$B$6:$B$505,$B42))/cfg_DAYS_Y)</f>
        <v/>
      </c>
      <c r="AJ42" s="65" t="str">
        <f aca="false">IF($B42="","",MAX(0,AK42-(SUMIFS('سجل الإجازات والحالات'!$AR$6:$AR$505,'سجل الإجازات والحالات'!$B$6:$B$505,$B42)-SUMIFS('سجل الإجازات والحالات'!$AQ$6:$AQ$505,'سجل الإجازات والحالات'!$B$6:$B$505,$B42))))</f>
        <v/>
      </c>
      <c r="AK42" s="65" t="str">
        <f aca="false">IF($B42="","",MAX(0,IF(OR(الموظفون!$AE42="",الموظفون!$AE42&gt;$F$3),$F$3,الموظفون!$AE42)-MAX($E$3,الموظفون!$H42)+1))</f>
        <v/>
      </c>
      <c r="AL42" s="151" t="str">
        <f aca="false">IF($B42="","",SUMIFS('سجل الإجازات والحالات'!$BD$6:$BD$505,'سجل الإجازات والحالات'!$B$6:$B$505,$B42)+SUMIFS('الحركات الشهرية'!$K$6:$K$1005,'الحركات الشهرية'!$B$6:$B$1005,$B42,'الحركات الشهرية'!$A$6:$A$1005,$C$3))</f>
        <v/>
      </c>
      <c r="AM42" s="111" t="str">
        <f aca="false">IF($B42="","",AL42*الموظفون!$R42/cfg_DAYS_M+S42)</f>
        <v/>
      </c>
      <c r="AN42" s="151" t="str">
        <f aca="false">IF($B42="","",SUMIFS('سجل الإجازات والحالات'!$AF$6:$AF$505,'سجل الإجازات والحالات'!$B$6:$B$505,$B42))</f>
        <v/>
      </c>
    </row>
    <row r="43" customFormat="false" ht="15" hidden="false" customHeight="false" outlineLevel="0" collapsed="false">
      <c r="A43" s="115" t="str">
        <f aca="false">IF($B43="","",الموظفون!$A43)</f>
        <v/>
      </c>
      <c r="B43" s="117" t="str">
        <f aca="false">IF(الموظفون!$B43="","",الموظفون!$B43)</f>
        <v/>
      </c>
      <c r="C43" s="117" t="str">
        <f aca="false">IF($B43="","",الموظفون!$C43)</f>
        <v/>
      </c>
      <c r="D43" s="117" t="str">
        <f aca="false">IF($B43="","",الموظفون!$F43)</f>
        <v/>
      </c>
      <c r="E43" s="117" t="str">
        <f aca="false">IF($B43="","",الموظفون!$E43)</f>
        <v/>
      </c>
      <c r="F43" s="117" t="str">
        <f aca="false">IF($B43="","",IF(AK43=0,IF(AND(الموظفون!$AE43&lt;&gt;"",الموظفون!$AE43&lt;$E$3),"✖ منتهي الخدمة","⏳ لم يباشر"),IF(S43&gt;0,"✈ راتب إجازة مقدم",IF(J43=0,"⛔ بدون راتب هذا الشهر",IF(I43&gt;0,"✈ خصم "&amp;ROUND(I43,2)&amp;" يوم بدون أجر",IF(AL43&gt;0,"🌴 إجازة سنوية "&amp;ROUND(AL43,2)&amp;" يوم",IF(H43&gt;0,"⚠ غياب "&amp;ROUND(H43,2)&amp;" يوم","✔ على رأس العمل")))))))</f>
        <v/>
      </c>
      <c r="G43" s="156" t="str">
        <f aca="false">IF($B43="","",IF(AK43&gt;=DAY($F$3),cfg_DAYS_M,MIN(AK43,cfg_DAYS_M)))</f>
        <v/>
      </c>
      <c r="H43" s="156" t="str">
        <f aca="false">IF($B43="","",SUMIFS('الحركات الشهرية'!$D$6:$D$1005,'الحركات الشهرية'!$B$6:$B$1005,$B43,'الحركات الشهرية'!$A$6:$A$1005,$C$3))</f>
        <v/>
      </c>
      <c r="I43" s="156" t="str">
        <f aca="false">IF($B43="","",MIN(G43,IF(AND(AK43&gt;0,AN43&gt;=AK43),G43,AN43)+SUMIFS('الحركات الشهرية'!$E$6:$E$1005,'الحركات الشهرية'!$B$6:$B$1005,$B43,'الحركات الشهرية'!$A$6:$A$1005,$C$3)))</f>
        <v/>
      </c>
      <c r="J43" s="156" t="str">
        <f aca="false">IF($B43="","",MAX(0,G43-H43-I43))</f>
        <v/>
      </c>
      <c r="K43" s="116" t="str">
        <f aca="false">IF($B43="","",الموظفون!$L43*$J43/cfg_DAYS_M)</f>
        <v/>
      </c>
      <c r="L43" s="116" t="str">
        <f aca="false">IF($B43="","",الموظفون!$M43*$J43/cfg_DAYS_M)</f>
        <v/>
      </c>
      <c r="M43" s="116" t="str">
        <f aca="false">IF($B43="","",الموظفون!$N43*$J43/cfg_DAYS_M)</f>
        <v/>
      </c>
      <c r="N43" s="116" t="str">
        <f aca="false">IF($B43="","",الموظفون!$O43*$J43/cfg_DAYS_M)</f>
        <v/>
      </c>
      <c r="O43" s="156" t="str">
        <f aca="false">IF($B43="","",SUMIFS('الحركات الشهرية'!$F$6:$F$1005,'الحركات الشهرية'!$B$6:$B$1005,$B43,'الحركات الشهرية'!$A$6:$A$1005,$C$3))</f>
        <v/>
      </c>
      <c r="P43" s="116" t="str">
        <f aca="false">IF($B43="","",O43*(الموظفون!$P43+الموظفون!$L43*cfg_OT_P)/cfg_DAYS_M/cfg_HRS)</f>
        <v/>
      </c>
      <c r="Q43" s="116" t="str">
        <f aca="false">IF($B43="","",SUMIFS('الحركات الشهرية'!$G$6:$G$1005,'الحركات الشهرية'!$B$6:$B$1005,$B43,'الحركات الشهرية'!$A$6:$A$1005,$C$3))</f>
        <v/>
      </c>
      <c r="R43" s="116" t="str">
        <f aca="false">IF($B43="","",SUMIFS('الحركات الشهرية'!$H$6:$H$1005,'الحركات الشهرية'!$B$6:$B$1005,$B43,'الحركات الشهرية'!$A$6:$A$1005,$C$3))</f>
        <v/>
      </c>
      <c r="S43" s="116" t="str">
        <f aca="false">IF($B43="","",SUMIFS('سجل الإجازات والحالات'!$N$6:$N$505,'سجل الإجازات والحالات'!$B$6:$B$505,$B43,'سجل الإجازات والحالات'!$O$6:$O$505,$C$3))</f>
        <v/>
      </c>
      <c r="T43" s="157" t="str">
        <f aca="false">IF($B43="","",SUM(K43:N43)+SUM(P43:S43))</f>
        <v/>
      </c>
      <c r="U43" s="116" t="str">
        <f aca="false">IF($B43="","",الموظفون!$S43*IF(E43="سعودي",cfg_G_SE,cfg_G_NE)*G43/cfg_DAYS_M)</f>
        <v/>
      </c>
      <c r="V43" s="116" t="str">
        <f aca="false">IF($B43="","",SUMIFS('الحركات الشهرية'!$I$6:$I$1005,'الحركات الشهرية'!$B$6:$B$1005,$B43,'الحركات الشهرية'!$A$6:$A$1005,$C$3))</f>
        <v/>
      </c>
      <c r="W43" s="116" t="str">
        <f aca="false">IF($B43="","",SUMIFS('الحركات الشهرية'!$J$6:$J$1005,'الحركات الشهرية'!$B$6:$B$1005,$B43,'الحركات الشهرية'!$A$6:$A$1005,$C$3))</f>
        <v/>
      </c>
      <c r="X43" s="116" t="str">
        <f aca="false">IF($B43="","",SUM(U43:W43))</f>
        <v/>
      </c>
      <c r="Y43" s="158" t="str">
        <f aca="false">IF($B43="","",T43-X43)</f>
        <v/>
      </c>
      <c r="Z43" s="116" t="str">
        <f aca="false">IF($B43="","",الموظفون!$S43*IF(E43="سعودي",cfg_G_SR,cfg_G_NR)*G43/cfg_DAYS_M)</f>
        <v/>
      </c>
      <c r="AA43" s="116" t="str">
        <f aca="false">IF($B43="","",الموظفون!$Q43*(cfg_EOS_R1*(MIN(AH43,cfg_EOS_TH)-MIN(AI43,cfg_EOS_TH))+cfg_EOS_R2*(MAX(AH43-cfg_EOS_TH,0)-MAX(AI43-cfg_EOS_TH,0))))</f>
        <v/>
      </c>
      <c r="AB43" s="116" t="str">
        <f aca="false">IF($B43="","",IF(الموظفون!$T43&lt;&gt;"",الموظفون!$T43,IF(AH43&gt;=cfg_LV_TH,cfg_LV_D2,cfg_LV_D1))/cfg_DAYS_Y*AJ43*الموظفون!$R43/cfg_DAYS_M)</f>
        <v/>
      </c>
      <c r="AC43" s="116" t="str">
        <f aca="false">IF($B43="","",IF(AND(الموظفون!$U43="نعم",N(الموظفون!$W43)&gt;0),الموظفون!$V43/الموظفون!$W43*12/cfg_DAYS_Y*AJ43,0))</f>
        <v/>
      </c>
      <c r="AD43" s="116" t="str">
        <f aca="false">IF($B43="","",(IF(الموظفون!$X43&lt;&gt;"",الموظفون!$X43,IF(الموظفون!$E43="غير سعودي",cfg_IQ,0))+IF(الموظفون!$Y43&lt;&gt;"",الموظفون!$Y43,IF(الموظفون!$E43="غير سعودي",cfg_WP,0)))/12*G43/cfg_DAYS_M)</f>
        <v/>
      </c>
      <c r="AE43" s="116" t="str">
        <f aca="false">IF($B43="","",IF(الموظفون!$Z43&lt;&gt;"",الموظفون!$Z43,cfg_MED)/12*G43/cfg_DAYS_M)</f>
        <v/>
      </c>
      <c r="AF43" s="116" t="str">
        <f aca="false">IF($B43="","",N(الموظفون!$AA43)/12*G43/cfg_DAYS_M)</f>
        <v/>
      </c>
      <c r="AG43" s="159" t="str">
        <f aca="false">IF($B43="","",T43+SUM(Z43:AF43))</f>
        <v/>
      </c>
      <c r="AH43" s="160" t="str">
        <f aca="false">IF($B43="","",MAX(0,IF(OR(الموظفون!$AE43="",الموظفون!$AE43&gt;$F$3),$F$3,الموظفون!$AE43)-الموظفون!$H43+1-SUMIFS('سجل الإجازات والحالات'!$AR$6:$AR$505,'سجل الإجازات والحالات'!$B$6:$B$505,$B43))/cfg_DAYS_Y)</f>
        <v/>
      </c>
      <c r="AI43" s="160" t="str">
        <f aca="false">IF($B43="","",MAX(0,IF(OR(الموظفون!$AE43="",الموظفون!$AE43&gt;($E$3-1)),($E$3-1),الموظفون!$AE43)-الموظفون!$H43+1-SUMIFS('سجل الإجازات والحالات'!$AQ$6:$AQ$505,'سجل الإجازات والحالات'!$B$6:$B$505,$B43))/cfg_DAYS_Y)</f>
        <v/>
      </c>
      <c r="AJ43" s="133" t="str">
        <f aca="false">IF($B43="","",MAX(0,AK43-(SUMIFS('سجل الإجازات والحالات'!$AR$6:$AR$505,'سجل الإجازات والحالات'!$B$6:$B$505,$B43)-SUMIFS('سجل الإجازات والحالات'!$AQ$6:$AQ$505,'سجل الإجازات والحالات'!$B$6:$B$505,$B43))))</f>
        <v/>
      </c>
      <c r="AK43" s="133" t="str">
        <f aca="false">IF($B43="","",MAX(0,IF(OR(الموظفون!$AE43="",الموظفون!$AE43&gt;$F$3),$F$3,الموظفون!$AE43)-MAX($E$3,الموظفون!$H43)+1))</f>
        <v/>
      </c>
      <c r="AL43" s="156" t="str">
        <f aca="false">IF($B43="","",SUMIFS('سجل الإجازات والحالات'!$BD$6:$BD$505,'سجل الإجازات والحالات'!$B$6:$B$505,$B43)+SUMIFS('الحركات الشهرية'!$K$6:$K$1005,'الحركات الشهرية'!$B$6:$B$1005,$B43,'الحركات الشهرية'!$A$6:$A$1005,$C$3))</f>
        <v/>
      </c>
      <c r="AM43" s="116" t="str">
        <f aca="false">IF($B43="","",AL43*الموظفون!$R43/cfg_DAYS_M+S43)</f>
        <v/>
      </c>
      <c r="AN43" s="156" t="str">
        <f aca="false">IF($B43="","",SUMIFS('سجل الإجازات والحالات'!$AF$6:$AF$505,'سجل الإجازات والحالات'!$B$6:$B$505,$B43))</f>
        <v/>
      </c>
    </row>
    <row r="44" customFormat="false" ht="15" hidden="false" customHeight="false" outlineLevel="0" collapsed="false">
      <c r="A44" s="106" t="str">
        <f aca="false">IF($B44="","",الموظفون!$A44)</f>
        <v/>
      </c>
      <c r="B44" s="114" t="str">
        <f aca="false">IF(الموظفون!$B44="","",الموظفون!$B44)</f>
        <v/>
      </c>
      <c r="C44" s="114" t="str">
        <f aca="false">IF($B44="","",الموظفون!$C44)</f>
        <v/>
      </c>
      <c r="D44" s="114" t="str">
        <f aca="false">IF($B44="","",الموظفون!$F44)</f>
        <v/>
      </c>
      <c r="E44" s="114" t="str">
        <f aca="false">IF($B44="","",الموظفون!$E44)</f>
        <v/>
      </c>
      <c r="F44" s="114" t="str">
        <f aca="false">IF($B44="","",IF(AK44=0,IF(AND(الموظفون!$AE44&lt;&gt;"",الموظفون!$AE44&lt;$E$3),"✖ منتهي الخدمة","⏳ لم يباشر"),IF(S44&gt;0,"✈ راتب إجازة مقدم",IF(J44=0,"⛔ بدون راتب هذا الشهر",IF(I44&gt;0,"✈ خصم "&amp;ROUND(I44,2)&amp;" يوم بدون أجر",IF(AL44&gt;0,"🌴 إجازة سنوية "&amp;ROUND(AL44,2)&amp;" يوم",IF(H44&gt;0,"⚠ غياب "&amp;ROUND(H44,2)&amp;" يوم","✔ على رأس العمل")))))))</f>
        <v/>
      </c>
      <c r="G44" s="151" t="str">
        <f aca="false">IF($B44="","",IF(AK44&gt;=DAY($F$3),cfg_DAYS_M,MIN(AK44,cfg_DAYS_M)))</f>
        <v/>
      </c>
      <c r="H44" s="151" t="str">
        <f aca="false">IF($B44="","",SUMIFS('الحركات الشهرية'!$D$6:$D$1005,'الحركات الشهرية'!$B$6:$B$1005,$B44,'الحركات الشهرية'!$A$6:$A$1005,$C$3))</f>
        <v/>
      </c>
      <c r="I44" s="151" t="str">
        <f aca="false">IF($B44="","",MIN(G44,IF(AND(AK44&gt;0,AN44&gt;=AK44),G44,AN44)+SUMIFS('الحركات الشهرية'!$E$6:$E$1005,'الحركات الشهرية'!$B$6:$B$1005,$B44,'الحركات الشهرية'!$A$6:$A$1005,$C$3)))</f>
        <v/>
      </c>
      <c r="J44" s="151" t="str">
        <f aca="false">IF($B44="","",MAX(0,G44-H44-I44))</f>
        <v/>
      </c>
      <c r="K44" s="111" t="str">
        <f aca="false">IF($B44="","",الموظفون!$L44*$J44/cfg_DAYS_M)</f>
        <v/>
      </c>
      <c r="L44" s="111" t="str">
        <f aca="false">IF($B44="","",الموظفون!$M44*$J44/cfg_DAYS_M)</f>
        <v/>
      </c>
      <c r="M44" s="111" t="str">
        <f aca="false">IF($B44="","",الموظفون!$N44*$J44/cfg_DAYS_M)</f>
        <v/>
      </c>
      <c r="N44" s="111" t="str">
        <f aca="false">IF($B44="","",الموظفون!$O44*$J44/cfg_DAYS_M)</f>
        <v/>
      </c>
      <c r="O44" s="151" t="str">
        <f aca="false">IF($B44="","",SUMIFS('الحركات الشهرية'!$F$6:$F$1005,'الحركات الشهرية'!$B$6:$B$1005,$B44,'الحركات الشهرية'!$A$6:$A$1005,$C$3))</f>
        <v/>
      </c>
      <c r="P44" s="111" t="str">
        <f aca="false">IF($B44="","",O44*(الموظفون!$P44+الموظفون!$L44*cfg_OT_P)/cfg_DAYS_M/cfg_HRS)</f>
        <v/>
      </c>
      <c r="Q44" s="111" t="str">
        <f aca="false">IF($B44="","",SUMIFS('الحركات الشهرية'!$G$6:$G$1005,'الحركات الشهرية'!$B$6:$B$1005,$B44,'الحركات الشهرية'!$A$6:$A$1005,$C$3))</f>
        <v/>
      </c>
      <c r="R44" s="111" t="str">
        <f aca="false">IF($B44="","",SUMIFS('الحركات الشهرية'!$H$6:$H$1005,'الحركات الشهرية'!$B$6:$B$1005,$B44,'الحركات الشهرية'!$A$6:$A$1005,$C$3))</f>
        <v/>
      </c>
      <c r="S44" s="111" t="str">
        <f aca="false">IF($B44="","",SUMIFS('سجل الإجازات والحالات'!$N$6:$N$505,'سجل الإجازات والحالات'!$B$6:$B$505,$B44,'سجل الإجازات والحالات'!$O$6:$O$505,$C$3))</f>
        <v/>
      </c>
      <c r="T44" s="152" t="str">
        <f aca="false">IF($B44="","",SUM(K44:N44)+SUM(P44:S44))</f>
        <v/>
      </c>
      <c r="U44" s="111" t="str">
        <f aca="false">IF($B44="","",الموظفون!$S44*IF(E44="سعودي",cfg_G_SE,cfg_G_NE)*G44/cfg_DAYS_M)</f>
        <v/>
      </c>
      <c r="V44" s="111" t="str">
        <f aca="false">IF($B44="","",SUMIFS('الحركات الشهرية'!$I$6:$I$1005,'الحركات الشهرية'!$B$6:$B$1005,$B44,'الحركات الشهرية'!$A$6:$A$1005,$C$3))</f>
        <v/>
      </c>
      <c r="W44" s="111" t="str">
        <f aca="false">IF($B44="","",SUMIFS('الحركات الشهرية'!$J$6:$J$1005,'الحركات الشهرية'!$B$6:$B$1005,$B44,'الحركات الشهرية'!$A$6:$A$1005,$C$3))</f>
        <v/>
      </c>
      <c r="X44" s="111" t="str">
        <f aca="false">IF($B44="","",SUM(U44:W44))</f>
        <v/>
      </c>
      <c r="Y44" s="153" t="str">
        <f aca="false">IF($B44="","",T44-X44)</f>
        <v/>
      </c>
      <c r="Z44" s="111" t="str">
        <f aca="false">IF($B44="","",الموظفون!$S44*IF(E44="سعودي",cfg_G_SR,cfg_G_NR)*G44/cfg_DAYS_M)</f>
        <v/>
      </c>
      <c r="AA44" s="111" t="str">
        <f aca="false">IF($B44="","",الموظفون!$Q44*(cfg_EOS_R1*(MIN(AH44,cfg_EOS_TH)-MIN(AI44,cfg_EOS_TH))+cfg_EOS_R2*(MAX(AH44-cfg_EOS_TH,0)-MAX(AI44-cfg_EOS_TH,0))))</f>
        <v/>
      </c>
      <c r="AB44" s="111" t="str">
        <f aca="false">IF($B44="","",IF(الموظفون!$T44&lt;&gt;"",الموظفون!$T44,IF(AH44&gt;=cfg_LV_TH,cfg_LV_D2,cfg_LV_D1))/cfg_DAYS_Y*AJ44*الموظفون!$R44/cfg_DAYS_M)</f>
        <v/>
      </c>
      <c r="AC44" s="111" t="str">
        <f aca="false">IF($B44="","",IF(AND(الموظفون!$U44="نعم",N(الموظفون!$W44)&gt;0),الموظفون!$V44/الموظفون!$W44*12/cfg_DAYS_Y*AJ44,0))</f>
        <v/>
      </c>
      <c r="AD44" s="111" t="str">
        <f aca="false">IF($B44="","",(IF(الموظفون!$X44&lt;&gt;"",الموظفون!$X44,IF(الموظفون!$E44="غير سعودي",cfg_IQ,0))+IF(الموظفون!$Y44&lt;&gt;"",الموظفون!$Y44,IF(الموظفون!$E44="غير سعودي",cfg_WP,0)))/12*G44/cfg_DAYS_M)</f>
        <v/>
      </c>
      <c r="AE44" s="111" t="str">
        <f aca="false">IF($B44="","",IF(الموظفون!$Z44&lt;&gt;"",الموظفون!$Z44,cfg_MED)/12*G44/cfg_DAYS_M)</f>
        <v/>
      </c>
      <c r="AF44" s="111" t="str">
        <f aca="false">IF($B44="","",N(الموظفون!$AA44)/12*G44/cfg_DAYS_M)</f>
        <v/>
      </c>
      <c r="AG44" s="154" t="str">
        <f aca="false">IF($B44="","",T44+SUM(Z44:AF44))</f>
        <v/>
      </c>
      <c r="AH44" s="155" t="str">
        <f aca="false">IF($B44="","",MAX(0,IF(OR(الموظفون!$AE44="",الموظفون!$AE44&gt;$F$3),$F$3,الموظفون!$AE44)-الموظفون!$H44+1-SUMIFS('سجل الإجازات والحالات'!$AR$6:$AR$505,'سجل الإجازات والحالات'!$B$6:$B$505,$B44))/cfg_DAYS_Y)</f>
        <v/>
      </c>
      <c r="AI44" s="155" t="str">
        <f aca="false">IF($B44="","",MAX(0,IF(OR(الموظفون!$AE44="",الموظفون!$AE44&gt;($E$3-1)),($E$3-1),الموظفون!$AE44)-الموظفون!$H44+1-SUMIFS('سجل الإجازات والحالات'!$AQ$6:$AQ$505,'سجل الإجازات والحالات'!$B$6:$B$505,$B44))/cfg_DAYS_Y)</f>
        <v/>
      </c>
      <c r="AJ44" s="65" t="str">
        <f aca="false">IF($B44="","",MAX(0,AK44-(SUMIFS('سجل الإجازات والحالات'!$AR$6:$AR$505,'سجل الإجازات والحالات'!$B$6:$B$505,$B44)-SUMIFS('سجل الإجازات والحالات'!$AQ$6:$AQ$505,'سجل الإجازات والحالات'!$B$6:$B$505,$B44))))</f>
        <v/>
      </c>
      <c r="AK44" s="65" t="str">
        <f aca="false">IF($B44="","",MAX(0,IF(OR(الموظفون!$AE44="",الموظفون!$AE44&gt;$F$3),$F$3,الموظفون!$AE44)-MAX($E$3,الموظفون!$H44)+1))</f>
        <v/>
      </c>
      <c r="AL44" s="151" t="str">
        <f aca="false">IF($B44="","",SUMIFS('سجل الإجازات والحالات'!$BD$6:$BD$505,'سجل الإجازات والحالات'!$B$6:$B$505,$B44)+SUMIFS('الحركات الشهرية'!$K$6:$K$1005,'الحركات الشهرية'!$B$6:$B$1005,$B44,'الحركات الشهرية'!$A$6:$A$1005,$C$3))</f>
        <v/>
      </c>
      <c r="AM44" s="111" t="str">
        <f aca="false">IF($B44="","",AL44*الموظفون!$R44/cfg_DAYS_M+S44)</f>
        <v/>
      </c>
      <c r="AN44" s="151" t="str">
        <f aca="false">IF($B44="","",SUMIFS('سجل الإجازات والحالات'!$AF$6:$AF$505,'سجل الإجازات والحالات'!$B$6:$B$505,$B44))</f>
        <v/>
      </c>
    </row>
    <row r="45" customFormat="false" ht="15" hidden="false" customHeight="false" outlineLevel="0" collapsed="false">
      <c r="A45" s="115" t="str">
        <f aca="false">IF($B45="","",الموظفون!$A45)</f>
        <v/>
      </c>
      <c r="B45" s="117" t="str">
        <f aca="false">IF(الموظفون!$B45="","",الموظفون!$B45)</f>
        <v/>
      </c>
      <c r="C45" s="117" t="str">
        <f aca="false">IF($B45="","",الموظفون!$C45)</f>
        <v/>
      </c>
      <c r="D45" s="117" t="str">
        <f aca="false">IF($B45="","",الموظفون!$F45)</f>
        <v/>
      </c>
      <c r="E45" s="117" t="str">
        <f aca="false">IF($B45="","",الموظفون!$E45)</f>
        <v/>
      </c>
      <c r="F45" s="117" t="str">
        <f aca="false">IF($B45="","",IF(AK45=0,IF(AND(الموظفون!$AE45&lt;&gt;"",الموظفون!$AE45&lt;$E$3),"✖ منتهي الخدمة","⏳ لم يباشر"),IF(S45&gt;0,"✈ راتب إجازة مقدم",IF(J45=0,"⛔ بدون راتب هذا الشهر",IF(I45&gt;0,"✈ خصم "&amp;ROUND(I45,2)&amp;" يوم بدون أجر",IF(AL45&gt;0,"🌴 إجازة سنوية "&amp;ROUND(AL45,2)&amp;" يوم",IF(H45&gt;0,"⚠ غياب "&amp;ROUND(H45,2)&amp;" يوم","✔ على رأس العمل")))))))</f>
        <v/>
      </c>
      <c r="G45" s="156" t="str">
        <f aca="false">IF($B45="","",IF(AK45&gt;=DAY($F$3),cfg_DAYS_M,MIN(AK45,cfg_DAYS_M)))</f>
        <v/>
      </c>
      <c r="H45" s="156" t="str">
        <f aca="false">IF($B45="","",SUMIFS('الحركات الشهرية'!$D$6:$D$1005,'الحركات الشهرية'!$B$6:$B$1005,$B45,'الحركات الشهرية'!$A$6:$A$1005,$C$3))</f>
        <v/>
      </c>
      <c r="I45" s="156" t="str">
        <f aca="false">IF($B45="","",MIN(G45,IF(AND(AK45&gt;0,AN45&gt;=AK45),G45,AN45)+SUMIFS('الحركات الشهرية'!$E$6:$E$1005,'الحركات الشهرية'!$B$6:$B$1005,$B45,'الحركات الشهرية'!$A$6:$A$1005,$C$3)))</f>
        <v/>
      </c>
      <c r="J45" s="156" t="str">
        <f aca="false">IF($B45="","",MAX(0,G45-H45-I45))</f>
        <v/>
      </c>
      <c r="K45" s="116" t="str">
        <f aca="false">IF($B45="","",الموظفون!$L45*$J45/cfg_DAYS_M)</f>
        <v/>
      </c>
      <c r="L45" s="116" t="str">
        <f aca="false">IF($B45="","",الموظفون!$M45*$J45/cfg_DAYS_M)</f>
        <v/>
      </c>
      <c r="M45" s="116" t="str">
        <f aca="false">IF($B45="","",الموظفون!$N45*$J45/cfg_DAYS_M)</f>
        <v/>
      </c>
      <c r="N45" s="116" t="str">
        <f aca="false">IF($B45="","",الموظفون!$O45*$J45/cfg_DAYS_M)</f>
        <v/>
      </c>
      <c r="O45" s="156" t="str">
        <f aca="false">IF($B45="","",SUMIFS('الحركات الشهرية'!$F$6:$F$1005,'الحركات الشهرية'!$B$6:$B$1005,$B45,'الحركات الشهرية'!$A$6:$A$1005,$C$3))</f>
        <v/>
      </c>
      <c r="P45" s="116" t="str">
        <f aca="false">IF($B45="","",O45*(الموظفون!$P45+الموظفون!$L45*cfg_OT_P)/cfg_DAYS_M/cfg_HRS)</f>
        <v/>
      </c>
      <c r="Q45" s="116" t="str">
        <f aca="false">IF($B45="","",SUMIFS('الحركات الشهرية'!$G$6:$G$1005,'الحركات الشهرية'!$B$6:$B$1005,$B45,'الحركات الشهرية'!$A$6:$A$1005,$C$3))</f>
        <v/>
      </c>
      <c r="R45" s="116" t="str">
        <f aca="false">IF($B45="","",SUMIFS('الحركات الشهرية'!$H$6:$H$1005,'الحركات الشهرية'!$B$6:$B$1005,$B45,'الحركات الشهرية'!$A$6:$A$1005,$C$3))</f>
        <v/>
      </c>
      <c r="S45" s="116" t="str">
        <f aca="false">IF($B45="","",SUMIFS('سجل الإجازات والحالات'!$N$6:$N$505,'سجل الإجازات والحالات'!$B$6:$B$505,$B45,'سجل الإجازات والحالات'!$O$6:$O$505,$C$3))</f>
        <v/>
      </c>
      <c r="T45" s="157" t="str">
        <f aca="false">IF($B45="","",SUM(K45:N45)+SUM(P45:S45))</f>
        <v/>
      </c>
      <c r="U45" s="116" t="str">
        <f aca="false">IF($B45="","",الموظفون!$S45*IF(E45="سعودي",cfg_G_SE,cfg_G_NE)*G45/cfg_DAYS_M)</f>
        <v/>
      </c>
      <c r="V45" s="116" t="str">
        <f aca="false">IF($B45="","",SUMIFS('الحركات الشهرية'!$I$6:$I$1005,'الحركات الشهرية'!$B$6:$B$1005,$B45,'الحركات الشهرية'!$A$6:$A$1005,$C$3))</f>
        <v/>
      </c>
      <c r="W45" s="116" t="str">
        <f aca="false">IF($B45="","",SUMIFS('الحركات الشهرية'!$J$6:$J$1005,'الحركات الشهرية'!$B$6:$B$1005,$B45,'الحركات الشهرية'!$A$6:$A$1005,$C$3))</f>
        <v/>
      </c>
      <c r="X45" s="116" t="str">
        <f aca="false">IF($B45="","",SUM(U45:W45))</f>
        <v/>
      </c>
      <c r="Y45" s="158" t="str">
        <f aca="false">IF($B45="","",T45-X45)</f>
        <v/>
      </c>
      <c r="Z45" s="116" t="str">
        <f aca="false">IF($B45="","",الموظفون!$S45*IF(E45="سعودي",cfg_G_SR,cfg_G_NR)*G45/cfg_DAYS_M)</f>
        <v/>
      </c>
      <c r="AA45" s="116" t="str">
        <f aca="false">IF($B45="","",الموظفون!$Q45*(cfg_EOS_R1*(MIN(AH45,cfg_EOS_TH)-MIN(AI45,cfg_EOS_TH))+cfg_EOS_R2*(MAX(AH45-cfg_EOS_TH,0)-MAX(AI45-cfg_EOS_TH,0))))</f>
        <v/>
      </c>
      <c r="AB45" s="116" t="str">
        <f aca="false">IF($B45="","",IF(الموظفون!$T45&lt;&gt;"",الموظفون!$T45,IF(AH45&gt;=cfg_LV_TH,cfg_LV_D2,cfg_LV_D1))/cfg_DAYS_Y*AJ45*الموظفون!$R45/cfg_DAYS_M)</f>
        <v/>
      </c>
      <c r="AC45" s="116" t="str">
        <f aca="false">IF($B45="","",IF(AND(الموظفون!$U45="نعم",N(الموظفون!$W45)&gt;0),الموظفون!$V45/الموظفون!$W45*12/cfg_DAYS_Y*AJ45,0))</f>
        <v/>
      </c>
      <c r="AD45" s="116" t="str">
        <f aca="false">IF($B45="","",(IF(الموظفون!$X45&lt;&gt;"",الموظفون!$X45,IF(الموظفون!$E45="غير سعودي",cfg_IQ,0))+IF(الموظفون!$Y45&lt;&gt;"",الموظفون!$Y45,IF(الموظفون!$E45="غير سعودي",cfg_WP,0)))/12*G45/cfg_DAYS_M)</f>
        <v/>
      </c>
      <c r="AE45" s="116" t="str">
        <f aca="false">IF($B45="","",IF(الموظفون!$Z45&lt;&gt;"",الموظفون!$Z45,cfg_MED)/12*G45/cfg_DAYS_M)</f>
        <v/>
      </c>
      <c r="AF45" s="116" t="str">
        <f aca="false">IF($B45="","",N(الموظفون!$AA45)/12*G45/cfg_DAYS_M)</f>
        <v/>
      </c>
      <c r="AG45" s="159" t="str">
        <f aca="false">IF($B45="","",T45+SUM(Z45:AF45))</f>
        <v/>
      </c>
      <c r="AH45" s="160" t="str">
        <f aca="false">IF($B45="","",MAX(0,IF(OR(الموظفون!$AE45="",الموظفون!$AE45&gt;$F$3),$F$3,الموظفون!$AE45)-الموظفون!$H45+1-SUMIFS('سجل الإجازات والحالات'!$AR$6:$AR$505,'سجل الإجازات والحالات'!$B$6:$B$505,$B45))/cfg_DAYS_Y)</f>
        <v/>
      </c>
      <c r="AI45" s="160" t="str">
        <f aca="false">IF($B45="","",MAX(0,IF(OR(الموظفون!$AE45="",الموظفون!$AE45&gt;($E$3-1)),($E$3-1),الموظفون!$AE45)-الموظفون!$H45+1-SUMIFS('سجل الإجازات والحالات'!$AQ$6:$AQ$505,'سجل الإجازات والحالات'!$B$6:$B$505,$B45))/cfg_DAYS_Y)</f>
        <v/>
      </c>
      <c r="AJ45" s="133" t="str">
        <f aca="false">IF($B45="","",MAX(0,AK45-(SUMIFS('سجل الإجازات والحالات'!$AR$6:$AR$505,'سجل الإجازات والحالات'!$B$6:$B$505,$B45)-SUMIFS('سجل الإجازات والحالات'!$AQ$6:$AQ$505,'سجل الإجازات والحالات'!$B$6:$B$505,$B45))))</f>
        <v/>
      </c>
      <c r="AK45" s="133" t="str">
        <f aca="false">IF($B45="","",MAX(0,IF(OR(الموظفون!$AE45="",الموظفون!$AE45&gt;$F$3),$F$3,الموظفون!$AE45)-MAX($E$3,الموظفون!$H45)+1))</f>
        <v/>
      </c>
      <c r="AL45" s="156" t="str">
        <f aca="false">IF($B45="","",SUMIFS('سجل الإجازات والحالات'!$BD$6:$BD$505,'سجل الإجازات والحالات'!$B$6:$B$505,$B45)+SUMIFS('الحركات الشهرية'!$K$6:$K$1005,'الحركات الشهرية'!$B$6:$B$1005,$B45,'الحركات الشهرية'!$A$6:$A$1005,$C$3))</f>
        <v/>
      </c>
      <c r="AM45" s="116" t="str">
        <f aca="false">IF($B45="","",AL45*الموظفون!$R45/cfg_DAYS_M+S45)</f>
        <v/>
      </c>
      <c r="AN45" s="156" t="str">
        <f aca="false">IF($B45="","",SUMIFS('سجل الإجازات والحالات'!$AF$6:$AF$505,'سجل الإجازات والحالات'!$B$6:$B$505,$B45))</f>
        <v/>
      </c>
    </row>
    <row r="46" customFormat="false" ht="15" hidden="false" customHeight="false" outlineLevel="0" collapsed="false">
      <c r="A46" s="106" t="str">
        <f aca="false">IF($B46="","",الموظفون!$A46)</f>
        <v/>
      </c>
      <c r="B46" s="114" t="str">
        <f aca="false">IF(الموظفون!$B46="","",الموظفون!$B46)</f>
        <v/>
      </c>
      <c r="C46" s="114" t="str">
        <f aca="false">IF($B46="","",الموظفون!$C46)</f>
        <v/>
      </c>
      <c r="D46" s="114" t="str">
        <f aca="false">IF($B46="","",الموظفون!$F46)</f>
        <v/>
      </c>
      <c r="E46" s="114" t="str">
        <f aca="false">IF($B46="","",الموظفون!$E46)</f>
        <v/>
      </c>
      <c r="F46" s="114" t="str">
        <f aca="false">IF($B46="","",IF(AK46=0,IF(AND(الموظفون!$AE46&lt;&gt;"",الموظفون!$AE46&lt;$E$3),"✖ منتهي الخدمة","⏳ لم يباشر"),IF(S46&gt;0,"✈ راتب إجازة مقدم",IF(J46=0,"⛔ بدون راتب هذا الشهر",IF(I46&gt;0,"✈ خصم "&amp;ROUND(I46,2)&amp;" يوم بدون أجر",IF(AL46&gt;0,"🌴 إجازة سنوية "&amp;ROUND(AL46,2)&amp;" يوم",IF(H46&gt;0,"⚠ غياب "&amp;ROUND(H46,2)&amp;" يوم","✔ على رأس العمل")))))))</f>
        <v/>
      </c>
      <c r="G46" s="151" t="str">
        <f aca="false">IF($B46="","",IF(AK46&gt;=DAY($F$3),cfg_DAYS_M,MIN(AK46,cfg_DAYS_M)))</f>
        <v/>
      </c>
      <c r="H46" s="151" t="str">
        <f aca="false">IF($B46="","",SUMIFS('الحركات الشهرية'!$D$6:$D$1005,'الحركات الشهرية'!$B$6:$B$1005,$B46,'الحركات الشهرية'!$A$6:$A$1005,$C$3))</f>
        <v/>
      </c>
      <c r="I46" s="151" t="str">
        <f aca="false">IF($B46="","",MIN(G46,IF(AND(AK46&gt;0,AN46&gt;=AK46),G46,AN46)+SUMIFS('الحركات الشهرية'!$E$6:$E$1005,'الحركات الشهرية'!$B$6:$B$1005,$B46,'الحركات الشهرية'!$A$6:$A$1005,$C$3)))</f>
        <v/>
      </c>
      <c r="J46" s="151" t="str">
        <f aca="false">IF($B46="","",MAX(0,G46-H46-I46))</f>
        <v/>
      </c>
      <c r="K46" s="111" t="str">
        <f aca="false">IF($B46="","",الموظفون!$L46*$J46/cfg_DAYS_M)</f>
        <v/>
      </c>
      <c r="L46" s="111" t="str">
        <f aca="false">IF($B46="","",الموظفون!$M46*$J46/cfg_DAYS_M)</f>
        <v/>
      </c>
      <c r="M46" s="111" t="str">
        <f aca="false">IF($B46="","",الموظفون!$N46*$J46/cfg_DAYS_M)</f>
        <v/>
      </c>
      <c r="N46" s="111" t="str">
        <f aca="false">IF($B46="","",الموظفون!$O46*$J46/cfg_DAYS_M)</f>
        <v/>
      </c>
      <c r="O46" s="151" t="str">
        <f aca="false">IF($B46="","",SUMIFS('الحركات الشهرية'!$F$6:$F$1005,'الحركات الشهرية'!$B$6:$B$1005,$B46,'الحركات الشهرية'!$A$6:$A$1005,$C$3))</f>
        <v/>
      </c>
      <c r="P46" s="111" t="str">
        <f aca="false">IF($B46="","",O46*(الموظفون!$P46+الموظفون!$L46*cfg_OT_P)/cfg_DAYS_M/cfg_HRS)</f>
        <v/>
      </c>
      <c r="Q46" s="111" t="str">
        <f aca="false">IF($B46="","",SUMIFS('الحركات الشهرية'!$G$6:$G$1005,'الحركات الشهرية'!$B$6:$B$1005,$B46,'الحركات الشهرية'!$A$6:$A$1005,$C$3))</f>
        <v/>
      </c>
      <c r="R46" s="111" t="str">
        <f aca="false">IF($B46="","",SUMIFS('الحركات الشهرية'!$H$6:$H$1005,'الحركات الشهرية'!$B$6:$B$1005,$B46,'الحركات الشهرية'!$A$6:$A$1005,$C$3))</f>
        <v/>
      </c>
      <c r="S46" s="111" t="str">
        <f aca="false">IF($B46="","",SUMIFS('سجل الإجازات والحالات'!$N$6:$N$505,'سجل الإجازات والحالات'!$B$6:$B$505,$B46,'سجل الإجازات والحالات'!$O$6:$O$505,$C$3))</f>
        <v/>
      </c>
      <c r="T46" s="152" t="str">
        <f aca="false">IF($B46="","",SUM(K46:N46)+SUM(P46:S46))</f>
        <v/>
      </c>
      <c r="U46" s="111" t="str">
        <f aca="false">IF($B46="","",الموظفون!$S46*IF(E46="سعودي",cfg_G_SE,cfg_G_NE)*G46/cfg_DAYS_M)</f>
        <v/>
      </c>
      <c r="V46" s="111" t="str">
        <f aca="false">IF($B46="","",SUMIFS('الحركات الشهرية'!$I$6:$I$1005,'الحركات الشهرية'!$B$6:$B$1005,$B46,'الحركات الشهرية'!$A$6:$A$1005,$C$3))</f>
        <v/>
      </c>
      <c r="W46" s="111" t="str">
        <f aca="false">IF($B46="","",SUMIFS('الحركات الشهرية'!$J$6:$J$1005,'الحركات الشهرية'!$B$6:$B$1005,$B46,'الحركات الشهرية'!$A$6:$A$1005,$C$3))</f>
        <v/>
      </c>
      <c r="X46" s="111" t="str">
        <f aca="false">IF($B46="","",SUM(U46:W46))</f>
        <v/>
      </c>
      <c r="Y46" s="153" t="str">
        <f aca="false">IF($B46="","",T46-X46)</f>
        <v/>
      </c>
      <c r="Z46" s="111" t="str">
        <f aca="false">IF($B46="","",الموظفون!$S46*IF(E46="سعودي",cfg_G_SR,cfg_G_NR)*G46/cfg_DAYS_M)</f>
        <v/>
      </c>
      <c r="AA46" s="111" t="str">
        <f aca="false">IF($B46="","",الموظفون!$Q46*(cfg_EOS_R1*(MIN(AH46,cfg_EOS_TH)-MIN(AI46,cfg_EOS_TH))+cfg_EOS_R2*(MAX(AH46-cfg_EOS_TH,0)-MAX(AI46-cfg_EOS_TH,0))))</f>
        <v/>
      </c>
      <c r="AB46" s="111" t="str">
        <f aca="false">IF($B46="","",IF(الموظفون!$T46&lt;&gt;"",الموظفون!$T46,IF(AH46&gt;=cfg_LV_TH,cfg_LV_D2,cfg_LV_D1))/cfg_DAYS_Y*AJ46*الموظفون!$R46/cfg_DAYS_M)</f>
        <v/>
      </c>
      <c r="AC46" s="111" t="str">
        <f aca="false">IF($B46="","",IF(AND(الموظفون!$U46="نعم",N(الموظفون!$W46)&gt;0),الموظفون!$V46/الموظفون!$W46*12/cfg_DAYS_Y*AJ46,0))</f>
        <v/>
      </c>
      <c r="AD46" s="111" t="str">
        <f aca="false">IF($B46="","",(IF(الموظفون!$X46&lt;&gt;"",الموظفون!$X46,IF(الموظفون!$E46="غير سعودي",cfg_IQ,0))+IF(الموظفون!$Y46&lt;&gt;"",الموظفون!$Y46,IF(الموظفون!$E46="غير سعودي",cfg_WP,0)))/12*G46/cfg_DAYS_M)</f>
        <v/>
      </c>
      <c r="AE46" s="111" t="str">
        <f aca="false">IF($B46="","",IF(الموظفون!$Z46&lt;&gt;"",الموظفون!$Z46,cfg_MED)/12*G46/cfg_DAYS_M)</f>
        <v/>
      </c>
      <c r="AF46" s="111" t="str">
        <f aca="false">IF($B46="","",N(الموظفون!$AA46)/12*G46/cfg_DAYS_M)</f>
        <v/>
      </c>
      <c r="AG46" s="154" t="str">
        <f aca="false">IF($B46="","",T46+SUM(Z46:AF46))</f>
        <v/>
      </c>
      <c r="AH46" s="155" t="str">
        <f aca="false">IF($B46="","",MAX(0,IF(OR(الموظفون!$AE46="",الموظفون!$AE46&gt;$F$3),$F$3,الموظفون!$AE46)-الموظفون!$H46+1-SUMIFS('سجل الإجازات والحالات'!$AR$6:$AR$505,'سجل الإجازات والحالات'!$B$6:$B$505,$B46))/cfg_DAYS_Y)</f>
        <v/>
      </c>
      <c r="AI46" s="155" t="str">
        <f aca="false">IF($B46="","",MAX(0,IF(OR(الموظفون!$AE46="",الموظفون!$AE46&gt;($E$3-1)),($E$3-1),الموظفون!$AE46)-الموظفون!$H46+1-SUMIFS('سجل الإجازات والحالات'!$AQ$6:$AQ$505,'سجل الإجازات والحالات'!$B$6:$B$505,$B46))/cfg_DAYS_Y)</f>
        <v/>
      </c>
      <c r="AJ46" s="65" t="str">
        <f aca="false">IF($B46="","",MAX(0,AK46-(SUMIFS('سجل الإجازات والحالات'!$AR$6:$AR$505,'سجل الإجازات والحالات'!$B$6:$B$505,$B46)-SUMIFS('سجل الإجازات والحالات'!$AQ$6:$AQ$505,'سجل الإجازات والحالات'!$B$6:$B$505,$B46))))</f>
        <v/>
      </c>
      <c r="AK46" s="65" t="str">
        <f aca="false">IF($B46="","",MAX(0,IF(OR(الموظفون!$AE46="",الموظفون!$AE46&gt;$F$3),$F$3,الموظفون!$AE46)-MAX($E$3,الموظفون!$H46)+1))</f>
        <v/>
      </c>
      <c r="AL46" s="151" t="str">
        <f aca="false">IF($B46="","",SUMIFS('سجل الإجازات والحالات'!$BD$6:$BD$505,'سجل الإجازات والحالات'!$B$6:$B$505,$B46)+SUMIFS('الحركات الشهرية'!$K$6:$K$1005,'الحركات الشهرية'!$B$6:$B$1005,$B46,'الحركات الشهرية'!$A$6:$A$1005,$C$3))</f>
        <v/>
      </c>
      <c r="AM46" s="111" t="str">
        <f aca="false">IF($B46="","",AL46*الموظفون!$R46/cfg_DAYS_M+S46)</f>
        <v/>
      </c>
      <c r="AN46" s="151" t="str">
        <f aca="false">IF($B46="","",SUMIFS('سجل الإجازات والحالات'!$AF$6:$AF$505,'سجل الإجازات والحالات'!$B$6:$B$505,$B46))</f>
        <v/>
      </c>
    </row>
    <row r="47" customFormat="false" ht="15" hidden="false" customHeight="false" outlineLevel="0" collapsed="false">
      <c r="A47" s="115" t="str">
        <f aca="false">IF($B47="","",الموظفون!$A47)</f>
        <v/>
      </c>
      <c r="B47" s="117" t="str">
        <f aca="false">IF(الموظفون!$B47="","",الموظفون!$B47)</f>
        <v/>
      </c>
      <c r="C47" s="117" t="str">
        <f aca="false">IF($B47="","",الموظفون!$C47)</f>
        <v/>
      </c>
      <c r="D47" s="117" t="str">
        <f aca="false">IF($B47="","",الموظفون!$F47)</f>
        <v/>
      </c>
      <c r="E47" s="117" t="str">
        <f aca="false">IF($B47="","",الموظفون!$E47)</f>
        <v/>
      </c>
      <c r="F47" s="117" t="str">
        <f aca="false">IF($B47="","",IF(AK47=0,IF(AND(الموظفون!$AE47&lt;&gt;"",الموظفون!$AE47&lt;$E$3),"✖ منتهي الخدمة","⏳ لم يباشر"),IF(S47&gt;0,"✈ راتب إجازة مقدم",IF(J47=0,"⛔ بدون راتب هذا الشهر",IF(I47&gt;0,"✈ خصم "&amp;ROUND(I47,2)&amp;" يوم بدون أجر",IF(AL47&gt;0,"🌴 إجازة سنوية "&amp;ROUND(AL47,2)&amp;" يوم",IF(H47&gt;0,"⚠ غياب "&amp;ROUND(H47,2)&amp;" يوم","✔ على رأس العمل")))))))</f>
        <v/>
      </c>
      <c r="G47" s="156" t="str">
        <f aca="false">IF($B47="","",IF(AK47&gt;=DAY($F$3),cfg_DAYS_M,MIN(AK47,cfg_DAYS_M)))</f>
        <v/>
      </c>
      <c r="H47" s="156" t="str">
        <f aca="false">IF($B47="","",SUMIFS('الحركات الشهرية'!$D$6:$D$1005,'الحركات الشهرية'!$B$6:$B$1005,$B47,'الحركات الشهرية'!$A$6:$A$1005,$C$3))</f>
        <v/>
      </c>
      <c r="I47" s="156" t="str">
        <f aca="false">IF($B47="","",MIN(G47,IF(AND(AK47&gt;0,AN47&gt;=AK47),G47,AN47)+SUMIFS('الحركات الشهرية'!$E$6:$E$1005,'الحركات الشهرية'!$B$6:$B$1005,$B47,'الحركات الشهرية'!$A$6:$A$1005,$C$3)))</f>
        <v/>
      </c>
      <c r="J47" s="156" t="str">
        <f aca="false">IF($B47="","",MAX(0,G47-H47-I47))</f>
        <v/>
      </c>
      <c r="K47" s="116" t="str">
        <f aca="false">IF($B47="","",الموظفون!$L47*$J47/cfg_DAYS_M)</f>
        <v/>
      </c>
      <c r="L47" s="116" t="str">
        <f aca="false">IF($B47="","",الموظفون!$M47*$J47/cfg_DAYS_M)</f>
        <v/>
      </c>
      <c r="M47" s="116" t="str">
        <f aca="false">IF($B47="","",الموظفون!$N47*$J47/cfg_DAYS_M)</f>
        <v/>
      </c>
      <c r="N47" s="116" t="str">
        <f aca="false">IF($B47="","",الموظفون!$O47*$J47/cfg_DAYS_M)</f>
        <v/>
      </c>
      <c r="O47" s="156" t="str">
        <f aca="false">IF($B47="","",SUMIFS('الحركات الشهرية'!$F$6:$F$1005,'الحركات الشهرية'!$B$6:$B$1005,$B47,'الحركات الشهرية'!$A$6:$A$1005,$C$3))</f>
        <v/>
      </c>
      <c r="P47" s="116" t="str">
        <f aca="false">IF($B47="","",O47*(الموظفون!$P47+الموظفون!$L47*cfg_OT_P)/cfg_DAYS_M/cfg_HRS)</f>
        <v/>
      </c>
      <c r="Q47" s="116" t="str">
        <f aca="false">IF($B47="","",SUMIFS('الحركات الشهرية'!$G$6:$G$1005,'الحركات الشهرية'!$B$6:$B$1005,$B47,'الحركات الشهرية'!$A$6:$A$1005,$C$3))</f>
        <v/>
      </c>
      <c r="R47" s="116" t="str">
        <f aca="false">IF($B47="","",SUMIFS('الحركات الشهرية'!$H$6:$H$1005,'الحركات الشهرية'!$B$6:$B$1005,$B47,'الحركات الشهرية'!$A$6:$A$1005,$C$3))</f>
        <v/>
      </c>
      <c r="S47" s="116" t="str">
        <f aca="false">IF($B47="","",SUMIFS('سجل الإجازات والحالات'!$N$6:$N$505,'سجل الإجازات والحالات'!$B$6:$B$505,$B47,'سجل الإجازات والحالات'!$O$6:$O$505,$C$3))</f>
        <v/>
      </c>
      <c r="T47" s="157" t="str">
        <f aca="false">IF($B47="","",SUM(K47:N47)+SUM(P47:S47))</f>
        <v/>
      </c>
      <c r="U47" s="116" t="str">
        <f aca="false">IF($B47="","",الموظفون!$S47*IF(E47="سعودي",cfg_G_SE,cfg_G_NE)*G47/cfg_DAYS_M)</f>
        <v/>
      </c>
      <c r="V47" s="116" t="str">
        <f aca="false">IF($B47="","",SUMIFS('الحركات الشهرية'!$I$6:$I$1005,'الحركات الشهرية'!$B$6:$B$1005,$B47,'الحركات الشهرية'!$A$6:$A$1005,$C$3))</f>
        <v/>
      </c>
      <c r="W47" s="116" t="str">
        <f aca="false">IF($B47="","",SUMIFS('الحركات الشهرية'!$J$6:$J$1005,'الحركات الشهرية'!$B$6:$B$1005,$B47,'الحركات الشهرية'!$A$6:$A$1005,$C$3))</f>
        <v/>
      </c>
      <c r="X47" s="116" t="str">
        <f aca="false">IF($B47="","",SUM(U47:W47))</f>
        <v/>
      </c>
      <c r="Y47" s="158" t="str">
        <f aca="false">IF($B47="","",T47-X47)</f>
        <v/>
      </c>
      <c r="Z47" s="116" t="str">
        <f aca="false">IF($B47="","",الموظفون!$S47*IF(E47="سعودي",cfg_G_SR,cfg_G_NR)*G47/cfg_DAYS_M)</f>
        <v/>
      </c>
      <c r="AA47" s="116" t="str">
        <f aca="false">IF($B47="","",الموظفون!$Q47*(cfg_EOS_R1*(MIN(AH47,cfg_EOS_TH)-MIN(AI47,cfg_EOS_TH))+cfg_EOS_R2*(MAX(AH47-cfg_EOS_TH,0)-MAX(AI47-cfg_EOS_TH,0))))</f>
        <v/>
      </c>
      <c r="AB47" s="116" t="str">
        <f aca="false">IF($B47="","",IF(الموظفون!$T47&lt;&gt;"",الموظفون!$T47,IF(AH47&gt;=cfg_LV_TH,cfg_LV_D2,cfg_LV_D1))/cfg_DAYS_Y*AJ47*الموظفون!$R47/cfg_DAYS_M)</f>
        <v/>
      </c>
      <c r="AC47" s="116" t="str">
        <f aca="false">IF($B47="","",IF(AND(الموظفون!$U47="نعم",N(الموظفون!$W47)&gt;0),الموظفون!$V47/الموظفون!$W47*12/cfg_DAYS_Y*AJ47,0))</f>
        <v/>
      </c>
      <c r="AD47" s="116" t="str">
        <f aca="false">IF($B47="","",(IF(الموظفون!$X47&lt;&gt;"",الموظفون!$X47,IF(الموظفون!$E47="غير سعودي",cfg_IQ,0))+IF(الموظفون!$Y47&lt;&gt;"",الموظفون!$Y47,IF(الموظفون!$E47="غير سعودي",cfg_WP,0)))/12*G47/cfg_DAYS_M)</f>
        <v/>
      </c>
      <c r="AE47" s="116" t="str">
        <f aca="false">IF($B47="","",IF(الموظفون!$Z47&lt;&gt;"",الموظفون!$Z47,cfg_MED)/12*G47/cfg_DAYS_M)</f>
        <v/>
      </c>
      <c r="AF47" s="116" t="str">
        <f aca="false">IF($B47="","",N(الموظفون!$AA47)/12*G47/cfg_DAYS_M)</f>
        <v/>
      </c>
      <c r="AG47" s="159" t="str">
        <f aca="false">IF($B47="","",T47+SUM(Z47:AF47))</f>
        <v/>
      </c>
      <c r="AH47" s="160" t="str">
        <f aca="false">IF($B47="","",MAX(0,IF(OR(الموظفون!$AE47="",الموظفون!$AE47&gt;$F$3),$F$3,الموظفون!$AE47)-الموظفون!$H47+1-SUMIFS('سجل الإجازات والحالات'!$AR$6:$AR$505,'سجل الإجازات والحالات'!$B$6:$B$505,$B47))/cfg_DAYS_Y)</f>
        <v/>
      </c>
      <c r="AI47" s="160" t="str">
        <f aca="false">IF($B47="","",MAX(0,IF(OR(الموظفون!$AE47="",الموظفون!$AE47&gt;($E$3-1)),($E$3-1),الموظفون!$AE47)-الموظفون!$H47+1-SUMIFS('سجل الإجازات والحالات'!$AQ$6:$AQ$505,'سجل الإجازات والحالات'!$B$6:$B$505,$B47))/cfg_DAYS_Y)</f>
        <v/>
      </c>
      <c r="AJ47" s="133" t="str">
        <f aca="false">IF($B47="","",MAX(0,AK47-(SUMIFS('سجل الإجازات والحالات'!$AR$6:$AR$505,'سجل الإجازات والحالات'!$B$6:$B$505,$B47)-SUMIFS('سجل الإجازات والحالات'!$AQ$6:$AQ$505,'سجل الإجازات والحالات'!$B$6:$B$505,$B47))))</f>
        <v/>
      </c>
      <c r="AK47" s="133" t="str">
        <f aca="false">IF($B47="","",MAX(0,IF(OR(الموظفون!$AE47="",الموظفون!$AE47&gt;$F$3),$F$3,الموظفون!$AE47)-MAX($E$3,الموظفون!$H47)+1))</f>
        <v/>
      </c>
      <c r="AL47" s="156" t="str">
        <f aca="false">IF($B47="","",SUMIFS('سجل الإجازات والحالات'!$BD$6:$BD$505,'سجل الإجازات والحالات'!$B$6:$B$505,$B47)+SUMIFS('الحركات الشهرية'!$K$6:$K$1005,'الحركات الشهرية'!$B$6:$B$1005,$B47,'الحركات الشهرية'!$A$6:$A$1005,$C$3))</f>
        <v/>
      </c>
      <c r="AM47" s="116" t="str">
        <f aca="false">IF($B47="","",AL47*الموظفون!$R47/cfg_DAYS_M+S47)</f>
        <v/>
      </c>
      <c r="AN47" s="156" t="str">
        <f aca="false">IF($B47="","",SUMIFS('سجل الإجازات والحالات'!$AF$6:$AF$505,'سجل الإجازات والحالات'!$B$6:$B$505,$B47))</f>
        <v/>
      </c>
    </row>
    <row r="48" customFormat="false" ht="15" hidden="false" customHeight="false" outlineLevel="0" collapsed="false">
      <c r="A48" s="106" t="str">
        <f aca="false">IF($B48="","",الموظفون!$A48)</f>
        <v/>
      </c>
      <c r="B48" s="114" t="str">
        <f aca="false">IF(الموظفون!$B48="","",الموظفون!$B48)</f>
        <v/>
      </c>
      <c r="C48" s="114" t="str">
        <f aca="false">IF($B48="","",الموظفون!$C48)</f>
        <v/>
      </c>
      <c r="D48" s="114" t="str">
        <f aca="false">IF($B48="","",الموظفون!$F48)</f>
        <v/>
      </c>
      <c r="E48" s="114" t="str">
        <f aca="false">IF($B48="","",الموظفون!$E48)</f>
        <v/>
      </c>
      <c r="F48" s="114" t="str">
        <f aca="false">IF($B48="","",IF(AK48=0,IF(AND(الموظفون!$AE48&lt;&gt;"",الموظفون!$AE48&lt;$E$3),"✖ منتهي الخدمة","⏳ لم يباشر"),IF(S48&gt;0,"✈ راتب إجازة مقدم",IF(J48=0,"⛔ بدون راتب هذا الشهر",IF(I48&gt;0,"✈ خصم "&amp;ROUND(I48,2)&amp;" يوم بدون أجر",IF(AL48&gt;0,"🌴 إجازة سنوية "&amp;ROUND(AL48,2)&amp;" يوم",IF(H48&gt;0,"⚠ غياب "&amp;ROUND(H48,2)&amp;" يوم","✔ على رأس العمل")))))))</f>
        <v/>
      </c>
      <c r="G48" s="151" t="str">
        <f aca="false">IF($B48="","",IF(AK48&gt;=DAY($F$3),cfg_DAYS_M,MIN(AK48,cfg_DAYS_M)))</f>
        <v/>
      </c>
      <c r="H48" s="151" t="str">
        <f aca="false">IF($B48="","",SUMIFS('الحركات الشهرية'!$D$6:$D$1005,'الحركات الشهرية'!$B$6:$B$1005,$B48,'الحركات الشهرية'!$A$6:$A$1005,$C$3))</f>
        <v/>
      </c>
      <c r="I48" s="151" t="str">
        <f aca="false">IF($B48="","",MIN(G48,IF(AND(AK48&gt;0,AN48&gt;=AK48),G48,AN48)+SUMIFS('الحركات الشهرية'!$E$6:$E$1005,'الحركات الشهرية'!$B$6:$B$1005,$B48,'الحركات الشهرية'!$A$6:$A$1005,$C$3)))</f>
        <v/>
      </c>
      <c r="J48" s="151" t="str">
        <f aca="false">IF($B48="","",MAX(0,G48-H48-I48))</f>
        <v/>
      </c>
      <c r="K48" s="111" t="str">
        <f aca="false">IF($B48="","",الموظفون!$L48*$J48/cfg_DAYS_M)</f>
        <v/>
      </c>
      <c r="L48" s="111" t="str">
        <f aca="false">IF($B48="","",الموظفون!$M48*$J48/cfg_DAYS_M)</f>
        <v/>
      </c>
      <c r="M48" s="111" t="str">
        <f aca="false">IF($B48="","",الموظفون!$N48*$J48/cfg_DAYS_M)</f>
        <v/>
      </c>
      <c r="N48" s="111" t="str">
        <f aca="false">IF($B48="","",الموظفون!$O48*$J48/cfg_DAYS_M)</f>
        <v/>
      </c>
      <c r="O48" s="151" t="str">
        <f aca="false">IF($B48="","",SUMIFS('الحركات الشهرية'!$F$6:$F$1005,'الحركات الشهرية'!$B$6:$B$1005,$B48,'الحركات الشهرية'!$A$6:$A$1005,$C$3))</f>
        <v/>
      </c>
      <c r="P48" s="111" t="str">
        <f aca="false">IF($B48="","",O48*(الموظفون!$P48+الموظفون!$L48*cfg_OT_P)/cfg_DAYS_M/cfg_HRS)</f>
        <v/>
      </c>
      <c r="Q48" s="111" t="str">
        <f aca="false">IF($B48="","",SUMIFS('الحركات الشهرية'!$G$6:$G$1005,'الحركات الشهرية'!$B$6:$B$1005,$B48,'الحركات الشهرية'!$A$6:$A$1005,$C$3))</f>
        <v/>
      </c>
      <c r="R48" s="111" t="str">
        <f aca="false">IF($B48="","",SUMIFS('الحركات الشهرية'!$H$6:$H$1005,'الحركات الشهرية'!$B$6:$B$1005,$B48,'الحركات الشهرية'!$A$6:$A$1005,$C$3))</f>
        <v/>
      </c>
      <c r="S48" s="111" t="str">
        <f aca="false">IF($B48="","",SUMIFS('سجل الإجازات والحالات'!$N$6:$N$505,'سجل الإجازات والحالات'!$B$6:$B$505,$B48,'سجل الإجازات والحالات'!$O$6:$O$505,$C$3))</f>
        <v/>
      </c>
      <c r="T48" s="152" t="str">
        <f aca="false">IF($B48="","",SUM(K48:N48)+SUM(P48:S48))</f>
        <v/>
      </c>
      <c r="U48" s="111" t="str">
        <f aca="false">IF($B48="","",الموظفون!$S48*IF(E48="سعودي",cfg_G_SE,cfg_G_NE)*G48/cfg_DAYS_M)</f>
        <v/>
      </c>
      <c r="V48" s="111" t="str">
        <f aca="false">IF($B48="","",SUMIFS('الحركات الشهرية'!$I$6:$I$1005,'الحركات الشهرية'!$B$6:$B$1005,$B48,'الحركات الشهرية'!$A$6:$A$1005,$C$3))</f>
        <v/>
      </c>
      <c r="W48" s="111" t="str">
        <f aca="false">IF($B48="","",SUMIFS('الحركات الشهرية'!$J$6:$J$1005,'الحركات الشهرية'!$B$6:$B$1005,$B48,'الحركات الشهرية'!$A$6:$A$1005,$C$3))</f>
        <v/>
      </c>
      <c r="X48" s="111" t="str">
        <f aca="false">IF($B48="","",SUM(U48:W48))</f>
        <v/>
      </c>
      <c r="Y48" s="153" t="str">
        <f aca="false">IF($B48="","",T48-X48)</f>
        <v/>
      </c>
      <c r="Z48" s="111" t="str">
        <f aca="false">IF($B48="","",الموظفون!$S48*IF(E48="سعودي",cfg_G_SR,cfg_G_NR)*G48/cfg_DAYS_M)</f>
        <v/>
      </c>
      <c r="AA48" s="111" t="str">
        <f aca="false">IF($B48="","",الموظفون!$Q48*(cfg_EOS_R1*(MIN(AH48,cfg_EOS_TH)-MIN(AI48,cfg_EOS_TH))+cfg_EOS_R2*(MAX(AH48-cfg_EOS_TH,0)-MAX(AI48-cfg_EOS_TH,0))))</f>
        <v/>
      </c>
      <c r="AB48" s="111" t="str">
        <f aca="false">IF($B48="","",IF(الموظفون!$T48&lt;&gt;"",الموظفون!$T48,IF(AH48&gt;=cfg_LV_TH,cfg_LV_D2,cfg_LV_D1))/cfg_DAYS_Y*AJ48*الموظفون!$R48/cfg_DAYS_M)</f>
        <v/>
      </c>
      <c r="AC48" s="111" t="str">
        <f aca="false">IF($B48="","",IF(AND(الموظفون!$U48="نعم",N(الموظفون!$W48)&gt;0),الموظفون!$V48/الموظفون!$W48*12/cfg_DAYS_Y*AJ48,0))</f>
        <v/>
      </c>
      <c r="AD48" s="111" t="str">
        <f aca="false">IF($B48="","",(IF(الموظفون!$X48&lt;&gt;"",الموظفون!$X48,IF(الموظفون!$E48="غير سعودي",cfg_IQ,0))+IF(الموظفون!$Y48&lt;&gt;"",الموظفون!$Y48,IF(الموظفون!$E48="غير سعودي",cfg_WP,0)))/12*G48/cfg_DAYS_M)</f>
        <v/>
      </c>
      <c r="AE48" s="111" t="str">
        <f aca="false">IF($B48="","",IF(الموظفون!$Z48&lt;&gt;"",الموظفون!$Z48,cfg_MED)/12*G48/cfg_DAYS_M)</f>
        <v/>
      </c>
      <c r="AF48" s="111" t="str">
        <f aca="false">IF($B48="","",N(الموظفون!$AA48)/12*G48/cfg_DAYS_M)</f>
        <v/>
      </c>
      <c r="AG48" s="154" t="str">
        <f aca="false">IF($B48="","",T48+SUM(Z48:AF48))</f>
        <v/>
      </c>
      <c r="AH48" s="155" t="str">
        <f aca="false">IF($B48="","",MAX(0,IF(OR(الموظفون!$AE48="",الموظفون!$AE48&gt;$F$3),$F$3,الموظفون!$AE48)-الموظفون!$H48+1-SUMIFS('سجل الإجازات والحالات'!$AR$6:$AR$505,'سجل الإجازات والحالات'!$B$6:$B$505,$B48))/cfg_DAYS_Y)</f>
        <v/>
      </c>
      <c r="AI48" s="155" t="str">
        <f aca="false">IF($B48="","",MAX(0,IF(OR(الموظفون!$AE48="",الموظفون!$AE48&gt;($E$3-1)),($E$3-1),الموظفون!$AE48)-الموظفون!$H48+1-SUMIFS('سجل الإجازات والحالات'!$AQ$6:$AQ$505,'سجل الإجازات والحالات'!$B$6:$B$505,$B48))/cfg_DAYS_Y)</f>
        <v/>
      </c>
      <c r="AJ48" s="65" t="str">
        <f aca="false">IF($B48="","",MAX(0,AK48-(SUMIFS('سجل الإجازات والحالات'!$AR$6:$AR$505,'سجل الإجازات والحالات'!$B$6:$B$505,$B48)-SUMIFS('سجل الإجازات والحالات'!$AQ$6:$AQ$505,'سجل الإجازات والحالات'!$B$6:$B$505,$B48))))</f>
        <v/>
      </c>
      <c r="AK48" s="65" t="str">
        <f aca="false">IF($B48="","",MAX(0,IF(OR(الموظفون!$AE48="",الموظفون!$AE48&gt;$F$3),$F$3,الموظفون!$AE48)-MAX($E$3,الموظفون!$H48)+1))</f>
        <v/>
      </c>
      <c r="AL48" s="151" t="str">
        <f aca="false">IF($B48="","",SUMIFS('سجل الإجازات والحالات'!$BD$6:$BD$505,'سجل الإجازات والحالات'!$B$6:$B$505,$B48)+SUMIFS('الحركات الشهرية'!$K$6:$K$1005,'الحركات الشهرية'!$B$6:$B$1005,$B48,'الحركات الشهرية'!$A$6:$A$1005,$C$3))</f>
        <v/>
      </c>
      <c r="AM48" s="111" t="str">
        <f aca="false">IF($B48="","",AL48*الموظفون!$R48/cfg_DAYS_M+S48)</f>
        <v/>
      </c>
      <c r="AN48" s="151" t="str">
        <f aca="false">IF($B48="","",SUMIFS('سجل الإجازات والحالات'!$AF$6:$AF$505,'سجل الإجازات والحالات'!$B$6:$B$505,$B48))</f>
        <v/>
      </c>
    </row>
    <row r="49" customFormat="false" ht="15" hidden="false" customHeight="false" outlineLevel="0" collapsed="false">
      <c r="A49" s="115" t="str">
        <f aca="false">IF($B49="","",الموظفون!$A49)</f>
        <v/>
      </c>
      <c r="B49" s="117" t="str">
        <f aca="false">IF(الموظفون!$B49="","",الموظفون!$B49)</f>
        <v/>
      </c>
      <c r="C49" s="117" t="str">
        <f aca="false">IF($B49="","",الموظفون!$C49)</f>
        <v/>
      </c>
      <c r="D49" s="117" t="str">
        <f aca="false">IF($B49="","",الموظفون!$F49)</f>
        <v/>
      </c>
      <c r="E49" s="117" t="str">
        <f aca="false">IF($B49="","",الموظفون!$E49)</f>
        <v/>
      </c>
      <c r="F49" s="117" t="str">
        <f aca="false">IF($B49="","",IF(AK49=0,IF(AND(الموظفون!$AE49&lt;&gt;"",الموظفون!$AE49&lt;$E$3),"✖ منتهي الخدمة","⏳ لم يباشر"),IF(S49&gt;0,"✈ راتب إجازة مقدم",IF(J49=0,"⛔ بدون راتب هذا الشهر",IF(I49&gt;0,"✈ خصم "&amp;ROUND(I49,2)&amp;" يوم بدون أجر",IF(AL49&gt;0,"🌴 إجازة سنوية "&amp;ROUND(AL49,2)&amp;" يوم",IF(H49&gt;0,"⚠ غياب "&amp;ROUND(H49,2)&amp;" يوم","✔ على رأس العمل")))))))</f>
        <v/>
      </c>
      <c r="G49" s="156" t="str">
        <f aca="false">IF($B49="","",IF(AK49&gt;=DAY($F$3),cfg_DAYS_M,MIN(AK49,cfg_DAYS_M)))</f>
        <v/>
      </c>
      <c r="H49" s="156" t="str">
        <f aca="false">IF($B49="","",SUMIFS('الحركات الشهرية'!$D$6:$D$1005,'الحركات الشهرية'!$B$6:$B$1005,$B49,'الحركات الشهرية'!$A$6:$A$1005,$C$3))</f>
        <v/>
      </c>
      <c r="I49" s="156" t="str">
        <f aca="false">IF($B49="","",MIN(G49,IF(AND(AK49&gt;0,AN49&gt;=AK49),G49,AN49)+SUMIFS('الحركات الشهرية'!$E$6:$E$1005,'الحركات الشهرية'!$B$6:$B$1005,$B49,'الحركات الشهرية'!$A$6:$A$1005,$C$3)))</f>
        <v/>
      </c>
      <c r="J49" s="156" t="str">
        <f aca="false">IF($B49="","",MAX(0,G49-H49-I49))</f>
        <v/>
      </c>
      <c r="K49" s="116" t="str">
        <f aca="false">IF($B49="","",الموظفون!$L49*$J49/cfg_DAYS_M)</f>
        <v/>
      </c>
      <c r="L49" s="116" t="str">
        <f aca="false">IF($B49="","",الموظفون!$M49*$J49/cfg_DAYS_M)</f>
        <v/>
      </c>
      <c r="M49" s="116" t="str">
        <f aca="false">IF($B49="","",الموظفون!$N49*$J49/cfg_DAYS_M)</f>
        <v/>
      </c>
      <c r="N49" s="116" t="str">
        <f aca="false">IF($B49="","",الموظفون!$O49*$J49/cfg_DAYS_M)</f>
        <v/>
      </c>
      <c r="O49" s="156" t="str">
        <f aca="false">IF($B49="","",SUMIFS('الحركات الشهرية'!$F$6:$F$1005,'الحركات الشهرية'!$B$6:$B$1005,$B49,'الحركات الشهرية'!$A$6:$A$1005,$C$3))</f>
        <v/>
      </c>
      <c r="P49" s="116" t="str">
        <f aca="false">IF($B49="","",O49*(الموظفون!$P49+الموظفون!$L49*cfg_OT_P)/cfg_DAYS_M/cfg_HRS)</f>
        <v/>
      </c>
      <c r="Q49" s="116" t="str">
        <f aca="false">IF($B49="","",SUMIFS('الحركات الشهرية'!$G$6:$G$1005,'الحركات الشهرية'!$B$6:$B$1005,$B49,'الحركات الشهرية'!$A$6:$A$1005,$C$3))</f>
        <v/>
      </c>
      <c r="R49" s="116" t="str">
        <f aca="false">IF($B49="","",SUMIFS('الحركات الشهرية'!$H$6:$H$1005,'الحركات الشهرية'!$B$6:$B$1005,$B49,'الحركات الشهرية'!$A$6:$A$1005,$C$3))</f>
        <v/>
      </c>
      <c r="S49" s="116" t="str">
        <f aca="false">IF($B49="","",SUMIFS('سجل الإجازات والحالات'!$N$6:$N$505,'سجل الإجازات والحالات'!$B$6:$B$505,$B49,'سجل الإجازات والحالات'!$O$6:$O$505,$C$3))</f>
        <v/>
      </c>
      <c r="T49" s="157" t="str">
        <f aca="false">IF($B49="","",SUM(K49:N49)+SUM(P49:S49))</f>
        <v/>
      </c>
      <c r="U49" s="116" t="str">
        <f aca="false">IF($B49="","",الموظفون!$S49*IF(E49="سعودي",cfg_G_SE,cfg_G_NE)*G49/cfg_DAYS_M)</f>
        <v/>
      </c>
      <c r="V49" s="116" t="str">
        <f aca="false">IF($B49="","",SUMIFS('الحركات الشهرية'!$I$6:$I$1005,'الحركات الشهرية'!$B$6:$B$1005,$B49,'الحركات الشهرية'!$A$6:$A$1005,$C$3))</f>
        <v/>
      </c>
      <c r="W49" s="116" t="str">
        <f aca="false">IF($B49="","",SUMIFS('الحركات الشهرية'!$J$6:$J$1005,'الحركات الشهرية'!$B$6:$B$1005,$B49,'الحركات الشهرية'!$A$6:$A$1005,$C$3))</f>
        <v/>
      </c>
      <c r="X49" s="116" t="str">
        <f aca="false">IF($B49="","",SUM(U49:W49))</f>
        <v/>
      </c>
      <c r="Y49" s="158" t="str">
        <f aca="false">IF($B49="","",T49-X49)</f>
        <v/>
      </c>
      <c r="Z49" s="116" t="str">
        <f aca="false">IF($B49="","",الموظفون!$S49*IF(E49="سعودي",cfg_G_SR,cfg_G_NR)*G49/cfg_DAYS_M)</f>
        <v/>
      </c>
      <c r="AA49" s="116" t="str">
        <f aca="false">IF($B49="","",الموظفون!$Q49*(cfg_EOS_R1*(MIN(AH49,cfg_EOS_TH)-MIN(AI49,cfg_EOS_TH))+cfg_EOS_R2*(MAX(AH49-cfg_EOS_TH,0)-MAX(AI49-cfg_EOS_TH,0))))</f>
        <v/>
      </c>
      <c r="AB49" s="116" t="str">
        <f aca="false">IF($B49="","",IF(الموظفون!$T49&lt;&gt;"",الموظفون!$T49,IF(AH49&gt;=cfg_LV_TH,cfg_LV_D2,cfg_LV_D1))/cfg_DAYS_Y*AJ49*الموظفون!$R49/cfg_DAYS_M)</f>
        <v/>
      </c>
      <c r="AC49" s="116" t="str">
        <f aca="false">IF($B49="","",IF(AND(الموظفون!$U49="نعم",N(الموظفون!$W49)&gt;0),الموظفون!$V49/الموظفون!$W49*12/cfg_DAYS_Y*AJ49,0))</f>
        <v/>
      </c>
      <c r="AD49" s="116" t="str">
        <f aca="false">IF($B49="","",(IF(الموظفون!$X49&lt;&gt;"",الموظفون!$X49,IF(الموظفون!$E49="غير سعودي",cfg_IQ,0))+IF(الموظفون!$Y49&lt;&gt;"",الموظفون!$Y49,IF(الموظفون!$E49="غير سعودي",cfg_WP,0)))/12*G49/cfg_DAYS_M)</f>
        <v/>
      </c>
      <c r="AE49" s="116" t="str">
        <f aca="false">IF($B49="","",IF(الموظفون!$Z49&lt;&gt;"",الموظفون!$Z49,cfg_MED)/12*G49/cfg_DAYS_M)</f>
        <v/>
      </c>
      <c r="AF49" s="116" t="str">
        <f aca="false">IF($B49="","",N(الموظفون!$AA49)/12*G49/cfg_DAYS_M)</f>
        <v/>
      </c>
      <c r="AG49" s="159" t="str">
        <f aca="false">IF($B49="","",T49+SUM(Z49:AF49))</f>
        <v/>
      </c>
      <c r="AH49" s="160" t="str">
        <f aca="false">IF($B49="","",MAX(0,IF(OR(الموظفون!$AE49="",الموظفون!$AE49&gt;$F$3),$F$3,الموظفون!$AE49)-الموظفون!$H49+1-SUMIFS('سجل الإجازات والحالات'!$AR$6:$AR$505,'سجل الإجازات والحالات'!$B$6:$B$505,$B49))/cfg_DAYS_Y)</f>
        <v/>
      </c>
      <c r="AI49" s="160" t="str">
        <f aca="false">IF($B49="","",MAX(0,IF(OR(الموظفون!$AE49="",الموظفون!$AE49&gt;($E$3-1)),($E$3-1),الموظفون!$AE49)-الموظفون!$H49+1-SUMIFS('سجل الإجازات والحالات'!$AQ$6:$AQ$505,'سجل الإجازات والحالات'!$B$6:$B$505,$B49))/cfg_DAYS_Y)</f>
        <v/>
      </c>
      <c r="AJ49" s="133" t="str">
        <f aca="false">IF($B49="","",MAX(0,AK49-(SUMIFS('سجل الإجازات والحالات'!$AR$6:$AR$505,'سجل الإجازات والحالات'!$B$6:$B$505,$B49)-SUMIFS('سجل الإجازات والحالات'!$AQ$6:$AQ$505,'سجل الإجازات والحالات'!$B$6:$B$505,$B49))))</f>
        <v/>
      </c>
      <c r="AK49" s="133" t="str">
        <f aca="false">IF($B49="","",MAX(0,IF(OR(الموظفون!$AE49="",الموظفون!$AE49&gt;$F$3),$F$3,الموظفون!$AE49)-MAX($E$3,الموظفون!$H49)+1))</f>
        <v/>
      </c>
      <c r="AL49" s="156" t="str">
        <f aca="false">IF($B49="","",SUMIFS('سجل الإجازات والحالات'!$BD$6:$BD$505,'سجل الإجازات والحالات'!$B$6:$B$505,$B49)+SUMIFS('الحركات الشهرية'!$K$6:$K$1005,'الحركات الشهرية'!$B$6:$B$1005,$B49,'الحركات الشهرية'!$A$6:$A$1005,$C$3))</f>
        <v/>
      </c>
      <c r="AM49" s="116" t="str">
        <f aca="false">IF($B49="","",AL49*الموظفون!$R49/cfg_DAYS_M+S49)</f>
        <v/>
      </c>
      <c r="AN49" s="156" t="str">
        <f aca="false">IF($B49="","",SUMIFS('سجل الإجازات والحالات'!$AF$6:$AF$505,'سجل الإجازات والحالات'!$B$6:$B$505,$B49))</f>
        <v/>
      </c>
    </row>
    <row r="50" customFormat="false" ht="15" hidden="false" customHeight="false" outlineLevel="0" collapsed="false">
      <c r="A50" s="106" t="str">
        <f aca="false">IF($B50="","",الموظفون!$A50)</f>
        <v/>
      </c>
      <c r="B50" s="114" t="str">
        <f aca="false">IF(الموظفون!$B50="","",الموظفون!$B50)</f>
        <v/>
      </c>
      <c r="C50" s="114" t="str">
        <f aca="false">IF($B50="","",الموظفون!$C50)</f>
        <v/>
      </c>
      <c r="D50" s="114" t="str">
        <f aca="false">IF($B50="","",الموظفون!$F50)</f>
        <v/>
      </c>
      <c r="E50" s="114" t="str">
        <f aca="false">IF($B50="","",الموظفون!$E50)</f>
        <v/>
      </c>
      <c r="F50" s="114" t="str">
        <f aca="false">IF($B50="","",IF(AK50=0,IF(AND(الموظفون!$AE50&lt;&gt;"",الموظفون!$AE50&lt;$E$3),"✖ منتهي الخدمة","⏳ لم يباشر"),IF(S50&gt;0,"✈ راتب إجازة مقدم",IF(J50=0,"⛔ بدون راتب هذا الشهر",IF(I50&gt;0,"✈ خصم "&amp;ROUND(I50,2)&amp;" يوم بدون أجر",IF(AL50&gt;0,"🌴 إجازة سنوية "&amp;ROUND(AL50,2)&amp;" يوم",IF(H50&gt;0,"⚠ غياب "&amp;ROUND(H50,2)&amp;" يوم","✔ على رأس العمل")))))))</f>
        <v/>
      </c>
      <c r="G50" s="151" t="str">
        <f aca="false">IF($B50="","",IF(AK50&gt;=DAY($F$3),cfg_DAYS_M,MIN(AK50,cfg_DAYS_M)))</f>
        <v/>
      </c>
      <c r="H50" s="151" t="str">
        <f aca="false">IF($B50="","",SUMIFS('الحركات الشهرية'!$D$6:$D$1005,'الحركات الشهرية'!$B$6:$B$1005,$B50,'الحركات الشهرية'!$A$6:$A$1005,$C$3))</f>
        <v/>
      </c>
      <c r="I50" s="151" t="str">
        <f aca="false">IF($B50="","",MIN(G50,IF(AND(AK50&gt;0,AN50&gt;=AK50),G50,AN50)+SUMIFS('الحركات الشهرية'!$E$6:$E$1005,'الحركات الشهرية'!$B$6:$B$1005,$B50,'الحركات الشهرية'!$A$6:$A$1005,$C$3)))</f>
        <v/>
      </c>
      <c r="J50" s="151" t="str">
        <f aca="false">IF($B50="","",MAX(0,G50-H50-I50))</f>
        <v/>
      </c>
      <c r="K50" s="111" t="str">
        <f aca="false">IF($B50="","",الموظفون!$L50*$J50/cfg_DAYS_M)</f>
        <v/>
      </c>
      <c r="L50" s="111" t="str">
        <f aca="false">IF($B50="","",الموظفون!$M50*$J50/cfg_DAYS_M)</f>
        <v/>
      </c>
      <c r="M50" s="111" t="str">
        <f aca="false">IF($B50="","",الموظفون!$N50*$J50/cfg_DAYS_M)</f>
        <v/>
      </c>
      <c r="N50" s="111" t="str">
        <f aca="false">IF($B50="","",الموظفون!$O50*$J50/cfg_DAYS_M)</f>
        <v/>
      </c>
      <c r="O50" s="151" t="str">
        <f aca="false">IF($B50="","",SUMIFS('الحركات الشهرية'!$F$6:$F$1005,'الحركات الشهرية'!$B$6:$B$1005,$B50,'الحركات الشهرية'!$A$6:$A$1005,$C$3))</f>
        <v/>
      </c>
      <c r="P50" s="111" t="str">
        <f aca="false">IF($B50="","",O50*(الموظفون!$P50+الموظفون!$L50*cfg_OT_P)/cfg_DAYS_M/cfg_HRS)</f>
        <v/>
      </c>
      <c r="Q50" s="111" t="str">
        <f aca="false">IF($B50="","",SUMIFS('الحركات الشهرية'!$G$6:$G$1005,'الحركات الشهرية'!$B$6:$B$1005,$B50,'الحركات الشهرية'!$A$6:$A$1005,$C$3))</f>
        <v/>
      </c>
      <c r="R50" s="111" t="str">
        <f aca="false">IF($B50="","",SUMIFS('الحركات الشهرية'!$H$6:$H$1005,'الحركات الشهرية'!$B$6:$B$1005,$B50,'الحركات الشهرية'!$A$6:$A$1005,$C$3))</f>
        <v/>
      </c>
      <c r="S50" s="111" t="str">
        <f aca="false">IF($B50="","",SUMIFS('سجل الإجازات والحالات'!$N$6:$N$505,'سجل الإجازات والحالات'!$B$6:$B$505,$B50,'سجل الإجازات والحالات'!$O$6:$O$505,$C$3))</f>
        <v/>
      </c>
      <c r="T50" s="152" t="str">
        <f aca="false">IF($B50="","",SUM(K50:N50)+SUM(P50:S50))</f>
        <v/>
      </c>
      <c r="U50" s="111" t="str">
        <f aca="false">IF($B50="","",الموظفون!$S50*IF(E50="سعودي",cfg_G_SE,cfg_G_NE)*G50/cfg_DAYS_M)</f>
        <v/>
      </c>
      <c r="V50" s="111" t="str">
        <f aca="false">IF($B50="","",SUMIFS('الحركات الشهرية'!$I$6:$I$1005,'الحركات الشهرية'!$B$6:$B$1005,$B50,'الحركات الشهرية'!$A$6:$A$1005,$C$3))</f>
        <v/>
      </c>
      <c r="W50" s="111" t="str">
        <f aca="false">IF($B50="","",SUMIFS('الحركات الشهرية'!$J$6:$J$1005,'الحركات الشهرية'!$B$6:$B$1005,$B50,'الحركات الشهرية'!$A$6:$A$1005,$C$3))</f>
        <v/>
      </c>
      <c r="X50" s="111" t="str">
        <f aca="false">IF($B50="","",SUM(U50:W50))</f>
        <v/>
      </c>
      <c r="Y50" s="153" t="str">
        <f aca="false">IF($B50="","",T50-X50)</f>
        <v/>
      </c>
      <c r="Z50" s="111" t="str">
        <f aca="false">IF($B50="","",الموظفون!$S50*IF(E50="سعودي",cfg_G_SR,cfg_G_NR)*G50/cfg_DAYS_M)</f>
        <v/>
      </c>
      <c r="AA50" s="111" t="str">
        <f aca="false">IF($B50="","",الموظفون!$Q50*(cfg_EOS_R1*(MIN(AH50,cfg_EOS_TH)-MIN(AI50,cfg_EOS_TH))+cfg_EOS_R2*(MAX(AH50-cfg_EOS_TH,0)-MAX(AI50-cfg_EOS_TH,0))))</f>
        <v/>
      </c>
      <c r="AB50" s="111" t="str">
        <f aca="false">IF($B50="","",IF(الموظفون!$T50&lt;&gt;"",الموظفون!$T50,IF(AH50&gt;=cfg_LV_TH,cfg_LV_D2,cfg_LV_D1))/cfg_DAYS_Y*AJ50*الموظفون!$R50/cfg_DAYS_M)</f>
        <v/>
      </c>
      <c r="AC50" s="111" t="str">
        <f aca="false">IF($B50="","",IF(AND(الموظفون!$U50="نعم",N(الموظفون!$W50)&gt;0),الموظفون!$V50/الموظفون!$W50*12/cfg_DAYS_Y*AJ50,0))</f>
        <v/>
      </c>
      <c r="AD50" s="111" t="str">
        <f aca="false">IF($B50="","",(IF(الموظفون!$X50&lt;&gt;"",الموظفون!$X50,IF(الموظفون!$E50="غير سعودي",cfg_IQ,0))+IF(الموظفون!$Y50&lt;&gt;"",الموظفون!$Y50,IF(الموظفون!$E50="غير سعودي",cfg_WP,0)))/12*G50/cfg_DAYS_M)</f>
        <v/>
      </c>
      <c r="AE50" s="111" t="str">
        <f aca="false">IF($B50="","",IF(الموظفون!$Z50&lt;&gt;"",الموظفون!$Z50,cfg_MED)/12*G50/cfg_DAYS_M)</f>
        <v/>
      </c>
      <c r="AF50" s="111" t="str">
        <f aca="false">IF($B50="","",N(الموظفون!$AA50)/12*G50/cfg_DAYS_M)</f>
        <v/>
      </c>
      <c r="AG50" s="154" t="str">
        <f aca="false">IF($B50="","",T50+SUM(Z50:AF50))</f>
        <v/>
      </c>
      <c r="AH50" s="155" t="str">
        <f aca="false">IF($B50="","",MAX(0,IF(OR(الموظفون!$AE50="",الموظفون!$AE50&gt;$F$3),$F$3,الموظفون!$AE50)-الموظفون!$H50+1-SUMIFS('سجل الإجازات والحالات'!$AR$6:$AR$505,'سجل الإجازات والحالات'!$B$6:$B$505,$B50))/cfg_DAYS_Y)</f>
        <v/>
      </c>
      <c r="AI50" s="155" t="str">
        <f aca="false">IF($B50="","",MAX(0,IF(OR(الموظفون!$AE50="",الموظفون!$AE50&gt;($E$3-1)),($E$3-1),الموظفون!$AE50)-الموظفون!$H50+1-SUMIFS('سجل الإجازات والحالات'!$AQ$6:$AQ$505,'سجل الإجازات والحالات'!$B$6:$B$505,$B50))/cfg_DAYS_Y)</f>
        <v/>
      </c>
      <c r="AJ50" s="65" t="str">
        <f aca="false">IF($B50="","",MAX(0,AK50-(SUMIFS('سجل الإجازات والحالات'!$AR$6:$AR$505,'سجل الإجازات والحالات'!$B$6:$B$505,$B50)-SUMIFS('سجل الإجازات والحالات'!$AQ$6:$AQ$505,'سجل الإجازات والحالات'!$B$6:$B$505,$B50))))</f>
        <v/>
      </c>
      <c r="AK50" s="65" t="str">
        <f aca="false">IF($B50="","",MAX(0,IF(OR(الموظفون!$AE50="",الموظفون!$AE50&gt;$F$3),$F$3,الموظفون!$AE50)-MAX($E$3,الموظفون!$H50)+1))</f>
        <v/>
      </c>
      <c r="AL50" s="151" t="str">
        <f aca="false">IF($B50="","",SUMIFS('سجل الإجازات والحالات'!$BD$6:$BD$505,'سجل الإجازات والحالات'!$B$6:$B$505,$B50)+SUMIFS('الحركات الشهرية'!$K$6:$K$1005,'الحركات الشهرية'!$B$6:$B$1005,$B50,'الحركات الشهرية'!$A$6:$A$1005,$C$3))</f>
        <v/>
      </c>
      <c r="AM50" s="111" t="str">
        <f aca="false">IF($B50="","",AL50*الموظفون!$R50/cfg_DAYS_M+S50)</f>
        <v/>
      </c>
      <c r="AN50" s="151" t="str">
        <f aca="false">IF($B50="","",SUMIFS('سجل الإجازات والحالات'!$AF$6:$AF$505,'سجل الإجازات والحالات'!$B$6:$B$505,$B50))</f>
        <v/>
      </c>
    </row>
    <row r="51" customFormat="false" ht="15" hidden="false" customHeight="false" outlineLevel="0" collapsed="false">
      <c r="A51" s="115" t="str">
        <f aca="false">IF($B51="","",الموظفون!$A51)</f>
        <v/>
      </c>
      <c r="B51" s="117" t="str">
        <f aca="false">IF(الموظفون!$B51="","",الموظفون!$B51)</f>
        <v/>
      </c>
      <c r="C51" s="117" t="str">
        <f aca="false">IF($B51="","",الموظفون!$C51)</f>
        <v/>
      </c>
      <c r="D51" s="117" t="str">
        <f aca="false">IF($B51="","",الموظفون!$F51)</f>
        <v/>
      </c>
      <c r="E51" s="117" t="str">
        <f aca="false">IF($B51="","",الموظفون!$E51)</f>
        <v/>
      </c>
      <c r="F51" s="117" t="str">
        <f aca="false">IF($B51="","",IF(AK51=0,IF(AND(الموظفون!$AE51&lt;&gt;"",الموظفون!$AE51&lt;$E$3),"✖ منتهي الخدمة","⏳ لم يباشر"),IF(S51&gt;0,"✈ راتب إجازة مقدم",IF(J51=0,"⛔ بدون راتب هذا الشهر",IF(I51&gt;0,"✈ خصم "&amp;ROUND(I51,2)&amp;" يوم بدون أجر",IF(AL51&gt;0,"🌴 إجازة سنوية "&amp;ROUND(AL51,2)&amp;" يوم",IF(H51&gt;0,"⚠ غياب "&amp;ROUND(H51,2)&amp;" يوم","✔ على رأس العمل")))))))</f>
        <v/>
      </c>
      <c r="G51" s="156" t="str">
        <f aca="false">IF($B51="","",IF(AK51&gt;=DAY($F$3),cfg_DAYS_M,MIN(AK51,cfg_DAYS_M)))</f>
        <v/>
      </c>
      <c r="H51" s="156" t="str">
        <f aca="false">IF($B51="","",SUMIFS('الحركات الشهرية'!$D$6:$D$1005,'الحركات الشهرية'!$B$6:$B$1005,$B51,'الحركات الشهرية'!$A$6:$A$1005,$C$3))</f>
        <v/>
      </c>
      <c r="I51" s="156" t="str">
        <f aca="false">IF($B51="","",MIN(G51,IF(AND(AK51&gt;0,AN51&gt;=AK51),G51,AN51)+SUMIFS('الحركات الشهرية'!$E$6:$E$1005,'الحركات الشهرية'!$B$6:$B$1005,$B51,'الحركات الشهرية'!$A$6:$A$1005,$C$3)))</f>
        <v/>
      </c>
      <c r="J51" s="156" t="str">
        <f aca="false">IF($B51="","",MAX(0,G51-H51-I51))</f>
        <v/>
      </c>
      <c r="K51" s="116" t="str">
        <f aca="false">IF($B51="","",الموظفون!$L51*$J51/cfg_DAYS_M)</f>
        <v/>
      </c>
      <c r="L51" s="116" t="str">
        <f aca="false">IF($B51="","",الموظفون!$M51*$J51/cfg_DAYS_M)</f>
        <v/>
      </c>
      <c r="M51" s="116" t="str">
        <f aca="false">IF($B51="","",الموظفون!$N51*$J51/cfg_DAYS_M)</f>
        <v/>
      </c>
      <c r="N51" s="116" t="str">
        <f aca="false">IF($B51="","",الموظفون!$O51*$J51/cfg_DAYS_M)</f>
        <v/>
      </c>
      <c r="O51" s="156" t="str">
        <f aca="false">IF($B51="","",SUMIFS('الحركات الشهرية'!$F$6:$F$1005,'الحركات الشهرية'!$B$6:$B$1005,$B51,'الحركات الشهرية'!$A$6:$A$1005,$C$3))</f>
        <v/>
      </c>
      <c r="P51" s="116" t="str">
        <f aca="false">IF($B51="","",O51*(الموظفون!$P51+الموظفون!$L51*cfg_OT_P)/cfg_DAYS_M/cfg_HRS)</f>
        <v/>
      </c>
      <c r="Q51" s="116" t="str">
        <f aca="false">IF($B51="","",SUMIFS('الحركات الشهرية'!$G$6:$G$1005,'الحركات الشهرية'!$B$6:$B$1005,$B51,'الحركات الشهرية'!$A$6:$A$1005,$C$3))</f>
        <v/>
      </c>
      <c r="R51" s="116" t="str">
        <f aca="false">IF($B51="","",SUMIFS('الحركات الشهرية'!$H$6:$H$1005,'الحركات الشهرية'!$B$6:$B$1005,$B51,'الحركات الشهرية'!$A$6:$A$1005,$C$3))</f>
        <v/>
      </c>
      <c r="S51" s="116" t="str">
        <f aca="false">IF($B51="","",SUMIFS('سجل الإجازات والحالات'!$N$6:$N$505,'سجل الإجازات والحالات'!$B$6:$B$505,$B51,'سجل الإجازات والحالات'!$O$6:$O$505,$C$3))</f>
        <v/>
      </c>
      <c r="T51" s="157" t="str">
        <f aca="false">IF($B51="","",SUM(K51:N51)+SUM(P51:S51))</f>
        <v/>
      </c>
      <c r="U51" s="116" t="str">
        <f aca="false">IF($B51="","",الموظفون!$S51*IF(E51="سعودي",cfg_G_SE,cfg_G_NE)*G51/cfg_DAYS_M)</f>
        <v/>
      </c>
      <c r="V51" s="116" t="str">
        <f aca="false">IF($B51="","",SUMIFS('الحركات الشهرية'!$I$6:$I$1005,'الحركات الشهرية'!$B$6:$B$1005,$B51,'الحركات الشهرية'!$A$6:$A$1005,$C$3))</f>
        <v/>
      </c>
      <c r="W51" s="116" t="str">
        <f aca="false">IF($B51="","",SUMIFS('الحركات الشهرية'!$J$6:$J$1005,'الحركات الشهرية'!$B$6:$B$1005,$B51,'الحركات الشهرية'!$A$6:$A$1005,$C$3))</f>
        <v/>
      </c>
      <c r="X51" s="116" t="str">
        <f aca="false">IF($B51="","",SUM(U51:W51))</f>
        <v/>
      </c>
      <c r="Y51" s="158" t="str">
        <f aca="false">IF($B51="","",T51-X51)</f>
        <v/>
      </c>
      <c r="Z51" s="116" t="str">
        <f aca="false">IF($B51="","",الموظفون!$S51*IF(E51="سعودي",cfg_G_SR,cfg_G_NR)*G51/cfg_DAYS_M)</f>
        <v/>
      </c>
      <c r="AA51" s="116" t="str">
        <f aca="false">IF($B51="","",الموظفون!$Q51*(cfg_EOS_R1*(MIN(AH51,cfg_EOS_TH)-MIN(AI51,cfg_EOS_TH))+cfg_EOS_R2*(MAX(AH51-cfg_EOS_TH,0)-MAX(AI51-cfg_EOS_TH,0))))</f>
        <v/>
      </c>
      <c r="AB51" s="116" t="str">
        <f aca="false">IF($B51="","",IF(الموظفون!$T51&lt;&gt;"",الموظفون!$T51,IF(AH51&gt;=cfg_LV_TH,cfg_LV_D2,cfg_LV_D1))/cfg_DAYS_Y*AJ51*الموظفون!$R51/cfg_DAYS_M)</f>
        <v/>
      </c>
      <c r="AC51" s="116" t="str">
        <f aca="false">IF($B51="","",IF(AND(الموظفون!$U51="نعم",N(الموظفون!$W51)&gt;0),الموظفون!$V51/الموظفون!$W51*12/cfg_DAYS_Y*AJ51,0))</f>
        <v/>
      </c>
      <c r="AD51" s="116" t="str">
        <f aca="false">IF($B51="","",(IF(الموظفون!$X51&lt;&gt;"",الموظفون!$X51,IF(الموظفون!$E51="غير سعودي",cfg_IQ,0))+IF(الموظفون!$Y51&lt;&gt;"",الموظفون!$Y51,IF(الموظفون!$E51="غير سعودي",cfg_WP,0)))/12*G51/cfg_DAYS_M)</f>
        <v/>
      </c>
      <c r="AE51" s="116" t="str">
        <f aca="false">IF($B51="","",IF(الموظفون!$Z51&lt;&gt;"",الموظفون!$Z51,cfg_MED)/12*G51/cfg_DAYS_M)</f>
        <v/>
      </c>
      <c r="AF51" s="116" t="str">
        <f aca="false">IF($B51="","",N(الموظفون!$AA51)/12*G51/cfg_DAYS_M)</f>
        <v/>
      </c>
      <c r="AG51" s="159" t="str">
        <f aca="false">IF($B51="","",T51+SUM(Z51:AF51))</f>
        <v/>
      </c>
      <c r="AH51" s="160" t="str">
        <f aca="false">IF($B51="","",MAX(0,IF(OR(الموظفون!$AE51="",الموظفون!$AE51&gt;$F$3),$F$3,الموظفون!$AE51)-الموظفون!$H51+1-SUMIFS('سجل الإجازات والحالات'!$AR$6:$AR$505,'سجل الإجازات والحالات'!$B$6:$B$505,$B51))/cfg_DAYS_Y)</f>
        <v/>
      </c>
      <c r="AI51" s="160" t="str">
        <f aca="false">IF($B51="","",MAX(0,IF(OR(الموظفون!$AE51="",الموظفون!$AE51&gt;($E$3-1)),($E$3-1),الموظفون!$AE51)-الموظفون!$H51+1-SUMIFS('سجل الإجازات والحالات'!$AQ$6:$AQ$505,'سجل الإجازات والحالات'!$B$6:$B$505,$B51))/cfg_DAYS_Y)</f>
        <v/>
      </c>
      <c r="AJ51" s="133" t="str">
        <f aca="false">IF($B51="","",MAX(0,AK51-(SUMIFS('سجل الإجازات والحالات'!$AR$6:$AR$505,'سجل الإجازات والحالات'!$B$6:$B$505,$B51)-SUMIFS('سجل الإجازات والحالات'!$AQ$6:$AQ$505,'سجل الإجازات والحالات'!$B$6:$B$505,$B51))))</f>
        <v/>
      </c>
      <c r="AK51" s="133" t="str">
        <f aca="false">IF($B51="","",MAX(0,IF(OR(الموظفون!$AE51="",الموظفون!$AE51&gt;$F$3),$F$3,الموظفون!$AE51)-MAX($E$3,الموظفون!$H51)+1))</f>
        <v/>
      </c>
      <c r="AL51" s="156" t="str">
        <f aca="false">IF($B51="","",SUMIFS('سجل الإجازات والحالات'!$BD$6:$BD$505,'سجل الإجازات والحالات'!$B$6:$B$505,$B51)+SUMIFS('الحركات الشهرية'!$K$6:$K$1005,'الحركات الشهرية'!$B$6:$B$1005,$B51,'الحركات الشهرية'!$A$6:$A$1005,$C$3))</f>
        <v/>
      </c>
      <c r="AM51" s="116" t="str">
        <f aca="false">IF($B51="","",AL51*الموظفون!$R51/cfg_DAYS_M+S51)</f>
        <v/>
      </c>
      <c r="AN51" s="156" t="str">
        <f aca="false">IF($B51="","",SUMIFS('سجل الإجازات والحالات'!$AF$6:$AF$505,'سجل الإجازات والحالات'!$B$6:$B$505,$B51))</f>
        <v/>
      </c>
    </row>
    <row r="52" customFormat="false" ht="15" hidden="false" customHeight="false" outlineLevel="0" collapsed="false">
      <c r="A52" s="106" t="str">
        <f aca="false">IF($B52="","",الموظفون!$A52)</f>
        <v/>
      </c>
      <c r="B52" s="114" t="str">
        <f aca="false">IF(الموظفون!$B52="","",الموظفون!$B52)</f>
        <v/>
      </c>
      <c r="C52" s="114" t="str">
        <f aca="false">IF($B52="","",الموظفون!$C52)</f>
        <v/>
      </c>
      <c r="D52" s="114" t="str">
        <f aca="false">IF($B52="","",الموظفون!$F52)</f>
        <v/>
      </c>
      <c r="E52" s="114" t="str">
        <f aca="false">IF($B52="","",الموظفون!$E52)</f>
        <v/>
      </c>
      <c r="F52" s="114" t="str">
        <f aca="false">IF($B52="","",IF(AK52=0,IF(AND(الموظفون!$AE52&lt;&gt;"",الموظفون!$AE52&lt;$E$3),"✖ منتهي الخدمة","⏳ لم يباشر"),IF(S52&gt;0,"✈ راتب إجازة مقدم",IF(J52=0,"⛔ بدون راتب هذا الشهر",IF(I52&gt;0,"✈ خصم "&amp;ROUND(I52,2)&amp;" يوم بدون أجر",IF(AL52&gt;0,"🌴 إجازة سنوية "&amp;ROUND(AL52,2)&amp;" يوم",IF(H52&gt;0,"⚠ غياب "&amp;ROUND(H52,2)&amp;" يوم","✔ على رأس العمل")))))))</f>
        <v/>
      </c>
      <c r="G52" s="151" t="str">
        <f aca="false">IF($B52="","",IF(AK52&gt;=DAY($F$3),cfg_DAYS_M,MIN(AK52,cfg_DAYS_M)))</f>
        <v/>
      </c>
      <c r="H52" s="151" t="str">
        <f aca="false">IF($B52="","",SUMIFS('الحركات الشهرية'!$D$6:$D$1005,'الحركات الشهرية'!$B$6:$B$1005,$B52,'الحركات الشهرية'!$A$6:$A$1005,$C$3))</f>
        <v/>
      </c>
      <c r="I52" s="151" t="str">
        <f aca="false">IF($B52="","",MIN(G52,IF(AND(AK52&gt;0,AN52&gt;=AK52),G52,AN52)+SUMIFS('الحركات الشهرية'!$E$6:$E$1005,'الحركات الشهرية'!$B$6:$B$1005,$B52,'الحركات الشهرية'!$A$6:$A$1005,$C$3)))</f>
        <v/>
      </c>
      <c r="J52" s="151" t="str">
        <f aca="false">IF($B52="","",MAX(0,G52-H52-I52))</f>
        <v/>
      </c>
      <c r="K52" s="111" t="str">
        <f aca="false">IF($B52="","",الموظفون!$L52*$J52/cfg_DAYS_M)</f>
        <v/>
      </c>
      <c r="L52" s="111" t="str">
        <f aca="false">IF($B52="","",الموظفون!$M52*$J52/cfg_DAYS_M)</f>
        <v/>
      </c>
      <c r="M52" s="111" t="str">
        <f aca="false">IF($B52="","",الموظفون!$N52*$J52/cfg_DAYS_M)</f>
        <v/>
      </c>
      <c r="N52" s="111" t="str">
        <f aca="false">IF($B52="","",الموظفون!$O52*$J52/cfg_DAYS_M)</f>
        <v/>
      </c>
      <c r="O52" s="151" t="str">
        <f aca="false">IF($B52="","",SUMIFS('الحركات الشهرية'!$F$6:$F$1005,'الحركات الشهرية'!$B$6:$B$1005,$B52,'الحركات الشهرية'!$A$6:$A$1005,$C$3))</f>
        <v/>
      </c>
      <c r="P52" s="111" t="str">
        <f aca="false">IF($B52="","",O52*(الموظفون!$P52+الموظفون!$L52*cfg_OT_P)/cfg_DAYS_M/cfg_HRS)</f>
        <v/>
      </c>
      <c r="Q52" s="111" t="str">
        <f aca="false">IF($B52="","",SUMIFS('الحركات الشهرية'!$G$6:$G$1005,'الحركات الشهرية'!$B$6:$B$1005,$B52,'الحركات الشهرية'!$A$6:$A$1005,$C$3))</f>
        <v/>
      </c>
      <c r="R52" s="111" t="str">
        <f aca="false">IF($B52="","",SUMIFS('الحركات الشهرية'!$H$6:$H$1005,'الحركات الشهرية'!$B$6:$B$1005,$B52,'الحركات الشهرية'!$A$6:$A$1005,$C$3))</f>
        <v/>
      </c>
      <c r="S52" s="111" t="str">
        <f aca="false">IF($B52="","",SUMIFS('سجل الإجازات والحالات'!$N$6:$N$505,'سجل الإجازات والحالات'!$B$6:$B$505,$B52,'سجل الإجازات والحالات'!$O$6:$O$505,$C$3))</f>
        <v/>
      </c>
      <c r="T52" s="152" t="str">
        <f aca="false">IF($B52="","",SUM(K52:N52)+SUM(P52:S52))</f>
        <v/>
      </c>
      <c r="U52" s="111" t="str">
        <f aca="false">IF($B52="","",الموظفون!$S52*IF(E52="سعودي",cfg_G_SE,cfg_G_NE)*G52/cfg_DAYS_M)</f>
        <v/>
      </c>
      <c r="V52" s="111" t="str">
        <f aca="false">IF($B52="","",SUMIFS('الحركات الشهرية'!$I$6:$I$1005,'الحركات الشهرية'!$B$6:$B$1005,$B52,'الحركات الشهرية'!$A$6:$A$1005,$C$3))</f>
        <v/>
      </c>
      <c r="W52" s="111" t="str">
        <f aca="false">IF($B52="","",SUMIFS('الحركات الشهرية'!$J$6:$J$1005,'الحركات الشهرية'!$B$6:$B$1005,$B52,'الحركات الشهرية'!$A$6:$A$1005,$C$3))</f>
        <v/>
      </c>
      <c r="X52" s="111" t="str">
        <f aca="false">IF($B52="","",SUM(U52:W52))</f>
        <v/>
      </c>
      <c r="Y52" s="153" t="str">
        <f aca="false">IF($B52="","",T52-X52)</f>
        <v/>
      </c>
      <c r="Z52" s="111" t="str">
        <f aca="false">IF($B52="","",الموظفون!$S52*IF(E52="سعودي",cfg_G_SR,cfg_G_NR)*G52/cfg_DAYS_M)</f>
        <v/>
      </c>
      <c r="AA52" s="111" t="str">
        <f aca="false">IF($B52="","",الموظفون!$Q52*(cfg_EOS_R1*(MIN(AH52,cfg_EOS_TH)-MIN(AI52,cfg_EOS_TH))+cfg_EOS_R2*(MAX(AH52-cfg_EOS_TH,0)-MAX(AI52-cfg_EOS_TH,0))))</f>
        <v/>
      </c>
      <c r="AB52" s="111" t="str">
        <f aca="false">IF($B52="","",IF(الموظفون!$T52&lt;&gt;"",الموظفون!$T52,IF(AH52&gt;=cfg_LV_TH,cfg_LV_D2,cfg_LV_D1))/cfg_DAYS_Y*AJ52*الموظفون!$R52/cfg_DAYS_M)</f>
        <v/>
      </c>
      <c r="AC52" s="111" t="str">
        <f aca="false">IF($B52="","",IF(AND(الموظفون!$U52="نعم",N(الموظفون!$W52)&gt;0),الموظفون!$V52/الموظفون!$W52*12/cfg_DAYS_Y*AJ52,0))</f>
        <v/>
      </c>
      <c r="AD52" s="111" t="str">
        <f aca="false">IF($B52="","",(IF(الموظفون!$X52&lt;&gt;"",الموظفون!$X52,IF(الموظفون!$E52="غير سعودي",cfg_IQ,0))+IF(الموظفون!$Y52&lt;&gt;"",الموظفون!$Y52,IF(الموظفون!$E52="غير سعودي",cfg_WP,0)))/12*G52/cfg_DAYS_M)</f>
        <v/>
      </c>
      <c r="AE52" s="111" t="str">
        <f aca="false">IF($B52="","",IF(الموظفون!$Z52&lt;&gt;"",الموظفون!$Z52,cfg_MED)/12*G52/cfg_DAYS_M)</f>
        <v/>
      </c>
      <c r="AF52" s="111" t="str">
        <f aca="false">IF($B52="","",N(الموظفون!$AA52)/12*G52/cfg_DAYS_M)</f>
        <v/>
      </c>
      <c r="AG52" s="154" t="str">
        <f aca="false">IF($B52="","",T52+SUM(Z52:AF52))</f>
        <v/>
      </c>
      <c r="AH52" s="155" t="str">
        <f aca="false">IF($B52="","",MAX(0,IF(OR(الموظفون!$AE52="",الموظفون!$AE52&gt;$F$3),$F$3,الموظفون!$AE52)-الموظفون!$H52+1-SUMIFS('سجل الإجازات والحالات'!$AR$6:$AR$505,'سجل الإجازات والحالات'!$B$6:$B$505,$B52))/cfg_DAYS_Y)</f>
        <v/>
      </c>
      <c r="AI52" s="155" t="str">
        <f aca="false">IF($B52="","",MAX(0,IF(OR(الموظفون!$AE52="",الموظفون!$AE52&gt;($E$3-1)),($E$3-1),الموظفون!$AE52)-الموظفون!$H52+1-SUMIFS('سجل الإجازات والحالات'!$AQ$6:$AQ$505,'سجل الإجازات والحالات'!$B$6:$B$505,$B52))/cfg_DAYS_Y)</f>
        <v/>
      </c>
      <c r="AJ52" s="65" t="str">
        <f aca="false">IF($B52="","",MAX(0,AK52-(SUMIFS('سجل الإجازات والحالات'!$AR$6:$AR$505,'سجل الإجازات والحالات'!$B$6:$B$505,$B52)-SUMIFS('سجل الإجازات والحالات'!$AQ$6:$AQ$505,'سجل الإجازات والحالات'!$B$6:$B$505,$B52))))</f>
        <v/>
      </c>
      <c r="AK52" s="65" t="str">
        <f aca="false">IF($B52="","",MAX(0,IF(OR(الموظفون!$AE52="",الموظفون!$AE52&gt;$F$3),$F$3,الموظفون!$AE52)-MAX($E$3,الموظفون!$H52)+1))</f>
        <v/>
      </c>
      <c r="AL52" s="151" t="str">
        <f aca="false">IF($B52="","",SUMIFS('سجل الإجازات والحالات'!$BD$6:$BD$505,'سجل الإجازات والحالات'!$B$6:$B$505,$B52)+SUMIFS('الحركات الشهرية'!$K$6:$K$1005,'الحركات الشهرية'!$B$6:$B$1005,$B52,'الحركات الشهرية'!$A$6:$A$1005,$C$3))</f>
        <v/>
      </c>
      <c r="AM52" s="111" t="str">
        <f aca="false">IF($B52="","",AL52*الموظفون!$R52/cfg_DAYS_M+S52)</f>
        <v/>
      </c>
      <c r="AN52" s="151" t="str">
        <f aca="false">IF($B52="","",SUMIFS('سجل الإجازات والحالات'!$AF$6:$AF$505,'سجل الإجازات والحالات'!$B$6:$B$505,$B52))</f>
        <v/>
      </c>
    </row>
    <row r="53" customFormat="false" ht="15" hidden="false" customHeight="false" outlineLevel="0" collapsed="false">
      <c r="A53" s="115" t="str">
        <f aca="false">IF($B53="","",الموظفون!$A53)</f>
        <v/>
      </c>
      <c r="B53" s="117" t="str">
        <f aca="false">IF(الموظفون!$B53="","",الموظفون!$B53)</f>
        <v/>
      </c>
      <c r="C53" s="117" t="str">
        <f aca="false">IF($B53="","",الموظفون!$C53)</f>
        <v/>
      </c>
      <c r="D53" s="117" t="str">
        <f aca="false">IF($B53="","",الموظفون!$F53)</f>
        <v/>
      </c>
      <c r="E53" s="117" t="str">
        <f aca="false">IF($B53="","",الموظفون!$E53)</f>
        <v/>
      </c>
      <c r="F53" s="117" t="str">
        <f aca="false">IF($B53="","",IF(AK53=0,IF(AND(الموظفون!$AE53&lt;&gt;"",الموظفون!$AE53&lt;$E$3),"✖ منتهي الخدمة","⏳ لم يباشر"),IF(S53&gt;0,"✈ راتب إجازة مقدم",IF(J53=0,"⛔ بدون راتب هذا الشهر",IF(I53&gt;0,"✈ خصم "&amp;ROUND(I53,2)&amp;" يوم بدون أجر",IF(AL53&gt;0,"🌴 إجازة سنوية "&amp;ROUND(AL53,2)&amp;" يوم",IF(H53&gt;0,"⚠ غياب "&amp;ROUND(H53,2)&amp;" يوم","✔ على رأس العمل")))))))</f>
        <v/>
      </c>
      <c r="G53" s="156" t="str">
        <f aca="false">IF($B53="","",IF(AK53&gt;=DAY($F$3),cfg_DAYS_M,MIN(AK53,cfg_DAYS_M)))</f>
        <v/>
      </c>
      <c r="H53" s="156" t="str">
        <f aca="false">IF($B53="","",SUMIFS('الحركات الشهرية'!$D$6:$D$1005,'الحركات الشهرية'!$B$6:$B$1005,$B53,'الحركات الشهرية'!$A$6:$A$1005,$C$3))</f>
        <v/>
      </c>
      <c r="I53" s="156" t="str">
        <f aca="false">IF($B53="","",MIN(G53,IF(AND(AK53&gt;0,AN53&gt;=AK53),G53,AN53)+SUMIFS('الحركات الشهرية'!$E$6:$E$1005,'الحركات الشهرية'!$B$6:$B$1005,$B53,'الحركات الشهرية'!$A$6:$A$1005,$C$3)))</f>
        <v/>
      </c>
      <c r="J53" s="156" t="str">
        <f aca="false">IF($B53="","",MAX(0,G53-H53-I53))</f>
        <v/>
      </c>
      <c r="K53" s="116" t="str">
        <f aca="false">IF($B53="","",الموظفون!$L53*$J53/cfg_DAYS_M)</f>
        <v/>
      </c>
      <c r="L53" s="116" t="str">
        <f aca="false">IF($B53="","",الموظفون!$M53*$J53/cfg_DAYS_M)</f>
        <v/>
      </c>
      <c r="M53" s="116" t="str">
        <f aca="false">IF($B53="","",الموظفون!$N53*$J53/cfg_DAYS_M)</f>
        <v/>
      </c>
      <c r="N53" s="116" t="str">
        <f aca="false">IF($B53="","",الموظفون!$O53*$J53/cfg_DAYS_M)</f>
        <v/>
      </c>
      <c r="O53" s="156" t="str">
        <f aca="false">IF($B53="","",SUMIFS('الحركات الشهرية'!$F$6:$F$1005,'الحركات الشهرية'!$B$6:$B$1005,$B53,'الحركات الشهرية'!$A$6:$A$1005,$C$3))</f>
        <v/>
      </c>
      <c r="P53" s="116" t="str">
        <f aca="false">IF($B53="","",O53*(الموظفون!$P53+الموظفون!$L53*cfg_OT_P)/cfg_DAYS_M/cfg_HRS)</f>
        <v/>
      </c>
      <c r="Q53" s="116" t="str">
        <f aca="false">IF($B53="","",SUMIFS('الحركات الشهرية'!$G$6:$G$1005,'الحركات الشهرية'!$B$6:$B$1005,$B53,'الحركات الشهرية'!$A$6:$A$1005,$C$3))</f>
        <v/>
      </c>
      <c r="R53" s="116" t="str">
        <f aca="false">IF($B53="","",SUMIFS('الحركات الشهرية'!$H$6:$H$1005,'الحركات الشهرية'!$B$6:$B$1005,$B53,'الحركات الشهرية'!$A$6:$A$1005,$C$3))</f>
        <v/>
      </c>
      <c r="S53" s="116" t="str">
        <f aca="false">IF($B53="","",SUMIFS('سجل الإجازات والحالات'!$N$6:$N$505,'سجل الإجازات والحالات'!$B$6:$B$505,$B53,'سجل الإجازات والحالات'!$O$6:$O$505,$C$3))</f>
        <v/>
      </c>
      <c r="T53" s="157" t="str">
        <f aca="false">IF($B53="","",SUM(K53:N53)+SUM(P53:S53))</f>
        <v/>
      </c>
      <c r="U53" s="116" t="str">
        <f aca="false">IF($B53="","",الموظفون!$S53*IF(E53="سعودي",cfg_G_SE,cfg_G_NE)*G53/cfg_DAYS_M)</f>
        <v/>
      </c>
      <c r="V53" s="116" t="str">
        <f aca="false">IF($B53="","",SUMIFS('الحركات الشهرية'!$I$6:$I$1005,'الحركات الشهرية'!$B$6:$B$1005,$B53,'الحركات الشهرية'!$A$6:$A$1005,$C$3))</f>
        <v/>
      </c>
      <c r="W53" s="116" t="str">
        <f aca="false">IF($B53="","",SUMIFS('الحركات الشهرية'!$J$6:$J$1005,'الحركات الشهرية'!$B$6:$B$1005,$B53,'الحركات الشهرية'!$A$6:$A$1005,$C$3))</f>
        <v/>
      </c>
      <c r="X53" s="116" t="str">
        <f aca="false">IF($B53="","",SUM(U53:W53))</f>
        <v/>
      </c>
      <c r="Y53" s="158" t="str">
        <f aca="false">IF($B53="","",T53-X53)</f>
        <v/>
      </c>
      <c r="Z53" s="116" t="str">
        <f aca="false">IF($B53="","",الموظفون!$S53*IF(E53="سعودي",cfg_G_SR,cfg_G_NR)*G53/cfg_DAYS_M)</f>
        <v/>
      </c>
      <c r="AA53" s="116" t="str">
        <f aca="false">IF($B53="","",الموظفون!$Q53*(cfg_EOS_R1*(MIN(AH53,cfg_EOS_TH)-MIN(AI53,cfg_EOS_TH))+cfg_EOS_R2*(MAX(AH53-cfg_EOS_TH,0)-MAX(AI53-cfg_EOS_TH,0))))</f>
        <v/>
      </c>
      <c r="AB53" s="116" t="str">
        <f aca="false">IF($B53="","",IF(الموظفون!$T53&lt;&gt;"",الموظفون!$T53,IF(AH53&gt;=cfg_LV_TH,cfg_LV_D2,cfg_LV_D1))/cfg_DAYS_Y*AJ53*الموظفون!$R53/cfg_DAYS_M)</f>
        <v/>
      </c>
      <c r="AC53" s="116" t="str">
        <f aca="false">IF($B53="","",IF(AND(الموظفون!$U53="نعم",N(الموظفون!$W53)&gt;0),الموظفون!$V53/الموظفون!$W53*12/cfg_DAYS_Y*AJ53,0))</f>
        <v/>
      </c>
      <c r="AD53" s="116" t="str">
        <f aca="false">IF($B53="","",(IF(الموظفون!$X53&lt;&gt;"",الموظفون!$X53,IF(الموظفون!$E53="غير سعودي",cfg_IQ,0))+IF(الموظفون!$Y53&lt;&gt;"",الموظفون!$Y53,IF(الموظفون!$E53="غير سعودي",cfg_WP,0)))/12*G53/cfg_DAYS_M)</f>
        <v/>
      </c>
      <c r="AE53" s="116" t="str">
        <f aca="false">IF($B53="","",IF(الموظفون!$Z53&lt;&gt;"",الموظفون!$Z53,cfg_MED)/12*G53/cfg_DAYS_M)</f>
        <v/>
      </c>
      <c r="AF53" s="116" t="str">
        <f aca="false">IF($B53="","",N(الموظفون!$AA53)/12*G53/cfg_DAYS_M)</f>
        <v/>
      </c>
      <c r="AG53" s="159" t="str">
        <f aca="false">IF($B53="","",T53+SUM(Z53:AF53))</f>
        <v/>
      </c>
      <c r="AH53" s="160" t="str">
        <f aca="false">IF($B53="","",MAX(0,IF(OR(الموظفون!$AE53="",الموظفون!$AE53&gt;$F$3),$F$3,الموظفون!$AE53)-الموظفون!$H53+1-SUMIFS('سجل الإجازات والحالات'!$AR$6:$AR$505,'سجل الإجازات والحالات'!$B$6:$B$505,$B53))/cfg_DAYS_Y)</f>
        <v/>
      </c>
      <c r="AI53" s="160" t="str">
        <f aca="false">IF($B53="","",MAX(0,IF(OR(الموظفون!$AE53="",الموظفون!$AE53&gt;($E$3-1)),($E$3-1),الموظفون!$AE53)-الموظفون!$H53+1-SUMIFS('سجل الإجازات والحالات'!$AQ$6:$AQ$505,'سجل الإجازات والحالات'!$B$6:$B$505,$B53))/cfg_DAYS_Y)</f>
        <v/>
      </c>
      <c r="AJ53" s="133" t="str">
        <f aca="false">IF($B53="","",MAX(0,AK53-(SUMIFS('سجل الإجازات والحالات'!$AR$6:$AR$505,'سجل الإجازات والحالات'!$B$6:$B$505,$B53)-SUMIFS('سجل الإجازات والحالات'!$AQ$6:$AQ$505,'سجل الإجازات والحالات'!$B$6:$B$505,$B53))))</f>
        <v/>
      </c>
      <c r="AK53" s="133" t="str">
        <f aca="false">IF($B53="","",MAX(0,IF(OR(الموظفون!$AE53="",الموظفون!$AE53&gt;$F$3),$F$3,الموظفون!$AE53)-MAX($E$3,الموظفون!$H53)+1))</f>
        <v/>
      </c>
      <c r="AL53" s="156" t="str">
        <f aca="false">IF($B53="","",SUMIFS('سجل الإجازات والحالات'!$BD$6:$BD$505,'سجل الإجازات والحالات'!$B$6:$B$505,$B53)+SUMIFS('الحركات الشهرية'!$K$6:$K$1005,'الحركات الشهرية'!$B$6:$B$1005,$B53,'الحركات الشهرية'!$A$6:$A$1005,$C$3))</f>
        <v/>
      </c>
      <c r="AM53" s="116" t="str">
        <f aca="false">IF($B53="","",AL53*الموظفون!$R53/cfg_DAYS_M+S53)</f>
        <v/>
      </c>
      <c r="AN53" s="156" t="str">
        <f aca="false">IF($B53="","",SUMIFS('سجل الإجازات والحالات'!$AF$6:$AF$505,'سجل الإجازات والحالات'!$B$6:$B$505,$B53))</f>
        <v/>
      </c>
    </row>
    <row r="54" customFormat="false" ht="15" hidden="false" customHeight="false" outlineLevel="0" collapsed="false">
      <c r="A54" s="106" t="str">
        <f aca="false">IF($B54="","",الموظفون!$A54)</f>
        <v/>
      </c>
      <c r="B54" s="114" t="str">
        <f aca="false">IF(الموظفون!$B54="","",الموظفون!$B54)</f>
        <v/>
      </c>
      <c r="C54" s="114" t="str">
        <f aca="false">IF($B54="","",الموظفون!$C54)</f>
        <v/>
      </c>
      <c r="D54" s="114" t="str">
        <f aca="false">IF($B54="","",الموظفون!$F54)</f>
        <v/>
      </c>
      <c r="E54" s="114" t="str">
        <f aca="false">IF($B54="","",الموظفون!$E54)</f>
        <v/>
      </c>
      <c r="F54" s="114" t="str">
        <f aca="false">IF($B54="","",IF(AK54=0,IF(AND(الموظفون!$AE54&lt;&gt;"",الموظفون!$AE54&lt;$E$3),"✖ منتهي الخدمة","⏳ لم يباشر"),IF(S54&gt;0,"✈ راتب إجازة مقدم",IF(J54=0,"⛔ بدون راتب هذا الشهر",IF(I54&gt;0,"✈ خصم "&amp;ROUND(I54,2)&amp;" يوم بدون أجر",IF(AL54&gt;0,"🌴 إجازة سنوية "&amp;ROUND(AL54,2)&amp;" يوم",IF(H54&gt;0,"⚠ غياب "&amp;ROUND(H54,2)&amp;" يوم","✔ على رأس العمل")))))))</f>
        <v/>
      </c>
      <c r="G54" s="151" t="str">
        <f aca="false">IF($B54="","",IF(AK54&gt;=DAY($F$3),cfg_DAYS_M,MIN(AK54,cfg_DAYS_M)))</f>
        <v/>
      </c>
      <c r="H54" s="151" t="str">
        <f aca="false">IF($B54="","",SUMIFS('الحركات الشهرية'!$D$6:$D$1005,'الحركات الشهرية'!$B$6:$B$1005,$B54,'الحركات الشهرية'!$A$6:$A$1005,$C$3))</f>
        <v/>
      </c>
      <c r="I54" s="151" t="str">
        <f aca="false">IF($B54="","",MIN(G54,IF(AND(AK54&gt;0,AN54&gt;=AK54),G54,AN54)+SUMIFS('الحركات الشهرية'!$E$6:$E$1005,'الحركات الشهرية'!$B$6:$B$1005,$B54,'الحركات الشهرية'!$A$6:$A$1005,$C$3)))</f>
        <v/>
      </c>
      <c r="J54" s="151" t="str">
        <f aca="false">IF($B54="","",MAX(0,G54-H54-I54))</f>
        <v/>
      </c>
      <c r="K54" s="111" t="str">
        <f aca="false">IF($B54="","",الموظفون!$L54*$J54/cfg_DAYS_M)</f>
        <v/>
      </c>
      <c r="L54" s="111" t="str">
        <f aca="false">IF($B54="","",الموظفون!$M54*$J54/cfg_DAYS_M)</f>
        <v/>
      </c>
      <c r="M54" s="111" t="str">
        <f aca="false">IF($B54="","",الموظفون!$N54*$J54/cfg_DAYS_M)</f>
        <v/>
      </c>
      <c r="N54" s="111" t="str">
        <f aca="false">IF($B54="","",الموظفون!$O54*$J54/cfg_DAYS_M)</f>
        <v/>
      </c>
      <c r="O54" s="151" t="str">
        <f aca="false">IF($B54="","",SUMIFS('الحركات الشهرية'!$F$6:$F$1005,'الحركات الشهرية'!$B$6:$B$1005,$B54,'الحركات الشهرية'!$A$6:$A$1005,$C$3))</f>
        <v/>
      </c>
      <c r="P54" s="111" t="str">
        <f aca="false">IF($B54="","",O54*(الموظفون!$P54+الموظفون!$L54*cfg_OT_P)/cfg_DAYS_M/cfg_HRS)</f>
        <v/>
      </c>
      <c r="Q54" s="111" t="str">
        <f aca="false">IF($B54="","",SUMIFS('الحركات الشهرية'!$G$6:$G$1005,'الحركات الشهرية'!$B$6:$B$1005,$B54,'الحركات الشهرية'!$A$6:$A$1005,$C$3))</f>
        <v/>
      </c>
      <c r="R54" s="111" t="str">
        <f aca="false">IF($B54="","",SUMIFS('الحركات الشهرية'!$H$6:$H$1005,'الحركات الشهرية'!$B$6:$B$1005,$B54,'الحركات الشهرية'!$A$6:$A$1005,$C$3))</f>
        <v/>
      </c>
      <c r="S54" s="111" t="str">
        <f aca="false">IF($B54="","",SUMIFS('سجل الإجازات والحالات'!$N$6:$N$505,'سجل الإجازات والحالات'!$B$6:$B$505,$B54,'سجل الإجازات والحالات'!$O$6:$O$505,$C$3))</f>
        <v/>
      </c>
      <c r="T54" s="152" t="str">
        <f aca="false">IF($B54="","",SUM(K54:N54)+SUM(P54:S54))</f>
        <v/>
      </c>
      <c r="U54" s="111" t="str">
        <f aca="false">IF($B54="","",الموظفون!$S54*IF(E54="سعودي",cfg_G_SE,cfg_G_NE)*G54/cfg_DAYS_M)</f>
        <v/>
      </c>
      <c r="V54" s="111" t="str">
        <f aca="false">IF($B54="","",SUMIFS('الحركات الشهرية'!$I$6:$I$1005,'الحركات الشهرية'!$B$6:$B$1005,$B54,'الحركات الشهرية'!$A$6:$A$1005,$C$3))</f>
        <v/>
      </c>
      <c r="W54" s="111" t="str">
        <f aca="false">IF($B54="","",SUMIFS('الحركات الشهرية'!$J$6:$J$1005,'الحركات الشهرية'!$B$6:$B$1005,$B54,'الحركات الشهرية'!$A$6:$A$1005,$C$3))</f>
        <v/>
      </c>
      <c r="X54" s="111" t="str">
        <f aca="false">IF($B54="","",SUM(U54:W54))</f>
        <v/>
      </c>
      <c r="Y54" s="153" t="str">
        <f aca="false">IF($B54="","",T54-X54)</f>
        <v/>
      </c>
      <c r="Z54" s="111" t="str">
        <f aca="false">IF($B54="","",الموظفون!$S54*IF(E54="سعودي",cfg_G_SR,cfg_G_NR)*G54/cfg_DAYS_M)</f>
        <v/>
      </c>
      <c r="AA54" s="111" t="str">
        <f aca="false">IF($B54="","",الموظفون!$Q54*(cfg_EOS_R1*(MIN(AH54,cfg_EOS_TH)-MIN(AI54,cfg_EOS_TH))+cfg_EOS_R2*(MAX(AH54-cfg_EOS_TH,0)-MAX(AI54-cfg_EOS_TH,0))))</f>
        <v/>
      </c>
      <c r="AB54" s="111" t="str">
        <f aca="false">IF($B54="","",IF(الموظفون!$T54&lt;&gt;"",الموظفون!$T54,IF(AH54&gt;=cfg_LV_TH,cfg_LV_D2,cfg_LV_D1))/cfg_DAYS_Y*AJ54*الموظفون!$R54/cfg_DAYS_M)</f>
        <v/>
      </c>
      <c r="AC54" s="111" t="str">
        <f aca="false">IF($B54="","",IF(AND(الموظفون!$U54="نعم",N(الموظفون!$W54)&gt;0),الموظفون!$V54/الموظفون!$W54*12/cfg_DAYS_Y*AJ54,0))</f>
        <v/>
      </c>
      <c r="AD54" s="111" t="str">
        <f aca="false">IF($B54="","",(IF(الموظفون!$X54&lt;&gt;"",الموظفون!$X54,IF(الموظفون!$E54="غير سعودي",cfg_IQ,0))+IF(الموظفون!$Y54&lt;&gt;"",الموظفون!$Y54,IF(الموظفون!$E54="غير سعودي",cfg_WP,0)))/12*G54/cfg_DAYS_M)</f>
        <v/>
      </c>
      <c r="AE54" s="111" t="str">
        <f aca="false">IF($B54="","",IF(الموظفون!$Z54&lt;&gt;"",الموظفون!$Z54,cfg_MED)/12*G54/cfg_DAYS_M)</f>
        <v/>
      </c>
      <c r="AF54" s="111" t="str">
        <f aca="false">IF($B54="","",N(الموظفون!$AA54)/12*G54/cfg_DAYS_M)</f>
        <v/>
      </c>
      <c r="AG54" s="154" t="str">
        <f aca="false">IF($B54="","",T54+SUM(Z54:AF54))</f>
        <v/>
      </c>
      <c r="AH54" s="155" t="str">
        <f aca="false">IF($B54="","",MAX(0,IF(OR(الموظفون!$AE54="",الموظفون!$AE54&gt;$F$3),$F$3,الموظفون!$AE54)-الموظفون!$H54+1-SUMIFS('سجل الإجازات والحالات'!$AR$6:$AR$505,'سجل الإجازات والحالات'!$B$6:$B$505,$B54))/cfg_DAYS_Y)</f>
        <v/>
      </c>
      <c r="AI54" s="155" t="str">
        <f aca="false">IF($B54="","",MAX(0,IF(OR(الموظفون!$AE54="",الموظفون!$AE54&gt;($E$3-1)),($E$3-1),الموظفون!$AE54)-الموظفون!$H54+1-SUMIFS('سجل الإجازات والحالات'!$AQ$6:$AQ$505,'سجل الإجازات والحالات'!$B$6:$B$505,$B54))/cfg_DAYS_Y)</f>
        <v/>
      </c>
      <c r="AJ54" s="65" t="str">
        <f aca="false">IF($B54="","",MAX(0,AK54-(SUMIFS('سجل الإجازات والحالات'!$AR$6:$AR$505,'سجل الإجازات والحالات'!$B$6:$B$505,$B54)-SUMIFS('سجل الإجازات والحالات'!$AQ$6:$AQ$505,'سجل الإجازات والحالات'!$B$6:$B$505,$B54))))</f>
        <v/>
      </c>
      <c r="AK54" s="65" t="str">
        <f aca="false">IF($B54="","",MAX(0,IF(OR(الموظفون!$AE54="",الموظفون!$AE54&gt;$F$3),$F$3,الموظفون!$AE54)-MAX($E$3,الموظفون!$H54)+1))</f>
        <v/>
      </c>
      <c r="AL54" s="151" t="str">
        <f aca="false">IF($B54="","",SUMIFS('سجل الإجازات والحالات'!$BD$6:$BD$505,'سجل الإجازات والحالات'!$B$6:$B$505,$B54)+SUMIFS('الحركات الشهرية'!$K$6:$K$1005,'الحركات الشهرية'!$B$6:$B$1005,$B54,'الحركات الشهرية'!$A$6:$A$1005,$C$3))</f>
        <v/>
      </c>
      <c r="AM54" s="111" t="str">
        <f aca="false">IF($B54="","",AL54*الموظفون!$R54/cfg_DAYS_M+S54)</f>
        <v/>
      </c>
      <c r="AN54" s="151" t="str">
        <f aca="false">IF($B54="","",SUMIFS('سجل الإجازات والحالات'!$AF$6:$AF$505,'سجل الإجازات والحالات'!$B$6:$B$505,$B54))</f>
        <v/>
      </c>
    </row>
    <row r="55" customFormat="false" ht="15" hidden="false" customHeight="false" outlineLevel="0" collapsed="false">
      <c r="A55" s="115" t="str">
        <f aca="false">IF($B55="","",الموظفون!$A55)</f>
        <v/>
      </c>
      <c r="B55" s="117" t="str">
        <f aca="false">IF(الموظفون!$B55="","",الموظفون!$B55)</f>
        <v/>
      </c>
      <c r="C55" s="117" t="str">
        <f aca="false">IF($B55="","",الموظفون!$C55)</f>
        <v/>
      </c>
      <c r="D55" s="117" t="str">
        <f aca="false">IF($B55="","",الموظفون!$F55)</f>
        <v/>
      </c>
      <c r="E55" s="117" t="str">
        <f aca="false">IF($B55="","",الموظفون!$E55)</f>
        <v/>
      </c>
      <c r="F55" s="117" t="str">
        <f aca="false">IF($B55="","",IF(AK55=0,IF(AND(الموظفون!$AE55&lt;&gt;"",الموظفون!$AE55&lt;$E$3),"✖ منتهي الخدمة","⏳ لم يباشر"),IF(S55&gt;0,"✈ راتب إجازة مقدم",IF(J55=0,"⛔ بدون راتب هذا الشهر",IF(I55&gt;0,"✈ خصم "&amp;ROUND(I55,2)&amp;" يوم بدون أجر",IF(AL55&gt;0,"🌴 إجازة سنوية "&amp;ROUND(AL55,2)&amp;" يوم",IF(H55&gt;0,"⚠ غياب "&amp;ROUND(H55,2)&amp;" يوم","✔ على رأس العمل")))))))</f>
        <v/>
      </c>
      <c r="G55" s="156" t="str">
        <f aca="false">IF($B55="","",IF(AK55&gt;=DAY($F$3),cfg_DAYS_M,MIN(AK55,cfg_DAYS_M)))</f>
        <v/>
      </c>
      <c r="H55" s="156" t="str">
        <f aca="false">IF($B55="","",SUMIFS('الحركات الشهرية'!$D$6:$D$1005,'الحركات الشهرية'!$B$6:$B$1005,$B55,'الحركات الشهرية'!$A$6:$A$1005,$C$3))</f>
        <v/>
      </c>
      <c r="I55" s="156" t="str">
        <f aca="false">IF($B55="","",MIN(G55,IF(AND(AK55&gt;0,AN55&gt;=AK55),G55,AN55)+SUMIFS('الحركات الشهرية'!$E$6:$E$1005,'الحركات الشهرية'!$B$6:$B$1005,$B55,'الحركات الشهرية'!$A$6:$A$1005,$C$3)))</f>
        <v/>
      </c>
      <c r="J55" s="156" t="str">
        <f aca="false">IF($B55="","",MAX(0,G55-H55-I55))</f>
        <v/>
      </c>
      <c r="K55" s="116" t="str">
        <f aca="false">IF($B55="","",الموظفون!$L55*$J55/cfg_DAYS_M)</f>
        <v/>
      </c>
      <c r="L55" s="116" t="str">
        <f aca="false">IF($B55="","",الموظفون!$M55*$J55/cfg_DAYS_M)</f>
        <v/>
      </c>
      <c r="M55" s="116" t="str">
        <f aca="false">IF($B55="","",الموظفون!$N55*$J55/cfg_DAYS_M)</f>
        <v/>
      </c>
      <c r="N55" s="116" t="str">
        <f aca="false">IF($B55="","",الموظفون!$O55*$J55/cfg_DAYS_M)</f>
        <v/>
      </c>
      <c r="O55" s="156" t="str">
        <f aca="false">IF($B55="","",SUMIFS('الحركات الشهرية'!$F$6:$F$1005,'الحركات الشهرية'!$B$6:$B$1005,$B55,'الحركات الشهرية'!$A$6:$A$1005,$C$3))</f>
        <v/>
      </c>
      <c r="P55" s="116" t="str">
        <f aca="false">IF($B55="","",O55*(الموظفون!$P55+الموظفون!$L55*cfg_OT_P)/cfg_DAYS_M/cfg_HRS)</f>
        <v/>
      </c>
      <c r="Q55" s="116" t="str">
        <f aca="false">IF($B55="","",SUMIFS('الحركات الشهرية'!$G$6:$G$1005,'الحركات الشهرية'!$B$6:$B$1005,$B55,'الحركات الشهرية'!$A$6:$A$1005,$C$3))</f>
        <v/>
      </c>
      <c r="R55" s="116" t="str">
        <f aca="false">IF($B55="","",SUMIFS('الحركات الشهرية'!$H$6:$H$1005,'الحركات الشهرية'!$B$6:$B$1005,$B55,'الحركات الشهرية'!$A$6:$A$1005,$C$3))</f>
        <v/>
      </c>
      <c r="S55" s="116" t="str">
        <f aca="false">IF($B55="","",SUMIFS('سجل الإجازات والحالات'!$N$6:$N$505,'سجل الإجازات والحالات'!$B$6:$B$505,$B55,'سجل الإجازات والحالات'!$O$6:$O$505,$C$3))</f>
        <v/>
      </c>
      <c r="T55" s="157" t="str">
        <f aca="false">IF($B55="","",SUM(K55:N55)+SUM(P55:S55))</f>
        <v/>
      </c>
      <c r="U55" s="116" t="str">
        <f aca="false">IF($B55="","",الموظفون!$S55*IF(E55="سعودي",cfg_G_SE,cfg_G_NE)*G55/cfg_DAYS_M)</f>
        <v/>
      </c>
      <c r="V55" s="116" t="str">
        <f aca="false">IF($B55="","",SUMIFS('الحركات الشهرية'!$I$6:$I$1005,'الحركات الشهرية'!$B$6:$B$1005,$B55,'الحركات الشهرية'!$A$6:$A$1005,$C$3))</f>
        <v/>
      </c>
      <c r="W55" s="116" t="str">
        <f aca="false">IF($B55="","",SUMIFS('الحركات الشهرية'!$J$6:$J$1005,'الحركات الشهرية'!$B$6:$B$1005,$B55,'الحركات الشهرية'!$A$6:$A$1005,$C$3))</f>
        <v/>
      </c>
      <c r="X55" s="116" t="str">
        <f aca="false">IF($B55="","",SUM(U55:W55))</f>
        <v/>
      </c>
      <c r="Y55" s="158" t="str">
        <f aca="false">IF($B55="","",T55-X55)</f>
        <v/>
      </c>
      <c r="Z55" s="116" t="str">
        <f aca="false">IF($B55="","",الموظفون!$S55*IF(E55="سعودي",cfg_G_SR,cfg_G_NR)*G55/cfg_DAYS_M)</f>
        <v/>
      </c>
      <c r="AA55" s="116" t="str">
        <f aca="false">IF($B55="","",الموظفون!$Q55*(cfg_EOS_R1*(MIN(AH55,cfg_EOS_TH)-MIN(AI55,cfg_EOS_TH))+cfg_EOS_R2*(MAX(AH55-cfg_EOS_TH,0)-MAX(AI55-cfg_EOS_TH,0))))</f>
        <v/>
      </c>
      <c r="AB55" s="116" t="str">
        <f aca="false">IF($B55="","",IF(الموظفون!$T55&lt;&gt;"",الموظفون!$T55,IF(AH55&gt;=cfg_LV_TH,cfg_LV_D2,cfg_LV_D1))/cfg_DAYS_Y*AJ55*الموظفون!$R55/cfg_DAYS_M)</f>
        <v/>
      </c>
      <c r="AC55" s="116" t="str">
        <f aca="false">IF($B55="","",IF(AND(الموظفون!$U55="نعم",N(الموظفون!$W55)&gt;0),الموظفون!$V55/الموظفون!$W55*12/cfg_DAYS_Y*AJ55,0))</f>
        <v/>
      </c>
      <c r="AD55" s="116" t="str">
        <f aca="false">IF($B55="","",(IF(الموظفون!$X55&lt;&gt;"",الموظفون!$X55,IF(الموظفون!$E55="غير سعودي",cfg_IQ,0))+IF(الموظفون!$Y55&lt;&gt;"",الموظفون!$Y55,IF(الموظفون!$E55="غير سعودي",cfg_WP,0)))/12*G55/cfg_DAYS_M)</f>
        <v/>
      </c>
      <c r="AE55" s="116" t="str">
        <f aca="false">IF($B55="","",IF(الموظفون!$Z55&lt;&gt;"",الموظفون!$Z55,cfg_MED)/12*G55/cfg_DAYS_M)</f>
        <v/>
      </c>
      <c r="AF55" s="116" t="str">
        <f aca="false">IF($B55="","",N(الموظفون!$AA55)/12*G55/cfg_DAYS_M)</f>
        <v/>
      </c>
      <c r="AG55" s="159" t="str">
        <f aca="false">IF($B55="","",T55+SUM(Z55:AF55))</f>
        <v/>
      </c>
      <c r="AH55" s="160" t="str">
        <f aca="false">IF($B55="","",MAX(0,IF(OR(الموظفون!$AE55="",الموظفون!$AE55&gt;$F$3),$F$3,الموظفون!$AE55)-الموظفون!$H55+1-SUMIFS('سجل الإجازات والحالات'!$AR$6:$AR$505,'سجل الإجازات والحالات'!$B$6:$B$505,$B55))/cfg_DAYS_Y)</f>
        <v/>
      </c>
      <c r="AI55" s="160" t="str">
        <f aca="false">IF($B55="","",MAX(0,IF(OR(الموظفون!$AE55="",الموظفون!$AE55&gt;($E$3-1)),($E$3-1),الموظفون!$AE55)-الموظفون!$H55+1-SUMIFS('سجل الإجازات والحالات'!$AQ$6:$AQ$505,'سجل الإجازات والحالات'!$B$6:$B$505,$B55))/cfg_DAYS_Y)</f>
        <v/>
      </c>
      <c r="AJ55" s="133" t="str">
        <f aca="false">IF($B55="","",MAX(0,AK55-(SUMIFS('سجل الإجازات والحالات'!$AR$6:$AR$505,'سجل الإجازات والحالات'!$B$6:$B$505,$B55)-SUMIFS('سجل الإجازات والحالات'!$AQ$6:$AQ$505,'سجل الإجازات والحالات'!$B$6:$B$505,$B55))))</f>
        <v/>
      </c>
      <c r="AK55" s="133" t="str">
        <f aca="false">IF($B55="","",MAX(0,IF(OR(الموظفون!$AE55="",الموظفون!$AE55&gt;$F$3),$F$3,الموظفون!$AE55)-MAX($E$3,الموظفون!$H55)+1))</f>
        <v/>
      </c>
      <c r="AL55" s="156" t="str">
        <f aca="false">IF($B55="","",SUMIFS('سجل الإجازات والحالات'!$BD$6:$BD$505,'سجل الإجازات والحالات'!$B$6:$B$505,$B55)+SUMIFS('الحركات الشهرية'!$K$6:$K$1005,'الحركات الشهرية'!$B$6:$B$1005,$B55,'الحركات الشهرية'!$A$6:$A$1005,$C$3))</f>
        <v/>
      </c>
      <c r="AM55" s="116" t="str">
        <f aca="false">IF($B55="","",AL55*الموظفون!$R55/cfg_DAYS_M+S55)</f>
        <v/>
      </c>
      <c r="AN55" s="156" t="str">
        <f aca="false">IF($B55="","",SUMIFS('سجل الإجازات والحالات'!$AF$6:$AF$505,'سجل الإجازات والحالات'!$B$6:$B$505,$B55))</f>
        <v/>
      </c>
    </row>
    <row r="56" customFormat="false" ht="15" hidden="false" customHeight="false" outlineLevel="0" collapsed="false">
      <c r="A56" s="106" t="str">
        <f aca="false">IF($B56="","",الموظفون!$A56)</f>
        <v/>
      </c>
      <c r="B56" s="114" t="str">
        <f aca="false">IF(الموظفون!$B56="","",الموظفون!$B56)</f>
        <v/>
      </c>
      <c r="C56" s="114" t="str">
        <f aca="false">IF($B56="","",الموظفون!$C56)</f>
        <v/>
      </c>
      <c r="D56" s="114" t="str">
        <f aca="false">IF($B56="","",الموظفون!$F56)</f>
        <v/>
      </c>
      <c r="E56" s="114" t="str">
        <f aca="false">IF($B56="","",الموظفون!$E56)</f>
        <v/>
      </c>
      <c r="F56" s="114" t="str">
        <f aca="false">IF($B56="","",IF(AK56=0,IF(AND(الموظفون!$AE56&lt;&gt;"",الموظفون!$AE56&lt;$E$3),"✖ منتهي الخدمة","⏳ لم يباشر"),IF(S56&gt;0,"✈ راتب إجازة مقدم",IF(J56=0,"⛔ بدون راتب هذا الشهر",IF(I56&gt;0,"✈ خصم "&amp;ROUND(I56,2)&amp;" يوم بدون أجر",IF(AL56&gt;0,"🌴 إجازة سنوية "&amp;ROUND(AL56,2)&amp;" يوم",IF(H56&gt;0,"⚠ غياب "&amp;ROUND(H56,2)&amp;" يوم","✔ على رأس العمل")))))))</f>
        <v/>
      </c>
      <c r="G56" s="151" t="str">
        <f aca="false">IF($B56="","",IF(AK56&gt;=DAY($F$3),cfg_DAYS_M,MIN(AK56,cfg_DAYS_M)))</f>
        <v/>
      </c>
      <c r="H56" s="151" t="str">
        <f aca="false">IF($B56="","",SUMIFS('الحركات الشهرية'!$D$6:$D$1005,'الحركات الشهرية'!$B$6:$B$1005,$B56,'الحركات الشهرية'!$A$6:$A$1005,$C$3))</f>
        <v/>
      </c>
      <c r="I56" s="151" t="str">
        <f aca="false">IF($B56="","",MIN(G56,IF(AND(AK56&gt;0,AN56&gt;=AK56),G56,AN56)+SUMIFS('الحركات الشهرية'!$E$6:$E$1005,'الحركات الشهرية'!$B$6:$B$1005,$B56,'الحركات الشهرية'!$A$6:$A$1005,$C$3)))</f>
        <v/>
      </c>
      <c r="J56" s="151" t="str">
        <f aca="false">IF($B56="","",MAX(0,G56-H56-I56))</f>
        <v/>
      </c>
      <c r="K56" s="111" t="str">
        <f aca="false">IF($B56="","",الموظفون!$L56*$J56/cfg_DAYS_M)</f>
        <v/>
      </c>
      <c r="L56" s="111" t="str">
        <f aca="false">IF($B56="","",الموظفون!$M56*$J56/cfg_DAYS_M)</f>
        <v/>
      </c>
      <c r="M56" s="111" t="str">
        <f aca="false">IF($B56="","",الموظفون!$N56*$J56/cfg_DAYS_M)</f>
        <v/>
      </c>
      <c r="N56" s="111" t="str">
        <f aca="false">IF($B56="","",الموظفون!$O56*$J56/cfg_DAYS_M)</f>
        <v/>
      </c>
      <c r="O56" s="151" t="str">
        <f aca="false">IF($B56="","",SUMIFS('الحركات الشهرية'!$F$6:$F$1005,'الحركات الشهرية'!$B$6:$B$1005,$B56,'الحركات الشهرية'!$A$6:$A$1005,$C$3))</f>
        <v/>
      </c>
      <c r="P56" s="111" t="str">
        <f aca="false">IF($B56="","",O56*(الموظفون!$P56+الموظفون!$L56*cfg_OT_P)/cfg_DAYS_M/cfg_HRS)</f>
        <v/>
      </c>
      <c r="Q56" s="111" t="str">
        <f aca="false">IF($B56="","",SUMIFS('الحركات الشهرية'!$G$6:$G$1005,'الحركات الشهرية'!$B$6:$B$1005,$B56,'الحركات الشهرية'!$A$6:$A$1005,$C$3))</f>
        <v/>
      </c>
      <c r="R56" s="111" t="str">
        <f aca="false">IF($B56="","",SUMIFS('الحركات الشهرية'!$H$6:$H$1005,'الحركات الشهرية'!$B$6:$B$1005,$B56,'الحركات الشهرية'!$A$6:$A$1005,$C$3))</f>
        <v/>
      </c>
      <c r="S56" s="111" t="str">
        <f aca="false">IF($B56="","",SUMIFS('سجل الإجازات والحالات'!$N$6:$N$505,'سجل الإجازات والحالات'!$B$6:$B$505,$B56,'سجل الإجازات والحالات'!$O$6:$O$505,$C$3))</f>
        <v/>
      </c>
      <c r="T56" s="152" t="str">
        <f aca="false">IF($B56="","",SUM(K56:N56)+SUM(P56:S56))</f>
        <v/>
      </c>
      <c r="U56" s="111" t="str">
        <f aca="false">IF($B56="","",الموظفون!$S56*IF(E56="سعودي",cfg_G_SE,cfg_G_NE)*G56/cfg_DAYS_M)</f>
        <v/>
      </c>
      <c r="V56" s="111" t="str">
        <f aca="false">IF($B56="","",SUMIFS('الحركات الشهرية'!$I$6:$I$1005,'الحركات الشهرية'!$B$6:$B$1005,$B56,'الحركات الشهرية'!$A$6:$A$1005,$C$3))</f>
        <v/>
      </c>
      <c r="W56" s="111" t="str">
        <f aca="false">IF($B56="","",SUMIFS('الحركات الشهرية'!$J$6:$J$1005,'الحركات الشهرية'!$B$6:$B$1005,$B56,'الحركات الشهرية'!$A$6:$A$1005,$C$3))</f>
        <v/>
      </c>
      <c r="X56" s="111" t="str">
        <f aca="false">IF($B56="","",SUM(U56:W56))</f>
        <v/>
      </c>
      <c r="Y56" s="153" t="str">
        <f aca="false">IF($B56="","",T56-X56)</f>
        <v/>
      </c>
      <c r="Z56" s="111" t="str">
        <f aca="false">IF($B56="","",الموظفون!$S56*IF(E56="سعودي",cfg_G_SR,cfg_G_NR)*G56/cfg_DAYS_M)</f>
        <v/>
      </c>
      <c r="AA56" s="111" t="str">
        <f aca="false">IF($B56="","",الموظفون!$Q56*(cfg_EOS_R1*(MIN(AH56,cfg_EOS_TH)-MIN(AI56,cfg_EOS_TH))+cfg_EOS_R2*(MAX(AH56-cfg_EOS_TH,0)-MAX(AI56-cfg_EOS_TH,0))))</f>
        <v/>
      </c>
      <c r="AB56" s="111" t="str">
        <f aca="false">IF($B56="","",IF(الموظفون!$T56&lt;&gt;"",الموظفون!$T56,IF(AH56&gt;=cfg_LV_TH,cfg_LV_D2,cfg_LV_D1))/cfg_DAYS_Y*AJ56*الموظفون!$R56/cfg_DAYS_M)</f>
        <v/>
      </c>
      <c r="AC56" s="111" t="str">
        <f aca="false">IF($B56="","",IF(AND(الموظفون!$U56="نعم",N(الموظفون!$W56)&gt;0),الموظفون!$V56/الموظفون!$W56*12/cfg_DAYS_Y*AJ56,0))</f>
        <v/>
      </c>
      <c r="AD56" s="111" t="str">
        <f aca="false">IF($B56="","",(IF(الموظفون!$X56&lt;&gt;"",الموظفون!$X56,IF(الموظفون!$E56="غير سعودي",cfg_IQ,0))+IF(الموظفون!$Y56&lt;&gt;"",الموظفون!$Y56,IF(الموظفون!$E56="غير سعودي",cfg_WP,0)))/12*G56/cfg_DAYS_M)</f>
        <v/>
      </c>
      <c r="AE56" s="111" t="str">
        <f aca="false">IF($B56="","",IF(الموظفون!$Z56&lt;&gt;"",الموظفون!$Z56,cfg_MED)/12*G56/cfg_DAYS_M)</f>
        <v/>
      </c>
      <c r="AF56" s="111" t="str">
        <f aca="false">IF($B56="","",N(الموظفون!$AA56)/12*G56/cfg_DAYS_M)</f>
        <v/>
      </c>
      <c r="AG56" s="154" t="str">
        <f aca="false">IF($B56="","",T56+SUM(Z56:AF56))</f>
        <v/>
      </c>
      <c r="AH56" s="155" t="str">
        <f aca="false">IF($B56="","",MAX(0,IF(OR(الموظفون!$AE56="",الموظفون!$AE56&gt;$F$3),$F$3,الموظفون!$AE56)-الموظفون!$H56+1-SUMIFS('سجل الإجازات والحالات'!$AR$6:$AR$505,'سجل الإجازات والحالات'!$B$6:$B$505,$B56))/cfg_DAYS_Y)</f>
        <v/>
      </c>
      <c r="AI56" s="155" t="str">
        <f aca="false">IF($B56="","",MAX(0,IF(OR(الموظفون!$AE56="",الموظفون!$AE56&gt;($E$3-1)),($E$3-1),الموظفون!$AE56)-الموظفون!$H56+1-SUMIFS('سجل الإجازات والحالات'!$AQ$6:$AQ$505,'سجل الإجازات والحالات'!$B$6:$B$505,$B56))/cfg_DAYS_Y)</f>
        <v/>
      </c>
      <c r="AJ56" s="65" t="str">
        <f aca="false">IF($B56="","",MAX(0,AK56-(SUMIFS('سجل الإجازات والحالات'!$AR$6:$AR$505,'سجل الإجازات والحالات'!$B$6:$B$505,$B56)-SUMIFS('سجل الإجازات والحالات'!$AQ$6:$AQ$505,'سجل الإجازات والحالات'!$B$6:$B$505,$B56))))</f>
        <v/>
      </c>
      <c r="AK56" s="65" t="str">
        <f aca="false">IF($B56="","",MAX(0,IF(OR(الموظفون!$AE56="",الموظفون!$AE56&gt;$F$3),$F$3,الموظفون!$AE56)-MAX($E$3,الموظفون!$H56)+1))</f>
        <v/>
      </c>
      <c r="AL56" s="151" t="str">
        <f aca="false">IF($B56="","",SUMIFS('سجل الإجازات والحالات'!$BD$6:$BD$505,'سجل الإجازات والحالات'!$B$6:$B$505,$B56)+SUMIFS('الحركات الشهرية'!$K$6:$K$1005,'الحركات الشهرية'!$B$6:$B$1005,$B56,'الحركات الشهرية'!$A$6:$A$1005,$C$3))</f>
        <v/>
      </c>
      <c r="AM56" s="111" t="str">
        <f aca="false">IF($B56="","",AL56*الموظفون!$R56/cfg_DAYS_M+S56)</f>
        <v/>
      </c>
      <c r="AN56" s="151" t="str">
        <f aca="false">IF($B56="","",SUMIFS('سجل الإجازات والحالات'!$AF$6:$AF$505,'سجل الإجازات والحالات'!$B$6:$B$505,$B56))</f>
        <v/>
      </c>
    </row>
    <row r="57" customFormat="false" ht="15" hidden="false" customHeight="false" outlineLevel="0" collapsed="false">
      <c r="A57" s="115" t="str">
        <f aca="false">IF($B57="","",الموظفون!$A57)</f>
        <v/>
      </c>
      <c r="B57" s="117" t="str">
        <f aca="false">IF(الموظفون!$B57="","",الموظفون!$B57)</f>
        <v/>
      </c>
      <c r="C57" s="117" t="str">
        <f aca="false">IF($B57="","",الموظفون!$C57)</f>
        <v/>
      </c>
      <c r="D57" s="117" t="str">
        <f aca="false">IF($B57="","",الموظفون!$F57)</f>
        <v/>
      </c>
      <c r="E57" s="117" t="str">
        <f aca="false">IF($B57="","",الموظفون!$E57)</f>
        <v/>
      </c>
      <c r="F57" s="117" t="str">
        <f aca="false">IF($B57="","",IF(AK57=0,IF(AND(الموظفون!$AE57&lt;&gt;"",الموظفون!$AE57&lt;$E$3),"✖ منتهي الخدمة","⏳ لم يباشر"),IF(S57&gt;0,"✈ راتب إجازة مقدم",IF(J57=0,"⛔ بدون راتب هذا الشهر",IF(I57&gt;0,"✈ خصم "&amp;ROUND(I57,2)&amp;" يوم بدون أجر",IF(AL57&gt;0,"🌴 إجازة سنوية "&amp;ROUND(AL57,2)&amp;" يوم",IF(H57&gt;0,"⚠ غياب "&amp;ROUND(H57,2)&amp;" يوم","✔ على رأس العمل")))))))</f>
        <v/>
      </c>
      <c r="G57" s="156" t="str">
        <f aca="false">IF($B57="","",IF(AK57&gt;=DAY($F$3),cfg_DAYS_M,MIN(AK57,cfg_DAYS_M)))</f>
        <v/>
      </c>
      <c r="H57" s="156" t="str">
        <f aca="false">IF($B57="","",SUMIFS('الحركات الشهرية'!$D$6:$D$1005,'الحركات الشهرية'!$B$6:$B$1005,$B57,'الحركات الشهرية'!$A$6:$A$1005,$C$3))</f>
        <v/>
      </c>
      <c r="I57" s="156" t="str">
        <f aca="false">IF($B57="","",MIN(G57,IF(AND(AK57&gt;0,AN57&gt;=AK57),G57,AN57)+SUMIFS('الحركات الشهرية'!$E$6:$E$1005,'الحركات الشهرية'!$B$6:$B$1005,$B57,'الحركات الشهرية'!$A$6:$A$1005,$C$3)))</f>
        <v/>
      </c>
      <c r="J57" s="156" t="str">
        <f aca="false">IF($B57="","",MAX(0,G57-H57-I57))</f>
        <v/>
      </c>
      <c r="K57" s="116" t="str">
        <f aca="false">IF($B57="","",الموظفون!$L57*$J57/cfg_DAYS_M)</f>
        <v/>
      </c>
      <c r="L57" s="116" t="str">
        <f aca="false">IF($B57="","",الموظفون!$M57*$J57/cfg_DAYS_M)</f>
        <v/>
      </c>
      <c r="M57" s="116" t="str">
        <f aca="false">IF($B57="","",الموظفون!$N57*$J57/cfg_DAYS_M)</f>
        <v/>
      </c>
      <c r="N57" s="116" t="str">
        <f aca="false">IF($B57="","",الموظفون!$O57*$J57/cfg_DAYS_M)</f>
        <v/>
      </c>
      <c r="O57" s="156" t="str">
        <f aca="false">IF($B57="","",SUMIFS('الحركات الشهرية'!$F$6:$F$1005,'الحركات الشهرية'!$B$6:$B$1005,$B57,'الحركات الشهرية'!$A$6:$A$1005,$C$3))</f>
        <v/>
      </c>
      <c r="P57" s="116" t="str">
        <f aca="false">IF($B57="","",O57*(الموظفون!$P57+الموظفون!$L57*cfg_OT_P)/cfg_DAYS_M/cfg_HRS)</f>
        <v/>
      </c>
      <c r="Q57" s="116" t="str">
        <f aca="false">IF($B57="","",SUMIFS('الحركات الشهرية'!$G$6:$G$1005,'الحركات الشهرية'!$B$6:$B$1005,$B57,'الحركات الشهرية'!$A$6:$A$1005,$C$3))</f>
        <v/>
      </c>
      <c r="R57" s="116" t="str">
        <f aca="false">IF($B57="","",SUMIFS('الحركات الشهرية'!$H$6:$H$1005,'الحركات الشهرية'!$B$6:$B$1005,$B57,'الحركات الشهرية'!$A$6:$A$1005,$C$3))</f>
        <v/>
      </c>
      <c r="S57" s="116" t="str">
        <f aca="false">IF($B57="","",SUMIFS('سجل الإجازات والحالات'!$N$6:$N$505,'سجل الإجازات والحالات'!$B$6:$B$505,$B57,'سجل الإجازات والحالات'!$O$6:$O$505,$C$3))</f>
        <v/>
      </c>
      <c r="T57" s="157" t="str">
        <f aca="false">IF($B57="","",SUM(K57:N57)+SUM(P57:S57))</f>
        <v/>
      </c>
      <c r="U57" s="116" t="str">
        <f aca="false">IF($B57="","",الموظفون!$S57*IF(E57="سعودي",cfg_G_SE,cfg_G_NE)*G57/cfg_DAYS_M)</f>
        <v/>
      </c>
      <c r="V57" s="116" t="str">
        <f aca="false">IF($B57="","",SUMIFS('الحركات الشهرية'!$I$6:$I$1005,'الحركات الشهرية'!$B$6:$B$1005,$B57,'الحركات الشهرية'!$A$6:$A$1005,$C$3))</f>
        <v/>
      </c>
      <c r="W57" s="116" t="str">
        <f aca="false">IF($B57="","",SUMIFS('الحركات الشهرية'!$J$6:$J$1005,'الحركات الشهرية'!$B$6:$B$1005,$B57,'الحركات الشهرية'!$A$6:$A$1005,$C$3))</f>
        <v/>
      </c>
      <c r="X57" s="116" t="str">
        <f aca="false">IF($B57="","",SUM(U57:W57))</f>
        <v/>
      </c>
      <c r="Y57" s="158" t="str">
        <f aca="false">IF($B57="","",T57-X57)</f>
        <v/>
      </c>
      <c r="Z57" s="116" t="str">
        <f aca="false">IF($B57="","",الموظفون!$S57*IF(E57="سعودي",cfg_G_SR,cfg_G_NR)*G57/cfg_DAYS_M)</f>
        <v/>
      </c>
      <c r="AA57" s="116" t="str">
        <f aca="false">IF($B57="","",الموظفون!$Q57*(cfg_EOS_R1*(MIN(AH57,cfg_EOS_TH)-MIN(AI57,cfg_EOS_TH))+cfg_EOS_R2*(MAX(AH57-cfg_EOS_TH,0)-MAX(AI57-cfg_EOS_TH,0))))</f>
        <v/>
      </c>
      <c r="AB57" s="116" t="str">
        <f aca="false">IF($B57="","",IF(الموظفون!$T57&lt;&gt;"",الموظفون!$T57,IF(AH57&gt;=cfg_LV_TH,cfg_LV_D2,cfg_LV_D1))/cfg_DAYS_Y*AJ57*الموظفون!$R57/cfg_DAYS_M)</f>
        <v/>
      </c>
      <c r="AC57" s="116" t="str">
        <f aca="false">IF($B57="","",IF(AND(الموظفون!$U57="نعم",N(الموظفون!$W57)&gt;0),الموظفون!$V57/الموظفون!$W57*12/cfg_DAYS_Y*AJ57,0))</f>
        <v/>
      </c>
      <c r="AD57" s="116" t="str">
        <f aca="false">IF($B57="","",(IF(الموظفون!$X57&lt;&gt;"",الموظفون!$X57,IF(الموظفون!$E57="غير سعودي",cfg_IQ,0))+IF(الموظفون!$Y57&lt;&gt;"",الموظفون!$Y57,IF(الموظفون!$E57="غير سعودي",cfg_WP,0)))/12*G57/cfg_DAYS_M)</f>
        <v/>
      </c>
      <c r="AE57" s="116" t="str">
        <f aca="false">IF($B57="","",IF(الموظفون!$Z57&lt;&gt;"",الموظفون!$Z57,cfg_MED)/12*G57/cfg_DAYS_M)</f>
        <v/>
      </c>
      <c r="AF57" s="116" t="str">
        <f aca="false">IF($B57="","",N(الموظفون!$AA57)/12*G57/cfg_DAYS_M)</f>
        <v/>
      </c>
      <c r="AG57" s="159" t="str">
        <f aca="false">IF($B57="","",T57+SUM(Z57:AF57))</f>
        <v/>
      </c>
      <c r="AH57" s="160" t="str">
        <f aca="false">IF($B57="","",MAX(0,IF(OR(الموظفون!$AE57="",الموظفون!$AE57&gt;$F$3),$F$3,الموظفون!$AE57)-الموظفون!$H57+1-SUMIFS('سجل الإجازات والحالات'!$AR$6:$AR$505,'سجل الإجازات والحالات'!$B$6:$B$505,$B57))/cfg_DAYS_Y)</f>
        <v/>
      </c>
      <c r="AI57" s="160" t="str">
        <f aca="false">IF($B57="","",MAX(0,IF(OR(الموظفون!$AE57="",الموظفون!$AE57&gt;($E$3-1)),($E$3-1),الموظفون!$AE57)-الموظفون!$H57+1-SUMIFS('سجل الإجازات والحالات'!$AQ$6:$AQ$505,'سجل الإجازات والحالات'!$B$6:$B$505,$B57))/cfg_DAYS_Y)</f>
        <v/>
      </c>
      <c r="AJ57" s="133" t="str">
        <f aca="false">IF($B57="","",MAX(0,AK57-(SUMIFS('سجل الإجازات والحالات'!$AR$6:$AR$505,'سجل الإجازات والحالات'!$B$6:$B$505,$B57)-SUMIFS('سجل الإجازات والحالات'!$AQ$6:$AQ$505,'سجل الإجازات والحالات'!$B$6:$B$505,$B57))))</f>
        <v/>
      </c>
      <c r="AK57" s="133" t="str">
        <f aca="false">IF($B57="","",MAX(0,IF(OR(الموظفون!$AE57="",الموظفون!$AE57&gt;$F$3),$F$3,الموظفون!$AE57)-MAX($E$3,الموظفون!$H57)+1))</f>
        <v/>
      </c>
      <c r="AL57" s="156" t="str">
        <f aca="false">IF($B57="","",SUMIFS('سجل الإجازات والحالات'!$BD$6:$BD$505,'سجل الإجازات والحالات'!$B$6:$B$505,$B57)+SUMIFS('الحركات الشهرية'!$K$6:$K$1005,'الحركات الشهرية'!$B$6:$B$1005,$B57,'الحركات الشهرية'!$A$6:$A$1005,$C$3))</f>
        <v/>
      </c>
      <c r="AM57" s="116" t="str">
        <f aca="false">IF($B57="","",AL57*الموظفون!$R57/cfg_DAYS_M+S57)</f>
        <v/>
      </c>
      <c r="AN57" s="156" t="str">
        <f aca="false">IF($B57="","",SUMIFS('سجل الإجازات والحالات'!$AF$6:$AF$505,'سجل الإجازات والحالات'!$B$6:$B$505,$B57))</f>
        <v/>
      </c>
    </row>
    <row r="58" customFormat="false" ht="15" hidden="false" customHeight="false" outlineLevel="0" collapsed="false">
      <c r="A58" s="106" t="str">
        <f aca="false">IF($B58="","",الموظفون!$A58)</f>
        <v/>
      </c>
      <c r="B58" s="114" t="str">
        <f aca="false">IF(الموظفون!$B58="","",الموظفون!$B58)</f>
        <v/>
      </c>
      <c r="C58" s="114" t="str">
        <f aca="false">IF($B58="","",الموظفون!$C58)</f>
        <v/>
      </c>
      <c r="D58" s="114" t="str">
        <f aca="false">IF($B58="","",الموظفون!$F58)</f>
        <v/>
      </c>
      <c r="E58" s="114" t="str">
        <f aca="false">IF($B58="","",الموظفون!$E58)</f>
        <v/>
      </c>
      <c r="F58" s="114" t="str">
        <f aca="false">IF($B58="","",IF(AK58=0,IF(AND(الموظفون!$AE58&lt;&gt;"",الموظفون!$AE58&lt;$E$3),"✖ منتهي الخدمة","⏳ لم يباشر"),IF(S58&gt;0,"✈ راتب إجازة مقدم",IF(J58=0,"⛔ بدون راتب هذا الشهر",IF(I58&gt;0,"✈ خصم "&amp;ROUND(I58,2)&amp;" يوم بدون أجر",IF(AL58&gt;0,"🌴 إجازة سنوية "&amp;ROUND(AL58,2)&amp;" يوم",IF(H58&gt;0,"⚠ غياب "&amp;ROUND(H58,2)&amp;" يوم","✔ على رأس العمل")))))))</f>
        <v/>
      </c>
      <c r="G58" s="151" t="str">
        <f aca="false">IF($B58="","",IF(AK58&gt;=DAY($F$3),cfg_DAYS_M,MIN(AK58,cfg_DAYS_M)))</f>
        <v/>
      </c>
      <c r="H58" s="151" t="str">
        <f aca="false">IF($B58="","",SUMIFS('الحركات الشهرية'!$D$6:$D$1005,'الحركات الشهرية'!$B$6:$B$1005,$B58,'الحركات الشهرية'!$A$6:$A$1005,$C$3))</f>
        <v/>
      </c>
      <c r="I58" s="151" t="str">
        <f aca="false">IF($B58="","",MIN(G58,IF(AND(AK58&gt;0,AN58&gt;=AK58),G58,AN58)+SUMIFS('الحركات الشهرية'!$E$6:$E$1005,'الحركات الشهرية'!$B$6:$B$1005,$B58,'الحركات الشهرية'!$A$6:$A$1005,$C$3)))</f>
        <v/>
      </c>
      <c r="J58" s="151" t="str">
        <f aca="false">IF($B58="","",MAX(0,G58-H58-I58))</f>
        <v/>
      </c>
      <c r="K58" s="111" t="str">
        <f aca="false">IF($B58="","",الموظفون!$L58*$J58/cfg_DAYS_M)</f>
        <v/>
      </c>
      <c r="L58" s="111" t="str">
        <f aca="false">IF($B58="","",الموظفون!$M58*$J58/cfg_DAYS_M)</f>
        <v/>
      </c>
      <c r="M58" s="111" t="str">
        <f aca="false">IF($B58="","",الموظفون!$N58*$J58/cfg_DAYS_M)</f>
        <v/>
      </c>
      <c r="N58" s="111" t="str">
        <f aca="false">IF($B58="","",الموظفون!$O58*$J58/cfg_DAYS_M)</f>
        <v/>
      </c>
      <c r="O58" s="151" t="str">
        <f aca="false">IF($B58="","",SUMIFS('الحركات الشهرية'!$F$6:$F$1005,'الحركات الشهرية'!$B$6:$B$1005,$B58,'الحركات الشهرية'!$A$6:$A$1005,$C$3))</f>
        <v/>
      </c>
      <c r="P58" s="111" t="str">
        <f aca="false">IF($B58="","",O58*(الموظفون!$P58+الموظفون!$L58*cfg_OT_P)/cfg_DAYS_M/cfg_HRS)</f>
        <v/>
      </c>
      <c r="Q58" s="111" t="str">
        <f aca="false">IF($B58="","",SUMIFS('الحركات الشهرية'!$G$6:$G$1005,'الحركات الشهرية'!$B$6:$B$1005,$B58,'الحركات الشهرية'!$A$6:$A$1005,$C$3))</f>
        <v/>
      </c>
      <c r="R58" s="111" t="str">
        <f aca="false">IF($B58="","",SUMIFS('الحركات الشهرية'!$H$6:$H$1005,'الحركات الشهرية'!$B$6:$B$1005,$B58,'الحركات الشهرية'!$A$6:$A$1005,$C$3))</f>
        <v/>
      </c>
      <c r="S58" s="111" t="str">
        <f aca="false">IF($B58="","",SUMIFS('سجل الإجازات والحالات'!$N$6:$N$505,'سجل الإجازات والحالات'!$B$6:$B$505,$B58,'سجل الإجازات والحالات'!$O$6:$O$505,$C$3))</f>
        <v/>
      </c>
      <c r="T58" s="152" t="str">
        <f aca="false">IF($B58="","",SUM(K58:N58)+SUM(P58:S58))</f>
        <v/>
      </c>
      <c r="U58" s="111" t="str">
        <f aca="false">IF($B58="","",الموظفون!$S58*IF(E58="سعودي",cfg_G_SE,cfg_G_NE)*G58/cfg_DAYS_M)</f>
        <v/>
      </c>
      <c r="V58" s="111" t="str">
        <f aca="false">IF($B58="","",SUMIFS('الحركات الشهرية'!$I$6:$I$1005,'الحركات الشهرية'!$B$6:$B$1005,$B58,'الحركات الشهرية'!$A$6:$A$1005,$C$3))</f>
        <v/>
      </c>
      <c r="W58" s="111" t="str">
        <f aca="false">IF($B58="","",SUMIFS('الحركات الشهرية'!$J$6:$J$1005,'الحركات الشهرية'!$B$6:$B$1005,$B58,'الحركات الشهرية'!$A$6:$A$1005,$C$3))</f>
        <v/>
      </c>
      <c r="X58" s="111" t="str">
        <f aca="false">IF($B58="","",SUM(U58:W58))</f>
        <v/>
      </c>
      <c r="Y58" s="153" t="str">
        <f aca="false">IF($B58="","",T58-X58)</f>
        <v/>
      </c>
      <c r="Z58" s="111" t="str">
        <f aca="false">IF($B58="","",الموظفون!$S58*IF(E58="سعودي",cfg_G_SR,cfg_G_NR)*G58/cfg_DAYS_M)</f>
        <v/>
      </c>
      <c r="AA58" s="111" t="str">
        <f aca="false">IF($B58="","",الموظفون!$Q58*(cfg_EOS_R1*(MIN(AH58,cfg_EOS_TH)-MIN(AI58,cfg_EOS_TH))+cfg_EOS_R2*(MAX(AH58-cfg_EOS_TH,0)-MAX(AI58-cfg_EOS_TH,0))))</f>
        <v/>
      </c>
      <c r="AB58" s="111" t="str">
        <f aca="false">IF($B58="","",IF(الموظفون!$T58&lt;&gt;"",الموظفون!$T58,IF(AH58&gt;=cfg_LV_TH,cfg_LV_D2,cfg_LV_D1))/cfg_DAYS_Y*AJ58*الموظفون!$R58/cfg_DAYS_M)</f>
        <v/>
      </c>
      <c r="AC58" s="111" t="str">
        <f aca="false">IF($B58="","",IF(AND(الموظفون!$U58="نعم",N(الموظفون!$W58)&gt;0),الموظفون!$V58/الموظفون!$W58*12/cfg_DAYS_Y*AJ58,0))</f>
        <v/>
      </c>
      <c r="AD58" s="111" t="str">
        <f aca="false">IF($B58="","",(IF(الموظفون!$X58&lt;&gt;"",الموظفون!$X58,IF(الموظفون!$E58="غير سعودي",cfg_IQ,0))+IF(الموظفون!$Y58&lt;&gt;"",الموظفون!$Y58,IF(الموظفون!$E58="غير سعودي",cfg_WP,0)))/12*G58/cfg_DAYS_M)</f>
        <v/>
      </c>
      <c r="AE58" s="111" t="str">
        <f aca="false">IF($B58="","",IF(الموظفون!$Z58&lt;&gt;"",الموظفون!$Z58,cfg_MED)/12*G58/cfg_DAYS_M)</f>
        <v/>
      </c>
      <c r="AF58" s="111" t="str">
        <f aca="false">IF($B58="","",N(الموظفون!$AA58)/12*G58/cfg_DAYS_M)</f>
        <v/>
      </c>
      <c r="AG58" s="154" t="str">
        <f aca="false">IF($B58="","",T58+SUM(Z58:AF58))</f>
        <v/>
      </c>
      <c r="AH58" s="155" t="str">
        <f aca="false">IF($B58="","",MAX(0,IF(OR(الموظفون!$AE58="",الموظفون!$AE58&gt;$F$3),$F$3,الموظفون!$AE58)-الموظفون!$H58+1-SUMIFS('سجل الإجازات والحالات'!$AR$6:$AR$505,'سجل الإجازات والحالات'!$B$6:$B$505,$B58))/cfg_DAYS_Y)</f>
        <v/>
      </c>
      <c r="AI58" s="155" t="str">
        <f aca="false">IF($B58="","",MAX(0,IF(OR(الموظفون!$AE58="",الموظفون!$AE58&gt;($E$3-1)),($E$3-1),الموظفون!$AE58)-الموظفون!$H58+1-SUMIFS('سجل الإجازات والحالات'!$AQ$6:$AQ$505,'سجل الإجازات والحالات'!$B$6:$B$505,$B58))/cfg_DAYS_Y)</f>
        <v/>
      </c>
      <c r="AJ58" s="65" t="str">
        <f aca="false">IF($B58="","",MAX(0,AK58-(SUMIFS('سجل الإجازات والحالات'!$AR$6:$AR$505,'سجل الإجازات والحالات'!$B$6:$B$505,$B58)-SUMIFS('سجل الإجازات والحالات'!$AQ$6:$AQ$505,'سجل الإجازات والحالات'!$B$6:$B$505,$B58))))</f>
        <v/>
      </c>
      <c r="AK58" s="65" t="str">
        <f aca="false">IF($B58="","",MAX(0,IF(OR(الموظفون!$AE58="",الموظفون!$AE58&gt;$F$3),$F$3,الموظفون!$AE58)-MAX($E$3,الموظفون!$H58)+1))</f>
        <v/>
      </c>
      <c r="AL58" s="151" t="str">
        <f aca="false">IF($B58="","",SUMIFS('سجل الإجازات والحالات'!$BD$6:$BD$505,'سجل الإجازات والحالات'!$B$6:$B$505,$B58)+SUMIFS('الحركات الشهرية'!$K$6:$K$1005,'الحركات الشهرية'!$B$6:$B$1005,$B58,'الحركات الشهرية'!$A$6:$A$1005,$C$3))</f>
        <v/>
      </c>
      <c r="AM58" s="111" t="str">
        <f aca="false">IF($B58="","",AL58*الموظفون!$R58/cfg_DAYS_M+S58)</f>
        <v/>
      </c>
      <c r="AN58" s="151" t="str">
        <f aca="false">IF($B58="","",SUMIFS('سجل الإجازات والحالات'!$AF$6:$AF$505,'سجل الإجازات والحالات'!$B$6:$B$505,$B58))</f>
        <v/>
      </c>
    </row>
    <row r="59" customFormat="false" ht="15" hidden="false" customHeight="false" outlineLevel="0" collapsed="false">
      <c r="A59" s="115" t="str">
        <f aca="false">IF($B59="","",الموظفون!$A59)</f>
        <v/>
      </c>
      <c r="B59" s="117" t="str">
        <f aca="false">IF(الموظفون!$B59="","",الموظفون!$B59)</f>
        <v/>
      </c>
      <c r="C59" s="117" t="str">
        <f aca="false">IF($B59="","",الموظفون!$C59)</f>
        <v/>
      </c>
      <c r="D59" s="117" t="str">
        <f aca="false">IF($B59="","",الموظفون!$F59)</f>
        <v/>
      </c>
      <c r="E59" s="117" t="str">
        <f aca="false">IF($B59="","",الموظفون!$E59)</f>
        <v/>
      </c>
      <c r="F59" s="117" t="str">
        <f aca="false">IF($B59="","",IF(AK59=0,IF(AND(الموظفون!$AE59&lt;&gt;"",الموظفون!$AE59&lt;$E$3),"✖ منتهي الخدمة","⏳ لم يباشر"),IF(S59&gt;0,"✈ راتب إجازة مقدم",IF(J59=0,"⛔ بدون راتب هذا الشهر",IF(I59&gt;0,"✈ خصم "&amp;ROUND(I59,2)&amp;" يوم بدون أجر",IF(AL59&gt;0,"🌴 إجازة سنوية "&amp;ROUND(AL59,2)&amp;" يوم",IF(H59&gt;0,"⚠ غياب "&amp;ROUND(H59,2)&amp;" يوم","✔ على رأس العمل")))))))</f>
        <v/>
      </c>
      <c r="G59" s="156" t="str">
        <f aca="false">IF($B59="","",IF(AK59&gt;=DAY($F$3),cfg_DAYS_M,MIN(AK59,cfg_DAYS_M)))</f>
        <v/>
      </c>
      <c r="H59" s="156" t="str">
        <f aca="false">IF($B59="","",SUMIFS('الحركات الشهرية'!$D$6:$D$1005,'الحركات الشهرية'!$B$6:$B$1005,$B59,'الحركات الشهرية'!$A$6:$A$1005,$C$3))</f>
        <v/>
      </c>
      <c r="I59" s="156" t="str">
        <f aca="false">IF($B59="","",MIN(G59,IF(AND(AK59&gt;0,AN59&gt;=AK59),G59,AN59)+SUMIFS('الحركات الشهرية'!$E$6:$E$1005,'الحركات الشهرية'!$B$6:$B$1005,$B59,'الحركات الشهرية'!$A$6:$A$1005,$C$3)))</f>
        <v/>
      </c>
      <c r="J59" s="156" t="str">
        <f aca="false">IF($B59="","",MAX(0,G59-H59-I59))</f>
        <v/>
      </c>
      <c r="K59" s="116" t="str">
        <f aca="false">IF($B59="","",الموظفون!$L59*$J59/cfg_DAYS_M)</f>
        <v/>
      </c>
      <c r="L59" s="116" t="str">
        <f aca="false">IF($B59="","",الموظفون!$M59*$J59/cfg_DAYS_M)</f>
        <v/>
      </c>
      <c r="M59" s="116" t="str">
        <f aca="false">IF($B59="","",الموظفون!$N59*$J59/cfg_DAYS_M)</f>
        <v/>
      </c>
      <c r="N59" s="116" t="str">
        <f aca="false">IF($B59="","",الموظفون!$O59*$J59/cfg_DAYS_M)</f>
        <v/>
      </c>
      <c r="O59" s="156" t="str">
        <f aca="false">IF($B59="","",SUMIFS('الحركات الشهرية'!$F$6:$F$1005,'الحركات الشهرية'!$B$6:$B$1005,$B59,'الحركات الشهرية'!$A$6:$A$1005,$C$3))</f>
        <v/>
      </c>
      <c r="P59" s="116" t="str">
        <f aca="false">IF($B59="","",O59*(الموظفون!$P59+الموظفون!$L59*cfg_OT_P)/cfg_DAYS_M/cfg_HRS)</f>
        <v/>
      </c>
      <c r="Q59" s="116" t="str">
        <f aca="false">IF($B59="","",SUMIFS('الحركات الشهرية'!$G$6:$G$1005,'الحركات الشهرية'!$B$6:$B$1005,$B59,'الحركات الشهرية'!$A$6:$A$1005,$C$3))</f>
        <v/>
      </c>
      <c r="R59" s="116" t="str">
        <f aca="false">IF($B59="","",SUMIFS('الحركات الشهرية'!$H$6:$H$1005,'الحركات الشهرية'!$B$6:$B$1005,$B59,'الحركات الشهرية'!$A$6:$A$1005,$C$3))</f>
        <v/>
      </c>
      <c r="S59" s="116" t="str">
        <f aca="false">IF($B59="","",SUMIFS('سجل الإجازات والحالات'!$N$6:$N$505,'سجل الإجازات والحالات'!$B$6:$B$505,$B59,'سجل الإجازات والحالات'!$O$6:$O$505,$C$3))</f>
        <v/>
      </c>
      <c r="T59" s="157" t="str">
        <f aca="false">IF($B59="","",SUM(K59:N59)+SUM(P59:S59))</f>
        <v/>
      </c>
      <c r="U59" s="116" t="str">
        <f aca="false">IF($B59="","",الموظفون!$S59*IF(E59="سعودي",cfg_G_SE,cfg_G_NE)*G59/cfg_DAYS_M)</f>
        <v/>
      </c>
      <c r="V59" s="116" t="str">
        <f aca="false">IF($B59="","",SUMIFS('الحركات الشهرية'!$I$6:$I$1005,'الحركات الشهرية'!$B$6:$B$1005,$B59,'الحركات الشهرية'!$A$6:$A$1005,$C$3))</f>
        <v/>
      </c>
      <c r="W59" s="116" t="str">
        <f aca="false">IF($B59="","",SUMIFS('الحركات الشهرية'!$J$6:$J$1005,'الحركات الشهرية'!$B$6:$B$1005,$B59,'الحركات الشهرية'!$A$6:$A$1005,$C$3))</f>
        <v/>
      </c>
      <c r="X59" s="116" t="str">
        <f aca="false">IF($B59="","",SUM(U59:W59))</f>
        <v/>
      </c>
      <c r="Y59" s="158" t="str">
        <f aca="false">IF($B59="","",T59-X59)</f>
        <v/>
      </c>
      <c r="Z59" s="116" t="str">
        <f aca="false">IF($B59="","",الموظفون!$S59*IF(E59="سعودي",cfg_G_SR,cfg_G_NR)*G59/cfg_DAYS_M)</f>
        <v/>
      </c>
      <c r="AA59" s="116" t="str">
        <f aca="false">IF($B59="","",الموظفون!$Q59*(cfg_EOS_R1*(MIN(AH59,cfg_EOS_TH)-MIN(AI59,cfg_EOS_TH))+cfg_EOS_R2*(MAX(AH59-cfg_EOS_TH,0)-MAX(AI59-cfg_EOS_TH,0))))</f>
        <v/>
      </c>
      <c r="AB59" s="116" t="str">
        <f aca="false">IF($B59="","",IF(الموظفون!$T59&lt;&gt;"",الموظفون!$T59,IF(AH59&gt;=cfg_LV_TH,cfg_LV_D2,cfg_LV_D1))/cfg_DAYS_Y*AJ59*الموظفون!$R59/cfg_DAYS_M)</f>
        <v/>
      </c>
      <c r="AC59" s="116" t="str">
        <f aca="false">IF($B59="","",IF(AND(الموظفون!$U59="نعم",N(الموظفون!$W59)&gt;0),الموظفون!$V59/الموظفون!$W59*12/cfg_DAYS_Y*AJ59,0))</f>
        <v/>
      </c>
      <c r="AD59" s="116" t="str">
        <f aca="false">IF($B59="","",(IF(الموظفون!$X59&lt;&gt;"",الموظفون!$X59,IF(الموظفون!$E59="غير سعودي",cfg_IQ,0))+IF(الموظفون!$Y59&lt;&gt;"",الموظفون!$Y59,IF(الموظفون!$E59="غير سعودي",cfg_WP,0)))/12*G59/cfg_DAYS_M)</f>
        <v/>
      </c>
      <c r="AE59" s="116" t="str">
        <f aca="false">IF($B59="","",IF(الموظفون!$Z59&lt;&gt;"",الموظفون!$Z59,cfg_MED)/12*G59/cfg_DAYS_M)</f>
        <v/>
      </c>
      <c r="AF59" s="116" t="str">
        <f aca="false">IF($B59="","",N(الموظفون!$AA59)/12*G59/cfg_DAYS_M)</f>
        <v/>
      </c>
      <c r="AG59" s="159" t="str">
        <f aca="false">IF($B59="","",T59+SUM(Z59:AF59))</f>
        <v/>
      </c>
      <c r="AH59" s="160" t="str">
        <f aca="false">IF($B59="","",MAX(0,IF(OR(الموظفون!$AE59="",الموظفون!$AE59&gt;$F$3),$F$3,الموظفون!$AE59)-الموظفون!$H59+1-SUMIFS('سجل الإجازات والحالات'!$AR$6:$AR$505,'سجل الإجازات والحالات'!$B$6:$B$505,$B59))/cfg_DAYS_Y)</f>
        <v/>
      </c>
      <c r="AI59" s="160" t="str">
        <f aca="false">IF($B59="","",MAX(0,IF(OR(الموظفون!$AE59="",الموظفون!$AE59&gt;($E$3-1)),($E$3-1),الموظفون!$AE59)-الموظفون!$H59+1-SUMIFS('سجل الإجازات والحالات'!$AQ$6:$AQ$505,'سجل الإجازات والحالات'!$B$6:$B$505,$B59))/cfg_DAYS_Y)</f>
        <v/>
      </c>
      <c r="AJ59" s="133" t="str">
        <f aca="false">IF($B59="","",MAX(0,AK59-(SUMIFS('سجل الإجازات والحالات'!$AR$6:$AR$505,'سجل الإجازات والحالات'!$B$6:$B$505,$B59)-SUMIFS('سجل الإجازات والحالات'!$AQ$6:$AQ$505,'سجل الإجازات والحالات'!$B$6:$B$505,$B59))))</f>
        <v/>
      </c>
      <c r="AK59" s="133" t="str">
        <f aca="false">IF($B59="","",MAX(0,IF(OR(الموظفون!$AE59="",الموظفون!$AE59&gt;$F$3),$F$3,الموظفون!$AE59)-MAX($E$3,الموظفون!$H59)+1))</f>
        <v/>
      </c>
      <c r="AL59" s="156" t="str">
        <f aca="false">IF($B59="","",SUMIFS('سجل الإجازات والحالات'!$BD$6:$BD$505,'سجل الإجازات والحالات'!$B$6:$B$505,$B59)+SUMIFS('الحركات الشهرية'!$K$6:$K$1005,'الحركات الشهرية'!$B$6:$B$1005,$B59,'الحركات الشهرية'!$A$6:$A$1005,$C$3))</f>
        <v/>
      </c>
      <c r="AM59" s="116" t="str">
        <f aca="false">IF($B59="","",AL59*الموظفون!$R59/cfg_DAYS_M+S59)</f>
        <v/>
      </c>
      <c r="AN59" s="156" t="str">
        <f aca="false">IF($B59="","",SUMIFS('سجل الإجازات والحالات'!$AF$6:$AF$505,'سجل الإجازات والحالات'!$B$6:$B$505,$B59))</f>
        <v/>
      </c>
    </row>
    <row r="60" customFormat="false" ht="15" hidden="false" customHeight="false" outlineLevel="0" collapsed="false">
      <c r="A60" s="106" t="str">
        <f aca="false">IF($B60="","",الموظفون!$A60)</f>
        <v/>
      </c>
      <c r="B60" s="114" t="str">
        <f aca="false">IF(الموظفون!$B60="","",الموظفون!$B60)</f>
        <v/>
      </c>
      <c r="C60" s="114" t="str">
        <f aca="false">IF($B60="","",الموظفون!$C60)</f>
        <v/>
      </c>
      <c r="D60" s="114" t="str">
        <f aca="false">IF($B60="","",الموظفون!$F60)</f>
        <v/>
      </c>
      <c r="E60" s="114" t="str">
        <f aca="false">IF($B60="","",الموظفون!$E60)</f>
        <v/>
      </c>
      <c r="F60" s="114" t="str">
        <f aca="false">IF($B60="","",IF(AK60=0,IF(AND(الموظفون!$AE60&lt;&gt;"",الموظفون!$AE60&lt;$E$3),"✖ منتهي الخدمة","⏳ لم يباشر"),IF(S60&gt;0,"✈ راتب إجازة مقدم",IF(J60=0,"⛔ بدون راتب هذا الشهر",IF(I60&gt;0,"✈ خصم "&amp;ROUND(I60,2)&amp;" يوم بدون أجر",IF(AL60&gt;0,"🌴 إجازة سنوية "&amp;ROUND(AL60,2)&amp;" يوم",IF(H60&gt;0,"⚠ غياب "&amp;ROUND(H60,2)&amp;" يوم","✔ على رأس العمل")))))))</f>
        <v/>
      </c>
      <c r="G60" s="151" t="str">
        <f aca="false">IF($B60="","",IF(AK60&gt;=DAY($F$3),cfg_DAYS_M,MIN(AK60,cfg_DAYS_M)))</f>
        <v/>
      </c>
      <c r="H60" s="151" t="str">
        <f aca="false">IF($B60="","",SUMIFS('الحركات الشهرية'!$D$6:$D$1005,'الحركات الشهرية'!$B$6:$B$1005,$B60,'الحركات الشهرية'!$A$6:$A$1005,$C$3))</f>
        <v/>
      </c>
      <c r="I60" s="151" t="str">
        <f aca="false">IF($B60="","",MIN(G60,IF(AND(AK60&gt;0,AN60&gt;=AK60),G60,AN60)+SUMIFS('الحركات الشهرية'!$E$6:$E$1005,'الحركات الشهرية'!$B$6:$B$1005,$B60,'الحركات الشهرية'!$A$6:$A$1005,$C$3)))</f>
        <v/>
      </c>
      <c r="J60" s="151" t="str">
        <f aca="false">IF($B60="","",MAX(0,G60-H60-I60))</f>
        <v/>
      </c>
      <c r="K60" s="111" t="str">
        <f aca="false">IF($B60="","",الموظفون!$L60*$J60/cfg_DAYS_M)</f>
        <v/>
      </c>
      <c r="L60" s="111" t="str">
        <f aca="false">IF($B60="","",الموظفون!$M60*$J60/cfg_DAYS_M)</f>
        <v/>
      </c>
      <c r="M60" s="111" t="str">
        <f aca="false">IF($B60="","",الموظفون!$N60*$J60/cfg_DAYS_M)</f>
        <v/>
      </c>
      <c r="N60" s="111" t="str">
        <f aca="false">IF($B60="","",الموظفون!$O60*$J60/cfg_DAYS_M)</f>
        <v/>
      </c>
      <c r="O60" s="151" t="str">
        <f aca="false">IF($B60="","",SUMIFS('الحركات الشهرية'!$F$6:$F$1005,'الحركات الشهرية'!$B$6:$B$1005,$B60,'الحركات الشهرية'!$A$6:$A$1005,$C$3))</f>
        <v/>
      </c>
      <c r="P60" s="111" t="str">
        <f aca="false">IF($B60="","",O60*(الموظفون!$P60+الموظفون!$L60*cfg_OT_P)/cfg_DAYS_M/cfg_HRS)</f>
        <v/>
      </c>
      <c r="Q60" s="111" t="str">
        <f aca="false">IF($B60="","",SUMIFS('الحركات الشهرية'!$G$6:$G$1005,'الحركات الشهرية'!$B$6:$B$1005,$B60,'الحركات الشهرية'!$A$6:$A$1005,$C$3))</f>
        <v/>
      </c>
      <c r="R60" s="111" t="str">
        <f aca="false">IF($B60="","",SUMIFS('الحركات الشهرية'!$H$6:$H$1005,'الحركات الشهرية'!$B$6:$B$1005,$B60,'الحركات الشهرية'!$A$6:$A$1005,$C$3))</f>
        <v/>
      </c>
      <c r="S60" s="111" t="str">
        <f aca="false">IF($B60="","",SUMIFS('سجل الإجازات والحالات'!$N$6:$N$505,'سجل الإجازات والحالات'!$B$6:$B$505,$B60,'سجل الإجازات والحالات'!$O$6:$O$505,$C$3))</f>
        <v/>
      </c>
      <c r="T60" s="152" t="str">
        <f aca="false">IF($B60="","",SUM(K60:N60)+SUM(P60:S60))</f>
        <v/>
      </c>
      <c r="U60" s="111" t="str">
        <f aca="false">IF($B60="","",الموظفون!$S60*IF(E60="سعودي",cfg_G_SE,cfg_G_NE)*G60/cfg_DAYS_M)</f>
        <v/>
      </c>
      <c r="V60" s="111" t="str">
        <f aca="false">IF($B60="","",SUMIFS('الحركات الشهرية'!$I$6:$I$1005,'الحركات الشهرية'!$B$6:$B$1005,$B60,'الحركات الشهرية'!$A$6:$A$1005,$C$3))</f>
        <v/>
      </c>
      <c r="W60" s="111" t="str">
        <f aca="false">IF($B60="","",SUMIFS('الحركات الشهرية'!$J$6:$J$1005,'الحركات الشهرية'!$B$6:$B$1005,$B60,'الحركات الشهرية'!$A$6:$A$1005,$C$3))</f>
        <v/>
      </c>
      <c r="X60" s="111" t="str">
        <f aca="false">IF($B60="","",SUM(U60:W60))</f>
        <v/>
      </c>
      <c r="Y60" s="153" t="str">
        <f aca="false">IF($B60="","",T60-X60)</f>
        <v/>
      </c>
      <c r="Z60" s="111" t="str">
        <f aca="false">IF($B60="","",الموظفون!$S60*IF(E60="سعودي",cfg_G_SR,cfg_G_NR)*G60/cfg_DAYS_M)</f>
        <v/>
      </c>
      <c r="AA60" s="111" t="str">
        <f aca="false">IF($B60="","",الموظفون!$Q60*(cfg_EOS_R1*(MIN(AH60,cfg_EOS_TH)-MIN(AI60,cfg_EOS_TH))+cfg_EOS_R2*(MAX(AH60-cfg_EOS_TH,0)-MAX(AI60-cfg_EOS_TH,0))))</f>
        <v/>
      </c>
      <c r="AB60" s="111" t="str">
        <f aca="false">IF($B60="","",IF(الموظفون!$T60&lt;&gt;"",الموظفون!$T60,IF(AH60&gt;=cfg_LV_TH,cfg_LV_D2,cfg_LV_D1))/cfg_DAYS_Y*AJ60*الموظفون!$R60/cfg_DAYS_M)</f>
        <v/>
      </c>
      <c r="AC60" s="111" t="str">
        <f aca="false">IF($B60="","",IF(AND(الموظفون!$U60="نعم",N(الموظفون!$W60)&gt;0),الموظفون!$V60/الموظفون!$W60*12/cfg_DAYS_Y*AJ60,0))</f>
        <v/>
      </c>
      <c r="AD60" s="111" t="str">
        <f aca="false">IF($B60="","",(IF(الموظفون!$X60&lt;&gt;"",الموظفون!$X60,IF(الموظفون!$E60="غير سعودي",cfg_IQ,0))+IF(الموظفون!$Y60&lt;&gt;"",الموظفون!$Y60,IF(الموظفون!$E60="غير سعودي",cfg_WP,0)))/12*G60/cfg_DAYS_M)</f>
        <v/>
      </c>
      <c r="AE60" s="111" t="str">
        <f aca="false">IF($B60="","",IF(الموظفون!$Z60&lt;&gt;"",الموظفون!$Z60,cfg_MED)/12*G60/cfg_DAYS_M)</f>
        <v/>
      </c>
      <c r="AF60" s="111" t="str">
        <f aca="false">IF($B60="","",N(الموظفون!$AA60)/12*G60/cfg_DAYS_M)</f>
        <v/>
      </c>
      <c r="AG60" s="154" t="str">
        <f aca="false">IF($B60="","",T60+SUM(Z60:AF60))</f>
        <v/>
      </c>
      <c r="AH60" s="155" t="str">
        <f aca="false">IF($B60="","",MAX(0,IF(OR(الموظفون!$AE60="",الموظفون!$AE60&gt;$F$3),$F$3,الموظفون!$AE60)-الموظفون!$H60+1-SUMIFS('سجل الإجازات والحالات'!$AR$6:$AR$505,'سجل الإجازات والحالات'!$B$6:$B$505,$B60))/cfg_DAYS_Y)</f>
        <v/>
      </c>
      <c r="AI60" s="155" t="str">
        <f aca="false">IF($B60="","",MAX(0,IF(OR(الموظفون!$AE60="",الموظفون!$AE60&gt;($E$3-1)),($E$3-1),الموظفون!$AE60)-الموظفون!$H60+1-SUMIFS('سجل الإجازات والحالات'!$AQ$6:$AQ$505,'سجل الإجازات والحالات'!$B$6:$B$505,$B60))/cfg_DAYS_Y)</f>
        <v/>
      </c>
      <c r="AJ60" s="65" t="str">
        <f aca="false">IF($B60="","",MAX(0,AK60-(SUMIFS('سجل الإجازات والحالات'!$AR$6:$AR$505,'سجل الإجازات والحالات'!$B$6:$B$505,$B60)-SUMIFS('سجل الإجازات والحالات'!$AQ$6:$AQ$505,'سجل الإجازات والحالات'!$B$6:$B$505,$B60))))</f>
        <v/>
      </c>
      <c r="AK60" s="65" t="str">
        <f aca="false">IF($B60="","",MAX(0,IF(OR(الموظفون!$AE60="",الموظفون!$AE60&gt;$F$3),$F$3,الموظفون!$AE60)-MAX($E$3,الموظفون!$H60)+1))</f>
        <v/>
      </c>
      <c r="AL60" s="151" t="str">
        <f aca="false">IF($B60="","",SUMIFS('سجل الإجازات والحالات'!$BD$6:$BD$505,'سجل الإجازات والحالات'!$B$6:$B$505,$B60)+SUMIFS('الحركات الشهرية'!$K$6:$K$1005,'الحركات الشهرية'!$B$6:$B$1005,$B60,'الحركات الشهرية'!$A$6:$A$1005,$C$3))</f>
        <v/>
      </c>
      <c r="AM60" s="111" t="str">
        <f aca="false">IF($B60="","",AL60*الموظفون!$R60/cfg_DAYS_M+S60)</f>
        <v/>
      </c>
      <c r="AN60" s="151" t="str">
        <f aca="false">IF($B60="","",SUMIFS('سجل الإجازات والحالات'!$AF$6:$AF$505,'سجل الإجازات والحالات'!$B$6:$B$505,$B60))</f>
        <v/>
      </c>
    </row>
    <row r="61" customFormat="false" ht="15" hidden="false" customHeight="false" outlineLevel="0" collapsed="false">
      <c r="A61" s="115" t="str">
        <f aca="false">IF($B61="","",الموظفون!$A61)</f>
        <v/>
      </c>
      <c r="B61" s="117" t="str">
        <f aca="false">IF(الموظفون!$B61="","",الموظفون!$B61)</f>
        <v/>
      </c>
      <c r="C61" s="117" t="str">
        <f aca="false">IF($B61="","",الموظفون!$C61)</f>
        <v/>
      </c>
      <c r="D61" s="117" t="str">
        <f aca="false">IF($B61="","",الموظفون!$F61)</f>
        <v/>
      </c>
      <c r="E61" s="117" t="str">
        <f aca="false">IF($B61="","",الموظفون!$E61)</f>
        <v/>
      </c>
      <c r="F61" s="117" t="str">
        <f aca="false">IF($B61="","",IF(AK61=0,IF(AND(الموظفون!$AE61&lt;&gt;"",الموظفون!$AE61&lt;$E$3),"✖ منتهي الخدمة","⏳ لم يباشر"),IF(S61&gt;0,"✈ راتب إجازة مقدم",IF(J61=0,"⛔ بدون راتب هذا الشهر",IF(I61&gt;0,"✈ خصم "&amp;ROUND(I61,2)&amp;" يوم بدون أجر",IF(AL61&gt;0,"🌴 إجازة سنوية "&amp;ROUND(AL61,2)&amp;" يوم",IF(H61&gt;0,"⚠ غياب "&amp;ROUND(H61,2)&amp;" يوم","✔ على رأس العمل")))))))</f>
        <v/>
      </c>
      <c r="G61" s="156" t="str">
        <f aca="false">IF($B61="","",IF(AK61&gt;=DAY($F$3),cfg_DAYS_M,MIN(AK61,cfg_DAYS_M)))</f>
        <v/>
      </c>
      <c r="H61" s="156" t="str">
        <f aca="false">IF($B61="","",SUMIFS('الحركات الشهرية'!$D$6:$D$1005,'الحركات الشهرية'!$B$6:$B$1005,$B61,'الحركات الشهرية'!$A$6:$A$1005,$C$3))</f>
        <v/>
      </c>
      <c r="I61" s="156" t="str">
        <f aca="false">IF($B61="","",MIN(G61,IF(AND(AK61&gt;0,AN61&gt;=AK61),G61,AN61)+SUMIFS('الحركات الشهرية'!$E$6:$E$1005,'الحركات الشهرية'!$B$6:$B$1005,$B61,'الحركات الشهرية'!$A$6:$A$1005,$C$3)))</f>
        <v/>
      </c>
      <c r="J61" s="156" t="str">
        <f aca="false">IF($B61="","",MAX(0,G61-H61-I61))</f>
        <v/>
      </c>
      <c r="K61" s="116" t="str">
        <f aca="false">IF($B61="","",الموظفون!$L61*$J61/cfg_DAYS_M)</f>
        <v/>
      </c>
      <c r="L61" s="116" t="str">
        <f aca="false">IF($B61="","",الموظفون!$M61*$J61/cfg_DAYS_M)</f>
        <v/>
      </c>
      <c r="M61" s="116" t="str">
        <f aca="false">IF($B61="","",الموظفون!$N61*$J61/cfg_DAYS_M)</f>
        <v/>
      </c>
      <c r="N61" s="116" t="str">
        <f aca="false">IF($B61="","",الموظفون!$O61*$J61/cfg_DAYS_M)</f>
        <v/>
      </c>
      <c r="O61" s="156" t="str">
        <f aca="false">IF($B61="","",SUMIFS('الحركات الشهرية'!$F$6:$F$1005,'الحركات الشهرية'!$B$6:$B$1005,$B61,'الحركات الشهرية'!$A$6:$A$1005,$C$3))</f>
        <v/>
      </c>
      <c r="P61" s="116" t="str">
        <f aca="false">IF($B61="","",O61*(الموظفون!$P61+الموظفون!$L61*cfg_OT_P)/cfg_DAYS_M/cfg_HRS)</f>
        <v/>
      </c>
      <c r="Q61" s="116" t="str">
        <f aca="false">IF($B61="","",SUMIFS('الحركات الشهرية'!$G$6:$G$1005,'الحركات الشهرية'!$B$6:$B$1005,$B61,'الحركات الشهرية'!$A$6:$A$1005,$C$3))</f>
        <v/>
      </c>
      <c r="R61" s="116" t="str">
        <f aca="false">IF($B61="","",SUMIFS('الحركات الشهرية'!$H$6:$H$1005,'الحركات الشهرية'!$B$6:$B$1005,$B61,'الحركات الشهرية'!$A$6:$A$1005,$C$3))</f>
        <v/>
      </c>
      <c r="S61" s="116" t="str">
        <f aca="false">IF($B61="","",SUMIFS('سجل الإجازات والحالات'!$N$6:$N$505,'سجل الإجازات والحالات'!$B$6:$B$505,$B61,'سجل الإجازات والحالات'!$O$6:$O$505,$C$3))</f>
        <v/>
      </c>
      <c r="T61" s="157" t="str">
        <f aca="false">IF($B61="","",SUM(K61:N61)+SUM(P61:S61))</f>
        <v/>
      </c>
      <c r="U61" s="116" t="str">
        <f aca="false">IF($B61="","",الموظفون!$S61*IF(E61="سعودي",cfg_G_SE,cfg_G_NE)*G61/cfg_DAYS_M)</f>
        <v/>
      </c>
      <c r="V61" s="116" t="str">
        <f aca="false">IF($B61="","",SUMIFS('الحركات الشهرية'!$I$6:$I$1005,'الحركات الشهرية'!$B$6:$B$1005,$B61,'الحركات الشهرية'!$A$6:$A$1005,$C$3))</f>
        <v/>
      </c>
      <c r="W61" s="116" t="str">
        <f aca="false">IF($B61="","",SUMIFS('الحركات الشهرية'!$J$6:$J$1005,'الحركات الشهرية'!$B$6:$B$1005,$B61,'الحركات الشهرية'!$A$6:$A$1005,$C$3))</f>
        <v/>
      </c>
      <c r="X61" s="116" t="str">
        <f aca="false">IF($B61="","",SUM(U61:W61))</f>
        <v/>
      </c>
      <c r="Y61" s="158" t="str">
        <f aca="false">IF($B61="","",T61-X61)</f>
        <v/>
      </c>
      <c r="Z61" s="116" t="str">
        <f aca="false">IF($B61="","",الموظفون!$S61*IF(E61="سعودي",cfg_G_SR,cfg_G_NR)*G61/cfg_DAYS_M)</f>
        <v/>
      </c>
      <c r="AA61" s="116" t="str">
        <f aca="false">IF($B61="","",الموظفون!$Q61*(cfg_EOS_R1*(MIN(AH61,cfg_EOS_TH)-MIN(AI61,cfg_EOS_TH))+cfg_EOS_R2*(MAX(AH61-cfg_EOS_TH,0)-MAX(AI61-cfg_EOS_TH,0))))</f>
        <v/>
      </c>
      <c r="AB61" s="116" t="str">
        <f aca="false">IF($B61="","",IF(الموظفون!$T61&lt;&gt;"",الموظفون!$T61,IF(AH61&gt;=cfg_LV_TH,cfg_LV_D2,cfg_LV_D1))/cfg_DAYS_Y*AJ61*الموظفون!$R61/cfg_DAYS_M)</f>
        <v/>
      </c>
      <c r="AC61" s="116" t="str">
        <f aca="false">IF($B61="","",IF(AND(الموظفون!$U61="نعم",N(الموظفون!$W61)&gt;0),الموظفون!$V61/الموظفون!$W61*12/cfg_DAYS_Y*AJ61,0))</f>
        <v/>
      </c>
      <c r="AD61" s="116" t="str">
        <f aca="false">IF($B61="","",(IF(الموظفون!$X61&lt;&gt;"",الموظفون!$X61,IF(الموظفون!$E61="غير سعودي",cfg_IQ,0))+IF(الموظفون!$Y61&lt;&gt;"",الموظفون!$Y61,IF(الموظفون!$E61="غير سعودي",cfg_WP,0)))/12*G61/cfg_DAYS_M)</f>
        <v/>
      </c>
      <c r="AE61" s="116" t="str">
        <f aca="false">IF($B61="","",IF(الموظفون!$Z61&lt;&gt;"",الموظفون!$Z61,cfg_MED)/12*G61/cfg_DAYS_M)</f>
        <v/>
      </c>
      <c r="AF61" s="116" t="str">
        <f aca="false">IF($B61="","",N(الموظفون!$AA61)/12*G61/cfg_DAYS_M)</f>
        <v/>
      </c>
      <c r="AG61" s="159" t="str">
        <f aca="false">IF($B61="","",T61+SUM(Z61:AF61))</f>
        <v/>
      </c>
      <c r="AH61" s="160" t="str">
        <f aca="false">IF($B61="","",MAX(0,IF(OR(الموظفون!$AE61="",الموظفون!$AE61&gt;$F$3),$F$3,الموظفون!$AE61)-الموظفون!$H61+1-SUMIFS('سجل الإجازات والحالات'!$AR$6:$AR$505,'سجل الإجازات والحالات'!$B$6:$B$505,$B61))/cfg_DAYS_Y)</f>
        <v/>
      </c>
      <c r="AI61" s="160" t="str">
        <f aca="false">IF($B61="","",MAX(0,IF(OR(الموظفون!$AE61="",الموظفون!$AE61&gt;($E$3-1)),($E$3-1),الموظفون!$AE61)-الموظفون!$H61+1-SUMIFS('سجل الإجازات والحالات'!$AQ$6:$AQ$505,'سجل الإجازات والحالات'!$B$6:$B$505,$B61))/cfg_DAYS_Y)</f>
        <v/>
      </c>
      <c r="AJ61" s="133" t="str">
        <f aca="false">IF($B61="","",MAX(0,AK61-(SUMIFS('سجل الإجازات والحالات'!$AR$6:$AR$505,'سجل الإجازات والحالات'!$B$6:$B$505,$B61)-SUMIFS('سجل الإجازات والحالات'!$AQ$6:$AQ$505,'سجل الإجازات والحالات'!$B$6:$B$505,$B61))))</f>
        <v/>
      </c>
      <c r="AK61" s="133" t="str">
        <f aca="false">IF($B61="","",MAX(0,IF(OR(الموظفون!$AE61="",الموظفون!$AE61&gt;$F$3),$F$3,الموظفون!$AE61)-MAX($E$3,الموظفون!$H61)+1))</f>
        <v/>
      </c>
      <c r="AL61" s="156" t="str">
        <f aca="false">IF($B61="","",SUMIFS('سجل الإجازات والحالات'!$BD$6:$BD$505,'سجل الإجازات والحالات'!$B$6:$B$505,$B61)+SUMIFS('الحركات الشهرية'!$K$6:$K$1005,'الحركات الشهرية'!$B$6:$B$1005,$B61,'الحركات الشهرية'!$A$6:$A$1005,$C$3))</f>
        <v/>
      </c>
      <c r="AM61" s="116" t="str">
        <f aca="false">IF($B61="","",AL61*الموظفون!$R61/cfg_DAYS_M+S61)</f>
        <v/>
      </c>
      <c r="AN61" s="156" t="str">
        <f aca="false">IF($B61="","",SUMIFS('سجل الإجازات والحالات'!$AF$6:$AF$505,'سجل الإجازات والحالات'!$B$6:$B$505,$B61))</f>
        <v/>
      </c>
    </row>
    <row r="62" customFormat="false" ht="15" hidden="false" customHeight="false" outlineLevel="0" collapsed="false">
      <c r="A62" s="106" t="str">
        <f aca="false">IF($B62="","",الموظفون!$A62)</f>
        <v/>
      </c>
      <c r="B62" s="114" t="str">
        <f aca="false">IF(الموظفون!$B62="","",الموظفون!$B62)</f>
        <v/>
      </c>
      <c r="C62" s="114" t="str">
        <f aca="false">IF($B62="","",الموظفون!$C62)</f>
        <v/>
      </c>
      <c r="D62" s="114" t="str">
        <f aca="false">IF($B62="","",الموظفون!$F62)</f>
        <v/>
      </c>
      <c r="E62" s="114" t="str">
        <f aca="false">IF($B62="","",الموظفون!$E62)</f>
        <v/>
      </c>
      <c r="F62" s="114" t="str">
        <f aca="false">IF($B62="","",IF(AK62=0,IF(AND(الموظفون!$AE62&lt;&gt;"",الموظفون!$AE62&lt;$E$3),"✖ منتهي الخدمة","⏳ لم يباشر"),IF(S62&gt;0,"✈ راتب إجازة مقدم",IF(J62=0,"⛔ بدون راتب هذا الشهر",IF(I62&gt;0,"✈ خصم "&amp;ROUND(I62,2)&amp;" يوم بدون أجر",IF(AL62&gt;0,"🌴 إجازة سنوية "&amp;ROUND(AL62,2)&amp;" يوم",IF(H62&gt;0,"⚠ غياب "&amp;ROUND(H62,2)&amp;" يوم","✔ على رأس العمل")))))))</f>
        <v/>
      </c>
      <c r="G62" s="151" t="str">
        <f aca="false">IF($B62="","",IF(AK62&gt;=DAY($F$3),cfg_DAYS_M,MIN(AK62,cfg_DAYS_M)))</f>
        <v/>
      </c>
      <c r="H62" s="151" t="str">
        <f aca="false">IF($B62="","",SUMIFS('الحركات الشهرية'!$D$6:$D$1005,'الحركات الشهرية'!$B$6:$B$1005,$B62,'الحركات الشهرية'!$A$6:$A$1005,$C$3))</f>
        <v/>
      </c>
      <c r="I62" s="151" t="str">
        <f aca="false">IF($B62="","",MIN(G62,IF(AND(AK62&gt;0,AN62&gt;=AK62),G62,AN62)+SUMIFS('الحركات الشهرية'!$E$6:$E$1005,'الحركات الشهرية'!$B$6:$B$1005,$B62,'الحركات الشهرية'!$A$6:$A$1005,$C$3)))</f>
        <v/>
      </c>
      <c r="J62" s="151" t="str">
        <f aca="false">IF($B62="","",MAX(0,G62-H62-I62))</f>
        <v/>
      </c>
      <c r="K62" s="111" t="str">
        <f aca="false">IF($B62="","",الموظفون!$L62*$J62/cfg_DAYS_M)</f>
        <v/>
      </c>
      <c r="L62" s="111" t="str">
        <f aca="false">IF($B62="","",الموظفون!$M62*$J62/cfg_DAYS_M)</f>
        <v/>
      </c>
      <c r="M62" s="111" t="str">
        <f aca="false">IF($B62="","",الموظفون!$N62*$J62/cfg_DAYS_M)</f>
        <v/>
      </c>
      <c r="N62" s="111" t="str">
        <f aca="false">IF($B62="","",الموظفون!$O62*$J62/cfg_DAYS_M)</f>
        <v/>
      </c>
      <c r="O62" s="151" t="str">
        <f aca="false">IF($B62="","",SUMIFS('الحركات الشهرية'!$F$6:$F$1005,'الحركات الشهرية'!$B$6:$B$1005,$B62,'الحركات الشهرية'!$A$6:$A$1005,$C$3))</f>
        <v/>
      </c>
      <c r="P62" s="111" t="str">
        <f aca="false">IF($B62="","",O62*(الموظفون!$P62+الموظفون!$L62*cfg_OT_P)/cfg_DAYS_M/cfg_HRS)</f>
        <v/>
      </c>
      <c r="Q62" s="111" t="str">
        <f aca="false">IF($B62="","",SUMIFS('الحركات الشهرية'!$G$6:$G$1005,'الحركات الشهرية'!$B$6:$B$1005,$B62,'الحركات الشهرية'!$A$6:$A$1005,$C$3))</f>
        <v/>
      </c>
      <c r="R62" s="111" t="str">
        <f aca="false">IF($B62="","",SUMIFS('الحركات الشهرية'!$H$6:$H$1005,'الحركات الشهرية'!$B$6:$B$1005,$B62,'الحركات الشهرية'!$A$6:$A$1005,$C$3))</f>
        <v/>
      </c>
      <c r="S62" s="111" t="str">
        <f aca="false">IF($B62="","",SUMIFS('سجل الإجازات والحالات'!$N$6:$N$505,'سجل الإجازات والحالات'!$B$6:$B$505,$B62,'سجل الإجازات والحالات'!$O$6:$O$505,$C$3))</f>
        <v/>
      </c>
      <c r="T62" s="152" t="str">
        <f aca="false">IF($B62="","",SUM(K62:N62)+SUM(P62:S62))</f>
        <v/>
      </c>
      <c r="U62" s="111" t="str">
        <f aca="false">IF($B62="","",الموظفون!$S62*IF(E62="سعودي",cfg_G_SE,cfg_G_NE)*G62/cfg_DAYS_M)</f>
        <v/>
      </c>
      <c r="V62" s="111" t="str">
        <f aca="false">IF($B62="","",SUMIFS('الحركات الشهرية'!$I$6:$I$1005,'الحركات الشهرية'!$B$6:$B$1005,$B62,'الحركات الشهرية'!$A$6:$A$1005,$C$3))</f>
        <v/>
      </c>
      <c r="W62" s="111" t="str">
        <f aca="false">IF($B62="","",SUMIFS('الحركات الشهرية'!$J$6:$J$1005,'الحركات الشهرية'!$B$6:$B$1005,$B62,'الحركات الشهرية'!$A$6:$A$1005,$C$3))</f>
        <v/>
      </c>
      <c r="X62" s="111" t="str">
        <f aca="false">IF($B62="","",SUM(U62:W62))</f>
        <v/>
      </c>
      <c r="Y62" s="153" t="str">
        <f aca="false">IF($B62="","",T62-X62)</f>
        <v/>
      </c>
      <c r="Z62" s="111" t="str">
        <f aca="false">IF($B62="","",الموظفون!$S62*IF(E62="سعودي",cfg_G_SR,cfg_G_NR)*G62/cfg_DAYS_M)</f>
        <v/>
      </c>
      <c r="AA62" s="111" t="str">
        <f aca="false">IF($B62="","",الموظفون!$Q62*(cfg_EOS_R1*(MIN(AH62,cfg_EOS_TH)-MIN(AI62,cfg_EOS_TH))+cfg_EOS_R2*(MAX(AH62-cfg_EOS_TH,0)-MAX(AI62-cfg_EOS_TH,0))))</f>
        <v/>
      </c>
      <c r="AB62" s="111" t="str">
        <f aca="false">IF($B62="","",IF(الموظفون!$T62&lt;&gt;"",الموظفون!$T62,IF(AH62&gt;=cfg_LV_TH,cfg_LV_D2,cfg_LV_D1))/cfg_DAYS_Y*AJ62*الموظفون!$R62/cfg_DAYS_M)</f>
        <v/>
      </c>
      <c r="AC62" s="111" t="str">
        <f aca="false">IF($B62="","",IF(AND(الموظفون!$U62="نعم",N(الموظفون!$W62)&gt;0),الموظفون!$V62/الموظفون!$W62*12/cfg_DAYS_Y*AJ62,0))</f>
        <v/>
      </c>
      <c r="AD62" s="111" t="str">
        <f aca="false">IF($B62="","",(IF(الموظفون!$X62&lt;&gt;"",الموظفون!$X62,IF(الموظفون!$E62="غير سعودي",cfg_IQ,0))+IF(الموظفون!$Y62&lt;&gt;"",الموظفون!$Y62,IF(الموظفون!$E62="غير سعودي",cfg_WP,0)))/12*G62/cfg_DAYS_M)</f>
        <v/>
      </c>
      <c r="AE62" s="111" t="str">
        <f aca="false">IF($B62="","",IF(الموظفون!$Z62&lt;&gt;"",الموظفون!$Z62,cfg_MED)/12*G62/cfg_DAYS_M)</f>
        <v/>
      </c>
      <c r="AF62" s="111" t="str">
        <f aca="false">IF($B62="","",N(الموظفون!$AA62)/12*G62/cfg_DAYS_M)</f>
        <v/>
      </c>
      <c r="AG62" s="154" t="str">
        <f aca="false">IF($B62="","",T62+SUM(Z62:AF62))</f>
        <v/>
      </c>
      <c r="AH62" s="155" t="str">
        <f aca="false">IF($B62="","",MAX(0,IF(OR(الموظفون!$AE62="",الموظفون!$AE62&gt;$F$3),$F$3,الموظفون!$AE62)-الموظفون!$H62+1-SUMIFS('سجل الإجازات والحالات'!$AR$6:$AR$505,'سجل الإجازات والحالات'!$B$6:$B$505,$B62))/cfg_DAYS_Y)</f>
        <v/>
      </c>
      <c r="AI62" s="155" t="str">
        <f aca="false">IF($B62="","",MAX(0,IF(OR(الموظفون!$AE62="",الموظفون!$AE62&gt;($E$3-1)),($E$3-1),الموظفون!$AE62)-الموظفون!$H62+1-SUMIFS('سجل الإجازات والحالات'!$AQ$6:$AQ$505,'سجل الإجازات والحالات'!$B$6:$B$505,$B62))/cfg_DAYS_Y)</f>
        <v/>
      </c>
      <c r="AJ62" s="65" t="str">
        <f aca="false">IF($B62="","",MAX(0,AK62-(SUMIFS('سجل الإجازات والحالات'!$AR$6:$AR$505,'سجل الإجازات والحالات'!$B$6:$B$505,$B62)-SUMIFS('سجل الإجازات والحالات'!$AQ$6:$AQ$505,'سجل الإجازات والحالات'!$B$6:$B$505,$B62))))</f>
        <v/>
      </c>
      <c r="AK62" s="65" t="str">
        <f aca="false">IF($B62="","",MAX(0,IF(OR(الموظفون!$AE62="",الموظفون!$AE62&gt;$F$3),$F$3,الموظفون!$AE62)-MAX($E$3,الموظفون!$H62)+1))</f>
        <v/>
      </c>
      <c r="AL62" s="151" t="str">
        <f aca="false">IF($B62="","",SUMIFS('سجل الإجازات والحالات'!$BD$6:$BD$505,'سجل الإجازات والحالات'!$B$6:$B$505,$B62)+SUMIFS('الحركات الشهرية'!$K$6:$K$1005,'الحركات الشهرية'!$B$6:$B$1005,$B62,'الحركات الشهرية'!$A$6:$A$1005,$C$3))</f>
        <v/>
      </c>
      <c r="AM62" s="111" t="str">
        <f aca="false">IF($B62="","",AL62*الموظفون!$R62/cfg_DAYS_M+S62)</f>
        <v/>
      </c>
      <c r="AN62" s="151" t="str">
        <f aca="false">IF($B62="","",SUMIFS('سجل الإجازات والحالات'!$AF$6:$AF$505,'سجل الإجازات والحالات'!$B$6:$B$505,$B62))</f>
        <v/>
      </c>
    </row>
    <row r="63" customFormat="false" ht="15" hidden="false" customHeight="false" outlineLevel="0" collapsed="false">
      <c r="A63" s="115" t="str">
        <f aca="false">IF($B63="","",الموظفون!$A63)</f>
        <v/>
      </c>
      <c r="B63" s="117" t="str">
        <f aca="false">IF(الموظفون!$B63="","",الموظفون!$B63)</f>
        <v/>
      </c>
      <c r="C63" s="117" t="str">
        <f aca="false">IF($B63="","",الموظفون!$C63)</f>
        <v/>
      </c>
      <c r="D63" s="117" t="str">
        <f aca="false">IF($B63="","",الموظفون!$F63)</f>
        <v/>
      </c>
      <c r="E63" s="117" t="str">
        <f aca="false">IF($B63="","",الموظفون!$E63)</f>
        <v/>
      </c>
      <c r="F63" s="117" t="str">
        <f aca="false">IF($B63="","",IF(AK63=0,IF(AND(الموظفون!$AE63&lt;&gt;"",الموظفون!$AE63&lt;$E$3),"✖ منتهي الخدمة","⏳ لم يباشر"),IF(S63&gt;0,"✈ راتب إجازة مقدم",IF(J63=0,"⛔ بدون راتب هذا الشهر",IF(I63&gt;0,"✈ خصم "&amp;ROUND(I63,2)&amp;" يوم بدون أجر",IF(AL63&gt;0,"🌴 إجازة سنوية "&amp;ROUND(AL63,2)&amp;" يوم",IF(H63&gt;0,"⚠ غياب "&amp;ROUND(H63,2)&amp;" يوم","✔ على رأس العمل")))))))</f>
        <v/>
      </c>
      <c r="G63" s="156" t="str">
        <f aca="false">IF($B63="","",IF(AK63&gt;=DAY($F$3),cfg_DAYS_M,MIN(AK63,cfg_DAYS_M)))</f>
        <v/>
      </c>
      <c r="H63" s="156" t="str">
        <f aca="false">IF($B63="","",SUMIFS('الحركات الشهرية'!$D$6:$D$1005,'الحركات الشهرية'!$B$6:$B$1005,$B63,'الحركات الشهرية'!$A$6:$A$1005,$C$3))</f>
        <v/>
      </c>
      <c r="I63" s="156" t="str">
        <f aca="false">IF($B63="","",MIN(G63,IF(AND(AK63&gt;0,AN63&gt;=AK63),G63,AN63)+SUMIFS('الحركات الشهرية'!$E$6:$E$1005,'الحركات الشهرية'!$B$6:$B$1005,$B63,'الحركات الشهرية'!$A$6:$A$1005,$C$3)))</f>
        <v/>
      </c>
      <c r="J63" s="156" t="str">
        <f aca="false">IF($B63="","",MAX(0,G63-H63-I63))</f>
        <v/>
      </c>
      <c r="K63" s="116" t="str">
        <f aca="false">IF($B63="","",الموظفون!$L63*$J63/cfg_DAYS_M)</f>
        <v/>
      </c>
      <c r="L63" s="116" t="str">
        <f aca="false">IF($B63="","",الموظفون!$M63*$J63/cfg_DAYS_M)</f>
        <v/>
      </c>
      <c r="M63" s="116" t="str">
        <f aca="false">IF($B63="","",الموظفون!$N63*$J63/cfg_DAYS_M)</f>
        <v/>
      </c>
      <c r="N63" s="116" t="str">
        <f aca="false">IF($B63="","",الموظفون!$O63*$J63/cfg_DAYS_M)</f>
        <v/>
      </c>
      <c r="O63" s="156" t="str">
        <f aca="false">IF($B63="","",SUMIFS('الحركات الشهرية'!$F$6:$F$1005,'الحركات الشهرية'!$B$6:$B$1005,$B63,'الحركات الشهرية'!$A$6:$A$1005,$C$3))</f>
        <v/>
      </c>
      <c r="P63" s="116" t="str">
        <f aca="false">IF($B63="","",O63*(الموظفون!$P63+الموظفون!$L63*cfg_OT_P)/cfg_DAYS_M/cfg_HRS)</f>
        <v/>
      </c>
      <c r="Q63" s="116" t="str">
        <f aca="false">IF($B63="","",SUMIFS('الحركات الشهرية'!$G$6:$G$1005,'الحركات الشهرية'!$B$6:$B$1005,$B63,'الحركات الشهرية'!$A$6:$A$1005,$C$3))</f>
        <v/>
      </c>
      <c r="R63" s="116" t="str">
        <f aca="false">IF($B63="","",SUMIFS('الحركات الشهرية'!$H$6:$H$1005,'الحركات الشهرية'!$B$6:$B$1005,$B63,'الحركات الشهرية'!$A$6:$A$1005,$C$3))</f>
        <v/>
      </c>
      <c r="S63" s="116" t="str">
        <f aca="false">IF($B63="","",SUMIFS('سجل الإجازات والحالات'!$N$6:$N$505,'سجل الإجازات والحالات'!$B$6:$B$505,$B63,'سجل الإجازات والحالات'!$O$6:$O$505,$C$3))</f>
        <v/>
      </c>
      <c r="T63" s="157" t="str">
        <f aca="false">IF($B63="","",SUM(K63:N63)+SUM(P63:S63))</f>
        <v/>
      </c>
      <c r="U63" s="116" t="str">
        <f aca="false">IF($B63="","",الموظفون!$S63*IF(E63="سعودي",cfg_G_SE,cfg_G_NE)*G63/cfg_DAYS_M)</f>
        <v/>
      </c>
      <c r="V63" s="116" t="str">
        <f aca="false">IF($B63="","",SUMIFS('الحركات الشهرية'!$I$6:$I$1005,'الحركات الشهرية'!$B$6:$B$1005,$B63,'الحركات الشهرية'!$A$6:$A$1005,$C$3))</f>
        <v/>
      </c>
      <c r="W63" s="116" t="str">
        <f aca="false">IF($B63="","",SUMIFS('الحركات الشهرية'!$J$6:$J$1005,'الحركات الشهرية'!$B$6:$B$1005,$B63,'الحركات الشهرية'!$A$6:$A$1005,$C$3))</f>
        <v/>
      </c>
      <c r="X63" s="116" t="str">
        <f aca="false">IF($B63="","",SUM(U63:W63))</f>
        <v/>
      </c>
      <c r="Y63" s="158" t="str">
        <f aca="false">IF($B63="","",T63-X63)</f>
        <v/>
      </c>
      <c r="Z63" s="116" t="str">
        <f aca="false">IF($B63="","",الموظفون!$S63*IF(E63="سعودي",cfg_G_SR,cfg_G_NR)*G63/cfg_DAYS_M)</f>
        <v/>
      </c>
      <c r="AA63" s="116" t="str">
        <f aca="false">IF($B63="","",الموظفون!$Q63*(cfg_EOS_R1*(MIN(AH63,cfg_EOS_TH)-MIN(AI63,cfg_EOS_TH))+cfg_EOS_R2*(MAX(AH63-cfg_EOS_TH,0)-MAX(AI63-cfg_EOS_TH,0))))</f>
        <v/>
      </c>
      <c r="AB63" s="116" t="str">
        <f aca="false">IF($B63="","",IF(الموظفون!$T63&lt;&gt;"",الموظفون!$T63,IF(AH63&gt;=cfg_LV_TH,cfg_LV_D2,cfg_LV_D1))/cfg_DAYS_Y*AJ63*الموظفون!$R63/cfg_DAYS_M)</f>
        <v/>
      </c>
      <c r="AC63" s="116" t="str">
        <f aca="false">IF($B63="","",IF(AND(الموظفون!$U63="نعم",N(الموظفون!$W63)&gt;0),الموظفون!$V63/الموظفون!$W63*12/cfg_DAYS_Y*AJ63,0))</f>
        <v/>
      </c>
      <c r="AD63" s="116" t="str">
        <f aca="false">IF($B63="","",(IF(الموظفون!$X63&lt;&gt;"",الموظفون!$X63,IF(الموظفون!$E63="غير سعودي",cfg_IQ,0))+IF(الموظفون!$Y63&lt;&gt;"",الموظفون!$Y63,IF(الموظفون!$E63="غير سعودي",cfg_WP,0)))/12*G63/cfg_DAYS_M)</f>
        <v/>
      </c>
      <c r="AE63" s="116" t="str">
        <f aca="false">IF($B63="","",IF(الموظفون!$Z63&lt;&gt;"",الموظفون!$Z63,cfg_MED)/12*G63/cfg_DAYS_M)</f>
        <v/>
      </c>
      <c r="AF63" s="116" t="str">
        <f aca="false">IF($B63="","",N(الموظفون!$AA63)/12*G63/cfg_DAYS_M)</f>
        <v/>
      </c>
      <c r="AG63" s="159" t="str">
        <f aca="false">IF($B63="","",T63+SUM(Z63:AF63))</f>
        <v/>
      </c>
      <c r="AH63" s="160" t="str">
        <f aca="false">IF($B63="","",MAX(0,IF(OR(الموظفون!$AE63="",الموظفون!$AE63&gt;$F$3),$F$3,الموظفون!$AE63)-الموظفون!$H63+1-SUMIFS('سجل الإجازات والحالات'!$AR$6:$AR$505,'سجل الإجازات والحالات'!$B$6:$B$505,$B63))/cfg_DAYS_Y)</f>
        <v/>
      </c>
      <c r="AI63" s="160" t="str">
        <f aca="false">IF($B63="","",MAX(0,IF(OR(الموظفون!$AE63="",الموظفون!$AE63&gt;($E$3-1)),($E$3-1),الموظفون!$AE63)-الموظفون!$H63+1-SUMIFS('سجل الإجازات والحالات'!$AQ$6:$AQ$505,'سجل الإجازات والحالات'!$B$6:$B$505,$B63))/cfg_DAYS_Y)</f>
        <v/>
      </c>
      <c r="AJ63" s="133" t="str">
        <f aca="false">IF($B63="","",MAX(0,AK63-(SUMIFS('سجل الإجازات والحالات'!$AR$6:$AR$505,'سجل الإجازات والحالات'!$B$6:$B$505,$B63)-SUMIFS('سجل الإجازات والحالات'!$AQ$6:$AQ$505,'سجل الإجازات والحالات'!$B$6:$B$505,$B63))))</f>
        <v/>
      </c>
      <c r="AK63" s="133" t="str">
        <f aca="false">IF($B63="","",MAX(0,IF(OR(الموظفون!$AE63="",الموظفون!$AE63&gt;$F$3),$F$3,الموظفون!$AE63)-MAX($E$3,الموظفون!$H63)+1))</f>
        <v/>
      </c>
      <c r="AL63" s="156" t="str">
        <f aca="false">IF($B63="","",SUMIFS('سجل الإجازات والحالات'!$BD$6:$BD$505,'سجل الإجازات والحالات'!$B$6:$B$505,$B63)+SUMIFS('الحركات الشهرية'!$K$6:$K$1005,'الحركات الشهرية'!$B$6:$B$1005,$B63,'الحركات الشهرية'!$A$6:$A$1005,$C$3))</f>
        <v/>
      </c>
      <c r="AM63" s="116" t="str">
        <f aca="false">IF($B63="","",AL63*الموظفون!$R63/cfg_DAYS_M+S63)</f>
        <v/>
      </c>
      <c r="AN63" s="156" t="str">
        <f aca="false">IF($B63="","",SUMIFS('سجل الإجازات والحالات'!$AF$6:$AF$505,'سجل الإجازات والحالات'!$B$6:$B$505,$B63))</f>
        <v/>
      </c>
    </row>
    <row r="64" customFormat="false" ht="15" hidden="false" customHeight="false" outlineLevel="0" collapsed="false">
      <c r="A64" s="106" t="str">
        <f aca="false">IF($B64="","",الموظفون!$A64)</f>
        <v/>
      </c>
      <c r="B64" s="114" t="str">
        <f aca="false">IF(الموظفون!$B64="","",الموظفون!$B64)</f>
        <v/>
      </c>
      <c r="C64" s="114" t="str">
        <f aca="false">IF($B64="","",الموظفون!$C64)</f>
        <v/>
      </c>
      <c r="D64" s="114" t="str">
        <f aca="false">IF($B64="","",الموظفون!$F64)</f>
        <v/>
      </c>
      <c r="E64" s="114" t="str">
        <f aca="false">IF($B64="","",الموظفون!$E64)</f>
        <v/>
      </c>
      <c r="F64" s="114" t="str">
        <f aca="false">IF($B64="","",IF(AK64=0,IF(AND(الموظفون!$AE64&lt;&gt;"",الموظفون!$AE64&lt;$E$3),"✖ منتهي الخدمة","⏳ لم يباشر"),IF(S64&gt;0,"✈ راتب إجازة مقدم",IF(J64=0,"⛔ بدون راتب هذا الشهر",IF(I64&gt;0,"✈ خصم "&amp;ROUND(I64,2)&amp;" يوم بدون أجر",IF(AL64&gt;0,"🌴 إجازة سنوية "&amp;ROUND(AL64,2)&amp;" يوم",IF(H64&gt;0,"⚠ غياب "&amp;ROUND(H64,2)&amp;" يوم","✔ على رأس العمل")))))))</f>
        <v/>
      </c>
      <c r="G64" s="151" t="str">
        <f aca="false">IF($B64="","",IF(AK64&gt;=DAY($F$3),cfg_DAYS_M,MIN(AK64,cfg_DAYS_M)))</f>
        <v/>
      </c>
      <c r="H64" s="151" t="str">
        <f aca="false">IF($B64="","",SUMIFS('الحركات الشهرية'!$D$6:$D$1005,'الحركات الشهرية'!$B$6:$B$1005,$B64,'الحركات الشهرية'!$A$6:$A$1005,$C$3))</f>
        <v/>
      </c>
      <c r="I64" s="151" t="str">
        <f aca="false">IF($B64="","",MIN(G64,IF(AND(AK64&gt;0,AN64&gt;=AK64),G64,AN64)+SUMIFS('الحركات الشهرية'!$E$6:$E$1005,'الحركات الشهرية'!$B$6:$B$1005,$B64,'الحركات الشهرية'!$A$6:$A$1005,$C$3)))</f>
        <v/>
      </c>
      <c r="J64" s="151" t="str">
        <f aca="false">IF($B64="","",MAX(0,G64-H64-I64))</f>
        <v/>
      </c>
      <c r="K64" s="111" t="str">
        <f aca="false">IF($B64="","",الموظفون!$L64*$J64/cfg_DAYS_M)</f>
        <v/>
      </c>
      <c r="L64" s="111" t="str">
        <f aca="false">IF($B64="","",الموظفون!$M64*$J64/cfg_DAYS_M)</f>
        <v/>
      </c>
      <c r="M64" s="111" t="str">
        <f aca="false">IF($B64="","",الموظفون!$N64*$J64/cfg_DAYS_M)</f>
        <v/>
      </c>
      <c r="N64" s="111" t="str">
        <f aca="false">IF($B64="","",الموظفون!$O64*$J64/cfg_DAYS_M)</f>
        <v/>
      </c>
      <c r="O64" s="151" t="str">
        <f aca="false">IF($B64="","",SUMIFS('الحركات الشهرية'!$F$6:$F$1005,'الحركات الشهرية'!$B$6:$B$1005,$B64,'الحركات الشهرية'!$A$6:$A$1005,$C$3))</f>
        <v/>
      </c>
      <c r="P64" s="111" t="str">
        <f aca="false">IF($B64="","",O64*(الموظفون!$P64+الموظفون!$L64*cfg_OT_P)/cfg_DAYS_M/cfg_HRS)</f>
        <v/>
      </c>
      <c r="Q64" s="111" t="str">
        <f aca="false">IF($B64="","",SUMIFS('الحركات الشهرية'!$G$6:$G$1005,'الحركات الشهرية'!$B$6:$B$1005,$B64,'الحركات الشهرية'!$A$6:$A$1005,$C$3))</f>
        <v/>
      </c>
      <c r="R64" s="111" t="str">
        <f aca="false">IF($B64="","",SUMIFS('الحركات الشهرية'!$H$6:$H$1005,'الحركات الشهرية'!$B$6:$B$1005,$B64,'الحركات الشهرية'!$A$6:$A$1005,$C$3))</f>
        <v/>
      </c>
      <c r="S64" s="111" t="str">
        <f aca="false">IF($B64="","",SUMIFS('سجل الإجازات والحالات'!$N$6:$N$505,'سجل الإجازات والحالات'!$B$6:$B$505,$B64,'سجل الإجازات والحالات'!$O$6:$O$505,$C$3))</f>
        <v/>
      </c>
      <c r="T64" s="152" t="str">
        <f aca="false">IF($B64="","",SUM(K64:N64)+SUM(P64:S64))</f>
        <v/>
      </c>
      <c r="U64" s="111" t="str">
        <f aca="false">IF($B64="","",الموظفون!$S64*IF(E64="سعودي",cfg_G_SE,cfg_G_NE)*G64/cfg_DAYS_M)</f>
        <v/>
      </c>
      <c r="V64" s="111" t="str">
        <f aca="false">IF($B64="","",SUMIFS('الحركات الشهرية'!$I$6:$I$1005,'الحركات الشهرية'!$B$6:$B$1005,$B64,'الحركات الشهرية'!$A$6:$A$1005,$C$3))</f>
        <v/>
      </c>
      <c r="W64" s="111" t="str">
        <f aca="false">IF($B64="","",SUMIFS('الحركات الشهرية'!$J$6:$J$1005,'الحركات الشهرية'!$B$6:$B$1005,$B64,'الحركات الشهرية'!$A$6:$A$1005,$C$3))</f>
        <v/>
      </c>
      <c r="X64" s="111" t="str">
        <f aca="false">IF($B64="","",SUM(U64:W64))</f>
        <v/>
      </c>
      <c r="Y64" s="153" t="str">
        <f aca="false">IF($B64="","",T64-X64)</f>
        <v/>
      </c>
      <c r="Z64" s="111" t="str">
        <f aca="false">IF($B64="","",الموظفون!$S64*IF(E64="سعودي",cfg_G_SR,cfg_G_NR)*G64/cfg_DAYS_M)</f>
        <v/>
      </c>
      <c r="AA64" s="111" t="str">
        <f aca="false">IF($B64="","",الموظفون!$Q64*(cfg_EOS_R1*(MIN(AH64,cfg_EOS_TH)-MIN(AI64,cfg_EOS_TH))+cfg_EOS_R2*(MAX(AH64-cfg_EOS_TH,0)-MAX(AI64-cfg_EOS_TH,0))))</f>
        <v/>
      </c>
      <c r="AB64" s="111" t="str">
        <f aca="false">IF($B64="","",IF(الموظفون!$T64&lt;&gt;"",الموظفون!$T64,IF(AH64&gt;=cfg_LV_TH,cfg_LV_D2,cfg_LV_D1))/cfg_DAYS_Y*AJ64*الموظفون!$R64/cfg_DAYS_M)</f>
        <v/>
      </c>
      <c r="AC64" s="111" t="str">
        <f aca="false">IF($B64="","",IF(AND(الموظفون!$U64="نعم",N(الموظفون!$W64)&gt;0),الموظفون!$V64/الموظفون!$W64*12/cfg_DAYS_Y*AJ64,0))</f>
        <v/>
      </c>
      <c r="AD64" s="111" t="str">
        <f aca="false">IF($B64="","",(IF(الموظفون!$X64&lt;&gt;"",الموظفون!$X64,IF(الموظفون!$E64="غير سعودي",cfg_IQ,0))+IF(الموظفون!$Y64&lt;&gt;"",الموظفون!$Y64,IF(الموظفون!$E64="غير سعودي",cfg_WP,0)))/12*G64/cfg_DAYS_M)</f>
        <v/>
      </c>
      <c r="AE64" s="111" t="str">
        <f aca="false">IF($B64="","",IF(الموظفون!$Z64&lt;&gt;"",الموظفون!$Z64,cfg_MED)/12*G64/cfg_DAYS_M)</f>
        <v/>
      </c>
      <c r="AF64" s="111" t="str">
        <f aca="false">IF($B64="","",N(الموظفون!$AA64)/12*G64/cfg_DAYS_M)</f>
        <v/>
      </c>
      <c r="AG64" s="154" t="str">
        <f aca="false">IF($B64="","",T64+SUM(Z64:AF64))</f>
        <v/>
      </c>
      <c r="AH64" s="155" t="str">
        <f aca="false">IF($B64="","",MAX(0,IF(OR(الموظفون!$AE64="",الموظفون!$AE64&gt;$F$3),$F$3,الموظفون!$AE64)-الموظفون!$H64+1-SUMIFS('سجل الإجازات والحالات'!$AR$6:$AR$505,'سجل الإجازات والحالات'!$B$6:$B$505,$B64))/cfg_DAYS_Y)</f>
        <v/>
      </c>
      <c r="AI64" s="155" t="str">
        <f aca="false">IF($B64="","",MAX(0,IF(OR(الموظفون!$AE64="",الموظفون!$AE64&gt;($E$3-1)),($E$3-1),الموظفون!$AE64)-الموظفون!$H64+1-SUMIFS('سجل الإجازات والحالات'!$AQ$6:$AQ$505,'سجل الإجازات والحالات'!$B$6:$B$505,$B64))/cfg_DAYS_Y)</f>
        <v/>
      </c>
      <c r="AJ64" s="65" t="str">
        <f aca="false">IF($B64="","",MAX(0,AK64-(SUMIFS('سجل الإجازات والحالات'!$AR$6:$AR$505,'سجل الإجازات والحالات'!$B$6:$B$505,$B64)-SUMIFS('سجل الإجازات والحالات'!$AQ$6:$AQ$505,'سجل الإجازات والحالات'!$B$6:$B$505,$B64))))</f>
        <v/>
      </c>
      <c r="AK64" s="65" t="str">
        <f aca="false">IF($B64="","",MAX(0,IF(OR(الموظفون!$AE64="",الموظفون!$AE64&gt;$F$3),$F$3,الموظفون!$AE64)-MAX($E$3,الموظفون!$H64)+1))</f>
        <v/>
      </c>
      <c r="AL64" s="151" t="str">
        <f aca="false">IF($B64="","",SUMIFS('سجل الإجازات والحالات'!$BD$6:$BD$505,'سجل الإجازات والحالات'!$B$6:$B$505,$B64)+SUMIFS('الحركات الشهرية'!$K$6:$K$1005,'الحركات الشهرية'!$B$6:$B$1005,$B64,'الحركات الشهرية'!$A$6:$A$1005,$C$3))</f>
        <v/>
      </c>
      <c r="AM64" s="111" t="str">
        <f aca="false">IF($B64="","",AL64*الموظفون!$R64/cfg_DAYS_M+S64)</f>
        <v/>
      </c>
      <c r="AN64" s="151" t="str">
        <f aca="false">IF($B64="","",SUMIFS('سجل الإجازات والحالات'!$AF$6:$AF$505,'سجل الإجازات والحالات'!$B$6:$B$505,$B64))</f>
        <v/>
      </c>
    </row>
    <row r="65" customFormat="false" ht="15" hidden="false" customHeight="false" outlineLevel="0" collapsed="false">
      <c r="A65" s="115" t="str">
        <f aca="false">IF($B65="","",الموظفون!$A65)</f>
        <v/>
      </c>
      <c r="B65" s="117" t="str">
        <f aca="false">IF(الموظفون!$B65="","",الموظفون!$B65)</f>
        <v/>
      </c>
      <c r="C65" s="117" t="str">
        <f aca="false">IF($B65="","",الموظفون!$C65)</f>
        <v/>
      </c>
      <c r="D65" s="117" t="str">
        <f aca="false">IF($B65="","",الموظفون!$F65)</f>
        <v/>
      </c>
      <c r="E65" s="117" t="str">
        <f aca="false">IF($B65="","",الموظفون!$E65)</f>
        <v/>
      </c>
      <c r="F65" s="117" t="str">
        <f aca="false">IF($B65="","",IF(AK65=0,IF(AND(الموظفون!$AE65&lt;&gt;"",الموظفون!$AE65&lt;$E$3),"✖ منتهي الخدمة","⏳ لم يباشر"),IF(S65&gt;0,"✈ راتب إجازة مقدم",IF(J65=0,"⛔ بدون راتب هذا الشهر",IF(I65&gt;0,"✈ خصم "&amp;ROUND(I65,2)&amp;" يوم بدون أجر",IF(AL65&gt;0,"🌴 إجازة سنوية "&amp;ROUND(AL65,2)&amp;" يوم",IF(H65&gt;0,"⚠ غياب "&amp;ROUND(H65,2)&amp;" يوم","✔ على رأس العمل")))))))</f>
        <v/>
      </c>
      <c r="G65" s="156" t="str">
        <f aca="false">IF($B65="","",IF(AK65&gt;=DAY($F$3),cfg_DAYS_M,MIN(AK65,cfg_DAYS_M)))</f>
        <v/>
      </c>
      <c r="H65" s="156" t="str">
        <f aca="false">IF($B65="","",SUMIFS('الحركات الشهرية'!$D$6:$D$1005,'الحركات الشهرية'!$B$6:$B$1005,$B65,'الحركات الشهرية'!$A$6:$A$1005,$C$3))</f>
        <v/>
      </c>
      <c r="I65" s="156" t="str">
        <f aca="false">IF($B65="","",MIN(G65,IF(AND(AK65&gt;0,AN65&gt;=AK65),G65,AN65)+SUMIFS('الحركات الشهرية'!$E$6:$E$1005,'الحركات الشهرية'!$B$6:$B$1005,$B65,'الحركات الشهرية'!$A$6:$A$1005,$C$3)))</f>
        <v/>
      </c>
      <c r="J65" s="156" t="str">
        <f aca="false">IF($B65="","",MAX(0,G65-H65-I65))</f>
        <v/>
      </c>
      <c r="K65" s="116" t="str">
        <f aca="false">IF($B65="","",الموظفون!$L65*$J65/cfg_DAYS_M)</f>
        <v/>
      </c>
      <c r="L65" s="116" t="str">
        <f aca="false">IF($B65="","",الموظفون!$M65*$J65/cfg_DAYS_M)</f>
        <v/>
      </c>
      <c r="M65" s="116" t="str">
        <f aca="false">IF($B65="","",الموظفون!$N65*$J65/cfg_DAYS_M)</f>
        <v/>
      </c>
      <c r="N65" s="116" t="str">
        <f aca="false">IF($B65="","",الموظفون!$O65*$J65/cfg_DAYS_M)</f>
        <v/>
      </c>
      <c r="O65" s="156" t="str">
        <f aca="false">IF($B65="","",SUMIFS('الحركات الشهرية'!$F$6:$F$1005,'الحركات الشهرية'!$B$6:$B$1005,$B65,'الحركات الشهرية'!$A$6:$A$1005,$C$3))</f>
        <v/>
      </c>
      <c r="P65" s="116" t="str">
        <f aca="false">IF($B65="","",O65*(الموظفون!$P65+الموظفون!$L65*cfg_OT_P)/cfg_DAYS_M/cfg_HRS)</f>
        <v/>
      </c>
      <c r="Q65" s="116" t="str">
        <f aca="false">IF($B65="","",SUMIFS('الحركات الشهرية'!$G$6:$G$1005,'الحركات الشهرية'!$B$6:$B$1005,$B65,'الحركات الشهرية'!$A$6:$A$1005,$C$3))</f>
        <v/>
      </c>
      <c r="R65" s="116" t="str">
        <f aca="false">IF($B65="","",SUMIFS('الحركات الشهرية'!$H$6:$H$1005,'الحركات الشهرية'!$B$6:$B$1005,$B65,'الحركات الشهرية'!$A$6:$A$1005,$C$3))</f>
        <v/>
      </c>
      <c r="S65" s="116" t="str">
        <f aca="false">IF($B65="","",SUMIFS('سجل الإجازات والحالات'!$N$6:$N$505,'سجل الإجازات والحالات'!$B$6:$B$505,$B65,'سجل الإجازات والحالات'!$O$6:$O$505,$C$3))</f>
        <v/>
      </c>
      <c r="T65" s="157" t="str">
        <f aca="false">IF($B65="","",SUM(K65:N65)+SUM(P65:S65))</f>
        <v/>
      </c>
      <c r="U65" s="116" t="str">
        <f aca="false">IF($B65="","",الموظفون!$S65*IF(E65="سعودي",cfg_G_SE,cfg_G_NE)*G65/cfg_DAYS_M)</f>
        <v/>
      </c>
      <c r="V65" s="116" t="str">
        <f aca="false">IF($B65="","",SUMIFS('الحركات الشهرية'!$I$6:$I$1005,'الحركات الشهرية'!$B$6:$B$1005,$B65,'الحركات الشهرية'!$A$6:$A$1005,$C$3))</f>
        <v/>
      </c>
      <c r="W65" s="116" t="str">
        <f aca="false">IF($B65="","",SUMIFS('الحركات الشهرية'!$J$6:$J$1005,'الحركات الشهرية'!$B$6:$B$1005,$B65,'الحركات الشهرية'!$A$6:$A$1005,$C$3))</f>
        <v/>
      </c>
      <c r="X65" s="116" t="str">
        <f aca="false">IF($B65="","",SUM(U65:W65))</f>
        <v/>
      </c>
      <c r="Y65" s="158" t="str">
        <f aca="false">IF($B65="","",T65-X65)</f>
        <v/>
      </c>
      <c r="Z65" s="116" t="str">
        <f aca="false">IF($B65="","",الموظفون!$S65*IF(E65="سعودي",cfg_G_SR,cfg_G_NR)*G65/cfg_DAYS_M)</f>
        <v/>
      </c>
      <c r="AA65" s="116" t="str">
        <f aca="false">IF($B65="","",الموظفون!$Q65*(cfg_EOS_R1*(MIN(AH65,cfg_EOS_TH)-MIN(AI65,cfg_EOS_TH))+cfg_EOS_R2*(MAX(AH65-cfg_EOS_TH,0)-MAX(AI65-cfg_EOS_TH,0))))</f>
        <v/>
      </c>
      <c r="AB65" s="116" t="str">
        <f aca="false">IF($B65="","",IF(الموظفون!$T65&lt;&gt;"",الموظفون!$T65,IF(AH65&gt;=cfg_LV_TH,cfg_LV_D2,cfg_LV_D1))/cfg_DAYS_Y*AJ65*الموظفون!$R65/cfg_DAYS_M)</f>
        <v/>
      </c>
      <c r="AC65" s="116" t="str">
        <f aca="false">IF($B65="","",IF(AND(الموظفون!$U65="نعم",N(الموظفون!$W65)&gt;0),الموظفون!$V65/الموظفون!$W65*12/cfg_DAYS_Y*AJ65,0))</f>
        <v/>
      </c>
      <c r="AD65" s="116" t="str">
        <f aca="false">IF($B65="","",(IF(الموظفون!$X65&lt;&gt;"",الموظفون!$X65,IF(الموظفون!$E65="غير سعودي",cfg_IQ,0))+IF(الموظفون!$Y65&lt;&gt;"",الموظفون!$Y65,IF(الموظفون!$E65="غير سعودي",cfg_WP,0)))/12*G65/cfg_DAYS_M)</f>
        <v/>
      </c>
      <c r="AE65" s="116" t="str">
        <f aca="false">IF($B65="","",IF(الموظفون!$Z65&lt;&gt;"",الموظفون!$Z65,cfg_MED)/12*G65/cfg_DAYS_M)</f>
        <v/>
      </c>
      <c r="AF65" s="116" t="str">
        <f aca="false">IF($B65="","",N(الموظفون!$AA65)/12*G65/cfg_DAYS_M)</f>
        <v/>
      </c>
      <c r="AG65" s="159" t="str">
        <f aca="false">IF($B65="","",T65+SUM(Z65:AF65))</f>
        <v/>
      </c>
      <c r="AH65" s="160" t="str">
        <f aca="false">IF($B65="","",MAX(0,IF(OR(الموظفون!$AE65="",الموظفون!$AE65&gt;$F$3),$F$3,الموظفون!$AE65)-الموظفون!$H65+1-SUMIFS('سجل الإجازات والحالات'!$AR$6:$AR$505,'سجل الإجازات والحالات'!$B$6:$B$505,$B65))/cfg_DAYS_Y)</f>
        <v/>
      </c>
      <c r="AI65" s="160" t="str">
        <f aca="false">IF($B65="","",MAX(0,IF(OR(الموظفون!$AE65="",الموظفون!$AE65&gt;($E$3-1)),($E$3-1),الموظفون!$AE65)-الموظفون!$H65+1-SUMIFS('سجل الإجازات والحالات'!$AQ$6:$AQ$505,'سجل الإجازات والحالات'!$B$6:$B$505,$B65))/cfg_DAYS_Y)</f>
        <v/>
      </c>
      <c r="AJ65" s="133" t="str">
        <f aca="false">IF($B65="","",MAX(0,AK65-(SUMIFS('سجل الإجازات والحالات'!$AR$6:$AR$505,'سجل الإجازات والحالات'!$B$6:$B$505,$B65)-SUMIFS('سجل الإجازات والحالات'!$AQ$6:$AQ$505,'سجل الإجازات والحالات'!$B$6:$B$505,$B65))))</f>
        <v/>
      </c>
      <c r="AK65" s="133" t="str">
        <f aca="false">IF($B65="","",MAX(0,IF(OR(الموظفون!$AE65="",الموظفون!$AE65&gt;$F$3),$F$3,الموظفون!$AE65)-MAX($E$3,الموظفون!$H65)+1))</f>
        <v/>
      </c>
      <c r="AL65" s="156" t="str">
        <f aca="false">IF($B65="","",SUMIFS('سجل الإجازات والحالات'!$BD$6:$BD$505,'سجل الإجازات والحالات'!$B$6:$B$505,$B65)+SUMIFS('الحركات الشهرية'!$K$6:$K$1005,'الحركات الشهرية'!$B$6:$B$1005,$B65,'الحركات الشهرية'!$A$6:$A$1005,$C$3))</f>
        <v/>
      </c>
      <c r="AM65" s="116" t="str">
        <f aca="false">IF($B65="","",AL65*الموظفون!$R65/cfg_DAYS_M+S65)</f>
        <v/>
      </c>
      <c r="AN65" s="156" t="str">
        <f aca="false">IF($B65="","",SUMIFS('سجل الإجازات والحالات'!$AF$6:$AF$505,'سجل الإجازات والحالات'!$B$6:$B$505,$B65))</f>
        <v/>
      </c>
    </row>
    <row r="66" customFormat="false" ht="15" hidden="false" customHeight="false" outlineLevel="0" collapsed="false">
      <c r="A66" s="106" t="str">
        <f aca="false">IF($B66="","",الموظفون!$A66)</f>
        <v/>
      </c>
      <c r="B66" s="114" t="str">
        <f aca="false">IF(الموظفون!$B66="","",الموظفون!$B66)</f>
        <v/>
      </c>
      <c r="C66" s="114" t="str">
        <f aca="false">IF($B66="","",الموظفون!$C66)</f>
        <v/>
      </c>
      <c r="D66" s="114" t="str">
        <f aca="false">IF($B66="","",الموظفون!$F66)</f>
        <v/>
      </c>
      <c r="E66" s="114" t="str">
        <f aca="false">IF($B66="","",الموظفون!$E66)</f>
        <v/>
      </c>
      <c r="F66" s="114" t="str">
        <f aca="false">IF($B66="","",IF(AK66=0,IF(AND(الموظفون!$AE66&lt;&gt;"",الموظفون!$AE66&lt;$E$3),"✖ منتهي الخدمة","⏳ لم يباشر"),IF(S66&gt;0,"✈ راتب إجازة مقدم",IF(J66=0,"⛔ بدون راتب هذا الشهر",IF(I66&gt;0,"✈ خصم "&amp;ROUND(I66,2)&amp;" يوم بدون أجر",IF(AL66&gt;0,"🌴 إجازة سنوية "&amp;ROUND(AL66,2)&amp;" يوم",IF(H66&gt;0,"⚠ غياب "&amp;ROUND(H66,2)&amp;" يوم","✔ على رأس العمل")))))))</f>
        <v/>
      </c>
      <c r="G66" s="151" t="str">
        <f aca="false">IF($B66="","",IF(AK66&gt;=DAY($F$3),cfg_DAYS_M,MIN(AK66,cfg_DAYS_M)))</f>
        <v/>
      </c>
      <c r="H66" s="151" t="str">
        <f aca="false">IF($B66="","",SUMIFS('الحركات الشهرية'!$D$6:$D$1005,'الحركات الشهرية'!$B$6:$B$1005,$B66,'الحركات الشهرية'!$A$6:$A$1005,$C$3))</f>
        <v/>
      </c>
      <c r="I66" s="151" t="str">
        <f aca="false">IF($B66="","",MIN(G66,IF(AND(AK66&gt;0,AN66&gt;=AK66),G66,AN66)+SUMIFS('الحركات الشهرية'!$E$6:$E$1005,'الحركات الشهرية'!$B$6:$B$1005,$B66,'الحركات الشهرية'!$A$6:$A$1005,$C$3)))</f>
        <v/>
      </c>
      <c r="J66" s="151" t="str">
        <f aca="false">IF($B66="","",MAX(0,G66-H66-I66))</f>
        <v/>
      </c>
      <c r="K66" s="111" t="str">
        <f aca="false">IF($B66="","",الموظفون!$L66*$J66/cfg_DAYS_M)</f>
        <v/>
      </c>
      <c r="L66" s="111" t="str">
        <f aca="false">IF($B66="","",الموظفون!$M66*$J66/cfg_DAYS_M)</f>
        <v/>
      </c>
      <c r="M66" s="111" t="str">
        <f aca="false">IF($B66="","",الموظفون!$N66*$J66/cfg_DAYS_M)</f>
        <v/>
      </c>
      <c r="N66" s="111" t="str">
        <f aca="false">IF($B66="","",الموظفون!$O66*$J66/cfg_DAYS_M)</f>
        <v/>
      </c>
      <c r="O66" s="151" t="str">
        <f aca="false">IF($B66="","",SUMIFS('الحركات الشهرية'!$F$6:$F$1005,'الحركات الشهرية'!$B$6:$B$1005,$B66,'الحركات الشهرية'!$A$6:$A$1005,$C$3))</f>
        <v/>
      </c>
      <c r="P66" s="111" t="str">
        <f aca="false">IF($B66="","",O66*(الموظفون!$P66+الموظفون!$L66*cfg_OT_P)/cfg_DAYS_M/cfg_HRS)</f>
        <v/>
      </c>
      <c r="Q66" s="111" t="str">
        <f aca="false">IF($B66="","",SUMIFS('الحركات الشهرية'!$G$6:$G$1005,'الحركات الشهرية'!$B$6:$B$1005,$B66,'الحركات الشهرية'!$A$6:$A$1005,$C$3))</f>
        <v/>
      </c>
      <c r="R66" s="111" t="str">
        <f aca="false">IF($B66="","",SUMIFS('الحركات الشهرية'!$H$6:$H$1005,'الحركات الشهرية'!$B$6:$B$1005,$B66,'الحركات الشهرية'!$A$6:$A$1005,$C$3))</f>
        <v/>
      </c>
      <c r="S66" s="111" t="str">
        <f aca="false">IF($B66="","",SUMIFS('سجل الإجازات والحالات'!$N$6:$N$505,'سجل الإجازات والحالات'!$B$6:$B$505,$B66,'سجل الإجازات والحالات'!$O$6:$O$505,$C$3))</f>
        <v/>
      </c>
      <c r="T66" s="152" t="str">
        <f aca="false">IF($B66="","",SUM(K66:N66)+SUM(P66:S66))</f>
        <v/>
      </c>
      <c r="U66" s="111" t="str">
        <f aca="false">IF($B66="","",الموظفون!$S66*IF(E66="سعودي",cfg_G_SE,cfg_G_NE)*G66/cfg_DAYS_M)</f>
        <v/>
      </c>
      <c r="V66" s="111" t="str">
        <f aca="false">IF($B66="","",SUMIFS('الحركات الشهرية'!$I$6:$I$1005,'الحركات الشهرية'!$B$6:$B$1005,$B66,'الحركات الشهرية'!$A$6:$A$1005,$C$3))</f>
        <v/>
      </c>
      <c r="W66" s="111" t="str">
        <f aca="false">IF($B66="","",SUMIFS('الحركات الشهرية'!$J$6:$J$1005,'الحركات الشهرية'!$B$6:$B$1005,$B66,'الحركات الشهرية'!$A$6:$A$1005,$C$3))</f>
        <v/>
      </c>
      <c r="X66" s="111" t="str">
        <f aca="false">IF($B66="","",SUM(U66:W66))</f>
        <v/>
      </c>
      <c r="Y66" s="153" t="str">
        <f aca="false">IF($B66="","",T66-X66)</f>
        <v/>
      </c>
      <c r="Z66" s="111" t="str">
        <f aca="false">IF($B66="","",الموظفون!$S66*IF(E66="سعودي",cfg_G_SR,cfg_G_NR)*G66/cfg_DAYS_M)</f>
        <v/>
      </c>
      <c r="AA66" s="111" t="str">
        <f aca="false">IF($B66="","",الموظفون!$Q66*(cfg_EOS_R1*(MIN(AH66,cfg_EOS_TH)-MIN(AI66,cfg_EOS_TH))+cfg_EOS_R2*(MAX(AH66-cfg_EOS_TH,0)-MAX(AI66-cfg_EOS_TH,0))))</f>
        <v/>
      </c>
      <c r="AB66" s="111" t="str">
        <f aca="false">IF($B66="","",IF(الموظفون!$T66&lt;&gt;"",الموظفون!$T66,IF(AH66&gt;=cfg_LV_TH,cfg_LV_D2,cfg_LV_D1))/cfg_DAYS_Y*AJ66*الموظفون!$R66/cfg_DAYS_M)</f>
        <v/>
      </c>
      <c r="AC66" s="111" t="str">
        <f aca="false">IF($B66="","",IF(AND(الموظفون!$U66="نعم",N(الموظفون!$W66)&gt;0),الموظفون!$V66/الموظفون!$W66*12/cfg_DAYS_Y*AJ66,0))</f>
        <v/>
      </c>
      <c r="AD66" s="111" t="str">
        <f aca="false">IF($B66="","",(IF(الموظفون!$X66&lt;&gt;"",الموظفون!$X66,IF(الموظفون!$E66="غير سعودي",cfg_IQ,0))+IF(الموظفون!$Y66&lt;&gt;"",الموظفون!$Y66,IF(الموظفون!$E66="غير سعودي",cfg_WP,0)))/12*G66/cfg_DAYS_M)</f>
        <v/>
      </c>
      <c r="AE66" s="111" t="str">
        <f aca="false">IF($B66="","",IF(الموظفون!$Z66&lt;&gt;"",الموظفون!$Z66,cfg_MED)/12*G66/cfg_DAYS_M)</f>
        <v/>
      </c>
      <c r="AF66" s="111" t="str">
        <f aca="false">IF($B66="","",N(الموظفون!$AA66)/12*G66/cfg_DAYS_M)</f>
        <v/>
      </c>
      <c r="AG66" s="154" t="str">
        <f aca="false">IF($B66="","",T66+SUM(Z66:AF66))</f>
        <v/>
      </c>
      <c r="AH66" s="155" t="str">
        <f aca="false">IF($B66="","",MAX(0,IF(OR(الموظفون!$AE66="",الموظفون!$AE66&gt;$F$3),$F$3,الموظفون!$AE66)-الموظفون!$H66+1-SUMIFS('سجل الإجازات والحالات'!$AR$6:$AR$505,'سجل الإجازات والحالات'!$B$6:$B$505,$B66))/cfg_DAYS_Y)</f>
        <v/>
      </c>
      <c r="AI66" s="155" t="str">
        <f aca="false">IF($B66="","",MAX(0,IF(OR(الموظفون!$AE66="",الموظفون!$AE66&gt;($E$3-1)),($E$3-1),الموظفون!$AE66)-الموظفون!$H66+1-SUMIFS('سجل الإجازات والحالات'!$AQ$6:$AQ$505,'سجل الإجازات والحالات'!$B$6:$B$505,$B66))/cfg_DAYS_Y)</f>
        <v/>
      </c>
      <c r="AJ66" s="65" t="str">
        <f aca="false">IF($B66="","",MAX(0,AK66-(SUMIFS('سجل الإجازات والحالات'!$AR$6:$AR$505,'سجل الإجازات والحالات'!$B$6:$B$505,$B66)-SUMIFS('سجل الإجازات والحالات'!$AQ$6:$AQ$505,'سجل الإجازات والحالات'!$B$6:$B$505,$B66))))</f>
        <v/>
      </c>
      <c r="AK66" s="65" t="str">
        <f aca="false">IF($B66="","",MAX(0,IF(OR(الموظفون!$AE66="",الموظفون!$AE66&gt;$F$3),$F$3,الموظفون!$AE66)-MAX($E$3,الموظفون!$H66)+1))</f>
        <v/>
      </c>
      <c r="AL66" s="151" t="str">
        <f aca="false">IF($B66="","",SUMIFS('سجل الإجازات والحالات'!$BD$6:$BD$505,'سجل الإجازات والحالات'!$B$6:$B$505,$B66)+SUMIFS('الحركات الشهرية'!$K$6:$K$1005,'الحركات الشهرية'!$B$6:$B$1005,$B66,'الحركات الشهرية'!$A$6:$A$1005,$C$3))</f>
        <v/>
      </c>
      <c r="AM66" s="111" t="str">
        <f aca="false">IF($B66="","",AL66*الموظفون!$R66/cfg_DAYS_M+S66)</f>
        <v/>
      </c>
      <c r="AN66" s="151" t="str">
        <f aca="false">IF($B66="","",SUMIFS('سجل الإجازات والحالات'!$AF$6:$AF$505,'سجل الإجازات والحالات'!$B$6:$B$505,$B66))</f>
        <v/>
      </c>
    </row>
    <row r="67" customFormat="false" ht="15" hidden="false" customHeight="false" outlineLevel="0" collapsed="false">
      <c r="A67" s="115" t="str">
        <f aca="false">IF($B67="","",الموظفون!$A67)</f>
        <v/>
      </c>
      <c r="B67" s="117" t="str">
        <f aca="false">IF(الموظفون!$B67="","",الموظفون!$B67)</f>
        <v/>
      </c>
      <c r="C67" s="117" t="str">
        <f aca="false">IF($B67="","",الموظفون!$C67)</f>
        <v/>
      </c>
      <c r="D67" s="117" t="str">
        <f aca="false">IF($B67="","",الموظفون!$F67)</f>
        <v/>
      </c>
      <c r="E67" s="117" t="str">
        <f aca="false">IF($B67="","",الموظفون!$E67)</f>
        <v/>
      </c>
      <c r="F67" s="117" t="str">
        <f aca="false">IF($B67="","",IF(AK67=0,IF(AND(الموظفون!$AE67&lt;&gt;"",الموظفون!$AE67&lt;$E$3),"✖ منتهي الخدمة","⏳ لم يباشر"),IF(S67&gt;0,"✈ راتب إجازة مقدم",IF(J67=0,"⛔ بدون راتب هذا الشهر",IF(I67&gt;0,"✈ خصم "&amp;ROUND(I67,2)&amp;" يوم بدون أجر",IF(AL67&gt;0,"🌴 إجازة سنوية "&amp;ROUND(AL67,2)&amp;" يوم",IF(H67&gt;0,"⚠ غياب "&amp;ROUND(H67,2)&amp;" يوم","✔ على رأس العمل")))))))</f>
        <v/>
      </c>
      <c r="G67" s="156" t="str">
        <f aca="false">IF($B67="","",IF(AK67&gt;=DAY($F$3),cfg_DAYS_M,MIN(AK67,cfg_DAYS_M)))</f>
        <v/>
      </c>
      <c r="H67" s="156" t="str">
        <f aca="false">IF($B67="","",SUMIFS('الحركات الشهرية'!$D$6:$D$1005,'الحركات الشهرية'!$B$6:$B$1005,$B67,'الحركات الشهرية'!$A$6:$A$1005,$C$3))</f>
        <v/>
      </c>
      <c r="I67" s="156" t="str">
        <f aca="false">IF($B67="","",MIN(G67,IF(AND(AK67&gt;0,AN67&gt;=AK67),G67,AN67)+SUMIFS('الحركات الشهرية'!$E$6:$E$1005,'الحركات الشهرية'!$B$6:$B$1005,$B67,'الحركات الشهرية'!$A$6:$A$1005,$C$3)))</f>
        <v/>
      </c>
      <c r="J67" s="156" t="str">
        <f aca="false">IF($B67="","",MAX(0,G67-H67-I67))</f>
        <v/>
      </c>
      <c r="K67" s="116" t="str">
        <f aca="false">IF($B67="","",الموظفون!$L67*$J67/cfg_DAYS_M)</f>
        <v/>
      </c>
      <c r="L67" s="116" t="str">
        <f aca="false">IF($B67="","",الموظفون!$M67*$J67/cfg_DAYS_M)</f>
        <v/>
      </c>
      <c r="M67" s="116" t="str">
        <f aca="false">IF($B67="","",الموظفون!$N67*$J67/cfg_DAYS_M)</f>
        <v/>
      </c>
      <c r="N67" s="116" t="str">
        <f aca="false">IF($B67="","",الموظفون!$O67*$J67/cfg_DAYS_M)</f>
        <v/>
      </c>
      <c r="O67" s="156" t="str">
        <f aca="false">IF($B67="","",SUMIFS('الحركات الشهرية'!$F$6:$F$1005,'الحركات الشهرية'!$B$6:$B$1005,$B67,'الحركات الشهرية'!$A$6:$A$1005,$C$3))</f>
        <v/>
      </c>
      <c r="P67" s="116" t="str">
        <f aca="false">IF($B67="","",O67*(الموظفون!$P67+الموظفون!$L67*cfg_OT_P)/cfg_DAYS_M/cfg_HRS)</f>
        <v/>
      </c>
      <c r="Q67" s="116" t="str">
        <f aca="false">IF($B67="","",SUMIFS('الحركات الشهرية'!$G$6:$G$1005,'الحركات الشهرية'!$B$6:$B$1005,$B67,'الحركات الشهرية'!$A$6:$A$1005,$C$3))</f>
        <v/>
      </c>
      <c r="R67" s="116" t="str">
        <f aca="false">IF($B67="","",SUMIFS('الحركات الشهرية'!$H$6:$H$1005,'الحركات الشهرية'!$B$6:$B$1005,$B67,'الحركات الشهرية'!$A$6:$A$1005,$C$3))</f>
        <v/>
      </c>
      <c r="S67" s="116" t="str">
        <f aca="false">IF($B67="","",SUMIFS('سجل الإجازات والحالات'!$N$6:$N$505,'سجل الإجازات والحالات'!$B$6:$B$505,$B67,'سجل الإجازات والحالات'!$O$6:$O$505,$C$3))</f>
        <v/>
      </c>
      <c r="T67" s="157" t="str">
        <f aca="false">IF($B67="","",SUM(K67:N67)+SUM(P67:S67))</f>
        <v/>
      </c>
      <c r="U67" s="116" t="str">
        <f aca="false">IF($B67="","",الموظفون!$S67*IF(E67="سعودي",cfg_G_SE,cfg_G_NE)*G67/cfg_DAYS_M)</f>
        <v/>
      </c>
      <c r="V67" s="116" t="str">
        <f aca="false">IF($B67="","",SUMIFS('الحركات الشهرية'!$I$6:$I$1005,'الحركات الشهرية'!$B$6:$B$1005,$B67,'الحركات الشهرية'!$A$6:$A$1005,$C$3))</f>
        <v/>
      </c>
      <c r="W67" s="116" t="str">
        <f aca="false">IF($B67="","",SUMIFS('الحركات الشهرية'!$J$6:$J$1005,'الحركات الشهرية'!$B$6:$B$1005,$B67,'الحركات الشهرية'!$A$6:$A$1005,$C$3))</f>
        <v/>
      </c>
      <c r="X67" s="116" t="str">
        <f aca="false">IF($B67="","",SUM(U67:W67))</f>
        <v/>
      </c>
      <c r="Y67" s="158" t="str">
        <f aca="false">IF($B67="","",T67-X67)</f>
        <v/>
      </c>
      <c r="Z67" s="116" t="str">
        <f aca="false">IF($B67="","",الموظفون!$S67*IF(E67="سعودي",cfg_G_SR,cfg_G_NR)*G67/cfg_DAYS_M)</f>
        <v/>
      </c>
      <c r="AA67" s="116" t="str">
        <f aca="false">IF($B67="","",الموظفون!$Q67*(cfg_EOS_R1*(MIN(AH67,cfg_EOS_TH)-MIN(AI67,cfg_EOS_TH))+cfg_EOS_R2*(MAX(AH67-cfg_EOS_TH,0)-MAX(AI67-cfg_EOS_TH,0))))</f>
        <v/>
      </c>
      <c r="AB67" s="116" t="str">
        <f aca="false">IF($B67="","",IF(الموظفون!$T67&lt;&gt;"",الموظفون!$T67,IF(AH67&gt;=cfg_LV_TH,cfg_LV_D2,cfg_LV_D1))/cfg_DAYS_Y*AJ67*الموظفون!$R67/cfg_DAYS_M)</f>
        <v/>
      </c>
      <c r="AC67" s="116" t="str">
        <f aca="false">IF($B67="","",IF(AND(الموظفون!$U67="نعم",N(الموظفون!$W67)&gt;0),الموظفون!$V67/الموظفون!$W67*12/cfg_DAYS_Y*AJ67,0))</f>
        <v/>
      </c>
      <c r="AD67" s="116" t="str">
        <f aca="false">IF($B67="","",(IF(الموظفون!$X67&lt;&gt;"",الموظفون!$X67,IF(الموظفون!$E67="غير سعودي",cfg_IQ,0))+IF(الموظفون!$Y67&lt;&gt;"",الموظفون!$Y67,IF(الموظفون!$E67="غير سعودي",cfg_WP,0)))/12*G67/cfg_DAYS_M)</f>
        <v/>
      </c>
      <c r="AE67" s="116" t="str">
        <f aca="false">IF($B67="","",IF(الموظفون!$Z67&lt;&gt;"",الموظفون!$Z67,cfg_MED)/12*G67/cfg_DAYS_M)</f>
        <v/>
      </c>
      <c r="AF67" s="116" t="str">
        <f aca="false">IF($B67="","",N(الموظفون!$AA67)/12*G67/cfg_DAYS_M)</f>
        <v/>
      </c>
      <c r="AG67" s="159" t="str">
        <f aca="false">IF($B67="","",T67+SUM(Z67:AF67))</f>
        <v/>
      </c>
      <c r="AH67" s="160" t="str">
        <f aca="false">IF($B67="","",MAX(0,IF(OR(الموظفون!$AE67="",الموظفون!$AE67&gt;$F$3),$F$3,الموظفون!$AE67)-الموظفون!$H67+1-SUMIFS('سجل الإجازات والحالات'!$AR$6:$AR$505,'سجل الإجازات والحالات'!$B$6:$B$505,$B67))/cfg_DAYS_Y)</f>
        <v/>
      </c>
      <c r="AI67" s="160" t="str">
        <f aca="false">IF($B67="","",MAX(0,IF(OR(الموظفون!$AE67="",الموظفون!$AE67&gt;($E$3-1)),($E$3-1),الموظفون!$AE67)-الموظفون!$H67+1-SUMIFS('سجل الإجازات والحالات'!$AQ$6:$AQ$505,'سجل الإجازات والحالات'!$B$6:$B$505,$B67))/cfg_DAYS_Y)</f>
        <v/>
      </c>
      <c r="AJ67" s="133" t="str">
        <f aca="false">IF($B67="","",MAX(0,AK67-(SUMIFS('سجل الإجازات والحالات'!$AR$6:$AR$505,'سجل الإجازات والحالات'!$B$6:$B$505,$B67)-SUMIFS('سجل الإجازات والحالات'!$AQ$6:$AQ$505,'سجل الإجازات والحالات'!$B$6:$B$505,$B67))))</f>
        <v/>
      </c>
      <c r="AK67" s="133" t="str">
        <f aca="false">IF($B67="","",MAX(0,IF(OR(الموظفون!$AE67="",الموظفون!$AE67&gt;$F$3),$F$3,الموظفون!$AE67)-MAX($E$3,الموظفون!$H67)+1))</f>
        <v/>
      </c>
      <c r="AL67" s="156" t="str">
        <f aca="false">IF($B67="","",SUMIFS('سجل الإجازات والحالات'!$BD$6:$BD$505,'سجل الإجازات والحالات'!$B$6:$B$505,$B67)+SUMIFS('الحركات الشهرية'!$K$6:$K$1005,'الحركات الشهرية'!$B$6:$B$1005,$B67,'الحركات الشهرية'!$A$6:$A$1005,$C$3))</f>
        <v/>
      </c>
      <c r="AM67" s="116" t="str">
        <f aca="false">IF($B67="","",AL67*الموظفون!$R67/cfg_DAYS_M+S67)</f>
        <v/>
      </c>
      <c r="AN67" s="156" t="str">
        <f aca="false">IF($B67="","",SUMIFS('سجل الإجازات والحالات'!$AF$6:$AF$505,'سجل الإجازات والحالات'!$B$6:$B$505,$B67))</f>
        <v/>
      </c>
    </row>
    <row r="68" customFormat="false" ht="15" hidden="false" customHeight="false" outlineLevel="0" collapsed="false">
      <c r="A68" s="106" t="str">
        <f aca="false">IF($B68="","",الموظفون!$A68)</f>
        <v/>
      </c>
      <c r="B68" s="114" t="str">
        <f aca="false">IF(الموظفون!$B68="","",الموظفون!$B68)</f>
        <v/>
      </c>
      <c r="C68" s="114" t="str">
        <f aca="false">IF($B68="","",الموظفون!$C68)</f>
        <v/>
      </c>
      <c r="D68" s="114" t="str">
        <f aca="false">IF($B68="","",الموظفون!$F68)</f>
        <v/>
      </c>
      <c r="E68" s="114" t="str">
        <f aca="false">IF($B68="","",الموظفون!$E68)</f>
        <v/>
      </c>
      <c r="F68" s="114" t="str">
        <f aca="false">IF($B68="","",IF(AK68=0,IF(AND(الموظفون!$AE68&lt;&gt;"",الموظفون!$AE68&lt;$E$3),"✖ منتهي الخدمة","⏳ لم يباشر"),IF(S68&gt;0,"✈ راتب إجازة مقدم",IF(J68=0,"⛔ بدون راتب هذا الشهر",IF(I68&gt;0,"✈ خصم "&amp;ROUND(I68,2)&amp;" يوم بدون أجر",IF(AL68&gt;0,"🌴 إجازة سنوية "&amp;ROUND(AL68,2)&amp;" يوم",IF(H68&gt;0,"⚠ غياب "&amp;ROUND(H68,2)&amp;" يوم","✔ على رأس العمل")))))))</f>
        <v/>
      </c>
      <c r="G68" s="151" t="str">
        <f aca="false">IF($B68="","",IF(AK68&gt;=DAY($F$3),cfg_DAYS_M,MIN(AK68,cfg_DAYS_M)))</f>
        <v/>
      </c>
      <c r="H68" s="151" t="str">
        <f aca="false">IF($B68="","",SUMIFS('الحركات الشهرية'!$D$6:$D$1005,'الحركات الشهرية'!$B$6:$B$1005,$B68,'الحركات الشهرية'!$A$6:$A$1005,$C$3))</f>
        <v/>
      </c>
      <c r="I68" s="151" t="str">
        <f aca="false">IF($B68="","",MIN(G68,IF(AND(AK68&gt;0,AN68&gt;=AK68),G68,AN68)+SUMIFS('الحركات الشهرية'!$E$6:$E$1005,'الحركات الشهرية'!$B$6:$B$1005,$B68,'الحركات الشهرية'!$A$6:$A$1005,$C$3)))</f>
        <v/>
      </c>
      <c r="J68" s="151" t="str">
        <f aca="false">IF($B68="","",MAX(0,G68-H68-I68))</f>
        <v/>
      </c>
      <c r="K68" s="111" t="str">
        <f aca="false">IF($B68="","",الموظفون!$L68*$J68/cfg_DAYS_M)</f>
        <v/>
      </c>
      <c r="L68" s="111" t="str">
        <f aca="false">IF($B68="","",الموظفون!$M68*$J68/cfg_DAYS_M)</f>
        <v/>
      </c>
      <c r="M68" s="111" t="str">
        <f aca="false">IF($B68="","",الموظفون!$N68*$J68/cfg_DAYS_M)</f>
        <v/>
      </c>
      <c r="N68" s="111" t="str">
        <f aca="false">IF($B68="","",الموظفون!$O68*$J68/cfg_DAYS_M)</f>
        <v/>
      </c>
      <c r="O68" s="151" t="str">
        <f aca="false">IF($B68="","",SUMIFS('الحركات الشهرية'!$F$6:$F$1005,'الحركات الشهرية'!$B$6:$B$1005,$B68,'الحركات الشهرية'!$A$6:$A$1005,$C$3))</f>
        <v/>
      </c>
      <c r="P68" s="111" t="str">
        <f aca="false">IF($B68="","",O68*(الموظفون!$P68+الموظفون!$L68*cfg_OT_P)/cfg_DAYS_M/cfg_HRS)</f>
        <v/>
      </c>
      <c r="Q68" s="111" t="str">
        <f aca="false">IF($B68="","",SUMIFS('الحركات الشهرية'!$G$6:$G$1005,'الحركات الشهرية'!$B$6:$B$1005,$B68,'الحركات الشهرية'!$A$6:$A$1005,$C$3))</f>
        <v/>
      </c>
      <c r="R68" s="111" t="str">
        <f aca="false">IF($B68="","",SUMIFS('الحركات الشهرية'!$H$6:$H$1005,'الحركات الشهرية'!$B$6:$B$1005,$B68,'الحركات الشهرية'!$A$6:$A$1005,$C$3))</f>
        <v/>
      </c>
      <c r="S68" s="111" t="str">
        <f aca="false">IF($B68="","",SUMIFS('سجل الإجازات والحالات'!$N$6:$N$505,'سجل الإجازات والحالات'!$B$6:$B$505,$B68,'سجل الإجازات والحالات'!$O$6:$O$505,$C$3))</f>
        <v/>
      </c>
      <c r="T68" s="152" t="str">
        <f aca="false">IF($B68="","",SUM(K68:N68)+SUM(P68:S68))</f>
        <v/>
      </c>
      <c r="U68" s="111" t="str">
        <f aca="false">IF($B68="","",الموظفون!$S68*IF(E68="سعودي",cfg_G_SE,cfg_G_NE)*G68/cfg_DAYS_M)</f>
        <v/>
      </c>
      <c r="V68" s="111" t="str">
        <f aca="false">IF($B68="","",SUMIFS('الحركات الشهرية'!$I$6:$I$1005,'الحركات الشهرية'!$B$6:$B$1005,$B68,'الحركات الشهرية'!$A$6:$A$1005,$C$3))</f>
        <v/>
      </c>
      <c r="W68" s="111" t="str">
        <f aca="false">IF($B68="","",SUMIFS('الحركات الشهرية'!$J$6:$J$1005,'الحركات الشهرية'!$B$6:$B$1005,$B68,'الحركات الشهرية'!$A$6:$A$1005,$C$3))</f>
        <v/>
      </c>
      <c r="X68" s="111" t="str">
        <f aca="false">IF($B68="","",SUM(U68:W68))</f>
        <v/>
      </c>
      <c r="Y68" s="153" t="str">
        <f aca="false">IF($B68="","",T68-X68)</f>
        <v/>
      </c>
      <c r="Z68" s="111" t="str">
        <f aca="false">IF($B68="","",الموظفون!$S68*IF(E68="سعودي",cfg_G_SR,cfg_G_NR)*G68/cfg_DAYS_M)</f>
        <v/>
      </c>
      <c r="AA68" s="111" t="str">
        <f aca="false">IF($B68="","",الموظفون!$Q68*(cfg_EOS_R1*(MIN(AH68,cfg_EOS_TH)-MIN(AI68,cfg_EOS_TH))+cfg_EOS_R2*(MAX(AH68-cfg_EOS_TH,0)-MAX(AI68-cfg_EOS_TH,0))))</f>
        <v/>
      </c>
      <c r="AB68" s="111" t="str">
        <f aca="false">IF($B68="","",IF(الموظفون!$T68&lt;&gt;"",الموظفون!$T68,IF(AH68&gt;=cfg_LV_TH,cfg_LV_D2,cfg_LV_D1))/cfg_DAYS_Y*AJ68*الموظفون!$R68/cfg_DAYS_M)</f>
        <v/>
      </c>
      <c r="AC68" s="111" t="str">
        <f aca="false">IF($B68="","",IF(AND(الموظفون!$U68="نعم",N(الموظفون!$W68)&gt;0),الموظفون!$V68/الموظفون!$W68*12/cfg_DAYS_Y*AJ68,0))</f>
        <v/>
      </c>
      <c r="AD68" s="111" t="str">
        <f aca="false">IF($B68="","",(IF(الموظفون!$X68&lt;&gt;"",الموظفون!$X68,IF(الموظفون!$E68="غير سعودي",cfg_IQ,0))+IF(الموظفون!$Y68&lt;&gt;"",الموظفون!$Y68,IF(الموظفون!$E68="غير سعودي",cfg_WP,0)))/12*G68/cfg_DAYS_M)</f>
        <v/>
      </c>
      <c r="AE68" s="111" t="str">
        <f aca="false">IF($B68="","",IF(الموظفون!$Z68&lt;&gt;"",الموظفون!$Z68,cfg_MED)/12*G68/cfg_DAYS_M)</f>
        <v/>
      </c>
      <c r="AF68" s="111" t="str">
        <f aca="false">IF($B68="","",N(الموظفون!$AA68)/12*G68/cfg_DAYS_M)</f>
        <v/>
      </c>
      <c r="AG68" s="154" t="str">
        <f aca="false">IF($B68="","",T68+SUM(Z68:AF68))</f>
        <v/>
      </c>
      <c r="AH68" s="155" t="str">
        <f aca="false">IF($B68="","",MAX(0,IF(OR(الموظفون!$AE68="",الموظفون!$AE68&gt;$F$3),$F$3,الموظفون!$AE68)-الموظفون!$H68+1-SUMIFS('سجل الإجازات والحالات'!$AR$6:$AR$505,'سجل الإجازات والحالات'!$B$6:$B$505,$B68))/cfg_DAYS_Y)</f>
        <v/>
      </c>
      <c r="AI68" s="155" t="str">
        <f aca="false">IF($B68="","",MAX(0,IF(OR(الموظفون!$AE68="",الموظفون!$AE68&gt;($E$3-1)),($E$3-1),الموظفون!$AE68)-الموظفون!$H68+1-SUMIFS('سجل الإجازات والحالات'!$AQ$6:$AQ$505,'سجل الإجازات والحالات'!$B$6:$B$505,$B68))/cfg_DAYS_Y)</f>
        <v/>
      </c>
      <c r="AJ68" s="65" t="str">
        <f aca="false">IF($B68="","",MAX(0,AK68-(SUMIFS('سجل الإجازات والحالات'!$AR$6:$AR$505,'سجل الإجازات والحالات'!$B$6:$B$505,$B68)-SUMIFS('سجل الإجازات والحالات'!$AQ$6:$AQ$505,'سجل الإجازات والحالات'!$B$6:$B$505,$B68))))</f>
        <v/>
      </c>
      <c r="AK68" s="65" t="str">
        <f aca="false">IF($B68="","",MAX(0,IF(OR(الموظفون!$AE68="",الموظفون!$AE68&gt;$F$3),$F$3,الموظفون!$AE68)-MAX($E$3,الموظفون!$H68)+1))</f>
        <v/>
      </c>
      <c r="AL68" s="151" t="str">
        <f aca="false">IF($B68="","",SUMIFS('سجل الإجازات والحالات'!$BD$6:$BD$505,'سجل الإجازات والحالات'!$B$6:$B$505,$B68)+SUMIFS('الحركات الشهرية'!$K$6:$K$1005,'الحركات الشهرية'!$B$6:$B$1005,$B68,'الحركات الشهرية'!$A$6:$A$1005,$C$3))</f>
        <v/>
      </c>
      <c r="AM68" s="111" t="str">
        <f aca="false">IF($B68="","",AL68*الموظفون!$R68/cfg_DAYS_M+S68)</f>
        <v/>
      </c>
      <c r="AN68" s="151" t="str">
        <f aca="false">IF($B68="","",SUMIFS('سجل الإجازات والحالات'!$AF$6:$AF$505,'سجل الإجازات والحالات'!$B$6:$B$505,$B68))</f>
        <v/>
      </c>
    </row>
    <row r="69" customFormat="false" ht="15" hidden="false" customHeight="false" outlineLevel="0" collapsed="false">
      <c r="A69" s="115" t="str">
        <f aca="false">IF($B69="","",الموظفون!$A69)</f>
        <v/>
      </c>
      <c r="B69" s="117" t="str">
        <f aca="false">IF(الموظفون!$B69="","",الموظفون!$B69)</f>
        <v/>
      </c>
      <c r="C69" s="117" t="str">
        <f aca="false">IF($B69="","",الموظفون!$C69)</f>
        <v/>
      </c>
      <c r="D69" s="117" t="str">
        <f aca="false">IF($B69="","",الموظفون!$F69)</f>
        <v/>
      </c>
      <c r="E69" s="117" t="str">
        <f aca="false">IF($B69="","",الموظفون!$E69)</f>
        <v/>
      </c>
      <c r="F69" s="117" t="str">
        <f aca="false">IF($B69="","",IF(AK69=0,IF(AND(الموظفون!$AE69&lt;&gt;"",الموظفون!$AE69&lt;$E$3),"✖ منتهي الخدمة","⏳ لم يباشر"),IF(S69&gt;0,"✈ راتب إجازة مقدم",IF(J69=0,"⛔ بدون راتب هذا الشهر",IF(I69&gt;0,"✈ خصم "&amp;ROUND(I69,2)&amp;" يوم بدون أجر",IF(AL69&gt;0,"🌴 إجازة سنوية "&amp;ROUND(AL69,2)&amp;" يوم",IF(H69&gt;0,"⚠ غياب "&amp;ROUND(H69,2)&amp;" يوم","✔ على رأس العمل")))))))</f>
        <v/>
      </c>
      <c r="G69" s="156" t="str">
        <f aca="false">IF($B69="","",IF(AK69&gt;=DAY($F$3),cfg_DAYS_M,MIN(AK69,cfg_DAYS_M)))</f>
        <v/>
      </c>
      <c r="H69" s="156" t="str">
        <f aca="false">IF($B69="","",SUMIFS('الحركات الشهرية'!$D$6:$D$1005,'الحركات الشهرية'!$B$6:$B$1005,$B69,'الحركات الشهرية'!$A$6:$A$1005,$C$3))</f>
        <v/>
      </c>
      <c r="I69" s="156" t="str">
        <f aca="false">IF($B69="","",MIN(G69,IF(AND(AK69&gt;0,AN69&gt;=AK69),G69,AN69)+SUMIFS('الحركات الشهرية'!$E$6:$E$1005,'الحركات الشهرية'!$B$6:$B$1005,$B69,'الحركات الشهرية'!$A$6:$A$1005,$C$3)))</f>
        <v/>
      </c>
      <c r="J69" s="156" t="str">
        <f aca="false">IF($B69="","",MAX(0,G69-H69-I69))</f>
        <v/>
      </c>
      <c r="K69" s="116" t="str">
        <f aca="false">IF($B69="","",الموظفون!$L69*$J69/cfg_DAYS_M)</f>
        <v/>
      </c>
      <c r="L69" s="116" t="str">
        <f aca="false">IF($B69="","",الموظفون!$M69*$J69/cfg_DAYS_M)</f>
        <v/>
      </c>
      <c r="M69" s="116" t="str">
        <f aca="false">IF($B69="","",الموظفون!$N69*$J69/cfg_DAYS_M)</f>
        <v/>
      </c>
      <c r="N69" s="116" t="str">
        <f aca="false">IF($B69="","",الموظفون!$O69*$J69/cfg_DAYS_M)</f>
        <v/>
      </c>
      <c r="O69" s="156" t="str">
        <f aca="false">IF($B69="","",SUMIFS('الحركات الشهرية'!$F$6:$F$1005,'الحركات الشهرية'!$B$6:$B$1005,$B69,'الحركات الشهرية'!$A$6:$A$1005,$C$3))</f>
        <v/>
      </c>
      <c r="P69" s="116" t="str">
        <f aca="false">IF($B69="","",O69*(الموظفون!$P69+الموظفون!$L69*cfg_OT_P)/cfg_DAYS_M/cfg_HRS)</f>
        <v/>
      </c>
      <c r="Q69" s="116" t="str">
        <f aca="false">IF($B69="","",SUMIFS('الحركات الشهرية'!$G$6:$G$1005,'الحركات الشهرية'!$B$6:$B$1005,$B69,'الحركات الشهرية'!$A$6:$A$1005,$C$3))</f>
        <v/>
      </c>
      <c r="R69" s="116" t="str">
        <f aca="false">IF($B69="","",SUMIFS('الحركات الشهرية'!$H$6:$H$1005,'الحركات الشهرية'!$B$6:$B$1005,$B69,'الحركات الشهرية'!$A$6:$A$1005,$C$3))</f>
        <v/>
      </c>
      <c r="S69" s="116" t="str">
        <f aca="false">IF($B69="","",SUMIFS('سجل الإجازات والحالات'!$N$6:$N$505,'سجل الإجازات والحالات'!$B$6:$B$505,$B69,'سجل الإجازات والحالات'!$O$6:$O$505,$C$3))</f>
        <v/>
      </c>
      <c r="T69" s="157" t="str">
        <f aca="false">IF($B69="","",SUM(K69:N69)+SUM(P69:S69))</f>
        <v/>
      </c>
      <c r="U69" s="116" t="str">
        <f aca="false">IF($B69="","",الموظفون!$S69*IF(E69="سعودي",cfg_G_SE,cfg_G_NE)*G69/cfg_DAYS_M)</f>
        <v/>
      </c>
      <c r="V69" s="116" t="str">
        <f aca="false">IF($B69="","",SUMIFS('الحركات الشهرية'!$I$6:$I$1005,'الحركات الشهرية'!$B$6:$B$1005,$B69,'الحركات الشهرية'!$A$6:$A$1005,$C$3))</f>
        <v/>
      </c>
      <c r="W69" s="116" t="str">
        <f aca="false">IF($B69="","",SUMIFS('الحركات الشهرية'!$J$6:$J$1005,'الحركات الشهرية'!$B$6:$B$1005,$B69,'الحركات الشهرية'!$A$6:$A$1005,$C$3))</f>
        <v/>
      </c>
      <c r="X69" s="116" t="str">
        <f aca="false">IF($B69="","",SUM(U69:W69))</f>
        <v/>
      </c>
      <c r="Y69" s="158" t="str">
        <f aca="false">IF($B69="","",T69-X69)</f>
        <v/>
      </c>
      <c r="Z69" s="116" t="str">
        <f aca="false">IF($B69="","",الموظفون!$S69*IF(E69="سعودي",cfg_G_SR,cfg_G_NR)*G69/cfg_DAYS_M)</f>
        <v/>
      </c>
      <c r="AA69" s="116" t="str">
        <f aca="false">IF($B69="","",الموظفون!$Q69*(cfg_EOS_R1*(MIN(AH69,cfg_EOS_TH)-MIN(AI69,cfg_EOS_TH))+cfg_EOS_R2*(MAX(AH69-cfg_EOS_TH,0)-MAX(AI69-cfg_EOS_TH,0))))</f>
        <v/>
      </c>
      <c r="AB69" s="116" t="str">
        <f aca="false">IF($B69="","",IF(الموظفون!$T69&lt;&gt;"",الموظفون!$T69,IF(AH69&gt;=cfg_LV_TH,cfg_LV_D2,cfg_LV_D1))/cfg_DAYS_Y*AJ69*الموظفون!$R69/cfg_DAYS_M)</f>
        <v/>
      </c>
      <c r="AC69" s="116" t="str">
        <f aca="false">IF($B69="","",IF(AND(الموظفون!$U69="نعم",N(الموظفون!$W69)&gt;0),الموظفون!$V69/الموظفون!$W69*12/cfg_DAYS_Y*AJ69,0))</f>
        <v/>
      </c>
      <c r="AD69" s="116" t="str">
        <f aca="false">IF($B69="","",(IF(الموظفون!$X69&lt;&gt;"",الموظفون!$X69,IF(الموظفون!$E69="غير سعودي",cfg_IQ,0))+IF(الموظفون!$Y69&lt;&gt;"",الموظفون!$Y69,IF(الموظفون!$E69="غير سعودي",cfg_WP,0)))/12*G69/cfg_DAYS_M)</f>
        <v/>
      </c>
      <c r="AE69" s="116" t="str">
        <f aca="false">IF($B69="","",IF(الموظفون!$Z69&lt;&gt;"",الموظفون!$Z69,cfg_MED)/12*G69/cfg_DAYS_M)</f>
        <v/>
      </c>
      <c r="AF69" s="116" t="str">
        <f aca="false">IF($B69="","",N(الموظفون!$AA69)/12*G69/cfg_DAYS_M)</f>
        <v/>
      </c>
      <c r="AG69" s="159" t="str">
        <f aca="false">IF($B69="","",T69+SUM(Z69:AF69))</f>
        <v/>
      </c>
      <c r="AH69" s="160" t="str">
        <f aca="false">IF($B69="","",MAX(0,IF(OR(الموظفون!$AE69="",الموظفون!$AE69&gt;$F$3),$F$3,الموظفون!$AE69)-الموظفون!$H69+1-SUMIFS('سجل الإجازات والحالات'!$AR$6:$AR$505,'سجل الإجازات والحالات'!$B$6:$B$505,$B69))/cfg_DAYS_Y)</f>
        <v/>
      </c>
      <c r="AI69" s="160" t="str">
        <f aca="false">IF($B69="","",MAX(0,IF(OR(الموظفون!$AE69="",الموظفون!$AE69&gt;($E$3-1)),($E$3-1),الموظفون!$AE69)-الموظفون!$H69+1-SUMIFS('سجل الإجازات والحالات'!$AQ$6:$AQ$505,'سجل الإجازات والحالات'!$B$6:$B$505,$B69))/cfg_DAYS_Y)</f>
        <v/>
      </c>
      <c r="AJ69" s="133" t="str">
        <f aca="false">IF($B69="","",MAX(0,AK69-(SUMIFS('سجل الإجازات والحالات'!$AR$6:$AR$505,'سجل الإجازات والحالات'!$B$6:$B$505,$B69)-SUMIFS('سجل الإجازات والحالات'!$AQ$6:$AQ$505,'سجل الإجازات والحالات'!$B$6:$B$505,$B69))))</f>
        <v/>
      </c>
      <c r="AK69" s="133" t="str">
        <f aca="false">IF($B69="","",MAX(0,IF(OR(الموظفون!$AE69="",الموظفون!$AE69&gt;$F$3),$F$3,الموظفون!$AE69)-MAX($E$3,الموظفون!$H69)+1))</f>
        <v/>
      </c>
      <c r="AL69" s="156" t="str">
        <f aca="false">IF($B69="","",SUMIFS('سجل الإجازات والحالات'!$BD$6:$BD$505,'سجل الإجازات والحالات'!$B$6:$B$505,$B69)+SUMIFS('الحركات الشهرية'!$K$6:$K$1005,'الحركات الشهرية'!$B$6:$B$1005,$B69,'الحركات الشهرية'!$A$6:$A$1005,$C$3))</f>
        <v/>
      </c>
      <c r="AM69" s="116" t="str">
        <f aca="false">IF($B69="","",AL69*الموظفون!$R69/cfg_DAYS_M+S69)</f>
        <v/>
      </c>
      <c r="AN69" s="156" t="str">
        <f aca="false">IF($B69="","",SUMIFS('سجل الإجازات والحالات'!$AF$6:$AF$505,'سجل الإجازات والحالات'!$B$6:$B$505,$B69))</f>
        <v/>
      </c>
    </row>
    <row r="70" customFormat="false" ht="15" hidden="false" customHeight="false" outlineLevel="0" collapsed="false">
      <c r="A70" s="106" t="str">
        <f aca="false">IF($B70="","",الموظفون!$A70)</f>
        <v/>
      </c>
      <c r="B70" s="114" t="str">
        <f aca="false">IF(الموظفون!$B70="","",الموظفون!$B70)</f>
        <v/>
      </c>
      <c r="C70" s="114" t="str">
        <f aca="false">IF($B70="","",الموظفون!$C70)</f>
        <v/>
      </c>
      <c r="D70" s="114" t="str">
        <f aca="false">IF($B70="","",الموظفون!$F70)</f>
        <v/>
      </c>
      <c r="E70" s="114" t="str">
        <f aca="false">IF($B70="","",الموظفون!$E70)</f>
        <v/>
      </c>
      <c r="F70" s="114" t="str">
        <f aca="false">IF($B70="","",IF(AK70=0,IF(AND(الموظفون!$AE70&lt;&gt;"",الموظفون!$AE70&lt;$E$3),"✖ منتهي الخدمة","⏳ لم يباشر"),IF(S70&gt;0,"✈ راتب إجازة مقدم",IF(J70=0,"⛔ بدون راتب هذا الشهر",IF(I70&gt;0,"✈ خصم "&amp;ROUND(I70,2)&amp;" يوم بدون أجر",IF(AL70&gt;0,"🌴 إجازة سنوية "&amp;ROUND(AL70,2)&amp;" يوم",IF(H70&gt;0,"⚠ غياب "&amp;ROUND(H70,2)&amp;" يوم","✔ على رأس العمل")))))))</f>
        <v/>
      </c>
      <c r="G70" s="151" t="str">
        <f aca="false">IF($B70="","",IF(AK70&gt;=DAY($F$3),cfg_DAYS_M,MIN(AK70,cfg_DAYS_M)))</f>
        <v/>
      </c>
      <c r="H70" s="151" t="str">
        <f aca="false">IF($B70="","",SUMIFS('الحركات الشهرية'!$D$6:$D$1005,'الحركات الشهرية'!$B$6:$B$1005,$B70,'الحركات الشهرية'!$A$6:$A$1005,$C$3))</f>
        <v/>
      </c>
      <c r="I70" s="151" t="str">
        <f aca="false">IF($B70="","",MIN(G70,IF(AND(AK70&gt;0,AN70&gt;=AK70),G70,AN70)+SUMIFS('الحركات الشهرية'!$E$6:$E$1005,'الحركات الشهرية'!$B$6:$B$1005,$B70,'الحركات الشهرية'!$A$6:$A$1005,$C$3)))</f>
        <v/>
      </c>
      <c r="J70" s="151" t="str">
        <f aca="false">IF($B70="","",MAX(0,G70-H70-I70))</f>
        <v/>
      </c>
      <c r="K70" s="111" t="str">
        <f aca="false">IF($B70="","",الموظفون!$L70*$J70/cfg_DAYS_M)</f>
        <v/>
      </c>
      <c r="L70" s="111" t="str">
        <f aca="false">IF($B70="","",الموظفون!$M70*$J70/cfg_DAYS_M)</f>
        <v/>
      </c>
      <c r="M70" s="111" t="str">
        <f aca="false">IF($B70="","",الموظفون!$N70*$J70/cfg_DAYS_M)</f>
        <v/>
      </c>
      <c r="N70" s="111" t="str">
        <f aca="false">IF($B70="","",الموظفون!$O70*$J70/cfg_DAYS_M)</f>
        <v/>
      </c>
      <c r="O70" s="151" t="str">
        <f aca="false">IF($B70="","",SUMIFS('الحركات الشهرية'!$F$6:$F$1005,'الحركات الشهرية'!$B$6:$B$1005,$B70,'الحركات الشهرية'!$A$6:$A$1005,$C$3))</f>
        <v/>
      </c>
      <c r="P70" s="111" t="str">
        <f aca="false">IF($B70="","",O70*(الموظفون!$P70+الموظفون!$L70*cfg_OT_P)/cfg_DAYS_M/cfg_HRS)</f>
        <v/>
      </c>
      <c r="Q70" s="111" t="str">
        <f aca="false">IF($B70="","",SUMIFS('الحركات الشهرية'!$G$6:$G$1005,'الحركات الشهرية'!$B$6:$B$1005,$B70,'الحركات الشهرية'!$A$6:$A$1005,$C$3))</f>
        <v/>
      </c>
      <c r="R70" s="111" t="str">
        <f aca="false">IF($B70="","",SUMIFS('الحركات الشهرية'!$H$6:$H$1005,'الحركات الشهرية'!$B$6:$B$1005,$B70,'الحركات الشهرية'!$A$6:$A$1005,$C$3))</f>
        <v/>
      </c>
      <c r="S70" s="111" t="str">
        <f aca="false">IF($B70="","",SUMIFS('سجل الإجازات والحالات'!$N$6:$N$505,'سجل الإجازات والحالات'!$B$6:$B$505,$B70,'سجل الإجازات والحالات'!$O$6:$O$505,$C$3))</f>
        <v/>
      </c>
      <c r="T70" s="152" t="str">
        <f aca="false">IF($B70="","",SUM(K70:N70)+SUM(P70:S70))</f>
        <v/>
      </c>
      <c r="U70" s="111" t="str">
        <f aca="false">IF($B70="","",الموظفون!$S70*IF(E70="سعودي",cfg_G_SE,cfg_G_NE)*G70/cfg_DAYS_M)</f>
        <v/>
      </c>
      <c r="V70" s="111" t="str">
        <f aca="false">IF($B70="","",SUMIFS('الحركات الشهرية'!$I$6:$I$1005,'الحركات الشهرية'!$B$6:$B$1005,$B70,'الحركات الشهرية'!$A$6:$A$1005,$C$3))</f>
        <v/>
      </c>
      <c r="W70" s="111" t="str">
        <f aca="false">IF($B70="","",SUMIFS('الحركات الشهرية'!$J$6:$J$1005,'الحركات الشهرية'!$B$6:$B$1005,$B70,'الحركات الشهرية'!$A$6:$A$1005,$C$3))</f>
        <v/>
      </c>
      <c r="X70" s="111" t="str">
        <f aca="false">IF($B70="","",SUM(U70:W70))</f>
        <v/>
      </c>
      <c r="Y70" s="153" t="str">
        <f aca="false">IF($B70="","",T70-X70)</f>
        <v/>
      </c>
      <c r="Z70" s="111" t="str">
        <f aca="false">IF($B70="","",الموظفون!$S70*IF(E70="سعودي",cfg_G_SR,cfg_G_NR)*G70/cfg_DAYS_M)</f>
        <v/>
      </c>
      <c r="AA70" s="111" t="str">
        <f aca="false">IF($B70="","",الموظفون!$Q70*(cfg_EOS_R1*(MIN(AH70,cfg_EOS_TH)-MIN(AI70,cfg_EOS_TH))+cfg_EOS_R2*(MAX(AH70-cfg_EOS_TH,0)-MAX(AI70-cfg_EOS_TH,0))))</f>
        <v/>
      </c>
      <c r="AB70" s="111" t="str">
        <f aca="false">IF($B70="","",IF(الموظفون!$T70&lt;&gt;"",الموظفون!$T70,IF(AH70&gt;=cfg_LV_TH,cfg_LV_D2,cfg_LV_D1))/cfg_DAYS_Y*AJ70*الموظفون!$R70/cfg_DAYS_M)</f>
        <v/>
      </c>
      <c r="AC70" s="111" t="str">
        <f aca="false">IF($B70="","",IF(AND(الموظفون!$U70="نعم",N(الموظفون!$W70)&gt;0),الموظفون!$V70/الموظفون!$W70*12/cfg_DAYS_Y*AJ70,0))</f>
        <v/>
      </c>
      <c r="AD70" s="111" t="str">
        <f aca="false">IF($B70="","",(IF(الموظفون!$X70&lt;&gt;"",الموظفون!$X70,IF(الموظفون!$E70="غير سعودي",cfg_IQ,0))+IF(الموظفون!$Y70&lt;&gt;"",الموظفون!$Y70,IF(الموظفون!$E70="غير سعودي",cfg_WP,0)))/12*G70/cfg_DAYS_M)</f>
        <v/>
      </c>
      <c r="AE70" s="111" t="str">
        <f aca="false">IF($B70="","",IF(الموظفون!$Z70&lt;&gt;"",الموظفون!$Z70,cfg_MED)/12*G70/cfg_DAYS_M)</f>
        <v/>
      </c>
      <c r="AF70" s="111" t="str">
        <f aca="false">IF($B70="","",N(الموظفون!$AA70)/12*G70/cfg_DAYS_M)</f>
        <v/>
      </c>
      <c r="AG70" s="154" t="str">
        <f aca="false">IF($B70="","",T70+SUM(Z70:AF70))</f>
        <v/>
      </c>
      <c r="AH70" s="155" t="str">
        <f aca="false">IF($B70="","",MAX(0,IF(OR(الموظفون!$AE70="",الموظفون!$AE70&gt;$F$3),$F$3,الموظفون!$AE70)-الموظفون!$H70+1-SUMIFS('سجل الإجازات والحالات'!$AR$6:$AR$505,'سجل الإجازات والحالات'!$B$6:$B$505,$B70))/cfg_DAYS_Y)</f>
        <v/>
      </c>
      <c r="AI70" s="155" t="str">
        <f aca="false">IF($B70="","",MAX(0,IF(OR(الموظفون!$AE70="",الموظفون!$AE70&gt;($E$3-1)),($E$3-1),الموظفون!$AE70)-الموظفون!$H70+1-SUMIFS('سجل الإجازات والحالات'!$AQ$6:$AQ$505,'سجل الإجازات والحالات'!$B$6:$B$505,$B70))/cfg_DAYS_Y)</f>
        <v/>
      </c>
      <c r="AJ70" s="65" t="str">
        <f aca="false">IF($B70="","",MAX(0,AK70-(SUMIFS('سجل الإجازات والحالات'!$AR$6:$AR$505,'سجل الإجازات والحالات'!$B$6:$B$505,$B70)-SUMIFS('سجل الإجازات والحالات'!$AQ$6:$AQ$505,'سجل الإجازات والحالات'!$B$6:$B$505,$B70))))</f>
        <v/>
      </c>
      <c r="AK70" s="65" t="str">
        <f aca="false">IF($B70="","",MAX(0,IF(OR(الموظفون!$AE70="",الموظفون!$AE70&gt;$F$3),$F$3,الموظفون!$AE70)-MAX($E$3,الموظفون!$H70)+1))</f>
        <v/>
      </c>
      <c r="AL70" s="151" t="str">
        <f aca="false">IF($B70="","",SUMIFS('سجل الإجازات والحالات'!$BD$6:$BD$505,'سجل الإجازات والحالات'!$B$6:$B$505,$B70)+SUMIFS('الحركات الشهرية'!$K$6:$K$1005,'الحركات الشهرية'!$B$6:$B$1005,$B70,'الحركات الشهرية'!$A$6:$A$1005,$C$3))</f>
        <v/>
      </c>
      <c r="AM70" s="111" t="str">
        <f aca="false">IF($B70="","",AL70*الموظفون!$R70/cfg_DAYS_M+S70)</f>
        <v/>
      </c>
      <c r="AN70" s="151" t="str">
        <f aca="false">IF($B70="","",SUMIFS('سجل الإجازات والحالات'!$AF$6:$AF$505,'سجل الإجازات والحالات'!$B$6:$B$505,$B70))</f>
        <v/>
      </c>
    </row>
    <row r="71" customFormat="false" ht="15" hidden="false" customHeight="false" outlineLevel="0" collapsed="false">
      <c r="A71" s="115" t="str">
        <f aca="false">IF($B71="","",الموظفون!$A71)</f>
        <v/>
      </c>
      <c r="B71" s="117" t="str">
        <f aca="false">IF(الموظفون!$B71="","",الموظفون!$B71)</f>
        <v/>
      </c>
      <c r="C71" s="117" t="str">
        <f aca="false">IF($B71="","",الموظفون!$C71)</f>
        <v/>
      </c>
      <c r="D71" s="117" t="str">
        <f aca="false">IF($B71="","",الموظفون!$F71)</f>
        <v/>
      </c>
      <c r="E71" s="117" t="str">
        <f aca="false">IF($B71="","",الموظفون!$E71)</f>
        <v/>
      </c>
      <c r="F71" s="117" t="str">
        <f aca="false">IF($B71="","",IF(AK71=0,IF(AND(الموظفون!$AE71&lt;&gt;"",الموظفون!$AE71&lt;$E$3),"✖ منتهي الخدمة","⏳ لم يباشر"),IF(S71&gt;0,"✈ راتب إجازة مقدم",IF(J71=0,"⛔ بدون راتب هذا الشهر",IF(I71&gt;0,"✈ خصم "&amp;ROUND(I71,2)&amp;" يوم بدون أجر",IF(AL71&gt;0,"🌴 إجازة سنوية "&amp;ROUND(AL71,2)&amp;" يوم",IF(H71&gt;0,"⚠ غياب "&amp;ROUND(H71,2)&amp;" يوم","✔ على رأس العمل")))))))</f>
        <v/>
      </c>
      <c r="G71" s="156" t="str">
        <f aca="false">IF($B71="","",IF(AK71&gt;=DAY($F$3),cfg_DAYS_M,MIN(AK71,cfg_DAYS_M)))</f>
        <v/>
      </c>
      <c r="H71" s="156" t="str">
        <f aca="false">IF($B71="","",SUMIFS('الحركات الشهرية'!$D$6:$D$1005,'الحركات الشهرية'!$B$6:$B$1005,$B71,'الحركات الشهرية'!$A$6:$A$1005,$C$3))</f>
        <v/>
      </c>
      <c r="I71" s="156" t="str">
        <f aca="false">IF($B71="","",MIN(G71,IF(AND(AK71&gt;0,AN71&gt;=AK71),G71,AN71)+SUMIFS('الحركات الشهرية'!$E$6:$E$1005,'الحركات الشهرية'!$B$6:$B$1005,$B71,'الحركات الشهرية'!$A$6:$A$1005,$C$3)))</f>
        <v/>
      </c>
      <c r="J71" s="156" t="str">
        <f aca="false">IF($B71="","",MAX(0,G71-H71-I71))</f>
        <v/>
      </c>
      <c r="K71" s="116" t="str">
        <f aca="false">IF($B71="","",الموظفون!$L71*$J71/cfg_DAYS_M)</f>
        <v/>
      </c>
      <c r="L71" s="116" t="str">
        <f aca="false">IF($B71="","",الموظفون!$M71*$J71/cfg_DAYS_M)</f>
        <v/>
      </c>
      <c r="M71" s="116" t="str">
        <f aca="false">IF($B71="","",الموظفون!$N71*$J71/cfg_DAYS_M)</f>
        <v/>
      </c>
      <c r="N71" s="116" t="str">
        <f aca="false">IF($B71="","",الموظفون!$O71*$J71/cfg_DAYS_M)</f>
        <v/>
      </c>
      <c r="O71" s="156" t="str">
        <f aca="false">IF($B71="","",SUMIFS('الحركات الشهرية'!$F$6:$F$1005,'الحركات الشهرية'!$B$6:$B$1005,$B71,'الحركات الشهرية'!$A$6:$A$1005,$C$3))</f>
        <v/>
      </c>
      <c r="P71" s="116" t="str">
        <f aca="false">IF($B71="","",O71*(الموظفون!$P71+الموظفون!$L71*cfg_OT_P)/cfg_DAYS_M/cfg_HRS)</f>
        <v/>
      </c>
      <c r="Q71" s="116" t="str">
        <f aca="false">IF($B71="","",SUMIFS('الحركات الشهرية'!$G$6:$G$1005,'الحركات الشهرية'!$B$6:$B$1005,$B71,'الحركات الشهرية'!$A$6:$A$1005,$C$3))</f>
        <v/>
      </c>
      <c r="R71" s="116" t="str">
        <f aca="false">IF($B71="","",SUMIFS('الحركات الشهرية'!$H$6:$H$1005,'الحركات الشهرية'!$B$6:$B$1005,$B71,'الحركات الشهرية'!$A$6:$A$1005,$C$3))</f>
        <v/>
      </c>
      <c r="S71" s="116" t="str">
        <f aca="false">IF($B71="","",SUMIFS('سجل الإجازات والحالات'!$N$6:$N$505,'سجل الإجازات والحالات'!$B$6:$B$505,$B71,'سجل الإجازات والحالات'!$O$6:$O$505,$C$3))</f>
        <v/>
      </c>
      <c r="T71" s="157" t="str">
        <f aca="false">IF($B71="","",SUM(K71:N71)+SUM(P71:S71))</f>
        <v/>
      </c>
      <c r="U71" s="116" t="str">
        <f aca="false">IF($B71="","",الموظفون!$S71*IF(E71="سعودي",cfg_G_SE,cfg_G_NE)*G71/cfg_DAYS_M)</f>
        <v/>
      </c>
      <c r="V71" s="116" t="str">
        <f aca="false">IF($B71="","",SUMIFS('الحركات الشهرية'!$I$6:$I$1005,'الحركات الشهرية'!$B$6:$B$1005,$B71,'الحركات الشهرية'!$A$6:$A$1005,$C$3))</f>
        <v/>
      </c>
      <c r="W71" s="116" t="str">
        <f aca="false">IF($B71="","",SUMIFS('الحركات الشهرية'!$J$6:$J$1005,'الحركات الشهرية'!$B$6:$B$1005,$B71,'الحركات الشهرية'!$A$6:$A$1005,$C$3))</f>
        <v/>
      </c>
      <c r="X71" s="116" t="str">
        <f aca="false">IF($B71="","",SUM(U71:W71))</f>
        <v/>
      </c>
      <c r="Y71" s="158" t="str">
        <f aca="false">IF($B71="","",T71-X71)</f>
        <v/>
      </c>
      <c r="Z71" s="116" t="str">
        <f aca="false">IF($B71="","",الموظفون!$S71*IF(E71="سعودي",cfg_G_SR,cfg_G_NR)*G71/cfg_DAYS_M)</f>
        <v/>
      </c>
      <c r="AA71" s="116" t="str">
        <f aca="false">IF($B71="","",الموظفون!$Q71*(cfg_EOS_R1*(MIN(AH71,cfg_EOS_TH)-MIN(AI71,cfg_EOS_TH))+cfg_EOS_R2*(MAX(AH71-cfg_EOS_TH,0)-MAX(AI71-cfg_EOS_TH,0))))</f>
        <v/>
      </c>
      <c r="AB71" s="116" t="str">
        <f aca="false">IF($B71="","",IF(الموظفون!$T71&lt;&gt;"",الموظفون!$T71,IF(AH71&gt;=cfg_LV_TH,cfg_LV_D2,cfg_LV_D1))/cfg_DAYS_Y*AJ71*الموظفون!$R71/cfg_DAYS_M)</f>
        <v/>
      </c>
      <c r="AC71" s="116" t="str">
        <f aca="false">IF($B71="","",IF(AND(الموظفون!$U71="نعم",N(الموظفون!$W71)&gt;0),الموظفون!$V71/الموظفون!$W71*12/cfg_DAYS_Y*AJ71,0))</f>
        <v/>
      </c>
      <c r="AD71" s="116" t="str">
        <f aca="false">IF($B71="","",(IF(الموظفون!$X71&lt;&gt;"",الموظفون!$X71,IF(الموظفون!$E71="غير سعودي",cfg_IQ,0))+IF(الموظفون!$Y71&lt;&gt;"",الموظفون!$Y71,IF(الموظفون!$E71="غير سعودي",cfg_WP,0)))/12*G71/cfg_DAYS_M)</f>
        <v/>
      </c>
      <c r="AE71" s="116" t="str">
        <f aca="false">IF($B71="","",IF(الموظفون!$Z71&lt;&gt;"",الموظفون!$Z71,cfg_MED)/12*G71/cfg_DAYS_M)</f>
        <v/>
      </c>
      <c r="AF71" s="116" t="str">
        <f aca="false">IF($B71="","",N(الموظفون!$AA71)/12*G71/cfg_DAYS_M)</f>
        <v/>
      </c>
      <c r="AG71" s="159" t="str">
        <f aca="false">IF($B71="","",T71+SUM(Z71:AF71))</f>
        <v/>
      </c>
      <c r="AH71" s="160" t="str">
        <f aca="false">IF($B71="","",MAX(0,IF(OR(الموظفون!$AE71="",الموظفون!$AE71&gt;$F$3),$F$3,الموظفون!$AE71)-الموظفون!$H71+1-SUMIFS('سجل الإجازات والحالات'!$AR$6:$AR$505,'سجل الإجازات والحالات'!$B$6:$B$505,$B71))/cfg_DAYS_Y)</f>
        <v/>
      </c>
      <c r="AI71" s="160" t="str">
        <f aca="false">IF($B71="","",MAX(0,IF(OR(الموظفون!$AE71="",الموظفون!$AE71&gt;($E$3-1)),($E$3-1),الموظفون!$AE71)-الموظفون!$H71+1-SUMIFS('سجل الإجازات والحالات'!$AQ$6:$AQ$505,'سجل الإجازات والحالات'!$B$6:$B$505,$B71))/cfg_DAYS_Y)</f>
        <v/>
      </c>
      <c r="AJ71" s="133" t="str">
        <f aca="false">IF($B71="","",MAX(0,AK71-(SUMIFS('سجل الإجازات والحالات'!$AR$6:$AR$505,'سجل الإجازات والحالات'!$B$6:$B$505,$B71)-SUMIFS('سجل الإجازات والحالات'!$AQ$6:$AQ$505,'سجل الإجازات والحالات'!$B$6:$B$505,$B71))))</f>
        <v/>
      </c>
      <c r="AK71" s="133" t="str">
        <f aca="false">IF($B71="","",MAX(0,IF(OR(الموظفون!$AE71="",الموظفون!$AE71&gt;$F$3),$F$3,الموظفون!$AE71)-MAX($E$3,الموظفون!$H71)+1))</f>
        <v/>
      </c>
      <c r="AL71" s="156" t="str">
        <f aca="false">IF($B71="","",SUMIFS('سجل الإجازات والحالات'!$BD$6:$BD$505,'سجل الإجازات والحالات'!$B$6:$B$505,$B71)+SUMIFS('الحركات الشهرية'!$K$6:$K$1005,'الحركات الشهرية'!$B$6:$B$1005,$B71,'الحركات الشهرية'!$A$6:$A$1005,$C$3))</f>
        <v/>
      </c>
      <c r="AM71" s="116" t="str">
        <f aca="false">IF($B71="","",AL71*الموظفون!$R71/cfg_DAYS_M+S71)</f>
        <v/>
      </c>
      <c r="AN71" s="156" t="str">
        <f aca="false">IF($B71="","",SUMIFS('سجل الإجازات والحالات'!$AF$6:$AF$505,'سجل الإجازات والحالات'!$B$6:$B$505,$B71))</f>
        <v/>
      </c>
    </row>
    <row r="72" customFormat="false" ht="15" hidden="false" customHeight="false" outlineLevel="0" collapsed="false">
      <c r="A72" s="106" t="str">
        <f aca="false">IF($B72="","",الموظفون!$A72)</f>
        <v/>
      </c>
      <c r="B72" s="114" t="str">
        <f aca="false">IF(الموظفون!$B72="","",الموظفون!$B72)</f>
        <v/>
      </c>
      <c r="C72" s="114" t="str">
        <f aca="false">IF($B72="","",الموظفون!$C72)</f>
        <v/>
      </c>
      <c r="D72" s="114" t="str">
        <f aca="false">IF($B72="","",الموظفون!$F72)</f>
        <v/>
      </c>
      <c r="E72" s="114" t="str">
        <f aca="false">IF($B72="","",الموظفون!$E72)</f>
        <v/>
      </c>
      <c r="F72" s="114" t="str">
        <f aca="false">IF($B72="","",IF(AK72=0,IF(AND(الموظفون!$AE72&lt;&gt;"",الموظفون!$AE72&lt;$E$3),"✖ منتهي الخدمة","⏳ لم يباشر"),IF(S72&gt;0,"✈ راتب إجازة مقدم",IF(J72=0,"⛔ بدون راتب هذا الشهر",IF(I72&gt;0,"✈ خصم "&amp;ROUND(I72,2)&amp;" يوم بدون أجر",IF(AL72&gt;0,"🌴 إجازة سنوية "&amp;ROUND(AL72,2)&amp;" يوم",IF(H72&gt;0,"⚠ غياب "&amp;ROUND(H72,2)&amp;" يوم","✔ على رأس العمل")))))))</f>
        <v/>
      </c>
      <c r="G72" s="151" t="str">
        <f aca="false">IF($B72="","",IF(AK72&gt;=DAY($F$3),cfg_DAYS_M,MIN(AK72,cfg_DAYS_M)))</f>
        <v/>
      </c>
      <c r="H72" s="151" t="str">
        <f aca="false">IF($B72="","",SUMIFS('الحركات الشهرية'!$D$6:$D$1005,'الحركات الشهرية'!$B$6:$B$1005,$B72,'الحركات الشهرية'!$A$6:$A$1005,$C$3))</f>
        <v/>
      </c>
      <c r="I72" s="151" t="str">
        <f aca="false">IF($B72="","",MIN(G72,IF(AND(AK72&gt;0,AN72&gt;=AK72),G72,AN72)+SUMIFS('الحركات الشهرية'!$E$6:$E$1005,'الحركات الشهرية'!$B$6:$B$1005,$B72,'الحركات الشهرية'!$A$6:$A$1005,$C$3)))</f>
        <v/>
      </c>
      <c r="J72" s="151" t="str">
        <f aca="false">IF($B72="","",MAX(0,G72-H72-I72))</f>
        <v/>
      </c>
      <c r="K72" s="111" t="str">
        <f aca="false">IF($B72="","",الموظفون!$L72*$J72/cfg_DAYS_M)</f>
        <v/>
      </c>
      <c r="L72" s="111" t="str">
        <f aca="false">IF($B72="","",الموظفون!$M72*$J72/cfg_DAYS_M)</f>
        <v/>
      </c>
      <c r="M72" s="111" t="str">
        <f aca="false">IF($B72="","",الموظفون!$N72*$J72/cfg_DAYS_M)</f>
        <v/>
      </c>
      <c r="N72" s="111" t="str">
        <f aca="false">IF($B72="","",الموظفون!$O72*$J72/cfg_DAYS_M)</f>
        <v/>
      </c>
      <c r="O72" s="151" t="str">
        <f aca="false">IF($B72="","",SUMIFS('الحركات الشهرية'!$F$6:$F$1005,'الحركات الشهرية'!$B$6:$B$1005,$B72,'الحركات الشهرية'!$A$6:$A$1005,$C$3))</f>
        <v/>
      </c>
      <c r="P72" s="111" t="str">
        <f aca="false">IF($B72="","",O72*(الموظفون!$P72+الموظفون!$L72*cfg_OT_P)/cfg_DAYS_M/cfg_HRS)</f>
        <v/>
      </c>
      <c r="Q72" s="111" t="str">
        <f aca="false">IF($B72="","",SUMIFS('الحركات الشهرية'!$G$6:$G$1005,'الحركات الشهرية'!$B$6:$B$1005,$B72,'الحركات الشهرية'!$A$6:$A$1005,$C$3))</f>
        <v/>
      </c>
      <c r="R72" s="111" t="str">
        <f aca="false">IF($B72="","",SUMIFS('الحركات الشهرية'!$H$6:$H$1005,'الحركات الشهرية'!$B$6:$B$1005,$B72,'الحركات الشهرية'!$A$6:$A$1005,$C$3))</f>
        <v/>
      </c>
      <c r="S72" s="111" t="str">
        <f aca="false">IF($B72="","",SUMIFS('سجل الإجازات والحالات'!$N$6:$N$505,'سجل الإجازات والحالات'!$B$6:$B$505,$B72,'سجل الإجازات والحالات'!$O$6:$O$505,$C$3))</f>
        <v/>
      </c>
      <c r="T72" s="152" t="str">
        <f aca="false">IF($B72="","",SUM(K72:N72)+SUM(P72:S72))</f>
        <v/>
      </c>
      <c r="U72" s="111" t="str">
        <f aca="false">IF($B72="","",الموظفون!$S72*IF(E72="سعودي",cfg_G_SE,cfg_G_NE)*G72/cfg_DAYS_M)</f>
        <v/>
      </c>
      <c r="V72" s="111" t="str">
        <f aca="false">IF($B72="","",SUMIFS('الحركات الشهرية'!$I$6:$I$1005,'الحركات الشهرية'!$B$6:$B$1005,$B72,'الحركات الشهرية'!$A$6:$A$1005,$C$3))</f>
        <v/>
      </c>
      <c r="W72" s="111" t="str">
        <f aca="false">IF($B72="","",SUMIFS('الحركات الشهرية'!$J$6:$J$1005,'الحركات الشهرية'!$B$6:$B$1005,$B72,'الحركات الشهرية'!$A$6:$A$1005,$C$3))</f>
        <v/>
      </c>
      <c r="X72" s="111" t="str">
        <f aca="false">IF($B72="","",SUM(U72:W72))</f>
        <v/>
      </c>
      <c r="Y72" s="153" t="str">
        <f aca="false">IF($B72="","",T72-X72)</f>
        <v/>
      </c>
      <c r="Z72" s="111" t="str">
        <f aca="false">IF($B72="","",الموظفون!$S72*IF(E72="سعودي",cfg_G_SR,cfg_G_NR)*G72/cfg_DAYS_M)</f>
        <v/>
      </c>
      <c r="AA72" s="111" t="str">
        <f aca="false">IF($B72="","",الموظفون!$Q72*(cfg_EOS_R1*(MIN(AH72,cfg_EOS_TH)-MIN(AI72,cfg_EOS_TH))+cfg_EOS_R2*(MAX(AH72-cfg_EOS_TH,0)-MAX(AI72-cfg_EOS_TH,0))))</f>
        <v/>
      </c>
      <c r="AB72" s="111" t="str">
        <f aca="false">IF($B72="","",IF(الموظفون!$T72&lt;&gt;"",الموظفون!$T72,IF(AH72&gt;=cfg_LV_TH,cfg_LV_D2,cfg_LV_D1))/cfg_DAYS_Y*AJ72*الموظفون!$R72/cfg_DAYS_M)</f>
        <v/>
      </c>
      <c r="AC72" s="111" t="str">
        <f aca="false">IF($B72="","",IF(AND(الموظفون!$U72="نعم",N(الموظفون!$W72)&gt;0),الموظفون!$V72/الموظفون!$W72*12/cfg_DAYS_Y*AJ72,0))</f>
        <v/>
      </c>
      <c r="AD72" s="111" t="str">
        <f aca="false">IF($B72="","",(IF(الموظفون!$X72&lt;&gt;"",الموظفون!$X72,IF(الموظفون!$E72="غير سعودي",cfg_IQ,0))+IF(الموظفون!$Y72&lt;&gt;"",الموظفون!$Y72,IF(الموظفون!$E72="غير سعودي",cfg_WP,0)))/12*G72/cfg_DAYS_M)</f>
        <v/>
      </c>
      <c r="AE72" s="111" t="str">
        <f aca="false">IF($B72="","",IF(الموظفون!$Z72&lt;&gt;"",الموظفون!$Z72,cfg_MED)/12*G72/cfg_DAYS_M)</f>
        <v/>
      </c>
      <c r="AF72" s="111" t="str">
        <f aca="false">IF($B72="","",N(الموظفون!$AA72)/12*G72/cfg_DAYS_M)</f>
        <v/>
      </c>
      <c r="AG72" s="154" t="str">
        <f aca="false">IF($B72="","",T72+SUM(Z72:AF72))</f>
        <v/>
      </c>
      <c r="AH72" s="155" t="str">
        <f aca="false">IF($B72="","",MAX(0,IF(OR(الموظفون!$AE72="",الموظفون!$AE72&gt;$F$3),$F$3,الموظفون!$AE72)-الموظفون!$H72+1-SUMIFS('سجل الإجازات والحالات'!$AR$6:$AR$505,'سجل الإجازات والحالات'!$B$6:$B$505,$B72))/cfg_DAYS_Y)</f>
        <v/>
      </c>
      <c r="AI72" s="155" t="str">
        <f aca="false">IF($B72="","",MAX(0,IF(OR(الموظفون!$AE72="",الموظفون!$AE72&gt;($E$3-1)),($E$3-1),الموظفون!$AE72)-الموظفون!$H72+1-SUMIFS('سجل الإجازات والحالات'!$AQ$6:$AQ$505,'سجل الإجازات والحالات'!$B$6:$B$505,$B72))/cfg_DAYS_Y)</f>
        <v/>
      </c>
      <c r="AJ72" s="65" t="str">
        <f aca="false">IF($B72="","",MAX(0,AK72-(SUMIFS('سجل الإجازات والحالات'!$AR$6:$AR$505,'سجل الإجازات والحالات'!$B$6:$B$505,$B72)-SUMIFS('سجل الإجازات والحالات'!$AQ$6:$AQ$505,'سجل الإجازات والحالات'!$B$6:$B$505,$B72))))</f>
        <v/>
      </c>
      <c r="AK72" s="65" t="str">
        <f aca="false">IF($B72="","",MAX(0,IF(OR(الموظفون!$AE72="",الموظفون!$AE72&gt;$F$3),$F$3,الموظفون!$AE72)-MAX($E$3,الموظفون!$H72)+1))</f>
        <v/>
      </c>
      <c r="AL72" s="151" t="str">
        <f aca="false">IF($B72="","",SUMIFS('سجل الإجازات والحالات'!$BD$6:$BD$505,'سجل الإجازات والحالات'!$B$6:$B$505,$B72)+SUMIFS('الحركات الشهرية'!$K$6:$K$1005,'الحركات الشهرية'!$B$6:$B$1005,$B72,'الحركات الشهرية'!$A$6:$A$1005,$C$3))</f>
        <v/>
      </c>
      <c r="AM72" s="111" t="str">
        <f aca="false">IF($B72="","",AL72*الموظفون!$R72/cfg_DAYS_M+S72)</f>
        <v/>
      </c>
      <c r="AN72" s="151" t="str">
        <f aca="false">IF($B72="","",SUMIFS('سجل الإجازات والحالات'!$AF$6:$AF$505,'سجل الإجازات والحالات'!$B$6:$B$505,$B72))</f>
        <v/>
      </c>
    </row>
    <row r="73" customFormat="false" ht="15" hidden="false" customHeight="false" outlineLevel="0" collapsed="false">
      <c r="A73" s="115" t="str">
        <f aca="false">IF($B73="","",الموظفون!$A73)</f>
        <v/>
      </c>
      <c r="B73" s="117" t="str">
        <f aca="false">IF(الموظفون!$B73="","",الموظفون!$B73)</f>
        <v/>
      </c>
      <c r="C73" s="117" t="str">
        <f aca="false">IF($B73="","",الموظفون!$C73)</f>
        <v/>
      </c>
      <c r="D73" s="117" t="str">
        <f aca="false">IF($B73="","",الموظفون!$F73)</f>
        <v/>
      </c>
      <c r="E73" s="117" t="str">
        <f aca="false">IF($B73="","",الموظفون!$E73)</f>
        <v/>
      </c>
      <c r="F73" s="117" t="str">
        <f aca="false">IF($B73="","",IF(AK73=0,IF(AND(الموظفون!$AE73&lt;&gt;"",الموظفون!$AE73&lt;$E$3),"✖ منتهي الخدمة","⏳ لم يباشر"),IF(S73&gt;0,"✈ راتب إجازة مقدم",IF(J73=0,"⛔ بدون راتب هذا الشهر",IF(I73&gt;0,"✈ خصم "&amp;ROUND(I73,2)&amp;" يوم بدون أجر",IF(AL73&gt;0,"🌴 إجازة سنوية "&amp;ROUND(AL73,2)&amp;" يوم",IF(H73&gt;0,"⚠ غياب "&amp;ROUND(H73,2)&amp;" يوم","✔ على رأس العمل")))))))</f>
        <v/>
      </c>
      <c r="G73" s="156" t="str">
        <f aca="false">IF($B73="","",IF(AK73&gt;=DAY($F$3),cfg_DAYS_M,MIN(AK73,cfg_DAYS_M)))</f>
        <v/>
      </c>
      <c r="H73" s="156" t="str">
        <f aca="false">IF($B73="","",SUMIFS('الحركات الشهرية'!$D$6:$D$1005,'الحركات الشهرية'!$B$6:$B$1005,$B73,'الحركات الشهرية'!$A$6:$A$1005,$C$3))</f>
        <v/>
      </c>
      <c r="I73" s="156" t="str">
        <f aca="false">IF($B73="","",MIN(G73,IF(AND(AK73&gt;0,AN73&gt;=AK73),G73,AN73)+SUMIFS('الحركات الشهرية'!$E$6:$E$1005,'الحركات الشهرية'!$B$6:$B$1005,$B73,'الحركات الشهرية'!$A$6:$A$1005,$C$3)))</f>
        <v/>
      </c>
      <c r="J73" s="156" t="str">
        <f aca="false">IF($B73="","",MAX(0,G73-H73-I73))</f>
        <v/>
      </c>
      <c r="K73" s="116" t="str">
        <f aca="false">IF($B73="","",الموظفون!$L73*$J73/cfg_DAYS_M)</f>
        <v/>
      </c>
      <c r="L73" s="116" t="str">
        <f aca="false">IF($B73="","",الموظفون!$M73*$J73/cfg_DAYS_M)</f>
        <v/>
      </c>
      <c r="M73" s="116" t="str">
        <f aca="false">IF($B73="","",الموظفون!$N73*$J73/cfg_DAYS_M)</f>
        <v/>
      </c>
      <c r="N73" s="116" t="str">
        <f aca="false">IF($B73="","",الموظفون!$O73*$J73/cfg_DAYS_M)</f>
        <v/>
      </c>
      <c r="O73" s="156" t="str">
        <f aca="false">IF($B73="","",SUMIFS('الحركات الشهرية'!$F$6:$F$1005,'الحركات الشهرية'!$B$6:$B$1005,$B73,'الحركات الشهرية'!$A$6:$A$1005,$C$3))</f>
        <v/>
      </c>
      <c r="P73" s="116" t="str">
        <f aca="false">IF($B73="","",O73*(الموظفون!$P73+الموظفون!$L73*cfg_OT_P)/cfg_DAYS_M/cfg_HRS)</f>
        <v/>
      </c>
      <c r="Q73" s="116" t="str">
        <f aca="false">IF($B73="","",SUMIFS('الحركات الشهرية'!$G$6:$G$1005,'الحركات الشهرية'!$B$6:$B$1005,$B73,'الحركات الشهرية'!$A$6:$A$1005,$C$3))</f>
        <v/>
      </c>
      <c r="R73" s="116" t="str">
        <f aca="false">IF($B73="","",SUMIFS('الحركات الشهرية'!$H$6:$H$1005,'الحركات الشهرية'!$B$6:$B$1005,$B73,'الحركات الشهرية'!$A$6:$A$1005,$C$3))</f>
        <v/>
      </c>
      <c r="S73" s="116" t="str">
        <f aca="false">IF($B73="","",SUMIFS('سجل الإجازات والحالات'!$N$6:$N$505,'سجل الإجازات والحالات'!$B$6:$B$505,$B73,'سجل الإجازات والحالات'!$O$6:$O$505,$C$3))</f>
        <v/>
      </c>
      <c r="T73" s="157" t="str">
        <f aca="false">IF($B73="","",SUM(K73:N73)+SUM(P73:S73))</f>
        <v/>
      </c>
      <c r="U73" s="116" t="str">
        <f aca="false">IF($B73="","",الموظفون!$S73*IF(E73="سعودي",cfg_G_SE,cfg_G_NE)*G73/cfg_DAYS_M)</f>
        <v/>
      </c>
      <c r="V73" s="116" t="str">
        <f aca="false">IF($B73="","",SUMIFS('الحركات الشهرية'!$I$6:$I$1005,'الحركات الشهرية'!$B$6:$B$1005,$B73,'الحركات الشهرية'!$A$6:$A$1005,$C$3))</f>
        <v/>
      </c>
      <c r="W73" s="116" t="str">
        <f aca="false">IF($B73="","",SUMIFS('الحركات الشهرية'!$J$6:$J$1005,'الحركات الشهرية'!$B$6:$B$1005,$B73,'الحركات الشهرية'!$A$6:$A$1005,$C$3))</f>
        <v/>
      </c>
      <c r="X73" s="116" t="str">
        <f aca="false">IF($B73="","",SUM(U73:W73))</f>
        <v/>
      </c>
      <c r="Y73" s="158" t="str">
        <f aca="false">IF($B73="","",T73-X73)</f>
        <v/>
      </c>
      <c r="Z73" s="116" t="str">
        <f aca="false">IF($B73="","",الموظفون!$S73*IF(E73="سعودي",cfg_G_SR,cfg_G_NR)*G73/cfg_DAYS_M)</f>
        <v/>
      </c>
      <c r="AA73" s="116" t="str">
        <f aca="false">IF($B73="","",الموظفون!$Q73*(cfg_EOS_R1*(MIN(AH73,cfg_EOS_TH)-MIN(AI73,cfg_EOS_TH))+cfg_EOS_R2*(MAX(AH73-cfg_EOS_TH,0)-MAX(AI73-cfg_EOS_TH,0))))</f>
        <v/>
      </c>
      <c r="AB73" s="116" t="str">
        <f aca="false">IF($B73="","",IF(الموظفون!$T73&lt;&gt;"",الموظفون!$T73,IF(AH73&gt;=cfg_LV_TH,cfg_LV_D2,cfg_LV_D1))/cfg_DAYS_Y*AJ73*الموظفون!$R73/cfg_DAYS_M)</f>
        <v/>
      </c>
      <c r="AC73" s="116" t="str">
        <f aca="false">IF($B73="","",IF(AND(الموظفون!$U73="نعم",N(الموظفون!$W73)&gt;0),الموظفون!$V73/الموظفون!$W73*12/cfg_DAYS_Y*AJ73,0))</f>
        <v/>
      </c>
      <c r="AD73" s="116" t="str">
        <f aca="false">IF($B73="","",(IF(الموظفون!$X73&lt;&gt;"",الموظفون!$X73,IF(الموظفون!$E73="غير سعودي",cfg_IQ,0))+IF(الموظفون!$Y73&lt;&gt;"",الموظفون!$Y73,IF(الموظفون!$E73="غير سعودي",cfg_WP,0)))/12*G73/cfg_DAYS_M)</f>
        <v/>
      </c>
      <c r="AE73" s="116" t="str">
        <f aca="false">IF($B73="","",IF(الموظفون!$Z73&lt;&gt;"",الموظفون!$Z73,cfg_MED)/12*G73/cfg_DAYS_M)</f>
        <v/>
      </c>
      <c r="AF73" s="116" t="str">
        <f aca="false">IF($B73="","",N(الموظفون!$AA73)/12*G73/cfg_DAYS_M)</f>
        <v/>
      </c>
      <c r="AG73" s="159" t="str">
        <f aca="false">IF($B73="","",T73+SUM(Z73:AF73))</f>
        <v/>
      </c>
      <c r="AH73" s="160" t="str">
        <f aca="false">IF($B73="","",MAX(0,IF(OR(الموظفون!$AE73="",الموظفون!$AE73&gt;$F$3),$F$3,الموظفون!$AE73)-الموظفون!$H73+1-SUMIFS('سجل الإجازات والحالات'!$AR$6:$AR$505,'سجل الإجازات والحالات'!$B$6:$B$505,$B73))/cfg_DAYS_Y)</f>
        <v/>
      </c>
      <c r="AI73" s="160" t="str">
        <f aca="false">IF($B73="","",MAX(0,IF(OR(الموظفون!$AE73="",الموظفون!$AE73&gt;($E$3-1)),($E$3-1),الموظفون!$AE73)-الموظفون!$H73+1-SUMIFS('سجل الإجازات والحالات'!$AQ$6:$AQ$505,'سجل الإجازات والحالات'!$B$6:$B$505,$B73))/cfg_DAYS_Y)</f>
        <v/>
      </c>
      <c r="AJ73" s="133" t="str">
        <f aca="false">IF($B73="","",MAX(0,AK73-(SUMIFS('سجل الإجازات والحالات'!$AR$6:$AR$505,'سجل الإجازات والحالات'!$B$6:$B$505,$B73)-SUMIFS('سجل الإجازات والحالات'!$AQ$6:$AQ$505,'سجل الإجازات والحالات'!$B$6:$B$505,$B73))))</f>
        <v/>
      </c>
      <c r="AK73" s="133" t="str">
        <f aca="false">IF($B73="","",MAX(0,IF(OR(الموظفون!$AE73="",الموظفون!$AE73&gt;$F$3),$F$3,الموظفون!$AE73)-MAX($E$3,الموظفون!$H73)+1))</f>
        <v/>
      </c>
      <c r="AL73" s="156" t="str">
        <f aca="false">IF($B73="","",SUMIFS('سجل الإجازات والحالات'!$BD$6:$BD$505,'سجل الإجازات والحالات'!$B$6:$B$505,$B73)+SUMIFS('الحركات الشهرية'!$K$6:$K$1005,'الحركات الشهرية'!$B$6:$B$1005,$B73,'الحركات الشهرية'!$A$6:$A$1005,$C$3))</f>
        <v/>
      </c>
      <c r="AM73" s="116" t="str">
        <f aca="false">IF($B73="","",AL73*الموظفون!$R73/cfg_DAYS_M+S73)</f>
        <v/>
      </c>
      <c r="AN73" s="156" t="str">
        <f aca="false">IF($B73="","",SUMIFS('سجل الإجازات والحالات'!$AF$6:$AF$505,'سجل الإجازات والحالات'!$B$6:$B$505,$B73))</f>
        <v/>
      </c>
    </row>
    <row r="74" customFormat="false" ht="15" hidden="false" customHeight="false" outlineLevel="0" collapsed="false">
      <c r="A74" s="106" t="str">
        <f aca="false">IF($B74="","",الموظفون!$A74)</f>
        <v/>
      </c>
      <c r="B74" s="114" t="str">
        <f aca="false">IF(الموظفون!$B74="","",الموظفون!$B74)</f>
        <v/>
      </c>
      <c r="C74" s="114" t="str">
        <f aca="false">IF($B74="","",الموظفون!$C74)</f>
        <v/>
      </c>
      <c r="D74" s="114" t="str">
        <f aca="false">IF($B74="","",الموظفون!$F74)</f>
        <v/>
      </c>
      <c r="E74" s="114" t="str">
        <f aca="false">IF($B74="","",الموظفون!$E74)</f>
        <v/>
      </c>
      <c r="F74" s="114" t="str">
        <f aca="false">IF($B74="","",IF(AK74=0,IF(AND(الموظفون!$AE74&lt;&gt;"",الموظفون!$AE74&lt;$E$3),"✖ منتهي الخدمة","⏳ لم يباشر"),IF(S74&gt;0,"✈ راتب إجازة مقدم",IF(J74=0,"⛔ بدون راتب هذا الشهر",IF(I74&gt;0,"✈ خصم "&amp;ROUND(I74,2)&amp;" يوم بدون أجر",IF(AL74&gt;0,"🌴 إجازة سنوية "&amp;ROUND(AL74,2)&amp;" يوم",IF(H74&gt;0,"⚠ غياب "&amp;ROUND(H74,2)&amp;" يوم","✔ على رأس العمل")))))))</f>
        <v/>
      </c>
      <c r="G74" s="151" t="str">
        <f aca="false">IF($B74="","",IF(AK74&gt;=DAY($F$3),cfg_DAYS_M,MIN(AK74,cfg_DAYS_M)))</f>
        <v/>
      </c>
      <c r="H74" s="151" t="str">
        <f aca="false">IF($B74="","",SUMIFS('الحركات الشهرية'!$D$6:$D$1005,'الحركات الشهرية'!$B$6:$B$1005,$B74,'الحركات الشهرية'!$A$6:$A$1005,$C$3))</f>
        <v/>
      </c>
      <c r="I74" s="151" t="str">
        <f aca="false">IF($B74="","",MIN(G74,IF(AND(AK74&gt;0,AN74&gt;=AK74),G74,AN74)+SUMIFS('الحركات الشهرية'!$E$6:$E$1005,'الحركات الشهرية'!$B$6:$B$1005,$B74,'الحركات الشهرية'!$A$6:$A$1005,$C$3)))</f>
        <v/>
      </c>
      <c r="J74" s="151" t="str">
        <f aca="false">IF($B74="","",MAX(0,G74-H74-I74))</f>
        <v/>
      </c>
      <c r="K74" s="111" t="str">
        <f aca="false">IF($B74="","",الموظفون!$L74*$J74/cfg_DAYS_M)</f>
        <v/>
      </c>
      <c r="L74" s="111" t="str">
        <f aca="false">IF($B74="","",الموظفون!$M74*$J74/cfg_DAYS_M)</f>
        <v/>
      </c>
      <c r="M74" s="111" t="str">
        <f aca="false">IF($B74="","",الموظفون!$N74*$J74/cfg_DAYS_M)</f>
        <v/>
      </c>
      <c r="N74" s="111" t="str">
        <f aca="false">IF($B74="","",الموظفون!$O74*$J74/cfg_DAYS_M)</f>
        <v/>
      </c>
      <c r="O74" s="151" t="str">
        <f aca="false">IF($B74="","",SUMIFS('الحركات الشهرية'!$F$6:$F$1005,'الحركات الشهرية'!$B$6:$B$1005,$B74,'الحركات الشهرية'!$A$6:$A$1005,$C$3))</f>
        <v/>
      </c>
      <c r="P74" s="111" t="str">
        <f aca="false">IF($B74="","",O74*(الموظفون!$P74+الموظفون!$L74*cfg_OT_P)/cfg_DAYS_M/cfg_HRS)</f>
        <v/>
      </c>
      <c r="Q74" s="111" t="str">
        <f aca="false">IF($B74="","",SUMIFS('الحركات الشهرية'!$G$6:$G$1005,'الحركات الشهرية'!$B$6:$B$1005,$B74,'الحركات الشهرية'!$A$6:$A$1005,$C$3))</f>
        <v/>
      </c>
      <c r="R74" s="111" t="str">
        <f aca="false">IF($B74="","",SUMIFS('الحركات الشهرية'!$H$6:$H$1005,'الحركات الشهرية'!$B$6:$B$1005,$B74,'الحركات الشهرية'!$A$6:$A$1005,$C$3))</f>
        <v/>
      </c>
      <c r="S74" s="111" t="str">
        <f aca="false">IF($B74="","",SUMIFS('سجل الإجازات والحالات'!$N$6:$N$505,'سجل الإجازات والحالات'!$B$6:$B$505,$B74,'سجل الإجازات والحالات'!$O$6:$O$505,$C$3))</f>
        <v/>
      </c>
      <c r="T74" s="152" t="str">
        <f aca="false">IF($B74="","",SUM(K74:N74)+SUM(P74:S74))</f>
        <v/>
      </c>
      <c r="U74" s="111" t="str">
        <f aca="false">IF($B74="","",الموظفون!$S74*IF(E74="سعودي",cfg_G_SE,cfg_G_NE)*G74/cfg_DAYS_M)</f>
        <v/>
      </c>
      <c r="V74" s="111" t="str">
        <f aca="false">IF($B74="","",SUMIFS('الحركات الشهرية'!$I$6:$I$1005,'الحركات الشهرية'!$B$6:$B$1005,$B74,'الحركات الشهرية'!$A$6:$A$1005,$C$3))</f>
        <v/>
      </c>
      <c r="W74" s="111" t="str">
        <f aca="false">IF($B74="","",SUMIFS('الحركات الشهرية'!$J$6:$J$1005,'الحركات الشهرية'!$B$6:$B$1005,$B74,'الحركات الشهرية'!$A$6:$A$1005,$C$3))</f>
        <v/>
      </c>
      <c r="X74" s="111" t="str">
        <f aca="false">IF($B74="","",SUM(U74:W74))</f>
        <v/>
      </c>
      <c r="Y74" s="153" t="str">
        <f aca="false">IF($B74="","",T74-X74)</f>
        <v/>
      </c>
      <c r="Z74" s="111" t="str">
        <f aca="false">IF($B74="","",الموظفون!$S74*IF(E74="سعودي",cfg_G_SR,cfg_G_NR)*G74/cfg_DAYS_M)</f>
        <v/>
      </c>
      <c r="AA74" s="111" t="str">
        <f aca="false">IF($B74="","",الموظفون!$Q74*(cfg_EOS_R1*(MIN(AH74,cfg_EOS_TH)-MIN(AI74,cfg_EOS_TH))+cfg_EOS_R2*(MAX(AH74-cfg_EOS_TH,0)-MAX(AI74-cfg_EOS_TH,0))))</f>
        <v/>
      </c>
      <c r="AB74" s="111" t="str">
        <f aca="false">IF($B74="","",IF(الموظفون!$T74&lt;&gt;"",الموظفون!$T74,IF(AH74&gt;=cfg_LV_TH,cfg_LV_D2,cfg_LV_D1))/cfg_DAYS_Y*AJ74*الموظفون!$R74/cfg_DAYS_M)</f>
        <v/>
      </c>
      <c r="AC74" s="111" t="str">
        <f aca="false">IF($B74="","",IF(AND(الموظفون!$U74="نعم",N(الموظفون!$W74)&gt;0),الموظفون!$V74/الموظفون!$W74*12/cfg_DAYS_Y*AJ74,0))</f>
        <v/>
      </c>
      <c r="AD74" s="111" t="str">
        <f aca="false">IF($B74="","",(IF(الموظفون!$X74&lt;&gt;"",الموظفون!$X74,IF(الموظفون!$E74="غير سعودي",cfg_IQ,0))+IF(الموظفون!$Y74&lt;&gt;"",الموظفون!$Y74,IF(الموظفون!$E74="غير سعودي",cfg_WP,0)))/12*G74/cfg_DAYS_M)</f>
        <v/>
      </c>
      <c r="AE74" s="111" t="str">
        <f aca="false">IF($B74="","",IF(الموظفون!$Z74&lt;&gt;"",الموظفون!$Z74,cfg_MED)/12*G74/cfg_DAYS_M)</f>
        <v/>
      </c>
      <c r="AF74" s="111" t="str">
        <f aca="false">IF($B74="","",N(الموظفون!$AA74)/12*G74/cfg_DAYS_M)</f>
        <v/>
      </c>
      <c r="AG74" s="154" t="str">
        <f aca="false">IF($B74="","",T74+SUM(Z74:AF74))</f>
        <v/>
      </c>
      <c r="AH74" s="155" t="str">
        <f aca="false">IF($B74="","",MAX(0,IF(OR(الموظفون!$AE74="",الموظفون!$AE74&gt;$F$3),$F$3,الموظفون!$AE74)-الموظفون!$H74+1-SUMIFS('سجل الإجازات والحالات'!$AR$6:$AR$505,'سجل الإجازات والحالات'!$B$6:$B$505,$B74))/cfg_DAYS_Y)</f>
        <v/>
      </c>
      <c r="AI74" s="155" t="str">
        <f aca="false">IF($B74="","",MAX(0,IF(OR(الموظفون!$AE74="",الموظفون!$AE74&gt;($E$3-1)),($E$3-1),الموظفون!$AE74)-الموظفون!$H74+1-SUMIFS('سجل الإجازات والحالات'!$AQ$6:$AQ$505,'سجل الإجازات والحالات'!$B$6:$B$505,$B74))/cfg_DAYS_Y)</f>
        <v/>
      </c>
      <c r="AJ74" s="65" t="str">
        <f aca="false">IF($B74="","",MAX(0,AK74-(SUMIFS('سجل الإجازات والحالات'!$AR$6:$AR$505,'سجل الإجازات والحالات'!$B$6:$B$505,$B74)-SUMIFS('سجل الإجازات والحالات'!$AQ$6:$AQ$505,'سجل الإجازات والحالات'!$B$6:$B$505,$B74))))</f>
        <v/>
      </c>
      <c r="AK74" s="65" t="str">
        <f aca="false">IF($B74="","",MAX(0,IF(OR(الموظفون!$AE74="",الموظفون!$AE74&gt;$F$3),$F$3,الموظفون!$AE74)-MAX($E$3,الموظفون!$H74)+1))</f>
        <v/>
      </c>
      <c r="AL74" s="151" t="str">
        <f aca="false">IF($B74="","",SUMIFS('سجل الإجازات والحالات'!$BD$6:$BD$505,'سجل الإجازات والحالات'!$B$6:$B$505,$B74)+SUMIFS('الحركات الشهرية'!$K$6:$K$1005,'الحركات الشهرية'!$B$6:$B$1005,$B74,'الحركات الشهرية'!$A$6:$A$1005,$C$3))</f>
        <v/>
      </c>
      <c r="AM74" s="111" t="str">
        <f aca="false">IF($B74="","",AL74*الموظفون!$R74/cfg_DAYS_M+S74)</f>
        <v/>
      </c>
      <c r="AN74" s="151" t="str">
        <f aca="false">IF($B74="","",SUMIFS('سجل الإجازات والحالات'!$AF$6:$AF$505,'سجل الإجازات والحالات'!$B$6:$B$505,$B74))</f>
        <v/>
      </c>
    </row>
    <row r="75" customFormat="false" ht="15" hidden="false" customHeight="false" outlineLevel="0" collapsed="false">
      <c r="A75" s="115" t="str">
        <f aca="false">IF($B75="","",الموظفون!$A75)</f>
        <v/>
      </c>
      <c r="B75" s="117" t="str">
        <f aca="false">IF(الموظفون!$B75="","",الموظفون!$B75)</f>
        <v/>
      </c>
      <c r="C75" s="117" t="str">
        <f aca="false">IF($B75="","",الموظفون!$C75)</f>
        <v/>
      </c>
      <c r="D75" s="117" t="str">
        <f aca="false">IF($B75="","",الموظفون!$F75)</f>
        <v/>
      </c>
      <c r="E75" s="117" t="str">
        <f aca="false">IF($B75="","",الموظفون!$E75)</f>
        <v/>
      </c>
      <c r="F75" s="117" t="str">
        <f aca="false">IF($B75="","",IF(AK75=0,IF(AND(الموظفون!$AE75&lt;&gt;"",الموظفون!$AE75&lt;$E$3),"✖ منتهي الخدمة","⏳ لم يباشر"),IF(S75&gt;0,"✈ راتب إجازة مقدم",IF(J75=0,"⛔ بدون راتب هذا الشهر",IF(I75&gt;0,"✈ خصم "&amp;ROUND(I75,2)&amp;" يوم بدون أجر",IF(AL75&gt;0,"🌴 إجازة سنوية "&amp;ROUND(AL75,2)&amp;" يوم",IF(H75&gt;0,"⚠ غياب "&amp;ROUND(H75,2)&amp;" يوم","✔ على رأس العمل")))))))</f>
        <v/>
      </c>
      <c r="G75" s="156" t="str">
        <f aca="false">IF($B75="","",IF(AK75&gt;=DAY($F$3),cfg_DAYS_M,MIN(AK75,cfg_DAYS_M)))</f>
        <v/>
      </c>
      <c r="H75" s="156" t="str">
        <f aca="false">IF($B75="","",SUMIFS('الحركات الشهرية'!$D$6:$D$1005,'الحركات الشهرية'!$B$6:$B$1005,$B75,'الحركات الشهرية'!$A$6:$A$1005,$C$3))</f>
        <v/>
      </c>
      <c r="I75" s="156" t="str">
        <f aca="false">IF($B75="","",MIN(G75,IF(AND(AK75&gt;0,AN75&gt;=AK75),G75,AN75)+SUMIFS('الحركات الشهرية'!$E$6:$E$1005,'الحركات الشهرية'!$B$6:$B$1005,$B75,'الحركات الشهرية'!$A$6:$A$1005,$C$3)))</f>
        <v/>
      </c>
      <c r="J75" s="156" t="str">
        <f aca="false">IF($B75="","",MAX(0,G75-H75-I75))</f>
        <v/>
      </c>
      <c r="K75" s="116" t="str">
        <f aca="false">IF($B75="","",الموظفون!$L75*$J75/cfg_DAYS_M)</f>
        <v/>
      </c>
      <c r="L75" s="116" t="str">
        <f aca="false">IF($B75="","",الموظفون!$M75*$J75/cfg_DAYS_M)</f>
        <v/>
      </c>
      <c r="M75" s="116" t="str">
        <f aca="false">IF($B75="","",الموظفون!$N75*$J75/cfg_DAYS_M)</f>
        <v/>
      </c>
      <c r="N75" s="116" t="str">
        <f aca="false">IF($B75="","",الموظفون!$O75*$J75/cfg_DAYS_M)</f>
        <v/>
      </c>
      <c r="O75" s="156" t="str">
        <f aca="false">IF($B75="","",SUMIFS('الحركات الشهرية'!$F$6:$F$1005,'الحركات الشهرية'!$B$6:$B$1005,$B75,'الحركات الشهرية'!$A$6:$A$1005,$C$3))</f>
        <v/>
      </c>
      <c r="P75" s="116" t="str">
        <f aca="false">IF($B75="","",O75*(الموظفون!$P75+الموظفون!$L75*cfg_OT_P)/cfg_DAYS_M/cfg_HRS)</f>
        <v/>
      </c>
      <c r="Q75" s="116" t="str">
        <f aca="false">IF($B75="","",SUMIFS('الحركات الشهرية'!$G$6:$G$1005,'الحركات الشهرية'!$B$6:$B$1005,$B75,'الحركات الشهرية'!$A$6:$A$1005,$C$3))</f>
        <v/>
      </c>
      <c r="R75" s="116" t="str">
        <f aca="false">IF($B75="","",SUMIFS('الحركات الشهرية'!$H$6:$H$1005,'الحركات الشهرية'!$B$6:$B$1005,$B75,'الحركات الشهرية'!$A$6:$A$1005,$C$3))</f>
        <v/>
      </c>
      <c r="S75" s="116" t="str">
        <f aca="false">IF($B75="","",SUMIFS('سجل الإجازات والحالات'!$N$6:$N$505,'سجل الإجازات والحالات'!$B$6:$B$505,$B75,'سجل الإجازات والحالات'!$O$6:$O$505,$C$3))</f>
        <v/>
      </c>
      <c r="T75" s="157" t="str">
        <f aca="false">IF($B75="","",SUM(K75:N75)+SUM(P75:S75))</f>
        <v/>
      </c>
      <c r="U75" s="116" t="str">
        <f aca="false">IF($B75="","",الموظفون!$S75*IF(E75="سعودي",cfg_G_SE,cfg_G_NE)*G75/cfg_DAYS_M)</f>
        <v/>
      </c>
      <c r="V75" s="116" t="str">
        <f aca="false">IF($B75="","",SUMIFS('الحركات الشهرية'!$I$6:$I$1005,'الحركات الشهرية'!$B$6:$B$1005,$B75,'الحركات الشهرية'!$A$6:$A$1005,$C$3))</f>
        <v/>
      </c>
      <c r="W75" s="116" t="str">
        <f aca="false">IF($B75="","",SUMIFS('الحركات الشهرية'!$J$6:$J$1005,'الحركات الشهرية'!$B$6:$B$1005,$B75,'الحركات الشهرية'!$A$6:$A$1005,$C$3))</f>
        <v/>
      </c>
      <c r="X75" s="116" t="str">
        <f aca="false">IF($B75="","",SUM(U75:W75))</f>
        <v/>
      </c>
      <c r="Y75" s="158" t="str">
        <f aca="false">IF($B75="","",T75-X75)</f>
        <v/>
      </c>
      <c r="Z75" s="116" t="str">
        <f aca="false">IF($B75="","",الموظفون!$S75*IF(E75="سعودي",cfg_G_SR,cfg_G_NR)*G75/cfg_DAYS_M)</f>
        <v/>
      </c>
      <c r="AA75" s="116" t="str">
        <f aca="false">IF($B75="","",الموظفون!$Q75*(cfg_EOS_R1*(MIN(AH75,cfg_EOS_TH)-MIN(AI75,cfg_EOS_TH))+cfg_EOS_R2*(MAX(AH75-cfg_EOS_TH,0)-MAX(AI75-cfg_EOS_TH,0))))</f>
        <v/>
      </c>
      <c r="AB75" s="116" t="str">
        <f aca="false">IF($B75="","",IF(الموظفون!$T75&lt;&gt;"",الموظفون!$T75,IF(AH75&gt;=cfg_LV_TH,cfg_LV_D2,cfg_LV_D1))/cfg_DAYS_Y*AJ75*الموظفون!$R75/cfg_DAYS_M)</f>
        <v/>
      </c>
      <c r="AC75" s="116" t="str">
        <f aca="false">IF($B75="","",IF(AND(الموظفون!$U75="نعم",N(الموظفون!$W75)&gt;0),الموظفون!$V75/الموظفون!$W75*12/cfg_DAYS_Y*AJ75,0))</f>
        <v/>
      </c>
      <c r="AD75" s="116" t="str">
        <f aca="false">IF($B75="","",(IF(الموظفون!$X75&lt;&gt;"",الموظفون!$X75,IF(الموظفون!$E75="غير سعودي",cfg_IQ,0))+IF(الموظفون!$Y75&lt;&gt;"",الموظفون!$Y75,IF(الموظفون!$E75="غير سعودي",cfg_WP,0)))/12*G75/cfg_DAYS_M)</f>
        <v/>
      </c>
      <c r="AE75" s="116" t="str">
        <f aca="false">IF($B75="","",IF(الموظفون!$Z75&lt;&gt;"",الموظفون!$Z75,cfg_MED)/12*G75/cfg_DAYS_M)</f>
        <v/>
      </c>
      <c r="AF75" s="116" t="str">
        <f aca="false">IF($B75="","",N(الموظفون!$AA75)/12*G75/cfg_DAYS_M)</f>
        <v/>
      </c>
      <c r="AG75" s="159" t="str">
        <f aca="false">IF($B75="","",T75+SUM(Z75:AF75))</f>
        <v/>
      </c>
      <c r="AH75" s="160" t="str">
        <f aca="false">IF($B75="","",MAX(0,IF(OR(الموظفون!$AE75="",الموظفون!$AE75&gt;$F$3),$F$3,الموظفون!$AE75)-الموظفون!$H75+1-SUMIFS('سجل الإجازات والحالات'!$AR$6:$AR$505,'سجل الإجازات والحالات'!$B$6:$B$505,$B75))/cfg_DAYS_Y)</f>
        <v/>
      </c>
      <c r="AI75" s="160" t="str">
        <f aca="false">IF($B75="","",MAX(0,IF(OR(الموظفون!$AE75="",الموظفون!$AE75&gt;($E$3-1)),($E$3-1),الموظفون!$AE75)-الموظفون!$H75+1-SUMIFS('سجل الإجازات والحالات'!$AQ$6:$AQ$505,'سجل الإجازات والحالات'!$B$6:$B$505,$B75))/cfg_DAYS_Y)</f>
        <v/>
      </c>
      <c r="AJ75" s="133" t="str">
        <f aca="false">IF($B75="","",MAX(0,AK75-(SUMIFS('سجل الإجازات والحالات'!$AR$6:$AR$505,'سجل الإجازات والحالات'!$B$6:$B$505,$B75)-SUMIFS('سجل الإجازات والحالات'!$AQ$6:$AQ$505,'سجل الإجازات والحالات'!$B$6:$B$505,$B75))))</f>
        <v/>
      </c>
      <c r="AK75" s="133" t="str">
        <f aca="false">IF($B75="","",MAX(0,IF(OR(الموظفون!$AE75="",الموظفون!$AE75&gt;$F$3),$F$3,الموظفون!$AE75)-MAX($E$3,الموظفون!$H75)+1))</f>
        <v/>
      </c>
      <c r="AL75" s="156" t="str">
        <f aca="false">IF($B75="","",SUMIFS('سجل الإجازات والحالات'!$BD$6:$BD$505,'سجل الإجازات والحالات'!$B$6:$B$505,$B75)+SUMIFS('الحركات الشهرية'!$K$6:$K$1005,'الحركات الشهرية'!$B$6:$B$1005,$B75,'الحركات الشهرية'!$A$6:$A$1005,$C$3))</f>
        <v/>
      </c>
      <c r="AM75" s="116" t="str">
        <f aca="false">IF($B75="","",AL75*الموظفون!$R75/cfg_DAYS_M+S75)</f>
        <v/>
      </c>
      <c r="AN75" s="156" t="str">
        <f aca="false">IF($B75="","",SUMIFS('سجل الإجازات والحالات'!$AF$6:$AF$505,'سجل الإجازات والحالات'!$B$6:$B$505,$B75))</f>
        <v/>
      </c>
    </row>
    <row r="76" customFormat="false" ht="15" hidden="false" customHeight="false" outlineLevel="0" collapsed="false">
      <c r="A76" s="106" t="str">
        <f aca="false">IF($B76="","",الموظفون!$A76)</f>
        <v/>
      </c>
      <c r="B76" s="114" t="str">
        <f aca="false">IF(الموظفون!$B76="","",الموظفون!$B76)</f>
        <v/>
      </c>
      <c r="C76" s="114" t="str">
        <f aca="false">IF($B76="","",الموظفون!$C76)</f>
        <v/>
      </c>
      <c r="D76" s="114" t="str">
        <f aca="false">IF($B76="","",الموظفون!$F76)</f>
        <v/>
      </c>
      <c r="E76" s="114" t="str">
        <f aca="false">IF($B76="","",الموظفون!$E76)</f>
        <v/>
      </c>
      <c r="F76" s="114" t="str">
        <f aca="false">IF($B76="","",IF(AK76=0,IF(AND(الموظفون!$AE76&lt;&gt;"",الموظفون!$AE76&lt;$E$3),"✖ منتهي الخدمة","⏳ لم يباشر"),IF(S76&gt;0,"✈ راتب إجازة مقدم",IF(J76=0,"⛔ بدون راتب هذا الشهر",IF(I76&gt;0,"✈ خصم "&amp;ROUND(I76,2)&amp;" يوم بدون أجر",IF(AL76&gt;0,"🌴 إجازة سنوية "&amp;ROUND(AL76,2)&amp;" يوم",IF(H76&gt;0,"⚠ غياب "&amp;ROUND(H76,2)&amp;" يوم","✔ على رأس العمل")))))))</f>
        <v/>
      </c>
      <c r="G76" s="151" t="str">
        <f aca="false">IF($B76="","",IF(AK76&gt;=DAY($F$3),cfg_DAYS_M,MIN(AK76,cfg_DAYS_M)))</f>
        <v/>
      </c>
      <c r="H76" s="151" t="str">
        <f aca="false">IF($B76="","",SUMIFS('الحركات الشهرية'!$D$6:$D$1005,'الحركات الشهرية'!$B$6:$B$1005,$B76,'الحركات الشهرية'!$A$6:$A$1005,$C$3))</f>
        <v/>
      </c>
      <c r="I76" s="151" t="str">
        <f aca="false">IF($B76="","",MIN(G76,IF(AND(AK76&gt;0,AN76&gt;=AK76),G76,AN76)+SUMIFS('الحركات الشهرية'!$E$6:$E$1005,'الحركات الشهرية'!$B$6:$B$1005,$B76,'الحركات الشهرية'!$A$6:$A$1005,$C$3)))</f>
        <v/>
      </c>
      <c r="J76" s="151" t="str">
        <f aca="false">IF($B76="","",MAX(0,G76-H76-I76))</f>
        <v/>
      </c>
      <c r="K76" s="111" t="str">
        <f aca="false">IF($B76="","",الموظفون!$L76*$J76/cfg_DAYS_M)</f>
        <v/>
      </c>
      <c r="L76" s="111" t="str">
        <f aca="false">IF($B76="","",الموظفون!$M76*$J76/cfg_DAYS_M)</f>
        <v/>
      </c>
      <c r="M76" s="111" t="str">
        <f aca="false">IF($B76="","",الموظفون!$N76*$J76/cfg_DAYS_M)</f>
        <v/>
      </c>
      <c r="N76" s="111" t="str">
        <f aca="false">IF($B76="","",الموظفون!$O76*$J76/cfg_DAYS_M)</f>
        <v/>
      </c>
      <c r="O76" s="151" t="str">
        <f aca="false">IF($B76="","",SUMIFS('الحركات الشهرية'!$F$6:$F$1005,'الحركات الشهرية'!$B$6:$B$1005,$B76,'الحركات الشهرية'!$A$6:$A$1005,$C$3))</f>
        <v/>
      </c>
      <c r="P76" s="111" t="str">
        <f aca="false">IF($B76="","",O76*(الموظفون!$P76+الموظفون!$L76*cfg_OT_P)/cfg_DAYS_M/cfg_HRS)</f>
        <v/>
      </c>
      <c r="Q76" s="111" t="str">
        <f aca="false">IF($B76="","",SUMIFS('الحركات الشهرية'!$G$6:$G$1005,'الحركات الشهرية'!$B$6:$B$1005,$B76,'الحركات الشهرية'!$A$6:$A$1005,$C$3))</f>
        <v/>
      </c>
      <c r="R76" s="111" t="str">
        <f aca="false">IF($B76="","",SUMIFS('الحركات الشهرية'!$H$6:$H$1005,'الحركات الشهرية'!$B$6:$B$1005,$B76,'الحركات الشهرية'!$A$6:$A$1005,$C$3))</f>
        <v/>
      </c>
      <c r="S76" s="111" t="str">
        <f aca="false">IF($B76="","",SUMIFS('سجل الإجازات والحالات'!$N$6:$N$505,'سجل الإجازات والحالات'!$B$6:$B$505,$B76,'سجل الإجازات والحالات'!$O$6:$O$505,$C$3))</f>
        <v/>
      </c>
      <c r="T76" s="152" t="str">
        <f aca="false">IF($B76="","",SUM(K76:N76)+SUM(P76:S76))</f>
        <v/>
      </c>
      <c r="U76" s="111" t="str">
        <f aca="false">IF($B76="","",الموظفون!$S76*IF(E76="سعودي",cfg_G_SE,cfg_G_NE)*G76/cfg_DAYS_M)</f>
        <v/>
      </c>
      <c r="V76" s="111" t="str">
        <f aca="false">IF($B76="","",SUMIFS('الحركات الشهرية'!$I$6:$I$1005,'الحركات الشهرية'!$B$6:$B$1005,$B76,'الحركات الشهرية'!$A$6:$A$1005,$C$3))</f>
        <v/>
      </c>
      <c r="W76" s="111" t="str">
        <f aca="false">IF($B76="","",SUMIFS('الحركات الشهرية'!$J$6:$J$1005,'الحركات الشهرية'!$B$6:$B$1005,$B76,'الحركات الشهرية'!$A$6:$A$1005,$C$3))</f>
        <v/>
      </c>
      <c r="X76" s="111" t="str">
        <f aca="false">IF($B76="","",SUM(U76:W76))</f>
        <v/>
      </c>
      <c r="Y76" s="153" t="str">
        <f aca="false">IF($B76="","",T76-X76)</f>
        <v/>
      </c>
      <c r="Z76" s="111" t="str">
        <f aca="false">IF($B76="","",الموظفون!$S76*IF(E76="سعودي",cfg_G_SR,cfg_G_NR)*G76/cfg_DAYS_M)</f>
        <v/>
      </c>
      <c r="AA76" s="111" t="str">
        <f aca="false">IF($B76="","",الموظفون!$Q76*(cfg_EOS_R1*(MIN(AH76,cfg_EOS_TH)-MIN(AI76,cfg_EOS_TH))+cfg_EOS_R2*(MAX(AH76-cfg_EOS_TH,0)-MAX(AI76-cfg_EOS_TH,0))))</f>
        <v/>
      </c>
      <c r="AB76" s="111" t="str">
        <f aca="false">IF($B76="","",IF(الموظفون!$T76&lt;&gt;"",الموظفون!$T76,IF(AH76&gt;=cfg_LV_TH,cfg_LV_D2,cfg_LV_D1))/cfg_DAYS_Y*AJ76*الموظفون!$R76/cfg_DAYS_M)</f>
        <v/>
      </c>
      <c r="AC76" s="111" t="str">
        <f aca="false">IF($B76="","",IF(AND(الموظفون!$U76="نعم",N(الموظفون!$W76)&gt;0),الموظفون!$V76/الموظفون!$W76*12/cfg_DAYS_Y*AJ76,0))</f>
        <v/>
      </c>
      <c r="AD76" s="111" t="str">
        <f aca="false">IF($B76="","",(IF(الموظفون!$X76&lt;&gt;"",الموظفون!$X76,IF(الموظفون!$E76="غير سعودي",cfg_IQ,0))+IF(الموظفون!$Y76&lt;&gt;"",الموظفون!$Y76,IF(الموظفون!$E76="غير سعودي",cfg_WP,0)))/12*G76/cfg_DAYS_M)</f>
        <v/>
      </c>
      <c r="AE76" s="111" t="str">
        <f aca="false">IF($B76="","",IF(الموظفون!$Z76&lt;&gt;"",الموظفون!$Z76,cfg_MED)/12*G76/cfg_DAYS_M)</f>
        <v/>
      </c>
      <c r="AF76" s="111" t="str">
        <f aca="false">IF($B76="","",N(الموظفون!$AA76)/12*G76/cfg_DAYS_M)</f>
        <v/>
      </c>
      <c r="AG76" s="154" t="str">
        <f aca="false">IF($B76="","",T76+SUM(Z76:AF76))</f>
        <v/>
      </c>
      <c r="AH76" s="155" t="str">
        <f aca="false">IF($B76="","",MAX(0,IF(OR(الموظفون!$AE76="",الموظفون!$AE76&gt;$F$3),$F$3,الموظفون!$AE76)-الموظفون!$H76+1-SUMIFS('سجل الإجازات والحالات'!$AR$6:$AR$505,'سجل الإجازات والحالات'!$B$6:$B$505,$B76))/cfg_DAYS_Y)</f>
        <v/>
      </c>
      <c r="AI76" s="155" t="str">
        <f aca="false">IF($B76="","",MAX(0,IF(OR(الموظفون!$AE76="",الموظفون!$AE76&gt;($E$3-1)),($E$3-1),الموظفون!$AE76)-الموظفون!$H76+1-SUMIFS('سجل الإجازات والحالات'!$AQ$6:$AQ$505,'سجل الإجازات والحالات'!$B$6:$B$505,$B76))/cfg_DAYS_Y)</f>
        <v/>
      </c>
      <c r="AJ76" s="65" t="str">
        <f aca="false">IF($B76="","",MAX(0,AK76-(SUMIFS('سجل الإجازات والحالات'!$AR$6:$AR$505,'سجل الإجازات والحالات'!$B$6:$B$505,$B76)-SUMIFS('سجل الإجازات والحالات'!$AQ$6:$AQ$505,'سجل الإجازات والحالات'!$B$6:$B$505,$B76))))</f>
        <v/>
      </c>
      <c r="AK76" s="65" t="str">
        <f aca="false">IF($B76="","",MAX(0,IF(OR(الموظفون!$AE76="",الموظفون!$AE76&gt;$F$3),$F$3,الموظفون!$AE76)-MAX($E$3,الموظفون!$H76)+1))</f>
        <v/>
      </c>
      <c r="AL76" s="151" t="str">
        <f aca="false">IF($B76="","",SUMIFS('سجل الإجازات والحالات'!$BD$6:$BD$505,'سجل الإجازات والحالات'!$B$6:$B$505,$B76)+SUMIFS('الحركات الشهرية'!$K$6:$K$1005,'الحركات الشهرية'!$B$6:$B$1005,$B76,'الحركات الشهرية'!$A$6:$A$1005,$C$3))</f>
        <v/>
      </c>
      <c r="AM76" s="111" t="str">
        <f aca="false">IF($B76="","",AL76*الموظفون!$R76/cfg_DAYS_M+S76)</f>
        <v/>
      </c>
      <c r="AN76" s="151" t="str">
        <f aca="false">IF($B76="","",SUMIFS('سجل الإجازات والحالات'!$AF$6:$AF$505,'سجل الإجازات والحالات'!$B$6:$B$505,$B76))</f>
        <v/>
      </c>
    </row>
    <row r="77" customFormat="false" ht="15" hidden="false" customHeight="false" outlineLevel="0" collapsed="false">
      <c r="A77" s="115" t="str">
        <f aca="false">IF($B77="","",الموظفون!$A77)</f>
        <v/>
      </c>
      <c r="B77" s="117" t="str">
        <f aca="false">IF(الموظفون!$B77="","",الموظفون!$B77)</f>
        <v/>
      </c>
      <c r="C77" s="117" t="str">
        <f aca="false">IF($B77="","",الموظفون!$C77)</f>
        <v/>
      </c>
      <c r="D77" s="117" t="str">
        <f aca="false">IF($B77="","",الموظفون!$F77)</f>
        <v/>
      </c>
      <c r="E77" s="117" t="str">
        <f aca="false">IF($B77="","",الموظفون!$E77)</f>
        <v/>
      </c>
      <c r="F77" s="117" t="str">
        <f aca="false">IF($B77="","",IF(AK77=0,IF(AND(الموظفون!$AE77&lt;&gt;"",الموظفون!$AE77&lt;$E$3),"✖ منتهي الخدمة","⏳ لم يباشر"),IF(S77&gt;0,"✈ راتب إجازة مقدم",IF(J77=0,"⛔ بدون راتب هذا الشهر",IF(I77&gt;0,"✈ خصم "&amp;ROUND(I77,2)&amp;" يوم بدون أجر",IF(AL77&gt;0,"🌴 إجازة سنوية "&amp;ROUND(AL77,2)&amp;" يوم",IF(H77&gt;0,"⚠ غياب "&amp;ROUND(H77,2)&amp;" يوم","✔ على رأس العمل")))))))</f>
        <v/>
      </c>
      <c r="G77" s="156" t="str">
        <f aca="false">IF($B77="","",IF(AK77&gt;=DAY($F$3),cfg_DAYS_M,MIN(AK77,cfg_DAYS_M)))</f>
        <v/>
      </c>
      <c r="H77" s="156" t="str">
        <f aca="false">IF($B77="","",SUMIFS('الحركات الشهرية'!$D$6:$D$1005,'الحركات الشهرية'!$B$6:$B$1005,$B77,'الحركات الشهرية'!$A$6:$A$1005,$C$3))</f>
        <v/>
      </c>
      <c r="I77" s="156" t="str">
        <f aca="false">IF($B77="","",MIN(G77,IF(AND(AK77&gt;0,AN77&gt;=AK77),G77,AN77)+SUMIFS('الحركات الشهرية'!$E$6:$E$1005,'الحركات الشهرية'!$B$6:$B$1005,$B77,'الحركات الشهرية'!$A$6:$A$1005,$C$3)))</f>
        <v/>
      </c>
      <c r="J77" s="156" t="str">
        <f aca="false">IF($B77="","",MAX(0,G77-H77-I77))</f>
        <v/>
      </c>
      <c r="K77" s="116" t="str">
        <f aca="false">IF($B77="","",الموظفون!$L77*$J77/cfg_DAYS_M)</f>
        <v/>
      </c>
      <c r="L77" s="116" t="str">
        <f aca="false">IF($B77="","",الموظفون!$M77*$J77/cfg_DAYS_M)</f>
        <v/>
      </c>
      <c r="M77" s="116" t="str">
        <f aca="false">IF($B77="","",الموظفون!$N77*$J77/cfg_DAYS_M)</f>
        <v/>
      </c>
      <c r="N77" s="116" t="str">
        <f aca="false">IF($B77="","",الموظفون!$O77*$J77/cfg_DAYS_M)</f>
        <v/>
      </c>
      <c r="O77" s="156" t="str">
        <f aca="false">IF($B77="","",SUMIFS('الحركات الشهرية'!$F$6:$F$1005,'الحركات الشهرية'!$B$6:$B$1005,$B77,'الحركات الشهرية'!$A$6:$A$1005,$C$3))</f>
        <v/>
      </c>
      <c r="P77" s="116" t="str">
        <f aca="false">IF($B77="","",O77*(الموظفون!$P77+الموظفون!$L77*cfg_OT_P)/cfg_DAYS_M/cfg_HRS)</f>
        <v/>
      </c>
      <c r="Q77" s="116" t="str">
        <f aca="false">IF($B77="","",SUMIFS('الحركات الشهرية'!$G$6:$G$1005,'الحركات الشهرية'!$B$6:$B$1005,$B77,'الحركات الشهرية'!$A$6:$A$1005,$C$3))</f>
        <v/>
      </c>
      <c r="R77" s="116" t="str">
        <f aca="false">IF($B77="","",SUMIFS('الحركات الشهرية'!$H$6:$H$1005,'الحركات الشهرية'!$B$6:$B$1005,$B77,'الحركات الشهرية'!$A$6:$A$1005,$C$3))</f>
        <v/>
      </c>
      <c r="S77" s="116" t="str">
        <f aca="false">IF($B77="","",SUMIFS('سجل الإجازات والحالات'!$N$6:$N$505,'سجل الإجازات والحالات'!$B$6:$B$505,$B77,'سجل الإجازات والحالات'!$O$6:$O$505,$C$3))</f>
        <v/>
      </c>
      <c r="T77" s="157" t="str">
        <f aca="false">IF($B77="","",SUM(K77:N77)+SUM(P77:S77))</f>
        <v/>
      </c>
      <c r="U77" s="116" t="str">
        <f aca="false">IF($B77="","",الموظفون!$S77*IF(E77="سعودي",cfg_G_SE,cfg_G_NE)*G77/cfg_DAYS_M)</f>
        <v/>
      </c>
      <c r="V77" s="116" t="str">
        <f aca="false">IF($B77="","",SUMIFS('الحركات الشهرية'!$I$6:$I$1005,'الحركات الشهرية'!$B$6:$B$1005,$B77,'الحركات الشهرية'!$A$6:$A$1005,$C$3))</f>
        <v/>
      </c>
      <c r="W77" s="116" t="str">
        <f aca="false">IF($B77="","",SUMIFS('الحركات الشهرية'!$J$6:$J$1005,'الحركات الشهرية'!$B$6:$B$1005,$B77,'الحركات الشهرية'!$A$6:$A$1005,$C$3))</f>
        <v/>
      </c>
      <c r="X77" s="116" t="str">
        <f aca="false">IF($B77="","",SUM(U77:W77))</f>
        <v/>
      </c>
      <c r="Y77" s="158" t="str">
        <f aca="false">IF($B77="","",T77-X77)</f>
        <v/>
      </c>
      <c r="Z77" s="116" t="str">
        <f aca="false">IF($B77="","",الموظفون!$S77*IF(E77="سعودي",cfg_G_SR,cfg_G_NR)*G77/cfg_DAYS_M)</f>
        <v/>
      </c>
      <c r="AA77" s="116" t="str">
        <f aca="false">IF($B77="","",الموظفون!$Q77*(cfg_EOS_R1*(MIN(AH77,cfg_EOS_TH)-MIN(AI77,cfg_EOS_TH))+cfg_EOS_R2*(MAX(AH77-cfg_EOS_TH,0)-MAX(AI77-cfg_EOS_TH,0))))</f>
        <v/>
      </c>
      <c r="AB77" s="116" t="str">
        <f aca="false">IF($B77="","",IF(الموظفون!$T77&lt;&gt;"",الموظفون!$T77,IF(AH77&gt;=cfg_LV_TH,cfg_LV_D2,cfg_LV_D1))/cfg_DAYS_Y*AJ77*الموظفون!$R77/cfg_DAYS_M)</f>
        <v/>
      </c>
      <c r="AC77" s="116" t="str">
        <f aca="false">IF($B77="","",IF(AND(الموظفون!$U77="نعم",N(الموظفون!$W77)&gt;0),الموظفون!$V77/الموظفون!$W77*12/cfg_DAYS_Y*AJ77,0))</f>
        <v/>
      </c>
      <c r="AD77" s="116" t="str">
        <f aca="false">IF($B77="","",(IF(الموظفون!$X77&lt;&gt;"",الموظفون!$X77,IF(الموظفون!$E77="غير سعودي",cfg_IQ,0))+IF(الموظفون!$Y77&lt;&gt;"",الموظفون!$Y77,IF(الموظفون!$E77="غير سعودي",cfg_WP,0)))/12*G77/cfg_DAYS_M)</f>
        <v/>
      </c>
      <c r="AE77" s="116" t="str">
        <f aca="false">IF($B77="","",IF(الموظفون!$Z77&lt;&gt;"",الموظفون!$Z77,cfg_MED)/12*G77/cfg_DAYS_M)</f>
        <v/>
      </c>
      <c r="AF77" s="116" t="str">
        <f aca="false">IF($B77="","",N(الموظفون!$AA77)/12*G77/cfg_DAYS_M)</f>
        <v/>
      </c>
      <c r="AG77" s="159" t="str">
        <f aca="false">IF($B77="","",T77+SUM(Z77:AF77))</f>
        <v/>
      </c>
      <c r="AH77" s="160" t="str">
        <f aca="false">IF($B77="","",MAX(0,IF(OR(الموظفون!$AE77="",الموظفون!$AE77&gt;$F$3),$F$3,الموظفون!$AE77)-الموظفون!$H77+1-SUMIFS('سجل الإجازات والحالات'!$AR$6:$AR$505,'سجل الإجازات والحالات'!$B$6:$B$505,$B77))/cfg_DAYS_Y)</f>
        <v/>
      </c>
      <c r="AI77" s="160" t="str">
        <f aca="false">IF($B77="","",MAX(0,IF(OR(الموظفون!$AE77="",الموظفون!$AE77&gt;($E$3-1)),($E$3-1),الموظفون!$AE77)-الموظفون!$H77+1-SUMIFS('سجل الإجازات والحالات'!$AQ$6:$AQ$505,'سجل الإجازات والحالات'!$B$6:$B$505,$B77))/cfg_DAYS_Y)</f>
        <v/>
      </c>
      <c r="AJ77" s="133" t="str">
        <f aca="false">IF($B77="","",MAX(0,AK77-(SUMIFS('سجل الإجازات والحالات'!$AR$6:$AR$505,'سجل الإجازات والحالات'!$B$6:$B$505,$B77)-SUMIFS('سجل الإجازات والحالات'!$AQ$6:$AQ$505,'سجل الإجازات والحالات'!$B$6:$B$505,$B77))))</f>
        <v/>
      </c>
      <c r="AK77" s="133" t="str">
        <f aca="false">IF($B77="","",MAX(0,IF(OR(الموظفون!$AE77="",الموظفون!$AE77&gt;$F$3),$F$3,الموظفون!$AE77)-MAX($E$3,الموظفون!$H77)+1))</f>
        <v/>
      </c>
      <c r="AL77" s="156" t="str">
        <f aca="false">IF($B77="","",SUMIFS('سجل الإجازات والحالات'!$BD$6:$BD$505,'سجل الإجازات والحالات'!$B$6:$B$505,$B77)+SUMIFS('الحركات الشهرية'!$K$6:$K$1005,'الحركات الشهرية'!$B$6:$B$1005,$B77,'الحركات الشهرية'!$A$6:$A$1005,$C$3))</f>
        <v/>
      </c>
      <c r="AM77" s="116" t="str">
        <f aca="false">IF($B77="","",AL77*الموظفون!$R77/cfg_DAYS_M+S77)</f>
        <v/>
      </c>
      <c r="AN77" s="156" t="str">
        <f aca="false">IF($B77="","",SUMIFS('سجل الإجازات والحالات'!$AF$6:$AF$505,'سجل الإجازات والحالات'!$B$6:$B$505,$B77))</f>
        <v/>
      </c>
    </row>
    <row r="78" customFormat="false" ht="15" hidden="false" customHeight="false" outlineLevel="0" collapsed="false">
      <c r="A78" s="106" t="str">
        <f aca="false">IF($B78="","",الموظفون!$A78)</f>
        <v/>
      </c>
      <c r="B78" s="114" t="str">
        <f aca="false">IF(الموظفون!$B78="","",الموظفون!$B78)</f>
        <v/>
      </c>
      <c r="C78" s="114" t="str">
        <f aca="false">IF($B78="","",الموظفون!$C78)</f>
        <v/>
      </c>
      <c r="D78" s="114" t="str">
        <f aca="false">IF($B78="","",الموظفون!$F78)</f>
        <v/>
      </c>
      <c r="E78" s="114" t="str">
        <f aca="false">IF($B78="","",الموظفون!$E78)</f>
        <v/>
      </c>
      <c r="F78" s="114" t="str">
        <f aca="false">IF($B78="","",IF(AK78=0,IF(AND(الموظفون!$AE78&lt;&gt;"",الموظفون!$AE78&lt;$E$3),"✖ منتهي الخدمة","⏳ لم يباشر"),IF(S78&gt;0,"✈ راتب إجازة مقدم",IF(J78=0,"⛔ بدون راتب هذا الشهر",IF(I78&gt;0,"✈ خصم "&amp;ROUND(I78,2)&amp;" يوم بدون أجر",IF(AL78&gt;0,"🌴 إجازة سنوية "&amp;ROUND(AL78,2)&amp;" يوم",IF(H78&gt;0,"⚠ غياب "&amp;ROUND(H78,2)&amp;" يوم","✔ على رأس العمل")))))))</f>
        <v/>
      </c>
      <c r="G78" s="151" t="str">
        <f aca="false">IF($B78="","",IF(AK78&gt;=DAY($F$3),cfg_DAYS_M,MIN(AK78,cfg_DAYS_M)))</f>
        <v/>
      </c>
      <c r="H78" s="151" t="str">
        <f aca="false">IF($B78="","",SUMIFS('الحركات الشهرية'!$D$6:$D$1005,'الحركات الشهرية'!$B$6:$B$1005,$B78,'الحركات الشهرية'!$A$6:$A$1005,$C$3))</f>
        <v/>
      </c>
      <c r="I78" s="151" t="str">
        <f aca="false">IF($B78="","",MIN(G78,IF(AND(AK78&gt;0,AN78&gt;=AK78),G78,AN78)+SUMIFS('الحركات الشهرية'!$E$6:$E$1005,'الحركات الشهرية'!$B$6:$B$1005,$B78,'الحركات الشهرية'!$A$6:$A$1005,$C$3)))</f>
        <v/>
      </c>
      <c r="J78" s="151" t="str">
        <f aca="false">IF($B78="","",MAX(0,G78-H78-I78))</f>
        <v/>
      </c>
      <c r="K78" s="111" t="str">
        <f aca="false">IF($B78="","",الموظفون!$L78*$J78/cfg_DAYS_M)</f>
        <v/>
      </c>
      <c r="L78" s="111" t="str">
        <f aca="false">IF($B78="","",الموظفون!$M78*$J78/cfg_DAYS_M)</f>
        <v/>
      </c>
      <c r="M78" s="111" t="str">
        <f aca="false">IF($B78="","",الموظفون!$N78*$J78/cfg_DAYS_M)</f>
        <v/>
      </c>
      <c r="N78" s="111" t="str">
        <f aca="false">IF($B78="","",الموظفون!$O78*$J78/cfg_DAYS_M)</f>
        <v/>
      </c>
      <c r="O78" s="151" t="str">
        <f aca="false">IF($B78="","",SUMIFS('الحركات الشهرية'!$F$6:$F$1005,'الحركات الشهرية'!$B$6:$B$1005,$B78,'الحركات الشهرية'!$A$6:$A$1005,$C$3))</f>
        <v/>
      </c>
      <c r="P78" s="111" t="str">
        <f aca="false">IF($B78="","",O78*(الموظفون!$P78+الموظفون!$L78*cfg_OT_P)/cfg_DAYS_M/cfg_HRS)</f>
        <v/>
      </c>
      <c r="Q78" s="111" t="str">
        <f aca="false">IF($B78="","",SUMIFS('الحركات الشهرية'!$G$6:$G$1005,'الحركات الشهرية'!$B$6:$B$1005,$B78,'الحركات الشهرية'!$A$6:$A$1005,$C$3))</f>
        <v/>
      </c>
      <c r="R78" s="111" t="str">
        <f aca="false">IF($B78="","",SUMIFS('الحركات الشهرية'!$H$6:$H$1005,'الحركات الشهرية'!$B$6:$B$1005,$B78,'الحركات الشهرية'!$A$6:$A$1005,$C$3))</f>
        <v/>
      </c>
      <c r="S78" s="111" t="str">
        <f aca="false">IF($B78="","",SUMIFS('سجل الإجازات والحالات'!$N$6:$N$505,'سجل الإجازات والحالات'!$B$6:$B$505,$B78,'سجل الإجازات والحالات'!$O$6:$O$505,$C$3))</f>
        <v/>
      </c>
      <c r="T78" s="152" t="str">
        <f aca="false">IF($B78="","",SUM(K78:N78)+SUM(P78:S78))</f>
        <v/>
      </c>
      <c r="U78" s="111" t="str">
        <f aca="false">IF($B78="","",الموظفون!$S78*IF(E78="سعودي",cfg_G_SE,cfg_G_NE)*G78/cfg_DAYS_M)</f>
        <v/>
      </c>
      <c r="V78" s="111" t="str">
        <f aca="false">IF($B78="","",SUMIFS('الحركات الشهرية'!$I$6:$I$1005,'الحركات الشهرية'!$B$6:$B$1005,$B78,'الحركات الشهرية'!$A$6:$A$1005,$C$3))</f>
        <v/>
      </c>
      <c r="W78" s="111" t="str">
        <f aca="false">IF($B78="","",SUMIFS('الحركات الشهرية'!$J$6:$J$1005,'الحركات الشهرية'!$B$6:$B$1005,$B78,'الحركات الشهرية'!$A$6:$A$1005,$C$3))</f>
        <v/>
      </c>
      <c r="X78" s="111" t="str">
        <f aca="false">IF($B78="","",SUM(U78:W78))</f>
        <v/>
      </c>
      <c r="Y78" s="153" t="str">
        <f aca="false">IF($B78="","",T78-X78)</f>
        <v/>
      </c>
      <c r="Z78" s="111" t="str">
        <f aca="false">IF($B78="","",الموظفون!$S78*IF(E78="سعودي",cfg_G_SR,cfg_G_NR)*G78/cfg_DAYS_M)</f>
        <v/>
      </c>
      <c r="AA78" s="111" t="str">
        <f aca="false">IF($B78="","",الموظفون!$Q78*(cfg_EOS_R1*(MIN(AH78,cfg_EOS_TH)-MIN(AI78,cfg_EOS_TH))+cfg_EOS_R2*(MAX(AH78-cfg_EOS_TH,0)-MAX(AI78-cfg_EOS_TH,0))))</f>
        <v/>
      </c>
      <c r="AB78" s="111" t="str">
        <f aca="false">IF($B78="","",IF(الموظفون!$T78&lt;&gt;"",الموظفون!$T78,IF(AH78&gt;=cfg_LV_TH,cfg_LV_D2,cfg_LV_D1))/cfg_DAYS_Y*AJ78*الموظفون!$R78/cfg_DAYS_M)</f>
        <v/>
      </c>
      <c r="AC78" s="111" t="str">
        <f aca="false">IF($B78="","",IF(AND(الموظفون!$U78="نعم",N(الموظفون!$W78)&gt;0),الموظفون!$V78/الموظفون!$W78*12/cfg_DAYS_Y*AJ78,0))</f>
        <v/>
      </c>
      <c r="AD78" s="111" t="str">
        <f aca="false">IF($B78="","",(IF(الموظفون!$X78&lt;&gt;"",الموظفون!$X78,IF(الموظفون!$E78="غير سعودي",cfg_IQ,0))+IF(الموظفون!$Y78&lt;&gt;"",الموظفون!$Y78,IF(الموظفون!$E78="غير سعودي",cfg_WP,0)))/12*G78/cfg_DAYS_M)</f>
        <v/>
      </c>
      <c r="AE78" s="111" t="str">
        <f aca="false">IF($B78="","",IF(الموظفون!$Z78&lt;&gt;"",الموظفون!$Z78,cfg_MED)/12*G78/cfg_DAYS_M)</f>
        <v/>
      </c>
      <c r="AF78" s="111" t="str">
        <f aca="false">IF($B78="","",N(الموظفون!$AA78)/12*G78/cfg_DAYS_M)</f>
        <v/>
      </c>
      <c r="AG78" s="154" t="str">
        <f aca="false">IF($B78="","",T78+SUM(Z78:AF78))</f>
        <v/>
      </c>
      <c r="AH78" s="155" t="str">
        <f aca="false">IF($B78="","",MAX(0,IF(OR(الموظفون!$AE78="",الموظفون!$AE78&gt;$F$3),$F$3,الموظفون!$AE78)-الموظفون!$H78+1-SUMIFS('سجل الإجازات والحالات'!$AR$6:$AR$505,'سجل الإجازات والحالات'!$B$6:$B$505,$B78))/cfg_DAYS_Y)</f>
        <v/>
      </c>
      <c r="AI78" s="155" t="str">
        <f aca="false">IF($B78="","",MAX(0,IF(OR(الموظفون!$AE78="",الموظفون!$AE78&gt;($E$3-1)),($E$3-1),الموظفون!$AE78)-الموظفون!$H78+1-SUMIFS('سجل الإجازات والحالات'!$AQ$6:$AQ$505,'سجل الإجازات والحالات'!$B$6:$B$505,$B78))/cfg_DAYS_Y)</f>
        <v/>
      </c>
      <c r="AJ78" s="65" t="str">
        <f aca="false">IF($B78="","",MAX(0,AK78-(SUMIFS('سجل الإجازات والحالات'!$AR$6:$AR$505,'سجل الإجازات والحالات'!$B$6:$B$505,$B78)-SUMIFS('سجل الإجازات والحالات'!$AQ$6:$AQ$505,'سجل الإجازات والحالات'!$B$6:$B$505,$B78))))</f>
        <v/>
      </c>
      <c r="AK78" s="65" t="str">
        <f aca="false">IF($B78="","",MAX(0,IF(OR(الموظفون!$AE78="",الموظفون!$AE78&gt;$F$3),$F$3,الموظفون!$AE78)-MAX($E$3,الموظفون!$H78)+1))</f>
        <v/>
      </c>
      <c r="AL78" s="151" t="str">
        <f aca="false">IF($B78="","",SUMIFS('سجل الإجازات والحالات'!$BD$6:$BD$505,'سجل الإجازات والحالات'!$B$6:$B$505,$B78)+SUMIFS('الحركات الشهرية'!$K$6:$K$1005,'الحركات الشهرية'!$B$6:$B$1005,$B78,'الحركات الشهرية'!$A$6:$A$1005,$C$3))</f>
        <v/>
      </c>
      <c r="AM78" s="111" t="str">
        <f aca="false">IF($B78="","",AL78*الموظفون!$R78/cfg_DAYS_M+S78)</f>
        <v/>
      </c>
      <c r="AN78" s="151" t="str">
        <f aca="false">IF($B78="","",SUMIFS('سجل الإجازات والحالات'!$AF$6:$AF$505,'سجل الإجازات والحالات'!$B$6:$B$505,$B78))</f>
        <v/>
      </c>
    </row>
    <row r="79" customFormat="false" ht="15" hidden="false" customHeight="false" outlineLevel="0" collapsed="false">
      <c r="A79" s="115" t="str">
        <f aca="false">IF($B79="","",الموظفون!$A79)</f>
        <v/>
      </c>
      <c r="B79" s="117" t="str">
        <f aca="false">IF(الموظفون!$B79="","",الموظفون!$B79)</f>
        <v/>
      </c>
      <c r="C79" s="117" t="str">
        <f aca="false">IF($B79="","",الموظفون!$C79)</f>
        <v/>
      </c>
      <c r="D79" s="117" t="str">
        <f aca="false">IF($B79="","",الموظفون!$F79)</f>
        <v/>
      </c>
      <c r="E79" s="117" t="str">
        <f aca="false">IF($B79="","",الموظفون!$E79)</f>
        <v/>
      </c>
      <c r="F79" s="117" t="str">
        <f aca="false">IF($B79="","",IF(AK79=0,IF(AND(الموظفون!$AE79&lt;&gt;"",الموظفون!$AE79&lt;$E$3),"✖ منتهي الخدمة","⏳ لم يباشر"),IF(S79&gt;0,"✈ راتب إجازة مقدم",IF(J79=0,"⛔ بدون راتب هذا الشهر",IF(I79&gt;0,"✈ خصم "&amp;ROUND(I79,2)&amp;" يوم بدون أجر",IF(AL79&gt;0,"🌴 إجازة سنوية "&amp;ROUND(AL79,2)&amp;" يوم",IF(H79&gt;0,"⚠ غياب "&amp;ROUND(H79,2)&amp;" يوم","✔ على رأس العمل")))))))</f>
        <v/>
      </c>
      <c r="G79" s="156" t="str">
        <f aca="false">IF($B79="","",IF(AK79&gt;=DAY($F$3),cfg_DAYS_M,MIN(AK79,cfg_DAYS_M)))</f>
        <v/>
      </c>
      <c r="H79" s="156" t="str">
        <f aca="false">IF($B79="","",SUMIFS('الحركات الشهرية'!$D$6:$D$1005,'الحركات الشهرية'!$B$6:$B$1005,$B79,'الحركات الشهرية'!$A$6:$A$1005,$C$3))</f>
        <v/>
      </c>
      <c r="I79" s="156" t="str">
        <f aca="false">IF($B79="","",MIN(G79,IF(AND(AK79&gt;0,AN79&gt;=AK79),G79,AN79)+SUMIFS('الحركات الشهرية'!$E$6:$E$1005,'الحركات الشهرية'!$B$6:$B$1005,$B79,'الحركات الشهرية'!$A$6:$A$1005,$C$3)))</f>
        <v/>
      </c>
      <c r="J79" s="156" t="str">
        <f aca="false">IF($B79="","",MAX(0,G79-H79-I79))</f>
        <v/>
      </c>
      <c r="K79" s="116" t="str">
        <f aca="false">IF($B79="","",الموظفون!$L79*$J79/cfg_DAYS_M)</f>
        <v/>
      </c>
      <c r="L79" s="116" t="str">
        <f aca="false">IF($B79="","",الموظفون!$M79*$J79/cfg_DAYS_M)</f>
        <v/>
      </c>
      <c r="M79" s="116" t="str">
        <f aca="false">IF($B79="","",الموظفون!$N79*$J79/cfg_DAYS_M)</f>
        <v/>
      </c>
      <c r="N79" s="116" t="str">
        <f aca="false">IF($B79="","",الموظفون!$O79*$J79/cfg_DAYS_M)</f>
        <v/>
      </c>
      <c r="O79" s="156" t="str">
        <f aca="false">IF($B79="","",SUMIFS('الحركات الشهرية'!$F$6:$F$1005,'الحركات الشهرية'!$B$6:$B$1005,$B79,'الحركات الشهرية'!$A$6:$A$1005,$C$3))</f>
        <v/>
      </c>
      <c r="P79" s="116" t="str">
        <f aca="false">IF($B79="","",O79*(الموظفون!$P79+الموظفون!$L79*cfg_OT_P)/cfg_DAYS_M/cfg_HRS)</f>
        <v/>
      </c>
      <c r="Q79" s="116" t="str">
        <f aca="false">IF($B79="","",SUMIFS('الحركات الشهرية'!$G$6:$G$1005,'الحركات الشهرية'!$B$6:$B$1005,$B79,'الحركات الشهرية'!$A$6:$A$1005,$C$3))</f>
        <v/>
      </c>
      <c r="R79" s="116" t="str">
        <f aca="false">IF($B79="","",SUMIFS('الحركات الشهرية'!$H$6:$H$1005,'الحركات الشهرية'!$B$6:$B$1005,$B79,'الحركات الشهرية'!$A$6:$A$1005,$C$3))</f>
        <v/>
      </c>
      <c r="S79" s="116" t="str">
        <f aca="false">IF($B79="","",SUMIFS('سجل الإجازات والحالات'!$N$6:$N$505,'سجل الإجازات والحالات'!$B$6:$B$505,$B79,'سجل الإجازات والحالات'!$O$6:$O$505,$C$3))</f>
        <v/>
      </c>
      <c r="T79" s="157" t="str">
        <f aca="false">IF($B79="","",SUM(K79:N79)+SUM(P79:S79))</f>
        <v/>
      </c>
      <c r="U79" s="116" t="str">
        <f aca="false">IF($B79="","",الموظفون!$S79*IF(E79="سعودي",cfg_G_SE,cfg_G_NE)*G79/cfg_DAYS_M)</f>
        <v/>
      </c>
      <c r="V79" s="116" t="str">
        <f aca="false">IF($B79="","",SUMIFS('الحركات الشهرية'!$I$6:$I$1005,'الحركات الشهرية'!$B$6:$B$1005,$B79,'الحركات الشهرية'!$A$6:$A$1005,$C$3))</f>
        <v/>
      </c>
      <c r="W79" s="116" t="str">
        <f aca="false">IF($B79="","",SUMIFS('الحركات الشهرية'!$J$6:$J$1005,'الحركات الشهرية'!$B$6:$B$1005,$B79,'الحركات الشهرية'!$A$6:$A$1005,$C$3))</f>
        <v/>
      </c>
      <c r="X79" s="116" t="str">
        <f aca="false">IF($B79="","",SUM(U79:W79))</f>
        <v/>
      </c>
      <c r="Y79" s="158" t="str">
        <f aca="false">IF($B79="","",T79-X79)</f>
        <v/>
      </c>
      <c r="Z79" s="116" t="str">
        <f aca="false">IF($B79="","",الموظفون!$S79*IF(E79="سعودي",cfg_G_SR,cfg_G_NR)*G79/cfg_DAYS_M)</f>
        <v/>
      </c>
      <c r="AA79" s="116" t="str">
        <f aca="false">IF($B79="","",الموظفون!$Q79*(cfg_EOS_R1*(MIN(AH79,cfg_EOS_TH)-MIN(AI79,cfg_EOS_TH))+cfg_EOS_R2*(MAX(AH79-cfg_EOS_TH,0)-MAX(AI79-cfg_EOS_TH,0))))</f>
        <v/>
      </c>
      <c r="AB79" s="116" t="str">
        <f aca="false">IF($B79="","",IF(الموظفون!$T79&lt;&gt;"",الموظفون!$T79,IF(AH79&gt;=cfg_LV_TH,cfg_LV_D2,cfg_LV_D1))/cfg_DAYS_Y*AJ79*الموظفون!$R79/cfg_DAYS_M)</f>
        <v/>
      </c>
      <c r="AC79" s="116" t="str">
        <f aca="false">IF($B79="","",IF(AND(الموظفون!$U79="نعم",N(الموظفون!$W79)&gt;0),الموظفون!$V79/الموظفون!$W79*12/cfg_DAYS_Y*AJ79,0))</f>
        <v/>
      </c>
      <c r="AD79" s="116" t="str">
        <f aca="false">IF($B79="","",(IF(الموظفون!$X79&lt;&gt;"",الموظفون!$X79,IF(الموظفون!$E79="غير سعودي",cfg_IQ,0))+IF(الموظفون!$Y79&lt;&gt;"",الموظفون!$Y79,IF(الموظفون!$E79="غير سعودي",cfg_WP,0)))/12*G79/cfg_DAYS_M)</f>
        <v/>
      </c>
      <c r="AE79" s="116" t="str">
        <f aca="false">IF($B79="","",IF(الموظفون!$Z79&lt;&gt;"",الموظفون!$Z79,cfg_MED)/12*G79/cfg_DAYS_M)</f>
        <v/>
      </c>
      <c r="AF79" s="116" t="str">
        <f aca="false">IF($B79="","",N(الموظفون!$AA79)/12*G79/cfg_DAYS_M)</f>
        <v/>
      </c>
      <c r="AG79" s="159" t="str">
        <f aca="false">IF($B79="","",T79+SUM(Z79:AF79))</f>
        <v/>
      </c>
      <c r="AH79" s="160" t="str">
        <f aca="false">IF($B79="","",MAX(0,IF(OR(الموظفون!$AE79="",الموظفون!$AE79&gt;$F$3),$F$3,الموظفون!$AE79)-الموظفون!$H79+1-SUMIFS('سجل الإجازات والحالات'!$AR$6:$AR$505,'سجل الإجازات والحالات'!$B$6:$B$505,$B79))/cfg_DAYS_Y)</f>
        <v/>
      </c>
      <c r="AI79" s="160" t="str">
        <f aca="false">IF($B79="","",MAX(0,IF(OR(الموظفون!$AE79="",الموظفون!$AE79&gt;($E$3-1)),($E$3-1),الموظفون!$AE79)-الموظفون!$H79+1-SUMIFS('سجل الإجازات والحالات'!$AQ$6:$AQ$505,'سجل الإجازات والحالات'!$B$6:$B$505,$B79))/cfg_DAYS_Y)</f>
        <v/>
      </c>
      <c r="AJ79" s="133" t="str">
        <f aca="false">IF($B79="","",MAX(0,AK79-(SUMIFS('سجل الإجازات والحالات'!$AR$6:$AR$505,'سجل الإجازات والحالات'!$B$6:$B$505,$B79)-SUMIFS('سجل الإجازات والحالات'!$AQ$6:$AQ$505,'سجل الإجازات والحالات'!$B$6:$B$505,$B79))))</f>
        <v/>
      </c>
      <c r="AK79" s="133" t="str">
        <f aca="false">IF($B79="","",MAX(0,IF(OR(الموظفون!$AE79="",الموظفون!$AE79&gt;$F$3),$F$3,الموظفون!$AE79)-MAX($E$3,الموظفون!$H79)+1))</f>
        <v/>
      </c>
      <c r="AL79" s="156" t="str">
        <f aca="false">IF($B79="","",SUMIFS('سجل الإجازات والحالات'!$BD$6:$BD$505,'سجل الإجازات والحالات'!$B$6:$B$505,$B79)+SUMIFS('الحركات الشهرية'!$K$6:$K$1005,'الحركات الشهرية'!$B$6:$B$1005,$B79,'الحركات الشهرية'!$A$6:$A$1005,$C$3))</f>
        <v/>
      </c>
      <c r="AM79" s="116" t="str">
        <f aca="false">IF($B79="","",AL79*الموظفون!$R79/cfg_DAYS_M+S79)</f>
        <v/>
      </c>
      <c r="AN79" s="156" t="str">
        <f aca="false">IF($B79="","",SUMIFS('سجل الإجازات والحالات'!$AF$6:$AF$505,'سجل الإجازات والحالات'!$B$6:$B$505,$B79))</f>
        <v/>
      </c>
    </row>
    <row r="80" customFormat="false" ht="15" hidden="false" customHeight="false" outlineLevel="0" collapsed="false">
      <c r="A80" s="106" t="str">
        <f aca="false">IF($B80="","",الموظفون!$A80)</f>
        <v/>
      </c>
      <c r="B80" s="114" t="str">
        <f aca="false">IF(الموظفون!$B80="","",الموظفون!$B80)</f>
        <v/>
      </c>
      <c r="C80" s="114" t="str">
        <f aca="false">IF($B80="","",الموظفون!$C80)</f>
        <v/>
      </c>
      <c r="D80" s="114" t="str">
        <f aca="false">IF($B80="","",الموظفون!$F80)</f>
        <v/>
      </c>
      <c r="E80" s="114" t="str">
        <f aca="false">IF($B80="","",الموظفون!$E80)</f>
        <v/>
      </c>
      <c r="F80" s="114" t="str">
        <f aca="false">IF($B80="","",IF(AK80=0,IF(AND(الموظفون!$AE80&lt;&gt;"",الموظفون!$AE80&lt;$E$3),"✖ منتهي الخدمة","⏳ لم يباشر"),IF(S80&gt;0,"✈ راتب إجازة مقدم",IF(J80=0,"⛔ بدون راتب هذا الشهر",IF(I80&gt;0,"✈ خصم "&amp;ROUND(I80,2)&amp;" يوم بدون أجر",IF(AL80&gt;0,"🌴 إجازة سنوية "&amp;ROUND(AL80,2)&amp;" يوم",IF(H80&gt;0,"⚠ غياب "&amp;ROUND(H80,2)&amp;" يوم","✔ على رأس العمل")))))))</f>
        <v/>
      </c>
      <c r="G80" s="151" t="str">
        <f aca="false">IF($B80="","",IF(AK80&gt;=DAY($F$3),cfg_DAYS_M,MIN(AK80,cfg_DAYS_M)))</f>
        <v/>
      </c>
      <c r="H80" s="151" t="str">
        <f aca="false">IF($B80="","",SUMIFS('الحركات الشهرية'!$D$6:$D$1005,'الحركات الشهرية'!$B$6:$B$1005,$B80,'الحركات الشهرية'!$A$6:$A$1005,$C$3))</f>
        <v/>
      </c>
      <c r="I80" s="151" t="str">
        <f aca="false">IF($B80="","",MIN(G80,IF(AND(AK80&gt;0,AN80&gt;=AK80),G80,AN80)+SUMIFS('الحركات الشهرية'!$E$6:$E$1005,'الحركات الشهرية'!$B$6:$B$1005,$B80,'الحركات الشهرية'!$A$6:$A$1005,$C$3)))</f>
        <v/>
      </c>
      <c r="J80" s="151" t="str">
        <f aca="false">IF($B80="","",MAX(0,G80-H80-I80))</f>
        <v/>
      </c>
      <c r="K80" s="111" t="str">
        <f aca="false">IF($B80="","",الموظفون!$L80*$J80/cfg_DAYS_M)</f>
        <v/>
      </c>
      <c r="L80" s="111" t="str">
        <f aca="false">IF($B80="","",الموظفون!$M80*$J80/cfg_DAYS_M)</f>
        <v/>
      </c>
      <c r="M80" s="111" t="str">
        <f aca="false">IF($B80="","",الموظفون!$N80*$J80/cfg_DAYS_M)</f>
        <v/>
      </c>
      <c r="N80" s="111" t="str">
        <f aca="false">IF($B80="","",الموظفون!$O80*$J80/cfg_DAYS_M)</f>
        <v/>
      </c>
      <c r="O80" s="151" t="str">
        <f aca="false">IF($B80="","",SUMIFS('الحركات الشهرية'!$F$6:$F$1005,'الحركات الشهرية'!$B$6:$B$1005,$B80,'الحركات الشهرية'!$A$6:$A$1005,$C$3))</f>
        <v/>
      </c>
      <c r="P80" s="111" t="str">
        <f aca="false">IF($B80="","",O80*(الموظفون!$P80+الموظفون!$L80*cfg_OT_P)/cfg_DAYS_M/cfg_HRS)</f>
        <v/>
      </c>
      <c r="Q80" s="111" t="str">
        <f aca="false">IF($B80="","",SUMIFS('الحركات الشهرية'!$G$6:$G$1005,'الحركات الشهرية'!$B$6:$B$1005,$B80,'الحركات الشهرية'!$A$6:$A$1005,$C$3))</f>
        <v/>
      </c>
      <c r="R80" s="111" t="str">
        <f aca="false">IF($B80="","",SUMIFS('الحركات الشهرية'!$H$6:$H$1005,'الحركات الشهرية'!$B$6:$B$1005,$B80,'الحركات الشهرية'!$A$6:$A$1005,$C$3))</f>
        <v/>
      </c>
      <c r="S80" s="111" t="str">
        <f aca="false">IF($B80="","",SUMIFS('سجل الإجازات والحالات'!$N$6:$N$505,'سجل الإجازات والحالات'!$B$6:$B$505,$B80,'سجل الإجازات والحالات'!$O$6:$O$505,$C$3))</f>
        <v/>
      </c>
      <c r="T80" s="152" t="str">
        <f aca="false">IF($B80="","",SUM(K80:N80)+SUM(P80:S80))</f>
        <v/>
      </c>
      <c r="U80" s="111" t="str">
        <f aca="false">IF($B80="","",الموظفون!$S80*IF(E80="سعودي",cfg_G_SE,cfg_G_NE)*G80/cfg_DAYS_M)</f>
        <v/>
      </c>
      <c r="V80" s="111" t="str">
        <f aca="false">IF($B80="","",SUMIFS('الحركات الشهرية'!$I$6:$I$1005,'الحركات الشهرية'!$B$6:$B$1005,$B80,'الحركات الشهرية'!$A$6:$A$1005,$C$3))</f>
        <v/>
      </c>
      <c r="W80" s="111" t="str">
        <f aca="false">IF($B80="","",SUMIFS('الحركات الشهرية'!$J$6:$J$1005,'الحركات الشهرية'!$B$6:$B$1005,$B80,'الحركات الشهرية'!$A$6:$A$1005,$C$3))</f>
        <v/>
      </c>
      <c r="X80" s="111" t="str">
        <f aca="false">IF($B80="","",SUM(U80:W80))</f>
        <v/>
      </c>
      <c r="Y80" s="153" t="str">
        <f aca="false">IF($B80="","",T80-X80)</f>
        <v/>
      </c>
      <c r="Z80" s="111" t="str">
        <f aca="false">IF($B80="","",الموظفون!$S80*IF(E80="سعودي",cfg_G_SR,cfg_G_NR)*G80/cfg_DAYS_M)</f>
        <v/>
      </c>
      <c r="AA80" s="111" t="str">
        <f aca="false">IF($B80="","",الموظفون!$Q80*(cfg_EOS_R1*(MIN(AH80,cfg_EOS_TH)-MIN(AI80,cfg_EOS_TH))+cfg_EOS_R2*(MAX(AH80-cfg_EOS_TH,0)-MAX(AI80-cfg_EOS_TH,0))))</f>
        <v/>
      </c>
      <c r="AB80" s="111" t="str">
        <f aca="false">IF($B80="","",IF(الموظفون!$T80&lt;&gt;"",الموظفون!$T80,IF(AH80&gt;=cfg_LV_TH,cfg_LV_D2,cfg_LV_D1))/cfg_DAYS_Y*AJ80*الموظفون!$R80/cfg_DAYS_M)</f>
        <v/>
      </c>
      <c r="AC80" s="111" t="str">
        <f aca="false">IF($B80="","",IF(AND(الموظفون!$U80="نعم",N(الموظفون!$W80)&gt;0),الموظفون!$V80/الموظفون!$W80*12/cfg_DAYS_Y*AJ80,0))</f>
        <v/>
      </c>
      <c r="AD80" s="111" t="str">
        <f aca="false">IF($B80="","",(IF(الموظفون!$X80&lt;&gt;"",الموظفون!$X80,IF(الموظفون!$E80="غير سعودي",cfg_IQ,0))+IF(الموظفون!$Y80&lt;&gt;"",الموظفون!$Y80,IF(الموظفون!$E80="غير سعودي",cfg_WP,0)))/12*G80/cfg_DAYS_M)</f>
        <v/>
      </c>
      <c r="AE80" s="111" t="str">
        <f aca="false">IF($B80="","",IF(الموظفون!$Z80&lt;&gt;"",الموظفون!$Z80,cfg_MED)/12*G80/cfg_DAYS_M)</f>
        <v/>
      </c>
      <c r="AF80" s="111" t="str">
        <f aca="false">IF($B80="","",N(الموظفون!$AA80)/12*G80/cfg_DAYS_M)</f>
        <v/>
      </c>
      <c r="AG80" s="154" t="str">
        <f aca="false">IF($B80="","",T80+SUM(Z80:AF80))</f>
        <v/>
      </c>
      <c r="AH80" s="155" t="str">
        <f aca="false">IF($B80="","",MAX(0,IF(OR(الموظفون!$AE80="",الموظفون!$AE80&gt;$F$3),$F$3,الموظفون!$AE80)-الموظفون!$H80+1-SUMIFS('سجل الإجازات والحالات'!$AR$6:$AR$505,'سجل الإجازات والحالات'!$B$6:$B$505,$B80))/cfg_DAYS_Y)</f>
        <v/>
      </c>
      <c r="AI80" s="155" t="str">
        <f aca="false">IF($B80="","",MAX(0,IF(OR(الموظفون!$AE80="",الموظفون!$AE80&gt;($E$3-1)),($E$3-1),الموظفون!$AE80)-الموظفون!$H80+1-SUMIFS('سجل الإجازات والحالات'!$AQ$6:$AQ$505,'سجل الإجازات والحالات'!$B$6:$B$505,$B80))/cfg_DAYS_Y)</f>
        <v/>
      </c>
      <c r="AJ80" s="65" t="str">
        <f aca="false">IF($B80="","",MAX(0,AK80-(SUMIFS('سجل الإجازات والحالات'!$AR$6:$AR$505,'سجل الإجازات والحالات'!$B$6:$B$505,$B80)-SUMIFS('سجل الإجازات والحالات'!$AQ$6:$AQ$505,'سجل الإجازات والحالات'!$B$6:$B$505,$B80))))</f>
        <v/>
      </c>
      <c r="AK80" s="65" t="str">
        <f aca="false">IF($B80="","",MAX(0,IF(OR(الموظفون!$AE80="",الموظفون!$AE80&gt;$F$3),$F$3,الموظفون!$AE80)-MAX($E$3,الموظفون!$H80)+1))</f>
        <v/>
      </c>
      <c r="AL80" s="151" t="str">
        <f aca="false">IF($B80="","",SUMIFS('سجل الإجازات والحالات'!$BD$6:$BD$505,'سجل الإجازات والحالات'!$B$6:$B$505,$B80)+SUMIFS('الحركات الشهرية'!$K$6:$K$1005,'الحركات الشهرية'!$B$6:$B$1005,$B80,'الحركات الشهرية'!$A$6:$A$1005,$C$3))</f>
        <v/>
      </c>
      <c r="AM80" s="111" t="str">
        <f aca="false">IF($B80="","",AL80*الموظفون!$R80/cfg_DAYS_M+S80)</f>
        <v/>
      </c>
      <c r="AN80" s="151" t="str">
        <f aca="false">IF($B80="","",SUMIFS('سجل الإجازات والحالات'!$AF$6:$AF$505,'سجل الإجازات والحالات'!$B$6:$B$505,$B80))</f>
        <v/>
      </c>
    </row>
    <row r="81" customFormat="false" ht="15" hidden="false" customHeight="false" outlineLevel="0" collapsed="false">
      <c r="A81" s="115" t="str">
        <f aca="false">IF($B81="","",الموظفون!$A81)</f>
        <v/>
      </c>
      <c r="B81" s="117" t="str">
        <f aca="false">IF(الموظفون!$B81="","",الموظفون!$B81)</f>
        <v/>
      </c>
      <c r="C81" s="117" t="str">
        <f aca="false">IF($B81="","",الموظفون!$C81)</f>
        <v/>
      </c>
      <c r="D81" s="117" t="str">
        <f aca="false">IF($B81="","",الموظفون!$F81)</f>
        <v/>
      </c>
      <c r="E81" s="117" t="str">
        <f aca="false">IF($B81="","",الموظفون!$E81)</f>
        <v/>
      </c>
      <c r="F81" s="117" t="str">
        <f aca="false">IF($B81="","",IF(AK81=0,IF(AND(الموظفون!$AE81&lt;&gt;"",الموظفون!$AE81&lt;$E$3),"✖ منتهي الخدمة","⏳ لم يباشر"),IF(S81&gt;0,"✈ راتب إجازة مقدم",IF(J81=0,"⛔ بدون راتب هذا الشهر",IF(I81&gt;0,"✈ خصم "&amp;ROUND(I81,2)&amp;" يوم بدون أجر",IF(AL81&gt;0,"🌴 إجازة سنوية "&amp;ROUND(AL81,2)&amp;" يوم",IF(H81&gt;0,"⚠ غياب "&amp;ROUND(H81,2)&amp;" يوم","✔ على رأس العمل")))))))</f>
        <v/>
      </c>
      <c r="G81" s="156" t="str">
        <f aca="false">IF($B81="","",IF(AK81&gt;=DAY($F$3),cfg_DAYS_M,MIN(AK81,cfg_DAYS_M)))</f>
        <v/>
      </c>
      <c r="H81" s="156" t="str">
        <f aca="false">IF($B81="","",SUMIFS('الحركات الشهرية'!$D$6:$D$1005,'الحركات الشهرية'!$B$6:$B$1005,$B81,'الحركات الشهرية'!$A$6:$A$1005,$C$3))</f>
        <v/>
      </c>
      <c r="I81" s="156" t="str">
        <f aca="false">IF($B81="","",MIN(G81,IF(AND(AK81&gt;0,AN81&gt;=AK81),G81,AN81)+SUMIFS('الحركات الشهرية'!$E$6:$E$1005,'الحركات الشهرية'!$B$6:$B$1005,$B81,'الحركات الشهرية'!$A$6:$A$1005,$C$3)))</f>
        <v/>
      </c>
      <c r="J81" s="156" t="str">
        <f aca="false">IF($B81="","",MAX(0,G81-H81-I81))</f>
        <v/>
      </c>
      <c r="K81" s="116" t="str">
        <f aca="false">IF($B81="","",الموظفون!$L81*$J81/cfg_DAYS_M)</f>
        <v/>
      </c>
      <c r="L81" s="116" t="str">
        <f aca="false">IF($B81="","",الموظفون!$M81*$J81/cfg_DAYS_M)</f>
        <v/>
      </c>
      <c r="M81" s="116" t="str">
        <f aca="false">IF($B81="","",الموظفون!$N81*$J81/cfg_DAYS_M)</f>
        <v/>
      </c>
      <c r="N81" s="116" t="str">
        <f aca="false">IF($B81="","",الموظفون!$O81*$J81/cfg_DAYS_M)</f>
        <v/>
      </c>
      <c r="O81" s="156" t="str">
        <f aca="false">IF($B81="","",SUMIFS('الحركات الشهرية'!$F$6:$F$1005,'الحركات الشهرية'!$B$6:$B$1005,$B81,'الحركات الشهرية'!$A$6:$A$1005,$C$3))</f>
        <v/>
      </c>
      <c r="P81" s="116" t="str">
        <f aca="false">IF($B81="","",O81*(الموظفون!$P81+الموظفون!$L81*cfg_OT_P)/cfg_DAYS_M/cfg_HRS)</f>
        <v/>
      </c>
      <c r="Q81" s="116" t="str">
        <f aca="false">IF($B81="","",SUMIFS('الحركات الشهرية'!$G$6:$G$1005,'الحركات الشهرية'!$B$6:$B$1005,$B81,'الحركات الشهرية'!$A$6:$A$1005,$C$3))</f>
        <v/>
      </c>
      <c r="R81" s="116" t="str">
        <f aca="false">IF($B81="","",SUMIFS('الحركات الشهرية'!$H$6:$H$1005,'الحركات الشهرية'!$B$6:$B$1005,$B81,'الحركات الشهرية'!$A$6:$A$1005,$C$3))</f>
        <v/>
      </c>
      <c r="S81" s="116" t="str">
        <f aca="false">IF($B81="","",SUMIFS('سجل الإجازات والحالات'!$N$6:$N$505,'سجل الإجازات والحالات'!$B$6:$B$505,$B81,'سجل الإجازات والحالات'!$O$6:$O$505,$C$3))</f>
        <v/>
      </c>
      <c r="T81" s="157" t="str">
        <f aca="false">IF($B81="","",SUM(K81:N81)+SUM(P81:S81))</f>
        <v/>
      </c>
      <c r="U81" s="116" t="str">
        <f aca="false">IF($B81="","",الموظفون!$S81*IF(E81="سعودي",cfg_G_SE,cfg_G_NE)*G81/cfg_DAYS_M)</f>
        <v/>
      </c>
      <c r="V81" s="116" t="str">
        <f aca="false">IF($B81="","",SUMIFS('الحركات الشهرية'!$I$6:$I$1005,'الحركات الشهرية'!$B$6:$B$1005,$B81,'الحركات الشهرية'!$A$6:$A$1005,$C$3))</f>
        <v/>
      </c>
      <c r="W81" s="116" t="str">
        <f aca="false">IF($B81="","",SUMIFS('الحركات الشهرية'!$J$6:$J$1005,'الحركات الشهرية'!$B$6:$B$1005,$B81,'الحركات الشهرية'!$A$6:$A$1005,$C$3))</f>
        <v/>
      </c>
      <c r="X81" s="116" t="str">
        <f aca="false">IF($B81="","",SUM(U81:W81))</f>
        <v/>
      </c>
      <c r="Y81" s="158" t="str">
        <f aca="false">IF($B81="","",T81-X81)</f>
        <v/>
      </c>
      <c r="Z81" s="116" t="str">
        <f aca="false">IF($B81="","",الموظفون!$S81*IF(E81="سعودي",cfg_G_SR,cfg_G_NR)*G81/cfg_DAYS_M)</f>
        <v/>
      </c>
      <c r="AA81" s="116" t="str">
        <f aca="false">IF($B81="","",الموظفون!$Q81*(cfg_EOS_R1*(MIN(AH81,cfg_EOS_TH)-MIN(AI81,cfg_EOS_TH))+cfg_EOS_R2*(MAX(AH81-cfg_EOS_TH,0)-MAX(AI81-cfg_EOS_TH,0))))</f>
        <v/>
      </c>
      <c r="AB81" s="116" t="str">
        <f aca="false">IF($B81="","",IF(الموظفون!$T81&lt;&gt;"",الموظفون!$T81,IF(AH81&gt;=cfg_LV_TH,cfg_LV_D2,cfg_LV_D1))/cfg_DAYS_Y*AJ81*الموظفون!$R81/cfg_DAYS_M)</f>
        <v/>
      </c>
      <c r="AC81" s="116" t="str">
        <f aca="false">IF($B81="","",IF(AND(الموظفون!$U81="نعم",N(الموظفون!$W81)&gt;0),الموظفون!$V81/الموظفون!$W81*12/cfg_DAYS_Y*AJ81,0))</f>
        <v/>
      </c>
      <c r="AD81" s="116" t="str">
        <f aca="false">IF($B81="","",(IF(الموظفون!$X81&lt;&gt;"",الموظفون!$X81,IF(الموظفون!$E81="غير سعودي",cfg_IQ,0))+IF(الموظفون!$Y81&lt;&gt;"",الموظفون!$Y81,IF(الموظفون!$E81="غير سعودي",cfg_WP,0)))/12*G81/cfg_DAYS_M)</f>
        <v/>
      </c>
      <c r="AE81" s="116" t="str">
        <f aca="false">IF($B81="","",IF(الموظفون!$Z81&lt;&gt;"",الموظفون!$Z81,cfg_MED)/12*G81/cfg_DAYS_M)</f>
        <v/>
      </c>
      <c r="AF81" s="116" t="str">
        <f aca="false">IF($B81="","",N(الموظفون!$AA81)/12*G81/cfg_DAYS_M)</f>
        <v/>
      </c>
      <c r="AG81" s="159" t="str">
        <f aca="false">IF($B81="","",T81+SUM(Z81:AF81))</f>
        <v/>
      </c>
      <c r="AH81" s="160" t="str">
        <f aca="false">IF($B81="","",MAX(0,IF(OR(الموظفون!$AE81="",الموظفون!$AE81&gt;$F$3),$F$3,الموظفون!$AE81)-الموظفون!$H81+1-SUMIFS('سجل الإجازات والحالات'!$AR$6:$AR$505,'سجل الإجازات والحالات'!$B$6:$B$505,$B81))/cfg_DAYS_Y)</f>
        <v/>
      </c>
      <c r="AI81" s="160" t="str">
        <f aca="false">IF($B81="","",MAX(0,IF(OR(الموظفون!$AE81="",الموظفون!$AE81&gt;($E$3-1)),($E$3-1),الموظفون!$AE81)-الموظفون!$H81+1-SUMIFS('سجل الإجازات والحالات'!$AQ$6:$AQ$505,'سجل الإجازات والحالات'!$B$6:$B$505,$B81))/cfg_DAYS_Y)</f>
        <v/>
      </c>
      <c r="AJ81" s="133" t="str">
        <f aca="false">IF($B81="","",MAX(0,AK81-(SUMIFS('سجل الإجازات والحالات'!$AR$6:$AR$505,'سجل الإجازات والحالات'!$B$6:$B$505,$B81)-SUMIFS('سجل الإجازات والحالات'!$AQ$6:$AQ$505,'سجل الإجازات والحالات'!$B$6:$B$505,$B81))))</f>
        <v/>
      </c>
      <c r="AK81" s="133" t="str">
        <f aca="false">IF($B81="","",MAX(0,IF(OR(الموظفون!$AE81="",الموظفون!$AE81&gt;$F$3),$F$3,الموظفون!$AE81)-MAX($E$3,الموظفون!$H81)+1))</f>
        <v/>
      </c>
      <c r="AL81" s="156" t="str">
        <f aca="false">IF($B81="","",SUMIFS('سجل الإجازات والحالات'!$BD$6:$BD$505,'سجل الإجازات والحالات'!$B$6:$B$505,$B81)+SUMIFS('الحركات الشهرية'!$K$6:$K$1005,'الحركات الشهرية'!$B$6:$B$1005,$B81,'الحركات الشهرية'!$A$6:$A$1005,$C$3))</f>
        <v/>
      </c>
      <c r="AM81" s="116" t="str">
        <f aca="false">IF($B81="","",AL81*الموظفون!$R81/cfg_DAYS_M+S81)</f>
        <v/>
      </c>
      <c r="AN81" s="156" t="str">
        <f aca="false">IF($B81="","",SUMIFS('سجل الإجازات والحالات'!$AF$6:$AF$505,'سجل الإجازات والحالات'!$B$6:$B$505,$B81))</f>
        <v/>
      </c>
    </row>
    <row r="82" customFormat="false" ht="15" hidden="false" customHeight="false" outlineLevel="0" collapsed="false">
      <c r="A82" s="106" t="str">
        <f aca="false">IF($B82="","",الموظفون!$A82)</f>
        <v/>
      </c>
      <c r="B82" s="114" t="str">
        <f aca="false">IF(الموظفون!$B82="","",الموظفون!$B82)</f>
        <v/>
      </c>
      <c r="C82" s="114" t="str">
        <f aca="false">IF($B82="","",الموظفون!$C82)</f>
        <v/>
      </c>
      <c r="D82" s="114" t="str">
        <f aca="false">IF($B82="","",الموظفون!$F82)</f>
        <v/>
      </c>
      <c r="E82" s="114" t="str">
        <f aca="false">IF($B82="","",الموظفون!$E82)</f>
        <v/>
      </c>
      <c r="F82" s="114" t="str">
        <f aca="false">IF($B82="","",IF(AK82=0,IF(AND(الموظفون!$AE82&lt;&gt;"",الموظفون!$AE82&lt;$E$3),"✖ منتهي الخدمة","⏳ لم يباشر"),IF(S82&gt;0,"✈ راتب إجازة مقدم",IF(J82=0,"⛔ بدون راتب هذا الشهر",IF(I82&gt;0,"✈ خصم "&amp;ROUND(I82,2)&amp;" يوم بدون أجر",IF(AL82&gt;0,"🌴 إجازة سنوية "&amp;ROUND(AL82,2)&amp;" يوم",IF(H82&gt;0,"⚠ غياب "&amp;ROUND(H82,2)&amp;" يوم","✔ على رأس العمل")))))))</f>
        <v/>
      </c>
      <c r="G82" s="151" t="str">
        <f aca="false">IF($B82="","",IF(AK82&gt;=DAY($F$3),cfg_DAYS_M,MIN(AK82,cfg_DAYS_M)))</f>
        <v/>
      </c>
      <c r="H82" s="151" t="str">
        <f aca="false">IF($B82="","",SUMIFS('الحركات الشهرية'!$D$6:$D$1005,'الحركات الشهرية'!$B$6:$B$1005,$B82,'الحركات الشهرية'!$A$6:$A$1005,$C$3))</f>
        <v/>
      </c>
      <c r="I82" s="151" t="str">
        <f aca="false">IF($B82="","",MIN(G82,IF(AND(AK82&gt;0,AN82&gt;=AK82),G82,AN82)+SUMIFS('الحركات الشهرية'!$E$6:$E$1005,'الحركات الشهرية'!$B$6:$B$1005,$B82,'الحركات الشهرية'!$A$6:$A$1005,$C$3)))</f>
        <v/>
      </c>
      <c r="J82" s="151" t="str">
        <f aca="false">IF($B82="","",MAX(0,G82-H82-I82))</f>
        <v/>
      </c>
      <c r="K82" s="111" t="str">
        <f aca="false">IF($B82="","",الموظفون!$L82*$J82/cfg_DAYS_M)</f>
        <v/>
      </c>
      <c r="L82" s="111" t="str">
        <f aca="false">IF($B82="","",الموظفون!$M82*$J82/cfg_DAYS_M)</f>
        <v/>
      </c>
      <c r="M82" s="111" t="str">
        <f aca="false">IF($B82="","",الموظفون!$N82*$J82/cfg_DAYS_M)</f>
        <v/>
      </c>
      <c r="N82" s="111" t="str">
        <f aca="false">IF($B82="","",الموظفون!$O82*$J82/cfg_DAYS_M)</f>
        <v/>
      </c>
      <c r="O82" s="151" t="str">
        <f aca="false">IF($B82="","",SUMIFS('الحركات الشهرية'!$F$6:$F$1005,'الحركات الشهرية'!$B$6:$B$1005,$B82,'الحركات الشهرية'!$A$6:$A$1005,$C$3))</f>
        <v/>
      </c>
      <c r="P82" s="111" t="str">
        <f aca="false">IF($B82="","",O82*(الموظفون!$P82+الموظفون!$L82*cfg_OT_P)/cfg_DAYS_M/cfg_HRS)</f>
        <v/>
      </c>
      <c r="Q82" s="111" t="str">
        <f aca="false">IF($B82="","",SUMIFS('الحركات الشهرية'!$G$6:$G$1005,'الحركات الشهرية'!$B$6:$B$1005,$B82,'الحركات الشهرية'!$A$6:$A$1005,$C$3))</f>
        <v/>
      </c>
      <c r="R82" s="111" t="str">
        <f aca="false">IF($B82="","",SUMIFS('الحركات الشهرية'!$H$6:$H$1005,'الحركات الشهرية'!$B$6:$B$1005,$B82,'الحركات الشهرية'!$A$6:$A$1005,$C$3))</f>
        <v/>
      </c>
      <c r="S82" s="111" t="str">
        <f aca="false">IF($B82="","",SUMIFS('سجل الإجازات والحالات'!$N$6:$N$505,'سجل الإجازات والحالات'!$B$6:$B$505,$B82,'سجل الإجازات والحالات'!$O$6:$O$505,$C$3))</f>
        <v/>
      </c>
      <c r="T82" s="152" t="str">
        <f aca="false">IF($B82="","",SUM(K82:N82)+SUM(P82:S82))</f>
        <v/>
      </c>
      <c r="U82" s="111" t="str">
        <f aca="false">IF($B82="","",الموظفون!$S82*IF(E82="سعودي",cfg_G_SE,cfg_G_NE)*G82/cfg_DAYS_M)</f>
        <v/>
      </c>
      <c r="V82" s="111" t="str">
        <f aca="false">IF($B82="","",SUMIFS('الحركات الشهرية'!$I$6:$I$1005,'الحركات الشهرية'!$B$6:$B$1005,$B82,'الحركات الشهرية'!$A$6:$A$1005,$C$3))</f>
        <v/>
      </c>
      <c r="W82" s="111" t="str">
        <f aca="false">IF($B82="","",SUMIFS('الحركات الشهرية'!$J$6:$J$1005,'الحركات الشهرية'!$B$6:$B$1005,$B82,'الحركات الشهرية'!$A$6:$A$1005,$C$3))</f>
        <v/>
      </c>
      <c r="X82" s="111" t="str">
        <f aca="false">IF($B82="","",SUM(U82:W82))</f>
        <v/>
      </c>
      <c r="Y82" s="153" t="str">
        <f aca="false">IF($B82="","",T82-X82)</f>
        <v/>
      </c>
      <c r="Z82" s="111" t="str">
        <f aca="false">IF($B82="","",الموظفون!$S82*IF(E82="سعودي",cfg_G_SR,cfg_G_NR)*G82/cfg_DAYS_M)</f>
        <v/>
      </c>
      <c r="AA82" s="111" t="str">
        <f aca="false">IF($B82="","",الموظفون!$Q82*(cfg_EOS_R1*(MIN(AH82,cfg_EOS_TH)-MIN(AI82,cfg_EOS_TH))+cfg_EOS_R2*(MAX(AH82-cfg_EOS_TH,0)-MAX(AI82-cfg_EOS_TH,0))))</f>
        <v/>
      </c>
      <c r="AB82" s="111" t="str">
        <f aca="false">IF($B82="","",IF(الموظفون!$T82&lt;&gt;"",الموظفون!$T82,IF(AH82&gt;=cfg_LV_TH,cfg_LV_D2,cfg_LV_D1))/cfg_DAYS_Y*AJ82*الموظفون!$R82/cfg_DAYS_M)</f>
        <v/>
      </c>
      <c r="AC82" s="111" t="str">
        <f aca="false">IF($B82="","",IF(AND(الموظفون!$U82="نعم",N(الموظفون!$W82)&gt;0),الموظفون!$V82/الموظفون!$W82*12/cfg_DAYS_Y*AJ82,0))</f>
        <v/>
      </c>
      <c r="AD82" s="111" t="str">
        <f aca="false">IF($B82="","",(IF(الموظفون!$X82&lt;&gt;"",الموظفون!$X82,IF(الموظفون!$E82="غير سعودي",cfg_IQ,0))+IF(الموظفون!$Y82&lt;&gt;"",الموظفون!$Y82,IF(الموظفون!$E82="غير سعودي",cfg_WP,0)))/12*G82/cfg_DAYS_M)</f>
        <v/>
      </c>
      <c r="AE82" s="111" t="str">
        <f aca="false">IF($B82="","",IF(الموظفون!$Z82&lt;&gt;"",الموظفون!$Z82,cfg_MED)/12*G82/cfg_DAYS_M)</f>
        <v/>
      </c>
      <c r="AF82" s="111" t="str">
        <f aca="false">IF($B82="","",N(الموظفون!$AA82)/12*G82/cfg_DAYS_M)</f>
        <v/>
      </c>
      <c r="AG82" s="154" t="str">
        <f aca="false">IF($B82="","",T82+SUM(Z82:AF82))</f>
        <v/>
      </c>
      <c r="AH82" s="155" t="str">
        <f aca="false">IF($B82="","",MAX(0,IF(OR(الموظفون!$AE82="",الموظفون!$AE82&gt;$F$3),$F$3,الموظفون!$AE82)-الموظفون!$H82+1-SUMIFS('سجل الإجازات والحالات'!$AR$6:$AR$505,'سجل الإجازات والحالات'!$B$6:$B$505,$B82))/cfg_DAYS_Y)</f>
        <v/>
      </c>
      <c r="AI82" s="155" t="str">
        <f aca="false">IF($B82="","",MAX(0,IF(OR(الموظفون!$AE82="",الموظفون!$AE82&gt;($E$3-1)),($E$3-1),الموظفون!$AE82)-الموظفون!$H82+1-SUMIFS('سجل الإجازات والحالات'!$AQ$6:$AQ$505,'سجل الإجازات والحالات'!$B$6:$B$505,$B82))/cfg_DAYS_Y)</f>
        <v/>
      </c>
      <c r="AJ82" s="65" t="str">
        <f aca="false">IF($B82="","",MAX(0,AK82-(SUMIFS('سجل الإجازات والحالات'!$AR$6:$AR$505,'سجل الإجازات والحالات'!$B$6:$B$505,$B82)-SUMIFS('سجل الإجازات والحالات'!$AQ$6:$AQ$505,'سجل الإجازات والحالات'!$B$6:$B$505,$B82))))</f>
        <v/>
      </c>
      <c r="AK82" s="65" t="str">
        <f aca="false">IF($B82="","",MAX(0,IF(OR(الموظفون!$AE82="",الموظفون!$AE82&gt;$F$3),$F$3,الموظفون!$AE82)-MAX($E$3,الموظفون!$H82)+1))</f>
        <v/>
      </c>
      <c r="AL82" s="151" t="str">
        <f aca="false">IF($B82="","",SUMIFS('سجل الإجازات والحالات'!$BD$6:$BD$505,'سجل الإجازات والحالات'!$B$6:$B$505,$B82)+SUMIFS('الحركات الشهرية'!$K$6:$K$1005,'الحركات الشهرية'!$B$6:$B$1005,$B82,'الحركات الشهرية'!$A$6:$A$1005,$C$3))</f>
        <v/>
      </c>
      <c r="AM82" s="111" t="str">
        <f aca="false">IF($B82="","",AL82*الموظفون!$R82/cfg_DAYS_M+S82)</f>
        <v/>
      </c>
      <c r="AN82" s="151" t="str">
        <f aca="false">IF($B82="","",SUMIFS('سجل الإجازات والحالات'!$AF$6:$AF$505,'سجل الإجازات والحالات'!$B$6:$B$505,$B82))</f>
        <v/>
      </c>
    </row>
    <row r="83" customFormat="false" ht="15" hidden="false" customHeight="false" outlineLevel="0" collapsed="false">
      <c r="A83" s="115" t="str">
        <f aca="false">IF($B83="","",الموظفون!$A83)</f>
        <v/>
      </c>
      <c r="B83" s="117" t="str">
        <f aca="false">IF(الموظفون!$B83="","",الموظفون!$B83)</f>
        <v/>
      </c>
      <c r="C83" s="117" t="str">
        <f aca="false">IF($B83="","",الموظفون!$C83)</f>
        <v/>
      </c>
      <c r="D83" s="117" t="str">
        <f aca="false">IF($B83="","",الموظفون!$F83)</f>
        <v/>
      </c>
      <c r="E83" s="117" t="str">
        <f aca="false">IF($B83="","",الموظفون!$E83)</f>
        <v/>
      </c>
      <c r="F83" s="117" t="str">
        <f aca="false">IF($B83="","",IF(AK83=0,IF(AND(الموظفون!$AE83&lt;&gt;"",الموظفون!$AE83&lt;$E$3),"✖ منتهي الخدمة","⏳ لم يباشر"),IF(S83&gt;0,"✈ راتب إجازة مقدم",IF(J83=0,"⛔ بدون راتب هذا الشهر",IF(I83&gt;0,"✈ خصم "&amp;ROUND(I83,2)&amp;" يوم بدون أجر",IF(AL83&gt;0,"🌴 إجازة سنوية "&amp;ROUND(AL83,2)&amp;" يوم",IF(H83&gt;0,"⚠ غياب "&amp;ROUND(H83,2)&amp;" يوم","✔ على رأس العمل")))))))</f>
        <v/>
      </c>
      <c r="G83" s="156" t="str">
        <f aca="false">IF($B83="","",IF(AK83&gt;=DAY($F$3),cfg_DAYS_M,MIN(AK83,cfg_DAYS_M)))</f>
        <v/>
      </c>
      <c r="H83" s="156" t="str">
        <f aca="false">IF($B83="","",SUMIFS('الحركات الشهرية'!$D$6:$D$1005,'الحركات الشهرية'!$B$6:$B$1005,$B83,'الحركات الشهرية'!$A$6:$A$1005,$C$3))</f>
        <v/>
      </c>
      <c r="I83" s="156" t="str">
        <f aca="false">IF($B83="","",MIN(G83,IF(AND(AK83&gt;0,AN83&gt;=AK83),G83,AN83)+SUMIFS('الحركات الشهرية'!$E$6:$E$1005,'الحركات الشهرية'!$B$6:$B$1005,$B83,'الحركات الشهرية'!$A$6:$A$1005,$C$3)))</f>
        <v/>
      </c>
      <c r="J83" s="156" t="str">
        <f aca="false">IF($B83="","",MAX(0,G83-H83-I83))</f>
        <v/>
      </c>
      <c r="K83" s="116" t="str">
        <f aca="false">IF($B83="","",الموظفون!$L83*$J83/cfg_DAYS_M)</f>
        <v/>
      </c>
      <c r="L83" s="116" t="str">
        <f aca="false">IF($B83="","",الموظفون!$M83*$J83/cfg_DAYS_M)</f>
        <v/>
      </c>
      <c r="M83" s="116" t="str">
        <f aca="false">IF($B83="","",الموظفون!$N83*$J83/cfg_DAYS_M)</f>
        <v/>
      </c>
      <c r="N83" s="116" t="str">
        <f aca="false">IF($B83="","",الموظفون!$O83*$J83/cfg_DAYS_M)</f>
        <v/>
      </c>
      <c r="O83" s="156" t="str">
        <f aca="false">IF($B83="","",SUMIFS('الحركات الشهرية'!$F$6:$F$1005,'الحركات الشهرية'!$B$6:$B$1005,$B83,'الحركات الشهرية'!$A$6:$A$1005,$C$3))</f>
        <v/>
      </c>
      <c r="P83" s="116" t="str">
        <f aca="false">IF($B83="","",O83*(الموظفون!$P83+الموظفون!$L83*cfg_OT_P)/cfg_DAYS_M/cfg_HRS)</f>
        <v/>
      </c>
      <c r="Q83" s="116" t="str">
        <f aca="false">IF($B83="","",SUMIFS('الحركات الشهرية'!$G$6:$G$1005,'الحركات الشهرية'!$B$6:$B$1005,$B83,'الحركات الشهرية'!$A$6:$A$1005,$C$3))</f>
        <v/>
      </c>
      <c r="R83" s="116" t="str">
        <f aca="false">IF($B83="","",SUMIFS('الحركات الشهرية'!$H$6:$H$1005,'الحركات الشهرية'!$B$6:$B$1005,$B83,'الحركات الشهرية'!$A$6:$A$1005,$C$3))</f>
        <v/>
      </c>
      <c r="S83" s="116" t="str">
        <f aca="false">IF($B83="","",SUMIFS('سجل الإجازات والحالات'!$N$6:$N$505,'سجل الإجازات والحالات'!$B$6:$B$505,$B83,'سجل الإجازات والحالات'!$O$6:$O$505,$C$3))</f>
        <v/>
      </c>
      <c r="T83" s="157" t="str">
        <f aca="false">IF($B83="","",SUM(K83:N83)+SUM(P83:S83))</f>
        <v/>
      </c>
      <c r="U83" s="116" t="str">
        <f aca="false">IF($B83="","",الموظفون!$S83*IF(E83="سعودي",cfg_G_SE,cfg_G_NE)*G83/cfg_DAYS_M)</f>
        <v/>
      </c>
      <c r="V83" s="116" t="str">
        <f aca="false">IF($B83="","",SUMIFS('الحركات الشهرية'!$I$6:$I$1005,'الحركات الشهرية'!$B$6:$B$1005,$B83,'الحركات الشهرية'!$A$6:$A$1005,$C$3))</f>
        <v/>
      </c>
      <c r="W83" s="116" t="str">
        <f aca="false">IF($B83="","",SUMIFS('الحركات الشهرية'!$J$6:$J$1005,'الحركات الشهرية'!$B$6:$B$1005,$B83,'الحركات الشهرية'!$A$6:$A$1005,$C$3))</f>
        <v/>
      </c>
      <c r="X83" s="116" t="str">
        <f aca="false">IF($B83="","",SUM(U83:W83))</f>
        <v/>
      </c>
      <c r="Y83" s="158" t="str">
        <f aca="false">IF($B83="","",T83-X83)</f>
        <v/>
      </c>
      <c r="Z83" s="116" t="str">
        <f aca="false">IF($B83="","",الموظفون!$S83*IF(E83="سعودي",cfg_G_SR,cfg_G_NR)*G83/cfg_DAYS_M)</f>
        <v/>
      </c>
      <c r="AA83" s="116" t="str">
        <f aca="false">IF($B83="","",الموظفون!$Q83*(cfg_EOS_R1*(MIN(AH83,cfg_EOS_TH)-MIN(AI83,cfg_EOS_TH))+cfg_EOS_R2*(MAX(AH83-cfg_EOS_TH,0)-MAX(AI83-cfg_EOS_TH,0))))</f>
        <v/>
      </c>
      <c r="AB83" s="116" t="str">
        <f aca="false">IF($B83="","",IF(الموظفون!$T83&lt;&gt;"",الموظفون!$T83,IF(AH83&gt;=cfg_LV_TH,cfg_LV_D2,cfg_LV_D1))/cfg_DAYS_Y*AJ83*الموظفون!$R83/cfg_DAYS_M)</f>
        <v/>
      </c>
      <c r="AC83" s="116" t="str">
        <f aca="false">IF($B83="","",IF(AND(الموظفون!$U83="نعم",N(الموظفون!$W83)&gt;0),الموظفون!$V83/الموظفون!$W83*12/cfg_DAYS_Y*AJ83,0))</f>
        <v/>
      </c>
      <c r="AD83" s="116" t="str">
        <f aca="false">IF($B83="","",(IF(الموظفون!$X83&lt;&gt;"",الموظفون!$X83,IF(الموظفون!$E83="غير سعودي",cfg_IQ,0))+IF(الموظفون!$Y83&lt;&gt;"",الموظفون!$Y83,IF(الموظفون!$E83="غير سعودي",cfg_WP,0)))/12*G83/cfg_DAYS_M)</f>
        <v/>
      </c>
      <c r="AE83" s="116" t="str">
        <f aca="false">IF($B83="","",IF(الموظفون!$Z83&lt;&gt;"",الموظفون!$Z83,cfg_MED)/12*G83/cfg_DAYS_M)</f>
        <v/>
      </c>
      <c r="AF83" s="116" t="str">
        <f aca="false">IF($B83="","",N(الموظفون!$AA83)/12*G83/cfg_DAYS_M)</f>
        <v/>
      </c>
      <c r="AG83" s="159" t="str">
        <f aca="false">IF($B83="","",T83+SUM(Z83:AF83))</f>
        <v/>
      </c>
      <c r="AH83" s="160" t="str">
        <f aca="false">IF($B83="","",MAX(0,IF(OR(الموظفون!$AE83="",الموظفون!$AE83&gt;$F$3),$F$3,الموظفون!$AE83)-الموظفون!$H83+1-SUMIFS('سجل الإجازات والحالات'!$AR$6:$AR$505,'سجل الإجازات والحالات'!$B$6:$B$505,$B83))/cfg_DAYS_Y)</f>
        <v/>
      </c>
      <c r="AI83" s="160" t="str">
        <f aca="false">IF($B83="","",MAX(0,IF(OR(الموظفون!$AE83="",الموظفون!$AE83&gt;($E$3-1)),($E$3-1),الموظفون!$AE83)-الموظفون!$H83+1-SUMIFS('سجل الإجازات والحالات'!$AQ$6:$AQ$505,'سجل الإجازات والحالات'!$B$6:$B$505,$B83))/cfg_DAYS_Y)</f>
        <v/>
      </c>
      <c r="AJ83" s="133" t="str">
        <f aca="false">IF($B83="","",MAX(0,AK83-(SUMIFS('سجل الإجازات والحالات'!$AR$6:$AR$505,'سجل الإجازات والحالات'!$B$6:$B$505,$B83)-SUMIFS('سجل الإجازات والحالات'!$AQ$6:$AQ$505,'سجل الإجازات والحالات'!$B$6:$B$505,$B83))))</f>
        <v/>
      </c>
      <c r="AK83" s="133" t="str">
        <f aca="false">IF($B83="","",MAX(0,IF(OR(الموظفون!$AE83="",الموظفون!$AE83&gt;$F$3),$F$3,الموظفون!$AE83)-MAX($E$3,الموظفون!$H83)+1))</f>
        <v/>
      </c>
      <c r="AL83" s="156" t="str">
        <f aca="false">IF($B83="","",SUMIFS('سجل الإجازات والحالات'!$BD$6:$BD$505,'سجل الإجازات والحالات'!$B$6:$B$505,$B83)+SUMIFS('الحركات الشهرية'!$K$6:$K$1005,'الحركات الشهرية'!$B$6:$B$1005,$B83,'الحركات الشهرية'!$A$6:$A$1005,$C$3))</f>
        <v/>
      </c>
      <c r="AM83" s="116" t="str">
        <f aca="false">IF($B83="","",AL83*الموظفون!$R83/cfg_DAYS_M+S83)</f>
        <v/>
      </c>
      <c r="AN83" s="156" t="str">
        <f aca="false">IF($B83="","",SUMIFS('سجل الإجازات والحالات'!$AF$6:$AF$505,'سجل الإجازات والحالات'!$B$6:$B$505,$B83))</f>
        <v/>
      </c>
    </row>
    <row r="84" customFormat="false" ht="15" hidden="false" customHeight="false" outlineLevel="0" collapsed="false">
      <c r="A84" s="106" t="str">
        <f aca="false">IF($B84="","",الموظفون!$A84)</f>
        <v/>
      </c>
      <c r="B84" s="114" t="str">
        <f aca="false">IF(الموظفون!$B84="","",الموظفون!$B84)</f>
        <v/>
      </c>
      <c r="C84" s="114" t="str">
        <f aca="false">IF($B84="","",الموظفون!$C84)</f>
        <v/>
      </c>
      <c r="D84" s="114" t="str">
        <f aca="false">IF($B84="","",الموظفون!$F84)</f>
        <v/>
      </c>
      <c r="E84" s="114" t="str">
        <f aca="false">IF($B84="","",الموظفون!$E84)</f>
        <v/>
      </c>
      <c r="F84" s="114" t="str">
        <f aca="false">IF($B84="","",IF(AK84=0,IF(AND(الموظفون!$AE84&lt;&gt;"",الموظفون!$AE84&lt;$E$3),"✖ منتهي الخدمة","⏳ لم يباشر"),IF(S84&gt;0,"✈ راتب إجازة مقدم",IF(J84=0,"⛔ بدون راتب هذا الشهر",IF(I84&gt;0,"✈ خصم "&amp;ROUND(I84,2)&amp;" يوم بدون أجر",IF(AL84&gt;0,"🌴 إجازة سنوية "&amp;ROUND(AL84,2)&amp;" يوم",IF(H84&gt;0,"⚠ غياب "&amp;ROUND(H84,2)&amp;" يوم","✔ على رأس العمل")))))))</f>
        <v/>
      </c>
      <c r="G84" s="151" t="str">
        <f aca="false">IF($B84="","",IF(AK84&gt;=DAY($F$3),cfg_DAYS_M,MIN(AK84,cfg_DAYS_M)))</f>
        <v/>
      </c>
      <c r="H84" s="151" t="str">
        <f aca="false">IF($B84="","",SUMIFS('الحركات الشهرية'!$D$6:$D$1005,'الحركات الشهرية'!$B$6:$B$1005,$B84,'الحركات الشهرية'!$A$6:$A$1005,$C$3))</f>
        <v/>
      </c>
      <c r="I84" s="151" t="str">
        <f aca="false">IF($B84="","",MIN(G84,IF(AND(AK84&gt;0,AN84&gt;=AK84),G84,AN84)+SUMIFS('الحركات الشهرية'!$E$6:$E$1005,'الحركات الشهرية'!$B$6:$B$1005,$B84,'الحركات الشهرية'!$A$6:$A$1005,$C$3)))</f>
        <v/>
      </c>
      <c r="J84" s="151" t="str">
        <f aca="false">IF($B84="","",MAX(0,G84-H84-I84))</f>
        <v/>
      </c>
      <c r="K84" s="111" t="str">
        <f aca="false">IF($B84="","",الموظفون!$L84*$J84/cfg_DAYS_M)</f>
        <v/>
      </c>
      <c r="L84" s="111" t="str">
        <f aca="false">IF($B84="","",الموظفون!$M84*$J84/cfg_DAYS_M)</f>
        <v/>
      </c>
      <c r="M84" s="111" t="str">
        <f aca="false">IF($B84="","",الموظفون!$N84*$J84/cfg_DAYS_M)</f>
        <v/>
      </c>
      <c r="N84" s="111" t="str">
        <f aca="false">IF($B84="","",الموظفون!$O84*$J84/cfg_DAYS_M)</f>
        <v/>
      </c>
      <c r="O84" s="151" t="str">
        <f aca="false">IF($B84="","",SUMIFS('الحركات الشهرية'!$F$6:$F$1005,'الحركات الشهرية'!$B$6:$B$1005,$B84,'الحركات الشهرية'!$A$6:$A$1005,$C$3))</f>
        <v/>
      </c>
      <c r="P84" s="111" t="str">
        <f aca="false">IF($B84="","",O84*(الموظفون!$P84+الموظفون!$L84*cfg_OT_P)/cfg_DAYS_M/cfg_HRS)</f>
        <v/>
      </c>
      <c r="Q84" s="111" t="str">
        <f aca="false">IF($B84="","",SUMIFS('الحركات الشهرية'!$G$6:$G$1005,'الحركات الشهرية'!$B$6:$B$1005,$B84,'الحركات الشهرية'!$A$6:$A$1005,$C$3))</f>
        <v/>
      </c>
      <c r="R84" s="111" t="str">
        <f aca="false">IF($B84="","",SUMIFS('الحركات الشهرية'!$H$6:$H$1005,'الحركات الشهرية'!$B$6:$B$1005,$B84,'الحركات الشهرية'!$A$6:$A$1005,$C$3))</f>
        <v/>
      </c>
      <c r="S84" s="111" t="str">
        <f aca="false">IF($B84="","",SUMIFS('سجل الإجازات والحالات'!$N$6:$N$505,'سجل الإجازات والحالات'!$B$6:$B$505,$B84,'سجل الإجازات والحالات'!$O$6:$O$505,$C$3))</f>
        <v/>
      </c>
      <c r="T84" s="152" t="str">
        <f aca="false">IF($B84="","",SUM(K84:N84)+SUM(P84:S84))</f>
        <v/>
      </c>
      <c r="U84" s="111" t="str">
        <f aca="false">IF($B84="","",الموظفون!$S84*IF(E84="سعودي",cfg_G_SE,cfg_G_NE)*G84/cfg_DAYS_M)</f>
        <v/>
      </c>
      <c r="V84" s="111" t="str">
        <f aca="false">IF($B84="","",SUMIFS('الحركات الشهرية'!$I$6:$I$1005,'الحركات الشهرية'!$B$6:$B$1005,$B84,'الحركات الشهرية'!$A$6:$A$1005,$C$3))</f>
        <v/>
      </c>
      <c r="W84" s="111" t="str">
        <f aca="false">IF($B84="","",SUMIFS('الحركات الشهرية'!$J$6:$J$1005,'الحركات الشهرية'!$B$6:$B$1005,$B84,'الحركات الشهرية'!$A$6:$A$1005,$C$3))</f>
        <v/>
      </c>
      <c r="X84" s="111" t="str">
        <f aca="false">IF($B84="","",SUM(U84:W84))</f>
        <v/>
      </c>
      <c r="Y84" s="153" t="str">
        <f aca="false">IF($B84="","",T84-X84)</f>
        <v/>
      </c>
      <c r="Z84" s="111" t="str">
        <f aca="false">IF($B84="","",الموظفون!$S84*IF(E84="سعودي",cfg_G_SR,cfg_G_NR)*G84/cfg_DAYS_M)</f>
        <v/>
      </c>
      <c r="AA84" s="111" t="str">
        <f aca="false">IF($B84="","",الموظفون!$Q84*(cfg_EOS_R1*(MIN(AH84,cfg_EOS_TH)-MIN(AI84,cfg_EOS_TH))+cfg_EOS_R2*(MAX(AH84-cfg_EOS_TH,0)-MAX(AI84-cfg_EOS_TH,0))))</f>
        <v/>
      </c>
      <c r="AB84" s="111" t="str">
        <f aca="false">IF($B84="","",IF(الموظفون!$T84&lt;&gt;"",الموظفون!$T84,IF(AH84&gt;=cfg_LV_TH,cfg_LV_D2,cfg_LV_D1))/cfg_DAYS_Y*AJ84*الموظفون!$R84/cfg_DAYS_M)</f>
        <v/>
      </c>
      <c r="AC84" s="111" t="str">
        <f aca="false">IF($B84="","",IF(AND(الموظفون!$U84="نعم",N(الموظفون!$W84)&gt;0),الموظفون!$V84/الموظفون!$W84*12/cfg_DAYS_Y*AJ84,0))</f>
        <v/>
      </c>
      <c r="AD84" s="111" t="str">
        <f aca="false">IF($B84="","",(IF(الموظفون!$X84&lt;&gt;"",الموظفون!$X84,IF(الموظفون!$E84="غير سعودي",cfg_IQ,0))+IF(الموظفون!$Y84&lt;&gt;"",الموظفون!$Y84,IF(الموظفون!$E84="غير سعودي",cfg_WP,0)))/12*G84/cfg_DAYS_M)</f>
        <v/>
      </c>
      <c r="AE84" s="111" t="str">
        <f aca="false">IF($B84="","",IF(الموظفون!$Z84&lt;&gt;"",الموظفون!$Z84,cfg_MED)/12*G84/cfg_DAYS_M)</f>
        <v/>
      </c>
      <c r="AF84" s="111" t="str">
        <f aca="false">IF($B84="","",N(الموظفون!$AA84)/12*G84/cfg_DAYS_M)</f>
        <v/>
      </c>
      <c r="AG84" s="154" t="str">
        <f aca="false">IF($B84="","",T84+SUM(Z84:AF84))</f>
        <v/>
      </c>
      <c r="AH84" s="155" t="str">
        <f aca="false">IF($B84="","",MAX(0,IF(OR(الموظفون!$AE84="",الموظفون!$AE84&gt;$F$3),$F$3,الموظفون!$AE84)-الموظفون!$H84+1-SUMIFS('سجل الإجازات والحالات'!$AR$6:$AR$505,'سجل الإجازات والحالات'!$B$6:$B$505,$B84))/cfg_DAYS_Y)</f>
        <v/>
      </c>
      <c r="AI84" s="155" t="str">
        <f aca="false">IF($B84="","",MAX(0,IF(OR(الموظفون!$AE84="",الموظفون!$AE84&gt;($E$3-1)),($E$3-1),الموظفون!$AE84)-الموظفون!$H84+1-SUMIFS('سجل الإجازات والحالات'!$AQ$6:$AQ$505,'سجل الإجازات والحالات'!$B$6:$B$505,$B84))/cfg_DAYS_Y)</f>
        <v/>
      </c>
      <c r="AJ84" s="65" t="str">
        <f aca="false">IF($B84="","",MAX(0,AK84-(SUMIFS('سجل الإجازات والحالات'!$AR$6:$AR$505,'سجل الإجازات والحالات'!$B$6:$B$505,$B84)-SUMIFS('سجل الإجازات والحالات'!$AQ$6:$AQ$505,'سجل الإجازات والحالات'!$B$6:$B$505,$B84))))</f>
        <v/>
      </c>
      <c r="AK84" s="65" t="str">
        <f aca="false">IF($B84="","",MAX(0,IF(OR(الموظفون!$AE84="",الموظفون!$AE84&gt;$F$3),$F$3,الموظفون!$AE84)-MAX($E$3,الموظفون!$H84)+1))</f>
        <v/>
      </c>
      <c r="AL84" s="151" t="str">
        <f aca="false">IF($B84="","",SUMIFS('سجل الإجازات والحالات'!$BD$6:$BD$505,'سجل الإجازات والحالات'!$B$6:$B$505,$B84)+SUMIFS('الحركات الشهرية'!$K$6:$K$1005,'الحركات الشهرية'!$B$6:$B$1005,$B84,'الحركات الشهرية'!$A$6:$A$1005,$C$3))</f>
        <v/>
      </c>
      <c r="AM84" s="111" t="str">
        <f aca="false">IF($B84="","",AL84*الموظفون!$R84/cfg_DAYS_M+S84)</f>
        <v/>
      </c>
      <c r="AN84" s="151" t="str">
        <f aca="false">IF($B84="","",SUMIFS('سجل الإجازات والحالات'!$AF$6:$AF$505,'سجل الإجازات والحالات'!$B$6:$B$505,$B84))</f>
        <v/>
      </c>
    </row>
    <row r="85" customFormat="false" ht="15" hidden="false" customHeight="false" outlineLevel="0" collapsed="false">
      <c r="A85" s="115" t="str">
        <f aca="false">IF($B85="","",الموظفون!$A85)</f>
        <v/>
      </c>
      <c r="B85" s="117" t="str">
        <f aca="false">IF(الموظفون!$B85="","",الموظفون!$B85)</f>
        <v/>
      </c>
      <c r="C85" s="117" t="str">
        <f aca="false">IF($B85="","",الموظفون!$C85)</f>
        <v/>
      </c>
      <c r="D85" s="117" t="str">
        <f aca="false">IF($B85="","",الموظفون!$F85)</f>
        <v/>
      </c>
      <c r="E85" s="117" t="str">
        <f aca="false">IF($B85="","",الموظفون!$E85)</f>
        <v/>
      </c>
      <c r="F85" s="117" t="str">
        <f aca="false">IF($B85="","",IF(AK85=0,IF(AND(الموظفون!$AE85&lt;&gt;"",الموظفون!$AE85&lt;$E$3),"✖ منتهي الخدمة","⏳ لم يباشر"),IF(S85&gt;0,"✈ راتب إجازة مقدم",IF(J85=0,"⛔ بدون راتب هذا الشهر",IF(I85&gt;0,"✈ خصم "&amp;ROUND(I85,2)&amp;" يوم بدون أجر",IF(AL85&gt;0,"🌴 إجازة سنوية "&amp;ROUND(AL85,2)&amp;" يوم",IF(H85&gt;0,"⚠ غياب "&amp;ROUND(H85,2)&amp;" يوم","✔ على رأس العمل")))))))</f>
        <v/>
      </c>
      <c r="G85" s="156" t="str">
        <f aca="false">IF($B85="","",IF(AK85&gt;=DAY($F$3),cfg_DAYS_M,MIN(AK85,cfg_DAYS_M)))</f>
        <v/>
      </c>
      <c r="H85" s="156" t="str">
        <f aca="false">IF($B85="","",SUMIFS('الحركات الشهرية'!$D$6:$D$1005,'الحركات الشهرية'!$B$6:$B$1005,$B85,'الحركات الشهرية'!$A$6:$A$1005,$C$3))</f>
        <v/>
      </c>
      <c r="I85" s="156" t="str">
        <f aca="false">IF($B85="","",MIN(G85,IF(AND(AK85&gt;0,AN85&gt;=AK85),G85,AN85)+SUMIFS('الحركات الشهرية'!$E$6:$E$1005,'الحركات الشهرية'!$B$6:$B$1005,$B85,'الحركات الشهرية'!$A$6:$A$1005,$C$3)))</f>
        <v/>
      </c>
      <c r="J85" s="156" t="str">
        <f aca="false">IF($B85="","",MAX(0,G85-H85-I85))</f>
        <v/>
      </c>
      <c r="K85" s="116" t="str">
        <f aca="false">IF($B85="","",الموظفون!$L85*$J85/cfg_DAYS_M)</f>
        <v/>
      </c>
      <c r="L85" s="116" t="str">
        <f aca="false">IF($B85="","",الموظفون!$M85*$J85/cfg_DAYS_M)</f>
        <v/>
      </c>
      <c r="M85" s="116" t="str">
        <f aca="false">IF($B85="","",الموظفون!$N85*$J85/cfg_DAYS_M)</f>
        <v/>
      </c>
      <c r="N85" s="116" t="str">
        <f aca="false">IF($B85="","",الموظفون!$O85*$J85/cfg_DAYS_M)</f>
        <v/>
      </c>
      <c r="O85" s="156" t="str">
        <f aca="false">IF($B85="","",SUMIFS('الحركات الشهرية'!$F$6:$F$1005,'الحركات الشهرية'!$B$6:$B$1005,$B85,'الحركات الشهرية'!$A$6:$A$1005,$C$3))</f>
        <v/>
      </c>
      <c r="P85" s="116" t="str">
        <f aca="false">IF($B85="","",O85*(الموظفون!$P85+الموظفون!$L85*cfg_OT_P)/cfg_DAYS_M/cfg_HRS)</f>
        <v/>
      </c>
      <c r="Q85" s="116" t="str">
        <f aca="false">IF($B85="","",SUMIFS('الحركات الشهرية'!$G$6:$G$1005,'الحركات الشهرية'!$B$6:$B$1005,$B85,'الحركات الشهرية'!$A$6:$A$1005,$C$3))</f>
        <v/>
      </c>
      <c r="R85" s="116" t="str">
        <f aca="false">IF($B85="","",SUMIFS('الحركات الشهرية'!$H$6:$H$1005,'الحركات الشهرية'!$B$6:$B$1005,$B85,'الحركات الشهرية'!$A$6:$A$1005,$C$3))</f>
        <v/>
      </c>
      <c r="S85" s="116" t="str">
        <f aca="false">IF($B85="","",SUMIFS('سجل الإجازات والحالات'!$N$6:$N$505,'سجل الإجازات والحالات'!$B$6:$B$505,$B85,'سجل الإجازات والحالات'!$O$6:$O$505,$C$3))</f>
        <v/>
      </c>
      <c r="T85" s="157" t="str">
        <f aca="false">IF($B85="","",SUM(K85:N85)+SUM(P85:S85))</f>
        <v/>
      </c>
      <c r="U85" s="116" t="str">
        <f aca="false">IF($B85="","",الموظفون!$S85*IF(E85="سعودي",cfg_G_SE,cfg_G_NE)*G85/cfg_DAYS_M)</f>
        <v/>
      </c>
      <c r="V85" s="116" t="str">
        <f aca="false">IF($B85="","",SUMIFS('الحركات الشهرية'!$I$6:$I$1005,'الحركات الشهرية'!$B$6:$B$1005,$B85,'الحركات الشهرية'!$A$6:$A$1005,$C$3))</f>
        <v/>
      </c>
      <c r="W85" s="116" t="str">
        <f aca="false">IF($B85="","",SUMIFS('الحركات الشهرية'!$J$6:$J$1005,'الحركات الشهرية'!$B$6:$B$1005,$B85,'الحركات الشهرية'!$A$6:$A$1005,$C$3))</f>
        <v/>
      </c>
      <c r="X85" s="116" t="str">
        <f aca="false">IF($B85="","",SUM(U85:W85))</f>
        <v/>
      </c>
      <c r="Y85" s="158" t="str">
        <f aca="false">IF($B85="","",T85-X85)</f>
        <v/>
      </c>
      <c r="Z85" s="116" t="str">
        <f aca="false">IF($B85="","",الموظفون!$S85*IF(E85="سعودي",cfg_G_SR,cfg_G_NR)*G85/cfg_DAYS_M)</f>
        <v/>
      </c>
      <c r="AA85" s="116" t="str">
        <f aca="false">IF($B85="","",الموظفون!$Q85*(cfg_EOS_R1*(MIN(AH85,cfg_EOS_TH)-MIN(AI85,cfg_EOS_TH))+cfg_EOS_R2*(MAX(AH85-cfg_EOS_TH,0)-MAX(AI85-cfg_EOS_TH,0))))</f>
        <v/>
      </c>
      <c r="AB85" s="116" t="str">
        <f aca="false">IF($B85="","",IF(الموظفون!$T85&lt;&gt;"",الموظفون!$T85,IF(AH85&gt;=cfg_LV_TH,cfg_LV_D2,cfg_LV_D1))/cfg_DAYS_Y*AJ85*الموظفون!$R85/cfg_DAYS_M)</f>
        <v/>
      </c>
      <c r="AC85" s="116" t="str">
        <f aca="false">IF($B85="","",IF(AND(الموظفون!$U85="نعم",N(الموظفون!$W85)&gt;0),الموظفون!$V85/الموظفون!$W85*12/cfg_DAYS_Y*AJ85,0))</f>
        <v/>
      </c>
      <c r="AD85" s="116" t="str">
        <f aca="false">IF($B85="","",(IF(الموظفون!$X85&lt;&gt;"",الموظفون!$X85,IF(الموظفون!$E85="غير سعودي",cfg_IQ,0))+IF(الموظفون!$Y85&lt;&gt;"",الموظفون!$Y85,IF(الموظفون!$E85="غير سعودي",cfg_WP,0)))/12*G85/cfg_DAYS_M)</f>
        <v/>
      </c>
      <c r="AE85" s="116" t="str">
        <f aca="false">IF($B85="","",IF(الموظفون!$Z85&lt;&gt;"",الموظفون!$Z85,cfg_MED)/12*G85/cfg_DAYS_M)</f>
        <v/>
      </c>
      <c r="AF85" s="116" t="str">
        <f aca="false">IF($B85="","",N(الموظفون!$AA85)/12*G85/cfg_DAYS_M)</f>
        <v/>
      </c>
      <c r="AG85" s="159" t="str">
        <f aca="false">IF($B85="","",T85+SUM(Z85:AF85))</f>
        <v/>
      </c>
      <c r="AH85" s="160" t="str">
        <f aca="false">IF($B85="","",MAX(0,IF(OR(الموظفون!$AE85="",الموظفون!$AE85&gt;$F$3),$F$3,الموظفون!$AE85)-الموظفون!$H85+1-SUMIFS('سجل الإجازات والحالات'!$AR$6:$AR$505,'سجل الإجازات والحالات'!$B$6:$B$505,$B85))/cfg_DAYS_Y)</f>
        <v/>
      </c>
      <c r="AI85" s="160" t="str">
        <f aca="false">IF($B85="","",MAX(0,IF(OR(الموظفون!$AE85="",الموظفون!$AE85&gt;($E$3-1)),($E$3-1),الموظفون!$AE85)-الموظفون!$H85+1-SUMIFS('سجل الإجازات والحالات'!$AQ$6:$AQ$505,'سجل الإجازات والحالات'!$B$6:$B$505,$B85))/cfg_DAYS_Y)</f>
        <v/>
      </c>
      <c r="AJ85" s="133" t="str">
        <f aca="false">IF($B85="","",MAX(0,AK85-(SUMIFS('سجل الإجازات والحالات'!$AR$6:$AR$505,'سجل الإجازات والحالات'!$B$6:$B$505,$B85)-SUMIFS('سجل الإجازات والحالات'!$AQ$6:$AQ$505,'سجل الإجازات والحالات'!$B$6:$B$505,$B85))))</f>
        <v/>
      </c>
      <c r="AK85" s="133" t="str">
        <f aca="false">IF($B85="","",MAX(0,IF(OR(الموظفون!$AE85="",الموظفون!$AE85&gt;$F$3),$F$3,الموظفون!$AE85)-MAX($E$3,الموظفون!$H85)+1))</f>
        <v/>
      </c>
      <c r="AL85" s="156" t="str">
        <f aca="false">IF($B85="","",SUMIFS('سجل الإجازات والحالات'!$BD$6:$BD$505,'سجل الإجازات والحالات'!$B$6:$B$505,$B85)+SUMIFS('الحركات الشهرية'!$K$6:$K$1005,'الحركات الشهرية'!$B$6:$B$1005,$B85,'الحركات الشهرية'!$A$6:$A$1005,$C$3))</f>
        <v/>
      </c>
      <c r="AM85" s="116" t="str">
        <f aca="false">IF($B85="","",AL85*الموظفون!$R85/cfg_DAYS_M+S85)</f>
        <v/>
      </c>
      <c r="AN85" s="156" t="str">
        <f aca="false">IF($B85="","",SUMIFS('سجل الإجازات والحالات'!$AF$6:$AF$505,'سجل الإجازات والحالات'!$B$6:$B$505,$B85))</f>
        <v/>
      </c>
    </row>
    <row r="86" customFormat="false" ht="15" hidden="false" customHeight="false" outlineLevel="0" collapsed="false">
      <c r="A86" s="106" t="str">
        <f aca="false">IF($B86="","",الموظفون!$A86)</f>
        <v/>
      </c>
      <c r="B86" s="114" t="str">
        <f aca="false">IF(الموظفون!$B86="","",الموظفون!$B86)</f>
        <v/>
      </c>
      <c r="C86" s="114" t="str">
        <f aca="false">IF($B86="","",الموظفون!$C86)</f>
        <v/>
      </c>
      <c r="D86" s="114" t="str">
        <f aca="false">IF($B86="","",الموظفون!$F86)</f>
        <v/>
      </c>
      <c r="E86" s="114" t="str">
        <f aca="false">IF($B86="","",الموظفون!$E86)</f>
        <v/>
      </c>
      <c r="F86" s="114" t="str">
        <f aca="false">IF($B86="","",IF(AK86=0,IF(AND(الموظفون!$AE86&lt;&gt;"",الموظفون!$AE86&lt;$E$3),"✖ منتهي الخدمة","⏳ لم يباشر"),IF(S86&gt;0,"✈ راتب إجازة مقدم",IF(J86=0,"⛔ بدون راتب هذا الشهر",IF(I86&gt;0,"✈ خصم "&amp;ROUND(I86,2)&amp;" يوم بدون أجر",IF(AL86&gt;0,"🌴 إجازة سنوية "&amp;ROUND(AL86,2)&amp;" يوم",IF(H86&gt;0,"⚠ غياب "&amp;ROUND(H86,2)&amp;" يوم","✔ على رأس العمل")))))))</f>
        <v/>
      </c>
      <c r="G86" s="151" t="str">
        <f aca="false">IF($B86="","",IF(AK86&gt;=DAY($F$3),cfg_DAYS_M,MIN(AK86,cfg_DAYS_M)))</f>
        <v/>
      </c>
      <c r="H86" s="151" t="str">
        <f aca="false">IF($B86="","",SUMIFS('الحركات الشهرية'!$D$6:$D$1005,'الحركات الشهرية'!$B$6:$B$1005,$B86,'الحركات الشهرية'!$A$6:$A$1005,$C$3))</f>
        <v/>
      </c>
      <c r="I86" s="151" t="str">
        <f aca="false">IF($B86="","",MIN(G86,IF(AND(AK86&gt;0,AN86&gt;=AK86),G86,AN86)+SUMIFS('الحركات الشهرية'!$E$6:$E$1005,'الحركات الشهرية'!$B$6:$B$1005,$B86,'الحركات الشهرية'!$A$6:$A$1005,$C$3)))</f>
        <v/>
      </c>
      <c r="J86" s="151" t="str">
        <f aca="false">IF($B86="","",MAX(0,G86-H86-I86))</f>
        <v/>
      </c>
      <c r="K86" s="111" t="str">
        <f aca="false">IF($B86="","",الموظفون!$L86*$J86/cfg_DAYS_M)</f>
        <v/>
      </c>
      <c r="L86" s="111" t="str">
        <f aca="false">IF($B86="","",الموظفون!$M86*$J86/cfg_DAYS_M)</f>
        <v/>
      </c>
      <c r="M86" s="111" t="str">
        <f aca="false">IF($B86="","",الموظفون!$N86*$J86/cfg_DAYS_M)</f>
        <v/>
      </c>
      <c r="N86" s="111" t="str">
        <f aca="false">IF($B86="","",الموظفون!$O86*$J86/cfg_DAYS_M)</f>
        <v/>
      </c>
      <c r="O86" s="151" t="str">
        <f aca="false">IF($B86="","",SUMIFS('الحركات الشهرية'!$F$6:$F$1005,'الحركات الشهرية'!$B$6:$B$1005,$B86,'الحركات الشهرية'!$A$6:$A$1005,$C$3))</f>
        <v/>
      </c>
      <c r="P86" s="111" t="str">
        <f aca="false">IF($B86="","",O86*(الموظفون!$P86+الموظفون!$L86*cfg_OT_P)/cfg_DAYS_M/cfg_HRS)</f>
        <v/>
      </c>
      <c r="Q86" s="111" t="str">
        <f aca="false">IF($B86="","",SUMIFS('الحركات الشهرية'!$G$6:$G$1005,'الحركات الشهرية'!$B$6:$B$1005,$B86,'الحركات الشهرية'!$A$6:$A$1005,$C$3))</f>
        <v/>
      </c>
      <c r="R86" s="111" t="str">
        <f aca="false">IF($B86="","",SUMIFS('الحركات الشهرية'!$H$6:$H$1005,'الحركات الشهرية'!$B$6:$B$1005,$B86,'الحركات الشهرية'!$A$6:$A$1005,$C$3))</f>
        <v/>
      </c>
      <c r="S86" s="111" t="str">
        <f aca="false">IF($B86="","",SUMIFS('سجل الإجازات والحالات'!$N$6:$N$505,'سجل الإجازات والحالات'!$B$6:$B$505,$B86,'سجل الإجازات والحالات'!$O$6:$O$505,$C$3))</f>
        <v/>
      </c>
      <c r="T86" s="152" t="str">
        <f aca="false">IF($B86="","",SUM(K86:N86)+SUM(P86:S86))</f>
        <v/>
      </c>
      <c r="U86" s="111" t="str">
        <f aca="false">IF($B86="","",الموظفون!$S86*IF(E86="سعودي",cfg_G_SE,cfg_G_NE)*G86/cfg_DAYS_M)</f>
        <v/>
      </c>
      <c r="V86" s="111" t="str">
        <f aca="false">IF($B86="","",SUMIFS('الحركات الشهرية'!$I$6:$I$1005,'الحركات الشهرية'!$B$6:$B$1005,$B86,'الحركات الشهرية'!$A$6:$A$1005,$C$3))</f>
        <v/>
      </c>
      <c r="W86" s="111" t="str">
        <f aca="false">IF($B86="","",SUMIFS('الحركات الشهرية'!$J$6:$J$1005,'الحركات الشهرية'!$B$6:$B$1005,$B86,'الحركات الشهرية'!$A$6:$A$1005,$C$3))</f>
        <v/>
      </c>
      <c r="X86" s="111" t="str">
        <f aca="false">IF($B86="","",SUM(U86:W86))</f>
        <v/>
      </c>
      <c r="Y86" s="153" t="str">
        <f aca="false">IF($B86="","",T86-X86)</f>
        <v/>
      </c>
      <c r="Z86" s="111" t="str">
        <f aca="false">IF($B86="","",الموظفون!$S86*IF(E86="سعودي",cfg_G_SR,cfg_G_NR)*G86/cfg_DAYS_M)</f>
        <v/>
      </c>
      <c r="AA86" s="111" t="str">
        <f aca="false">IF($B86="","",الموظفون!$Q86*(cfg_EOS_R1*(MIN(AH86,cfg_EOS_TH)-MIN(AI86,cfg_EOS_TH))+cfg_EOS_R2*(MAX(AH86-cfg_EOS_TH,0)-MAX(AI86-cfg_EOS_TH,0))))</f>
        <v/>
      </c>
      <c r="AB86" s="111" t="str">
        <f aca="false">IF($B86="","",IF(الموظفون!$T86&lt;&gt;"",الموظفون!$T86,IF(AH86&gt;=cfg_LV_TH,cfg_LV_D2,cfg_LV_D1))/cfg_DAYS_Y*AJ86*الموظفون!$R86/cfg_DAYS_M)</f>
        <v/>
      </c>
      <c r="AC86" s="111" t="str">
        <f aca="false">IF($B86="","",IF(AND(الموظفون!$U86="نعم",N(الموظفون!$W86)&gt;0),الموظفون!$V86/الموظفون!$W86*12/cfg_DAYS_Y*AJ86,0))</f>
        <v/>
      </c>
      <c r="AD86" s="111" t="str">
        <f aca="false">IF($B86="","",(IF(الموظفون!$X86&lt;&gt;"",الموظفون!$X86,IF(الموظفون!$E86="غير سعودي",cfg_IQ,0))+IF(الموظفون!$Y86&lt;&gt;"",الموظفون!$Y86,IF(الموظفون!$E86="غير سعودي",cfg_WP,0)))/12*G86/cfg_DAYS_M)</f>
        <v/>
      </c>
      <c r="AE86" s="111" t="str">
        <f aca="false">IF($B86="","",IF(الموظفون!$Z86&lt;&gt;"",الموظفون!$Z86,cfg_MED)/12*G86/cfg_DAYS_M)</f>
        <v/>
      </c>
      <c r="AF86" s="111" t="str">
        <f aca="false">IF($B86="","",N(الموظفون!$AA86)/12*G86/cfg_DAYS_M)</f>
        <v/>
      </c>
      <c r="AG86" s="154" t="str">
        <f aca="false">IF($B86="","",T86+SUM(Z86:AF86))</f>
        <v/>
      </c>
      <c r="AH86" s="155" t="str">
        <f aca="false">IF($B86="","",MAX(0,IF(OR(الموظفون!$AE86="",الموظفون!$AE86&gt;$F$3),$F$3,الموظفون!$AE86)-الموظفون!$H86+1-SUMIFS('سجل الإجازات والحالات'!$AR$6:$AR$505,'سجل الإجازات والحالات'!$B$6:$B$505,$B86))/cfg_DAYS_Y)</f>
        <v/>
      </c>
      <c r="AI86" s="155" t="str">
        <f aca="false">IF($B86="","",MAX(0,IF(OR(الموظفون!$AE86="",الموظفون!$AE86&gt;($E$3-1)),($E$3-1),الموظفون!$AE86)-الموظفون!$H86+1-SUMIFS('سجل الإجازات والحالات'!$AQ$6:$AQ$505,'سجل الإجازات والحالات'!$B$6:$B$505,$B86))/cfg_DAYS_Y)</f>
        <v/>
      </c>
      <c r="AJ86" s="65" t="str">
        <f aca="false">IF($B86="","",MAX(0,AK86-(SUMIFS('سجل الإجازات والحالات'!$AR$6:$AR$505,'سجل الإجازات والحالات'!$B$6:$B$505,$B86)-SUMIFS('سجل الإجازات والحالات'!$AQ$6:$AQ$505,'سجل الإجازات والحالات'!$B$6:$B$505,$B86))))</f>
        <v/>
      </c>
      <c r="AK86" s="65" t="str">
        <f aca="false">IF($B86="","",MAX(0,IF(OR(الموظفون!$AE86="",الموظفون!$AE86&gt;$F$3),$F$3,الموظفون!$AE86)-MAX($E$3,الموظفون!$H86)+1))</f>
        <v/>
      </c>
      <c r="AL86" s="151" t="str">
        <f aca="false">IF($B86="","",SUMIFS('سجل الإجازات والحالات'!$BD$6:$BD$505,'سجل الإجازات والحالات'!$B$6:$B$505,$B86)+SUMIFS('الحركات الشهرية'!$K$6:$K$1005,'الحركات الشهرية'!$B$6:$B$1005,$B86,'الحركات الشهرية'!$A$6:$A$1005,$C$3))</f>
        <v/>
      </c>
      <c r="AM86" s="111" t="str">
        <f aca="false">IF($B86="","",AL86*الموظفون!$R86/cfg_DAYS_M+S86)</f>
        <v/>
      </c>
      <c r="AN86" s="151" t="str">
        <f aca="false">IF($B86="","",SUMIFS('سجل الإجازات والحالات'!$AF$6:$AF$505,'سجل الإجازات والحالات'!$B$6:$B$505,$B86))</f>
        <v/>
      </c>
    </row>
    <row r="87" customFormat="false" ht="15" hidden="false" customHeight="false" outlineLevel="0" collapsed="false">
      <c r="A87" s="115" t="str">
        <f aca="false">IF($B87="","",الموظفون!$A87)</f>
        <v/>
      </c>
      <c r="B87" s="117" t="str">
        <f aca="false">IF(الموظفون!$B87="","",الموظفون!$B87)</f>
        <v/>
      </c>
      <c r="C87" s="117" t="str">
        <f aca="false">IF($B87="","",الموظفون!$C87)</f>
        <v/>
      </c>
      <c r="D87" s="117" t="str">
        <f aca="false">IF($B87="","",الموظفون!$F87)</f>
        <v/>
      </c>
      <c r="E87" s="117" t="str">
        <f aca="false">IF($B87="","",الموظفون!$E87)</f>
        <v/>
      </c>
      <c r="F87" s="117" t="str">
        <f aca="false">IF($B87="","",IF(AK87=0,IF(AND(الموظفون!$AE87&lt;&gt;"",الموظفون!$AE87&lt;$E$3),"✖ منتهي الخدمة","⏳ لم يباشر"),IF(S87&gt;0,"✈ راتب إجازة مقدم",IF(J87=0,"⛔ بدون راتب هذا الشهر",IF(I87&gt;0,"✈ خصم "&amp;ROUND(I87,2)&amp;" يوم بدون أجر",IF(AL87&gt;0,"🌴 إجازة سنوية "&amp;ROUND(AL87,2)&amp;" يوم",IF(H87&gt;0,"⚠ غياب "&amp;ROUND(H87,2)&amp;" يوم","✔ على رأس العمل")))))))</f>
        <v/>
      </c>
      <c r="G87" s="156" t="str">
        <f aca="false">IF($B87="","",IF(AK87&gt;=DAY($F$3),cfg_DAYS_M,MIN(AK87,cfg_DAYS_M)))</f>
        <v/>
      </c>
      <c r="H87" s="156" t="str">
        <f aca="false">IF($B87="","",SUMIFS('الحركات الشهرية'!$D$6:$D$1005,'الحركات الشهرية'!$B$6:$B$1005,$B87,'الحركات الشهرية'!$A$6:$A$1005,$C$3))</f>
        <v/>
      </c>
      <c r="I87" s="156" t="str">
        <f aca="false">IF($B87="","",MIN(G87,IF(AND(AK87&gt;0,AN87&gt;=AK87),G87,AN87)+SUMIFS('الحركات الشهرية'!$E$6:$E$1005,'الحركات الشهرية'!$B$6:$B$1005,$B87,'الحركات الشهرية'!$A$6:$A$1005,$C$3)))</f>
        <v/>
      </c>
      <c r="J87" s="156" t="str">
        <f aca="false">IF($B87="","",MAX(0,G87-H87-I87))</f>
        <v/>
      </c>
      <c r="K87" s="116" t="str">
        <f aca="false">IF($B87="","",الموظفون!$L87*$J87/cfg_DAYS_M)</f>
        <v/>
      </c>
      <c r="L87" s="116" t="str">
        <f aca="false">IF($B87="","",الموظفون!$M87*$J87/cfg_DAYS_M)</f>
        <v/>
      </c>
      <c r="M87" s="116" t="str">
        <f aca="false">IF($B87="","",الموظفون!$N87*$J87/cfg_DAYS_M)</f>
        <v/>
      </c>
      <c r="N87" s="116" t="str">
        <f aca="false">IF($B87="","",الموظفون!$O87*$J87/cfg_DAYS_M)</f>
        <v/>
      </c>
      <c r="O87" s="156" t="str">
        <f aca="false">IF($B87="","",SUMIFS('الحركات الشهرية'!$F$6:$F$1005,'الحركات الشهرية'!$B$6:$B$1005,$B87,'الحركات الشهرية'!$A$6:$A$1005,$C$3))</f>
        <v/>
      </c>
      <c r="P87" s="116" t="str">
        <f aca="false">IF($B87="","",O87*(الموظفون!$P87+الموظفون!$L87*cfg_OT_P)/cfg_DAYS_M/cfg_HRS)</f>
        <v/>
      </c>
      <c r="Q87" s="116" t="str">
        <f aca="false">IF($B87="","",SUMIFS('الحركات الشهرية'!$G$6:$G$1005,'الحركات الشهرية'!$B$6:$B$1005,$B87,'الحركات الشهرية'!$A$6:$A$1005,$C$3))</f>
        <v/>
      </c>
      <c r="R87" s="116" t="str">
        <f aca="false">IF($B87="","",SUMIFS('الحركات الشهرية'!$H$6:$H$1005,'الحركات الشهرية'!$B$6:$B$1005,$B87,'الحركات الشهرية'!$A$6:$A$1005,$C$3))</f>
        <v/>
      </c>
      <c r="S87" s="116" t="str">
        <f aca="false">IF($B87="","",SUMIFS('سجل الإجازات والحالات'!$N$6:$N$505,'سجل الإجازات والحالات'!$B$6:$B$505,$B87,'سجل الإجازات والحالات'!$O$6:$O$505,$C$3))</f>
        <v/>
      </c>
      <c r="T87" s="157" t="str">
        <f aca="false">IF($B87="","",SUM(K87:N87)+SUM(P87:S87))</f>
        <v/>
      </c>
      <c r="U87" s="116" t="str">
        <f aca="false">IF($B87="","",الموظفون!$S87*IF(E87="سعودي",cfg_G_SE,cfg_G_NE)*G87/cfg_DAYS_M)</f>
        <v/>
      </c>
      <c r="V87" s="116" t="str">
        <f aca="false">IF($B87="","",SUMIFS('الحركات الشهرية'!$I$6:$I$1005,'الحركات الشهرية'!$B$6:$B$1005,$B87,'الحركات الشهرية'!$A$6:$A$1005,$C$3))</f>
        <v/>
      </c>
      <c r="W87" s="116" t="str">
        <f aca="false">IF($B87="","",SUMIFS('الحركات الشهرية'!$J$6:$J$1005,'الحركات الشهرية'!$B$6:$B$1005,$B87,'الحركات الشهرية'!$A$6:$A$1005,$C$3))</f>
        <v/>
      </c>
      <c r="X87" s="116" t="str">
        <f aca="false">IF($B87="","",SUM(U87:W87))</f>
        <v/>
      </c>
      <c r="Y87" s="158" t="str">
        <f aca="false">IF($B87="","",T87-X87)</f>
        <v/>
      </c>
      <c r="Z87" s="116" t="str">
        <f aca="false">IF($B87="","",الموظفون!$S87*IF(E87="سعودي",cfg_G_SR,cfg_G_NR)*G87/cfg_DAYS_M)</f>
        <v/>
      </c>
      <c r="AA87" s="116" t="str">
        <f aca="false">IF($B87="","",الموظفون!$Q87*(cfg_EOS_R1*(MIN(AH87,cfg_EOS_TH)-MIN(AI87,cfg_EOS_TH))+cfg_EOS_R2*(MAX(AH87-cfg_EOS_TH,0)-MAX(AI87-cfg_EOS_TH,0))))</f>
        <v/>
      </c>
      <c r="AB87" s="116" t="str">
        <f aca="false">IF($B87="","",IF(الموظفون!$T87&lt;&gt;"",الموظفون!$T87,IF(AH87&gt;=cfg_LV_TH,cfg_LV_D2,cfg_LV_D1))/cfg_DAYS_Y*AJ87*الموظفون!$R87/cfg_DAYS_M)</f>
        <v/>
      </c>
      <c r="AC87" s="116" t="str">
        <f aca="false">IF($B87="","",IF(AND(الموظفون!$U87="نعم",N(الموظفون!$W87)&gt;0),الموظفون!$V87/الموظفون!$W87*12/cfg_DAYS_Y*AJ87,0))</f>
        <v/>
      </c>
      <c r="AD87" s="116" t="str">
        <f aca="false">IF($B87="","",(IF(الموظفون!$X87&lt;&gt;"",الموظفون!$X87,IF(الموظفون!$E87="غير سعودي",cfg_IQ,0))+IF(الموظفون!$Y87&lt;&gt;"",الموظفون!$Y87,IF(الموظفون!$E87="غير سعودي",cfg_WP,0)))/12*G87/cfg_DAYS_M)</f>
        <v/>
      </c>
      <c r="AE87" s="116" t="str">
        <f aca="false">IF($B87="","",IF(الموظفون!$Z87&lt;&gt;"",الموظفون!$Z87,cfg_MED)/12*G87/cfg_DAYS_M)</f>
        <v/>
      </c>
      <c r="AF87" s="116" t="str">
        <f aca="false">IF($B87="","",N(الموظفون!$AA87)/12*G87/cfg_DAYS_M)</f>
        <v/>
      </c>
      <c r="AG87" s="159" t="str">
        <f aca="false">IF($B87="","",T87+SUM(Z87:AF87))</f>
        <v/>
      </c>
      <c r="AH87" s="160" t="str">
        <f aca="false">IF($B87="","",MAX(0,IF(OR(الموظفون!$AE87="",الموظفون!$AE87&gt;$F$3),$F$3,الموظفون!$AE87)-الموظفون!$H87+1-SUMIFS('سجل الإجازات والحالات'!$AR$6:$AR$505,'سجل الإجازات والحالات'!$B$6:$B$505,$B87))/cfg_DAYS_Y)</f>
        <v/>
      </c>
      <c r="AI87" s="160" t="str">
        <f aca="false">IF($B87="","",MAX(0,IF(OR(الموظفون!$AE87="",الموظفون!$AE87&gt;($E$3-1)),($E$3-1),الموظفون!$AE87)-الموظفون!$H87+1-SUMIFS('سجل الإجازات والحالات'!$AQ$6:$AQ$505,'سجل الإجازات والحالات'!$B$6:$B$505,$B87))/cfg_DAYS_Y)</f>
        <v/>
      </c>
      <c r="AJ87" s="133" t="str">
        <f aca="false">IF($B87="","",MAX(0,AK87-(SUMIFS('سجل الإجازات والحالات'!$AR$6:$AR$505,'سجل الإجازات والحالات'!$B$6:$B$505,$B87)-SUMIFS('سجل الإجازات والحالات'!$AQ$6:$AQ$505,'سجل الإجازات والحالات'!$B$6:$B$505,$B87))))</f>
        <v/>
      </c>
      <c r="AK87" s="133" t="str">
        <f aca="false">IF($B87="","",MAX(0,IF(OR(الموظفون!$AE87="",الموظفون!$AE87&gt;$F$3),$F$3,الموظفون!$AE87)-MAX($E$3,الموظفون!$H87)+1))</f>
        <v/>
      </c>
      <c r="AL87" s="156" t="str">
        <f aca="false">IF($B87="","",SUMIFS('سجل الإجازات والحالات'!$BD$6:$BD$505,'سجل الإجازات والحالات'!$B$6:$B$505,$B87)+SUMIFS('الحركات الشهرية'!$K$6:$K$1005,'الحركات الشهرية'!$B$6:$B$1005,$B87,'الحركات الشهرية'!$A$6:$A$1005,$C$3))</f>
        <v/>
      </c>
      <c r="AM87" s="116" t="str">
        <f aca="false">IF($B87="","",AL87*الموظفون!$R87/cfg_DAYS_M+S87)</f>
        <v/>
      </c>
      <c r="AN87" s="156" t="str">
        <f aca="false">IF($B87="","",SUMIFS('سجل الإجازات والحالات'!$AF$6:$AF$505,'سجل الإجازات والحالات'!$B$6:$B$505,$B87))</f>
        <v/>
      </c>
    </row>
    <row r="88" customFormat="false" ht="15" hidden="false" customHeight="false" outlineLevel="0" collapsed="false">
      <c r="A88" s="106" t="str">
        <f aca="false">IF($B88="","",الموظفون!$A88)</f>
        <v/>
      </c>
      <c r="B88" s="114" t="str">
        <f aca="false">IF(الموظفون!$B88="","",الموظفون!$B88)</f>
        <v/>
      </c>
      <c r="C88" s="114" t="str">
        <f aca="false">IF($B88="","",الموظفون!$C88)</f>
        <v/>
      </c>
      <c r="D88" s="114" t="str">
        <f aca="false">IF($B88="","",الموظفون!$F88)</f>
        <v/>
      </c>
      <c r="E88" s="114" t="str">
        <f aca="false">IF($B88="","",الموظفون!$E88)</f>
        <v/>
      </c>
      <c r="F88" s="114" t="str">
        <f aca="false">IF($B88="","",IF(AK88=0,IF(AND(الموظفون!$AE88&lt;&gt;"",الموظفون!$AE88&lt;$E$3),"✖ منتهي الخدمة","⏳ لم يباشر"),IF(S88&gt;0,"✈ راتب إجازة مقدم",IF(J88=0,"⛔ بدون راتب هذا الشهر",IF(I88&gt;0,"✈ خصم "&amp;ROUND(I88,2)&amp;" يوم بدون أجر",IF(AL88&gt;0,"🌴 إجازة سنوية "&amp;ROUND(AL88,2)&amp;" يوم",IF(H88&gt;0,"⚠ غياب "&amp;ROUND(H88,2)&amp;" يوم","✔ على رأس العمل")))))))</f>
        <v/>
      </c>
      <c r="G88" s="151" t="str">
        <f aca="false">IF($B88="","",IF(AK88&gt;=DAY($F$3),cfg_DAYS_M,MIN(AK88,cfg_DAYS_M)))</f>
        <v/>
      </c>
      <c r="H88" s="151" t="str">
        <f aca="false">IF($B88="","",SUMIFS('الحركات الشهرية'!$D$6:$D$1005,'الحركات الشهرية'!$B$6:$B$1005,$B88,'الحركات الشهرية'!$A$6:$A$1005,$C$3))</f>
        <v/>
      </c>
      <c r="I88" s="151" t="str">
        <f aca="false">IF($B88="","",MIN(G88,IF(AND(AK88&gt;0,AN88&gt;=AK88),G88,AN88)+SUMIFS('الحركات الشهرية'!$E$6:$E$1005,'الحركات الشهرية'!$B$6:$B$1005,$B88,'الحركات الشهرية'!$A$6:$A$1005,$C$3)))</f>
        <v/>
      </c>
      <c r="J88" s="151" t="str">
        <f aca="false">IF($B88="","",MAX(0,G88-H88-I88))</f>
        <v/>
      </c>
      <c r="K88" s="111" t="str">
        <f aca="false">IF($B88="","",الموظفون!$L88*$J88/cfg_DAYS_M)</f>
        <v/>
      </c>
      <c r="L88" s="111" t="str">
        <f aca="false">IF($B88="","",الموظفون!$M88*$J88/cfg_DAYS_M)</f>
        <v/>
      </c>
      <c r="M88" s="111" t="str">
        <f aca="false">IF($B88="","",الموظفون!$N88*$J88/cfg_DAYS_M)</f>
        <v/>
      </c>
      <c r="N88" s="111" t="str">
        <f aca="false">IF($B88="","",الموظفون!$O88*$J88/cfg_DAYS_M)</f>
        <v/>
      </c>
      <c r="O88" s="151" t="str">
        <f aca="false">IF($B88="","",SUMIFS('الحركات الشهرية'!$F$6:$F$1005,'الحركات الشهرية'!$B$6:$B$1005,$B88,'الحركات الشهرية'!$A$6:$A$1005,$C$3))</f>
        <v/>
      </c>
      <c r="P88" s="111" t="str">
        <f aca="false">IF($B88="","",O88*(الموظفون!$P88+الموظفون!$L88*cfg_OT_P)/cfg_DAYS_M/cfg_HRS)</f>
        <v/>
      </c>
      <c r="Q88" s="111" t="str">
        <f aca="false">IF($B88="","",SUMIFS('الحركات الشهرية'!$G$6:$G$1005,'الحركات الشهرية'!$B$6:$B$1005,$B88,'الحركات الشهرية'!$A$6:$A$1005,$C$3))</f>
        <v/>
      </c>
      <c r="R88" s="111" t="str">
        <f aca="false">IF($B88="","",SUMIFS('الحركات الشهرية'!$H$6:$H$1005,'الحركات الشهرية'!$B$6:$B$1005,$B88,'الحركات الشهرية'!$A$6:$A$1005,$C$3))</f>
        <v/>
      </c>
      <c r="S88" s="111" t="str">
        <f aca="false">IF($B88="","",SUMIFS('سجل الإجازات والحالات'!$N$6:$N$505,'سجل الإجازات والحالات'!$B$6:$B$505,$B88,'سجل الإجازات والحالات'!$O$6:$O$505,$C$3))</f>
        <v/>
      </c>
      <c r="T88" s="152" t="str">
        <f aca="false">IF($B88="","",SUM(K88:N88)+SUM(P88:S88))</f>
        <v/>
      </c>
      <c r="U88" s="111" t="str">
        <f aca="false">IF($B88="","",الموظفون!$S88*IF(E88="سعودي",cfg_G_SE,cfg_G_NE)*G88/cfg_DAYS_M)</f>
        <v/>
      </c>
      <c r="V88" s="111" t="str">
        <f aca="false">IF($B88="","",SUMIFS('الحركات الشهرية'!$I$6:$I$1005,'الحركات الشهرية'!$B$6:$B$1005,$B88,'الحركات الشهرية'!$A$6:$A$1005,$C$3))</f>
        <v/>
      </c>
      <c r="W88" s="111" t="str">
        <f aca="false">IF($B88="","",SUMIFS('الحركات الشهرية'!$J$6:$J$1005,'الحركات الشهرية'!$B$6:$B$1005,$B88,'الحركات الشهرية'!$A$6:$A$1005,$C$3))</f>
        <v/>
      </c>
      <c r="X88" s="111" t="str">
        <f aca="false">IF($B88="","",SUM(U88:W88))</f>
        <v/>
      </c>
      <c r="Y88" s="153" t="str">
        <f aca="false">IF($B88="","",T88-X88)</f>
        <v/>
      </c>
      <c r="Z88" s="111" t="str">
        <f aca="false">IF($B88="","",الموظفون!$S88*IF(E88="سعودي",cfg_G_SR,cfg_G_NR)*G88/cfg_DAYS_M)</f>
        <v/>
      </c>
      <c r="AA88" s="111" t="str">
        <f aca="false">IF($B88="","",الموظفون!$Q88*(cfg_EOS_R1*(MIN(AH88,cfg_EOS_TH)-MIN(AI88,cfg_EOS_TH))+cfg_EOS_R2*(MAX(AH88-cfg_EOS_TH,0)-MAX(AI88-cfg_EOS_TH,0))))</f>
        <v/>
      </c>
      <c r="AB88" s="111" t="str">
        <f aca="false">IF($B88="","",IF(الموظفون!$T88&lt;&gt;"",الموظفون!$T88,IF(AH88&gt;=cfg_LV_TH,cfg_LV_D2,cfg_LV_D1))/cfg_DAYS_Y*AJ88*الموظفون!$R88/cfg_DAYS_M)</f>
        <v/>
      </c>
      <c r="AC88" s="111" t="str">
        <f aca="false">IF($B88="","",IF(AND(الموظفون!$U88="نعم",N(الموظفون!$W88)&gt;0),الموظفون!$V88/الموظفون!$W88*12/cfg_DAYS_Y*AJ88,0))</f>
        <v/>
      </c>
      <c r="AD88" s="111" t="str">
        <f aca="false">IF($B88="","",(IF(الموظفون!$X88&lt;&gt;"",الموظفون!$X88,IF(الموظفون!$E88="غير سعودي",cfg_IQ,0))+IF(الموظفون!$Y88&lt;&gt;"",الموظفون!$Y88,IF(الموظفون!$E88="غير سعودي",cfg_WP,0)))/12*G88/cfg_DAYS_M)</f>
        <v/>
      </c>
      <c r="AE88" s="111" t="str">
        <f aca="false">IF($B88="","",IF(الموظفون!$Z88&lt;&gt;"",الموظفون!$Z88,cfg_MED)/12*G88/cfg_DAYS_M)</f>
        <v/>
      </c>
      <c r="AF88" s="111" t="str">
        <f aca="false">IF($B88="","",N(الموظفون!$AA88)/12*G88/cfg_DAYS_M)</f>
        <v/>
      </c>
      <c r="AG88" s="154" t="str">
        <f aca="false">IF($B88="","",T88+SUM(Z88:AF88))</f>
        <v/>
      </c>
      <c r="AH88" s="155" t="str">
        <f aca="false">IF($B88="","",MAX(0,IF(OR(الموظفون!$AE88="",الموظفون!$AE88&gt;$F$3),$F$3,الموظفون!$AE88)-الموظفون!$H88+1-SUMIFS('سجل الإجازات والحالات'!$AR$6:$AR$505,'سجل الإجازات والحالات'!$B$6:$B$505,$B88))/cfg_DAYS_Y)</f>
        <v/>
      </c>
      <c r="AI88" s="155" t="str">
        <f aca="false">IF($B88="","",MAX(0,IF(OR(الموظفون!$AE88="",الموظفون!$AE88&gt;($E$3-1)),($E$3-1),الموظفون!$AE88)-الموظفون!$H88+1-SUMIFS('سجل الإجازات والحالات'!$AQ$6:$AQ$505,'سجل الإجازات والحالات'!$B$6:$B$505,$B88))/cfg_DAYS_Y)</f>
        <v/>
      </c>
      <c r="AJ88" s="65" t="str">
        <f aca="false">IF($B88="","",MAX(0,AK88-(SUMIFS('سجل الإجازات والحالات'!$AR$6:$AR$505,'سجل الإجازات والحالات'!$B$6:$B$505,$B88)-SUMIFS('سجل الإجازات والحالات'!$AQ$6:$AQ$505,'سجل الإجازات والحالات'!$B$6:$B$505,$B88))))</f>
        <v/>
      </c>
      <c r="AK88" s="65" t="str">
        <f aca="false">IF($B88="","",MAX(0,IF(OR(الموظفون!$AE88="",الموظفون!$AE88&gt;$F$3),$F$3,الموظفون!$AE88)-MAX($E$3,الموظفون!$H88)+1))</f>
        <v/>
      </c>
      <c r="AL88" s="151" t="str">
        <f aca="false">IF($B88="","",SUMIFS('سجل الإجازات والحالات'!$BD$6:$BD$505,'سجل الإجازات والحالات'!$B$6:$B$505,$B88)+SUMIFS('الحركات الشهرية'!$K$6:$K$1005,'الحركات الشهرية'!$B$6:$B$1005,$B88,'الحركات الشهرية'!$A$6:$A$1005,$C$3))</f>
        <v/>
      </c>
      <c r="AM88" s="111" t="str">
        <f aca="false">IF($B88="","",AL88*الموظفون!$R88/cfg_DAYS_M+S88)</f>
        <v/>
      </c>
      <c r="AN88" s="151" t="str">
        <f aca="false">IF($B88="","",SUMIFS('سجل الإجازات والحالات'!$AF$6:$AF$505,'سجل الإجازات والحالات'!$B$6:$B$505,$B88))</f>
        <v/>
      </c>
    </row>
    <row r="89" customFormat="false" ht="15" hidden="false" customHeight="false" outlineLevel="0" collapsed="false">
      <c r="A89" s="115" t="str">
        <f aca="false">IF($B89="","",الموظفون!$A89)</f>
        <v/>
      </c>
      <c r="B89" s="117" t="str">
        <f aca="false">IF(الموظفون!$B89="","",الموظفون!$B89)</f>
        <v/>
      </c>
      <c r="C89" s="117" t="str">
        <f aca="false">IF($B89="","",الموظفون!$C89)</f>
        <v/>
      </c>
      <c r="D89" s="117" t="str">
        <f aca="false">IF($B89="","",الموظفون!$F89)</f>
        <v/>
      </c>
      <c r="E89" s="117" t="str">
        <f aca="false">IF($B89="","",الموظفون!$E89)</f>
        <v/>
      </c>
      <c r="F89" s="117" t="str">
        <f aca="false">IF($B89="","",IF(AK89=0,IF(AND(الموظفون!$AE89&lt;&gt;"",الموظفون!$AE89&lt;$E$3),"✖ منتهي الخدمة","⏳ لم يباشر"),IF(S89&gt;0,"✈ راتب إجازة مقدم",IF(J89=0,"⛔ بدون راتب هذا الشهر",IF(I89&gt;0,"✈ خصم "&amp;ROUND(I89,2)&amp;" يوم بدون أجر",IF(AL89&gt;0,"🌴 إجازة سنوية "&amp;ROUND(AL89,2)&amp;" يوم",IF(H89&gt;0,"⚠ غياب "&amp;ROUND(H89,2)&amp;" يوم","✔ على رأس العمل")))))))</f>
        <v/>
      </c>
      <c r="G89" s="156" t="str">
        <f aca="false">IF($B89="","",IF(AK89&gt;=DAY($F$3),cfg_DAYS_M,MIN(AK89,cfg_DAYS_M)))</f>
        <v/>
      </c>
      <c r="H89" s="156" t="str">
        <f aca="false">IF($B89="","",SUMIFS('الحركات الشهرية'!$D$6:$D$1005,'الحركات الشهرية'!$B$6:$B$1005,$B89,'الحركات الشهرية'!$A$6:$A$1005,$C$3))</f>
        <v/>
      </c>
      <c r="I89" s="156" t="str">
        <f aca="false">IF($B89="","",MIN(G89,IF(AND(AK89&gt;0,AN89&gt;=AK89),G89,AN89)+SUMIFS('الحركات الشهرية'!$E$6:$E$1005,'الحركات الشهرية'!$B$6:$B$1005,$B89,'الحركات الشهرية'!$A$6:$A$1005,$C$3)))</f>
        <v/>
      </c>
      <c r="J89" s="156" t="str">
        <f aca="false">IF($B89="","",MAX(0,G89-H89-I89))</f>
        <v/>
      </c>
      <c r="K89" s="116" t="str">
        <f aca="false">IF($B89="","",الموظفون!$L89*$J89/cfg_DAYS_M)</f>
        <v/>
      </c>
      <c r="L89" s="116" t="str">
        <f aca="false">IF($B89="","",الموظفون!$M89*$J89/cfg_DAYS_M)</f>
        <v/>
      </c>
      <c r="M89" s="116" t="str">
        <f aca="false">IF($B89="","",الموظفون!$N89*$J89/cfg_DAYS_M)</f>
        <v/>
      </c>
      <c r="N89" s="116" t="str">
        <f aca="false">IF($B89="","",الموظفون!$O89*$J89/cfg_DAYS_M)</f>
        <v/>
      </c>
      <c r="O89" s="156" t="str">
        <f aca="false">IF($B89="","",SUMIFS('الحركات الشهرية'!$F$6:$F$1005,'الحركات الشهرية'!$B$6:$B$1005,$B89,'الحركات الشهرية'!$A$6:$A$1005,$C$3))</f>
        <v/>
      </c>
      <c r="P89" s="116" t="str">
        <f aca="false">IF($B89="","",O89*(الموظفون!$P89+الموظفون!$L89*cfg_OT_P)/cfg_DAYS_M/cfg_HRS)</f>
        <v/>
      </c>
      <c r="Q89" s="116" t="str">
        <f aca="false">IF($B89="","",SUMIFS('الحركات الشهرية'!$G$6:$G$1005,'الحركات الشهرية'!$B$6:$B$1005,$B89,'الحركات الشهرية'!$A$6:$A$1005,$C$3))</f>
        <v/>
      </c>
      <c r="R89" s="116" t="str">
        <f aca="false">IF($B89="","",SUMIFS('الحركات الشهرية'!$H$6:$H$1005,'الحركات الشهرية'!$B$6:$B$1005,$B89,'الحركات الشهرية'!$A$6:$A$1005,$C$3))</f>
        <v/>
      </c>
      <c r="S89" s="116" t="str">
        <f aca="false">IF($B89="","",SUMIFS('سجل الإجازات والحالات'!$N$6:$N$505,'سجل الإجازات والحالات'!$B$6:$B$505,$B89,'سجل الإجازات والحالات'!$O$6:$O$505,$C$3))</f>
        <v/>
      </c>
      <c r="T89" s="157" t="str">
        <f aca="false">IF($B89="","",SUM(K89:N89)+SUM(P89:S89))</f>
        <v/>
      </c>
      <c r="U89" s="116" t="str">
        <f aca="false">IF($B89="","",الموظفون!$S89*IF(E89="سعودي",cfg_G_SE,cfg_G_NE)*G89/cfg_DAYS_M)</f>
        <v/>
      </c>
      <c r="V89" s="116" t="str">
        <f aca="false">IF($B89="","",SUMIFS('الحركات الشهرية'!$I$6:$I$1005,'الحركات الشهرية'!$B$6:$B$1005,$B89,'الحركات الشهرية'!$A$6:$A$1005,$C$3))</f>
        <v/>
      </c>
      <c r="W89" s="116" t="str">
        <f aca="false">IF($B89="","",SUMIFS('الحركات الشهرية'!$J$6:$J$1005,'الحركات الشهرية'!$B$6:$B$1005,$B89,'الحركات الشهرية'!$A$6:$A$1005,$C$3))</f>
        <v/>
      </c>
      <c r="X89" s="116" t="str">
        <f aca="false">IF($B89="","",SUM(U89:W89))</f>
        <v/>
      </c>
      <c r="Y89" s="158" t="str">
        <f aca="false">IF($B89="","",T89-X89)</f>
        <v/>
      </c>
      <c r="Z89" s="116" t="str">
        <f aca="false">IF($B89="","",الموظفون!$S89*IF(E89="سعودي",cfg_G_SR,cfg_G_NR)*G89/cfg_DAYS_M)</f>
        <v/>
      </c>
      <c r="AA89" s="116" t="str">
        <f aca="false">IF($B89="","",الموظفون!$Q89*(cfg_EOS_R1*(MIN(AH89,cfg_EOS_TH)-MIN(AI89,cfg_EOS_TH))+cfg_EOS_R2*(MAX(AH89-cfg_EOS_TH,0)-MAX(AI89-cfg_EOS_TH,0))))</f>
        <v/>
      </c>
      <c r="AB89" s="116" t="str">
        <f aca="false">IF($B89="","",IF(الموظفون!$T89&lt;&gt;"",الموظفون!$T89,IF(AH89&gt;=cfg_LV_TH,cfg_LV_D2,cfg_LV_D1))/cfg_DAYS_Y*AJ89*الموظفون!$R89/cfg_DAYS_M)</f>
        <v/>
      </c>
      <c r="AC89" s="116" t="str">
        <f aca="false">IF($B89="","",IF(AND(الموظفون!$U89="نعم",N(الموظفون!$W89)&gt;0),الموظفون!$V89/الموظفون!$W89*12/cfg_DAYS_Y*AJ89,0))</f>
        <v/>
      </c>
      <c r="AD89" s="116" t="str">
        <f aca="false">IF($B89="","",(IF(الموظفون!$X89&lt;&gt;"",الموظفون!$X89,IF(الموظفون!$E89="غير سعودي",cfg_IQ,0))+IF(الموظفون!$Y89&lt;&gt;"",الموظفون!$Y89,IF(الموظفون!$E89="غير سعودي",cfg_WP,0)))/12*G89/cfg_DAYS_M)</f>
        <v/>
      </c>
      <c r="AE89" s="116" t="str">
        <f aca="false">IF($B89="","",IF(الموظفون!$Z89&lt;&gt;"",الموظفون!$Z89,cfg_MED)/12*G89/cfg_DAYS_M)</f>
        <v/>
      </c>
      <c r="AF89" s="116" t="str">
        <f aca="false">IF($B89="","",N(الموظفون!$AA89)/12*G89/cfg_DAYS_M)</f>
        <v/>
      </c>
      <c r="AG89" s="159" t="str">
        <f aca="false">IF($B89="","",T89+SUM(Z89:AF89))</f>
        <v/>
      </c>
      <c r="AH89" s="160" t="str">
        <f aca="false">IF($B89="","",MAX(0,IF(OR(الموظفون!$AE89="",الموظفون!$AE89&gt;$F$3),$F$3,الموظفون!$AE89)-الموظفون!$H89+1-SUMIFS('سجل الإجازات والحالات'!$AR$6:$AR$505,'سجل الإجازات والحالات'!$B$6:$B$505,$B89))/cfg_DAYS_Y)</f>
        <v/>
      </c>
      <c r="AI89" s="160" t="str">
        <f aca="false">IF($B89="","",MAX(0,IF(OR(الموظفون!$AE89="",الموظفون!$AE89&gt;($E$3-1)),($E$3-1),الموظفون!$AE89)-الموظفون!$H89+1-SUMIFS('سجل الإجازات والحالات'!$AQ$6:$AQ$505,'سجل الإجازات والحالات'!$B$6:$B$505,$B89))/cfg_DAYS_Y)</f>
        <v/>
      </c>
      <c r="AJ89" s="133" t="str">
        <f aca="false">IF($B89="","",MAX(0,AK89-(SUMIFS('سجل الإجازات والحالات'!$AR$6:$AR$505,'سجل الإجازات والحالات'!$B$6:$B$505,$B89)-SUMIFS('سجل الإجازات والحالات'!$AQ$6:$AQ$505,'سجل الإجازات والحالات'!$B$6:$B$505,$B89))))</f>
        <v/>
      </c>
      <c r="AK89" s="133" t="str">
        <f aca="false">IF($B89="","",MAX(0,IF(OR(الموظفون!$AE89="",الموظفون!$AE89&gt;$F$3),$F$3,الموظفون!$AE89)-MAX($E$3,الموظفون!$H89)+1))</f>
        <v/>
      </c>
      <c r="AL89" s="156" t="str">
        <f aca="false">IF($B89="","",SUMIFS('سجل الإجازات والحالات'!$BD$6:$BD$505,'سجل الإجازات والحالات'!$B$6:$B$505,$B89)+SUMIFS('الحركات الشهرية'!$K$6:$K$1005,'الحركات الشهرية'!$B$6:$B$1005,$B89,'الحركات الشهرية'!$A$6:$A$1005,$C$3))</f>
        <v/>
      </c>
      <c r="AM89" s="116" t="str">
        <f aca="false">IF($B89="","",AL89*الموظفون!$R89/cfg_DAYS_M+S89)</f>
        <v/>
      </c>
      <c r="AN89" s="156" t="str">
        <f aca="false">IF($B89="","",SUMIFS('سجل الإجازات والحالات'!$AF$6:$AF$505,'سجل الإجازات والحالات'!$B$6:$B$505,$B89))</f>
        <v/>
      </c>
    </row>
    <row r="90" customFormat="false" ht="15" hidden="false" customHeight="false" outlineLevel="0" collapsed="false">
      <c r="A90" s="106" t="str">
        <f aca="false">IF($B90="","",الموظفون!$A90)</f>
        <v/>
      </c>
      <c r="B90" s="114" t="str">
        <f aca="false">IF(الموظفون!$B90="","",الموظفون!$B90)</f>
        <v/>
      </c>
      <c r="C90" s="114" t="str">
        <f aca="false">IF($B90="","",الموظفون!$C90)</f>
        <v/>
      </c>
      <c r="D90" s="114" t="str">
        <f aca="false">IF($B90="","",الموظفون!$F90)</f>
        <v/>
      </c>
      <c r="E90" s="114" t="str">
        <f aca="false">IF($B90="","",الموظفون!$E90)</f>
        <v/>
      </c>
      <c r="F90" s="114" t="str">
        <f aca="false">IF($B90="","",IF(AK90=0,IF(AND(الموظفون!$AE90&lt;&gt;"",الموظفون!$AE90&lt;$E$3),"✖ منتهي الخدمة","⏳ لم يباشر"),IF(S90&gt;0,"✈ راتب إجازة مقدم",IF(J90=0,"⛔ بدون راتب هذا الشهر",IF(I90&gt;0,"✈ خصم "&amp;ROUND(I90,2)&amp;" يوم بدون أجر",IF(AL90&gt;0,"🌴 إجازة سنوية "&amp;ROUND(AL90,2)&amp;" يوم",IF(H90&gt;0,"⚠ غياب "&amp;ROUND(H90,2)&amp;" يوم","✔ على رأس العمل")))))))</f>
        <v/>
      </c>
      <c r="G90" s="151" t="str">
        <f aca="false">IF($B90="","",IF(AK90&gt;=DAY($F$3),cfg_DAYS_M,MIN(AK90,cfg_DAYS_M)))</f>
        <v/>
      </c>
      <c r="H90" s="151" t="str">
        <f aca="false">IF($B90="","",SUMIFS('الحركات الشهرية'!$D$6:$D$1005,'الحركات الشهرية'!$B$6:$B$1005,$B90,'الحركات الشهرية'!$A$6:$A$1005,$C$3))</f>
        <v/>
      </c>
      <c r="I90" s="151" t="str">
        <f aca="false">IF($B90="","",MIN(G90,IF(AND(AK90&gt;0,AN90&gt;=AK90),G90,AN90)+SUMIFS('الحركات الشهرية'!$E$6:$E$1005,'الحركات الشهرية'!$B$6:$B$1005,$B90,'الحركات الشهرية'!$A$6:$A$1005,$C$3)))</f>
        <v/>
      </c>
      <c r="J90" s="151" t="str">
        <f aca="false">IF($B90="","",MAX(0,G90-H90-I90))</f>
        <v/>
      </c>
      <c r="K90" s="111" t="str">
        <f aca="false">IF($B90="","",الموظفون!$L90*$J90/cfg_DAYS_M)</f>
        <v/>
      </c>
      <c r="L90" s="111" t="str">
        <f aca="false">IF($B90="","",الموظفون!$M90*$J90/cfg_DAYS_M)</f>
        <v/>
      </c>
      <c r="M90" s="111" t="str">
        <f aca="false">IF($B90="","",الموظفون!$N90*$J90/cfg_DAYS_M)</f>
        <v/>
      </c>
      <c r="N90" s="111" t="str">
        <f aca="false">IF($B90="","",الموظفون!$O90*$J90/cfg_DAYS_M)</f>
        <v/>
      </c>
      <c r="O90" s="151" t="str">
        <f aca="false">IF($B90="","",SUMIFS('الحركات الشهرية'!$F$6:$F$1005,'الحركات الشهرية'!$B$6:$B$1005,$B90,'الحركات الشهرية'!$A$6:$A$1005,$C$3))</f>
        <v/>
      </c>
      <c r="P90" s="111" t="str">
        <f aca="false">IF($B90="","",O90*(الموظفون!$P90+الموظفون!$L90*cfg_OT_P)/cfg_DAYS_M/cfg_HRS)</f>
        <v/>
      </c>
      <c r="Q90" s="111" t="str">
        <f aca="false">IF($B90="","",SUMIFS('الحركات الشهرية'!$G$6:$G$1005,'الحركات الشهرية'!$B$6:$B$1005,$B90,'الحركات الشهرية'!$A$6:$A$1005,$C$3))</f>
        <v/>
      </c>
      <c r="R90" s="111" t="str">
        <f aca="false">IF($B90="","",SUMIFS('الحركات الشهرية'!$H$6:$H$1005,'الحركات الشهرية'!$B$6:$B$1005,$B90,'الحركات الشهرية'!$A$6:$A$1005,$C$3))</f>
        <v/>
      </c>
      <c r="S90" s="111" t="str">
        <f aca="false">IF($B90="","",SUMIFS('سجل الإجازات والحالات'!$N$6:$N$505,'سجل الإجازات والحالات'!$B$6:$B$505,$B90,'سجل الإجازات والحالات'!$O$6:$O$505,$C$3))</f>
        <v/>
      </c>
      <c r="T90" s="152" t="str">
        <f aca="false">IF($B90="","",SUM(K90:N90)+SUM(P90:S90))</f>
        <v/>
      </c>
      <c r="U90" s="111" t="str">
        <f aca="false">IF($B90="","",الموظفون!$S90*IF(E90="سعودي",cfg_G_SE,cfg_G_NE)*G90/cfg_DAYS_M)</f>
        <v/>
      </c>
      <c r="V90" s="111" t="str">
        <f aca="false">IF($B90="","",SUMIFS('الحركات الشهرية'!$I$6:$I$1005,'الحركات الشهرية'!$B$6:$B$1005,$B90,'الحركات الشهرية'!$A$6:$A$1005,$C$3))</f>
        <v/>
      </c>
      <c r="W90" s="111" t="str">
        <f aca="false">IF($B90="","",SUMIFS('الحركات الشهرية'!$J$6:$J$1005,'الحركات الشهرية'!$B$6:$B$1005,$B90,'الحركات الشهرية'!$A$6:$A$1005,$C$3))</f>
        <v/>
      </c>
      <c r="X90" s="111" t="str">
        <f aca="false">IF($B90="","",SUM(U90:W90))</f>
        <v/>
      </c>
      <c r="Y90" s="153" t="str">
        <f aca="false">IF($B90="","",T90-X90)</f>
        <v/>
      </c>
      <c r="Z90" s="111" t="str">
        <f aca="false">IF($B90="","",الموظفون!$S90*IF(E90="سعودي",cfg_G_SR,cfg_G_NR)*G90/cfg_DAYS_M)</f>
        <v/>
      </c>
      <c r="AA90" s="111" t="str">
        <f aca="false">IF($B90="","",الموظفون!$Q90*(cfg_EOS_R1*(MIN(AH90,cfg_EOS_TH)-MIN(AI90,cfg_EOS_TH))+cfg_EOS_R2*(MAX(AH90-cfg_EOS_TH,0)-MAX(AI90-cfg_EOS_TH,0))))</f>
        <v/>
      </c>
      <c r="AB90" s="111" t="str">
        <f aca="false">IF($B90="","",IF(الموظفون!$T90&lt;&gt;"",الموظفون!$T90,IF(AH90&gt;=cfg_LV_TH,cfg_LV_D2,cfg_LV_D1))/cfg_DAYS_Y*AJ90*الموظفون!$R90/cfg_DAYS_M)</f>
        <v/>
      </c>
      <c r="AC90" s="111" t="str">
        <f aca="false">IF($B90="","",IF(AND(الموظفون!$U90="نعم",N(الموظفون!$W90)&gt;0),الموظفون!$V90/الموظفون!$W90*12/cfg_DAYS_Y*AJ90,0))</f>
        <v/>
      </c>
      <c r="AD90" s="111" t="str">
        <f aca="false">IF($B90="","",(IF(الموظفون!$X90&lt;&gt;"",الموظفون!$X90,IF(الموظفون!$E90="غير سعودي",cfg_IQ,0))+IF(الموظفون!$Y90&lt;&gt;"",الموظفون!$Y90,IF(الموظفون!$E90="غير سعودي",cfg_WP,0)))/12*G90/cfg_DAYS_M)</f>
        <v/>
      </c>
      <c r="AE90" s="111" t="str">
        <f aca="false">IF($B90="","",IF(الموظفون!$Z90&lt;&gt;"",الموظفون!$Z90,cfg_MED)/12*G90/cfg_DAYS_M)</f>
        <v/>
      </c>
      <c r="AF90" s="111" t="str">
        <f aca="false">IF($B90="","",N(الموظفون!$AA90)/12*G90/cfg_DAYS_M)</f>
        <v/>
      </c>
      <c r="AG90" s="154" t="str">
        <f aca="false">IF($B90="","",T90+SUM(Z90:AF90))</f>
        <v/>
      </c>
      <c r="AH90" s="155" t="str">
        <f aca="false">IF($B90="","",MAX(0,IF(OR(الموظفون!$AE90="",الموظفون!$AE90&gt;$F$3),$F$3,الموظفون!$AE90)-الموظفون!$H90+1-SUMIFS('سجل الإجازات والحالات'!$AR$6:$AR$505,'سجل الإجازات والحالات'!$B$6:$B$505,$B90))/cfg_DAYS_Y)</f>
        <v/>
      </c>
      <c r="AI90" s="155" t="str">
        <f aca="false">IF($B90="","",MAX(0,IF(OR(الموظفون!$AE90="",الموظفون!$AE90&gt;($E$3-1)),($E$3-1),الموظفون!$AE90)-الموظفون!$H90+1-SUMIFS('سجل الإجازات والحالات'!$AQ$6:$AQ$505,'سجل الإجازات والحالات'!$B$6:$B$505,$B90))/cfg_DAYS_Y)</f>
        <v/>
      </c>
      <c r="AJ90" s="65" t="str">
        <f aca="false">IF($B90="","",MAX(0,AK90-(SUMIFS('سجل الإجازات والحالات'!$AR$6:$AR$505,'سجل الإجازات والحالات'!$B$6:$B$505,$B90)-SUMIFS('سجل الإجازات والحالات'!$AQ$6:$AQ$505,'سجل الإجازات والحالات'!$B$6:$B$505,$B90))))</f>
        <v/>
      </c>
      <c r="AK90" s="65" t="str">
        <f aca="false">IF($B90="","",MAX(0,IF(OR(الموظفون!$AE90="",الموظفون!$AE90&gt;$F$3),$F$3,الموظفون!$AE90)-MAX($E$3,الموظفون!$H90)+1))</f>
        <v/>
      </c>
      <c r="AL90" s="151" t="str">
        <f aca="false">IF($B90="","",SUMIFS('سجل الإجازات والحالات'!$BD$6:$BD$505,'سجل الإجازات والحالات'!$B$6:$B$505,$B90)+SUMIFS('الحركات الشهرية'!$K$6:$K$1005,'الحركات الشهرية'!$B$6:$B$1005,$B90,'الحركات الشهرية'!$A$6:$A$1005,$C$3))</f>
        <v/>
      </c>
      <c r="AM90" s="111" t="str">
        <f aca="false">IF($B90="","",AL90*الموظفون!$R90/cfg_DAYS_M+S90)</f>
        <v/>
      </c>
      <c r="AN90" s="151" t="str">
        <f aca="false">IF($B90="","",SUMIFS('سجل الإجازات والحالات'!$AF$6:$AF$505,'سجل الإجازات والحالات'!$B$6:$B$505,$B90))</f>
        <v/>
      </c>
    </row>
    <row r="91" customFormat="false" ht="15" hidden="false" customHeight="false" outlineLevel="0" collapsed="false">
      <c r="A91" s="115" t="str">
        <f aca="false">IF($B91="","",الموظفون!$A91)</f>
        <v/>
      </c>
      <c r="B91" s="117" t="str">
        <f aca="false">IF(الموظفون!$B91="","",الموظفون!$B91)</f>
        <v/>
      </c>
      <c r="C91" s="117" t="str">
        <f aca="false">IF($B91="","",الموظفون!$C91)</f>
        <v/>
      </c>
      <c r="D91" s="117" t="str">
        <f aca="false">IF($B91="","",الموظفون!$F91)</f>
        <v/>
      </c>
      <c r="E91" s="117" t="str">
        <f aca="false">IF($B91="","",الموظفون!$E91)</f>
        <v/>
      </c>
      <c r="F91" s="117" t="str">
        <f aca="false">IF($B91="","",IF(AK91=0,IF(AND(الموظفون!$AE91&lt;&gt;"",الموظفون!$AE91&lt;$E$3),"✖ منتهي الخدمة","⏳ لم يباشر"),IF(S91&gt;0,"✈ راتب إجازة مقدم",IF(J91=0,"⛔ بدون راتب هذا الشهر",IF(I91&gt;0,"✈ خصم "&amp;ROUND(I91,2)&amp;" يوم بدون أجر",IF(AL91&gt;0,"🌴 إجازة سنوية "&amp;ROUND(AL91,2)&amp;" يوم",IF(H91&gt;0,"⚠ غياب "&amp;ROUND(H91,2)&amp;" يوم","✔ على رأس العمل")))))))</f>
        <v/>
      </c>
      <c r="G91" s="156" t="str">
        <f aca="false">IF($B91="","",IF(AK91&gt;=DAY($F$3),cfg_DAYS_M,MIN(AK91,cfg_DAYS_M)))</f>
        <v/>
      </c>
      <c r="H91" s="156" t="str">
        <f aca="false">IF($B91="","",SUMIFS('الحركات الشهرية'!$D$6:$D$1005,'الحركات الشهرية'!$B$6:$B$1005,$B91,'الحركات الشهرية'!$A$6:$A$1005,$C$3))</f>
        <v/>
      </c>
      <c r="I91" s="156" t="str">
        <f aca="false">IF($B91="","",MIN(G91,IF(AND(AK91&gt;0,AN91&gt;=AK91),G91,AN91)+SUMIFS('الحركات الشهرية'!$E$6:$E$1005,'الحركات الشهرية'!$B$6:$B$1005,$B91,'الحركات الشهرية'!$A$6:$A$1005,$C$3)))</f>
        <v/>
      </c>
      <c r="J91" s="156" t="str">
        <f aca="false">IF($B91="","",MAX(0,G91-H91-I91))</f>
        <v/>
      </c>
      <c r="K91" s="116" t="str">
        <f aca="false">IF($B91="","",الموظفون!$L91*$J91/cfg_DAYS_M)</f>
        <v/>
      </c>
      <c r="L91" s="116" t="str">
        <f aca="false">IF($B91="","",الموظفون!$M91*$J91/cfg_DAYS_M)</f>
        <v/>
      </c>
      <c r="M91" s="116" t="str">
        <f aca="false">IF($B91="","",الموظفون!$N91*$J91/cfg_DAYS_M)</f>
        <v/>
      </c>
      <c r="N91" s="116" t="str">
        <f aca="false">IF($B91="","",الموظفون!$O91*$J91/cfg_DAYS_M)</f>
        <v/>
      </c>
      <c r="O91" s="156" t="str">
        <f aca="false">IF($B91="","",SUMIFS('الحركات الشهرية'!$F$6:$F$1005,'الحركات الشهرية'!$B$6:$B$1005,$B91,'الحركات الشهرية'!$A$6:$A$1005,$C$3))</f>
        <v/>
      </c>
      <c r="P91" s="116" t="str">
        <f aca="false">IF($B91="","",O91*(الموظفون!$P91+الموظفون!$L91*cfg_OT_P)/cfg_DAYS_M/cfg_HRS)</f>
        <v/>
      </c>
      <c r="Q91" s="116" t="str">
        <f aca="false">IF($B91="","",SUMIFS('الحركات الشهرية'!$G$6:$G$1005,'الحركات الشهرية'!$B$6:$B$1005,$B91,'الحركات الشهرية'!$A$6:$A$1005,$C$3))</f>
        <v/>
      </c>
      <c r="R91" s="116" t="str">
        <f aca="false">IF($B91="","",SUMIFS('الحركات الشهرية'!$H$6:$H$1005,'الحركات الشهرية'!$B$6:$B$1005,$B91,'الحركات الشهرية'!$A$6:$A$1005,$C$3))</f>
        <v/>
      </c>
      <c r="S91" s="116" t="str">
        <f aca="false">IF($B91="","",SUMIFS('سجل الإجازات والحالات'!$N$6:$N$505,'سجل الإجازات والحالات'!$B$6:$B$505,$B91,'سجل الإجازات والحالات'!$O$6:$O$505,$C$3))</f>
        <v/>
      </c>
      <c r="T91" s="157" t="str">
        <f aca="false">IF($B91="","",SUM(K91:N91)+SUM(P91:S91))</f>
        <v/>
      </c>
      <c r="U91" s="116" t="str">
        <f aca="false">IF($B91="","",الموظفون!$S91*IF(E91="سعودي",cfg_G_SE,cfg_G_NE)*G91/cfg_DAYS_M)</f>
        <v/>
      </c>
      <c r="V91" s="116" t="str">
        <f aca="false">IF($B91="","",SUMIFS('الحركات الشهرية'!$I$6:$I$1005,'الحركات الشهرية'!$B$6:$B$1005,$B91,'الحركات الشهرية'!$A$6:$A$1005,$C$3))</f>
        <v/>
      </c>
      <c r="W91" s="116" t="str">
        <f aca="false">IF($B91="","",SUMIFS('الحركات الشهرية'!$J$6:$J$1005,'الحركات الشهرية'!$B$6:$B$1005,$B91,'الحركات الشهرية'!$A$6:$A$1005,$C$3))</f>
        <v/>
      </c>
      <c r="X91" s="116" t="str">
        <f aca="false">IF($B91="","",SUM(U91:W91))</f>
        <v/>
      </c>
      <c r="Y91" s="158" t="str">
        <f aca="false">IF($B91="","",T91-X91)</f>
        <v/>
      </c>
      <c r="Z91" s="116" t="str">
        <f aca="false">IF($B91="","",الموظفون!$S91*IF(E91="سعودي",cfg_G_SR,cfg_G_NR)*G91/cfg_DAYS_M)</f>
        <v/>
      </c>
      <c r="AA91" s="116" t="str">
        <f aca="false">IF($B91="","",الموظفون!$Q91*(cfg_EOS_R1*(MIN(AH91,cfg_EOS_TH)-MIN(AI91,cfg_EOS_TH))+cfg_EOS_R2*(MAX(AH91-cfg_EOS_TH,0)-MAX(AI91-cfg_EOS_TH,0))))</f>
        <v/>
      </c>
      <c r="AB91" s="116" t="str">
        <f aca="false">IF($B91="","",IF(الموظفون!$T91&lt;&gt;"",الموظفون!$T91,IF(AH91&gt;=cfg_LV_TH,cfg_LV_D2,cfg_LV_D1))/cfg_DAYS_Y*AJ91*الموظفون!$R91/cfg_DAYS_M)</f>
        <v/>
      </c>
      <c r="AC91" s="116" t="str">
        <f aca="false">IF($B91="","",IF(AND(الموظفون!$U91="نعم",N(الموظفون!$W91)&gt;0),الموظفون!$V91/الموظفون!$W91*12/cfg_DAYS_Y*AJ91,0))</f>
        <v/>
      </c>
      <c r="AD91" s="116" t="str">
        <f aca="false">IF($B91="","",(IF(الموظفون!$X91&lt;&gt;"",الموظفون!$X91,IF(الموظفون!$E91="غير سعودي",cfg_IQ,0))+IF(الموظفون!$Y91&lt;&gt;"",الموظفون!$Y91,IF(الموظفون!$E91="غير سعودي",cfg_WP,0)))/12*G91/cfg_DAYS_M)</f>
        <v/>
      </c>
      <c r="AE91" s="116" t="str">
        <f aca="false">IF($B91="","",IF(الموظفون!$Z91&lt;&gt;"",الموظفون!$Z91,cfg_MED)/12*G91/cfg_DAYS_M)</f>
        <v/>
      </c>
      <c r="AF91" s="116" t="str">
        <f aca="false">IF($B91="","",N(الموظفون!$AA91)/12*G91/cfg_DAYS_M)</f>
        <v/>
      </c>
      <c r="AG91" s="159" t="str">
        <f aca="false">IF($B91="","",T91+SUM(Z91:AF91))</f>
        <v/>
      </c>
      <c r="AH91" s="160" t="str">
        <f aca="false">IF($B91="","",MAX(0,IF(OR(الموظفون!$AE91="",الموظفون!$AE91&gt;$F$3),$F$3,الموظفون!$AE91)-الموظفون!$H91+1-SUMIFS('سجل الإجازات والحالات'!$AR$6:$AR$505,'سجل الإجازات والحالات'!$B$6:$B$505,$B91))/cfg_DAYS_Y)</f>
        <v/>
      </c>
      <c r="AI91" s="160" t="str">
        <f aca="false">IF($B91="","",MAX(0,IF(OR(الموظفون!$AE91="",الموظفون!$AE91&gt;($E$3-1)),($E$3-1),الموظفون!$AE91)-الموظفون!$H91+1-SUMIFS('سجل الإجازات والحالات'!$AQ$6:$AQ$505,'سجل الإجازات والحالات'!$B$6:$B$505,$B91))/cfg_DAYS_Y)</f>
        <v/>
      </c>
      <c r="AJ91" s="133" t="str">
        <f aca="false">IF($B91="","",MAX(0,AK91-(SUMIFS('سجل الإجازات والحالات'!$AR$6:$AR$505,'سجل الإجازات والحالات'!$B$6:$B$505,$B91)-SUMIFS('سجل الإجازات والحالات'!$AQ$6:$AQ$505,'سجل الإجازات والحالات'!$B$6:$B$505,$B91))))</f>
        <v/>
      </c>
      <c r="AK91" s="133" t="str">
        <f aca="false">IF($B91="","",MAX(0,IF(OR(الموظفون!$AE91="",الموظفون!$AE91&gt;$F$3),$F$3,الموظفون!$AE91)-MAX($E$3,الموظفون!$H91)+1))</f>
        <v/>
      </c>
      <c r="AL91" s="156" t="str">
        <f aca="false">IF($B91="","",SUMIFS('سجل الإجازات والحالات'!$BD$6:$BD$505,'سجل الإجازات والحالات'!$B$6:$B$505,$B91)+SUMIFS('الحركات الشهرية'!$K$6:$K$1005,'الحركات الشهرية'!$B$6:$B$1005,$B91,'الحركات الشهرية'!$A$6:$A$1005,$C$3))</f>
        <v/>
      </c>
      <c r="AM91" s="116" t="str">
        <f aca="false">IF($B91="","",AL91*الموظفون!$R91/cfg_DAYS_M+S91)</f>
        <v/>
      </c>
      <c r="AN91" s="156" t="str">
        <f aca="false">IF($B91="","",SUMIFS('سجل الإجازات والحالات'!$AF$6:$AF$505,'سجل الإجازات والحالات'!$B$6:$B$505,$B91))</f>
        <v/>
      </c>
    </row>
    <row r="92" customFormat="false" ht="15" hidden="false" customHeight="false" outlineLevel="0" collapsed="false">
      <c r="A92" s="106" t="str">
        <f aca="false">IF($B92="","",الموظفون!$A92)</f>
        <v/>
      </c>
      <c r="B92" s="114" t="str">
        <f aca="false">IF(الموظفون!$B92="","",الموظفون!$B92)</f>
        <v/>
      </c>
      <c r="C92" s="114" t="str">
        <f aca="false">IF($B92="","",الموظفون!$C92)</f>
        <v/>
      </c>
      <c r="D92" s="114" t="str">
        <f aca="false">IF($B92="","",الموظفون!$F92)</f>
        <v/>
      </c>
      <c r="E92" s="114" t="str">
        <f aca="false">IF($B92="","",الموظفون!$E92)</f>
        <v/>
      </c>
      <c r="F92" s="114" t="str">
        <f aca="false">IF($B92="","",IF(AK92=0,IF(AND(الموظفون!$AE92&lt;&gt;"",الموظفون!$AE92&lt;$E$3),"✖ منتهي الخدمة","⏳ لم يباشر"),IF(S92&gt;0,"✈ راتب إجازة مقدم",IF(J92=0,"⛔ بدون راتب هذا الشهر",IF(I92&gt;0,"✈ خصم "&amp;ROUND(I92,2)&amp;" يوم بدون أجر",IF(AL92&gt;0,"🌴 إجازة سنوية "&amp;ROUND(AL92,2)&amp;" يوم",IF(H92&gt;0,"⚠ غياب "&amp;ROUND(H92,2)&amp;" يوم","✔ على رأس العمل")))))))</f>
        <v/>
      </c>
      <c r="G92" s="151" t="str">
        <f aca="false">IF($B92="","",IF(AK92&gt;=DAY($F$3),cfg_DAYS_M,MIN(AK92,cfg_DAYS_M)))</f>
        <v/>
      </c>
      <c r="H92" s="151" t="str">
        <f aca="false">IF($B92="","",SUMIFS('الحركات الشهرية'!$D$6:$D$1005,'الحركات الشهرية'!$B$6:$B$1005,$B92,'الحركات الشهرية'!$A$6:$A$1005,$C$3))</f>
        <v/>
      </c>
      <c r="I92" s="151" t="str">
        <f aca="false">IF($B92="","",MIN(G92,IF(AND(AK92&gt;0,AN92&gt;=AK92),G92,AN92)+SUMIFS('الحركات الشهرية'!$E$6:$E$1005,'الحركات الشهرية'!$B$6:$B$1005,$B92,'الحركات الشهرية'!$A$6:$A$1005,$C$3)))</f>
        <v/>
      </c>
      <c r="J92" s="151" t="str">
        <f aca="false">IF($B92="","",MAX(0,G92-H92-I92))</f>
        <v/>
      </c>
      <c r="K92" s="111" t="str">
        <f aca="false">IF($B92="","",الموظفون!$L92*$J92/cfg_DAYS_M)</f>
        <v/>
      </c>
      <c r="L92" s="111" t="str">
        <f aca="false">IF($B92="","",الموظفون!$M92*$J92/cfg_DAYS_M)</f>
        <v/>
      </c>
      <c r="M92" s="111" t="str">
        <f aca="false">IF($B92="","",الموظفون!$N92*$J92/cfg_DAYS_M)</f>
        <v/>
      </c>
      <c r="N92" s="111" t="str">
        <f aca="false">IF($B92="","",الموظفون!$O92*$J92/cfg_DAYS_M)</f>
        <v/>
      </c>
      <c r="O92" s="151" t="str">
        <f aca="false">IF($B92="","",SUMIFS('الحركات الشهرية'!$F$6:$F$1005,'الحركات الشهرية'!$B$6:$B$1005,$B92,'الحركات الشهرية'!$A$6:$A$1005,$C$3))</f>
        <v/>
      </c>
      <c r="P92" s="111" t="str">
        <f aca="false">IF($B92="","",O92*(الموظفون!$P92+الموظفون!$L92*cfg_OT_P)/cfg_DAYS_M/cfg_HRS)</f>
        <v/>
      </c>
      <c r="Q92" s="111" t="str">
        <f aca="false">IF($B92="","",SUMIFS('الحركات الشهرية'!$G$6:$G$1005,'الحركات الشهرية'!$B$6:$B$1005,$B92,'الحركات الشهرية'!$A$6:$A$1005,$C$3))</f>
        <v/>
      </c>
      <c r="R92" s="111" t="str">
        <f aca="false">IF($B92="","",SUMIFS('الحركات الشهرية'!$H$6:$H$1005,'الحركات الشهرية'!$B$6:$B$1005,$B92,'الحركات الشهرية'!$A$6:$A$1005,$C$3))</f>
        <v/>
      </c>
      <c r="S92" s="111" t="str">
        <f aca="false">IF($B92="","",SUMIFS('سجل الإجازات والحالات'!$N$6:$N$505,'سجل الإجازات والحالات'!$B$6:$B$505,$B92,'سجل الإجازات والحالات'!$O$6:$O$505,$C$3))</f>
        <v/>
      </c>
      <c r="T92" s="152" t="str">
        <f aca="false">IF($B92="","",SUM(K92:N92)+SUM(P92:S92))</f>
        <v/>
      </c>
      <c r="U92" s="111" t="str">
        <f aca="false">IF($B92="","",الموظفون!$S92*IF(E92="سعودي",cfg_G_SE,cfg_G_NE)*G92/cfg_DAYS_M)</f>
        <v/>
      </c>
      <c r="V92" s="111" t="str">
        <f aca="false">IF($B92="","",SUMIFS('الحركات الشهرية'!$I$6:$I$1005,'الحركات الشهرية'!$B$6:$B$1005,$B92,'الحركات الشهرية'!$A$6:$A$1005,$C$3))</f>
        <v/>
      </c>
      <c r="W92" s="111" t="str">
        <f aca="false">IF($B92="","",SUMIFS('الحركات الشهرية'!$J$6:$J$1005,'الحركات الشهرية'!$B$6:$B$1005,$B92,'الحركات الشهرية'!$A$6:$A$1005,$C$3))</f>
        <v/>
      </c>
      <c r="X92" s="111" t="str">
        <f aca="false">IF($B92="","",SUM(U92:W92))</f>
        <v/>
      </c>
      <c r="Y92" s="153" t="str">
        <f aca="false">IF($B92="","",T92-X92)</f>
        <v/>
      </c>
      <c r="Z92" s="111" t="str">
        <f aca="false">IF($B92="","",الموظفون!$S92*IF(E92="سعودي",cfg_G_SR,cfg_G_NR)*G92/cfg_DAYS_M)</f>
        <v/>
      </c>
      <c r="AA92" s="111" t="str">
        <f aca="false">IF($B92="","",الموظفون!$Q92*(cfg_EOS_R1*(MIN(AH92,cfg_EOS_TH)-MIN(AI92,cfg_EOS_TH))+cfg_EOS_R2*(MAX(AH92-cfg_EOS_TH,0)-MAX(AI92-cfg_EOS_TH,0))))</f>
        <v/>
      </c>
      <c r="AB92" s="111" t="str">
        <f aca="false">IF($B92="","",IF(الموظفون!$T92&lt;&gt;"",الموظفون!$T92,IF(AH92&gt;=cfg_LV_TH,cfg_LV_D2,cfg_LV_D1))/cfg_DAYS_Y*AJ92*الموظفون!$R92/cfg_DAYS_M)</f>
        <v/>
      </c>
      <c r="AC92" s="111" t="str">
        <f aca="false">IF($B92="","",IF(AND(الموظفون!$U92="نعم",N(الموظفون!$W92)&gt;0),الموظفون!$V92/الموظفون!$W92*12/cfg_DAYS_Y*AJ92,0))</f>
        <v/>
      </c>
      <c r="AD92" s="111" t="str">
        <f aca="false">IF($B92="","",(IF(الموظفون!$X92&lt;&gt;"",الموظفون!$X92,IF(الموظفون!$E92="غير سعودي",cfg_IQ,0))+IF(الموظفون!$Y92&lt;&gt;"",الموظفون!$Y92,IF(الموظفون!$E92="غير سعودي",cfg_WP,0)))/12*G92/cfg_DAYS_M)</f>
        <v/>
      </c>
      <c r="AE92" s="111" t="str">
        <f aca="false">IF($B92="","",IF(الموظفون!$Z92&lt;&gt;"",الموظفون!$Z92,cfg_MED)/12*G92/cfg_DAYS_M)</f>
        <v/>
      </c>
      <c r="AF92" s="111" t="str">
        <f aca="false">IF($B92="","",N(الموظفون!$AA92)/12*G92/cfg_DAYS_M)</f>
        <v/>
      </c>
      <c r="AG92" s="154" t="str">
        <f aca="false">IF($B92="","",T92+SUM(Z92:AF92))</f>
        <v/>
      </c>
      <c r="AH92" s="155" t="str">
        <f aca="false">IF($B92="","",MAX(0,IF(OR(الموظفون!$AE92="",الموظفون!$AE92&gt;$F$3),$F$3,الموظفون!$AE92)-الموظفون!$H92+1-SUMIFS('سجل الإجازات والحالات'!$AR$6:$AR$505,'سجل الإجازات والحالات'!$B$6:$B$505,$B92))/cfg_DAYS_Y)</f>
        <v/>
      </c>
      <c r="AI92" s="155" t="str">
        <f aca="false">IF($B92="","",MAX(0,IF(OR(الموظفون!$AE92="",الموظفون!$AE92&gt;($E$3-1)),($E$3-1),الموظفون!$AE92)-الموظفون!$H92+1-SUMIFS('سجل الإجازات والحالات'!$AQ$6:$AQ$505,'سجل الإجازات والحالات'!$B$6:$B$505,$B92))/cfg_DAYS_Y)</f>
        <v/>
      </c>
      <c r="AJ92" s="65" t="str">
        <f aca="false">IF($B92="","",MAX(0,AK92-(SUMIFS('سجل الإجازات والحالات'!$AR$6:$AR$505,'سجل الإجازات والحالات'!$B$6:$B$505,$B92)-SUMIFS('سجل الإجازات والحالات'!$AQ$6:$AQ$505,'سجل الإجازات والحالات'!$B$6:$B$505,$B92))))</f>
        <v/>
      </c>
      <c r="AK92" s="65" t="str">
        <f aca="false">IF($B92="","",MAX(0,IF(OR(الموظفون!$AE92="",الموظفون!$AE92&gt;$F$3),$F$3,الموظفون!$AE92)-MAX($E$3,الموظفون!$H92)+1))</f>
        <v/>
      </c>
      <c r="AL92" s="151" t="str">
        <f aca="false">IF($B92="","",SUMIFS('سجل الإجازات والحالات'!$BD$6:$BD$505,'سجل الإجازات والحالات'!$B$6:$B$505,$B92)+SUMIFS('الحركات الشهرية'!$K$6:$K$1005,'الحركات الشهرية'!$B$6:$B$1005,$B92,'الحركات الشهرية'!$A$6:$A$1005,$C$3))</f>
        <v/>
      </c>
      <c r="AM92" s="111" t="str">
        <f aca="false">IF($B92="","",AL92*الموظفون!$R92/cfg_DAYS_M+S92)</f>
        <v/>
      </c>
      <c r="AN92" s="151" t="str">
        <f aca="false">IF($B92="","",SUMIFS('سجل الإجازات والحالات'!$AF$6:$AF$505,'سجل الإجازات والحالات'!$B$6:$B$505,$B92))</f>
        <v/>
      </c>
    </row>
    <row r="93" customFormat="false" ht="15" hidden="false" customHeight="false" outlineLevel="0" collapsed="false">
      <c r="A93" s="115" t="str">
        <f aca="false">IF($B93="","",الموظفون!$A93)</f>
        <v/>
      </c>
      <c r="B93" s="117" t="str">
        <f aca="false">IF(الموظفون!$B93="","",الموظفون!$B93)</f>
        <v/>
      </c>
      <c r="C93" s="117" t="str">
        <f aca="false">IF($B93="","",الموظفون!$C93)</f>
        <v/>
      </c>
      <c r="D93" s="117" t="str">
        <f aca="false">IF($B93="","",الموظفون!$F93)</f>
        <v/>
      </c>
      <c r="E93" s="117" t="str">
        <f aca="false">IF($B93="","",الموظفون!$E93)</f>
        <v/>
      </c>
      <c r="F93" s="117" t="str">
        <f aca="false">IF($B93="","",IF(AK93=0,IF(AND(الموظفون!$AE93&lt;&gt;"",الموظفون!$AE93&lt;$E$3),"✖ منتهي الخدمة","⏳ لم يباشر"),IF(S93&gt;0,"✈ راتب إجازة مقدم",IF(J93=0,"⛔ بدون راتب هذا الشهر",IF(I93&gt;0,"✈ خصم "&amp;ROUND(I93,2)&amp;" يوم بدون أجر",IF(AL93&gt;0,"🌴 إجازة سنوية "&amp;ROUND(AL93,2)&amp;" يوم",IF(H93&gt;0,"⚠ غياب "&amp;ROUND(H93,2)&amp;" يوم","✔ على رأس العمل")))))))</f>
        <v/>
      </c>
      <c r="G93" s="156" t="str">
        <f aca="false">IF($B93="","",IF(AK93&gt;=DAY($F$3),cfg_DAYS_M,MIN(AK93,cfg_DAYS_M)))</f>
        <v/>
      </c>
      <c r="H93" s="156" t="str">
        <f aca="false">IF($B93="","",SUMIFS('الحركات الشهرية'!$D$6:$D$1005,'الحركات الشهرية'!$B$6:$B$1005,$B93,'الحركات الشهرية'!$A$6:$A$1005,$C$3))</f>
        <v/>
      </c>
      <c r="I93" s="156" t="str">
        <f aca="false">IF($B93="","",MIN(G93,IF(AND(AK93&gt;0,AN93&gt;=AK93),G93,AN93)+SUMIFS('الحركات الشهرية'!$E$6:$E$1005,'الحركات الشهرية'!$B$6:$B$1005,$B93,'الحركات الشهرية'!$A$6:$A$1005,$C$3)))</f>
        <v/>
      </c>
      <c r="J93" s="156" t="str">
        <f aca="false">IF($B93="","",MAX(0,G93-H93-I93))</f>
        <v/>
      </c>
      <c r="K93" s="116" t="str">
        <f aca="false">IF($B93="","",الموظفون!$L93*$J93/cfg_DAYS_M)</f>
        <v/>
      </c>
      <c r="L93" s="116" t="str">
        <f aca="false">IF($B93="","",الموظفون!$M93*$J93/cfg_DAYS_M)</f>
        <v/>
      </c>
      <c r="M93" s="116" t="str">
        <f aca="false">IF($B93="","",الموظفون!$N93*$J93/cfg_DAYS_M)</f>
        <v/>
      </c>
      <c r="N93" s="116" t="str">
        <f aca="false">IF($B93="","",الموظفون!$O93*$J93/cfg_DAYS_M)</f>
        <v/>
      </c>
      <c r="O93" s="156" t="str">
        <f aca="false">IF($B93="","",SUMIFS('الحركات الشهرية'!$F$6:$F$1005,'الحركات الشهرية'!$B$6:$B$1005,$B93,'الحركات الشهرية'!$A$6:$A$1005,$C$3))</f>
        <v/>
      </c>
      <c r="P93" s="116" t="str">
        <f aca="false">IF($B93="","",O93*(الموظفون!$P93+الموظفون!$L93*cfg_OT_P)/cfg_DAYS_M/cfg_HRS)</f>
        <v/>
      </c>
      <c r="Q93" s="116" t="str">
        <f aca="false">IF($B93="","",SUMIFS('الحركات الشهرية'!$G$6:$G$1005,'الحركات الشهرية'!$B$6:$B$1005,$B93,'الحركات الشهرية'!$A$6:$A$1005,$C$3))</f>
        <v/>
      </c>
      <c r="R93" s="116" t="str">
        <f aca="false">IF($B93="","",SUMIFS('الحركات الشهرية'!$H$6:$H$1005,'الحركات الشهرية'!$B$6:$B$1005,$B93,'الحركات الشهرية'!$A$6:$A$1005,$C$3))</f>
        <v/>
      </c>
      <c r="S93" s="116" t="str">
        <f aca="false">IF($B93="","",SUMIFS('سجل الإجازات والحالات'!$N$6:$N$505,'سجل الإجازات والحالات'!$B$6:$B$505,$B93,'سجل الإجازات والحالات'!$O$6:$O$505,$C$3))</f>
        <v/>
      </c>
      <c r="T93" s="157" t="str">
        <f aca="false">IF($B93="","",SUM(K93:N93)+SUM(P93:S93))</f>
        <v/>
      </c>
      <c r="U93" s="116" t="str">
        <f aca="false">IF($B93="","",الموظفون!$S93*IF(E93="سعودي",cfg_G_SE,cfg_G_NE)*G93/cfg_DAYS_M)</f>
        <v/>
      </c>
      <c r="V93" s="116" t="str">
        <f aca="false">IF($B93="","",SUMIFS('الحركات الشهرية'!$I$6:$I$1005,'الحركات الشهرية'!$B$6:$B$1005,$B93,'الحركات الشهرية'!$A$6:$A$1005,$C$3))</f>
        <v/>
      </c>
      <c r="W93" s="116" t="str">
        <f aca="false">IF($B93="","",SUMIFS('الحركات الشهرية'!$J$6:$J$1005,'الحركات الشهرية'!$B$6:$B$1005,$B93,'الحركات الشهرية'!$A$6:$A$1005,$C$3))</f>
        <v/>
      </c>
      <c r="X93" s="116" t="str">
        <f aca="false">IF($B93="","",SUM(U93:W93))</f>
        <v/>
      </c>
      <c r="Y93" s="158" t="str">
        <f aca="false">IF($B93="","",T93-X93)</f>
        <v/>
      </c>
      <c r="Z93" s="116" t="str">
        <f aca="false">IF($B93="","",الموظفون!$S93*IF(E93="سعودي",cfg_G_SR,cfg_G_NR)*G93/cfg_DAYS_M)</f>
        <v/>
      </c>
      <c r="AA93" s="116" t="str">
        <f aca="false">IF($B93="","",الموظفون!$Q93*(cfg_EOS_R1*(MIN(AH93,cfg_EOS_TH)-MIN(AI93,cfg_EOS_TH))+cfg_EOS_R2*(MAX(AH93-cfg_EOS_TH,0)-MAX(AI93-cfg_EOS_TH,0))))</f>
        <v/>
      </c>
      <c r="AB93" s="116" t="str">
        <f aca="false">IF($B93="","",IF(الموظفون!$T93&lt;&gt;"",الموظفون!$T93,IF(AH93&gt;=cfg_LV_TH,cfg_LV_D2,cfg_LV_D1))/cfg_DAYS_Y*AJ93*الموظفون!$R93/cfg_DAYS_M)</f>
        <v/>
      </c>
      <c r="AC93" s="116" t="str">
        <f aca="false">IF($B93="","",IF(AND(الموظفون!$U93="نعم",N(الموظفون!$W93)&gt;0),الموظفون!$V93/الموظفون!$W93*12/cfg_DAYS_Y*AJ93,0))</f>
        <v/>
      </c>
      <c r="AD93" s="116" t="str">
        <f aca="false">IF($B93="","",(IF(الموظفون!$X93&lt;&gt;"",الموظفون!$X93,IF(الموظفون!$E93="غير سعودي",cfg_IQ,0))+IF(الموظفون!$Y93&lt;&gt;"",الموظفون!$Y93,IF(الموظفون!$E93="غير سعودي",cfg_WP,0)))/12*G93/cfg_DAYS_M)</f>
        <v/>
      </c>
      <c r="AE93" s="116" t="str">
        <f aca="false">IF($B93="","",IF(الموظفون!$Z93&lt;&gt;"",الموظفون!$Z93,cfg_MED)/12*G93/cfg_DAYS_M)</f>
        <v/>
      </c>
      <c r="AF93" s="116" t="str">
        <f aca="false">IF($B93="","",N(الموظفون!$AA93)/12*G93/cfg_DAYS_M)</f>
        <v/>
      </c>
      <c r="AG93" s="159" t="str">
        <f aca="false">IF($B93="","",T93+SUM(Z93:AF93))</f>
        <v/>
      </c>
      <c r="AH93" s="160" t="str">
        <f aca="false">IF($B93="","",MAX(0,IF(OR(الموظفون!$AE93="",الموظفون!$AE93&gt;$F$3),$F$3,الموظفون!$AE93)-الموظفون!$H93+1-SUMIFS('سجل الإجازات والحالات'!$AR$6:$AR$505,'سجل الإجازات والحالات'!$B$6:$B$505,$B93))/cfg_DAYS_Y)</f>
        <v/>
      </c>
      <c r="AI93" s="160" t="str">
        <f aca="false">IF($B93="","",MAX(0,IF(OR(الموظفون!$AE93="",الموظفون!$AE93&gt;($E$3-1)),($E$3-1),الموظفون!$AE93)-الموظفون!$H93+1-SUMIFS('سجل الإجازات والحالات'!$AQ$6:$AQ$505,'سجل الإجازات والحالات'!$B$6:$B$505,$B93))/cfg_DAYS_Y)</f>
        <v/>
      </c>
      <c r="AJ93" s="133" t="str">
        <f aca="false">IF($B93="","",MAX(0,AK93-(SUMIFS('سجل الإجازات والحالات'!$AR$6:$AR$505,'سجل الإجازات والحالات'!$B$6:$B$505,$B93)-SUMIFS('سجل الإجازات والحالات'!$AQ$6:$AQ$505,'سجل الإجازات والحالات'!$B$6:$B$505,$B93))))</f>
        <v/>
      </c>
      <c r="AK93" s="133" t="str">
        <f aca="false">IF($B93="","",MAX(0,IF(OR(الموظفون!$AE93="",الموظفون!$AE93&gt;$F$3),$F$3,الموظفون!$AE93)-MAX($E$3,الموظفون!$H93)+1))</f>
        <v/>
      </c>
      <c r="AL93" s="156" t="str">
        <f aca="false">IF($B93="","",SUMIFS('سجل الإجازات والحالات'!$BD$6:$BD$505,'سجل الإجازات والحالات'!$B$6:$B$505,$B93)+SUMIFS('الحركات الشهرية'!$K$6:$K$1005,'الحركات الشهرية'!$B$6:$B$1005,$B93,'الحركات الشهرية'!$A$6:$A$1005,$C$3))</f>
        <v/>
      </c>
      <c r="AM93" s="116" t="str">
        <f aca="false">IF($B93="","",AL93*الموظفون!$R93/cfg_DAYS_M+S93)</f>
        <v/>
      </c>
      <c r="AN93" s="156" t="str">
        <f aca="false">IF($B93="","",SUMIFS('سجل الإجازات والحالات'!$AF$6:$AF$505,'سجل الإجازات والحالات'!$B$6:$B$505,$B93))</f>
        <v/>
      </c>
    </row>
    <row r="94" customFormat="false" ht="15" hidden="false" customHeight="false" outlineLevel="0" collapsed="false">
      <c r="A94" s="106" t="str">
        <f aca="false">IF($B94="","",الموظفون!$A94)</f>
        <v/>
      </c>
      <c r="B94" s="114" t="str">
        <f aca="false">IF(الموظفون!$B94="","",الموظفون!$B94)</f>
        <v/>
      </c>
      <c r="C94" s="114" t="str">
        <f aca="false">IF($B94="","",الموظفون!$C94)</f>
        <v/>
      </c>
      <c r="D94" s="114" t="str">
        <f aca="false">IF($B94="","",الموظفون!$F94)</f>
        <v/>
      </c>
      <c r="E94" s="114" t="str">
        <f aca="false">IF($B94="","",الموظفون!$E94)</f>
        <v/>
      </c>
      <c r="F94" s="114" t="str">
        <f aca="false">IF($B94="","",IF(AK94=0,IF(AND(الموظفون!$AE94&lt;&gt;"",الموظفون!$AE94&lt;$E$3),"✖ منتهي الخدمة","⏳ لم يباشر"),IF(S94&gt;0,"✈ راتب إجازة مقدم",IF(J94=0,"⛔ بدون راتب هذا الشهر",IF(I94&gt;0,"✈ خصم "&amp;ROUND(I94,2)&amp;" يوم بدون أجر",IF(AL94&gt;0,"🌴 إجازة سنوية "&amp;ROUND(AL94,2)&amp;" يوم",IF(H94&gt;0,"⚠ غياب "&amp;ROUND(H94,2)&amp;" يوم","✔ على رأس العمل")))))))</f>
        <v/>
      </c>
      <c r="G94" s="151" t="str">
        <f aca="false">IF($B94="","",IF(AK94&gt;=DAY($F$3),cfg_DAYS_M,MIN(AK94,cfg_DAYS_M)))</f>
        <v/>
      </c>
      <c r="H94" s="151" t="str">
        <f aca="false">IF($B94="","",SUMIFS('الحركات الشهرية'!$D$6:$D$1005,'الحركات الشهرية'!$B$6:$B$1005,$B94,'الحركات الشهرية'!$A$6:$A$1005,$C$3))</f>
        <v/>
      </c>
      <c r="I94" s="151" t="str">
        <f aca="false">IF($B94="","",MIN(G94,IF(AND(AK94&gt;0,AN94&gt;=AK94),G94,AN94)+SUMIFS('الحركات الشهرية'!$E$6:$E$1005,'الحركات الشهرية'!$B$6:$B$1005,$B94,'الحركات الشهرية'!$A$6:$A$1005,$C$3)))</f>
        <v/>
      </c>
      <c r="J94" s="151" t="str">
        <f aca="false">IF($B94="","",MAX(0,G94-H94-I94))</f>
        <v/>
      </c>
      <c r="K94" s="111" t="str">
        <f aca="false">IF($B94="","",الموظفون!$L94*$J94/cfg_DAYS_M)</f>
        <v/>
      </c>
      <c r="L94" s="111" t="str">
        <f aca="false">IF($B94="","",الموظفون!$M94*$J94/cfg_DAYS_M)</f>
        <v/>
      </c>
      <c r="M94" s="111" t="str">
        <f aca="false">IF($B94="","",الموظفون!$N94*$J94/cfg_DAYS_M)</f>
        <v/>
      </c>
      <c r="N94" s="111" t="str">
        <f aca="false">IF($B94="","",الموظفون!$O94*$J94/cfg_DAYS_M)</f>
        <v/>
      </c>
      <c r="O94" s="151" t="str">
        <f aca="false">IF($B94="","",SUMIFS('الحركات الشهرية'!$F$6:$F$1005,'الحركات الشهرية'!$B$6:$B$1005,$B94,'الحركات الشهرية'!$A$6:$A$1005,$C$3))</f>
        <v/>
      </c>
      <c r="P94" s="111" t="str">
        <f aca="false">IF($B94="","",O94*(الموظفون!$P94+الموظفون!$L94*cfg_OT_P)/cfg_DAYS_M/cfg_HRS)</f>
        <v/>
      </c>
      <c r="Q94" s="111" t="str">
        <f aca="false">IF($B94="","",SUMIFS('الحركات الشهرية'!$G$6:$G$1005,'الحركات الشهرية'!$B$6:$B$1005,$B94,'الحركات الشهرية'!$A$6:$A$1005,$C$3))</f>
        <v/>
      </c>
      <c r="R94" s="111" t="str">
        <f aca="false">IF($B94="","",SUMIFS('الحركات الشهرية'!$H$6:$H$1005,'الحركات الشهرية'!$B$6:$B$1005,$B94,'الحركات الشهرية'!$A$6:$A$1005,$C$3))</f>
        <v/>
      </c>
      <c r="S94" s="111" t="str">
        <f aca="false">IF($B94="","",SUMIFS('سجل الإجازات والحالات'!$N$6:$N$505,'سجل الإجازات والحالات'!$B$6:$B$505,$B94,'سجل الإجازات والحالات'!$O$6:$O$505,$C$3))</f>
        <v/>
      </c>
      <c r="T94" s="152" t="str">
        <f aca="false">IF($B94="","",SUM(K94:N94)+SUM(P94:S94))</f>
        <v/>
      </c>
      <c r="U94" s="111" t="str">
        <f aca="false">IF($B94="","",الموظفون!$S94*IF(E94="سعودي",cfg_G_SE,cfg_G_NE)*G94/cfg_DAYS_M)</f>
        <v/>
      </c>
      <c r="V94" s="111" t="str">
        <f aca="false">IF($B94="","",SUMIFS('الحركات الشهرية'!$I$6:$I$1005,'الحركات الشهرية'!$B$6:$B$1005,$B94,'الحركات الشهرية'!$A$6:$A$1005,$C$3))</f>
        <v/>
      </c>
      <c r="W94" s="111" t="str">
        <f aca="false">IF($B94="","",SUMIFS('الحركات الشهرية'!$J$6:$J$1005,'الحركات الشهرية'!$B$6:$B$1005,$B94,'الحركات الشهرية'!$A$6:$A$1005,$C$3))</f>
        <v/>
      </c>
      <c r="X94" s="111" t="str">
        <f aca="false">IF($B94="","",SUM(U94:W94))</f>
        <v/>
      </c>
      <c r="Y94" s="153" t="str">
        <f aca="false">IF($B94="","",T94-X94)</f>
        <v/>
      </c>
      <c r="Z94" s="111" t="str">
        <f aca="false">IF($B94="","",الموظفون!$S94*IF(E94="سعودي",cfg_G_SR,cfg_G_NR)*G94/cfg_DAYS_M)</f>
        <v/>
      </c>
      <c r="AA94" s="111" t="str">
        <f aca="false">IF($B94="","",الموظفون!$Q94*(cfg_EOS_R1*(MIN(AH94,cfg_EOS_TH)-MIN(AI94,cfg_EOS_TH))+cfg_EOS_R2*(MAX(AH94-cfg_EOS_TH,0)-MAX(AI94-cfg_EOS_TH,0))))</f>
        <v/>
      </c>
      <c r="AB94" s="111" t="str">
        <f aca="false">IF($B94="","",IF(الموظفون!$T94&lt;&gt;"",الموظفون!$T94,IF(AH94&gt;=cfg_LV_TH,cfg_LV_D2,cfg_LV_D1))/cfg_DAYS_Y*AJ94*الموظفون!$R94/cfg_DAYS_M)</f>
        <v/>
      </c>
      <c r="AC94" s="111" t="str">
        <f aca="false">IF($B94="","",IF(AND(الموظفون!$U94="نعم",N(الموظفون!$W94)&gt;0),الموظفون!$V94/الموظفون!$W94*12/cfg_DAYS_Y*AJ94,0))</f>
        <v/>
      </c>
      <c r="AD94" s="111" t="str">
        <f aca="false">IF($B94="","",(IF(الموظفون!$X94&lt;&gt;"",الموظفون!$X94,IF(الموظفون!$E94="غير سعودي",cfg_IQ,0))+IF(الموظفون!$Y94&lt;&gt;"",الموظفون!$Y94,IF(الموظفون!$E94="غير سعودي",cfg_WP,0)))/12*G94/cfg_DAYS_M)</f>
        <v/>
      </c>
      <c r="AE94" s="111" t="str">
        <f aca="false">IF($B94="","",IF(الموظفون!$Z94&lt;&gt;"",الموظفون!$Z94,cfg_MED)/12*G94/cfg_DAYS_M)</f>
        <v/>
      </c>
      <c r="AF94" s="111" t="str">
        <f aca="false">IF($B94="","",N(الموظفون!$AA94)/12*G94/cfg_DAYS_M)</f>
        <v/>
      </c>
      <c r="AG94" s="154" t="str">
        <f aca="false">IF($B94="","",T94+SUM(Z94:AF94))</f>
        <v/>
      </c>
      <c r="AH94" s="155" t="str">
        <f aca="false">IF($B94="","",MAX(0,IF(OR(الموظفون!$AE94="",الموظفون!$AE94&gt;$F$3),$F$3,الموظفون!$AE94)-الموظفون!$H94+1-SUMIFS('سجل الإجازات والحالات'!$AR$6:$AR$505,'سجل الإجازات والحالات'!$B$6:$B$505,$B94))/cfg_DAYS_Y)</f>
        <v/>
      </c>
      <c r="AI94" s="155" t="str">
        <f aca="false">IF($B94="","",MAX(0,IF(OR(الموظفون!$AE94="",الموظفون!$AE94&gt;($E$3-1)),($E$3-1),الموظفون!$AE94)-الموظفون!$H94+1-SUMIFS('سجل الإجازات والحالات'!$AQ$6:$AQ$505,'سجل الإجازات والحالات'!$B$6:$B$505,$B94))/cfg_DAYS_Y)</f>
        <v/>
      </c>
      <c r="AJ94" s="65" t="str">
        <f aca="false">IF($B94="","",MAX(0,AK94-(SUMIFS('سجل الإجازات والحالات'!$AR$6:$AR$505,'سجل الإجازات والحالات'!$B$6:$B$505,$B94)-SUMIFS('سجل الإجازات والحالات'!$AQ$6:$AQ$505,'سجل الإجازات والحالات'!$B$6:$B$505,$B94))))</f>
        <v/>
      </c>
      <c r="AK94" s="65" t="str">
        <f aca="false">IF($B94="","",MAX(0,IF(OR(الموظفون!$AE94="",الموظفون!$AE94&gt;$F$3),$F$3,الموظفون!$AE94)-MAX($E$3,الموظفون!$H94)+1))</f>
        <v/>
      </c>
      <c r="AL94" s="151" t="str">
        <f aca="false">IF($B94="","",SUMIFS('سجل الإجازات والحالات'!$BD$6:$BD$505,'سجل الإجازات والحالات'!$B$6:$B$505,$B94)+SUMIFS('الحركات الشهرية'!$K$6:$K$1005,'الحركات الشهرية'!$B$6:$B$1005,$B94,'الحركات الشهرية'!$A$6:$A$1005,$C$3))</f>
        <v/>
      </c>
      <c r="AM94" s="111" t="str">
        <f aca="false">IF($B94="","",AL94*الموظفون!$R94/cfg_DAYS_M+S94)</f>
        <v/>
      </c>
      <c r="AN94" s="151" t="str">
        <f aca="false">IF($B94="","",SUMIFS('سجل الإجازات والحالات'!$AF$6:$AF$505,'سجل الإجازات والحالات'!$B$6:$B$505,$B94))</f>
        <v/>
      </c>
    </row>
    <row r="95" customFormat="false" ht="15" hidden="false" customHeight="false" outlineLevel="0" collapsed="false">
      <c r="A95" s="115" t="str">
        <f aca="false">IF($B95="","",الموظفون!$A95)</f>
        <v/>
      </c>
      <c r="B95" s="117" t="str">
        <f aca="false">IF(الموظفون!$B95="","",الموظفون!$B95)</f>
        <v/>
      </c>
      <c r="C95" s="117" t="str">
        <f aca="false">IF($B95="","",الموظفون!$C95)</f>
        <v/>
      </c>
      <c r="D95" s="117" t="str">
        <f aca="false">IF($B95="","",الموظفون!$F95)</f>
        <v/>
      </c>
      <c r="E95" s="117" t="str">
        <f aca="false">IF($B95="","",الموظفون!$E95)</f>
        <v/>
      </c>
      <c r="F95" s="117" t="str">
        <f aca="false">IF($B95="","",IF(AK95=0,IF(AND(الموظفون!$AE95&lt;&gt;"",الموظفون!$AE95&lt;$E$3),"✖ منتهي الخدمة","⏳ لم يباشر"),IF(S95&gt;0,"✈ راتب إجازة مقدم",IF(J95=0,"⛔ بدون راتب هذا الشهر",IF(I95&gt;0,"✈ خصم "&amp;ROUND(I95,2)&amp;" يوم بدون أجر",IF(AL95&gt;0,"🌴 إجازة سنوية "&amp;ROUND(AL95,2)&amp;" يوم",IF(H95&gt;0,"⚠ غياب "&amp;ROUND(H95,2)&amp;" يوم","✔ على رأس العمل")))))))</f>
        <v/>
      </c>
      <c r="G95" s="156" t="str">
        <f aca="false">IF($B95="","",IF(AK95&gt;=DAY($F$3),cfg_DAYS_M,MIN(AK95,cfg_DAYS_M)))</f>
        <v/>
      </c>
      <c r="H95" s="156" t="str">
        <f aca="false">IF($B95="","",SUMIFS('الحركات الشهرية'!$D$6:$D$1005,'الحركات الشهرية'!$B$6:$B$1005,$B95,'الحركات الشهرية'!$A$6:$A$1005,$C$3))</f>
        <v/>
      </c>
      <c r="I95" s="156" t="str">
        <f aca="false">IF($B95="","",MIN(G95,IF(AND(AK95&gt;0,AN95&gt;=AK95),G95,AN95)+SUMIFS('الحركات الشهرية'!$E$6:$E$1005,'الحركات الشهرية'!$B$6:$B$1005,$B95,'الحركات الشهرية'!$A$6:$A$1005,$C$3)))</f>
        <v/>
      </c>
      <c r="J95" s="156" t="str">
        <f aca="false">IF($B95="","",MAX(0,G95-H95-I95))</f>
        <v/>
      </c>
      <c r="K95" s="116" t="str">
        <f aca="false">IF($B95="","",الموظفون!$L95*$J95/cfg_DAYS_M)</f>
        <v/>
      </c>
      <c r="L95" s="116" t="str">
        <f aca="false">IF($B95="","",الموظفون!$M95*$J95/cfg_DAYS_M)</f>
        <v/>
      </c>
      <c r="M95" s="116" t="str">
        <f aca="false">IF($B95="","",الموظفون!$N95*$J95/cfg_DAYS_M)</f>
        <v/>
      </c>
      <c r="N95" s="116" t="str">
        <f aca="false">IF($B95="","",الموظفون!$O95*$J95/cfg_DAYS_M)</f>
        <v/>
      </c>
      <c r="O95" s="156" t="str">
        <f aca="false">IF($B95="","",SUMIFS('الحركات الشهرية'!$F$6:$F$1005,'الحركات الشهرية'!$B$6:$B$1005,$B95,'الحركات الشهرية'!$A$6:$A$1005,$C$3))</f>
        <v/>
      </c>
      <c r="P95" s="116" t="str">
        <f aca="false">IF($B95="","",O95*(الموظفون!$P95+الموظفون!$L95*cfg_OT_P)/cfg_DAYS_M/cfg_HRS)</f>
        <v/>
      </c>
      <c r="Q95" s="116" t="str">
        <f aca="false">IF($B95="","",SUMIFS('الحركات الشهرية'!$G$6:$G$1005,'الحركات الشهرية'!$B$6:$B$1005,$B95,'الحركات الشهرية'!$A$6:$A$1005,$C$3))</f>
        <v/>
      </c>
      <c r="R95" s="116" t="str">
        <f aca="false">IF($B95="","",SUMIFS('الحركات الشهرية'!$H$6:$H$1005,'الحركات الشهرية'!$B$6:$B$1005,$B95,'الحركات الشهرية'!$A$6:$A$1005,$C$3))</f>
        <v/>
      </c>
      <c r="S95" s="116" t="str">
        <f aca="false">IF($B95="","",SUMIFS('سجل الإجازات والحالات'!$N$6:$N$505,'سجل الإجازات والحالات'!$B$6:$B$505,$B95,'سجل الإجازات والحالات'!$O$6:$O$505,$C$3))</f>
        <v/>
      </c>
      <c r="T95" s="157" t="str">
        <f aca="false">IF($B95="","",SUM(K95:N95)+SUM(P95:S95))</f>
        <v/>
      </c>
      <c r="U95" s="116" t="str">
        <f aca="false">IF($B95="","",الموظفون!$S95*IF(E95="سعودي",cfg_G_SE,cfg_G_NE)*G95/cfg_DAYS_M)</f>
        <v/>
      </c>
      <c r="V95" s="116" t="str">
        <f aca="false">IF($B95="","",SUMIFS('الحركات الشهرية'!$I$6:$I$1005,'الحركات الشهرية'!$B$6:$B$1005,$B95,'الحركات الشهرية'!$A$6:$A$1005,$C$3))</f>
        <v/>
      </c>
      <c r="W95" s="116" t="str">
        <f aca="false">IF($B95="","",SUMIFS('الحركات الشهرية'!$J$6:$J$1005,'الحركات الشهرية'!$B$6:$B$1005,$B95,'الحركات الشهرية'!$A$6:$A$1005,$C$3))</f>
        <v/>
      </c>
      <c r="X95" s="116" t="str">
        <f aca="false">IF($B95="","",SUM(U95:W95))</f>
        <v/>
      </c>
      <c r="Y95" s="158" t="str">
        <f aca="false">IF($B95="","",T95-X95)</f>
        <v/>
      </c>
      <c r="Z95" s="116" t="str">
        <f aca="false">IF($B95="","",الموظفون!$S95*IF(E95="سعودي",cfg_G_SR,cfg_G_NR)*G95/cfg_DAYS_M)</f>
        <v/>
      </c>
      <c r="AA95" s="116" t="str">
        <f aca="false">IF($B95="","",الموظفون!$Q95*(cfg_EOS_R1*(MIN(AH95,cfg_EOS_TH)-MIN(AI95,cfg_EOS_TH))+cfg_EOS_R2*(MAX(AH95-cfg_EOS_TH,0)-MAX(AI95-cfg_EOS_TH,0))))</f>
        <v/>
      </c>
      <c r="AB95" s="116" t="str">
        <f aca="false">IF($B95="","",IF(الموظفون!$T95&lt;&gt;"",الموظفون!$T95,IF(AH95&gt;=cfg_LV_TH,cfg_LV_D2,cfg_LV_D1))/cfg_DAYS_Y*AJ95*الموظفون!$R95/cfg_DAYS_M)</f>
        <v/>
      </c>
      <c r="AC95" s="116" t="str">
        <f aca="false">IF($B95="","",IF(AND(الموظفون!$U95="نعم",N(الموظفون!$W95)&gt;0),الموظفون!$V95/الموظفون!$W95*12/cfg_DAYS_Y*AJ95,0))</f>
        <v/>
      </c>
      <c r="AD95" s="116" t="str">
        <f aca="false">IF($B95="","",(IF(الموظفون!$X95&lt;&gt;"",الموظفون!$X95,IF(الموظفون!$E95="غير سعودي",cfg_IQ,0))+IF(الموظفون!$Y95&lt;&gt;"",الموظفون!$Y95,IF(الموظفون!$E95="غير سعودي",cfg_WP,0)))/12*G95/cfg_DAYS_M)</f>
        <v/>
      </c>
      <c r="AE95" s="116" t="str">
        <f aca="false">IF($B95="","",IF(الموظفون!$Z95&lt;&gt;"",الموظفون!$Z95,cfg_MED)/12*G95/cfg_DAYS_M)</f>
        <v/>
      </c>
      <c r="AF95" s="116" t="str">
        <f aca="false">IF($B95="","",N(الموظفون!$AA95)/12*G95/cfg_DAYS_M)</f>
        <v/>
      </c>
      <c r="AG95" s="159" t="str">
        <f aca="false">IF($B95="","",T95+SUM(Z95:AF95))</f>
        <v/>
      </c>
      <c r="AH95" s="160" t="str">
        <f aca="false">IF($B95="","",MAX(0,IF(OR(الموظفون!$AE95="",الموظفون!$AE95&gt;$F$3),$F$3,الموظفون!$AE95)-الموظفون!$H95+1-SUMIFS('سجل الإجازات والحالات'!$AR$6:$AR$505,'سجل الإجازات والحالات'!$B$6:$B$505,$B95))/cfg_DAYS_Y)</f>
        <v/>
      </c>
      <c r="AI95" s="160" t="str">
        <f aca="false">IF($B95="","",MAX(0,IF(OR(الموظفون!$AE95="",الموظفون!$AE95&gt;($E$3-1)),($E$3-1),الموظفون!$AE95)-الموظفون!$H95+1-SUMIFS('سجل الإجازات والحالات'!$AQ$6:$AQ$505,'سجل الإجازات والحالات'!$B$6:$B$505,$B95))/cfg_DAYS_Y)</f>
        <v/>
      </c>
      <c r="AJ95" s="133" t="str">
        <f aca="false">IF($B95="","",MAX(0,AK95-(SUMIFS('سجل الإجازات والحالات'!$AR$6:$AR$505,'سجل الإجازات والحالات'!$B$6:$B$505,$B95)-SUMIFS('سجل الإجازات والحالات'!$AQ$6:$AQ$505,'سجل الإجازات والحالات'!$B$6:$B$505,$B95))))</f>
        <v/>
      </c>
      <c r="AK95" s="133" t="str">
        <f aca="false">IF($B95="","",MAX(0,IF(OR(الموظفون!$AE95="",الموظفون!$AE95&gt;$F$3),$F$3,الموظفون!$AE95)-MAX($E$3,الموظفون!$H95)+1))</f>
        <v/>
      </c>
      <c r="AL95" s="156" t="str">
        <f aca="false">IF($B95="","",SUMIFS('سجل الإجازات والحالات'!$BD$6:$BD$505,'سجل الإجازات والحالات'!$B$6:$B$505,$B95)+SUMIFS('الحركات الشهرية'!$K$6:$K$1005,'الحركات الشهرية'!$B$6:$B$1005,$B95,'الحركات الشهرية'!$A$6:$A$1005,$C$3))</f>
        <v/>
      </c>
      <c r="AM95" s="116" t="str">
        <f aca="false">IF($B95="","",AL95*الموظفون!$R95/cfg_DAYS_M+S95)</f>
        <v/>
      </c>
      <c r="AN95" s="156" t="str">
        <f aca="false">IF($B95="","",SUMIFS('سجل الإجازات والحالات'!$AF$6:$AF$505,'سجل الإجازات والحالات'!$B$6:$B$505,$B95))</f>
        <v/>
      </c>
    </row>
    <row r="96" customFormat="false" ht="15" hidden="false" customHeight="false" outlineLevel="0" collapsed="false">
      <c r="A96" s="106" t="str">
        <f aca="false">IF($B96="","",الموظفون!$A96)</f>
        <v/>
      </c>
      <c r="B96" s="114" t="str">
        <f aca="false">IF(الموظفون!$B96="","",الموظفون!$B96)</f>
        <v/>
      </c>
      <c r="C96" s="114" t="str">
        <f aca="false">IF($B96="","",الموظفون!$C96)</f>
        <v/>
      </c>
      <c r="D96" s="114" t="str">
        <f aca="false">IF($B96="","",الموظفون!$F96)</f>
        <v/>
      </c>
      <c r="E96" s="114" t="str">
        <f aca="false">IF($B96="","",الموظفون!$E96)</f>
        <v/>
      </c>
      <c r="F96" s="114" t="str">
        <f aca="false">IF($B96="","",IF(AK96=0,IF(AND(الموظفون!$AE96&lt;&gt;"",الموظفون!$AE96&lt;$E$3),"✖ منتهي الخدمة","⏳ لم يباشر"),IF(S96&gt;0,"✈ راتب إجازة مقدم",IF(J96=0,"⛔ بدون راتب هذا الشهر",IF(I96&gt;0,"✈ خصم "&amp;ROUND(I96,2)&amp;" يوم بدون أجر",IF(AL96&gt;0,"🌴 إجازة سنوية "&amp;ROUND(AL96,2)&amp;" يوم",IF(H96&gt;0,"⚠ غياب "&amp;ROUND(H96,2)&amp;" يوم","✔ على رأس العمل")))))))</f>
        <v/>
      </c>
      <c r="G96" s="151" t="str">
        <f aca="false">IF($B96="","",IF(AK96&gt;=DAY($F$3),cfg_DAYS_M,MIN(AK96,cfg_DAYS_M)))</f>
        <v/>
      </c>
      <c r="H96" s="151" t="str">
        <f aca="false">IF($B96="","",SUMIFS('الحركات الشهرية'!$D$6:$D$1005,'الحركات الشهرية'!$B$6:$B$1005,$B96,'الحركات الشهرية'!$A$6:$A$1005,$C$3))</f>
        <v/>
      </c>
      <c r="I96" s="151" t="str">
        <f aca="false">IF($B96="","",MIN(G96,IF(AND(AK96&gt;0,AN96&gt;=AK96),G96,AN96)+SUMIFS('الحركات الشهرية'!$E$6:$E$1005,'الحركات الشهرية'!$B$6:$B$1005,$B96,'الحركات الشهرية'!$A$6:$A$1005,$C$3)))</f>
        <v/>
      </c>
      <c r="J96" s="151" t="str">
        <f aca="false">IF($B96="","",MAX(0,G96-H96-I96))</f>
        <v/>
      </c>
      <c r="K96" s="111" t="str">
        <f aca="false">IF($B96="","",الموظفون!$L96*$J96/cfg_DAYS_M)</f>
        <v/>
      </c>
      <c r="L96" s="111" t="str">
        <f aca="false">IF($B96="","",الموظفون!$M96*$J96/cfg_DAYS_M)</f>
        <v/>
      </c>
      <c r="M96" s="111" t="str">
        <f aca="false">IF($B96="","",الموظفون!$N96*$J96/cfg_DAYS_M)</f>
        <v/>
      </c>
      <c r="N96" s="111" t="str">
        <f aca="false">IF($B96="","",الموظفون!$O96*$J96/cfg_DAYS_M)</f>
        <v/>
      </c>
      <c r="O96" s="151" t="str">
        <f aca="false">IF($B96="","",SUMIFS('الحركات الشهرية'!$F$6:$F$1005,'الحركات الشهرية'!$B$6:$B$1005,$B96,'الحركات الشهرية'!$A$6:$A$1005,$C$3))</f>
        <v/>
      </c>
      <c r="P96" s="111" t="str">
        <f aca="false">IF($B96="","",O96*(الموظفون!$P96+الموظفون!$L96*cfg_OT_P)/cfg_DAYS_M/cfg_HRS)</f>
        <v/>
      </c>
      <c r="Q96" s="111" t="str">
        <f aca="false">IF($B96="","",SUMIFS('الحركات الشهرية'!$G$6:$G$1005,'الحركات الشهرية'!$B$6:$B$1005,$B96,'الحركات الشهرية'!$A$6:$A$1005,$C$3))</f>
        <v/>
      </c>
      <c r="R96" s="111" t="str">
        <f aca="false">IF($B96="","",SUMIFS('الحركات الشهرية'!$H$6:$H$1005,'الحركات الشهرية'!$B$6:$B$1005,$B96,'الحركات الشهرية'!$A$6:$A$1005,$C$3))</f>
        <v/>
      </c>
      <c r="S96" s="111" t="str">
        <f aca="false">IF($B96="","",SUMIFS('سجل الإجازات والحالات'!$N$6:$N$505,'سجل الإجازات والحالات'!$B$6:$B$505,$B96,'سجل الإجازات والحالات'!$O$6:$O$505,$C$3))</f>
        <v/>
      </c>
      <c r="T96" s="152" t="str">
        <f aca="false">IF($B96="","",SUM(K96:N96)+SUM(P96:S96))</f>
        <v/>
      </c>
      <c r="U96" s="111" t="str">
        <f aca="false">IF($B96="","",الموظفون!$S96*IF(E96="سعودي",cfg_G_SE,cfg_G_NE)*G96/cfg_DAYS_M)</f>
        <v/>
      </c>
      <c r="V96" s="111" t="str">
        <f aca="false">IF($B96="","",SUMIFS('الحركات الشهرية'!$I$6:$I$1005,'الحركات الشهرية'!$B$6:$B$1005,$B96,'الحركات الشهرية'!$A$6:$A$1005,$C$3))</f>
        <v/>
      </c>
      <c r="W96" s="111" t="str">
        <f aca="false">IF($B96="","",SUMIFS('الحركات الشهرية'!$J$6:$J$1005,'الحركات الشهرية'!$B$6:$B$1005,$B96,'الحركات الشهرية'!$A$6:$A$1005,$C$3))</f>
        <v/>
      </c>
      <c r="X96" s="111" t="str">
        <f aca="false">IF($B96="","",SUM(U96:W96))</f>
        <v/>
      </c>
      <c r="Y96" s="153" t="str">
        <f aca="false">IF($B96="","",T96-X96)</f>
        <v/>
      </c>
      <c r="Z96" s="111" t="str">
        <f aca="false">IF($B96="","",الموظفون!$S96*IF(E96="سعودي",cfg_G_SR,cfg_G_NR)*G96/cfg_DAYS_M)</f>
        <v/>
      </c>
      <c r="AA96" s="111" t="str">
        <f aca="false">IF($B96="","",الموظفون!$Q96*(cfg_EOS_R1*(MIN(AH96,cfg_EOS_TH)-MIN(AI96,cfg_EOS_TH))+cfg_EOS_R2*(MAX(AH96-cfg_EOS_TH,0)-MAX(AI96-cfg_EOS_TH,0))))</f>
        <v/>
      </c>
      <c r="AB96" s="111" t="str">
        <f aca="false">IF($B96="","",IF(الموظفون!$T96&lt;&gt;"",الموظفون!$T96,IF(AH96&gt;=cfg_LV_TH,cfg_LV_D2,cfg_LV_D1))/cfg_DAYS_Y*AJ96*الموظفون!$R96/cfg_DAYS_M)</f>
        <v/>
      </c>
      <c r="AC96" s="111" t="str">
        <f aca="false">IF($B96="","",IF(AND(الموظفون!$U96="نعم",N(الموظفون!$W96)&gt;0),الموظفون!$V96/الموظفون!$W96*12/cfg_DAYS_Y*AJ96,0))</f>
        <v/>
      </c>
      <c r="AD96" s="111" t="str">
        <f aca="false">IF($B96="","",(IF(الموظفون!$X96&lt;&gt;"",الموظفون!$X96,IF(الموظفون!$E96="غير سعودي",cfg_IQ,0))+IF(الموظفون!$Y96&lt;&gt;"",الموظفون!$Y96,IF(الموظفون!$E96="غير سعودي",cfg_WP,0)))/12*G96/cfg_DAYS_M)</f>
        <v/>
      </c>
      <c r="AE96" s="111" t="str">
        <f aca="false">IF($B96="","",IF(الموظفون!$Z96&lt;&gt;"",الموظفون!$Z96,cfg_MED)/12*G96/cfg_DAYS_M)</f>
        <v/>
      </c>
      <c r="AF96" s="111" t="str">
        <f aca="false">IF($B96="","",N(الموظفون!$AA96)/12*G96/cfg_DAYS_M)</f>
        <v/>
      </c>
      <c r="AG96" s="154" t="str">
        <f aca="false">IF($B96="","",T96+SUM(Z96:AF96))</f>
        <v/>
      </c>
      <c r="AH96" s="155" t="str">
        <f aca="false">IF($B96="","",MAX(0,IF(OR(الموظفون!$AE96="",الموظفون!$AE96&gt;$F$3),$F$3,الموظفون!$AE96)-الموظفون!$H96+1-SUMIFS('سجل الإجازات والحالات'!$AR$6:$AR$505,'سجل الإجازات والحالات'!$B$6:$B$505,$B96))/cfg_DAYS_Y)</f>
        <v/>
      </c>
      <c r="AI96" s="155" t="str">
        <f aca="false">IF($B96="","",MAX(0,IF(OR(الموظفون!$AE96="",الموظفون!$AE96&gt;($E$3-1)),($E$3-1),الموظفون!$AE96)-الموظفون!$H96+1-SUMIFS('سجل الإجازات والحالات'!$AQ$6:$AQ$505,'سجل الإجازات والحالات'!$B$6:$B$505,$B96))/cfg_DAYS_Y)</f>
        <v/>
      </c>
      <c r="AJ96" s="65" t="str">
        <f aca="false">IF($B96="","",MAX(0,AK96-(SUMIFS('سجل الإجازات والحالات'!$AR$6:$AR$505,'سجل الإجازات والحالات'!$B$6:$B$505,$B96)-SUMIFS('سجل الإجازات والحالات'!$AQ$6:$AQ$505,'سجل الإجازات والحالات'!$B$6:$B$505,$B96))))</f>
        <v/>
      </c>
      <c r="AK96" s="65" t="str">
        <f aca="false">IF($B96="","",MAX(0,IF(OR(الموظفون!$AE96="",الموظفون!$AE96&gt;$F$3),$F$3,الموظفون!$AE96)-MAX($E$3,الموظفون!$H96)+1))</f>
        <v/>
      </c>
      <c r="AL96" s="151" t="str">
        <f aca="false">IF($B96="","",SUMIFS('سجل الإجازات والحالات'!$BD$6:$BD$505,'سجل الإجازات والحالات'!$B$6:$B$505,$B96)+SUMIFS('الحركات الشهرية'!$K$6:$K$1005,'الحركات الشهرية'!$B$6:$B$1005,$B96,'الحركات الشهرية'!$A$6:$A$1005,$C$3))</f>
        <v/>
      </c>
      <c r="AM96" s="111" t="str">
        <f aca="false">IF($B96="","",AL96*الموظفون!$R96/cfg_DAYS_M+S96)</f>
        <v/>
      </c>
      <c r="AN96" s="151" t="str">
        <f aca="false">IF($B96="","",SUMIFS('سجل الإجازات والحالات'!$AF$6:$AF$505,'سجل الإجازات والحالات'!$B$6:$B$505,$B96))</f>
        <v/>
      </c>
    </row>
    <row r="97" customFormat="false" ht="15" hidden="false" customHeight="false" outlineLevel="0" collapsed="false">
      <c r="A97" s="115" t="str">
        <f aca="false">IF($B97="","",الموظفون!$A97)</f>
        <v/>
      </c>
      <c r="B97" s="117" t="str">
        <f aca="false">IF(الموظفون!$B97="","",الموظفون!$B97)</f>
        <v/>
      </c>
      <c r="C97" s="117" t="str">
        <f aca="false">IF($B97="","",الموظفون!$C97)</f>
        <v/>
      </c>
      <c r="D97" s="117" t="str">
        <f aca="false">IF($B97="","",الموظفون!$F97)</f>
        <v/>
      </c>
      <c r="E97" s="117" t="str">
        <f aca="false">IF($B97="","",الموظفون!$E97)</f>
        <v/>
      </c>
      <c r="F97" s="117" t="str">
        <f aca="false">IF($B97="","",IF(AK97=0,IF(AND(الموظفون!$AE97&lt;&gt;"",الموظفون!$AE97&lt;$E$3),"✖ منتهي الخدمة","⏳ لم يباشر"),IF(S97&gt;0,"✈ راتب إجازة مقدم",IF(J97=0,"⛔ بدون راتب هذا الشهر",IF(I97&gt;0,"✈ خصم "&amp;ROUND(I97,2)&amp;" يوم بدون أجر",IF(AL97&gt;0,"🌴 إجازة سنوية "&amp;ROUND(AL97,2)&amp;" يوم",IF(H97&gt;0,"⚠ غياب "&amp;ROUND(H97,2)&amp;" يوم","✔ على رأس العمل")))))))</f>
        <v/>
      </c>
      <c r="G97" s="156" t="str">
        <f aca="false">IF($B97="","",IF(AK97&gt;=DAY($F$3),cfg_DAYS_M,MIN(AK97,cfg_DAYS_M)))</f>
        <v/>
      </c>
      <c r="H97" s="156" t="str">
        <f aca="false">IF($B97="","",SUMIFS('الحركات الشهرية'!$D$6:$D$1005,'الحركات الشهرية'!$B$6:$B$1005,$B97,'الحركات الشهرية'!$A$6:$A$1005,$C$3))</f>
        <v/>
      </c>
      <c r="I97" s="156" t="str">
        <f aca="false">IF($B97="","",MIN(G97,IF(AND(AK97&gt;0,AN97&gt;=AK97),G97,AN97)+SUMIFS('الحركات الشهرية'!$E$6:$E$1005,'الحركات الشهرية'!$B$6:$B$1005,$B97,'الحركات الشهرية'!$A$6:$A$1005,$C$3)))</f>
        <v/>
      </c>
      <c r="J97" s="156" t="str">
        <f aca="false">IF($B97="","",MAX(0,G97-H97-I97))</f>
        <v/>
      </c>
      <c r="K97" s="116" t="str">
        <f aca="false">IF($B97="","",الموظفون!$L97*$J97/cfg_DAYS_M)</f>
        <v/>
      </c>
      <c r="L97" s="116" t="str">
        <f aca="false">IF($B97="","",الموظفون!$M97*$J97/cfg_DAYS_M)</f>
        <v/>
      </c>
      <c r="M97" s="116" t="str">
        <f aca="false">IF($B97="","",الموظفون!$N97*$J97/cfg_DAYS_M)</f>
        <v/>
      </c>
      <c r="N97" s="116" t="str">
        <f aca="false">IF($B97="","",الموظفون!$O97*$J97/cfg_DAYS_M)</f>
        <v/>
      </c>
      <c r="O97" s="156" t="str">
        <f aca="false">IF($B97="","",SUMIFS('الحركات الشهرية'!$F$6:$F$1005,'الحركات الشهرية'!$B$6:$B$1005,$B97,'الحركات الشهرية'!$A$6:$A$1005,$C$3))</f>
        <v/>
      </c>
      <c r="P97" s="116" t="str">
        <f aca="false">IF($B97="","",O97*(الموظفون!$P97+الموظفون!$L97*cfg_OT_P)/cfg_DAYS_M/cfg_HRS)</f>
        <v/>
      </c>
      <c r="Q97" s="116" t="str">
        <f aca="false">IF($B97="","",SUMIFS('الحركات الشهرية'!$G$6:$G$1005,'الحركات الشهرية'!$B$6:$B$1005,$B97,'الحركات الشهرية'!$A$6:$A$1005,$C$3))</f>
        <v/>
      </c>
      <c r="R97" s="116" t="str">
        <f aca="false">IF($B97="","",SUMIFS('الحركات الشهرية'!$H$6:$H$1005,'الحركات الشهرية'!$B$6:$B$1005,$B97,'الحركات الشهرية'!$A$6:$A$1005,$C$3))</f>
        <v/>
      </c>
      <c r="S97" s="116" t="str">
        <f aca="false">IF($B97="","",SUMIFS('سجل الإجازات والحالات'!$N$6:$N$505,'سجل الإجازات والحالات'!$B$6:$B$505,$B97,'سجل الإجازات والحالات'!$O$6:$O$505,$C$3))</f>
        <v/>
      </c>
      <c r="T97" s="157" t="str">
        <f aca="false">IF($B97="","",SUM(K97:N97)+SUM(P97:S97))</f>
        <v/>
      </c>
      <c r="U97" s="116" t="str">
        <f aca="false">IF($B97="","",الموظفون!$S97*IF(E97="سعودي",cfg_G_SE,cfg_G_NE)*G97/cfg_DAYS_M)</f>
        <v/>
      </c>
      <c r="V97" s="116" t="str">
        <f aca="false">IF($B97="","",SUMIFS('الحركات الشهرية'!$I$6:$I$1005,'الحركات الشهرية'!$B$6:$B$1005,$B97,'الحركات الشهرية'!$A$6:$A$1005,$C$3))</f>
        <v/>
      </c>
      <c r="W97" s="116" t="str">
        <f aca="false">IF($B97="","",SUMIFS('الحركات الشهرية'!$J$6:$J$1005,'الحركات الشهرية'!$B$6:$B$1005,$B97,'الحركات الشهرية'!$A$6:$A$1005,$C$3))</f>
        <v/>
      </c>
      <c r="X97" s="116" t="str">
        <f aca="false">IF($B97="","",SUM(U97:W97))</f>
        <v/>
      </c>
      <c r="Y97" s="158" t="str">
        <f aca="false">IF($B97="","",T97-X97)</f>
        <v/>
      </c>
      <c r="Z97" s="116" t="str">
        <f aca="false">IF($B97="","",الموظفون!$S97*IF(E97="سعودي",cfg_G_SR,cfg_G_NR)*G97/cfg_DAYS_M)</f>
        <v/>
      </c>
      <c r="AA97" s="116" t="str">
        <f aca="false">IF($B97="","",الموظفون!$Q97*(cfg_EOS_R1*(MIN(AH97,cfg_EOS_TH)-MIN(AI97,cfg_EOS_TH))+cfg_EOS_R2*(MAX(AH97-cfg_EOS_TH,0)-MAX(AI97-cfg_EOS_TH,0))))</f>
        <v/>
      </c>
      <c r="AB97" s="116" t="str">
        <f aca="false">IF($B97="","",IF(الموظفون!$T97&lt;&gt;"",الموظفون!$T97,IF(AH97&gt;=cfg_LV_TH,cfg_LV_D2,cfg_LV_D1))/cfg_DAYS_Y*AJ97*الموظفون!$R97/cfg_DAYS_M)</f>
        <v/>
      </c>
      <c r="AC97" s="116" t="str">
        <f aca="false">IF($B97="","",IF(AND(الموظفون!$U97="نعم",N(الموظفون!$W97)&gt;0),الموظفون!$V97/الموظفون!$W97*12/cfg_DAYS_Y*AJ97,0))</f>
        <v/>
      </c>
      <c r="AD97" s="116" t="str">
        <f aca="false">IF($B97="","",(IF(الموظفون!$X97&lt;&gt;"",الموظفون!$X97,IF(الموظفون!$E97="غير سعودي",cfg_IQ,0))+IF(الموظفون!$Y97&lt;&gt;"",الموظفون!$Y97,IF(الموظفون!$E97="غير سعودي",cfg_WP,0)))/12*G97/cfg_DAYS_M)</f>
        <v/>
      </c>
      <c r="AE97" s="116" t="str">
        <f aca="false">IF($B97="","",IF(الموظفون!$Z97&lt;&gt;"",الموظفون!$Z97,cfg_MED)/12*G97/cfg_DAYS_M)</f>
        <v/>
      </c>
      <c r="AF97" s="116" t="str">
        <f aca="false">IF($B97="","",N(الموظفون!$AA97)/12*G97/cfg_DAYS_M)</f>
        <v/>
      </c>
      <c r="AG97" s="159" t="str">
        <f aca="false">IF($B97="","",T97+SUM(Z97:AF97))</f>
        <v/>
      </c>
      <c r="AH97" s="160" t="str">
        <f aca="false">IF($B97="","",MAX(0,IF(OR(الموظفون!$AE97="",الموظفون!$AE97&gt;$F$3),$F$3,الموظفون!$AE97)-الموظفون!$H97+1-SUMIFS('سجل الإجازات والحالات'!$AR$6:$AR$505,'سجل الإجازات والحالات'!$B$6:$B$505,$B97))/cfg_DAYS_Y)</f>
        <v/>
      </c>
      <c r="AI97" s="160" t="str">
        <f aca="false">IF($B97="","",MAX(0,IF(OR(الموظفون!$AE97="",الموظفون!$AE97&gt;($E$3-1)),($E$3-1),الموظفون!$AE97)-الموظفون!$H97+1-SUMIFS('سجل الإجازات والحالات'!$AQ$6:$AQ$505,'سجل الإجازات والحالات'!$B$6:$B$505,$B97))/cfg_DAYS_Y)</f>
        <v/>
      </c>
      <c r="AJ97" s="133" t="str">
        <f aca="false">IF($B97="","",MAX(0,AK97-(SUMIFS('سجل الإجازات والحالات'!$AR$6:$AR$505,'سجل الإجازات والحالات'!$B$6:$B$505,$B97)-SUMIFS('سجل الإجازات والحالات'!$AQ$6:$AQ$505,'سجل الإجازات والحالات'!$B$6:$B$505,$B97))))</f>
        <v/>
      </c>
      <c r="AK97" s="133" t="str">
        <f aca="false">IF($B97="","",MAX(0,IF(OR(الموظفون!$AE97="",الموظفون!$AE97&gt;$F$3),$F$3,الموظفون!$AE97)-MAX($E$3,الموظفون!$H97)+1))</f>
        <v/>
      </c>
      <c r="AL97" s="156" t="str">
        <f aca="false">IF($B97="","",SUMIFS('سجل الإجازات والحالات'!$BD$6:$BD$505,'سجل الإجازات والحالات'!$B$6:$B$505,$B97)+SUMIFS('الحركات الشهرية'!$K$6:$K$1005,'الحركات الشهرية'!$B$6:$B$1005,$B97,'الحركات الشهرية'!$A$6:$A$1005,$C$3))</f>
        <v/>
      </c>
      <c r="AM97" s="116" t="str">
        <f aca="false">IF($B97="","",AL97*الموظفون!$R97/cfg_DAYS_M+S97)</f>
        <v/>
      </c>
      <c r="AN97" s="156" t="str">
        <f aca="false">IF($B97="","",SUMIFS('سجل الإجازات والحالات'!$AF$6:$AF$505,'سجل الإجازات والحالات'!$B$6:$B$505,$B97))</f>
        <v/>
      </c>
    </row>
    <row r="98" customFormat="false" ht="15" hidden="false" customHeight="false" outlineLevel="0" collapsed="false">
      <c r="A98" s="106" t="str">
        <f aca="false">IF($B98="","",الموظفون!$A98)</f>
        <v/>
      </c>
      <c r="B98" s="114" t="str">
        <f aca="false">IF(الموظفون!$B98="","",الموظفون!$B98)</f>
        <v/>
      </c>
      <c r="C98" s="114" t="str">
        <f aca="false">IF($B98="","",الموظفون!$C98)</f>
        <v/>
      </c>
      <c r="D98" s="114" t="str">
        <f aca="false">IF($B98="","",الموظفون!$F98)</f>
        <v/>
      </c>
      <c r="E98" s="114" t="str">
        <f aca="false">IF($B98="","",الموظفون!$E98)</f>
        <v/>
      </c>
      <c r="F98" s="114" t="str">
        <f aca="false">IF($B98="","",IF(AK98=0,IF(AND(الموظفون!$AE98&lt;&gt;"",الموظفون!$AE98&lt;$E$3),"✖ منتهي الخدمة","⏳ لم يباشر"),IF(S98&gt;0,"✈ راتب إجازة مقدم",IF(J98=0,"⛔ بدون راتب هذا الشهر",IF(I98&gt;0,"✈ خصم "&amp;ROUND(I98,2)&amp;" يوم بدون أجر",IF(AL98&gt;0,"🌴 إجازة سنوية "&amp;ROUND(AL98,2)&amp;" يوم",IF(H98&gt;0,"⚠ غياب "&amp;ROUND(H98,2)&amp;" يوم","✔ على رأس العمل")))))))</f>
        <v/>
      </c>
      <c r="G98" s="151" t="str">
        <f aca="false">IF($B98="","",IF(AK98&gt;=DAY($F$3),cfg_DAYS_M,MIN(AK98,cfg_DAYS_M)))</f>
        <v/>
      </c>
      <c r="H98" s="151" t="str">
        <f aca="false">IF($B98="","",SUMIFS('الحركات الشهرية'!$D$6:$D$1005,'الحركات الشهرية'!$B$6:$B$1005,$B98,'الحركات الشهرية'!$A$6:$A$1005,$C$3))</f>
        <v/>
      </c>
      <c r="I98" s="151" t="str">
        <f aca="false">IF($B98="","",MIN(G98,IF(AND(AK98&gt;0,AN98&gt;=AK98),G98,AN98)+SUMIFS('الحركات الشهرية'!$E$6:$E$1005,'الحركات الشهرية'!$B$6:$B$1005,$B98,'الحركات الشهرية'!$A$6:$A$1005,$C$3)))</f>
        <v/>
      </c>
      <c r="J98" s="151" t="str">
        <f aca="false">IF($B98="","",MAX(0,G98-H98-I98))</f>
        <v/>
      </c>
      <c r="K98" s="111" t="str">
        <f aca="false">IF($B98="","",الموظفون!$L98*$J98/cfg_DAYS_M)</f>
        <v/>
      </c>
      <c r="L98" s="111" t="str">
        <f aca="false">IF($B98="","",الموظفون!$M98*$J98/cfg_DAYS_M)</f>
        <v/>
      </c>
      <c r="M98" s="111" t="str">
        <f aca="false">IF($B98="","",الموظفون!$N98*$J98/cfg_DAYS_M)</f>
        <v/>
      </c>
      <c r="N98" s="111" t="str">
        <f aca="false">IF($B98="","",الموظفون!$O98*$J98/cfg_DAYS_M)</f>
        <v/>
      </c>
      <c r="O98" s="151" t="str">
        <f aca="false">IF($B98="","",SUMIFS('الحركات الشهرية'!$F$6:$F$1005,'الحركات الشهرية'!$B$6:$B$1005,$B98,'الحركات الشهرية'!$A$6:$A$1005,$C$3))</f>
        <v/>
      </c>
      <c r="P98" s="111" t="str">
        <f aca="false">IF($B98="","",O98*(الموظفون!$P98+الموظفون!$L98*cfg_OT_P)/cfg_DAYS_M/cfg_HRS)</f>
        <v/>
      </c>
      <c r="Q98" s="111" t="str">
        <f aca="false">IF($B98="","",SUMIFS('الحركات الشهرية'!$G$6:$G$1005,'الحركات الشهرية'!$B$6:$B$1005,$B98,'الحركات الشهرية'!$A$6:$A$1005,$C$3))</f>
        <v/>
      </c>
      <c r="R98" s="111" t="str">
        <f aca="false">IF($B98="","",SUMIFS('الحركات الشهرية'!$H$6:$H$1005,'الحركات الشهرية'!$B$6:$B$1005,$B98,'الحركات الشهرية'!$A$6:$A$1005,$C$3))</f>
        <v/>
      </c>
      <c r="S98" s="111" t="str">
        <f aca="false">IF($B98="","",SUMIFS('سجل الإجازات والحالات'!$N$6:$N$505,'سجل الإجازات والحالات'!$B$6:$B$505,$B98,'سجل الإجازات والحالات'!$O$6:$O$505,$C$3))</f>
        <v/>
      </c>
      <c r="T98" s="152" t="str">
        <f aca="false">IF($B98="","",SUM(K98:N98)+SUM(P98:S98))</f>
        <v/>
      </c>
      <c r="U98" s="111" t="str">
        <f aca="false">IF($B98="","",الموظفون!$S98*IF(E98="سعودي",cfg_G_SE,cfg_G_NE)*G98/cfg_DAYS_M)</f>
        <v/>
      </c>
      <c r="V98" s="111" t="str">
        <f aca="false">IF($B98="","",SUMIFS('الحركات الشهرية'!$I$6:$I$1005,'الحركات الشهرية'!$B$6:$B$1005,$B98,'الحركات الشهرية'!$A$6:$A$1005,$C$3))</f>
        <v/>
      </c>
      <c r="W98" s="111" t="str">
        <f aca="false">IF($B98="","",SUMIFS('الحركات الشهرية'!$J$6:$J$1005,'الحركات الشهرية'!$B$6:$B$1005,$B98,'الحركات الشهرية'!$A$6:$A$1005,$C$3))</f>
        <v/>
      </c>
      <c r="X98" s="111" t="str">
        <f aca="false">IF($B98="","",SUM(U98:W98))</f>
        <v/>
      </c>
      <c r="Y98" s="153" t="str">
        <f aca="false">IF($B98="","",T98-X98)</f>
        <v/>
      </c>
      <c r="Z98" s="111" t="str">
        <f aca="false">IF($B98="","",الموظفون!$S98*IF(E98="سعودي",cfg_G_SR,cfg_G_NR)*G98/cfg_DAYS_M)</f>
        <v/>
      </c>
      <c r="AA98" s="111" t="str">
        <f aca="false">IF($B98="","",الموظفون!$Q98*(cfg_EOS_R1*(MIN(AH98,cfg_EOS_TH)-MIN(AI98,cfg_EOS_TH))+cfg_EOS_R2*(MAX(AH98-cfg_EOS_TH,0)-MAX(AI98-cfg_EOS_TH,0))))</f>
        <v/>
      </c>
      <c r="AB98" s="111" t="str">
        <f aca="false">IF($B98="","",IF(الموظفون!$T98&lt;&gt;"",الموظفون!$T98,IF(AH98&gt;=cfg_LV_TH,cfg_LV_D2,cfg_LV_D1))/cfg_DAYS_Y*AJ98*الموظفون!$R98/cfg_DAYS_M)</f>
        <v/>
      </c>
      <c r="AC98" s="111" t="str">
        <f aca="false">IF($B98="","",IF(AND(الموظفون!$U98="نعم",N(الموظفون!$W98)&gt;0),الموظفون!$V98/الموظفون!$W98*12/cfg_DAYS_Y*AJ98,0))</f>
        <v/>
      </c>
      <c r="AD98" s="111" t="str">
        <f aca="false">IF($B98="","",(IF(الموظفون!$X98&lt;&gt;"",الموظفون!$X98,IF(الموظفون!$E98="غير سعودي",cfg_IQ,0))+IF(الموظفون!$Y98&lt;&gt;"",الموظفون!$Y98,IF(الموظفون!$E98="غير سعودي",cfg_WP,0)))/12*G98/cfg_DAYS_M)</f>
        <v/>
      </c>
      <c r="AE98" s="111" t="str">
        <f aca="false">IF($B98="","",IF(الموظفون!$Z98&lt;&gt;"",الموظفون!$Z98,cfg_MED)/12*G98/cfg_DAYS_M)</f>
        <v/>
      </c>
      <c r="AF98" s="111" t="str">
        <f aca="false">IF($B98="","",N(الموظفون!$AA98)/12*G98/cfg_DAYS_M)</f>
        <v/>
      </c>
      <c r="AG98" s="154" t="str">
        <f aca="false">IF($B98="","",T98+SUM(Z98:AF98))</f>
        <v/>
      </c>
      <c r="AH98" s="155" t="str">
        <f aca="false">IF($B98="","",MAX(0,IF(OR(الموظفون!$AE98="",الموظفون!$AE98&gt;$F$3),$F$3,الموظفون!$AE98)-الموظفون!$H98+1-SUMIFS('سجل الإجازات والحالات'!$AR$6:$AR$505,'سجل الإجازات والحالات'!$B$6:$B$505,$B98))/cfg_DAYS_Y)</f>
        <v/>
      </c>
      <c r="AI98" s="155" t="str">
        <f aca="false">IF($B98="","",MAX(0,IF(OR(الموظفون!$AE98="",الموظفون!$AE98&gt;($E$3-1)),($E$3-1),الموظفون!$AE98)-الموظفون!$H98+1-SUMIFS('سجل الإجازات والحالات'!$AQ$6:$AQ$505,'سجل الإجازات والحالات'!$B$6:$B$505,$B98))/cfg_DAYS_Y)</f>
        <v/>
      </c>
      <c r="AJ98" s="65" t="str">
        <f aca="false">IF($B98="","",MAX(0,AK98-(SUMIFS('سجل الإجازات والحالات'!$AR$6:$AR$505,'سجل الإجازات والحالات'!$B$6:$B$505,$B98)-SUMIFS('سجل الإجازات والحالات'!$AQ$6:$AQ$505,'سجل الإجازات والحالات'!$B$6:$B$505,$B98))))</f>
        <v/>
      </c>
      <c r="AK98" s="65" t="str">
        <f aca="false">IF($B98="","",MAX(0,IF(OR(الموظفون!$AE98="",الموظفون!$AE98&gt;$F$3),$F$3,الموظفون!$AE98)-MAX($E$3,الموظفون!$H98)+1))</f>
        <v/>
      </c>
      <c r="AL98" s="151" t="str">
        <f aca="false">IF($B98="","",SUMIFS('سجل الإجازات والحالات'!$BD$6:$BD$505,'سجل الإجازات والحالات'!$B$6:$B$505,$B98)+SUMIFS('الحركات الشهرية'!$K$6:$K$1005,'الحركات الشهرية'!$B$6:$B$1005,$B98,'الحركات الشهرية'!$A$6:$A$1005,$C$3))</f>
        <v/>
      </c>
      <c r="AM98" s="111" t="str">
        <f aca="false">IF($B98="","",AL98*الموظفون!$R98/cfg_DAYS_M+S98)</f>
        <v/>
      </c>
      <c r="AN98" s="151" t="str">
        <f aca="false">IF($B98="","",SUMIFS('سجل الإجازات والحالات'!$AF$6:$AF$505,'سجل الإجازات والحالات'!$B$6:$B$505,$B98))</f>
        <v/>
      </c>
    </row>
    <row r="99" customFormat="false" ht="15" hidden="false" customHeight="false" outlineLevel="0" collapsed="false">
      <c r="A99" s="115" t="str">
        <f aca="false">IF($B99="","",الموظفون!$A99)</f>
        <v/>
      </c>
      <c r="B99" s="117" t="str">
        <f aca="false">IF(الموظفون!$B99="","",الموظفون!$B99)</f>
        <v/>
      </c>
      <c r="C99" s="117" t="str">
        <f aca="false">IF($B99="","",الموظفون!$C99)</f>
        <v/>
      </c>
      <c r="D99" s="117" t="str">
        <f aca="false">IF($B99="","",الموظفون!$F99)</f>
        <v/>
      </c>
      <c r="E99" s="117" t="str">
        <f aca="false">IF($B99="","",الموظفون!$E99)</f>
        <v/>
      </c>
      <c r="F99" s="117" t="str">
        <f aca="false">IF($B99="","",IF(AK99=0,IF(AND(الموظفون!$AE99&lt;&gt;"",الموظفون!$AE99&lt;$E$3),"✖ منتهي الخدمة","⏳ لم يباشر"),IF(S99&gt;0,"✈ راتب إجازة مقدم",IF(J99=0,"⛔ بدون راتب هذا الشهر",IF(I99&gt;0,"✈ خصم "&amp;ROUND(I99,2)&amp;" يوم بدون أجر",IF(AL99&gt;0,"🌴 إجازة سنوية "&amp;ROUND(AL99,2)&amp;" يوم",IF(H99&gt;0,"⚠ غياب "&amp;ROUND(H99,2)&amp;" يوم","✔ على رأس العمل")))))))</f>
        <v/>
      </c>
      <c r="G99" s="156" t="str">
        <f aca="false">IF($B99="","",IF(AK99&gt;=DAY($F$3),cfg_DAYS_M,MIN(AK99,cfg_DAYS_M)))</f>
        <v/>
      </c>
      <c r="H99" s="156" t="str">
        <f aca="false">IF($B99="","",SUMIFS('الحركات الشهرية'!$D$6:$D$1005,'الحركات الشهرية'!$B$6:$B$1005,$B99,'الحركات الشهرية'!$A$6:$A$1005,$C$3))</f>
        <v/>
      </c>
      <c r="I99" s="156" t="str">
        <f aca="false">IF($B99="","",MIN(G99,IF(AND(AK99&gt;0,AN99&gt;=AK99),G99,AN99)+SUMIFS('الحركات الشهرية'!$E$6:$E$1005,'الحركات الشهرية'!$B$6:$B$1005,$B99,'الحركات الشهرية'!$A$6:$A$1005,$C$3)))</f>
        <v/>
      </c>
      <c r="J99" s="156" t="str">
        <f aca="false">IF($B99="","",MAX(0,G99-H99-I99))</f>
        <v/>
      </c>
      <c r="K99" s="116" t="str">
        <f aca="false">IF($B99="","",الموظفون!$L99*$J99/cfg_DAYS_M)</f>
        <v/>
      </c>
      <c r="L99" s="116" t="str">
        <f aca="false">IF($B99="","",الموظفون!$M99*$J99/cfg_DAYS_M)</f>
        <v/>
      </c>
      <c r="M99" s="116" t="str">
        <f aca="false">IF($B99="","",الموظفون!$N99*$J99/cfg_DAYS_M)</f>
        <v/>
      </c>
      <c r="N99" s="116" t="str">
        <f aca="false">IF($B99="","",الموظفون!$O99*$J99/cfg_DAYS_M)</f>
        <v/>
      </c>
      <c r="O99" s="156" t="str">
        <f aca="false">IF($B99="","",SUMIFS('الحركات الشهرية'!$F$6:$F$1005,'الحركات الشهرية'!$B$6:$B$1005,$B99,'الحركات الشهرية'!$A$6:$A$1005,$C$3))</f>
        <v/>
      </c>
      <c r="P99" s="116" t="str">
        <f aca="false">IF($B99="","",O99*(الموظفون!$P99+الموظفون!$L99*cfg_OT_P)/cfg_DAYS_M/cfg_HRS)</f>
        <v/>
      </c>
      <c r="Q99" s="116" t="str">
        <f aca="false">IF($B99="","",SUMIFS('الحركات الشهرية'!$G$6:$G$1005,'الحركات الشهرية'!$B$6:$B$1005,$B99,'الحركات الشهرية'!$A$6:$A$1005,$C$3))</f>
        <v/>
      </c>
      <c r="R99" s="116" t="str">
        <f aca="false">IF($B99="","",SUMIFS('الحركات الشهرية'!$H$6:$H$1005,'الحركات الشهرية'!$B$6:$B$1005,$B99,'الحركات الشهرية'!$A$6:$A$1005,$C$3))</f>
        <v/>
      </c>
      <c r="S99" s="116" t="str">
        <f aca="false">IF($B99="","",SUMIFS('سجل الإجازات والحالات'!$N$6:$N$505,'سجل الإجازات والحالات'!$B$6:$B$505,$B99,'سجل الإجازات والحالات'!$O$6:$O$505,$C$3))</f>
        <v/>
      </c>
      <c r="T99" s="157" t="str">
        <f aca="false">IF($B99="","",SUM(K99:N99)+SUM(P99:S99))</f>
        <v/>
      </c>
      <c r="U99" s="116" t="str">
        <f aca="false">IF($B99="","",الموظفون!$S99*IF(E99="سعودي",cfg_G_SE,cfg_G_NE)*G99/cfg_DAYS_M)</f>
        <v/>
      </c>
      <c r="V99" s="116" t="str">
        <f aca="false">IF($B99="","",SUMIFS('الحركات الشهرية'!$I$6:$I$1005,'الحركات الشهرية'!$B$6:$B$1005,$B99,'الحركات الشهرية'!$A$6:$A$1005,$C$3))</f>
        <v/>
      </c>
      <c r="W99" s="116" t="str">
        <f aca="false">IF($B99="","",SUMIFS('الحركات الشهرية'!$J$6:$J$1005,'الحركات الشهرية'!$B$6:$B$1005,$B99,'الحركات الشهرية'!$A$6:$A$1005,$C$3))</f>
        <v/>
      </c>
      <c r="X99" s="116" t="str">
        <f aca="false">IF($B99="","",SUM(U99:W99))</f>
        <v/>
      </c>
      <c r="Y99" s="158" t="str">
        <f aca="false">IF($B99="","",T99-X99)</f>
        <v/>
      </c>
      <c r="Z99" s="116" t="str">
        <f aca="false">IF($B99="","",الموظفون!$S99*IF(E99="سعودي",cfg_G_SR,cfg_G_NR)*G99/cfg_DAYS_M)</f>
        <v/>
      </c>
      <c r="AA99" s="116" t="str">
        <f aca="false">IF($B99="","",الموظفون!$Q99*(cfg_EOS_R1*(MIN(AH99,cfg_EOS_TH)-MIN(AI99,cfg_EOS_TH))+cfg_EOS_R2*(MAX(AH99-cfg_EOS_TH,0)-MAX(AI99-cfg_EOS_TH,0))))</f>
        <v/>
      </c>
      <c r="AB99" s="116" t="str">
        <f aca="false">IF($B99="","",IF(الموظفون!$T99&lt;&gt;"",الموظفون!$T99,IF(AH99&gt;=cfg_LV_TH,cfg_LV_D2,cfg_LV_D1))/cfg_DAYS_Y*AJ99*الموظفون!$R99/cfg_DAYS_M)</f>
        <v/>
      </c>
      <c r="AC99" s="116" t="str">
        <f aca="false">IF($B99="","",IF(AND(الموظفون!$U99="نعم",N(الموظفون!$W99)&gt;0),الموظفون!$V99/الموظفون!$W99*12/cfg_DAYS_Y*AJ99,0))</f>
        <v/>
      </c>
      <c r="AD99" s="116" t="str">
        <f aca="false">IF($B99="","",(IF(الموظفون!$X99&lt;&gt;"",الموظفون!$X99,IF(الموظفون!$E99="غير سعودي",cfg_IQ,0))+IF(الموظفون!$Y99&lt;&gt;"",الموظفون!$Y99,IF(الموظفون!$E99="غير سعودي",cfg_WP,0)))/12*G99/cfg_DAYS_M)</f>
        <v/>
      </c>
      <c r="AE99" s="116" t="str">
        <f aca="false">IF($B99="","",IF(الموظفون!$Z99&lt;&gt;"",الموظفون!$Z99,cfg_MED)/12*G99/cfg_DAYS_M)</f>
        <v/>
      </c>
      <c r="AF99" s="116" t="str">
        <f aca="false">IF($B99="","",N(الموظفون!$AA99)/12*G99/cfg_DAYS_M)</f>
        <v/>
      </c>
      <c r="AG99" s="159" t="str">
        <f aca="false">IF($B99="","",T99+SUM(Z99:AF99))</f>
        <v/>
      </c>
      <c r="AH99" s="160" t="str">
        <f aca="false">IF($B99="","",MAX(0,IF(OR(الموظفون!$AE99="",الموظفون!$AE99&gt;$F$3),$F$3,الموظفون!$AE99)-الموظفون!$H99+1-SUMIFS('سجل الإجازات والحالات'!$AR$6:$AR$505,'سجل الإجازات والحالات'!$B$6:$B$505,$B99))/cfg_DAYS_Y)</f>
        <v/>
      </c>
      <c r="AI99" s="160" t="str">
        <f aca="false">IF($B99="","",MAX(0,IF(OR(الموظفون!$AE99="",الموظفون!$AE99&gt;($E$3-1)),($E$3-1),الموظفون!$AE99)-الموظفون!$H99+1-SUMIFS('سجل الإجازات والحالات'!$AQ$6:$AQ$505,'سجل الإجازات والحالات'!$B$6:$B$505,$B99))/cfg_DAYS_Y)</f>
        <v/>
      </c>
      <c r="AJ99" s="133" t="str">
        <f aca="false">IF($B99="","",MAX(0,AK99-(SUMIFS('سجل الإجازات والحالات'!$AR$6:$AR$505,'سجل الإجازات والحالات'!$B$6:$B$505,$B99)-SUMIFS('سجل الإجازات والحالات'!$AQ$6:$AQ$505,'سجل الإجازات والحالات'!$B$6:$B$505,$B99))))</f>
        <v/>
      </c>
      <c r="AK99" s="133" t="str">
        <f aca="false">IF($B99="","",MAX(0,IF(OR(الموظفون!$AE99="",الموظفون!$AE99&gt;$F$3),$F$3,الموظفون!$AE99)-MAX($E$3,الموظفون!$H99)+1))</f>
        <v/>
      </c>
      <c r="AL99" s="156" t="str">
        <f aca="false">IF($B99="","",SUMIFS('سجل الإجازات والحالات'!$BD$6:$BD$505,'سجل الإجازات والحالات'!$B$6:$B$505,$B99)+SUMIFS('الحركات الشهرية'!$K$6:$K$1005,'الحركات الشهرية'!$B$6:$B$1005,$B99,'الحركات الشهرية'!$A$6:$A$1005,$C$3))</f>
        <v/>
      </c>
      <c r="AM99" s="116" t="str">
        <f aca="false">IF($B99="","",AL99*الموظفون!$R99/cfg_DAYS_M+S99)</f>
        <v/>
      </c>
      <c r="AN99" s="156" t="str">
        <f aca="false">IF($B99="","",SUMIFS('سجل الإجازات والحالات'!$AF$6:$AF$505,'سجل الإجازات والحالات'!$B$6:$B$505,$B99))</f>
        <v/>
      </c>
    </row>
    <row r="100" customFormat="false" ht="15" hidden="false" customHeight="false" outlineLevel="0" collapsed="false">
      <c r="A100" s="106" t="str">
        <f aca="false">IF($B100="","",الموظفون!$A100)</f>
        <v/>
      </c>
      <c r="B100" s="114" t="str">
        <f aca="false">IF(الموظفون!$B100="","",الموظفون!$B100)</f>
        <v/>
      </c>
      <c r="C100" s="114" t="str">
        <f aca="false">IF($B100="","",الموظفون!$C100)</f>
        <v/>
      </c>
      <c r="D100" s="114" t="str">
        <f aca="false">IF($B100="","",الموظفون!$F100)</f>
        <v/>
      </c>
      <c r="E100" s="114" t="str">
        <f aca="false">IF($B100="","",الموظفون!$E100)</f>
        <v/>
      </c>
      <c r="F100" s="114" t="str">
        <f aca="false">IF($B100="","",IF(AK100=0,IF(AND(الموظفون!$AE100&lt;&gt;"",الموظفون!$AE100&lt;$E$3),"✖ منتهي الخدمة","⏳ لم يباشر"),IF(S100&gt;0,"✈ راتب إجازة مقدم",IF(J100=0,"⛔ بدون راتب هذا الشهر",IF(I100&gt;0,"✈ خصم "&amp;ROUND(I100,2)&amp;" يوم بدون أجر",IF(AL100&gt;0,"🌴 إجازة سنوية "&amp;ROUND(AL100,2)&amp;" يوم",IF(H100&gt;0,"⚠ غياب "&amp;ROUND(H100,2)&amp;" يوم","✔ على رأس العمل")))))))</f>
        <v/>
      </c>
      <c r="G100" s="151" t="str">
        <f aca="false">IF($B100="","",IF(AK100&gt;=DAY($F$3),cfg_DAYS_M,MIN(AK100,cfg_DAYS_M)))</f>
        <v/>
      </c>
      <c r="H100" s="151" t="str">
        <f aca="false">IF($B100="","",SUMIFS('الحركات الشهرية'!$D$6:$D$1005,'الحركات الشهرية'!$B$6:$B$1005,$B100,'الحركات الشهرية'!$A$6:$A$1005,$C$3))</f>
        <v/>
      </c>
      <c r="I100" s="151" t="str">
        <f aca="false">IF($B100="","",MIN(G100,IF(AND(AK100&gt;0,AN100&gt;=AK100),G100,AN100)+SUMIFS('الحركات الشهرية'!$E$6:$E$1005,'الحركات الشهرية'!$B$6:$B$1005,$B100,'الحركات الشهرية'!$A$6:$A$1005,$C$3)))</f>
        <v/>
      </c>
      <c r="J100" s="151" t="str">
        <f aca="false">IF($B100="","",MAX(0,G100-H100-I100))</f>
        <v/>
      </c>
      <c r="K100" s="111" t="str">
        <f aca="false">IF($B100="","",الموظفون!$L100*$J100/cfg_DAYS_M)</f>
        <v/>
      </c>
      <c r="L100" s="111" t="str">
        <f aca="false">IF($B100="","",الموظفون!$M100*$J100/cfg_DAYS_M)</f>
        <v/>
      </c>
      <c r="M100" s="111" t="str">
        <f aca="false">IF($B100="","",الموظفون!$N100*$J100/cfg_DAYS_M)</f>
        <v/>
      </c>
      <c r="N100" s="111" t="str">
        <f aca="false">IF($B100="","",الموظفون!$O100*$J100/cfg_DAYS_M)</f>
        <v/>
      </c>
      <c r="O100" s="151" t="str">
        <f aca="false">IF($B100="","",SUMIFS('الحركات الشهرية'!$F$6:$F$1005,'الحركات الشهرية'!$B$6:$B$1005,$B100,'الحركات الشهرية'!$A$6:$A$1005,$C$3))</f>
        <v/>
      </c>
      <c r="P100" s="111" t="str">
        <f aca="false">IF($B100="","",O100*(الموظفون!$P100+الموظفون!$L100*cfg_OT_P)/cfg_DAYS_M/cfg_HRS)</f>
        <v/>
      </c>
      <c r="Q100" s="111" t="str">
        <f aca="false">IF($B100="","",SUMIFS('الحركات الشهرية'!$G$6:$G$1005,'الحركات الشهرية'!$B$6:$B$1005,$B100,'الحركات الشهرية'!$A$6:$A$1005,$C$3))</f>
        <v/>
      </c>
      <c r="R100" s="111" t="str">
        <f aca="false">IF($B100="","",SUMIFS('الحركات الشهرية'!$H$6:$H$1005,'الحركات الشهرية'!$B$6:$B$1005,$B100,'الحركات الشهرية'!$A$6:$A$1005,$C$3))</f>
        <v/>
      </c>
      <c r="S100" s="111" t="str">
        <f aca="false">IF($B100="","",SUMIFS('سجل الإجازات والحالات'!$N$6:$N$505,'سجل الإجازات والحالات'!$B$6:$B$505,$B100,'سجل الإجازات والحالات'!$O$6:$O$505,$C$3))</f>
        <v/>
      </c>
      <c r="T100" s="152" t="str">
        <f aca="false">IF($B100="","",SUM(K100:N100)+SUM(P100:S100))</f>
        <v/>
      </c>
      <c r="U100" s="111" t="str">
        <f aca="false">IF($B100="","",الموظفون!$S100*IF(E100="سعودي",cfg_G_SE,cfg_G_NE)*G100/cfg_DAYS_M)</f>
        <v/>
      </c>
      <c r="V100" s="111" t="str">
        <f aca="false">IF($B100="","",SUMIFS('الحركات الشهرية'!$I$6:$I$1005,'الحركات الشهرية'!$B$6:$B$1005,$B100,'الحركات الشهرية'!$A$6:$A$1005,$C$3))</f>
        <v/>
      </c>
      <c r="W100" s="111" t="str">
        <f aca="false">IF($B100="","",SUMIFS('الحركات الشهرية'!$J$6:$J$1005,'الحركات الشهرية'!$B$6:$B$1005,$B100,'الحركات الشهرية'!$A$6:$A$1005,$C$3))</f>
        <v/>
      </c>
      <c r="X100" s="111" t="str">
        <f aca="false">IF($B100="","",SUM(U100:W100))</f>
        <v/>
      </c>
      <c r="Y100" s="153" t="str">
        <f aca="false">IF($B100="","",T100-X100)</f>
        <v/>
      </c>
      <c r="Z100" s="111" t="str">
        <f aca="false">IF($B100="","",الموظفون!$S100*IF(E100="سعودي",cfg_G_SR,cfg_G_NR)*G100/cfg_DAYS_M)</f>
        <v/>
      </c>
      <c r="AA100" s="111" t="str">
        <f aca="false">IF($B100="","",الموظفون!$Q100*(cfg_EOS_R1*(MIN(AH100,cfg_EOS_TH)-MIN(AI100,cfg_EOS_TH))+cfg_EOS_R2*(MAX(AH100-cfg_EOS_TH,0)-MAX(AI100-cfg_EOS_TH,0))))</f>
        <v/>
      </c>
      <c r="AB100" s="111" t="str">
        <f aca="false">IF($B100="","",IF(الموظفون!$T100&lt;&gt;"",الموظفون!$T100,IF(AH100&gt;=cfg_LV_TH,cfg_LV_D2,cfg_LV_D1))/cfg_DAYS_Y*AJ100*الموظفون!$R100/cfg_DAYS_M)</f>
        <v/>
      </c>
      <c r="AC100" s="111" t="str">
        <f aca="false">IF($B100="","",IF(AND(الموظفون!$U100="نعم",N(الموظفون!$W100)&gt;0),الموظفون!$V100/الموظفون!$W100*12/cfg_DAYS_Y*AJ100,0))</f>
        <v/>
      </c>
      <c r="AD100" s="111" t="str">
        <f aca="false">IF($B100="","",(IF(الموظفون!$X100&lt;&gt;"",الموظفون!$X100,IF(الموظفون!$E100="غير سعودي",cfg_IQ,0))+IF(الموظفون!$Y100&lt;&gt;"",الموظفون!$Y100,IF(الموظفون!$E100="غير سعودي",cfg_WP,0)))/12*G100/cfg_DAYS_M)</f>
        <v/>
      </c>
      <c r="AE100" s="111" t="str">
        <f aca="false">IF($B100="","",IF(الموظفون!$Z100&lt;&gt;"",الموظفون!$Z100,cfg_MED)/12*G100/cfg_DAYS_M)</f>
        <v/>
      </c>
      <c r="AF100" s="111" t="str">
        <f aca="false">IF($B100="","",N(الموظفون!$AA100)/12*G100/cfg_DAYS_M)</f>
        <v/>
      </c>
      <c r="AG100" s="154" t="str">
        <f aca="false">IF($B100="","",T100+SUM(Z100:AF100))</f>
        <v/>
      </c>
      <c r="AH100" s="155" t="str">
        <f aca="false">IF($B100="","",MAX(0,IF(OR(الموظفون!$AE100="",الموظفون!$AE100&gt;$F$3),$F$3,الموظفون!$AE100)-الموظفون!$H100+1-SUMIFS('سجل الإجازات والحالات'!$AR$6:$AR$505,'سجل الإجازات والحالات'!$B$6:$B$505,$B100))/cfg_DAYS_Y)</f>
        <v/>
      </c>
      <c r="AI100" s="155" t="str">
        <f aca="false">IF($B100="","",MAX(0,IF(OR(الموظفون!$AE100="",الموظفون!$AE100&gt;($E$3-1)),($E$3-1),الموظفون!$AE100)-الموظفون!$H100+1-SUMIFS('سجل الإجازات والحالات'!$AQ$6:$AQ$505,'سجل الإجازات والحالات'!$B$6:$B$505,$B100))/cfg_DAYS_Y)</f>
        <v/>
      </c>
      <c r="AJ100" s="65" t="str">
        <f aca="false">IF($B100="","",MAX(0,AK100-(SUMIFS('سجل الإجازات والحالات'!$AR$6:$AR$505,'سجل الإجازات والحالات'!$B$6:$B$505,$B100)-SUMIFS('سجل الإجازات والحالات'!$AQ$6:$AQ$505,'سجل الإجازات والحالات'!$B$6:$B$505,$B100))))</f>
        <v/>
      </c>
      <c r="AK100" s="65" t="str">
        <f aca="false">IF($B100="","",MAX(0,IF(OR(الموظفون!$AE100="",الموظفون!$AE100&gt;$F$3),$F$3,الموظفون!$AE100)-MAX($E$3,الموظفون!$H100)+1))</f>
        <v/>
      </c>
      <c r="AL100" s="151" t="str">
        <f aca="false">IF($B100="","",SUMIFS('سجل الإجازات والحالات'!$BD$6:$BD$505,'سجل الإجازات والحالات'!$B$6:$B$505,$B100)+SUMIFS('الحركات الشهرية'!$K$6:$K$1005,'الحركات الشهرية'!$B$6:$B$1005,$B100,'الحركات الشهرية'!$A$6:$A$1005,$C$3))</f>
        <v/>
      </c>
      <c r="AM100" s="111" t="str">
        <f aca="false">IF($B100="","",AL100*الموظفون!$R100/cfg_DAYS_M+S100)</f>
        <v/>
      </c>
      <c r="AN100" s="151" t="str">
        <f aca="false">IF($B100="","",SUMIFS('سجل الإجازات والحالات'!$AF$6:$AF$505,'سجل الإجازات والحالات'!$B$6:$B$505,$B100))</f>
        <v/>
      </c>
    </row>
    <row r="101" customFormat="false" ht="15" hidden="false" customHeight="false" outlineLevel="0" collapsed="false">
      <c r="A101" s="115" t="str">
        <f aca="false">IF($B101="","",الموظفون!$A101)</f>
        <v/>
      </c>
      <c r="B101" s="117" t="str">
        <f aca="false">IF(الموظفون!$B101="","",الموظفون!$B101)</f>
        <v/>
      </c>
      <c r="C101" s="117" t="str">
        <f aca="false">IF($B101="","",الموظفون!$C101)</f>
        <v/>
      </c>
      <c r="D101" s="117" t="str">
        <f aca="false">IF($B101="","",الموظفون!$F101)</f>
        <v/>
      </c>
      <c r="E101" s="117" t="str">
        <f aca="false">IF($B101="","",الموظفون!$E101)</f>
        <v/>
      </c>
      <c r="F101" s="117" t="str">
        <f aca="false">IF($B101="","",IF(AK101=0,IF(AND(الموظفون!$AE101&lt;&gt;"",الموظفون!$AE101&lt;$E$3),"✖ منتهي الخدمة","⏳ لم يباشر"),IF(S101&gt;0,"✈ راتب إجازة مقدم",IF(J101=0,"⛔ بدون راتب هذا الشهر",IF(I101&gt;0,"✈ خصم "&amp;ROUND(I101,2)&amp;" يوم بدون أجر",IF(AL101&gt;0,"🌴 إجازة سنوية "&amp;ROUND(AL101,2)&amp;" يوم",IF(H101&gt;0,"⚠ غياب "&amp;ROUND(H101,2)&amp;" يوم","✔ على رأس العمل")))))))</f>
        <v/>
      </c>
      <c r="G101" s="156" t="str">
        <f aca="false">IF($B101="","",IF(AK101&gt;=DAY($F$3),cfg_DAYS_M,MIN(AK101,cfg_DAYS_M)))</f>
        <v/>
      </c>
      <c r="H101" s="156" t="str">
        <f aca="false">IF($B101="","",SUMIFS('الحركات الشهرية'!$D$6:$D$1005,'الحركات الشهرية'!$B$6:$B$1005,$B101,'الحركات الشهرية'!$A$6:$A$1005,$C$3))</f>
        <v/>
      </c>
      <c r="I101" s="156" t="str">
        <f aca="false">IF($B101="","",MIN(G101,IF(AND(AK101&gt;0,AN101&gt;=AK101),G101,AN101)+SUMIFS('الحركات الشهرية'!$E$6:$E$1005,'الحركات الشهرية'!$B$6:$B$1005,$B101,'الحركات الشهرية'!$A$6:$A$1005,$C$3)))</f>
        <v/>
      </c>
      <c r="J101" s="156" t="str">
        <f aca="false">IF($B101="","",MAX(0,G101-H101-I101))</f>
        <v/>
      </c>
      <c r="K101" s="116" t="str">
        <f aca="false">IF($B101="","",الموظفون!$L101*$J101/cfg_DAYS_M)</f>
        <v/>
      </c>
      <c r="L101" s="116" t="str">
        <f aca="false">IF($B101="","",الموظفون!$M101*$J101/cfg_DAYS_M)</f>
        <v/>
      </c>
      <c r="M101" s="116" t="str">
        <f aca="false">IF($B101="","",الموظفون!$N101*$J101/cfg_DAYS_M)</f>
        <v/>
      </c>
      <c r="N101" s="116" t="str">
        <f aca="false">IF($B101="","",الموظفون!$O101*$J101/cfg_DAYS_M)</f>
        <v/>
      </c>
      <c r="O101" s="156" t="str">
        <f aca="false">IF($B101="","",SUMIFS('الحركات الشهرية'!$F$6:$F$1005,'الحركات الشهرية'!$B$6:$B$1005,$B101,'الحركات الشهرية'!$A$6:$A$1005,$C$3))</f>
        <v/>
      </c>
      <c r="P101" s="116" t="str">
        <f aca="false">IF($B101="","",O101*(الموظفون!$P101+الموظفون!$L101*cfg_OT_P)/cfg_DAYS_M/cfg_HRS)</f>
        <v/>
      </c>
      <c r="Q101" s="116" t="str">
        <f aca="false">IF($B101="","",SUMIFS('الحركات الشهرية'!$G$6:$G$1005,'الحركات الشهرية'!$B$6:$B$1005,$B101,'الحركات الشهرية'!$A$6:$A$1005,$C$3))</f>
        <v/>
      </c>
      <c r="R101" s="116" t="str">
        <f aca="false">IF($B101="","",SUMIFS('الحركات الشهرية'!$H$6:$H$1005,'الحركات الشهرية'!$B$6:$B$1005,$B101,'الحركات الشهرية'!$A$6:$A$1005,$C$3))</f>
        <v/>
      </c>
      <c r="S101" s="116" t="str">
        <f aca="false">IF($B101="","",SUMIFS('سجل الإجازات والحالات'!$N$6:$N$505,'سجل الإجازات والحالات'!$B$6:$B$505,$B101,'سجل الإجازات والحالات'!$O$6:$O$505,$C$3))</f>
        <v/>
      </c>
      <c r="T101" s="157" t="str">
        <f aca="false">IF($B101="","",SUM(K101:N101)+SUM(P101:S101))</f>
        <v/>
      </c>
      <c r="U101" s="116" t="str">
        <f aca="false">IF($B101="","",الموظفون!$S101*IF(E101="سعودي",cfg_G_SE,cfg_G_NE)*G101/cfg_DAYS_M)</f>
        <v/>
      </c>
      <c r="V101" s="116" t="str">
        <f aca="false">IF($B101="","",SUMIFS('الحركات الشهرية'!$I$6:$I$1005,'الحركات الشهرية'!$B$6:$B$1005,$B101,'الحركات الشهرية'!$A$6:$A$1005,$C$3))</f>
        <v/>
      </c>
      <c r="W101" s="116" t="str">
        <f aca="false">IF($B101="","",SUMIFS('الحركات الشهرية'!$J$6:$J$1005,'الحركات الشهرية'!$B$6:$B$1005,$B101,'الحركات الشهرية'!$A$6:$A$1005,$C$3))</f>
        <v/>
      </c>
      <c r="X101" s="116" t="str">
        <f aca="false">IF($B101="","",SUM(U101:W101))</f>
        <v/>
      </c>
      <c r="Y101" s="158" t="str">
        <f aca="false">IF($B101="","",T101-X101)</f>
        <v/>
      </c>
      <c r="Z101" s="116" t="str">
        <f aca="false">IF($B101="","",الموظفون!$S101*IF(E101="سعودي",cfg_G_SR,cfg_G_NR)*G101/cfg_DAYS_M)</f>
        <v/>
      </c>
      <c r="AA101" s="116" t="str">
        <f aca="false">IF($B101="","",الموظفون!$Q101*(cfg_EOS_R1*(MIN(AH101,cfg_EOS_TH)-MIN(AI101,cfg_EOS_TH))+cfg_EOS_R2*(MAX(AH101-cfg_EOS_TH,0)-MAX(AI101-cfg_EOS_TH,0))))</f>
        <v/>
      </c>
      <c r="AB101" s="116" t="str">
        <f aca="false">IF($B101="","",IF(الموظفون!$T101&lt;&gt;"",الموظفون!$T101,IF(AH101&gt;=cfg_LV_TH,cfg_LV_D2,cfg_LV_D1))/cfg_DAYS_Y*AJ101*الموظفون!$R101/cfg_DAYS_M)</f>
        <v/>
      </c>
      <c r="AC101" s="116" t="str">
        <f aca="false">IF($B101="","",IF(AND(الموظفون!$U101="نعم",N(الموظفون!$W101)&gt;0),الموظفون!$V101/الموظفون!$W101*12/cfg_DAYS_Y*AJ101,0))</f>
        <v/>
      </c>
      <c r="AD101" s="116" t="str">
        <f aca="false">IF($B101="","",(IF(الموظفون!$X101&lt;&gt;"",الموظفون!$X101,IF(الموظفون!$E101="غير سعودي",cfg_IQ,0))+IF(الموظفون!$Y101&lt;&gt;"",الموظفون!$Y101,IF(الموظفون!$E101="غير سعودي",cfg_WP,0)))/12*G101/cfg_DAYS_M)</f>
        <v/>
      </c>
      <c r="AE101" s="116" t="str">
        <f aca="false">IF($B101="","",IF(الموظفون!$Z101&lt;&gt;"",الموظفون!$Z101,cfg_MED)/12*G101/cfg_DAYS_M)</f>
        <v/>
      </c>
      <c r="AF101" s="116" t="str">
        <f aca="false">IF($B101="","",N(الموظفون!$AA101)/12*G101/cfg_DAYS_M)</f>
        <v/>
      </c>
      <c r="AG101" s="159" t="str">
        <f aca="false">IF($B101="","",T101+SUM(Z101:AF101))</f>
        <v/>
      </c>
      <c r="AH101" s="160" t="str">
        <f aca="false">IF($B101="","",MAX(0,IF(OR(الموظفون!$AE101="",الموظفون!$AE101&gt;$F$3),$F$3,الموظفون!$AE101)-الموظفون!$H101+1-SUMIFS('سجل الإجازات والحالات'!$AR$6:$AR$505,'سجل الإجازات والحالات'!$B$6:$B$505,$B101))/cfg_DAYS_Y)</f>
        <v/>
      </c>
      <c r="AI101" s="160" t="str">
        <f aca="false">IF($B101="","",MAX(0,IF(OR(الموظفون!$AE101="",الموظفون!$AE101&gt;($E$3-1)),($E$3-1),الموظفون!$AE101)-الموظفون!$H101+1-SUMIFS('سجل الإجازات والحالات'!$AQ$6:$AQ$505,'سجل الإجازات والحالات'!$B$6:$B$505,$B101))/cfg_DAYS_Y)</f>
        <v/>
      </c>
      <c r="AJ101" s="133" t="str">
        <f aca="false">IF($B101="","",MAX(0,AK101-(SUMIFS('سجل الإجازات والحالات'!$AR$6:$AR$505,'سجل الإجازات والحالات'!$B$6:$B$505,$B101)-SUMIFS('سجل الإجازات والحالات'!$AQ$6:$AQ$505,'سجل الإجازات والحالات'!$B$6:$B$505,$B101))))</f>
        <v/>
      </c>
      <c r="AK101" s="133" t="str">
        <f aca="false">IF($B101="","",MAX(0,IF(OR(الموظفون!$AE101="",الموظفون!$AE101&gt;$F$3),$F$3,الموظفون!$AE101)-MAX($E$3,الموظفون!$H101)+1))</f>
        <v/>
      </c>
      <c r="AL101" s="156" t="str">
        <f aca="false">IF($B101="","",SUMIFS('سجل الإجازات والحالات'!$BD$6:$BD$505,'سجل الإجازات والحالات'!$B$6:$B$505,$B101)+SUMIFS('الحركات الشهرية'!$K$6:$K$1005,'الحركات الشهرية'!$B$6:$B$1005,$B101,'الحركات الشهرية'!$A$6:$A$1005,$C$3))</f>
        <v/>
      </c>
      <c r="AM101" s="116" t="str">
        <f aca="false">IF($B101="","",AL101*الموظفون!$R101/cfg_DAYS_M+S101)</f>
        <v/>
      </c>
      <c r="AN101" s="156" t="str">
        <f aca="false">IF($B101="","",SUMIFS('سجل الإجازات والحالات'!$AF$6:$AF$505,'سجل الإجازات والحالات'!$B$6:$B$505,$B101))</f>
        <v/>
      </c>
    </row>
    <row r="102" customFormat="false" ht="15" hidden="false" customHeight="false" outlineLevel="0" collapsed="false">
      <c r="A102" s="106" t="str">
        <f aca="false">IF($B102="","",الموظفون!$A102)</f>
        <v/>
      </c>
      <c r="B102" s="114" t="str">
        <f aca="false">IF(الموظفون!$B102="","",الموظفون!$B102)</f>
        <v/>
      </c>
      <c r="C102" s="114" t="str">
        <f aca="false">IF($B102="","",الموظفون!$C102)</f>
        <v/>
      </c>
      <c r="D102" s="114" t="str">
        <f aca="false">IF($B102="","",الموظفون!$F102)</f>
        <v/>
      </c>
      <c r="E102" s="114" t="str">
        <f aca="false">IF($B102="","",الموظفون!$E102)</f>
        <v/>
      </c>
      <c r="F102" s="114" t="str">
        <f aca="false">IF($B102="","",IF(AK102=0,IF(AND(الموظفون!$AE102&lt;&gt;"",الموظفون!$AE102&lt;$E$3),"✖ منتهي الخدمة","⏳ لم يباشر"),IF(S102&gt;0,"✈ راتب إجازة مقدم",IF(J102=0,"⛔ بدون راتب هذا الشهر",IF(I102&gt;0,"✈ خصم "&amp;ROUND(I102,2)&amp;" يوم بدون أجر",IF(AL102&gt;0,"🌴 إجازة سنوية "&amp;ROUND(AL102,2)&amp;" يوم",IF(H102&gt;0,"⚠ غياب "&amp;ROUND(H102,2)&amp;" يوم","✔ على رأس العمل")))))))</f>
        <v/>
      </c>
      <c r="G102" s="151" t="str">
        <f aca="false">IF($B102="","",IF(AK102&gt;=DAY($F$3),cfg_DAYS_M,MIN(AK102,cfg_DAYS_M)))</f>
        <v/>
      </c>
      <c r="H102" s="151" t="str">
        <f aca="false">IF($B102="","",SUMIFS('الحركات الشهرية'!$D$6:$D$1005,'الحركات الشهرية'!$B$6:$B$1005,$B102,'الحركات الشهرية'!$A$6:$A$1005,$C$3))</f>
        <v/>
      </c>
      <c r="I102" s="151" t="str">
        <f aca="false">IF($B102="","",MIN(G102,IF(AND(AK102&gt;0,AN102&gt;=AK102),G102,AN102)+SUMIFS('الحركات الشهرية'!$E$6:$E$1005,'الحركات الشهرية'!$B$6:$B$1005,$B102,'الحركات الشهرية'!$A$6:$A$1005,$C$3)))</f>
        <v/>
      </c>
      <c r="J102" s="151" t="str">
        <f aca="false">IF($B102="","",MAX(0,G102-H102-I102))</f>
        <v/>
      </c>
      <c r="K102" s="111" t="str">
        <f aca="false">IF($B102="","",الموظفون!$L102*$J102/cfg_DAYS_M)</f>
        <v/>
      </c>
      <c r="L102" s="111" t="str">
        <f aca="false">IF($B102="","",الموظفون!$M102*$J102/cfg_DAYS_M)</f>
        <v/>
      </c>
      <c r="M102" s="111" t="str">
        <f aca="false">IF($B102="","",الموظفون!$N102*$J102/cfg_DAYS_M)</f>
        <v/>
      </c>
      <c r="N102" s="111" t="str">
        <f aca="false">IF($B102="","",الموظفون!$O102*$J102/cfg_DAYS_M)</f>
        <v/>
      </c>
      <c r="O102" s="151" t="str">
        <f aca="false">IF($B102="","",SUMIFS('الحركات الشهرية'!$F$6:$F$1005,'الحركات الشهرية'!$B$6:$B$1005,$B102,'الحركات الشهرية'!$A$6:$A$1005,$C$3))</f>
        <v/>
      </c>
      <c r="P102" s="111" t="str">
        <f aca="false">IF($B102="","",O102*(الموظفون!$P102+الموظفون!$L102*cfg_OT_P)/cfg_DAYS_M/cfg_HRS)</f>
        <v/>
      </c>
      <c r="Q102" s="111" t="str">
        <f aca="false">IF($B102="","",SUMIFS('الحركات الشهرية'!$G$6:$G$1005,'الحركات الشهرية'!$B$6:$B$1005,$B102,'الحركات الشهرية'!$A$6:$A$1005,$C$3))</f>
        <v/>
      </c>
      <c r="R102" s="111" t="str">
        <f aca="false">IF($B102="","",SUMIFS('الحركات الشهرية'!$H$6:$H$1005,'الحركات الشهرية'!$B$6:$B$1005,$B102,'الحركات الشهرية'!$A$6:$A$1005,$C$3))</f>
        <v/>
      </c>
      <c r="S102" s="111" t="str">
        <f aca="false">IF($B102="","",SUMIFS('سجل الإجازات والحالات'!$N$6:$N$505,'سجل الإجازات والحالات'!$B$6:$B$505,$B102,'سجل الإجازات والحالات'!$O$6:$O$505,$C$3))</f>
        <v/>
      </c>
      <c r="T102" s="152" t="str">
        <f aca="false">IF($B102="","",SUM(K102:N102)+SUM(P102:S102))</f>
        <v/>
      </c>
      <c r="U102" s="111" t="str">
        <f aca="false">IF($B102="","",الموظفون!$S102*IF(E102="سعودي",cfg_G_SE,cfg_G_NE)*G102/cfg_DAYS_M)</f>
        <v/>
      </c>
      <c r="V102" s="111" t="str">
        <f aca="false">IF($B102="","",SUMIFS('الحركات الشهرية'!$I$6:$I$1005,'الحركات الشهرية'!$B$6:$B$1005,$B102,'الحركات الشهرية'!$A$6:$A$1005,$C$3))</f>
        <v/>
      </c>
      <c r="W102" s="111" t="str">
        <f aca="false">IF($B102="","",SUMIFS('الحركات الشهرية'!$J$6:$J$1005,'الحركات الشهرية'!$B$6:$B$1005,$B102,'الحركات الشهرية'!$A$6:$A$1005,$C$3))</f>
        <v/>
      </c>
      <c r="X102" s="111" t="str">
        <f aca="false">IF($B102="","",SUM(U102:W102))</f>
        <v/>
      </c>
      <c r="Y102" s="153" t="str">
        <f aca="false">IF($B102="","",T102-X102)</f>
        <v/>
      </c>
      <c r="Z102" s="111" t="str">
        <f aca="false">IF($B102="","",الموظفون!$S102*IF(E102="سعودي",cfg_G_SR,cfg_G_NR)*G102/cfg_DAYS_M)</f>
        <v/>
      </c>
      <c r="AA102" s="111" t="str">
        <f aca="false">IF($B102="","",الموظفون!$Q102*(cfg_EOS_R1*(MIN(AH102,cfg_EOS_TH)-MIN(AI102,cfg_EOS_TH))+cfg_EOS_R2*(MAX(AH102-cfg_EOS_TH,0)-MAX(AI102-cfg_EOS_TH,0))))</f>
        <v/>
      </c>
      <c r="AB102" s="111" t="str">
        <f aca="false">IF($B102="","",IF(الموظفون!$T102&lt;&gt;"",الموظفون!$T102,IF(AH102&gt;=cfg_LV_TH,cfg_LV_D2,cfg_LV_D1))/cfg_DAYS_Y*AJ102*الموظفون!$R102/cfg_DAYS_M)</f>
        <v/>
      </c>
      <c r="AC102" s="111" t="str">
        <f aca="false">IF($B102="","",IF(AND(الموظفون!$U102="نعم",N(الموظفون!$W102)&gt;0),الموظفون!$V102/الموظفون!$W102*12/cfg_DAYS_Y*AJ102,0))</f>
        <v/>
      </c>
      <c r="AD102" s="111" t="str">
        <f aca="false">IF($B102="","",(IF(الموظفون!$X102&lt;&gt;"",الموظفون!$X102,IF(الموظفون!$E102="غير سعودي",cfg_IQ,0))+IF(الموظفون!$Y102&lt;&gt;"",الموظفون!$Y102,IF(الموظفون!$E102="غير سعودي",cfg_WP,0)))/12*G102/cfg_DAYS_M)</f>
        <v/>
      </c>
      <c r="AE102" s="111" t="str">
        <f aca="false">IF($B102="","",IF(الموظفون!$Z102&lt;&gt;"",الموظفون!$Z102,cfg_MED)/12*G102/cfg_DAYS_M)</f>
        <v/>
      </c>
      <c r="AF102" s="111" t="str">
        <f aca="false">IF($B102="","",N(الموظفون!$AA102)/12*G102/cfg_DAYS_M)</f>
        <v/>
      </c>
      <c r="AG102" s="154" t="str">
        <f aca="false">IF($B102="","",T102+SUM(Z102:AF102))</f>
        <v/>
      </c>
      <c r="AH102" s="155" t="str">
        <f aca="false">IF($B102="","",MAX(0,IF(OR(الموظفون!$AE102="",الموظفون!$AE102&gt;$F$3),$F$3,الموظفون!$AE102)-الموظفون!$H102+1-SUMIFS('سجل الإجازات والحالات'!$AR$6:$AR$505,'سجل الإجازات والحالات'!$B$6:$B$505,$B102))/cfg_DAYS_Y)</f>
        <v/>
      </c>
      <c r="AI102" s="155" t="str">
        <f aca="false">IF($B102="","",MAX(0,IF(OR(الموظفون!$AE102="",الموظفون!$AE102&gt;($E$3-1)),($E$3-1),الموظفون!$AE102)-الموظفون!$H102+1-SUMIFS('سجل الإجازات والحالات'!$AQ$6:$AQ$505,'سجل الإجازات والحالات'!$B$6:$B$505,$B102))/cfg_DAYS_Y)</f>
        <v/>
      </c>
      <c r="AJ102" s="65" t="str">
        <f aca="false">IF($B102="","",MAX(0,AK102-(SUMIFS('سجل الإجازات والحالات'!$AR$6:$AR$505,'سجل الإجازات والحالات'!$B$6:$B$505,$B102)-SUMIFS('سجل الإجازات والحالات'!$AQ$6:$AQ$505,'سجل الإجازات والحالات'!$B$6:$B$505,$B102))))</f>
        <v/>
      </c>
      <c r="AK102" s="65" t="str">
        <f aca="false">IF($B102="","",MAX(0,IF(OR(الموظفون!$AE102="",الموظفون!$AE102&gt;$F$3),$F$3,الموظفون!$AE102)-MAX($E$3,الموظفون!$H102)+1))</f>
        <v/>
      </c>
      <c r="AL102" s="151" t="str">
        <f aca="false">IF($B102="","",SUMIFS('سجل الإجازات والحالات'!$BD$6:$BD$505,'سجل الإجازات والحالات'!$B$6:$B$505,$B102)+SUMIFS('الحركات الشهرية'!$K$6:$K$1005,'الحركات الشهرية'!$B$6:$B$1005,$B102,'الحركات الشهرية'!$A$6:$A$1005,$C$3))</f>
        <v/>
      </c>
      <c r="AM102" s="111" t="str">
        <f aca="false">IF($B102="","",AL102*الموظفون!$R102/cfg_DAYS_M+S102)</f>
        <v/>
      </c>
      <c r="AN102" s="151" t="str">
        <f aca="false">IF($B102="","",SUMIFS('سجل الإجازات والحالات'!$AF$6:$AF$505,'سجل الإجازات والحالات'!$B$6:$B$505,$B102))</f>
        <v/>
      </c>
    </row>
    <row r="103" customFormat="false" ht="15" hidden="false" customHeight="false" outlineLevel="0" collapsed="false">
      <c r="A103" s="115" t="str">
        <f aca="false">IF($B103="","",الموظفون!$A103)</f>
        <v/>
      </c>
      <c r="B103" s="117" t="str">
        <f aca="false">IF(الموظفون!$B103="","",الموظفون!$B103)</f>
        <v/>
      </c>
      <c r="C103" s="117" t="str">
        <f aca="false">IF($B103="","",الموظفون!$C103)</f>
        <v/>
      </c>
      <c r="D103" s="117" t="str">
        <f aca="false">IF($B103="","",الموظفون!$F103)</f>
        <v/>
      </c>
      <c r="E103" s="117" t="str">
        <f aca="false">IF($B103="","",الموظفون!$E103)</f>
        <v/>
      </c>
      <c r="F103" s="117" t="str">
        <f aca="false">IF($B103="","",IF(AK103=0,IF(AND(الموظفون!$AE103&lt;&gt;"",الموظفون!$AE103&lt;$E$3),"✖ منتهي الخدمة","⏳ لم يباشر"),IF(S103&gt;0,"✈ راتب إجازة مقدم",IF(J103=0,"⛔ بدون راتب هذا الشهر",IF(I103&gt;0,"✈ خصم "&amp;ROUND(I103,2)&amp;" يوم بدون أجر",IF(AL103&gt;0,"🌴 إجازة سنوية "&amp;ROUND(AL103,2)&amp;" يوم",IF(H103&gt;0,"⚠ غياب "&amp;ROUND(H103,2)&amp;" يوم","✔ على رأس العمل")))))))</f>
        <v/>
      </c>
      <c r="G103" s="156" t="str">
        <f aca="false">IF($B103="","",IF(AK103&gt;=DAY($F$3),cfg_DAYS_M,MIN(AK103,cfg_DAYS_M)))</f>
        <v/>
      </c>
      <c r="H103" s="156" t="str">
        <f aca="false">IF($B103="","",SUMIFS('الحركات الشهرية'!$D$6:$D$1005,'الحركات الشهرية'!$B$6:$B$1005,$B103,'الحركات الشهرية'!$A$6:$A$1005,$C$3))</f>
        <v/>
      </c>
      <c r="I103" s="156" t="str">
        <f aca="false">IF($B103="","",MIN(G103,IF(AND(AK103&gt;0,AN103&gt;=AK103),G103,AN103)+SUMIFS('الحركات الشهرية'!$E$6:$E$1005,'الحركات الشهرية'!$B$6:$B$1005,$B103,'الحركات الشهرية'!$A$6:$A$1005,$C$3)))</f>
        <v/>
      </c>
      <c r="J103" s="156" t="str">
        <f aca="false">IF($B103="","",MAX(0,G103-H103-I103))</f>
        <v/>
      </c>
      <c r="K103" s="116" t="str">
        <f aca="false">IF($B103="","",الموظفون!$L103*$J103/cfg_DAYS_M)</f>
        <v/>
      </c>
      <c r="L103" s="116" t="str">
        <f aca="false">IF($B103="","",الموظفون!$M103*$J103/cfg_DAYS_M)</f>
        <v/>
      </c>
      <c r="M103" s="116" t="str">
        <f aca="false">IF($B103="","",الموظفون!$N103*$J103/cfg_DAYS_M)</f>
        <v/>
      </c>
      <c r="N103" s="116" t="str">
        <f aca="false">IF($B103="","",الموظفون!$O103*$J103/cfg_DAYS_M)</f>
        <v/>
      </c>
      <c r="O103" s="156" t="str">
        <f aca="false">IF($B103="","",SUMIFS('الحركات الشهرية'!$F$6:$F$1005,'الحركات الشهرية'!$B$6:$B$1005,$B103,'الحركات الشهرية'!$A$6:$A$1005,$C$3))</f>
        <v/>
      </c>
      <c r="P103" s="116" t="str">
        <f aca="false">IF($B103="","",O103*(الموظفون!$P103+الموظفون!$L103*cfg_OT_P)/cfg_DAYS_M/cfg_HRS)</f>
        <v/>
      </c>
      <c r="Q103" s="116" t="str">
        <f aca="false">IF($B103="","",SUMIFS('الحركات الشهرية'!$G$6:$G$1005,'الحركات الشهرية'!$B$6:$B$1005,$B103,'الحركات الشهرية'!$A$6:$A$1005,$C$3))</f>
        <v/>
      </c>
      <c r="R103" s="116" t="str">
        <f aca="false">IF($B103="","",SUMIFS('الحركات الشهرية'!$H$6:$H$1005,'الحركات الشهرية'!$B$6:$B$1005,$B103,'الحركات الشهرية'!$A$6:$A$1005,$C$3))</f>
        <v/>
      </c>
      <c r="S103" s="116" t="str">
        <f aca="false">IF($B103="","",SUMIFS('سجل الإجازات والحالات'!$N$6:$N$505,'سجل الإجازات والحالات'!$B$6:$B$505,$B103,'سجل الإجازات والحالات'!$O$6:$O$505,$C$3))</f>
        <v/>
      </c>
      <c r="T103" s="157" t="str">
        <f aca="false">IF($B103="","",SUM(K103:N103)+SUM(P103:S103))</f>
        <v/>
      </c>
      <c r="U103" s="116" t="str">
        <f aca="false">IF($B103="","",الموظفون!$S103*IF(E103="سعودي",cfg_G_SE,cfg_G_NE)*G103/cfg_DAYS_M)</f>
        <v/>
      </c>
      <c r="V103" s="116" t="str">
        <f aca="false">IF($B103="","",SUMIFS('الحركات الشهرية'!$I$6:$I$1005,'الحركات الشهرية'!$B$6:$B$1005,$B103,'الحركات الشهرية'!$A$6:$A$1005,$C$3))</f>
        <v/>
      </c>
      <c r="W103" s="116" t="str">
        <f aca="false">IF($B103="","",SUMIFS('الحركات الشهرية'!$J$6:$J$1005,'الحركات الشهرية'!$B$6:$B$1005,$B103,'الحركات الشهرية'!$A$6:$A$1005,$C$3))</f>
        <v/>
      </c>
      <c r="X103" s="116" t="str">
        <f aca="false">IF($B103="","",SUM(U103:W103))</f>
        <v/>
      </c>
      <c r="Y103" s="158" t="str">
        <f aca="false">IF($B103="","",T103-X103)</f>
        <v/>
      </c>
      <c r="Z103" s="116" t="str">
        <f aca="false">IF($B103="","",الموظفون!$S103*IF(E103="سعودي",cfg_G_SR,cfg_G_NR)*G103/cfg_DAYS_M)</f>
        <v/>
      </c>
      <c r="AA103" s="116" t="str">
        <f aca="false">IF($B103="","",الموظفون!$Q103*(cfg_EOS_R1*(MIN(AH103,cfg_EOS_TH)-MIN(AI103,cfg_EOS_TH))+cfg_EOS_R2*(MAX(AH103-cfg_EOS_TH,0)-MAX(AI103-cfg_EOS_TH,0))))</f>
        <v/>
      </c>
      <c r="AB103" s="116" t="str">
        <f aca="false">IF($B103="","",IF(الموظفون!$T103&lt;&gt;"",الموظفون!$T103,IF(AH103&gt;=cfg_LV_TH,cfg_LV_D2,cfg_LV_D1))/cfg_DAYS_Y*AJ103*الموظفون!$R103/cfg_DAYS_M)</f>
        <v/>
      </c>
      <c r="AC103" s="116" t="str">
        <f aca="false">IF($B103="","",IF(AND(الموظفون!$U103="نعم",N(الموظفون!$W103)&gt;0),الموظفون!$V103/الموظفون!$W103*12/cfg_DAYS_Y*AJ103,0))</f>
        <v/>
      </c>
      <c r="AD103" s="116" t="str">
        <f aca="false">IF($B103="","",(IF(الموظفون!$X103&lt;&gt;"",الموظفون!$X103,IF(الموظفون!$E103="غير سعودي",cfg_IQ,0))+IF(الموظفون!$Y103&lt;&gt;"",الموظفون!$Y103,IF(الموظفون!$E103="غير سعودي",cfg_WP,0)))/12*G103/cfg_DAYS_M)</f>
        <v/>
      </c>
      <c r="AE103" s="116" t="str">
        <f aca="false">IF($B103="","",IF(الموظفون!$Z103&lt;&gt;"",الموظفون!$Z103,cfg_MED)/12*G103/cfg_DAYS_M)</f>
        <v/>
      </c>
      <c r="AF103" s="116" t="str">
        <f aca="false">IF($B103="","",N(الموظفون!$AA103)/12*G103/cfg_DAYS_M)</f>
        <v/>
      </c>
      <c r="AG103" s="159" t="str">
        <f aca="false">IF($B103="","",T103+SUM(Z103:AF103))</f>
        <v/>
      </c>
      <c r="AH103" s="160" t="str">
        <f aca="false">IF($B103="","",MAX(0,IF(OR(الموظفون!$AE103="",الموظفون!$AE103&gt;$F$3),$F$3,الموظفون!$AE103)-الموظفون!$H103+1-SUMIFS('سجل الإجازات والحالات'!$AR$6:$AR$505,'سجل الإجازات والحالات'!$B$6:$B$505,$B103))/cfg_DAYS_Y)</f>
        <v/>
      </c>
      <c r="AI103" s="160" t="str">
        <f aca="false">IF($B103="","",MAX(0,IF(OR(الموظفون!$AE103="",الموظفون!$AE103&gt;($E$3-1)),($E$3-1),الموظفون!$AE103)-الموظفون!$H103+1-SUMIFS('سجل الإجازات والحالات'!$AQ$6:$AQ$505,'سجل الإجازات والحالات'!$B$6:$B$505,$B103))/cfg_DAYS_Y)</f>
        <v/>
      </c>
      <c r="AJ103" s="133" t="str">
        <f aca="false">IF($B103="","",MAX(0,AK103-(SUMIFS('سجل الإجازات والحالات'!$AR$6:$AR$505,'سجل الإجازات والحالات'!$B$6:$B$505,$B103)-SUMIFS('سجل الإجازات والحالات'!$AQ$6:$AQ$505,'سجل الإجازات والحالات'!$B$6:$B$505,$B103))))</f>
        <v/>
      </c>
      <c r="AK103" s="133" t="str">
        <f aca="false">IF($B103="","",MAX(0,IF(OR(الموظفون!$AE103="",الموظفون!$AE103&gt;$F$3),$F$3,الموظفون!$AE103)-MAX($E$3,الموظفون!$H103)+1))</f>
        <v/>
      </c>
      <c r="AL103" s="156" t="str">
        <f aca="false">IF($B103="","",SUMIFS('سجل الإجازات والحالات'!$BD$6:$BD$505,'سجل الإجازات والحالات'!$B$6:$B$505,$B103)+SUMIFS('الحركات الشهرية'!$K$6:$K$1005,'الحركات الشهرية'!$B$6:$B$1005,$B103,'الحركات الشهرية'!$A$6:$A$1005,$C$3))</f>
        <v/>
      </c>
      <c r="AM103" s="116" t="str">
        <f aca="false">IF($B103="","",AL103*الموظفون!$R103/cfg_DAYS_M+S103)</f>
        <v/>
      </c>
      <c r="AN103" s="156" t="str">
        <f aca="false">IF($B103="","",SUMIFS('سجل الإجازات والحالات'!$AF$6:$AF$505,'سجل الإجازات والحالات'!$B$6:$B$505,$B103))</f>
        <v/>
      </c>
    </row>
    <row r="104" customFormat="false" ht="15" hidden="false" customHeight="false" outlineLevel="0" collapsed="false">
      <c r="A104" s="106" t="str">
        <f aca="false">IF($B104="","",الموظفون!$A104)</f>
        <v/>
      </c>
      <c r="B104" s="114" t="str">
        <f aca="false">IF(الموظفون!$B104="","",الموظفون!$B104)</f>
        <v/>
      </c>
      <c r="C104" s="114" t="str">
        <f aca="false">IF($B104="","",الموظفون!$C104)</f>
        <v/>
      </c>
      <c r="D104" s="114" t="str">
        <f aca="false">IF($B104="","",الموظفون!$F104)</f>
        <v/>
      </c>
      <c r="E104" s="114" t="str">
        <f aca="false">IF($B104="","",الموظفون!$E104)</f>
        <v/>
      </c>
      <c r="F104" s="114" t="str">
        <f aca="false">IF($B104="","",IF(AK104=0,IF(AND(الموظفون!$AE104&lt;&gt;"",الموظفون!$AE104&lt;$E$3),"✖ منتهي الخدمة","⏳ لم يباشر"),IF(S104&gt;0,"✈ راتب إجازة مقدم",IF(J104=0,"⛔ بدون راتب هذا الشهر",IF(I104&gt;0,"✈ خصم "&amp;ROUND(I104,2)&amp;" يوم بدون أجر",IF(AL104&gt;0,"🌴 إجازة سنوية "&amp;ROUND(AL104,2)&amp;" يوم",IF(H104&gt;0,"⚠ غياب "&amp;ROUND(H104,2)&amp;" يوم","✔ على رأس العمل")))))))</f>
        <v/>
      </c>
      <c r="G104" s="151" t="str">
        <f aca="false">IF($B104="","",IF(AK104&gt;=DAY($F$3),cfg_DAYS_M,MIN(AK104,cfg_DAYS_M)))</f>
        <v/>
      </c>
      <c r="H104" s="151" t="str">
        <f aca="false">IF($B104="","",SUMIFS('الحركات الشهرية'!$D$6:$D$1005,'الحركات الشهرية'!$B$6:$B$1005,$B104,'الحركات الشهرية'!$A$6:$A$1005,$C$3))</f>
        <v/>
      </c>
      <c r="I104" s="151" t="str">
        <f aca="false">IF($B104="","",MIN(G104,IF(AND(AK104&gt;0,AN104&gt;=AK104),G104,AN104)+SUMIFS('الحركات الشهرية'!$E$6:$E$1005,'الحركات الشهرية'!$B$6:$B$1005,$B104,'الحركات الشهرية'!$A$6:$A$1005,$C$3)))</f>
        <v/>
      </c>
      <c r="J104" s="151" t="str">
        <f aca="false">IF($B104="","",MAX(0,G104-H104-I104))</f>
        <v/>
      </c>
      <c r="K104" s="111" t="str">
        <f aca="false">IF($B104="","",الموظفون!$L104*$J104/cfg_DAYS_M)</f>
        <v/>
      </c>
      <c r="L104" s="111" t="str">
        <f aca="false">IF($B104="","",الموظفون!$M104*$J104/cfg_DAYS_M)</f>
        <v/>
      </c>
      <c r="M104" s="111" t="str">
        <f aca="false">IF($B104="","",الموظفون!$N104*$J104/cfg_DAYS_M)</f>
        <v/>
      </c>
      <c r="N104" s="111" t="str">
        <f aca="false">IF($B104="","",الموظفون!$O104*$J104/cfg_DAYS_M)</f>
        <v/>
      </c>
      <c r="O104" s="151" t="str">
        <f aca="false">IF($B104="","",SUMIFS('الحركات الشهرية'!$F$6:$F$1005,'الحركات الشهرية'!$B$6:$B$1005,$B104,'الحركات الشهرية'!$A$6:$A$1005,$C$3))</f>
        <v/>
      </c>
      <c r="P104" s="111" t="str">
        <f aca="false">IF($B104="","",O104*(الموظفون!$P104+الموظفون!$L104*cfg_OT_P)/cfg_DAYS_M/cfg_HRS)</f>
        <v/>
      </c>
      <c r="Q104" s="111" t="str">
        <f aca="false">IF($B104="","",SUMIFS('الحركات الشهرية'!$G$6:$G$1005,'الحركات الشهرية'!$B$6:$B$1005,$B104,'الحركات الشهرية'!$A$6:$A$1005,$C$3))</f>
        <v/>
      </c>
      <c r="R104" s="111" t="str">
        <f aca="false">IF($B104="","",SUMIFS('الحركات الشهرية'!$H$6:$H$1005,'الحركات الشهرية'!$B$6:$B$1005,$B104,'الحركات الشهرية'!$A$6:$A$1005,$C$3))</f>
        <v/>
      </c>
      <c r="S104" s="111" t="str">
        <f aca="false">IF($B104="","",SUMIFS('سجل الإجازات والحالات'!$N$6:$N$505,'سجل الإجازات والحالات'!$B$6:$B$505,$B104,'سجل الإجازات والحالات'!$O$6:$O$505,$C$3))</f>
        <v/>
      </c>
      <c r="T104" s="152" t="str">
        <f aca="false">IF($B104="","",SUM(K104:N104)+SUM(P104:S104))</f>
        <v/>
      </c>
      <c r="U104" s="111" t="str">
        <f aca="false">IF($B104="","",الموظفون!$S104*IF(E104="سعودي",cfg_G_SE,cfg_G_NE)*G104/cfg_DAYS_M)</f>
        <v/>
      </c>
      <c r="V104" s="111" t="str">
        <f aca="false">IF($B104="","",SUMIFS('الحركات الشهرية'!$I$6:$I$1005,'الحركات الشهرية'!$B$6:$B$1005,$B104,'الحركات الشهرية'!$A$6:$A$1005,$C$3))</f>
        <v/>
      </c>
      <c r="W104" s="111" t="str">
        <f aca="false">IF($B104="","",SUMIFS('الحركات الشهرية'!$J$6:$J$1005,'الحركات الشهرية'!$B$6:$B$1005,$B104,'الحركات الشهرية'!$A$6:$A$1005,$C$3))</f>
        <v/>
      </c>
      <c r="X104" s="111" t="str">
        <f aca="false">IF($B104="","",SUM(U104:W104))</f>
        <v/>
      </c>
      <c r="Y104" s="153" t="str">
        <f aca="false">IF($B104="","",T104-X104)</f>
        <v/>
      </c>
      <c r="Z104" s="111" t="str">
        <f aca="false">IF($B104="","",الموظفون!$S104*IF(E104="سعودي",cfg_G_SR,cfg_G_NR)*G104/cfg_DAYS_M)</f>
        <v/>
      </c>
      <c r="AA104" s="111" t="str">
        <f aca="false">IF($B104="","",الموظفون!$Q104*(cfg_EOS_R1*(MIN(AH104,cfg_EOS_TH)-MIN(AI104,cfg_EOS_TH))+cfg_EOS_R2*(MAX(AH104-cfg_EOS_TH,0)-MAX(AI104-cfg_EOS_TH,0))))</f>
        <v/>
      </c>
      <c r="AB104" s="111" t="str">
        <f aca="false">IF($B104="","",IF(الموظفون!$T104&lt;&gt;"",الموظفون!$T104,IF(AH104&gt;=cfg_LV_TH,cfg_LV_D2,cfg_LV_D1))/cfg_DAYS_Y*AJ104*الموظفون!$R104/cfg_DAYS_M)</f>
        <v/>
      </c>
      <c r="AC104" s="111" t="str">
        <f aca="false">IF($B104="","",IF(AND(الموظفون!$U104="نعم",N(الموظفون!$W104)&gt;0),الموظفون!$V104/الموظفون!$W104*12/cfg_DAYS_Y*AJ104,0))</f>
        <v/>
      </c>
      <c r="AD104" s="111" t="str">
        <f aca="false">IF($B104="","",(IF(الموظفون!$X104&lt;&gt;"",الموظفون!$X104,IF(الموظفون!$E104="غير سعودي",cfg_IQ,0))+IF(الموظفون!$Y104&lt;&gt;"",الموظفون!$Y104,IF(الموظفون!$E104="غير سعودي",cfg_WP,0)))/12*G104/cfg_DAYS_M)</f>
        <v/>
      </c>
      <c r="AE104" s="111" t="str">
        <f aca="false">IF($B104="","",IF(الموظفون!$Z104&lt;&gt;"",الموظفون!$Z104,cfg_MED)/12*G104/cfg_DAYS_M)</f>
        <v/>
      </c>
      <c r="AF104" s="111" t="str">
        <f aca="false">IF($B104="","",N(الموظفون!$AA104)/12*G104/cfg_DAYS_M)</f>
        <v/>
      </c>
      <c r="AG104" s="154" t="str">
        <f aca="false">IF($B104="","",T104+SUM(Z104:AF104))</f>
        <v/>
      </c>
      <c r="AH104" s="155" t="str">
        <f aca="false">IF($B104="","",MAX(0,IF(OR(الموظفون!$AE104="",الموظفون!$AE104&gt;$F$3),$F$3,الموظفون!$AE104)-الموظفون!$H104+1-SUMIFS('سجل الإجازات والحالات'!$AR$6:$AR$505,'سجل الإجازات والحالات'!$B$6:$B$505,$B104))/cfg_DAYS_Y)</f>
        <v/>
      </c>
      <c r="AI104" s="155" t="str">
        <f aca="false">IF($B104="","",MAX(0,IF(OR(الموظفون!$AE104="",الموظفون!$AE104&gt;($E$3-1)),($E$3-1),الموظفون!$AE104)-الموظفون!$H104+1-SUMIFS('سجل الإجازات والحالات'!$AQ$6:$AQ$505,'سجل الإجازات والحالات'!$B$6:$B$505,$B104))/cfg_DAYS_Y)</f>
        <v/>
      </c>
      <c r="AJ104" s="65" t="str">
        <f aca="false">IF($B104="","",MAX(0,AK104-(SUMIFS('سجل الإجازات والحالات'!$AR$6:$AR$505,'سجل الإجازات والحالات'!$B$6:$B$505,$B104)-SUMIFS('سجل الإجازات والحالات'!$AQ$6:$AQ$505,'سجل الإجازات والحالات'!$B$6:$B$505,$B104))))</f>
        <v/>
      </c>
      <c r="AK104" s="65" t="str">
        <f aca="false">IF($B104="","",MAX(0,IF(OR(الموظفون!$AE104="",الموظفون!$AE104&gt;$F$3),$F$3,الموظفون!$AE104)-MAX($E$3,الموظفون!$H104)+1))</f>
        <v/>
      </c>
      <c r="AL104" s="151" t="str">
        <f aca="false">IF($B104="","",SUMIFS('سجل الإجازات والحالات'!$BD$6:$BD$505,'سجل الإجازات والحالات'!$B$6:$B$505,$B104)+SUMIFS('الحركات الشهرية'!$K$6:$K$1005,'الحركات الشهرية'!$B$6:$B$1005,$B104,'الحركات الشهرية'!$A$6:$A$1005,$C$3))</f>
        <v/>
      </c>
      <c r="AM104" s="111" t="str">
        <f aca="false">IF($B104="","",AL104*الموظفون!$R104/cfg_DAYS_M+S104)</f>
        <v/>
      </c>
      <c r="AN104" s="151" t="str">
        <f aca="false">IF($B104="","",SUMIFS('سجل الإجازات والحالات'!$AF$6:$AF$505,'سجل الإجازات والحالات'!$B$6:$B$505,$B104))</f>
        <v/>
      </c>
    </row>
    <row r="105" customFormat="false" ht="15" hidden="false" customHeight="false" outlineLevel="0" collapsed="false">
      <c r="A105" s="115" t="str">
        <f aca="false">IF($B105="","",الموظفون!$A105)</f>
        <v/>
      </c>
      <c r="B105" s="117" t="str">
        <f aca="false">IF(الموظفون!$B105="","",الموظفون!$B105)</f>
        <v/>
      </c>
      <c r="C105" s="117" t="str">
        <f aca="false">IF($B105="","",الموظفون!$C105)</f>
        <v/>
      </c>
      <c r="D105" s="117" t="str">
        <f aca="false">IF($B105="","",الموظفون!$F105)</f>
        <v/>
      </c>
      <c r="E105" s="117" t="str">
        <f aca="false">IF($B105="","",الموظفون!$E105)</f>
        <v/>
      </c>
      <c r="F105" s="117" t="str">
        <f aca="false">IF($B105="","",IF(AK105=0,IF(AND(الموظفون!$AE105&lt;&gt;"",الموظفون!$AE105&lt;$E$3),"✖ منتهي الخدمة","⏳ لم يباشر"),IF(S105&gt;0,"✈ راتب إجازة مقدم",IF(J105=0,"⛔ بدون راتب هذا الشهر",IF(I105&gt;0,"✈ خصم "&amp;ROUND(I105,2)&amp;" يوم بدون أجر",IF(AL105&gt;0,"🌴 إجازة سنوية "&amp;ROUND(AL105,2)&amp;" يوم",IF(H105&gt;0,"⚠ غياب "&amp;ROUND(H105,2)&amp;" يوم","✔ على رأس العمل")))))))</f>
        <v/>
      </c>
      <c r="G105" s="156" t="str">
        <f aca="false">IF($B105="","",IF(AK105&gt;=DAY($F$3),cfg_DAYS_M,MIN(AK105,cfg_DAYS_M)))</f>
        <v/>
      </c>
      <c r="H105" s="156" t="str">
        <f aca="false">IF($B105="","",SUMIFS('الحركات الشهرية'!$D$6:$D$1005,'الحركات الشهرية'!$B$6:$B$1005,$B105,'الحركات الشهرية'!$A$6:$A$1005,$C$3))</f>
        <v/>
      </c>
      <c r="I105" s="156" t="str">
        <f aca="false">IF($B105="","",MIN(G105,IF(AND(AK105&gt;0,AN105&gt;=AK105),G105,AN105)+SUMIFS('الحركات الشهرية'!$E$6:$E$1005,'الحركات الشهرية'!$B$6:$B$1005,$B105,'الحركات الشهرية'!$A$6:$A$1005,$C$3)))</f>
        <v/>
      </c>
      <c r="J105" s="156" t="str">
        <f aca="false">IF($B105="","",MAX(0,G105-H105-I105))</f>
        <v/>
      </c>
      <c r="K105" s="116" t="str">
        <f aca="false">IF($B105="","",الموظفون!$L105*$J105/cfg_DAYS_M)</f>
        <v/>
      </c>
      <c r="L105" s="116" t="str">
        <f aca="false">IF($B105="","",الموظفون!$M105*$J105/cfg_DAYS_M)</f>
        <v/>
      </c>
      <c r="M105" s="116" t="str">
        <f aca="false">IF($B105="","",الموظفون!$N105*$J105/cfg_DAYS_M)</f>
        <v/>
      </c>
      <c r="N105" s="116" t="str">
        <f aca="false">IF($B105="","",الموظفون!$O105*$J105/cfg_DAYS_M)</f>
        <v/>
      </c>
      <c r="O105" s="156" t="str">
        <f aca="false">IF($B105="","",SUMIFS('الحركات الشهرية'!$F$6:$F$1005,'الحركات الشهرية'!$B$6:$B$1005,$B105,'الحركات الشهرية'!$A$6:$A$1005,$C$3))</f>
        <v/>
      </c>
      <c r="P105" s="116" t="str">
        <f aca="false">IF($B105="","",O105*(الموظفون!$P105+الموظفون!$L105*cfg_OT_P)/cfg_DAYS_M/cfg_HRS)</f>
        <v/>
      </c>
      <c r="Q105" s="116" t="str">
        <f aca="false">IF($B105="","",SUMIFS('الحركات الشهرية'!$G$6:$G$1005,'الحركات الشهرية'!$B$6:$B$1005,$B105,'الحركات الشهرية'!$A$6:$A$1005,$C$3))</f>
        <v/>
      </c>
      <c r="R105" s="116" t="str">
        <f aca="false">IF($B105="","",SUMIFS('الحركات الشهرية'!$H$6:$H$1005,'الحركات الشهرية'!$B$6:$B$1005,$B105,'الحركات الشهرية'!$A$6:$A$1005,$C$3))</f>
        <v/>
      </c>
      <c r="S105" s="116" t="str">
        <f aca="false">IF($B105="","",SUMIFS('سجل الإجازات والحالات'!$N$6:$N$505,'سجل الإجازات والحالات'!$B$6:$B$505,$B105,'سجل الإجازات والحالات'!$O$6:$O$505,$C$3))</f>
        <v/>
      </c>
      <c r="T105" s="157" t="str">
        <f aca="false">IF($B105="","",SUM(K105:N105)+SUM(P105:S105))</f>
        <v/>
      </c>
      <c r="U105" s="116" t="str">
        <f aca="false">IF($B105="","",الموظفون!$S105*IF(E105="سعودي",cfg_G_SE,cfg_G_NE)*G105/cfg_DAYS_M)</f>
        <v/>
      </c>
      <c r="V105" s="116" t="str">
        <f aca="false">IF($B105="","",SUMIFS('الحركات الشهرية'!$I$6:$I$1005,'الحركات الشهرية'!$B$6:$B$1005,$B105,'الحركات الشهرية'!$A$6:$A$1005,$C$3))</f>
        <v/>
      </c>
      <c r="W105" s="116" t="str">
        <f aca="false">IF($B105="","",SUMIFS('الحركات الشهرية'!$J$6:$J$1005,'الحركات الشهرية'!$B$6:$B$1005,$B105,'الحركات الشهرية'!$A$6:$A$1005,$C$3))</f>
        <v/>
      </c>
      <c r="X105" s="116" t="str">
        <f aca="false">IF($B105="","",SUM(U105:W105))</f>
        <v/>
      </c>
      <c r="Y105" s="158" t="str">
        <f aca="false">IF($B105="","",T105-X105)</f>
        <v/>
      </c>
      <c r="Z105" s="116" t="str">
        <f aca="false">IF($B105="","",الموظفون!$S105*IF(E105="سعودي",cfg_G_SR,cfg_G_NR)*G105/cfg_DAYS_M)</f>
        <v/>
      </c>
      <c r="AA105" s="116" t="str">
        <f aca="false">IF($B105="","",الموظفون!$Q105*(cfg_EOS_R1*(MIN(AH105,cfg_EOS_TH)-MIN(AI105,cfg_EOS_TH))+cfg_EOS_R2*(MAX(AH105-cfg_EOS_TH,0)-MAX(AI105-cfg_EOS_TH,0))))</f>
        <v/>
      </c>
      <c r="AB105" s="116" t="str">
        <f aca="false">IF($B105="","",IF(الموظفون!$T105&lt;&gt;"",الموظفون!$T105,IF(AH105&gt;=cfg_LV_TH,cfg_LV_D2,cfg_LV_D1))/cfg_DAYS_Y*AJ105*الموظفون!$R105/cfg_DAYS_M)</f>
        <v/>
      </c>
      <c r="AC105" s="116" t="str">
        <f aca="false">IF($B105="","",IF(AND(الموظفون!$U105="نعم",N(الموظفون!$W105)&gt;0),الموظفون!$V105/الموظفون!$W105*12/cfg_DAYS_Y*AJ105,0))</f>
        <v/>
      </c>
      <c r="AD105" s="116" t="str">
        <f aca="false">IF($B105="","",(IF(الموظفون!$X105&lt;&gt;"",الموظفون!$X105,IF(الموظفون!$E105="غير سعودي",cfg_IQ,0))+IF(الموظفون!$Y105&lt;&gt;"",الموظفون!$Y105,IF(الموظفون!$E105="غير سعودي",cfg_WP,0)))/12*G105/cfg_DAYS_M)</f>
        <v/>
      </c>
      <c r="AE105" s="116" t="str">
        <f aca="false">IF($B105="","",IF(الموظفون!$Z105&lt;&gt;"",الموظفون!$Z105,cfg_MED)/12*G105/cfg_DAYS_M)</f>
        <v/>
      </c>
      <c r="AF105" s="116" t="str">
        <f aca="false">IF($B105="","",N(الموظفون!$AA105)/12*G105/cfg_DAYS_M)</f>
        <v/>
      </c>
      <c r="AG105" s="159" t="str">
        <f aca="false">IF($B105="","",T105+SUM(Z105:AF105))</f>
        <v/>
      </c>
      <c r="AH105" s="160" t="str">
        <f aca="false">IF($B105="","",MAX(0,IF(OR(الموظفون!$AE105="",الموظفون!$AE105&gt;$F$3),$F$3,الموظفون!$AE105)-الموظفون!$H105+1-SUMIFS('سجل الإجازات والحالات'!$AR$6:$AR$505,'سجل الإجازات والحالات'!$B$6:$B$505,$B105))/cfg_DAYS_Y)</f>
        <v/>
      </c>
      <c r="AI105" s="160" t="str">
        <f aca="false">IF($B105="","",MAX(0,IF(OR(الموظفون!$AE105="",الموظفون!$AE105&gt;($E$3-1)),($E$3-1),الموظفون!$AE105)-الموظفون!$H105+1-SUMIFS('سجل الإجازات والحالات'!$AQ$6:$AQ$505,'سجل الإجازات والحالات'!$B$6:$B$505,$B105))/cfg_DAYS_Y)</f>
        <v/>
      </c>
      <c r="AJ105" s="133" t="str">
        <f aca="false">IF($B105="","",MAX(0,AK105-(SUMIFS('سجل الإجازات والحالات'!$AR$6:$AR$505,'سجل الإجازات والحالات'!$B$6:$B$505,$B105)-SUMIFS('سجل الإجازات والحالات'!$AQ$6:$AQ$505,'سجل الإجازات والحالات'!$B$6:$B$505,$B105))))</f>
        <v/>
      </c>
      <c r="AK105" s="133" t="str">
        <f aca="false">IF($B105="","",MAX(0,IF(OR(الموظفون!$AE105="",الموظفون!$AE105&gt;$F$3),$F$3,الموظفون!$AE105)-MAX($E$3,الموظفون!$H105)+1))</f>
        <v/>
      </c>
      <c r="AL105" s="156" t="str">
        <f aca="false">IF($B105="","",SUMIFS('سجل الإجازات والحالات'!$BD$6:$BD$505,'سجل الإجازات والحالات'!$B$6:$B$505,$B105)+SUMIFS('الحركات الشهرية'!$K$6:$K$1005,'الحركات الشهرية'!$B$6:$B$1005,$B105,'الحركات الشهرية'!$A$6:$A$1005,$C$3))</f>
        <v/>
      </c>
      <c r="AM105" s="116" t="str">
        <f aca="false">IF($B105="","",AL105*الموظفون!$R105/cfg_DAYS_M+S105)</f>
        <v/>
      </c>
      <c r="AN105" s="156" t="str">
        <f aca="false">IF($B105="","",SUMIFS('سجل الإجازات والحالات'!$AF$6:$AF$505,'سجل الإجازات والحالات'!$B$6:$B$505,$B105))</f>
        <v/>
      </c>
    </row>
    <row r="106" customFormat="false" ht="24" hidden="false" customHeight="true" outlineLevel="0" collapsed="false">
      <c r="A106" s="124"/>
      <c r="B106" s="125" t="str">
        <f aca="false">COUNTIF(G6:G105,"&gt;0")&amp;" موظف"</f>
        <v>11 موظف</v>
      </c>
      <c r="C106" s="124" t="s">
        <v>161</v>
      </c>
      <c r="D106" s="124"/>
      <c r="E106" s="124"/>
      <c r="F106" s="125" t="str">
        <f aca="false">COUNTIFS(G6:G105,"&gt;0",J6:J105,0)&amp;" بدون راتب"</f>
        <v>0 بدون راتب</v>
      </c>
      <c r="G106" s="124"/>
      <c r="H106" s="161" t="n">
        <f aca="false">SUM(H6:H105)</f>
        <v>0</v>
      </c>
      <c r="I106" s="161" t="n">
        <f aca="false">SUM(I6:I105)</f>
        <v>0</v>
      </c>
      <c r="J106" s="161" t="n">
        <f aca="false">SUM(J6:J105)</f>
        <v>330</v>
      </c>
      <c r="K106" s="125" t="n">
        <f aca="false">SUM(K6:K105)</f>
        <v>136500</v>
      </c>
      <c r="L106" s="125" t="n">
        <f aca="false">SUM(L6:L105)</f>
        <v>34125</v>
      </c>
      <c r="M106" s="125" t="n">
        <f aca="false">SUM(M6:M105)</f>
        <v>13650</v>
      </c>
      <c r="N106" s="125" t="n">
        <f aca="false">SUM(N6:N105)</f>
        <v>10300</v>
      </c>
      <c r="O106" s="161" t="n">
        <f aca="false">SUM(O6:O105)</f>
        <v>0</v>
      </c>
      <c r="P106" s="125" t="n">
        <f aca="false">SUM(P6:P105)</f>
        <v>0</v>
      </c>
      <c r="Q106" s="125" t="n">
        <f aca="false">SUM(Q6:Q105)</f>
        <v>0</v>
      </c>
      <c r="R106" s="125" t="n">
        <f aca="false">SUM(R6:R105)</f>
        <v>0</v>
      </c>
      <c r="S106" s="125" t="n">
        <f aca="false">SUM(S6:S105)</f>
        <v>0</v>
      </c>
      <c r="T106" s="125" t="n">
        <f aca="false">SUM(T6:T105)</f>
        <v>194575</v>
      </c>
      <c r="U106" s="125" t="n">
        <f aca="false">SUM(U6:U105)</f>
        <v>12370.3125</v>
      </c>
      <c r="V106" s="125" t="n">
        <f aca="false">SUM(V6:V105)</f>
        <v>0</v>
      </c>
      <c r="W106" s="125" t="n">
        <f aca="false">SUM(W6:W105)</f>
        <v>0</v>
      </c>
      <c r="X106" s="125" t="n">
        <f aca="false">SUM(X6:X105)</f>
        <v>12370.3125</v>
      </c>
      <c r="Y106" s="125" t="n">
        <f aca="false">SUM(Y6:Y105)</f>
        <v>182204.6875</v>
      </c>
      <c r="Z106" s="125" t="n">
        <f aca="false">SUM(Z6:Z105)</f>
        <v>15782.8125</v>
      </c>
      <c r="AA106" s="125" t="n">
        <f aca="false">SUM(AA6:AA105)</f>
        <v>13564.7260273973</v>
      </c>
      <c r="AB106" s="125" t="n">
        <f aca="false">SUM(AB6:AB105)</f>
        <v>14197.1917808219</v>
      </c>
      <c r="AC106" s="125" t="n">
        <f aca="false">SUM(AC6:AC105)</f>
        <v>821.917808219178</v>
      </c>
      <c r="AD106" s="125" t="n">
        <f aca="false">SUM(AD6:AD105)</f>
        <v>3416.66666666667</v>
      </c>
      <c r="AE106" s="125" t="n">
        <f aca="false">SUM(AE6:AE105)</f>
        <v>2650</v>
      </c>
      <c r="AF106" s="125" t="n">
        <f aca="false">SUM(AF6:AF105)</f>
        <v>400</v>
      </c>
      <c r="AG106" s="125" t="n">
        <f aca="false">SUM(AG6:AG105)</f>
        <v>245408.314783105</v>
      </c>
      <c r="AH106" s="124"/>
      <c r="AI106" s="124"/>
      <c r="AJ106" s="124"/>
      <c r="AK106" s="124"/>
      <c r="AL106" s="161" t="n">
        <f aca="false">SUM(AL6:AL105)</f>
        <v>0</v>
      </c>
      <c r="AM106" s="125" t="n">
        <f aca="false">SUM(AM6:AM105)</f>
        <v>0</v>
      </c>
      <c r="AN106" s="124"/>
    </row>
    <row r="107" customFormat="false" ht="48" hidden="false" customHeight="true" outlineLevel="0" collapsed="false">
      <c r="A107" s="24" t="s">
        <v>505</v>
      </c>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row>
  </sheetData>
  <sheetProtection sheet="true" password="ffa5" objects="true" scenarios="true"/>
  <autoFilter ref="A5:AN105"/>
  <mergeCells count="6">
    <mergeCell ref="A1:AG1"/>
    <mergeCell ref="A2:AG2"/>
    <mergeCell ref="G3:H3"/>
    <mergeCell ref="J3:K3"/>
    <mergeCell ref="L3:M3"/>
    <mergeCell ref="A107:AN107"/>
  </mergeCells>
  <conditionalFormatting sqref="G3">
    <cfRule type="expression" priority="2" aboveAverage="0" equalAverage="0" bottom="0" percent="0" rank="0" text="" dxfId="0">
      <formula>ISNUMBER(SEARCH("✔",G3))</formula>
    </cfRule>
    <cfRule type="expression" priority="3" aboveAverage="0" equalAverage="0" bottom="0" percent="0" rank="0" text="" dxfId="1">
      <formula>ISNUMBER(SEARCH("✖",G3))</formula>
    </cfRule>
    <cfRule type="expression" priority="4" aboveAverage="0" equalAverage="0" bottom="0" percent="0" rank="0" text="" dxfId="2">
      <formula>ISNUMBER(SEARCH("⚠",G3))</formula>
    </cfRule>
    <cfRule type="expression" priority="5" aboveAverage="0" equalAverage="0" bottom="0" percent="0" rank="0" text="" dxfId="3">
      <formula>ISNUMBER(SEARCH("✈",G3))</formula>
    </cfRule>
    <cfRule type="expression" priority="6" aboveAverage="0" equalAverage="0" bottom="0" percent="0" rank="0" text="" dxfId="1">
      <formula>ISNUMBER(SEARCH("⛔",G3))</formula>
    </cfRule>
    <cfRule type="expression" priority="7" aboveAverage="0" equalAverage="0" bottom="0" percent="0" rank="0" text="" dxfId="0">
      <formula>ISNUMBER(SEARCH("🌴",G3))</formula>
    </cfRule>
    <cfRule type="expression" priority="8" aboveAverage="0" equalAverage="0" bottom="0" percent="0" rank="0" text="" dxfId="4">
      <formula>ISNUMBER(SEARCH("⏳",G3))</formula>
    </cfRule>
  </conditionalFormatting>
  <conditionalFormatting sqref="F6:F105">
    <cfRule type="expression" priority="9" aboveAverage="0" equalAverage="0" bottom="0" percent="0" rank="0" text="" dxfId="0">
      <formula>ISNUMBER(SEARCH("✔",F6))</formula>
    </cfRule>
    <cfRule type="expression" priority="10" aboveAverage="0" equalAverage="0" bottom="0" percent="0" rank="0" text="" dxfId="1">
      <formula>ISNUMBER(SEARCH("✖",F6))</formula>
    </cfRule>
    <cfRule type="expression" priority="11" aboveAverage="0" equalAverage="0" bottom="0" percent="0" rank="0" text="" dxfId="2">
      <formula>ISNUMBER(SEARCH("⚠",F6))</formula>
    </cfRule>
    <cfRule type="expression" priority="12" aboveAverage="0" equalAverage="0" bottom="0" percent="0" rank="0" text="" dxfId="3">
      <formula>ISNUMBER(SEARCH("✈",F6))</formula>
    </cfRule>
    <cfRule type="expression" priority="13" aboveAverage="0" equalAverage="0" bottom="0" percent="0" rank="0" text="" dxfId="1">
      <formula>ISNUMBER(SEARCH("⛔",F6))</formula>
    </cfRule>
    <cfRule type="expression" priority="14" aboveAverage="0" equalAverage="0" bottom="0" percent="0" rank="0" text="" dxfId="0">
      <formula>ISNUMBER(SEARCH("🌴",F6))</formula>
    </cfRule>
    <cfRule type="expression" priority="15" aboveAverage="0" equalAverage="0" bottom="0" percent="0" rank="0" text="" dxfId="4">
      <formula>ISNUMBER(SEARCH("⏳",F6))</formula>
    </cfRule>
  </conditionalFormatting>
  <conditionalFormatting sqref="G6:AN105">
    <cfRule type="expression" priority="16" aboveAverage="0" equalAverage="0" bottom="0" percent="0" rank="0" text="" dxfId="31">
      <formula>AND($B6&lt;&gt;"",$J6=0)</formula>
    </cfRule>
  </conditionalFormatting>
  <conditionalFormatting sqref="Y6:Y105">
    <cfRule type="expression" priority="17" aboveAverage="0" equalAverage="0" bottom="0" percent="0" rank="0" text="" dxfId="1">
      <formula>AND(ISNUMBER(Y6),Y6&lt;0)</formula>
    </cfRule>
  </conditionalFormatting>
  <hyperlinks>
    <hyperlink ref="A2" r:id="rId1" display="https://accopro.net/"/>
    <hyperlink ref="J3" location="'مسير أكتوبر'!A1" display="◀ الشهر السابق"/>
    <hyperlink ref="L3" location="'مسير ديسمبر'!A1" display="الشهر التالي ▶"/>
    <hyperlink ref="O3" location="'الرئيسية'!A1" display="🏠 الرئيسية"/>
    <hyperlink ref="P3" location="'لوحة التحكم'!A1" display="📊 لوحة التحكم"/>
    <hyperlink ref="R3" location="'الموظفون'!A1" display="👥 الموظفون"/>
    <hyperlink ref="S3" location="'سجل الإجازات والحالات'!A1" display="🌴 سجل الإجازات"/>
    <hyperlink ref="U3" location="'الحركات الشهرية'!A1" display="✍ الحركات"/>
    <hyperlink ref="W3" location="'الملخص الشهري'!A1" display="📅 الملخص الشهري"/>
    <hyperlink ref="Y3" location="'قيود الرواتب'!A1" display="🧾 القيود"/>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&amp;Cنسخة تجريبية — النسخة الكاملة: accopro.net</oddHeader>
    <oddFooter>&amp;CAccoPro — https://accopro.net</oddFooter>
  </headerFooter>
  <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N107"/>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24"/>
    <col collapsed="false" customWidth="true" hidden="false" outlineLevel="0" max="4" min="4" style="0" width="14"/>
    <col collapsed="false" customWidth="true" hidden="false" outlineLevel="0" max="5" min="5" style="0" width="10"/>
    <col collapsed="false" customWidth="true" hidden="false" outlineLevel="0" max="6" min="6" style="0" width="20"/>
    <col collapsed="false" customWidth="true" hidden="false" outlineLevel="0" max="8" min="7" style="0" width="8"/>
    <col collapsed="false" customWidth="true" hidden="false" outlineLevel="0" max="9" min="9" style="0" width="9"/>
    <col collapsed="false" customWidth="true" hidden="false" outlineLevel="0" max="10" min="10" style="0" width="8"/>
    <col collapsed="false" customWidth="true" hidden="false" outlineLevel="0" max="11" min="11" style="0" width="12"/>
    <col collapsed="false" customWidth="true" hidden="false" outlineLevel="0" max="12" min="12" style="0" width="11"/>
    <col collapsed="false" customWidth="true" hidden="false" outlineLevel="0" max="14" min="13" style="0" width="10"/>
    <col collapsed="false" customWidth="true" hidden="false" outlineLevel="0" max="15" min="15" style="0" width="7"/>
    <col collapsed="false" customWidth="true" hidden="false" outlineLevel="0" max="19" min="16" style="0" width="11"/>
    <col collapsed="false" customWidth="true" hidden="false" outlineLevel="0" max="20" min="20" style="0" width="13"/>
    <col collapsed="false" customWidth="true" hidden="false" outlineLevel="0" max="21" min="21" style="0" width="11"/>
    <col collapsed="false" customWidth="true" hidden="false" outlineLevel="0" max="23" min="22" style="0" width="10"/>
    <col collapsed="false" customWidth="true" hidden="false" outlineLevel="0" max="24" min="24" style="0" width="12"/>
    <col collapsed="false" customWidth="true" hidden="false" outlineLevel="0" max="25" min="25" style="0" width="13"/>
    <col collapsed="false" customWidth="true" hidden="false" outlineLevel="0" max="26" min="26" style="0" width="11"/>
    <col collapsed="false" customWidth="true" hidden="false" outlineLevel="0" max="27" min="27" style="0" width="12"/>
    <col collapsed="false" customWidth="true" hidden="false" outlineLevel="0" max="29" min="28" style="0" width="11"/>
    <col collapsed="false" customWidth="true" hidden="false" outlineLevel="0" max="30" min="30" style="0" width="12"/>
    <col collapsed="false" customWidth="true" hidden="false" outlineLevel="0" max="31" min="31" style="0" width="11"/>
    <col collapsed="false" customWidth="true" hidden="false" outlineLevel="0" max="32" min="32" style="0" width="10"/>
    <col collapsed="false" customWidth="true" hidden="false" outlineLevel="0" max="33" min="33" style="0" width="14"/>
    <col collapsed="false" customWidth="true" hidden="true" outlineLevel="0" max="38" min="34" style="0" width="9"/>
    <col collapsed="false" customWidth="true" hidden="true" outlineLevel="0" max="39" min="39" style="0" width="11"/>
    <col collapsed="false" customWidth="true" hidden="true" outlineLevel="0" max="40" min="40" style="0" width="9"/>
  </cols>
  <sheetData>
    <row r="1" customFormat="false" ht="37.5" hidden="false" customHeight="true" outlineLevel="0" collapsed="false">
      <c r="A1" s="136" t="str">
        <f aca="false">"💵 مسير رواتب شهر ديسمبر "&amp;cfg_FY&amp;"   🔒 نسخة تجريبية"</f>
        <v>💵 مسير رواتب شهر ديسمبر 2026   🔒 نسخة تجريبية</v>
      </c>
      <c r="B1" s="136"/>
      <c r="C1" s="136"/>
      <c r="D1" s="136"/>
      <c r="E1" s="136"/>
      <c r="F1" s="136"/>
      <c r="G1" s="136"/>
      <c r="H1" s="136"/>
      <c r="I1" s="136"/>
      <c r="J1" s="136"/>
      <c r="K1" s="136"/>
      <c r="L1" s="136"/>
      <c r="M1" s="136"/>
      <c r="N1" s="136"/>
      <c r="O1" s="136"/>
      <c r="P1" s="136"/>
      <c r="Q1" s="136"/>
      <c r="R1" s="136"/>
      <c r="S1" s="136"/>
      <c r="T1" s="136"/>
      <c r="U1" s="136"/>
      <c r="V1" s="136"/>
      <c r="W1" s="136"/>
      <c r="X1" s="136"/>
      <c r="Y1" s="136"/>
      <c r="Z1" s="136"/>
      <c r="AA1" s="136"/>
      <c r="AB1" s="136"/>
      <c r="AC1" s="136"/>
      <c r="AD1" s="136"/>
      <c r="AE1" s="136"/>
      <c r="AF1" s="136"/>
      <c r="AG1" s="136"/>
    </row>
    <row r="2" customFormat="false" ht="19.5" hidden="false" customHeight="true" outlineLevel="0" collapsed="false">
      <c r="A2" s="2" t="str">
        <f aca="false">"🛒 نسخة تجريبية — للنسخة الكاملة اضغط هنا ← accopro.net   |   "&amp;cfg_CO&amp;"   |   السنة المالية "&amp;cfg_FY&amp;"   |   شهر التقرير: "&amp;INDEX(L_MONTH,cfg_VAL_M)&amp;"   |   المبالغ بـ "&amp;cfg_CUR</f>
        <v>🛒 نسخة تجريبية — للنسخة الكاملة اضغط هنا ← accopro.net   |   شركة النخبة للتجارة والمقاولات   |   السنة المالية 2026   |   شهر التقرير: سبتمبر   |   المبالغ بـ ريال سعودي</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row>
    <row r="3" customFormat="false" ht="25.5" hidden="false" customHeight="true" outlineLevel="0" collapsed="false">
      <c r="B3" s="137" t="s">
        <v>163</v>
      </c>
      <c r="C3" s="138" t="n">
        <v>12</v>
      </c>
      <c r="D3" s="137" t="s">
        <v>472</v>
      </c>
      <c r="E3" s="139" t="n">
        <f aca="false">DATE(cfg_FY,C3,1)</f>
        <v>46357</v>
      </c>
      <c r="F3" s="139" t="n">
        <f aca="false">EOMONTH(E3,0)</f>
        <v>46387</v>
      </c>
      <c r="G3" s="140" t="str">
        <f aca="false">IF(C3&lt;=cfg_VAL_M,"✔ فعلي","⚠ متوقع")</f>
        <v>⚠ متوقع</v>
      </c>
      <c r="H3" s="140"/>
      <c r="J3" s="141" t="s">
        <v>506</v>
      </c>
      <c r="K3" s="141"/>
      <c r="O3" s="31" t="s">
        <v>114</v>
      </c>
      <c r="P3" s="12" t="s">
        <v>172</v>
      </c>
      <c r="R3" s="32" t="s">
        <v>116</v>
      </c>
      <c r="S3" s="33" t="s">
        <v>117</v>
      </c>
      <c r="U3" s="32" t="s">
        <v>118</v>
      </c>
      <c r="W3" s="32" t="s">
        <v>39</v>
      </c>
      <c r="Y3" s="32" t="s">
        <v>173</v>
      </c>
    </row>
    <row r="4" customFormat="false" ht="7.5" hidden="false" customHeight="true" outlineLevel="0" collapsed="false"/>
    <row r="5" customFormat="false" ht="51.75" hidden="false" customHeight="true" outlineLevel="0" collapsed="false">
      <c r="A5" s="142" t="s">
        <v>308</v>
      </c>
      <c r="B5" s="142" t="s">
        <v>309</v>
      </c>
      <c r="C5" s="142" t="s">
        <v>310</v>
      </c>
      <c r="D5" s="142" t="s">
        <v>156</v>
      </c>
      <c r="E5" s="142" t="s">
        <v>142</v>
      </c>
      <c r="F5" s="142" t="s">
        <v>474</v>
      </c>
      <c r="G5" s="143" t="s">
        <v>475</v>
      </c>
      <c r="H5" s="143" t="s">
        <v>476</v>
      </c>
      <c r="I5" s="143" t="s">
        <v>477</v>
      </c>
      <c r="J5" s="143" t="s">
        <v>478</v>
      </c>
      <c r="K5" s="144" t="s">
        <v>479</v>
      </c>
      <c r="L5" s="144" t="s">
        <v>480</v>
      </c>
      <c r="M5" s="144" t="s">
        <v>481</v>
      </c>
      <c r="N5" s="144" t="s">
        <v>482</v>
      </c>
      <c r="O5" s="144" t="s">
        <v>483</v>
      </c>
      <c r="P5" s="144" t="s">
        <v>484</v>
      </c>
      <c r="Q5" s="144" t="s">
        <v>451</v>
      </c>
      <c r="R5" s="144" t="s">
        <v>485</v>
      </c>
      <c r="S5" s="144" t="s">
        <v>486</v>
      </c>
      <c r="T5" s="144" t="s">
        <v>127</v>
      </c>
      <c r="U5" s="145" t="s">
        <v>487</v>
      </c>
      <c r="V5" s="145" t="s">
        <v>453</v>
      </c>
      <c r="W5" s="145" t="s">
        <v>454</v>
      </c>
      <c r="X5" s="145" t="s">
        <v>488</v>
      </c>
      <c r="Y5" s="146" t="s">
        <v>489</v>
      </c>
      <c r="Z5" s="147" t="s">
        <v>490</v>
      </c>
      <c r="AA5" s="147" t="s">
        <v>491</v>
      </c>
      <c r="AB5" s="147" t="s">
        <v>492</v>
      </c>
      <c r="AC5" s="147" t="s">
        <v>493</v>
      </c>
      <c r="AD5" s="148" t="s">
        <v>494</v>
      </c>
      <c r="AE5" s="148" t="s">
        <v>495</v>
      </c>
      <c r="AF5" s="148" t="s">
        <v>496</v>
      </c>
      <c r="AG5" s="149" t="s">
        <v>497</v>
      </c>
      <c r="AH5" s="150" t="s">
        <v>498</v>
      </c>
      <c r="AI5" s="150" t="s">
        <v>499</v>
      </c>
      <c r="AJ5" s="150" t="s">
        <v>500</v>
      </c>
      <c r="AK5" s="150" t="s">
        <v>501</v>
      </c>
      <c r="AL5" s="150" t="s">
        <v>502</v>
      </c>
      <c r="AM5" s="150" t="s">
        <v>503</v>
      </c>
      <c r="AN5" s="150" t="s">
        <v>504</v>
      </c>
    </row>
    <row r="6" customFormat="false" ht="15" hidden="false" customHeight="false" outlineLevel="0" collapsed="false">
      <c r="A6" s="106" t="n">
        <f aca="false">IF($B6="","",الموظفون!$A6)</f>
        <v>1</v>
      </c>
      <c r="B6" s="114" t="str">
        <f aca="false">IF(الموظفون!$B6="","",الموظفون!$B6)</f>
        <v>E001</v>
      </c>
      <c r="C6" s="114" t="str">
        <f aca="false">IF($B6="","",الموظفون!$C6)</f>
        <v>عبدالله محمد العتيبي</v>
      </c>
      <c r="D6" s="114" t="str">
        <f aca="false">IF($B6="","",الموظفون!$F6)</f>
        <v>الإدارة العليا</v>
      </c>
      <c r="E6" s="114" t="str">
        <f aca="false">IF($B6="","",الموظفون!$E6)</f>
        <v>سعودي</v>
      </c>
      <c r="F6" s="114" t="str">
        <f aca="false">IF($B6="","",IF(AK6=0,IF(AND(الموظفون!$AE6&lt;&gt;"",الموظفون!$AE6&lt;$E$3),"✖ منتهي الخدمة","⏳ لم يباشر"),IF(S6&gt;0,"✈ راتب إجازة مقدم",IF(J6=0,"⛔ بدون راتب هذا الشهر",IF(I6&gt;0,"✈ خصم "&amp;ROUND(I6,2)&amp;" يوم بدون أجر",IF(AL6&gt;0,"🌴 إجازة سنوية "&amp;ROUND(AL6,2)&amp;" يوم",IF(H6&gt;0,"⚠ غياب "&amp;ROUND(H6,2)&amp;" يوم","✔ على رأس العمل")))))))</f>
        <v>✔ على رأس العمل</v>
      </c>
      <c r="G6" s="151" t="n">
        <f aca="false">IF($B6="","",IF(AK6&gt;=DAY($F$3),cfg_DAYS_M,MIN(AK6,cfg_DAYS_M)))</f>
        <v>30</v>
      </c>
      <c r="H6" s="151" t="n">
        <f aca="false">IF($B6="","",SUMIFS('الحركات الشهرية'!$D$6:$D$1005,'الحركات الشهرية'!$B$6:$B$1005,$B6,'الحركات الشهرية'!$A$6:$A$1005,$C$3))</f>
        <v>0</v>
      </c>
      <c r="I6" s="151" t="n">
        <f aca="false">IF($B6="","",MIN(G6,IF(AND(AK6&gt;0,AN6&gt;=AK6),G6,AN6)+SUMIFS('الحركات الشهرية'!$E$6:$E$1005,'الحركات الشهرية'!$B$6:$B$1005,$B6,'الحركات الشهرية'!$A$6:$A$1005,$C$3)))</f>
        <v>0</v>
      </c>
      <c r="J6" s="151" t="n">
        <f aca="false">IF($B6="","",MAX(0,G6-H6-I6))</f>
        <v>30</v>
      </c>
      <c r="K6" s="111" t="n">
        <f aca="false">IF($B6="","",الموظفون!$L6*$J6/cfg_DAYS_M)</f>
        <v>28000</v>
      </c>
      <c r="L6" s="111" t="n">
        <f aca="false">IF($B6="","",الموظفون!$M6*$J6/cfg_DAYS_M)</f>
        <v>7000</v>
      </c>
      <c r="M6" s="111" t="n">
        <f aca="false">IF($B6="","",الموظفون!$N6*$J6/cfg_DAYS_M)</f>
        <v>2800</v>
      </c>
      <c r="N6" s="111" t="n">
        <f aca="false">IF($B6="","",الموظفون!$O6*$J6/cfg_DAYS_M)</f>
        <v>3000</v>
      </c>
      <c r="O6" s="151" t="n">
        <f aca="false">IF($B6="","",SUMIFS('الحركات الشهرية'!$F$6:$F$1005,'الحركات الشهرية'!$B$6:$B$1005,$B6,'الحركات الشهرية'!$A$6:$A$1005,$C$3))</f>
        <v>0</v>
      </c>
      <c r="P6" s="111" t="n">
        <f aca="false">IF($B6="","",O6*(الموظفون!$P6+الموظفون!$L6*cfg_OT_P)/cfg_DAYS_M/cfg_HRS)</f>
        <v>0</v>
      </c>
      <c r="Q6" s="111" t="n">
        <f aca="false">IF($B6="","",SUMIFS('الحركات الشهرية'!$G$6:$G$1005,'الحركات الشهرية'!$B$6:$B$1005,$B6,'الحركات الشهرية'!$A$6:$A$1005,$C$3))</f>
        <v>0</v>
      </c>
      <c r="R6" s="111" t="n">
        <f aca="false">IF($B6="","",SUMIFS('الحركات الشهرية'!$H$6:$H$1005,'الحركات الشهرية'!$B$6:$B$1005,$B6,'الحركات الشهرية'!$A$6:$A$1005,$C$3))</f>
        <v>0</v>
      </c>
      <c r="S6" s="111" t="n">
        <f aca="false">IF($B6="","",SUMIFS('سجل الإجازات والحالات'!$N$6:$N$505,'سجل الإجازات والحالات'!$B$6:$B$505,$B6,'سجل الإجازات والحالات'!$O$6:$O$505,$C$3))</f>
        <v>0</v>
      </c>
      <c r="T6" s="152" t="n">
        <f aca="false">IF($B6="","",SUM(K6:N6)+SUM(P6:S6))</f>
        <v>40800</v>
      </c>
      <c r="U6" s="111" t="n">
        <f aca="false">IF($B6="","",الموظفون!$S6*IF(E6="سعودي",cfg_G_SE,cfg_G_NE)*G6/cfg_DAYS_M)</f>
        <v>3412.5</v>
      </c>
      <c r="V6" s="111" t="n">
        <f aca="false">IF($B6="","",SUMIFS('الحركات الشهرية'!$I$6:$I$1005,'الحركات الشهرية'!$B$6:$B$1005,$B6,'الحركات الشهرية'!$A$6:$A$1005,$C$3))</f>
        <v>0</v>
      </c>
      <c r="W6" s="111" t="n">
        <f aca="false">IF($B6="","",SUMIFS('الحركات الشهرية'!$J$6:$J$1005,'الحركات الشهرية'!$B$6:$B$1005,$B6,'الحركات الشهرية'!$A$6:$A$1005,$C$3))</f>
        <v>0</v>
      </c>
      <c r="X6" s="111" t="n">
        <f aca="false">IF($B6="","",SUM(U6:W6))</f>
        <v>3412.5</v>
      </c>
      <c r="Y6" s="153" t="n">
        <f aca="false">IF($B6="","",T6-X6)</f>
        <v>37387.5</v>
      </c>
      <c r="Z6" s="111" t="n">
        <f aca="false">IF($B6="","",الموظفون!$S6*IF(E6="سعودي",cfg_G_SR,cfg_G_NR)*G6/cfg_DAYS_M)</f>
        <v>4112.5</v>
      </c>
      <c r="AA6" s="111" t="n">
        <f aca="false">IF($B6="","",الموظفون!$Q6*(cfg_EOS_R1*(MIN(AH6,cfg_EOS_TH)-MIN(AI6,cfg_EOS_TH))+cfg_EOS_R2*(MAX(AH6-cfg_EOS_TH,0)-MAX(AI6-cfg_EOS_TH,0))))</f>
        <v>3210.41095890413</v>
      </c>
      <c r="AB6" s="111" t="n">
        <f aca="false">IF($B6="","",IF(الموظفون!$T6&lt;&gt;"",الموظفون!$T6,IF(AH6&gt;=cfg_LV_TH,cfg_LV_D2,cfg_LV_D1))/cfg_DAYS_Y*AJ6*الموظفون!$R6/cfg_DAYS_M)</f>
        <v>3210.41095890411</v>
      </c>
      <c r="AC6" s="111" t="n">
        <f aca="false">IF($B6="","",IF(AND(الموظفون!$U6="نعم",N(الموظفون!$W6)&gt;0),الموظفون!$V6/الموظفون!$W6*12/cfg_DAYS_Y*AJ6,0))</f>
        <v>0</v>
      </c>
      <c r="AD6" s="111" t="n">
        <f aca="false">IF($B6="","",(IF(الموظفون!$X6&lt;&gt;"",الموظفون!$X6,IF(الموظفون!$E6="غير سعودي",cfg_IQ,0))+IF(الموظفون!$Y6&lt;&gt;"",الموظفون!$Y6,IF(الموظفون!$E6="غير سعودي",cfg_WP,0)))/12*G6/cfg_DAYS_M)</f>
        <v>0</v>
      </c>
      <c r="AE6" s="111" t="n">
        <f aca="false">IF($B6="","",IF(الموظفون!$Z6&lt;&gt;"",الموظفون!$Z6,cfg_MED)/12*G6/cfg_DAYS_M)</f>
        <v>400</v>
      </c>
      <c r="AF6" s="111" t="n">
        <f aca="false">IF($B6="","",N(الموظفون!$AA6)/12*G6/cfg_DAYS_M)</f>
        <v>0</v>
      </c>
      <c r="AG6" s="154" t="n">
        <f aca="false">IF($B6="","",T6+SUM(Z6:AF6))</f>
        <v>51733.3219178082</v>
      </c>
      <c r="AH6" s="155" t="n">
        <f aca="false">IF($B6="","",MAX(0,IF(OR(الموظفون!$AE6="",الموظفون!$AE6&gt;$F$3),$F$3,الموظفون!$AE6)-الموظفون!$H6+1-SUMIFS('سجل الإجازات والحالات'!$AS$6:$AS$505,'سجل الإجازات والحالات'!$B$6:$B$505,$B6))/cfg_DAYS_Y)</f>
        <v>14.972602739726</v>
      </c>
      <c r="AI6" s="155" t="n">
        <f aca="false">IF($B6="","",MAX(0,IF(OR(الموظفون!$AE6="",الموظفون!$AE6&gt;($E$3-1)),($E$3-1),الموظفون!$AE6)-الموظفون!$H6+1-SUMIFS('سجل الإجازات والحالات'!$AR$6:$AR$505,'سجل الإجازات والحالات'!$B$6:$B$505,$B6))/cfg_DAYS_Y)</f>
        <v>14.8876712328767</v>
      </c>
      <c r="AJ6" s="65" t="n">
        <f aca="false">IF($B6="","",MAX(0,AK6-(SUMIFS('سجل الإجازات والحالات'!$AS$6:$AS$505,'سجل الإجازات والحالات'!$B$6:$B$505,$B6)-SUMIFS('سجل الإجازات والحالات'!$AR$6:$AR$505,'سجل الإجازات والحالات'!$B$6:$B$505,$B6))))</f>
        <v>31</v>
      </c>
      <c r="AK6" s="65" t="n">
        <f aca="false">IF($B6="","",MAX(0,IF(OR(الموظفون!$AE6="",الموظفون!$AE6&gt;$F$3),$F$3,الموظفون!$AE6)-MAX($E$3,الموظفون!$H6)+1))</f>
        <v>31</v>
      </c>
      <c r="AL6" s="151" t="n">
        <f aca="false">IF($B6="","",SUMIFS('سجل الإجازات والحالات'!$BE$6:$BE$505,'سجل الإجازات والحالات'!$B$6:$B$505,$B6)+SUMIFS('الحركات الشهرية'!$K$6:$K$1005,'الحركات الشهرية'!$B$6:$B$1005,$B6,'الحركات الشهرية'!$A$6:$A$1005,$C$3))</f>
        <v>0</v>
      </c>
      <c r="AM6" s="111" t="n">
        <f aca="false">IF($B6="","",AL6*الموظفون!$R6/cfg_DAYS_M+S6)</f>
        <v>0</v>
      </c>
      <c r="AN6" s="151" t="n">
        <f aca="false">IF($B6="","",SUMIFS('سجل الإجازات والحالات'!$AG$6:$AG$505,'سجل الإجازات والحالات'!$B$6:$B$505,$B6))</f>
        <v>0</v>
      </c>
    </row>
    <row r="7" customFormat="false" ht="15" hidden="false" customHeight="false" outlineLevel="0" collapsed="false">
      <c r="A7" s="115" t="n">
        <f aca="false">IF($B7="","",الموظفون!$A7)</f>
        <v>2</v>
      </c>
      <c r="B7" s="117" t="str">
        <f aca="false">IF(الموظفون!$B7="","",الموظفون!$B7)</f>
        <v>E002</v>
      </c>
      <c r="C7" s="117" t="str">
        <f aca="false">IF($B7="","",الموظفون!$C7)</f>
        <v>أحمد سعيد القحطاني</v>
      </c>
      <c r="D7" s="117" t="str">
        <f aca="false">IF($B7="","",الموظفون!$F7)</f>
        <v>المالية</v>
      </c>
      <c r="E7" s="117" t="str">
        <f aca="false">IF($B7="","",الموظفون!$E7)</f>
        <v>سعودي</v>
      </c>
      <c r="F7" s="117" t="str">
        <f aca="false">IF($B7="","",IF(AK7=0,IF(AND(الموظفون!$AE7&lt;&gt;"",الموظفون!$AE7&lt;$E$3),"✖ منتهي الخدمة","⏳ لم يباشر"),IF(S7&gt;0,"✈ راتب إجازة مقدم",IF(J7=0,"⛔ بدون راتب هذا الشهر",IF(I7&gt;0,"✈ خصم "&amp;ROUND(I7,2)&amp;" يوم بدون أجر",IF(AL7&gt;0,"🌴 إجازة سنوية "&amp;ROUND(AL7,2)&amp;" يوم",IF(H7&gt;0,"⚠ غياب "&amp;ROUND(H7,2)&amp;" يوم","✔ على رأس العمل")))))))</f>
        <v>✔ على رأس العمل</v>
      </c>
      <c r="G7" s="156" t="n">
        <f aca="false">IF($B7="","",IF(AK7&gt;=DAY($F$3),cfg_DAYS_M,MIN(AK7,cfg_DAYS_M)))</f>
        <v>30</v>
      </c>
      <c r="H7" s="156" t="n">
        <f aca="false">IF($B7="","",SUMIFS('الحركات الشهرية'!$D$6:$D$1005,'الحركات الشهرية'!$B$6:$B$1005,$B7,'الحركات الشهرية'!$A$6:$A$1005,$C$3))</f>
        <v>0</v>
      </c>
      <c r="I7" s="156" t="n">
        <f aca="false">IF($B7="","",MIN(G7,IF(AND(AK7&gt;0,AN7&gt;=AK7),G7,AN7)+SUMIFS('الحركات الشهرية'!$E$6:$E$1005,'الحركات الشهرية'!$B$6:$B$1005,$B7,'الحركات الشهرية'!$A$6:$A$1005,$C$3)))</f>
        <v>0</v>
      </c>
      <c r="J7" s="156" t="n">
        <f aca="false">IF($B7="","",MAX(0,G7-H7-I7))</f>
        <v>30</v>
      </c>
      <c r="K7" s="116" t="n">
        <f aca="false">IF($B7="","",الموظفون!$L7*$J7/cfg_DAYS_M)</f>
        <v>18000</v>
      </c>
      <c r="L7" s="116" t="n">
        <f aca="false">IF($B7="","",الموظفون!$M7*$J7/cfg_DAYS_M)</f>
        <v>4500</v>
      </c>
      <c r="M7" s="116" t="n">
        <f aca="false">IF($B7="","",الموظفون!$N7*$J7/cfg_DAYS_M)</f>
        <v>1800</v>
      </c>
      <c r="N7" s="116" t="n">
        <f aca="false">IF($B7="","",الموظفون!$O7*$J7/cfg_DAYS_M)</f>
        <v>1000</v>
      </c>
      <c r="O7" s="156" t="n">
        <f aca="false">IF($B7="","",SUMIFS('الحركات الشهرية'!$F$6:$F$1005,'الحركات الشهرية'!$B$6:$B$1005,$B7,'الحركات الشهرية'!$A$6:$A$1005,$C$3))</f>
        <v>0</v>
      </c>
      <c r="P7" s="116" t="n">
        <f aca="false">IF($B7="","",O7*(الموظفون!$P7+الموظفون!$L7*cfg_OT_P)/cfg_DAYS_M/cfg_HRS)</f>
        <v>0</v>
      </c>
      <c r="Q7" s="116" t="n">
        <f aca="false">IF($B7="","",SUMIFS('الحركات الشهرية'!$G$6:$G$1005,'الحركات الشهرية'!$B$6:$B$1005,$B7,'الحركات الشهرية'!$A$6:$A$1005,$C$3))</f>
        <v>0</v>
      </c>
      <c r="R7" s="116" t="n">
        <f aca="false">IF($B7="","",SUMIFS('الحركات الشهرية'!$H$6:$H$1005,'الحركات الشهرية'!$B$6:$B$1005,$B7,'الحركات الشهرية'!$A$6:$A$1005,$C$3))</f>
        <v>0</v>
      </c>
      <c r="S7" s="116" t="n">
        <f aca="false">IF($B7="","",SUMIFS('سجل الإجازات والحالات'!$N$6:$N$505,'سجل الإجازات والحالات'!$B$6:$B$505,$B7,'سجل الإجازات والحالات'!$O$6:$O$505,$C$3))</f>
        <v>0</v>
      </c>
      <c r="T7" s="157" t="n">
        <f aca="false">IF($B7="","",SUM(K7:N7)+SUM(P7:S7))</f>
        <v>25300</v>
      </c>
      <c r="U7" s="116" t="n">
        <f aca="false">IF($B7="","",الموظفون!$S7*IF(E7="سعودي",cfg_G_SE,cfg_G_NE)*G7/cfg_DAYS_M)</f>
        <v>2193.75</v>
      </c>
      <c r="V7" s="116" t="n">
        <f aca="false">IF($B7="","",SUMIFS('الحركات الشهرية'!$I$6:$I$1005,'الحركات الشهرية'!$B$6:$B$1005,$B7,'الحركات الشهرية'!$A$6:$A$1005,$C$3))</f>
        <v>0</v>
      </c>
      <c r="W7" s="116" t="n">
        <f aca="false">IF($B7="","",SUMIFS('الحركات الشهرية'!$J$6:$J$1005,'الحركات الشهرية'!$B$6:$B$1005,$B7,'الحركات الشهرية'!$A$6:$A$1005,$C$3))</f>
        <v>0</v>
      </c>
      <c r="X7" s="116" t="n">
        <f aca="false">IF($B7="","",SUM(U7:W7))</f>
        <v>2193.75</v>
      </c>
      <c r="Y7" s="158" t="n">
        <f aca="false">IF($B7="","",T7-X7)</f>
        <v>23106.25</v>
      </c>
      <c r="Z7" s="116" t="n">
        <f aca="false">IF($B7="","",الموظفون!$S7*IF(E7="سعودي",cfg_G_SR,cfg_G_NR)*G7/cfg_DAYS_M)</f>
        <v>2643.75</v>
      </c>
      <c r="AA7" s="116" t="n">
        <f aca="false">IF($B7="","",الموظفون!$Q7*(cfg_EOS_R1*(MIN(AH7,cfg_EOS_TH)-MIN(AI7,cfg_EOS_TH))+cfg_EOS_R2*(MAX(AH7-cfg_EOS_TH,0)-MAX(AI7-cfg_EOS_TH,0))))</f>
        <v>2063.83561643837</v>
      </c>
      <c r="AB7" s="116" t="n">
        <f aca="false">IF($B7="","",IF(الموظفون!$T7&lt;&gt;"",الموظفون!$T7,IF(AH7&gt;=cfg_LV_TH,cfg_LV_D2,cfg_LV_D1))/cfg_DAYS_Y*AJ7*الموظفون!$R7/cfg_DAYS_M)</f>
        <v>2063.83561643836</v>
      </c>
      <c r="AC7" s="116" t="n">
        <f aca="false">IF($B7="","",IF(AND(الموظفون!$U7="نعم",N(الموظفون!$W7)&gt;0),الموظفون!$V7/الموظفون!$W7*12/cfg_DAYS_Y*AJ7,0))</f>
        <v>0</v>
      </c>
      <c r="AD7" s="116" t="n">
        <f aca="false">IF($B7="","",(IF(الموظفون!$X7&lt;&gt;"",الموظفون!$X7,IF(الموظفون!$E7="غير سعودي",cfg_IQ,0))+IF(الموظفون!$Y7&lt;&gt;"",الموظفون!$Y7,IF(الموظفون!$E7="غير سعودي",cfg_WP,0)))/12*G7/cfg_DAYS_M)</f>
        <v>0</v>
      </c>
      <c r="AE7" s="116" t="n">
        <f aca="false">IF($B7="","",IF(الموظفون!$Z7&lt;&gt;"",الموظفون!$Z7,cfg_MED)/12*G7/cfg_DAYS_M)</f>
        <v>300</v>
      </c>
      <c r="AF7" s="116" t="n">
        <f aca="false">IF($B7="","",N(الموظفون!$AA7)/12*G7/cfg_DAYS_M)</f>
        <v>0</v>
      </c>
      <c r="AG7" s="159" t="n">
        <f aca="false">IF($B7="","",T7+SUM(Z7:AF7))</f>
        <v>32371.4212328767</v>
      </c>
      <c r="AH7" s="160" t="n">
        <f aca="false">IF($B7="","",MAX(0,IF(OR(الموظفون!$AE7="",الموظفون!$AE7&gt;$F$3),$F$3,الموظفون!$AE7)-الموظفون!$H7+1-SUMIFS('سجل الإجازات والحالات'!$AS$6:$AS$505,'سجل الإجازات والحالات'!$B$6:$B$505,$B7))/cfg_DAYS_Y)</f>
        <v>10.5917808219178</v>
      </c>
      <c r="AI7" s="160" t="n">
        <f aca="false">IF($B7="","",MAX(0,IF(OR(الموظفون!$AE7="",الموظفون!$AE7&gt;($E$3-1)),($E$3-1),الموظفون!$AE7)-الموظفون!$H7+1-SUMIFS('سجل الإجازات والحالات'!$AR$6:$AR$505,'سجل الإجازات والحالات'!$B$6:$B$505,$B7))/cfg_DAYS_Y)</f>
        <v>10.5068493150685</v>
      </c>
      <c r="AJ7" s="133" t="n">
        <f aca="false">IF($B7="","",MAX(0,AK7-(SUMIFS('سجل الإجازات والحالات'!$AS$6:$AS$505,'سجل الإجازات والحالات'!$B$6:$B$505,$B7)-SUMIFS('سجل الإجازات والحالات'!$AR$6:$AR$505,'سجل الإجازات والحالات'!$B$6:$B$505,$B7))))</f>
        <v>31</v>
      </c>
      <c r="AK7" s="133" t="n">
        <f aca="false">IF($B7="","",MAX(0,IF(OR(الموظفون!$AE7="",الموظفون!$AE7&gt;$F$3),$F$3,الموظفون!$AE7)-MAX($E$3,الموظفون!$H7)+1))</f>
        <v>31</v>
      </c>
      <c r="AL7" s="156" t="n">
        <f aca="false">IF($B7="","",SUMIFS('سجل الإجازات والحالات'!$BE$6:$BE$505,'سجل الإجازات والحالات'!$B$6:$B$505,$B7)+SUMIFS('الحركات الشهرية'!$K$6:$K$1005,'الحركات الشهرية'!$B$6:$B$1005,$B7,'الحركات الشهرية'!$A$6:$A$1005,$C$3))</f>
        <v>0</v>
      </c>
      <c r="AM7" s="116" t="n">
        <f aca="false">IF($B7="","",AL7*الموظفون!$R7/cfg_DAYS_M+S7)</f>
        <v>0</v>
      </c>
      <c r="AN7" s="156" t="n">
        <f aca="false">IF($B7="","",SUMIFS('سجل الإجازات والحالات'!$AG$6:$AG$505,'سجل الإجازات والحالات'!$B$6:$B$505,$B7))</f>
        <v>0</v>
      </c>
    </row>
    <row r="8" customFormat="false" ht="15" hidden="false" customHeight="false" outlineLevel="0" collapsed="false">
      <c r="A8" s="106" t="n">
        <f aca="false">IF($B8="","",الموظفون!$A8)</f>
        <v>3</v>
      </c>
      <c r="B8" s="114" t="str">
        <f aca="false">IF(الموظفون!$B8="","",الموظفون!$B8)</f>
        <v>E003</v>
      </c>
      <c r="C8" s="114" t="str">
        <f aca="false">IF($B8="","",الموظفون!$C8)</f>
        <v>محمد علي حسن</v>
      </c>
      <c r="D8" s="114" t="str">
        <f aca="false">IF($B8="","",الموظفون!$F8)</f>
        <v>المالية</v>
      </c>
      <c r="E8" s="114" t="str">
        <f aca="false">IF($B8="","",الموظفون!$E8)</f>
        <v>غير سعودي</v>
      </c>
      <c r="F8" s="114" t="str">
        <f aca="false">IF($B8="","",IF(AK8=0,IF(AND(الموظفون!$AE8&lt;&gt;"",الموظفون!$AE8&lt;$E$3),"✖ منتهي الخدمة","⏳ لم يباشر"),IF(S8&gt;0,"✈ راتب إجازة مقدم",IF(J8=0,"⛔ بدون راتب هذا الشهر",IF(I8&gt;0,"✈ خصم "&amp;ROUND(I8,2)&amp;" يوم بدون أجر",IF(AL8&gt;0,"🌴 إجازة سنوية "&amp;ROUND(AL8,2)&amp;" يوم",IF(H8&gt;0,"⚠ غياب "&amp;ROUND(H8,2)&amp;" يوم","✔ على رأس العمل")))))))</f>
        <v>✈ راتب إجازة مقدم</v>
      </c>
      <c r="G8" s="151" t="n">
        <f aca="false">IF($B8="","",IF(AK8&gt;=DAY($F$3),cfg_DAYS_M,MIN(AK8,cfg_DAYS_M)))</f>
        <v>30</v>
      </c>
      <c r="H8" s="151" t="n">
        <f aca="false">IF($B8="","",SUMIFS('الحركات الشهرية'!$D$6:$D$1005,'الحركات الشهرية'!$B$6:$B$1005,$B8,'الحركات الشهرية'!$A$6:$A$1005,$C$3))</f>
        <v>0</v>
      </c>
      <c r="I8" s="151" t="n">
        <f aca="false">IF($B8="","",MIN(G8,IF(AND(AK8&gt;0,AN8&gt;=AK8),G8,AN8)+SUMIFS('الحركات الشهرية'!$E$6:$E$1005,'الحركات الشهرية'!$B$6:$B$1005,$B8,'الحركات الشهرية'!$A$6:$A$1005,$C$3)))</f>
        <v>30</v>
      </c>
      <c r="J8" s="151" t="n">
        <f aca="false">IF($B8="","",MAX(0,G8-H8-I8))</f>
        <v>0</v>
      </c>
      <c r="K8" s="111" t="n">
        <f aca="false">IF($B8="","",الموظفون!$L8*$J8/cfg_DAYS_M)</f>
        <v>0</v>
      </c>
      <c r="L8" s="111" t="n">
        <f aca="false">IF($B8="","",الموظفون!$M8*$J8/cfg_DAYS_M)</f>
        <v>0</v>
      </c>
      <c r="M8" s="111" t="n">
        <f aca="false">IF($B8="","",الموظفون!$N8*$J8/cfg_DAYS_M)</f>
        <v>0</v>
      </c>
      <c r="N8" s="111" t="n">
        <f aca="false">IF($B8="","",الموظفون!$O8*$J8/cfg_DAYS_M)</f>
        <v>0</v>
      </c>
      <c r="O8" s="151" t="n">
        <f aca="false">IF($B8="","",SUMIFS('الحركات الشهرية'!$F$6:$F$1005,'الحركات الشهرية'!$B$6:$B$1005,$B8,'الحركات الشهرية'!$A$6:$A$1005,$C$3))</f>
        <v>0</v>
      </c>
      <c r="P8" s="111" t="n">
        <f aca="false">IF($B8="","",O8*(الموظفون!$P8+الموظفون!$L8*cfg_OT_P)/cfg_DAYS_M/cfg_HRS)</f>
        <v>0</v>
      </c>
      <c r="Q8" s="111" t="n">
        <f aca="false">IF($B8="","",SUMIFS('الحركات الشهرية'!$G$6:$G$1005,'الحركات الشهرية'!$B$6:$B$1005,$B8,'الحركات الشهرية'!$A$6:$A$1005,$C$3))</f>
        <v>0</v>
      </c>
      <c r="R8" s="111" t="n">
        <f aca="false">IF($B8="","",SUMIFS('الحركات الشهرية'!$H$6:$H$1005,'الحركات الشهرية'!$B$6:$B$1005,$B8,'الحركات الشهرية'!$A$6:$A$1005,$C$3))</f>
        <v>0</v>
      </c>
      <c r="S8" s="111" t="n">
        <f aca="false">IF($B8="","",SUMIFS('سجل الإجازات والحالات'!$N$6:$N$505,'سجل الإجازات والحالات'!$B$6:$B$505,$B8,'سجل الإجازات والحالات'!$O$6:$O$505,$C$3))</f>
        <v>11475</v>
      </c>
      <c r="T8" s="152" t="n">
        <f aca="false">IF($B8="","",SUM(K8:N8)+SUM(P8:S8))</f>
        <v>11475</v>
      </c>
      <c r="U8" s="111" t="n">
        <f aca="false">IF($B8="","",الموظفون!$S8*IF(E8="سعودي",cfg_G_SE,cfg_G_NE)*G8/cfg_DAYS_M)</f>
        <v>0</v>
      </c>
      <c r="V8" s="111" t="n">
        <f aca="false">IF($B8="","",SUMIFS('الحركات الشهرية'!$I$6:$I$1005,'الحركات الشهرية'!$B$6:$B$1005,$B8,'الحركات الشهرية'!$A$6:$A$1005,$C$3))</f>
        <v>0</v>
      </c>
      <c r="W8" s="111" t="n">
        <f aca="false">IF($B8="","",SUMIFS('الحركات الشهرية'!$J$6:$J$1005,'الحركات الشهرية'!$B$6:$B$1005,$B8,'الحركات الشهرية'!$A$6:$A$1005,$C$3))</f>
        <v>0</v>
      </c>
      <c r="X8" s="111" t="n">
        <f aca="false">IF($B8="","",SUM(U8:W8))</f>
        <v>0</v>
      </c>
      <c r="Y8" s="153" t="n">
        <f aca="false">IF($B8="","",T8-X8)</f>
        <v>11475</v>
      </c>
      <c r="Z8" s="111" t="n">
        <f aca="false">IF($B8="","",الموظفون!$S8*IF(E8="سعودي",cfg_G_SR,cfg_G_NR)*G8/cfg_DAYS_M)</f>
        <v>212.5</v>
      </c>
      <c r="AA8" s="111" t="n">
        <f aca="false">IF($B8="","",الموظفون!$Q8*(cfg_EOS_R1*(MIN(AH8,cfg_EOS_TH)-MIN(AI8,cfg_EOS_TH))+cfg_EOS_R2*(MAX(AH8-cfg_EOS_TH,0)-MAX(AI8-cfg_EOS_TH,0))))</f>
        <v>974.589041095895</v>
      </c>
      <c r="AB8" s="111" t="n">
        <f aca="false">IF($B8="","",IF(الموظفون!$T8&lt;&gt;"",الموظفون!$T8,IF(AH8&gt;=cfg_LV_TH,cfg_LV_D2,cfg_LV_D1))/cfg_DAYS_Y*AJ8*الموظفون!$R8/cfg_DAYS_M)</f>
        <v>974.589041095891</v>
      </c>
      <c r="AC8" s="111" t="n">
        <f aca="false">IF($B8="","",IF(AND(الموظفون!$U8="نعم",N(الموظفون!$W8)&gt;0),الموظفون!$V8/الموظفون!$W8*12/cfg_DAYS_Y*AJ8,0))</f>
        <v>135.890410958904</v>
      </c>
      <c r="AD8" s="111" t="n">
        <f aca="false">IF($B8="","",(IF(الموظفون!$X8&lt;&gt;"",الموظفون!$X8,IF(الموظفون!$E8="غير سعودي",cfg_IQ,0))+IF(الموظفون!$Y8&lt;&gt;"",الموظفون!$Y8,IF(الموظفون!$E8="غير سعودي",cfg_WP,0)))/12*G8/cfg_DAYS_M)</f>
        <v>854.166666666667</v>
      </c>
      <c r="AE8" s="111" t="n">
        <f aca="false">IF($B8="","",IF(الموظفون!$Z8&lt;&gt;"",الموظفون!$Z8,cfg_MED)/12*G8/cfg_DAYS_M)</f>
        <v>200</v>
      </c>
      <c r="AF8" s="111" t="n">
        <f aca="false">IF($B8="","",N(الموظفون!$AA8)/12*G8/cfg_DAYS_M)</f>
        <v>0</v>
      </c>
      <c r="AG8" s="154" t="n">
        <f aca="false">IF($B8="","",T8+SUM(Z8:AF8))</f>
        <v>14826.7351598174</v>
      </c>
      <c r="AH8" s="155" t="n">
        <f aca="false">IF($B8="","",MAX(0,IF(OR(الموظفون!$AE8="",الموظفون!$AE8&gt;$F$3),$F$3,الموظفون!$AE8)-الموظفون!$H8+1-SUMIFS('سجل الإجازات والحالات'!$AS$6:$AS$505,'سجل الإجازات والحالات'!$B$6:$B$505,$B8))/cfg_DAYS_Y)</f>
        <v>8.31506849315069</v>
      </c>
      <c r="AI8" s="155" t="n">
        <f aca="false">IF($B8="","",MAX(0,IF(OR(الموظفون!$AE8="",الموظفون!$AE8&gt;($E$3-1)),($E$3-1),الموظفون!$AE8)-الموظفون!$H8+1-SUMIFS('سجل الإجازات والحالات'!$AR$6:$AR$505,'سجل الإجازات والحالات'!$B$6:$B$505,$B8))/cfg_DAYS_Y)</f>
        <v>8.23013698630137</v>
      </c>
      <c r="AJ8" s="65" t="n">
        <f aca="false">IF($B8="","",MAX(0,AK8-(SUMIFS('سجل الإجازات والحالات'!$AS$6:$AS$505,'سجل الإجازات والحالات'!$B$6:$B$505,$B8)-SUMIFS('سجل الإجازات والحالات'!$AR$6:$AR$505,'سجل الإجازات والحالات'!$B$6:$B$505,$B8))))</f>
        <v>31</v>
      </c>
      <c r="AK8" s="65" t="n">
        <f aca="false">IF($B8="","",MAX(0,IF(OR(الموظفون!$AE8="",الموظفون!$AE8&gt;$F$3),$F$3,الموظفون!$AE8)-MAX($E$3,الموظفون!$H8)+1))</f>
        <v>31</v>
      </c>
      <c r="AL8" s="151" t="n">
        <f aca="false">IF($B8="","",SUMIFS('سجل الإجازات والحالات'!$BE$6:$BE$505,'سجل الإجازات والحالات'!$B$6:$B$505,$B8)+SUMIFS('الحركات الشهرية'!$K$6:$K$1005,'الحركات الشهرية'!$B$6:$B$1005,$B8,'الحركات الشهرية'!$A$6:$A$1005,$C$3))</f>
        <v>0</v>
      </c>
      <c r="AM8" s="111" t="n">
        <f aca="false">IF($B8="","",AL8*الموظفون!$R8/cfg_DAYS_M+S8)</f>
        <v>11475</v>
      </c>
      <c r="AN8" s="151" t="n">
        <f aca="false">IF($B8="","",SUMIFS('سجل الإجازات والحالات'!$AG$6:$AG$505,'سجل الإجازات والحالات'!$B$6:$B$505,$B8))</f>
        <v>30</v>
      </c>
    </row>
    <row r="9" customFormat="false" ht="15" hidden="false" customHeight="false" outlineLevel="0" collapsed="false">
      <c r="A9" s="115" t="n">
        <f aca="false">IF($B9="","",الموظفون!$A9)</f>
        <v>4</v>
      </c>
      <c r="B9" s="117" t="str">
        <f aca="false">IF(الموظفون!$B9="","",الموظفون!$B9)</f>
        <v>E004</v>
      </c>
      <c r="C9" s="117" t="str">
        <f aca="false">IF($B9="","",الموظفون!$C9)</f>
        <v>نورة خالد الدوسري</v>
      </c>
      <c r="D9" s="117" t="str">
        <f aca="false">IF($B9="","",الموظفون!$F9)</f>
        <v>الموارد البشرية</v>
      </c>
      <c r="E9" s="117" t="str">
        <f aca="false">IF($B9="","",الموظفون!$E9)</f>
        <v>سعودي</v>
      </c>
      <c r="F9" s="117" t="str">
        <f aca="false">IF($B9="","",IF(AK9=0,IF(AND(الموظفون!$AE9&lt;&gt;"",الموظفون!$AE9&lt;$E$3),"✖ منتهي الخدمة","⏳ لم يباشر"),IF(S9&gt;0,"✈ راتب إجازة مقدم",IF(J9=0,"⛔ بدون راتب هذا الشهر",IF(I9&gt;0,"✈ خصم "&amp;ROUND(I9,2)&amp;" يوم بدون أجر",IF(AL9&gt;0,"🌴 إجازة سنوية "&amp;ROUND(AL9,2)&amp;" يوم",IF(H9&gt;0,"⚠ غياب "&amp;ROUND(H9,2)&amp;" يوم","✔ على رأس العمل")))))))</f>
        <v>✔ على رأس العمل</v>
      </c>
      <c r="G9" s="156" t="n">
        <f aca="false">IF($B9="","",IF(AK9&gt;=DAY($F$3),cfg_DAYS_M,MIN(AK9,cfg_DAYS_M)))</f>
        <v>30</v>
      </c>
      <c r="H9" s="156" t="n">
        <f aca="false">IF($B9="","",SUMIFS('الحركات الشهرية'!$D$6:$D$1005,'الحركات الشهرية'!$B$6:$B$1005,$B9,'الحركات الشهرية'!$A$6:$A$1005,$C$3))</f>
        <v>0</v>
      </c>
      <c r="I9" s="156" t="n">
        <f aca="false">IF($B9="","",MIN(G9,IF(AND(AK9&gt;0,AN9&gt;=AK9),G9,AN9)+SUMIFS('الحركات الشهرية'!$E$6:$E$1005,'الحركات الشهرية'!$B$6:$B$1005,$B9,'الحركات الشهرية'!$A$6:$A$1005,$C$3)))</f>
        <v>0</v>
      </c>
      <c r="J9" s="156" t="n">
        <f aca="false">IF($B9="","",MAX(0,G9-H9-I9))</f>
        <v>30</v>
      </c>
      <c r="K9" s="116" t="n">
        <f aca="false">IF($B9="","",الموظفون!$L9*$J9/cfg_DAYS_M)</f>
        <v>14000</v>
      </c>
      <c r="L9" s="116" t="n">
        <f aca="false">IF($B9="","",الموظفون!$M9*$J9/cfg_DAYS_M)</f>
        <v>3500</v>
      </c>
      <c r="M9" s="116" t="n">
        <f aca="false">IF($B9="","",الموظفون!$N9*$J9/cfg_DAYS_M)</f>
        <v>1400</v>
      </c>
      <c r="N9" s="116" t="n">
        <f aca="false">IF($B9="","",الموظفون!$O9*$J9/cfg_DAYS_M)</f>
        <v>0</v>
      </c>
      <c r="O9" s="156" t="n">
        <f aca="false">IF($B9="","",SUMIFS('الحركات الشهرية'!$F$6:$F$1005,'الحركات الشهرية'!$B$6:$B$1005,$B9,'الحركات الشهرية'!$A$6:$A$1005,$C$3))</f>
        <v>0</v>
      </c>
      <c r="P9" s="116" t="n">
        <f aca="false">IF($B9="","",O9*(الموظفون!$P9+الموظفون!$L9*cfg_OT_P)/cfg_DAYS_M/cfg_HRS)</f>
        <v>0</v>
      </c>
      <c r="Q9" s="116" t="n">
        <f aca="false">IF($B9="","",SUMIFS('الحركات الشهرية'!$G$6:$G$1005,'الحركات الشهرية'!$B$6:$B$1005,$B9,'الحركات الشهرية'!$A$6:$A$1005,$C$3))</f>
        <v>0</v>
      </c>
      <c r="R9" s="116" t="n">
        <f aca="false">IF($B9="","",SUMIFS('الحركات الشهرية'!$H$6:$H$1005,'الحركات الشهرية'!$B$6:$B$1005,$B9,'الحركات الشهرية'!$A$6:$A$1005,$C$3))</f>
        <v>0</v>
      </c>
      <c r="S9" s="116" t="n">
        <f aca="false">IF($B9="","",SUMIFS('سجل الإجازات والحالات'!$N$6:$N$505,'سجل الإجازات والحالات'!$B$6:$B$505,$B9,'سجل الإجازات والحالات'!$O$6:$O$505,$C$3))</f>
        <v>0</v>
      </c>
      <c r="T9" s="157" t="n">
        <f aca="false">IF($B9="","",SUM(K9:N9)+SUM(P9:S9))</f>
        <v>18900</v>
      </c>
      <c r="U9" s="116" t="n">
        <f aca="false">IF($B9="","",الموظفون!$S9*IF(E9="سعودي",cfg_G_SE,cfg_G_NE)*G9/cfg_DAYS_M)</f>
        <v>1706.25</v>
      </c>
      <c r="V9" s="116" t="n">
        <f aca="false">IF($B9="","",SUMIFS('الحركات الشهرية'!$I$6:$I$1005,'الحركات الشهرية'!$B$6:$B$1005,$B9,'الحركات الشهرية'!$A$6:$A$1005,$C$3))</f>
        <v>0</v>
      </c>
      <c r="W9" s="116" t="n">
        <f aca="false">IF($B9="","",SUMIFS('الحركات الشهرية'!$J$6:$J$1005,'الحركات الشهرية'!$B$6:$B$1005,$B9,'الحركات الشهرية'!$A$6:$A$1005,$C$3))</f>
        <v>0</v>
      </c>
      <c r="X9" s="116" t="n">
        <f aca="false">IF($B9="","",SUM(U9:W9))</f>
        <v>1706.25</v>
      </c>
      <c r="Y9" s="158" t="n">
        <f aca="false">IF($B9="","",T9-X9)</f>
        <v>17193.75</v>
      </c>
      <c r="Z9" s="116" t="n">
        <f aca="false">IF($B9="","",الموظفون!$S9*IF(E9="سعودي",cfg_G_SR,cfg_G_NR)*G9/cfg_DAYS_M)</f>
        <v>2056.25</v>
      </c>
      <c r="AA9" s="116" t="n">
        <f aca="false">IF($B9="","",الموظفون!$Q9*(cfg_EOS_R1*(MIN(AH9,cfg_EOS_TH)-MIN(AI9,cfg_EOS_TH))+cfg_EOS_R2*(MAX(AH9-cfg_EOS_TH,0)-MAX(AI9-cfg_EOS_TH,0))))</f>
        <v>1605.20547945205</v>
      </c>
      <c r="AB9" s="116" t="n">
        <f aca="false">IF($B9="","",IF(الموظفون!$T9&lt;&gt;"",الموظفون!$T9,IF(AH9&gt;=cfg_LV_TH,cfg_LV_D2,cfg_LV_D1))/cfg_DAYS_Y*AJ9*الموظفون!$R9/cfg_DAYS_M)</f>
        <v>1605.20547945205</v>
      </c>
      <c r="AC9" s="116" t="n">
        <f aca="false">IF($B9="","",IF(AND(الموظفون!$U9="نعم",N(الموظفون!$W9)&gt;0),الموظفون!$V9/الموظفون!$W9*12/cfg_DAYS_Y*AJ9,0))</f>
        <v>0</v>
      </c>
      <c r="AD9" s="116" t="n">
        <f aca="false">IF($B9="","",(IF(الموظفون!$X9&lt;&gt;"",الموظفون!$X9,IF(الموظفون!$E9="غير سعودي",cfg_IQ,0))+IF(الموظفون!$Y9&lt;&gt;"",الموظفون!$Y9,IF(الموظفون!$E9="غير سعودي",cfg_WP,0)))/12*G9/cfg_DAYS_M)</f>
        <v>0</v>
      </c>
      <c r="AE9" s="116" t="n">
        <f aca="false">IF($B9="","",IF(الموظفون!$Z9&lt;&gt;"",الموظفون!$Z9,cfg_MED)/12*G9/cfg_DAYS_M)</f>
        <v>300</v>
      </c>
      <c r="AF9" s="116" t="n">
        <f aca="false">IF($B9="","",N(الموظفون!$AA9)/12*G9/cfg_DAYS_M)</f>
        <v>0</v>
      </c>
      <c r="AG9" s="159" t="n">
        <f aca="false">IF($B9="","",T9+SUM(Z9:AF9))</f>
        <v>24466.6609589041</v>
      </c>
      <c r="AH9" s="160" t="n">
        <f aca="false">IF($B9="","",MAX(0,IF(OR(الموظفون!$AE9="",الموظفون!$AE9&gt;$F$3),$F$3,الموظفون!$AE9)-الموظفون!$H9+1-SUMIFS('سجل الإجازات والحالات'!$AS$6:$AS$505,'سجل الإجازات والحالات'!$B$6:$B$505,$B9))/cfg_DAYS_Y)</f>
        <v>7.92054794520548</v>
      </c>
      <c r="AI9" s="160" t="n">
        <f aca="false">IF($B9="","",MAX(0,IF(OR(الموظفون!$AE9="",الموظفون!$AE9&gt;($E$3-1)),($E$3-1),الموظفون!$AE9)-الموظفون!$H9+1-SUMIFS('سجل الإجازات والحالات'!$AR$6:$AR$505,'سجل الإجازات والحالات'!$B$6:$B$505,$B9))/cfg_DAYS_Y)</f>
        <v>7.83561643835617</v>
      </c>
      <c r="AJ9" s="133" t="n">
        <f aca="false">IF($B9="","",MAX(0,AK9-(SUMIFS('سجل الإجازات والحالات'!$AS$6:$AS$505,'سجل الإجازات والحالات'!$B$6:$B$505,$B9)-SUMIFS('سجل الإجازات والحالات'!$AR$6:$AR$505,'سجل الإجازات والحالات'!$B$6:$B$505,$B9))))</f>
        <v>31</v>
      </c>
      <c r="AK9" s="133" t="n">
        <f aca="false">IF($B9="","",MAX(0,IF(OR(الموظفون!$AE9="",الموظفون!$AE9&gt;$F$3),$F$3,الموظفون!$AE9)-MAX($E$3,الموظفون!$H9)+1))</f>
        <v>31</v>
      </c>
      <c r="AL9" s="156" t="n">
        <f aca="false">IF($B9="","",SUMIFS('سجل الإجازات والحالات'!$BE$6:$BE$505,'سجل الإجازات والحالات'!$B$6:$B$505,$B9)+SUMIFS('الحركات الشهرية'!$K$6:$K$1005,'الحركات الشهرية'!$B$6:$B$1005,$B9,'الحركات الشهرية'!$A$6:$A$1005,$C$3))</f>
        <v>0</v>
      </c>
      <c r="AM9" s="116" t="n">
        <f aca="false">IF($B9="","",AL9*الموظفون!$R9/cfg_DAYS_M+S9)</f>
        <v>0</v>
      </c>
      <c r="AN9" s="156" t="n">
        <f aca="false">IF($B9="","",SUMIFS('سجل الإجازات والحالات'!$AG$6:$AG$505,'سجل الإجازات والحالات'!$B$6:$B$505,$B9))</f>
        <v>0</v>
      </c>
    </row>
    <row r="10" customFormat="false" ht="15" hidden="false" customHeight="false" outlineLevel="0" collapsed="false">
      <c r="A10" s="106" t="n">
        <f aca="false">IF($B10="","",الموظفون!$A10)</f>
        <v>5</v>
      </c>
      <c r="B10" s="114" t="str">
        <f aca="false">IF(الموظفون!$B10="","",الموظفون!$B10)</f>
        <v>E005</v>
      </c>
      <c r="C10" s="114" t="str">
        <f aca="false">IF($B10="","",الموظفون!$C10)</f>
        <v>راجيش كومار</v>
      </c>
      <c r="D10" s="114" t="str">
        <f aca="false">IF($B10="","",الموظفون!$F10)</f>
        <v>تقنية المعلومات</v>
      </c>
      <c r="E10" s="114" t="str">
        <f aca="false">IF($B10="","",الموظفون!$E10)</f>
        <v>غير سعودي</v>
      </c>
      <c r="F10" s="114" t="str">
        <f aca="false">IF($B10="","",IF(AK10=0,IF(AND(الموظفون!$AE10&lt;&gt;"",الموظفون!$AE10&lt;$E$3),"✖ منتهي الخدمة","⏳ لم يباشر"),IF(S10&gt;0,"✈ راتب إجازة مقدم",IF(J10=0,"⛔ بدون راتب هذا الشهر",IF(I10&gt;0,"✈ خصم "&amp;ROUND(I10,2)&amp;" يوم بدون أجر",IF(AL10&gt;0,"🌴 إجازة سنوية "&amp;ROUND(AL10,2)&amp;" يوم",IF(H10&gt;0,"⚠ غياب "&amp;ROUND(H10,2)&amp;" يوم","✔ على رأس العمل")))))))</f>
        <v>✔ على رأس العمل</v>
      </c>
      <c r="G10" s="151" t="n">
        <f aca="false">IF($B10="","",IF(AK10&gt;=DAY($F$3),cfg_DAYS_M,MIN(AK10,cfg_DAYS_M)))</f>
        <v>30</v>
      </c>
      <c r="H10" s="151" t="n">
        <f aca="false">IF($B10="","",SUMIFS('الحركات الشهرية'!$D$6:$D$1005,'الحركات الشهرية'!$B$6:$B$1005,$B10,'الحركات الشهرية'!$A$6:$A$1005,$C$3))</f>
        <v>0</v>
      </c>
      <c r="I10" s="151" t="n">
        <f aca="false">IF($B10="","",MIN(G10,IF(AND(AK10&gt;0,AN10&gt;=AK10),G10,AN10)+SUMIFS('الحركات الشهرية'!$E$6:$E$1005,'الحركات الشهرية'!$B$6:$B$1005,$B10,'الحركات الشهرية'!$A$6:$A$1005,$C$3)))</f>
        <v>0</v>
      </c>
      <c r="J10" s="151" t="n">
        <f aca="false">IF($B10="","",MAX(0,G10-H10-I10))</f>
        <v>30</v>
      </c>
      <c r="K10" s="111" t="n">
        <f aca="false">IF($B10="","",الموظفون!$L10*$J10/cfg_DAYS_M)</f>
        <v>9000</v>
      </c>
      <c r="L10" s="111" t="n">
        <f aca="false">IF($B10="","",الموظفون!$M10*$J10/cfg_DAYS_M)</f>
        <v>2250</v>
      </c>
      <c r="M10" s="111" t="n">
        <f aca="false">IF($B10="","",الموظفون!$N10*$J10/cfg_DAYS_M)</f>
        <v>900</v>
      </c>
      <c r="N10" s="111" t="n">
        <f aca="false">IF($B10="","",الموظفون!$O10*$J10/cfg_DAYS_M)</f>
        <v>700</v>
      </c>
      <c r="O10" s="151" t="n">
        <f aca="false">IF($B10="","",SUMIFS('الحركات الشهرية'!$F$6:$F$1005,'الحركات الشهرية'!$B$6:$B$1005,$B10,'الحركات الشهرية'!$A$6:$A$1005,$C$3))</f>
        <v>0</v>
      </c>
      <c r="P10" s="111" t="n">
        <f aca="false">IF($B10="","",O10*(الموظفون!$P10+الموظفون!$L10*cfg_OT_P)/cfg_DAYS_M/cfg_HRS)</f>
        <v>0</v>
      </c>
      <c r="Q10" s="111" t="n">
        <f aca="false">IF($B10="","",SUMIFS('الحركات الشهرية'!$G$6:$G$1005,'الحركات الشهرية'!$B$6:$B$1005,$B10,'الحركات الشهرية'!$A$6:$A$1005,$C$3))</f>
        <v>0</v>
      </c>
      <c r="R10" s="111" t="n">
        <f aca="false">IF($B10="","",SUMIFS('الحركات الشهرية'!$H$6:$H$1005,'الحركات الشهرية'!$B$6:$B$1005,$B10,'الحركات الشهرية'!$A$6:$A$1005,$C$3))</f>
        <v>0</v>
      </c>
      <c r="S10" s="111" t="n">
        <f aca="false">IF($B10="","",SUMIFS('سجل الإجازات والحالات'!$N$6:$N$505,'سجل الإجازات والحالات'!$B$6:$B$505,$B10,'سجل الإجازات والحالات'!$O$6:$O$505,$C$3))</f>
        <v>0</v>
      </c>
      <c r="T10" s="152" t="n">
        <f aca="false">IF($B10="","",SUM(K10:N10)+SUM(P10:S10))</f>
        <v>12850</v>
      </c>
      <c r="U10" s="111" t="n">
        <f aca="false">IF($B10="","",الموظفون!$S10*IF(E10="سعودي",cfg_G_SE,cfg_G_NE)*G10/cfg_DAYS_M)</f>
        <v>0</v>
      </c>
      <c r="V10" s="111" t="n">
        <f aca="false">IF($B10="","",SUMIFS('الحركات الشهرية'!$I$6:$I$1005,'الحركات الشهرية'!$B$6:$B$1005,$B10,'الحركات الشهرية'!$A$6:$A$1005,$C$3))</f>
        <v>0</v>
      </c>
      <c r="W10" s="111" t="n">
        <f aca="false">IF($B10="","",SUMIFS('الحركات الشهرية'!$J$6:$J$1005,'الحركات الشهرية'!$B$6:$B$1005,$B10,'الحركات الشهرية'!$A$6:$A$1005,$C$3))</f>
        <v>0</v>
      </c>
      <c r="X10" s="111" t="n">
        <f aca="false">IF($B10="","",SUM(U10:W10))</f>
        <v>0</v>
      </c>
      <c r="Y10" s="153" t="n">
        <f aca="false">IF($B10="","",T10-X10)</f>
        <v>12850</v>
      </c>
      <c r="Z10" s="111" t="n">
        <f aca="false">IF($B10="","",الموظفون!$S10*IF(E10="سعودي",cfg_G_SR,cfg_G_NR)*G10/cfg_DAYS_M)</f>
        <v>225</v>
      </c>
      <c r="AA10" s="111" t="n">
        <f aca="false">IF($B10="","",الموظفون!$Q10*(cfg_EOS_R1*(MIN(AH10,cfg_EOS_TH)-MIN(AI10,cfg_EOS_TH))+cfg_EOS_R2*(MAX(AH10-cfg_EOS_TH,0)-MAX(AI10-cfg_EOS_TH,0))))</f>
        <v>1031.91780821917</v>
      </c>
      <c r="AB10" s="111" t="n">
        <f aca="false">IF($B10="","",IF(الموظفون!$T10&lt;&gt;"",الموظفون!$T10,IF(AH10&gt;=cfg_LV_TH,cfg_LV_D2,cfg_LV_D1))/cfg_DAYS_Y*AJ10*الموظفون!$R10/cfg_DAYS_M)</f>
        <v>1031.91780821918</v>
      </c>
      <c r="AC10" s="111" t="n">
        <f aca="false">IF($B10="","",IF(AND(الموظفون!$U10="نعم",N(الموظفون!$W10)&gt;0),الموظفون!$V10/الموظفون!$W10*12/cfg_DAYS_Y*AJ10,0))</f>
        <v>237.808219178082</v>
      </c>
      <c r="AD10" s="111" t="n">
        <f aca="false">IF($B10="","",(IF(الموظفون!$X10&lt;&gt;"",الموظفون!$X10,IF(الموظفون!$E10="غير سعودي",cfg_IQ,0))+IF(الموظفون!$Y10&lt;&gt;"",الموظفون!$Y10,IF(الموظفون!$E10="غير سعودي",cfg_WP,0)))/12*G10/cfg_DAYS_M)</f>
        <v>854.166666666667</v>
      </c>
      <c r="AE10" s="111" t="n">
        <f aca="false">IF($B10="","",IF(الموظفون!$Z10&lt;&gt;"",الموظفون!$Z10,cfg_MED)/12*G10/cfg_DAYS_M)</f>
        <v>200</v>
      </c>
      <c r="AF10" s="111" t="n">
        <f aca="false">IF($B10="","",N(الموظفون!$AA10)/12*G10/cfg_DAYS_M)</f>
        <v>0</v>
      </c>
      <c r="AG10" s="154" t="n">
        <f aca="false">IF($B10="","",T10+SUM(Z10:AF10))</f>
        <v>16430.8105022831</v>
      </c>
      <c r="AH10" s="155" t="n">
        <f aca="false">IF($B10="","",MAX(0,IF(OR(الموظفون!$AE10="",الموظفون!$AE10&gt;$F$3),$F$3,الموظفون!$AE10)-الموظفون!$H10+1-SUMIFS('سجل الإجازات والحالات'!$AS$6:$AS$505,'سجل الإجازات والحالات'!$B$6:$B$505,$B10))/cfg_DAYS_Y)</f>
        <v>6.72602739726027</v>
      </c>
      <c r="AI10" s="155" t="n">
        <f aca="false">IF($B10="","",MAX(0,IF(OR(الموظفون!$AE10="",الموظفون!$AE10&gt;($E$3-1)),($E$3-1),الموظفون!$AE10)-الموظفون!$H10+1-SUMIFS('سجل الإجازات والحالات'!$AR$6:$AR$505,'سجل الإجازات والحالات'!$B$6:$B$505,$B10))/cfg_DAYS_Y)</f>
        <v>6.64109589041096</v>
      </c>
      <c r="AJ10" s="65" t="n">
        <f aca="false">IF($B10="","",MAX(0,AK10-(SUMIFS('سجل الإجازات والحالات'!$AS$6:$AS$505,'سجل الإجازات والحالات'!$B$6:$B$505,$B10)-SUMIFS('سجل الإجازات والحالات'!$AR$6:$AR$505,'سجل الإجازات والحالات'!$B$6:$B$505,$B10))))</f>
        <v>31</v>
      </c>
      <c r="AK10" s="65" t="n">
        <f aca="false">IF($B10="","",MAX(0,IF(OR(الموظفون!$AE10="",الموظفون!$AE10&gt;$F$3),$F$3,الموظفون!$AE10)-MAX($E$3,الموظفون!$H10)+1))</f>
        <v>31</v>
      </c>
      <c r="AL10" s="151" t="n">
        <f aca="false">IF($B10="","",SUMIFS('سجل الإجازات والحالات'!$BE$6:$BE$505,'سجل الإجازات والحالات'!$B$6:$B$505,$B10)+SUMIFS('الحركات الشهرية'!$K$6:$K$1005,'الحركات الشهرية'!$B$6:$B$1005,$B10,'الحركات الشهرية'!$A$6:$A$1005,$C$3))</f>
        <v>0</v>
      </c>
      <c r="AM10" s="111" t="n">
        <f aca="false">IF($B10="","",AL10*الموظفون!$R10/cfg_DAYS_M+S10)</f>
        <v>0</v>
      </c>
      <c r="AN10" s="151" t="n">
        <f aca="false">IF($B10="","",SUMIFS('سجل الإجازات والحالات'!$AG$6:$AG$505,'سجل الإجازات والحالات'!$B$6:$B$505,$B10))</f>
        <v>0</v>
      </c>
    </row>
    <row r="11" customFormat="false" ht="15" hidden="false" customHeight="false" outlineLevel="0" collapsed="false">
      <c r="A11" s="115" t="n">
        <f aca="false">IF($B11="","",الموظفون!$A11)</f>
        <v>6</v>
      </c>
      <c r="B11" s="117" t="str">
        <f aca="false">IF(الموظفون!$B11="","",الموظفون!$B11)</f>
        <v>E006</v>
      </c>
      <c r="C11" s="117" t="str">
        <f aca="false">IF($B11="","",الموظفون!$C11)</f>
        <v>فهد ناصر الشمري</v>
      </c>
      <c r="D11" s="117" t="str">
        <f aca="false">IF($B11="","",الموظفون!$F11)</f>
        <v>المبيعات</v>
      </c>
      <c r="E11" s="117" t="str">
        <f aca="false">IF($B11="","",الموظفون!$E11)</f>
        <v>سعودي</v>
      </c>
      <c r="F11" s="117" t="str">
        <f aca="false">IF($B11="","",IF(AK11=0,IF(AND(الموظفون!$AE11&lt;&gt;"",الموظفون!$AE11&lt;$E$3),"✖ منتهي الخدمة","⏳ لم يباشر"),IF(S11&gt;0,"✈ راتب إجازة مقدم",IF(J11=0,"⛔ بدون راتب هذا الشهر",IF(I11&gt;0,"✈ خصم "&amp;ROUND(I11,2)&amp;" يوم بدون أجر",IF(AL11&gt;0,"🌴 إجازة سنوية "&amp;ROUND(AL11,2)&amp;" يوم",IF(H11&gt;0,"⚠ غياب "&amp;ROUND(H11,2)&amp;" يوم","✔ على رأس العمل")))))))</f>
        <v>✔ على رأس العمل</v>
      </c>
      <c r="G11" s="156" t="n">
        <f aca="false">IF($B11="","",IF(AK11&gt;=DAY($F$3),cfg_DAYS_M,MIN(AK11,cfg_DAYS_M)))</f>
        <v>30</v>
      </c>
      <c r="H11" s="156" t="n">
        <f aca="false">IF($B11="","",SUMIFS('الحركات الشهرية'!$D$6:$D$1005,'الحركات الشهرية'!$B$6:$B$1005,$B11,'الحركات الشهرية'!$A$6:$A$1005,$C$3))</f>
        <v>0</v>
      </c>
      <c r="I11" s="156" t="n">
        <f aca="false">IF($B11="","",MIN(G11,IF(AND(AK11&gt;0,AN11&gt;=AK11),G11,AN11)+SUMIFS('الحركات الشهرية'!$E$6:$E$1005,'الحركات الشهرية'!$B$6:$B$1005,$B11,'الحركات الشهرية'!$A$6:$A$1005,$C$3)))</f>
        <v>0</v>
      </c>
      <c r="J11" s="156" t="n">
        <f aca="false">IF($B11="","",MAX(0,G11-H11-I11))</f>
        <v>30</v>
      </c>
      <c r="K11" s="116" t="n">
        <f aca="false">IF($B11="","",الموظفون!$L11*$J11/cfg_DAYS_M)</f>
        <v>13000</v>
      </c>
      <c r="L11" s="116" t="n">
        <f aca="false">IF($B11="","",الموظفون!$M11*$J11/cfg_DAYS_M)</f>
        <v>3250</v>
      </c>
      <c r="M11" s="116" t="n">
        <f aca="false">IF($B11="","",الموظفون!$N11*$J11/cfg_DAYS_M)</f>
        <v>1300</v>
      </c>
      <c r="N11" s="116" t="n">
        <f aca="false">IF($B11="","",الموظفون!$O11*$J11/cfg_DAYS_M)</f>
        <v>2500</v>
      </c>
      <c r="O11" s="156" t="n">
        <f aca="false">IF($B11="","",SUMIFS('الحركات الشهرية'!$F$6:$F$1005,'الحركات الشهرية'!$B$6:$B$1005,$B11,'الحركات الشهرية'!$A$6:$A$1005,$C$3))</f>
        <v>0</v>
      </c>
      <c r="P11" s="116" t="n">
        <f aca="false">IF($B11="","",O11*(الموظفون!$P11+الموظفون!$L11*cfg_OT_P)/cfg_DAYS_M/cfg_HRS)</f>
        <v>0</v>
      </c>
      <c r="Q11" s="116" t="n">
        <f aca="false">IF($B11="","",SUMIFS('الحركات الشهرية'!$G$6:$G$1005,'الحركات الشهرية'!$B$6:$B$1005,$B11,'الحركات الشهرية'!$A$6:$A$1005,$C$3))</f>
        <v>0</v>
      </c>
      <c r="R11" s="116" t="n">
        <f aca="false">IF($B11="","",SUMIFS('الحركات الشهرية'!$H$6:$H$1005,'الحركات الشهرية'!$B$6:$B$1005,$B11,'الحركات الشهرية'!$A$6:$A$1005,$C$3))</f>
        <v>0</v>
      </c>
      <c r="S11" s="116" t="n">
        <f aca="false">IF($B11="","",SUMIFS('سجل الإجازات والحالات'!$N$6:$N$505,'سجل الإجازات والحالات'!$B$6:$B$505,$B11,'سجل الإجازات والحالات'!$O$6:$O$505,$C$3))</f>
        <v>0</v>
      </c>
      <c r="T11" s="157" t="n">
        <f aca="false">IF($B11="","",SUM(K11:N11)+SUM(P11:S11))</f>
        <v>20050</v>
      </c>
      <c r="U11" s="116" t="n">
        <f aca="false">IF($B11="","",الموظفون!$S11*IF(E11="سعودي",cfg_G_SE,cfg_G_NE)*G11/cfg_DAYS_M)</f>
        <v>1584.375</v>
      </c>
      <c r="V11" s="116" t="n">
        <f aca="false">IF($B11="","",SUMIFS('الحركات الشهرية'!$I$6:$I$1005,'الحركات الشهرية'!$B$6:$B$1005,$B11,'الحركات الشهرية'!$A$6:$A$1005,$C$3))</f>
        <v>0</v>
      </c>
      <c r="W11" s="116" t="n">
        <f aca="false">IF($B11="","",SUMIFS('الحركات الشهرية'!$J$6:$J$1005,'الحركات الشهرية'!$B$6:$B$1005,$B11,'الحركات الشهرية'!$A$6:$A$1005,$C$3))</f>
        <v>0</v>
      </c>
      <c r="X11" s="116" t="n">
        <f aca="false">IF($B11="","",SUM(U11:W11))</f>
        <v>1584.375</v>
      </c>
      <c r="Y11" s="158" t="n">
        <f aca="false">IF($B11="","",T11-X11)</f>
        <v>18465.625</v>
      </c>
      <c r="Z11" s="116" t="n">
        <f aca="false">IF($B11="","",الموظفون!$S11*IF(E11="سعودي",cfg_G_SR,cfg_G_NR)*G11/cfg_DAYS_M)</f>
        <v>1909.375</v>
      </c>
      <c r="AA11" s="116" t="n">
        <f aca="false">IF($B11="","",الموظفون!$Q11*(cfg_EOS_R1*(MIN(AH11,cfg_EOS_TH)-MIN(AI11,cfg_EOS_TH))+cfg_EOS_R2*(MAX(AH11-cfg_EOS_TH,0)-MAX(AI11-cfg_EOS_TH,0))))</f>
        <v>1490.54794520549</v>
      </c>
      <c r="AB11" s="116" t="n">
        <f aca="false">IF($B11="","",IF(الموظفون!$T11&lt;&gt;"",الموظفون!$T11,IF(AH11&gt;=cfg_LV_TH,cfg_LV_D2,cfg_LV_D1))/cfg_DAYS_Y*AJ11*الموظفون!$R11/cfg_DAYS_M)</f>
        <v>1490.54794520548</v>
      </c>
      <c r="AC11" s="116" t="n">
        <f aca="false">IF($B11="","",IF(AND(الموظفون!$U11="نعم",N(الموظفون!$W11)&gt;0),الموظفون!$V11/الموظفون!$W11*12/cfg_DAYS_Y*AJ11,0))</f>
        <v>0</v>
      </c>
      <c r="AD11" s="116" t="n">
        <f aca="false">IF($B11="","",(IF(الموظفون!$X11&lt;&gt;"",الموظفون!$X11,IF(الموظفون!$E11="غير سعودي",cfg_IQ,0))+IF(الموظفون!$Y11&lt;&gt;"",الموظفون!$Y11,IF(الموظفون!$E11="غير سعودي",cfg_WP,0)))/12*G11/cfg_DAYS_M)</f>
        <v>0</v>
      </c>
      <c r="AE11" s="116" t="n">
        <f aca="false">IF($B11="","",IF(الموظفون!$Z11&lt;&gt;"",الموظفون!$Z11,cfg_MED)/12*G11/cfg_DAYS_M)</f>
        <v>300</v>
      </c>
      <c r="AF11" s="116" t="n">
        <f aca="false">IF($B11="","",N(الموظفون!$AA11)/12*G11/cfg_DAYS_M)</f>
        <v>0</v>
      </c>
      <c r="AG11" s="159" t="n">
        <f aca="false">IF($B11="","",T11+SUM(Z11:AF11))</f>
        <v>25240.470890411</v>
      </c>
      <c r="AH11" s="160" t="n">
        <f aca="false">IF($B11="","",MAX(0,IF(OR(الموظفون!$AE11="",الموظفون!$AE11&gt;$F$3),$F$3,الموظفون!$AE11)-الموظفون!$H11+1-SUMIFS('سجل الإجازات والحالات'!$AS$6:$AS$505,'سجل الإجازات والحالات'!$B$6:$B$505,$B11))/cfg_DAYS_Y)</f>
        <v>9.07945205479452</v>
      </c>
      <c r="AI11" s="160" t="n">
        <f aca="false">IF($B11="","",MAX(0,IF(OR(الموظفون!$AE11="",الموظفون!$AE11&gt;($E$3-1)),($E$3-1),الموظفون!$AE11)-الموظفون!$H11+1-SUMIFS('سجل الإجازات والحالات'!$AR$6:$AR$505,'سجل الإجازات والحالات'!$B$6:$B$505,$B11))/cfg_DAYS_Y)</f>
        <v>8.99452054794521</v>
      </c>
      <c r="AJ11" s="133" t="n">
        <f aca="false">IF($B11="","",MAX(0,AK11-(SUMIFS('سجل الإجازات والحالات'!$AS$6:$AS$505,'سجل الإجازات والحالات'!$B$6:$B$505,$B11)-SUMIFS('سجل الإجازات والحالات'!$AR$6:$AR$505,'سجل الإجازات والحالات'!$B$6:$B$505,$B11))))</f>
        <v>31</v>
      </c>
      <c r="AK11" s="133" t="n">
        <f aca="false">IF($B11="","",MAX(0,IF(OR(الموظفون!$AE11="",الموظفون!$AE11&gt;$F$3),$F$3,الموظفون!$AE11)-MAX($E$3,الموظفون!$H11)+1))</f>
        <v>31</v>
      </c>
      <c r="AL11" s="156" t="n">
        <f aca="false">IF($B11="","",SUMIFS('سجل الإجازات والحالات'!$BE$6:$BE$505,'سجل الإجازات والحالات'!$B$6:$B$505,$B11)+SUMIFS('الحركات الشهرية'!$K$6:$K$1005,'الحركات الشهرية'!$B$6:$B$1005,$B11,'الحركات الشهرية'!$A$6:$A$1005,$C$3))</f>
        <v>0</v>
      </c>
      <c r="AM11" s="116" t="n">
        <f aca="false">IF($B11="","",AL11*الموظفون!$R11/cfg_DAYS_M+S11)</f>
        <v>0</v>
      </c>
      <c r="AN11" s="156" t="n">
        <f aca="false">IF($B11="","",SUMIFS('سجل الإجازات والحالات'!$AG$6:$AG$505,'سجل الإجازات والحالات'!$B$6:$B$505,$B11))</f>
        <v>0</v>
      </c>
    </row>
    <row r="12" customFormat="false" ht="15" hidden="false" customHeight="false" outlineLevel="0" collapsed="false">
      <c r="A12" s="106" t="n">
        <f aca="false">IF($B12="","",الموظفون!$A12)</f>
        <v>7</v>
      </c>
      <c r="B12" s="114" t="str">
        <f aca="false">IF(الموظفون!$B12="","",الموظفون!$B12)</f>
        <v>E007</v>
      </c>
      <c r="C12" s="114" t="str">
        <f aca="false">IF($B12="","",الموظفون!$C12)</f>
        <v>خالد يوسف الأحمد</v>
      </c>
      <c r="D12" s="114" t="str">
        <f aca="false">IF($B12="","",الموظفون!$F12)</f>
        <v>المشاريع</v>
      </c>
      <c r="E12" s="114" t="str">
        <f aca="false">IF($B12="","",الموظفون!$E12)</f>
        <v>غير سعودي</v>
      </c>
      <c r="F12" s="114" t="str">
        <f aca="false">IF($B12="","",IF(AK12=0,IF(AND(الموظفون!$AE12&lt;&gt;"",الموظفون!$AE12&lt;$E$3),"✖ منتهي الخدمة","⏳ لم يباشر"),IF(S12&gt;0,"✈ راتب إجازة مقدم",IF(J12=0,"⛔ بدون راتب هذا الشهر",IF(I12&gt;0,"✈ خصم "&amp;ROUND(I12,2)&amp;" يوم بدون أجر",IF(AL12&gt;0,"🌴 إجازة سنوية "&amp;ROUND(AL12,2)&amp;" يوم",IF(H12&gt;0,"⚠ غياب "&amp;ROUND(H12,2)&amp;" يوم","✔ على رأس العمل")))))))</f>
        <v>✔ على رأس العمل</v>
      </c>
      <c r="G12" s="151" t="n">
        <f aca="false">IF($B12="","",IF(AK12&gt;=DAY($F$3),cfg_DAYS_M,MIN(AK12,cfg_DAYS_M)))</f>
        <v>30</v>
      </c>
      <c r="H12" s="151" t="n">
        <f aca="false">IF($B12="","",SUMIFS('الحركات الشهرية'!$D$6:$D$1005,'الحركات الشهرية'!$B$6:$B$1005,$B12,'الحركات الشهرية'!$A$6:$A$1005,$C$3))</f>
        <v>0</v>
      </c>
      <c r="I12" s="151" t="n">
        <f aca="false">IF($B12="","",MIN(G12,IF(AND(AK12&gt;0,AN12&gt;=AK12),G12,AN12)+SUMIFS('الحركات الشهرية'!$E$6:$E$1005,'الحركات الشهرية'!$B$6:$B$1005,$B12,'الحركات الشهرية'!$A$6:$A$1005,$C$3)))</f>
        <v>0</v>
      </c>
      <c r="J12" s="151" t="n">
        <f aca="false">IF($B12="","",MAX(0,G12-H12-I12))</f>
        <v>30</v>
      </c>
      <c r="K12" s="111" t="n">
        <f aca="false">IF($B12="","",الموظفون!$L12*$J12/cfg_DAYS_M)</f>
        <v>11000</v>
      </c>
      <c r="L12" s="111" t="n">
        <f aca="false">IF($B12="","",الموظفون!$M12*$J12/cfg_DAYS_M)</f>
        <v>2750</v>
      </c>
      <c r="M12" s="111" t="n">
        <f aca="false">IF($B12="","",الموظفون!$N12*$J12/cfg_DAYS_M)</f>
        <v>1100</v>
      </c>
      <c r="N12" s="111" t="n">
        <f aca="false">IF($B12="","",الموظفون!$O12*$J12/cfg_DAYS_M)</f>
        <v>800</v>
      </c>
      <c r="O12" s="151" t="n">
        <f aca="false">IF($B12="","",SUMIFS('الحركات الشهرية'!$F$6:$F$1005,'الحركات الشهرية'!$B$6:$B$1005,$B12,'الحركات الشهرية'!$A$6:$A$1005,$C$3))</f>
        <v>0</v>
      </c>
      <c r="P12" s="111" t="n">
        <f aca="false">IF($B12="","",O12*(الموظفون!$P12+الموظفون!$L12*cfg_OT_P)/cfg_DAYS_M/cfg_HRS)</f>
        <v>0</v>
      </c>
      <c r="Q12" s="111" t="n">
        <f aca="false">IF($B12="","",SUMIFS('الحركات الشهرية'!$G$6:$G$1005,'الحركات الشهرية'!$B$6:$B$1005,$B12,'الحركات الشهرية'!$A$6:$A$1005,$C$3))</f>
        <v>0</v>
      </c>
      <c r="R12" s="111" t="n">
        <f aca="false">IF($B12="","",SUMIFS('الحركات الشهرية'!$H$6:$H$1005,'الحركات الشهرية'!$B$6:$B$1005,$B12,'الحركات الشهرية'!$A$6:$A$1005,$C$3))</f>
        <v>0</v>
      </c>
      <c r="S12" s="111" t="n">
        <f aca="false">IF($B12="","",SUMIFS('سجل الإجازات والحالات'!$N$6:$N$505,'سجل الإجازات والحالات'!$B$6:$B$505,$B12,'سجل الإجازات والحالات'!$O$6:$O$505,$C$3))</f>
        <v>0</v>
      </c>
      <c r="T12" s="152" t="n">
        <f aca="false">IF($B12="","",SUM(K12:N12)+SUM(P12:S12))</f>
        <v>15650</v>
      </c>
      <c r="U12" s="111" t="n">
        <f aca="false">IF($B12="","",الموظفون!$S12*IF(E12="سعودي",cfg_G_SE,cfg_G_NE)*G12/cfg_DAYS_M)</f>
        <v>0</v>
      </c>
      <c r="V12" s="111" t="n">
        <f aca="false">IF($B12="","",SUMIFS('الحركات الشهرية'!$I$6:$I$1005,'الحركات الشهرية'!$B$6:$B$1005,$B12,'الحركات الشهرية'!$A$6:$A$1005,$C$3))</f>
        <v>0</v>
      </c>
      <c r="W12" s="111" t="n">
        <f aca="false">IF($B12="","",SUMIFS('الحركات الشهرية'!$J$6:$J$1005,'الحركات الشهرية'!$B$6:$B$1005,$B12,'الحركات الشهرية'!$A$6:$A$1005,$C$3))</f>
        <v>0</v>
      </c>
      <c r="X12" s="111" t="n">
        <f aca="false">IF($B12="","",SUM(U12:W12))</f>
        <v>0</v>
      </c>
      <c r="Y12" s="153" t="n">
        <f aca="false">IF($B12="","",T12-X12)</f>
        <v>15650</v>
      </c>
      <c r="Z12" s="111" t="n">
        <f aca="false">IF($B12="","",الموظفون!$S12*IF(E12="سعودي",cfg_G_SR,cfg_G_NR)*G12/cfg_DAYS_M)</f>
        <v>275</v>
      </c>
      <c r="AA12" s="111" t="n">
        <f aca="false">IF($B12="","",الموظفون!$Q12*(cfg_EOS_R1*(MIN(AH12,cfg_EOS_TH)-MIN(AI12,cfg_EOS_TH))+cfg_EOS_R2*(MAX(AH12-cfg_EOS_TH,0)-MAX(AI12-cfg_EOS_TH,0))))</f>
        <v>1261.23287671232</v>
      </c>
      <c r="AB12" s="111" t="n">
        <f aca="false">IF($B12="","",IF(الموظفون!$T12&lt;&gt;"",الموظفون!$T12,IF(AH12&gt;=cfg_LV_TH,cfg_LV_D2,cfg_LV_D1))/cfg_DAYS_Y*AJ12*الموظفون!$R12/cfg_DAYS_M)</f>
        <v>1261.23287671233</v>
      </c>
      <c r="AC12" s="111" t="n">
        <f aca="false">IF($B12="","",IF(AND(الموظفون!$U12="نعم",N(الموظفون!$W12)&gt;0),الموظفون!$V12/الموظفون!$W12*12/cfg_DAYS_Y*AJ12,0))</f>
        <v>382.191780821918</v>
      </c>
      <c r="AD12" s="111" t="n">
        <f aca="false">IF($B12="","",(IF(الموظفون!$X12&lt;&gt;"",الموظفون!$X12,IF(الموظفون!$E12="غير سعودي",cfg_IQ,0))+IF(الموظفون!$Y12&lt;&gt;"",الموظفون!$Y12,IF(الموظفون!$E12="غير سعودي",cfg_WP,0)))/12*G12/cfg_DAYS_M)</f>
        <v>854.166666666667</v>
      </c>
      <c r="AE12" s="111" t="n">
        <f aca="false">IF($B12="","",IF(الموظفون!$Z12&lt;&gt;"",الموظفون!$Z12,cfg_MED)/12*G12/cfg_DAYS_M)</f>
        <v>200</v>
      </c>
      <c r="AF12" s="111" t="n">
        <f aca="false">IF($B12="","",N(الموظفون!$AA12)/12*G12/cfg_DAYS_M)</f>
        <v>400</v>
      </c>
      <c r="AG12" s="154" t="n">
        <f aca="false">IF($B12="","",T12+SUM(Z12:AF12))</f>
        <v>20283.8242009132</v>
      </c>
      <c r="AH12" s="155" t="n">
        <f aca="false">IF($B12="","",MAX(0,IF(OR(الموظفون!$AE12="",الموظفون!$AE12&gt;$F$3),$F$3,الموظفون!$AE12)-الموظفون!$H12+1-SUMIFS('سجل الإجازات والحالات'!$AS$6:$AS$505,'سجل الإجازات والحالات'!$B$6:$B$505,$B12))/cfg_DAYS_Y)</f>
        <v>5.95068493150685</v>
      </c>
      <c r="AI12" s="155" t="n">
        <f aca="false">IF($B12="","",MAX(0,IF(OR(الموظفون!$AE12="",الموظفون!$AE12&gt;($E$3-1)),($E$3-1),الموظفون!$AE12)-الموظفون!$H12+1-SUMIFS('سجل الإجازات والحالات'!$AR$6:$AR$505,'سجل الإجازات والحالات'!$B$6:$B$505,$B12))/cfg_DAYS_Y)</f>
        <v>5.86575342465754</v>
      </c>
      <c r="AJ12" s="65" t="n">
        <f aca="false">IF($B12="","",MAX(0,AK12-(SUMIFS('سجل الإجازات والحالات'!$AS$6:$AS$505,'سجل الإجازات والحالات'!$B$6:$B$505,$B12)-SUMIFS('سجل الإجازات والحالات'!$AR$6:$AR$505,'سجل الإجازات والحالات'!$B$6:$B$505,$B12))))</f>
        <v>31</v>
      </c>
      <c r="AK12" s="65" t="n">
        <f aca="false">IF($B12="","",MAX(0,IF(OR(الموظفون!$AE12="",الموظفون!$AE12&gt;$F$3),$F$3,الموظفون!$AE12)-MAX($E$3,الموظفون!$H12)+1))</f>
        <v>31</v>
      </c>
      <c r="AL12" s="151" t="n">
        <f aca="false">IF($B12="","",SUMIFS('سجل الإجازات والحالات'!$BE$6:$BE$505,'سجل الإجازات والحالات'!$B$6:$B$505,$B12)+SUMIFS('الحركات الشهرية'!$K$6:$K$1005,'الحركات الشهرية'!$B$6:$B$1005,$B12,'الحركات الشهرية'!$A$6:$A$1005,$C$3))</f>
        <v>0</v>
      </c>
      <c r="AM12" s="111" t="n">
        <f aca="false">IF($B12="","",AL12*الموظفون!$R12/cfg_DAYS_M+S12)</f>
        <v>0</v>
      </c>
      <c r="AN12" s="151" t="n">
        <f aca="false">IF($B12="","",SUMIFS('سجل الإجازات والحالات'!$AG$6:$AG$505,'سجل الإجازات والحالات'!$B$6:$B$505,$B12))</f>
        <v>0</v>
      </c>
    </row>
    <row r="13" customFormat="false" ht="15" hidden="false" customHeight="false" outlineLevel="0" collapsed="false">
      <c r="A13" s="115" t="n">
        <f aca="false">IF($B13="","",الموظفون!$A13)</f>
        <v>8</v>
      </c>
      <c r="B13" s="117" t="str">
        <f aca="false">IF(الموظفون!$B13="","",الموظفون!$B13)</f>
        <v>E008</v>
      </c>
      <c r="C13" s="117" t="str">
        <f aca="false">IF($B13="","",الموظفون!$C13)</f>
        <v>سارة عبدالرحمن الزهراني</v>
      </c>
      <c r="D13" s="117" t="str">
        <f aca="false">IF($B13="","",الموظفون!$F13)</f>
        <v>المالية</v>
      </c>
      <c r="E13" s="117" t="str">
        <f aca="false">IF($B13="","",الموظفون!$E13)</f>
        <v>سعودي</v>
      </c>
      <c r="F13" s="117" t="str">
        <f aca="false">IF($B13="","",IF(AK13=0,IF(AND(الموظفون!$AE13&lt;&gt;"",الموظفون!$AE13&lt;$E$3),"✖ منتهي الخدمة","⏳ لم يباشر"),IF(S13&gt;0,"✈ راتب إجازة مقدم",IF(J13=0,"⛔ بدون راتب هذا الشهر",IF(I13&gt;0,"✈ خصم "&amp;ROUND(I13,2)&amp;" يوم بدون أجر",IF(AL13&gt;0,"🌴 إجازة سنوية "&amp;ROUND(AL13,2)&amp;" يوم",IF(H13&gt;0,"⚠ غياب "&amp;ROUND(H13,2)&amp;" يوم","✔ على رأس العمل")))))))</f>
        <v>✔ على رأس العمل</v>
      </c>
      <c r="G13" s="156" t="n">
        <f aca="false">IF($B13="","",IF(AK13&gt;=DAY($F$3),cfg_DAYS_M,MIN(AK13,cfg_DAYS_M)))</f>
        <v>30</v>
      </c>
      <c r="H13" s="156" t="n">
        <f aca="false">IF($B13="","",SUMIFS('الحركات الشهرية'!$D$6:$D$1005,'الحركات الشهرية'!$B$6:$B$1005,$B13,'الحركات الشهرية'!$A$6:$A$1005,$C$3))</f>
        <v>0</v>
      </c>
      <c r="I13" s="156" t="n">
        <f aca="false">IF($B13="","",MIN(G13,IF(AND(AK13&gt;0,AN13&gt;=AK13),G13,AN13)+SUMIFS('الحركات الشهرية'!$E$6:$E$1005,'الحركات الشهرية'!$B$6:$B$1005,$B13,'الحركات الشهرية'!$A$6:$A$1005,$C$3)))</f>
        <v>0</v>
      </c>
      <c r="J13" s="156" t="n">
        <f aca="false">IF($B13="","",MAX(0,G13-H13-I13))</f>
        <v>30</v>
      </c>
      <c r="K13" s="116" t="n">
        <f aca="false">IF($B13="","",الموظفون!$L13*$J13/cfg_DAYS_M)</f>
        <v>7500</v>
      </c>
      <c r="L13" s="116" t="n">
        <f aca="false">IF($B13="","",الموظفون!$M13*$J13/cfg_DAYS_M)</f>
        <v>1875</v>
      </c>
      <c r="M13" s="116" t="n">
        <f aca="false">IF($B13="","",الموظفون!$N13*$J13/cfg_DAYS_M)</f>
        <v>750</v>
      </c>
      <c r="N13" s="116" t="n">
        <f aca="false">IF($B13="","",الموظفون!$O13*$J13/cfg_DAYS_M)</f>
        <v>0</v>
      </c>
      <c r="O13" s="156" t="n">
        <f aca="false">IF($B13="","",SUMIFS('الحركات الشهرية'!$F$6:$F$1005,'الحركات الشهرية'!$B$6:$B$1005,$B13,'الحركات الشهرية'!$A$6:$A$1005,$C$3))</f>
        <v>0</v>
      </c>
      <c r="P13" s="116" t="n">
        <f aca="false">IF($B13="","",O13*(الموظفون!$P13+الموظفون!$L13*cfg_OT_P)/cfg_DAYS_M/cfg_HRS)</f>
        <v>0</v>
      </c>
      <c r="Q13" s="116" t="n">
        <f aca="false">IF($B13="","",SUMIFS('الحركات الشهرية'!$G$6:$G$1005,'الحركات الشهرية'!$B$6:$B$1005,$B13,'الحركات الشهرية'!$A$6:$A$1005,$C$3))</f>
        <v>0</v>
      </c>
      <c r="R13" s="116" t="n">
        <f aca="false">IF($B13="","",SUMIFS('الحركات الشهرية'!$H$6:$H$1005,'الحركات الشهرية'!$B$6:$B$1005,$B13,'الحركات الشهرية'!$A$6:$A$1005,$C$3))</f>
        <v>0</v>
      </c>
      <c r="S13" s="116" t="n">
        <f aca="false">IF($B13="","",SUMIFS('سجل الإجازات والحالات'!$N$6:$N$505,'سجل الإجازات والحالات'!$B$6:$B$505,$B13,'سجل الإجازات والحالات'!$O$6:$O$505,$C$3))</f>
        <v>0</v>
      </c>
      <c r="T13" s="157" t="n">
        <f aca="false">IF($B13="","",SUM(K13:N13)+SUM(P13:S13))</f>
        <v>10125</v>
      </c>
      <c r="U13" s="116" t="n">
        <f aca="false">IF($B13="","",الموظفون!$S13*IF(E13="سعودي",cfg_G_SE,cfg_G_NE)*G13/cfg_DAYS_M)</f>
        <v>914.0625</v>
      </c>
      <c r="V13" s="116" t="n">
        <f aca="false">IF($B13="","",SUMIFS('الحركات الشهرية'!$I$6:$I$1005,'الحركات الشهرية'!$B$6:$B$1005,$B13,'الحركات الشهرية'!$A$6:$A$1005,$C$3))</f>
        <v>0</v>
      </c>
      <c r="W13" s="116" t="n">
        <f aca="false">IF($B13="","",SUMIFS('الحركات الشهرية'!$J$6:$J$1005,'الحركات الشهرية'!$B$6:$B$1005,$B13,'الحركات الشهرية'!$A$6:$A$1005,$C$3))</f>
        <v>0</v>
      </c>
      <c r="X13" s="116" t="n">
        <f aca="false">IF($B13="","",SUM(U13:W13))</f>
        <v>914.0625</v>
      </c>
      <c r="Y13" s="158" t="n">
        <f aca="false">IF($B13="","",T13-X13)</f>
        <v>9210.9375</v>
      </c>
      <c r="Z13" s="116" t="n">
        <f aca="false">IF($B13="","",الموظفون!$S13*IF(E13="سعودي",cfg_G_SR,cfg_G_NR)*G13/cfg_DAYS_M)</f>
        <v>1101.5625</v>
      </c>
      <c r="AA13" s="116" t="n">
        <f aca="false">IF($B13="","",الموظفون!$Q13*(cfg_EOS_R1*(MIN(AH13,cfg_EOS_TH)-MIN(AI13,cfg_EOS_TH))+cfg_EOS_R2*(MAX(AH13-cfg_EOS_TH,0)-MAX(AI13-cfg_EOS_TH,0))))</f>
        <v>429.965753424657</v>
      </c>
      <c r="AB13" s="116" t="n">
        <f aca="false">IF($B13="","",IF(الموظفون!$T13&lt;&gt;"",الموظفون!$T13,IF(AH13&gt;=cfg_LV_TH,cfg_LV_D2,cfg_LV_D1))/cfg_DAYS_Y*AJ13*الموظفون!$R13/cfg_DAYS_M)</f>
        <v>601.952054794521</v>
      </c>
      <c r="AC13" s="116" t="n">
        <f aca="false">IF($B13="","",IF(AND(الموظفون!$U13="نعم",N(الموظفون!$W13)&gt;0),الموظفون!$V13/الموظفون!$W13*12/cfg_DAYS_Y*AJ13,0))</f>
        <v>0</v>
      </c>
      <c r="AD13" s="116" t="n">
        <f aca="false">IF($B13="","",(IF(الموظفون!$X13&lt;&gt;"",الموظفون!$X13,IF(الموظفون!$E13="غير سعودي",cfg_IQ,0))+IF(الموظفون!$Y13&lt;&gt;"",الموظفون!$Y13,IF(الموظفون!$E13="غير سعودي",cfg_WP,0)))/12*G13/cfg_DAYS_M)</f>
        <v>0</v>
      </c>
      <c r="AE13" s="116" t="n">
        <f aca="false">IF($B13="","",IF(الموظفون!$Z13&lt;&gt;"",الموظفون!$Z13,cfg_MED)/12*G13/cfg_DAYS_M)</f>
        <v>200</v>
      </c>
      <c r="AF13" s="116" t="n">
        <f aca="false">IF($B13="","",N(الموظفون!$AA13)/12*G13/cfg_DAYS_M)</f>
        <v>0</v>
      </c>
      <c r="AG13" s="159" t="n">
        <f aca="false">IF($B13="","",T13+SUM(Z13:AF13))</f>
        <v>12458.4803082192</v>
      </c>
      <c r="AH13" s="160" t="n">
        <f aca="false">IF($B13="","",MAX(0,IF(OR(الموظفون!$AE13="",الموظفون!$AE13&gt;$F$3),$F$3,الموظفون!$AE13)-الموظفون!$H13+1-SUMIFS('سجل الإجازات والحالات'!$AS$6:$AS$505,'سجل الإجازات والحالات'!$B$6:$B$505,$B13))/cfg_DAYS_Y)</f>
        <v>3.83287671232877</v>
      </c>
      <c r="AI13" s="160" t="n">
        <f aca="false">IF($B13="","",MAX(0,IF(OR(الموظفون!$AE13="",الموظفون!$AE13&gt;($E$3-1)),($E$3-1),الموظفون!$AE13)-الموظفون!$H13+1-SUMIFS('سجل الإجازات والحالات'!$AR$6:$AR$505,'سجل الإجازات والحالات'!$B$6:$B$505,$B13))/cfg_DAYS_Y)</f>
        <v>3.74794520547945</v>
      </c>
      <c r="AJ13" s="133" t="n">
        <f aca="false">IF($B13="","",MAX(0,AK13-(SUMIFS('سجل الإجازات والحالات'!$AS$6:$AS$505,'سجل الإجازات والحالات'!$B$6:$B$505,$B13)-SUMIFS('سجل الإجازات والحالات'!$AR$6:$AR$505,'سجل الإجازات والحالات'!$B$6:$B$505,$B13))))</f>
        <v>31</v>
      </c>
      <c r="AK13" s="133" t="n">
        <f aca="false">IF($B13="","",MAX(0,IF(OR(الموظفون!$AE13="",الموظفون!$AE13&gt;$F$3),$F$3,الموظفون!$AE13)-MAX($E$3,الموظفون!$H13)+1))</f>
        <v>31</v>
      </c>
      <c r="AL13" s="156" t="n">
        <f aca="false">IF($B13="","",SUMIFS('سجل الإجازات والحالات'!$BE$6:$BE$505,'سجل الإجازات والحالات'!$B$6:$B$505,$B13)+SUMIFS('الحركات الشهرية'!$K$6:$K$1005,'الحركات الشهرية'!$B$6:$B$1005,$B13,'الحركات الشهرية'!$A$6:$A$1005,$C$3))</f>
        <v>0</v>
      </c>
      <c r="AM13" s="116" t="n">
        <f aca="false">IF($B13="","",AL13*الموظفون!$R13/cfg_DAYS_M+S13)</f>
        <v>0</v>
      </c>
      <c r="AN13" s="156" t="n">
        <f aca="false">IF($B13="","",SUMIFS('سجل الإجازات والحالات'!$AG$6:$AG$505,'سجل الإجازات والحالات'!$B$6:$B$505,$B13))</f>
        <v>0</v>
      </c>
    </row>
    <row r="14" customFormat="false" ht="15" hidden="false" customHeight="false" outlineLevel="0" collapsed="false">
      <c r="A14" s="106" t="n">
        <f aca="false">IF($B14="","",الموظفون!$A14)</f>
        <v>9</v>
      </c>
      <c r="B14" s="114" t="str">
        <f aca="false">IF(الموظفون!$B14="","",الموظفون!$B14)</f>
        <v>E009</v>
      </c>
      <c r="C14" s="114" t="str">
        <f aca="false">IF($B14="","",الموظفون!$C14)</f>
        <v>محمد رفيق</v>
      </c>
      <c r="D14" s="114" t="str">
        <f aca="false">IF($B14="","",الموظفون!$F14)</f>
        <v>العمليات</v>
      </c>
      <c r="E14" s="114" t="str">
        <f aca="false">IF($B14="","",الموظفون!$E14)</f>
        <v>غير سعودي</v>
      </c>
      <c r="F14" s="114" t="str">
        <f aca="false">IF($B14="","",IF(AK14=0,IF(AND(الموظفون!$AE14&lt;&gt;"",الموظفون!$AE14&lt;$E$3),"✖ منتهي الخدمة","⏳ لم يباشر"),IF(S14&gt;0,"✈ راتب إجازة مقدم",IF(J14=0,"⛔ بدون راتب هذا الشهر",IF(I14&gt;0,"✈ خصم "&amp;ROUND(I14,2)&amp;" يوم بدون أجر",IF(AL14&gt;0,"🌴 إجازة سنوية "&amp;ROUND(AL14,2)&amp;" يوم",IF(H14&gt;0,"⚠ غياب "&amp;ROUND(H14,2)&amp;" يوم","✔ على رأس العمل")))))))</f>
        <v>✔ على رأس العمل</v>
      </c>
      <c r="G14" s="151" t="n">
        <f aca="false">IF($B14="","",IF(AK14&gt;=DAY($F$3),cfg_DAYS_M,MIN(AK14,cfg_DAYS_M)))</f>
        <v>30</v>
      </c>
      <c r="H14" s="151" t="n">
        <f aca="false">IF($B14="","",SUMIFS('الحركات الشهرية'!$D$6:$D$1005,'الحركات الشهرية'!$B$6:$B$1005,$B14,'الحركات الشهرية'!$A$6:$A$1005,$C$3))</f>
        <v>0</v>
      </c>
      <c r="I14" s="151" t="n">
        <f aca="false">IF($B14="","",MIN(G14,IF(AND(AK14&gt;0,AN14&gt;=AK14),G14,AN14)+SUMIFS('الحركات الشهرية'!$E$6:$E$1005,'الحركات الشهرية'!$B$6:$B$1005,$B14,'الحركات الشهرية'!$A$6:$A$1005,$C$3)))</f>
        <v>0</v>
      </c>
      <c r="J14" s="151" t="n">
        <f aca="false">IF($B14="","",MAX(0,G14-H14-I14))</f>
        <v>30</v>
      </c>
      <c r="K14" s="111" t="n">
        <f aca="false">IF($B14="","",الموظفون!$L14*$J14/cfg_DAYS_M)</f>
        <v>6500</v>
      </c>
      <c r="L14" s="111" t="n">
        <f aca="false">IF($B14="","",الموظفون!$M14*$J14/cfg_DAYS_M)</f>
        <v>1625</v>
      </c>
      <c r="M14" s="111" t="n">
        <f aca="false">IF($B14="","",الموظفون!$N14*$J14/cfg_DAYS_M)</f>
        <v>650</v>
      </c>
      <c r="N14" s="111" t="n">
        <f aca="false">IF($B14="","",الموظفون!$O14*$J14/cfg_DAYS_M)</f>
        <v>300</v>
      </c>
      <c r="O14" s="151" t="n">
        <f aca="false">IF($B14="","",SUMIFS('الحركات الشهرية'!$F$6:$F$1005,'الحركات الشهرية'!$B$6:$B$1005,$B14,'الحركات الشهرية'!$A$6:$A$1005,$C$3))</f>
        <v>0</v>
      </c>
      <c r="P14" s="111" t="n">
        <f aca="false">IF($B14="","",O14*(الموظفون!$P14+الموظفون!$L14*cfg_OT_P)/cfg_DAYS_M/cfg_HRS)</f>
        <v>0</v>
      </c>
      <c r="Q14" s="111" t="n">
        <f aca="false">IF($B14="","",SUMIFS('الحركات الشهرية'!$G$6:$G$1005,'الحركات الشهرية'!$B$6:$B$1005,$B14,'الحركات الشهرية'!$A$6:$A$1005,$C$3))</f>
        <v>0</v>
      </c>
      <c r="R14" s="111" t="n">
        <f aca="false">IF($B14="","",SUMIFS('الحركات الشهرية'!$H$6:$H$1005,'الحركات الشهرية'!$B$6:$B$1005,$B14,'الحركات الشهرية'!$A$6:$A$1005,$C$3))</f>
        <v>0</v>
      </c>
      <c r="S14" s="111" t="n">
        <f aca="false">IF($B14="","",SUMIFS('سجل الإجازات والحالات'!$N$6:$N$505,'سجل الإجازات والحالات'!$B$6:$B$505,$B14,'سجل الإجازات والحالات'!$O$6:$O$505,$C$3))</f>
        <v>0</v>
      </c>
      <c r="T14" s="152" t="n">
        <f aca="false">IF($B14="","",SUM(K14:N14)+SUM(P14:S14))</f>
        <v>9075</v>
      </c>
      <c r="U14" s="111" t="n">
        <f aca="false">IF($B14="","",الموظفون!$S14*IF(E14="سعودي",cfg_G_SE,cfg_G_NE)*G14/cfg_DAYS_M)</f>
        <v>0</v>
      </c>
      <c r="V14" s="111" t="n">
        <f aca="false">IF($B14="","",SUMIFS('الحركات الشهرية'!$I$6:$I$1005,'الحركات الشهرية'!$B$6:$B$1005,$B14,'الحركات الشهرية'!$A$6:$A$1005,$C$3))</f>
        <v>0</v>
      </c>
      <c r="W14" s="111" t="n">
        <f aca="false">IF($B14="","",SUMIFS('الحركات الشهرية'!$J$6:$J$1005,'الحركات الشهرية'!$B$6:$B$1005,$B14,'الحركات الشهرية'!$A$6:$A$1005,$C$3))</f>
        <v>0</v>
      </c>
      <c r="X14" s="111" t="n">
        <f aca="false">IF($B14="","",SUM(U14:W14))</f>
        <v>0</v>
      </c>
      <c r="Y14" s="153" t="n">
        <f aca="false">IF($B14="","",T14-X14)</f>
        <v>9075</v>
      </c>
      <c r="Z14" s="111" t="n">
        <f aca="false">IF($B14="","",الموظفون!$S14*IF(E14="سعودي",cfg_G_SR,cfg_G_NR)*G14/cfg_DAYS_M)</f>
        <v>162.5</v>
      </c>
      <c r="AA14" s="111" t="n">
        <f aca="false">IF($B14="","",الموظفون!$Q14*(cfg_EOS_R1*(MIN(AH14,cfg_EOS_TH)-MIN(AI14,cfg_EOS_TH))+cfg_EOS_R2*(MAX(AH14-cfg_EOS_TH,0)-MAX(AI14-cfg_EOS_TH,0))))</f>
        <v>745.273972602744</v>
      </c>
      <c r="AB14" s="111" t="n">
        <f aca="false">IF($B14="","",IF(الموظفون!$T14&lt;&gt;"",الموظفون!$T14,IF(AH14&gt;=cfg_LV_TH,cfg_LV_D2,cfg_LV_D1))/cfg_DAYS_Y*AJ14*الموظفون!$R14/cfg_DAYS_M)</f>
        <v>745.27397260274</v>
      </c>
      <c r="AC14" s="111" t="n">
        <f aca="false">IF($B14="","",IF(AND(الموظفون!$U14="نعم",N(الموظفون!$W14)&gt;0),الموظفون!$V14/الموظفون!$W14*12/cfg_DAYS_Y*AJ14,0))</f>
        <v>93.4246575342466</v>
      </c>
      <c r="AD14" s="111" t="n">
        <f aca="false">IF($B14="","",(IF(الموظفون!$X14&lt;&gt;"",الموظفون!$X14,IF(الموظفون!$E14="غير سعودي",cfg_IQ,0))+IF(الموظفون!$Y14&lt;&gt;"",الموظفون!$Y14,IF(الموظفون!$E14="غير سعودي",cfg_WP,0)))/12*G14/cfg_DAYS_M)</f>
        <v>854.166666666667</v>
      </c>
      <c r="AE14" s="111" t="n">
        <f aca="false">IF($B14="","",IF(الموظفون!$Z14&lt;&gt;"",الموظفون!$Z14,cfg_MED)/12*G14/cfg_DAYS_M)</f>
        <v>150</v>
      </c>
      <c r="AF14" s="111" t="n">
        <f aca="false">IF($B14="","",N(الموظفون!$AA14)/12*G14/cfg_DAYS_M)</f>
        <v>0</v>
      </c>
      <c r="AG14" s="154" t="n">
        <f aca="false">IF($B14="","",T14+SUM(Z14:AF14))</f>
        <v>11825.6392694064</v>
      </c>
      <c r="AH14" s="155" t="n">
        <f aca="false">IF($B14="","",MAX(0,IF(OR(الموظفون!$AE14="",الموظفون!$AE14&gt;$F$3),$F$3,الموظفون!$AE14)-الموظفون!$H14+1-SUMIFS('سجل الإجازات والحالات'!$AS$6:$AS$505,'سجل الإجازات والحالات'!$B$6:$B$505,$B14))/cfg_DAYS_Y)</f>
        <v>12.3808219178082</v>
      </c>
      <c r="AI14" s="155" t="n">
        <f aca="false">IF($B14="","",MAX(0,IF(OR(الموظفون!$AE14="",الموظفون!$AE14&gt;($E$3-1)),($E$3-1),الموظفون!$AE14)-الموظفون!$H14+1-SUMIFS('سجل الإجازات والحالات'!$AR$6:$AR$505,'سجل الإجازات والحالات'!$B$6:$B$505,$B14))/cfg_DAYS_Y)</f>
        <v>12.2958904109589</v>
      </c>
      <c r="AJ14" s="65" t="n">
        <f aca="false">IF($B14="","",MAX(0,AK14-(SUMIFS('سجل الإجازات والحالات'!$AS$6:$AS$505,'سجل الإجازات والحالات'!$B$6:$B$505,$B14)-SUMIFS('سجل الإجازات والحالات'!$AR$6:$AR$505,'سجل الإجازات والحالات'!$B$6:$B$505,$B14))))</f>
        <v>31</v>
      </c>
      <c r="AK14" s="65" t="n">
        <f aca="false">IF($B14="","",MAX(0,IF(OR(الموظفون!$AE14="",الموظفون!$AE14&gt;$F$3),$F$3,الموظفون!$AE14)-MAX($E$3,الموظفون!$H14)+1))</f>
        <v>31</v>
      </c>
      <c r="AL14" s="151" t="n">
        <f aca="false">IF($B14="","",SUMIFS('سجل الإجازات والحالات'!$BE$6:$BE$505,'سجل الإجازات والحالات'!$B$6:$B$505,$B14)+SUMIFS('الحركات الشهرية'!$K$6:$K$1005,'الحركات الشهرية'!$B$6:$B$1005,$B14,'الحركات الشهرية'!$A$6:$A$1005,$C$3))</f>
        <v>0</v>
      </c>
      <c r="AM14" s="111" t="n">
        <f aca="false">IF($B14="","",AL14*الموظفون!$R14/cfg_DAYS_M+S14)</f>
        <v>0</v>
      </c>
      <c r="AN14" s="151" t="n">
        <f aca="false">IF($B14="","",SUMIFS('سجل الإجازات والحالات'!$AG$6:$AG$505,'سجل الإجازات والحالات'!$B$6:$B$505,$B14))</f>
        <v>0</v>
      </c>
    </row>
    <row r="15" customFormat="false" ht="15" hidden="false" customHeight="false" outlineLevel="0" collapsed="false">
      <c r="A15" s="115" t="n">
        <f aca="false">IF($B15="","",الموظفون!$A15)</f>
        <v>10</v>
      </c>
      <c r="B15" s="117" t="str">
        <f aca="false">IF(الموظفون!$B15="","",الموظفون!$B15)</f>
        <v>E010</v>
      </c>
      <c r="C15" s="117" t="str">
        <f aca="false">IF($B15="","",الموظفون!$C15)</f>
        <v>ريم سلطان المطيري</v>
      </c>
      <c r="D15" s="117" t="str">
        <f aca="false">IF($B15="","",الموظفون!$F15)</f>
        <v>المبيعات</v>
      </c>
      <c r="E15" s="117" t="str">
        <f aca="false">IF($B15="","",الموظفون!$E15)</f>
        <v>سعودي</v>
      </c>
      <c r="F15" s="117" t="str">
        <f aca="false">IF($B15="","",IF(AK15=0,IF(AND(الموظفون!$AE15&lt;&gt;"",الموظفون!$AE15&lt;$E$3),"✖ منتهي الخدمة","⏳ لم يباشر"),IF(S15&gt;0,"✈ راتب إجازة مقدم",IF(J15=0,"⛔ بدون راتب هذا الشهر",IF(I15&gt;0,"✈ خصم "&amp;ROUND(I15,2)&amp;" يوم بدون أجر",IF(AL15&gt;0,"🌴 إجازة سنوية "&amp;ROUND(AL15,2)&amp;" يوم",IF(H15&gt;0,"⚠ غياب "&amp;ROUND(H15,2)&amp;" يوم","✔ على رأس العمل")))))))</f>
        <v>✔ على رأس العمل</v>
      </c>
      <c r="G15" s="156" t="n">
        <f aca="false">IF($B15="","",IF(AK15&gt;=DAY($F$3),cfg_DAYS_M,MIN(AK15,cfg_DAYS_M)))</f>
        <v>30</v>
      </c>
      <c r="H15" s="156" t="n">
        <f aca="false">IF($B15="","",SUMIFS('الحركات الشهرية'!$D$6:$D$1005,'الحركات الشهرية'!$B$6:$B$1005,$B15,'الحركات الشهرية'!$A$6:$A$1005,$C$3))</f>
        <v>0</v>
      </c>
      <c r="I15" s="156" t="n">
        <f aca="false">IF($B15="","",MIN(G15,IF(AND(AK15&gt;0,AN15&gt;=AK15),G15,AN15)+SUMIFS('الحركات الشهرية'!$E$6:$E$1005,'الحركات الشهرية'!$B$6:$B$1005,$B15,'الحركات الشهرية'!$A$6:$A$1005,$C$3)))</f>
        <v>0</v>
      </c>
      <c r="J15" s="156" t="n">
        <f aca="false">IF($B15="","",MAX(0,G15-H15-I15))</f>
        <v>30</v>
      </c>
      <c r="K15" s="116" t="n">
        <f aca="false">IF($B15="","",الموظفون!$L15*$J15/cfg_DAYS_M)</f>
        <v>9000</v>
      </c>
      <c r="L15" s="116" t="n">
        <f aca="false">IF($B15="","",الموظفون!$M15*$J15/cfg_DAYS_M)</f>
        <v>2250</v>
      </c>
      <c r="M15" s="116" t="n">
        <f aca="false">IF($B15="","",الموظفون!$N15*$J15/cfg_DAYS_M)</f>
        <v>900</v>
      </c>
      <c r="N15" s="116" t="n">
        <f aca="false">IF($B15="","",الموظفون!$O15*$J15/cfg_DAYS_M)</f>
        <v>0</v>
      </c>
      <c r="O15" s="156" t="n">
        <f aca="false">IF($B15="","",SUMIFS('الحركات الشهرية'!$F$6:$F$1005,'الحركات الشهرية'!$B$6:$B$1005,$B15,'الحركات الشهرية'!$A$6:$A$1005,$C$3))</f>
        <v>0</v>
      </c>
      <c r="P15" s="116" t="n">
        <f aca="false">IF($B15="","",O15*(الموظفون!$P15+الموظفون!$L15*cfg_OT_P)/cfg_DAYS_M/cfg_HRS)</f>
        <v>0</v>
      </c>
      <c r="Q15" s="116" t="n">
        <f aca="false">IF($B15="","",SUMIFS('الحركات الشهرية'!$G$6:$G$1005,'الحركات الشهرية'!$B$6:$B$1005,$B15,'الحركات الشهرية'!$A$6:$A$1005,$C$3))</f>
        <v>0</v>
      </c>
      <c r="R15" s="116" t="n">
        <f aca="false">IF($B15="","",SUMIFS('الحركات الشهرية'!$H$6:$H$1005,'الحركات الشهرية'!$B$6:$B$1005,$B15,'الحركات الشهرية'!$A$6:$A$1005,$C$3))</f>
        <v>0</v>
      </c>
      <c r="S15" s="116" t="n">
        <f aca="false">IF($B15="","",SUMIFS('سجل الإجازات والحالات'!$N$6:$N$505,'سجل الإجازات والحالات'!$B$6:$B$505,$B15,'سجل الإجازات والحالات'!$O$6:$O$505,$C$3))</f>
        <v>0</v>
      </c>
      <c r="T15" s="157" t="n">
        <f aca="false">IF($B15="","",SUM(K15:N15)+SUM(P15:S15))</f>
        <v>12150</v>
      </c>
      <c r="U15" s="116" t="n">
        <f aca="false">IF($B15="","",الموظفون!$S15*IF(E15="سعودي",cfg_G_SE,cfg_G_NE)*G15/cfg_DAYS_M)</f>
        <v>1096.875</v>
      </c>
      <c r="V15" s="116" t="n">
        <f aca="false">IF($B15="","",SUMIFS('الحركات الشهرية'!$I$6:$I$1005,'الحركات الشهرية'!$B$6:$B$1005,$B15,'الحركات الشهرية'!$A$6:$A$1005,$C$3))</f>
        <v>0</v>
      </c>
      <c r="W15" s="116" t="n">
        <f aca="false">IF($B15="","",SUMIFS('الحركات الشهرية'!$J$6:$J$1005,'الحركات الشهرية'!$B$6:$B$1005,$B15,'الحركات الشهرية'!$A$6:$A$1005,$C$3))</f>
        <v>0</v>
      </c>
      <c r="X15" s="116" t="n">
        <f aca="false">IF($B15="","",SUM(U15:W15))</f>
        <v>1096.875</v>
      </c>
      <c r="Y15" s="158" t="n">
        <f aca="false">IF($B15="","",T15-X15)</f>
        <v>11053.125</v>
      </c>
      <c r="Z15" s="116" t="n">
        <f aca="false">IF($B15="","",الموظفون!$S15*IF(E15="سعودي",cfg_G_SR,cfg_G_NR)*G15/cfg_DAYS_M)</f>
        <v>1321.875</v>
      </c>
      <c r="AA15" s="116" t="n">
        <f aca="false">IF($B15="","",الموظفون!$Q15*(cfg_EOS_R1*(MIN(AH15,cfg_EOS_TH)-MIN(AI15,cfg_EOS_TH))+cfg_EOS_R2*(MAX(AH15-cfg_EOS_TH,0)-MAX(AI15-cfg_EOS_TH,0))))</f>
        <v>515.958904109589</v>
      </c>
      <c r="AB15" s="116" t="n">
        <f aca="false">IF($B15="","",IF(الموظفون!$T15&lt;&gt;"",الموظفون!$T15,IF(AH15&gt;=cfg_LV_TH,cfg_LV_D2,cfg_LV_D1))/cfg_DAYS_Y*AJ15*الموظفون!$R15/cfg_DAYS_M)</f>
        <v>722.342465753425</v>
      </c>
      <c r="AC15" s="116" t="n">
        <f aca="false">IF($B15="","",IF(AND(الموظفون!$U15="نعم",N(الموظفون!$W15)&gt;0),الموظفون!$V15/الموظفون!$W15*12/cfg_DAYS_Y*AJ15,0))</f>
        <v>0</v>
      </c>
      <c r="AD15" s="116" t="n">
        <f aca="false">IF($B15="","",(IF(الموظفون!$X15&lt;&gt;"",الموظفون!$X15,IF(الموظفون!$E15="غير سعودي",cfg_IQ,0))+IF(الموظفون!$Y15&lt;&gt;"",الموظفون!$Y15,IF(الموظفون!$E15="غير سعودي",cfg_WP,0)))/12*G15/cfg_DAYS_M)</f>
        <v>0</v>
      </c>
      <c r="AE15" s="116" t="n">
        <f aca="false">IF($B15="","",IF(الموظفون!$Z15&lt;&gt;"",الموظفون!$Z15,cfg_MED)/12*G15/cfg_DAYS_M)</f>
        <v>200</v>
      </c>
      <c r="AF15" s="116" t="n">
        <f aca="false">IF($B15="","",N(الموظفون!$AA15)/12*G15/cfg_DAYS_M)</f>
        <v>0</v>
      </c>
      <c r="AG15" s="159" t="n">
        <f aca="false">IF($B15="","",T15+SUM(Z15:AF15))</f>
        <v>14910.176369863</v>
      </c>
      <c r="AH15" s="160" t="n">
        <f aca="false">IF($B15="","",MAX(0,IF(OR(الموظفون!$AE15="",الموظفون!$AE15&gt;$F$3),$F$3,الموظفون!$AE15)-الموظفون!$H15+1-SUMIFS('سجل الإجازات والحالات'!$AS$6:$AS$505,'سجل الإجازات والحالات'!$B$6:$B$505,$B15))/cfg_DAYS_Y)</f>
        <v>0.715068493150685</v>
      </c>
      <c r="AI15" s="160" t="n">
        <f aca="false">IF($B15="","",MAX(0,IF(OR(الموظفون!$AE15="",الموظفون!$AE15&gt;($E$3-1)),($E$3-1),الموظفون!$AE15)-الموظفون!$H15+1-SUMIFS('سجل الإجازات والحالات'!$AR$6:$AR$505,'سجل الإجازات والحالات'!$B$6:$B$505,$B15))/cfg_DAYS_Y)</f>
        <v>0.63013698630137</v>
      </c>
      <c r="AJ15" s="133" t="n">
        <f aca="false">IF($B15="","",MAX(0,AK15-(SUMIFS('سجل الإجازات والحالات'!$AS$6:$AS$505,'سجل الإجازات والحالات'!$B$6:$B$505,$B15)-SUMIFS('سجل الإجازات والحالات'!$AR$6:$AR$505,'سجل الإجازات والحالات'!$B$6:$B$505,$B15))))</f>
        <v>31</v>
      </c>
      <c r="AK15" s="133" t="n">
        <f aca="false">IF($B15="","",MAX(0,IF(OR(الموظفون!$AE15="",الموظفون!$AE15&gt;$F$3),$F$3,الموظفون!$AE15)-MAX($E$3,الموظفون!$H15)+1))</f>
        <v>31</v>
      </c>
      <c r="AL15" s="156" t="n">
        <f aca="false">IF($B15="","",SUMIFS('سجل الإجازات والحالات'!$BE$6:$BE$505,'سجل الإجازات والحالات'!$B$6:$B$505,$B15)+SUMIFS('الحركات الشهرية'!$K$6:$K$1005,'الحركات الشهرية'!$B$6:$B$1005,$B15,'الحركات الشهرية'!$A$6:$A$1005,$C$3))</f>
        <v>0</v>
      </c>
      <c r="AM15" s="116" t="n">
        <f aca="false">IF($B15="","",AL15*الموظفون!$R15/cfg_DAYS_M+S15)</f>
        <v>0</v>
      </c>
      <c r="AN15" s="156" t="n">
        <f aca="false">IF($B15="","",SUMIFS('سجل الإجازات والحالات'!$AG$6:$AG$505,'سجل الإجازات والحالات'!$B$6:$B$505,$B15))</f>
        <v>0</v>
      </c>
    </row>
    <row r="16" customFormat="false" ht="15" hidden="false" customHeight="false" outlineLevel="0" collapsed="false">
      <c r="A16" s="106" t="n">
        <f aca="false">IF($B16="","",الموظفون!$A16)</f>
        <v>11</v>
      </c>
      <c r="B16" s="114" t="str">
        <f aca="false">IF(الموظفون!$B16="","",الموظفون!$B16)</f>
        <v>E011</v>
      </c>
      <c r="C16" s="114" t="str">
        <f aca="false">IF($B16="","",الموظفون!$C16)</f>
        <v>جون ماتيو</v>
      </c>
      <c r="D16" s="114" t="str">
        <f aca="false">IF($B16="","",الموظفون!$F16)</f>
        <v>العمليات</v>
      </c>
      <c r="E16" s="114" t="str">
        <f aca="false">IF($B16="","",الموظفون!$E16)</f>
        <v>غير سعودي</v>
      </c>
      <c r="F16" s="114" t="str">
        <f aca="false">IF($B16="","",IF(AK16=0,IF(AND(الموظفون!$AE16&lt;&gt;"",الموظفون!$AE16&lt;$E$3),"✖ منتهي الخدمة","⏳ لم يباشر"),IF(S16&gt;0,"✈ راتب إجازة مقدم",IF(J16=0,"⛔ بدون راتب هذا الشهر",IF(I16&gt;0,"✈ خصم "&amp;ROUND(I16,2)&amp;" يوم بدون أجر",IF(AL16&gt;0,"🌴 إجازة سنوية "&amp;ROUND(AL16,2)&amp;" يوم",IF(H16&gt;0,"⚠ غياب "&amp;ROUND(H16,2)&amp;" يوم","✔ على رأس العمل")))))))</f>
        <v>✖ منتهي الخدمة</v>
      </c>
      <c r="G16" s="151" t="n">
        <f aca="false">IF($B16="","",IF(AK16&gt;=DAY($F$3),cfg_DAYS_M,MIN(AK16,cfg_DAYS_M)))</f>
        <v>0</v>
      </c>
      <c r="H16" s="151" t="n">
        <f aca="false">IF($B16="","",SUMIFS('الحركات الشهرية'!$D$6:$D$1005,'الحركات الشهرية'!$B$6:$B$1005,$B16,'الحركات الشهرية'!$A$6:$A$1005,$C$3))</f>
        <v>0</v>
      </c>
      <c r="I16" s="151" t="n">
        <f aca="false">IF($B16="","",MIN(G16,IF(AND(AK16&gt;0,AN16&gt;=AK16),G16,AN16)+SUMIFS('الحركات الشهرية'!$E$6:$E$1005,'الحركات الشهرية'!$B$6:$B$1005,$B16,'الحركات الشهرية'!$A$6:$A$1005,$C$3)))</f>
        <v>0</v>
      </c>
      <c r="J16" s="151" t="n">
        <f aca="false">IF($B16="","",MAX(0,G16-H16-I16))</f>
        <v>0</v>
      </c>
      <c r="K16" s="111" t="n">
        <f aca="false">IF($B16="","",الموظفون!$L16*$J16/cfg_DAYS_M)</f>
        <v>0</v>
      </c>
      <c r="L16" s="111" t="n">
        <f aca="false">IF($B16="","",الموظفون!$M16*$J16/cfg_DAYS_M)</f>
        <v>0</v>
      </c>
      <c r="M16" s="111" t="n">
        <f aca="false">IF($B16="","",الموظفون!$N16*$J16/cfg_DAYS_M)</f>
        <v>0</v>
      </c>
      <c r="N16" s="111" t="n">
        <f aca="false">IF($B16="","",الموظفون!$O16*$J16/cfg_DAYS_M)</f>
        <v>0</v>
      </c>
      <c r="O16" s="151" t="n">
        <f aca="false">IF($B16="","",SUMIFS('الحركات الشهرية'!$F$6:$F$1005,'الحركات الشهرية'!$B$6:$B$1005,$B16,'الحركات الشهرية'!$A$6:$A$1005,$C$3))</f>
        <v>0</v>
      </c>
      <c r="P16" s="111" t="n">
        <f aca="false">IF($B16="","",O16*(الموظفون!$P16+الموظفون!$L16*cfg_OT_P)/cfg_DAYS_M/cfg_HRS)</f>
        <v>0</v>
      </c>
      <c r="Q16" s="111" t="n">
        <f aca="false">IF($B16="","",SUMIFS('الحركات الشهرية'!$G$6:$G$1005,'الحركات الشهرية'!$B$6:$B$1005,$B16,'الحركات الشهرية'!$A$6:$A$1005,$C$3))</f>
        <v>0</v>
      </c>
      <c r="R16" s="111" t="n">
        <f aca="false">IF($B16="","",SUMIFS('الحركات الشهرية'!$H$6:$H$1005,'الحركات الشهرية'!$B$6:$B$1005,$B16,'الحركات الشهرية'!$A$6:$A$1005,$C$3))</f>
        <v>0</v>
      </c>
      <c r="S16" s="111" t="n">
        <f aca="false">IF($B16="","",SUMIFS('سجل الإجازات والحالات'!$N$6:$N$505,'سجل الإجازات والحالات'!$B$6:$B$505,$B16,'سجل الإجازات والحالات'!$O$6:$O$505,$C$3))</f>
        <v>0</v>
      </c>
      <c r="T16" s="152" t="n">
        <f aca="false">IF($B16="","",SUM(K16:N16)+SUM(P16:S16))</f>
        <v>0</v>
      </c>
      <c r="U16" s="111" t="n">
        <f aca="false">IF($B16="","",الموظفون!$S16*IF(E16="سعودي",cfg_G_SE,cfg_G_NE)*G16/cfg_DAYS_M)</f>
        <v>0</v>
      </c>
      <c r="V16" s="111" t="n">
        <f aca="false">IF($B16="","",SUMIFS('الحركات الشهرية'!$I$6:$I$1005,'الحركات الشهرية'!$B$6:$B$1005,$B16,'الحركات الشهرية'!$A$6:$A$1005,$C$3))</f>
        <v>0</v>
      </c>
      <c r="W16" s="111" t="n">
        <f aca="false">IF($B16="","",SUMIFS('الحركات الشهرية'!$J$6:$J$1005,'الحركات الشهرية'!$B$6:$B$1005,$B16,'الحركات الشهرية'!$A$6:$A$1005,$C$3))</f>
        <v>0</v>
      </c>
      <c r="X16" s="111" t="n">
        <f aca="false">IF($B16="","",SUM(U16:W16))</f>
        <v>0</v>
      </c>
      <c r="Y16" s="153" t="n">
        <f aca="false">IF($B16="","",T16-X16)</f>
        <v>0</v>
      </c>
      <c r="Z16" s="111" t="n">
        <f aca="false">IF($B16="","",الموظفون!$S16*IF(E16="سعودي",cfg_G_SR,cfg_G_NR)*G16/cfg_DAYS_M)</f>
        <v>0</v>
      </c>
      <c r="AA16" s="111" t="n">
        <f aca="false">IF($B16="","",الموظفون!$Q16*(cfg_EOS_R1*(MIN(AH16,cfg_EOS_TH)-MIN(AI16,cfg_EOS_TH))+cfg_EOS_R2*(MAX(AH16-cfg_EOS_TH,0)-MAX(AI16-cfg_EOS_TH,0))))</f>
        <v>0</v>
      </c>
      <c r="AB16" s="111" t="n">
        <f aca="false">IF($B16="","",IF(الموظفون!$T16&lt;&gt;"",الموظفون!$T16,IF(AH16&gt;=cfg_LV_TH,cfg_LV_D2,cfg_LV_D1))/cfg_DAYS_Y*AJ16*الموظفون!$R16/cfg_DAYS_M)</f>
        <v>0</v>
      </c>
      <c r="AC16" s="111" t="n">
        <f aca="false">IF($B16="","",IF(AND(الموظفون!$U16="نعم",N(الموظفون!$W16)&gt;0),الموظفون!$V16/الموظفون!$W16*12/cfg_DAYS_Y*AJ16,0))</f>
        <v>0</v>
      </c>
      <c r="AD16" s="111" t="n">
        <f aca="false">IF($B16="","",(IF(الموظفون!$X16&lt;&gt;"",الموظفون!$X16,IF(الموظفون!$E16="غير سعودي",cfg_IQ,0))+IF(الموظفون!$Y16&lt;&gt;"",الموظفون!$Y16,IF(الموظفون!$E16="غير سعودي",cfg_WP,0)))/12*G16/cfg_DAYS_M)</f>
        <v>0</v>
      </c>
      <c r="AE16" s="111" t="n">
        <f aca="false">IF($B16="","",IF(الموظفون!$Z16&lt;&gt;"",الموظفون!$Z16,cfg_MED)/12*G16/cfg_DAYS_M)</f>
        <v>0</v>
      </c>
      <c r="AF16" s="111" t="n">
        <f aca="false">IF($B16="","",N(الموظفون!$AA16)/12*G16/cfg_DAYS_M)</f>
        <v>0</v>
      </c>
      <c r="AG16" s="154" t="n">
        <f aca="false">IF($B16="","",T16+SUM(Z16:AF16))</f>
        <v>0</v>
      </c>
      <c r="AH16" s="155" t="n">
        <f aca="false">IF($B16="","",MAX(0,IF(OR(الموظفون!$AE16="",الموظفون!$AE16&gt;$F$3),$F$3,الموظفون!$AE16)-الموظفون!$H16+1-SUMIFS('سجل الإجازات والحالات'!$AS$6:$AS$505,'سجل الإجازات والحالات'!$B$6:$B$505,$B16))/cfg_DAYS_Y)</f>
        <v>7.33972602739726</v>
      </c>
      <c r="AI16" s="155" t="n">
        <f aca="false">IF($B16="","",MAX(0,IF(OR(الموظفون!$AE16="",الموظفون!$AE16&gt;($E$3-1)),($E$3-1),الموظفون!$AE16)-الموظفون!$H16+1-SUMIFS('سجل الإجازات والحالات'!$AR$6:$AR$505,'سجل الإجازات والحالات'!$B$6:$B$505,$B16))/cfg_DAYS_Y)</f>
        <v>7.33972602739726</v>
      </c>
      <c r="AJ16" s="65" t="n">
        <f aca="false">IF($B16="","",MAX(0,AK16-(SUMIFS('سجل الإجازات والحالات'!$AS$6:$AS$505,'سجل الإجازات والحالات'!$B$6:$B$505,$B16)-SUMIFS('سجل الإجازات والحالات'!$AR$6:$AR$505,'سجل الإجازات والحالات'!$B$6:$B$505,$B16))))</f>
        <v>0</v>
      </c>
      <c r="AK16" s="65" t="n">
        <f aca="false">IF($B16="","",MAX(0,IF(OR(الموظفون!$AE16="",الموظفون!$AE16&gt;$F$3),$F$3,الموظفون!$AE16)-MAX($E$3,الموظفون!$H16)+1))</f>
        <v>0</v>
      </c>
      <c r="AL16" s="151" t="n">
        <f aca="false">IF($B16="","",SUMIFS('سجل الإجازات والحالات'!$BE$6:$BE$505,'سجل الإجازات والحالات'!$B$6:$B$505,$B16)+SUMIFS('الحركات الشهرية'!$K$6:$K$1005,'الحركات الشهرية'!$B$6:$B$1005,$B16,'الحركات الشهرية'!$A$6:$A$1005,$C$3))</f>
        <v>0</v>
      </c>
      <c r="AM16" s="111" t="n">
        <f aca="false">IF($B16="","",AL16*الموظفون!$R16/cfg_DAYS_M+S16)</f>
        <v>0</v>
      </c>
      <c r="AN16" s="151" t="n">
        <f aca="false">IF($B16="","",SUMIFS('سجل الإجازات والحالات'!$AG$6:$AG$505,'سجل الإجازات والحالات'!$B$6:$B$505,$B16))</f>
        <v>0</v>
      </c>
    </row>
    <row r="17" customFormat="false" ht="15" hidden="false" customHeight="false" outlineLevel="0" collapsed="false">
      <c r="A17" s="115" t="n">
        <f aca="false">IF($B17="","",الموظفون!$A17)</f>
        <v>12</v>
      </c>
      <c r="B17" s="117" t="str">
        <f aca="false">IF(الموظفون!$B17="","",الموظفون!$B17)</f>
        <v>E012</v>
      </c>
      <c r="C17" s="117" t="str">
        <f aca="false">IF($B17="","",الموظفون!$C17)</f>
        <v>عمر حسين البيشي</v>
      </c>
      <c r="D17" s="117" t="str">
        <f aca="false">IF($B17="","",الموظفون!$F17)</f>
        <v>تقنية المعلومات</v>
      </c>
      <c r="E17" s="117" t="str">
        <f aca="false">IF($B17="","",الموظفون!$E17)</f>
        <v>سعودي</v>
      </c>
      <c r="F17" s="117" t="str">
        <f aca="false">IF($B17="","",IF(AK17=0,IF(AND(الموظفون!$AE17&lt;&gt;"",الموظفون!$AE17&lt;$E$3),"✖ منتهي الخدمة","⏳ لم يباشر"),IF(S17&gt;0,"✈ راتب إجازة مقدم",IF(J17=0,"⛔ بدون راتب هذا الشهر",IF(I17&gt;0,"✈ خصم "&amp;ROUND(I17,2)&amp;" يوم بدون أجر",IF(AL17&gt;0,"🌴 إجازة سنوية "&amp;ROUND(AL17,2)&amp;" يوم",IF(H17&gt;0,"⚠ غياب "&amp;ROUND(H17,2)&amp;" يوم","✔ على رأس العمل")))))))</f>
        <v>✔ على رأس العمل</v>
      </c>
      <c r="G17" s="156" t="n">
        <f aca="false">IF($B17="","",IF(AK17&gt;=DAY($F$3),cfg_DAYS_M,MIN(AK17,cfg_DAYS_M)))</f>
        <v>30</v>
      </c>
      <c r="H17" s="156" t="n">
        <f aca="false">IF($B17="","",SUMIFS('الحركات الشهرية'!$D$6:$D$1005,'الحركات الشهرية'!$B$6:$B$1005,$B17,'الحركات الشهرية'!$A$6:$A$1005,$C$3))</f>
        <v>0</v>
      </c>
      <c r="I17" s="156" t="n">
        <f aca="false">IF($B17="","",MIN(G17,IF(AND(AK17&gt;0,AN17&gt;=AK17),G17,AN17)+SUMIFS('الحركات الشهرية'!$E$6:$E$1005,'الحركات الشهرية'!$B$6:$B$1005,$B17,'الحركات الشهرية'!$A$6:$A$1005,$C$3)))</f>
        <v>0</v>
      </c>
      <c r="J17" s="156" t="n">
        <f aca="false">IF($B17="","",MAX(0,G17-H17-I17))</f>
        <v>30</v>
      </c>
      <c r="K17" s="116" t="n">
        <f aca="false">IF($B17="","",الموظفون!$L17*$J17/cfg_DAYS_M)</f>
        <v>12000</v>
      </c>
      <c r="L17" s="116" t="n">
        <f aca="false">IF($B17="","",الموظفون!$M17*$J17/cfg_DAYS_M)</f>
        <v>3000</v>
      </c>
      <c r="M17" s="116" t="n">
        <f aca="false">IF($B17="","",الموظفون!$N17*$J17/cfg_DAYS_M)</f>
        <v>1200</v>
      </c>
      <c r="N17" s="116" t="n">
        <f aca="false">IF($B17="","",الموظفون!$O17*$J17/cfg_DAYS_M)</f>
        <v>1500</v>
      </c>
      <c r="O17" s="156" t="n">
        <f aca="false">IF($B17="","",SUMIFS('الحركات الشهرية'!$F$6:$F$1005,'الحركات الشهرية'!$B$6:$B$1005,$B17,'الحركات الشهرية'!$A$6:$A$1005,$C$3))</f>
        <v>0</v>
      </c>
      <c r="P17" s="116" t="n">
        <f aca="false">IF($B17="","",O17*(الموظفون!$P17+الموظفون!$L17*cfg_OT_P)/cfg_DAYS_M/cfg_HRS)</f>
        <v>0</v>
      </c>
      <c r="Q17" s="116" t="n">
        <f aca="false">IF($B17="","",SUMIFS('الحركات الشهرية'!$G$6:$G$1005,'الحركات الشهرية'!$B$6:$B$1005,$B17,'الحركات الشهرية'!$A$6:$A$1005,$C$3))</f>
        <v>0</v>
      </c>
      <c r="R17" s="116" t="n">
        <f aca="false">IF($B17="","",SUMIFS('الحركات الشهرية'!$H$6:$H$1005,'الحركات الشهرية'!$B$6:$B$1005,$B17,'الحركات الشهرية'!$A$6:$A$1005,$C$3))</f>
        <v>0</v>
      </c>
      <c r="S17" s="116" t="n">
        <f aca="false">IF($B17="","",SUMIFS('سجل الإجازات والحالات'!$N$6:$N$505,'سجل الإجازات والحالات'!$B$6:$B$505,$B17,'سجل الإجازات والحالات'!$O$6:$O$505,$C$3))</f>
        <v>0</v>
      </c>
      <c r="T17" s="157" t="n">
        <f aca="false">IF($B17="","",SUM(K17:N17)+SUM(P17:S17))</f>
        <v>17700</v>
      </c>
      <c r="U17" s="116" t="n">
        <f aca="false">IF($B17="","",الموظفون!$S17*IF(E17="سعودي",cfg_G_SE,cfg_G_NE)*G17/cfg_DAYS_M)</f>
        <v>1462.5</v>
      </c>
      <c r="V17" s="116" t="n">
        <f aca="false">IF($B17="","",SUMIFS('الحركات الشهرية'!$I$6:$I$1005,'الحركات الشهرية'!$B$6:$B$1005,$B17,'الحركات الشهرية'!$A$6:$A$1005,$C$3))</f>
        <v>0</v>
      </c>
      <c r="W17" s="116" t="n">
        <f aca="false">IF($B17="","",SUMIFS('الحركات الشهرية'!$J$6:$J$1005,'الحركات الشهرية'!$B$6:$B$1005,$B17,'الحركات الشهرية'!$A$6:$A$1005,$C$3))</f>
        <v>0</v>
      </c>
      <c r="X17" s="116" t="n">
        <f aca="false">IF($B17="","",SUM(U17:W17))</f>
        <v>1462.5</v>
      </c>
      <c r="Y17" s="158" t="n">
        <f aca="false">IF($B17="","",T17-X17)</f>
        <v>16237.5</v>
      </c>
      <c r="Z17" s="116" t="n">
        <f aca="false">IF($B17="","",الموظفون!$S17*IF(E17="سعودي",cfg_G_SR,cfg_G_NR)*G17/cfg_DAYS_M)</f>
        <v>1762.5</v>
      </c>
      <c r="AA17" s="116" t="n">
        <f aca="false">IF($B17="","",الموظفون!$Q17*(cfg_EOS_R1*(MIN(AH17,cfg_EOS_TH)-MIN(AI17,cfg_EOS_TH))+cfg_EOS_R2*(MAX(AH17-cfg_EOS_TH,0)-MAX(AI17-cfg_EOS_TH,0))))</f>
        <v>687.945205479448</v>
      </c>
      <c r="AB17" s="116" t="n">
        <f aca="false">IF($B17="","",IF(الموظفون!$T17&lt;&gt;"",الموظفون!$T17,IF(AH17&gt;=cfg_LV_TH,cfg_LV_D2,cfg_LV_D1))/cfg_DAYS_Y*AJ17*الموظفون!$R17/cfg_DAYS_M)</f>
        <v>963.123287671233</v>
      </c>
      <c r="AC17" s="116" t="n">
        <f aca="false">IF($B17="","",IF(AND(الموظفون!$U17="نعم",N(الموظفون!$W17)&gt;0),الموظفون!$V17/الموظفون!$W17*12/cfg_DAYS_Y*AJ17,0))</f>
        <v>0</v>
      </c>
      <c r="AD17" s="116" t="n">
        <f aca="false">IF($B17="","",(IF(الموظفون!$X17&lt;&gt;"",الموظفون!$X17,IF(الموظفون!$E17="غير سعودي",cfg_IQ,0))+IF(الموظفون!$Y17&lt;&gt;"",الموظفون!$Y17,IF(الموظفون!$E17="غير سعودي",cfg_WP,0)))/12*G17/cfg_DAYS_M)</f>
        <v>0</v>
      </c>
      <c r="AE17" s="116" t="n">
        <f aca="false">IF($B17="","",IF(الموظفون!$Z17&lt;&gt;"",الموظفون!$Z17,cfg_MED)/12*G17/cfg_DAYS_M)</f>
        <v>200</v>
      </c>
      <c r="AF17" s="116" t="n">
        <f aca="false">IF($B17="","",N(الموظفون!$AA17)/12*G17/cfg_DAYS_M)</f>
        <v>0</v>
      </c>
      <c r="AG17" s="159" t="n">
        <f aca="false">IF($B17="","",T17+SUM(Z17:AF17))</f>
        <v>21313.5684931507</v>
      </c>
      <c r="AH17" s="160" t="n">
        <f aca="false">IF($B17="","",MAX(0,IF(OR(الموظفون!$AE17="",الموظفون!$AE17&gt;$F$3),$F$3,الموظفون!$AE17)-الموظفون!$H17+1-SUMIFS('سجل الإجازات والحالات'!$AS$6:$AS$505,'سجل الإجازات والحالات'!$B$6:$B$505,$B17))/cfg_DAYS_Y)</f>
        <v>4.48219178082192</v>
      </c>
      <c r="AI17" s="160" t="n">
        <f aca="false">IF($B17="","",MAX(0,IF(OR(الموظفون!$AE17="",الموظفون!$AE17&gt;($E$3-1)),($E$3-1),الموظفون!$AE17)-الموظفون!$H17+1-SUMIFS('سجل الإجازات والحالات'!$AR$6:$AR$505,'سجل الإجازات والحالات'!$B$6:$B$505,$B17))/cfg_DAYS_Y)</f>
        <v>4.3972602739726</v>
      </c>
      <c r="AJ17" s="133" t="n">
        <f aca="false">IF($B17="","",MAX(0,AK17-(SUMIFS('سجل الإجازات والحالات'!$AS$6:$AS$505,'سجل الإجازات والحالات'!$B$6:$B$505,$B17)-SUMIFS('سجل الإجازات والحالات'!$AR$6:$AR$505,'سجل الإجازات والحالات'!$B$6:$B$505,$B17))))</f>
        <v>31</v>
      </c>
      <c r="AK17" s="133" t="n">
        <f aca="false">IF($B17="","",MAX(0,IF(OR(الموظفون!$AE17="",الموظفون!$AE17&gt;$F$3),$F$3,الموظفون!$AE17)-MAX($E$3,الموظفون!$H17)+1))</f>
        <v>31</v>
      </c>
      <c r="AL17" s="156" t="n">
        <f aca="false">IF($B17="","",SUMIFS('سجل الإجازات والحالات'!$BE$6:$BE$505,'سجل الإجازات والحالات'!$B$6:$B$505,$B17)+SUMIFS('الحركات الشهرية'!$K$6:$K$1005,'الحركات الشهرية'!$B$6:$B$1005,$B17,'الحركات الشهرية'!$A$6:$A$1005,$C$3))</f>
        <v>0</v>
      </c>
      <c r="AM17" s="116" t="n">
        <f aca="false">IF($B17="","",AL17*الموظفون!$R17/cfg_DAYS_M+S17)</f>
        <v>0</v>
      </c>
      <c r="AN17" s="156" t="n">
        <f aca="false">IF($B17="","",SUMIFS('سجل الإجازات والحالات'!$AG$6:$AG$505,'سجل الإجازات والحالات'!$B$6:$B$505,$B17))</f>
        <v>0</v>
      </c>
    </row>
    <row r="18" customFormat="false" ht="15" hidden="false" customHeight="false" outlineLevel="0" collapsed="false">
      <c r="A18" s="106" t="str">
        <f aca="false">IF($B18="","",الموظفون!$A18)</f>
        <v/>
      </c>
      <c r="B18" s="114" t="str">
        <f aca="false">IF(الموظفون!$B18="","",الموظفون!$B18)</f>
        <v/>
      </c>
      <c r="C18" s="114" t="str">
        <f aca="false">IF($B18="","",الموظفون!$C18)</f>
        <v/>
      </c>
      <c r="D18" s="114" t="str">
        <f aca="false">IF($B18="","",الموظفون!$F18)</f>
        <v/>
      </c>
      <c r="E18" s="114" t="str">
        <f aca="false">IF($B18="","",الموظفون!$E18)</f>
        <v/>
      </c>
      <c r="F18" s="114" t="str">
        <f aca="false">IF($B18="","",IF(AK18=0,IF(AND(الموظفون!$AE18&lt;&gt;"",الموظفون!$AE18&lt;$E$3),"✖ منتهي الخدمة","⏳ لم يباشر"),IF(S18&gt;0,"✈ راتب إجازة مقدم",IF(J18=0,"⛔ بدون راتب هذا الشهر",IF(I18&gt;0,"✈ خصم "&amp;ROUND(I18,2)&amp;" يوم بدون أجر",IF(AL18&gt;0,"🌴 إجازة سنوية "&amp;ROUND(AL18,2)&amp;" يوم",IF(H18&gt;0,"⚠ غياب "&amp;ROUND(H18,2)&amp;" يوم","✔ على رأس العمل")))))))</f>
        <v/>
      </c>
      <c r="G18" s="151" t="str">
        <f aca="false">IF($B18="","",IF(AK18&gt;=DAY($F$3),cfg_DAYS_M,MIN(AK18,cfg_DAYS_M)))</f>
        <v/>
      </c>
      <c r="H18" s="151" t="str">
        <f aca="false">IF($B18="","",SUMIFS('الحركات الشهرية'!$D$6:$D$1005,'الحركات الشهرية'!$B$6:$B$1005,$B18,'الحركات الشهرية'!$A$6:$A$1005,$C$3))</f>
        <v/>
      </c>
      <c r="I18" s="151" t="str">
        <f aca="false">IF($B18="","",MIN(G18,IF(AND(AK18&gt;0,AN18&gt;=AK18),G18,AN18)+SUMIFS('الحركات الشهرية'!$E$6:$E$1005,'الحركات الشهرية'!$B$6:$B$1005,$B18,'الحركات الشهرية'!$A$6:$A$1005,$C$3)))</f>
        <v/>
      </c>
      <c r="J18" s="151" t="str">
        <f aca="false">IF($B18="","",MAX(0,G18-H18-I18))</f>
        <v/>
      </c>
      <c r="K18" s="111" t="str">
        <f aca="false">IF($B18="","",الموظفون!$L18*$J18/cfg_DAYS_M)</f>
        <v/>
      </c>
      <c r="L18" s="111" t="str">
        <f aca="false">IF($B18="","",الموظفون!$M18*$J18/cfg_DAYS_M)</f>
        <v/>
      </c>
      <c r="M18" s="111" t="str">
        <f aca="false">IF($B18="","",الموظفون!$N18*$J18/cfg_DAYS_M)</f>
        <v/>
      </c>
      <c r="N18" s="111" t="str">
        <f aca="false">IF($B18="","",الموظفون!$O18*$J18/cfg_DAYS_M)</f>
        <v/>
      </c>
      <c r="O18" s="151" t="str">
        <f aca="false">IF($B18="","",SUMIFS('الحركات الشهرية'!$F$6:$F$1005,'الحركات الشهرية'!$B$6:$B$1005,$B18,'الحركات الشهرية'!$A$6:$A$1005,$C$3))</f>
        <v/>
      </c>
      <c r="P18" s="111" t="str">
        <f aca="false">IF($B18="","",O18*(الموظفون!$P18+الموظفون!$L18*cfg_OT_P)/cfg_DAYS_M/cfg_HRS)</f>
        <v/>
      </c>
      <c r="Q18" s="111" t="str">
        <f aca="false">IF($B18="","",SUMIFS('الحركات الشهرية'!$G$6:$G$1005,'الحركات الشهرية'!$B$6:$B$1005,$B18,'الحركات الشهرية'!$A$6:$A$1005,$C$3))</f>
        <v/>
      </c>
      <c r="R18" s="111" t="str">
        <f aca="false">IF($B18="","",SUMIFS('الحركات الشهرية'!$H$6:$H$1005,'الحركات الشهرية'!$B$6:$B$1005,$B18,'الحركات الشهرية'!$A$6:$A$1005,$C$3))</f>
        <v/>
      </c>
      <c r="S18" s="111" t="str">
        <f aca="false">IF($B18="","",SUMIFS('سجل الإجازات والحالات'!$N$6:$N$505,'سجل الإجازات والحالات'!$B$6:$B$505,$B18,'سجل الإجازات والحالات'!$O$6:$O$505,$C$3))</f>
        <v/>
      </c>
      <c r="T18" s="152" t="str">
        <f aca="false">IF($B18="","",SUM(K18:N18)+SUM(P18:S18))</f>
        <v/>
      </c>
      <c r="U18" s="111" t="str">
        <f aca="false">IF($B18="","",الموظفون!$S18*IF(E18="سعودي",cfg_G_SE,cfg_G_NE)*G18/cfg_DAYS_M)</f>
        <v/>
      </c>
      <c r="V18" s="111" t="str">
        <f aca="false">IF($B18="","",SUMIFS('الحركات الشهرية'!$I$6:$I$1005,'الحركات الشهرية'!$B$6:$B$1005,$B18,'الحركات الشهرية'!$A$6:$A$1005,$C$3))</f>
        <v/>
      </c>
      <c r="W18" s="111" t="str">
        <f aca="false">IF($B18="","",SUMIFS('الحركات الشهرية'!$J$6:$J$1005,'الحركات الشهرية'!$B$6:$B$1005,$B18,'الحركات الشهرية'!$A$6:$A$1005,$C$3))</f>
        <v/>
      </c>
      <c r="X18" s="111" t="str">
        <f aca="false">IF($B18="","",SUM(U18:W18))</f>
        <v/>
      </c>
      <c r="Y18" s="153" t="str">
        <f aca="false">IF($B18="","",T18-X18)</f>
        <v/>
      </c>
      <c r="Z18" s="111" t="str">
        <f aca="false">IF($B18="","",الموظفون!$S18*IF(E18="سعودي",cfg_G_SR,cfg_G_NR)*G18/cfg_DAYS_M)</f>
        <v/>
      </c>
      <c r="AA18" s="111" t="str">
        <f aca="false">IF($B18="","",الموظفون!$Q18*(cfg_EOS_R1*(MIN(AH18,cfg_EOS_TH)-MIN(AI18,cfg_EOS_TH))+cfg_EOS_R2*(MAX(AH18-cfg_EOS_TH,0)-MAX(AI18-cfg_EOS_TH,0))))</f>
        <v/>
      </c>
      <c r="AB18" s="111" t="str">
        <f aca="false">IF($B18="","",IF(الموظفون!$T18&lt;&gt;"",الموظفون!$T18,IF(AH18&gt;=cfg_LV_TH,cfg_LV_D2,cfg_LV_D1))/cfg_DAYS_Y*AJ18*الموظفون!$R18/cfg_DAYS_M)</f>
        <v/>
      </c>
      <c r="AC18" s="111" t="str">
        <f aca="false">IF($B18="","",IF(AND(الموظفون!$U18="نعم",N(الموظفون!$W18)&gt;0),الموظفون!$V18/الموظفون!$W18*12/cfg_DAYS_Y*AJ18,0))</f>
        <v/>
      </c>
      <c r="AD18" s="111" t="str">
        <f aca="false">IF($B18="","",(IF(الموظفون!$X18&lt;&gt;"",الموظفون!$X18,IF(الموظفون!$E18="غير سعودي",cfg_IQ,0))+IF(الموظفون!$Y18&lt;&gt;"",الموظفون!$Y18,IF(الموظفون!$E18="غير سعودي",cfg_WP,0)))/12*G18/cfg_DAYS_M)</f>
        <v/>
      </c>
      <c r="AE18" s="111" t="str">
        <f aca="false">IF($B18="","",IF(الموظفون!$Z18&lt;&gt;"",الموظفون!$Z18,cfg_MED)/12*G18/cfg_DAYS_M)</f>
        <v/>
      </c>
      <c r="AF18" s="111" t="str">
        <f aca="false">IF($B18="","",N(الموظفون!$AA18)/12*G18/cfg_DAYS_M)</f>
        <v/>
      </c>
      <c r="AG18" s="154" t="str">
        <f aca="false">IF($B18="","",T18+SUM(Z18:AF18))</f>
        <v/>
      </c>
      <c r="AH18" s="155" t="str">
        <f aca="false">IF($B18="","",MAX(0,IF(OR(الموظفون!$AE18="",الموظفون!$AE18&gt;$F$3),$F$3,الموظفون!$AE18)-الموظفون!$H18+1-SUMIFS('سجل الإجازات والحالات'!$AS$6:$AS$505,'سجل الإجازات والحالات'!$B$6:$B$505,$B18))/cfg_DAYS_Y)</f>
        <v/>
      </c>
      <c r="AI18" s="155" t="str">
        <f aca="false">IF($B18="","",MAX(0,IF(OR(الموظفون!$AE18="",الموظفون!$AE18&gt;($E$3-1)),($E$3-1),الموظفون!$AE18)-الموظفون!$H18+1-SUMIFS('سجل الإجازات والحالات'!$AR$6:$AR$505,'سجل الإجازات والحالات'!$B$6:$B$505,$B18))/cfg_DAYS_Y)</f>
        <v/>
      </c>
      <c r="AJ18" s="65" t="str">
        <f aca="false">IF($B18="","",MAX(0,AK18-(SUMIFS('سجل الإجازات والحالات'!$AS$6:$AS$505,'سجل الإجازات والحالات'!$B$6:$B$505,$B18)-SUMIFS('سجل الإجازات والحالات'!$AR$6:$AR$505,'سجل الإجازات والحالات'!$B$6:$B$505,$B18))))</f>
        <v/>
      </c>
      <c r="AK18" s="65" t="str">
        <f aca="false">IF($B18="","",MAX(0,IF(OR(الموظفون!$AE18="",الموظفون!$AE18&gt;$F$3),$F$3,الموظفون!$AE18)-MAX($E$3,الموظفون!$H18)+1))</f>
        <v/>
      </c>
      <c r="AL18" s="151" t="str">
        <f aca="false">IF($B18="","",SUMIFS('سجل الإجازات والحالات'!$BE$6:$BE$505,'سجل الإجازات والحالات'!$B$6:$B$505,$B18)+SUMIFS('الحركات الشهرية'!$K$6:$K$1005,'الحركات الشهرية'!$B$6:$B$1005,$B18,'الحركات الشهرية'!$A$6:$A$1005,$C$3))</f>
        <v/>
      </c>
      <c r="AM18" s="111" t="str">
        <f aca="false">IF($B18="","",AL18*الموظفون!$R18/cfg_DAYS_M+S18)</f>
        <v/>
      </c>
      <c r="AN18" s="151" t="str">
        <f aca="false">IF($B18="","",SUMIFS('سجل الإجازات والحالات'!$AG$6:$AG$505,'سجل الإجازات والحالات'!$B$6:$B$505,$B18))</f>
        <v/>
      </c>
    </row>
    <row r="19" customFormat="false" ht="15" hidden="false" customHeight="false" outlineLevel="0" collapsed="false">
      <c r="A19" s="115" t="str">
        <f aca="false">IF($B19="","",الموظفون!$A19)</f>
        <v/>
      </c>
      <c r="B19" s="117" t="str">
        <f aca="false">IF(الموظفون!$B19="","",الموظفون!$B19)</f>
        <v/>
      </c>
      <c r="C19" s="117" t="str">
        <f aca="false">IF($B19="","",الموظفون!$C19)</f>
        <v/>
      </c>
      <c r="D19" s="117" t="str">
        <f aca="false">IF($B19="","",الموظفون!$F19)</f>
        <v/>
      </c>
      <c r="E19" s="117" t="str">
        <f aca="false">IF($B19="","",الموظفون!$E19)</f>
        <v/>
      </c>
      <c r="F19" s="117" t="str">
        <f aca="false">IF($B19="","",IF(AK19=0,IF(AND(الموظفون!$AE19&lt;&gt;"",الموظفون!$AE19&lt;$E$3),"✖ منتهي الخدمة","⏳ لم يباشر"),IF(S19&gt;0,"✈ راتب إجازة مقدم",IF(J19=0,"⛔ بدون راتب هذا الشهر",IF(I19&gt;0,"✈ خصم "&amp;ROUND(I19,2)&amp;" يوم بدون أجر",IF(AL19&gt;0,"🌴 إجازة سنوية "&amp;ROUND(AL19,2)&amp;" يوم",IF(H19&gt;0,"⚠ غياب "&amp;ROUND(H19,2)&amp;" يوم","✔ على رأس العمل")))))))</f>
        <v/>
      </c>
      <c r="G19" s="156" t="str">
        <f aca="false">IF($B19="","",IF(AK19&gt;=DAY($F$3),cfg_DAYS_M,MIN(AK19,cfg_DAYS_M)))</f>
        <v/>
      </c>
      <c r="H19" s="156" t="str">
        <f aca="false">IF($B19="","",SUMIFS('الحركات الشهرية'!$D$6:$D$1005,'الحركات الشهرية'!$B$6:$B$1005,$B19,'الحركات الشهرية'!$A$6:$A$1005,$C$3))</f>
        <v/>
      </c>
      <c r="I19" s="156" t="str">
        <f aca="false">IF($B19="","",MIN(G19,IF(AND(AK19&gt;0,AN19&gt;=AK19),G19,AN19)+SUMIFS('الحركات الشهرية'!$E$6:$E$1005,'الحركات الشهرية'!$B$6:$B$1005,$B19,'الحركات الشهرية'!$A$6:$A$1005,$C$3)))</f>
        <v/>
      </c>
      <c r="J19" s="156" t="str">
        <f aca="false">IF($B19="","",MAX(0,G19-H19-I19))</f>
        <v/>
      </c>
      <c r="K19" s="116" t="str">
        <f aca="false">IF($B19="","",الموظفون!$L19*$J19/cfg_DAYS_M)</f>
        <v/>
      </c>
      <c r="L19" s="116" t="str">
        <f aca="false">IF($B19="","",الموظفون!$M19*$J19/cfg_DAYS_M)</f>
        <v/>
      </c>
      <c r="M19" s="116" t="str">
        <f aca="false">IF($B19="","",الموظفون!$N19*$J19/cfg_DAYS_M)</f>
        <v/>
      </c>
      <c r="N19" s="116" t="str">
        <f aca="false">IF($B19="","",الموظفون!$O19*$J19/cfg_DAYS_M)</f>
        <v/>
      </c>
      <c r="O19" s="156" t="str">
        <f aca="false">IF($B19="","",SUMIFS('الحركات الشهرية'!$F$6:$F$1005,'الحركات الشهرية'!$B$6:$B$1005,$B19,'الحركات الشهرية'!$A$6:$A$1005,$C$3))</f>
        <v/>
      </c>
      <c r="P19" s="116" t="str">
        <f aca="false">IF($B19="","",O19*(الموظفون!$P19+الموظفون!$L19*cfg_OT_P)/cfg_DAYS_M/cfg_HRS)</f>
        <v/>
      </c>
      <c r="Q19" s="116" t="str">
        <f aca="false">IF($B19="","",SUMIFS('الحركات الشهرية'!$G$6:$G$1005,'الحركات الشهرية'!$B$6:$B$1005,$B19,'الحركات الشهرية'!$A$6:$A$1005,$C$3))</f>
        <v/>
      </c>
      <c r="R19" s="116" t="str">
        <f aca="false">IF($B19="","",SUMIFS('الحركات الشهرية'!$H$6:$H$1005,'الحركات الشهرية'!$B$6:$B$1005,$B19,'الحركات الشهرية'!$A$6:$A$1005,$C$3))</f>
        <v/>
      </c>
      <c r="S19" s="116" t="str">
        <f aca="false">IF($B19="","",SUMIFS('سجل الإجازات والحالات'!$N$6:$N$505,'سجل الإجازات والحالات'!$B$6:$B$505,$B19,'سجل الإجازات والحالات'!$O$6:$O$505,$C$3))</f>
        <v/>
      </c>
      <c r="T19" s="157" t="str">
        <f aca="false">IF($B19="","",SUM(K19:N19)+SUM(P19:S19))</f>
        <v/>
      </c>
      <c r="U19" s="116" t="str">
        <f aca="false">IF($B19="","",الموظفون!$S19*IF(E19="سعودي",cfg_G_SE,cfg_G_NE)*G19/cfg_DAYS_M)</f>
        <v/>
      </c>
      <c r="V19" s="116" t="str">
        <f aca="false">IF($B19="","",SUMIFS('الحركات الشهرية'!$I$6:$I$1005,'الحركات الشهرية'!$B$6:$B$1005,$B19,'الحركات الشهرية'!$A$6:$A$1005,$C$3))</f>
        <v/>
      </c>
      <c r="W19" s="116" t="str">
        <f aca="false">IF($B19="","",SUMIFS('الحركات الشهرية'!$J$6:$J$1005,'الحركات الشهرية'!$B$6:$B$1005,$B19,'الحركات الشهرية'!$A$6:$A$1005,$C$3))</f>
        <v/>
      </c>
      <c r="X19" s="116" t="str">
        <f aca="false">IF($B19="","",SUM(U19:W19))</f>
        <v/>
      </c>
      <c r="Y19" s="158" t="str">
        <f aca="false">IF($B19="","",T19-X19)</f>
        <v/>
      </c>
      <c r="Z19" s="116" t="str">
        <f aca="false">IF($B19="","",الموظفون!$S19*IF(E19="سعودي",cfg_G_SR,cfg_G_NR)*G19/cfg_DAYS_M)</f>
        <v/>
      </c>
      <c r="AA19" s="116" t="str">
        <f aca="false">IF($B19="","",الموظفون!$Q19*(cfg_EOS_R1*(MIN(AH19,cfg_EOS_TH)-MIN(AI19,cfg_EOS_TH))+cfg_EOS_R2*(MAX(AH19-cfg_EOS_TH,0)-MAX(AI19-cfg_EOS_TH,0))))</f>
        <v/>
      </c>
      <c r="AB19" s="116" t="str">
        <f aca="false">IF($B19="","",IF(الموظفون!$T19&lt;&gt;"",الموظفون!$T19,IF(AH19&gt;=cfg_LV_TH,cfg_LV_D2,cfg_LV_D1))/cfg_DAYS_Y*AJ19*الموظفون!$R19/cfg_DAYS_M)</f>
        <v/>
      </c>
      <c r="AC19" s="116" t="str">
        <f aca="false">IF($B19="","",IF(AND(الموظفون!$U19="نعم",N(الموظفون!$W19)&gt;0),الموظفون!$V19/الموظفون!$W19*12/cfg_DAYS_Y*AJ19,0))</f>
        <v/>
      </c>
      <c r="AD19" s="116" t="str">
        <f aca="false">IF($B19="","",(IF(الموظفون!$X19&lt;&gt;"",الموظفون!$X19,IF(الموظفون!$E19="غير سعودي",cfg_IQ,0))+IF(الموظفون!$Y19&lt;&gt;"",الموظفون!$Y19,IF(الموظفون!$E19="غير سعودي",cfg_WP,0)))/12*G19/cfg_DAYS_M)</f>
        <v/>
      </c>
      <c r="AE19" s="116" t="str">
        <f aca="false">IF($B19="","",IF(الموظفون!$Z19&lt;&gt;"",الموظفون!$Z19,cfg_MED)/12*G19/cfg_DAYS_M)</f>
        <v/>
      </c>
      <c r="AF19" s="116" t="str">
        <f aca="false">IF($B19="","",N(الموظفون!$AA19)/12*G19/cfg_DAYS_M)</f>
        <v/>
      </c>
      <c r="AG19" s="159" t="str">
        <f aca="false">IF($B19="","",T19+SUM(Z19:AF19))</f>
        <v/>
      </c>
      <c r="AH19" s="160" t="str">
        <f aca="false">IF($B19="","",MAX(0,IF(OR(الموظفون!$AE19="",الموظفون!$AE19&gt;$F$3),$F$3,الموظفون!$AE19)-الموظفون!$H19+1-SUMIFS('سجل الإجازات والحالات'!$AS$6:$AS$505,'سجل الإجازات والحالات'!$B$6:$B$505,$B19))/cfg_DAYS_Y)</f>
        <v/>
      </c>
      <c r="AI19" s="160" t="str">
        <f aca="false">IF($B19="","",MAX(0,IF(OR(الموظفون!$AE19="",الموظفون!$AE19&gt;($E$3-1)),($E$3-1),الموظفون!$AE19)-الموظفون!$H19+1-SUMIFS('سجل الإجازات والحالات'!$AR$6:$AR$505,'سجل الإجازات والحالات'!$B$6:$B$505,$B19))/cfg_DAYS_Y)</f>
        <v/>
      </c>
      <c r="AJ19" s="133" t="str">
        <f aca="false">IF($B19="","",MAX(0,AK19-(SUMIFS('سجل الإجازات والحالات'!$AS$6:$AS$505,'سجل الإجازات والحالات'!$B$6:$B$505,$B19)-SUMIFS('سجل الإجازات والحالات'!$AR$6:$AR$505,'سجل الإجازات والحالات'!$B$6:$B$505,$B19))))</f>
        <v/>
      </c>
      <c r="AK19" s="133" t="str">
        <f aca="false">IF($B19="","",MAX(0,IF(OR(الموظفون!$AE19="",الموظفون!$AE19&gt;$F$3),$F$3,الموظفون!$AE19)-MAX($E$3,الموظفون!$H19)+1))</f>
        <v/>
      </c>
      <c r="AL19" s="156" t="str">
        <f aca="false">IF($B19="","",SUMIFS('سجل الإجازات والحالات'!$BE$6:$BE$505,'سجل الإجازات والحالات'!$B$6:$B$505,$B19)+SUMIFS('الحركات الشهرية'!$K$6:$K$1005,'الحركات الشهرية'!$B$6:$B$1005,$B19,'الحركات الشهرية'!$A$6:$A$1005,$C$3))</f>
        <v/>
      </c>
      <c r="AM19" s="116" t="str">
        <f aca="false">IF($B19="","",AL19*الموظفون!$R19/cfg_DAYS_M+S19)</f>
        <v/>
      </c>
      <c r="AN19" s="156" t="str">
        <f aca="false">IF($B19="","",SUMIFS('سجل الإجازات والحالات'!$AG$6:$AG$505,'سجل الإجازات والحالات'!$B$6:$B$505,$B19))</f>
        <v/>
      </c>
    </row>
    <row r="20" customFormat="false" ht="15" hidden="false" customHeight="false" outlineLevel="0" collapsed="false">
      <c r="A20" s="106" t="str">
        <f aca="false">IF($B20="","",الموظفون!$A20)</f>
        <v/>
      </c>
      <c r="B20" s="114" t="str">
        <f aca="false">IF(الموظفون!$B20="","",الموظفون!$B20)</f>
        <v/>
      </c>
      <c r="C20" s="114" t="str">
        <f aca="false">IF($B20="","",الموظفون!$C20)</f>
        <v/>
      </c>
      <c r="D20" s="114" t="str">
        <f aca="false">IF($B20="","",الموظفون!$F20)</f>
        <v/>
      </c>
      <c r="E20" s="114" t="str">
        <f aca="false">IF($B20="","",الموظفون!$E20)</f>
        <v/>
      </c>
      <c r="F20" s="114" t="str">
        <f aca="false">IF($B20="","",IF(AK20=0,IF(AND(الموظفون!$AE20&lt;&gt;"",الموظفون!$AE20&lt;$E$3),"✖ منتهي الخدمة","⏳ لم يباشر"),IF(S20&gt;0,"✈ راتب إجازة مقدم",IF(J20=0,"⛔ بدون راتب هذا الشهر",IF(I20&gt;0,"✈ خصم "&amp;ROUND(I20,2)&amp;" يوم بدون أجر",IF(AL20&gt;0,"🌴 إجازة سنوية "&amp;ROUND(AL20,2)&amp;" يوم",IF(H20&gt;0,"⚠ غياب "&amp;ROUND(H20,2)&amp;" يوم","✔ على رأس العمل")))))))</f>
        <v/>
      </c>
      <c r="G20" s="151" t="str">
        <f aca="false">IF($B20="","",IF(AK20&gt;=DAY($F$3),cfg_DAYS_M,MIN(AK20,cfg_DAYS_M)))</f>
        <v/>
      </c>
      <c r="H20" s="151" t="str">
        <f aca="false">IF($B20="","",SUMIFS('الحركات الشهرية'!$D$6:$D$1005,'الحركات الشهرية'!$B$6:$B$1005,$B20,'الحركات الشهرية'!$A$6:$A$1005,$C$3))</f>
        <v/>
      </c>
      <c r="I20" s="151" t="str">
        <f aca="false">IF($B20="","",MIN(G20,IF(AND(AK20&gt;0,AN20&gt;=AK20),G20,AN20)+SUMIFS('الحركات الشهرية'!$E$6:$E$1005,'الحركات الشهرية'!$B$6:$B$1005,$B20,'الحركات الشهرية'!$A$6:$A$1005,$C$3)))</f>
        <v/>
      </c>
      <c r="J20" s="151" t="str">
        <f aca="false">IF($B20="","",MAX(0,G20-H20-I20))</f>
        <v/>
      </c>
      <c r="K20" s="111" t="str">
        <f aca="false">IF($B20="","",الموظفون!$L20*$J20/cfg_DAYS_M)</f>
        <v/>
      </c>
      <c r="L20" s="111" t="str">
        <f aca="false">IF($B20="","",الموظفون!$M20*$J20/cfg_DAYS_M)</f>
        <v/>
      </c>
      <c r="M20" s="111" t="str">
        <f aca="false">IF($B20="","",الموظفون!$N20*$J20/cfg_DAYS_M)</f>
        <v/>
      </c>
      <c r="N20" s="111" t="str">
        <f aca="false">IF($B20="","",الموظفون!$O20*$J20/cfg_DAYS_M)</f>
        <v/>
      </c>
      <c r="O20" s="151" t="str">
        <f aca="false">IF($B20="","",SUMIFS('الحركات الشهرية'!$F$6:$F$1005,'الحركات الشهرية'!$B$6:$B$1005,$B20,'الحركات الشهرية'!$A$6:$A$1005,$C$3))</f>
        <v/>
      </c>
      <c r="P20" s="111" t="str">
        <f aca="false">IF($B20="","",O20*(الموظفون!$P20+الموظفون!$L20*cfg_OT_P)/cfg_DAYS_M/cfg_HRS)</f>
        <v/>
      </c>
      <c r="Q20" s="111" t="str">
        <f aca="false">IF($B20="","",SUMIFS('الحركات الشهرية'!$G$6:$G$1005,'الحركات الشهرية'!$B$6:$B$1005,$B20,'الحركات الشهرية'!$A$6:$A$1005,$C$3))</f>
        <v/>
      </c>
      <c r="R20" s="111" t="str">
        <f aca="false">IF($B20="","",SUMIFS('الحركات الشهرية'!$H$6:$H$1005,'الحركات الشهرية'!$B$6:$B$1005,$B20,'الحركات الشهرية'!$A$6:$A$1005,$C$3))</f>
        <v/>
      </c>
      <c r="S20" s="111" t="str">
        <f aca="false">IF($B20="","",SUMIFS('سجل الإجازات والحالات'!$N$6:$N$505,'سجل الإجازات والحالات'!$B$6:$B$505,$B20,'سجل الإجازات والحالات'!$O$6:$O$505,$C$3))</f>
        <v/>
      </c>
      <c r="T20" s="152" t="str">
        <f aca="false">IF($B20="","",SUM(K20:N20)+SUM(P20:S20))</f>
        <v/>
      </c>
      <c r="U20" s="111" t="str">
        <f aca="false">IF($B20="","",الموظفون!$S20*IF(E20="سعودي",cfg_G_SE,cfg_G_NE)*G20/cfg_DAYS_M)</f>
        <v/>
      </c>
      <c r="V20" s="111" t="str">
        <f aca="false">IF($B20="","",SUMIFS('الحركات الشهرية'!$I$6:$I$1005,'الحركات الشهرية'!$B$6:$B$1005,$B20,'الحركات الشهرية'!$A$6:$A$1005,$C$3))</f>
        <v/>
      </c>
      <c r="W20" s="111" t="str">
        <f aca="false">IF($B20="","",SUMIFS('الحركات الشهرية'!$J$6:$J$1005,'الحركات الشهرية'!$B$6:$B$1005,$B20,'الحركات الشهرية'!$A$6:$A$1005,$C$3))</f>
        <v/>
      </c>
      <c r="X20" s="111" t="str">
        <f aca="false">IF($B20="","",SUM(U20:W20))</f>
        <v/>
      </c>
      <c r="Y20" s="153" t="str">
        <f aca="false">IF($B20="","",T20-X20)</f>
        <v/>
      </c>
      <c r="Z20" s="111" t="str">
        <f aca="false">IF($B20="","",الموظفون!$S20*IF(E20="سعودي",cfg_G_SR,cfg_G_NR)*G20/cfg_DAYS_M)</f>
        <v/>
      </c>
      <c r="AA20" s="111" t="str">
        <f aca="false">IF($B20="","",الموظفون!$Q20*(cfg_EOS_R1*(MIN(AH20,cfg_EOS_TH)-MIN(AI20,cfg_EOS_TH))+cfg_EOS_R2*(MAX(AH20-cfg_EOS_TH,0)-MAX(AI20-cfg_EOS_TH,0))))</f>
        <v/>
      </c>
      <c r="AB20" s="111" t="str">
        <f aca="false">IF($B20="","",IF(الموظفون!$T20&lt;&gt;"",الموظفون!$T20,IF(AH20&gt;=cfg_LV_TH,cfg_LV_D2,cfg_LV_D1))/cfg_DAYS_Y*AJ20*الموظفون!$R20/cfg_DAYS_M)</f>
        <v/>
      </c>
      <c r="AC20" s="111" t="str">
        <f aca="false">IF($B20="","",IF(AND(الموظفون!$U20="نعم",N(الموظفون!$W20)&gt;0),الموظفون!$V20/الموظفون!$W20*12/cfg_DAYS_Y*AJ20,0))</f>
        <v/>
      </c>
      <c r="AD20" s="111" t="str">
        <f aca="false">IF($B20="","",(IF(الموظفون!$X20&lt;&gt;"",الموظفون!$X20,IF(الموظفون!$E20="غير سعودي",cfg_IQ,0))+IF(الموظفون!$Y20&lt;&gt;"",الموظفون!$Y20,IF(الموظفون!$E20="غير سعودي",cfg_WP,0)))/12*G20/cfg_DAYS_M)</f>
        <v/>
      </c>
      <c r="AE20" s="111" t="str">
        <f aca="false">IF($B20="","",IF(الموظفون!$Z20&lt;&gt;"",الموظفون!$Z20,cfg_MED)/12*G20/cfg_DAYS_M)</f>
        <v/>
      </c>
      <c r="AF20" s="111" t="str">
        <f aca="false">IF($B20="","",N(الموظفون!$AA20)/12*G20/cfg_DAYS_M)</f>
        <v/>
      </c>
      <c r="AG20" s="154" t="str">
        <f aca="false">IF($B20="","",T20+SUM(Z20:AF20))</f>
        <v/>
      </c>
      <c r="AH20" s="155" t="str">
        <f aca="false">IF($B20="","",MAX(0,IF(OR(الموظفون!$AE20="",الموظفون!$AE20&gt;$F$3),$F$3,الموظفون!$AE20)-الموظفون!$H20+1-SUMIFS('سجل الإجازات والحالات'!$AS$6:$AS$505,'سجل الإجازات والحالات'!$B$6:$B$505,$B20))/cfg_DAYS_Y)</f>
        <v/>
      </c>
      <c r="AI20" s="155" t="str">
        <f aca="false">IF($B20="","",MAX(0,IF(OR(الموظفون!$AE20="",الموظفون!$AE20&gt;($E$3-1)),($E$3-1),الموظفون!$AE20)-الموظفون!$H20+1-SUMIFS('سجل الإجازات والحالات'!$AR$6:$AR$505,'سجل الإجازات والحالات'!$B$6:$B$505,$B20))/cfg_DAYS_Y)</f>
        <v/>
      </c>
      <c r="AJ20" s="65" t="str">
        <f aca="false">IF($B20="","",MAX(0,AK20-(SUMIFS('سجل الإجازات والحالات'!$AS$6:$AS$505,'سجل الإجازات والحالات'!$B$6:$B$505,$B20)-SUMIFS('سجل الإجازات والحالات'!$AR$6:$AR$505,'سجل الإجازات والحالات'!$B$6:$B$505,$B20))))</f>
        <v/>
      </c>
      <c r="AK20" s="65" t="str">
        <f aca="false">IF($B20="","",MAX(0,IF(OR(الموظفون!$AE20="",الموظفون!$AE20&gt;$F$3),$F$3,الموظفون!$AE20)-MAX($E$3,الموظفون!$H20)+1))</f>
        <v/>
      </c>
      <c r="AL20" s="151" t="str">
        <f aca="false">IF($B20="","",SUMIFS('سجل الإجازات والحالات'!$BE$6:$BE$505,'سجل الإجازات والحالات'!$B$6:$B$505,$B20)+SUMIFS('الحركات الشهرية'!$K$6:$K$1005,'الحركات الشهرية'!$B$6:$B$1005,$B20,'الحركات الشهرية'!$A$6:$A$1005,$C$3))</f>
        <v/>
      </c>
      <c r="AM20" s="111" t="str">
        <f aca="false">IF($B20="","",AL20*الموظفون!$R20/cfg_DAYS_M+S20)</f>
        <v/>
      </c>
      <c r="AN20" s="151" t="str">
        <f aca="false">IF($B20="","",SUMIFS('سجل الإجازات والحالات'!$AG$6:$AG$505,'سجل الإجازات والحالات'!$B$6:$B$505,$B20))</f>
        <v/>
      </c>
    </row>
    <row r="21" customFormat="false" ht="15" hidden="false" customHeight="false" outlineLevel="0" collapsed="false">
      <c r="A21" s="115" t="str">
        <f aca="false">IF($B21="","",الموظفون!$A21)</f>
        <v/>
      </c>
      <c r="B21" s="117" t="str">
        <f aca="false">IF(الموظفون!$B21="","",الموظفون!$B21)</f>
        <v/>
      </c>
      <c r="C21" s="117" t="str">
        <f aca="false">IF($B21="","",الموظفون!$C21)</f>
        <v/>
      </c>
      <c r="D21" s="117" t="str">
        <f aca="false">IF($B21="","",الموظفون!$F21)</f>
        <v/>
      </c>
      <c r="E21" s="117" t="str">
        <f aca="false">IF($B21="","",الموظفون!$E21)</f>
        <v/>
      </c>
      <c r="F21" s="117" t="str">
        <f aca="false">IF($B21="","",IF(AK21=0,IF(AND(الموظفون!$AE21&lt;&gt;"",الموظفون!$AE21&lt;$E$3),"✖ منتهي الخدمة","⏳ لم يباشر"),IF(S21&gt;0,"✈ راتب إجازة مقدم",IF(J21=0,"⛔ بدون راتب هذا الشهر",IF(I21&gt;0,"✈ خصم "&amp;ROUND(I21,2)&amp;" يوم بدون أجر",IF(AL21&gt;0,"🌴 إجازة سنوية "&amp;ROUND(AL21,2)&amp;" يوم",IF(H21&gt;0,"⚠ غياب "&amp;ROUND(H21,2)&amp;" يوم","✔ على رأس العمل")))))))</f>
        <v/>
      </c>
      <c r="G21" s="156" t="str">
        <f aca="false">IF($B21="","",IF(AK21&gt;=DAY($F$3),cfg_DAYS_M,MIN(AK21,cfg_DAYS_M)))</f>
        <v/>
      </c>
      <c r="H21" s="156" t="str">
        <f aca="false">IF($B21="","",SUMIFS('الحركات الشهرية'!$D$6:$D$1005,'الحركات الشهرية'!$B$6:$B$1005,$B21,'الحركات الشهرية'!$A$6:$A$1005,$C$3))</f>
        <v/>
      </c>
      <c r="I21" s="156" t="str">
        <f aca="false">IF($B21="","",MIN(G21,IF(AND(AK21&gt;0,AN21&gt;=AK21),G21,AN21)+SUMIFS('الحركات الشهرية'!$E$6:$E$1005,'الحركات الشهرية'!$B$6:$B$1005,$B21,'الحركات الشهرية'!$A$6:$A$1005,$C$3)))</f>
        <v/>
      </c>
      <c r="J21" s="156" t="str">
        <f aca="false">IF($B21="","",MAX(0,G21-H21-I21))</f>
        <v/>
      </c>
      <c r="K21" s="116" t="str">
        <f aca="false">IF($B21="","",الموظفون!$L21*$J21/cfg_DAYS_M)</f>
        <v/>
      </c>
      <c r="L21" s="116" t="str">
        <f aca="false">IF($B21="","",الموظفون!$M21*$J21/cfg_DAYS_M)</f>
        <v/>
      </c>
      <c r="M21" s="116" t="str">
        <f aca="false">IF($B21="","",الموظفون!$N21*$J21/cfg_DAYS_M)</f>
        <v/>
      </c>
      <c r="N21" s="116" t="str">
        <f aca="false">IF($B21="","",الموظفون!$O21*$J21/cfg_DAYS_M)</f>
        <v/>
      </c>
      <c r="O21" s="156" t="str">
        <f aca="false">IF($B21="","",SUMIFS('الحركات الشهرية'!$F$6:$F$1005,'الحركات الشهرية'!$B$6:$B$1005,$B21,'الحركات الشهرية'!$A$6:$A$1005,$C$3))</f>
        <v/>
      </c>
      <c r="P21" s="116" t="str">
        <f aca="false">IF($B21="","",O21*(الموظفون!$P21+الموظفون!$L21*cfg_OT_P)/cfg_DAYS_M/cfg_HRS)</f>
        <v/>
      </c>
      <c r="Q21" s="116" t="str">
        <f aca="false">IF($B21="","",SUMIFS('الحركات الشهرية'!$G$6:$G$1005,'الحركات الشهرية'!$B$6:$B$1005,$B21,'الحركات الشهرية'!$A$6:$A$1005,$C$3))</f>
        <v/>
      </c>
      <c r="R21" s="116" t="str">
        <f aca="false">IF($B21="","",SUMIFS('الحركات الشهرية'!$H$6:$H$1005,'الحركات الشهرية'!$B$6:$B$1005,$B21,'الحركات الشهرية'!$A$6:$A$1005,$C$3))</f>
        <v/>
      </c>
      <c r="S21" s="116" t="str">
        <f aca="false">IF($B21="","",SUMIFS('سجل الإجازات والحالات'!$N$6:$N$505,'سجل الإجازات والحالات'!$B$6:$B$505,$B21,'سجل الإجازات والحالات'!$O$6:$O$505,$C$3))</f>
        <v/>
      </c>
      <c r="T21" s="157" t="str">
        <f aca="false">IF($B21="","",SUM(K21:N21)+SUM(P21:S21))</f>
        <v/>
      </c>
      <c r="U21" s="116" t="str">
        <f aca="false">IF($B21="","",الموظفون!$S21*IF(E21="سعودي",cfg_G_SE,cfg_G_NE)*G21/cfg_DAYS_M)</f>
        <v/>
      </c>
      <c r="V21" s="116" t="str">
        <f aca="false">IF($B21="","",SUMIFS('الحركات الشهرية'!$I$6:$I$1005,'الحركات الشهرية'!$B$6:$B$1005,$B21,'الحركات الشهرية'!$A$6:$A$1005,$C$3))</f>
        <v/>
      </c>
      <c r="W21" s="116" t="str">
        <f aca="false">IF($B21="","",SUMIFS('الحركات الشهرية'!$J$6:$J$1005,'الحركات الشهرية'!$B$6:$B$1005,$B21,'الحركات الشهرية'!$A$6:$A$1005,$C$3))</f>
        <v/>
      </c>
      <c r="X21" s="116" t="str">
        <f aca="false">IF($B21="","",SUM(U21:W21))</f>
        <v/>
      </c>
      <c r="Y21" s="158" t="str">
        <f aca="false">IF($B21="","",T21-X21)</f>
        <v/>
      </c>
      <c r="Z21" s="116" t="str">
        <f aca="false">IF($B21="","",الموظفون!$S21*IF(E21="سعودي",cfg_G_SR,cfg_G_NR)*G21/cfg_DAYS_M)</f>
        <v/>
      </c>
      <c r="AA21" s="116" t="str">
        <f aca="false">IF($B21="","",الموظفون!$Q21*(cfg_EOS_R1*(MIN(AH21,cfg_EOS_TH)-MIN(AI21,cfg_EOS_TH))+cfg_EOS_R2*(MAX(AH21-cfg_EOS_TH,0)-MAX(AI21-cfg_EOS_TH,0))))</f>
        <v/>
      </c>
      <c r="AB21" s="116" t="str">
        <f aca="false">IF($B21="","",IF(الموظفون!$T21&lt;&gt;"",الموظفون!$T21,IF(AH21&gt;=cfg_LV_TH,cfg_LV_D2,cfg_LV_D1))/cfg_DAYS_Y*AJ21*الموظفون!$R21/cfg_DAYS_M)</f>
        <v/>
      </c>
      <c r="AC21" s="116" t="str">
        <f aca="false">IF($B21="","",IF(AND(الموظفون!$U21="نعم",N(الموظفون!$W21)&gt;0),الموظفون!$V21/الموظفون!$W21*12/cfg_DAYS_Y*AJ21,0))</f>
        <v/>
      </c>
      <c r="AD21" s="116" t="str">
        <f aca="false">IF($B21="","",(IF(الموظفون!$X21&lt;&gt;"",الموظفون!$X21,IF(الموظفون!$E21="غير سعودي",cfg_IQ,0))+IF(الموظفون!$Y21&lt;&gt;"",الموظفون!$Y21,IF(الموظفون!$E21="غير سعودي",cfg_WP,0)))/12*G21/cfg_DAYS_M)</f>
        <v/>
      </c>
      <c r="AE21" s="116" t="str">
        <f aca="false">IF($B21="","",IF(الموظفون!$Z21&lt;&gt;"",الموظفون!$Z21,cfg_MED)/12*G21/cfg_DAYS_M)</f>
        <v/>
      </c>
      <c r="AF21" s="116" t="str">
        <f aca="false">IF($B21="","",N(الموظفون!$AA21)/12*G21/cfg_DAYS_M)</f>
        <v/>
      </c>
      <c r="AG21" s="159" t="str">
        <f aca="false">IF($B21="","",T21+SUM(Z21:AF21))</f>
        <v/>
      </c>
      <c r="AH21" s="160" t="str">
        <f aca="false">IF($B21="","",MAX(0,IF(OR(الموظفون!$AE21="",الموظفون!$AE21&gt;$F$3),$F$3,الموظفون!$AE21)-الموظفون!$H21+1-SUMIFS('سجل الإجازات والحالات'!$AS$6:$AS$505,'سجل الإجازات والحالات'!$B$6:$B$505,$B21))/cfg_DAYS_Y)</f>
        <v/>
      </c>
      <c r="AI21" s="160" t="str">
        <f aca="false">IF($B21="","",MAX(0,IF(OR(الموظفون!$AE21="",الموظفون!$AE21&gt;($E$3-1)),($E$3-1),الموظفون!$AE21)-الموظفون!$H21+1-SUMIFS('سجل الإجازات والحالات'!$AR$6:$AR$505,'سجل الإجازات والحالات'!$B$6:$B$505,$B21))/cfg_DAYS_Y)</f>
        <v/>
      </c>
      <c r="AJ21" s="133" t="str">
        <f aca="false">IF($B21="","",MAX(0,AK21-(SUMIFS('سجل الإجازات والحالات'!$AS$6:$AS$505,'سجل الإجازات والحالات'!$B$6:$B$505,$B21)-SUMIFS('سجل الإجازات والحالات'!$AR$6:$AR$505,'سجل الإجازات والحالات'!$B$6:$B$505,$B21))))</f>
        <v/>
      </c>
      <c r="AK21" s="133" t="str">
        <f aca="false">IF($B21="","",MAX(0,IF(OR(الموظفون!$AE21="",الموظفون!$AE21&gt;$F$3),$F$3,الموظفون!$AE21)-MAX($E$3,الموظفون!$H21)+1))</f>
        <v/>
      </c>
      <c r="AL21" s="156" t="str">
        <f aca="false">IF($B21="","",SUMIFS('سجل الإجازات والحالات'!$BE$6:$BE$505,'سجل الإجازات والحالات'!$B$6:$B$505,$B21)+SUMIFS('الحركات الشهرية'!$K$6:$K$1005,'الحركات الشهرية'!$B$6:$B$1005,$B21,'الحركات الشهرية'!$A$6:$A$1005,$C$3))</f>
        <v/>
      </c>
      <c r="AM21" s="116" t="str">
        <f aca="false">IF($B21="","",AL21*الموظفون!$R21/cfg_DAYS_M+S21)</f>
        <v/>
      </c>
      <c r="AN21" s="156" t="str">
        <f aca="false">IF($B21="","",SUMIFS('سجل الإجازات والحالات'!$AG$6:$AG$505,'سجل الإجازات والحالات'!$B$6:$B$505,$B21))</f>
        <v/>
      </c>
    </row>
    <row r="22" customFormat="false" ht="15" hidden="false" customHeight="false" outlineLevel="0" collapsed="false">
      <c r="A22" s="106" t="str">
        <f aca="false">IF($B22="","",الموظفون!$A22)</f>
        <v/>
      </c>
      <c r="B22" s="114" t="str">
        <f aca="false">IF(الموظفون!$B22="","",الموظفون!$B22)</f>
        <v/>
      </c>
      <c r="C22" s="114" t="str">
        <f aca="false">IF($B22="","",الموظفون!$C22)</f>
        <v/>
      </c>
      <c r="D22" s="114" t="str">
        <f aca="false">IF($B22="","",الموظفون!$F22)</f>
        <v/>
      </c>
      <c r="E22" s="114" t="str">
        <f aca="false">IF($B22="","",الموظفون!$E22)</f>
        <v/>
      </c>
      <c r="F22" s="114" t="str">
        <f aca="false">IF($B22="","",IF(AK22=0,IF(AND(الموظفون!$AE22&lt;&gt;"",الموظفون!$AE22&lt;$E$3),"✖ منتهي الخدمة","⏳ لم يباشر"),IF(S22&gt;0,"✈ راتب إجازة مقدم",IF(J22=0,"⛔ بدون راتب هذا الشهر",IF(I22&gt;0,"✈ خصم "&amp;ROUND(I22,2)&amp;" يوم بدون أجر",IF(AL22&gt;0,"🌴 إجازة سنوية "&amp;ROUND(AL22,2)&amp;" يوم",IF(H22&gt;0,"⚠ غياب "&amp;ROUND(H22,2)&amp;" يوم","✔ على رأس العمل")))))))</f>
        <v/>
      </c>
      <c r="G22" s="151" t="str">
        <f aca="false">IF($B22="","",IF(AK22&gt;=DAY($F$3),cfg_DAYS_M,MIN(AK22,cfg_DAYS_M)))</f>
        <v/>
      </c>
      <c r="H22" s="151" t="str">
        <f aca="false">IF($B22="","",SUMIFS('الحركات الشهرية'!$D$6:$D$1005,'الحركات الشهرية'!$B$6:$B$1005,$B22,'الحركات الشهرية'!$A$6:$A$1005,$C$3))</f>
        <v/>
      </c>
      <c r="I22" s="151" t="str">
        <f aca="false">IF($B22="","",MIN(G22,IF(AND(AK22&gt;0,AN22&gt;=AK22),G22,AN22)+SUMIFS('الحركات الشهرية'!$E$6:$E$1005,'الحركات الشهرية'!$B$6:$B$1005,$B22,'الحركات الشهرية'!$A$6:$A$1005,$C$3)))</f>
        <v/>
      </c>
      <c r="J22" s="151" t="str">
        <f aca="false">IF($B22="","",MAX(0,G22-H22-I22))</f>
        <v/>
      </c>
      <c r="K22" s="111" t="str">
        <f aca="false">IF($B22="","",الموظفون!$L22*$J22/cfg_DAYS_M)</f>
        <v/>
      </c>
      <c r="L22" s="111" t="str">
        <f aca="false">IF($B22="","",الموظفون!$M22*$J22/cfg_DAYS_M)</f>
        <v/>
      </c>
      <c r="M22" s="111" t="str">
        <f aca="false">IF($B22="","",الموظفون!$N22*$J22/cfg_DAYS_M)</f>
        <v/>
      </c>
      <c r="N22" s="111" t="str">
        <f aca="false">IF($B22="","",الموظفون!$O22*$J22/cfg_DAYS_M)</f>
        <v/>
      </c>
      <c r="O22" s="151" t="str">
        <f aca="false">IF($B22="","",SUMIFS('الحركات الشهرية'!$F$6:$F$1005,'الحركات الشهرية'!$B$6:$B$1005,$B22,'الحركات الشهرية'!$A$6:$A$1005,$C$3))</f>
        <v/>
      </c>
      <c r="P22" s="111" t="str">
        <f aca="false">IF($B22="","",O22*(الموظفون!$P22+الموظفون!$L22*cfg_OT_P)/cfg_DAYS_M/cfg_HRS)</f>
        <v/>
      </c>
      <c r="Q22" s="111" t="str">
        <f aca="false">IF($B22="","",SUMIFS('الحركات الشهرية'!$G$6:$G$1005,'الحركات الشهرية'!$B$6:$B$1005,$B22,'الحركات الشهرية'!$A$6:$A$1005,$C$3))</f>
        <v/>
      </c>
      <c r="R22" s="111" t="str">
        <f aca="false">IF($B22="","",SUMIFS('الحركات الشهرية'!$H$6:$H$1005,'الحركات الشهرية'!$B$6:$B$1005,$B22,'الحركات الشهرية'!$A$6:$A$1005,$C$3))</f>
        <v/>
      </c>
      <c r="S22" s="111" t="str">
        <f aca="false">IF($B22="","",SUMIFS('سجل الإجازات والحالات'!$N$6:$N$505,'سجل الإجازات والحالات'!$B$6:$B$505,$B22,'سجل الإجازات والحالات'!$O$6:$O$505,$C$3))</f>
        <v/>
      </c>
      <c r="T22" s="152" t="str">
        <f aca="false">IF($B22="","",SUM(K22:N22)+SUM(P22:S22))</f>
        <v/>
      </c>
      <c r="U22" s="111" t="str">
        <f aca="false">IF($B22="","",الموظفون!$S22*IF(E22="سعودي",cfg_G_SE,cfg_G_NE)*G22/cfg_DAYS_M)</f>
        <v/>
      </c>
      <c r="V22" s="111" t="str">
        <f aca="false">IF($B22="","",SUMIFS('الحركات الشهرية'!$I$6:$I$1005,'الحركات الشهرية'!$B$6:$B$1005,$B22,'الحركات الشهرية'!$A$6:$A$1005,$C$3))</f>
        <v/>
      </c>
      <c r="W22" s="111" t="str">
        <f aca="false">IF($B22="","",SUMIFS('الحركات الشهرية'!$J$6:$J$1005,'الحركات الشهرية'!$B$6:$B$1005,$B22,'الحركات الشهرية'!$A$6:$A$1005,$C$3))</f>
        <v/>
      </c>
      <c r="X22" s="111" t="str">
        <f aca="false">IF($B22="","",SUM(U22:W22))</f>
        <v/>
      </c>
      <c r="Y22" s="153" t="str">
        <f aca="false">IF($B22="","",T22-X22)</f>
        <v/>
      </c>
      <c r="Z22" s="111" t="str">
        <f aca="false">IF($B22="","",الموظفون!$S22*IF(E22="سعودي",cfg_G_SR,cfg_G_NR)*G22/cfg_DAYS_M)</f>
        <v/>
      </c>
      <c r="AA22" s="111" t="str">
        <f aca="false">IF($B22="","",الموظفون!$Q22*(cfg_EOS_R1*(MIN(AH22,cfg_EOS_TH)-MIN(AI22,cfg_EOS_TH))+cfg_EOS_R2*(MAX(AH22-cfg_EOS_TH,0)-MAX(AI22-cfg_EOS_TH,0))))</f>
        <v/>
      </c>
      <c r="AB22" s="111" t="str">
        <f aca="false">IF($B22="","",IF(الموظفون!$T22&lt;&gt;"",الموظفون!$T22,IF(AH22&gt;=cfg_LV_TH,cfg_LV_D2,cfg_LV_D1))/cfg_DAYS_Y*AJ22*الموظفون!$R22/cfg_DAYS_M)</f>
        <v/>
      </c>
      <c r="AC22" s="111" t="str">
        <f aca="false">IF($B22="","",IF(AND(الموظفون!$U22="نعم",N(الموظفون!$W22)&gt;0),الموظفون!$V22/الموظفون!$W22*12/cfg_DAYS_Y*AJ22,0))</f>
        <v/>
      </c>
      <c r="AD22" s="111" t="str">
        <f aca="false">IF($B22="","",(IF(الموظفون!$X22&lt;&gt;"",الموظفون!$X22,IF(الموظفون!$E22="غير سعودي",cfg_IQ,0))+IF(الموظفون!$Y22&lt;&gt;"",الموظفون!$Y22,IF(الموظفون!$E22="غير سعودي",cfg_WP,0)))/12*G22/cfg_DAYS_M)</f>
        <v/>
      </c>
      <c r="AE22" s="111" t="str">
        <f aca="false">IF($B22="","",IF(الموظفون!$Z22&lt;&gt;"",الموظفون!$Z22,cfg_MED)/12*G22/cfg_DAYS_M)</f>
        <v/>
      </c>
      <c r="AF22" s="111" t="str">
        <f aca="false">IF($B22="","",N(الموظفون!$AA22)/12*G22/cfg_DAYS_M)</f>
        <v/>
      </c>
      <c r="AG22" s="154" t="str">
        <f aca="false">IF($B22="","",T22+SUM(Z22:AF22))</f>
        <v/>
      </c>
      <c r="AH22" s="155" t="str">
        <f aca="false">IF($B22="","",MAX(0,IF(OR(الموظفون!$AE22="",الموظفون!$AE22&gt;$F$3),$F$3,الموظفون!$AE22)-الموظفون!$H22+1-SUMIFS('سجل الإجازات والحالات'!$AS$6:$AS$505,'سجل الإجازات والحالات'!$B$6:$B$505,$B22))/cfg_DAYS_Y)</f>
        <v/>
      </c>
      <c r="AI22" s="155" t="str">
        <f aca="false">IF($B22="","",MAX(0,IF(OR(الموظفون!$AE22="",الموظفون!$AE22&gt;($E$3-1)),($E$3-1),الموظفون!$AE22)-الموظفون!$H22+1-SUMIFS('سجل الإجازات والحالات'!$AR$6:$AR$505,'سجل الإجازات والحالات'!$B$6:$B$505,$B22))/cfg_DAYS_Y)</f>
        <v/>
      </c>
      <c r="AJ22" s="65" t="str">
        <f aca="false">IF($B22="","",MAX(0,AK22-(SUMIFS('سجل الإجازات والحالات'!$AS$6:$AS$505,'سجل الإجازات والحالات'!$B$6:$B$505,$B22)-SUMIFS('سجل الإجازات والحالات'!$AR$6:$AR$505,'سجل الإجازات والحالات'!$B$6:$B$505,$B22))))</f>
        <v/>
      </c>
      <c r="AK22" s="65" t="str">
        <f aca="false">IF($B22="","",MAX(0,IF(OR(الموظفون!$AE22="",الموظفون!$AE22&gt;$F$3),$F$3,الموظفون!$AE22)-MAX($E$3,الموظفون!$H22)+1))</f>
        <v/>
      </c>
      <c r="AL22" s="151" t="str">
        <f aca="false">IF($B22="","",SUMIFS('سجل الإجازات والحالات'!$BE$6:$BE$505,'سجل الإجازات والحالات'!$B$6:$B$505,$B22)+SUMIFS('الحركات الشهرية'!$K$6:$K$1005,'الحركات الشهرية'!$B$6:$B$1005,$B22,'الحركات الشهرية'!$A$6:$A$1005,$C$3))</f>
        <v/>
      </c>
      <c r="AM22" s="111" t="str">
        <f aca="false">IF($B22="","",AL22*الموظفون!$R22/cfg_DAYS_M+S22)</f>
        <v/>
      </c>
      <c r="AN22" s="151" t="str">
        <f aca="false">IF($B22="","",SUMIFS('سجل الإجازات والحالات'!$AG$6:$AG$505,'سجل الإجازات والحالات'!$B$6:$B$505,$B22))</f>
        <v/>
      </c>
    </row>
    <row r="23" customFormat="false" ht="15" hidden="false" customHeight="false" outlineLevel="0" collapsed="false">
      <c r="A23" s="115" t="str">
        <f aca="false">IF($B23="","",الموظفون!$A23)</f>
        <v/>
      </c>
      <c r="B23" s="117" t="str">
        <f aca="false">IF(الموظفون!$B23="","",الموظفون!$B23)</f>
        <v/>
      </c>
      <c r="C23" s="117" t="str">
        <f aca="false">IF($B23="","",الموظفون!$C23)</f>
        <v/>
      </c>
      <c r="D23" s="117" t="str">
        <f aca="false">IF($B23="","",الموظفون!$F23)</f>
        <v/>
      </c>
      <c r="E23" s="117" t="str">
        <f aca="false">IF($B23="","",الموظفون!$E23)</f>
        <v/>
      </c>
      <c r="F23" s="117" t="str">
        <f aca="false">IF($B23="","",IF(AK23=0,IF(AND(الموظفون!$AE23&lt;&gt;"",الموظفون!$AE23&lt;$E$3),"✖ منتهي الخدمة","⏳ لم يباشر"),IF(S23&gt;0,"✈ راتب إجازة مقدم",IF(J23=0,"⛔ بدون راتب هذا الشهر",IF(I23&gt;0,"✈ خصم "&amp;ROUND(I23,2)&amp;" يوم بدون أجر",IF(AL23&gt;0,"🌴 إجازة سنوية "&amp;ROUND(AL23,2)&amp;" يوم",IF(H23&gt;0,"⚠ غياب "&amp;ROUND(H23,2)&amp;" يوم","✔ على رأس العمل")))))))</f>
        <v/>
      </c>
      <c r="G23" s="156" t="str">
        <f aca="false">IF($B23="","",IF(AK23&gt;=DAY($F$3),cfg_DAYS_M,MIN(AK23,cfg_DAYS_M)))</f>
        <v/>
      </c>
      <c r="H23" s="156" t="str">
        <f aca="false">IF($B23="","",SUMIFS('الحركات الشهرية'!$D$6:$D$1005,'الحركات الشهرية'!$B$6:$B$1005,$B23,'الحركات الشهرية'!$A$6:$A$1005,$C$3))</f>
        <v/>
      </c>
      <c r="I23" s="156" t="str">
        <f aca="false">IF($B23="","",MIN(G23,IF(AND(AK23&gt;0,AN23&gt;=AK23),G23,AN23)+SUMIFS('الحركات الشهرية'!$E$6:$E$1005,'الحركات الشهرية'!$B$6:$B$1005,$B23,'الحركات الشهرية'!$A$6:$A$1005,$C$3)))</f>
        <v/>
      </c>
      <c r="J23" s="156" t="str">
        <f aca="false">IF($B23="","",MAX(0,G23-H23-I23))</f>
        <v/>
      </c>
      <c r="K23" s="116" t="str">
        <f aca="false">IF($B23="","",الموظفون!$L23*$J23/cfg_DAYS_M)</f>
        <v/>
      </c>
      <c r="L23" s="116" t="str">
        <f aca="false">IF($B23="","",الموظفون!$M23*$J23/cfg_DAYS_M)</f>
        <v/>
      </c>
      <c r="M23" s="116" t="str">
        <f aca="false">IF($B23="","",الموظفون!$N23*$J23/cfg_DAYS_M)</f>
        <v/>
      </c>
      <c r="N23" s="116" t="str">
        <f aca="false">IF($B23="","",الموظفون!$O23*$J23/cfg_DAYS_M)</f>
        <v/>
      </c>
      <c r="O23" s="156" t="str">
        <f aca="false">IF($B23="","",SUMIFS('الحركات الشهرية'!$F$6:$F$1005,'الحركات الشهرية'!$B$6:$B$1005,$B23,'الحركات الشهرية'!$A$6:$A$1005,$C$3))</f>
        <v/>
      </c>
      <c r="P23" s="116" t="str">
        <f aca="false">IF($B23="","",O23*(الموظفون!$P23+الموظفون!$L23*cfg_OT_P)/cfg_DAYS_M/cfg_HRS)</f>
        <v/>
      </c>
      <c r="Q23" s="116" t="str">
        <f aca="false">IF($B23="","",SUMIFS('الحركات الشهرية'!$G$6:$G$1005,'الحركات الشهرية'!$B$6:$B$1005,$B23,'الحركات الشهرية'!$A$6:$A$1005,$C$3))</f>
        <v/>
      </c>
      <c r="R23" s="116" t="str">
        <f aca="false">IF($B23="","",SUMIFS('الحركات الشهرية'!$H$6:$H$1005,'الحركات الشهرية'!$B$6:$B$1005,$B23,'الحركات الشهرية'!$A$6:$A$1005,$C$3))</f>
        <v/>
      </c>
      <c r="S23" s="116" t="str">
        <f aca="false">IF($B23="","",SUMIFS('سجل الإجازات والحالات'!$N$6:$N$505,'سجل الإجازات والحالات'!$B$6:$B$505,$B23,'سجل الإجازات والحالات'!$O$6:$O$505,$C$3))</f>
        <v/>
      </c>
      <c r="T23" s="157" t="str">
        <f aca="false">IF($B23="","",SUM(K23:N23)+SUM(P23:S23))</f>
        <v/>
      </c>
      <c r="U23" s="116" t="str">
        <f aca="false">IF($B23="","",الموظفون!$S23*IF(E23="سعودي",cfg_G_SE,cfg_G_NE)*G23/cfg_DAYS_M)</f>
        <v/>
      </c>
      <c r="V23" s="116" t="str">
        <f aca="false">IF($B23="","",SUMIFS('الحركات الشهرية'!$I$6:$I$1005,'الحركات الشهرية'!$B$6:$B$1005,$B23,'الحركات الشهرية'!$A$6:$A$1005,$C$3))</f>
        <v/>
      </c>
      <c r="W23" s="116" t="str">
        <f aca="false">IF($B23="","",SUMIFS('الحركات الشهرية'!$J$6:$J$1005,'الحركات الشهرية'!$B$6:$B$1005,$B23,'الحركات الشهرية'!$A$6:$A$1005,$C$3))</f>
        <v/>
      </c>
      <c r="X23" s="116" t="str">
        <f aca="false">IF($B23="","",SUM(U23:W23))</f>
        <v/>
      </c>
      <c r="Y23" s="158" t="str">
        <f aca="false">IF($B23="","",T23-X23)</f>
        <v/>
      </c>
      <c r="Z23" s="116" t="str">
        <f aca="false">IF($B23="","",الموظفون!$S23*IF(E23="سعودي",cfg_G_SR,cfg_G_NR)*G23/cfg_DAYS_M)</f>
        <v/>
      </c>
      <c r="AA23" s="116" t="str">
        <f aca="false">IF($B23="","",الموظفون!$Q23*(cfg_EOS_R1*(MIN(AH23,cfg_EOS_TH)-MIN(AI23,cfg_EOS_TH))+cfg_EOS_R2*(MAX(AH23-cfg_EOS_TH,0)-MAX(AI23-cfg_EOS_TH,0))))</f>
        <v/>
      </c>
      <c r="AB23" s="116" t="str">
        <f aca="false">IF($B23="","",IF(الموظفون!$T23&lt;&gt;"",الموظفون!$T23,IF(AH23&gt;=cfg_LV_TH,cfg_LV_D2,cfg_LV_D1))/cfg_DAYS_Y*AJ23*الموظفون!$R23/cfg_DAYS_M)</f>
        <v/>
      </c>
      <c r="AC23" s="116" t="str">
        <f aca="false">IF($B23="","",IF(AND(الموظفون!$U23="نعم",N(الموظفون!$W23)&gt;0),الموظفون!$V23/الموظفون!$W23*12/cfg_DAYS_Y*AJ23,0))</f>
        <v/>
      </c>
      <c r="AD23" s="116" t="str">
        <f aca="false">IF($B23="","",(IF(الموظفون!$X23&lt;&gt;"",الموظفون!$X23,IF(الموظفون!$E23="غير سعودي",cfg_IQ,0))+IF(الموظفون!$Y23&lt;&gt;"",الموظفون!$Y23,IF(الموظفون!$E23="غير سعودي",cfg_WP,0)))/12*G23/cfg_DAYS_M)</f>
        <v/>
      </c>
      <c r="AE23" s="116" t="str">
        <f aca="false">IF($B23="","",IF(الموظفون!$Z23&lt;&gt;"",الموظفون!$Z23,cfg_MED)/12*G23/cfg_DAYS_M)</f>
        <v/>
      </c>
      <c r="AF23" s="116" t="str">
        <f aca="false">IF($B23="","",N(الموظفون!$AA23)/12*G23/cfg_DAYS_M)</f>
        <v/>
      </c>
      <c r="AG23" s="159" t="str">
        <f aca="false">IF($B23="","",T23+SUM(Z23:AF23))</f>
        <v/>
      </c>
      <c r="AH23" s="160" t="str">
        <f aca="false">IF($B23="","",MAX(0,IF(OR(الموظفون!$AE23="",الموظفون!$AE23&gt;$F$3),$F$3,الموظفون!$AE23)-الموظفون!$H23+1-SUMIFS('سجل الإجازات والحالات'!$AS$6:$AS$505,'سجل الإجازات والحالات'!$B$6:$B$505,$B23))/cfg_DAYS_Y)</f>
        <v/>
      </c>
      <c r="AI23" s="160" t="str">
        <f aca="false">IF($B23="","",MAX(0,IF(OR(الموظفون!$AE23="",الموظفون!$AE23&gt;($E$3-1)),($E$3-1),الموظفون!$AE23)-الموظفون!$H23+1-SUMIFS('سجل الإجازات والحالات'!$AR$6:$AR$505,'سجل الإجازات والحالات'!$B$6:$B$505,$B23))/cfg_DAYS_Y)</f>
        <v/>
      </c>
      <c r="AJ23" s="133" t="str">
        <f aca="false">IF($B23="","",MAX(0,AK23-(SUMIFS('سجل الإجازات والحالات'!$AS$6:$AS$505,'سجل الإجازات والحالات'!$B$6:$B$505,$B23)-SUMIFS('سجل الإجازات والحالات'!$AR$6:$AR$505,'سجل الإجازات والحالات'!$B$6:$B$505,$B23))))</f>
        <v/>
      </c>
      <c r="AK23" s="133" t="str">
        <f aca="false">IF($B23="","",MAX(0,IF(OR(الموظفون!$AE23="",الموظفون!$AE23&gt;$F$3),$F$3,الموظفون!$AE23)-MAX($E$3,الموظفون!$H23)+1))</f>
        <v/>
      </c>
      <c r="AL23" s="156" t="str">
        <f aca="false">IF($B23="","",SUMIFS('سجل الإجازات والحالات'!$BE$6:$BE$505,'سجل الإجازات والحالات'!$B$6:$B$505,$B23)+SUMIFS('الحركات الشهرية'!$K$6:$K$1005,'الحركات الشهرية'!$B$6:$B$1005,$B23,'الحركات الشهرية'!$A$6:$A$1005,$C$3))</f>
        <v/>
      </c>
      <c r="AM23" s="116" t="str">
        <f aca="false">IF($B23="","",AL23*الموظفون!$R23/cfg_DAYS_M+S23)</f>
        <v/>
      </c>
      <c r="AN23" s="156" t="str">
        <f aca="false">IF($B23="","",SUMIFS('سجل الإجازات والحالات'!$AG$6:$AG$505,'سجل الإجازات والحالات'!$B$6:$B$505,$B23))</f>
        <v/>
      </c>
    </row>
    <row r="24" customFormat="false" ht="15" hidden="false" customHeight="false" outlineLevel="0" collapsed="false">
      <c r="A24" s="106" t="str">
        <f aca="false">IF($B24="","",الموظفون!$A24)</f>
        <v/>
      </c>
      <c r="B24" s="114" t="str">
        <f aca="false">IF(الموظفون!$B24="","",الموظفون!$B24)</f>
        <v/>
      </c>
      <c r="C24" s="114" t="str">
        <f aca="false">IF($B24="","",الموظفون!$C24)</f>
        <v/>
      </c>
      <c r="D24" s="114" t="str">
        <f aca="false">IF($B24="","",الموظفون!$F24)</f>
        <v/>
      </c>
      <c r="E24" s="114" t="str">
        <f aca="false">IF($B24="","",الموظفون!$E24)</f>
        <v/>
      </c>
      <c r="F24" s="114" t="str">
        <f aca="false">IF($B24="","",IF(AK24=0,IF(AND(الموظفون!$AE24&lt;&gt;"",الموظفون!$AE24&lt;$E$3),"✖ منتهي الخدمة","⏳ لم يباشر"),IF(S24&gt;0,"✈ راتب إجازة مقدم",IF(J24=0,"⛔ بدون راتب هذا الشهر",IF(I24&gt;0,"✈ خصم "&amp;ROUND(I24,2)&amp;" يوم بدون أجر",IF(AL24&gt;0,"🌴 إجازة سنوية "&amp;ROUND(AL24,2)&amp;" يوم",IF(H24&gt;0,"⚠ غياب "&amp;ROUND(H24,2)&amp;" يوم","✔ على رأس العمل")))))))</f>
        <v/>
      </c>
      <c r="G24" s="151" t="str">
        <f aca="false">IF($B24="","",IF(AK24&gt;=DAY($F$3),cfg_DAYS_M,MIN(AK24,cfg_DAYS_M)))</f>
        <v/>
      </c>
      <c r="H24" s="151" t="str">
        <f aca="false">IF($B24="","",SUMIFS('الحركات الشهرية'!$D$6:$D$1005,'الحركات الشهرية'!$B$6:$B$1005,$B24,'الحركات الشهرية'!$A$6:$A$1005,$C$3))</f>
        <v/>
      </c>
      <c r="I24" s="151" t="str">
        <f aca="false">IF($B24="","",MIN(G24,IF(AND(AK24&gt;0,AN24&gt;=AK24),G24,AN24)+SUMIFS('الحركات الشهرية'!$E$6:$E$1005,'الحركات الشهرية'!$B$6:$B$1005,$B24,'الحركات الشهرية'!$A$6:$A$1005,$C$3)))</f>
        <v/>
      </c>
      <c r="J24" s="151" t="str">
        <f aca="false">IF($B24="","",MAX(0,G24-H24-I24))</f>
        <v/>
      </c>
      <c r="K24" s="111" t="str">
        <f aca="false">IF($B24="","",الموظفون!$L24*$J24/cfg_DAYS_M)</f>
        <v/>
      </c>
      <c r="L24" s="111" t="str">
        <f aca="false">IF($B24="","",الموظفون!$M24*$J24/cfg_DAYS_M)</f>
        <v/>
      </c>
      <c r="M24" s="111" t="str">
        <f aca="false">IF($B24="","",الموظفون!$N24*$J24/cfg_DAYS_M)</f>
        <v/>
      </c>
      <c r="N24" s="111" t="str">
        <f aca="false">IF($B24="","",الموظفون!$O24*$J24/cfg_DAYS_M)</f>
        <v/>
      </c>
      <c r="O24" s="151" t="str">
        <f aca="false">IF($B24="","",SUMIFS('الحركات الشهرية'!$F$6:$F$1005,'الحركات الشهرية'!$B$6:$B$1005,$B24,'الحركات الشهرية'!$A$6:$A$1005,$C$3))</f>
        <v/>
      </c>
      <c r="P24" s="111" t="str">
        <f aca="false">IF($B24="","",O24*(الموظفون!$P24+الموظفون!$L24*cfg_OT_P)/cfg_DAYS_M/cfg_HRS)</f>
        <v/>
      </c>
      <c r="Q24" s="111" t="str">
        <f aca="false">IF($B24="","",SUMIFS('الحركات الشهرية'!$G$6:$G$1005,'الحركات الشهرية'!$B$6:$B$1005,$B24,'الحركات الشهرية'!$A$6:$A$1005,$C$3))</f>
        <v/>
      </c>
      <c r="R24" s="111" t="str">
        <f aca="false">IF($B24="","",SUMIFS('الحركات الشهرية'!$H$6:$H$1005,'الحركات الشهرية'!$B$6:$B$1005,$B24,'الحركات الشهرية'!$A$6:$A$1005,$C$3))</f>
        <v/>
      </c>
      <c r="S24" s="111" t="str">
        <f aca="false">IF($B24="","",SUMIFS('سجل الإجازات والحالات'!$N$6:$N$505,'سجل الإجازات والحالات'!$B$6:$B$505,$B24,'سجل الإجازات والحالات'!$O$6:$O$505,$C$3))</f>
        <v/>
      </c>
      <c r="T24" s="152" t="str">
        <f aca="false">IF($B24="","",SUM(K24:N24)+SUM(P24:S24))</f>
        <v/>
      </c>
      <c r="U24" s="111" t="str">
        <f aca="false">IF($B24="","",الموظفون!$S24*IF(E24="سعودي",cfg_G_SE,cfg_G_NE)*G24/cfg_DAYS_M)</f>
        <v/>
      </c>
      <c r="V24" s="111" t="str">
        <f aca="false">IF($B24="","",SUMIFS('الحركات الشهرية'!$I$6:$I$1005,'الحركات الشهرية'!$B$6:$B$1005,$B24,'الحركات الشهرية'!$A$6:$A$1005,$C$3))</f>
        <v/>
      </c>
      <c r="W24" s="111" t="str">
        <f aca="false">IF($B24="","",SUMIFS('الحركات الشهرية'!$J$6:$J$1005,'الحركات الشهرية'!$B$6:$B$1005,$B24,'الحركات الشهرية'!$A$6:$A$1005,$C$3))</f>
        <v/>
      </c>
      <c r="X24" s="111" t="str">
        <f aca="false">IF($B24="","",SUM(U24:W24))</f>
        <v/>
      </c>
      <c r="Y24" s="153" t="str">
        <f aca="false">IF($B24="","",T24-X24)</f>
        <v/>
      </c>
      <c r="Z24" s="111" t="str">
        <f aca="false">IF($B24="","",الموظفون!$S24*IF(E24="سعودي",cfg_G_SR,cfg_G_NR)*G24/cfg_DAYS_M)</f>
        <v/>
      </c>
      <c r="AA24" s="111" t="str">
        <f aca="false">IF($B24="","",الموظفون!$Q24*(cfg_EOS_R1*(MIN(AH24,cfg_EOS_TH)-MIN(AI24,cfg_EOS_TH))+cfg_EOS_R2*(MAX(AH24-cfg_EOS_TH,0)-MAX(AI24-cfg_EOS_TH,0))))</f>
        <v/>
      </c>
      <c r="AB24" s="111" t="str">
        <f aca="false">IF($B24="","",IF(الموظفون!$T24&lt;&gt;"",الموظفون!$T24,IF(AH24&gt;=cfg_LV_TH,cfg_LV_D2,cfg_LV_D1))/cfg_DAYS_Y*AJ24*الموظفون!$R24/cfg_DAYS_M)</f>
        <v/>
      </c>
      <c r="AC24" s="111" t="str">
        <f aca="false">IF($B24="","",IF(AND(الموظفون!$U24="نعم",N(الموظفون!$W24)&gt;0),الموظفون!$V24/الموظفون!$W24*12/cfg_DAYS_Y*AJ24,0))</f>
        <v/>
      </c>
      <c r="AD24" s="111" t="str">
        <f aca="false">IF($B24="","",(IF(الموظفون!$X24&lt;&gt;"",الموظفون!$X24,IF(الموظفون!$E24="غير سعودي",cfg_IQ,0))+IF(الموظفون!$Y24&lt;&gt;"",الموظفون!$Y24,IF(الموظفون!$E24="غير سعودي",cfg_WP,0)))/12*G24/cfg_DAYS_M)</f>
        <v/>
      </c>
      <c r="AE24" s="111" t="str">
        <f aca="false">IF($B24="","",IF(الموظفون!$Z24&lt;&gt;"",الموظفون!$Z24,cfg_MED)/12*G24/cfg_DAYS_M)</f>
        <v/>
      </c>
      <c r="AF24" s="111" t="str">
        <f aca="false">IF($B24="","",N(الموظفون!$AA24)/12*G24/cfg_DAYS_M)</f>
        <v/>
      </c>
      <c r="AG24" s="154" t="str">
        <f aca="false">IF($B24="","",T24+SUM(Z24:AF24))</f>
        <v/>
      </c>
      <c r="AH24" s="155" t="str">
        <f aca="false">IF($B24="","",MAX(0,IF(OR(الموظفون!$AE24="",الموظفون!$AE24&gt;$F$3),$F$3,الموظفون!$AE24)-الموظفون!$H24+1-SUMIFS('سجل الإجازات والحالات'!$AS$6:$AS$505,'سجل الإجازات والحالات'!$B$6:$B$505,$B24))/cfg_DAYS_Y)</f>
        <v/>
      </c>
      <c r="AI24" s="155" t="str">
        <f aca="false">IF($B24="","",MAX(0,IF(OR(الموظفون!$AE24="",الموظفون!$AE24&gt;($E$3-1)),($E$3-1),الموظفون!$AE24)-الموظفون!$H24+1-SUMIFS('سجل الإجازات والحالات'!$AR$6:$AR$505,'سجل الإجازات والحالات'!$B$6:$B$505,$B24))/cfg_DAYS_Y)</f>
        <v/>
      </c>
      <c r="AJ24" s="65" t="str">
        <f aca="false">IF($B24="","",MAX(0,AK24-(SUMIFS('سجل الإجازات والحالات'!$AS$6:$AS$505,'سجل الإجازات والحالات'!$B$6:$B$505,$B24)-SUMIFS('سجل الإجازات والحالات'!$AR$6:$AR$505,'سجل الإجازات والحالات'!$B$6:$B$505,$B24))))</f>
        <v/>
      </c>
      <c r="AK24" s="65" t="str">
        <f aca="false">IF($B24="","",MAX(0,IF(OR(الموظفون!$AE24="",الموظفون!$AE24&gt;$F$3),$F$3,الموظفون!$AE24)-MAX($E$3,الموظفون!$H24)+1))</f>
        <v/>
      </c>
      <c r="AL24" s="151" t="str">
        <f aca="false">IF($B24="","",SUMIFS('سجل الإجازات والحالات'!$BE$6:$BE$505,'سجل الإجازات والحالات'!$B$6:$B$505,$B24)+SUMIFS('الحركات الشهرية'!$K$6:$K$1005,'الحركات الشهرية'!$B$6:$B$1005,$B24,'الحركات الشهرية'!$A$6:$A$1005,$C$3))</f>
        <v/>
      </c>
      <c r="AM24" s="111" t="str">
        <f aca="false">IF($B24="","",AL24*الموظفون!$R24/cfg_DAYS_M+S24)</f>
        <v/>
      </c>
      <c r="AN24" s="151" t="str">
        <f aca="false">IF($B24="","",SUMIFS('سجل الإجازات والحالات'!$AG$6:$AG$505,'سجل الإجازات والحالات'!$B$6:$B$505,$B24))</f>
        <v/>
      </c>
    </row>
    <row r="25" customFormat="false" ht="15" hidden="false" customHeight="false" outlineLevel="0" collapsed="false">
      <c r="A25" s="115" t="str">
        <f aca="false">IF($B25="","",الموظفون!$A25)</f>
        <v/>
      </c>
      <c r="B25" s="117" t="str">
        <f aca="false">IF(الموظفون!$B25="","",الموظفون!$B25)</f>
        <v/>
      </c>
      <c r="C25" s="117" t="str">
        <f aca="false">IF($B25="","",الموظفون!$C25)</f>
        <v/>
      </c>
      <c r="D25" s="117" t="str">
        <f aca="false">IF($B25="","",الموظفون!$F25)</f>
        <v/>
      </c>
      <c r="E25" s="117" t="str">
        <f aca="false">IF($B25="","",الموظفون!$E25)</f>
        <v/>
      </c>
      <c r="F25" s="117" t="str">
        <f aca="false">IF($B25="","",IF(AK25=0,IF(AND(الموظفون!$AE25&lt;&gt;"",الموظفون!$AE25&lt;$E$3),"✖ منتهي الخدمة","⏳ لم يباشر"),IF(S25&gt;0,"✈ راتب إجازة مقدم",IF(J25=0,"⛔ بدون راتب هذا الشهر",IF(I25&gt;0,"✈ خصم "&amp;ROUND(I25,2)&amp;" يوم بدون أجر",IF(AL25&gt;0,"🌴 إجازة سنوية "&amp;ROUND(AL25,2)&amp;" يوم",IF(H25&gt;0,"⚠ غياب "&amp;ROUND(H25,2)&amp;" يوم","✔ على رأس العمل")))))))</f>
        <v/>
      </c>
      <c r="G25" s="156" t="str">
        <f aca="false">IF($B25="","",IF(AK25&gt;=DAY($F$3),cfg_DAYS_M,MIN(AK25,cfg_DAYS_M)))</f>
        <v/>
      </c>
      <c r="H25" s="156" t="str">
        <f aca="false">IF($B25="","",SUMIFS('الحركات الشهرية'!$D$6:$D$1005,'الحركات الشهرية'!$B$6:$B$1005,$B25,'الحركات الشهرية'!$A$6:$A$1005,$C$3))</f>
        <v/>
      </c>
      <c r="I25" s="156" t="str">
        <f aca="false">IF($B25="","",MIN(G25,IF(AND(AK25&gt;0,AN25&gt;=AK25),G25,AN25)+SUMIFS('الحركات الشهرية'!$E$6:$E$1005,'الحركات الشهرية'!$B$6:$B$1005,$B25,'الحركات الشهرية'!$A$6:$A$1005,$C$3)))</f>
        <v/>
      </c>
      <c r="J25" s="156" t="str">
        <f aca="false">IF($B25="","",MAX(0,G25-H25-I25))</f>
        <v/>
      </c>
      <c r="K25" s="116" t="str">
        <f aca="false">IF($B25="","",الموظفون!$L25*$J25/cfg_DAYS_M)</f>
        <v/>
      </c>
      <c r="L25" s="116" t="str">
        <f aca="false">IF($B25="","",الموظفون!$M25*$J25/cfg_DAYS_M)</f>
        <v/>
      </c>
      <c r="M25" s="116" t="str">
        <f aca="false">IF($B25="","",الموظفون!$N25*$J25/cfg_DAYS_M)</f>
        <v/>
      </c>
      <c r="N25" s="116" t="str">
        <f aca="false">IF($B25="","",الموظفون!$O25*$J25/cfg_DAYS_M)</f>
        <v/>
      </c>
      <c r="O25" s="156" t="str">
        <f aca="false">IF($B25="","",SUMIFS('الحركات الشهرية'!$F$6:$F$1005,'الحركات الشهرية'!$B$6:$B$1005,$B25,'الحركات الشهرية'!$A$6:$A$1005,$C$3))</f>
        <v/>
      </c>
      <c r="P25" s="116" t="str">
        <f aca="false">IF($B25="","",O25*(الموظفون!$P25+الموظفون!$L25*cfg_OT_P)/cfg_DAYS_M/cfg_HRS)</f>
        <v/>
      </c>
      <c r="Q25" s="116" t="str">
        <f aca="false">IF($B25="","",SUMIFS('الحركات الشهرية'!$G$6:$G$1005,'الحركات الشهرية'!$B$6:$B$1005,$B25,'الحركات الشهرية'!$A$6:$A$1005,$C$3))</f>
        <v/>
      </c>
      <c r="R25" s="116" t="str">
        <f aca="false">IF($B25="","",SUMIFS('الحركات الشهرية'!$H$6:$H$1005,'الحركات الشهرية'!$B$6:$B$1005,$B25,'الحركات الشهرية'!$A$6:$A$1005,$C$3))</f>
        <v/>
      </c>
      <c r="S25" s="116" t="str">
        <f aca="false">IF($B25="","",SUMIFS('سجل الإجازات والحالات'!$N$6:$N$505,'سجل الإجازات والحالات'!$B$6:$B$505,$B25,'سجل الإجازات والحالات'!$O$6:$O$505,$C$3))</f>
        <v/>
      </c>
      <c r="T25" s="157" t="str">
        <f aca="false">IF($B25="","",SUM(K25:N25)+SUM(P25:S25))</f>
        <v/>
      </c>
      <c r="U25" s="116" t="str">
        <f aca="false">IF($B25="","",الموظفون!$S25*IF(E25="سعودي",cfg_G_SE,cfg_G_NE)*G25/cfg_DAYS_M)</f>
        <v/>
      </c>
      <c r="V25" s="116" t="str">
        <f aca="false">IF($B25="","",SUMIFS('الحركات الشهرية'!$I$6:$I$1005,'الحركات الشهرية'!$B$6:$B$1005,$B25,'الحركات الشهرية'!$A$6:$A$1005,$C$3))</f>
        <v/>
      </c>
      <c r="W25" s="116" t="str">
        <f aca="false">IF($B25="","",SUMIFS('الحركات الشهرية'!$J$6:$J$1005,'الحركات الشهرية'!$B$6:$B$1005,$B25,'الحركات الشهرية'!$A$6:$A$1005,$C$3))</f>
        <v/>
      </c>
      <c r="X25" s="116" t="str">
        <f aca="false">IF($B25="","",SUM(U25:W25))</f>
        <v/>
      </c>
      <c r="Y25" s="158" t="str">
        <f aca="false">IF($B25="","",T25-X25)</f>
        <v/>
      </c>
      <c r="Z25" s="116" t="str">
        <f aca="false">IF($B25="","",الموظفون!$S25*IF(E25="سعودي",cfg_G_SR,cfg_G_NR)*G25/cfg_DAYS_M)</f>
        <v/>
      </c>
      <c r="AA25" s="116" t="str">
        <f aca="false">IF($B25="","",الموظفون!$Q25*(cfg_EOS_R1*(MIN(AH25,cfg_EOS_TH)-MIN(AI25,cfg_EOS_TH))+cfg_EOS_R2*(MAX(AH25-cfg_EOS_TH,0)-MAX(AI25-cfg_EOS_TH,0))))</f>
        <v/>
      </c>
      <c r="AB25" s="116" t="str">
        <f aca="false">IF($B25="","",IF(الموظفون!$T25&lt;&gt;"",الموظفون!$T25,IF(AH25&gt;=cfg_LV_TH,cfg_LV_D2,cfg_LV_D1))/cfg_DAYS_Y*AJ25*الموظفون!$R25/cfg_DAYS_M)</f>
        <v/>
      </c>
      <c r="AC25" s="116" t="str">
        <f aca="false">IF($B25="","",IF(AND(الموظفون!$U25="نعم",N(الموظفون!$W25)&gt;0),الموظفون!$V25/الموظفون!$W25*12/cfg_DAYS_Y*AJ25,0))</f>
        <v/>
      </c>
      <c r="AD25" s="116" t="str">
        <f aca="false">IF($B25="","",(IF(الموظفون!$X25&lt;&gt;"",الموظفون!$X25,IF(الموظفون!$E25="غير سعودي",cfg_IQ,0))+IF(الموظفون!$Y25&lt;&gt;"",الموظفون!$Y25,IF(الموظفون!$E25="غير سعودي",cfg_WP,0)))/12*G25/cfg_DAYS_M)</f>
        <v/>
      </c>
      <c r="AE25" s="116" t="str">
        <f aca="false">IF($B25="","",IF(الموظفون!$Z25&lt;&gt;"",الموظفون!$Z25,cfg_MED)/12*G25/cfg_DAYS_M)</f>
        <v/>
      </c>
      <c r="AF25" s="116" t="str">
        <f aca="false">IF($B25="","",N(الموظفون!$AA25)/12*G25/cfg_DAYS_M)</f>
        <v/>
      </c>
      <c r="AG25" s="159" t="str">
        <f aca="false">IF($B25="","",T25+SUM(Z25:AF25))</f>
        <v/>
      </c>
      <c r="AH25" s="160" t="str">
        <f aca="false">IF($B25="","",MAX(0,IF(OR(الموظفون!$AE25="",الموظفون!$AE25&gt;$F$3),$F$3,الموظفون!$AE25)-الموظفون!$H25+1-SUMIFS('سجل الإجازات والحالات'!$AS$6:$AS$505,'سجل الإجازات والحالات'!$B$6:$B$505,$B25))/cfg_DAYS_Y)</f>
        <v/>
      </c>
      <c r="AI25" s="160" t="str">
        <f aca="false">IF($B25="","",MAX(0,IF(OR(الموظفون!$AE25="",الموظفون!$AE25&gt;($E$3-1)),($E$3-1),الموظفون!$AE25)-الموظفون!$H25+1-SUMIFS('سجل الإجازات والحالات'!$AR$6:$AR$505,'سجل الإجازات والحالات'!$B$6:$B$505,$B25))/cfg_DAYS_Y)</f>
        <v/>
      </c>
      <c r="AJ25" s="133" t="str">
        <f aca="false">IF($B25="","",MAX(0,AK25-(SUMIFS('سجل الإجازات والحالات'!$AS$6:$AS$505,'سجل الإجازات والحالات'!$B$6:$B$505,$B25)-SUMIFS('سجل الإجازات والحالات'!$AR$6:$AR$505,'سجل الإجازات والحالات'!$B$6:$B$505,$B25))))</f>
        <v/>
      </c>
      <c r="AK25" s="133" t="str">
        <f aca="false">IF($B25="","",MAX(0,IF(OR(الموظفون!$AE25="",الموظفون!$AE25&gt;$F$3),$F$3,الموظفون!$AE25)-MAX($E$3,الموظفون!$H25)+1))</f>
        <v/>
      </c>
      <c r="AL25" s="156" t="str">
        <f aca="false">IF($B25="","",SUMIFS('سجل الإجازات والحالات'!$BE$6:$BE$505,'سجل الإجازات والحالات'!$B$6:$B$505,$B25)+SUMIFS('الحركات الشهرية'!$K$6:$K$1005,'الحركات الشهرية'!$B$6:$B$1005,$B25,'الحركات الشهرية'!$A$6:$A$1005,$C$3))</f>
        <v/>
      </c>
      <c r="AM25" s="116" t="str">
        <f aca="false">IF($B25="","",AL25*الموظفون!$R25/cfg_DAYS_M+S25)</f>
        <v/>
      </c>
      <c r="AN25" s="156" t="str">
        <f aca="false">IF($B25="","",SUMIFS('سجل الإجازات والحالات'!$AG$6:$AG$505,'سجل الإجازات والحالات'!$B$6:$B$505,$B25))</f>
        <v/>
      </c>
    </row>
    <row r="26" customFormat="false" ht="15" hidden="false" customHeight="false" outlineLevel="0" collapsed="false">
      <c r="A26" s="106" t="str">
        <f aca="false">IF($B26="","",الموظفون!$A26)</f>
        <v/>
      </c>
      <c r="B26" s="114" t="str">
        <f aca="false">IF(الموظفون!$B26="","",الموظفون!$B26)</f>
        <v/>
      </c>
      <c r="C26" s="114" t="str">
        <f aca="false">IF($B26="","",الموظفون!$C26)</f>
        <v/>
      </c>
      <c r="D26" s="114" t="str">
        <f aca="false">IF($B26="","",الموظفون!$F26)</f>
        <v/>
      </c>
      <c r="E26" s="114" t="str">
        <f aca="false">IF($B26="","",الموظفون!$E26)</f>
        <v/>
      </c>
      <c r="F26" s="114" t="str">
        <f aca="false">IF($B26="","",IF(AK26=0,IF(AND(الموظفون!$AE26&lt;&gt;"",الموظفون!$AE26&lt;$E$3),"✖ منتهي الخدمة","⏳ لم يباشر"),IF(S26&gt;0,"✈ راتب إجازة مقدم",IF(J26=0,"⛔ بدون راتب هذا الشهر",IF(I26&gt;0,"✈ خصم "&amp;ROUND(I26,2)&amp;" يوم بدون أجر",IF(AL26&gt;0,"🌴 إجازة سنوية "&amp;ROUND(AL26,2)&amp;" يوم",IF(H26&gt;0,"⚠ غياب "&amp;ROUND(H26,2)&amp;" يوم","✔ على رأس العمل")))))))</f>
        <v/>
      </c>
      <c r="G26" s="151" t="str">
        <f aca="false">IF($B26="","",IF(AK26&gt;=DAY($F$3),cfg_DAYS_M,MIN(AK26,cfg_DAYS_M)))</f>
        <v/>
      </c>
      <c r="H26" s="151" t="str">
        <f aca="false">IF($B26="","",SUMIFS('الحركات الشهرية'!$D$6:$D$1005,'الحركات الشهرية'!$B$6:$B$1005,$B26,'الحركات الشهرية'!$A$6:$A$1005,$C$3))</f>
        <v/>
      </c>
      <c r="I26" s="151" t="str">
        <f aca="false">IF($B26="","",MIN(G26,IF(AND(AK26&gt;0,AN26&gt;=AK26),G26,AN26)+SUMIFS('الحركات الشهرية'!$E$6:$E$1005,'الحركات الشهرية'!$B$6:$B$1005,$B26,'الحركات الشهرية'!$A$6:$A$1005,$C$3)))</f>
        <v/>
      </c>
      <c r="J26" s="151" t="str">
        <f aca="false">IF($B26="","",MAX(0,G26-H26-I26))</f>
        <v/>
      </c>
      <c r="K26" s="111" t="str">
        <f aca="false">IF($B26="","",الموظفون!$L26*$J26/cfg_DAYS_M)</f>
        <v/>
      </c>
      <c r="L26" s="111" t="str">
        <f aca="false">IF($B26="","",الموظفون!$M26*$J26/cfg_DAYS_M)</f>
        <v/>
      </c>
      <c r="M26" s="111" t="str">
        <f aca="false">IF($B26="","",الموظفون!$N26*$J26/cfg_DAYS_M)</f>
        <v/>
      </c>
      <c r="N26" s="111" t="str">
        <f aca="false">IF($B26="","",الموظفون!$O26*$J26/cfg_DAYS_M)</f>
        <v/>
      </c>
      <c r="O26" s="151" t="str">
        <f aca="false">IF($B26="","",SUMIFS('الحركات الشهرية'!$F$6:$F$1005,'الحركات الشهرية'!$B$6:$B$1005,$B26,'الحركات الشهرية'!$A$6:$A$1005,$C$3))</f>
        <v/>
      </c>
      <c r="P26" s="111" t="str">
        <f aca="false">IF($B26="","",O26*(الموظفون!$P26+الموظفون!$L26*cfg_OT_P)/cfg_DAYS_M/cfg_HRS)</f>
        <v/>
      </c>
      <c r="Q26" s="111" t="str">
        <f aca="false">IF($B26="","",SUMIFS('الحركات الشهرية'!$G$6:$G$1005,'الحركات الشهرية'!$B$6:$B$1005,$B26,'الحركات الشهرية'!$A$6:$A$1005,$C$3))</f>
        <v/>
      </c>
      <c r="R26" s="111" t="str">
        <f aca="false">IF($B26="","",SUMIFS('الحركات الشهرية'!$H$6:$H$1005,'الحركات الشهرية'!$B$6:$B$1005,$B26,'الحركات الشهرية'!$A$6:$A$1005,$C$3))</f>
        <v/>
      </c>
      <c r="S26" s="111" t="str">
        <f aca="false">IF($B26="","",SUMIFS('سجل الإجازات والحالات'!$N$6:$N$505,'سجل الإجازات والحالات'!$B$6:$B$505,$B26,'سجل الإجازات والحالات'!$O$6:$O$505,$C$3))</f>
        <v/>
      </c>
      <c r="T26" s="152" t="str">
        <f aca="false">IF($B26="","",SUM(K26:N26)+SUM(P26:S26))</f>
        <v/>
      </c>
      <c r="U26" s="111" t="str">
        <f aca="false">IF($B26="","",الموظفون!$S26*IF(E26="سعودي",cfg_G_SE,cfg_G_NE)*G26/cfg_DAYS_M)</f>
        <v/>
      </c>
      <c r="V26" s="111" t="str">
        <f aca="false">IF($B26="","",SUMIFS('الحركات الشهرية'!$I$6:$I$1005,'الحركات الشهرية'!$B$6:$B$1005,$B26,'الحركات الشهرية'!$A$6:$A$1005,$C$3))</f>
        <v/>
      </c>
      <c r="W26" s="111" t="str">
        <f aca="false">IF($B26="","",SUMIFS('الحركات الشهرية'!$J$6:$J$1005,'الحركات الشهرية'!$B$6:$B$1005,$B26,'الحركات الشهرية'!$A$6:$A$1005,$C$3))</f>
        <v/>
      </c>
      <c r="X26" s="111" t="str">
        <f aca="false">IF($B26="","",SUM(U26:W26))</f>
        <v/>
      </c>
      <c r="Y26" s="153" t="str">
        <f aca="false">IF($B26="","",T26-X26)</f>
        <v/>
      </c>
      <c r="Z26" s="111" t="str">
        <f aca="false">IF($B26="","",الموظفون!$S26*IF(E26="سعودي",cfg_G_SR,cfg_G_NR)*G26/cfg_DAYS_M)</f>
        <v/>
      </c>
      <c r="AA26" s="111" t="str">
        <f aca="false">IF($B26="","",الموظفون!$Q26*(cfg_EOS_R1*(MIN(AH26,cfg_EOS_TH)-MIN(AI26,cfg_EOS_TH))+cfg_EOS_R2*(MAX(AH26-cfg_EOS_TH,0)-MAX(AI26-cfg_EOS_TH,0))))</f>
        <v/>
      </c>
      <c r="AB26" s="111" t="str">
        <f aca="false">IF($B26="","",IF(الموظفون!$T26&lt;&gt;"",الموظفون!$T26,IF(AH26&gt;=cfg_LV_TH,cfg_LV_D2,cfg_LV_D1))/cfg_DAYS_Y*AJ26*الموظفون!$R26/cfg_DAYS_M)</f>
        <v/>
      </c>
      <c r="AC26" s="111" t="str">
        <f aca="false">IF($B26="","",IF(AND(الموظفون!$U26="نعم",N(الموظفون!$W26)&gt;0),الموظفون!$V26/الموظفون!$W26*12/cfg_DAYS_Y*AJ26,0))</f>
        <v/>
      </c>
      <c r="AD26" s="111" t="str">
        <f aca="false">IF($B26="","",(IF(الموظفون!$X26&lt;&gt;"",الموظفون!$X26,IF(الموظفون!$E26="غير سعودي",cfg_IQ,0))+IF(الموظفون!$Y26&lt;&gt;"",الموظفون!$Y26,IF(الموظفون!$E26="غير سعودي",cfg_WP,0)))/12*G26/cfg_DAYS_M)</f>
        <v/>
      </c>
      <c r="AE26" s="111" t="str">
        <f aca="false">IF($B26="","",IF(الموظفون!$Z26&lt;&gt;"",الموظفون!$Z26,cfg_MED)/12*G26/cfg_DAYS_M)</f>
        <v/>
      </c>
      <c r="AF26" s="111" t="str">
        <f aca="false">IF($B26="","",N(الموظفون!$AA26)/12*G26/cfg_DAYS_M)</f>
        <v/>
      </c>
      <c r="AG26" s="154" t="str">
        <f aca="false">IF($B26="","",T26+SUM(Z26:AF26))</f>
        <v/>
      </c>
      <c r="AH26" s="155" t="str">
        <f aca="false">IF($B26="","",MAX(0,IF(OR(الموظفون!$AE26="",الموظفون!$AE26&gt;$F$3),$F$3,الموظفون!$AE26)-الموظفون!$H26+1-SUMIFS('سجل الإجازات والحالات'!$AS$6:$AS$505,'سجل الإجازات والحالات'!$B$6:$B$505,$B26))/cfg_DAYS_Y)</f>
        <v/>
      </c>
      <c r="AI26" s="155" t="str">
        <f aca="false">IF($B26="","",MAX(0,IF(OR(الموظفون!$AE26="",الموظفون!$AE26&gt;($E$3-1)),($E$3-1),الموظفون!$AE26)-الموظفون!$H26+1-SUMIFS('سجل الإجازات والحالات'!$AR$6:$AR$505,'سجل الإجازات والحالات'!$B$6:$B$505,$B26))/cfg_DAYS_Y)</f>
        <v/>
      </c>
      <c r="AJ26" s="65" t="str">
        <f aca="false">IF($B26="","",MAX(0,AK26-(SUMIFS('سجل الإجازات والحالات'!$AS$6:$AS$505,'سجل الإجازات والحالات'!$B$6:$B$505,$B26)-SUMIFS('سجل الإجازات والحالات'!$AR$6:$AR$505,'سجل الإجازات والحالات'!$B$6:$B$505,$B26))))</f>
        <v/>
      </c>
      <c r="AK26" s="65" t="str">
        <f aca="false">IF($B26="","",MAX(0,IF(OR(الموظفون!$AE26="",الموظفون!$AE26&gt;$F$3),$F$3,الموظفون!$AE26)-MAX($E$3,الموظفون!$H26)+1))</f>
        <v/>
      </c>
      <c r="AL26" s="151" t="str">
        <f aca="false">IF($B26="","",SUMIFS('سجل الإجازات والحالات'!$BE$6:$BE$505,'سجل الإجازات والحالات'!$B$6:$B$505,$B26)+SUMIFS('الحركات الشهرية'!$K$6:$K$1005,'الحركات الشهرية'!$B$6:$B$1005,$B26,'الحركات الشهرية'!$A$6:$A$1005,$C$3))</f>
        <v/>
      </c>
      <c r="AM26" s="111" t="str">
        <f aca="false">IF($B26="","",AL26*الموظفون!$R26/cfg_DAYS_M+S26)</f>
        <v/>
      </c>
      <c r="AN26" s="151" t="str">
        <f aca="false">IF($B26="","",SUMIFS('سجل الإجازات والحالات'!$AG$6:$AG$505,'سجل الإجازات والحالات'!$B$6:$B$505,$B26))</f>
        <v/>
      </c>
    </row>
    <row r="27" customFormat="false" ht="15" hidden="false" customHeight="false" outlineLevel="0" collapsed="false">
      <c r="A27" s="115" t="str">
        <f aca="false">IF($B27="","",الموظفون!$A27)</f>
        <v/>
      </c>
      <c r="B27" s="117" t="str">
        <f aca="false">IF(الموظفون!$B27="","",الموظفون!$B27)</f>
        <v/>
      </c>
      <c r="C27" s="117" t="str">
        <f aca="false">IF($B27="","",الموظفون!$C27)</f>
        <v/>
      </c>
      <c r="D27" s="117" t="str">
        <f aca="false">IF($B27="","",الموظفون!$F27)</f>
        <v/>
      </c>
      <c r="E27" s="117" t="str">
        <f aca="false">IF($B27="","",الموظفون!$E27)</f>
        <v/>
      </c>
      <c r="F27" s="117" t="str">
        <f aca="false">IF($B27="","",IF(AK27=0,IF(AND(الموظفون!$AE27&lt;&gt;"",الموظفون!$AE27&lt;$E$3),"✖ منتهي الخدمة","⏳ لم يباشر"),IF(S27&gt;0,"✈ راتب إجازة مقدم",IF(J27=0,"⛔ بدون راتب هذا الشهر",IF(I27&gt;0,"✈ خصم "&amp;ROUND(I27,2)&amp;" يوم بدون أجر",IF(AL27&gt;0,"🌴 إجازة سنوية "&amp;ROUND(AL27,2)&amp;" يوم",IF(H27&gt;0,"⚠ غياب "&amp;ROUND(H27,2)&amp;" يوم","✔ على رأس العمل")))))))</f>
        <v/>
      </c>
      <c r="G27" s="156" t="str">
        <f aca="false">IF($B27="","",IF(AK27&gt;=DAY($F$3),cfg_DAYS_M,MIN(AK27,cfg_DAYS_M)))</f>
        <v/>
      </c>
      <c r="H27" s="156" t="str">
        <f aca="false">IF($B27="","",SUMIFS('الحركات الشهرية'!$D$6:$D$1005,'الحركات الشهرية'!$B$6:$B$1005,$B27,'الحركات الشهرية'!$A$6:$A$1005,$C$3))</f>
        <v/>
      </c>
      <c r="I27" s="156" t="str">
        <f aca="false">IF($B27="","",MIN(G27,IF(AND(AK27&gt;0,AN27&gt;=AK27),G27,AN27)+SUMIFS('الحركات الشهرية'!$E$6:$E$1005,'الحركات الشهرية'!$B$6:$B$1005,$B27,'الحركات الشهرية'!$A$6:$A$1005,$C$3)))</f>
        <v/>
      </c>
      <c r="J27" s="156" t="str">
        <f aca="false">IF($B27="","",MAX(0,G27-H27-I27))</f>
        <v/>
      </c>
      <c r="K27" s="116" t="str">
        <f aca="false">IF($B27="","",الموظفون!$L27*$J27/cfg_DAYS_M)</f>
        <v/>
      </c>
      <c r="L27" s="116" t="str">
        <f aca="false">IF($B27="","",الموظفون!$M27*$J27/cfg_DAYS_M)</f>
        <v/>
      </c>
      <c r="M27" s="116" t="str">
        <f aca="false">IF($B27="","",الموظفون!$N27*$J27/cfg_DAYS_M)</f>
        <v/>
      </c>
      <c r="N27" s="116" t="str">
        <f aca="false">IF($B27="","",الموظفون!$O27*$J27/cfg_DAYS_M)</f>
        <v/>
      </c>
      <c r="O27" s="156" t="str">
        <f aca="false">IF($B27="","",SUMIFS('الحركات الشهرية'!$F$6:$F$1005,'الحركات الشهرية'!$B$6:$B$1005,$B27,'الحركات الشهرية'!$A$6:$A$1005,$C$3))</f>
        <v/>
      </c>
      <c r="P27" s="116" t="str">
        <f aca="false">IF($B27="","",O27*(الموظفون!$P27+الموظفون!$L27*cfg_OT_P)/cfg_DAYS_M/cfg_HRS)</f>
        <v/>
      </c>
      <c r="Q27" s="116" t="str">
        <f aca="false">IF($B27="","",SUMIFS('الحركات الشهرية'!$G$6:$G$1005,'الحركات الشهرية'!$B$6:$B$1005,$B27,'الحركات الشهرية'!$A$6:$A$1005,$C$3))</f>
        <v/>
      </c>
      <c r="R27" s="116" t="str">
        <f aca="false">IF($B27="","",SUMIFS('الحركات الشهرية'!$H$6:$H$1005,'الحركات الشهرية'!$B$6:$B$1005,$B27,'الحركات الشهرية'!$A$6:$A$1005,$C$3))</f>
        <v/>
      </c>
      <c r="S27" s="116" t="str">
        <f aca="false">IF($B27="","",SUMIFS('سجل الإجازات والحالات'!$N$6:$N$505,'سجل الإجازات والحالات'!$B$6:$B$505,$B27,'سجل الإجازات والحالات'!$O$6:$O$505,$C$3))</f>
        <v/>
      </c>
      <c r="T27" s="157" t="str">
        <f aca="false">IF($B27="","",SUM(K27:N27)+SUM(P27:S27))</f>
        <v/>
      </c>
      <c r="U27" s="116" t="str">
        <f aca="false">IF($B27="","",الموظفون!$S27*IF(E27="سعودي",cfg_G_SE,cfg_G_NE)*G27/cfg_DAYS_M)</f>
        <v/>
      </c>
      <c r="V27" s="116" t="str">
        <f aca="false">IF($B27="","",SUMIFS('الحركات الشهرية'!$I$6:$I$1005,'الحركات الشهرية'!$B$6:$B$1005,$B27,'الحركات الشهرية'!$A$6:$A$1005,$C$3))</f>
        <v/>
      </c>
      <c r="W27" s="116" t="str">
        <f aca="false">IF($B27="","",SUMIFS('الحركات الشهرية'!$J$6:$J$1005,'الحركات الشهرية'!$B$6:$B$1005,$B27,'الحركات الشهرية'!$A$6:$A$1005,$C$3))</f>
        <v/>
      </c>
      <c r="X27" s="116" t="str">
        <f aca="false">IF($B27="","",SUM(U27:W27))</f>
        <v/>
      </c>
      <c r="Y27" s="158" t="str">
        <f aca="false">IF($B27="","",T27-X27)</f>
        <v/>
      </c>
      <c r="Z27" s="116" t="str">
        <f aca="false">IF($B27="","",الموظفون!$S27*IF(E27="سعودي",cfg_G_SR,cfg_G_NR)*G27/cfg_DAYS_M)</f>
        <v/>
      </c>
      <c r="AA27" s="116" t="str">
        <f aca="false">IF($B27="","",الموظفون!$Q27*(cfg_EOS_R1*(MIN(AH27,cfg_EOS_TH)-MIN(AI27,cfg_EOS_TH))+cfg_EOS_R2*(MAX(AH27-cfg_EOS_TH,0)-MAX(AI27-cfg_EOS_TH,0))))</f>
        <v/>
      </c>
      <c r="AB27" s="116" t="str">
        <f aca="false">IF($B27="","",IF(الموظفون!$T27&lt;&gt;"",الموظفون!$T27,IF(AH27&gt;=cfg_LV_TH,cfg_LV_D2,cfg_LV_D1))/cfg_DAYS_Y*AJ27*الموظفون!$R27/cfg_DAYS_M)</f>
        <v/>
      </c>
      <c r="AC27" s="116" t="str">
        <f aca="false">IF($B27="","",IF(AND(الموظفون!$U27="نعم",N(الموظفون!$W27)&gt;0),الموظفون!$V27/الموظفون!$W27*12/cfg_DAYS_Y*AJ27,0))</f>
        <v/>
      </c>
      <c r="AD27" s="116" t="str">
        <f aca="false">IF($B27="","",(IF(الموظفون!$X27&lt;&gt;"",الموظفون!$X27,IF(الموظفون!$E27="غير سعودي",cfg_IQ,0))+IF(الموظفون!$Y27&lt;&gt;"",الموظفون!$Y27,IF(الموظفون!$E27="غير سعودي",cfg_WP,0)))/12*G27/cfg_DAYS_M)</f>
        <v/>
      </c>
      <c r="AE27" s="116" t="str">
        <f aca="false">IF($B27="","",IF(الموظفون!$Z27&lt;&gt;"",الموظفون!$Z27,cfg_MED)/12*G27/cfg_DAYS_M)</f>
        <v/>
      </c>
      <c r="AF27" s="116" t="str">
        <f aca="false">IF($B27="","",N(الموظفون!$AA27)/12*G27/cfg_DAYS_M)</f>
        <v/>
      </c>
      <c r="AG27" s="159" t="str">
        <f aca="false">IF($B27="","",T27+SUM(Z27:AF27))</f>
        <v/>
      </c>
      <c r="AH27" s="160" t="str">
        <f aca="false">IF($B27="","",MAX(0,IF(OR(الموظفون!$AE27="",الموظفون!$AE27&gt;$F$3),$F$3,الموظفون!$AE27)-الموظفون!$H27+1-SUMIFS('سجل الإجازات والحالات'!$AS$6:$AS$505,'سجل الإجازات والحالات'!$B$6:$B$505,$B27))/cfg_DAYS_Y)</f>
        <v/>
      </c>
      <c r="AI27" s="160" t="str">
        <f aca="false">IF($B27="","",MAX(0,IF(OR(الموظفون!$AE27="",الموظفون!$AE27&gt;($E$3-1)),($E$3-1),الموظفون!$AE27)-الموظفون!$H27+1-SUMIFS('سجل الإجازات والحالات'!$AR$6:$AR$505,'سجل الإجازات والحالات'!$B$6:$B$505,$B27))/cfg_DAYS_Y)</f>
        <v/>
      </c>
      <c r="AJ27" s="133" t="str">
        <f aca="false">IF($B27="","",MAX(0,AK27-(SUMIFS('سجل الإجازات والحالات'!$AS$6:$AS$505,'سجل الإجازات والحالات'!$B$6:$B$505,$B27)-SUMIFS('سجل الإجازات والحالات'!$AR$6:$AR$505,'سجل الإجازات والحالات'!$B$6:$B$505,$B27))))</f>
        <v/>
      </c>
      <c r="AK27" s="133" t="str">
        <f aca="false">IF($B27="","",MAX(0,IF(OR(الموظفون!$AE27="",الموظفون!$AE27&gt;$F$3),$F$3,الموظفون!$AE27)-MAX($E$3,الموظفون!$H27)+1))</f>
        <v/>
      </c>
      <c r="AL27" s="156" t="str">
        <f aca="false">IF($B27="","",SUMIFS('سجل الإجازات والحالات'!$BE$6:$BE$505,'سجل الإجازات والحالات'!$B$6:$B$505,$B27)+SUMIFS('الحركات الشهرية'!$K$6:$K$1005,'الحركات الشهرية'!$B$6:$B$1005,$B27,'الحركات الشهرية'!$A$6:$A$1005,$C$3))</f>
        <v/>
      </c>
      <c r="AM27" s="116" t="str">
        <f aca="false">IF($B27="","",AL27*الموظفون!$R27/cfg_DAYS_M+S27)</f>
        <v/>
      </c>
      <c r="AN27" s="156" t="str">
        <f aca="false">IF($B27="","",SUMIFS('سجل الإجازات والحالات'!$AG$6:$AG$505,'سجل الإجازات والحالات'!$B$6:$B$505,$B27))</f>
        <v/>
      </c>
    </row>
    <row r="28" customFormat="false" ht="15" hidden="false" customHeight="false" outlineLevel="0" collapsed="false">
      <c r="A28" s="106" t="str">
        <f aca="false">IF($B28="","",الموظفون!$A28)</f>
        <v/>
      </c>
      <c r="B28" s="114" t="str">
        <f aca="false">IF(الموظفون!$B28="","",الموظفون!$B28)</f>
        <v/>
      </c>
      <c r="C28" s="114" t="str">
        <f aca="false">IF($B28="","",الموظفون!$C28)</f>
        <v/>
      </c>
      <c r="D28" s="114" t="str">
        <f aca="false">IF($B28="","",الموظفون!$F28)</f>
        <v/>
      </c>
      <c r="E28" s="114" t="str">
        <f aca="false">IF($B28="","",الموظفون!$E28)</f>
        <v/>
      </c>
      <c r="F28" s="114" t="str">
        <f aca="false">IF($B28="","",IF(AK28=0,IF(AND(الموظفون!$AE28&lt;&gt;"",الموظفون!$AE28&lt;$E$3),"✖ منتهي الخدمة","⏳ لم يباشر"),IF(S28&gt;0,"✈ راتب إجازة مقدم",IF(J28=0,"⛔ بدون راتب هذا الشهر",IF(I28&gt;0,"✈ خصم "&amp;ROUND(I28,2)&amp;" يوم بدون أجر",IF(AL28&gt;0,"🌴 إجازة سنوية "&amp;ROUND(AL28,2)&amp;" يوم",IF(H28&gt;0,"⚠ غياب "&amp;ROUND(H28,2)&amp;" يوم","✔ على رأس العمل")))))))</f>
        <v/>
      </c>
      <c r="G28" s="151" t="str">
        <f aca="false">IF($B28="","",IF(AK28&gt;=DAY($F$3),cfg_DAYS_M,MIN(AK28,cfg_DAYS_M)))</f>
        <v/>
      </c>
      <c r="H28" s="151" t="str">
        <f aca="false">IF($B28="","",SUMIFS('الحركات الشهرية'!$D$6:$D$1005,'الحركات الشهرية'!$B$6:$B$1005,$B28,'الحركات الشهرية'!$A$6:$A$1005,$C$3))</f>
        <v/>
      </c>
      <c r="I28" s="151" t="str">
        <f aca="false">IF($B28="","",MIN(G28,IF(AND(AK28&gt;0,AN28&gt;=AK28),G28,AN28)+SUMIFS('الحركات الشهرية'!$E$6:$E$1005,'الحركات الشهرية'!$B$6:$B$1005,$B28,'الحركات الشهرية'!$A$6:$A$1005,$C$3)))</f>
        <v/>
      </c>
      <c r="J28" s="151" t="str">
        <f aca="false">IF($B28="","",MAX(0,G28-H28-I28))</f>
        <v/>
      </c>
      <c r="K28" s="111" t="str">
        <f aca="false">IF($B28="","",الموظفون!$L28*$J28/cfg_DAYS_M)</f>
        <v/>
      </c>
      <c r="L28" s="111" t="str">
        <f aca="false">IF($B28="","",الموظفون!$M28*$J28/cfg_DAYS_M)</f>
        <v/>
      </c>
      <c r="M28" s="111" t="str">
        <f aca="false">IF($B28="","",الموظفون!$N28*$J28/cfg_DAYS_M)</f>
        <v/>
      </c>
      <c r="N28" s="111" t="str">
        <f aca="false">IF($B28="","",الموظفون!$O28*$J28/cfg_DAYS_M)</f>
        <v/>
      </c>
      <c r="O28" s="151" t="str">
        <f aca="false">IF($B28="","",SUMIFS('الحركات الشهرية'!$F$6:$F$1005,'الحركات الشهرية'!$B$6:$B$1005,$B28,'الحركات الشهرية'!$A$6:$A$1005,$C$3))</f>
        <v/>
      </c>
      <c r="P28" s="111" t="str">
        <f aca="false">IF($B28="","",O28*(الموظفون!$P28+الموظفون!$L28*cfg_OT_P)/cfg_DAYS_M/cfg_HRS)</f>
        <v/>
      </c>
      <c r="Q28" s="111" t="str">
        <f aca="false">IF($B28="","",SUMIFS('الحركات الشهرية'!$G$6:$G$1005,'الحركات الشهرية'!$B$6:$B$1005,$B28,'الحركات الشهرية'!$A$6:$A$1005,$C$3))</f>
        <v/>
      </c>
      <c r="R28" s="111" t="str">
        <f aca="false">IF($B28="","",SUMIFS('الحركات الشهرية'!$H$6:$H$1005,'الحركات الشهرية'!$B$6:$B$1005,$B28,'الحركات الشهرية'!$A$6:$A$1005,$C$3))</f>
        <v/>
      </c>
      <c r="S28" s="111" t="str">
        <f aca="false">IF($B28="","",SUMIFS('سجل الإجازات والحالات'!$N$6:$N$505,'سجل الإجازات والحالات'!$B$6:$B$505,$B28,'سجل الإجازات والحالات'!$O$6:$O$505,$C$3))</f>
        <v/>
      </c>
      <c r="T28" s="152" t="str">
        <f aca="false">IF($B28="","",SUM(K28:N28)+SUM(P28:S28))</f>
        <v/>
      </c>
      <c r="U28" s="111" t="str">
        <f aca="false">IF($B28="","",الموظفون!$S28*IF(E28="سعودي",cfg_G_SE,cfg_G_NE)*G28/cfg_DAYS_M)</f>
        <v/>
      </c>
      <c r="V28" s="111" t="str">
        <f aca="false">IF($B28="","",SUMIFS('الحركات الشهرية'!$I$6:$I$1005,'الحركات الشهرية'!$B$6:$B$1005,$B28,'الحركات الشهرية'!$A$6:$A$1005,$C$3))</f>
        <v/>
      </c>
      <c r="W28" s="111" t="str">
        <f aca="false">IF($B28="","",SUMIFS('الحركات الشهرية'!$J$6:$J$1005,'الحركات الشهرية'!$B$6:$B$1005,$B28,'الحركات الشهرية'!$A$6:$A$1005,$C$3))</f>
        <v/>
      </c>
      <c r="X28" s="111" t="str">
        <f aca="false">IF($B28="","",SUM(U28:W28))</f>
        <v/>
      </c>
      <c r="Y28" s="153" t="str">
        <f aca="false">IF($B28="","",T28-X28)</f>
        <v/>
      </c>
      <c r="Z28" s="111" t="str">
        <f aca="false">IF($B28="","",الموظفون!$S28*IF(E28="سعودي",cfg_G_SR,cfg_G_NR)*G28/cfg_DAYS_M)</f>
        <v/>
      </c>
      <c r="AA28" s="111" t="str">
        <f aca="false">IF($B28="","",الموظفون!$Q28*(cfg_EOS_R1*(MIN(AH28,cfg_EOS_TH)-MIN(AI28,cfg_EOS_TH))+cfg_EOS_R2*(MAX(AH28-cfg_EOS_TH,0)-MAX(AI28-cfg_EOS_TH,0))))</f>
        <v/>
      </c>
      <c r="AB28" s="111" t="str">
        <f aca="false">IF($B28="","",IF(الموظفون!$T28&lt;&gt;"",الموظفون!$T28,IF(AH28&gt;=cfg_LV_TH,cfg_LV_D2,cfg_LV_D1))/cfg_DAYS_Y*AJ28*الموظفون!$R28/cfg_DAYS_M)</f>
        <v/>
      </c>
      <c r="AC28" s="111" t="str">
        <f aca="false">IF($B28="","",IF(AND(الموظفون!$U28="نعم",N(الموظفون!$W28)&gt;0),الموظفون!$V28/الموظفون!$W28*12/cfg_DAYS_Y*AJ28,0))</f>
        <v/>
      </c>
      <c r="AD28" s="111" t="str">
        <f aca="false">IF($B28="","",(IF(الموظفون!$X28&lt;&gt;"",الموظفون!$X28,IF(الموظفون!$E28="غير سعودي",cfg_IQ,0))+IF(الموظفون!$Y28&lt;&gt;"",الموظفون!$Y28,IF(الموظفون!$E28="غير سعودي",cfg_WP,0)))/12*G28/cfg_DAYS_M)</f>
        <v/>
      </c>
      <c r="AE28" s="111" t="str">
        <f aca="false">IF($B28="","",IF(الموظفون!$Z28&lt;&gt;"",الموظفون!$Z28,cfg_MED)/12*G28/cfg_DAYS_M)</f>
        <v/>
      </c>
      <c r="AF28" s="111" t="str">
        <f aca="false">IF($B28="","",N(الموظفون!$AA28)/12*G28/cfg_DAYS_M)</f>
        <v/>
      </c>
      <c r="AG28" s="154" t="str">
        <f aca="false">IF($B28="","",T28+SUM(Z28:AF28))</f>
        <v/>
      </c>
      <c r="AH28" s="155" t="str">
        <f aca="false">IF($B28="","",MAX(0,IF(OR(الموظفون!$AE28="",الموظفون!$AE28&gt;$F$3),$F$3,الموظفون!$AE28)-الموظفون!$H28+1-SUMIFS('سجل الإجازات والحالات'!$AS$6:$AS$505,'سجل الإجازات والحالات'!$B$6:$B$505,$B28))/cfg_DAYS_Y)</f>
        <v/>
      </c>
      <c r="AI28" s="155" t="str">
        <f aca="false">IF($B28="","",MAX(0,IF(OR(الموظفون!$AE28="",الموظفون!$AE28&gt;($E$3-1)),($E$3-1),الموظفون!$AE28)-الموظفون!$H28+1-SUMIFS('سجل الإجازات والحالات'!$AR$6:$AR$505,'سجل الإجازات والحالات'!$B$6:$B$505,$B28))/cfg_DAYS_Y)</f>
        <v/>
      </c>
      <c r="AJ28" s="65" t="str">
        <f aca="false">IF($B28="","",MAX(0,AK28-(SUMIFS('سجل الإجازات والحالات'!$AS$6:$AS$505,'سجل الإجازات والحالات'!$B$6:$B$505,$B28)-SUMIFS('سجل الإجازات والحالات'!$AR$6:$AR$505,'سجل الإجازات والحالات'!$B$6:$B$505,$B28))))</f>
        <v/>
      </c>
      <c r="AK28" s="65" t="str">
        <f aca="false">IF($B28="","",MAX(0,IF(OR(الموظفون!$AE28="",الموظفون!$AE28&gt;$F$3),$F$3,الموظفون!$AE28)-MAX($E$3,الموظفون!$H28)+1))</f>
        <v/>
      </c>
      <c r="AL28" s="151" t="str">
        <f aca="false">IF($B28="","",SUMIFS('سجل الإجازات والحالات'!$BE$6:$BE$505,'سجل الإجازات والحالات'!$B$6:$B$505,$B28)+SUMIFS('الحركات الشهرية'!$K$6:$K$1005,'الحركات الشهرية'!$B$6:$B$1005,$B28,'الحركات الشهرية'!$A$6:$A$1005,$C$3))</f>
        <v/>
      </c>
      <c r="AM28" s="111" t="str">
        <f aca="false">IF($B28="","",AL28*الموظفون!$R28/cfg_DAYS_M+S28)</f>
        <v/>
      </c>
      <c r="AN28" s="151" t="str">
        <f aca="false">IF($B28="","",SUMIFS('سجل الإجازات والحالات'!$AG$6:$AG$505,'سجل الإجازات والحالات'!$B$6:$B$505,$B28))</f>
        <v/>
      </c>
    </row>
    <row r="29" customFormat="false" ht="15" hidden="false" customHeight="false" outlineLevel="0" collapsed="false">
      <c r="A29" s="115" t="str">
        <f aca="false">IF($B29="","",الموظفون!$A29)</f>
        <v/>
      </c>
      <c r="B29" s="117" t="str">
        <f aca="false">IF(الموظفون!$B29="","",الموظفون!$B29)</f>
        <v/>
      </c>
      <c r="C29" s="117" t="str">
        <f aca="false">IF($B29="","",الموظفون!$C29)</f>
        <v/>
      </c>
      <c r="D29" s="117" t="str">
        <f aca="false">IF($B29="","",الموظفون!$F29)</f>
        <v/>
      </c>
      <c r="E29" s="117" t="str">
        <f aca="false">IF($B29="","",الموظفون!$E29)</f>
        <v/>
      </c>
      <c r="F29" s="117" t="str">
        <f aca="false">IF($B29="","",IF(AK29=0,IF(AND(الموظفون!$AE29&lt;&gt;"",الموظفون!$AE29&lt;$E$3),"✖ منتهي الخدمة","⏳ لم يباشر"),IF(S29&gt;0,"✈ راتب إجازة مقدم",IF(J29=0,"⛔ بدون راتب هذا الشهر",IF(I29&gt;0,"✈ خصم "&amp;ROUND(I29,2)&amp;" يوم بدون أجر",IF(AL29&gt;0,"🌴 إجازة سنوية "&amp;ROUND(AL29,2)&amp;" يوم",IF(H29&gt;0,"⚠ غياب "&amp;ROUND(H29,2)&amp;" يوم","✔ على رأس العمل")))))))</f>
        <v/>
      </c>
      <c r="G29" s="156" t="str">
        <f aca="false">IF($B29="","",IF(AK29&gt;=DAY($F$3),cfg_DAYS_M,MIN(AK29,cfg_DAYS_M)))</f>
        <v/>
      </c>
      <c r="H29" s="156" t="str">
        <f aca="false">IF($B29="","",SUMIFS('الحركات الشهرية'!$D$6:$D$1005,'الحركات الشهرية'!$B$6:$B$1005,$B29,'الحركات الشهرية'!$A$6:$A$1005,$C$3))</f>
        <v/>
      </c>
      <c r="I29" s="156" t="str">
        <f aca="false">IF($B29="","",MIN(G29,IF(AND(AK29&gt;0,AN29&gt;=AK29),G29,AN29)+SUMIFS('الحركات الشهرية'!$E$6:$E$1005,'الحركات الشهرية'!$B$6:$B$1005,$B29,'الحركات الشهرية'!$A$6:$A$1005,$C$3)))</f>
        <v/>
      </c>
      <c r="J29" s="156" t="str">
        <f aca="false">IF($B29="","",MAX(0,G29-H29-I29))</f>
        <v/>
      </c>
      <c r="K29" s="116" t="str">
        <f aca="false">IF($B29="","",الموظفون!$L29*$J29/cfg_DAYS_M)</f>
        <v/>
      </c>
      <c r="L29" s="116" t="str">
        <f aca="false">IF($B29="","",الموظفون!$M29*$J29/cfg_DAYS_M)</f>
        <v/>
      </c>
      <c r="M29" s="116" t="str">
        <f aca="false">IF($B29="","",الموظفون!$N29*$J29/cfg_DAYS_M)</f>
        <v/>
      </c>
      <c r="N29" s="116" t="str">
        <f aca="false">IF($B29="","",الموظفون!$O29*$J29/cfg_DAYS_M)</f>
        <v/>
      </c>
      <c r="O29" s="156" t="str">
        <f aca="false">IF($B29="","",SUMIFS('الحركات الشهرية'!$F$6:$F$1005,'الحركات الشهرية'!$B$6:$B$1005,$B29,'الحركات الشهرية'!$A$6:$A$1005,$C$3))</f>
        <v/>
      </c>
      <c r="P29" s="116" t="str">
        <f aca="false">IF($B29="","",O29*(الموظفون!$P29+الموظفون!$L29*cfg_OT_P)/cfg_DAYS_M/cfg_HRS)</f>
        <v/>
      </c>
      <c r="Q29" s="116" t="str">
        <f aca="false">IF($B29="","",SUMIFS('الحركات الشهرية'!$G$6:$G$1005,'الحركات الشهرية'!$B$6:$B$1005,$B29,'الحركات الشهرية'!$A$6:$A$1005,$C$3))</f>
        <v/>
      </c>
      <c r="R29" s="116" t="str">
        <f aca="false">IF($B29="","",SUMIFS('الحركات الشهرية'!$H$6:$H$1005,'الحركات الشهرية'!$B$6:$B$1005,$B29,'الحركات الشهرية'!$A$6:$A$1005,$C$3))</f>
        <v/>
      </c>
      <c r="S29" s="116" t="str">
        <f aca="false">IF($B29="","",SUMIFS('سجل الإجازات والحالات'!$N$6:$N$505,'سجل الإجازات والحالات'!$B$6:$B$505,$B29,'سجل الإجازات والحالات'!$O$6:$O$505,$C$3))</f>
        <v/>
      </c>
      <c r="T29" s="157" t="str">
        <f aca="false">IF($B29="","",SUM(K29:N29)+SUM(P29:S29))</f>
        <v/>
      </c>
      <c r="U29" s="116" t="str">
        <f aca="false">IF($B29="","",الموظفون!$S29*IF(E29="سعودي",cfg_G_SE,cfg_G_NE)*G29/cfg_DAYS_M)</f>
        <v/>
      </c>
      <c r="V29" s="116" t="str">
        <f aca="false">IF($B29="","",SUMIFS('الحركات الشهرية'!$I$6:$I$1005,'الحركات الشهرية'!$B$6:$B$1005,$B29,'الحركات الشهرية'!$A$6:$A$1005,$C$3))</f>
        <v/>
      </c>
      <c r="W29" s="116" t="str">
        <f aca="false">IF($B29="","",SUMIFS('الحركات الشهرية'!$J$6:$J$1005,'الحركات الشهرية'!$B$6:$B$1005,$B29,'الحركات الشهرية'!$A$6:$A$1005,$C$3))</f>
        <v/>
      </c>
      <c r="X29" s="116" t="str">
        <f aca="false">IF($B29="","",SUM(U29:W29))</f>
        <v/>
      </c>
      <c r="Y29" s="158" t="str">
        <f aca="false">IF($B29="","",T29-X29)</f>
        <v/>
      </c>
      <c r="Z29" s="116" t="str">
        <f aca="false">IF($B29="","",الموظفون!$S29*IF(E29="سعودي",cfg_G_SR,cfg_G_NR)*G29/cfg_DAYS_M)</f>
        <v/>
      </c>
      <c r="AA29" s="116" t="str">
        <f aca="false">IF($B29="","",الموظفون!$Q29*(cfg_EOS_R1*(MIN(AH29,cfg_EOS_TH)-MIN(AI29,cfg_EOS_TH))+cfg_EOS_R2*(MAX(AH29-cfg_EOS_TH,0)-MAX(AI29-cfg_EOS_TH,0))))</f>
        <v/>
      </c>
      <c r="AB29" s="116" t="str">
        <f aca="false">IF($B29="","",IF(الموظفون!$T29&lt;&gt;"",الموظفون!$T29,IF(AH29&gt;=cfg_LV_TH,cfg_LV_D2,cfg_LV_D1))/cfg_DAYS_Y*AJ29*الموظفون!$R29/cfg_DAYS_M)</f>
        <v/>
      </c>
      <c r="AC29" s="116" t="str">
        <f aca="false">IF($B29="","",IF(AND(الموظفون!$U29="نعم",N(الموظفون!$W29)&gt;0),الموظفون!$V29/الموظفون!$W29*12/cfg_DAYS_Y*AJ29,0))</f>
        <v/>
      </c>
      <c r="AD29" s="116" t="str">
        <f aca="false">IF($B29="","",(IF(الموظفون!$X29&lt;&gt;"",الموظفون!$X29,IF(الموظفون!$E29="غير سعودي",cfg_IQ,0))+IF(الموظفون!$Y29&lt;&gt;"",الموظفون!$Y29,IF(الموظفون!$E29="غير سعودي",cfg_WP,0)))/12*G29/cfg_DAYS_M)</f>
        <v/>
      </c>
      <c r="AE29" s="116" t="str">
        <f aca="false">IF($B29="","",IF(الموظفون!$Z29&lt;&gt;"",الموظفون!$Z29,cfg_MED)/12*G29/cfg_DAYS_M)</f>
        <v/>
      </c>
      <c r="AF29" s="116" t="str">
        <f aca="false">IF($B29="","",N(الموظفون!$AA29)/12*G29/cfg_DAYS_M)</f>
        <v/>
      </c>
      <c r="AG29" s="159" t="str">
        <f aca="false">IF($B29="","",T29+SUM(Z29:AF29))</f>
        <v/>
      </c>
      <c r="AH29" s="160" t="str">
        <f aca="false">IF($B29="","",MAX(0,IF(OR(الموظفون!$AE29="",الموظفون!$AE29&gt;$F$3),$F$3,الموظفون!$AE29)-الموظفون!$H29+1-SUMIFS('سجل الإجازات والحالات'!$AS$6:$AS$505,'سجل الإجازات والحالات'!$B$6:$B$505,$B29))/cfg_DAYS_Y)</f>
        <v/>
      </c>
      <c r="AI29" s="160" t="str">
        <f aca="false">IF($B29="","",MAX(0,IF(OR(الموظفون!$AE29="",الموظفون!$AE29&gt;($E$3-1)),($E$3-1),الموظفون!$AE29)-الموظفون!$H29+1-SUMIFS('سجل الإجازات والحالات'!$AR$6:$AR$505,'سجل الإجازات والحالات'!$B$6:$B$505,$B29))/cfg_DAYS_Y)</f>
        <v/>
      </c>
      <c r="AJ29" s="133" t="str">
        <f aca="false">IF($B29="","",MAX(0,AK29-(SUMIFS('سجل الإجازات والحالات'!$AS$6:$AS$505,'سجل الإجازات والحالات'!$B$6:$B$505,$B29)-SUMIFS('سجل الإجازات والحالات'!$AR$6:$AR$505,'سجل الإجازات والحالات'!$B$6:$B$505,$B29))))</f>
        <v/>
      </c>
      <c r="AK29" s="133" t="str">
        <f aca="false">IF($B29="","",MAX(0,IF(OR(الموظفون!$AE29="",الموظفون!$AE29&gt;$F$3),$F$3,الموظفون!$AE29)-MAX($E$3,الموظفون!$H29)+1))</f>
        <v/>
      </c>
      <c r="AL29" s="156" t="str">
        <f aca="false">IF($B29="","",SUMIFS('سجل الإجازات والحالات'!$BE$6:$BE$505,'سجل الإجازات والحالات'!$B$6:$B$505,$B29)+SUMIFS('الحركات الشهرية'!$K$6:$K$1005,'الحركات الشهرية'!$B$6:$B$1005,$B29,'الحركات الشهرية'!$A$6:$A$1005,$C$3))</f>
        <v/>
      </c>
      <c r="AM29" s="116" t="str">
        <f aca="false">IF($B29="","",AL29*الموظفون!$R29/cfg_DAYS_M+S29)</f>
        <v/>
      </c>
      <c r="AN29" s="156" t="str">
        <f aca="false">IF($B29="","",SUMIFS('سجل الإجازات والحالات'!$AG$6:$AG$505,'سجل الإجازات والحالات'!$B$6:$B$505,$B29))</f>
        <v/>
      </c>
    </row>
    <row r="30" customFormat="false" ht="15" hidden="false" customHeight="false" outlineLevel="0" collapsed="false">
      <c r="A30" s="106" t="str">
        <f aca="false">IF($B30="","",الموظفون!$A30)</f>
        <v/>
      </c>
      <c r="B30" s="114" t="str">
        <f aca="false">IF(الموظفون!$B30="","",الموظفون!$B30)</f>
        <v/>
      </c>
      <c r="C30" s="114" t="str">
        <f aca="false">IF($B30="","",الموظفون!$C30)</f>
        <v/>
      </c>
      <c r="D30" s="114" t="str">
        <f aca="false">IF($B30="","",الموظفون!$F30)</f>
        <v/>
      </c>
      <c r="E30" s="114" t="str">
        <f aca="false">IF($B30="","",الموظفون!$E30)</f>
        <v/>
      </c>
      <c r="F30" s="114" t="str">
        <f aca="false">IF($B30="","",IF(AK30=0,IF(AND(الموظفون!$AE30&lt;&gt;"",الموظفون!$AE30&lt;$E$3),"✖ منتهي الخدمة","⏳ لم يباشر"),IF(S30&gt;0,"✈ راتب إجازة مقدم",IF(J30=0,"⛔ بدون راتب هذا الشهر",IF(I30&gt;0,"✈ خصم "&amp;ROUND(I30,2)&amp;" يوم بدون أجر",IF(AL30&gt;0,"🌴 إجازة سنوية "&amp;ROUND(AL30,2)&amp;" يوم",IF(H30&gt;0,"⚠ غياب "&amp;ROUND(H30,2)&amp;" يوم","✔ على رأس العمل")))))))</f>
        <v/>
      </c>
      <c r="G30" s="151" t="str">
        <f aca="false">IF($B30="","",IF(AK30&gt;=DAY($F$3),cfg_DAYS_M,MIN(AK30,cfg_DAYS_M)))</f>
        <v/>
      </c>
      <c r="H30" s="151" t="str">
        <f aca="false">IF($B30="","",SUMIFS('الحركات الشهرية'!$D$6:$D$1005,'الحركات الشهرية'!$B$6:$B$1005,$B30,'الحركات الشهرية'!$A$6:$A$1005,$C$3))</f>
        <v/>
      </c>
      <c r="I30" s="151" t="str">
        <f aca="false">IF($B30="","",MIN(G30,IF(AND(AK30&gt;0,AN30&gt;=AK30),G30,AN30)+SUMIFS('الحركات الشهرية'!$E$6:$E$1005,'الحركات الشهرية'!$B$6:$B$1005,$B30,'الحركات الشهرية'!$A$6:$A$1005,$C$3)))</f>
        <v/>
      </c>
      <c r="J30" s="151" t="str">
        <f aca="false">IF($B30="","",MAX(0,G30-H30-I30))</f>
        <v/>
      </c>
      <c r="K30" s="111" t="str">
        <f aca="false">IF($B30="","",الموظفون!$L30*$J30/cfg_DAYS_M)</f>
        <v/>
      </c>
      <c r="L30" s="111" t="str">
        <f aca="false">IF($B30="","",الموظفون!$M30*$J30/cfg_DAYS_M)</f>
        <v/>
      </c>
      <c r="M30" s="111" t="str">
        <f aca="false">IF($B30="","",الموظفون!$N30*$J30/cfg_DAYS_M)</f>
        <v/>
      </c>
      <c r="N30" s="111" t="str">
        <f aca="false">IF($B30="","",الموظفون!$O30*$J30/cfg_DAYS_M)</f>
        <v/>
      </c>
      <c r="O30" s="151" t="str">
        <f aca="false">IF($B30="","",SUMIFS('الحركات الشهرية'!$F$6:$F$1005,'الحركات الشهرية'!$B$6:$B$1005,$B30,'الحركات الشهرية'!$A$6:$A$1005,$C$3))</f>
        <v/>
      </c>
      <c r="P30" s="111" t="str">
        <f aca="false">IF($B30="","",O30*(الموظفون!$P30+الموظفون!$L30*cfg_OT_P)/cfg_DAYS_M/cfg_HRS)</f>
        <v/>
      </c>
      <c r="Q30" s="111" t="str">
        <f aca="false">IF($B30="","",SUMIFS('الحركات الشهرية'!$G$6:$G$1005,'الحركات الشهرية'!$B$6:$B$1005,$B30,'الحركات الشهرية'!$A$6:$A$1005,$C$3))</f>
        <v/>
      </c>
      <c r="R30" s="111" t="str">
        <f aca="false">IF($B30="","",SUMIFS('الحركات الشهرية'!$H$6:$H$1005,'الحركات الشهرية'!$B$6:$B$1005,$B30,'الحركات الشهرية'!$A$6:$A$1005,$C$3))</f>
        <v/>
      </c>
      <c r="S30" s="111" t="str">
        <f aca="false">IF($B30="","",SUMIFS('سجل الإجازات والحالات'!$N$6:$N$505,'سجل الإجازات والحالات'!$B$6:$B$505,$B30,'سجل الإجازات والحالات'!$O$6:$O$505,$C$3))</f>
        <v/>
      </c>
      <c r="T30" s="152" t="str">
        <f aca="false">IF($B30="","",SUM(K30:N30)+SUM(P30:S30))</f>
        <v/>
      </c>
      <c r="U30" s="111" t="str">
        <f aca="false">IF($B30="","",الموظفون!$S30*IF(E30="سعودي",cfg_G_SE,cfg_G_NE)*G30/cfg_DAYS_M)</f>
        <v/>
      </c>
      <c r="V30" s="111" t="str">
        <f aca="false">IF($B30="","",SUMIFS('الحركات الشهرية'!$I$6:$I$1005,'الحركات الشهرية'!$B$6:$B$1005,$B30,'الحركات الشهرية'!$A$6:$A$1005,$C$3))</f>
        <v/>
      </c>
      <c r="W30" s="111" t="str">
        <f aca="false">IF($B30="","",SUMIFS('الحركات الشهرية'!$J$6:$J$1005,'الحركات الشهرية'!$B$6:$B$1005,$B30,'الحركات الشهرية'!$A$6:$A$1005,$C$3))</f>
        <v/>
      </c>
      <c r="X30" s="111" t="str">
        <f aca="false">IF($B30="","",SUM(U30:W30))</f>
        <v/>
      </c>
      <c r="Y30" s="153" t="str">
        <f aca="false">IF($B30="","",T30-X30)</f>
        <v/>
      </c>
      <c r="Z30" s="111" t="str">
        <f aca="false">IF($B30="","",الموظفون!$S30*IF(E30="سعودي",cfg_G_SR,cfg_G_NR)*G30/cfg_DAYS_M)</f>
        <v/>
      </c>
      <c r="AA30" s="111" t="str">
        <f aca="false">IF($B30="","",الموظفون!$Q30*(cfg_EOS_R1*(MIN(AH30,cfg_EOS_TH)-MIN(AI30,cfg_EOS_TH))+cfg_EOS_R2*(MAX(AH30-cfg_EOS_TH,0)-MAX(AI30-cfg_EOS_TH,0))))</f>
        <v/>
      </c>
      <c r="AB30" s="111" t="str">
        <f aca="false">IF($B30="","",IF(الموظفون!$T30&lt;&gt;"",الموظفون!$T30,IF(AH30&gt;=cfg_LV_TH,cfg_LV_D2,cfg_LV_D1))/cfg_DAYS_Y*AJ30*الموظفون!$R30/cfg_DAYS_M)</f>
        <v/>
      </c>
      <c r="AC30" s="111" t="str">
        <f aca="false">IF($B30="","",IF(AND(الموظفون!$U30="نعم",N(الموظفون!$W30)&gt;0),الموظفون!$V30/الموظفون!$W30*12/cfg_DAYS_Y*AJ30,0))</f>
        <v/>
      </c>
      <c r="AD30" s="111" t="str">
        <f aca="false">IF($B30="","",(IF(الموظفون!$X30&lt;&gt;"",الموظفون!$X30,IF(الموظفون!$E30="غير سعودي",cfg_IQ,0))+IF(الموظفون!$Y30&lt;&gt;"",الموظفون!$Y30,IF(الموظفون!$E30="غير سعودي",cfg_WP,0)))/12*G30/cfg_DAYS_M)</f>
        <v/>
      </c>
      <c r="AE30" s="111" t="str">
        <f aca="false">IF($B30="","",IF(الموظفون!$Z30&lt;&gt;"",الموظفون!$Z30,cfg_MED)/12*G30/cfg_DAYS_M)</f>
        <v/>
      </c>
      <c r="AF30" s="111" t="str">
        <f aca="false">IF($B30="","",N(الموظفون!$AA30)/12*G30/cfg_DAYS_M)</f>
        <v/>
      </c>
      <c r="AG30" s="154" t="str">
        <f aca="false">IF($B30="","",T30+SUM(Z30:AF30))</f>
        <v/>
      </c>
      <c r="AH30" s="155" t="str">
        <f aca="false">IF($B30="","",MAX(0,IF(OR(الموظفون!$AE30="",الموظفون!$AE30&gt;$F$3),$F$3,الموظفون!$AE30)-الموظفون!$H30+1-SUMIFS('سجل الإجازات والحالات'!$AS$6:$AS$505,'سجل الإجازات والحالات'!$B$6:$B$505,$B30))/cfg_DAYS_Y)</f>
        <v/>
      </c>
      <c r="AI30" s="155" t="str">
        <f aca="false">IF($B30="","",MAX(0,IF(OR(الموظفون!$AE30="",الموظفون!$AE30&gt;($E$3-1)),($E$3-1),الموظفون!$AE30)-الموظفون!$H30+1-SUMIFS('سجل الإجازات والحالات'!$AR$6:$AR$505,'سجل الإجازات والحالات'!$B$6:$B$505,$B30))/cfg_DAYS_Y)</f>
        <v/>
      </c>
      <c r="AJ30" s="65" t="str">
        <f aca="false">IF($B30="","",MAX(0,AK30-(SUMIFS('سجل الإجازات والحالات'!$AS$6:$AS$505,'سجل الإجازات والحالات'!$B$6:$B$505,$B30)-SUMIFS('سجل الإجازات والحالات'!$AR$6:$AR$505,'سجل الإجازات والحالات'!$B$6:$B$505,$B30))))</f>
        <v/>
      </c>
      <c r="AK30" s="65" t="str">
        <f aca="false">IF($B30="","",MAX(0,IF(OR(الموظفون!$AE30="",الموظفون!$AE30&gt;$F$3),$F$3,الموظفون!$AE30)-MAX($E$3,الموظفون!$H30)+1))</f>
        <v/>
      </c>
      <c r="AL30" s="151" t="str">
        <f aca="false">IF($B30="","",SUMIFS('سجل الإجازات والحالات'!$BE$6:$BE$505,'سجل الإجازات والحالات'!$B$6:$B$505,$B30)+SUMIFS('الحركات الشهرية'!$K$6:$K$1005,'الحركات الشهرية'!$B$6:$B$1005,$B30,'الحركات الشهرية'!$A$6:$A$1005,$C$3))</f>
        <v/>
      </c>
      <c r="AM30" s="111" t="str">
        <f aca="false">IF($B30="","",AL30*الموظفون!$R30/cfg_DAYS_M+S30)</f>
        <v/>
      </c>
      <c r="AN30" s="151" t="str">
        <f aca="false">IF($B30="","",SUMIFS('سجل الإجازات والحالات'!$AG$6:$AG$505,'سجل الإجازات والحالات'!$B$6:$B$505,$B30))</f>
        <v/>
      </c>
    </row>
    <row r="31" customFormat="false" ht="15" hidden="false" customHeight="false" outlineLevel="0" collapsed="false">
      <c r="A31" s="115" t="str">
        <f aca="false">IF($B31="","",الموظفون!$A31)</f>
        <v/>
      </c>
      <c r="B31" s="117" t="str">
        <f aca="false">IF(الموظفون!$B31="","",الموظفون!$B31)</f>
        <v/>
      </c>
      <c r="C31" s="117" t="str">
        <f aca="false">IF($B31="","",الموظفون!$C31)</f>
        <v/>
      </c>
      <c r="D31" s="117" t="str">
        <f aca="false">IF($B31="","",الموظفون!$F31)</f>
        <v/>
      </c>
      <c r="E31" s="117" t="str">
        <f aca="false">IF($B31="","",الموظفون!$E31)</f>
        <v/>
      </c>
      <c r="F31" s="117" t="str">
        <f aca="false">IF($B31="","",IF(AK31=0,IF(AND(الموظفون!$AE31&lt;&gt;"",الموظفون!$AE31&lt;$E$3),"✖ منتهي الخدمة","⏳ لم يباشر"),IF(S31&gt;0,"✈ راتب إجازة مقدم",IF(J31=0,"⛔ بدون راتب هذا الشهر",IF(I31&gt;0,"✈ خصم "&amp;ROUND(I31,2)&amp;" يوم بدون أجر",IF(AL31&gt;0,"🌴 إجازة سنوية "&amp;ROUND(AL31,2)&amp;" يوم",IF(H31&gt;0,"⚠ غياب "&amp;ROUND(H31,2)&amp;" يوم","✔ على رأس العمل")))))))</f>
        <v/>
      </c>
      <c r="G31" s="156" t="str">
        <f aca="false">IF($B31="","",IF(AK31&gt;=DAY($F$3),cfg_DAYS_M,MIN(AK31,cfg_DAYS_M)))</f>
        <v/>
      </c>
      <c r="H31" s="156" t="str">
        <f aca="false">IF($B31="","",SUMIFS('الحركات الشهرية'!$D$6:$D$1005,'الحركات الشهرية'!$B$6:$B$1005,$B31,'الحركات الشهرية'!$A$6:$A$1005,$C$3))</f>
        <v/>
      </c>
      <c r="I31" s="156" t="str">
        <f aca="false">IF($B31="","",MIN(G31,IF(AND(AK31&gt;0,AN31&gt;=AK31),G31,AN31)+SUMIFS('الحركات الشهرية'!$E$6:$E$1005,'الحركات الشهرية'!$B$6:$B$1005,$B31,'الحركات الشهرية'!$A$6:$A$1005,$C$3)))</f>
        <v/>
      </c>
      <c r="J31" s="156" t="str">
        <f aca="false">IF($B31="","",MAX(0,G31-H31-I31))</f>
        <v/>
      </c>
      <c r="K31" s="116" t="str">
        <f aca="false">IF($B31="","",الموظفون!$L31*$J31/cfg_DAYS_M)</f>
        <v/>
      </c>
      <c r="L31" s="116" t="str">
        <f aca="false">IF($B31="","",الموظفون!$M31*$J31/cfg_DAYS_M)</f>
        <v/>
      </c>
      <c r="M31" s="116" t="str">
        <f aca="false">IF($B31="","",الموظفون!$N31*$J31/cfg_DAYS_M)</f>
        <v/>
      </c>
      <c r="N31" s="116" t="str">
        <f aca="false">IF($B31="","",الموظفون!$O31*$J31/cfg_DAYS_M)</f>
        <v/>
      </c>
      <c r="O31" s="156" t="str">
        <f aca="false">IF($B31="","",SUMIFS('الحركات الشهرية'!$F$6:$F$1005,'الحركات الشهرية'!$B$6:$B$1005,$B31,'الحركات الشهرية'!$A$6:$A$1005,$C$3))</f>
        <v/>
      </c>
      <c r="P31" s="116" t="str">
        <f aca="false">IF($B31="","",O31*(الموظفون!$P31+الموظفون!$L31*cfg_OT_P)/cfg_DAYS_M/cfg_HRS)</f>
        <v/>
      </c>
      <c r="Q31" s="116" t="str">
        <f aca="false">IF($B31="","",SUMIFS('الحركات الشهرية'!$G$6:$G$1005,'الحركات الشهرية'!$B$6:$B$1005,$B31,'الحركات الشهرية'!$A$6:$A$1005,$C$3))</f>
        <v/>
      </c>
      <c r="R31" s="116" t="str">
        <f aca="false">IF($B31="","",SUMIFS('الحركات الشهرية'!$H$6:$H$1005,'الحركات الشهرية'!$B$6:$B$1005,$B31,'الحركات الشهرية'!$A$6:$A$1005,$C$3))</f>
        <v/>
      </c>
      <c r="S31" s="116" t="str">
        <f aca="false">IF($B31="","",SUMIFS('سجل الإجازات والحالات'!$N$6:$N$505,'سجل الإجازات والحالات'!$B$6:$B$505,$B31,'سجل الإجازات والحالات'!$O$6:$O$505,$C$3))</f>
        <v/>
      </c>
      <c r="T31" s="157" t="str">
        <f aca="false">IF($B31="","",SUM(K31:N31)+SUM(P31:S31))</f>
        <v/>
      </c>
      <c r="U31" s="116" t="str">
        <f aca="false">IF($B31="","",الموظفون!$S31*IF(E31="سعودي",cfg_G_SE,cfg_G_NE)*G31/cfg_DAYS_M)</f>
        <v/>
      </c>
      <c r="V31" s="116" t="str">
        <f aca="false">IF($B31="","",SUMIFS('الحركات الشهرية'!$I$6:$I$1005,'الحركات الشهرية'!$B$6:$B$1005,$B31,'الحركات الشهرية'!$A$6:$A$1005,$C$3))</f>
        <v/>
      </c>
      <c r="W31" s="116" t="str">
        <f aca="false">IF($B31="","",SUMIFS('الحركات الشهرية'!$J$6:$J$1005,'الحركات الشهرية'!$B$6:$B$1005,$B31,'الحركات الشهرية'!$A$6:$A$1005,$C$3))</f>
        <v/>
      </c>
      <c r="X31" s="116" t="str">
        <f aca="false">IF($B31="","",SUM(U31:W31))</f>
        <v/>
      </c>
      <c r="Y31" s="158" t="str">
        <f aca="false">IF($B31="","",T31-X31)</f>
        <v/>
      </c>
      <c r="Z31" s="116" t="str">
        <f aca="false">IF($B31="","",الموظفون!$S31*IF(E31="سعودي",cfg_G_SR,cfg_G_NR)*G31/cfg_DAYS_M)</f>
        <v/>
      </c>
      <c r="AA31" s="116" t="str">
        <f aca="false">IF($B31="","",الموظفون!$Q31*(cfg_EOS_R1*(MIN(AH31,cfg_EOS_TH)-MIN(AI31,cfg_EOS_TH))+cfg_EOS_R2*(MAX(AH31-cfg_EOS_TH,0)-MAX(AI31-cfg_EOS_TH,0))))</f>
        <v/>
      </c>
      <c r="AB31" s="116" t="str">
        <f aca="false">IF($B31="","",IF(الموظفون!$T31&lt;&gt;"",الموظفون!$T31,IF(AH31&gt;=cfg_LV_TH,cfg_LV_D2,cfg_LV_D1))/cfg_DAYS_Y*AJ31*الموظفون!$R31/cfg_DAYS_M)</f>
        <v/>
      </c>
      <c r="AC31" s="116" t="str">
        <f aca="false">IF($B31="","",IF(AND(الموظفون!$U31="نعم",N(الموظفون!$W31)&gt;0),الموظفون!$V31/الموظفون!$W31*12/cfg_DAYS_Y*AJ31,0))</f>
        <v/>
      </c>
      <c r="AD31" s="116" t="str">
        <f aca="false">IF($B31="","",(IF(الموظفون!$X31&lt;&gt;"",الموظفون!$X31,IF(الموظفون!$E31="غير سعودي",cfg_IQ,0))+IF(الموظفون!$Y31&lt;&gt;"",الموظفون!$Y31,IF(الموظفون!$E31="غير سعودي",cfg_WP,0)))/12*G31/cfg_DAYS_M)</f>
        <v/>
      </c>
      <c r="AE31" s="116" t="str">
        <f aca="false">IF($B31="","",IF(الموظفون!$Z31&lt;&gt;"",الموظفون!$Z31,cfg_MED)/12*G31/cfg_DAYS_M)</f>
        <v/>
      </c>
      <c r="AF31" s="116" t="str">
        <f aca="false">IF($B31="","",N(الموظفون!$AA31)/12*G31/cfg_DAYS_M)</f>
        <v/>
      </c>
      <c r="AG31" s="159" t="str">
        <f aca="false">IF($B31="","",T31+SUM(Z31:AF31))</f>
        <v/>
      </c>
      <c r="AH31" s="160" t="str">
        <f aca="false">IF($B31="","",MAX(0,IF(OR(الموظفون!$AE31="",الموظفون!$AE31&gt;$F$3),$F$3,الموظفون!$AE31)-الموظفون!$H31+1-SUMIFS('سجل الإجازات والحالات'!$AS$6:$AS$505,'سجل الإجازات والحالات'!$B$6:$B$505,$B31))/cfg_DAYS_Y)</f>
        <v/>
      </c>
      <c r="AI31" s="160" t="str">
        <f aca="false">IF($B31="","",MAX(0,IF(OR(الموظفون!$AE31="",الموظفون!$AE31&gt;($E$3-1)),($E$3-1),الموظفون!$AE31)-الموظفون!$H31+1-SUMIFS('سجل الإجازات والحالات'!$AR$6:$AR$505,'سجل الإجازات والحالات'!$B$6:$B$505,$B31))/cfg_DAYS_Y)</f>
        <v/>
      </c>
      <c r="AJ31" s="133" t="str">
        <f aca="false">IF($B31="","",MAX(0,AK31-(SUMIFS('سجل الإجازات والحالات'!$AS$6:$AS$505,'سجل الإجازات والحالات'!$B$6:$B$505,$B31)-SUMIFS('سجل الإجازات والحالات'!$AR$6:$AR$505,'سجل الإجازات والحالات'!$B$6:$B$505,$B31))))</f>
        <v/>
      </c>
      <c r="AK31" s="133" t="str">
        <f aca="false">IF($B31="","",MAX(0,IF(OR(الموظفون!$AE31="",الموظفون!$AE31&gt;$F$3),$F$3,الموظفون!$AE31)-MAX($E$3,الموظفون!$H31)+1))</f>
        <v/>
      </c>
      <c r="AL31" s="156" t="str">
        <f aca="false">IF($B31="","",SUMIFS('سجل الإجازات والحالات'!$BE$6:$BE$505,'سجل الإجازات والحالات'!$B$6:$B$505,$B31)+SUMIFS('الحركات الشهرية'!$K$6:$K$1005,'الحركات الشهرية'!$B$6:$B$1005,$B31,'الحركات الشهرية'!$A$6:$A$1005,$C$3))</f>
        <v/>
      </c>
      <c r="AM31" s="116" t="str">
        <f aca="false">IF($B31="","",AL31*الموظفون!$R31/cfg_DAYS_M+S31)</f>
        <v/>
      </c>
      <c r="AN31" s="156" t="str">
        <f aca="false">IF($B31="","",SUMIFS('سجل الإجازات والحالات'!$AG$6:$AG$505,'سجل الإجازات والحالات'!$B$6:$B$505,$B31))</f>
        <v/>
      </c>
    </row>
    <row r="32" customFormat="false" ht="15" hidden="false" customHeight="false" outlineLevel="0" collapsed="false">
      <c r="A32" s="106" t="str">
        <f aca="false">IF($B32="","",الموظفون!$A32)</f>
        <v/>
      </c>
      <c r="B32" s="114" t="str">
        <f aca="false">IF(الموظفون!$B32="","",الموظفون!$B32)</f>
        <v/>
      </c>
      <c r="C32" s="114" t="str">
        <f aca="false">IF($B32="","",الموظفون!$C32)</f>
        <v/>
      </c>
      <c r="D32" s="114" t="str">
        <f aca="false">IF($B32="","",الموظفون!$F32)</f>
        <v/>
      </c>
      <c r="E32" s="114" t="str">
        <f aca="false">IF($B32="","",الموظفون!$E32)</f>
        <v/>
      </c>
      <c r="F32" s="114" t="str">
        <f aca="false">IF($B32="","",IF(AK32=0,IF(AND(الموظفون!$AE32&lt;&gt;"",الموظفون!$AE32&lt;$E$3),"✖ منتهي الخدمة","⏳ لم يباشر"),IF(S32&gt;0,"✈ راتب إجازة مقدم",IF(J32=0,"⛔ بدون راتب هذا الشهر",IF(I32&gt;0,"✈ خصم "&amp;ROUND(I32,2)&amp;" يوم بدون أجر",IF(AL32&gt;0,"🌴 إجازة سنوية "&amp;ROUND(AL32,2)&amp;" يوم",IF(H32&gt;0,"⚠ غياب "&amp;ROUND(H32,2)&amp;" يوم","✔ على رأس العمل")))))))</f>
        <v/>
      </c>
      <c r="G32" s="151" t="str">
        <f aca="false">IF($B32="","",IF(AK32&gt;=DAY($F$3),cfg_DAYS_M,MIN(AK32,cfg_DAYS_M)))</f>
        <v/>
      </c>
      <c r="H32" s="151" t="str">
        <f aca="false">IF($B32="","",SUMIFS('الحركات الشهرية'!$D$6:$D$1005,'الحركات الشهرية'!$B$6:$B$1005,$B32,'الحركات الشهرية'!$A$6:$A$1005,$C$3))</f>
        <v/>
      </c>
      <c r="I32" s="151" t="str">
        <f aca="false">IF($B32="","",MIN(G32,IF(AND(AK32&gt;0,AN32&gt;=AK32),G32,AN32)+SUMIFS('الحركات الشهرية'!$E$6:$E$1005,'الحركات الشهرية'!$B$6:$B$1005,$B32,'الحركات الشهرية'!$A$6:$A$1005,$C$3)))</f>
        <v/>
      </c>
      <c r="J32" s="151" t="str">
        <f aca="false">IF($B32="","",MAX(0,G32-H32-I32))</f>
        <v/>
      </c>
      <c r="K32" s="111" t="str">
        <f aca="false">IF($B32="","",الموظفون!$L32*$J32/cfg_DAYS_M)</f>
        <v/>
      </c>
      <c r="L32" s="111" t="str">
        <f aca="false">IF($B32="","",الموظفون!$M32*$J32/cfg_DAYS_M)</f>
        <v/>
      </c>
      <c r="M32" s="111" t="str">
        <f aca="false">IF($B32="","",الموظفون!$N32*$J32/cfg_DAYS_M)</f>
        <v/>
      </c>
      <c r="N32" s="111" t="str">
        <f aca="false">IF($B32="","",الموظفون!$O32*$J32/cfg_DAYS_M)</f>
        <v/>
      </c>
      <c r="O32" s="151" t="str">
        <f aca="false">IF($B32="","",SUMIFS('الحركات الشهرية'!$F$6:$F$1005,'الحركات الشهرية'!$B$6:$B$1005,$B32,'الحركات الشهرية'!$A$6:$A$1005,$C$3))</f>
        <v/>
      </c>
      <c r="P32" s="111" t="str">
        <f aca="false">IF($B32="","",O32*(الموظفون!$P32+الموظفون!$L32*cfg_OT_P)/cfg_DAYS_M/cfg_HRS)</f>
        <v/>
      </c>
      <c r="Q32" s="111" t="str">
        <f aca="false">IF($B32="","",SUMIFS('الحركات الشهرية'!$G$6:$G$1005,'الحركات الشهرية'!$B$6:$B$1005,$B32,'الحركات الشهرية'!$A$6:$A$1005,$C$3))</f>
        <v/>
      </c>
      <c r="R32" s="111" t="str">
        <f aca="false">IF($B32="","",SUMIFS('الحركات الشهرية'!$H$6:$H$1005,'الحركات الشهرية'!$B$6:$B$1005,$B32,'الحركات الشهرية'!$A$6:$A$1005,$C$3))</f>
        <v/>
      </c>
      <c r="S32" s="111" t="str">
        <f aca="false">IF($B32="","",SUMIFS('سجل الإجازات والحالات'!$N$6:$N$505,'سجل الإجازات والحالات'!$B$6:$B$505,$B32,'سجل الإجازات والحالات'!$O$6:$O$505,$C$3))</f>
        <v/>
      </c>
      <c r="T32" s="152" t="str">
        <f aca="false">IF($B32="","",SUM(K32:N32)+SUM(P32:S32))</f>
        <v/>
      </c>
      <c r="U32" s="111" t="str">
        <f aca="false">IF($B32="","",الموظفون!$S32*IF(E32="سعودي",cfg_G_SE,cfg_G_NE)*G32/cfg_DAYS_M)</f>
        <v/>
      </c>
      <c r="V32" s="111" t="str">
        <f aca="false">IF($B32="","",SUMIFS('الحركات الشهرية'!$I$6:$I$1005,'الحركات الشهرية'!$B$6:$B$1005,$B32,'الحركات الشهرية'!$A$6:$A$1005,$C$3))</f>
        <v/>
      </c>
      <c r="W32" s="111" t="str">
        <f aca="false">IF($B32="","",SUMIFS('الحركات الشهرية'!$J$6:$J$1005,'الحركات الشهرية'!$B$6:$B$1005,$B32,'الحركات الشهرية'!$A$6:$A$1005,$C$3))</f>
        <v/>
      </c>
      <c r="X32" s="111" t="str">
        <f aca="false">IF($B32="","",SUM(U32:W32))</f>
        <v/>
      </c>
      <c r="Y32" s="153" t="str">
        <f aca="false">IF($B32="","",T32-X32)</f>
        <v/>
      </c>
      <c r="Z32" s="111" t="str">
        <f aca="false">IF($B32="","",الموظفون!$S32*IF(E32="سعودي",cfg_G_SR,cfg_G_NR)*G32/cfg_DAYS_M)</f>
        <v/>
      </c>
      <c r="AA32" s="111" t="str">
        <f aca="false">IF($B32="","",الموظفون!$Q32*(cfg_EOS_R1*(MIN(AH32,cfg_EOS_TH)-MIN(AI32,cfg_EOS_TH))+cfg_EOS_R2*(MAX(AH32-cfg_EOS_TH,0)-MAX(AI32-cfg_EOS_TH,0))))</f>
        <v/>
      </c>
      <c r="AB32" s="111" t="str">
        <f aca="false">IF($B32="","",IF(الموظفون!$T32&lt;&gt;"",الموظفون!$T32,IF(AH32&gt;=cfg_LV_TH,cfg_LV_D2,cfg_LV_D1))/cfg_DAYS_Y*AJ32*الموظفون!$R32/cfg_DAYS_M)</f>
        <v/>
      </c>
      <c r="AC32" s="111" t="str">
        <f aca="false">IF($B32="","",IF(AND(الموظفون!$U32="نعم",N(الموظفون!$W32)&gt;0),الموظفون!$V32/الموظفون!$W32*12/cfg_DAYS_Y*AJ32,0))</f>
        <v/>
      </c>
      <c r="AD32" s="111" t="str">
        <f aca="false">IF($B32="","",(IF(الموظفون!$X32&lt;&gt;"",الموظفون!$X32,IF(الموظفون!$E32="غير سعودي",cfg_IQ,0))+IF(الموظفون!$Y32&lt;&gt;"",الموظفون!$Y32,IF(الموظفون!$E32="غير سعودي",cfg_WP,0)))/12*G32/cfg_DAYS_M)</f>
        <v/>
      </c>
      <c r="AE32" s="111" t="str">
        <f aca="false">IF($B32="","",IF(الموظفون!$Z32&lt;&gt;"",الموظفون!$Z32,cfg_MED)/12*G32/cfg_DAYS_M)</f>
        <v/>
      </c>
      <c r="AF32" s="111" t="str">
        <f aca="false">IF($B32="","",N(الموظفون!$AA32)/12*G32/cfg_DAYS_M)</f>
        <v/>
      </c>
      <c r="AG32" s="154" t="str">
        <f aca="false">IF($B32="","",T32+SUM(Z32:AF32))</f>
        <v/>
      </c>
      <c r="AH32" s="155" t="str">
        <f aca="false">IF($B32="","",MAX(0,IF(OR(الموظفون!$AE32="",الموظفون!$AE32&gt;$F$3),$F$3,الموظفون!$AE32)-الموظفون!$H32+1-SUMIFS('سجل الإجازات والحالات'!$AS$6:$AS$505,'سجل الإجازات والحالات'!$B$6:$B$505,$B32))/cfg_DAYS_Y)</f>
        <v/>
      </c>
      <c r="AI32" s="155" t="str">
        <f aca="false">IF($B32="","",MAX(0,IF(OR(الموظفون!$AE32="",الموظفون!$AE32&gt;($E$3-1)),($E$3-1),الموظفون!$AE32)-الموظفون!$H32+1-SUMIFS('سجل الإجازات والحالات'!$AR$6:$AR$505,'سجل الإجازات والحالات'!$B$6:$B$505,$B32))/cfg_DAYS_Y)</f>
        <v/>
      </c>
      <c r="AJ32" s="65" t="str">
        <f aca="false">IF($B32="","",MAX(0,AK32-(SUMIFS('سجل الإجازات والحالات'!$AS$6:$AS$505,'سجل الإجازات والحالات'!$B$6:$B$505,$B32)-SUMIFS('سجل الإجازات والحالات'!$AR$6:$AR$505,'سجل الإجازات والحالات'!$B$6:$B$505,$B32))))</f>
        <v/>
      </c>
      <c r="AK32" s="65" t="str">
        <f aca="false">IF($B32="","",MAX(0,IF(OR(الموظفون!$AE32="",الموظفون!$AE32&gt;$F$3),$F$3,الموظفون!$AE32)-MAX($E$3,الموظفون!$H32)+1))</f>
        <v/>
      </c>
      <c r="AL32" s="151" t="str">
        <f aca="false">IF($B32="","",SUMIFS('سجل الإجازات والحالات'!$BE$6:$BE$505,'سجل الإجازات والحالات'!$B$6:$B$505,$B32)+SUMIFS('الحركات الشهرية'!$K$6:$K$1005,'الحركات الشهرية'!$B$6:$B$1005,$B32,'الحركات الشهرية'!$A$6:$A$1005,$C$3))</f>
        <v/>
      </c>
      <c r="AM32" s="111" t="str">
        <f aca="false">IF($B32="","",AL32*الموظفون!$R32/cfg_DAYS_M+S32)</f>
        <v/>
      </c>
      <c r="AN32" s="151" t="str">
        <f aca="false">IF($B32="","",SUMIFS('سجل الإجازات والحالات'!$AG$6:$AG$505,'سجل الإجازات والحالات'!$B$6:$B$505,$B32))</f>
        <v/>
      </c>
    </row>
    <row r="33" customFormat="false" ht="15" hidden="false" customHeight="false" outlineLevel="0" collapsed="false">
      <c r="A33" s="115" t="str">
        <f aca="false">IF($B33="","",الموظفون!$A33)</f>
        <v/>
      </c>
      <c r="B33" s="117" t="str">
        <f aca="false">IF(الموظفون!$B33="","",الموظفون!$B33)</f>
        <v/>
      </c>
      <c r="C33" s="117" t="str">
        <f aca="false">IF($B33="","",الموظفون!$C33)</f>
        <v/>
      </c>
      <c r="D33" s="117" t="str">
        <f aca="false">IF($B33="","",الموظفون!$F33)</f>
        <v/>
      </c>
      <c r="E33" s="117" t="str">
        <f aca="false">IF($B33="","",الموظفون!$E33)</f>
        <v/>
      </c>
      <c r="F33" s="117" t="str">
        <f aca="false">IF($B33="","",IF(AK33=0,IF(AND(الموظفون!$AE33&lt;&gt;"",الموظفون!$AE33&lt;$E$3),"✖ منتهي الخدمة","⏳ لم يباشر"),IF(S33&gt;0,"✈ راتب إجازة مقدم",IF(J33=0,"⛔ بدون راتب هذا الشهر",IF(I33&gt;0,"✈ خصم "&amp;ROUND(I33,2)&amp;" يوم بدون أجر",IF(AL33&gt;0,"🌴 إجازة سنوية "&amp;ROUND(AL33,2)&amp;" يوم",IF(H33&gt;0,"⚠ غياب "&amp;ROUND(H33,2)&amp;" يوم","✔ على رأس العمل")))))))</f>
        <v/>
      </c>
      <c r="G33" s="156" t="str">
        <f aca="false">IF($B33="","",IF(AK33&gt;=DAY($F$3),cfg_DAYS_M,MIN(AK33,cfg_DAYS_M)))</f>
        <v/>
      </c>
      <c r="H33" s="156" t="str">
        <f aca="false">IF($B33="","",SUMIFS('الحركات الشهرية'!$D$6:$D$1005,'الحركات الشهرية'!$B$6:$B$1005,$B33,'الحركات الشهرية'!$A$6:$A$1005,$C$3))</f>
        <v/>
      </c>
      <c r="I33" s="156" t="str">
        <f aca="false">IF($B33="","",MIN(G33,IF(AND(AK33&gt;0,AN33&gt;=AK33),G33,AN33)+SUMIFS('الحركات الشهرية'!$E$6:$E$1005,'الحركات الشهرية'!$B$6:$B$1005,$B33,'الحركات الشهرية'!$A$6:$A$1005,$C$3)))</f>
        <v/>
      </c>
      <c r="J33" s="156" t="str">
        <f aca="false">IF($B33="","",MAX(0,G33-H33-I33))</f>
        <v/>
      </c>
      <c r="K33" s="116" t="str">
        <f aca="false">IF($B33="","",الموظفون!$L33*$J33/cfg_DAYS_M)</f>
        <v/>
      </c>
      <c r="L33" s="116" t="str">
        <f aca="false">IF($B33="","",الموظفون!$M33*$J33/cfg_DAYS_M)</f>
        <v/>
      </c>
      <c r="M33" s="116" t="str">
        <f aca="false">IF($B33="","",الموظفون!$N33*$J33/cfg_DAYS_M)</f>
        <v/>
      </c>
      <c r="N33" s="116" t="str">
        <f aca="false">IF($B33="","",الموظفون!$O33*$J33/cfg_DAYS_M)</f>
        <v/>
      </c>
      <c r="O33" s="156" t="str">
        <f aca="false">IF($B33="","",SUMIFS('الحركات الشهرية'!$F$6:$F$1005,'الحركات الشهرية'!$B$6:$B$1005,$B33,'الحركات الشهرية'!$A$6:$A$1005,$C$3))</f>
        <v/>
      </c>
      <c r="P33" s="116" t="str">
        <f aca="false">IF($B33="","",O33*(الموظفون!$P33+الموظفون!$L33*cfg_OT_P)/cfg_DAYS_M/cfg_HRS)</f>
        <v/>
      </c>
      <c r="Q33" s="116" t="str">
        <f aca="false">IF($B33="","",SUMIFS('الحركات الشهرية'!$G$6:$G$1005,'الحركات الشهرية'!$B$6:$B$1005,$B33,'الحركات الشهرية'!$A$6:$A$1005,$C$3))</f>
        <v/>
      </c>
      <c r="R33" s="116" t="str">
        <f aca="false">IF($B33="","",SUMIFS('الحركات الشهرية'!$H$6:$H$1005,'الحركات الشهرية'!$B$6:$B$1005,$B33,'الحركات الشهرية'!$A$6:$A$1005,$C$3))</f>
        <v/>
      </c>
      <c r="S33" s="116" t="str">
        <f aca="false">IF($B33="","",SUMIFS('سجل الإجازات والحالات'!$N$6:$N$505,'سجل الإجازات والحالات'!$B$6:$B$505,$B33,'سجل الإجازات والحالات'!$O$6:$O$505,$C$3))</f>
        <v/>
      </c>
      <c r="T33" s="157" t="str">
        <f aca="false">IF($B33="","",SUM(K33:N33)+SUM(P33:S33))</f>
        <v/>
      </c>
      <c r="U33" s="116" t="str">
        <f aca="false">IF($B33="","",الموظفون!$S33*IF(E33="سعودي",cfg_G_SE,cfg_G_NE)*G33/cfg_DAYS_M)</f>
        <v/>
      </c>
      <c r="V33" s="116" t="str">
        <f aca="false">IF($B33="","",SUMIFS('الحركات الشهرية'!$I$6:$I$1005,'الحركات الشهرية'!$B$6:$B$1005,$B33,'الحركات الشهرية'!$A$6:$A$1005,$C$3))</f>
        <v/>
      </c>
      <c r="W33" s="116" t="str">
        <f aca="false">IF($B33="","",SUMIFS('الحركات الشهرية'!$J$6:$J$1005,'الحركات الشهرية'!$B$6:$B$1005,$B33,'الحركات الشهرية'!$A$6:$A$1005,$C$3))</f>
        <v/>
      </c>
      <c r="X33" s="116" t="str">
        <f aca="false">IF($B33="","",SUM(U33:W33))</f>
        <v/>
      </c>
      <c r="Y33" s="158" t="str">
        <f aca="false">IF($B33="","",T33-X33)</f>
        <v/>
      </c>
      <c r="Z33" s="116" t="str">
        <f aca="false">IF($B33="","",الموظفون!$S33*IF(E33="سعودي",cfg_G_SR,cfg_G_NR)*G33/cfg_DAYS_M)</f>
        <v/>
      </c>
      <c r="AA33" s="116" t="str">
        <f aca="false">IF($B33="","",الموظفون!$Q33*(cfg_EOS_R1*(MIN(AH33,cfg_EOS_TH)-MIN(AI33,cfg_EOS_TH))+cfg_EOS_R2*(MAX(AH33-cfg_EOS_TH,0)-MAX(AI33-cfg_EOS_TH,0))))</f>
        <v/>
      </c>
      <c r="AB33" s="116" t="str">
        <f aca="false">IF($B33="","",IF(الموظفون!$T33&lt;&gt;"",الموظفون!$T33,IF(AH33&gt;=cfg_LV_TH,cfg_LV_D2,cfg_LV_D1))/cfg_DAYS_Y*AJ33*الموظفون!$R33/cfg_DAYS_M)</f>
        <v/>
      </c>
      <c r="AC33" s="116" t="str">
        <f aca="false">IF($B33="","",IF(AND(الموظفون!$U33="نعم",N(الموظفون!$W33)&gt;0),الموظفون!$V33/الموظفون!$W33*12/cfg_DAYS_Y*AJ33,0))</f>
        <v/>
      </c>
      <c r="AD33" s="116" t="str">
        <f aca="false">IF($B33="","",(IF(الموظفون!$X33&lt;&gt;"",الموظفون!$X33,IF(الموظفون!$E33="غير سعودي",cfg_IQ,0))+IF(الموظفون!$Y33&lt;&gt;"",الموظفون!$Y33,IF(الموظفون!$E33="غير سعودي",cfg_WP,0)))/12*G33/cfg_DAYS_M)</f>
        <v/>
      </c>
      <c r="AE33" s="116" t="str">
        <f aca="false">IF($B33="","",IF(الموظفون!$Z33&lt;&gt;"",الموظفون!$Z33,cfg_MED)/12*G33/cfg_DAYS_M)</f>
        <v/>
      </c>
      <c r="AF33" s="116" t="str">
        <f aca="false">IF($B33="","",N(الموظفون!$AA33)/12*G33/cfg_DAYS_M)</f>
        <v/>
      </c>
      <c r="AG33" s="159" t="str">
        <f aca="false">IF($B33="","",T33+SUM(Z33:AF33))</f>
        <v/>
      </c>
      <c r="AH33" s="160" t="str">
        <f aca="false">IF($B33="","",MAX(0,IF(OR(الموظفون!$AE33="",الموظفون!$AE33&gt;$F$3),$F$3,الموظفون!$AE33)-الموظفون!$H33+1-SUMIFS('سجل الإجازات والحالات'!$AS$6:$AS$505,'سجل الإجازات والحالات'!$B$6:$B$505,$B33))/cfg_DAYS_Y)</f>
        <v/>
      </c>
      <c r="AI33" s="160" t="str">
        <f aca="false">IF($B33="","",MAX(0,IF(OR(الموظفون!$AE33="",الموظفون!$AE33&gt;($E$3-1)),($E$3-1),الموظفون!$AE33)-الموظفون!$H33+1-SUMIFS('سجل الإجازات والحالات'!$AR$6:$AR$505,'سجل الإجازات والحالات'!$B$6:$B$505,$B33))/cfg_DAYS_Y)</f>
        <v/>
      </c>
      <c r="AJ33" s="133" t="str">
        <f aca="false">IF($B33="","",MAX(0,AK33-(SUMIFS('سجل الإجازات والحالات'!$AS$6:$AS$505,'سجل الإجازات والحالات'!$B$6:$B$505,$B33)-SUMIFS('سجل الإجازات والحالات'!$AR$6:$AR$505,'سجل الإجازات والحالات'!$B$6:$B$505,$B33))))</f>
        <v/>
      </c>
      <c r="AK33" s="133" t="str">
        <f aca="false">IF($B33="","",MAX(0,IF(OR(الموظفون!$AE33="",الموظفون!$AE33&gt;$F$3),$F$3,الموظفون!$AE33)-MAX($E$3,الموظفون!$H33)+1))</f>
        <v/>
      </c>
      <c r="AL33" s="156" t="str">
        <f aca="false">IF($B33="","",SUMIFS('سجل الإجازات والحالات'!$BE$6:$BE$505,'سجل الإجازات والحالات'!$B$6:$B$505,$B33)+SUMIFS('الحركات الشهرية'!$K$6:$K$1005,'الحركات الشهرية'!$B$6:$B$1005,$B33,'الحركات الشهرية'!$A$6:$A$1005,$C$3))</f>
        <v/>
      </c>
      <c r="AM33" s="116" t="str">
        <f aca="false">IF($B33="","",AL33*الموظفون!$R33/cfg_DAYS_M+S33)</f>
        <v/>
      </c>
      <c r="AN33" s="156" t="str">
        <f aca="false">IF($B33="","",SUMIFS('سجل الإجازات والحالات'!$AG$6:$AG$505,'سجل الإجازات والحالات'!$B$6:$B$505,$B33))</f>
        <v/>
      </c>
    </row>
    <row r="34" customFormat="false" ht="15" hidden="false" customHeight="false" outlineLevel="0" collapsed="false">
      <c r="A34" s="106" t="str">
        <f aca="false">IF($B34="","",الموظفون!$A34)</f>
        <v/>
      </c>
      <c r="B34" s="114" t="str">
        <f aca="false">IF(الموظفون!$B34="","",الموظفون!$B34)</f>
        <v/>
      </c>
      <c r="C34" s="114" t="str">
        <f aca="false">IF($B34="","",الموظفون!$C34)</f>
        <v/>
      </c>
      <c r="D34" s="114" t="str">
        <f aca="false">IF($B34="","",الموظفون!$F34)</f>
        <v/>
      </c>
      <c r="E34" s="114" t="str">
        <f aca="false">IF($B34="","",الموظفون!$E34)</f>
        <v/>
      </c>
      <c r="F34" s="114" t="str">
        <f aca="false">IF($B34="","",IF(AK34=0,IF(AND(الموظفون!$AE34&lt;&gt;"",الموظفون!$AE34&lt;$E$3),"✖ منتهي الخدمة","⏳ لم يباشر"),IF(S34&gt;0,"✈ راتب إجازة مقدم",IF(J34=0,"⛔ بدون راتب هذا الشهر",IF(I34&gt;0,"✈ خصم "&amp;ROUND(I34,2)&amp;" يوم بدون أجر",IF(AL34&gt;0,"🌴 إجازة سنوية "&amp;ROUND(AL34,2)&amp;" يوم",IF(H34&gt;0,"⚠ غياب "&amp;ROUND(H34,2)&amp;" يوم","✔ على رأس العمل")))))))</f>
        <v/>
      </c>
      <c r="G34" s="151" t="str">
        <f aca="false">IF($B34="","",IF(AK34&gt;=DAY($F$3),cfg_DAYS_M,MIN(AK34,cfg_DAYS_M)))</f>
        <v/>
      </c>
      <c r="H34" s="151" t="str">
        <f aca="false">IF($B34="","",SUMIFS('الحركات الشهرية'!$D$6:$D$1005,'الحركات الشهرية'!$B$6:$B$1005,$B34,'الحركات الشهرية'!$A$6:$A$1005,$C$3))</f>
        <v/>
      </c>
      <c r="I34" s="151" t="str">
        <f aca="false">IF($B34="","",MIN(G34,IF(AND(AK34&gt;0,AN34&gt;=AK34),G34,AN34)+SUMIFS('الحركات الشهرية'!$E$6:$E$1005,'الحركات الشهرية'!$B$6:$B$1005,$B34,'الحركات الشهرية'!$A$6:$A$1005,$C$3)))</f>
        <v/>
      </c>
      <c r="J34" s="151" t="str">
        <f aca="false">IF($B34="","",MAX(0,G34-H34-I34))</f>
        <v/>
      </c>
      <c r="K34" s="111" t="str">
        <f aca="false">IF($B34="","",الموظفون!$L34*$J34/cfg_DAYS_M)</f>
        <v/>
      </c>
      <c r="L34" s="111" t="str">
        <f aca="false">IF($B34="","",الموظفون!$M34*$J34/cfg_DAYS_M)</f>
        <v/>
      </c>
      <c r="M34" s="111" t="str">
        <f aca="false">IF($B34="","",الموظفون!$N34*$J34/cfg_DAYS_M)</f>
        <v/>
      </c>
      <c r="N34" s="111" t="str">
        <f aca="false">IF($B34="","",الموظفون!$O34*$J34/cfg_DAYS_M)</f>
        <v/>
      </c>
      <c r="O34" s="151" t="str">
        <f aca="false">IF($B34="","",SUMIFS('الحركات الشهرية'!$F$6:$F$1005,'الحركات الشهرية'!$B$6:$B$1005,$B34,'الحركات الشهرية'!$A$6:$A$1005,$C$3))</f>
        <v/>
      </c>
      <c r="P34" s="111" t="str">
        <f aca="false">IF($B34="","",O34*(الموظفون!$P34+الموظفون!$L34*cfg_OT_P)/cfg_DAYS_M/cfg_HRS)</f>
        <v/>
      </c>
      <c r="Q34" s="111" t="str">
        <f aca="false">IF($B34="","",SUMIFS('الحركات الشهرية'!$G$6:$G$1005,'الحركات الشهرية'!$B$6:$B$1005,$B34,'الحركات الشهرية'!$A$6:$A$1005,$C$3))</f>
        <v/>
      </c>
      <c r="R34" s="111" t="str">
        <f aca="false">IF($B34="","",SUMIFS('الحركات الشهرية'!$H$6:$H$1005,'الحركات الشهرية'!$B$6:$B$1005,$B34,'الحركات الشهرية'!$A$6:$A$1005,$C$3))</f>
        <v/>
      </c>
      <c r="S34" s="111" t="str">
        <f aca="false">IF($B34="","",SUMIFS('سجل الإجازات والحالات'!$N$6:$N$505,'سجل الإجازات والحالات'!$B$6:$B$505,$B34,'سجل الإجازات والحالات'!$O$6:$O$505,$C$3))</f>
        <v/>
      </c>
      <c r="T34" s="152" t="str">
        <f aca="false">IF($B34="","",SUM(K34:N34)+SUM(P34:S34))</f>
        <v/>
      </c>
      <c r="U34" s="111" t="str">
        <f aca="false">IF($B34="","",الموظفون!$S34*IF(E34="سعودي",cfg_G_SE,cfg_G_NE)*G34/cfg_DAYS_M)</f>
        <v/>
      </c>
      <c r="V34" s="111" t="str">
        <f aca="false">IF($B34="","",SUMIFS('الحركات الشهرية'!$I$6:$I$1005,'الحركات الشهرية'!$B$6:$B$1005,$B34,'الحركات الشهرية'!$A$6:$A$1005,$C$3))</f>
        <v/>
      </c>
      <c r="W34" s="111" t="str">
        <f aca="false">IF($B34="","",SUMIFS('الحركات الشهرية'!$J$6:$J$1005,'الحركات الشهرية'!$B$6:$B$1005,$B34,'الحركات الشهرية'!$A$6:$A$1005,$C$3))</f>
        <v/>
      </c>
      <c r="X34" s="111" t="str">
        <f aca="false">IF($B34="","",SUM(U34:W34))</f>
        <v/>
      </c>
      <c r="Y34" s="153" t="str">
        <f aca="false">IF($B34="","",T34-X34)</f>
        <v/>
      </c>
      <c r="Z34" s="111" t="str">
        <f aca="false">IF($B34="","",الموظفون!$S34*IF(E34="سعودي",cfg_G_SR,cfg_G_NR)*G34/cfg_DAYS_M)</f>
        <v/>
      </c>
      <c r="AA34" s="111" t="str">
        <f aca="false">IF($B34="","",الموظفون!$Q34*(cfg_EOS_R1*(MIN(AH34,cfg_EOS_TH)-MIN(AI34,cfg_EOS_TH))+cfg_EOS_R2*(MAX(AH34-cfg_EOS_TH,0)-MAX(AI34-cfg_EOS_TH,0))))</f>
        <v/>
      </c>
      <c r="AB34" s="111" t="str">
        <f aca="false">IF($B34="","",IF(الموظفون!$T34&lt;&gt;"",الموظفون!$T34,IF(AH34&gt;=cfg_LV_TH,cfg_LV_D2,cfg_LV_D1))/cfg_DAYS_Y*AJ34*الموظفون!$R34/cfg_DAYS_M)</f>
        <v/>
      </c>
      <c r="AC34" s="111" t="str">
        <f aca="false">IF($B34="","",IF(AND(الموظفون!$U34="نعم",N(الموظفون!$W34)&gt;0),الموظفون!$V34/الموظفون!$W34*12/cfg_DAYS_Y*AJ34,0))</f>
        <v/>
      </c>
      <c r="AD34" s="111" t="str">
        <f aca="false">IF($B34="","",(IF(الموظفون!$X34&lt;&gt;"",الموظفون!$X34,IF(الموظفون!$E34="غير سعودي",cfg_IQ,0))+IF(الموظفون!$Y34&lt;&gt;"",الموظفون!$Y34,IF(الموظفون!$E34="غير سعودي",cfg_WP,0)))/12*G34/cfg_DAYS_M)</f>
        <v/>
      </c>
      <c r="AE34" s="111" t="str">
        <f aca="false">IF($B34="","",IF(الموظفون!$Z34&lt;&gt;"",الموظفون!$Z34,cfg_MED)/12*G34/cfg_DAYS_M)</f>
        <v/>
      </c>
      <c r="AF34" s="111" t="str">
        <f aca="false">IF($B34="","",N(الموظفون!$AA34)/12*G34/cfg_DAYS_M)</f>
        <v/>
      </c>
      <c r="AG34" s="154" t="str">
        <f aca="false">IF($B34="","",T34+SUM(Z34:AF34))</f>
        <v/>
      </c>
      <c r="AH34" s="155" t="str">
        <f aca="false">IF($B34="","",MAX(0,IF(OR(الموظفون!$AE34="",الموظفون!$AE34&gt;$F$3),$F$3,الموظفون!$AE34)-الموظفون!$H34+1-SUMIFS('سجل الإجازات والحالات'!$AS$6:$AS$505,'سجل الإجازات والحالات'!$B$6:$B$505,$B34))/cfg_DAYS_Y)</f>
        <v/>
      </c>
      <c r="AI34" s="155" t="str">
        <f aca="false">IF($B34="","",MAX(0,IF(OR(الموظفون!$AE34="",الموظفون!$AE34&gt;($E$3-1)),($E$3-1),الموظفون!$AE34)-الموظفون!$H34+1-SUMIFS('سجل الإجازات والحالات'!$AR$6:$AR$505,'سجل الإجازات والحالات'!$B$6:$B$505,$B34))/cfg_DAYS_Y)</f>
        <v/>
      </c>
      <c r="AJ34" s="65" t="str">
        <f aca="false">IF($B34="","",MAX(0,AK34-(SUMIFS('سجل الإجازات والحالات'!$AS$6:$AS$505,'سجل الإجازات والحالات'!$B$6:$B$505,$B34)-SUMIFS('سجل الإجازات والحالات'!$AR$6:$AR$505,'سجل الإجازات والحالات'!$B$6:$B$505,$B34))))</f>
        <v/>
      </c>
      <c r="AK34" s="65" t="str">
        <f aca="false">IF($B34="","",MAX(0,IF(OR(الموظفون!$AE34="",الموظفون!$AE34&gt;$F$3),$F$3,الموظفون!$AE34)-MAX($E$3,الموظفون!$H34)+1))</f>
        <v/>
      </c>
      <c r="AL34" s="151" t="str">
        <f aca="false">IF($B34="","",SUMIFS('سجل الإجازات والحالات'!$BE$6:$BE$505,'سجل الإجازات والحالات'!$B$6:$B$505,$B34)+SUMIFS('الحركات الشهرية'!$K$6:$K$1005,'الحركات الشهرية'!$B$6:$B$1005,$B34,'الحركات الشهرية'!$A$6:$A$1005,$C$3))</f>
        <v/>
      </c>
      <c r="AM34" s="111" t="str">
        <f aca="false">IF($B34="","",AL34*الموظفون!$R34/cfg_DAYS_M+S34)</f>
        <v/>
      </c>
      <c r="AN34" s="151" t="str">
        <f aca="false">IF($B34="","",SUMIFS('سجل الإجازات والحالات'!$AG$6:$AG$505,'سجل الإجازات والحالات'!$B$6:$B$505,$B34))</f>
        <v/>
      </c>
    </row>
    <row r="35" customFormat="false" ht="15" hidden="false" customHeight="false" outlineLevel="0" collapsed="false">
      <c r="A35" s="115" t="str">
        <f aca="false">IF($B35="","",الموظفون!$A35)</f>
        <v/>
      </c>
      <c r="B35" s="117" t="str">
        <f aca="false">IF(الموظفون!$B35="","",الموظفون!$B35)</f>
        <v/>
      </c>
      <c r="C35" s="117" t="str">
        <f aca="false">IF($B35="","",الموظفون!$C35)</f>
        <v/>
      </c>
      <c r="D35" s="117" t="str">
        <f aca="false">IF($B35="","",الموظفون!$F35)</f>
        <v/>
      </c>
      <c r="E35" s="117" t="str">
        <f aca="false">IF($B35="","",الموظفون!$E35)</f>
        <v/>
      </c>
      <c r="F35" s="117" t="str">
        <f aca="false">IF($B35="","",IF(AK35=0,IF(AND(الموظفون!$AE35&lt;&gt;"",الموظفون!$AE35&lt;$E$3),"✖ منتهي الخدمة","⏳ لم يباشر"),IF(S35&gt;0,"✈ راتب إجازة مقدم",IF(J35=0,"⛔ بدون راتب هذا الشهر",IF(I35&gt;0,"✈ خصم "&amp;ROUND(I35,2)&amp;" يوم بدون أجر",IF(AL35&gt;0,"🌴 إجازة سنوية "&amp;ROUND(AL35,2)&amp;" يوم",IF(H35&gt;0,"⚠ غياب "&amp;ROUND(H35,2)&amp;" يوم","✔ على رأس العمل")))))))</f>
        <v/>
      </c>
      <c r="G35" s="156" t="str">
        <f aca="false">IF($B35="","",IF(AK35&gt;=DAY($F$3),cfg_DAYS_M,MIN(AK35,cfg_DAYS_M)))</f>
        <v/>
      </c>
      <c r="H35" s="156" t="str">
        <f aca="false">IF($B35="","",SUMIFS('الحركات الشهرية'!$D$6:$D$1005,'الحركات الشهرية'!$B$6:$B$1005,$B35,'الحركات الشهرية'!$A$6:$A$1005,$C$3))</f>
        <v/>
      </c>
      <c r="I35" s="156" t="str">
        <f aca="false">IF($B35="","",MIN(G35,IF(AND(AK35&gt;0,AN35&gt;=AK35),G35,AN35)+SUMIFS('الحركات الشهرية'!$E$6:$E$1005,'الحركات الشهرية'!$B$6:$B$1005,$B35,'الحركات الشهرية'!$A$6:$A$1005,$C$3)))</f>
        <v/>
      </c>
      <c r="J35" s="156" t="str">
        <f aca="false">IF($B35="","",MAX(0,G35-H35-I35))</f>
        <v/>
      </c>
      <c r="K35" s="116" t="str">
        <f aca="false">IF($B35="","",الموظفون!$L35*$J35/cfg_DAYS_M)</f>
        <v/>
      </c>
      <c r="L35" s="116" t="str">
        <f aca="false">IF($B35="","",الموظفون!$M35*$J35/cfg_DAYS_M)</f>
        <v/>
      </c>
      <c r="M35" s="116" t="str">
        <f aca="false">IF($B35="","",الموظفون!$N35*$J35/cfg_DAYS_M)</f>
        <v/>
      </c>
      <c r="N35" s="116" t="str">
        <f aca="false">IF($B35="","",الموظفون!$O35*$J35/cfg_DAYS_M)</f>
        <v/>
      </c>
      <c r="O35" s="156" t="str">
        <f aca="false">IF($B35="","",SUMIFS('الحركات الشهرية'!$F$6:$F$1005,'الحركات الشهرية'!$B$6:$B$1005,$B35,'الحركات الشهرية'!$A$6:$A$1005,$C$3))</f>
        <v/>
      </c>
      <c r="P35" s="116" t="str">
        <f aca="false">IF($B35="","",O35*(الموظفون!$P35+الموظفون!$L35*cfg_OT_P)/cfg_DAYS_M/cfg_HRS)</f>
        <v/>
      </c>
      <c r="Q35" s="116" t="str">
        <f aca="false">IF($B35="","",SUMIFS('الحركات الشهرية'!$G$6:$G$1005,'الحركات الشهرية'!$B$6:$B$1005,$B35,'الحركات الشهرية'!$A$6:$A$1005,$C$3))</f>
        <v/>
      </c>
      <c r="R35" s="116" t="str">
        <f aca="false">IF($B35="","",SUMIFS('الحركات الشهرية'!$H$6:$H$1005,'الحركات الشهرية'!$B$6:$B$1005,$B35,'الحركات الشهرية'!$A$6:$A$1005,$C$3))</f>
        <v/>
      </c>
      <c r="S35" s="116" t="str">
        <f aca="false">IF($B35="","",SUMIFS('سجل الإجازات والحالات'!$N$6:$N$505,'سجل الإجازات والحالات'!$B$6:$B$505,$B35,'سجل الإجازات والحالات'!$O$6:$O$505,$C$3))</f>
        <v/>
      </c>
      <c r="T35" s="157" t="str">
        <f aca="false">IF($B35="","",SUM(K35:N35)+SUM(P35:S35))</f>
        <v/>
      </c>
      <c r="U35" s="116" t="str">
        <f aca="false">IF($B35="","",الموظفون!$S35*IF(E35="سعودي",cfg_G_SE,cfg_G_NE)*G35/cfg_DAYS_M)</f>
        <v/>
      </c>
      <c r="V35" s="116" t="str">
        <f aca="false">IF($B35="","",SUMIFS('الحركات الشهرية'!$I$6:$I$1005,'الحركات الشهرية'!$B$6:$B$1005,$B35,'الحركات الشهرية'!$A$6:$A$1005,$C$3))</f>
        <v/>
      </c>
      <c r="W35" s="116" t="str">
        <f aca="false">IF($B35="","",SUMIFS('الحركات الشهرية'!$J$6:$J$1005,'الحركات الشهرية'!$B$6:$B$1005,$B35,'الحركات الشهرية'!$A$6:$A$1005,$C$3))</f>
        <v/>
      </c>
      <c r="X35" s="116" t="str">
        <f aca="false">IF($B35="","",SUM(U35:W35))</f>
        <v/>
      </c>
      <c r="Y35" s="158" t="str">
        <f aca="false">IF($B35="","",T35-X35)</f>
        <v/>
      </c>
      <c r="Z35" s="116" t="str">
        <f aca="false">IF($B35="","",الموظفون!$S35*IF(E35="سعودي",cfg_G_SR,cfg_G_NR)*G35/cfg_DAYS_M)</f>
        <v/>
      </c>
      <c r="AA35" s="116" t="str">
        <f aca="false">IF($B35="","",الموظفون!$Q35*(cfg_EOS_R1*(MIN(AH35,cfg_EOS_TH)-MIN(AI35,cfg_EOS_TH))+cfg_EOS_R2*(MAX(AH35-cfg_EOS_TH,0)-MAX(AI35-cfg_EOS_TH,0))))</f>
        <v/>
      </c>
      <c r="AB35" s="116" t="str">
        <f aca="false">IF($B35="","",IF(الموظفون!$T35&lt;&gt;"",الموظفون!$T35,IF(AH35&gt;=cfg_LV_TH,cfg_LV_D2,cfg_LV_D1))/cfg_DAYS_Y*AJ35*الموظفون!$R35/cfg_DAYS_M)</f>
        <v/>
      </c>
      <c r="AC35" s="116" t="str">
        <f aca="false">IF($B35="","",IF(AND(الموظفون!$U35="نعم",N(الموظفون!$W35)&gt;0),الموظفون!$V35/الموظفون!$W35*12/cfg_DAYS_Y*AJ35,0))</f>
        <v/>
      </c>
      <c r="AD35" s="116" t="str">
        <f aca="false">IF($B35="","",(IF(الموظفون!$X35&lt;&gt;"",الموظفون!$X35,IF(الموظفون!$E35="غير سعودي",cfg_IQ,0))+IF(الموظفون!$Y35&lt;&gt;"",الموظفون!$Y35,IF(الموظفون!$E35="غير سعودي",cfg_WP,0)))/12*G35/cfg_DAYS_M)</f>
        <v/>
      </c>
      <c r="AE35" s="116" t="str">
        <f aca="false">IF($B35="","",IF(الموظفون!$Z35&lt;&gt;"",الموظفون!$Z35,cfg_MED)/12*G35/cfg_DAYS_M)</f>
        <v/>
      </c>
      <c r="AF35" s="116" t="str">
        <f aca="false">IF($B35="","",N(الموظفون!$AA35)/12*G35/cfg_DAYS_M)</f>
        <v/>
      </c>
      <c r="AG35" s="159" t="str">
        <f aca="false">IF($B35="","",T35+SUM(Z35:AF35))</f>
        <v/>
      </c>
      <c r="AH35" s="160" t="str">
        <f aca="false">IF($B35="","",MAX(0,IF(OR(الموظفون!$AE35="",الموظفون!$AE35&gt;$F$3),$F$3,الموظفون!$AE35)-الموظفون!$H35+1-SUMIFS('سجل الإجازات والحالات'!$AS$6:$AS$505,'سجل الإجازات والحالات'!$B$6:$B$505,$B35))/cfg_DAYS_Y)</f>
        <v/>
      </c>
      <c r="AI35" s="160" t="str">
        <f aca="false">IF($B35="","",MAX(0,IF(OR(الموظفون!$AE35="",الموظفون!$AE35&gt;($E$3-1)),($E$3-1),الموظفون!$AE35)-الموظفون!$H35+1-SUMIFS('سجل الإجازات والحالات'!$AR$6:$AR$505,'سجل الإجازات والحالات'!$B$6:$B$505,$B35))/cfg_DAYS_Y)</f>
        <v/>
      </c>
      <c r="AJ35" s="133" t="str">
        <f aca="false">IF($B35="","",MAX(0,AK35-(SUMIFS('سجل الإجازات والحالات'!$AS$6:$AS$505,'سجل الإجازات والحالات'!$B$6:$B$505,$B35)-SUMIFS('سجل الإجازات والحالات'!$AR$6:$AR$505,'سجل الإجازات والحالات'!$B$6:$B$505,$B35))))</f>
        <v/>
      </c>
      <c r="AK35" s="133" t="str">
        <f aca="false">IF($B35="","",MAX(0,IF(OR(الموظفون!$AE35="",الموظفون!$AE35&gt;$F$3),$F$3,الموظفون!$AE35)-MAX($E$3,الموظفون!$H35)+1))</f>
        <v/>
      </c>
      <c r="AL35" s="156" t="str">
        <f aca="false">IF($B35="","",SUMIFS('سجل الإجازات والحالات'!$BE$6:$BE$505,'سجل الإجازات والحالات'!$B$6:$B$505,$B35)+SUMIFS('الحركات الشهرية'!$K$6:$K$1005,'الحركات الشهرية'!$B$6:$B$1005,$B35,'الحركات الشهرية'!$A$6:$A$1005,$C$3))</f>
        <v/>
      </c>
      <c r="AM35" s="116" t="str">
        <f aca="false">IF($B35="","",AL35*الموظفون!$R35/cfg_DAYS_M+S35)</f>
        <v/>
      </c>
      <c r="AN35" s="156" t="str">
        <f aca="false">IF($B35="","",SUMIFS('سجل الإجازات والحالات'!$AG$6:$AG$505,'سجل الإجازات والحالات'!$B$6:$B$505,$B35))</f>
        <v/>
      </c>
    </row>
    <row r="36" customFormat="false" ht="15" hidden="false" customHeight="false" outlineLevel="0" collapsed="false">
      <c r="A36" s="106" t="str">
        <f aca="false">IF($B36="","",الموظفون!$A36)</f>
        <v/>
      </c>
      <c r="B36" s="114" t="str">
        <f aca="false">IF(الموظفون!$B36="","",الموظفون!$B36)</f>
        <v/>
      </c>
      <c r="C36" s="114" t="str">
        <f aca="false">IF($B36="","",الموظفون!$C36)</f>
        <v/>
      </c>
      <c r="D36" s="114" t="str">
        <f aca="false">IF($B36="","",الموظفون!$F36)</f>
        <v/>
      </c>
      <c r="E36" s="114" t="str">
        <f aca="false">IF($B36="","",الموظفون!$E36)</f>
        <v/>
      </c>
      <c r="F36" s="114" t="str">
        <f aca="false">IF($B36="","",IF(AK36=0,IF(AND(الموظفون!$AE36&lt;&gt;"",الموظفون!$AE36&lt;$E$3),"✖ منتهي الخدمة","⏳ لم يباشر"),IF(S36&gt;0,"✈ راتب إجازة مقدم",IF(J36=0,"⛔ بدون راتب هذا الشهر",IF(I36&gt;0,"✈ خصم "&amp;ROUND(I36,2)&amp;" يوم بدون أجر",IF(AL36&gt;0,"🌴 إجازة سنوية "&amp;ROUND(AL36,2)&amp;" يوم",IF(H36&gt;0,"⚠ غياب "&amp;ROUND(H36,2)&amp;" يوم","✔ على رأس العمل")))))))</f>
        <v/>
      </c>
      <c r="G36" s="151" t="str">
        <f aca="false">IF($B36="","",IF(AK36&gt;=DAY($F$3),cfg_DAYS_M,MIN(AK36,cfg_DAYS_M)))</f>
        <v/>
      </c>
      <c r="H36" s="151" t="str">
        <f aca="false">IF($B36="","",SUMIFS('الحركات الشهرية'!$D$6:$D$1005,'الحركات الشهرية'!$B$6:$B$1005,$B36,'الحركات الشهرية'!$A$6:$A$1005,$C$3))</f>
        <v/>
      </c>
      <c r="I36" s="151" t="str">
        <f aca="false">IF($B36="","",MIN(G36,IF(AND(AK36&gt;0,AN36&gt;=AK36),G36,AN36)+SUMIFS('الحركات الشهرية'!$E$6:$E$1005,'الحركات الشهرية'!$B$6:$B$1005,$B36,'الحركات الشهرية'!$A$6:$A$1005,$C$3)))</f>
        <v/>
      </c>
      <c r="J36" s="151" t="str">
        <f aca="false">IF($B36="","",MAX(0,G36-H36-I36))</f>
        <v/>
      </c>
      <c r="K36" s="111" t="str">
        <f aca="false">IF($B36="","",الموظفون!$L36*$J36/cfg_DAYS_M)</f>
        <v/>
      </c>
      <c r="L36" s="111" t="str">
        <f aca="false">IF($B36="","",الموظفون!$M36*$J36/cfg_DAYS_M)</f>
        <v/>
      </c>
      <c r="M36" s="111" t="str">
        <f aca="false">IF($B36="","",الموظفون!$N36*$J36/cfg_DAYS_M)</f>
        <v/>
      </c>
      <c r="N36" s="111" t="str">
        <f aca="false">IF($B36="","",الموظفون!$O36*$J36/cfg_DAYS_M)</f>
        <v/>
      </c>
      <c r="O36" s="151" t="str">
        <f aca="false">IF($B36="","",SUMIFS('الحركات الشهرية'!$F$6:$F$1005,'الحركات الشهرية'!$B$6:$B$1005,$B36,'الحركات الشهرية'!$A$6:$A$1005,$C$3))</f>
        <v/>
      </c>
      <c r="P36" s="111" t="str">
        <f aca="false">IF($B36="","",O36*(الموظفون!$P36+الموظفون!$L36*cfg_OT_P)/cfg_DAYS_M/cfg_HRS)</f>
        <v/>
      </c>
      <c r="Q36" s="111" t="str">
        <f aca="false">IF($B36="","",SUMIFS('الحركات الشهرية'!$G$6:$G$1005,'الحركات الشهرية'!$B$6:$B$1005,$B36,'الحركات الشهرية'!$A$6:$A$1005,$C$3))</f>
        <v/>
      </c>
      <c r="R36" s="111" t="str">
        <f aca="false">IF($B36="","",SUMIFS('الحركات الشهرية'!$H$6:$H$1005,'الحركات الشهرية'!$B$6:$B$1005,$B36,'الحركات الشهرية'!$A$6:$A$1005,$C$3))</f>
        <v/>
      </c>
      <c r="S36" s="111" t="str">
        <f aca="false">IF($B36="","",SUMIFS('سجل الإجازات والحالات'!$N$6:$N$505,'سجل الإجازات والحالات'!$B$6:$B$505,$B36,'سجل الإجازات والحالات'!$O$6:$O$505,$C$3))</f>
        <v/>
      </c>
      <c r="T36" s="152" t="str">
        <f aca="false">IF($B36="","",SUM(K36:N36)+SUM(P36:S36))</f>
        <v/>
      </c>
      <c r="U36" s="111" t="str">
        <f aca="false">IF($B36="","",الموظفون!$S36*IF(E36="سعودي",cfg_G_SE,cfg_G_NE)*G36/cfg_DAYS_M)</f>
        <v/>
      </c>
      <c r="V36" s="111" t="str">
        <f aca="false">IF($B36="","",SUMIFS('الحركات الشهرية'!$I$6:$I$1005,'الحركات الشهرية'!$B$6:$B$1005,$B36,'الحركات الشهرية'!$A$6:$A$1005,$C$3))</f>
        <v/>
      </c>
      <c r="W36" s="111" t="str">
        <f aca="false">IF($B36="","",SUMIFS('الحركات الشهرية'!$J$6:$J$1005,'الحركات الشهرية'!$B$6:$B$1005,$B36,'الحركات الشهرية'!$A$6:$A$1005,$C$3))</f>
        <v/>
      </c>
      <c r="X36" s="111" t="str">
        <f aca="false">IF($B36="","",SUM(U36:W36))</f>
        <v/>
      </c>
      <c r="Y36" s="153" t="str">
        <f aca="false">IF($B36="","",T36-X36)</f>
        <v/>
      </c>
      <c r="Z36" s="111" t="str">
        <f aca="false">IF($B36="","",الموظفون!$S36*IF(E36="سعودي",cfg_G_SR,cfg_G_NR)*G36/cfg_DAYS_M)</f>
        <v/>
      </c>
      <c r="AA36" s="111" t="str">
        <f aca="false">IF($B36="","",الموظفون!$Q36*(cfg_EOS_R1*(MIN(AH36,cfg_EOS_TH)-MIN(AI36,cfg_EOS_TH))+cfg_EOS_R2*(MAX(AH36-cfg_EOS_TH,0)-MAX(AI36-cfg_EOS_TH,0))))</f>
        <v/>
      </c>
      <c r="AB36" s="111" t="str">
        <f aca="false">IF($B36="","",IF(الموظفون!$T36&lt;&gt;"",الموظفون!$T36,IF(AH36&gt;=cfg_LV_TH,cfg_LV_D2,cfg_LV_D1))/cfg_DAYS_Y*AJ36*الموظفون!$R36/cfg_DAYS_M)</f>
        <v/>
      </c>
      <c r="AC36" s="111" t="str">
        <f aca="false">IF($B36="","",IF(AND(الموظفون!$U36="نعم",N(الموظفون!$W36)&gt;0),الموظفون!$V36/الموظفون!$W36*12/cfg_DAYS_Y*AJ36,0))</f>
        <v/>
      </c>
      <c r="AD36" s="111" t="str">
        <f aca="false">IF($B36="","",(IF(الموظفون!$X36&lt;&gt;"",الموظفون!$X36,IF(الموظفون!$E36="غير سعودي",cfg_IQ,0))+IF(الموظفون!$Y36&lt;&gt;"",الموظفون!$Y36,IF(الموظفون!$E36="غير سعودي",cfg_WP,0)))/12*G36/cfg_DAYS_M)</f>
        <v/>
      </c>
      <c r="AE36" s="111" t="str">
        <f aca="false">IF($B36="","",IF(الموظفون!$Z36&lt;&gt;"",الموظفون!$Z36,cfg_MED)/12*G36/cfg_DAYS_M)</f>
        <v/>
      </c>
      <c r="AF36" s="111" t="str">
        <f aca="false">IF($B36="","",N(الموظفون!$AA36)/12*G36/cfg_DAYS_M)</f>
        <v/>
      </c>
      <c r="AG36" s="154" t="str">
        <f aca="false">IF($B36="","",T36+SUM(Z36:AF36))</f>
        <v/>
      </c>
      <c r="AH36" s="155" t="str">
        <f aca="false">IF($B36="","",MAX(0,IF(OR(الموظفون!$AE36="",الموظفون!$AE36&gt;$F$3),$F$3,الموظفون!$AE36)-الموظفون!$H36+1-SUMIFS('سجل الإجازات والحالات'!$AS$6:$AS$505,'سجل الإجازات والحالات'!$B$6:$B$505,$B36))/cfg_DAYS_Y)</f>
        <v/>
      </c>
      <c r="AI36" s="155" t="str">
        <f aca="false">IF($B36="","",MAX(0,IF(OR(الموظفون!$AE36="",الموظفون!$AE36&gt;($E$3-1)),($E$3-1),الموظفون!$AE36)-الموظفون!$H36+1-SUMIFS('سجل الإجازات والحالات'!$AR$6:$AR$505,'سجل الإجازات والحالات'!$B$6:$B$505,$B36))/cfg_DAYS_Y)</f>
        <v/>
      </c>
      <c r="AJ36" s="65" t="str">
        <f aca="false">IF($B36="","",MAX(0,AK36-(SUMIFS('سجل الإجازات والحالات'!$AS$6:$AS$505,'سجل الإجازات والحالات'!$B$6:$B$505,$B36)-SUMIFS('سجل الإجازات والحالات'!$AR$6:$AR$505,'سجل الإجازات والحالات'!$B$6:$B$505,$B36))))</f>
        <v/>
      </c>
      <c r="AK36" s="65" t="str">
        <f aca="false">IF($B36="","",MAX(0,IF(OR(الموظفون!$AE36="",الموظفون!$AE36&gt;$F$3),$F$3,الموظفون!$AE36)-MAX($E$3,الموظفون!$H36)+1))</f>
        <v/>
      </c>
      <c r="AL36" s="151" t="str">
        <f aca="false">IF($B36="","",SUMIFS('سجل الإجازات والحالات'!$BE$6:$BE$505,'سجل الإجازات والحالات'!$B$6:$B$505,$B36)+SUMIFS('الحركات الشهرية'!$K$6:$K$1005,'الحركات الشهرية'!$B$6:$B$1005,$B36,'الحركات الشهرية'!$A$6:$A$1005,$C$3))</f>
        <v/>
      </c>
      <c r="AM36" s="111" t="str">
        <f aca="false">IF($B36="","",AL36*الموظفون!$R36/cfg_DAYS_M+S36)</f>
        <v/>
      </c>
      <c r="AN36" s="151" t="str">
        <f aca="false">IF($B36="","",SUMIFS('سجل الإجازات والحالات'!$AG$6:$AG$505,'سجل الإجازات والحالات'!$B$6:$B$505,$B36))</f>
        <v/>
      </c>
    </row>
    <row r="37" customFormat="false" ht="15" hidden="false" customHeight="false" outlineLevel="0" collapsed="false">
      <c r="A37" s="115" t="str">
        <f aca="false">IF($B37="","",الموظفون!$A37)</f>
        <v/>
      </c>
      <c r="B37" s="117" t="str">
        <f aca="false">IF(الموظفون!$B37="","",الموظفون!$B37)</f>
        <v/>
      </c>
      <c r="C37" s="117" t="str">
        <f aca="false">IF($B37="","",الموظفون!$C37)</f>
        <v/>
      </c>
      <c r="D37" s="117" t="str">
        <f aca="false">IF($B37="","",الموظفون!$F37)</f>
        <v/>
      </c>
      <c r="E37" s="117" t="str">
        <f aca="false">IF($B37="","",الموظفون!$E37)</f>
        <v/>
      </c>
      <c r="F37" s="117" t="str">
        <f aca="false">IF($B37="","",IF(AK37=0,IF(AND(الموظفون!$AE37&lt;&gt;"",الموظفون!$AE37&lt;$E$3),"✖ منتهي الخدمة","⏳ لم يباشر"),IF(S37&gt;0,"✈ راتب إجازة مقدم",IF(J37=0,"⛔ بدون راتب هذا الشهر",IF(I37&gt;0,"✈ خصم "&amp;ROUND(I37,2)&amp;" يوم بدون أجر",IF(AL37&gt;0,"🌴 إجازة سنوية "&amp;ROUND(AL37,2)&amp;" يوم",IF(H37&gt;0,"⚠ غياب "&amp;ROUND(H37,2)&amp;" يوم","✔ على رأس العمل")))))))</f>
        <v/>
      </c>
      <c r="G37" s="156" t="str">
        <f aca="false">IF($B37="","",IF(AK37&gt;=DAY($F$3),cfg_DAYS_M,MIN(AK37,cfg_DAYS_M)))</f>
        <v/>
      </c>
      <c r="H37" s="156" t="str">
        <f aca="false">IF($B37="","",SUMIFS('الحركات الشهرية'!$D$6:$D$1005,'الحركات الشهرية'!$B$6:$B$1005,$B37,'الحركات الشهرية'!$A$6:$A$1005,$C$3))</f>
        <v/>
      </c>
      <c r="I37" s="156" t="str">
        <f aca="false">IF($B37="","",MIN(G37,IF(AND(AK37&gt;0,AN37&gt;=AK37),G37,AN37)+SUMIFS('الحركات الشهرية'!$E$6:$E$1005,'الحركات الشهرية'!$B$6:$B$1005,$B37,'الحركات الشهرية'!$A$6:$A$1005,$C$3)))</f>
        <v/>
      </c>
      <c r="J37" s="156" t="str">
        <f aca="false">IF($B37="","",MAX(0,G37-H37-I37))</f>
        <v/>
      </c>
      <c r="K37" s="116" t="str">
        <f aca="false">IF($B37="","",الموظفون!$L37*$J37/cfg_DAYS_M)</f>
        <v/>
      </c>
      <c r="L37" s="116" t="str">
        <f aca="false">IF($B37="","",الموظفون!$M37*$J37/cfg_DAYS_M)</f>
        <v/>
      </c>
      <c r="M37" s="116" t="str">
        <f aca="false">IF($B37="","",الموظفون!$N37*$J37/cfg_DAYS_M)</f>
        <v/>
      </c>
      <c r="N37" s="116" t="str">
        <f aca="false">IF($B37="","",الموظفون!$O37*$J37/cfg_DAYS_M)</f>
        <v/>
      </c>
      <c r="O37" s="156" t="str">
        <f aca="false">IF($B37="","",SUMIFS('الحركات الشهرية'!$F$6:$F$1005,'الحركات الشهرية'!$B$6:$B$1005,$B37,'الحركات الشهرية'!$A$6:$A$1005,$C$3))</f>
        <v/>
      </c>
      <c r="P37" s="116" t="str">
        <f aca="false">IF($B37="","",O37*(الموظفون!$P37+الموظفون!$L37*cfg_OT_P)/cfg_DAYS_M/cfg_HRS)</f>
        <v/>
      </c>
      <c r="Q37" s="116" t="str">
        <f aca="false">IF($B37="","",SUMIFS('الحركات الشهرية'!$G$6:$G$1005,'الحركات الشهرية'!$B$6:$B$1005,$B37,'الحركات الشهرية'!$A$6:$A$1005,$C$3))</f>
        <v/>
      </c>
      <c r="R37" s="116" t="str">
        <f aca="false">IF($B37="","",SUMIFS('الحركات الشهرية'!$H$6:$H$1005,'الحركات الشهرية'!$B$6:$B$1005,$B37,'الحركات الشهرية'!$A$6:$A$1005,$C$3))</f>
        <v/>
      </c>
      <c r="S37" s="116" t="str">
        <f aca="false">IF($B37="","",SUMIFS('سجل الإجازات والحالات'!$N$6:$N$505,'سجل الإجازات والحالات'!$B$6:$B$505,$B37,'سجل الإجازات والحالات'!$O$6:$O$505,$C$3))</f>
        <v/>
      </c>
      <c r="T37" s="157" t="str">
        <f aca="false">IF($B37="","",SUM(K37:N37)+SUM(P37:S37))</f>
        <v/>
      </c>
      <c r="U37" s="116" t="str">
        <f aca="false">IF($B37="","",الموظفون!$S37*IF(E37="سعودي",cfg_G_SE,cfg_G_NE)*G37/cfg_DAYS_M)</f>
        <v/>
      </c>
      <c r="V37" s="116" t="str">
        <f aca="false">IF($B37="","",SUMIFS('الحركات الشهرية'!$I$6:$I$1005,'الحركات الشهرية'!$B$6:$B$1005,$B37,'الحركات الشهرية'!$A$6:$A$1005,$C$3))</f>
        <v/>
      </c>
      <c r="W37" s="116" t="str">
        <f aca="false">IF($B37="","",SUMIFS('الحركات الشهرية'!$J$6:$J$1005,'الحركات الشهرية'!$B$6:$B$1005,$B37,'الحركات الشهرية'!$A$6:$A$1005,$C$3))</f>
        <v/>
      </c>
      <c r="X37" s="116" t="str">
        <f aca="false">IF($B37="","",SUM(U37:W37))</f>
        <v/>
      </c>
      <c r="Y37" s="158" t="str">
        <f aca="false">IF($B37="","",T37-X37)</f>
        <v/>
      </c>
      <c r="Z37" s="116" t="str">
        <f aca="false">IF($B37="","",الموظفون!$S37*IF(E37="سعودي",cfg_G_SR,cfg_G_NR)*G37/cfg_DAYS_M)</f>
        <v/>
      </c>
      <c r="AA37" s="116" t="str">
        <f aca="false">IF($B37="","",الموظفون!$Q37*(cfg_EOS_R1*(MIN(AH37,cfg_EOS_TH)-MIN(AI37,cfg_EOS_TH))+cfg_EOS_R2*(MAX(AH37-cfg_EOS_TH,0)-MAX(AI37-cfg_EOS_TH,0))))</f>
        <v/>
      </c>
      <c r="AB37" s="116" t="str">
        <f aca="false">IF($B37="","",IF(الموظفون!$T37&lt;&gt;"",الموظفون!$T37,IF(AH37&gt;=cfg_LV_TH,cfg_LV_D2,cfg_LV_D1))/cfg_DAYS_Y*AJ37*الموظفون!$R37/cfg_DAYS_M)</f>
        <v/>
      </c>
      <c r="AC37" s="116" t="str">
        <f aca="false">IF($B37="","",IF(AND(الموظفون!$U37="نعم",N(الموظفون!$W37)&gt;0),الموظفون!$V37/الموظفون!$W37*12/cfg_DAYS_Y*AJ37,0))</f>
        <v/>
      </c>
      <c r="AD37" s="116" t="str">
        <f aca="false">IF($B37="","",(IF(الموظفون!$X37&lt;&gt;"",الموظفون!$X37,IF(الموظفون!$E37="غير سعودي",cfg_IQ,0))+IF(الموظفون!$Y37&lt;&gt;"",الموظفون!$Y37,IF(الموظفون!$E37="غير سعودي",cfg_WP,0)))/12*G37/cfg_DAYS_M)</f>
        <v/>
      </c>
      <c r="AE37" s="116" t="str">
        <f aca="false">IF($B37="","",IF(الموظفون!$Z37&lt;&gt;"",الموظفون!$Z37,cfg_MED)/12*G37/cfg_DAYS_M)</f>
        <v/>
      </c>
      <c r="AF37" s="116" t="str">
        <f aca="false">IF($B37="","",N(الموظفون!$AA37)/12*G37/cfg_DAYS_M)</f>
        <v/>
      </c>
      <c r="AG37" s="159" t="str">
        <f aca="false">IF($B37="","",T37+SUM(Z37:AF37))</f>
        <v/>
      </c>
      <c r="AH37" s="160" t="str">
        <f aca="false">IF($B37="","",MAX(0,IF(OR(الموظفون!$AE37="",الموظفون!$AE37&gt;$F$3),$F$3,الموظفون!$AE37)-الموظفون!$H37+1-SUMIFS('سجل الإجازات والحالات'!$AS$6:$AS$505,'سجل الإجازات والحالات'!$B$6:$B$505,$B37))/cfg_DAYS_Y)</f>
        <v/>
      </c>
      <c r="AI37" s="160" t="str">
        <f aca="false">IF($B37="","",MAX(0,IF(OR(الموظفون!$AE37="",الموظفون!$AE37&gt;($E$3-1)),($E$3-1),الموظفون!$AE37)-الموظفون!$H37+1-SUMIFS('سجل الإجازات والحالات'!$AR$6:$AR$505,'سجل الإجازات والحالات'!$B$6:$B$505,$B37))/cfg_DAYS_Y)</f>
        <v/>
      </c>
      <c r="AJ37" s="133" t="str">
        <f aca="false">IF($B37="","",MAX(0,AK37-(SUMIFS('سجل الإجازات والحالات'!$AS$6:$AS$505,'سجل الإجازات والحالات'!$B$6:$B$505,$B37)-SUMIFS('سجل الإجازات والحالات'!$AR$6:$AR$505,'سجل الإجازات والحالات'!$B$6:$B$505,$B37))))</f>
        <v/>
      </c>
      <c r="AK37" s="133" t="str">
        <f aca="false">IF($B37="","",MAX(0,IF(OR(الموظفون!$AE37="",الموظفون!$AE37&gt;$F$3),$F$3,الموظفون!$AE37)-MAX($E$3,الموظفون!$H37)+1))</f>
        <v/>
      </c>
      <c r="AL37" s="156" t="str">
        <f aca="false">IF($B37="","",SUMIFS('سجل الإجازات والحالات'!$BE$6:$BE$505,'سجل الإجازات والحالات'!$B$6:$B$505,$B37)+SUMIFS('الحركات الشهرية'!$K$6:$K$1005,'الحركات الشهرية'!$B$6:$B$1005,$B37,'الحركات الشهرية'!$A$6:$A$1005,$C$3))</f>
        <v/>
      </c>
      <c r="AM37" s="116" t="str">
        <f aca="false">IF($B37="","",AL37*الموظفون!$R37/cfg_DAYS_M+S37)</f>
        <v/>
      </c>
      <c r="AN37" s="156" t="str">
        <f aca="false">IF($B37="","",SUMIFS('سجل الإجازات والحالات'!$AG$6:$AG$505,'سجل الإجازات والحالات'!$B$6:$B$505,$B37))</f>
        <v/>
      </c>
    </row>
    <row r="38" customFormat="false" ht="15" hidden="false" customHeight="false" outlineLevel="0" collapsed="false">
      <c r="A38" s="106" t="str">
        <f aca="false">IF($B38="","",الموظفون!$A38)</f>
        <v/>
      </c>
      <c r="B38" s="114" t="str">
        <f aca="false">IF(الموظفون!$B38="","",الموظفون!$B38)</f>
        <v/>
      </c>
      <c r="C38" s="114" t="str">
        <f aca="false">IF($B38="","",الموظفون!$C38)</f>
        <v/>
      </c>
      <c r="D38" s="114" t="str">
        <f aca="false">IF($B38="","",الموظفون!$F38)</f>
        <v/>
      </c>
      <c r="E38" s="114" t="str">
        <f aca="false">IF($B38="","",الموظفون!$E38)</f>
        <v/>
      </c>
      <c r="F38" s="114" t="str">
        <f aca="false">IF($B38="","",IF(AK38=0,IF(AND(الموظفون!$AE38&lt;&gt;"",الموظفون!$AE38&lt;$E$3),"✖ منتهي الخدمة","⏳ لم يباشر"),IF(S38&gt;0,"✈ راتب إجازة مقدم",IF(J38=0,"⛔ بدون راتب هذا الشهر",IF(I38&gt;0,"✈ خصم "&amp;ROUND(I38,2)&amp;" يوم بدون أجر",IF(AL38&gt;0,"🌴 إجازة سنوية "&amp;ROUND(AL38,2)&amp;" يوم",IF(H38&gt;0,"⚠ غياب "&amp;ROUND(H38,2)&amp;" يوم","✔ على رأس العمل")))))))</f>
        <v/>
      </c>
      <c r="G38" s="151" t="str">
        <f aca="false">IF($B38="","",IF(AK38&gt;=DAY($F$3),cfg_DAYS_M,MIN(AK38,cfg_DAYS_M)))</f>
        <v/>
      </c>
      <c r="H38" s="151" t="str">
        <f aca="false">IF($B38="","",SUMIFS('الحركات الشهرية'!$D$6:$D$1005,'الحركات الشهرية'!$B$6:$B$1005,$B38,'الحركات الشهرية'!$A$6:$A$1005,$C$3))</f>
        <v/>
      </c>
      <c r="I38" s="151" t="str">
        <f aca="false">IF($B38="","",MIN(G38,IF(AND(AK38&gt;0,AN38&gt;=AK38),G38,AN38)+SUMIFS('الحركات الشهرية'!$E$6:$E$1005,'الحركات الشهرية'!$B$6:$B$1005,$B38,'الحركات الشهرية'!$A$6:$A$1005,$C$3)))</f>
        <v/>
      </c>
      <c r="J38" s="151" t="str">
        <f aca="false">IF($B38="","",MAX(0,G38-H38-I38))</f>
        <v/>
      </c>
      <c r="K38" s="111" t="str">
        <f aca="false">IF($B38="","",الموظفون!$L38*$J38/cfg_DAYS_M)</f>
        <v/>
      </c>
      <c r="L38" s="111" t="str">
        <f aca="false">IF($B38="","",الموظفون!$M38*$J38/cfg_DAYS_M)</f>
        <v/>
      </c>
      <c r="M38" s="111" t="str">
        <f aca="false">IF($B38="","",الموظفون!$N38*$J38/cfg_DAYS_M)</f>
        <v/>
      </c>
      <c r="N38" s="111" t="str">
        <f aca="false">IF($B38="","",الموظفون!$O38*$J38/cfg_DAYS_M)</f>
        <v/>
      </c>
      <c r="O38" s="151" t="str">
        <f aca="false">IF($B38="","",SUMIFS('الحركات الشهرية'!$F$6:$F$1005,'الحركات الشهرية'!$B$6:$B$1005,$B38,'الحركات الشهرية'!$A$6:$A$1005,$C$3))</f>
        <v/>
      </c>
      <c r="P38" s="111" t="str">
        <f aca="false">IF($B38="","",O38*(الموظفون!$P38+الموظفون!$L38*cfg_OT_P)/cfg_DAYS_M/cfg_HRS)</f>
        <v/>
      </c>
      <c r="Q38" s="111" t="str">
        <f aca="false">IF($B38="","",SUMIFS('الحركات الشهرية'!$G$6:$G$1005,'الحركات الشهرية'!$B$6:$B$1005,$B38,'الحركات الشهرية'!$A$6:$A$1005,$C$3))</f>
        <v/>
      </c>
      <c r="R38" s="111" t="str">
        <f aca="false">IF($B38="","",SUMIFS('الحركات الشهرية'!$H$6:$H$1005,'الحركات الشهرية'!$B$6:$B$1005,$B38,'الحركات الشهرية'!$A$6:$A$1005,$C$3))</f>
        <v/>
      </c>
      <c r="S38" s="111" t="str">
        <f aca="false">IF($B38="","",SUMIFS('سجل الإجازات والحالات'!$N$6:$N$505,'سجل الإجازات والحالات'!$B$6:$B$505,$B38,'سجل الإجازات والحالات'!$O$6:$O$505,$C$3))</f>
        <v/>
      </c>
      <c r="T38" s="152" t="str">
        <f aca="false">IF($B38="","",SUM(K38:N38)+SUM(P38:S38))</f>
        <v/>
      </c>
      <c r="U38" s="111" t="str">
        <f aca="false">IF($B38="","",الموظفون!$S38*IF(E38="سعودي",cfg_G_SE,cfg_G_NE)*G38/cfg_DAYS_M)</f>
        <v/>
      </c>
      <c r="V38" s="111" t="str">
        <f aca="false">IF($B38="","",SUMIFS('الحركات الشهرية'!$I$6:$I$1005,'الحركات الشهرية'!$B$6:$B$1005,$B38,'الحركات الشهرية'!$A$6:$A$1005,$C$3))</f>
        <v/>
      </c>
      <c r="W38" s="111" t="str">
        <f aca="false">IF($B38="","",SUMIFS('الحركات الشهرية'!$J$6:$J$1005,'الحركات الشهرية'!$B$6:$B$1005,$B38,'الحركات الشهرية'!$A$6:$A$1005,$C$3))</f>
        <v/>
      </c>
      <c r="X38" s="111" t="str">
        <f aca="false">IF($B38="","",SUM(U38:W38))</f>
        <v/>
      </c>
      <c r="Y38" s="153" t="str">
        <f aca="false">IF($B38="","",T38-X38)</f>
        <v/>
      </c>
      <c r="Z38" s="111" t="str">
        <f aca="false">IF($B38="","",الموظفون!$S38*IF(E38="سعودي",cfg_G_SR,cfg_G_NR)*G38/cfg_DAYS_M)</f>
        <v/>
      </c>
      <c r="AA38" s="111" t="str">
        <f aca="false">IF($B38="","",الموظفون!$Q38*(cfg_EOS_R1*(MIN(AH38,cfg_EOS_TH)-MIN(AI38,cfg_EOS_TH))+cfg_EOS_R2*(MAX(AH38-cfg_EOS_TH,0)-MAX(AI38-cfg_EOS_TH,0))))</f>
        <v/>
      </c>
      <c r="AB38" s="111" t="str">
        <f aca="false">IF($B38="","",IF(الموظفون!$T38&lt;&gt;"",الموظفون!$T38,IF(AH38&gt;=cfg_LV_TH,cfg_LV_D2,cfg_LV_D1))/cfg_DAYS_Y*AJ38*الموظفون!$R38/cfg_DAYS_M)</f>
        <v/>
      </c>
      <c r="AC38" s="111" t="str">
        <f aca="false">IF($B38="","",IF(AND(الموظفون!$U38="نعم",N(الموظفون!$W38)&gt;0),الموظفون!$V38/الموظفون!$W38*12/cfg_DAYS_Y*AJ38,0))</f>
        <v/>
      </c>
      <c r="AD38" s="111" t="str">
        <f aca="false">IF($B38="","",(IF(الموظفون!$X38&lt;&gt;"",الموظفون!$X38,IF(الموظفون!$E38="غير سعودي",cfg_IQ,0))+IF(الموظفون!$Y38&lt;&gt;"",الموظفون!$Y38,IF(الموظفون!$E38="غير سعودي",cfg_WP,0)))/12*G38/cfg_DAYS_M)</f>
        <v/>
      </c>
      <c r="AE38" s="111" t="str">
        <f aca="false">IF($B38="","",IF(الموظفون!$Z38&lt;&gt;"",الموظفون!$Z38,cfg_MED)/12*G38/cfg_DAYS_M)</f>
        <v/>
      </c>
      <c r="AF38" s="111" t="str">
        <f aca="false">IF($B38="","",N(الموظفون!$AA38)/12*G38/cfg_DAYS_M)</f>
        <v/>
      </c>
      <c r="AG38" s="154" t="str">
        <f aca="false">IF($B38="","",T38+SUM(Z38:AF38))</f>
        <v/>
      </c>
      <c r="AH38" s="155" t="str">
        <f aca="false">IF($B38="","",MAX(0,IF(OR(الموظفون!$AE38="",الموظفون!$AE38&gt;$F$3),$F$3,الموظفون!$AE38)-الموظفون!$H38+1-SUMIFS('سجل الإجازات والحالات'!$AS$6:$AS$505,'سجل الإجازات والحالات'!$B$6:$B$505,$B38))/cfg_DAYS_Y)</f>
        <v/>
      </c>
      <c r="AI38" s="155" t="str">
        <f aca="false">IF($B38="","",MAX(0,IF(OR(الموظفون!$AE38="",الموظفون!$AE38&gt;($E$3-1)),($E$3-1),الموظفون!$AE38)-الموظفون!$H38+1-SUMIFS('سجل الإجازات والحالات'!$AR$6:$AR$505,'سجل الإجازات والحالات'!$B$6:$B$505,$B38))/cfg_DAYS_Y)</f>
        <v/>
      </c>
      <c r="AJ38" s="65" t="str">
        <f aca="false">IF($B38="","",MAX(0,AK38-(SUMIFS('سجل الإجازات والحالات'!$AS$6:$AS$505,'سجل الإجازات والحالات'!$B$6:$B$505,$B38)-SUMIFS('سجل الإجازات والحالات'!$AR$6:$AR$505,'سجل الإجازات والحالات'!$B$6:$B$505,$B38))))</f>
        <v/>
      </c>
      <c r="AK38" s="65" t="str">
        <f aca="false">IF($B38="","",MAX(0,IF(OR(الموظفون!$AE38="",الموظفون!$AE38&gt;$F$3),$F$3,الموظفون!$AE38)-MAX($E$3,الموظفون!$H38)+1))</f>
        <v/>
      </c>
      <c r="AL38" s="151" t="str">
        <f aca="false">IF($B38="","",SUMIFS('سجل الإجازات والحالات'!$BE$6:$BE$505,'سجل الإجازات والحالات'!$B$6:$B$505,$B38)+SUMIFS('الحركات الشهرية'!$K$6:$K$1005,'الحركات الشهرية'!$B$6:$B$1005,$B38,'الحركات الشهرية'!$A$6:$A$1005,$C$3))</f>
        <v/>
      </c>
      <c r="AM38" s="111" t="str">
        <f aca="false">IF($B38="","",AL38*الموظفون!$R38/cfg_DAYS_M+S38)</f>
        <v/>
      </c>
      <c r="AN38" s="151" t="str">
        <f aca="false">IF($B38="","",SUMIFS('سجل الإجازات والحالات'!$AG$6:$AG$505,'سجل الإجازات والحالات'!$B$6:$B$505,$B38))</f>
        <v/>
      </c>
    </row>
    <row r="39" customFormat="false" ht="15" hidden="false" customHeight="false" outlineLevel="0" collapsed="false">
      <c r="A39" s="115" t="str">
        <f aca="false">IF($B39="","",الموظفون!$A39)</f>
        <v/>
      </c>
      <c r="B39" s="117" t="str">
        <f aca="false">IF(الموظفون!$B39="","",الموظفون!$B39)</f>
        <v/>
      </c>
      <c r="C39" s="117" t="str">
        <f aca="false">IF($B39="","",الموظفون!$C39)</f>
        <v/>
      </c>
      <c r="D39" s="117" t="str">
        <f aca="false">IF($B39="","",الموظفون!$F39)</f>
        <v/>
      </c>
      <c r="E39" s="117" t="str">
        <f aca="false">IF($B39="","",الموظفون!$E39)</f>
        <v/>
      </c>
      <c r="F39" s="117" t="str">
        <f aca="false">IF($B39="","",IF(AK39=0,IF(AND(الموظفون!$AE39&lt;&gt;"",الموظفون!$AE39&lt;$E$3),"✖ منتهي الخدمة","⏳ لم يباشر"),IF(S39&gt;0,"✈ راتب إجازة مقدم",IF(J39=0,"⛔ بدون راتب هذا الشهر",IF(I39&gt;0,"✈ خصم "&amp;ROUND(I39,2)&amp;" يوم بدون أجر",IF(AL39&gt;0,"🌴 إجازة سنوية "&amp;ROUND(AL39,2)&amp;" يوم",IF(H39&gt;0,"⚠ غياب "&amp;ROUND(H39,2)&amp;" يوم","✔ على رأس العمل")))))))</f>
        <v/>
      </c>
      <c r="G39" s="156" t="str">
        <f aca="false">IF($B39="","",IF(AK39&gt;=DAY($F$3),cfg_DAYS_M,MIN(AK39,cfg_DAYS_M)))</f>
        <v/>
      </c>
      <c r="H39" s="156" t="str">
        <f aca="false">IF($B39="","",SUMIFS('الحركات الشهرية'!$D$6:$D$1005,'الحركات الشهرية'!$B$6:$B$1005,$B39,'الحركات الشهرية'!$A$6:$A$1005,$C$3))</f>
        <v/>
      </c>
      <c r="I39" s="156" t="str">
        <f aca="false">IF($B39="","",MIN(G39,IF(AND(AK39&gt;0,AN39&gt;=AK39),G39,AN39)+SUMIFS('الحركات الشهرية'!$E$6:$E$1005,'الحركات الشهرية'!$B$6:$B$1005,$B39,'الحركات الشهرية'!$A$6:$A$1005,$C$3)))</f>
        <v/>
      </c>
      <c r="J39" s="156" t="str">
        <f aca="false">IF($B39="","",MAX(0,G39-H39-I39))</f>
        <v/>
      </c>
      <c r="K39" s="116" t="str">
        <f aca="false">IF($B39="","",الموظفون!$L39*$J39/cfg_DAYS_M)</f>
        <v/>
      </c>
      <c r="L39" s="116" t="str">
        <f aca="false">IF($B39="","",الموظفون!$M39*$J39/cfg_DAYS_M)</f>
        <v/>
      </c>
      <c r="M39" s="116" t="str">
        <f aca="false">IF($B39="","",الموظفون!$N39*$J39/cfg_DAYS_M)</f>
        <v/>
      </c>
      <c r="N39" s="116" t="str">
        <f aca="false">IF($B39="","",الموظفون!$O39*$J39/cfg_DAYS_M)</f>
        <v/>
      </c>
      <c r="O39" s="156" t="str">
        <f aca="false">IF($B39="","",SUMIFS('الحركات الشهرية'!$F$6:$F$1005,'الحركات الشهرية'!$B$6:$B$1005,$B39,'الحركات الشهرية'!$A$6:$A$1005,$C$3))</f>
        <v/>
      </c>
      <c r="P39" s="116" t="str">
        <f aca="false">IF($B39="","",O39*(الموظفون!$P39+الموظفون!$L39*cfg_OT_P)/cfg_DAYS_M/cfg_HRS)</f>
        <v/>
      </c>
      <c r="Q39" s="116" t="str">
        <f aca="false">IF($B39="","",SUMIFS('الحركات الشهرية'!$G$6:$G$1005,'الحركات الشهرية'!$B$6:$B$1005,$B39,'الحركات الشهرية'!$A$6:$A$1005,$C$3))</f>
        <v/>
      </c>
      <c r="R39" s="116" t="str">
        <f aca="false">IF($B39="","",SUMIFS('الحركات الشهرية'!$H$6:$H$1005,'الحركات الشهرية'!$B$6:$B$1005,$B39,'الحركات الشهرية'!$A$6:$A$1005,$C$3))</f>
        <v/>
      </c>
      <c r="S39" s="116" t="str">
        <f aca="false">IF($B39="","",SUMIFS('سجل الإجازات والحالات'!$N$6:$N$505,'سجل الإجازات والحالات'!$B$6:$B$505,$B39,'سجل الإجازات والحالات'!$O$6:$O$505,$C$3))</f>
        <v/>
      </c>
      <c r="T39" s="157" t="str">
        <f aca="false">IF($B39="","",SUM(K39:N39)+SUM(P39:S39))</f>
        <v/>
      </c>
      <c r="U39" s="116" t="str">
        <f aca="false">IF($B39="","",الموظفون!$S39*IF(E39="سعودي",cfg_G_SE,cfg_G_NE)*G39/cfg_DAYS_M)</f>
        <v/>
      </c>
      <c r="V39" s="116" t="str">
        <f aca="false">IF($B39="","",SUMIFS('الحركات الشهرية'!$I$6:$I$1005,'الحركات الشهرية'!$B$6:$B$1005,$B39,'الحركات الشهرية'!$A$6:$A$1005,$C$3))</f>
        <v/>
      </c>
      <c r="W39" s="116" t="str">
        <f aca="false">IF($B39="","",SUMIFS('الحركات الشهرية'!$J$6:$J$1005,'الحركات الشهرية'!$B$6:$B$1005,$B39,'الحركات الشهرية'!$A$6:$A$1005,$C$3))</f>
        <v/>
      </c>
      <c r="X39" s="116" t="str">
        <f aca="false">IF($B39="","",SUM(U39:W39))</f>
        <v/>
      </c>
      <c r="Y39" s="158" t="str">
        <f aca="false">IF($B39="","",T39-X39)</f>
        <v/>
      </c>
      <c r="Z39" s="116" t="str">
        <f aca="false">IF($B39="","",الموظفون!$S39*IF(E39="سعودي",cfg_G_SR,cfg_G_NR)*G39/cfg_DAYS_M)</f>
        <v/>
      </c>
      <c r="AA39" s="116" t="str">
        <f aca="false">IF($B39="","",الموظفون!$Q39*(cfg_EOS_R1*(MIN(AH39,cfg_EOS_TH)-MIN(AI39,cfg_EOS_TH))+cfg_EOS_R2*(MAX(AH39-cfg_EOS_TH,0)-MAX(AI39-cfg_EOS_TH,0))))</f>
        <v/>
      </c>
      <c r="AB39" s="116" t="str">
        <f aca="false">IF($B39="","",IF(الموظفون!$T39&lt;&gt;"",الموظفون!$T39,IF(AH39&gt;=cfg_LV_TH,cfg_LV_D2,cfg_LV_D1))/cfg_DAYS_Y*AJ39*الموظفون!$R39/cfg_DAYS_M)</f>
        <v/>
      </c>
      <c r="AC39" s="116" t="str">
        <f aca="false">IF($B39="","",IF(AND(الموظفون!$U39="نعم",N(الموظفون!$W39)&gt;0),الموظفون!$V39/الموظفون!$W39*12/cfg_DAYS_Y*AJ39,0))</f>
        <v/>
      </c>
      <c r="AD39" s="116" t="str">
        <f aca="false">IF($B39="","",(IF(الموظفون!$X39&lt;&gt;"",الموظفون!$X39,IF(الموظفون!$E39="غير سعودي",cfg_IQ,0))+IF(الموظفون!$Y39&lt;&gt;"",الموظفون!$Y39,IF(الموظفون!$E39="غير سعودي",cfg_WP,0)))/12*G39/cfg_DAYS_M)</f>
        <v/>
      </c>
      <c r="AE39" s="116" t="str">
        <f aca="false">IF($B39="","",IF(الموظفون!$Z39&lt;&gt;"",الموظفون!$Z39,cfg_MED)/12*G39/cfg_DAYS_M)</f>
        <v/>
      </c>
      <c r="AF39" s="116" t="str">
        <f aca="false">IF($B39="","",N(الموظفون!$AA39)/12*G39/cfg_DAYS_M)</f>
        <v/>
      </c>
      <c r="AG39" s="159" t="str">
        <f aca="false">IF($B39="","",T39+SUM(Z39:AF39))</f>
        <v/>
      </c>
      <c r="AH39" s="160" t="str">
        <f aca="false">IF($B39="","",MAX(0,IF(OR(الموظفون!$AE39="",الموظفون!$AE39&gt;$F$3),$F$3,الموظفون!$AE39)-الموظفون!$H39+1-SUMIFS('سجل الإجازات والحالات'!$AS$6:$AS$505,'سجل الإجازات والحالات'!$B$6:$B$505,$B39))/cfg_DAYS_Y)</f>
        <v/>
      </c>
      <c r="AI39" s="160" t="str">
        <f aca="false">IF($B39="","",MAX(0,IF(OR(الموظفون!$AE39="",الموظفون!$AE39&gt;($E$3-1)),($E$3-1),الموظفون!$AE39)-الموظفون!$H39+1-SUMIFS('سجل الإجازات والحالات'!$AR$6:$AR$505,'سجل الإجازات والحالات'!$B$6:$B$505,$B39))/cfg_DAYS_Y)</f>
        <v/>
      </c>
      <c r="AJ39" s="133" t="str">
        <f aca="false">IF($B39="","",MAX(0,AK39-(SUMIFS('سجل الإجازات والحالات'!$AS$6:$AS$505,'سجل الإجازات والحالات'!$B$6:$B$505,$B39)-SUMIFS('سجل الإجازات والحالات'!$AR$6:$AR$505,'سجل الإجازات والحالات'!$B$6:$B$505,$B39))))</f>
        <v/>
      </c>
      <c r="AK39" s="133" t="str">
        <f aca="false">IF($B39="","",MAX(0,IF(OR(الموظفون!$AE39="",الموظفون!$AE39&gt;$F$3),$F$3,الموظفون!$AE39)-MAX($E$3,الموظفون!$H39)+1))</f>
        <v/>
      </c>
      <c r="AL39" s="156" t="str">
        <f aca="false">IF($B39="","",SUMIFS('سجل الإجازات والحالات'!$BE$6:$BE$505,'سجل الإجازات والحالات'!$B$6:$B$505,$B39)+SUMIFS('الحركات الشهرية'!$K$6:$K$1005,'الحركات الشهرية'!$B$6:$B$1005,$B39,'الحركات الشهرية'!$A$6:$A$1005,$C$3))</f>
        <v/>
      </c>
      <c r="AM39" s="116" t="str">
        <f aca="false">IF($B39="","",AL39*الموظفون!$R39/cfg_DAYS_M+S39)</f>
        <v/>
      </c>
      <c r="AN39" s="156" t="str">
        <f aca="false">IF($B39="","",SUMIFS('سجل الإجازات والحالات'!$AG$6:$AG$505,'سجل الإجازات والحالات'!$B$6:$B$505,$B39))</f>
        <v/>
      </c>
    </row>
    <row r="40" customFormat="false" ht="15" hidden="false" customHeight="false" outlineLevel="0" collapsed="false">
      <c r="A40" s="106" t="str">
        <f aca="false">IF($B40="","",الموظفون!$A40)</f>
        <v/>
      </c>
      <c r="B40" s="114" t="str">
        <f aca="false">IF(الموظفون!$B40="","",الموظفون!$B40)</f>
        <v/>
      </c>
      <c r="C40" s="114" t="str">
        <f aca="false">IF($B40="","",الموظفون!$C40)</f>
        <v/>
      </c>
      <c r="D40" s="114" t="str">
        <f aca="false">IF($B40="","",الموظفون!$F40)</f>
        <v/>
      </c>
      <c r="E40" s="114" t="str">
        <f aca="false">IF($B40="","",الموظفون!$E40)</f>
        <v/>
      </c>
      <c r="F40" s="114" t="str">
        <f aca="false">IF($B40="","",IF(AK40=0,IF(AND(الموظفون!$AE40&lt;&gt;"",الموظفون!$AE40&lt;$E$3),"✖ منتهي الخدمة","⏳ لم يباشر"),IF(S40&gt;0,"✈ راتب إجازة مقدم",IF(J40=0,"⛔ بدون راتب هذا الشهر",IF(I40&gt;0,"✈ خصم "&amp;ROUND(I40,2)&amp;" يوم بدون أجر",IF(AL40&gt;0,"🌴 إجازة سنوية "&amp;ROUND(AL40,2)&amp;" يوم",IF(H40&gt;0,"⚠ غياب "&amp;ROUND(H40,2)&amp;" يوم","✔ على رأس العمل")))))))</f>
        <v/>
      </c>
      <c r="G40" s="151" t="str">
        <f aca="false">IF($B40="","",IF(AK40&gt;=DAY($F$3),cfg_DAYS_M,MIN(AK40,cfg_DAYS_M)))</f>
        <v/>
      </c>
      <c r="H40" s="151" t="str">
        <f aca="false">IF($B40="","",SUMIFS('الحركات الشهرية'!$D$6:$D$1005,'الحركات الشهرية'!$B$6:$B$1005,$B40,'الحركات الشهرية'!$A$6:$A$1005,$C$3))</f>
        <v/>
      </c>
      <c r="I40" s="151" t="str">
        <f aca="false">IF($B40="","",MIN(G40,IF(AND(AK40&gt;0,AN40&gt;=AK40),G40,AN40)+SUMIFS('الحركات الشهرية'!$E$6:$E$1005,'الحركات الشهرية'!$B$6:$B$1005,$B40,'الحركات الشهرية'!$A$6:$A$1005,$C$3)))</f>
        <v/>
      </c>
      <c r="J40" s="151" t="str">
        <f aca="false">IF($B40="","",MAX(0,G40-H40-I40))</f>
        <v/>
      </c>
      <c r="K40" s="111" t="str">
        <f aca="false">IF($B40="","",الموظفون!$L40*$J40/cfg_DAYS_M)</f>
        <v/>
      </c>
      <c r="L40" s="111" t="str">
        <f aca="false">IF($B40="","",الموظفون!$M40*$J40/cfg_DAYS_M)</f>
        <v/>
      </c>
      <c r="M40" s="111" t="str">
        <f aca="false">IF($B40="","",الموظفون!$N40*$J40/cfg_DAYS_M)</f>
        <v/>
      </c>
      <c r="N40" s="111" t="str">
        <f aca="false">IF($B40="","",الموظفون!$O40*$J40/cfg_DAYS_M)</f>
        <v/>
      </c>
      <c r="O40" s="151" t="str">
        <f aca="false">IF($B40="","",SUMIFS('الحركات الشهرية'!$F$6:$F$1005,'الحركات الشهرية'!$B$6:$B$1005,$B40,'الحركات الشهرية'!$A$6:$A$1005,$C$3))</f>
        <v/>
      </c>
      <c r="P40" s="111" t="str">
        <f aca="false">IF($B40="","",O40*(الموظفون!$P40+الموظفون!$L40*cfg_OT_P)/cfg_DAYS_M/cfg_HRS)</f>
        <v/>
      </c>
      <c r="Q40" s="111" t="str">
        <f aca="false">IF($B40="","",SUMIFS('الحركات الشهرية'!$G$6:$G$1005,'الحركات الشهرية'!$B$6:$B$1005,$B40,'الحركات الشهرية'!$A$6:$A$1005,$C$3))</f>
        <v/>
      </c>
      <c r="R40" s="111" t="str">
        <f aca="false">IF($B40="","",SUMIFS('الحركات الشهرية'!$H$6:$H$1005,'الحركات الشهرية'!$B$6:$B$1005,$B40,'الحركات الشهرية'!$A$6:$A$1005,$C$3))</f>
        <v/>
      </c>
      <c r="S40" s="111" t="str">
        <f aca="false">IF($B40="","",SUMIFS('سجل الإجازات والحالات'!$N$6:$N$505,'سجل الإجازات والحالات'!$B$6:$B$505,$B40,'سجل الإجازات والحالات'!$O$6:$O$505,$C$3))</f>
        <v/>
      </c>
      <c r="T40" s="152" t="str">
        <f aca="false">IF($B40="","",SUM(K40:N40)+SUM(P40:S40))</f>
        <v/>
      </c>
      <c r="U40" s="111" t="str">
        <f aca="false">IF($B40="","",الموظفون!$S40*IF(E40="سعودي",cfg_G_SE,cfg_G_NE)*G40/cfg_DAYS_M)</f>
        <v/>
      </c>
      <c r="V40" s="111" t="str">
        <f aca="false">IF($B40="","",SUMIFS('الحركات الشهرية'!$I$6:$I$1005,'الحركات الشهرية'!$B$6:$B$1005,$B40,'الحركات الشهرية'!$A$6:$A$1005,$C$3))</f>
        <v/>
      </c>
      <c r="W40" s="111" t="str">
        <f aca="false">IF($B40="","",SUMIFS('الحركات الشهرية'!$J$6:$J$1005,'الحركات الشهرية'!$B$6:$B$1005,$B40,'الحركات الشهرية'!$A$6:$A$1005,$C$3))</f>
        <v/>
      </c>
      <c r="X40" s="111" t="str">
        <f aca="false">IF($B40="","",SUM(U40:W40))</f>
        <v/>
      </c>
      <c r="Y40" s="153" t="str">
        <f aca="false">IF($B40="","",T40-X40)</f>
        <v/>
      </c>
      <c r="Z40" s="111" t="str">
        <f aca="false">IF($B40="","",الموظفون!$S40*IF(E40="سعودي",cfg_G_SR,cfg_G_NR)*G40/cfg_DAYS_M)</f>
        <v/>
      </c>
      <c r="AA40" s="111" t="str">
        <f aca="false">IF($B40="","",الموظفون!$Q40*(cfg_EOS_R1*(MIN(AH40,cfg_EOS_TH)-MIN(AI40,cfg_EOS_TH))+cfg_EOS_R2*(MAX(AH40-cfg_EOS_TH,0)-MAX(AI40-cfg_EOS_TH,0))))</f>
        <v/>
      </c>
      <c r="AB40" s="111" t="str">
        <f aca="false">IF($B40="","",IF(الموظفون!$T40&lt;&gt;"",الموظفون!$T40,IF(AH40&gt;=cfg_LV_TH,cfg_LV_D2,cfg_LV_D1))/cfg_DAYS_Y*AJ40*الموظفون!$R40/cfg_DAYS_M)</f>
        <v/>
      </c>
      <c r="AC40" s="111" t="str">
        <f aca="false">IF($B40="","",IF(AND(الموظفون!$U40="نعم",N(الموظفون!$W40)&gt;0),الموظفون!$V40/الموظفون!$W40*12/cfg_DAYS_Y*AJ40,0))</f>
        <v/>
      </c>
      <c r="AD40" s="111" t="str">
        <f aca="false">IF($B40="","",(IF(الموظفون!$X40&lt;&gt;"",الموظفون!$X40,IF(الموظفون!$E40="غير سعودي",cfg_IQ,0))+IF(الموظفون!$Y40&lt;&gt;"",الموظفون!$Y40,IF(الموظفون!$E40="غير سعودي",cfg_WP,0)))/12*G40/cfg_DAYS_M)</f>
        <v/>
      </c>
      <c r="AE40" s="111" t="str">
        <f aca="false">IF($B40="","",IF(الموظفون!$Z40&lt;&gt;"",الموظفون!$Z40,cfg_MED)/12*G40/cfg_DAYS_M)</f>
        <v/>
      </c>
      <c r="AF40" s="111" t="str">
        <f aca="false">IF($B40="","",N(الموظفون!$AA40)/12*G40/cfg_DAYS_M)</f>
        <v/>
      </c>
      <c r="AG40" s="154" t="str">
        <f aca="false">IF($B40="","",T40+SUM(Z40:AF40))</f>
        <v/>
      </c>
      <c r="AH40" s="155" t="str">
        <f aca="false">IF($B40="","",MAX(0,IF(OR(الموظفون!$AE40="",الموظفون!$AE40&gt;$F$3),$F$3,الموظفون!$AE40)-الموظفون!$H40+1-SUMIFS('سجل الإجازات والحالات'!$AS$6:$AS$505,'سجل الإجازات والحالات'!$B$6:$B$505,$B40))/cfg_DAYS_Y)</f>
        <v/>
      </c>
      <c r="AI40" s="155" t="str">
        <f aca="false">IF($B40="","",MAX(0,IF(OR(الموظفون!$AE40="",الموظفون!$AE40&gt;($E$3-1)),($E$3-1),الموظفون!$AE40)-الموظفون!$H40+1-SUMIFS('سجل الإجازات والحالات'!$AR$6:$AR$505,'سجل الإجازات والحالات'!$B$6:$B$505,$B40))/cfg_DAYS_Y)</f>
        <v/>
      </c>
      <c r="AJ40" s="65" t="str">
        <f aca="false">IF($B40="","",MAX(0,AK40-(SUMIFS('سجل الإجازات والحالات'!$AS$6:$AS$505,'سجل الإجازات والحالات'!$B$6:$B$505,$B40)-SUMIFS('سجل الإجازات والحالات'!$AR$6:$AR$505,'سجل الإجازات والحالات'!$B$6:$B$505,$B40))))</f>
        <v/>
      </c>
      <c r="AK40" s="65" t="str">
        <f aca="false">IF($B40="","",MAX(0,IF(OR(الموظفون!$AE40="",الموظفون!$AE40&gt;$F$3),$F$3,الموظفون!$AE40)-MAX($E$3,الموظفون!$H40)+1))</f>
        <v/>
      </c>
      <c r="AL40" s="151" t="str">
        <f aca="false">IF($B40="","",SUMIFS('سجل الإجازات والحالات'!$BE$6:$BE$505,'سجل الإجازات والحالات'!$B$6:$B$505,$B40)+SUMIFS('الحركات الشهرية'!$K$6:$K$1005,'الحركات الشهرية'!$B$6:$B$1005,$B40,'الحركات الشهرية'!$A$6:$A$1005,$C$3))</f>
        <v/>
      </c>
      <c r="AM40" s="111" t="str">
        <f aca="false">IF($B40="","",AL40*الموظفون!$R40/cfg_DAYS_M+S40)</f>
        <v/>
      </c>
      <c r="AN40" s="151" t="str">
        <f aca="false">IF($B40="","",SUMIFS('سجل الإجازات والحالات'!$AG$6:$AG$505,'سجل الإجازات والحالات'!$B$6:$B$505,$B40))</f>
        <v/>
      </c>
    </row>
    <row r="41" customFormat="false" ht="15" hidden="false" customHeight="false" outlineLevel="0" collapsed="false">
      <c r="A41" s="115" t="str">
        <f aca="false">IF($B41="","",الموظفون!$A41)</f>
        <v/>
      </c>
      <c r="B41" s="117" t="str">
        <f aca="false">IF(الموظفون!$B41="","",الموظفون!$B41)</f>
        <v/>
      </c>
      <c r="C41" s="117" t="str">
        <f aca="false">IF($B41="","",الموظفون!$C41)</f>
        <v/>
      </c>
      <c r="D41" s="117" t="str">
        <f aca="false">IF($B41="","",الموظفون!$F41)</f>
        <v/>
      </c>
      <c r="E41" s="117" t="str">
        <f aca="false">IF($B41="","",الموظفون!$E41)</f>
        <v/>
      </c>
      <c r="F41" s="117" t="str">
        <f aca="false">IF($B41="","",IF(AK41=0,IF(AND(الموظفون!$AE41&lt;&gt;"",الموظفون!$AE41&lt;$E$3),"✖ منتهي الخدمة","⏳ لم يباشر"),IF(S41&gt;0,"✈ راتب إجازة مقدم",IF(J41=0,"⛔ بدون راتب هذا الشهر",IF(I41&gt;0,"✈ خصم "&amp;ROUND(I41,2)&amp;" يوم بدون أجر",IF(AL41&gt;0,"🌴 إجازة سنوية "&amp;ROUND(AL41,2)&amp;" يوم",IF(H41&gt;0,"⚠ غياب "&amp;ROUND(H41,2)&amp;" يوم","✔ على رأس العمل")))))))</f>
        <v/>
      </c>
      <c r="G41" s="156" t="str">
        <f aca="false">IF($B41="","",IF(AK41&gt;=DAY($F$3),cfg_DAYS_M,MIN(AK41,cfg_DAYS_M)))</f>
        <v/>
      </c>
      <c r="H41" s="156" t="str">
        <f aca="false">IF($B41="","",SUMIFS('الحركات الشهرية'!$D$6:$D$1005,'الحركات الشهرية'!$B$6:$B$1005,$B41,'الحركات الشهرية'!$A$6:$A$1005,$C$3))</f>
        <v/>
      </c>
      <c r="I41" s="156" t="str">
        <f aca="false">IF($B41="","",MIN(G41,IF(AND(AK41&gt;0,AN41&gt;=AK41),G41,AN41)+SUMIFS('الحركات الشهرية'!$E$6:$E$1005,'الحركات الشهرية'!$B$6:$B$1005,$B41,'الحركات الشهرية'!$A$6:$A$1005,$C$3)))</f>
        <v/>
      </c>
      <c r="J41" s="156" t="str">
        <f aca="false">IF($B41="","",MAX(0,G41-H41-I41))</f>
        <v/>
      </c>
      <c r="K41" s="116" t="str">
        <f aca="false">IF($B41="","",الموظفون!$L41*$J41/cfg_DAYS_M)</f>
        <v/>
      </c>
      <c r="L41" s="116" t="str">
        <f aca="false">IF($B41="","",الموظفون!$M41*$J41/cfg_DAYS_M)</f>
        <v/>
      </c>
      <c r="M41" s="116" t="str">
        <f aca="false">IF($B41="","",الموظفون!$N41*$J41/cfg_DAYS_M)</f>
        <v/>
      </c>
      <c r="N41" s="116" t="str">
        <f aca="false">IF($B41="","",الموظفون!$O41*$J41/cfg_DAYS_M)</f>
        <v/>
      </c>
      <c r="O41" s="156" t="str">
        <f aca="false">IF($B41="","",SUMIFS('الحركات الشهرية'!$F$6:$F$1005,'الحركات الشهرية'!$B$6:$B$1005,$B41,'الحركات الشهرية'!$A$6:$A$1005,$C$3))</f>
        <v/>
      </c>
      <c r="P41" s="116" t="str">
        <f aca="false">IF($B41="","",O41*(الموظفون!$P41+الموظفون!$L41*cfg_OT_P)/cfg_DAYS_M/cfg_HRS)</f>
        <v/>
      </c>
      <c r="Q41" s="116" t="str">
        <f aca="false">IF($B41="","",SUMIFS('الحركات الشهرية'!$G$6:$G$1005,'الحركات الشهرية'!$B$6:$B$1005,$B41,'الحركات الشهرية'!$A$6:$A$1005,$C$3))</f>
        <v/>
      </c>
      <c r="R41" s="116" t="str">
        <f aca="false">IF($B41="","",SUMIFS('الحركات الشهرية'!$H$6:$H$1005,'الحركات الشهرية'!$B$6:$B$1005,$B41,'الحركات الشهرية'!$A$6:$A$1005,$C$3))</f>
        <v/>
      </c>
      <c r="S41" s="116" t="str">
        <f aca="false">IF($B41="","",SUMIFS('سجل الإجازات والحالات'!$N$6:$N$505,'سجل الإجازات والحالات'!$B$6:$B$505,$B41,'سجل الإجازات والحالات'!$O$6:$O$505,$C$3))</f>
        <v/>
      </c>
      <c r="T41" s="157" t="str">
        <f aca="false">IF($B41="","",SUM(K41:N41)+SUM(P41:S41))</f>
        <v/>
      </c>
      <c r="U41" s="116" t="str">
        <f aca="false">IF($B41="","",الموظفون!$S41*IF(E41="سعودي",cfg_G_SE,cfg_G_NE)*G41/cfg_DAYS_M)</f>
        <v/>
      </c>
      <c r="V41" s="116" t="str">
        <f aca="false">IF($B41="","",SUMIFS('الحركات الشهرية'!$I$6:$I$1005,'الحركات الشهرية'!$B$6:$B$1005,$B41,'الحركات الشهرية'!$A$6:$A$1005,$C$3))</f>
        <v/>
      </c>
      <c r="W41" s="116" t="str">
        <f aca="false">IF($B41="","",SUMIFS('الحركات الشهرية'!$J$6:$J$1005,'الحركات الشهرية'!$B$6:$B$1005,$B41,'الحركات الشهرية'!$A$6:$A$1005,$C$3))</f>
        <v/>
      </c>
      <c r="X41" s="116" t="str">
        <f aca="false">IF($B41="","",SUM(U41:W41))</f>
        <v/>
      </c>
      <c r="Y41" s="158" t="str">
        <f aca="false">IF($B41="","",T41-X41)</f>
        <v/>
      </c>
      <c r="Z41" s="116" t="str">
        <f aca="false">IF($B41="","",الموظفون!$S41*IF(E41="سعودي",cfg_G_SR,cfg_G_NR)*G41/cfg_DAYS_M)</f>
        <v/>
      </c>
      <c r="AA41" s="116" t="str">
        <f aca="false">IF($B41="","",الموظفون!$Q41*(cfg_EOS_R1*(MIN(AH41,cfg_EOS_TH)-MIN(AI41,cfg_EOS_TH))+cfg_EOS_R2*(MAX(AH41-cfg_EOS_TH,0)-MAX(AI41-cfg_EOS_TH,0))))</f>
        <v/>
      </c>
      <c r="AB41" s="116" t="str">
        <f aca="false">IF($B41="","",IF(الموظفون!$T41&lt;&gt;"",الموظفون!$T41,IF(AH41&gt;=cfg_LV_TH,cfg_LV_D2,cfg_LV_D1))/cfg_DAYS_Y*AJ41*الموظفون!$R41/cfg_DAYS_M)</f>
        <v/>
      </c>
      <c r="AC41" s="116" t="str">
        <f aca="false">IF($B41="","",IF(AND(الموظفون!$U41="نعم",N(الموظفون!$W41)&gt;0),الموظفون!$V41/الموظفون!$W41*12/cfg_DAYS_Y*AJ41,0))</f>
        <v/>
      </c>
      <c r="AD41" s="116" t="str">
        <f aca="false">IF($B41="","",(IF(الموظفون!$X41&lt;&gt;"",الموظفون!$X41,IF(الموظفون!$E41="غير سعودي",cfg_IQ,0))+IF(الموظفون!$Y41&lt;&gt;"",الموظفون!$Y41,IF(الموظفون!$E41="غير سعودي",cfg_WP,0)))/12*G41/cfg_DAYS_M)</f>
        <v/>
      </c>
      <c r="AE41" s="116" t="str">
        <f aca="false">IF($B41="","",IF(الموظفون!$Z41&lt;&gt;"",الموظفون!$Z41,cfg_MED)/12*G41/cfg_DAYS_M)</f>
        <v/>
      </c>
      <c r="AF41" s="116" t="str">
        <f aca="false">IF($B41="","",N(الموظفون!$AA41)/12*G41/cfg_DAYS_M)</f>
        <v/>
      </c>
      <c r="AG41" s="159" t="str">
        <f aca="false">IF($B41="","",T41+SUM(Z41:AF41))</f>
        <v/>
      </c>
      <c r="AH41" s="160" t="str">
        <f aca="false">IF($B41="","",MAX(0,IF(OR(الموظفون!$AE41="",الموظفون!$AE41&gt;$F$3),$F$3,الموظفون!$AE41)-الموظفون!$H41+1-SUMIFS('سجل الإجازات والحالات'!$AS$6:$AS$505,'سجل الإجازات والحالات'!$B$6:$B$505,$B41))/cfg_DAYS_Y)</f>
        <v/>
      </c>
      <c r="AI41" s="160" t="str">
        <f aca="false">IF($B41="","",MAX(0,IF(OR(الموظفون!$AE41="",الموظفون!$AE41&gt;($E$3-1)),($E$3-1),الموظفون!$AE41)-الموظفون!$H41+1-SUMIFS('سجل الإجازات والحالات'!$AR$6:$AR$505,'سجل الإجازات والحالات'!$B$6:$B$505,$B41))/cfg_DAYS_Y)</f>
        <v/>
      </c>
      <c r="AJ41" s="133" t="str">
        <f aca="false">IF($B41="","",MAX(0,AK41-(SUMIFS('سجل الإجازات والحالات'!$AS$6:$AS$505,'سجل الإجازات والحالات'!$B$6:$B$505,$B41)-SUMIFS('سجل الإجازات والحالات'!$AR$6:$AR$505,'سجل الإجازات والحالات'!$B$6:$B$505,$B41))))</f>
        <v/>
      </c>
      <c r="AK41" s="133" t="str">
        <f aca="false">IF($B41="","",MAX(0,IF(OR(الموظفون!$AE41="",الموظفون!$AE41&gt;$F$3),$F$3,الموظفون!$AE41)-MAX($E$3,الموظفون!$H41)+1))</f>
        <v/>
      </c>
      <c r="AL41" s="156" t="str">
        <f aca="false">IF($B41="","",SUMIFS('سجل الإجازات والحالات'!$BE$6:$BE$505,'سجل الإجازات والحالات'!$B$6:$B$505,$B41)+SUMIFS('الحركات الشهرية'!$K$6:$K$1005,'الحركات الشهرية'!$B$6:$B$1005,$B41,'الحركات الشهرية'!$A$6:$A$1005,$C$3))</f>
        <v/>
      </c>
      <c r="AM41" s="116" t="str">
        <f aca="false">IF($B41="","",AL41*الموظفون!$R41/cfg_DAYS_M+S41)</f>
        <v/>
      </c>
      <c r="AN41" s="156" t="str">
        <f aca="false">IF($B41="","",SUMIFS('سجل الإجازات والحالات'!$AG$6:$AG$505,'سجل الإجازات والحالات'!$B$6:$B$505,$B41))</f>
        <v/>
      </c>
    </row>
    <row r="42" customFormat="false" ht="15" hidden="false" customHeight="false" outlineLevel="0" collapsed="false">
      <c r="A42" s="106" t="str">
        <f aca="false">IF($B42="","",الموظفون!$A42)</f>
        <v/>
      </c>
      <c r="B42" s="114" t="str">
        <f aca="false">IF(الموظفون!$B42="","",الموظفون!$B42)</f>
        <v/>
      </c>
      <c r="C42" s="114" t="str">
        <f aca="false">IF($B42="","",الموظفون!$C42)</f>
        <v/>
      </c>
      <c r="D42" s="114" t="str">
        <f aca="false">IF($B42="","",الموظفون!$F42)</f>
        <v/>
      </c>
      <c r="E42" s="114" t="str">
        <f aca="false">IF($B42="","",الموظفون!$E42)</f>
        <v/>
      </c>
      <c r="F42" s="114" t="str">
        <f aca="false">IF($B42="","",IF(AK42=0,IF(AND(الموظفون!$AE42&lt;&gt;"",الموظفون!$AE42&lt;$E$3),"✖ منتهي الخدمة","⏳ لم يباشر"),IF(S42&gt;0,"✈ راتب إجازة مقدم",IF(J42=0,"⛔ بدون راتب هذا الشهر",IF(I42&gt;0,"✈ خصم "&amp;ROUND(I42,2)&amp;" يوم بدون أجر",IF(AL42&gt;0,"🌴 إجازة سنوية "&amp;ROUND(AL42,2)&amp;" يوم",IF(H42&gt;0,"⚠ غياب "&amp;ROUND(H42,2)&amp;" يوم","✔ على رأس العمل")))))))</f>
        <v/>
      </c>
      <c r="G42" s="151" t="str">
        <f aca="false">IF($B42="","",IF(AK42&gt;=DAY($F$3),cfg_DAYS_M,MIN(AK42,cfg_DAYS_M)))</f>
        <v/>
      </c>
      <c r="H42" s="151" t="str">
        <f aca="false">IF($B42="","",SUMIFS('الحركات الشهرية'!$D$6:$D$1005,'الحركات الشهرية'!$B$6:$B$1005,$B42,'الحركات الشهرية'!$A$6:$A$1005,$C$3))</f>
        <v/>
      </c>
      <c r="I42" s="151" t="str">
        <f aca="false">IF($B42="","",MIN(G42,IF(AND(AK42&gt;0,AN42&gt;=AK42),G42,AN42)+SUMIFS('الحركات الشهرية'!$E$6:$E$1005,'الحركات الشهرية'!$B$6:$B$1005,$B42,'الحركات الشهرية'!$A$6:$A$1005,$C$3)))</f>
        <v/>
      </c>
      <c r="J42" s="151" t="str">
        <f aca="false">IF($B42="","",MAX(0,G42-H42-I42))</f>
        <v/>
      </c>
      <c r="K42" s="111" t="str">
        <f aca="false">IF($B42="","",الموظفون!$L42*$J42/cfg_DAYS_M)</f>
        <v/>
      </c>
      <c r="L42" s="111" t="str">
        <f aca="false">IF($B42="","",الموظفون!$M42*$J42/cfg_DAYS_M)</f>
        <v/>
      </c>
      <c r="M42" s="111" t="str">
        <f aca="false">IF($B42="","",الموظفون!$N42*$J42/cfg_DAYS_M)</f>
        <v/>
      </c>
      <c r="N42" s="111" t="str">
        <f aca="false">IF($B42="","",الموظفون!$O42*$J42/cfg_DAYS_M)</f>
        <v/>
      </c>
      <c r="O42" s="151" t="str">
        <f aca="false">IF($B42="","",SUMIFS('الحركات الشهرية'!$F$6:$F$1005,'الحركات الشهرية'!$B$6:$B$1005,$B42,'الحركات الشهرية'!$A$6:$A$1005,$C$3))</f>
        <v/>
      </c>
      <c r="P42" s="111" t="str">
        <f aca="false">IF($B42="","",O42*(الموظفون!$P42+الموظفون!$L42*cfg_OT_P)/cfg_DAYS_M/cfg_HRS)</f>
        <v/>
      </c>
      <c r="Q42" s="111" t="str">
        <f aca="false">IF($B42="","",SUMIFS('الحركات الشهرية'!$G$6:$G$1005,'الحركات الشهرية'!$B$6:$B$1005,$B42,'الحركات الشهرية'!$A$6:$A$1005,$C$3))</f>
        <v/>
      </c>
      <c r="R42" s="111" t="str">
        <f aca="false">IF($B42="","",SUMIFS('الحركات الشهرية'!$H$6:$H$1005,'الحركات الشهرية'!$B$6:$B$1005,$B42,'الحركات الشهرية'!$A$6:$A$1005,$C$3))</f>
        <v/>
      </c>
      <c r="S42" s="111" t="str">
        <f aca="false">IF($B42="","",SUMIFS('سجل الإجازات والحالات'!$N$6:$N$505,'سجل الإجازات والحالات'!$B$6:$B$505,$B42,'سجل الإجازات والحالات'!$O$6:$O$505,$C$3))</f>
        <v/>
      </c>
      <c r="T42" s="152" t="str">
        <f aca="false">IF($B42="","",SUM(K42:N42)+SUM(P42:S42))</f>
        <v/>
      </c>
      <c r="U42" s="111" t="str">
        <f aca="false">IF($B42="","",الموظفون!$S42*IF(E42="سعودي",cfg_G_SE,cfg_G_NE)*G42/cfg_DAYS_M)</f>
        <v/>
      </c>
      <c r="V42" s="111" t="str">
        <f aca="false">IF($B42="","",SUMIFS('الحركات الشهرية'!$I$6:$I$1005,'الحركات الشهرية'!$B$6:$B$1005,$B42,'الحركات الشهرية'!$A$6:$A$1005,$C$3))</f>
        <v/>
      </c>
      <c r="W42" s="111" t="str">
        <f aca="false">IF($B42="","",SUMIFS('الحركات الشهرية'!$J$6:$J$1005,'الحركات الشهرية'!$B$6:$B$1005,$B42,'الحركات الشهرية'!$A$6:$A$1005,$C$3))</f>
        <v/>
      </c>
      <c r="X42" s="111" t="str">
        <f aca="false">IF($B42="","",SUM(U42:W42))</f>
        <v/>
      </c>
      <c r="Y42" s="153" t="str">
        <f aca="false">IF($B42="","",T42-X42)</f>
        <v/>
      </c>
      <c r="Z42" s="111" t="str">
        <f aca="false">IF($B42="","",الموظفون!$S42*IF(E42="سعودي",cfg_G_SR,cfg_G_NR)*G42/cfg_DAYS_M)</f>
        <v/>
      </c>
      <c r="AA42" s="111" t="str">
        <f aca="false">IF($B42="","",الموظفون!$Q42*(cfg_EOS_R1*(MIN(AH42,cfg_EOS_TH)-MIN(AI42,cfg_EOS_TH))+cfg_EOS_R2*(MAX(AH42-cfg_EOS_TH,0)-MAX(AI42-cfg_EOS_TH,0))))</f>
        <v/>
      </c>
      <c r="AB42" s="111" t="str">
        <f aca="false">IF($B42="","",IF(الموظفون!$T42&lt;&gt;"",الموظفون!$T42,IF(AH42&gt;=cfg_LV_TH,cfg_LV_D2,cfg_LV_D1))/cfg_DAYS_Y*AJ42*الموظفون!$R42/cfg_DAYS_M)</f>
        <v/>
      </c>
      <c r="AC42" s="111" t="str">
        <f aca="false">IF($B42="","",IF(AND(الموظفون!$U42="نعم",N(الموظفون!$W42)&gt;0),الموظفون!$V42/الموظفون!$W42*12/cfg_DAYS_Y*AJ42,0))</f>
        <v/>
      </c>
      <c r="AD42" s="111" t="str">
        <f aca="false">IF($B42="","",(IF(الموظفون!$X42&lt;&gt;"",الموظفون!$X42,IF(الموظفون!$E42="غير سعودي",cfg_IQ,0))+IF(الموظفون!$Y42&lt;&gt;"",الموظفون!$Y42,IF(الموظفون!$E42="غير سعودي",cfg_WP,0)))/12*G42/cfg_DAYS_M)</f>
        <v/>
      </c>
      <c r="AE42" s="111" t="str">
        <f aca="false">IF($B42="","",IF(الموظفون!$Z42&lt;&gt;"",الموظفون!$Z42,cfg_MED)/12*G42/cfg_DAYS_M)</f>
        <v/>
      </c>
      <c r="AF42" s="111" t="str">
        <f aca="false">IF($B42="","",N(الموظفون!$AA42)/12*G42/cfg_DAYS_M)</f>
        <v/>
      </c>
      <c r="AG42" s="154" t="str">
        <f aca="false">IF($B42="","",T42+SUM(Z42:AF42))</f>
        <v/>
      </c>
      <c r="AH42" s="155" t="str">
        <f aca="false">IF($B42="","",MAX(0,IF(OR(الموظفون!$AE42="",الموظفون!$AE42&gt;$F$3),$F$3,الموظفون!$AE42)-الموظفون!$H42+1-SUMIFS('سجل الإجازات والحالات'!$AS$6:$AS$505,'سجل الإجازات والحالات'!$B$6:$B$505,$B42))/cfg_DAYS_Y)</f>
        <v/>
      </c>
      <c r="AI42" s="155" t="str">
        <f aca="false">IF($B42="","",MAX(0,IF(OR(الموظفون!$AE42="",الموظفون!$AE42&gt;($E$3-1)),($E$3-1),الموظفون!$AE42)-الموظفون!$H42+1-SUMIFS('سجل الإجازات والحالات'!$AR$6:$AR$505,'سجل الإجازات والحالات'!$B$6:$B$505,$B42))/cfg_DAYS_Y)</f>
        <v/>
      </c>
      <c r="AJ42" s="65" t="str">
        <f aca="false">IF($B42="","",MAX(0,AK42-(SUMIFS('سجل الإجازات والحالات'!$AS$6:$AS$505,'سجل الإجازات والحالات'!$B$6:$B$505,$B42)-SUMIFS('سجل الإجازات والحالات'!$AR$6:$AR$505,'سجل الإجازات والحالات'!$B$6:$B$505,$B42))))</f>
        <v/>
      </c>
      <c r="AK42" s="65" t="str">
        <f aca="false">IF($B42="","",MAX(0,IF(OR(الموظفون!$AE42="",الموظفون!$AE42&gt;$F$3),$F$3,الموظفون!$AE42)-MAX($E$3,الموظفون!$H42)+1))</f>
        <v/>
      </c>
      <c r="AL42" s="151" t="str">
        <f aca="false">IF($B42="","",SUMIFS('سجل الإجازات والحالات'!$BE$6:$BE$505,'سجل الإجازات والحالات'!$B$6:$B$505,$B42)+SUMIFS('الحركات الشهرية'!$K$6:$K$1005,'الحركات الشهرية'!$B$6:$B$1005,$B42,'الحركات الشهرية'!$A$6:$A$1005,$C$3))</f>
        <v/>
      </c>
      <c r="AM42" s="111" t="str">
        <f aca="false">IF($B42="","",AL42*الموظفون!$R42/cfg_DAYS_M+S42)</f>
        <v/>
      </c>
      <c r="AN42" s="151" t="str">
        <f aca="false">IF($B42="","",SUMIFS('سجل الإجازات والحالات'!$AG$6:$AG$505,'سجل الإجازات والحالات'!$B$6:$B$505,$B42))</f>
        <v/>
      </c>
    </row>
    <row r="43" customFormat="false" ht="15" hidden="false" customHeight="false" outlineLevel="0" collapsed="false">
      <c r="A43" s="115" t="str">
        <f aca="false">IF($B43="","",الموظفون!$A43)</f>
        <v/>
      </c>
      <c r="B43" s="117" t="str">
        <f aca="false">IF(الموظفون!$B43="","",الموظفون!$B43)</f>
        <v/>
      </c>
      <c r="C43" s="117" t="str">
        <f aca="false">IF($B43="","",الموظفون!$C43)</f>
        <v/>
      </c>
      <c r="D43" s="117" t="str">
        <f aca="false">IF($B43="","",الموظفون!$F43)</f>
        <v/>
      </c>
      <c r="E43" s="117" t="str">
        <f aca="false">IF($B43="","",الموظفون!$E43)</f>
        <v/>
      </c>
      <c r="F43" s="117" t="str">
        <f aca="false">IF($B43="","",IF(AK43=0,IF(AND(الموظفون!$AE43&lt;&gt;"",الموظفون!$AE43&lt;$E$3),"✖ منتهي الخدمة","⏳ لم يباشر"),IF(S43&gt;0,"✈ راتب إجازة مقدم",IF(J43=0,"⛔ بدون راتب هذا الشهر",IF(I43&gt;0,"✈ خصم "&amp;ROUND(I43,2)&amp;" يوم بدون أجر",IF(AL43&gt;0,"🌴 إجازة سنوية "&amp;ROUND(AL43,2)&amp;" يوم",IF(H43&gt;0,"⚠ غياب "&amp;ROUND(H43,2)&amp;" يوم","✔ على رأس العمل")))))))</f>
        <v/>
      </c>
      <c r="G43" s="156" t="str">
        <f aca="false">IF($B43="","",IF(AK43&gt;=DAY($F$3),cfg_DAYS_M,MIN(AK43,cfg_DAYS_M)))</f>
        <v/>
      </c>
      <c r="H43" s="156" t="str">
        <f aca="false">IF($B43="","",SUMIFS('الحركات الشهرية'!$D$6:$D$1005,'الحركات الشهرية'!$B$6:$B$1005,$B43,'الحركات الشهرية'!$A$6:$A$1005,$C$3))</f>
        <v/>
      </c>
      <c r="I43" s="156" t="str">
        <f aca="false">IF($B43="","",MIN(G43,IF(AND(AK43&gt;0,AN43&gt;=AK43),G43,AN43)+SUMIFS('الحركات الشهرية'!$E$6:$E$1005,'الحركات الشهرية'!$B$6:$B$1005,$B43,'الحركات الشهرية'!$A$6:$A$1005,$C$3)))</f>
        <v/>
      </c>
      <c r="J43" s="156" t="str">
        <f aca="false">IF($B43="","",MAX(0,G43-H43-I43))</f>
        <v/>
      </c>
      <c r="K43" s="116" t="str">
        <f aca="false">IF($B43="","",الموظفون!$L43*$J43/cfg_DAYS_M)</f>
        <v/>
      </c>
      <c r="L43" s="116" t="str">
        <f aca="false">IF($B43="","",الموظفون!$M43*$J43/cfg_DAYS_M)</f>
        <v/>
      </c>
      <c r="M43" s="116" t="str">
        <f aca="false">IF($B43="","",الموظفون!$N43*$J43/cfg_DAYS_M)</f>
        <v/>
      </c>
      <c r="N43" s="116" t="str">
        <f aca="false">IF($B43="","",الموظفون!$O43*$J43/cfg_DAYS_M)</f>
        <v/>
      </c>
      <c r="O43" s="156" t="str">
        <f aca="false">IF($B43="","",SUMIFS('الحركات الشهرية'!$F$6:$F$1005,'الحركات الشهرية'!$B$6:$B$1005,$B43,'الحركات الشهرية'!$A$6:$A$1005,$C$3))</f>
        <v/>
      </c>
      <c r="P43" s="116" t="str">
        <f aca="false">IF($B43="","",O43*(الموظفون!$P43+الموظفون!$L43*cfg_OT_P)/cfg_DAYS_M/cfg_HRS)</f>
        <v/>
      </c>
      <c r="Q43" s="116" t="str">
        <f aca="false">IF($B43="","",SUMIFS('الحركات الشهرية'!$G$6:$G$1005,'الحركات الشهرية'!$B$6:$B$1005,$B43,'الحركات الشهرية'!$A$6:$A$1005,$C$3))</f>
        <v/>
      </c>
      <c r="R43" s="116" t="str">
        <f aca="false">IF($B43="","",SUMIFS('الحركات الشهرية'!$H$6:$H$1005,'الحركات الشهرية'!$B$6:$B$1005,$B43,'الحركات الشهرية'!$A$6:$A$1005,$C$3))</f>
        <v/>
      </c>
      <c r="S43" s="116" t="str">
        <f aca="false">IF($B43="","",SUMIFS('سجل الإجازات والحالات'!$N$6:$N$505,'سجل الإجازات والحالات'!$B$6:$B$505,$B43,'سجل الإجازات والحالات'!$O$6:$O$505,$C$3))</f>
        <v/>
      </c>
      <c r="T43" s="157" t="str">
        <f aca="false">IF($B43="","",SUM(K43:N43)+SUM(P43:S43))</f>
        <v/>
      </c>
      <c r="U43" s="116" t="str">
        <f aca="false">IF($B43="","",الموظفون!$S43*IF(E43="سعودي",cfg_G_SE,cfg_G_NE)*G43/cfg_DAYS_M)</f>
        <v/>
      </c>
      <c r="V43" s="116" t="str">
        <f aca="false">IF($B43="","",SUMIFS('الحركات الشهرية'!$I$6:$I$1005,'الحركات الشهرية'!$B$6:$B$1005,$B43,'الحركات الشهرية'!$A$6:$A$1005,$C$3))</f>
        <v/>
      </c>
      <c r="W43" s="116" t="str">
        <f aca="false">IF($B43="","",SUMIFS('الحركات الشهرية'!$J$6:$J$1005,'الحركات الشهرية'!$B$6:$B$1005,$B43,'الحركات الشهرية'!$A$6:$A$1005,$C$3))</f>
        <v/>
      </c>
      <c r="X43" s="116" t="str">
        <f aca="false">IF($B43="","",SUM(U43:W43))</f>
        <v/>
      </c>
      <c r="Y43" s="158" t="str">
        <f aca="false">IF($B43="","",T43-X43)</f>
        <v/>
      </c>
      <c r="Z43" s="116" t="str">
        <f aca="false">IF($B43="","",الموظفون!$S43*IF(E43="سعودي",cfg_G_SR,cfg_G_NR)*G43/cfg_DAYS_M)</f>
        <v/>
      </c>
      <c r="AA43" s="116" t="str">
        <f aca="false">IF($B43="","",الموظفون!$Q43*(cfg_EOS_R1*(MIN(AH43,cfg_EOS_TH)-MIN(AI43,cfg_EOS_TH))+cfg_EOS_R2*(MAX(AH43-cfg_EOS_TH,0)-MAX(AI43-cfg_EOS_TH,0))))</f>
        <v/>
      </c>
      <c r="AB43" s="116" t="str">
        <f aca="false">IF($B43="","",IF(الموظفون!$T43&lt;&gt;"",الموظفون!$T43,IF(AH43&gt;=cfg_LV_TH,cfg_LV_D2,cfg_LV_D1))/cfg_DAYS_Y*AJ43*الموظفون!$R43/cfg_DAYS_M)</f>
        <v/>
      </c>
      <c r="AC43" s="116" t="str">
        <f aca="false">IF($B43="","",IF(AND(الموظفون!$U43="نعم",N(الموظفون!$W43)&gt;0),الموظفون!$V43/الموظفون!$W43*12/cfg_DAYS_Y*AJ43,0))</f>
        <v/>
      </c>
      <c r="AD43" s="116" t="str">
        <f aca="false">IF($B43="","",(IF(الموظفون!$X43&lt;&gt;"",الموظفون!$X43,IF(الموظفون!$E43="غير سعودي",cfg_IQ,0))+IF(الموظفون!$Y43&lt;&gt;"",الموظفون!$Y43,IF(الموظفون!$E43="غير سعودي",cfg_WP,0)))/12*G43/cfg_DAYS_M)</f>
        <v/>
      </c>
      <c r="AE43" s="116" t="str">
        <f aca="false">IF($B43="","",IF(الموظفون!$Z43&lt;&gt;"",الموظفون!$Z43,cfg_MED)/12*G43/cfg_DAYS_M)</f>
        <v/>
      </c>
      <c r="AF43" s="116" t="str">
        <f aca="false">IF($B43="","",N(الموظفون!$AA43)/12*G43/cfg_DAYS_M)</f>
        <v/>
      </c>
      <c r="AG43" s="159" t="str">
        <f aca="false">IF($B43="","",T43+SUM(Z43:AF43))</f>
        <v/>
      </c>
      <c r="AH43" s="160" t="str">
        <f aca="false">IF($B43="","",MAX(0,IF(OR(الموظفون!$AE43="",الموظفون!$AE43&gt;$F$3),$F$3,الموظفون!$AE43)-الموظفون!$H43+1-SUMIFS('سجل الإجازات والحالات'!$AS$6:$AS$505,'سجل الإجازات والحالات'!$B$6:$B$505,$B43))/cfg_DAYS_Y)</f>
        <v/>
      </c>
      <c r="AI43" s="160" t="str">
        <f aca="false">IF($B43="","",MAX(0,IF(OR(الموظفون!$AE43="",الموظفون!$AE43&gt;($E$3-1)),($E$3-1),الموظفون!$AE43)-الموظفون!$H43+1-SUMIFS('سجل الإجازات والحالات'!$AR$6:$AR$505,'سجل الإجازات والحالات'!$B$6:$B$505,$B43))/cfg_DAYS_Y)</f>
        <v/>
      </c>
      <c r="AJ43" s="133" t="str">
        <f aca="false">IF($B43="","",MAX(0,AK43-(SUMIFS('سجل الإجازات والحالات'!$AS$6:$AS$505,'سجل الإجازات والحالات'!$B$6:$B$505,$B43)-SUMIFS('سجل الإجازات والحالات'!$AR$6:$AR$505,'سجل الإجازات والحالات'!$B$6:$B$505,$B43))))</f>
        <v/>
      </c>
      <c r="AK43" s="133" t="str">
        <f aca="false">IF($B43="","",MAX(0,IF(OR(الموظفون!$AE43="",الموظفون!$AE43&gt;$F$3),$F$3,الموظفون!$AE43)-MAX($E$3,الموظفون!$H43)+1))</f>
        <v/>
      </c>
      <c r="AL43" s="156" t="str">
        <f aca="false">IF($B43="","",SUMIFS('سجل الإجازات والحالات'!$BE$6:$BE$505,'سجل الإجازات والحالات'!$B$6:$B$505,$B43)+SUMIFS('الحركات الشهرية'!$K$6:$K$1005,'الحركات الشهرية'!$B$6:$B$1005,$B43,'الحركات الشهرية'!$A$6:$A$1005,$C$3))</f>
        <v/>
      </c>
      <c r="AM43" s="116" t="str">
        <f aca="false">IF($B43="","",AL43*الموظفون!$R43/cfg_DAYS_M+S43)</f>
        <v/>
      </c>
      <c r="AN43" s="156" t="str">
        <f aca="false">IF($B43="","",SUMIFS('سجل الإجازات والحالات'!$AG$6:$AG$505,'سجل الإجازات والحالات'!$B$6:$B$505,$B43))</f>
        <v/>
      </c>
    </row>
    <row r="44" customFormat="false" ht="15" hidden="false" customHeight="false" outlineLevel="0" collapsed="false">
      <c r="A44" s="106" t="str">
        <f aca="false">IF($B44="","",الموظفون!$A44)</f>
        <v/>
      </c>
      <c r="B44" s="114" t="str">
        <f aca="false">IF(الموظفون!$B44="","",الموظفون!$B44)</f>
        <v/>
      </c>
      <c r="C44" s="114" t="str">
        <f aca="false">IF($B44="","",الموظفون!$C44)</f>
        <v/>
      </c>
      <c r="D44" s="114" t="str">
        <f aca="false">IF($B44="","",الموظفون!$F44)</f>
        <v/>
      </c>
      <c r="E44" s="114" t="str">
        <f aca="false">IF($B44="","",الموظفون!$E44)</f>
        <v/>
      </c>
      <c r="F44" s="114" t="str">
        <f aca="false">IF($B44="","",IF(AK44=0,IF(AND(الموظفون!$AE44&lt;&gt;"",الموظفون!$AE44&lt;$E$3),"✖ منتهي الخدمة","⏳ لم يباشر"),IF(S44&gt;0,"✈ راتب إجازة مقدم",IF(J44=0,"⛔ بدون راتب هذا الشهر",IF(I44&gt;0,"✈ خصم "&amp;ROUND(I44,2)&amp;" يوم بدون أجر",IF(AL44&gt;0,"🌴 إجازة سنوية "&amp;ROUND(AL44,2)&amp;" يوم",IF(H44&gt;0,"⚠ غياب "&amp;ROUND(H44,2)&amp;" يوم","✔ على رأس العمل")))))))</f>
        <v/>
      </c>
      <c r="G44" s="151" t="str">
        <f aca="false">IF($B44="","",IF(AK44&gt;=DAY($F$3),cfg_DAYS_M,MIN(AK44,cfg_DAYS_M)))</f>
        <v/>
      </c>
      <c r="H44" s="151" t="str">
        <f aca="false">IF($B44="","",SUMIFS('الحركات الشهرية'!$D$6:$D$1005,'الحركات الشهرية'!$B$6:$B$1005,$B44,'الحركات الشهرية'!$A$6:$A$1005,$C$3))</f>
        <v/>
      </c>
      <c r="I44" s="151" t="str">
        <f aca="false">IF($B44="","",MIN(G44,IF(AND(AK44&gt;0,AN44&gt;=AK44),G44,AN44)+SUMIFS('الحركات الشهرية'!$E$6:$E$1005,'الحركات الشهرية'!$B$6:$B$1005,$B44,'الحركات الشهرية'!$A$6:$A$1005,$C$3)))</f>
        <v/>
      </c>
      <c r="J44" s="151" t="str">
        <f aca="false">IF($B44="","",MAX(0,G44-H44-I44))</f>
        <v/>
      </c>
      <c r="K44" s="111" t="str">
        <f aca="false">IF($B44="","",الموظفون!$L44*$J44/cfg_DAYS_M)</f>
        <v/>
      </c>
      <c r="L44" s="111" t="str">
        <f aca="false">IF($B44="","",الموظفون!$M44*$J44/cfg_DAYS_M)</f>
        <v/>
      </c>
      <c r="M44" s="111" t="str">
        <f aca="false">IF($B44="","",الموظفون!$N44*$J44/cfg_DAYS_M)</f>
        <v/>
      </c>
      <c r="N44" s="111" t="str">
        <f aca="false">IF($B44="","",الموظفون!$O44*$J44/cfg_DAYS_M)</f>
        <v/>
      </c>
      <c r="O44" s="151" t="str">
        <f aca="false">IF($B44="","",SUMIFS('الحركات الشهرية'!$F$6:$F$1005,'الحركات الشهرية'!$B$6:$B$1005,$B44,'الحركات الشهرية'!$A$6:$A$1005,$C$3))</f>
        <v/>
      </c>
      <c r="P44" s="111" t="str">
        <f aca="false">IF($B44="","",O44*(الموظفون!$P44+الموظفون!$L44*cfg_OT_P)/cfg_DAYS_M/cfg_HRS)</f>
        <v/>
      </c>
      <c r="Q44" s="111" t="str">
        <f aca="false">IF($B44="","",SUMIFS('الحركات الشهرية'!$G$6:$G$1005,'الحركات الشهرية'!$B$6:$B$1005,$B44,'الحركات الشهرية'!$A$6:$A$1005,$C$3))</f>
        <v/>
      </c>
      <c r="R44" s="111" t="str">
        <f aca="false">IF($B44="","",SUMIFS('الحركات الشهرية'!$H$6:$H$1005,'الحركات الشهرية'!$B$6:$B$1005,$B44,'الحركات الشهرية'!$A$6:$A$1005,$C$3))</f>
        <v/>
      </c>
      <c r="S44" s="111" t="str">
        <f aca="false">IF($B44="","",SUMIFS('سجل الإجازات والحالات'!$N$6:$N$505,'سجل الإجازات والحالات'!$B$6:$B$505,$B44,'سجل الإجازات والحالات'!$O$6:$O$505,$C$3))</f>
        <v/>
      </c>
      <c r="T44" s="152" t="str">
        <f aca="false">IF($B44="","",SUM(K44:N44)+SUM(P44:S44))</f>
        <v/>
      </c>
      <c r="U44" s="111" t="str">
        <f aca="false">IF($B44="","",الموظفون!$S44*IF(E44="سعودي",cfg_G_SE,cfg_G_NE)*G44/cfg_DAYS_M)</f>
        <v/>
      </c>
      <c r="V44" s="111" t="str">
        <f aca="false">IF($B44="","",SUMIFS('الحركات الشهرية'!$I$6:$I$1005,'الحركات الشهرية'!$B$6:$B$1005,$B44,'الحركات الشهرية'!$A$6:$A$1005,$C$3))</f>
        <v/>
      </c>
      <c r="W44" s="111" t="str">
        <f aca="false">IF($B44="","",SUMIFS('الحركات الشهرية'!$J$6:$J$1005,'الحركات الشهرية'!$B$6:$B$1005,$B44,'الحركات الشهرية'!$A$6:$A$1005,$C$3))</f>
        <v/>
      </c>
      <c r="X44" s="111" t="str">
        <f aca="false">IF($B44="","",SUM(U44:W44))</f>
        <v/>
      </c>
      <c r="Y44" s="153" t="str">
        <f aca="false">IF($B44="","",T44-X44)</f>
        <v/>
      </c>
      <c r="Z44" s="111" t="str">
        <f aca="false">IF($B44="","",الموظفون!$S44*IF(E44="سعودي",cfg_G_SR,cfg_G_NR)*G44/cfg_DAYS_M)</f>
        <v/>
      </c>
      <c r="AA44" s="111" t="str">
        <f aca="false">IF($B44="","",الموظفون!$Q44*(cfg_EOS_R1*(MIN(AH44,cfg_EOS_TH)-MIN(AI44,cfg_EOS_TH))+cfg_EOS_R2*(MAX(AH44-cfg_EOS_TH,0)-MAX(AI44-cfg_EOS_TH,0))))</f>
        <v/>
      </c>
      <c r="AB44" s="111" t="str">
        <f aca="false">IF($B44="","",IF(الموظفون!$T44&lt;&gt;"",الموظفون!$T44,IF(AH44&gt;=cfg_LV_TH,cfg_LV_D2,cfg_LV_D1))/cfg_DAYS_Y*AJ44*الموظفون!$R44/cfg_DAYS_M)</f>
        <v/>
      </c>
      <c r="AC44" s="111" t="str">
        <f aca="false">IF($B44="","",IF(AND(الموظفون!$U44="نعم",N(الموظفون!$W44)&gt;0),الموظفون!$V44/الموظفون!$W44*12/cfg_DAYS_Y*AJ44,0))</f>
        <v/>
      </c>
      <c r="AD44" s="111" t="str">
        <f aca="false">IF($B44="","",(IF(الموظفون!$X44&lt;&gt;"",الموظفون!$X44,IF(الموظفون!$E44="غير سعودي",cfg_IQ,0))+IF(الموظفون!$Y44&lt;&gt;"",الموظفون!$Y44,IF(الموظفون!$E44="غير سعودي",cfg_WP,0)))/12*G44/cfg_DAYS_M)</f>
        <v/>
      </c>
      <c r="AE44" s="111" t="str">
        <f aca="false">IF($B44="","",IF(الموظفون!$Z44&lt;&gt;"",الموظفون!$Z44,cfg_MED)/12*G44/cfg_DAYS_M)</f>
        <v/>
      </c>
      <c r="AF44" s="111" t="str">
        <f aca="false">IF($B44="","",N(الموظفون!$AA44)/12*G44/cfg_DAYS_M)</f>
        <v/>
      </c>
      <c r="AG44" s="154" t="str">
        <f aca="false">IF($B44="","",T44+SUM(Z44:AF44))</f>
        <v/>
      </c>
      <c r="AH44" s="155" t="str">
        <f aca="false">IF($B44="","",MAX(0,IF(OR(الموظفون!$AE44="",الموظفون!$AE44&gt;$F$3),$F$3,الموظفون!$AE44)-الموظفون!$H44+1-SUMIFS('سجل الإجازات والحالات'!$AS$6:$AS$505,'سجل الإجازات والحالات'!$B$6:$B$505,$B44))/cfg_DAYS_Y)</f>
        <v/>
      </c>
      <c r="AI44" s="155" t="str">
        <f aca="false">IF($B44="","",MAX(0,IF(OR(الموظفون!$AE44="",الموظفون!$AE44&gt;($E$3-1)),($E$3-1),الموظفون!$AE44)-الموظفون!$H44+1-SUMIFS('سجل الإجازات والحالات'!$AR$6:$AR$505,'سجل الإجازات والحالات'!$B$6:$B$505,$B44))/cfg_DAYS_Y)</f>
        <v/>
      </c>
      <c r="AJ44" s="65" t="str">
        <f aca="false">IF($B44="","",MAX(0,AK44-(SUMIFS('سجل الإجازات والحالات'!$AS$6:$AS$505,'سجل الإجازات والحالات'!$B$6:$B$505,$B44)-SUMIFS('سجل الإجازات والحالات'!$AR$6:$AR$505,'سجل الإجازات والحالات'!$B$6:$B$505,$B44))))</f>
        <v/>
      </c>
      <c r="AK44" s="65" t="str">
        <f aca="false">IF($B44="","",MAX(0,IF(OR(الموظفون!$AE44="",الموظفون!$AE44&gt;$F$3),$F$3,الموظفون!$AE44)-MAX($E$3,الموظفون!$H44)+1))</f>
        <v/>
      </c>
      <c r="AL44" s="151" t="str">
        <f aca="false">IF($B44="","",SUMIFS('سجل الإجازات والحالات'!$BE$6:$BE$505,'سجل الإجازات والحالات'!$B$6:$B$505,$B44)+SUMIFS('الحركات الشهرية'!$K$6:$K$1005,'الحركات الشهرية'!$B$6:$B$1005,$B44,'الحركات الشهرية'!$A$6:$A$1005,$C$3))</f>
        <v/>
      </c>
      <c r="AM44" s="111" t="str">
        <f aca="false">IF($B44="","",AL44*الموظفون!$R44/cfg_DAYS_M+S44)</f>
        <v/>
      </c>
      <c r="AN44" s="151" t="str">
        <f aca="false">IF($B44="","",SUMIFS('سجل الإجازات والحالات'!$AG$6:$AG$505,'سجل الإجازات والحالات'!$B$6:$B$505,$B44))</f>
        <v/>
      </c>
    </row>
    <row r="45" customFormat="false" ht="15" hidden="false" customHeight="false" outlineLevel="0" collapsed="false">
      <c r="A45" s="115" t="str">
        <f aca="false">IF($B45="","",الموظفون!$A45)</f>
        <v/>
      </c>
      <c r="B45" s="117" t="str">
        <f aca="false">IF(الموظفون!$B45="","",الموظفون!$B45)</f>
        <v/>
      </c>
      <c r="C45" s="117" t="str">
        <f aca="false">IF($B45="","",الموظفون!$C45)</f>
        <v/>
      </c>
      <c r="D45" s="117" t="str">
        <f aca="false">IF($B45="","",الموظفون!$F45)</f>
        <v/>
      </c>
      <c r="E45" s="117" t="str">
        <f aca="false">IF($B45="","",الموظفون!$E45)</f>
        <v/>
      </c>
      <c r="F45" s="117" t="str">
        <f aca="false">IF($B45="","",IF(AK45=0,IF(AND(الموظفون!$AE45&lt;&gt;"",الموظفون!$AE45&lt;$E$3),"✖ منتهي الخدمة","⏳ لم يباشر"),IF(S45&gt;0,"✈ راتب إجازة مقدم",IF(J45=0,"⛔ بدون راتب هذا الشهر",IF(I45&gt;0,"✈ خصم "&amp;ROUND(I45,2)&amp;" يوم بدون أجر",IF(AL45&gt;0,"🌴 إجازة سنوية "&amp;ROUND(AL45,2)&amp;" يوم",IF(H45&gt;0,"⚠ غياب "&amp;ROUND(H45,2)&amp;" يوم","✔ على رأس العمل")))))))</f>
        <v/>
      </c>
      <c r="G45" s="156" t="str">
        <f aca="false">IF($B45="","",IF(AK45&gt;=DAY($F$3),cfg_DAYS_M,MIN(AK45,cfg_DAYS_M)))</f>
        <v/>
      </c>
      <c r="H45" s="156" t="str">
        <f aca="false">IF($B45="","",SUMIFS('الحركات الشهرية'!$D$6:$D$1005,'الحركات الشهرية'!$B$6:$B$1005,$B45,'الحركات الشهرية'!$A$6:$A$1005,$C$3))</f>
        <v/>
      </c>
      <c r="I45" s="156" t="str">
        <f aca="false">IF($B45="","",MIN(G45,IF(AND(AK45&gt;0,AN45&gt;=AK45),G45,AN45)+SUMIFS('الحركات الشهرية'!$E$6:$E$1005,'الحركات الشهرية'!$B$6:$B$1005,$B45,'الحركات الشهرية'!$A$6:$A$1005,$C$3)))</f>
        <v/>
      </c>
      <c r="J45" s="156" t="str">
        <f aca="false">IF($B45="","",MAX(0,G45-H45-I45))</f>
        <v/>
      </c>
      <c r="K45" s="116" t="str">
        <f aca="false">IF($B45="","",الموظفون!$L45*$J45/cfg_DAYS_M)</f>
        <v/>
      </c>
      <c r="L45" s="116" t="str">
        <f aca="false">IF($B45="","",الموظفون!$M45*$J45/cfg_DAYS_M)</f>
        <v/>
      </c>
      <c r="M45" s="116" t="str">
        <f aca="false">IF($B45="","",الموظفون!$N45*$J45/cfg_DAYS_M)</f>
        <v/>
      </c>
      <c r="N45" s="116" t="str">
        <f aca="false">IF($B45="","",الموظفون!$O45*$J45/cfg_DAYS_M)</f>
        <v/>
      </c>
      <c r="O45" s="156" t="str">
        <f aca="false">IF($B45="","",SUMIFS('الحركات الشهرية'!$F$6:$F$1005,'الحركات الشهرية'!$B$6:$B$1005,$B45,'الحركات الشهرية'!$A$6:$A$1005,$C$3))</f>
        <v/>
      </c>
      <c r="P45" s="116" t="str">
        <f aca="false">IF($B45="","",O45*(الموظفون!$P45+الموظفون!$L45*cfg_OT_P)/cfg_DAYS_M/cfg_HRS)</f>
        <v/>
      </c>
      <c r="Q45" s="116" t="str">
        <f aca="false">IF($B45="","",SUMIFS('الحركات الشهرية'!$G$6:$G$1005,'الحركات الشهرية'!$B$6:$B$1005,$B45,'الحركات الشهرية'!$A$6:$A$1005,$C$3))</f>
        <v/>
      </c>
      <c r="R45" s="116" t="str">
        <f aca="false">IF($B45="","",SUMIFS('الحركات الشهرية'!$H$6:$H$1005,'الحركات الشهرية'!$B$6:$B$1005,$B45,'الحركات الشهرية'!$A$6:$A$1005,$C$3))</f>
        <v/>
      </c>
      <c r="S45" s="116" t="str">
        <f aca="false">IF($B45="","",SUMIFS('سجل الإجازات والحالات'!$N$6:$N$505,'سجل الإجازات والحالات'!$B$6:$B$505,$B45,'سجل الإجازات والحالات'!$O$6:$O$505,$C$3))</f>
        <v/>
      </c>
      <c r="T45" s="157" t="str">
        <f aca="false">IF($B45="","",SUM(K45:N45)+SUM(P45:S45))</f>
        <v/>
      </c>
      <c r="U45" s="116" t="str">
        <f aca="false">IF($B45="","",الموظفون!$S45*IF(E45="سعودي",cfg_G_SE,cfg_G_NE)*G45/cfg_DAYS_M)</f>
        <v/>
      </c>
      <c r="V45" s="116" t="str">
        <f aca="false">IF($B45="","",SUMIFS('الحركات الشهرية'!$I$6:$I$1005,'الحركات الشهرية'!$B$6:$B$1005,$B45,'الحركات الشهرية'!$A$6:$A$1005,$C$3))</f>
        <v/>
      </c>
      <c r="W45" s="116" t="str">
        <f aca="false">IF($B45="","",SUMIFS('الحركات الشهرية'!$J$6:$J$1005,'الحركات الشهرية'!$B$6:$B$1005,$B45,'الحركات الشهرية'!$A$6:$A$1005,$C$3))</f>
        <v/>
      </c>
      <c r="X45" s="116" t="str">
        <f aca="false">IF($B45="","",SUM(U45:W45))</f>
        <v/>
      </c>
      <c r="Y45" s="158" t="str">
        <f aca="false">IF($B45="","",T45-X45)</f>
        <v/>
      </c>
      <c r="Z45" s="116" t="str">
        <f aca="false">IF($B45="","",الموظفون!$S45*IF(E45="سعودي",cfg_G_SR,cfg_G_NR)*G45/cfg_DAYS_M)</f>
        <v/>
      </c>
      <c r="AA45" s="116" t="str">
        <f aca="false">IF($B45="","",الموظفون!$Q45*(cfg_EOS_R1*(MIN(AH45,cfg_EOS_TH)-MIN(AI45,cfg_EOS_TH))+cfg_EOS_R2*(MAX(AH45-cfg_EOS_TH,0)-MAX(AI45-cfg_EOS_TH,0))))</f>
        <v/>
      </c>
      <c r="AB45" s="116" t="str">
        <f aca="false">IF($B45="","",IF(الموظفون!$T45&lt;&gt;"",الموظفون!$T45,IF(AH45&gt;=cfg_LV_TH,cfg_LV_D2,cfg_LV_D1))/cfg_DAYS_Y*AJ45*الموظفون!$R45/cfg_DAYS_M)</f>
        <v/>
      </c>
      <c r="AC45" s="116" t="str">
        <f aca="false">IF($B45="","",IF(AND(الموظفون!$U45="نعم",N(الموظفون!$W45)&gt;0),الموظفون!$V45/الموظفون!$W45*12/cfg_DAYS_Y*AJ45,0))</f>
        <v/>
      </c>
      <c r="AD45" s="116" t="str">
        <f aca="false">IF($B45="","",(IF(الموظفون!$X45&lt;&gt;"",الموظفون!$X45,IF(الموظفون!$E45="غير سعودي",cfg_IQ,0))+IF(الموظفون!$Y45&lt;&gt;"",الموظفون!$Y45,IF(الموظفون!$E45="غير سعودي",cfg_WP,0)))/12*G45/cfg_DAYS_M)</f>
        <v/>
      </c>
      <c r="AE45" s="116" t="str">
        <f aca="false">IF($B45="","",IF(الموظفون!$Z45&lt;&gt;"",الموظفون!$Z45,cfg_MED)/12*G45/cfg_DAYS_M)</f>
        <v/>
      </c>
      <c r="AF45" s="116" t="str">
        <f aca="false">IF($B45="","",N(الموظفون!$AA45)/12*G45/cfg_DAYS_M)</f>
        <v/>
      </c>
      <c r="AG45" s="159" t="str">
        <f aca="false">IF($B45="","",T45+SUM(Z45:AF45))</f>
        <v/>
      </c>
      <c r="AH45" s="160" t="str">
        <f aca="false">IF($B45="","",MAX(0,IF(OR(الموظفون!$AE45="",الموظفون!$AE45&gt;$F$3),$F$3,الموظفون!$AE45)-الموظفون!$H45+1-SUMIFS('سجل الإجازات والحالات'!$AS$6:$AS$505,'سجل الإجازات والحالات'!$B$6:$B$505,$B45))/cfg_DAYS_Y)</f>
        <v/>
      </c>
      <c r="AI45" s="160" t="str">
        <f aca="false">IF($B45="","",MAX(0,IF(OR(الموظفون!$AE45="",الموظفون!$AE45&gt;($E$3-1)),($E$3-1),الموظفون!$AE45)-الموظفون!$H45+1-SUMIFS('سجل الإجازات والحالات'!$AR$6:$AR$505,'سجل الإجازات والحالات'!$B$6:$B$505,$B45))/cfg_DAYS_Y)</f>
        <v/>
      </c>
      <c r="AJ45" s="133" t="str">
        <f aca="false">IF($B45="","",MAX(0,AK45-(SUMIFS('سجل الإجازات والحالات'!$AS$6:$AS$505,'سجل الإجازات والحالات'!$B$6:$B$505,$B45)-SUMIFS('سجل الإجازات والحالات'!$AR$6:$AR$505,'سجل الإجازات والحالات'!$B$6:$B$505,$B45))))</f>
        <v/>
      </c>
      <c r="AK45" s="133" t="str">
        <f aca="false">IF($B45="","",MAX(0,IF(OR(الموظفون!$AE45="",الموظفون!$AE45&gt;$F$3),$F$3,الموظفون!$AE45)-MAX($E$3,الموظفون!$H45)+1))</f>
        <v/>
      </c>
      <c r="AL45" s="156" t="str">
        <f aca="false">IF($B45="","",SUMIFS('سجل الإجازات والحالات'!$BE$6:$BE$505,'سجل الإجازات والحالات'!$B$6:$B$505,$B45)+SUMIFS('الحركات الشهرية'!$K$6:$K$1005,'الحركات الشهرية'!$B$6:$B$1005,$B45,'الحركات الشهرية'!$A$6:$A$1005,$C$3))</f>
        <v/>
      </c>
      <c r="AM45" s="116" t="str">
        <f aca="false">IF($B45="","",AL45*الموظفون!$R45/cfg_DAYS_M+S45)</f>
        <v/>
      </c>
      <c r="AN45" s="156" t="str">
        <f aca="false">IF($B45="","",SUMIFS('سجل الإجازات والحالات'!$AG$6:$AG$505,'سجل الإجازات والحالات'!$B$6:$B$505,$B45))</f>
        <v/>
      </c>
    </row>
    <row r="46" customFormat="false" ht="15" hidden="false" customHeight="false" outlineLevel="0" collapsed="false">
      <c r="A46" s="106" t="str">
        <f aca="false">IF($B46="","",الموظفون!$A46)</f>
        <v/>
      </c>
      <c r="B46" s="114" t="str">
        <f aca="false">IF(الموظفون!$B46="","",الموظفون!$B46)</f>
        <v/>
      </c>
      <c r="C46" s="114" t="str">
        <f aca="false">IF($B46="","",الموظفون!$C46)</f>
        <v/>
      </c>
      <c r="D46" s="114" t="str">
        <f aca="false">IF($B46="","",الموظفون!$F46)</f>
        <v/>
      </c>
      <c r="E46" s="114" t="str">
        <f aca="false">IF($B46="","",الموظفون!$E46)</f>
        <v/>
      </c>
      <c r="F46" s="114" t="str">
        <f aca="false">IF($B46="","",IF(AK46=0,IF(AND(الموظفون!$AE46&lt;&gt;"",الموظفون!$AE46&lt;$E$3),"✖ منتهي الخدمة","⏳ لم يباشر"),IF(S46&gt;0,"✈ راتب إجازة مقدم",IF(J46=0,"⛔ بدون راتب هذا الشهر",IF(I46&gt;0,"✈ خصم "&amp;ROUND(I46,2)&amp;" يوم بدون أجر",IF(AL46&gt;0,"🌴 إجازة سنوية "&amp;ROUND(AL46,2)&amp;" يوم",IF(H46&gt;0,"⚠ غياب "&amp;ROUND(H46,2)&amp;" يوم","✔ على رأس العمل")))))))</f>
        <v/>
      </c>
      <c r="G46" s="151" t="str">
        <f aca="false">IF($B46="","",IF(AK46&gt;=DAY($F$3),cfg_DAYS_M,MIN(AK46,cfg_DAYS_M)))</f>
        <v/>
      </c>
      <c r="H46" s="151" t="str">
        <f aca="false">IF($B46="","",SUMIFS('الحركات الشهرية'!$D$6:$D$1005,'الحركات الشهرية'!$B$6:$B$1005,$B46,'الحركات الشهرية'!$A$6:$A$1005,$C$3))</f>
        <v/>
      </c>
      <c r="I46" s="151" t="str">
        <f aca="false">IF($B46="","",MIN(G46,IF(AND(AK46&gt;0,AN46&gt;=AK46),G46,AN46)+SUMIFS('الحركات الشهرية'!$E$6:$E$1005,'الحركات الشهرية'!$B$6:$B$1005,$B46,'الحركات الشهرية'!$A$6:$A$1005,$C$3)))</f>
        <v/>
      </c>
      <c r="J46" s="151" t="str">
        <f aca="false">IF($B46="","",MAX(0,G46-H46-I46))</f>
        <v/>
      </c>
      <c r="K46" s="111" t="str">
        <f aca="false">IF($B46="","",الموظفون!$L46*$J46/cfg_DAYS_M)</f>
        <v/>
      </c>
      <c r="L46" s="111" t="str">
        <f aca="false">IF($B46="","",الموظفون!$M46*$J46/cfg_DAYS_M)</f>
        <v/>
      </c>
      <c r="M46" s="111" t="str">
        <f aca="false">IF($B46="","",الموظفون!$N46*$J46/cfg_DAYS_M)</f>
        <v/>
      </c>
      <c r="N46" s="111" t="str">
        <f aca="false">IF($B46="","",الموظفون!$O46*$J46/cfg_DAYS_M)</f>
        <v/>
      </c>
      <c r="O46" s="151" t="str">
        <f aca="false">IF($B46="","",SUMIFS('الحركات الشهرية'!$F$6:$F$1005,'الحركات الشهرية'!$B$6:$B$1005,$B46,'الحركات الشهرية'!$A$6:$A$1005,$C$3))</f>
        <v/>
      </c>
      <c r="P46" s="111" t="str">
        <f aca="false">IF($B46="","",O46*(الموظفون!$P46+الموظفون!$L46*cfg_OT_P)/cfg_DAYS_M/cfg_HRS)</f>
        <v/>
      </c>
      <c r="Q46" s="111" t="str">
        <f aca="false">IF($B46="","",SUMIFS('الحركات الشهرية'!$G$6:$G$1005,'الحركات الشهرية'!$B$6:$B$1005,$B46,'الحركات الشهرية'!$A$6:$A$1005,$C$3))</f>
        <v/>
      </c>
      <c r="R46" s="111" t="str">
        <f aca="false">IF($B46="","",SUMIFS('الحركات الشهرية'!$H$6:$H$1005,'الحركات الشهرية'!$B$6:$B$1005,$B46,'الحركات الشهرية'!$A$6:$A$1005,$C$3))</f>
        <v/>
      </c>
      <c r="S46" s="111" t="str">
        <f aca="false">IF($B46="","",SUMIFS('سجل الإجازات والحالات'!$N$6:$N$505,'سجل الإجازات والحالات'!$B$6:$B$505,$B46,'سجل الإجازات والحالات'!$O$6:$O$505,$C$3))</f>
        <v/>
      </c>
      <c r="T46" s="152" t="str">
        <f aca="false">IF($B46="","",SUM(K46:N46)+SUM(P46:S46))</f>
        <v/>
      </c>
      <c r="U46" s="111" t="str">
        <f aca="false">IF($B46="","",الموظفون!$S46*IF(E46="سعودي",cfg_G_SE,cfg_G_NE)*G46/cfg_DAYS_M)</f>
        <v/>
      </c>
      <c r="V46" s="111" t="str">
        <f aca="false">IF($B46="","",SUMIFS('الحركات الشهرية'!$I$6:$I$1005,'الحركات الشهرية'!$B$6:$B$1005,$B46,'الحركات الشهرية'!$A$6:$A$1005,$C$3))</f>
        <v/>
      </c>
      <c r="W46" s="111" t="str">
        <f aca="false">IF($B46="","",SUMIFS('الحركات الشهرية'!$J$6:$J$1005,'الحركات الشهرية'!$B$6:$B$1005,$B46,'الحركات الشهرية'!$A$6:$A$1005,$C$3))</f>
        <v/>
      </c>
      <c r="X46" s="111" t="str">
        <f aca="false">IF($B46="","",SUM(U46:W46))</f>
        <v/>
      </c>
      <c r="Y46" s="153" t="str">
        <f aca="false">IF($B46="","",T46-X46)</f>
        <v/>
      </c>
      <c r="Z46" s="111" t="str">
        <f aca="false">IF($B46="","",الموظفون!$S46*IF(E46="سعودي",cfg_G_SR,cfg_G_NR)*G46/cfg_DAYS_M)</f>
        <v/>
      </c>
      <c r="AA46" s="111" t="str">
        <f aca="false">IF($B46="","",الموظفون!$Q46*(cfg_EOS_R1*(MIN(AH46,cfg_EOS_TH)-MIN(AI46,cfg_EOS_TH))+cfg_EOS_R2*(MAX(AH46-cfg_EOS_TH,0)-MAX(AI46-cfg_EOS_TH,0))))</f>
        <v/>
      </c>
      <c r="AB46" s="111" t="str">
        <f aca="false">IF($B46="","",IF(الموظفون!$T46&lt;&gt;"",الموظفون!$T46,IF(AH46&gt;=cfg_LV_TH,cfg_LV_D2,cfg_LV_D1))/cfg_DAYS_Y*AJ46*الموظفون!$R46/cfg_DAYS_M)</f>
        <v/>
      </c>
      <c r="AC46" s="111" t="str">
        <f aca="false">IF($B46="","",IF(AND(الموظفون!$U46="نعم",N(الموظفون!$W46)&gt;0),الموظفون!$V46/الموظفون!$W46*12/cfg_DAYS_Y*AJ46,0))</f>
        <v/>
      </c>
      <c r="AD46" s="111" t="str">
        <f aca="false">IF($B46="","",(IF(الموظفون!$X46&lt;&gt;"",الموظفون!$X46,IF(الموظفون!$E46="غير سعودي",cfg_IQ,0))+IF(الموظفون!$Y46&lt;&gt;"",الموظفون!$Y46,IF(الموظفون!$E46="غير سعودي",cfg_WP,0)))/12*G46/cfg_DAYS_M)</f>
        <v/>
      </c>
      <c r="AE46" s="111" t="str">
        <f aca="false">IF($B46="","",IF(الموظفون!$Z46&lt;&gt;"",الموظفون!$Z46,cfg_MED)/12*G46/cfg_DAYS_M)</f>
        <v/>
      </c>
      <c r="AF46" s="111" t="str">
        <f aca="false">IF($B46="","",N(الموظفون!$AA46)/12*G46/cfg_DAYS_M)</f>
        <v/>
      </c>
      <c r="AG46" s="154" t="str">
        <f aca="false">IF($B46="","",T46+SUM(Z46:AF46))</f>
        <v/>
      </c>
      <c r="AH46" s="155" t="str">
        <f aca="false">IF($B46="","",MAX(0,IF(OR(الموظفون!$AE46="",الموظفون!$AE46&gt;$F$3),$F$3,الموظفون!$AE46)-الموظفون!$H46+1-SUMIFS('سجل الإجازات والحالات'!$AS$6:$AS$505,'سجل الإجازات والحالات'!$B$6:$B$505,$B46))/cfg_DAYS_Y)</f>
        <v/>
      </c>
      <c r="AI46" s="155" t="str">
        <f aca="false">IF($B46="","",MAX(0,IF(OR(الموظفون!$AE46="",الموظفون!$AE46&gt;($E$3-1)),($E$3-1),الموظفون!$AE46)-الموظفون!$H46+1-SUMIFS('سجل الإجازات والحالات'!$AR$6:$AR$505,'سجل الإجازات والحالات'!$B$6:$B$505,$B46))/cfg_DAYS_Y)</f>
        <v/>
      </c>
      <c r="AJ46" s="65" t="str">
        <f aca="false">IF($B46="","",MAX(0,AK46-(SUMIFS('سجل الإجازات والحالات'!$AS$6:$AS$505,'سجل الإجازات والحالات'!$B$6:$B$505,$B46)-SUMIFS('سجل الإجازات والحالات'!$AR$6:$AR$505,'سجل الإجازات والحالات'!$B$6:$B$505,$B46))))</f>
        <v/>
      </c>
      <c r="AK46" s="65" t="str">
        <f aca="false">IF($B46="","",MAX(0,IF(OR(الموظفون!$AE46="",الموظفون!$AE46&gt;$F$3),$F$3,الموظفون!$AE46)-MAX($E$3,الموظفون!$H46)+1))</f>
        <v/>
      </c>
      <c r="AL46" s="151" t="str">
        <f aca="false">IF($B46="","",SUMIFS('سجل الإجازات والحالات'!$BE$6:$BE$505,'سجل الإجازات والحالات'!$B$6:$B$505,$B46)+SUMIFS('الحركات الشهرية'!$K$6:$K$1005,'الحركات الشهرية'!$B$6:$B$1005,$B46,'الحركات الشهرية'!$A$6:$A$1005,$C$3))</f>
        <v/>
      </c>
      <c r="AM46" s="111" t="str">
        <f aca="false">IF($B46="","",AL46*الموظفون!$R46/cfg_DAYS_M+S46)</f>
        <v/>
      </c>
      <c r="AN46" s="151" t="str">
        <f aca="false">IF($B46="","",SUMIFS('سجل الإجازات والحالات'!$AG$6:$AG$505,'سجل الإجازات والحالات'!$B$6:$B$505,$B46))</f>
        <v/>
      </c>
    </row>
    <row r="47" customFormat="false" ht="15" hidden="false" customHeight="false" outlineLevel="0" collapsed="false">
      <c r="A47" s="115" t="str">
        <f aca="false">IF($B47="","",الموظفون!$A47)</f>
        <v/>
      </c>
      <c r="B47" s="117" t="str">
        <f aca="false">IF(الموظفون!$B47="","",الموظفون!$B47)</f>
        <v/>
      </c>
      <c r="C47" s="117" t="str">
        <f aca="false">IF($B47="","",الموظفون!$C47)</f>
        <v/>
      </c>
      <c r="D47" s="117" t="str">
        <f aca="false">IF($B47="","",الموظفون!$F47)</f>
        <v/>
      </c>
      <c r="E47" s="117" t="str">
        <f aca="false">IF($B47="","",الموظفون!$E47)</f>
        <v/>
      </c>
      <c r="F47" s="117" t="str">
        <f aca="false">IF($B47="","",IF(AK47=0,IF(AND(الموظفون!$AE47&lt;&gt;"",الموظفون!$AE47&lt;$E$3),"✖ منتهي الخدمة","⏳ لم يباشر"),IF(S47&gt;0,"✈ راتب إجازة مقدم",IF(J47=0,"⛔ بدون راتب هذا الشهر",IF(I47&gt;0,"✈ خصم "&amp;ROUND(I47,2)&amp;" يوم بدون أجر",IF(AL47&gt;0,"🌴 إجازة سنوية "&amp;ROUND(AL47,2)&amp;" يوم",IF(H47&gt;0,"⚠ غياب "&amp;ROUND(H47,2)&amp;" يوم","✔ على رأس العمل")))))))</f>
        <v/>
      </c>
      <c r="G47" s="156" t="str">
        <f aca="false">IF($B47="","",IF(AK47&gt;=DAY($F$3),cfg_DAYS_M,MIN(AK47,cfg_DAYS_M)))</f>
        <v/>
      </c>
      <c r="H47" s="156" t="str">
        <f aca="false">IF($B47="","",SUMIFS('الحركات الشهرية'!$D$6:$D$1005,'الحركات الشهرية'!$B$6:$B$1005,$B47,'الحركات الشهرية'!$A$6:$A$1005,$C$3))</f>
        <v/>
      </c>
      <c r="I47" s="156" t="str">
        <f aca="false">IF($B47="","",MIN(G47,IF(AND(AK47&gt;0,AN47&gt;=AK47),G47,AN47)+SUMIFS('الحركات الشهرية'!$E$6:$E$1005,'الحركات الشهرية'!$B$6:$B$1005,$B47,'الحركات الشهرية'!$A$6:$A$1005,$C$3)))</f>
        <v/>
      </c>
      <c r="J47" s="156" t="str">
        <f aca="false">IF($B47="","",MAX(0,G47-H47-I47))</f>
        <v/>
      </c>
      <c r="K47" s="116" t="str">
        <f aca="false">IF($B47="","",الموظفون!$L47*$J47/cfg_DAYS_M)</f>
        <v/>
      </c>
      <c r="L47" s="116" t="str">
        <f aca="false">IF($B47="","",الموظفون!$M47*$J47/cfg_DAYS_M)</f>
        <v/>
      </c>
      <c r="M47" s="116" t="str">
        <f aca="false">IF($B47="","",الموظفون!$N47*$J47/cfg_DAYS_M)</f>
        <v/>
      </c>
      <c r="N47" s="116" t="str">
        <f aca="false">IF($B47="","",الموظفون!$O47*$J47/cfg_DAYS_M)</f>
        <v/>
      </c>
      <c r="O47" s="156" t="str">
        <f aca="false">IF($B47="","",SUMIFS('الحركات الشهرية'!$F$6:$F$1005,'الحركات الشهرية'!$B$6:$B$1005,$B47,'الحركات الشهرية'!$A$6:$A$1005,$C$3))</f>
        <v/>
      </c>
      <c r="P47" s="116" t="str">
        <f aca="false">IF($B47="","",O47*(الموظفون!$P47+الموظفون!$L47*cfg_OT_P)/cfg_DAYS_M/cfg_HRS)</f>
        <v/>
      </c>
      <c r="Q47" s="116" t="str">
        <f aca="false">IF($B47="","",SUMIFS('الحركات الشهرية'!$G$6:$G$1005,'الحركات الشهرية'!$B$6:$B$1005,$B47,'الحركات الشهرية'!$A$6:$A$1005,$C$3))</f>
        <v/>
      </c>
      <c r="R47" s="116" t="str">
        <f aca="false">IF($B47="","",SUMIFS('الحركات الشهرية'!$H$6:$H$1005,'الحركات الشهرية'!$B$6:$B$1005,$B47,'الحركات الشهرية'!$A$6:$A$1005,$C$3))</f>
        <v/>
      </c>
      <c r="S47" s="116" t="str">
        <f aca="false">IF($B47="","",SUMIFS('سجل الإجازات والحالات'!$N$6:$N$505,'سجل الإجازات والحالات'!$B$6:$B$505,$B47,'سجل الإجازات والحالات'!$O$6:$O$505,$C$3))</f>
        <v/>
      </c>
      <c r="T47" s="157" t="str">
        <f aca="false">IF($B47="","",SUM(K47:N47)+SUM(P47:S47))</f>
        <v/>
      </c>
      <c r="U47" s="116" t="str">
        <f aca="false">IF($B47="","",الموظفون!$S47*IF(E47="سعودي",cfg_G_SE,cfg_G_NE)*G47/cfg_DAYS_M)</f>
        <v/>
      </c>
      <c r="V47" s="116" t="str">
        <f aca="false">IF($B47="","",SUMIFS('الحركات الشهرية'!$I$6:$I$1005,'الحركات الشهرية'!$B$6:$B$1005,$B47,'الحركات الشهرية'!$A$6:$A$1005,$C$3))</f>
        <v/>
      </c>
      <c r="W47" s="116" t="str">
        <f aca="false">IF($B47="","",SUMIFS('الحركات الشهرية'!$J$6:$J$1005,'الحركات الشهرية'!$B$6:$B$1005,$B47,'الحركات الشهرية'!$A$6:$A$1005,$C$3))</f>
        <v/>
      </c>
      <c r="X47" s="116" t="str">
        <f aca="false">IF($B47="","",SUM(U47:W47))</f>
        <v/>
      </c>
      <c r="Y47" s="158" t="str">
        <f aca="false">IF($B47="","",T47-X47)</f>
        <v/>
      </c>
      <c r="Z47" s="116" t="str">
        <f aca="false">IF($B47="","",الموظفون!$S47*IF(E47="سعودي",cfg_G_SR,cfg_G_NR)*G47/cfg_DAYS_M)</f>
        <v/>
      </c>
      <c r="AA47" s="116" t="str">
        <f aca="false">IF($B47="","",الموظفون!$Q47*(cfg_EOS_R1*(MIN(AH47,cfg_EOS_TH)-MIN(AI47,cfg_EOS_TH))+cfg_EOS_R2*(MAX(AH47-cfg_EOS_TH,0)-MAX(AI47-cfg_EOS_TH,0))))</f>
        <v/>
      </c>
      <c r="AB47" s="116" t="str">
        <f aca="false">IF($B47="","",IF(الموظفون!$T47&lt;&gt;"",الموظفون!$T47,IF(AH47&gt;=cfg_LV_TH,cfg_LV_D2,cfg_LV_D1))/cfg_DAYS_Y*AJ47*الموظفون!$R47/cfg_DAYS_M)</f>
        <v/>
      </c>
      <c r="AC47" s="116" t="str">
        <f aca="false">IF($B47="","",IF(AND(الموظفون!$U47="نعم",N(الموظفون!$W47)&gt;0),الموظفون!$V47/الموظفون!$W47*12/cfg_DAYS_Y*AJ47,0))</f>
        <v/>
      </c>
      <c r="AD47" s="116" t="str">
        <f aca="false">IF($B47="","",(IF(الموظفون!$X47&lt;&gt;"",الموظفون!$X47,IF(الموظفون!$E47="غير سعودي",cfg_IQ,0))+IF(الموظفون!$Y47&lt;&gt;"",الموظفون!$Y47,IF(الموظفون!$E47="غير سعودي",cfg_WP,0)))/12*G47/cfg_DAYS_M)</f>
        <v/>
      </c>
      <c r="AE47" s="116" t="str">
        <f aca="false">IF($B47="","",IF(الموظفون!$Z47&lt;&gt;"",الموظفون!$Z47,cfg_MED)/12*G47/cfg_DAYS_M)</f>
        <v/>
      </c>
      <c r="AF47" s="116" t="str">
        <f aca="false">IF($B47="","",N(الموظفون!$AA47)/12*G47/cfg_DAYS_M)</f>
        <v/>
      </c>
      <c r="AG47" s="159" t="str">
        <f aca="false">IF($B47="","",T47+SUM(Z47:AF47))</f>
        <v/>
      </c>
      <c r="AH47" s="160" t="str">
        <f aca="false">IF($B47="","",MAX(0,IF(OR(الموظفون!$AE47="",الموظفون!$AE47&gt;$F$3),$F$3,الموظفون!$AE47)-الموظفون!$H47+1-SUMIFS('سجل الإجازات والحالات'!$AS$6:$AS$505,'سجل الإجازات والحالات'!$B$6:$B$505,$B47))/cfg_DAYS_Y)</f>
        <v/>
      </c>
      <c r="AI47" s="160" t="str">
        <f aca="false">IF($B47="","",MAX(0,IF(OR(الموظفون!$AE47="",الموظفون!$AE47&gt;($E$3-1)),($E$3-1),الموظفون!$AE47)-الموظفون!$H47+1-SUMIFS('سجل الإجازات والحالات'!$AR$6:$AR$505,'سجل الإجازات والحالات'!$B$6:$B$505,$B47))/cfg_DAYS_Y)</f>
        <v/>
      </c>
      <c r="AJ47" s="133" t="str">
        <f aca="false">IF($B47="","",MAX(0,AK47-(SUMIFS('سجل الإجازات والحالات'!$AS$6:$AS$505,'سجل الإجازات والحالات'!$B$6:$B$505,$B47)-SUMIFS('سجل الإجازات والحالات'!$AR$6:$AR$505,'سجل الإجازات والحالات'!$B$6:$B$505,$B47))))</f>
        <v/>
      </c>
      <c r="AK47" s="133" t="str">
        <f aca="false">IF($B47="","",MAX(0,IF(OR(الموظفون!$AE47="",الموظفون!$AE47&gt;$F$3),$F$3,الموظفون!$AE47)-MAX($E$3,الموظفون!$H47)+1))</f>
        <v/>
      </c>
      <c r="AL47" s="156" t="str">
        <f aca="false">IF($B47="","",SUMIFS('سجل الإجازات والحالات'!$BE$6:$BE$505,'سجل الإجازات والحالات'!$B$6:$B$505,$B47)+SUMIFS('الحركات الشهرية'!$K$6:$K$1005,'الحركات الشهرية'!$B$6:$B$1005,$B47,'الحركات الشهرية'!$A$6:$A$1005,$C$3))</f>
        <v/>
      </c>
      <c r="AM47" s="116" t="str">
        <f aca="false">IF($B47="","",AL47*الموظفون!$R47/cfg_DAYS_M+S47)</f>
        <v/>
      </c>
      <c r="AN47" s="156" t="str">
        <f aca="false">IF($B47="","",SUMIFS('سجل الإجازات والحالات'!$AG$6:$AG$505,'سجل الإجازات والحالات'!$B$6:$B$505,$B47))</f>
        <v/>
      </c>
    </row>
    <row r="48" customFormat="false" ht="15" hidden="false" customHeight="false" outlineLevel="0" collapsed="false">
      <c r="A48" s="106" t="str">
        <f aca="false">IF($B48="","",الموظفون!$A48)</f>
        <v/>
      </c>
      <c r="B48" s="114" t="str">
        <f aca="false">IF(الموظفون!$B48="","",الموظفون!$B48)</f>
        <v/>
      </c>
      <c r="C48" s="114" t="str">
        <f aca="false">IF($B48="","",الموظفون!$C48)</f>
        <v/>
      </c>
      <c r="D48" s="114" t="str">
        <f aca="false">IF($B48="","",الموظفون!$F48)</f>
        <v/>
      </c>
      <c r="E48" s="114" t="str">
        <f aca="false">IF($B48="","",الموظفون!$E48)</f>
        <v/>
      </c>
      <c r="F48" s="114" t="str">
        <f aca="false">IF($B48="","",IF(AK48=0,IF(AND(الموظفون!$AE48&lt;&gt;"",الموظفون!$AE48&lt;$E$3),"✖ منتهي الخدمة","⏳ لم يباشر"),IF(S48&gt;0,"✈ راتب إجازة مقدم",IF(J48=0,"⛔ بدون راتب هذا الشهر",IF(I48&gt;0,"✈ خصم "&amp;ROUND(I48,2)&amp;" يوم بدون أجر",IF(AL48&gt;0,"🌴 إجازة سنوية "&amp;ROUND(AL48,2)&amp;" يوم",IF(H48&gt;0,"⚠ غياب "&amp;ROUND(H48,2)&amp;" يوم","✔ على رأس العمل")))))))</f>
        <v/>
      </c>
      <c r="G48" s="151" t="str">
        <f aca="false">IF($B48="","",IF(AK48&gt;=DAY($F$3),cfg_DAYS_M,MIN(AK48,cfg_DAYS_M)))</f>
        <v/>
      </c>
      <c r="H48" s="151" t="str">
        <f aca="false">IF($B48="","",SUMIFS('الحركات الشهرية'!$D$6:$D$1005,'الحركات الشهرية'!$B$6:$B$1005,$B48,'الحركات الشهرية'!$A$6:$A$1005,$C$3))</f>
        <v/>
      </c>
      <c r="I48" s="151" t="str">
        <f aca="false">IF($B48="","",MIN(G48,IF(AND(AK48&gt;0,AN48&gt;=AK48),G48,AN48)+SUMIFS('الحركات الشهرية'!$E$6:$E$1005,'الحركات الشهرية'!$B$6:$B$1005,$B48,'الحركات الشهرية'!$A$6:$A$1005,$C$3)))</f>
        <v/>
      </c>
      <c r="J48" s="151" t="str">
        <f aca="false">IF($B48="","",MAX(0,G48-H48-I48))</f>
        <v/>
      </c>
      <c r="K48" s="111" t="str">
        <f aca="false">IF($B48="","",الموظفون!$L48*$J48/cfg_DAYS_M)</f>
        <v/>
      </c>
      <c r="L48" s="111" t="str">
        <f aca="false">IF($B48="","",الموظفون!$M48*$J48/cfg_DAYS_M)</f>
        <v/>
      </c>
      <c r="M48" s="111" t="str">
        <f aca="false">IF($B48="","",الموظفون!$N48*$J48/cfg_DAYS_M)</f>
        <v/>
      </c>
      <c r="N48" s="111" t="str">
        <f aca="false">IF($B48="","",الموظفون!$O48*$J48/cfg_DAYS_M)</f>
        <v/>
      </c>
      <c r="O48" s="151" t="str">
        <f aca="false">IF($B48="","",SUMIFS('الحركات الشهرية'!$F$6:$F$1005,'الحركات الشهرية'!$B$6:$B$1005,$B48,'الحركات الشهرية'!$A$6:$A$1005,$C$3))</f>
        <v/>
      </c>
      <c r="P48" s="111" t="str">
        <f aca="false">IF($B48="","",O48*(الموظفون!$P48+الموظفون!$L48*cfg_OT_P)/cfg_DAYS_M/cfg_HRS)</f>
        <v/>
      </c>
      <c r="Q48" s="111" t="str">
        <f aca="false">IF($B48="","",SUMIFS('الحركات الشهرية'!$G$6:$G$1005,'الحركات الشهرية'!$B$6:$B$1005,$B48,'الحركات الشهرية'!$A$6:$A$1005,$C$3))</f>
        <v/>
      </c>
      <c r="R48" s="111" t="str">
        <f aca="false">IF($B48="","",SUMIFS('الحركات الشهرية'!$H$6:$H$1005,'الحركات الشهرية'!$B$6:$B$1005,$B48,'الحركات الشهرية'!$A$6:$A$1005,$C$3))</f>
        <v/>
      </c>
      <c r="S48" s="111" t="str">
        <f aca="false">IF($B48="","",SUMIFS('سجل الإجازات والحالات'!$N$6:$N$505,'سجل الإجازات والحالات'!$B$6:$B$505,$B48,'سجل الإجازات والحالات'!$O$6:$O$505,$C$3))</f>
        <v/>
      </c>
      <c r="T48" s="152" t="str">
        <f aca="false">IF($B48="","",SUM(K48:N48)+SUM(P48:S48))</f>
        <v/>
      </c>
      <c r="U48" s="111" t="str">
        <f aca="false">IF($B48="","",الموظفون!$S48*IF(E48="سعودي",cfg_G_SE,cfg_G_NE)*G48/cfg_DAYS_M)</f>
        <v/>
      </c>
      <c r="V48" s="111" t="str">
        <f aca="false">IF($B48="","",SUMIFS('الحركات الشهرية'!$I$6:$I$1005,'الحركات الشهرية'!$B$6:$B$1005,$B48,'الحركات الشهرية'!$A$6:$A$1005,$C$3))</f>
        <v/>
      </c>
      <c r="W48" s="111" t="str">
        <f aca="false">IF($B48="","",SUMIFS('الحركات الشهرية'!$J$6:$J$1005,'الحركات الشهرية'!$B$6:$B$1005,$B48,'الحركات الشهرية'!$A$6:$A$1005,$C$3))</f>
        <v/>
      </c>
      <c r="X48" s="111" t="str">
        <f aca="false">IF($B48="","",SUM(U48:W48))</f>
        <v/>
      </c>
      <c r="Y48" s="153" t="str">
        <f aca="false">IF($B48="","",T48-X48)</f>
        <v/>
      </c>
      <c r="Z48" s="111" t="str">
        <f aca="false">IF($B48="","",الموظفون!$S48*IF(E48="سعودي",cfg_G_SR,cfg_G_NR)*G48/cfg_DAYS_M)</f>
        <v/>
      </c>
      <c r="AA48" s="111" t="str">
        <f aca="false">IF($B48="","",الموظفون!$Q48*(cfg_EOS_R1*(MIN(AH48,cfg_EOS_TH)-MIN(AI48,cfg_EOS_TH))+cfg_EOS_R2*(MAX(AH48-cfg_EOS_TH,0)-MAX(AI48-cfg_EOS_TH,0))))</f>
        <v/>
      </c>
      <c r="AB48" s="111" t="str">
        <f aca="false">IF($B48="","",IF(الموظفون!$T48&lt;&gt;"",الموظفون!$T48,IF(AH48&gt;=cfg_LV_TH,cfg_LV_D2,cfg_LV_D1))/cfg_DAYS_Y*AJ48*الموظفون!$R48/cfg_DAYS_M)</f>
        <v/>
      </c>
      <c r="AC48" s="111" t="str">
        <f aca="false">IF($B48="","",IF(AND(الموظفون!$U48="نعم",N(الموظفون!$W48)&gt;0),الموظفون!$V48/الموظفون!$W48*12/cfg_DAYS_Y*AJ48,0))</f>
        <v/>
      </c>
      <c r="AD48" s="111" t="str">
        <f aca="false">IF($B48="","",(IF(الموظفون!$X48&lt;&gt;"",الموظفون!$X48,IF(الموظفون!$E48="غير سعودي",cfg_IQ,0))+IF(الموظفون!$Y48&lt;&gt;"",الموظفون!$Y48,IF(الموظفون!$E48="غير سعودي",cfg_WP,0)))/12*G48/cfg_DAYS_M)</f>
        <v/>
      </c>
      <c r="AE48" s="111" t="str">
        <f aca="false">IF($B48="","",IF(الموظفون!$Z48&lt;&gt;"",الموظفون!$Z48,cfg_MED)/12*G48/cfg_DAYS_M)</f>
        <v/>
      </c>
      <c r="AF48" s="111" t="str">
        <f aca="false">IF($B48="","",N(الموظفون!$AA48)/12*G48/cfg_DAYS_M)</f>
        <v/>
      </c>
      <c r="AG48" s="154" t="str">
        <f aca="false">IF($B48="","",T48+SUM(Z48:AF48))</f>
        <v/>
      </c>
      <c r="AH48" s="155" t="str">
        <f aca="false">IF($B48="","",MAX(0,IF(OR(الموظفون!$AE48="",الموظفون!$AE48&gt;$F$3),$F$3,الموظفون!$AE48)-الموظفون!$H48+1-SUMIFS('سجل الإجازات والحالات'!$AS$6:$AS$505,'سجل الإجازات والحالات'!$B$6:$B$505,$B48))/cfg_DAYS_Y)</f>
        <v/>
      </c>
      <c r="AI48" s="155" t="str">
        <f aca="false">IF($B48="","",MAX(0,IF(OR(الموظفون!$AE48="",الموظفون!$AE48&gt;($E$3-1)),($E$3-1),الموظفون!$AE48)-الموظفون!$H48+1-SUMIFS('سجل الإجازات والحالات'!$AR$6:$AR$505,'سجل الإجازات والحالات'!$B$6:$B$505,$B48))/cfg_DAYS_Y)</f>
        <v/>
      </c>
      <c r="AJ48" s="65" t="str">
        <f aca="false">IF($B48="","",MAX(0,AK48-(SUMIFS('سجل الإجازات والحالات'!$AS$6:$AS$505,'سجل الإجازات والحالات'!$B$6:$B$505,$B48)-SUMIFS('سجل الإجازات والحالات'!$AR$6:$AR$505,'سجل الإجازات والحالات'!$B$6:$B$505,$B48))))</f>
        <v/>
      </c>
      <c r="AK48" s="65" t="str">
        <f aca="false">IF($B48="","",MAX(0,IF(OR(الموظفون!$AE48="",الموظفون!$AE48&gt;$F$3),$F$3,الموظفون!$AE48)-MAX($E$3,الموظفون!$H48)+1))</f>
        <v/>
      </c>
      <c r="AL48" s="151" t="str">
        <f aca="false">IF($B48="","",SUMIFS('سجل الإجازات والحالات'!$BE$6:$BE$505,'سجل الإجازات والحالات'!$B$6:$B$505,$B48)+SUMIFS('الحركات الشهرية'!$K$6:$K$1005,'الحركات الشهرية'!$B$6:$B$1005,$B48,'الحركات الشهرية'!$A$6:$A$1005,$C$3))</f>
        <v/>
      </c>
      <c r="AM48" s="111" t="str">
        <f aca="false">IF($B48="","",AL48*الموظفون!$R48/cfg_DAYS_M+S48)</f>
        <v/>
      </c>
      <c r="AN48" s="151" t="str">
        <f aca="false">IF($B48="","",SUMIFS('سجل الإجازات والحالات'!$AG$6:$AG$505,'سجل الإجازات والحالات'!$B$6:$B$505,$B48))</f>
        <v/>
      </c>
    </row>
    <row r="49" customFormat="false" ht="15" hidden="false" customHeight="false" outlineLevel="0" collapsed="false">
      <c r="A49" s="115" t="str">
        <f aca="false">IF($B49="","",الموظفون!$A49)</f>
        <v/>
      </c>
      <c r="B49" s="117" t="str">
        <f aca="false">IF(الموظفون!$B49="","",الموظفون!$B49)</f>
        <v/>
      </c>
      <c r="C49" s="117" t="str">
        <f aca="false">IF($B49="","",الموظفون!$C49)</f>
        <v/>
      </c>
      <c r="D49" s="117" t="str">
        <f aca="false">IF($B49="","",الموظفون!$F49)</f>
        <v/>
      </c>
      <c r="E49" s="117" t="str">
        <f aca="false">IF($B49="","",الموظفون!$E49)</f>
        <v/>
      </c>
      <c r="F49" s="117" t="str">
        <f aca="false">IF($B49="","",IF(AK49=0,IF(AND(الموظفون!$AE49&lt;&gt;"",الموظفون!$AE49&lt;$E$3),"✖ منتهي الخدمة","⏳ لم يباشر"),IF(S49&gt;0,"✈ راتب إجازة مقدم",IF(J49=0,"⛔ بدون راتب هذا الشهر",IF(I49&gt;0,"✈ خصم "&amp;ROUND(I49,2)&amp;" يوم بدون أجر",IF(AL49&gt;0,"🌴 إجازة سنوية "&amp;ROUND(AL49,2)&amp;" يوم",IF(H49&gt;0,"⚠ غياب "&amp;ROUND(H49,2)&amp;" يوم","✔ على رأس العمل")))))))</f>
        <v/>
      </c>
      <c r="G49" s="156" t="str">
        <f aca="false">IF($B49="","",IF(AK49&gt;=DAY($F$3),cfg_DAYS_M,MIN(AK49,cfg_DAYS_M)))</f>
        <v/>
      </c>
      <c r="H49" s="156" t="str">
        <f aca="false">IF($B49="","",SUMIFS('الحركات الشهرية'!$D$6:$D$1005,'الحركات الشهرية'!$B$6:$B$1005,$B49,'الحركات الشهرية'!$A$6:$A$1005,$C$3))</f>
        <v/>
      </c>
      <c r="I49" s="156" t="str">
        <f aca="false">IF($B49="","",MIN(G49,IF(AND(AK49&gt;0,AN49&gt;=AK49),G49,AN49)+SUMIFS('الحركات الشهرية'!$E$6:$E$1005,'الحركات الشهرية'!$B$6:$B$1005,$B49,'الحركات الشهرية'!$A$6:$A$1005,$C$3)))</f>
        <v/>
      </c>
      <c r="J49" s="156" t="str">
        <f aca="false">IF($B49="","",MAX(0,G49-H49-I49))</f>
        <v/>
      </c>
      <c r="K49" s="116" t="str">
        <f aca="false">IF($B49="","",الموظفون!$L49*$J49/cfg_DAYS_M)</f>
        <v/>
      </c>
      <c r="L49" s="116" t="str">
        <f aca="false">IF($B49="","",الموظفون!$M49*$J49/cfg_DAYS_M)</f>
        <v/>
      </c>
      <c r="M49" s="116" t="str">
        <f aca="false">IF($B49="","",الموظفون!$N49*$J49/cfg_DAYS_M)</f>
        <v/>
      </c>
      <c r="N49" s="116" t="str">
        <f aca="false">IF($B49="","",الموظفون!$O49*$J49/cfg_DAYS_M)</f>
        <v/>
      </c>
      <c r="O49" s="156" t="str">
        <f aca="false">IF($B49="","",SUMIFS('الحركات الشهرية'!$F$6:$F$1005,'الحركات الشهرية'!$B$6:$B$1005,$B49,'الحركات الشهرية'!$A$6:$A$1005,$C$3))</f>
        <v/>
      </c>
      <c r="P49" s="116" t="str">
        <f aca="false">IF($B49="","",O49*(الموظفون!$P49+الموظفون!$L49*cfg_OT_P)/cfg_DAYS_M/cfg_HRS)</f>
        <v/>
      </c>
      <c r="Q49" s="116" t="str">
        <f aca="false">IF($B49="","",SUMIFS('الحركات الشهرية'!$G$6:$G$1005,'الحركات الشهرية'!$B$6:$B$1005,$B49,'الحركات الشهرية'!$A$6:$A$1005,$C$3))</f>
        <v/>
      </c>
      <c r="R49" s="116" t="str">
        <f aca="false">IF($B49="","",SUMIFS('الحركات الشهرية'!$H$6:$H$1005,'الحركات الشهرية'!$B$6:$B$1005,$B49,'الحركات الشهرية'!$A$6:$A$1005,$C$3))</f>
        <v/>
      </c>
      <c r="S49" s="116" t="str">
        <f aca="false">IF($B49="","",SUMIFS('سجل الإجازات والحالات'!$N$6:$N$505,'سجل الإجازات والحالات'!$B$6:$B$505,$B49,'سجل الإجازات والحالات'!$O$6:$O$505,$C$3))</f>
        <v/>
      </c>
      <c r="T49" s="157" t="str">
        <f aca="false">IF($B49="","",SUM(K49:N49)+SUM(P49:S49))</f>
        <v/>
      </c>
      <c r="U49" s="116" t="str">
        <f aca="false">IF($B49="","",الموظفون!$S49*IF(E49="سعودي",cfg_G_SE,cfg_G_NE)*G49/cfg_DAYS_M)</f>
        <v/>
      </c>
      <c r="V49" s="116" t="str">
        <f aca="false">IF($B49="","",SUMIFS('الحركات الشهرية'!$I$6:$I$1005,'الحركات الشهرية'!$B$6:$B$1005,$B49,'الحركات الشهرية'!$A$6:$A$1005,$C$3))</f>
        <v/>
      </c>
      <c r="W49" s="116" t="str">
        <f aca="false">IF($B49="","",SUMIFS('الحركات الشهرية'!$J$6:$J$1005,'الحركات الشهرية'!$B$6:$B$1005,$B49,'الحركات الشهرية'!$A$6:$A$1005,$C$3))</f>
        <v/>
      </c>
      <c r="X49" s="116" t="str">
        <f aca="false">IF($B49="","",SUM(U49:W49))</f>
        <v/>
      </c>
      <c r="Y49" s="158" t="str">
        <f aca="false">IF($B49="","",T49-X49)</f>
        <v/>
      </c>
      <c r="Z49" s="116" t="str">
        <f aca="false">IF($B49="","",الموظفون!$S49*IF(E49="سعودي",cfg_G_SR,cfg_G_NR)*G49/cfg_DAYS_M)</f>
        <v/>
      </c>
      <c r="AA49" s="116" t="str">
        <f aca="false">IF($B49="","",الموظفون!$Q49*(cfg_EOS_R1*(MIN(AH49,cfg_EOS_TH)-MIN(AI49,cfg_EOS_TH))+cfg_EOS_R2*(MAX(AH49-cfg_EOS_TH,0)-MAX(AI49-cfg_EOS_TH,0))))</f>
        <v/>
      </c>
      <c r="AB49" s="116" t="str">
        <f aca="false">IF($B49="","",IF(الموظفون!$T49&lt;&gt;"",الموظفون!$T49,IF(AH49&gt;=cfg_LV_TH,cfg_LV_D2,cfg_LV_D1))/cfg_DAYS_Y*AJ49*الموظفون!$R49/cfg_DAYS_M)</f>
        <v/>
      </c>
      <c r="AC49" s="116" t="str">
        <f aca="false">IF($B49="","",IF(AND(الموظفون!$U49="نعم",N(الموظفون!$W49)&gt;0),الموظفون!$V49/الموظفون!$W49*12/cfg_DAYS_Y*AJ49,0))</f>
        <v/>
      </c>
      <c r="AD49" s="116" t="str">
        <f aca="false">IF($B49="","",(IF(الموظفون!$X49&lt;&gt;"",الموظفون!$X49,IF(الموظفون!$E49="غير سعودي",cfg_IQ,0))+IF(الموظفون!$Y49&lt;&gt;"",الموظفون!$Y49,IF(الموظفون!$E49="غير سعودي",cfg_WP,0)))/12*G49/cfg_DAYS_M)</f>
        <v/>
      </c>
      <c r="AE49" s="116" t="str">
        <f aca="false">IF($B49="","",IF(الموظفون!$Z49&lt;&gt;"",الموظفون!$Z49,cfg_MED)/12*G49/cfg_DAYS_M)</f>
        <v/>
      </c>
      <c r="AF49" s="116" t="str">
        <f aca="false">IF($B49="","",N(الموظفون!$AA49)/12*G49/cfg_DAYS_M)</f>
        <v/>
      </c>
      <c r="AG49" s="159" t="str">
        <f aca="false">IF($B49="","",T49+SUM(Z49:AF49))</f>
        <v/>
      </c>
      <c r="AH49" s="160" t="str">
        <f aca="false">IF($B49="","",MAX(0,IF(OR(الموظفون!$AE49="",الموظفون!$AE49&gt;$F$3),$F$3,الموظفون!$AE49)-الموظفون!$H49+1-SUMIFS('سجل الإجازات والحالات'!$AS$6:$AS$505,'سجل الإجازات والحالات'!$B$6:$B$505,$B49))/cfg_DAYS_Y)</f>
        <v/>
      </c>
      <c r="AI49" s="160" t="str">
        <f aca="false">IF($B49="","",MAX(0,IF(OR(الموظفون!$AE49="",الموظفون!$AE49&gt;($E$3-1)),($E$3-1),الموظفون!$AE49)-الموظفون!$H49+1-SUMIFS('سجل الإجازات والحالات'!$AR$6:$AR$505,'سجل الإجازات والحالات'!$B$6:$B$505,$B49))/cfg_DAYS_Y)</f>
        <v/>
      </c>
      <c r="AJ49" s="133" t="str">
        <f aca="false">IF($B49="","",MAX(0,AK49-(SUMIFS('سجل الإجازات والحالات'!$AS$6:$AS$505,'سجل الإجازات والحالات'!$B$6:$B$505,$B49)-SUMIFS('سجل الإجازات والحالات'!$AR$6:$AR$505,'سجل الإجازات والحالات'!$B$6:$B$505,$B49))))</f>
        <v/>
      </c>
      <c r="AK49" s="133" t="str">
        <f aca="false">IF($B49="","",MAX(0,IF(OR(الموظفون!$AE49="",الموظفون!$AE49&gt;$F$3),$F$3,الموظفون!$AE49)-MAX($E$3,الموظفون!$H49)+1))</f>
        <v/>
      </c>
      <c r="AL49" s="156" t="str">
        <f aca="false">IF($B49="","",SUMIFS('سجل الإجازات والحالات'!$BE$6:$BE$505,'سجل الإجازات والحالات'!$B$6:$B$505,$B49)+SUMIFS('الحركات الشهرية'!$K$6:$K$1005,'الحركات الشهرية'!$B$6:$B$1005,$B49,'الحركات الشهرية'!$A$6:$A$1005,$C$3))</f>
        <v/>
      </c>
      <c r="AM49" s="116" t="str">
        <f aca="false">IF($B49="","",AL49*الموظفون!$R49/cfg_DAYS_M+S49)</f>
        <v/>
      </c>
      <c r="AN49" s="156" t="str">
        <f aca="false">IF($B49="","",SUMIFS('سجل الإجازات والحالات'!$AG$6:$AG$505,'سجل الإجازات والحالات'!$B$6:$B$505,$B49))</f>
        <v/>
      </c>
    </row>
    <row r="50" customFormat="false" ht="15" hidden="false" customHeight="false" outlineLevel="0" collapsed="false">
      <c r="A50" s="106" t="str">
        <f aca="false">IF($B50="","",الموظفون!$A50)</f>
        <v/>
      </c>
      <c r="B50" s="114" t="str">
        <f aca="false">IF(الموظفون!$B50="","",الموظفون!$B50)</f>
        <v/>
      </c>
      <c r="C50" s="114" t="str">
        <f aca="false">IF($B50="","",الموظفون!$C50)</f>
        <v/>
      </c>
      <c r="D50" s="114" t="str">
        <f aca="false">IF($B50="","",الموظفون!$F50)</f>
        <v/>
      </c>
      <c r="E50" s="114" t="str">
        <f aca="false">IF($B50="","",الموظفون!$E50)</f>
        <v/>
      </c>
      <c r="F50" s="114" t="str">
        <f aca="false">IF($B50="","",IF(AK50=0,IF(AND(الموظفون!$AE50&lt;&gt;"",الموظفون!$AE50&lt;$E$3),"✖ منتهي الخدمة","⏳ لم يباشر"),IF(S50&gt;0,"✈ راتب إجازة مقدم",IF(J50=0,"⛔ بدون راتب هذا الشهر",IF(I50&gt;0,"✈ خصم "&amp;ROUND(I50,2)&amp;" يوم بدون أجر",IF(AL50&gt;0,"🌴 إجازة سنوية "&amp;ROUND(AL50,2)&amp;" يوم",IF(H50&gt;0,"⚠ غياب "&amp;ROUND(H50,2)&amp;" يوم","✔ على رأس العمل")))))))</f>
        <v/>
      </c>
      <c r="G50" s="151" t="str">
        <f aca="false">IF($B50="","",IF(AK50&gt;=DAY($F$3),cfg_DAYS_M,MIN(AK50,cfg_DAYS_M)))</f>
        <v/>
      </c>
      <c r="H50" s="151" t="str">
        <f aca="false">IF($B50="","",SUMIFS('الحركات الشهرية'!$D$6:$D$1005,'الحركات الشهرية'!$B$6:$B$1005,$B50,'الحركات الشهرية'!$A$6:$A$1005,$C$3))</f>
        <v/>
      </c>
      <c r="I50" s="151" t="str">
        <f aca="false">IF($B50="","",MIN(G50,IF(AND(AK50&gt;0,AN50&gt;=AK50),G50,AN50)+SUMIFS('الحركات الشهرية'!$E$6:$E$1005,'الحركات الشهرية'!$B$6:$B$1005,$B50,'الحركات الشهرية'!$A$6:$A$1005,$C$3)))</f>
        <v/>
      </c>
      <c r="J50" s="151" t="str">
        <f aca="false">IF($B50="","",MAX(0,G50-H50-I50))</f>
        <v/>
      </c>
      <c r="K50" s="111" t="str">
        <f aca="false">IF($B50="","",الموظفون!$L50*$J50/cfg_DAYS_M)</f>
        <v/>
      </c>
      <c r="L50" s="111" t="str">
        <f aca="false">IF($B50="","",الموظفون!$M50*$J50/cfg_DAYS_M)</f>
        <v/>
      </c>
      <c r="M50" s="111" t="str">
        <f aca="false">IF($B50="","",الموظفون!$N50*$J50/cfg_DAYS_M)</f>
        <v/>
      </c>
      <c r="N50" s="111" t="str">
        <f aca="false">IF($B50="","",الموظفون!$O50*$J50/cfg_DAYS_M)</f>
        <v/>
      </c>
      <c r="O50" s="151" t="str">
        <f aca="false">IF($B50="","",SUMIFS('الحركات الشهرية'!$F$6:$F$1005,'الحركات الشهرية'!$B$6:$B$1005,$B50,'الحركات الشهرية'!$A$6:$A$1005,$C$3))</f>
        <v/>
      </c>
      <c r="P50" s="111" t="str">
        <f aca="false">IF($B50="","",O50*(الموظفون!$P50+الموظفون!$L50*cfg_OT_P)/cfg_DAYS_M/cfg_HRS)</f>
        <v/>
      </c>
      <c r="Q50" s="111" t="str">
        <f aca="false">IF($B50="","",SUMIFS('الحركات الشهرية'!$G$6:$G$1005,'الحركات الشهرية'!$B$6:$B$1005,$B50,'الحركات الشهرية'!$A$6:$A$1005,$C$3))</f>
        <v/>
      </c>
      <c r="R50" s="111" t="str">
        <f aca="false">IF($B50="","",SUMIFS('الحركات الشهرية'!$H$6:$H$1005,'الحركات الشهرية'!$B$6:$B$1005,$B50,'الحركات الشهرية'!$A$6:$A$1005,$C$3))</f>
        <v/>
      </c>
      <c r="S50" s="111" t="str">
        <f aca="false">IF($B50="","",SUMIFS('سجل الإجازات والحالات'!$N$6:$N$505,'سجل الإجازات والحالات'!$B$6:$B$505,$B50,'سجل الإجازات والحالات'!$O$6:$O$505,$C$3))</f>
        <v/>
      </c>
      <c r="T50" s="152" t="str">
        <f aca="false">IF($B50="","",SUM(K50:N50)+SUM(P50:S50))</f>
        <v/>
      </c>
      <c r="U50" s="111" t="str">
        <f aca="false">IF($B50="","",الموظفون!$S50*IF(E50="سعودي",cfg_G_SE,cfg_G_NE)*G50/cfg_DAYS_M)</f>
        <v/>
      </c>
      <c r="V50" s="111" t="str">
        <f aca="false">IF($B50="","",SUMIFS('الحركات الشهرية'!$I$6:$I$1005,'الحركات الشهرية'!$B$6:$B$1005,$B50,'الحركات الشهرية'!$A$6:$A$1005,$C$3))</f>
        <v/>
      </c>
      <c r="W50" s="111" t="str">
        <f aca="false">IF($B50="","",SUMIFS('الحركات الشهرية'!$J$6:$J$1005,'الحركات الشهرية'!$B$6:$B$1005,$B50,'الحركات الشهرية'!$A$6:$A$1005,$C$3))</f>
        <v/>
      </c>
      <c r="X50" s="111" t="str">
        <f aca="false">IF($B50="","",SUM(U50:W50))</f>
        <v/>
      </c>
      <c r="Y50" s="153" t="str">
        <f aca="false">IF($B50="","",T50-X50)</f>
        <v/>
      </c>
      <c r="Z50" s="111" t="str">
        <f aca="false">IF($B50="","",الموظفون!$S50*IF(E50="سعودي",cfg_G_SR,cfg_G_NR)*G50/cfg_DAYS_M)</f>
        <v/>
      </c>
      <c r="AA50" s="111" t="str">
        <f aca="false">IF($B50="","",الموظفون!$Q50*(cfg_EOS_R1*(MIN(AH50,cfg_EOS_TH)-MIN(AI50,cfg_EOS_TH))+cfg_EOS_R2*(MAX(AH50-cfg_EOS_TH,0)-MAX(AI50-cfg_EOS_TH,0))))</f>
        <v/>
      </c>
      <c r="AB50" s="111" t="str">
        <f aca="false">IF($B50="","",IF(الموظفون!$T50&lt;&gt;"",الموظفون!$T50,IF(AH50&gt;=cfg_LV_TH,cfg_LV_D2,cfg_LV_D1))/cfg_DAYS_Y*AJ50*الموظفون!$R50/cfg_DAYS_M)</f>
        <v/>
      </c>
      <c r="AC50" s="111" t="str">
        <f aca="false">IF($B50="","",IF(AND(الموظفون!$U50="نعم",N(الموظفون!$W50)&gt;0),الموظفون!$V50/الموظفون!$W50*12/cfg_DAYS_Y*AJ50,0))</f>
        <v/>
      </c>
      <c r="AD50" s="111" t="str">
        <f aca="false">IF($B50="","",(IF(الموظفون!$X50&lt;&gt;"",الموظفون!$X50,IF(الموظفون!$E50="غير سعودي",cfg_IQ,0))+IF(الموظفون!$Y50&lt;&gt;"",الموظفون!$Y50,IF(الموظفون!$E50="غير سعودي",cfg_WP,0)))/12*G50/cfg_DAYS_M)</f>
        <v/>
      </c>
      <c r="AE50" s="111" t="str">
        <f aca="false">IF($B50="","",IF(الموظفون!$Z50&lt;&gt;"",الموظفون!$Z50,cfg_MED)/12*G50/cfg_DAYS_M)</f>
        <v/>
      </c>
      <c r="AF50" s="111" t="str">
        <f aca="false">IF($B50="","",N(الموظفون!$AA50)/12*G50/cfg_DAYS_M)</f>
        <v/>
      </c>
      <c r="AG50" s="154" t="str">
        <f aca="false">IF($B50="","",T50+SUM(Z50:AF50))</f>
        <v/>
      </c>
      <c r="AH50" s="155" t="str">
        <f aca="false">IF($B50="","",MAX(0,IF(OR(الموظفون!$AE50="",الموظفون!$AE50&gt;$F$3),$F$3,الموظفون!$AE50)-الموظفون!$H50+1-SUMIFS('سجل الإجازات والحالات'!$AS$6:$AS$505,'سجل الإجازات والحالات'!$B$6:$B$505,$B50))/cfg_DAYS_Y)</f>
        <v/>
      </c>
      <c r="AI50" s="155" t="str">
        <f aca="false">IF($B50="","",MAX(0,IF(OR(الموظفون!$AE50="",الموظفون!$AE50&gt;($E$3-1)),($E$3-1),الموظفون!$AE50)-الموظفون!$H50+1-SUMIFS('سجل الإجازات والحالات'!$AR$6:$AR$505,'سجل الإجازات والحالات'!$B$6:$B$505,$B50))/cfg_DAYS_Y)</f>
        <v/>
      </c>
      <c r="AJ50" s="65" t="str">
        <f aca="false">IF($B50="","",MAX(0,AK50-(SUMIFS('سجل الإجازات والحالات'!$AS$6:$AS$505,'سجل الإجازات والحالات'!$B$6:$B$505,$B50)-SUMIFS('سجل الإجازات والحالات'!$AR$6:$AR$505,'سجل الإجازات والحالات'!$B$6:$B$505,$B50))))</f>
        <v/>
      </c>
      <c r="AK50" s="65" t="str">
        <f aca="false">IF($B50="","",MAX(0,IF(OR(الموظفون!$AE50="",الموظفون!$AE50&gt;$F$3),$F$3,الموظفون!$AE50)-MAX($E$3,الموظفون!$H50)+1))</f>
        <v/>
      </c>
      <c r="AL50" s="151" t="str">
        <f aca="false">IF($B50="","",SUMIFS('سجل الإجازات والحالات'!$BE$6:$BE$505,'سجل الإجازات والحالات'!$B$6:$B$505,$B50)+SUMIFS('الحركات الشهرية'!$K$6:$K$1005,'الحركات الشهرية'!$B$6:$B$1005,$B50,'الحركات الشهرية'!$A$6:$A$1005,$C$3))</f>
        <v/>
      </c>
      <c r="AM50" s="111" t="str">
        <f aca="false">IF($B50="","",AL50*الموظفون!$R50/cfg_DAYS_M+S50)</f>
        <v/>
      </c>
      <c r="AN50" s="151" t="str">
        <f aca="false">IF($B50="","",SUMIFS('سجل الإجازات والحالات'!$AG$6:$AG$505,'سجل الإجازات والحالات'!$B$6:$B$505,$B50))</f>
        <v/>
      </c>
    </row>
    <row r="51" customFormat="false" ht="15" hidden="false" customHeight="false" outlineLevel="0" collapsed="false">
      <c r="A51" s="115" t="str">
        <f aca="false">IF($B51="","",الموظفون!$A51)</f>
        <v/>
      </c>
      <c r="B51" s="117" t="str">
        <f aca="false">IF(الموظفون!$B51="","",الموظفون!$B51)</f>
        <v/>
      </c>
      <c r="C51" s="117" t="str">
        <f aca="false">IF($B51="","",الموظفون!$C51)</f>
        <v/>
      </c>
      <c r="D51" s="117" t="str">
        <f aca="false">IF($B51="","",الموظفون!$F51)</f>
        <v/>
      </c>
      <c r="E51" s="117" t="str">
        <f aca="false">IF($B51="","",الموظفون!$E51)</f>
        <v/>
      </c>
      <c r="F51" s="117" t="str">
        <f aca="false">IF($B51="","",IF(AK51=0,IF(AND(الموظفون!$AE51&lt;&gt;"",الموظفون!$AE51&lt;$E$3),"✖ منتهي الخدمة","⏳ لم يباشر"),IF(S51&gt;0,"✈ راتب إجازة مقدم",IF(J51=0,"⛔ بدون راتب هذا الشهر",IF(I51&gt;0,"✈ خصم "&amp;ROUND(I51,2)&amp;" يوم بدون أجر",IF(AL51&gt;0,"🌴 إجازة سنوية "&amp;ROUND(AL51,2)&amp;" يوم",IF(H51&gt;0,"⚠ غياب "&amp;ROUND(H51,2)&amp;" يوم","✔ على رأس العمل")))))))</f>
        <v/>
      </c>
      <c r="G51" s="156" t="str">
        <f aca="false">IF($B51="","",IF(AK51&gt;=DAY($F$3),cfg_DAYS_M,MIN(AK51,cfg_DAYS_M)))</f>
        <v/>
      </c>
      <c r="H51" s="156" t="str">
        <f aca="false">IF($B51="","",SUMIFS('الحركات الشهرية'!$D$6:$D$1005,'الحركات الشهرية'!$B$6:$B$1005,$B51,'الحركات الشهرية'!$A$6:$A$1005,$C$3))</f>
        <v/>
      </c>
      <c r="I51" s="156" t="str">
        <f aca="false">IF($B51="","",MIN(G51,IF(AND(AK51&gt;0,AN51&gt;=AK51),G51,AN51)+SUMIFS('الحركات الشهرية'!$E$6:$E$1005,'الحركات الشهرية'!$B$6:$B$1005,$B51,'الحركات الشهرية'!$A$6:$A$1005,$C$3)))</f>
        <v/>
      </c>
      <c r="J51" s="156" t="str">
        <f aca="false">IF($B51="","",MAX(0,G51-H51-I51))</f>
        <v/>
      </c>
      <c r="K51" s="116" t="str">
        <f aca="false">IF($B51="","",الموظفون!$L51*$J51/cfg_DAYS_M)</f>
        <v/>
      </c>
      <c r="L51" s="116" t="str">
        <f aca="false">IF($B51="","",الموظفون!$M51*$J51/cfg_DAYS_M)</f>
        <v/>
      </c>
      <c r="M51" s="116" t="str">
        <f aca="false">IF($B51="","",الموظفون!$N51*$J51/cfg_DAYS_M)</f>
        <v/>
      </c>
      <c r="N51" s="116" t="str">
        <f aca="false">IF($B51="","",الموظفون!$O51*$J51/cfg_DAYS_M)</f>
        <v/>
      </c>
      <c r="O51" s="156" t="str">
        <f aca="false">IF($B51="","",SUMIFS('الحركات الشهرية'!$F$6:$F$1005,'الحركات الشهرية'!$B$6:$B$1005,$B51,'الحركات الشهرية'!$A$6:$A$1005,$C$3))</f>
        <v/>
      </c>
      <c r="P51" s="116" t="str">
        <f aca="false">IF($B51="","",O51*(الموظفون!$P51+الموظفون!$L51*cfg_OT_P)/cfg_DAYS_M/cfg_HRS)</f>
        <v/>
      </c>
      <c r="Q51" s="116" t="str">
        <f aca="false">IF($B51="","",SUMIFS('الحركات الشهرية'!$G$6:$G$1005,'الحركات الشهرية'!$B$6:$B$1005,$B51,'الحركات الشهرية'!$A$6:$A$1005,$C$3))</f>
        <v/>
      </c>
      <c r="R51" s="116" t="str">
        <f aca="false">IF($B51="","",SUMIFS('الحركات الشهرية'!$H$6:$H$1005,'الحركات الشهرية'!$B$6:$B$1005,$B51,'الحركات الشهرية'!$A$6:$A$1005,$C$3))</f>
        <v/>
      </c>
      <c r="S51" s="116" t="str">
        <f aca="false">IF($B51="","",SUMIFS('سجل الإجازات والحالات'!$N$6:$N$505,'سجل الإجازات والحالات'!$B$6:$B$505,$B51,'سجل الإجازات والحالات'!$O$6:$O$505,$C$3))</f>
        <v/>
      </c>
      <c r="T51" s="157" t="str">
        <f aca="false">IF($B51="","",SUM(K51:N51)+SUM(P51:S51))</f>
        <v/>
      </c>
      <c r="U51" s="116" t="str">
        <f aca="false">IF($B51="","",الموظفون!$S51*IF(E51="سعودي",cfg_G_SE,cfg_G_NE)*G51/cfg_DAYS_M)</f>
        <v/>
      </c>
      <c r="V51" s="116" t="str">
        <f aca="false">IF($B51="","",SUMIFS('الحركات الشهرية'!$I$6:$I$1005,'الحركات الشهرية'!$B$6:$B$1005,$B51,'الحركات الشهرية'!$A$6:$A$1005,$C$3))</f>
        <v/>
      </c>
      <c r="W51" s="116" t="str">
        <f aca="false">IF($B51="","",SUMIFS('الحركات الشهرية'!$J$6:$J$1005,'الحركات الشهرية'!$B$6:$B$1005,$B51,'الحركات الشهرية'!$A$6:$A$1005,$C$3))</f>
        <v/>
      </c>
      <c r="X51" s="116" t="str">
        <f aca="false">IF($B51="","",SUM(U51:W51))</f>
        <v/>
      </c>
      <c r="Y51" s="158" t="str">
        <f aca="false">IF($B51="","",T51-X51)</f>
        <v/>
      </c>
      <c r="Z51" s="116" t="str">
        <f aca="false">IF($B51="","",الموظفون!$S51*IF(E51="سعودي",cfg_G_SR,cfg_G_NR)*G51/cfg_DAYS_M)</f>
        <v/>
      </c>
      <c r="AA51" s="116" t="str">
        <f aca="false">IF($B51="","",الموظفون!$Q51*(cfg_EOS_R1*(MIN(AH51,cfg_EOS_TH)-MIN(AI51,cfg_EOS_TH))+cfg_EOS_R2*(MAX(AH51-cfg_EOS_TH,0)-MAX(AI51-cfg_EOS_TH,0))))</f>
        <v/>
      </c>
      <c r="AB51" s="116" t="str">
        <f aca="false">IF($B51="","",IF(الموظفون!$T51&lt;&gt;"",الموظفون!$T51,IF(AH51&gt;=cfg_LV_TH,cfg_LV_D2,cfg_LV_D1))/cfg_DAYS_Y*AJ51*الموظفون!$R51/cfg_DAYS_M)</f>
        <v/>
      </c>
      <c r="AC51" s="116" t="str">
        <f aca="false">IF($B51="","",IF(AND(الموظفون!$U51="نعم",N(الموظفون!$W51)&gt;0),الموظفون!$V51/الموظفون!$W51*12/cfg_DAYS_Y*AJ51,0))</f>
        <v/>
      </c>
      <c r="AD51" s="116" t="str">
        <f aca="false">IF($B51="","",(IF(الموظفون!$X51&lt;&gt;"",الموظفون!$X51,IF(الموظفون!$E51="غير سعودي",cfg_IQ,0))+IF(الموظفون!$Y51&lt;&gt;"",الموظفون!$Y51,IF(الموظفون!$E51="غير سعودي",cfg_WP,0)))/12*G51/cfg_DAYS_M)</f>
        <v/>
      </c>
      <c r="AE51" s="116" t="str">
        <f aca="false">IF($B51="","",IF(الموظفون!$Z51&lt;&gt;"",الموظفون!$Z51,cfg_MED)/12*G51/cfg_DAYS_M)</f>
        <v/>
      </c>
      <c r="AF51" s="116" t="str">
        <f aca="false">IF($B51="","",N(الموظفون!$AA51)/12*G51/cfg_DAYS_M)</f>
        <v/>
      </c>
      <c r="AG51" s="159" t="str">
        <f aca="false">IF($B51="","",T51+SUM(Z51:AF51))</f>
        <v/>
      </c>
      <c r="AH51" s="160" t="str">
        <f aca="false">IF($B51="","",MAX(0,IF(OR(الموظفون!$AE51="",الموظفون!$AE51&gt;$F$3),$F$3,الموظفون!$AE51)-الموظفون!$H51+1-SUMIFS('سجل الإجازات والحالات'!$AS$6:$AS$505,'سجل الإجازات والحالات'!$B$6:$B$505,$B51))/cfg_DAYS_Y)</f>
        <v/>
      </c>
      <c r="AI51" s="160" t="str">
        <f aca="false">IF($B51="","",MAX(0,IF(OR(الموظفون!$AE51="",الموظفون!$AE51&gt;($E$3-1)),($E$3-1),الموظفون!$AE51)-الموظفون!$H51+1-SUMIFS('سجل الإجازات والحالات'!$AR$6:$AR$505,'سجل الإجازات والحالات'!$B$6:$B$505,$B51))/cfg_DAYS_Y)</f>
        <v/>
      </c>
      <c r="AJ51" s="133" t="str">
        <f aca="false">IF($B51="","",MAX(0,AK51-(SUMIFS('سجل الإجازات والحالات'!$AS$6:$AS$505,'سجل الإجازات والحالات'!$B$6:$B$505,$B51)-SUMIFS('سجل الإجازات والحالات'!$AR$6:$AR$505,'سجل الإجازات والحالات'!$B$6:$B$505,$B51))))</f>
        <v/>
      </c>
      <c r="AK51" s="133" t="str">
        <f aca="false">IF($B51="","",MAX(0,IF(OR(الموظفون!$AE51="",الموظفون!$AE51&gt;$F$3),$F$3,الموظفون!$AE51)-MAX($E$3,الموظفون!$H51)+1))</f>
        <v/>
      </c>
      <c r="AL51" s="156" t="str">
        <f aca="false">IF($B51="","",SUMIFS('سجل الإجازات والحالات'!$BE$6:$BE$505,'سجل الإجازات والحالات'!$B$6:$B$505,$B51)+SUMIFS('الحركات الشهرية'!$K$6:$K$1005,'الحركات الشهرية'!$B$6:$B$1005,$B51,'الحركات الشهرية'!$A$6:$A$1005,$C$3))</f>
        <v/>
      </c>
      <c r="AM51" s="116" t="str">
        <f aca="false">IF($B51="","",AL51*الموظفون!$R51/cfg_DAYS_M+S51)</f>
        <v/>
      </c>
      <c r="AN51" s="156" t="str">
        <f aca="false">IF($B51="","",SUMIFS('سجل الإجازات والحالات'!$AG$6:$AG$505,'سجل الإجازات والحالات'!$B$6:$B$505,$B51))</f>
        <v/>
      </c>
    </row>
    <row r="52" customFormat="false" ht="15" hidden="false" customHeight="false" outlineLevel="0" collapsed="false">
      <c r="A52" s="106" t="str">
        <f aca="false">IF($B52="","",الموظفون!$A52)</f>
        <v/>
      </c>
      <c r="B52" s="114" t="str">
        <f aca="false">IF(الموظفون!$B52="","",الموظفون!$B52)</f>
        <v/>
      </c>
      <c r="C52" s="114" t="str">
        <f aca="false">IF($B52="","",الموظفون!$C52)</f>
        <v/>
      </c>
      <c r="D52" s="114" t="str">
        <f aca="false">IF($B52="","",الموظفون!$F52)</f>
        <v/>
      </c>
      <c r="E52" s="114" t="str">
        <f aca="false">IF($B52="","",الموظفون!$E52)</f>
        <v/>
      </c>
      <c r="F52" s="114" t="str">
        <f aca="false">IF($B52="","",IF(AK52=0,IF(AND(الموظفون!$AE52&lt;&gt;"",الموظفون!$AE52&lt;$E$3),"✖ منتهي الخدمة","⏳ لم يباشر"),IF(S52&gt;0,"✈ راتب إجازة مقدم",IF(J52=0,"⛔ بدون راتب هذا الشهر",IF(I52&gt;0,"✈ خصم "&amp;ROUND(I52,2)&amp;" يوم بدون أجر",IF(AL52&gt;0,"🌴 إجازة سنوية "&amp;ROUND(AL52,2)&amp;" يوم",IF(H52&gt;0,"⚠ غياب "&amp;ROUND(H52,2)&amp;" يوم","✔ على رأس العمل")))))))</f>
        <v/>
      </c>
      <c r="G52" s="151" t="str">
        <f aca="false">IF($B52="","",IF(AK52&gt;=DAY($F$3),cfg_DAYS_M,MIN(AK52,cfg_DAYS_M)))</f>
        <v/>
      </c>
      <c r="H52" s="151" t="str">
        <f aca="false">IF($B52="","",SUMIFS('الحركات الشهرية'!$D$6:$D$1005,'الحركات الشهرية'!$B$6:$B$1005,$B52,'الحركات الشهرية'!$A$6:$A$1005,$C$3))</f>
        <v/>
      </c>
      <c r="I52" s="151" t="str">
        <f aca="false">IF($B52="","",MIN(G52,IF(AND(AK52&gt;0,AN52&gt;=AK52),G52,AN52)+SUMIFS('الحركات الشهرية'!$E$6:$E$1005,'الحركات الشهرية'!$B$6:$B$1005,$B52,'الحركات الشهرية'!$A$6:$A$1005,$C$3)))</f>
        <v/>
      </c>
      <c r="J52" s="151" t="str">
        <f aca="false">IF($B52="","",MAX(0,G52-H52-I52))</f>
        <v/>
      </c>
      <c r="K52" s="111" t="str">
        <f aca="false">IF($B52="","",الموظفون!$L52*$J52/cfg_DAYS_M)</f>
        <v/>
      </c>
      <c r="L52" s="111" t="str">
        <f aca="false">IF($B52="","",الموظفون!$M52*$J52/cfg_DAYS_M)</f>
        <v/>
      </c>
      <c r="M52" s="111" t="str">
        <f aca="false">IF($B52="","",الموظفون!$N52*$J52/cfg_DAYS_M)</f>
        <v/>
      </c>
      <c r="N52" s="111" t="str">
        <f aca="false">IF($B52="","",الموظفون!$O52*$J52/cfg_DAYS_M)</f>
        <v/>
      </c>
      <c r="O52" s="151" t="str">
        <f aca="false">IF($B52="","",SUMIFS('الحركات الشهرية'!$F$6:$F$1005,'الحركات الشهرية'!$B$6:$B$1005,$B52,'الحركات الشهرية'!$A$6:$A$1005,$C$3))</f>
        <v/>
      </c>
      <c r="P52" s="111" t="str">
        <f aca="false">IF($B52="","",O52*(الموظفون!$P52+الموظفون!$L52*cfg_OT_P)/cfg_DAYS_M/cfg_HRS)</f>
        <v/>
      </c>
      <c r="Q52" s="111" t="str">
        <f aca="false">IF($B52="","",SUMIFS('الحركات الشهرية'!$G$6:$G$1005,'الحركات الشهرية'!$B$6:$B$1005,$B52,'الحركات الشهرية'!$A$6:$A$1005,$C$3))</f>
        <v/>
      </c>
      <c r="R52" s="111" t="str">
        <f aca="false">IF($B52="","",SUMIFS('الحركات الشهرية'!$H$6:$H$1005,'الحركات الشهرية'!$B$6:$B$1005,$B52,'الحركات الشهرية'!$A$6:$A$1005,$C$3))</f>
        <v/>
      </c>
      <c r="S52" s="111" t="str">
        <f aca="false">IF($B52="","",SUMIFS('سجل الإجازات والحالات'!$N$6:$N$505,'سجل الإجازات والحالات'!$B$6:$B$505,$B52,'سجل الإجازات والحالات'!$O$6:$O$505,$C$3))</f>
        <v/>
      </c>
      <c r="T52" s="152" t="str">
        <f aca="false">IF($B52="","",SUM(K52:N52)+SUM(P52:S52))</f>
        <v/>
      </c>
      <c r="U52" s="111" t="str">
        <f aca="false">IF($B52="","",الموظفون!$S52*IF(E52="سعودي",cfg_G_SE,cfg_G_NE)*G52/cfg_DAYS_M)</f>
        <v/>
      </c>
      <c r="V52" s="111" t="str">
        <f aca="false">IF($B52="","",SUMIFS('الحركات الشهرية'!$I$6:$I$1005,'الحركات الشهرية'!$B$6:$B$1005,$B52,'الحركات الشهرية'!$A$6:$A$1005,$C$3))</f>
        <v/>
      </c>
      <c r="W52" s="111" t="str">
        <f aca="false">IF($B52="","",SUMIFS('الحركات الشهرية'!$J$6:$J$1005,'الحركات الشهرية'!$B$6:$B$1005,$B52,'الحركات الشهرية'!$A$6:$A$1005,$C$3))</f>
        <v/>
      </c>
      <c r="X52" s="111" t="str">
        <f aca="false">IF($B52="","",SUM(U52:W52))</f>
        <v/>
      </c>
      <c r="Y52" s="153" t="str">
        <f aca="false">IF($B52="","",T52-X52)</f>
        <v/>
      </c>
      <c r="Z52" s="111" t="str">
        <f aca="false">IF($B52="","",الموظفون!$S52*IF(E52="سعودي",cfg_G_SR,cfg_G_NR)*G52/cfg_DAYS_M)</f>
        <v/>
      </c>
      <c r="AA52" s="111" t="str">
        <f aca="false">IF($B52="","",الموظفون!$Q52*(cfg_EOS_R1*(MIN(AH52,cfg_EOS_TH)-MIN(AI52,cfg_EOS_TH))+cfg_EOS_R2*(MAX(AH52-cfg_EOS_TH,0)-MAX(AI52-cfg_EOS_TH,0))))</f>
        <v/>
      </c>
      <c r="AB52" s="111" t="str">
        <f aca="false">IF($B52="","",IF(الموظفون!$T52&lt;&gt;"",الموظفون!$T52,IF(AH52&gt;=cfg_LV_TH,cfg_LV_D2,cfg_LV_D1))/cfg_DAYS_Y*AJ52*الموظفون!$R52/cfg_DAYS_M)</f>
        <v/>
      </c>
      <c r="AC52" s="111" t="str">
        <f aca="false">IF($B52="","",IF(AND(الموظفون!$U52="نعم",N(الموظفون!$W52)&gt;0),الموظفون!$V52/الموظفون!$W52*12/cfg_DAYS_Y*AJ52,0))</f>
        <v/>
      </c>
      <c r="AD52" s="111" t="str">
        <f aca="false">IF($B52="","",(IF(الموظفون!$X52&lt;&gt;"",الموظفون!$X52,IF(الموظفون!$E52="غير سعودي",cfg_IQ,0))+IF(الموظفون!$Y52&lt;&gt;"",الموظفون!$Y52,IF(الموظفون!$E52="غير سعودي",cfg_WP,0)))/12*G52/cfg_DAYS_M)</f>
        <v/>
      </c>
      <c r="AE52" s="111" t="str">
        <f aca="false">IF($B52="","",IF(الموظفون!$Z52&lt;&gt;"",الموظفون!$Z52,cfg_MED)/12*G52/cfg_DAYS_M)</f>
        <v/>
      </c>
      <c r="AF52" s="111" t="str">
        <f aca="false">IF($B52="","",N(الموظفون!$AA52)/12*G52/cfg_DAYS_M)</f>
        <v/>
      </c>
      <c r="AG52" s="154" t="str">
        <f aca="false">IF($B52="","",T52+SUM(Z52:AF52))</f>
        <v/>
      </c>
      <c r="AH52" s="155" t="str">
        <f aca="false">IF($B52="","",MAX(0,IF(OR(الموظفون!$AE52="",الموظفون!$AE52&gt;$F$3),$F$3,الموظفون!$AE52)-الموظفون!$H52+1-SUMIFS('سجل الإجازات والحالات'!$AS$6:$AS$505,'سجل الإجازات والحالات'!$B$6:$B$505,$B52))/cfg_DAYS_Y)</f>
        <v/>
      </c>
      <c r="AI52" s="155" t="str">
        <f aca="false">IF($B52="","",MAX(0,IF(OR(الموظفون!$AE52="",الموظفون!$AE52&gt;($E$3-1)),($E$3-1),الموظفون!$AE52)-الموظفون!$H52+1-SUMIFS('سجل الإجازات والحالات'!$AR$6:$AR$505,'سجل الإجازات والحالات'!$B$6:$B$505,$B52))/cfg_DAYS_Y)</f>
        <v/>
      </c>
      <c r="AJ52" s="65" t="str">
        <f aca="false">IF($B52="","",MAX(0,AK52-(SUMIFS('سجل الإجازات والحالات'!$AS$6:$AS$505,'سجل الإجازات والحالات'!$B$6:$B$505,$B52)-SUMIFS('سجل الإجازات والحالات'!$AR$6:$AR$505,'سجل الإجازات والحالات'!$B$6:$B$505,$B52))))</f>
        <v/>
      </c>
      <c r="AK52" s="65" t="str">
        <f aca="false">IF($B52="","",MAX(0,IF(OR(الموظفون!$AE52="",الموظفون!$AE52&gt;$F$3),$F$3,الموظفون!$AE52)-MAX($E$3,الموظفون!$H52)+1))</f>
        <v/>
      </c>
      <c r="AL52" s="151" t="str">
        <f aca="false">IF($B52="","",SUMIFS('سجل الإجازات والحالات'!$BE$6:$BE$505,'سجل الإجازات والحالات'!$B$6:$B$505,$B52)+SUMIFS('الحركات الشهرية'!$K$6:$K$1005,'الحركات الشهرية'!$B$6:$B$1005,$B52,'الحركات الشهرية'!$A$6:$A$1005,$C$3))</f>
        <v/>
      </c>
      <c r="AM52" s="111" t="str">
        <f aca="false">IF($B52="","",AL52*الموظفون!$R52/cfg_DAYS_M+S52)</f>
        <v/>
      </c>
      <c r="AN52" s="151" t="str">
        <f aca="false">IF($B52="","",SUMIFS('سجل الإجازات والحالات'!$AG$6:$AG$505,'سجل الإجازات والحالات'!$B$6:$B$505,$B52))</f>
        <v/>
      </c>
    </row>
    <row r="53" customFormat="false" ht="15" hidden="false" customHeight="false" outlineLevel="0" collapsed="false">
      <c r="A53" s="115" t="str">
        <f aca="false">IF($B53="","",الموظفون!$A53)</f>
        <v/>
      </c>
      <c r="B53" s="117" t="str">
        <f aca="false">IF(الموظفون!$B53="","",الموظفون!$B53)</f>
        <v/>
      </c>
      <c r="C53" s="117" t="str">
        <f aca="false">IF($B53="","",الموظفون!$C53)</f>
        <v/>
      </c>
      <c r="D53" s="117" t="str">
        <f aca="false">IF($B53="","",الموظفون!$F53)</f>
        <v/>
      </c>
      <c r="E53" s="117" t="str">
        <f aca="false">IF($B53="","",الموظفون!$E53)</f>
        <v/>
      </c>
      <c r="F53" s="117" t="str">
        <f aca="false">IF($B53="","",IF(AK53=0,IF(AND(الموظفون!$AE53&lt;&gt;"",الموظفون!$AE53&lt;$E$3),"✖ منتهي الخدمة","⏳ لم يباشر"),IF(S53&gt;0,"✈ راتب إجازة مقدم",IF(J53=0,"⛔ بدون راتب هذا الشهر",IF(I53&gt;0,"✈ خصم "&amp;ROUND(I53,2)&amp;" يوم بدون أجر",IF(AL53&gt;0,"🌴 إجازة سنوية "&amp;ROUND(AL53,2)&amp;" يوم",IF(H53&gt;0,"⚠ غياب "&amp;ROUND(H53,2)&amp;" يوم","✔ على رأس العمل")))))))</f>
        <v/>
      </c>
      <c r="G53" s="156" t="str">
        <f aca="false">IF($B53="","",IF(AK53&gt;=DAY($F$3),cfg_DAYS_M,MIN(AK53,cfg_DAYS_M)))</f>
        <v/>
      </c>
      <c r="H53" s="156" t="str">
        <f aca="false">IF($B53="","",SUMIFS('الحركات الشهرية'!$D$6:$D$1005,'الحركات الشهرية'!$B$6:$B$1005,$B53,'الحركات الشهرية'!$A$6:$A$1005,$C$3))</f>
        <v/>
      </c>
      <c r="I53" s="156" t="str">
        <f aca="false">IF($B53="","",MIN(G53,IF(AND(AK53&gt;0,AN53&gt;=AK53),G53,AN53)+SUMIFS('الحركات الشهرية'!$E$6:$E$1005,'الحركات الشهرية'!$B$6:$B$1005,$B53,'الحركات الشهرية'!$A$6:$A$1005,$C$3)))</f>
        <v/>
      </c>
      <c r="J53" s="156" t="str">
        <f aca="false">IF($B53="","",MAX(0,G53-H53-I53))</f>
        <v/>
      </c>
      <c r="K53" s="116" t="str">
        <f aca="false">IF($B53="","",الموظفون!$L53*$J53/cfg_DAYS_M)</f>
        <v/>
      </c>
      <c r="L53" s="116" t="str">
        <f aca="false">IF($B53="","",الموظفون!$M53*$J53/cfg_DAYS_M)</f>
        <v/>
      </c>
      <c r="M53" s="116" t="str">
        <f aca="false">IF($B53="","",الموظفون!$N53*$J53/cfg_DAYS_M)</f>
        <v/>
      </c>
      <c r="N53" s="116" t="str">
        <f aca="false">IF($B53="","",الموظفون!$O53*$J53/cfg_DAYS_M)</f>
        <v/>
      </c>
      <c r="O53" s="156" t="str">
        <f aca="false">IF($B53="","",SUMIFS('الحركات الشهرية'!$F$6:$F$1005,'الحركات الشهرية'!$B$6:$B$1005,$B53,'الحركات الشهرية'!$A$6:$A$1005,$C$3))</f>
        <v/>
      </c>
      <c r="P53" s="116" t="str">
        <f aca="false">IF($B53="","",O53*(الموظفون!$P53+الموظفون!$L53*cfg_OT_P)/cfg_DAYS_M/cfg_HRS)</f>
        <v/>
      </c>
      <c r="Q53" s="116" t="str">
        <f aca="false">IF($B53="","",SUMIFS('الحركات الشهرية'!$G$6:$G$1005,'الحركات الشهرية'!$B$6:$B$1005,$B53,'الحركات الشهرية'!$A$6:$A$1005,$C$3))</f>
        <v/>
      </c>
      <c r="R53" s="116" t="str">
        <f aca="false">IF($B53="","",SUMIFS('الحركات الشهرية'!$H$6:$H$1005,'الحركات الشهرية'!$B$6:$B$1005,$B53,'الحركات الشهرية'!$A$6:$A$1005,$C$3))</f>
        <v/>
      </c>
      <c r="S53" s="116" t="str">
        <f aca="false">IF($B53="","",SUMIFS('سجل الإجازات والحالات'!$N$6:$N$505,'سجل الإجازات والحالات'!$B$6:$B$505,$B53,'سجل الإجازات والحالات'!$O$6:$O$505,$C$3))</f>
        <v/>
      </c>
      <c r="T53" s="157" t="str">
        <f aca="false">IF($B53="","",SUM(K53:N53)+SUM(P53:S53))</f>
        <v/>
      </c>
      <c r="U53" s="116" t="str">
        <f aca="false">IF($B53="","",الموظفون!$S53*IF(E53="سعودي",cfg_G_SE,cfg_G_NE)*G53/cfg_DAYS_M)</f>
        <v/>
      </c>
      <c r="V53" s="116" t="str">
        <f aca="false">IF($B53="","",SUMIFS('الحركات الشهرية'!$I$6:$I$1005,'الحركات الشهرية'!$B$6:$B$1005,$B53,'الحركات الشهرية'!$A$6:$A$1005,$C$3))</f>
        <v/>
      </c>
      <c r="W53" s="116" t="str">
        <f aca="false">IF($B53="","",SUMIFS('الحركات الشهرية'!$J$6:$J$1005,'الحركات الشهرية'!$B$6:$B$1005,$B53,'الحركات الشهرية'!$A$6:$A$1005,$C$3))</f>
        <v/>
      </c>
      <c r="X53" s="116" t="str">
        <f aca="false">IF($B53="","",SUM(U53:W53))</f>
        <v/>
      </c>
      <c r="Y53" s="158" t="str">
        <f aca="false">IF($B53="","",T53-X53)</f>
        <v/>
      </c>
      <c r="Z53" s="116" t="str">
        <f aca="false">IF($B53="","",الموظفون!$S53*IF(E53="سعودي",cfg_G_SR,cfg_G_NR)*G53/cfg_DAYS_M)</f>
        <v/>
      </c>
      <c r="AA53" s="116" t="str">
        <f aca="false">IF($B53="","",الموظفون!$Q53*(cfg_EOS_R1*(MIN(AH53,cfg_EOS_TH)-MIN(AI53,cfg_EOS_TH))+cfg_EOS_R2*(MAX(AH53-cfg_EOS_TH,0)-MAX(AI53-cfg_EOS_TH,0))))</f>
        <v/>
      </c>
      <c r="AB53" s="116" t="str">
        <f aca="false">IF($B53="","",IF(الموظفون!$T53&lt;&gt;"",الموظفون!$T53,IF(AH53&gt;=cfg_LV_TH,cfg_LV_D2,cfg_LV_D1))/cfg_DAYS_Y*AJ53*الموظفون!$R53/cfg_DAYS_M)</f>
        <v/>
      </c>
      <c r="AC53" s="116" t="str">
        <f aca="false">IF($B53="","",IF(AND(الموظفون!$U53="نعم",N(الموظفون!$W53)&gt;0),الموظفون!$V53/الموظفون!$W53*12/cfg_DAYS_Y*AJ53,0))</f>
        <v/>
      </c>
      <c r="AD53" s="116" t="str">
        <f aca="false">IF($B53="","",(IF(الموظفون!$X53&lt;&gt;"",الموظفون!$X53,IF(الموظفون!$E53="غير سعودي",cfg_IQ,0))+IF(الموظفون!$Y53&lt;&gt;"",الموظفون!$Y53,IF(الموظفون!$E53="غير سعودي",cfg_WP,0)))/12*G53/cfg_DAYS_M)</f>
        <v/>
      </c>
      <c r="AE53" s="116" t="str">
        <f aca="false">IF($B53="","",IF(الموظفون!$Z53&lt;&gt;"",الموظفون!$Z53,cfg_MED)/12*G53/cfg_DAYS_M)</f>
        <v/>
      </c>
      <c r="AF53" s="116" t="str">
        <f aca="false">IF($B53="","",N(الموظفون!$AA53)/12*G53/cfg_DAYS_M)</f>
        <v/>
      </c>
      <c r="AG53" s="159" t="str">
        <f aca="false">IF($B53="","",T53+SUM(Z53:AF53))</f>
        <v/>
      </c>
      <c r="AH53" s="160" t="str">
        <f aca="false">IF($B53="","",MAX(0,IF(OR(الموظفون!$AE53="",الموظفون!$AE53&gt;$F$3),$F$3,الموظفون!$AE53)-الموظفون!$H53+1-SUMIFS('سجل الإجازات والحالات'!$AS$6:$AS$505,'سجل الإجازات والحالات'!$B$6:$B$505,$B53))/cfg_DAYS_Y)</f>
        <v/>
      </c>
      <c r="AI53" s="160" t="str">
        <f aca="false">IF($B53="","",MAX(0,IF(OR(الموظفون!$AE53="",الموظفون!$AE53&gt;($E$3-1)),($E$3-1),الموظفون!$AE53)-الموظفون!$H53+1-SUMIFS('سجل الإجازات والحالات'!$AR$6:$AR$505,'سجل الإجازات والحالات'!$B$6:$B$505,$B53))/cfg_DAYS_Y)</f>
        <v/>
      </c>
      <c r="AJ53" s="133" t="str">
        <f aca="false">IF($B53="","",MAX(0,AK53-(SUMIFS('سجل الإجازات والحالات'!$AS$6:$AS$505,'سجل الإجازات والحالات'!$B$6:$B$505,$B53)-SUMIFS('سجل الإجازات والحالات'!$AR$6:$AR$505,'سجل الإجازات والحالات'!$B$6:$B$505,$B53))))</f>
        <v/>
      </c>
      <c r="AK53" s="133" t="str">
        <f aca="false">IF($B53="","",MAX(0,IF(OR(الموظفون!$AE53="",الموظفون!$AE53&gt;$F$3),$F$3,الموظفون!$AE53)-MAX($E$3,الموظفون!$H53)+1))</f>
        <v/>
      </c>
      <c r="AL53" s="156" t="str">
        <f aca="false">IF($B53="","",SUMIFS('سجل الإجازات والحالات'!$BE$6:$BE$505,'سجل الإجازات والحالات'!$B$6:$B$505,$B53)+SUMIFS('الحركات الشهرية'!$K$6:$K$1005,'الحركات الشهرية'!$B$6:$B$1005,$B53,'الحركات الشهرية'!$A$6:$A$1005,$C$3))</f>
        <v/>
      </c>
      <c r="AM53" s="116" t="str">
        <f aca="false">IF($B53="","",AL53*الموظفون!$R53/cfg_DAYS_M+S53)</f>
        <v/>
      </c>
      <c r="AN53" s="156" t="str">
        <f aca="false">IF($B53="","",SUMIFS('سجل الإجازات والحالات'!$AG$6:$AG$505,'سجل الإجازات والحالات'!$B$6:$B$505,$B53))</f>
        <v/>
      </c>
    </row>
    <row r="54" customFormat="false" ht="15" hidden="false" customHeight="false" outlineLevel="0" collapsed="false">
      <c r="A54" s="106" t="str">
        <f aca="false">IF($B54="","",الموظفون!$A54)</f>
        <v/>
      </c>
      <c r="B54" s="114" t="str">
        <f aca="false">IF(الموظفون!$B54="","",الموظفون!$B54)</f>
        <v/>
      </c>
      <c r="C54" s="114" t="str">
        <f aca="false">IF($B54="","",الموظفون!$C54)</f>
        <v/>
      </c>
      <c r="D54" s="114" t="str">
        <f aca="false">IF($B54="","",الموظفون!$F54)</f>
        <v/>
      </c>
      <c r="E54" s="114" t="str">
        <f aca="false">IF($B54="","",الموظفون!$E54)</f>
        <v/>
      </c>
      <c r="F54" s="114" t="str">
        <f aca="false">IF($B54="","",IF(AK54=0,IF(AND(الموظفون!$AE54&lt;&gt;"",الموظفون!$AE54&lt;$E$3),"✖ منتهي الخدمة","⏳ لم يباشر"),IF(S54&gt;0,"✈ راتب إجازة مقدم",IF(J54=0,"⛔ بدون راتب هذا الشهر",IF(I54&gt;0,"✈ خصم "&amp;ROUND(I54,2)&amp;" يوم بدون أجر",IF(AL54&gt;0,"🌴 إجازة سنوية "&amp;ROUND(AL54,2)&amp;" يوم",IF(H54&gt;0,"⚠ غياب "&amp;ROUND(H54,2)&amp;" يوم","✔ على رأس العمل")))))))</f>
        <v/>
      </c>
      <c r="G54" s="151" t="str">
        <f aca="false">IF($B54="","",IF(AK54&gt;=DAY($F$3),cfg_DAYS_M,MIN(AK54,cfg_DAYS_M)))</f>
        <v/>
      </c>
      <c r="H54" s="151" t="str">
        <f aca="false">IF($B54="","",SUMIFS('الحركات الشهرية'!$D$6:$D$1005,'الحركات الشهرية'!$B$6:$B$1005,$B54,'الحركات الشهرية'!$A$6:$A$1005,$C$3))</f>
        <v/>
      </c>
      <c r="I54" s="151" t="str">
        <f aca="false">IF($B54="","",MIN(G54,IF(AND(AK54&gt;0,AN54&gt;=AK54),G54,AN54)+SUMIFS('الحركات الشهرية'!$E$6:$E$1005,'الحركات الشهرية'!$B$6:$B$1005,$B54,'الحركات الشهرية'!$A$6:$A$1005,$C$3)))</f>
        <v/>
      </c>
      <c r="J54" s="151" t="str">
        <f aca="false">IF($B54="","",MAX(0,G54-H54-I54))</f>
        <v/>
      </c>
      <c r="K54" s="111" t="str">
        <f aca="false">IF($B54="","",الموظفون!$L54*$J54/cfg_DAYS_M)</f>
        <v/>
      </c>
      <c r="L54" s="111" t="str">
        <f aca="false">IF($B54="","",الموظفون!$M54*$J54/cfg_DAYS_M)</f>
        <v/>
      </c>
      <c r="M54" s="111" t="str">
        <f aca="false">IF($B54="","",الموظفون!$N54*$J54/cfg_DAYS_M)</f>
        <v/>
      </c>
      <c r="N54" s="111" t="str">
        <f aca="false">IF($B54="","",الموظفون!$O54*$J54/cfg_DAYS_M)</f>
        <v/>
      </c>
      <c r="O54" s="151" t="str">
        <f aca="false">IF($B54="","",SUMIFS('الحركات الشهرية'!$F$6:$F$1005,'الحركات الشهرية'!$B$6:$B$1005,$B54,'الحركات الشهرية'!$A$6:$A$1005,$C$3))</f>
        <v/>
      </c>
      <c r="P54" s="111" t="str">
        <f aca="false">IF($B54="","",O54*(الموظفون!$P54+الموظفون!$L54*cfg_OT_P)/cfg_DAYS_M/cfg_HRS)</f>
        <v/>
      </c>
      <c r="Q54" s="111" t="str">
        <f aca="false">IF($B54="","",SUMIFS('الحركات الشهرية'!$G$6:$G$1005,'الحركات الشهرية'!$B$6:$B$1005,$B54,'الحركات الشهرية'!$A$6:$A$1005,$C$3))</f>
        <v/>
      </c>
      <c r="R54" s="111" t="str">
        <f aca="false">IF($B54="","",SUMIFS('الحركات الشهرية'!$H$6:$H$1005,'الحركات الشهرية'!$B$6:$B$1005,$B54,'الحركات الشهرية'!$A$6:$A$1005,$C$3))</f>
        <v/>
      </c>
      <c r="S54" s="111" t="str">
        <f aca="false">IF($B54="","",SUMIFS('سجل الإجازات والحالات'!$N$6:$N$505,'سجل الإجازات والحالات'!$B$6:$B$505,$B54,'سجل الإجازات والحالات'!$O$6:$O$505,$C$3))</f>
        <v/>
      </c>
      <c r="T54" s="152" t="str">
        <f aca="false">IF($B54="","",SUM(K54:N54)+SUM(P54:S54))</f>
        <v/>
      </c>
      <c r="U54" s="111" t="str">
        <f aca="false">IF($B54="","",الموظفون!$S54*IF(E54="سعودي",cfg_G_SE,cfg_G_NE)*G54/cfg_DAYS_M)</f>
        <v/>
      </c>
      <c r="V54" s="111" t="str">
        <f aca="false">IF($B54="","",SUMIFS('الحركات الشهرية'!$I$6:$I$1005,'الحركات الشهرية'!$B$6:$B$1005,$B54,'الحركات الشهرية'!$A$6:$A$1005,$C$3))</f>
        <v/>
      </c>
      <c r="W54" s="111" t="str">
        <f aca="false">IF($B54="","",SUMIFS('الحركات الشهرية'!$J$6:$J$1005,'الحركات الشهرية'!$B$6:$B$1005,$B54,'الحركات الشهرية'!$A$6:$A$1005,$C$3))</f>
        <v/>
      </c>
      <c r="X54" s="111" t="str">
        <f aca="false">IF($B54="","",SUM(U54:W54))</f>
        <v/>
      </c>
      <c r="Y54" s="153" t="str">
        <f aca="false">IF($B54="","",T54-X54)</f>
        <v/>
      </c>
      <c r="Z54" s="111" t="str">
        <f aca="false">IF($B54="","",الموظفون!$S54*IF(E54="سعودي",cfg_G_SR,cfg_G_NR)*G54/cfg_DAYS_M)</f>
        <v/>
      </c>
      <c r="AA54" s="111" t="str">
        <f aca="false">IF($B54="","",الموظفون!$Q54*(cfg_EOS_R1*(MIN(AH54,cfg_EOS_TH)-MIN(AI54,cfg_EOS_TH))+cfg_EOS_R2*(MAX(AH54-cfg_EOS_TH,0)-MAX(AI54-cfg_EOS_TH,0))))</f>
        <v/>
      </c>
      <c r="AB54" s="111" t="str">
        <f aca="false">IF($B54="","",IF(الموظفون!$T54&lt;&gt;"",الموظفون!$T54,IF(AH54&gt;=cfg_LV_TH,cfg_LV_D2,cfg_LV_D1))/cfg_DAYS_Y*AJ54*الموظفون!$R54/cfg_DAYS_M)</f>
        <v/>
      </c>
      <c r="AC54" s="111" t="str">
        <f aca="false">IF($B54="","",IF(AND(الموظفون!$U54="نعم",N(الموظفون!$W54)&gt;0),الموظفون!$V54/الموظفون!$W54*12/cfg_DAYS_Y*AJ54,0))</f>
        <v/>
      </c>
      <c r="AD54" s="111" t="str">
        <f aca="false">IF($B54="","",(IF(الموظفون!$X54&lt;&gt;"",الموظفون!$X54,IF(الموظفون!$E54="غير سعودي",cfg_IQ,0))+IF(الموظفون!$Y54&lt;&gt;"",الموظفون!$Y54,IF(الموظفون!$E54="غير سعودي",cfg_WP,0)))/12*G54/cfg_DAYS_M)</f>
        <v/>
      </c>
      <c r="AE54" s="111" t="str">
        <f aca="false">IF($B54="","",IF(الموظفون!$Z54&lt;&gt;"",الموظفون!$Z54,cfg_MED)/12*G54/cfg_DAYS_M)</f>
        <v/>
      </c>
      <c r="AF54" s="111" t="str">
        <f aca="false">IF($B54="","",N(الموظفون!$AA54)/12*G54/cfg_DAYS_M)</f>
        <v/>
      </c>
      <c r="AG54" s="154" t="str">
        <f aca="false">IF($B54="","",T54+SUM(Z54:AF54))</f>
        <v/>
      </c>
      <c r="AH54" s="155" t="str">
        <f aca="false">IF($B54="","",MAX(0,IF(OR(الموظفون!$AE54="",الموظفون!$AE54&gt;$F$3),$F$3,الموظفون!$AE54)-الموظفون!$H54+1-SUMIFS('سجل الإجازات والحالات'!$AS$6:$AS$505,'سجل الإجازات والحالات'!$B$6:$B$505,$B54))/cfg_DAYS_Y)</f>
        <v/>
      </c>
      <c r="AI54" s="155" t="str">
        <f aca="false">IF($B54="","",MAX(0,IF(OR(الموظفون!$AE54="",الموظفون!$AE54&gt;($E$3-1)),($E$3-1),الموظفون!$AE54)-الموظفون!$H54+1-SUMIFS('سجل الإجازات والحالات'!$AR$6:$AR$505,'سجل الإجازات والحالات'!$B$6:$B$505,$B54))/cfg_DAYS_Y)</f>
        <v/>
      </c>
      <c r="AJ54" s="65" t="str">
        <f aca="false">IF($B54="","",MAX(0,AK54-(SUMIFS('سجل الإجازات والحالات'!$AS$6:$AS$505,'سجل الإجازات والحالات'!$B$6:$B$505,$B54)-SUMIFS('سجل الإجازات والحالات'!$AR$6:$AR$505,'سجل الإجازات والحالات'!$B$6:$B$505,$B54))))</f>
        <v/>
      </c>
      <c r="AK54" s="65" t="str">
        <f aca="false">IF($B54="","",MAX(0,IF(OR(الموظفون!$AE54="",الموظفون!$AE54&gt;$F$3),$F$3,الموظفون!$AE54)-MAX($E$3,الموظفون!$H54)+1))</f>
        <v/>
      </c>
      <c r="AL54" s="151" t="str">
        <f aca="false">IF($B54="","",SUMIFS('سجل الإجازات والحالات'!$BE$6:$BE$505,'سجل الإجازات والحالات'!$B$6:$B$505,$B54)+SUMIFS('الحركات الشهرية'!$K$6:$K$1005,'الحركات الشهرية'!$B$6:$B$1005,$B54,'الحركات الشهرية'!$A$6:$A$1005,$C$3))</f>
        <v/>
      </c>
      <c r="AM54" s="111" t="str">
        <f aca="false">IF($B54="","",AL54*الموظفون!$R54/cfg_DAYS_M+S54)</f>
        <v/>
      </c>
      <c r="AN54" s="151" t="str">
        <f aca="false">IF($B54="","",SUMIFS('سجل الإجازات والحالات'!$AG$6:$AG$505,'سجل الإجازات والحالات'!$B$6:$B$505,$B54))</f>
        <v/>
      </c>
    </row>
    <row r="55" customFormat="false" ht="15" hidden="false" customHeight="false" outlineLevel="0" collapsed="false">
      <c r="A55" s="115" t="str">
        <f aca="false">IF($B55="","",الموظفون!$A55)</f>
        <v/>
      </c>
      <c r="B55" s="117" t="str">
        <f aca="false">IF(الموظفون!$B55="","",الموظفون!$B55)</f>
        <v/>
      </c>
      <c r="C55" s="117" t="str">
        <f aca="false">IF($B55="","",الموظفون!$C55)</f>
        <v/>
      </c>
      <c r="D55" s="117" t="str">
        <f aca="false">IF($B55="","",الموظفون!$F55)</f>
        <v/>
      </c>
      <c r="E55" s="117" t="str">
        <f aca="false">IF($B55="","",الموظفون!$E55)</f>
        <v/>
      </c>
      <c r="F55" s="117" t="str">
        <f aca="false">IF($B55="","",IF(AK55=0,IF(AND(الموظفون!$AE55&lt;&gt;"",الموظفون!$AE55&lt;$E$3),"✖ منتهي الخدمة","⏳ لم يباشر"),IF(S55&gt;0,"✈ راتب إجازة مقدم",IF(J55=0,"⛔ بدون راتب هذا الشهر",IF(I55&gt;0,"✈ خصم "&amp;ROUND(I55,2)&amp;" يوم بدون أجر",IF(AL55&gt;0,"🌴 إجازة سنوية "&amp;ROUND(AL55,2)&amp;" يوم",IF(H55&gt;0,"⚠ غياب "&amp;ROUND(H55,2)&amp;" يوم","✔ على رأس العمل")))))))</f>
        <v/>
      </c>
      <c r="G55" s="156" t="str">
        <f aca="false">IF($B55="","",IF(AK55&gt;=DAY($F$3),cfg_DAYS_M,MIN(AK55,cfg_DAYS_M)))</f>
        <v/>
      </c>
      <c r="H55" s="156" t="str">
        <f aca="false">IF($B55="","",SUMIFS('الحركات الشهرية'!$D$6:$D$1005,'الحركات الشهرية'!$B$6:$B$1005,$B55,'الحركات الشهرية'!$A$6:$A$1005,$C$3))</f>
        <v/>
      </c>
      <c r="I55" s="156" t="str">
        <f aca="false">IF($B55="","",MIN(G55,IF(AND(AK55&gt;0,AN55&gt;=AK55),G55,AN55)+SUMIFS('الحركات الشهرية'!$E$6:$E$1005,'الحركات الشهرية'!$B$6:$B$1005,$B55,'الحركات الشهرية'!$A$6:$A$1005,$C$3)))</f>
        <v/>
      </c>
      <c r="J55" s="156" t="str">
        <f aca="false">IF($B55="","",MAX(0,G55-H55-I55))</f>
        <v/>
      </c>
      <c r="K55" s="116" t="str">
        <f aca="false">IF($B55="","",الموظفون!$L55*$J55/cfg_DAYS_M)</f>
        <v/>
      </c>
      <c r="L55" s="116" t="str">
        <f aca="false">IF($B55="","",الموظفون!$M55*$J55/cfg_DAYS_M)</f>
        <v/>
      </c>
      <c r="M55" s="116" t="str">
        <f aca="false">IF($B55="","",الموظفون!$N55*$J55/cfg_DAYS_M)</f>
        <v/>
      </c>
      <c r="N55" s="116" t="str">
        <f aca="false">IF($B55="","",الموظفون!$O55*$J55/cfg_DAYS_M)</f>
        <v/>
      </c>
      <c r="O55" s="156" t="str">
        <f aca="false">IF($B55="","",SUMIFS('الحركات الشهرية'!$F$6:$F$1005,'الحركات الشهرية'!$B$6:$B$1005,$B55,'الحركات الشهرية'!$A$6:$A$1005,$C$3))</f>
        <v/>
      </c>
      <c r="P55" s="116" t="str">
        <f aca="false">IF($B55="","",O55*(الموظفون!$P55+الموظفون!$L55*cfg_OT_P)/cfg_DAYS_M/cfg_HRS)</f>
        <v/>
      </c>
      <c r="Q55" s="116" t="str">
        <f aca="false">IF($B55="","",SUMIFS('الحركات الشهرية'!$G$6:$G$1005,'الحركات الشهرية'!$B$6:$B$1005,$B55,'الحركات الشهرية'!$A$6:$A$1005,$C$3))</f>
        <v/>
      </c>
      <c r="R55" s="116" t="str">
        <f aca="false">IF($B55="","",SUMIFS('الحركات الشهرية'!$H$6:$H$1005,'الحركات الشهرية'!$B$6:$B$1005,$B55,'الحركات الشهرية'!$A$6:$A$1005,$C$3))</f>
        <v/>
      </c>
      <c r="S55" s="116" t="str">
        <f aca="false">IF($B55="","",SUMIFS('سجل الإجازات والحالات'!$N$6:$N$505,'سجل الإجازات والحالات'!$B$6:$B$505,$B55,'سجل الإجازات والحالات'!$O$6:$O$505,$C$3))</f>
        <v/>
      </c>
      <c r="T55" s="157" t="str">
        <f aca="false">IF($B55="","",SUM(K55:N55)+SUM(P55:S55))</f>
        <v/>
      </c>
      <c r="U55" s="116" t="str">
        <f aca="false">IF($B55="","",الموظفون!$S55*IF(E55="سعودي",cfg_G_SE,cfg_G_NE)*G55/cfg_DAYS_M)</f>
        <v/>
      </c>
      <c r="V55" s="116" t="str">
        <f aca="false">IF($B55="","",SUMIFS('الحركات الشهرية'!$I$6:$I$1005,'الحركات الشهرية'!$B$6:$B$1005,$B55,'الحركات الشهرية'!$A$6:$A$1005,$C$3))</f>
        <v/>
      </c>
      <c r="W55" s="116" t="str">
        <f aca="false">IF($B55="","",SUMIFS('الحركات الشهرية'!$J$6:$J$1005,'الحركات الشهرية'!$B$6:$B$1005,$B55,'الحركات الشهرية'!$A$6:$A$1005,$C$3))</f>
        <v/>
      </c>
      <c r="X55" s="116" t="str">
        <f aca="false">IF($B55="","",SUM(U55:W55))</f>
        <v/>
      </c>
      <c r="Y55" s="158" t="str">
        <f aca="false">IF($B55="","",T55-X55)</f>
        <v/>
      </c>
      <c r="Z55" s="116" t="str">
        <f aca="false">IF($B55="","",الموظفون!$S55*IF(E55="سعودي",cfg_G_SR,cfg_G_NR)*G55/cfg_DAYS_M)</f>
        <v/>
      </c>
      <c r="AA55" s="116" t="str">
        <f aca="false">IF($B55="","",الموظفون!$Q55*(cfg_EOS_R1*(MIN(AH55,cfg_EOS_TH)-MIN(AI55,cfg_EOS_TH))+cfg_EOS_R2*(MAX(AH55-cfg_EOS_TH,0)-MAX(AI55-cfg_EOS_TH,0))))</f>
        <v/>
      </c>
      <c r="AB55" s="116" t="str">
        <f aca="false">IF($B55="","",IF(الموظفون!$T55&lt;&gt;"",الموظفون!$T55,IF(AH55&gt;=cfg_LV_TH,cfg_LV_D2,cfg_LV_D1))/cfg_DAYS_Y*AJ55*الموظفون!$R55/cfg_DAYS_M)</f>
        <v/>
      </c>
      <c r="AC55" s="116" t="str">
        <f aca="false">IF($B55="","",IF(AND(الموظفون!$U55="نعم",N(الموظفون!$W55)&gt;0),الموظفون!$V55/الموظفون!$W55*12/cfg_DAYS_Y*AJ55,0))</f>
        <v/>
      </c>
      <c r="AD55" s="116" t="str">
        <f aca="false">IF($B55="","",(IF(الموظفون!$X55&lt;&gt;"",الموظفون!$X55,IF(الموظفون!$E55="غير سعودي",cfg_IQ,0))+IF(الموظفون!$Y55&lt;&gt;"",الموظفون!$Y55,IF(الموظفون!$E55="غير سعودي",cfg_WP,0)))/12*G55/cfg_DAYS_M)</f>
        <v/>
      </c>
      <c r="AE55" s="116" t="str">
        <f aca="false">IF($B55="","",IF(الموظفون!$Z55&lt;&gt;"",الموظفون!$Z55,cfg_MED)/12*G55/cfg_DAYS_M)</f>
        <v/>
      </c>
      <c r="AF55" s="116" t="str">
        <f aca="false">IF($B55="","",N(الموظفون!$AA55)/12*G55/cfg_DAYS_M)</f>
        <v/>
      </c>
      <c r="AG55" s="159" t="str">
        <f aca="false">IF($B55="","",T55+SUM(Z55:AF55))</f>
        <v/>
      </c>
      <c r="AH55" s="160" t="str">
        <f aca="false">IF($B55="","",MAX(0,IF(OR(الموظفون!$AE55="",الموظفون!$AE55&gt;$F$3),$F$3,الموظفون!$AE55)-الموظفون!$H55+1-SUMIFS('سجل الإجازات والحالات'!$AS$6:$AS$505,'سجل الإجازات والحالات'!$B$6:$B$505,$B55))/cfg_DAYS_Y)</f>
        <v/>
      </c>
      <c r="AI55" s="160" t="str">
        <f aca="false">IF($B55="","",MAX(0,IF(OR(الموظفون!$AE55="",الموظفون!$AE55&gt;($E$3-1)),($E$3-1),الموظفون!$AE55)-الموظفون!$H55+1-SUMIFS('سجل الإجازات والحالات'!$AR$6:$AR$505,'سجل الإجازات والحالات'!$B$6:$B$505,$B55))/cfg_DAYS_Y)</f>
        <v/>
      </c>
      <c r="AJ55" s="133" t="str">
        <f aca="false">IF($B55="","",MAX(0,AK55-(SUMIFS('سجل الإجازات والحالات'!$AS$6:$AS$505,'سجل الإجازات والحالات'!$B$6:$B$505,$B55)-SUMIFS('سجل الإجازات والحالات'!$AR$6:$AR$505,'سجل الإجازات والحالات'!$B$6:$B$505,$B55))))</f>
        <v/>
      </c>
      <c r="AK55" s="133" t="str">
        <f aca="false">IF($B55="","",MAX(0,IF(OR(الموظفون!$AE55="",الموظفون!$AE55&gt;$F$3),$F$3,الموظفون!$AE55)-MAX($E$3,الموظفون!$H55)+1))</f>
        <v/>
      </c>
      <c r="AL55" s="156" t="str">
        <f aca="false">IF($B55="","",SUMIFS('سجل الإجازات والحالات'!$BE$6:$BE$505,'سجل الإجازات والحالات'!$B$6:$B$505,$B55)+SUMIFS('الحركات الشهرية'!$K$6:$K$1005,'الحركات الشهرية'!$B$6:$B$1005,$B55,'الحركات الشهرية'!$A$6:$A$1005,$C$3))</f>
        <v/>
      </c>
      <c r="AM55" s="116" t="str">
        <f aca="false">IF($B55="","",AL55*الموظفون!$R55/cfg_DAYS_M+S55)</f>
        <v/>
      </c>
      <c r="AN55" s="156" t="str">
        <f aca="false">IF($B55="","",SUMIFS('سجل الإجازات والحالات'!$AG$6:$AG$505,'سجل الإجازات والحالات'!$B$6:$B$505,$B55))</f>
        <v/>
      </c>
    </row>
    <row r="56" customFormat="false" ht="15" hidden="false" customHeight="false" outlineLevel="0" collapsed="false">
      <c r="A56" s="106" t="str">
        <f aca="false">IF($B56="","",الموظفون!$A56)</f>
        <v/>
      </c>
      <c r="B56" s="114" t="str">
        <f aca="false">IF(الموظفون!$B56="","",الموظفون!$B56)</f>
        <v/>
      </c>
      <c r="C56" s="114" t="str">
        <f aca="false">IF($B56="","",الموظفون!$C56)</f>
        <v/>
      </c>
      <c r="D56" s="114" t="str">
        <f aca="false">IF($B56="","",الموظفون!$F56)</f>
        <v/>
      </c>
      <c r="E56" s="114" t="str">
        <f aca="false">IF($B56="","",الموظفون!$E56)</f>
        <v/>
      </c>
      <c r="F56" s="114" t="str">
        <f aca="false">IF($B56="","",IF(AK56=0,IF(AND(الموظفون!$AE56&lt;&gt;"",الموظفون!$AE56&lt;$E$3),"✖ منتهي الخدمة","⏳ لم يباشر"),IF(S56&gt;0,"✈ راتب إجازة مقدم",IF(J56=0,"⛔ بدون راتب هذا الشهر",IF(I56&gt;0,"✈ خصم "&amp;ROUND(I56,2)&amp;" يوم بدون أجر",IF(AL56&gt;0,"🌴 إجازة سنوية "&amp;ROUND(AL56,2)&amp;" يوم",IF(H56&gt;0,"⚠ غياب "&amp;ROUND(H56,2)&amp;" يوم","✔ على رأس العمل")))))))</f>
        <v/>
      </c>
      <c r="G56" s="151" t="str">
        <f aca="false">IF($B56="","",IF(AK56&gt;=DAY($F$3),cfg_DAYS_M,MIN(AK56,cfg_DAYS_M)))</f>
        <v/>
      </c>
      <c r="H56" s="151" t="str">
        <f aca="false">IF($B56="","",SUMIFS('الحركات الشهرية'!$D$6:$D$1005,'الحركات الشهرية'!$B$6:$B$1005,$B56,'الحركات الشهرية'!$A$6:$A$1005,$C$3))</f>
        <v/>
      </c>
      <c r="I56" s="151" t="str">
        <f aca="false">IF($B56="","",MIN(G56,IF(AND(AK56&gt;0,AN56&gt;=AK56),G56,AN56)+SUMIFS('الحركات الشهرية'!$E$6:$E$1005,'الحركات الشهرية'!$B$6:$B$1005,$B56,'الحركات الشهرية'!$A$6:$A$1005,$C$3)))</f>
        <v/>
      </c>
      <c r="J56" s="151" t="str">
        <f aca="false">IF($B56="","",MAX(0,G56-H56-I56))</f>
        <v/>
      </c>
      <c r="K56" s="111" t="str">
        <f aca="false">IF($B56="","",الموظفون!$L56*$J56/cfg_DAYS_M)</f>
        <v/>
      </c>
      <c r="L56" s="111" t="str">
        <f aca="false">IF($B56="","",الموظفون!$M56*$J56/cfg_DAYS_M)</f>
        <v/>
      </c>
      <c r="M56" s="111" t="str">
        <f aca="false">IF($B56="","",الموظفون!$N56*$J56/cfg_DAYS_M)</f>
        <v/>
      </c>
      <c r="N56" s="111" t="str">
        <f aca="false">IF($B56="","",الموظفون!$O56*$J56/cfg_DAYS_M)</f>
        <v/>
      </c>
      <c r="O56" s="151" t="str">
        <f aca="false">IF($B56="","",SUMIFS('الحركات الشهرية'!$F$6:$F$1005,'الحركات الشهرية'!$B$6:$B$1005,$B56,'الحركات الشهرية'!$A$6:$A$1005,$C$3))</f>
        <v/>
      </c>
      <c r="P56" s="111" t="str">
        <f aca="false">IF($B56="","",O56*(الموظفون!$P56+الموظفون!$L56*cfg_OT_P)/cfg_DAYS_M/cfg_HRS)</f>
        <v/>
      </c>
      <c r="Q56" s="111" t="str">
        <f aca="false">IF($B56="","",SUMIFS('الحركات الشهرية'!$G$6:$G$1005,'الحركات الشهرية'!$B$6:$B$1005,$B56,'الحركات الشهرية'!$A$6:$A$1005,$C$3))</f>
        <v/>
      </c>
      <c r="R56" s="111" t="str">
        <f aca="false">IF($B56="","",SUMIFS('الحركات الشهرية'!$H$6:$H$1005,'الحركات الشهرية'!$B$6:$B$1005,$B56,'الحركات الشهرية'!$A$6:$A$1005,$C$3))</f>
        <v/>
      </c>
      <c r="S56" s="111" t="str">
        <f aca="false">IF($B56="","",SUMIFS('سجل الإجازات والحالات'!$N$6:$N$505,'سجل الإجازات والحالات'!$B$6:$B$505,$B56,'سجل الإجازات والحالات'!$O$6:$O$505,$C$3))</f>
        <v/>
      </c>
      <c r="T56" s="152" t="str">
        <f aca="false">IF($B56="","",SUM(K56:N56)+SUM(P56:S56))</f>
        <v/>
      </c>
      <c r="U56" s="111" t="str">
        <f aca="false">IF($B56="","",الموظفون!$S56*IF(E56="سعودي",cfg_G_SE,cfg_G_NE)*G56/cfg_DAYS_M)</f>
        <v/>
      </c>
      <c r="V56" s="111" t="str">
        <f aca="false">IF($B56="","",SUMIFS('الحركات الشهرية'!$I$6:$I$1005,'الحركات الشهرية'!$B$6:$B$1005,$B56,'الحركات الشهرية'!$A$6:$A$1005,$C$3))</f>
        <v/>
      </c>
      <c r="W56" s="111" t="str">
        <f aca="false">IF($B56="","",SUMIFS('الحركات الشهرية'!$J$6:$J$1005,'الحركات الشهرية'!$B$6:$B$1005,$B56,'الحركات الشهرية'!$A$6:$A$1005,$C$3))</f>
        <v/>
      </c>
      <c r="X56" s="111" t="str">
        <f aca="false">IF($B56="","",SUM(U56:W56))</f>
        <v/>
      </c>
      <c r="Y56" s="153" t="str">
        <f aca="false">IF($B56="","",T56-X56)</f>
        <v/>
      </c>
      <c r="Z56" s="111" t="str">
        <f aca="false">IF($B56="","",الموظفون!$S56*IF(E56="سعودي",cfg_G_SR,cfg_G_NR)*G56/cfg_DAYS_M)</f>
        <v/>
      </c>
      <c r="AA56" s="111" t="str">
        <f aca="false">IF($B56="","",الموظفون!$Q56*(cfg_EOS_R1*(MIN(AH56,cfg_EOS_TH)-MIN(AI56,cfg_EOS_TH))+cfg_EOS_R2*(MAX(AH56-cfg_EOS_TH,0)-MAX(AI56-cfg_EOS_TH,0))))</f>
        <v/>
      </c>
      <c r="AB56" s="111" t="str">
        <f aca="false">IF($B56="","",IF(الموظفون!$T56&lt;&gt;"",الموظفون!$T56,IF(AH56&gt;=cfg_LV_TH,cfg_LV_D2,cfg_LV_D1))/cfg_DAYS_Y*AJ56*الموظفون!$R56/cfg_DAYS_M)</f>
        <v/>
      </c>
      <c r="AC56" s="111" t="str">
        <f aca="false">IF($B56="","",IF(AND(الموظفون!$U56="نعم",N(الموظفون!$W56)&gt;0),الموظفون!$V56/الموظفون!$W56*12/cfg_DAYS_Y*AJ56,0))</f>
        <v/>
      </c>
      <c r="AD56" s="111" t="str">
        <f aca="false">IF($B56="","",(IF(الموظفون!$X56&lt;&gt;"",الموظفون!$X56,IF(الموظفون!$E56="غير سعودي",cfg_IQ,0))+IF(الموظفون!$Y56&lt;&gt;"",الموظفون!$Y56,IF(الموظفون!$E56="غير سعودي",cfg_WP,0)))/12*G56/cfg_DAYS_M)</f>
        <v/>
      </c>
      <c r="AE56" s="111" t="str">
        <f aca="false">IF($B56="","",IF(الموظفون!$Z56&lt;&gt;"",الموظفون!$Z56,cfg_MED)/12*G56/cfg_DAYS_M)</f>
        <v/>
      </c>
      <c r="AF56" s="111" t="str">
        <f aca="false">IF($B56="","",N(الموظفون!$AA56)/12*G56/cfg_DAYS_M)</f>
        <v/>
      </c>
      <c r="AG56" s="154" t="str">
        <f aca="false">IF($B56="","",T56+SUM(Z56:AF56))</f>
        <v/>
      </c>
      <c r="AH56" s="155" t="str">
        <f aca="false">IF($B56="","",MAX(0,IF(OR(الموظفون!$AE56="",الموظفون!$AE56&gt;$F$3),$F$3,الموظفون!$AE56)-الموظفون!$H56+1-SUMIFS('سجل الإجازات والحالات'!$AS$6:$AS$505,'سجل الإجازات والحالات'!$B$6:$B$505,$B56))/cfg_DAYS_Y)</f>
        <v/>
      </c>
      <c r="AI56" s="155" t="str">
        <f aca="false">IF($B56="","",MAX(0,IF(OR(الموظفون!$AE56="",الموظفون!$AE56&gt;($E$3-1)),($E$3-1),الموظفون!$AE56)-الموظفون!$H56+1-SUMIFS('سجل الإجازات والحالات'!$AR$6:$AR$505,'سجل الإجازات والحالات'!$B$6:$B$505,$B56))/cfg_DAYS_Y)</f>
        <v/>
      </c>
      <c r="AJ56" s="65" t="str">
        <f aca="false">IF($B56="","",MAX(0,AK56-(SUMIFS('سجل الإجازات والحالات'!$AS$6:$AS$505,'سجل الإجازات والحالات'!$B$6:$B$505,$B56)-SUMIFS('سجل الإجازات والحالات'!$AR$6:$AR$505,'سجل الإجازات والحالات'!$B$6:$B$505,$B56))))</f>
        <v/>
      </c>
      <c r="AK56" s="65" t="str">
        <f aca="false">IF($B56="","",MAX(0,IF(OR(الموظفون!$AE56="",الموظفون!$AE56&gt;$F$3),$F$3,الموظفون!$AE56)-MAX($E$3,الموظفون!$H56)+1))</f>
        <v/>
      </c>
      <c r="AL56" s="151" t="str">
        <f aca="false">IF($B56="","",SUMIFS('سجل الإجازات والحالات'!$BE$6:$BE$505,'سجل الإجازات والحالات'!$B$6:$B$505,$B56)+SUMIFS('الحركات الشهرية'!$K$6:$K$1005,'الحركات الشهرية'!$B$6:$B$1005,$B56,'الحركات الشهرية'!$A$6:$A$1005,$C$3))</f>
        <v/>
      </c>
      <c r="AM56" s="111" t="str">
        <f aca="false">IF($B56="","",AL56*الموظفون!$R56/cfg_DAYS_M+S56)</f>
        <v/>
      </c>
      <c r="AN56" s="151" t="str">
        <f aca="false">IF($B56="","",SUMIFS('سجل الإجازات والحالات'!$AG$6:$AG$505,'سجل الإجازات والحالات'!$B$6:$B$505,$B56))</f>
        <v/>
      </c>
    </row>
    <row r="57" customFormat="false" ht="15" hidden="false" customHeight="false" outlineLevel="0" collapsed="false">
      <c r="A57" s="115" t="str">
        <f aca="false">IF($B57="","",الموظفون!$A57)</f>
        <v/>
      </c>
      <c r="B57" s="117" t="str">
        <f aca="false">IF(الموظفون!$B57="","",الموظفون!$B57)</f>
        <v/>
      </c>
      <c r="C57" s="117" t="str">
        <f aca="false">IF($B57="","",الموظفون!$C57)</f>
        <v/>
      </c>
      <c r="D57" s="117" t="str">
        <f aca="false">IF($B57="","",الموظفون!$F57)</f>
        <v/>
      </c>
      <c r="E57" s="117" t="str">
        <f aca="false">IF($B57="","",الموظفون!$E57)</f>
        <v/>
      </c>
      <c r="F57" s="117" t="str">
        <f aca="false">IF($B57="","",IF(AK57=0,IF(AND(الموظفون!$AE57&lt;&gt;"",الموظفون!$AE57&lt;$E$3),"✖ منتهي الخدمة","⏳ لم يباشر"),IF(S57&gt;0,"✈ راتب إجازة مقدم",IF(J57=0,"⛔ بدون راتب هذا الشهر",IF(I57&gt;0,"✈ خصم "&amp;ROUND(I57,2)&amp;" يوم بدون أجر",IF(AL57&gt;0,"🌴 إجازة سنوية "&amp;ROUND(AL57,2)&amp;" يوم",IF(H57&gt;0,"⚠ غياب "&amp;ROUND(H57,2)&amp;" يوم","✔ على رأس العمل")))))))</f>
        <v/>
      </c>
      <c r="G57" s="156" t="str">
        <f aca="false">IF($B57="","",IF(AK57&gt;=DAY($F$3),cfg_DAYS_M,MIN(AK57,cfg_DAYS_M)))</f>
        <v/>
      </c>
      <c r="H57" s="156" t="str">
        <f aca="false">IF($B57="","",SUMIFS('الحركات الشهرية'!$D$6:$D$1005,'الحركات الشهرية'!$B$6:$B$1005,$B57,'الحركات الشهرية'!$A$6:$A$1005,$C$3))</f>
        <v/>
      </c>
      <c r="I57" s="156" t="str">
        <f aca="false">IF($B57="","",MIN(G57,IF(AND(AK57&gt;0,AN57&gt;=AK57),G57,AN57)+SUMIFS('الحركات الشهرية'!$E$6:$E$1005,'الحركات الشهرية'!$B$6:$B$1005,$B57,'الحركات الشهرية'!$A$6:$A$1005,$C$3)))</f>
        <v/>
      </c>
      <c r="J57" s="156" t="str">
        <f aca="false">IF($B57="","",MAX(0,G57-H57-I57))</f>
        <v/>
      </c>
      <c r="K57" s="116" t="str">
        <f aca="false">IF($B57="","",الموظفون!$L57*$J57/cfg_DAYS_M)</f>
        <v/>
      </c>
      <c r="L57" s="116" t="str">
        <f aca="false">IF($B57="","",الموظفون!$M57*$J57/cfg_DAYS_M)</f>
        <v/>
      </c>
      <c r="M57" s="116" t="str">
        <f aca="false">IF($B57="","",الموظفون!$N57*$J57/cfg_DAYS_M)</f>
        <v/>
      </c>
      <c r="N57" s="116" t="str">
        <f aca="false">IF($B57="","",الموظفون!$O57*$J57/cfg_DAYS_M)</f>
        <v/>
      </c>
      <c r="O57" s="156" t="str">
        <f aca="false">IF($B57="","",SUMIFS('الحركات الشهرية'!$F$6:$F$1005,'الحركات الشهرية'!$B$6:$B$1005,$B57,'الحركات الشهرية'!$A$6:$A$1005,$C$3))</f>
        <v/>
      </c>
      <c r="P57" s="116" t="str">
        <f aca="false">IF($B57="","",O57*(الموظفون!$P57+الموظفون!$L57*cfg_OT_P)/cfg_DAYS_M/cfg_HRS)</f>
        <v/>
      </c>
      <c r="Q57" s="116" t="str">
        <f aca="false">IF($B57="","",SUMIFS('الحركات الشهرية'!$G$6:$G$1005,'الحركات الشهرية'!$B$6:$B$1005,$B57,'الحركات الشهرية'!$A$6:$A$1005,$C$3))</f>
        <v/>
      </c>
      <c r="R57" s="116" t="str">
        <f aca="false">IF($B57="","",SUMIFS('الحركات الشهرية'!$H$6:$H$1005,'الحركات الشهرية'!$B$6:$B$1005,$B57,'الحركات الشهرية'!$A$6:$A$1005,$C$3))</f>
        <v/>
      </c>
      <c r="S57" s="116" t="str">
        <f aca="false">IF($B57="","",SUMIFS('سجل الإجازات والحالات'!$N$6:$N$505,'سجل الإجازات والحالات'!$B$6:$B$505,$B57,'سجل الإجازات والحالات'!$O$6:$O$505,$C$3))</f>
        <v/>
      </c>
      <c r="T57" s="157" t="str">
        <f aca="false">IF($B57="","",SUM(K57:N57)+SUM(P57:S57))</f>
        <v/>
      </c>
      <c r="U57" s="116" t="str">
        <f aca="false">IF($B57="","",الموظفون!$S57*IF(E57="سعودي",cfg_G_SE,cfg_G_NE)*G57/cfg_DAYS_M)</f>
        <v/>
      </c>
      <c r="V57" s="116" t="str">
        <f aca="false">IF($B57="","",SUMIFS('الحركات الشهرية'!$I$6:$I$1005,'الحركات الشهرية'!$B$6:$B$1005,$B57,'الحركات الشهرية'!$A$6:$A$1005,$C$3))</f>
        <v/>
      </c>
      <c r="W57" s="116" t="str">
        <f aca="false">IF($B57="","",SUMIFS('الحركات الشهرية'!$J$6:$J$1005,'الحركات الشهرية'!$B$6:$B$1005,$B57,'الحركات الشهرية'!$A$6:$A$1005,$C$3))</f>
        <v/>
      </c>
      <c r="X57" s="116" t="str">
        <f aca="false">IF($B57="","",SUM(U57:W57))</f>
        <v/>
      </c>
      <c r="Y57" s="158" t="str">
        <f aca="false">IF($B57="","",T57-X57)</f>
        <v/>
      </c>
      <c r="Z57" s="116" t="str">
        <f aca="false">IF($B57="","",الموظفون!$S57*IF(E57="سعودي",cfg_G_SR,cfg_G_NR)*G57/cfg_DAYS_M)</f>
        <v/>
      </c>
      <c r="AA57" s="116" t="str">
        <f aca="false">IF($B57="","",الموظفون!$Q57*(cfg_EOS_R1*(MIN(AH57,cfg_EOS_TH)-MIN(AI57,cfg_EOS_TH))+cfg_EOS_R2*(MAX(AH57-cfg_EOS_TH,0)-MAX(AI57-cfg_EOS_TH,0))))</f>
        <v/>
      </c>
      <c r="AB57" s="116" t="str">
        <f aca="false">IF($B57="","",IF(الموظفون!$T57&lt;&gt;"",الموظفون!$T57,IF(AH57&gt;=cfg_LV_TH,cfg_LV_D2,cfg_LV_D1))/cfg_DAYS_Y*AJ57*الموظفون!$R57/cfg_DAYS_M)</f>
        <v/>
      </c>
      <c r="AC57" s="116" t="str">
        <f aca="false">IF($B57="","",IF(AND(الموظفون!$U57="نعم",N(الموظفون!$W57)&gt;0),الموظفون!$V57/الموظفون!$W57*12/cfg_DAYS_Y*AJ57,0))</f>
        <v/>
      </c>
      <c r="AD57" s="116" t="str">
        <f aca="false">IF($B57="","",(IF(الموظفون!$X57&lt;&gt;"",الموظفون!$X57,IF(الموظفون!$E57="غير سعودي",cfg_IQ,0))+IF(الموظفون!$Y57&lt;&gt;"",الموظفون!$Y57,IF(الموظفون!$E57="غير سعودي",cfg_WP,0)))/12*G57/cfg_DAYS_M)</f>
        <v/>
      </c>
      <c r="AE57" s="116" t="str">
        <f aca="false">IF($B57="","",IF(الموظفون!$Z57&lt;&gt;"",الموظفون!$Z57,cfg_MED)/12*G57/cfg_DAYS_M)</f>
        <v/>
      </c>
      <c r="AF57" s="116" t="str">
        <f aca="false">IF($B57="","",N(الموظفون!$AA57)/12*G57/cfg_DAYS_M)</f>
        <v/>
      </c>
      <c r="AG57" s="159" t="str">
        <f aca="false">IF($B57="","",T57+SUM(Z57:AF57))</f>
        <v/>
      </c>
      <c r="AH57" s="160" t="str">
        <f aca="false">IF($B57="","",MAX(0,IF(OR(الموظفون!$AE57="",الموظفون!$AE57&gt;$F$3),$F$3,الموظفون!$AE57)-الموظفون!$H57+1-SUMIFS('سجل الإجازات والحالات'!$AS$6:$AS$505,'سجل الإجازات والحالات'!$B$6:$B$505,$B57))/cfg_DAYS_Y)</f>
        <v/>
      </c>
      <c r="AI57" s="160" t="str">
        <f aca="false">IF($B57="","",MAX(0,IF(OR(الموظفون!$AE57="",الموظفون!$AE57&gt;($E$3-1)),($E$3-1),الموظفون!$AE57)-الموظفون!$H57+1-SUMIFS('سجل الإجازات والحالات'!$AR$6:$AR$505,'سجل الإجازات والحالات'!$B$6:$B$505,$B57))/cfg_DAYS_Y)</f>
        <v/>
      </c>
      <c r="AJ57" s="133" t="str">
        <f aca="false">IF($B57="","",MAX(0,AK57-(SUMIFS('سجل الإجازات والحالات'!$AS$6:$AS$505,'سجل الإجازات والحالات'!$B$6:$B$505,$B57)-SUMIFS('سجل الإجازات والحالات'!$AR$6:$AR$505,'سجل الإجازات والحالات'!$B$6:$B$505,$B57))))</f>
        <v/>
      </c>
      <c r="AK57" s="133" t="str">
        <f aca="false">IF($B57="","",MAX(0,IF(OR(الموظفون!$AE57="",الموظفون!$AE57&gt;$F$3),$F$3,الموظفون!$AE57)-MAX($E$3,الموظفون!$H57)+1))</f>
        <v/>
      </c>
      <c r="AL57" s="156" t="str">
        <f aca="false">IF($B57="","",SUMIFS('سجل الإجازات والحالات'!$BE$6:$BE$505,'سجل الإجازات والحالات'!$B$6:$B$505,$B57)+SUMIFS('الحركات الشهرية'!$K$6:$K$1005,'الحركات الشهرية'!$B$6:$B$1005,$B57,'الحركات الشهرية'!$A$6:$A$1005,$C$3))</f>
        <v/>
      </c>
      <c r="AM57" s="116" t="str">
        <f aca="false">IF($B57="","",AL57*الموظفون!$R57/cfg_DAYS_M+S57)</f>
        <v/>
      </c>
      <c r="AN57" s="156" t="str">
        <f aca="false">IF($B57="","",SUMIFS('سجل الإجازات والحالات'!$AG$6:$AG$505,'سجل الإجازات والحالات'!$B$6:$B$505,$B57))</f>
        <v/>
      </c>
    </row>
    <row r="58" customFormat="false" ht="15" hidden="false" customHeight="false" outlineLevel="0" collapsed="false">
      <c r="A58" s="106" t="str">
        <f aca="false">IF($B58="","",الموظفون!$A58)</f>
        <v/>
      </c>
      <c r="B58" s="114" t="str">
        <f aca="false">IF(الموظفون!$B58="","",الموظفون!$B58)</f>
        <v/>
      </c>
      <c r="C58" s="114" t="str">
        <f aca="false">IF($B58="","",الموظفون!$C58)</f>
        <v/>
      </c>
      <c r="D58" s="114" t="str">
        <f aca="false">IF($B58="","",الموظفون!$F58)</f>
        <v/>
      </c>
      <c r="E58" s="114" t="str">
        <f aca="false">IF($B58="","",الموظفون!$E58)</f>
        <v/>
      </c>
      <c r="F58" s="114" t="str">
        <f aca="false">IF($B58="","",IF(AK58=0,IF(AND(الموظفون!$AE58&lt;&gt;"",الموظفون!$AE58&lt;$E$3),"✖ منتهي الخدمة","⏳ لم يباشر"),IF(S58&gt;0,"✈ راتب إجازة مقدم",IF(J58=0,"⛔ بدون راتب هذا الشهر",IF(I58&gt;0,"✈ خصم "&amp;ROUND(I58,2)&amp;" يوم بدون أجر",IF(AL58&gt;0,"🌴 إجازة سنوية "&amp;ROUND(AL58,2)&amp;" يوم",IF(H58&gt;0,"⚠ غياب "&amp;ROUND(H58,2)&amp;" يوم","✔ على رأس العمل")))))))</f>
        <v/>
      </c>
      <c r="G58" s="151" t="str">
        <f aca="false">IF($B58="","",IF(AK58&gt;=DAY($F$3),cfg_DAYS_M,MIN(AK58,cfg_DAYS_M)))</f>
        <v/>
      </c>
      <c r="H58" s="151" t="str">
        <f aca="false">IF($B58="","",SUMIFS('الحركات الشهرية'!$D$6:$D$1005,'الحركات الشهرية'!$B$6:$B$1005,$B58,'الحركات الشهرية'!$A$6:$A$1005,$C$3))</f>
        <v/>
      </c>
      <c r="I58" s="151" t="str">
        <f aca="false">IF($B58="","",MIN(G58,IF(AND(AK58&gt;0,AN58&gt;=AK58),G58,AN58)+SUMIFS('الحركات الشهرية'!$E$6:$E$1005,'الحركات الشهرية'!$B$6:$B$1005,$B58,'الحركات الشهرية'!$A$6:$A$1005,$C$3)))</f>
        <v/>
      </c>
      <c r="J58" s="151" t="str">
        <f aca="false">IF($B58="","",MAX(0,G58-H58-I58))</f>
        <v/>
      </c>
      <c r="K58" s="111" t="str">
        <f aca="false">IF($B58="","",الموظفون!$L58*$J58/cfg_DAYS_M)</f>
        <v/>
      </c>
      <c r="L58" s="111" t="str">
        <f aca="false">IF($B58="","",الموظفون!$M58*$J58/cfg_DAYS_M)</f>
        <v/>
      </c>
      <c r="M58" s="111" t="str">
        <f aca="false">IF($B58="","",الموظفون!$N58*$J58/cfg_DAYS_M)</f>
        <v/>
      </c>
      <c r="N58" s="111" t="str">
        <f aca="false">IF($B58="","",الموظفون!$O58*$J58/cfg_DAYS_M)</f>
        <v/>
      </c>
      <c r="O58" s="151" t="str">
        <f aca="false">IF($B58="","",SUMIFS('الحركات الشهرية'!$F$6:$F$1005,'الحركات الشهرية'!$B$6:$B$1005,$B58,'الحركات الشهرية'!$A$6:$A$1005,$C$3))</f>
        <v/>
      </c>
      <c r="P58" s="111" t="str">
        <f aca="false">IF($B58="","",O58*(الموظفون!$P58+الموظفون!$L58*cfg_OT_P)/cfg_DAYS_M/cfg_HRS)</f>
        <v/>
      </c>
      <c r="Q58" s="111" t="str">
        <f aca="false">IF($B58="","",SUMIFS('الحركات الشهرية'!$G$6:$G$1005,'الحركات الشهرية'!$B$6:$B$1005,$B58,'الحركات الشهرية'!$A$6:$A$1005,$C$3))</f>
        <v/>
      </c>
      <c r="R58" s="111" t="str">
        <f aca="false">IF($B58="","",SUMIFS('الحركات الشهرية'!$H$6:$H$1005,'الحركات الشهرية'!$B$6:$B$1005,$B58,'الحركات الشهرية'!$A$6:$A$1005,$C$3))</f>
        <v/>
      </c>
      <c r="S58" s="111" t="str">
        <f aca="false">IF($B58="","",SUMIFS('سجل الإجازات والحالات'!$N$6:$N$505,'سجل الإجازات والحالات'!$B$6:$B$505,$B58,'سجل الإجازات والحالات'!$O$6:$O$505,$C$3))</f>
        <v/>
      </c>
      <c r="T58" s="152" t="str">
        <f aca="false">IF($B58="","",SUM(K58:N58)+SUM(P58:S58))</f>
        <v/>
      </c>
      <c r="U58" s="111" t="str">
        <f aca="false">IF($B58="","",الموظفون!$S58*IF(E58="سعودي",cfg_G_SE,cfg_G_NE)*G58/cfg_DAYS_M)</f>
        <v/>
      </c>
      <c r="V58" s="111" t="str">
        <f aca="false">IF($B58="","",SUMIFS('الحركات الشهرية'!$I$6:$I$1005,'الحركات الشهرية'!$B$6:$B$1005,$B58,'الحركات الشهرية'!$A$6:$A$1005,$C$3))</f>
        <v/>
      </c>
      <c r="W58" s="111" t="str">
        <f aca="false">IF($B58="","",SUMIFS('الحركات الشهرية'!$J$6:$J$1005,'الحركات الشهرية'!$B$6:$B$1005,$B58,'الحركات الشهرية'!$A$6:$A$1005,$C$3))</f>
        <v/>
      </c>
      <c r="X58" s="111" t="str">
        <f aca="false">IF($B58="","",SUM(U58:W58))</f>
        <v/>
      </c>
      <c r="Y58" s="153" t="str">
        <f aca="false">IF($B58="","",T58-X58)</f>
        <v/>
      </c>
      <c r="Z58" s="111" t="str">
        <f aca="false">IF($B58="","",الموظفون!$S58*IF(E58="سعودي",cfg_G_SR,cfg_G_NR)*G58/cfg_DAYS_M)</f>
        <v/>
      </c>
      <c r="AA58" s="111" t="str">
        <f aca="false">IF($B58="","",الموظفون!$Q58*(cfg_EOS_R1*(MIN(AH58,cfg_EOS_TH)-MIN(AI58,cfg_EOS_TH))+cfg_EOS_R2*(MAX(AH58-cfg_EOS_TH,0)-MAX(AI58-cfg_EOS_TH,0))))</f>
        <v/>
      </c>
      <c r="AB58" s="111" t="str">
        <f aca="false">IF($B58="","",IF(الموظفون!$T58&lt;&gt;"",الموظفون!$T58,IF(AH58&gt;=cfg_LV_TH,cfg_LV_D2,cfg_LV_D1))/cfg_DAYS_Y*AJ58*الموظفون!$R58/cfg_DAYS_M)</f>
        <v/>
      </c>
      <c r="AC58" s="111" t="str">
        <f aca="false">IF($B58="","",IF(AND(الموظفون!$U58="نعم",N(الموظفون!$W58)&gt;0),الموظفون!$V58/الموظفون!$W58*12/cfg_DAYS_Y*AJ58,0))</f>
        <v/>
      </c>
      <c r="AD58" s="111" t="str">
        <f aca="false">IF($B58="","",(IF(الموظفون!$X58&lt;&gt;"",الموظفون!$X58,IF(الموظفون!$E58="غير سعودي",cfg_IQ,0))+IF(الموظفون!$Y58&lt;&gt;"",الموظفون!$Y58,IF(الموظفون!$E58="غير سعودي",cfg_WP,0)))/12*G58/cfg_DAYS_M)</f>
        <v/>
      </c>
      <c r="AE58" s="111" t="str">
        <f aca="false">IF($B58="","",IF(الموظفون!$Z58&lt;&gt;"",الموظفون!$Z58,cfg_MED)/12*G58/cfg_DAYS_M)</f>
        <v/>
      </c>
      <c r="AF58" s="111" t="str">
        <f aca="false">IF($B58="","",N(الموظفون!$AA58)/12*G58/cfg_DAYS_M)</f>
        <v/>
      </c>
      <c r="AG58" s="154" t="str">
        <f aca="false">IF($B58="","",T58+SUM(Z58:AF58))</f>
        <v/>
      </c>
      <c r="AH58" s="155" t="str">
        <f aca="false">IF($B58="","",MAX(0,IF(OR(الموظفون!$AE58="",الموظفون!$AE58&gt;$F$3),$F$3,الموظفون!$AE58)-الموظفون!$H58+1-SUMIFS('سجل الإجازات والحالات'!$AS$6:$AS$505,'سجل الإجازات والحالات'!$B$6:$B$505,$B58))/cfg_DAYS_Y)</f>
        <v/>
      </c>
      <c r="AI58" s="155" t="str">
        <f aca="false">IF($B58="","",MAX(0,IF(OR(الموظفون!$AE58="",الموظفون!$AE58&gt;($E$3-1)),($E$3-1),الموظفون!$AE58)-الموظفون!$H58+1-SUMIFS('سجل الإجازات والحالات'!$AR$6:$AR$505,'سجل الإجازات والحالات'!$B$6:$B$505,$B58))/cfg_DAYS_Y)</f>
        <v/>
      </c>
      <c r="AJ58" s="65" t="str">
        <f aca="false">IF($B58="","",MAX(0,AK58-(SUMIFS('سجل الإجازات والحالات'!$AS$6:$AS$505,'سجل الإجازات والحالات'!$B$6:$B$505,$B58)-SUMIFS('سجل الإجازات والحالات'!$AR$6:$AR$505,'سجل الإجازات والحالات'!$B$6:$B$505,$B58))))</f>
        <v/>
      </c>
      <c r="AK58" s="65" t="str">
        <f aca="false">IF($B58="","",MAX(0,IF(OR(الموظفون!$AE58="",الموظفون!$AE58&gt;$F$3),$F$3,الموظفون!$AE58)-MAX($E$3,الموظفون!$H58)+1))</f>
        <v/>
      </c>
      <c r="AL58" s="151" t="str">
        <f aca="false">IF($B58="","",SUMIFS('سجل الإجازات والحالات'!$BE$6:$BE$505,'سجل الإجازات والحالات'!$B$6:$B$505,$B58)+SUMIFS('الحركات الشهرية'!$K$6:$K$1005,'الحركات الشهرية'!$B$6:$B$1005,$B58,'الحركات الشهرية'!$A$6:$A$1005,$C$3))</f>
        <v/>
      </c>
      <c r="AM58" s="111" t="str">
        <f aca="false">IF($B58="","",AL58*الموظفون!$R58/cfg_DAYS_M+S58)</f>
        <v/>
      </c>
      <c r="AN58" s="151" t="str">
        <f aca="false">IF($B58="","",SUMIFS('سجل الإجازات والحالات'!$AG$6:$AG$505,'سجل الإجازات والحالات'!$B$6:$B$505,$B58))</f>
        <v/>
      </c>
    </row>
    <row r="59" customFormat="false" ht="15" hidden="false" customHeight="false" outlineLevel="0" collapsed="false">
      <c r="A59" s="115" t="str">
        <f aca="false">IF($B59="","",الموظفون!$A59)</f>
        <v/>
      </c>
      <c r="B59" s="117" t="str">
        <f aca="false">IF(الموظفون!$B59="","",الموظفون!$B59)</f>
        <v/>
      </c>
      <c r="C59" s="117" t="str">
        <f aca="false">IF($B59="","",الموظفون!$C59)</f>
        <v/>
      </c>
      <c r="D59" s="117" t="str">
        <f aca="false">IF($B59="","",الموظفون!$F59)</f>
        <v/>
      </c>
      <c r="E59" s="117" t="str">
        <f aca="false">IF($B59="","",الموظفون!$E59)</f>
        <v/>
      </c>
      <c r="F59" s="117" t="str">
        <f aca="false">IF($B59="","",IF(AK59=0,IF(AND(الموظفون!$AE59&lt;&gt;"",الموظفون!$AE59&lt;$E$3),"✖ منتهي الخدمة","⏳ لم يباشر"),IF(S59&gt;0,"✈ راتب إجازة مقدم",IF(J59=0,"⛔ بدون راتب هذا الشهر",IF(I59&gt;0,"✈ خصم "&amp;ROUND(I59,2)&amp;" يوم بدون أجر",IF(AL59&gt;0,"🌴 إجازة سنوية "&amp;ROUND(AL59,2)&amp;" يوم",IF(H59&gt;0,"⚠ غياب "&amp;ROUND(H59,2)&amp;" يوم","✔ على رأس العمل")))))))</f>
        <v/>
      </c>
      <c r="G59" s="156" t="str">
        <f aca="false">IF($B59="","",IF(AK59&gt;=DAY($F$3),cfg_DAYS_M,MIN(AK59,cfg_DAYS_M)))</f>
        <v/>
      </c>
      <c r="H59" s="156" t="str">
        <f aca="false">IF($B59="","",SUMIFS('الحركات الشهرية'!$D$6:$D$1005,'الحركات الشهرية'!$B$6:$B$1005,$B59,'الحركات الشهرية'!$A$6:$A$1005,$C$3))</f>
        <v/>
      </c>
      <c r="I59" s="156" t="str">
        <f aca="false">IF($B59="","",MIN(G59,IF(AND(AK59&gt;0,AN59&gt;=AK59),G59,AN59)+SUMIFS('الحركات الشهرية'!$E$6:$E$1005,'الحركات الشهرية'!$B$6:$B$1005,$B59,'الحركات الشهرية'!$A$6:$A$1005,$C$3)))</f>
        <v/>
      </c>
      <c r="J59" s="156" t="str">
        <f aca="false">IF($B59="","",MAX(0,G59-H59-I59))</f>
        <v/>
      </c>
      <c r="K59" s="116" t="str">
        <f aca="false">IF($B59="","",الموظفون!$L59*$J59/cfg_DAYS_M)</f>
        <v/>
      </c>
      <c r="L59" s="116" t="str">
        <f aca="false">IF($B59="","",الموظفون!$M59*$J59/cfg_DAYS_M)</f>
        <v/>
      </c>
      <c r="M59" s="116" t="str">
        <f aca="false">IF($B59="","",الموظفون!$N59*$J59/cfg_DAYS_M)</f>
        <v/>
      </c>
      <c r="N59" s="116" t="str">
        <f aca="false">IF($B59="","",الموظفون!$O59*$J59/cfg_DAYS_M)</f>
        <v/>
      </c>
      <c r="O59" s="156" t="str">
        <f aca="false">IF($B59="","",SUMIFS('الحركات الشهرية'!$F$6:$F$1005,'الحركات الشهرية'!$B$6:$B$1005,$B59,'الحركات الشهرية'!$A$6:$A$1005,$C$3))</f>
        <v/>
      </c>
      <c r="P59" s="116" t="str">
        <f aca="false">IF($B59="","",O59*(الموظفون!$P59+الموظفون!$L59*cfg_OT_P)/cfg_DAYS_M/cfg_HRS)</f>
        <v/>
      </c>
      <c r="Q59" s="116" t="str">
        <f aca="false">IF($B59="","",SUMIFS('الحركات الشهرية'!$G$6:$G$1005,'الحركات الشهرية'!$B$6:$B$1005,$B59,'الحركات الشهرية'!$A$6:$A$1005,$C$3))</f>
        <v/>
      </c>
      <c r="R59" s="116" t="str">
        <f aca="false">IF($B59="","",SUMIFS('الحركات الشهرية'!$H$6:$H$1005,'الحركات الشهرية'!$B$6:$B$1005,$B59,'الحركات الشهرية'!$A$6:$A$1005,$C$3))</f>
        <v/>
      </c>
      <c r="S59" s="116" t="str">
        <f aca="false">IF($B59="","",SUMIFS('سجل الإجازات والحالات'!$N$6:$N$505,'سجل الإجازات والحالات'!$B$6:$B$505,$B59,'سجل الإجازات والحالات'!$O$6:$O$505,$C$3))</f>
        <v/>
      </c>
      <c r="T59" s="157" t="str">
        <f aca="false">IF($B59="","",SUM(K59:N59)+SUM(P59:S59))</f>
        <v/>
      </c>
      <c r="U59" s="116" t="str">
        <f aca="false">IF($B59="","",الموظفون!$S59*IF(E59="سعودي",cfg_G_SE,cfg_G_NE)*G59/cfg_DAYS_M)</f>
        <v/>
      </c>
      <c r="V59" s="116" t="str">
        <f aca="false">IF($B59="","",SUMIFS('الحركات الشهرية'!$I$6:$I$1005,'الحركات الشهرية'!$B$6:$B$1005,$B59,'الحركات الشهرية'!$A$6:$A$1005,$C$3))</f>
        <v/>
      </c>
      <c r="W59" s="116" t="str">
        <f aca="false">IF($B59="","",SUMIFS('الحركات الشهرية'!$J$6:$J$1005,'الحركات الشهرية'!$B$6:$B$1005,$B59,'الحركات الشهرية'!$A$6:$A$1005,$C$3))</f>
        <v/>
      </c>
      <c r="X59" s="116" t="str">
        <f aca="false">IF($B59="","",SUM(U59:W59))</f>
        <v/>
      </c>
      <c r="Y59" s="158" t="str">
        <f aca="false">IF($B59="","",T59-X59)</f>
        <v/>
      </c>
      <c r="Z59" s="116" t="str">
        <f aca="false">IF($B59="","",الموظفون!$S59*IF(E59="سعودي",cfg_G_SR,cfg_G_NR)*G59/cfg_DAYS_M)</f>
        <v/>
      </c>
      <c r="AA59" s="116" t="str">
        <f aca="false">IF($B59="","",الموظفون!$Q59*(cfg_EOS_R1*(MIN(AH59,cfg_EOS_TH)-MIN(AI59,cfg_EOS_TH))+cfg_EOS_R2*(MAX(AH59-cfg_EOS_TH,0)-MAX(AI59-cfg_EOS_TH,0))))</f>
        <v/>
      </c>
      <c r="AB59" s="116" t="str">
        <f aca="false">IF($B59="","",IF(الموظفون!$T59&lt;&gt;"",الموظفون!$T59,IF(AH59&gt;=cfg_LV_TH,cfg_LV_D2,cfg_LV_D1))/cfg_DAYS_Y*AJ59*الموظفون!$R59/cfg_DAYS_M)</f>
        <v/>
      </c>
      <c r="AC59" s="116" t="str">
        <f aca="false">IF($B59="","",IF(AND(الموظفون!$U59="نعم",N(الموظفون!$W59)&gt;0),الموظفون!$V59/الموظفون!$W59*12/cfg_DAYS_Y*AJ59,0))</f>
        <v/>
      </c>
      <c r="AD59" s="116" t="str">
        <f aca="false">IF($B59="","",(IF(الموظفون!$X59&lt;&gt;"",الموظفون!$X59,IF(الموظفون!$E59="غير سعودي",cfg_IQ,0))+IF(الموظفون!$Y59&lt;&gt;"",الموظفون!$Y59,IF(الموظفون!$E59="غير سعودي",cfg_WP,0)))/12*G59/cfg_DAYS_M)</f>
        <v/>
      </c>
      <c r="AE59" s="116" t="str">
        <f aca="false">IF($B59="","",IF(الموظفون!$Z59&lt;&gt;"",الموظفون!$Z59,cfg_MED)/12*G59/cfg_DAYS_M)</f>
        <v/>
      </c>
      <c r="AF59" s="116" t="str">
        <f aca="false">IF($B59="","",N(الموظفون!$AA59)/12*G59/cfg_DAYS_M)</f>
        <v/>
      </c>
      <c r="AG59" s="159" t="str">
        <f aca="false">IF($B59="","",T59+SUM(Z59:AF59))</f>
        <v/>
      </c>
      <c r="AH59" s="160" t="str">
        <f aca="false">IF($B59="","",MAX(0,IF(OR(الموظفون!$AE59="",الموظفون!$AE59&gt;$F$3),$F$3,الموظفون!$AE59)-الموظفون!$H59+1-SUMIFS('سجل الإجازات والحالات'!$AS$6:$AS$505,'سجل الإجازات والحالات'!$B$6:$B$505,$B59))/cfg_DAYS_Y)</f>
        <v/>
      </c>
      <c r="AI59" s="160" t="str">
        <f aca="false">IF($B59="","",MAX(0,IF(OR(الموظفون!$AE59="",الموظفون!$AE59&gt;($E$3-1)),($E$3-1),الموظفون!$AE59)-الموظفون!$H59+1-SUMIFS('سجل الإجازات والحالات'!$AR$6:$AR$505,'سجل الإجازات والحالات'!$B$6:$B$505,$B59))/cfg_DAYS_Y)</f>
        <v/>
      </c>
      <c r="AJ59" s="133" t="str">
        <f aca="false">IF($B59="","",MAX(0,AK59-(SUMIFS('سجل الإجازات والحالات'!$AS$6:$AS$505,'سجل الإجازات والحالات'!$B$6:$B$505,$B59)-SUMIFS('سجل الإجازات والحالات'!$AR$6:$AR$505,'سجل الإجازات والحالات'!$B$6:$B$505,$B59))))</f>
        <v/>
      </c>
      <c r="AK59" s="133" t="str">
        <f aca="false">IF($B59="","",MAX(0,IF(OR(الموظفون!$AE59="",الموظفون!$AE59&gt;$F$3),$F$3,الموظفون!$AE59)-MAX($E$3,الموظفون!$H59)+1))</f>
        <v/>
      </c>
      <c r="AL59" s="156" t="str">
        <f aca="false">IF($B59="","",SUMIFS('سجل الإجازات والحالات'!$BE$6:$BE$505,'سجل الإجازات والحالات'!$B$6:$B$505,$B59)+SUMIFS('الحركات الشهرية'!$K$6:$K$1005,'الحركات الشهرية'!$B$6:$B$1005,$B59,'الحركات الشهرية'!$A$6:$A$1005,$C$3))</f>
        <v/>
      </c>
      <c r="AM59" s="116" t="str">
        <f aca="false">IF($B59="","",AL59*الموظفون!$R59/cfg_DAYS_M+S59)</f>
        <v/>
      </c>
      <c r="AN59" s="156" t="str">
        <f aca="false">IF($B59="","",SUMIFS('سجل الإجازات والحالات'!$AG$6:$AG$505,'سجل الإجازات والحالات'!$B$6:$B$505,$B59))</f>
        <v/>
      </c>
    </row>
    <row r="60" customFormat="false" ht="15" hidden="false" customHeight="false" outlineLevel="0" collapsed="false">
      <c r="A60" s="106" t="str">
        <f aca="false">IF($B60="","",الموظفون!$A60)</f>
        <v/>
      </c>
      <c r="B60" s="114" t="str">
        <f aca="false">IF(الموظفون!$B60="","",الموظفون!$B60)</f>
        <v/>
      </c>
      <c r="C60" s="114" t="str">
        <f aca="false">IF($B60="","",الموظفون!$C60)</f>
        <v/>
      </c>
      <c r="D60" s="114" t="str">
        <f aca="false">IF($B60="","",الموظفون!$F60)</f>
        <v/>
      </c>
      <c r="E60" s="114" t="str">
        <f aca="false">IF($B60="","",الموظفون!$E60)</f>
        <v/>
      </c>
      <c r="F60" s="114" t="str">
        <f aca="false">IF($B60="","",IF(AK60=0,IF(AND(الموظفون!$AE60&lt;&gt;"",الموظفون!$AE60&lt;$E$3),"✖ منتهي الخدمة","⏳ لم يباشر"),IF(S60&gt;0,"✈ راتب إجازة مقدم",IF(J60=0,"⛔ بدون راتب هذا الشهر",IF(I60&gt;0,"✈ خصم "&amp;ROUND(I60,2)&amp;" يوم بدون أجر",IF(AL60&gt;0,"🌴 إجازة سنوية "&amp;ROUND(AL60,2)&amp;" يوم",IF(H60&gt;0,"⚠ غياب "&amp;ROUND(H60,2)&amp;" يوم","✔ على رأس العمل")))))))</f>
        <v/>
      </c>
      <c r="G60" s="151" t="str">
        <f aca="false">IF($B60="","",IF(AK60&gt;=DAY($F$3),cfg_DAYS_M,MIN(AK60,cfg_DAYS_M)))</f>
        <v/>
      </c>
      <c r="H60" s="151" t="str">
        <f aca="false">IF($B60="","",SUMIFS('الحركات الشهرية'!$D$6:$D$1005,'الحركات الشهرية'!$B$6:$B$1005,$B60,'الحركات الشهرية'!$A$6:$A$1005,$C$3))</f>
        <v/>
      </c>
      <c r="I60" s="151" t="str">
        <f aca="false">IF($B60="","",MIN(G60,IF(AND(AK60&gt;0,AN60&gt;=AK60),G60,AN60)+SUMIFS('الحركات الشهرية'!$E$6:$E$1005,'الحركات الشهرية'!$B$6:$B$1005,$B60,'الحركات الشهرية'!$A$6:$A$1005,$C$3)))</f>
        <v/>
      </c>
      <c r="J60" s="151" t="str">
        <f aca="false">IF($B60="","",MAX(0,G60-H60-I60))</f>
        <v/>
      </c>
      <c r="K60" s="111" t="str">
        <f aca="false">IF($B60="","",الموظفون!$L60*$J60/cfg_DAYS_M)</f>
        <v/>
      </c>
      <c r="L60" s="111" t="str">
        <f aca="false">IF($B60="","",الموظفون!$M60*$J60/cfg_DAYS_M)</f>
        <v/>
      </c>
      <c r="M60" s="111" t="str">
        <f aca="false">IF($B60="","",الموظفون!$N60*$J60/cfg_DAYS_M)</f>
        <v/>
      </c>
      <c r="N60" s="111" t="str">
        <f aca="false">IF($B60="","",الموظفون!$O60*$J60/cfg_DAYS_M)</f>
        <v/>
      </c>
      <c r="O60" s="151" t="str">
        <f aca="false">IF($B60="","",SUMIFS('الحركات الشهرية'!$F$6:$F$1005,'الحركات الشهرية'!$B$6:$B$1005,$B60,'الحركات الشهرية'!$A$6:$A$1005,$C$3))</f>
        <v/>
      </c>
      <c r="P60" s="111" t="str">
        <f aca="false">IF($B60="","",O60*(الموظفون!$P60+الموظفون!$L60*cfg_OT_P)/cfg_DAYS_M/cfg_HRS)</f>
        <v/>
      </c>
      <c r="Q60" s="111" t="str">
        <f aca="false">IF($B60="","",SUMIFS('الحركات الشهرية'!$G$6:$G$1005,'الحركات الشهرية'!$B$6:$B$1005,$B60,'الحركات الشهرية'!$A$6:$A$1005,$C$3))</f>
        <v/>
      </c>
      <c r="R60" s="111" t="str">
        <f aca="false">IF($B60="","",SUMIFS('الحركات الشهرية'!$H$6:$H$1005,'الحركات الشهرية'!$B$6:$B$1005,$B60,'الحركات الشهرية'!$A$6:$A$1005,$C$3))</f>
        <v/>
      </c>
      <c r="S60" s="111" t="str">
        <f aca="false">IF($B60="","",SUMIFS('سجل الإجازات والحالات'!$N$6:$N$505,'سجل الإجازات والحالات'!$B$6:$B$505,$B60,'سجل الإجازات والحالات'!$O$6:$O$505,$C$3))</f>
        <v/>
      </c>
      <c r="T60" s="152" t="str">
        <f aca="false">IF($B60="","",SUM(K60:N60)+SUM(P60:S60))</f>
        <v/>
      </c>
      <c r="U60" s="111" t="str">
        <f aca="false">IF($B60="","",الموظفون!$S60*IF(E60="سعودي",cfg_G_SE,cfg_G_NE)*G60/cfg_DAYS_M)</f>
        <v/>
      </c>
      <c r="V60" s="111" t="str">
        <f aca="false">IF($B60="","",SUMIFS('الحركات الشهرية'!$I$6:$I$1005,'الحركات الشهرية'!$B$6:$B$1005,$B60,'الحركات الشهرية'!$A$6:$A$1005,$C$3))</f>
        <v/>
      </c>
      <c r="W60" s="111" t="str">
        <f aca="false">IF($B60="","",SUMIFS('الحركات الشهرية'!$J$6:$J$1005,'الحركات الشهرية'!$B$6:$B$1005,$B60,'الحركات الشهرية'!$A$6:$A$1005,$C$3))</f>
        <v/>
      </c>
      <c r="X60" s="111" t="str">
        <f aca="false">IF($B60="","",SUM(U60:W60))</f>
        <v/>
      </c>
      <c r="Y60" s="153" t="str">
        <f aca="false">IF($B60="","",T60-X60)</f>
        <v/>
      </c>
      <c r="Z60" s="111" t="str">
        <f aca="false">IF($B60="","",الموظفون!$S60*IF(E60="سعودي",cfg_G_SR,cfg_G_NR)*G60/cfg_DAYS_M)</f>
        <v/>
      </c>
      <c r="AA60" s="111" t="str">
        <f aca="false">IF($B60="","",الموظفون!$Q60*(cfg_EOS_R1*(MIN(AH60,cfg_EOS_TH)-MIN(AI60,cfg_EOS_TH))+cfg_EOS_R2*(MAX(AH60-cfg_EOS_TH,0)-MAX(AI60-cfg_EOS_TH,0))))</f>
        <v/>
      </c>
      <c r="AB60" s="111" t="str">
        <f aca="false">IF($B60="","",IF(الموظفون!$T60&lt;&gt;"",الموظفون!$T60,IF(AH60&gt;=cfg_LV_TH,cfg_LV_D2,cfg_LV_D1))/cfg_DAYS_Y*AJ60*الموظفون!$R60/cfg_DAYS_M)</f>
        <v/>
      </c>
      <c r="AC60" s="111" t="str">
        <f aca="false">IF($B60="","",IF(AND(الموظفون!$U60="نعم",N(الموظفون!$W60)&gt;0),الموظفون!$V60/الموظفون!$W60*12/cfg_DAYS_Y*AJ60,0))</f>
        <v/>
      </c>
      <c r="AD60" s="111" t="str">
        <f aca="false">IF($B60="","",(IF(الموظفون!$X60&lt;&gt;"",الموظفون!$X60,IF(الموظفون!$E60="غير سعودي",cfg_IQ,0))+IF(الموظفون!$Y60&lt;&gt;"",الموظفون!$Y60,IF(الموظفون!$E60="غير سعودي",cfg_WP,0)))/12*G60/cfg_DAYS_M)</f>
        <v/>
      </c>
      <c r="AE60" s="111" t="str">
        <f aca="false">IF($B60="","",IF(الموظفون!$Z60&lt;&gt;"",الموظفون!$Z60,cfg_MED)/12*G60/cfg_DAYS_M)</f>
        <v/>
      </c>
      <c r="AF60" s="111" t="str">
        <f aca="false">IF($B60="","",N(الموظفون!$AA60)/12*G60/cfg_DAYS_M)</f>
        <v/>
      </c>
      <c r="AG60" s="154" t="str">
        <f aca="false">IF($B60="","",T60+SUM(Z60:AF60))</f>
        <v/>
      </c>
      <c r="AH60" s="155" t="str">
        <f aca="false">IF($B60="","",MAX(0,IF(OR(الموظفون!$AE60="",الموظفون!$AE60&gt;$F$3),$F$3,الموظفون!$AE60)-الموظفون!$H60+1-SUMIFS('سجل الإجازات والحالات'!$AS$6:$AS$505,'سجل الإجازات والحالات'!$B$6:$B$505,$B60))/cfg_DAYS_Y)</f>
        <v/>
      </c>
      <c r="AI60" s="155" t="str">
        <f aca="false">IF($B60="","",MAX(0,IF(OR(الموظفون!$AE60="",الموظفون!$AE60&gt;($E$3-1)),($E$3-1),الموظفون!$AE60)-الموظفون!$H60+1-SUMIFS('سجل الإجازات والحالات'!$AR$6:$AR$505,'سجل الإجازات والحالات'!$B$6:$B$505,$B60))/cfg_DAYS_Y)</f>
        <v/>
      </c>
      <c r="AJ60" s="65" t="str">
        <f aca="false">IF($B60="","",MAX(0,AK60-(SUMIFS('سجل الإجازات والحالات'!$AS$6:$AS$505,'سجل الإجازات والحالات'!$B$6:$B$505,$B60)-SUMIFS('سجل الإجازات والحالات'!$AR$6:$AR$505,'سجل الإجازات والحالات'!$B$6:$B$505,$B60))))</f>
        <v/>
      </c>
      <c r="AK60" s="65" t="str">
        <f aca="false">IF($B60="","",MAX(0,IF(OR(الموظفون!$AE60="",الموظفون!$AE60&gt;$F$3),$F$3,الموظفون!$AE60)-MAX($E$3,الموظفون!$H60)+1))</f>
        <v/>
      </c>
      <c r="AL60" s="151" t="str">
        <f aca="false">IF($B60="","",SUMIFS('سجل الإجازات والحالات'!$BE$6:$BE$505,'سجل الإجازات والحالات'!$B$6:$B$505,$B60)+SUMIFS('الحركات الشهرية'!$K$6:$K$1005,'الحركات الشهرية'!$B$6:$B$1005,$B60,'الحركات الشهرية'!$A$6:$A$1005,$C$3))</f>
        <v/>
      </c>
      <c r="AM60" s="111" t="str">
        <f aca="false">IF($B60="","",AL60*الموظفون!$R60/cfg_DAYS_M+S60)</f>
        <v/>
      </c>
      <c r="AN60" s="151" t="str">
        <f aca="false">IF($B60="","",SUMIFS('سجل الإجازات والحالات'!$AG$6:$AG$505,'سجل الإجازات والحالات'!$B$6:$B$505,$B60))</f>
        <v/>
      </c>
    </row>
    <row r="61" customFormat="false" ht="15" hidden="false" customHeight="false" outlineLevel="0" collapsed="false">
      <c r="A61" s="115" t="str">
        <f aca="false">IF($B61="","",الموظفون!$A61)</f>
        <v/>
      </c>
      <c r="B61" s="117" t="str">
        <f aca="false">IF(الموظفون!$B61="","",الموظفون!$B61)</f>
        <v/>
      </c>
      <c r="C61" s="117" t="str">
        <f aca="false">IF($B61="","",الموظفون!$C61)</f>
        <v/>
      </c>
      <c r="D61" s="117" t="str">
        <f aca="false">IF($B61="","",الموظفون!$F61)</f>
        <v/>
      </c>
      <c r="E61" s="117" t="str">
        <f aca="false">IF($B61="","",الموظفون!$E61)</f>
        <v/>
      </c>
      <c r="F61" s="117" t="str">
        <f aca="false">IF($B61="","",IF(AK61=0,IF(AND(الموظفون!$AE61&lt;&gt;"",الموظفون!$AE61&lt;$E$3),"✖ منتهي الخدمة","⏳ لم يباشر"),IF(S61&gt;0,"✈ راتب إجازة مقدم",IF(J61=0,"⛔ بدون راتب هذا الشهر",IF(I61&gt;0,"✈ خصم "&amp;ROUND(I61,2)&amp;" يوم بدون أجر",IF(AL61&gt;0,"🌴 إجازة سنوية "&amp;ROUND(AL61,2)&amp;" يوم",IF(H61&gt;0,"⚠ غياب "&amp;ROUND(H61,2)&amp;" يوم","✔ على رأس العمل")))))))</f>
        <v/>
      </c>
      <c r="G61" s="156" t="str">
        <f aca="false">IF($B61="","",IF(AK61&gt;=DAY($F$3),cfg_DAYS_M,MIN(AK61,cfg_DAYS_M)))</f>
        <v/>
      </c>
      <c r="H61" s="156" t="str">
        <f aca="false">IF($B61="","",SUMIFS('الحركات الشهرية'!$D$6:$D$1005,'الحركات الشهرية'!$B$6:$B$1005,$B61,'الحركات الشهرية'!$A$6:$A$1005,$C$3))</f>
        <v/>
      </c>
      <c r="I61" s="156" t="str">
        <f aca="false">IF($B61="","",MIN(G61,IF(AND(AK61&gt;0,AN61&gt;=AK61),G61,AN61)+SUMIFS('الحركات الشهرية'!$E$6:$E$1005,'الحركات الشهرية'!$B$6:$B$1005,$B61,'الحركات الشهرية'!$A$6:$A$1005,$C$3)))</f>
        <v/>
      </c>
      <c r="J61" s="156" t="str">
        <f aca="false">IF($B61="","",MAX(0,G61-H61-I61))</f>
        <v/>
      </c>
      <c r="K61" s="116" t="str">
        <f aca="false">IF($B61="","",الموظفون!$L61*$J61/cfg_DAYS_M)</f>
        <v/>
      </c>
      <c r="L61" s="116" t="str">
        <f aca="false">IF($B61="","",الموظفون!$M61*$J61/cfg_DAYS_M)</f>
        <v/>
      </c>
      <c r="M61" s="116" t="str">
        <f aca="false">IF($B61="","",الموظفون!$N61*$J61/cfg_DAYS_M)</f>
        <v/>
      </c>
      <c r="N61" s="116" t="str">
        <f aca="false">IF($B61="","",الموظفون!$O61*$J61/cfg_DAYS_M)</f>
        <v/>
      </c>
      <c r="O61" s="156" t="str">
        <f aca="false">IF($B61="","",SUMIFS('الحركات الشهرية'!$F$6:$F$1005,'الحركات الشهرية'!$B$6:$B$1005,$B61,'الحركات الشهرية'!$A$6:$A$1005,$C$3))</f>
        <v/>
      </c>
      <c r="P61" s="116" t="str">
        <f aca="false">IF($B61="","",O61*(الموظفون!$P61+الموظفون!$L61*cfg_OT_P)/cfg_DAYS_M/cfg_HRS)</f>
        <v/>
      </c>
      <c r="Q61" s="116" t="str">
        <f aca="false">IF($B61="","",SUMIFS('الحركات الشهرية'!$G$6:$G$1005,'الحركات الشهرية'!$B$6:$B$1005,$B61,'الحركات الشهرية'!$A$6:$A$1005,$C$3))</f>
        <v/>
      </c>
      <c r="R61" s="116" t="str">
        <f aca="false">IF($B61="","",SUMIFS('الحركات الشهرية'!$H$6:$H$1005,'الحركات الشهرية'!$B$6:$B$1005,$B61,'الحركات الشهرية'!$A$6:$A$1005,$C$3))</f>
        <v/>
      </c>
      <c r="S61" s="116" t="str">
        <f aca="false">IF($B61="","",SUMIFS('سجل الإجازات والحالات'!$N$6:$N$505,'سجل الإجازات والحالات'!$B$6:$B$505,$B61,'سجل الإجازات والحالات'!$O$6:$O$505,$C$3))</f>
        <v/>
      </c>
      <c r="T61" s="157" t="str">
        <f aca="false">IF($B61="","",SUM(K61:N61)+SUM(P61:S61))</f>
        <v/>
      </c>
      <c r="U61" s="116" t="str">
        <f aca="false">IF($B61="","",الموظفون!$S61*IF(E61="سعودي",cfg_G_SE,cfg_G_NE)*G61/cfg_DAYS_M)</f>
        <v/>
      </c>
      <c r="V61" s="116" t="str">
        <f aca="false">IF($B61="","",SUMIFS('الحركات الشهرية'!$I$6:$I$1005,'الحركات الشهرية'!$B$6:$B$1005,$B61,'الحركات الشهرية'!$A$6:$A$1005,$C$3))</f>
        <v/>
      </c>
      <c r="W61" s="116" t="str">
        <f aca="false">IF($B61="","",SUMIFS('الحركات الشهرية'!$J$6:$J$1005,'الحركات الشهرية'!$B$6:$B$1005,$B61,'الحركات الشهرية'!$A$6:$A$1005,$C$3))</f>
        <v/>
      </c>
      <c r="X61" s="116" t="str">
        <f aca="false">IF($B61="","",SUM(U61:W61))</f>
        <v/>
      </c>
      <c r="Y61" s="158" t="str">
        <f aca="false">IF($B61="","",T61-X61)</f>
        <v/>
      </c>
      <c r="Z61" s="116" t="str">
        <f aca="false">IF($B61="","",الموظفون!$S61*IF(E61="سعودي",cfg_G_SR,cfg_G_NR)*G61/cfg_DAYS_M)</f>
        <v/>
      </c>
      <c r="AA61" s="116" t="str">
        <f aca="false">IF($B61="","",الموظفون!$Q61*(cfg_EOS_R1*(MIN(AH61,cfg_EOS_TH)-MIN(AI61,cfg_EOS_TH))+cfg_EOS_R2*(MAX(AH61-cfg_EOS_TH,0)-MAX(AI61-cfg_EOS_TH,0))))</f>
        <v/>
      </c>
      <c r="AB61" s="116" t="str">
        <f aca="false">IF($B61="","",IF(الموظفون!$T61&lt;&gt;"",الموظفون!$T61,IF(AH61&gt;=cfg_LV_TH,cfg_LV_D2,cfg_LV_D1))/cfg_DAYS_Y*AJ61*الموظفون!$R61/cfg_DAYS_M)</f>
        <v/>
      </c>
      <c r="AC61" s="116" t="str">
        <f aca="false">IF($B61="","",IF(AND(الموظفون!$U61="نعم",N(الموظفون!$W61)&gt;0),الموظفون!$V61/الموظفون!$W61*12/cfg_DAYS_Y*AJ61,0))</f>
        <v/>
      </c>
      <c r="AD61" s="116" t="str">
        <f aca="false">IF($B61="","",(IF(الموظفون!$X61&lt;&gt;"",الموظفون!$X61,IF(الموظفون!$E61="غير سعودي",cfg_IQ,0))+IF(الموظفون!$Y61&lt;&gt;"",الموظفون!$Y61,IF(الموظفون!$E61="غير سعودي",cfg_WP,0)))/12*G61/cfg_DAYS_M)</f>
        <v/>
      </c>
      <c r="AE61" s="116" t="str">
        <f aca="false">IF($B61="","",IF(الموظفون!$Z61&lt;&gt;"",الموظفون!$Z61,cfg_MED)/12*G61/cfg_DAYS_M)</f>
        <v/>
      </c>
      <c r="AF61" s="116" t="str">
        <f aca="false">IF($B61="","",N(الموظفون!$AA61)/12*G61/cfg_DAYS_M)</f>
        <v/>
      </c>
      <c r="AG61" s="159" t="str">
        <f aca="false">IF($B61="","",T61+SUM(Z61:AF61))</f>
        <v/>
      </c>
      <c r="AH61" s="160" t="str">
        <f aca="false">IF($B61="","",MAX(0,IF(OR(الموظفون!$AE61="",الموظفون!$AE61&gt;$F$3),$F$3,الموظفون!$AE61)-الموظفون!$H61+1-SUMIFS('سجل الإجازات والحالات'!$AS$6:$AS$505,'سجل الإجازات والحالات'!$B$6:$B$505,$B61))/cfg_DAYS_Y)</f>
        <v/>
      </c>
      <c r="AI61" s="160" t="str">
        <f aca="false">IF($B61="","",MAX(0,IF(OR(الموظفون!$AE61="",الموظفون!$AE61&gt;($E$3-1)),($E$3-1),الموظفون!$AE61)-الموظفون!$H61+1-SUMIFS('سجل الإجازات والحالات'!$AR$6:$AR$505,'سجل الإجازات والحالات'!$B$6:$B$505,$B61))/cfg_DAYS_Y)</f>
        <v/>
      </c>
      <c r="AJ61" s="133" t="str">
        <f aca="false">IF($B61="","",MAX(0,AK61-(SUMIFS('سجل الإجازات والحالات'!$AS$6:$AS$505,'سجل الإجازات والحالات'!$B$6:$B$505,$B61)-SUMIFS('سجل الإجازات والحالات'!$AR$6:$AR$505,'سجل الإجازات والحالات'!$B$6:$B$505,$B61))))</f>
        <v/>
      </c>
      <c r="AK61" s="133" t="str">
        <f aca="false">IF($B61="","",MAX(0,IF(OR(الموظفون!$AE61="",الموظفون!$AE61&gt;$F$3),$F$3,الموظفون!$AE61)-MAX($E$3,الموظفون!$H61)+1))</f>
        <v/>
      </c>
      <c r="AL61" s="156" t="str">
        <f aca="false">IF($B61="","",SUMIFS('سجل الإجازات والحالات'!$BE$6:$BE$505,'سجل الإجازات والحالات'!$B$6:$B$505,$B61)+SUMIFS('الحركات الشهرية'!$K$6:$K$1005,'الحركات الشهرية'!$B$6:$B$1005,$B61,'الحركات الشهرية'!$A$6:$A$1005,$C$3))</f>
        <v/>
      </c>
      <c r="AM61" s="116" t="str">
        <f aca="false">IF($B61="","",AL61*الموظفون!$R61/cfg_DAYS_M+S61)</f>
        <v/>
      </c>
      <c r="AN61" s="156" t="str">
        <f aca="false">IF($B61="","",SUMIFS('سجل الإجازات والحالات'!$AG$6:$AG$505,'سجل الإجازات والحالات'!$B$6:$B$505,$B61))</f>
        <v/>
      </c>
    </row>
    <row r="62" customFormat="false" ht="15" hidden="false" customHeight="false" outlineLevel="0" collapsed="false">
      <c r="A62" s="106" t="str">
        <f aca="false">IF($B62="","",الموظفون!$A62)</f>
        <v/>
      </c>
      <c r="B62" s="114" t="str">
        <f aca="false">IF(الموظفون!$B62="","",الموظفون!$B62)</f>
        <v/>
      </c>
      <c r="C62" s="114" t="str">
        <f aca="false">IF($B62="","",الموظفون!$C62)</f>
        <v/>
      </c>
      <c r="D62" s="114" t="str">
        <f aca="false">IF($B62="","",الموظفون!$F62)</f>
        <v/>
      </c>
      <c r="E62" s="114" t="str">
        <f aca="false">IF($B62="","",الموظفون!$E62)</f>
        <v/>
      </c>
      <c r="F62" s="114" t="str">
        <f aca="false">IF($B62="","",IF(AK62=0,IF(AND(الموظفون!$AE62&lt;&gt;"",الموظفون!$AE62&lt;$E$3),"✖ منتهي الخدمة","⏳ لم يباشر"),IF(S62&gt;0,"✈ راتب إجازة مقدم",IF(J62=0,"⛔ بدون راتب هذا الشهر",IF(I62&gt;0,"✈ خصم "&amp;ROUND(I62,2)&amp;" يوم بدون أجر",IF(AL62&gt;0,"🌴 إجازة سنوية "&amp;ROUND(AL62,2)&amp;" يوم",IF(H62&gt;0,"⚠ غياب "&amp;ROUND(H62,2)&amp;" يوم","✔ على رأس العمل")))))))</f>
        <v/>
      </c>
      <c r="G62" s="151" t="str">
        <f aca="false">IF($B62="","",IF(AK62&gt;=DAY($F$3),cfg_DAYS_M,MIN(AK62,cfg_DAYS_M)))</f>
        <v/>
      </c>
      <c r="H62" s="151" t="str">
        <f aca="false">IF($B62="","",SUMIFS('الحركات الشهرية'!$D$6:$D$1005,'الحركات الشهرية'!$B$6:$B$1005,$B62,'الحركات الشهرية'!$A$6:$A$1005,$C$3))</f>
        <v/>
      </c>
      <c r="I62" s="151" t="str">
        <f aca="false">IF($B62="","",MIN(G62,IF(AND(AK62&gt;0,AN62&gt;=AK62),G62,AN62)+SUMIFS('الحركات الشهرية'!$E$6:$E$1005,'الحركات الشهرية'!$B$6:$B$1005,$B62,'الحركات الشهرية'!$A$6:$A$1005,$C$3)))</f>
        <v/>
      </c>
      <c r="J62" s="151" t="str">
        <f aca="false">IF($B62="","",MAX(0,G62-H62-I62))</f>
        <v/>
      </c>
      <c r="K62" s="111" t="str">
        <f aca="false">IF($B62="","",الموظفون!$L62*$J62/cfg_DAYS_M)</f>
        <v/>
      </c>
      <c r="L62" s="111" t="str">
        <f aca="false">IF($B62="","",الموظفون!$M62*$J62/cfg_DAYS_M)</f>
        <v/>
      </c>
      <c r="M62" s="111" t="str">
        <f aca="false">IF($B62="","",الموظفون!$N62*$J62/cfg_DAYS_M)</f>
        <v/>
      </c>
      <c r="N62" s="111" t="str">
        <f aca="false">IF($B62="","",الموظفون!$O62*$J62/cfg_DAYS_M)</f>
        <v/>
      </c>
      <c r="O62" s="151" t="str">
        <f aca="false">IF($B62="","",SUMIFS('الحركات الشهرية'!$F$6:$F$1005,'الحركات الشهرية'!$B$6:$B$1005,$B62,'الحركات الشهرية'!$A$6:$A$1005,$C$3))</f>
        <v/>
      </c>
      <c r="P62" s="111" t="str">
        <f aca="false">IF($B62="","",O62*(الموظفون!$P62+الموظفون!$L62*cfg_OT_P)/cfg_DAYS_M/cfg_HRS)</f>
        <v/>
      </c>
      <c r="Q62" s="111" t="str">
        <f aca="false">IF($B62="","",SUMIFS('الحركات الشهرية'!$G$6:$G$1005,'الحركات الشهرية'!$B$6:$B$1005,$B62,'الحركات الشهرية'!$A$6:$A$1005,$C$3))</f>
        <v/>
      </c>
      <c r="R62" s="111" t="str">
        <f aca="false">IF($B62="","",SUMIFS('الحركات الشهرية'!$H$6:$H$1005,'الحركات الشهرية'!$B$6:$B$1005,$B62,'الحركات الشهرية'!$A$6:$A$1005,$C$3))</f>
        <v/>
      </c>
      <c r="S62" s="111" t="str">
        <f aca="false">IF($B62="","",SUMIFS('سجل الإجازات والحالات'!$N$6:$N$505,'سجل الإجازات والحالات'!$B$6:$B$505,$B62,'سجل الإجازات والحالات'!$O$6:$O$505,$C$3))</f>
        <v/>
      </c>
      <c r="T62" s="152" t="str">
        <f aca="false">IF($B62="","",SUM(K62:N62)+SUM(P62:S62))</f>
        <v/>
      </c>
      <c r="U62" s="111" t="str">
        <f aca="false">IF($B62="","",الموظفون!$S62*IF(E62="سعودي",cfg_G_SE,cfg_G_NE)*G62/cfg_DAYS_M)</f>
        <v/>
      </c>
      <c r="V62" s="111" t="str">
        <f aca="false">IF($B62="","",SUMIFS('الحركات الشهرية'!$I$6:$I$1005,'الحركات الشهرية'!$B$6:$B$1005,$B62,'الحركات الشهرية'!$A$6:$A$1005,$C$3))</f>
        <v/>
      </c>
      <c r="W62" s="111" t="str">
        <f aca="false">IF($B62="","",SUMIFS('الحركات الشهرية'!$J$6:$J$1005,'الحركات الشهرية'!$B$6:$B$1005,$B62,'الحركات الشهرية'!$A$6:$A$1005,$C$3))</f>
        <v/>
      </c>
      <c r="X62" s="111" t="str">
        <f aca="false">IF($B62="","",SUM(U62:W62))</f>
        <v/>
      </c>
      <c r="Y62" s="153" t="str">
        <f aca="false">IF($B62="","",T62-X62)</f>
        <v/>
      </c>
      <c r="Z62" s="111" t="str">
        <f aca="false">IF($B62="","",الموظفون!$S62*IF(E62="سعودي",cfg_G_SR,cfg_G_NR)*G62/cfg_DAYS_M)</f>
        <v/>
      </c>
      <c r="AA62" s="111" t="str">
        <f aca="false">IF($B62="","",الموظفون!$Q62*(cfg_EOS_R1*(MIN(AH62,cfg_EOS_TH)-MIN(AI62,cfg_EOS_TH))+cfg_EOS_R2*(MAX(AH62-cfg_EOS_TH,0)-MAX(AI62-cfg_EOS_TH,0))))</f>
        <v/>
      </c>
      <c r="AB62" s="111" t="str">
        <f aca="false">IF($B62="","",IF(الموظفون!$T62&lt;&gt;"",الموظفون!$T62,IF(AH62&gt;=cfg_LV_TH,cfg_LV_D2,cfg_LV_D1))/cfg_DAYS_Y*AJ62*الموظفون!$R62/cfg_DAYS_M)</f>
        <v/>
      </c>
      <c r="AC62" s="111" t="str">
        <f aca="false">IF($B62="","",IF(AND(الموظفون!$U62="نعم",N(الموظفون!$W62)&gt;0),الموظفون!$V62/الموظفون!$W62*12/cfg_DAYS_Y*AJ62,0))</f>
        <v/>
      </c>
      <c r="AD62" s="111" t="str">
        <f aca="false">IF($B62="","",(IF(الموظفون!$X62&lt;&gt;"",الموظفون!$X62,IF(الموظفون!$E62="غير سعودي",cfg_IQ,0))+IF(الموظفون!$Y62&lt;&gt;"",الموظفون!$Y62,IF(الموظفون!$E62="غير سعودي",cfg_WP,0)))/12*G62/cfg_DAYS_M)</f>
        <v/>
      </c>
      <c r="AE62" s="111" t="str">
        <f aca="false">IF($B62="","",IF(الموظفون!$Z62&lt;&gt;"",الموظفون!$Z62,cfg_MED)/12*G62/cfg_DAYS_M)</f>
        <v/>
      </c>
      <c r="AF62" s="111" t="str">
        <f aca="false">IF($B62="","",N(الموظفون!$AA62)/12*G62/cfg_DAYS_M)</f>
        <v/>
      </c>
      <c r="AG62" s="154" t="str">
        <f aca="false">IF($B62="","",T62+SUM(Z62:AF62))</f>
        <v/>
      </c>
      <c r="AH62" s="155" t="str">
        <f aca="false">IF($B62="","",MAX(0,IF(OR(الموظفون!$AE62="",الموظفون!$AE62&gt;$F$3),$F$3,الموظفون!$AE62)-الموظفون!$H62+1-SUMIFS('سجل الإجازات والحالات'!$AS$6:$AS$505,'سجل الإجازات والحالات'!$B$6:$B$505,$B62))/cfg_DAYS_Y)</f>
        <v/>
      </c>
      <c r="AI62" s="155" t="str">
        <f aca="false">IF($B62="","",MAX(0,IF(OR(الموظفون!$AE62="",الموظفون!$AE62&gt;($E$3-1)),($E$3-1),الموظفون!$AE62)-الموظفون!$H62+1-SUMIFS('سجل الإجازات والحالات'!$AR$6:$AR$505,'سجل الإجازات والحالات'!$B$6:$B$505,$B62))/cfg_DAYS_Y)</f>
        <v/>
      </c>
      <c r="AJ62" s="65" t="str">
        <f aca="false">IF($B62="","",MAX(0,AK62-(SUMIFS('سجل الإجازات والحالات'!$AS$6:$AS$505,'سجل الإجازات والحالات'!$B$6:$B$505,$B62)-SUMIFS('سجل الإجازات والحالات'!$AR$6:$AR$505,'سجل الإجازات والحالات'!$B$6:$B$505,$B62))))</f>
        <v/>
      </c>
      <c r="AK62" s="65" t="str">
        <f aca="false">IF($B62="","",MAX(0,IF(OR(الموظفون!$AE62="",الموظفون!$AE62&gt;$F$3),$F$3,الموظفون!$AE62)-MAX($E$3,الموظفون!$H62)+1))</f>
        <v/>
      </c>
      <c r="AL62" s="151" t="str">
        <f aca="false">IF($B62="","",SUMIFS('سجل الإجازات والحالات'!$BE$6:$BE$505,'سجل الإجازات والحالات'!$B$6:$B$505,$B62)+SUMIFS('الحركات الشهرية'!$K$6:$K$1005,'الحركات الشهرية'!$B$6:$B$1005,$B62,'الحركات الشهرية'!$A$6:$A$1005,$C$3))</f>
        <v/>
      </c>
      <c r="AM62" s="111" t="str">
        <f aca="false">IF($B62="","",AL62*الموظفون!$R62/cfg_DAYS_M+S62)</f>
        <v/>
      </c>
      <c r="AN62" s="151" t="str">
        <f aca="false">IF($B62="","",SUMIFS('سجل الإجازات والحالات'!$AG$6:$AG$505,'سجل الإجازات والحالات'!$B$6:$B$505,$B62))</f>
        <v/>
      </c>
    </row>
    <row r="63" customFormat="false" ht="15" hidden="false" customHeight="false" outlineLevel="0" collapsed="false">
      <c r="A63" s="115" t="str">
        <f aca="false">IF($B63="","",الموظفون!$A63)</f>
        <v/>
      </c>
      <c r="B63" s="117" t="str">
        <f aca="false">IF(الموظفون!$B63="","",الموظفون!$B63)</f>
        <v/>
      </c>
      <c r="C63" s="117" t="str">
        <f aca="false">IF($B63="","",الموظفون!$C63)</f>
        <v/>
      </c>
      <c r="D63" s="117" t="str">
        <f aca="false">IF($B63="","",الموظفون!$F63)</f>
        <v/>
      </c>
      <c r="E63" s="117" t="str">
        <f aca="false">IF($B63="","",الموظفون!$E63)</f>
        <v/>
      </c>
      <c r="F63" s="117" t="str">
        <f aca="false">IF($B63="","",IF(AK63=0,IF(AND(الموظفون!$AE63&lt;&gt;"",الموظفون!$AE63&lt;$E$3),"✖ منتهي الخدمة","⏳ لم يباشر"),IF(S63&gt;0,"✈ راتب إجازة مقدم",IF(J63=0,"⛔ بدون راتب هذا الشهر",IF(I63&gt;0,"✈ خصم "&amp;ROUND(I63,2)&amp;" يوم بدون أجر",IF(AL63&gt;0,"🌴 إجازة سنوية "&amp;ROUND(AL63,2)&amp;" يوم",IF(H63&gt;0,"⚠ غياب "&amp;ROUND(H63,2)&amp;" يوم","✔ على رأس العمل")))))))</f>
        <v/>
      </c>
      <c r="G63" s="156" t="str">
        <f aca="false">IF($B63="","",IF(AK63&gt;=DAY($F$3),cfg_DAYS_M,MIN(AK63,cfg_DAYS_M)))</f>
        <v/>
      </c>
      <c r="H63" s="156" t="str">
        <f aca="false">IF($B63="","",SUMIFS('الحركات الشهرية'!$D$6:$D$1005,'الحركات الشهرية'!$B$6:$B$1005,$B63,'الحركات الشهرية'!$A$6:$A$1005,$C$3))</f>
        <v/>
      </c>
      <c r="I63" s="156" t="str">
        <f aca="false">IF($B63="","",MIN(G63,IF(AND(AK63&gt;0,AN63&gt;=AK63),G63,AN63)+SUMIFS('الحركات الشهرية'!$E$6:$E$1005,'الحركات الشهرية'!$B$6:$B$1005,$B63,'الحركات الشهرية'!$A$6:$A$1005,$C$3)))</f>
        <v/>
      </c>
      <c r="J63" s="156" t="str">
        <f aca="false">IF($B63="","",MAX(0,G63-H63-I63))</f>
        <v/>
      </c>
      <c r="K63" s="116" t="str">
        <f aca="false">IF($B63="","",الموظفون!$L63*$J63/cfg_DAYS_M)</f>
        <v/>
      </c>
      <c r="L63" s="116" t="str">
        <f aca="false">IF($B63="","",الموظفون!$M63*$J63/cfg_DAYS_M)</f>
        <v/>
      </c>
      <c r="M63" s="116" t="str">
        <f aca="false">IF($B63="","",الموظفون!$N63*$J63/cfg_DAYS_M)</f>
        <v/>
      </c>
      <c r="N63" s="116" t="str">
        <f aca="false">IF($B63="","",الموظفون!$O63*$J63/cfg_DAYS_M)</f>
        <v/>
      </c>
      <c r="O63" s="156" t="str">
        <f aca="false">IF($B63="","",SUMIFS('الحركات الشهرية'!$F$6:$F$1005,'الحركات الشهرية'!$B$6:$B$1005,$B63,'الحركات الشهرية'!$A$6:$A$1005,$C$3))</f>
        <v/>
      </c>
      <c r="P63" s="116" t="str">
        <f aca="false">IF($B63="","",O63*(الموظفون!$P63+الموظفون!$L63*cfg_OT_P)/cfg_DAYS_M/cfg_HRS)</f>
        <v/>
      </c>
      <c r="Q63" s="116" t="str">
        <f aca="false">IF($B63="","",SUMIFS('الحركات الشهرية'!$G$6:$G$1005,'الحركات الشهرية'!$B$6:$B$1005,$B63,'الحركات الشهرية'!$A$6:$A$1005,$C$3))</f>
        <v/>
      </c>
      <c r="R63" s="116" t="str">
        <f aca="false">IF($B63="","",SUMIFS('الحركات الشهرية'!$H$6:$H$1005,'الحركات الشهرية'!$B$6:$B$1005,$B63,'الحركات الشهرية'!$A$6:$A$1005,$C$3))</f>
        <v/>
      </c>
      <c r="S63" s="116" t="str">
        <f aca="false">IF($B63="","",SUMIFS('سجل الإجازات والحالات'!$N$6:$N$505,'سجل الإجازات والحالات'!$B$6:$B$505,$B63,'سجل الإجازات والحالات'!$O$6:$O$505,$C$3))</f>
        <v/>
      </c>
      <c r="T63" s="157" t="str">
        <f aca="false">IF($B63="","",SUM(K63:N63)+SUM(P63:S63))</f>
        <v/>
      </c>
      <c r="U63" s="116" t="str">
        <f aca="false">IF($B63="","",الموظفون!$S63*IF(E63="سعودي",cfg_G_SE,cfg_G_NE)*G63/cfg_DAYS_M)</f>
        <v/>
      </c>
      <c r="V63" s="116" t="str">
        <f aca="false">IF($B63="","",SUMIFS('الحركات الشهرية'!$I$6:$I$1005,'الحركات الشهرية'!$B$6:$B$1005,$B63,'الحركات الشهرية'!$A$6:$A$1005,$C$3))</f>
        <v/>
      </c>
      <c r="W63" s="116" t="str">
        <f aca="false">IF($B63="","",SUMIFS('الحركات الشهرية'!$J$6:$J$1005,'الحركات الشهرية'!$B$6:$B$1005,$B63,'الحركات الشهرية'!$A$6:$A$1005,$C$3))</f>
        <v/>
      </c>
      <c r="X63" s="116" t="str">
        <f aca="false">IF($B63="","",SUM(U63:W63))</f>
        <v/>
      </c>
      <c r="Y63" s="158" t="str">
        <f aca="false">IF($B63="","",T63-X63)</f>
        <v/>
      </c>
      <c r="Z63" s="116" t="str">
        <f aca="false">IF($B63="","",الموظفون!$S63*IF(E63="سعودي",cfg_G_SR,cfg_G_NR)*G63/cfg_DAYS_M)</f>
        <v/>
      </c>
      <c r="AA63" s="116" t="str">
        <f aca="false">IF($B63="","",الموظفون!$Q63*(cfg_EOS_R1*(MIN(AH63,cfg_EOS_TH)-MIN(AI63,cfg_EOS_TH))+cfg_EOS_R2*(MAX(AH63-cfg_EOS_TH,0)-MAX(AI63-cfg_EOS_TH,0))))</f>
        <v/>
      </c>
      <c r="AB63" s="116" t="str">
        <f aca="false">IF($B63="","",IF(الموظفون!$T63&lt;&gt;"",الموظفون!$T63,IF(AH63&gt;=cfg_LV_TH,cfg_LV_D2,cfg_LV_D1))/cfg_DAYS_Y*AJ63*الموظفون!$R63/cfg_DAYS_M)</f>
        <v/>
      </c>
      <c r="AC63" s="116" t="str">
        <f aca="false">IF($B63="","",IF(AND(الموظفون!$U63="نعم",N(الموظفون!$W63)&gt;0),الموظفون!$V63/الموظفون!$W63*12/cfg_DAYS_Y*AJ63,0))</f>
        <v/>
      </c>
      <c r="AD63" s="116" t="str">
        <f aca="false">IF($B63="","",(IF(الموظفون!$X63&lt;&gt;"",الموظفون!$X63,IF(الموظفون!$E63="غير سعودي",cfg_IQ,0))+IF(الموظفون!$Y63&lt;&gt;"",الموظفون!$Y63,IF(الموظفون!$E63="غير سعودي",cfg_WP,0)))/12*G63/cfg_DAYS_M)</f>
        <v/>
      </c>
      <c r="AE63" s="116" t="str">
        <f aca="false">IF($B63="","",IF(الموظفون!$Z63&lt;&gt;"",الموظفون!$Z63,cfg_MED)/12*G63/cfg_DAYS_M)</f>
        <v/>
      </c>
      <c r="AF63" s="116" t="str">
        <f aca="false">IF($B63="","",N(الموظفون!$AA63)/12*G63/cfg_DAYS_M)</f>
        <v/>
      </c>
      <c r="AG63" s="159" t="str">
        <f aca="false">IF($B63="","",T63+SUM(Z63:AF63))</f>
        <v/>
      </c>
      <c r="AH63" s="160" t="str">
        <f aca="false">IF($B63="","",MAX(0,IF(OR(الموظفون!$AE63="",الموظفون!$AE63&gt;$F$3),$F$3,الموظفون!$AE63)-الموظفون!$H63+1-SUMIFS('سجل الإجازات والحالات'!$AS$6:$AS$505,'سجل الإجازات والحالات'!$B$6:$B$505,$B63))/cfg_DAYS_Y)</f>
        <v/>
      </c>
      <c r="AI63" s="160" t="str">
        <f aca="false">IF($B63="","",MAX(0,IF(OR(الموظفون!$AE63="",الموظفون!$AE63&gt;($E$3-1)),($E$3-1),الموظفون!$AE63)-الموظفون!$H63+1-SUMIFS('سجل الإجازات والحالات'!$AR$6:$AR$505,'سجل الإجازات والحالات'!$B$6:$B$505,$B63))/cfg_DAYS_Y)</f>
        <v/>
      </c>
      <c r="AJ63" s="133" t="str">
        <f aca="false">IF($B63="","",MAX(0,AK63-(SUMIFS('سجل الإجازات والحالات'!$AS$6:$AS$505,'سجل الإجازات والحالات'!$B$6:$B$505,$B63)-SUMIFS('سجل الإجازات والحالات'!$AR$6:$AR$505,'سجل الإجازات والحالات'!$B$6:$B$505,$B63))))</f>
        <v/>
      </c>
      <c r="AK63" s="133" t="str">
        <f aca="false">IF($B63="","",MAX(0,IF(OR(الموظفون!$AE63="",الموظفون!$AE63&gt;$F$3),$F$3,الموظفون!$AE63)-MAX($E$3,الموظفون!$H63)+1))</f>
        <v/>
      </c>
      <c r="AL63" s="156" t="str">
        <f aca="false">IF($B63="","",SUMIFS('سجل الإجازات والحالات'!$BE$6:$BE$505,'سجل الإجازات والحالات'!$B$6:$B$505,$B63)+SUMIFS('الحركات الشهرية'!$K$6:$K$1005,'الحركات الشهرية'!$B$6:$B$1005,$B63,'الحركات الشهرية'!$A$6:$A$1005,$C$3))</f>
        <v/>
      </c>
      <c r="AM63" s="116" t="str">
        <f aca="false">IF($B63="","",AL63*الموظفون!$R63/cfg_DAYS_M+S63)</f>
        <v/>
      </c>
      <c r="AN63" s="156" t="str">
        <f aca="false">IF($B63="","",SUMIFS('سجل الإجازات والحالات'!$AG$6:$AG$505,'سجل الإجازات والحالات'!$B$6:$B$505,$B63))</f>
        <v/>
      </c>
    </row>
    <row r="64" customFormat="false" ht="15" hidden="false" customHeight="false" outlineLevel="0" collapsed="false">
      <c r="A64" s="106" t="str">
        <f aca="false">IF($B64="","",الموظفون!$A64)</f>
        <v/>
      </c>
      <c r="B64" s="114" t="str">
        <f aca="false">IF(الموظفون!$B64="","",الموظفون!$B64)</f>
        <v/>
      </c>
      <c r="C64" s="114" t="str">
        <f aca="false">IF($B64="","",الموظفون!$C64)</f>
        <v/>
      </c>
      <c r="D64" s="114" t="str">
        <f aca="false">IF($B64="","",الموظفون!$F64)</f>
        <v/>
      </c>
      <c r="E64" s="114" t="str">
        <f aca="false">IF($B64="","",الموظفون!$E64)</f>
        <v/>
      </c>
      <c r="F64" s="114" t="str">
        <f aca="false">IF($B64="","",IF(AK64=0,IF(AND(الموظفون!$AE64&lt;&gt;"",الموظفون!$AE64&lt;$E$3),"✖ منتهي الخدمة","⏳ لم يباشر"),IF(S64&gt;0,"✈ راتب إجازة مقدم",IF(J64=0,"⛔ بدون راتب هذا الشهر",IF(I64&gt;0,"✈ خصم "&amp;ROUND(I64,2)&amp;" يوم بدون أجر",IF(AL64&gt;0,"🌴 إجازة سنوية "&amp;ROUND(AL64,2)&amp;" يوم",IF(H64&gt;0,"⚠ غياب "&amp;ROUND(H64,2)&amp;" يوم","✔ على رأس العمل")))))))</f>
        <v/>
      </c>
      <c r="G64" s="151" t="str">
        <f aca="false">IF($B64="","",IF(AK64&gt;=DAY($F$3),cfg_DAYS_M,MIN(AK64,cfg_DAYS_M)))</f>
        <v/>
      </c>
      <c r="H64" s="151" t="str">
        <f aca="false">IF($B64="","",SUMIFS('الحركات الشهرية'!$D$6:$D$1005,'الحركات الشهرية'!$B$6:$B$1005,$B64,'الحركات الشهرية'!$A$6:$A$1005,$C$3))</f>
        <v/>
      </c>
      <c r="I64" s="151" t="str">
        <f aca="false">IF($B64="","",MIN(G64,IF(AND(AK64&gt;0,AN64&gt;=AK64),G64,AN64)+SUMIFS('الحركات الشهرية'!$E$6:$E$1005,'الحركات الشهرية'!$B$6:$B$1005,$B64,'الحركات الشهرية'!$A$6:$A$1005,$C$3)))</f>
        <v/>
      </c>
      <c r="J64" s="151" t="str">
        <f aca="false">IF($B64="","",MAX(0,G64-H64-I64))</f>
        <v/>
      </c>
      <c r="K64" s="111" t="str">
        <f aca="false">IF($B64="","",الموظفون!$L64*$J64/cfg_DAYS_M)</f>
        <v/>
      </c>
      <c r="L64" s="111" t="str">
        <f aca="false">IF($B64="","",الموظفون!$M64*$J64/cfg_DAYS_M)</f>
        <v/>
      </c>
      <c r="M64" s="111" t="str">
        <f aca="false">IF($B64="","",الموظفون!$N64*$J64/cfg_DAYS_M)</f>
        <v/>
      </c>
      <c r="N64" s="111" t="str">
        <f aca="false">IF($B64="","",الموظفون!$O64*$J64/cfg_DAYS_M)</f>
        <v/>
      </c>
      <c r="O64" s="151" t="str">
        <f aca="false">IF($B64="","",SUMIFS('الحركات الشهرية'!$F$6:$F$1005,'الحركات الشهرية'!$B$6:$B$1005,$B64,'الحركات الشهرية'!$A$6:$A$1005,$C$3))</f>
        <v/>
      </c>
      <c r="P64" s="111" t="str">
        <f aca="false">IF($B64="","",O64*(الموظفون!$P64+الموظفون!$L64*cfg_OT_P)/cfg_DAYS_M/cfg_HRS)</f>
        <v/>
      </c>
      <c r="Q64" s="111" t="str">
        <f aca="false">IF($B64="","",SUMIFS('الحركات الشهرية'!$G$6:$G$1005,'الحركات الشهرية'!$B$6:$B$1005,$B64,'الحركات الشهرية'!$A$6:$A$1005,$C$3))</f>
        <v/>
      </c>
      <c r="R64" s="111" t="str">
        <f aca="false">IF($B64="","",SUMIFS('الحركات الشهرية'!$H$6:$H$1005,'الحركات الشهرية'!$B$6:$B$1005,$B64,'الحركات الشهرية'!$A$6:$A$1005,$C$3))</f>
        <v/>
      </c>
      <c r="S64" s="111" t="str">
        <f aca="false">IF($B64="","",SUMIFS('سجل الإجازات والحالات'!$N$6:$N$505,'سجل الإجازات والحالات'!$B$6:$B$505,$B64,'سجل الإجازات والحالات'!$O$6:$O$505,$C$3))</f>
        <v/>
      </c>
      <c r="T64" s="152" t="str">
        <f aca="false">IF($B64="","",SUM(K64:N64)+SUM(P64:S64))</f>
        <v/>
      </c>
      <c r="U64" s="111" t="str">
        <f aca="false">IF($B64="","",الموظفون!$S64*IF(E64="سعودي",cfg_G_SE,cfg_G_NE)*G64/cfg_DAYS_M)</f>
        <v/>
      </c>
      <c r="V64" s="111" t="str">
        <f aca="false">IF($B64="","",SUMIFS('الحركات الشهرية'!$I$6:$I$1005,'الحركات الشهرية'!$B$6:$B$1005,$B64,'الحركات الشهرية'!$A$6:$A$1005,$C$3))</f>
        <v/>
      </c>
      <c r="W64" s="111" t="str">
        <f aca="false">IF($B64="","",SUMIFS('الحركات الشهرية'!$J$6:$J$1005,'الحركات الشهرية'!$B$6:$B$1005,$B64,'الحركات الشهرية'!$A$6:$A$1005,$C$3))</f>
        <v/>
      </c>
      <c r="X64" s="111" t="str">
        <f aca="false">IF($B64="","",SUM(U64:W64))</f>
        <v/>
      </c>
      <c r="Y64" s="153" t="str">
        <f aca="false">IF($B64="","",T64-X64)</f>
        <v/>
      </c>
      <c r="Z64" s="111" t="str">
        <f aca="false">IF($B64="","",الموظفون!$S64*IF(E64="سعودي",cfg_G_SR,cfg_G_NR)*G64/cfg_DAYS_M)</f>
        <v/>
      </c>
      <c r="AA64" s="111" t="str">
        <f aca="false">IF($B64="","",الموظفون!$Q64*(cfg_EOS_R1*(MIN(AH64,cfg_EOS_TH)-MIN(AI64,cfg_EOS_TH))+cfg_EOS_R2*(MAX(AH64-cfg_EOS_TH,0)-MAX(AI64-cfg_EOS_TH,0))))</f>
        <v/>
      </c>
      <c r="AB64" s="111" t="str">
        <f aca="false">IF($B64="","",IF(الموظفون!$T64&lt;&gt;"",الموظفون!$T64,IF(AH64&gt;=cfg_LV_TH,cfg_LV_D2,cfg_LV_D1))/cfg_DAYS_Y*AJ64*الموظفون!$R64/cfg_DAYS_M)</f>
        <v/>
      </c>
      <c r="AC64" s="111" t="str">
        <f aca="false">IF($B64="","",IF(AND(الموظفون!$U64="نعم",N(الموظفون!$W64)&gt;0),الموظفون!$V64/الموظفون!$W64*12/cfg_DAYS_Y*AJ64,0))</f>
        <v/>
      </c>
      <c r="AD64" s="111" t="str">
        <f aca="false">IF($B64="","",(IF(الموظفون!$X64&lt;&gt;"",الموظفون!$X64,IF(الموظفون!$E64="غير سعودي",cfg_IQ,0))+IF(الموظفون!$Y64&lt;&gt;"",الموظفون!$Y64,IF(الموظفون!$E64="غير سعودي",cfg_WP,0)))/12*G64/cfg_DAYS_M)</f>
        <v/>
      </c>
      <c r="AE64" s="111" t="str">
        <f aca="false">IF($B64="","",IF(الموظفون!$Z64&lt;&gt;"",الموظفون!$Z64,cfg_MED)/12*G64/cfg_DAYS_M)</f>
        <v/>
      </c>
      <c r="AF64" s="111" t="str">
        <f aca="false">IF($B64="","",N(الموظفون!$AA64)/12*G64/cfg_DAYS_M)</f>
        <v/>
      </c>
      <c r="AG64" s="154" t="str">
        <f aca="false">IF($B64="","",T64+SUM(Z64:AF64))</f>
        <v/>
      </c>
      <c r="AH64" s="155" t="str">
        <f aca="false">IF($B64="","",MAX(0,IF(OR(الموظفون!$AE64="",الموظفون!$AE64&gt;$F$3),$F$3,الموظفون!$AE64)-الموظفون!$H64+1-SUMIFS('سجل الإجازات والحالات'!$AS$6:$AS$505,'سجل الإجازات والحالات'!$B$6:$B$505,$B64))/cfg_DAYS_Y)</f>
        <v/>
      </c>
      <c r="AI64" s="155" t="str">
        <f aca="false">IF($B64="","",MAX(0,IF(OR(الموظفون!$AE64="",الموظفون!$AE64&gt;($E$3-1)),($E$3-1),الموظفون!$AE64)-الموظفون!$H64+1-SUMIFS('سجل الإجازات والحالات'!$AR$6:$AR$505,'سجل الإجازات والحالات'!$B$6:$B$505,$B64))/cfg_DAYS_Y)</f>
        <v/>
      </c>
      <c r="AJ64" s="65" t="str">
        <f aca="false">IF($B64="","",MAX(0,AK64-(SUMIFS('سجل الإجازات والحالات'!$AS$6:$AS$505,'سجل الإجازات والحالات'!$B$6:$B$505,$B64)-SUMIFS('سجل الإجازات والحالات'!$AR$6:$AR$505,'سجل الإجازات والحالات'!$B$6:$B$505,$B64))))</f>
        <v/>
      </c>
      <c r="AK64" s="65" t="str">
        <f aca="false">IF($B64="","",MAX(0,IF(OR(الموظفون!$AE64="",الموظفون!$AE64&gt;$F$3),$F$3,الموظفون!$AE64)-MAX($E$3,الموظفون!$H64)+1))</f>
        <v/>
      </c>
      <c r="AL64" s="151" t="str">
        <f aca="false">IF($B64="","",SUMIFS('سجل الإجازات والحالات'!$BE$6:$BE$505,'سجل الإجازات والحالات'!$B$6:$B$505,$B64)+SUMIFS('الحركات الشهرية'!$K$6:$K$1005,'الحركات الشهرية'!$B$6:$B$1005,$B64,'الحركات الشهرية'!$A$6:$A$1005,$C$3))</f>
        <v/>
      </c>
      <c r="AM64" s="111" t="str">
        <f aca="false">IF($B64="","",AL64*الموظفون!$R64/cfg_DAYS_M+S64)</f>
        <v/>
      </c>
      <c r="AN64" s="151" t="str">
        <f aca="false">IF($B64="","",SUMIFS('سجل الإجازات والحالات'!$AG$6:$AG$505,'سجل الإجازات والحالات'!$B$6:$B$505,$B64))</f>
        <v/>
      </c>
    </row>
    <row r="65" customFormat="false" ht="15" hidden="false" customHeight="false" outlineLevel="0" collapsed="false">
      <c r="A65" s="115" t="str">
        <f aca="false">IF($B65="","",الموظفون!$A65)</f>
        <v/>
      </c>
      <c r="B65" s="117" t="str">
        <f aca="false">IF(الموظفون!$B65="","",الموظفون!$B65)</f>
        <v/>
      </c>
      <c r="C65" s="117" t="str">
        <f aca="false">IF($B65="","",الموظفون!$C65)</f>
        <v/>
      </c>
      <c r="D65" s="117" t="str">
        <f aca="false">IF($B65="","",الموظفون!$F65)</f>
        <v/>
      </c>
      <c r="E65" s="117" t="str">
        <f aca="false">IF($B65="","",الموظفون!$E65)</f>
        <v/>
      </c>
      <c r="F65" s="117" t="str">
        <f aca="false">IF($B65="","",IF(AK65=0,IF(AND(الموظفون!$AE65&lt;&gt;"",الموظفون!$AE65&lt;$E$3),"✖ منتهي الخدمة","⏳ لم يباشر"),IF(S65&gt;0,"✈ راتب إجازة مقدم",IF(J65=0,"⛔ بدون راتب هذا الشهر",IF(I65&gt;0,"✈ خصم "&amp;ROUND(I65,2)&amp;" يوم بدون أجر",IF(AL65&gt;0,"🌴 إجازة سنوية "&amp;ROUND(AL65,2)&amp;" يوم",IF(H65&gt;0,"⚠ غياب "&amp;ROUND(H65,2)&amp;" يوم","✔ على رأس العمل")))))))</f>
        <v/>
      </c>
      <c r="G65" s="156" t="str">
        <f aca="false">IF($B65="","",IF(AK65&gt;=DAY($F$3),cfg_DAYS_M,MIN(AK65,cfg_DAYS_M)))</f>
        <v/>
      </c>
      <c r="H65" s="156" t="str">
        <f aca="false">IF($B65="","",SUMIFS('الحركات الشهرية'!$D$6:$D$1005,'الحركات الشهرية'!$B$6:$B$1005,$B65,'الحركات الشهرية'!$A$6:$A$1005,$C$3))</f>
        <v/>
      </c>
      <c r="I65" s="156" t="str">
        <f aca="false">IF($B65="","",MIN(G65,IF(AND(AK65&gt;0,AN65&gt;=AK65),G65,AN65)+SUMIFS('الحركات الشهرية'!$E$6:$E$1005,'الحركات الشهرية'!$B$6:$B$1005,$B65,'الحركات الشهرية'!$A$6:$A$1005,$C$3)))</f>
        <v/>
      </c>
      <c r="J65" s="156" t="str">
        <f aca="false">IF($B65="","",MAX(0,G65-H65-I65))</f>
        <v/>
      </c>
      <c r="K65" s="116" t="str">
        <f aca="false">IF($B65="","",الموظفون!$L65*$J65/cfg_DAYS_M)</f>
        <v/>
      </c>
      <c r="L65" s="116" t="str">
        <f aca="false">IF($B65="","",الموظفون!$M65*$J65/cfg_DAYS_M)</f>
        <v/>
      </c>
      <c r="M65" s="116" t="str">
        <f aca="false">IF($B65="","",الموظفون!$N65*$J65/cfg_DAYS_M)</f>
        <v/>
      </c>
      <c r="N65" s="116" t="str">
        <f aca="false">IF($B65="","",الموظفون!$O65*$J65/cfg_DAYS_M)</f>
        <v/>
      </c>
      <c r="O65" s="156" t="str">
        <f aca="false">IF($B65="","",SUMIFS('الحركات الشهرية'!$F$6:$F$1005,'الحركات الشهرية'!$B$6:$B$1005,$B65,'الحركات الشهرية'!$A$6:$A$1005,$C$3))</f>
        <v/>
      </c>
      <c r="P65" s="116" t="str">
        <f aca="false">IF($B65="","",O65*(الموظفون!$P65+الموظفون!$L65*cfg_OT_P)/cfg_DAYS_M/cfg_HRS)</f>
        <v/>
      </c>
      <c r="Q65" s="116" t="str">
        <f aca="false">IF($B65="","",SUMIFS('الحركات الشهرية'!$G$6:$G$1005,'الحركات الشهرية'!$B$6:$B$1005,$B65,'الحركات الشهرية'!$A$6:$A$1005,$C$3))</f>
        <v/>
      </c>
      <c r="R65" s="116" t="str">
        <f aca="false">IF($B65="","",SUMIFS('الحركات الشهرية'!$H$6:$H$1005,'الحركات الشهرية'!$B$6:$B$1005,$B65,'الحركات الشهرية'!$A$6:$A$1005,$C$3))</f>
        <v/>
      </c>
      <c r="S65" s="116" t="str">
        <f aca="false">IF($B65="","",SUMIFS('سجل الإجازات والحالات'!$N$6:$N$505,'سجل الإجازات والحالات'!$B$6:$B$505,$B65,'سجل الإجازات والحالات'!$O$6:$O$505,$C$3))</f>
        <v/>
      </c>
      <c r="T65" s="157" t="str">
        <f aca="false">IF($B65="","",SUM(K65:N65)+SUM(P65:S65))</f>
        <v/>
      </c>
      <c r="U65" s="116" t="str">
        <f aca="false">IF($B65="","",الموظفون!$S65*IF(E65="سعودي",cfg_G_SE,cfg_G_NE)*G65/cfg_DAYS_M)</f>
        <v/>
      </c>
      <c r="V65" s="116" t="str">
        <f aca="false">IF($B65="","",SUMIFS('الحركات الشهرية'!$I$6:$I$1005,'الحركات الشهرية'!$B$6:$B$1005,$B65,'الحركات الشهرية'!$A$6:$A$1005,$C$3))</f>
        <v/>
      </c>
      <c r="W65" s="116" t="str">
        <f aca="false">IF($B65="","",SUMIFS('الحركات الشهرية'!$J$6:$J$1005,'الحركات الشهرية'!$B$6:$B$1005,$B65,'الحركات الشهرية'!$A$6:$A$1005,$C$3))</f>
        <v/>
      </c>
      <c r="X65" s="116" t="str">
        <f aca="false">IF($B65="","",SUM(U65:W65))</f>
        <v/>
      </c>
      <c r="Y65" s="158" t="str">
        <f aca="false">IF($B65="","",T65-X65)</f>
        <v/>
      </c>
      <c r="Z65" s="116" t="str">
        <f aca="false">IF($B65="","",الموظفون!$S65*IF(E65="سعودي",cfg_G_SR,cfg_G_NR)*G65/cfg_DAYS_M)</f>
        <v/>
      </c>
      <c r="AA65" s="116" t="str">
        <f aca="false">IF($B65="","",الموظفون!$Q65*(cfg_EOS_R1*(MIN(AH65,cfg_EOS_TH)-MIN(AI65,cfg_EOS_TH))+cfg_EOS_R2*(MAX(AH65-cfg_EOS_TH,0)-MAX(AI65-cfg_EOS_TH,0))))</f>
        <v/>
      </c>
      <c r="AB65" s="116" t="str">
        <f aca="false">IF($B65="","",IF(الموظفون!$T65&lt;&gt;"",الموظفون!$T65,IF(AH65&gt;=cfg_LV_TH,cfg_LV_D2,cfg_LV_D1))/cfg_DAYS_Y*AJ65*الموظفون!$R65/cfg_DAYS_M)</f>
        <v/>
      </c>
      <c r="AC65" s="116" t="str">
        <f aca="false">IF($B65="","",IF(AND(الموظفون!$U65="نعم",N(الموظفون!$W65)&gt;0),الموظفون!$V65/الموظفون!$W65*12/cfg_DAYS_Y*AJ65,0))</f>
        <v/>
      </c>
      <c r="AD65" s="116" t="str">
        <f aca="false">IF($B65="","",(IF(الموظفون!$X65&lt;&gt;"",الموظفون!$X65,IF(الموظفون!$E65="غير سعودي",cfg_IQ,0))+IF(الموظفون!$Y65&lt;&gt;"",الموظفون!$Y65,IF(الموظفون!$E65="غير سعودي",cfg_WP,0)))/12*G65/cfg_DAYS_M)</f>
        <v/>
      </c>
      <c r="AE65" s="116" t="str">
        <f aca="false">IF($B65="","",IF(الموظفون!$Z65&lt;&gt;"",الموظفون!$Z65,cfg_MED)/12*G65/cfg_DAYS_M)</f>
        <v/>
      </c>
      <c r="AF65" s="116" t="str">
        <f aca="false">IF($B65="","",N(الموظفون!$AA65)/12*G65/cfg_DAYS_M)</f>
        <v/>
      </c>
      <c r="AG65" s="159" t="str">
        <f aca="false">IF($B65="","",T65+SUM(Z65:AF65))</f>
        <v/>
      </c>
      <c r="AH65" s="160" t="str">
        <f aca="false">IF($B65="","",MAX(0,IF(OR(الموظفون!$AE65="",الموظفون!$AE65&gt;$F$3),$F$3,الموظفون!$AE65)-الموظفون!$H65+1-SUMIFS('سجل الإجازات والحالات'!$AS$6:$AS$505,'سجل الإجازات والحالات'!$B$6:$B$505,$B65))/cfg_DAYS_Y)</f>
        <v/>
      </c>
      <c r="AI65" s="160" t="str">
        <f aca="false">IF($B65="","",MAX(0,IF(OR(الموظفون!$AE65="",الموظفون!$AE65&gt;($E$3-1)),($E$3-1),الموظفون!$AE65)-الموظفون!$H65+1-SUMIFS('سجل الإجازات والحالات'!$AR$6:$AR$505,'سجل الإجازات والحالات'!$B$6:$B$505,$B65))/cfg_DAYS_Y)</f>
        <v/>
      </c>
      <c r="AJ65" s="133" t="str">
        <f aca="false">IF($B65="","",MAX(0,AK65-(SUMIFS('سجل الإجازات والحالات'!$AS$6:$AS$505,'سجل الإجازات والحالات'!$B$6:$B$505,$B65)-SUMIFS('سجل الإجازات والحالات'!$AR$6:$AR$505,'سجل الإجازات والحالات'!$B$6:$B$505,$B65))))</f>
        <v/>
      </c>
      <c r="AK65" s="133" t="str">
        <f aca="false">IF($B65="","",MAX(0,IF(OR(الموظفون!$AE65="",الموظفون!$AE65&gt;$F$3),$F$3,الموظفون!$AE65)-MAX($E$3,الموظفون!$H65)+1))</f>
        <v/>
      </c>
      <c r="AL65" s="156" t="str">
        <f aca="false">IF($B65="","",SUMIFS('سجل الإجازات والحالات'!$BE$6:$BE$505,'سجل الإجازات والحالات'!$B$6:$B$505,$B65)+SUMIFS('الحركات الشهرية'!$K$6:$K$1005,'الحركات الشهرية'!$B$6:$B$1005,$B65,'الحركات الشهرية'!$A$6:$A$1005,$C$3))</f>
        <v/>
      </c>
      <c r="AM65" s="116" t="str">
        <f aca="false">IF($B65="","",AL65*الموظفون!$R65/cfg_DAYS_M+S65)</f>
        <v/>
      </c>
      <c r="AN65" s="156" t="str">
        <f aca="false">IF($B65="","",SUMIFS('سجل الإجازات والحالات'!$AG$6:$AG$505,'سجل الإجازات والحالات'!$B$6:$B$505,$B65))</f>
        <v/>
      </c>
    </row>
    <row r="66" customFormat="false" ht="15" hidden="false" customHeight="false" outlineLevel="0" collapsed="false">
      <c r="A66" s="106" t="str">
        <f aca="false">IF($B66="","",الموظفون!$A66)</f>
        <v/>
      </c>
      <c r="B66" s="114" t="str">
        <f aca="false">IF(الموظفون!$B66="","",الموظفون!$B66)</f>
        <v/>
      </c>
      <c r="C66" s="114" t="str">
        <f aca="false">IF($B66="","",الموظفون!$C66)</f>
        <v/>
      </c>
      <c r="D66" s="114" t="str">
        <f aca="false">IF($B66="","",الموظفون!$F66)</f>
        <v/>
      </c>
      <c r="E66" s="114" t="str">
        <f aca="false">IF($B66="","",الموظفون!$E66)</f>
        <v/>
      </c>
      <c r="F66" s="114" t="str">
        <f aca="false">IF($B66="","",IF(AK66=0,IF(AND(الموظفون!$AE66&lt;&gt;"",الموظفون!$AE66&lt;$E$3),"✖ منتهي الخدمة","⏳ لم يباشر"),IF(S66&gt;0,"✈ راتب إجازة مقدم",IF(J66=0,"⛔ بدون راتب هذا الشهر",IF(I66&gt;0,"✈ خصم "&amp;ROUND(I66,2)&amp;" يوم بدون أجر",IF(AL66&gt;0,"🌴 إجازة سنوية "&amp;ROUND(AL66,2)&amp;" يوم",IF(H66&gt;0,"⚠ غياب "&amp;ROUND(H66,2)&amp;" يوم","✔ على رأس العمل")))))))</f>
        <v/>
      </c>
      <c r="G66" s="151" t="str">
        <f aca="false">IF($B66="","",IF(AK66&gt;=DAY($F$3),cfg_DAYS_M,MIN(AK66,cfg_DAYS_M)))</f>
        <v/>
      </c>
      <c r="H66" s="151" t="str">
        <f aca="false">IF($B66="","",SUMIFS('الحركات الشهرية'!$D$6:$D$1005,'الحركات الشهرية'!$B$6:$B$1005,$B66,'الحركات الشهرية'!$A$6:$A$1005,$C$3))</f>
        <v/>
      </c>
      <c r="I66" s="151" t="str">
        <f aca="false">IF($B66="","",MIN(G66,IF(AND(AK66&gt;0,AN66&gt;=AK66),G66,AN66)+SUMIFS('الحركات الشهرية'!$E$6:$E$1005,'الحركات الشهرية'!$B$6:$B$1005,$B66,'الحركات الشهرية'!$A$6:$A$1005,$C$3)))</f>
        <v/>
      </c>
      <c r="J66" s="151" t="str">
        <f aca="false">IF($B66="","",MAX(0,G66-H66-I66))</f>
        <v/>
      </c>
      <c r="K66" s="111" t="str">
        <f aca="false">IF($B66="","",الموظفون!$L66*$J66/cfg_DAYS_M)</f>
        <v/>
      </c>
      <c r="L66" s="111" t="str">
        <f aca="false">IF($B66="","",الموظفون!$M66*$J66/cfg_DAYS_M)</f>
        <v/>
      </c>
      <c r="M66" s="111" t="str">
        <f aca="false">IF($B66="","",الموظفون!$N66*$J66/cfg_DAYS_M)</f>
        <v/>
      </c>
      <c r="N66" s="111" t="str">
        <f aca="false">IF($B66="","",الموظفون!$O66*$J66/cfg_DAYS_M)</f>
        <v/>
      </c>
      <c r="O66" s="151" t="str">
        <f aca="false">IF($B66="","",SUMIFS('الحركات الشهرية'!$F$6:$F$1005,'الحركات الشهرية'!$B$6:$B$1005,$B66,'الحركات الشهرية'!$A$6:$A$1005,$C$3))</f>
        <v/>
      </c>
      <c r="P66" s="111" t="str">
        <f aca="false">IF($B66="","",O66*(الموظفون!$P66+الموظفون!$L66*cfg_OT_P)/cfg_DAYS_M/cfg_HRS)</f>
        <v/>
      </c>
      <c r="Q66" s="111" t="str">
        <f aca="false">IF($B66="","",SUMIFS('الحركات الشهرية'!$G$6:$G$1005,'الحركات الشهرية'!$B$6:$B$1005,$B66,'الحركات الشهرية'!$A$6:$A$1005,$C$3))</f>
        <v/>
      </c>
      <c r="R66" s="111" t="str">
        <f aca="false">IF($B66="","",SUMIFS('الحركات الشهرية'!$H$6:$H$1005,'الحركات الشهرية'!$B$6:$B$1005,$B66,'الحركات الشهرية'!$A$6:$A$1005,$C$3))</f>
        <v/>
      </c>
      <c r="S66" s="111" t="str">
        <f aca="false">IF($B66="","",SUMIFS('سجل الإجازات والحالات'!$N$6:$N$505,'سجل الإجازات والحالات'!$B$6:$B$505,$B66,'سجل الإجازات والحالات'!$O$6:$O$505,$C$3))</f>
        <v/>
      </c>
      <c r="T66" s="152" t="str">
        <f aca="false">IF($B66="","",SUM(K66:N66)+SUM(P66:S66))</f>
        <v/>
      </c>
      <c r="U66" s="111" t="str">
        <f aca="false">IF($B66="","",الموظفون!$S66*IF(E66="سعودي",cfg_G_SE,cfg_G_NE)*G66/cfg_DAYS_M)</f>
        <v/>
      </c>
      <c r="V66" s="111" t="str">
        <f aca="false">IF($B66="","",SUMIFS('الحركات الشهرية'!$I$6:$I$1005,'الحركات الشهرية'!$B$6:$B$1005,$B66,'الحركات الشهرية'!$A$6:$A$1005,$C$3))</f>
        <v/>
      </c>
      <c r="W66" s="111" t="str">
        <f aca="false">IF($B66="","",SUMIFS('الحركات الشهرية'!$J$6:$J$1005,'الحركات الشهرية'!$B$6:$B$1005,$B66,'الحركات الشهرية'!$A$6:$A$1005,$C$3))</f>
        <v/>
      </c>
      <c r="X66" s="111" t="str">
        <f aca="false">IF($B66="","",SUM(U66:W66))</f>
        <v/>
      </c>
      <c r="Y66" s="153" t="str">
        <f aca="false">IF($B66="","",T66-X66)</f>
        <v/>
      </c>
      <c r="Z66" s="111" t="str">
        <f aca="false">IF($B66="","",الموظفون!$S66*IF(E66="سعودي",cfg_G_SR,cfg_G_NR)*G66/cfg_DAYS_M)</f>
        <v/>
      </c>
      <c r="AA66" s="111" t="str">
        <f aca="false">IF($B66="","",الموظفون!$Q66*(cfg_EOS_R1*(MIN(AH66,cfg_EOS_TH)-MIN(AI66,cfg_EOS_TH))+cfg_EOS_R2*(MAX(AH66-cfg_EOS_TH,0)-MAX(AI66-cfg_EOS_TH,0))))</f>
        <v/>
      </c>
      <c r="AB66" s="111" t="str">
        <f aca="false">IF($B66="","",IF(الموظفون!$T66&lt;&gt;"",الموظفون!$T66,IF(AH66&gt;=cfg_LV_TH,cfg_LV_D2,cfg_LV_D1))/cfg_DAYS_Y*AJ66*الموظفون!$R66/cfg_DAYS_M)</f>
        <v/>
      </c>
      <c r="AC66" s="111" t="str">
        <f aca="false">IF($B66="","",IF(AND(الموظفون!$U66="نعم",N(الموظفون!$W66)&gt;0),الموظفون!$V66/الموظفون!$W66*12/cfg_DAYS_Y*AJ66,0))</f>
        <v/>
      </c>
      <c r="AD66" s="111" t="str">
        <f aca="false">IF($B66="","",(IF(الموظفون!$X66&lt;&gt;"",الموظفون!$X66,IF(الموظفون!$E66="غير سعودي",cfg_IQ,0))+IF(الموظفون!$Y66&lt;&gt;"",الموظفون!$Y66,IF(الموظفون!$E66="غير سعودي",cfg_WP,0)))/12*G66/cfg_DAYS_M)</f>
        <v/>
      </c>
      <c r="AE66" s="111" t="str">
        <f aca="false">IF($B66="","",IF(الموظفون!$Z66&lt;&gt;"",الموظفون!$Z66,cfg_MED)/12*G66/cfg_DAYS_M)</f>
        <v/>
      </c>
      <c r="AF66" s="111" t="str">
        <f aca="false">IF($B66="","",N(الموظفون!$AA66)/12*G66/cfg_DAYS_M)</f>
        <v/>
      </c>
      <c r="AG66" s="154" t="str">
        <f aca="false">IF($B66="","",T66+SUM(Z66:AF66))</f>
        <v/>
      </c>
      <c r="AH66" s="155" t="str">
        <f aca="false">IF($B66="","",MAX(0,IF(OR(الموظفون!$AE66="",الموظفون!$AE66&gt;$F$3),$F$3,الموظفون!$AE66)-الموظفون!$H66+1-SUMIFS('سجل الإجازات والحالات'!$AS$6:$AS$505,'سجل الإجازات والحالات'!$B$6:$B$505,$B66))/cfg_DAYS_Y)</f>
        <v/>
      </c>
      <c r="AI66" s="155" t="str">
        <f aca="false">IF($B66="","",MAX(0,IF(OR(الموظفون!$AE66="",الموظفون!$AE66&gt;($E$3-1)),($E$3-1),الموظفون!$AE66)-الموظفون!$H66+1-SUMIFS('سجل الإجازات والحالات'!$AR$6:$AR$505,'سجل الإجازات والحالات'!$B$6:$B$505,$B66))/cfg_DAYS_Y)</f>
        <v/>
      </c>
      <c r="AJ66" s="65" t="str">
        <f aca="false">IF($B66="","",MAX(0,AK66-(SUMIFS('سجل الإجازات والحالات'!$AS$6:$AS$505,'سجل الإجازات والحالات'!$B$6:$B$505,$B66)-SUMIFS('سجل الإجازات والحالات'!$AR$6:$AR$505,'سجل الإجازات والحالات'!$B$6:$B$505,$B66))))</f>
        <v/>
      </c>
      <c r="AK66" s="65" t="str">
        <f aca="false">IF($B66="","",MAX(0,IF(OR(الموظفون!$AE66="",الموظفون!$AE66&gt;$F$3),$F$3,الموظفون!$AE66)-MAX($E$3,الموظفون!$H66)+1))</f>
        <v/>
      </c>
      <c r="AL66" s="151" t="str">
        <f aca="false">IF($B66="","",SUMIFS('سجل الإجازات والحالات'!$BE$6:$BE$505,'سجل الإجازات والحالات'!$B$6:$B$505,$B66)+SUMIFS('الحركات الشهرية'!$K$6:$K$1005,'الحركات الشهرية'!$B$6:$B$1005,$B66,'الحركات الشهرية'!$A$6:$A$1005,$C$3))</f>
        <v/>
      </c>
      <c r="AM66" s="111" t="str">
        <f aca="false">IF($B66="","",AL66*الموظفون!$R66/cfg_DAYS_M+S66)</f>
        <v/>
      </c>
      <c r="AN66" s="151" t="str">
        <f aca="false">IF($B66="","",SUMIFS('سجل الإجازات والحالات'!$AG$6:$AG$505,'سجل الإجازات والحالات'!$B$6:$B$505,$B66))</f>
        <v/>
      </c>
    </row>
    <row r="67" customFormat="false" ht="15" hidden="false" customHeight="false" outlineLevel="0" collapsed="false">
      <c r="A67" s="115" t="str">
        <f aca="false">IF($B67="","",الموظفون!$A67)</f>
        <v/>
      </c>
      <c r="B67" s="117" t="str">
        <f aca="false">IF(الموظفون!$B67="","",الموظفون!$B67)</f>
        <v/>
      </c>
      <c r="C67" s="117" t="str">
        <f aca="false">IF($B67="","",الموظفون!$C67)</f>
        <v/>
      </c>
      <c r="D67" s="117" t="str">
        <f aca="false">IF($B67="","",الموظفون!$F67)</f>
        <v/>
      </c>
      <c r="E67" s="117" t="str">
        <f aca="false">IF($B67="","",الموظفون!$E67)</f>
        <v/>
      </c>
      <c r="F67" s="117" t="str">
        <f aca="false">IF($B67="","",IF(AK67=0,IF(AND(الموظفون!$AE67&lt;&gt;"",الموظفون!$AE67&lt;$E$3),"✖ منتهي الخدمة","⏳ لم يباشر"),IF(S67&gt;0,"✈ راتب إجازة مقدم",IF(J67=0,"⛔ بدون راتب هذا الشهر",IF(I67&gt;0,"✈ خصم "&amp;ROUND(I67,2)&amp;" يوم بدون أجر",IF(AL67&gt;0,"🌴 إجازة سنوية "&amp;ROUND(AL67,2)&amp;" يوم",IF(H67&gt;0,"⚠ غياب "&amp;ROUND(H67,2)&amp;" يوم","✔ على رأس العمل")))))))</f>
        <v/>
      </c>
      <c r="G67" s="156" t="str">
        <f aca="false">IF($B67="","",IF(AK67&gt;=DAY($F$3),cfg_DAYS_M,MIN(AK67,cfg_DAYS_M)))</f>
        <v/>
      </c>
      <c r="H67" s="156" t="str">
        <f aca="false">IF($B67="","",SUMIFS('الحركات الشهرية'!$D$6:$D$1005,'الحركات الشهرية'!$B$6:$B$1005,$B67,'الحركات الشهرية'!$A$6:$A$1005,$C$3))</f>
        <v/>
      </c>
      <c r="I67" s="156" t="str">
        <f aca="false">IF($B67="","",MIN(G67,IF(AND(AK67&gt;0,AN67&gt;=AK67),G67,AN67)+SUMIFS('الحركات الشهرية'!$E$6:$E$1005,'الحركات الشهرية'!$B$6:$B$1005,$B67,'الحركات الشهرية'!$A$6:$A$1005,$C$3)))</f>
        <v/>
      </c>
      <c r="J67" s="156" t="str">
        <f aca="false">IF($B67="","",MAX(0,G67-H67-I67))</f>
        <v/>
      </c>
      <c r="K67" s="116" t="str">
        <f aca="false">IF($B67="","",الموظفون!$L67*$J67/cfg_DAYS_M)</f>
        <v/>
      </c>
      <c r="L67" s="116" t="str">
        <f aca="false">IF($B67="","",الموظفون!$M67*$J67/cfg_DAYS_M)</f>
        <v/>
      </c>
      <c r="M67" s="116" t="str">
        <f aca="false">IF($B67="","",الموظفون!$N67*$J67/cfg_DAYS_M)</f>
        <v/>
      </c>
      <c r="N67" s="116" t="str">
        <f aca="false">IF($B67="","",الموظفون!$O67*$J67/cfg_DAYS_M)</f>
        <v/>
      </c>
      <c r="O67" s="156" t="str">
        <f aca="false">IF($B67="","",SUMIFS('الحركات الشهرية'!$F$6:$F$1005,'الحركات الشهرية'!$B$6:$B$1005,$B67,'الحركات الشهرية'!$A$6:$A$1005,$C$3))</f>
        <v/>
      </c>
      <c r="P67" s="116" t="str">
        <f aca="false">IF($B67="","",O67*(الموظفون!$P67+الموظفون!$L67*cfg_OT_P)/cfg_DAYS_M/cfg_HRS)</f>
        <v/>
      </c>
      <c r="Q67" s="116" t="str">
        <f aca="false">IF($B67="","",SUMIFS('الحركات الشهرية'!$G$6:$G$1005,'الحركات الشهرية'!$B$6:$B$1005,$B67,'الحركات الشهرية'!$A$6:$A$1005,$C$3))</f>
        <v/>
      </c>
      <c r="R67" s="116" t="str">
        <f aca="false">IF($B67="","",SUMIFS('الحركات الشهرية'!$H$6:$H$1005,'الحركات الشهرية'!$B$6:$B$1005,$B67,'الحركات الشهرية'!$A$6:$A$1005,$C$3))</f>
        <v/>
      </c>
      <c r="S67" s="116" t="str">
        <f aca="false">IF($B67="","",SUMIFS('سجل الإجازات والحالات'!$N$6:$N$505,'سجل الإجازات والحالات'!$B$6:$B$505,$B67,'سجل الإجازات والحالات'!$O$6:$O$505,$C$3))</f>
        <v/>
      </c>
      <c r="T67" s="157" t="str">
        <f aca="false">IF($B67="","",SUM(K67:N67)+SUM(P67:S67))</f>
        <v/>
      </c>
      <c r="U67" s="116" t="str">
        <f aca="false">IF($B67="","",الموظفون!$S67*IF(E67="سعودي",cfg_G_SE,cfg_G_NE)*G67/cfg_DAYS_M)</f>
        <v/>
      </c>
      <c r="V67" s="116" t="str">
        <f aca="false">IF($B67="","",SUMIFS('الحركات الشهرية'!$I$6:$I$1005,'الحركات الشهرية'!$B$6:$B$1005,$B67,'الحركات الشهرية'!$A$6:$A$1005,$C$3))</f>
        <v/>
      </c>
      <c r="W67" s="116" t="str">
        <f aca="false">IF($B67="","",SUMIFS('الحركات الشهرية'!$J$6:$J$1005,'الحركات الشهرية'!$B$6:$B$1005,$B67,'الحركات الشهرية'!$A$6:$A$1005,$C$3))</f>
        <v/>
      </c>
      <c r="X67" s="116" t="str">
        <f aca="false">IF($B67="","",SUM(U67:W67))</f>
        <v/>
      </c>
      <c r="Y67" s="158" t="str">
        <f aca="false">IF($B67="","",T67-X67)</f>
        <v/>
      </c>
      <c r="Z67" s="116" t="str">
        <f aca="false">IF($B67="","",الموظفون!$S67*IF(E67="سعودي",cfg_G_SR,cfg_G_NR)*G67/cfg_DAYS_M)</f>
        <v/>
      </c>
      <c r="AA67" s="116" t="str">
        <f aca="false">IF($B67="","",الموظفون!$Q67*(cfg_EOS_R1*(MIN(AH67,cfg_EOS_TH)-MIN(AI67,cfg_EOS_TH))+cfg_EOS_R2*(MAX(AH67-cfg_EOS_TH,0)-MAX(AI67-cfg_EOS_TH,0))))</f>
        <v/>
      </c>
      <c r="AB67" s="116" t="str">
        <f aca="false">IF($B67="","",IF(الموظفون!$T67&lt;&gt;"",الموظفون!$T67,IF(AH67&gt;=cfg_LV_TH,cfg_LV_D2,cfg_LV_D1))/cfg_DAYS_Y*AJ67*الموظفون!$R67/cfg_DAYS_M)</f>
        <v/>
      </c>
      <c r="AC67" s="116" t="str">
        <f aca="false">IF($B67="","",IF(AND(الموظفون!$U67="نعم",N(الموظفون!$W67)&gt;0),الموظفون!$V67/الموظفون!$W67*12/cfg_DAYS_Y*AJ67,0))</f>
        <v/>
      </c>
      <c r="AD67" s="116" t="str">
        <f aca="false">IF($B67="","",(IF(الموظفون!$X67&lt;&gt;"",الموظفون!$X67,IF(الموظفون!$E67="غير سعودي",cfg_IQ,0))+IF(الموظفون!$Y67&lt;&gt;"",الموظفون!$Y67,IF(الموظفون!$E67="غير سعودي",cfg_WP,0)))/12*G67/cfg_DAYS_M)</f>
        <v/>
      </c>
      <c r="AE67" s="116" t="str">
        <f aca="false">IF($B67="","",IF(الموظفون!$Z67&lt;&gt;"",الموظفون!$Z67,cfg_MED)/12*G67/cfg_DAYS_M)</f>
        <v/>
      </c>
      <c r="AF67" s="116" t="str">
        <f aca="false">IF($B67="","",N(الموظفون!$AA67)/12*G67/cfg_DAYS_M)</f>
        <v/>
      </c>
      <c r="AG67" s="159" t="str">
        <f aca="false">IF($B67="","",T67+SUM(Z67:AF67))</f>
        <v/>
      </c>
      <c r="AH67" s="160" t="str">
        <f aca="false">IF($B67="","",MAX(0,IF(OR(الموظفون!$AE67="",الموظفون!$AE67&gt;$F$3),$F$3,الموظفون!$AE67)-الموظفون!$H67+1-SUMIFS('سجل الإجازات والحالات'!$AS$6:$AS$505,'سجل الإجازات والحالات'!$B$6:$B$505,$B67))/cfg_DAYS_Y)</f>
        <v/>
      </c>
      <c r="AI67" s="160" t="str">
        <f aca="false">IF($B67="","",MAX(0,IF(OR(الموظفون!$AE67="",الموظفون!$AE67&gt;($E$3-1)),($E$3-1),الموظفون!$AE67)-الموظفون!$H67+1-SUMIFS('سجل الإجازات والحالات'!$AR$6:$AR$505,'سجل الإجازات والحالات'!$B$6:$B$505,$B67))/cfg_DAYS_Y)</f>
        <v/>
      </c>
      <c r="AJ67" s="133" t="str">
        <f aca="false">IF($B67="","",MAX(0,AK67-(SUMIFS('سجل الإجازات والحالات'!$AS$6:$AS$505,'سجل الإجازات والحالات'!$B$6:$B$505,$B67)-SUMIFS('سجل الإجازات والحالات'!$AR$6:$AR$505,'سجل الإجازات والحالات'!$B$6:$B$505,$B67))))</f>
        <v/>
      </c>
      <c r="AK67" s="133" t="str">
        <f aca="false">IF($B67="","",MAX(0,IF(OR(الموظفون!$AE67="",الموظفون!$AE67&gt;$F$3),$F$3,الموظفون!$AE67)-MAX($E$3,الموظفون!$H67)+1))</f>
        <v/>
      </c>
      <c r="AL67" s="156" t="str">
        <f aca="false">IF($B67="","",SUMIFS('سجل الإجازات والحالات'!$BE$6:$BE$505,'سجل الإجازات والحالات'!$B$6:$B$505,$B67)+SUMIFS('الحركات الشهرية'!$K$6:$K$1005,'الحركات الشهرية'!$B$6:$B$1005,$B67,'الحركات الشهرية'!$A$6:$A$1005,$C$3))</f>
        <v/>
      </c>
      <c r="AM67" s="116" t="str">
        <f aca="false">IF($B67="","",AL67*الموظفون!$R67/cfg_DAYS_M+S67)</f>
        <v/>
      </c>
      <c r="AN67" s="156" t="str">
        <f aca="false">IF($B67="","",SUMIFS('سجل الإجازات والحالات'!$AG$6:$AG$505,'سجل الإجازات والحالات'!$B$6:$B$505,$B67))</f>
        <v/>
      </c>
    </row>
    <row r="68" customFormat="false" ht="15" hidden="false" customHeight="false" outlineLevel="0" collapsed="false">
      <c r="A68" s="106" t="str">
        <f aca="false">IF($B68="","",الموظفون!$A68)</f>
        <v/>
      </c>
      <c r="B68" s="114" t="str">
        <f aca="false">IF(الموظفون!$B68="","",الموظفون!$B68)</f>
        <v/>
      </c>
      <c r="C68" s="114" t="str">
        <f aca="false">IF($B68="","",الموظفون!$C68)</f>
        <v/>
      </c>
      <c r="D68" s="114" t="str">
        <f aca="false">IF($B68="","",الموظفون!$F68)</f>
        <v/>
      </c>
      <c r="E68" s="114" t="str">
        <f aca="false">IF($B68="","",الموظفون!$E68)</f>
        <v/>
      </c>
      <c r="F68" s="114" t="str">
        <f aca="false">IF($B68="","",IF(AK68=0,IF(AND(الموظفون!$AE68&lt;&gt;"",الموظفون!$AE68&lt;$E$3),"✖ منتهي الخدمة","⏳ لم يباشر"),IF(S68&gt;0,"✈ راتب إجازة مقدم",IF(J68=0,"⛔ بدون راتب هذا الشهر",IF(I68&gt;0,"✈ خصم "&amp;ROUND(I68,2)&amp;" يوم بدون أجر",IF(AL68&gt;0,"🌴 إجازة سنوية "&amp;ROUND(AL68,2)&amp;" يوم",IF(H68&gt;0,"⚠ غياب "&amp;ROUND(H68,2)&amp;" يوم","✔ على رأس العمل")))))))</f>
        <v/>
      </c>
      <c r="G68" s="151" t="str">
        <f aca="false">IF($B68="","",IF(AK68&gt;=DAY($F$3),cfg_DAYS_M,MIN(AK68,cfg_DAYS_M)))</f>
        <v/>
      </c>
      <c r="H68" s="151" t="str">
        <f aca="false">IF($B68="","",SUMIFS('الحركات الشهرية'!$D$6:$D$1005,'الحركات الشهرية'!$B$6:$B$1005,$B68,'الحركات الشهرية'!$A$6:$A$1005,$C$3))</f>
        <v/>
      </c>
      <c r="I68" s="151" t="str">
        <f aca="false">IF($B68="","",MIN(G68,IF(AND(AK68&gt;0,AN68&gt;=AK68),G68,AN68)+SUMIFS('الحركات الشهرية'!$E$6:$E$1005,'الحركات الشهرية'!$B$6:$B$1005,$B68,'الحركات الشهرية'!$A$6:$A$1005,$C$3)))</f>
        <v/>
      </c>
      <c r="J68" s="151" t="str">
        <f aca="false">IF($B68="","",MAX(0,G68-H68-I68))</f>
        <v/>
      </c>
      <c r="K68" s="111" t="str">
        <f aca="false">IF($B68="","",الموظفون!$L68*$J68/cfg_DAYS_M)</f>
        <v/>
      </c>
      <c r="L68" s="111" t="str">
        <f aca="false">IF($B68="","",الموظفون!$M68*$J68/cfg_DAYS_M)</f>
        <v/>
      </c>
      <c r="M68" s="111" t="str">
        <f aca="false">IF($B68="","",الموظفون!$N68*$J68/cfg_DAYS_M)</f>
        <v/>
      </c>
      <c r="N68" s="111" t="str">
        <f aca="false">IF($B68="","",الموظفون!$O68*$J68/cfg_DAYS_M)</f>
        <v/>
      </c>
      <c r="O68" s="151" t="str">
        <f aca="false">IF($B68="","",SUMIFS('الحركات الشهرية'!$F$6:$F$1005,'الحركات الشهرية'!$B$6:$B$1005,$B68,'الحركات الشهرية'!$A$6:$A$1005,$C$3))</f>
        <v/>
      </c>
      <c r="P68" s="111" t="str">
        <f aca="false">IF($B68="","",O68*(الموظفون!$P68+الموظفون!$L68*cfg_OT_P)/cfg_DAYS_M/cfg_HRS)</f>
        <v/>
      </c>
      <c r="Q68" s="111" t="str">
        <f aca="false">IF($B68="","",SUMIFS('الحركات الشهرية'!$G$6:$G$1005,'الحركات الشهرية'!$B$6:$B$1005,$B68,'الحركات الشهرية'!$A$6:$A$1005,$C$3))</f>
        <v/>
      </c>
      <c r="R68" s="111" t="str">
        <f aca="false">IF($B68="","",SUMIFS('الحركات الشهرية'!$H$6:$H$1005,'الحركات الشهرية'!$B$6:$B$1005,$B68,'الحركات الشهرية'!$A$6:$A$1005,$C$3))</f>
        <v/>
      </c>
      <c r="S68" s="111" t="str">
        <f aca="false">IF($B68="","",SUMIFS('سجل الإجازات والحالات'!$N$6:$N$505,'سجل الإجازات والحالات'!$B$6:$B$505,$B68,'سجل الإجازات والحالات'!$O$6:$O$505,$C$3))</f>
        <v/>
      </c>
      <c r="T68" s="152" t="str">
        <f aca="false">IF($B68="","",SUM(K68:N68)+SUM(P68:S68))</f>
        <v/>
      </c>
      <c r="U68" s="111" t="str">
        <f aca="false">IF($B68="","",الموظفون!$S68*IF(E68="سعودي",cfg_G_SE,cfg_G_NE)*G68/cfg_DAYS_M)</f>
        <v/>
      </c>
      <c r="V68" s="111" t="str">
        <f aca="false">IF($B68="","",SUMIFS('الحركات الشهرية'!$I$6:$I$1005,'الحركات الشهرية'!$B$6:$B$1005,$B68,'الحركات الشهرية'!$A$6:$A$1005,$C$3))</f>
        <v/>
      </c>
      <c r="W68" s="111" t="str">
        <f aca="false">IF($B68="","",SUMIFS('الحركات الشهرية'!$J$6:$J$1005,'الحركات الشهرية'!$B$6:$B$1005,$B68,'الحركات الشهرية'!$A$6:$A$1005,$C$3))</f>
        <v/>
      </c>
      <c r="X68" s="111" t="str">
        <f aca="false">IF($B68="","",SUM(U68:W68))</f>
        <v/>
      </c>
      <c r="Y68" s="153" t="str">
        <f aca="false">IF($B68="","",T68-X68)</f>
        <v/>
      </c>
      <c r="Z68" s="111" t="str">
        <f aca="false">IF($B68="","",الموظفون!$S68*IF(E68="سعودي",cfg_G_SR,cfg_G_NR)*G68/cfg_DAYS_M)</f>
        <v/>
      </c>
      <c r="AA68" s="111" t="str">
        <f aca="false">IF($B68="","",الموظفون!$Q68*(cfg_EOS_R1*(MIN(AH68,cfg_EOS_TH)-MIN(AI68,cfg_EOS_TH))+cfg_EOS_R2*(MAX(AH68-cfg_EOS_TH,0)-MAX(AI68-cfg_EOS_TH,0))))</f>
        <v/>
      </c>
      <c r="AB68" s="111" t="str">
        <f aca="false">IF($B68="","",IF(الموظفون!$T68&lt;&gt;"",الموظفون!$T68,IF(AH68&gt;=cfg_LV_TH,cfg_LV_D2,cfg_LV_D1))/cfg_DAYS_Y*AJ68*الموظفون!$R68/cfg_DAYS_M)</f>
        <v/>
      </c>
      <c r="AC68" s="111" t="str">
        <f aca="false">IF($B68="","",IF(AND(الموظفون!$U68="نعم",N(الموظفون!$W68)&gt;0),الموظفون!$V68/الموظفون!$W68*12/cfg_DAYS_Y*AJ68,0))</f>
        <v/>
      </c>
      <c r="AD68" s="111" t="str">
        <f aca="false">IF($B68="","",(IF(الموظفون!$X68&lt;&gt;"",الموظفون!$X68,IF(الموظفون!$E68="غير سعودي",cfg_IQ,0))+IF(الموظفون!$Y68&lt;&gt;"",الموظفون!$Y68,IF(الموظفون!$E68="غير سعودي",cfg_WP,0)))/12*G68/cfg_DAYS_M)</f>
        <v/>
      </c>
      <c r="AE68" s="111" t="str">
        <f aca="false">IF($B68="","",IF(الموظفون!$Z68&lt;&gt;"",الموظفون!$Z68,cfg_MED)/12*G68/cfg_DAYS_M)</f>
        <v/>
      </c>
      <c r="AF68" s="111" t="str">
        <f aca="false">IF($B68="","",N(الموظفون!$AA68)/12*G68/cfg_DAYS_M)</f>
        <v/>
      </c>
      <c r="AG68" s="154" t="str">
        <f aca="false">IF($B68="","",T68+SUM(Z68:AF68))</f>
        <v/>
      </c>
      <c r="AH68" s="155" t="str">
        <f aca="false">IF($B68="","",MAX(0,IF(OR(الموظفون!$AE68="",الموظفون!$AE68&gt;$F$3),$F$3,الموظفون!$AE68)-الموظفون!$H68+1-SUMIFS('سجل الإجازات والحالات'!$AS$6:$AS$505,'سجل الإجازات والحالات'!$B$6:$B$505,$B68))/cfg_DAYS_Y)</f>
        <v/>
      </c>
      <c r="AI68" s="155" t="str">
        <f aca="false">IF($B68="","",MAX(0,IF(OR(الموظفون!$AE68="",الموظفون!$AE68&gt;($E$3-1)),($E$3-1),الموظفون!$AE68)-الموظفون!$H68+1-SUMIFS('سجل الإجازات والحالات'!$AR$6:$AR$505,'سجل الإجازات والحالات'!$B$6:$B$505,$B68))/cfg_DAYS_Y)</f>
        <v/>
      </c>
      <c r="AJ68" s="65" t="str">
        <f aca="false">IF($B68="","",MAX(0,AK68-(SUMIFS('سجل الإجازات والحالات'!$AS$6:$AS$505,'سجل الإجازات والحالات'!$B$6:$B$505,$B68)-SUMIFS('سجل الإجازات والحالات'!$AR$6:$AR$505,'سجل الإجازات والحالات'!$B$6:$B$505,$B68))))</f>
        <v/>
      </c>
      <c r="AK68" s="65" t="str">
        <f aca="false">IF($B68="","",MAX(0,IF(OR(الموظفون!$AE68="",الموظفون!$AE68&gt;$F$3),$F$3,الموظفون!$AE68)-MAX($E$3,الموظفون!$H68)+1))</f>
        <v/>
      </c>
      <c r="AL68" s="151" t="str">
        <f aca="false">IF($B68="","",SUMIFS('سجل الإجازات والحالات'!$BE$6:$BE$505,'سجل الإجازات والحالات'!$B$6:$B$505,$B68)+SUMIFS('الحركات الشهرية'!$K$6:$K$1005,'الحركات الشهرية'!$B$6:$B$1005,$B68,'الحركات الشهرية'!$A$6:$A$1005,$C$3))</f>
        <v/>
      </c>
      <c r="AM68" s="111" t="str">
        <f aca="false">IF($B68="","",AL68*الموظفون!$R68/cfg_DAYS_M+S68)</f>
        <v/>
      </c>
      <c r="AN68" s="151" t="str">
        <f aca="false">IF($B68="","",SUMIFS('سجل الإجازات والحالات'!$AG$6:$AG$505,'سجل الإجازات والحالات'!$B$6:$B$505,$B68))</f>
        <v/>
      </c>
    </row>
    <row r="69" customFormat="false" ht="15" hidden="false" customHeight="false" outlineLevel="0" collapsed="false">
      <c r="A69" s="115" t="str">
        <f aca="false">IF($B69="","",الموظفون!$A69)</f>
        <v/>
      </c>
      <c r="B69" s="117" t="str">
        <f aca="false">IF(الموظفون!$B69="","",الموظفون!$B69)</f>
        <v/>
      </c>
      <c r="C69" s="117" t="str">
        <f aca="false">IF($B69="","",الموظفون!$C69)</f>
        <v/>
      </c>
      <c r="D69" s="117" t="str">
        <f aca="false">IF($B69="","",الموظفون!$F69)</f>
        <v/>
      </c>
      <c r="E69" s="117" t="str">
        <f aca="false">IF($B69="","",الموظفون!$E69)</f>
        <v/>
      </c>
      <c r="F69" s="117" t="str">
        <f aca="false">IF($B69="","",IF(AK69=0,IF(AND(الموظفون!$AE69&lt;&gt;"",الموظفون!$AE69&lt;$E$3),"✖ منتهي الخدمة","⏳ لم يباشر"),IF(S69&gt;0,"✈ راتب إجازة مقدم",IF(J69=0,"⛔ بدون راتب هذا الشهر",IF(I69&gt;0,"✈ خصم "&amp;ROUND(I69,2)&amp;" يوم بدون أجر",IF(AL69&gt;0,"🌴 إجازة سنوية "&amp;ROUND(AL69,2)&amp;" يوم",IF(H69&gt;0,"⚠ غياب "&amp;ROUND(H69,2)&amp;" يوم","✔ على رأس العمل")))))))</f>
        <v/>
      </c>
      <c r="G69" s="156" t="str">
        <f aca="false">IF($B69="","",IF(AK69&gt;=DAY($F$3),cfg_DAYS_M,MIN(AK69,cfg_DAYS_M)))</f>
        <v/>
      </c>
      <c r="H69" s="156" t="str">
        <f aca="false">IF($B69="","",SUMIFS('الحركات الشهرية'!$D$6:$D$1005,'الحركات الشهرية'!$B$6:$B$1005,$B69,'الحركات الشهرية'!$A$6:$A$1005,$C$3))</f>
        <v/>
      </c>
      <c r="I69" s="156" t="str">
        <f aca="false">IF($B69="","",MIN(G69,IF(AND(AK69&gt;0,AN69&gt;=AK69),G69,AN69)+SUMIFS('الحركات الشهرية'!$E$6:$E$1005,'الحركات الشهرية'!$B$6:$B$1005,$B69,'الحركات الشهرية'!$A$6:$A$1005,$C$3)))</f>
        <v/>
      </c>
      <c r="J69" s="156" t="str">
        <f aca="false">IF($B69="","",MAX(0,G69-H69-I69))</f>
        <v/>
      </c>
      <c r="K69" s="116" t="str">
        <f aca="false">IF($B69="","",الموظفون!$L69*$J69/cfg_DAYS_M)</f>
        <v/>
      </c>
      <c r="L69" s="116" t="str">
        <f aca="false">IF($B69="","",الموظفون!$M69*$J69/cfg_DAYS_M)</f>
        <v/>
      </c>
      <c r="M69" s="116" t="str">
        <f aca="false">IF($B69="","",الموظفون!$N69*$J69/cfg_DAYS_M)</f>
        <v/>
      </c>
      <c r="N69" s="116" t="str">
        <f aca="false">IF($B69="","",الموظفون!$O69*$J69/cfg_DAYS_M)</f>
        <v/>
      </c>
      <c r="O69" s="156" t="str">
        <f aca="false">IF($B69="","",SUMIFS('الحركات الشهرية'!$F$6:$F$1005,'الحركات الشهرية'!$B$6:$B$1005,$B69,'الحركات الشهرية'!$A$6:$A$1005,$C$3))</f>
        <v/>
      </c>
      <c r="P69" s="116" t="str">
        <f aca="false">IF($B69="","",O69*(الموظفون!$P69+الموظفون!$L69*cfg_OT_P)/cfg_DAYS_M/cfg_HRS)</f>
        <v/>
      </c>
      <c r="Q69" s="116" t="str">
        <f aca="false">IF($B69="","",SUMIFS('الحركات الشهرية'!$G$6:$G$1005,'الحركات الشهرية'!$B$6:$B$1005,$B69,'الحركات الشهرية'!$A$6:$A$1005,$C$3))</f>
        <v/>
      </c>
      <c r="R69" s="116" t="str">
        <f aca="false">IF($B69="","",SUMIFS('الحركات الشهرية'!$H$6:$H$1005,'الحركات الشهرية'!$B$6:$B$1005,$B69,'الحركات الشهرية'!$A$6:$A$1005,$C$3))</f>
        <v/>
      </c>
      <c r="S69" s="116" t="str">
        <f aca="false">IF($B69="","",SUMIFS('سجل الإجازات والحالات'!$N$6:$N$505,'سجل الإجازات والحالات'!$B$6:$B$505,$B69,'سجل الإجازات والحالات'!$O$6:$O$505,$C$3))</f>
        <v/>
      </c>
      <c r="T69" s="157" t="str">
        <f aca="false">IF($B69="","",SUM(K69:N69)+SUM(P69:S69))</f>
        <v/>
      </c>
      <c r="U69" s="116" t="str">
        <f aca="false">IF($B69="","",الموظفون!$S69*IF(E69="سعودي",cfg_G_SE,cfg_G_NE)*G69/cfg_DAYS_M)</f>
        <v/>
      </c>
      <c r="V69" s="116" t="str">
        <f aca="false">IF($B69="","",SUMIFS('الحركات الشهرية'!$I$6:$I$1005,'الحركات الشهرية'!$B$6:$B$1005,$B69,'الحركات الشهرية'!$A$6:$A$1005,$C$3))</f>
        <v/>
      </c>
      <c r="W69" s="116" t="str">
        <f aca="false">IF($B69="","",SUMIFS('الحركات الشهرية'!$J$6:$J$1005,'الحركات الشهرية'!$B$6:$B$1005,$B69,'الحركات الشهرية'!$A$6:$A$1005,$C$3))</f>
        <v/>
      </c>
      <c r="X69" s="116" t="str">
        <f aca="false">IF($B69="","",SUM(U69:W69))</f>
        <v/>
      </c>
      <c r="Y69" s="158" t="str">
        <f aca="false">IF($B69="","",T69-X69)</f>
        <v/>
      </c>
      <c r="Z69" s="116" t="str">
        <f aca="false">IF($B69="","",الموظفون!$S69*IF(E69="سعودي",cfg_G_SR,cfg_G_NR)*G69/cfg_DAYS_M)</f>
        <v/>
      </c>
      <c r="AA69" s="116" t="str">
        <f aca="false">IF($B69="","",الموظفون!$Q69*(cfg_EOS_R1*(MIN(AH69,cfg_EOS_TH)-MIN(AI69,cfg_EOS_TH))+cfg_EOS_R2*(MAX(AH69-cfg_EOS_TH,0)-MAX(AI69-cfg_EOS_TH,0))))</f>
        <v/>
      </c>
      <c r="AB69" s="116" t="str">
        <f aca="false">IF($B69="","",IF(الموظفون!$T69&lt;&gt;"",الموظفون!$T69,IF(AH69&gt;=cfg_LV_TH,cfg_LV_D2,cfg_LV_D1))/cfg_DAYS_Y*AJ69*الموظفون!$R69/cfg_DAYS_M)</f>
        <v/>
      </c>
      <c r="AC69" s="116" t="str">
        <f aca="false">IF($B69="","",IF(AND(الموظفون!$U69="نعم",N(الموظفون!$W69)&gt;0),الموظفون!$V69/الموظفون!$W69*12/cfg_DAYS_Y*AJ69,0))</f>
        <v/>
      </c>
      <c r="AD69" s="116" t="str">
        <f aca="false">IF($B69="","",(IF(الموظفون!$X69&lt;&gt;"",الموظفون!$X69,IF(الموظفون!$E69="غير سعودي",cfg_IQ,0))+IF(الموظفون!$Y69&lt;&gt;"",الموظفون!$Y69,IF(الموظفون!$E69="غير سعودي",cfg_WP,0)))/12*G69/cfg_DAYS_M)</f>
        <v/>
      </c>
      <c r="AE69" s="116" t="str">
        <f aca="false">IF($B69="","",IF(الموظفون!$Z69&lt;&gt;"",الموظفون!$Z69,cfg_MED)/12*G69/cfg_DAYS_M)</f>
        <v/>
      </c>
      <c r="AF69" s="116" t="str">
        <f aca="false">IF($B69="","",N(الموظفون!$AA69)/12*G69/cfg_DAYS_M)</f>
        <v/>
      </c>
      <c r="AG69" s="159" t="str">
        <f aca="false">IF($B69="","",T69+SUM(Z69:AF69))</f>
        <v/>
      </c>
      <c r="AH69" s="160" t="str">
        <f aca="false">IF($B69="","",MAX(0,IF(OR(الموظفون!$AE69="",الموظفون!$AE69&gt;$F$3),$F$3,الموظفون!$AE69)-الموظفون!$H69+1-SUMIFS('سجل الإجازات والحالات'!$AS$6:$AS$505,'سجل الإجازات والحالات'!$B$6:$B$505,$B69))/cfg_DAYS_Y)</f>
        <v/>
      </c>
      <c r="AI69" s="160" t="str">
        <f aca="false">IF($B69="","",MAX(0,IF(OR(الموظفون!$AE69="",الموظفون!$AE69&gt;($E$3-1)),($E$3-1),الموظفون!$AE69)-الموظفون!$H69+1-SUMIFS('سجل الإجازات والحالات'!$AR$6:$AR$505,'سجل الإجازات والحالات'!$B$6:$B$505,$B69))/cfg_DAYS_Y)</f>
        <v/>
      </c>
      <c r="AJ69" s="133" t="str">
        <f aca="false">IF($B69="","",MAX(0,AK69-(SUMIFS('سجل الإجازات والحالات'!$AS$6:$AS$505,'سجل الإجازات والحالات'!$B$6:$B$505,$B69)-SUMIFS('سجل الإجازات والحالات'!$AR$6:$AR$505,'سجل الإجازات والحالات'!$B$6:$B$505,$B69))))</f>
        <v/>
      </c>
      <c r="AK69" s="133" t="str">
        <f aca="false">IF($B69="","",MAX(0,IF(OR(الموظفون!$AE69="",الموظفون!$AE69&gt;$F$3),$F$3,الموظفون!$AE69)-MAX($E$3,الموظفون!$H69)+1))</f>
        <v/>
      </c>
      <c r="AL69" s="156" t="str">
        <f aca="false">IF($B69="","",SUMIFS('سجل الإجازات والحالات'!$BE$6:$BE$505,'سجل الإجازات والحالات'!$B$6:$B$505,$B69)+SUMIFS('الحركات الشهرية'!$K$6:$K$1005,'الحركات الشهرية'!$B$6:$B$1005,$B69,'الحركات الشهرية'!$A$6:$A$1005,$C$3))</f>
        <v/>
      </c>
      <c r="AM69" s="116" t="str">
        <f aca="false">IF($B69="","",AL69*الموظفون!$R69/cfg_DAYS_M+S69)</f>
        <v/>
      </c>
      <c r="AN69" s="156" t="str">
        <f aca="false">IF($B69="","",SUMIFS('سجل الإجازات والحالات'!$AG$6:$AG$505,'سجل الإجازات والحالات'!$B$6:$B$505,$B69))</f>
        <v/>
      </c>
    </row>
    <row r="70" customFormat="false" ht="15" hidden="false" customHeight="false" outlineLevel="0" collapsed="false">
      <c r="A70" s="106" t="str">
        <f aca="false">IF($B70="","",الموظفون!$A70)</f>
        <v/>
      </c>
      <c r="B70" s="114" t="str">
        <f aca="false">IF(الموظفون!$B70="","",الموظفون!$B70)</f>
        <v/>
      </c>
      <c r="C70" s="114" t="str">
        <f aca="false">IF($B70="","",الموظفون!$C70)</f>
        <v/>
      </c>
      <c r="D70" s="114" t="str">
        <f aca="false">IF($B70="","",الموظفون!$F70)</f>
        <v/>
      </c>
      <c r="E70" s="114" t="str">
        <f aca="false">IF($B70="","",الموظفون!$E70)</f>
        <v/>
      </c>
      <c r="F70" s="114" t="str">
        <f aca="false">IF($B70="","",IF(AK70=0,IF(AND(الموظفون!$AE70&lt;&gt;"",الموظفون!$AE70&lt;$E$3),"✖ منتهي الخدمة","⏳ لم يباشر"),IF(S70&gt;0,"✈ راتب إجازة مقدم",IF(J70=0,"⛔ بدون راتب هذا الشهر",IF(I70&gt;0,"✈ خصم "&amp;ROUND(I70,2)&amp;" يوم بدون أجر",IF(AL70&gt;0,"🌴 إجازة سنوية "&amp;ROUND(AL70,2)&amp;" يوم",IF(H70&gt;0,"⚠ غياب "&amp;ROUND(H70,2)&amp;" يوم","✔ على رأس العمل")))))))</f>
        <v/>
      </c>
      <c r="G70" s="151" t="str">
        <f aca="false">IF($B70="","",IF(AK70&gt;=DAY($F$3),cfg_DAYS_M,MIN(AK70,cfg_DAYS_M)))</f>
        <v/>
      </c>
      <c r="H70" s="151" t="str">
        <f aca="false">IF($B70="","",SUMIFS('الحركات الشهرية'!$D$6:$D$1005,'الحركات الشهرية'!$B$6:$B$1005,$B70,'الحركات الشهرية'!$A$6:$A$1005,$C$3))</f>
        <v/>
      </c>
      <c r="I70" s="151" t="str">
        <f aca="false">IF($B70="","",MIN(G70,IF(AND(AK70&gt;0,AN70&gt;=AK70),G70,AN70)+SUMIFS('الحركات الشهرية'!$E$6:$E$1005,'الحركات الشهرية'!$B$6:$B$1005,$B70,'الحركات الشهرية'!$A$6:$A$1005,$C$3)))</f>
        <v/>
      </c>
      <c r="J70" s="151" t="str">
        <f aca="false">IF($B70="","",MAX(0,G70-H70-I70))</f>
        <v/>
      </c>
      <c r="K70" s="111" t="str">
        <f aca="false">IF($B70="","",الموظفون!$L70*$J70/cfg_DAYS_M)</f>
        <v/>
      </c>
      <c r="L70" s="111" t="str">
        <f aca="false">IF($B70="","",الموظفون!$M70*$J70/cfg_DAYS_M)</f>
        <v/>
      </c>
      <c r="M70" s="111" t="str">
        <f aca="false">IF($B70="","",الموظفون!$N70*$J70/cfg_DAYS_M)</f>
        <v/>
      </c>
      <c r="N70" s="111" t="str">
        <f aca="false">IF($B70="","",الموظفون!$O70*$J70/cfg_DAYS_M)</f>
        <v/>
      </c>
      <c r="O70" s="151" t="str">
        <f aca="false">IF($B70="","",SUMIFS('الحركات الشهرية'!$F$6:$F$1005,'الحركات الشهرية'!$B$6:$B$1005,$B70,'الحركات الشهرية'!$A$6:$A$1005,$C$3))</f>
        <v/>
      </c>
      <c r="P70" s="111" t="str">
        <f aca="false">IF($B70="","",O70*(الموظفون!$P70+الموظفون!$L70*cfg_OT_P)/cfg_DAYS_M/cfg_HRS)</f>
        <v/>
      </c>
      <c r="Q70" s="111" t="str">
        <f aca="false">IF($B70="","",SUMIFS('الحركات الشهرية'!$G$6:$G$1005,'الحركات الشهرية'!$B$6:$B$1005,$B70,'الحركات الشهرية'!$A$6:$A$1005,$C$3))</f>
        <v/>
      </c>
      <c r="R70" s="111" t="str">
        <f aca="false">IF($B70="","",SUMIFS('الحركات الشهرية'!$H$6:$H$1005,'الحركات الشهرية'!$B$6:$B$1005,$B70,'الحركات الشهرية'!$A$6:$A$1005,$C$3))</f>
        <v/>
      </c>
      <c r="S70" s="111" t="str">
        <f aca="false">IF($B70="","",SUMIFS('سجل الإجازات والحالات'!$N$6:$N$505,'سجل الإجازات والحالات'!$B$6:$B$505,$B70,'سجل الإجازات والحالات'!$O$6:$O$505,$C$3))</f>
        <v/>
      </c>
      <c r="T70" s="152" t="str">
        <f aca="false">IF($B70="","",SUM(K70:N70)+SUM(P70:S70))</f>
        <v/>
      </c>
      <c r="U70" s="111" t="str">
        <f aca="false">IF($B70="","",الموظفون!$S70*IF(E70="سعودي",cfg_G_SE,cfg_G_NE)*G70/cfg_DAYS_M)</f>
        <v/>
      </c>
      <c r="V70" s="111" t="str">
        <f aca="false">IF($B70="","",SUMIFS('الحركات الشهرية'!$I$6:$I$1005,'الحركات الشهرية'!$B$6:$B$1005,$B70,'الحركات الشهرية'!$A$6:$A$1005,$C$3))</f>
        <v/>
      </c>
      <c r="W70" s="111" t="str">
        <f aca="false">IF($B70="","",SUMIFS('الحركات الشهرية'!$J$6:$J$1005,'الحركات الشهرية'!$B$6:$B$1005,$B70,'الحركات الشهرية'!$A$6:$A$1005,$C$3))</f>
        <v/>
      </c>
      <c r="X70" s="111" t="str">
        <f aca="false">IF($B70="","",SUM(U70:W70))</f>
        <v/>
      </c>
      <c r="Y70" s="153" t="str">
        <f aca="false">IF($B70="","",T70-X70)</f>
        <v/>
      </c>
      <c r="Z70" s="111" t="str">
        <f aca="false">IF($B70="","",الموظفون!$S70*IF(E70="سعودي",cfg_G_SR,cfg_G_NR)*G70/cfg_DAYS_M)</f>
        <v/>
      </c>
      <c r="AA70" s="111" t="str">
        <f aca="false">IF($B70="","",الموظفون!$Q70*(cfg_EOS_R1*(MIN(AH70,cfg_EOS_TH)-MIN(AI70,cfg_EOS_TH))+cfg_EOS_R2*(MAX(AH70-cfg_EOS_TH,0)-MAX(AI70-cfg_EOS_TH,0))))</f>
        <v/>
      </c>
      <c r="AB70" s="111" t="str">
        <f aca="false">IF($B70="","",IF(الموظفون!$T70&lt;&gt;"",الموظفون!$T70,IF(AH70&gt;=cfg_LV_TH,cfg_LV_D2,cfg_LV_D1))/cfg_DAYS_Y*AJ70*الموظفون!$R70/cfg_DAYS_M)</f>
        <v/>
      </c>
      <c r="AC70" s="111" t="str">
        <f aca="false">IF($B70="","",IF(AND(الموظفون!$U70="نعم",N(الموظفون!$W70)&gt;0),الموظفون!$V70/الموظفون!$W70*12/cfg_DAYS_Y*AJ70,0))</f>
        <v/>
      </c>
      <c r="AD70" s="111" t="str">
        <f aca="false">IF($B70="","",(IF(الموظفون!$X70&lt;&gt;"",الموظفون!$X70,IF(الموظفون!$E70="غير سعودي",cfg_IQ,0))+IF(الموظفون!$Y70&lt;&gt;"",الموظفون!$Y70,IF(الموظفون!$E70="غير سعودي",cfg_WP,0)))/12*G70/cfg_DAYS_M)</f>
        <v/>
      </c>
      <c r="AE70" s="111" t="str">
        <f aca="false">IF($B70="","",IF(الموظفون!$Z70&lt;&gt;"",الموظفون!$Z70,cfg_MED)/12*G70/cfg_DAYS_M)</f>
        <v/>
      </c>
      <c r="AF70" s="111" t="str">
        <f aca="false">IF($B70="","",N(الموظفون!$AA70)/12*G70/cfg_DAYS_M)</f>
        <v/>
      </c>
      <c r="AG70" s="154" t="str">
        <f aca="false">IF($B70="","",T70+SUM(Z70:AF70))</f>
        <v/>
      </c>
      <c r="AH70" s="155" t="str">
        <f aca="false">IF($B70="","",MAX(0,IF(OR(الموظفون!$AE70="",الموظفون!$AE70&gt;$F$3),$F$3,الموظفون!$AE70)-الموظفون!$H70+1-SUMIFS('سجل الإجازات والحالات'!$AS$6:$AS$505,'سجل الإجازات والحالات'!$B$6:$B$505,$B70))/cfg_DAYS_Y)</f>
        <v/>
      </c>
      <c r="AI70" s="155" t="str">
        <f aca="false">IF($B70="","",MAX(0,IF(OR(الموظفون!$AE70="",الموظفون!$AE70&gt;($E$3-1)),($E$3-1),الموظفون!$AE70)-الموظفون!$H70+1-SUMIFS('سجل الإجازات والحالات'!$AR$6:$AR$505,'سجل الإجازات والحالات'!$B$6:$B$505,$B70))/cfg_DAYS_Y)</f>
        <v/>
      </c>
      <c r="AJ70" s="65" t="str">
        <f aca="false">IF($B70="","",MAX(0,AK70-(SUMIFS('سجل الإجازات والحالات'!$AS$6:$AS$505,'سجل الإجازات والحالات'!$B$6:$B$505,$B70)-SUMIFS('سجل الإجازات والحالات'!$AR$6:$AR$505,'سجل الإجازات والحالات'!$B$6:$B$505,$B70))))</f>
        <v/>
      </c>
      <c r="AK70" s="65" t="str">
        <f aca="false">IF($B70="","",MAX(0,IF(OR(الموظفون!$AE70="",الموظفون!$AE70&gt;$F$3),$F$3,الموظفون!$AE70)-MAX($E$3,الموظفون!$H70)+1))</f>
        <v/>
      </c>
      <c r="AL70" s="151" t="str">
        <f aca="false">IF($B70="","",SUMIFS('سجل الإجازات والحالات'!$BE$6:$BE$505,'سجل الإجازات والحالات'!$B$6:$B$505,$B70)+SUMIFS('الحركات الشهرية'!$K$6:$K$1005,'الحركات الشهرية'!$B$6:$B$1005,$B70,'الحركات الشهرية'!$A$6:$A$1005,$C$3))</f>
        <v/>
      </c>
      <c r="AM70" s="111" t="str">
        <f aca="false">IF($B70="","",AL70*الموظفون!$R70/cfg_DAYS_M+S70)</f>
        <v/>
      </c>
      <c r="AN70" s="151" t="str">
        <f aca="false">IF($B70="","",SUMIFS('سجل الإجازات والحالات'!$AG$6:$AG$505,'سجل الإجازات والحالات'!$B$6:$B$505,$B70))</f>
        <v/>
      </c>
    </row>
    <row r="71" customFormat="false" ht="15" hidden="false" customHeight="false" outlineLevel="0" collapsed="false">
      <c r="A71" s="115" t="str">
        <f aca="false">IF($B71="","",الموظفون!$A71)</f>
        <v/>
      </c>
      <c r="B71" s="117" t="str">
        <f aca="false">IF(الموظفون!$B71="","",الموظفون!$B71)</f>
        <v/>
      </c>
      <c r="C71" s="117" t="str">
        <f aca="false">IF($B71="","",الموظفون!$C71)</f>
        <v/>
      </c>
      <c r="D71" s="117" t="str">
        <f aca="false">IF($B71="","",الموظفون!$F71)</f>
        <v/>
      </c>
      <c r="E71" s="117" t="str">
        <f aca="false">IF($B71="","",الموظفون!$E71)</f>
        <v/>
      </c>
      <c r="F71" s="117" t="str">
        <f aca="false">IF($B71="","",IF(AK71=0,IF(AND(الموظفون!$AE71&lt;&gt;"",الموظفون!$AE71&lt;$E$3),"✖ منتهي الخدمة","⏳ لم يباشر"),IF(S71&gt;0,"✈ راتب إجازة مقدم",IF(J71=0,"⛔ بدون راتب هذا الشهر",IF(I71&gt;0,"✈ خصم "&amp;ROUND(I71,2)&amp;" يوم بدون أجر",IF(AL71&gt;0,"🌴 إجازة سنوية "&amp;ROUND(AL71,2)&amp;" يوم",IF(H71&gt;0,"⚠ غياب "&amp;ROUND(H71,2)&amp;" يوم","✔ على رأس العمل")))))))</f>
        <v/>
      </c>
      <c r="G71" s="156" t="str">
        <f aca="false">IF($B71="","",IF(AK71&gt;=DAY($F$3),cfg_DAYS_M,MIN(AK71,cfg_DAYS_M)))</f>
        <v/>
      </c>
      <c r="H71" s="156" t="str">
        <f aca="false">IF($B71="","",SUMIFS('الحركات الشهرية'!$D$6:$D$1005,'الحركات الشهرية'!$B$6:$B$1005,$B71,'الحركات الشهرية'!$A$6:$A$1005,$C$3))</f>
        <v/>
      </c>
      <c r="I71" s="156" t="str">
        <f aca="false">IF($B71="","",MIN(G71,IF(AND(AK71&gt;0,AN71&gt;=AK71),G71,AN71)+SUMIFS('الحركات الشهرية'!$E$6:$E$1005,'الحركات الشهرية'!$B$6:$B$1005,$B71,'الحركات الشهرية'!$A$6:$A$1005,$C$3)))</f>
        <v/>
      </c>
      <c r="J71" s="156" t="str">
        <f aca="false">IF($B71="","",MAX(0,G71-H71-I71))</f>
        <v/>
      </c>
      <c r="K71" s="116" t="str">
        <f aca="false">IF($B71="","",الموظفون!$L71*$J71/cfg_DAYS_M)</f>
        <v/>
      </c>
      <c r="L71" s="116" t="str">
        <f aca="false">IF($B71="","",الموظفون!$M71*$J71/cfg_DAYS_M)</f>
        <v/>
      </c>
      <c r="M71" s="116" t="str">
        <f aca="false">IF($B71="","",الموظفون!$N71*$J71/cfg_DAYS_M)</f>
        <v/>
      </c>
      <c r="N71" s="116" t="str">
        <f aca="false">IF($B71="","",الموظفون!$O71*$J71/cfg_DAYS_M)</f>
        <v/>
      </c>
      <c r="O71" s="156" t="str">
        <f aca="false">IF($B71="","",SUMIFS('الحركات الشهرية'!$F$6:$F$1005,'الحركات الشهرية'!$B$6:$B$1005,$B71,'الحركات الشهرية'!$A$6:$A$1005,$C$3))</f>
        <v/>
      </c>
      <c r="P71" s="116" t="str">
        <f aca="false">IF($B71="","",O71*(الموظفون!$P71+الموظفون!$L71*cfg_OT_P)/cfg_DAYS_M/cfg_HRS)</f>
        <v/>
      </c>
      <c r="Q71" s="116" t="str">
        <f aca="false">IF($B71="","",SUMIFS('الحركات الشهرية'!$G$6:$G$1005,'الحركات الشهرية'!$B$6:$B$1005,$B71,'الحركات الشهرية'!$A$6:$A$1005,$C$3))</f>
        <v/>
      </c>
      <c r="R71" s="116" t="str">
        <f aca="false">IF($B71="","",SUMIFS('الحركات الشهرية'!$H$6:$H$1005,'الحركات الشهرية'!$B$6:$B$1005,$B71,'الحركات الشهرية'!$A$6:$A$1005,$C$3))</f>
        <v/>
      </c>
      <c r="S71" s="116" t="str">
        <f aca="false">IF($B71="","",SUMIFS('سجل الإجازات والحالات'!$N$6:$N$505,'سجل الإجازات والحالات'!$B$6:$B$505,$B71,'سجل الإجازات والحالات'!$O$6:$O$505,$C$3))</f>
        <v/>
      </c>
      <c r="T71" s="157" t="str">
        <f aca="false">IF($B71="","",SUM(K71:N71)+SUM(P71:S71))</f>
        <v/>
      </c>
      <c r="U71" s="116" t="str">
        <f aca="false">IF($B71="","",الموظفون!$S71*IF(E71="سعودي",cfg_G_SE,cfg_G_NE)*G71/cfg_DAYS_M)</f>
        <v/>
      </c>
      <c r="V71" s="116" t="str">
        <f aca="false">IF($B71="","",SUMIFS('الحركات الشهرية'!$I$6:$I$1005,'الحركات الشهرية'!$B$6:$B$1005,$B71,'الحركات الشهرية'!$A$6:$A$1005,$C$3))</f>
        <v/>
      </c>
      <c r="W71" s="116" t="str">
        <f aca="false">IF($B71="","",SUMIFS('الحركات الشهرية'!$J$6:$J$1005,'الحركات الشهرية'!$B$6:$B$1005,$B71,'الحركات الشهرية'!$A$6:$A$1005,$C$3))</f>
        <v/>
      </c>
      <c r="X71" s="116" t="str">
        <f aca="false">IF($B71="","",SUM(U71:W71))</f>
        <v/>
      </c>
      <c r="Y71" s="158" t="str">
        <f aca="false">IF($B71="","",T71-X71)</f>
        <v/>
      </c>
      <c r="Z71" s="116" t="str">
        <f aca="false">IF($B71="","",الموظفون!$S71*IF(E71="سعودي",cfg_G_SR,cfg_G_NR)*G71/cfg_DAYS_M)</f>
        <v/>
      </c>
      <c r="AA71" s="116" t="str">
        <f aca="false">IF($B71="","",الموظفون!$Q71*(cfg_EOS_R1*(MIN(AH71,cfg_EOS_TH)-MIN(AI71,cfg_EOS_TH))+cfg_EOS_R2*(MAX(AH71-cfg_EOS_TH,0)-MAX(AI71-cfg_EOS_TH,0))))</f>
        <v/>
      </c>
      <c r="AB71" s="116" t="str">
        <f aca="false">IF($B71="","",IF(الموظفون!$T71&lt;&gt;"",الموظفون!$T71,IF(AH71&gt;=cfg_LV_TH,cfg_LV_D2,cfg_LV_D1))/cfg_DAYS_Y*AJ71*الموظفون!$R71/cfg_DAYS_M)</f>
        <v/>
      </c>
      <c r="AC71" s="116" t="str">
        <f aca="false">IF($B71="","",IF(AND(الموظفون!$U71="نعم",N(الموظفون!$W71)&gt;0),الموظفون!$V71/الموظفون!$W71*12/cfg_DAYS_Y*AJ71,0))</f>
        <v/>
      </c>
      <c r="AD71" s="116" t="str">
        <f aca="false">IF($B71="","",(IF(الموظفون!$X71&lt;&gt;"",الموظفون!$X71,IF(الموظفون!$E71="غير سعودي",cfg_IQ,0))+IF(الموظفون!$Y71&lt;&gt;"",الموظفون!$Y71,IF(الموظفون!$E71="غير سعودي",cfg_WP,0)))/12*G71/cfg_DAYS_M)</f>
        <v/>
      </c>
      <c r="AE71" s="116" t="str">
        <f aca="false">IF($B71="","",IF(الموظفون!$Z71&lt;&gt;"",الموظفون!$Z71,cfg_MED)/12*G71/cfg_DAYS_M)</f>
        <v/>
      </c>
      <c r="AF71" s="116" t="str">
        <f aca="false">IF($B71="","",N(الموظفون!$AA71)/12*G71/cfg_DAYS_M)</f>
        <v/>
      </c>
      <c r="AG71" s="159" t="str">
        <f aca="false">IF($B71="","",T71+SUM(Z71:AF71))</f>
        <v/>
      </c>
      <c r="AH71" s="160" t="str">
        <f aca="false">IF($B71="","",MAX(0,IF(OR(الموظفون!$AE71="",الموظفون!$AE71&gt;$F$3),$F$3,الموظفون!$AE71)-الموظفون!$H71+1-SUMIFS('سجل الإجازات والحالات'!$AS$6:$AS$505,'سجل الإجازات والحالات'!$B$6:$B$505,$B71))/cfg_DAYS_Y)</f>
        <v/>
      </c>
      <c r="AI71" s="160" t="str">
        <f aca="false">IF($B71="","",MAX(0,IF(OR(الموظفون!$AE71="",الموظفون!$AE71&gt;($E$3-1)),($E$3-1),الموظفون!$AE71)-الموظفون!$H71+1-SUMIFS('سجل الإجازات والحالات'!$AR$6:$AR$505,'سجل الإجازات والحالات'!$B$6:$B$505,$B71))/cfg_DAYS_Y)</f>
        <v/>
      </c>
      <c r="AJ71" s="133" t="str">
        <f aca="false">IF($B71="","",MAX(0,AK71-(SUMIFS('سجل الإجازات والحالات'!$AS$6:$AS$505,'سجل الإجازات والحالات'!$B$6:$B$505,$B71)-SUMIFS('سجل الإجازات والحالات'!$AR$6:$AR$505,'سجل الإجازات والحالات'!$B$6:$B$505,$B71))))</f>
        <v/>
      </c>
      <c r="AK71" s="133" t="str">
        <f aca="false">IF($B71="","",MAX(0,IF(OR(الموظفون!$AE71="",الموظفون!$AE71&gt;$F$3),$F$3,الموظفون!$AE71)-MAX($E$3,الموظفون!$H71)+1))</f>
        <v/>
      </c>
      <c r="AL71" s="156" t="str">
        <f aca="false">IF($B71="","",SUMIFS('سجل الإجازات والحالات'!$BE$6:$BE$505,'سجل الإجازات والحالات'!$B$6:$B$505,$B71)+SUMIFS('الحركات الشهرية'!$K$6:$K$1005,'الحركات الشهرية'!$B$6:$B$1005,$B71,'الحركات الشهرية'!$A$6:$A$1005,$C$3))</f>
        <v/>
      </c>
      <c r="AM71" s="116" t="str">
        <f aca="false">IF($B71="","",AL71*الموظفون!$R71/cfg_DAYS_M+S71)</f>
        <v/>
      </c>
      <c r="AN71" s="156" t="str">
        <f aca="false">IF($B71="","",SUMIFS('سجل الإجازات والحالات'!$AG$6:$AG$505,'سجل الإجازات والحالات'!$B$6:$B$505,$B71))</f>
        <v/>
      </c>
    </row>
    <row r="72" customFormat="false" ht="15" hidden="false" customHeight="false" outlineLevel="0" collapsed="false">
      <c r="A72" s="106" t="str">
        <f aca="false">IF($B72="","",الموظفون!$A72)</f>
        <v/>
      </c>
      <c r="B72" s="114" t="str">
        <f aca="false">IF(الموظفون!$B72="","",الموظفون!$B72)</f>
        <v/>
      </c>
      <c r="C72" s="114" t="str">
        <f aca="false">IF($B72="","",الموظفون!$C72)</f>
        <v/>
      </c>
      <c r="D72" s="114" t="str">
        <f aca="false">IF($B72="","",الموظفون!$F72)</f>
        <v/>
      </c>
      <c r="E72" s="114" t="str">
        <f aca="false">IF($B72="","",الموظفون!$E72)</f>
        <v/>
      </c>
      <c r="F72" s="114" t="str">
        <f aca="false">IF($B72="","",IF(AK72=0,IF(AND(الموظفون!$AE72&lt;&gt;"",الموظفون!$AE72&lt;$E$3),"✖ منتهي الخدمة","⏳ لم يباشر"),IF(S72&gt;0,"✈ راتب إجازة مقدم",IF(J72=0,"⛔ بدون راتب هذا الشهر",IF(I72&gt;0,"✈ خصم "&amp;ROUND(I72,2)&amp;" يوم بدون أجر",IF(AL72&gt;0,"🌴 إجازة سنوية "&amp;ROUND(AL72,2)&amp;" يوم",IF(H72&gt;0,"⚠ غياب "&amp;ROUND(H72,2)&amp;" يوم","✔ على رأس العمل")))))))</f>
        <v/>
      </c>
      <c r="G72" s="151" t="str">
        <f aca="false">IF($B72="","",IF(AK72&gt;=DAY($F$3),cfg_DAYS_M,MIN(AK72,cfg_DAYS_M)))</f>
        <v/>
      </c>
      <c r="H72" s="151" t="str">
        <f aca="false">IF($B72="","",SUMIFS('الحركات الشهرية'!$D$6:$D$1005,'الحركات الشهرية'!$B$6:$B$1005,$B72,'الحركات الشهرية'!$A$6:$A$1005,$C$3))</f>
        <v/>
      </c>
      <c r="I72" s="151" t="str">
        <f aca="false">IF($B72="","",MIN(G72,IF(AND(AK72&gt;0,AN72&gt;=AK72),G72,AN72)+SUMIFS('الحركات الشهرية'!$E$6:$E$1005,'الحركات الشهرية'!$B$6:$B$1005,$B72,'الحركات الشهرية'!$A$6:$A$1005,$C$3)))</f>
        <v/>
      </c>
      <c r="J72" s="151" t="str">
        <f aca="false">IF($B72="","",MAX(0,G72-H72-I72))</f>
        <v/>
      </c>
      <c r="K72" s="111" t="str">
        <f aca="false">IF($B72="","",الموظفون!$L72*$J72/cfg_DAYS_M)</f>
        <v/>
      </c>
      <c r="L72" s="111" t="str">
        <f aca="false">IF($B72="","",الموظفون!$M72*$J72/cfg_DAYS_M)</f>
        <v/>
      </c>
      <c r="M72" s="111" t="str">
        <f aca="false">IF($B72="","",الموظفون!$N72*$J72/cfg_DAYS_M)</f>
        <v/>
      </c>
      <c r="N72" s="111" t="str">
        <f aca="false">IF($B72="","",الموظفون!$O72*$J72/cfg_DAYS_M)</f>
        <v/>
      </c>
      <c r="O72" s="151" t="str">
        <f aca="false">IF($B72="","",SUMIFS('الحركات الشهرية'!$F$6:$F$1005,'الحركات الشهرية'!$B$6:$B$1005,$B72,'الحركات الشهرية'!$A$6:$A$1005,$C$3))</f>
        <v/>
      </c>
      <c r="P72" s="111" t="str">
        <f aca="false">IF($B72="","",O72*(الموظفون!$P72+الموظفون!$L72*cfg_OT_P)/cfg_DAYS_M/cfg_HRS)</f>
        <v/>
      </c>
      <c r="Q72" s="111" t="str">
        <f aca="false">IF($B72="","",SUMIFS('الحركات الشهرية'!$G$6:$G$1005,'الحركات الشهرية'!$B$6:$B$1005,$B72,'الحركات الشهرية'!$A$6:$A$1005,$C$3))</f>
        <v/>
      </c>
      <c r="R72" s="111" t="str">
        <f aca="false">IF($B72="","",SUMIFS('الحركات الشهرية'!$H$6:$H$1005,'الحركات الشهرية'!$B$6:$B$1005,$B72,'الحركات الشهرية'!$A$6:$A$1005,$C$3))</f>
        <v/>
      </c>
      <c r="S72" s="111" t="str">
        <f aca="false">IF($B72="","",SUMIFS('سجل الإجازات والحالات'!$N$6:$N$505,'سجل الإجازات والحالات'!$B$6:$B$505,$B72,'سجل الإجازات والحالات'!$O$6:$O$505,$C$3))</f>
        <v/>
      </c>
      <c r="T72" s="152" t="str">
        <f aca="false">IF($B72="","",SUM(K72:N72)+SUM(P72:S72))</f>
        <v/>
      </c>
      <c r="U72" s="111" t="str">
        <f aca="false">IF($B72="","",الموظفون!$S72*IF(E72="سعودي",cfg_G_SE,cfg_G_NE)*G72/cfg_DAYS_M)</f>
        <v/>
      </c>
      <c r="V72" s="111" t="str">
        <f aca="false">IF($B72="","",SUMIFS('الحركات الشهرية'!$I$6:$I$1005,'الحركات الشهرية'!$B$6:$B$1005,$B72,'الحركات الشهرية'!$A$6:$A$1005,$C$3))</f>
        <v/>
      </c>
      <c r="W72" s="111" t="str">
        <f aca="false">IF($B72="","",SUMIFS('الحركات الشهرية'!$J$6:$J$1005,'الحركات الشهرية'!$B$6:$B$1005,$B72,'الحركات الشهرية'!$A$6:$A$1005,$C$3))</f>
        <v/>
      </c>
      <c r="X72" s="111" t="str">
        <f aca="false">IF($B72="","",SUM(U72:W72))</f>
        <v/>
      </c>
      <c r="Y72" s="153" t="str">
        <f aca="false">IF($B72="","",T72-X72)</f>
        <v/>
      </c>
      <c r="Z72" s="111" t="str">
        <f aca="false">IF($B72="","",الموظفون!$S72*IF(E72="سعودي",cfg_G_SR,cfg_G_NR)*G72/cfg_DAYS_M)</f>
        <v/>
      </c>
      <c r="AA72" s="111" t="str">
        <f aca="false">IF($B72="","",الموظفون!$Q72*(cfg_EOS_R1*(MIN(AH72,cfg_EOS_TH)-MIN(AI72,cfg_EOS_TH))+cfg_EOS_R2*(MAX(AH72-cfg_EOS_TH,0)-MAX(AI72-cfg_EOS_TH,0))))</f>
        <v/>
      </c>
      <c r="AB72" s="111" t="str">
        <f aca="false">IF($B72="","",IF(الموظفون!$T72&lt;&gt;"",الموظفون!$T72,IF(AH72&gt;=cfg_LV_TH,cfg_LV_D2,cfg_LV_D1))/cfg_DAYS_Y*AJ72*الموظفون!$R72/cfg_DAYS_M)</f>
        <v/>
      </c>
      <c r="AC72" s="111" t="str">
        <f aca="false">IF($B72="","",IF(AND(الموظفون!$U72="نعم",N(الموظفون!$W72)&gt;0),الموظفون!$V72/الموظفون!$W72*12/cfg_DAYS_Y*AJ72,0))</f>
        <v/>
      </c>
      <c r="AD72" s="111" t="str">
        <f aca="false">IF($B72="","",(IF(الموظفون!$X72&lt;&gt;"",الموظفون!$X72,IF(الموظفون!$E72="غير سعودي",cfg_IQ,0))+IF(الموظفون!$Y72&lt;&gt;"",الموظفون!$Y72,IF(الموظفون!$E72="غير سعودي",cfg_WP,0)))/12*G72/cfg_DAYS_M)</f>
        <v/>
      </c>
      <c r="AE72" s="111" t="str">
        <f aca="false">IF($B72="","",IF(الموظفون!$Z72&lt;&gt;"",الموظفون!$Z72,cfg_MED)/12*G72/cfg_DAYS_M)</f>
        <v/>
      </c>
      <c r="AF72" s="111" t="str">
        <f aca="false">IF($B72="","",N(الموظفون!$AA72)/12*G72/cfg_DAYS_M)</f>
        <v/>
      </c>
      <c r="AG72" s="154" t="str">
        <f aca="false">IF($B72="","",T72+SUM(Z72:AF72))</f>
        <v/>
      </c>
      <c r="AH72" s="155" t="str">
        <f aca="false">IF($B72="","",MAX(0,IF(OR(الموظفون!$AE72="",الموظفون!$AE72&gt;$F$3),$F$3,الموظفون!$AE72)-الموظفون!$H72+1-SUMIFS('سجل الإجازات والحالات'!$AS$6:$AS$505,'سجل الإجازات والحالات'!$B$6:$B$505,$B72))/cfg_DAYS_Y)</f>
        <v/>
      </c>
      <c r="AI72" s="155" t="str">
        <f aca="false">IF($B72="","",MAX(0,IF(OR(الموظفون!$AE72="",الموظفون!$AE72&gt;($E$3-1)),($E$3-1),الموظفون!$AE72)-الموظفون!$H72+1-SUMIFS('سجل الإجازات والحالات'!$AR$6:$AR$505,'سجل الإجازات والحالات'!$B$6:$B$505,$B72))/cfg_DAYS_Y)</f>
        <v/>
      </c>
      <c r="AJ72" s="65" t="str">
        <f aca="false">IF($B72="","",MAX(0,AK72-(SUMIFS('سجل الإجازات والحالات'!$AS$6:$AS$505,'سجل الإجازات والحالات'!$B$6:$B$505,$B72)-SUMIFS('سجل الإجازات والحالات'!$AR$6:$AR$505,'سجل الإجازات والحالات'!$B$6:$B$505,$B72))))</f>
        <v/>
      </c>
      <c r="AK72" s="65" t="str">
        <f aca="false">IF($B72="","",MAX(0,IF(OR(الموظفون!$AE72="",الموظفون!$AE72&gt;$F$3),$F$3,الموظفون!$AE72)-MAX($E$3,الموظفون!$H72)+1))</f>
        <v/>
      </c>
      <c r="AL72" s="151" t="str">
        <f aca="false">IF($B72="","",SUMIFS('سجل الإجازات والحالات'!$BE$6:$BE$505,'سجل الإجازات والحالات'!$B$6:$B$505,$B72)+SUMIFS('الحركات الشهرية'!$K$6:$K$1005,'الحركات الشهرية'!$B$6:$B$1005,$B72,'الحركات الشهرية'!$A$6:$A$1005,$C$3))</f>
        <v/>
      </c>
      <c r="AM72" s="111" t="str">
        <f aca="false">IF($B72="","",AL72*الموظفون!$R72/cfg_DAYS_M+S72)</f>
        <v/>
      </c>
      <c r="AN72" s="151" t="str">
        <f aca="false">IF($B72="","",SUMIFS('سجل الإجازات والحالات'!$AG$6:$AG$505,'سجل الإجازات والحالات'!$B$6:$B$505,$B72))</f>
        <v/>
      </c>
    </row>
    <row r="73" customFormat="false" ht="15" hidden="false" customHeight="false" outlineLevel="0" collapsed="false">
      <c r="A73" s="115" t="str">
        <f aca="false">IF($B73="","",الموظفون!$A73)</f>
        <v/>
      </c>
      <c r="B73" s="117" t="str">
        <f aca="false">IF(الموظفون!$B73="","",الموظفون!$B73)</f>
        <v/>
      </c>
      <c r="C73" s="117" t="str">
        <f aca="false">IF($B73="","",الموظفون!$C73)</f>
        <v/>
      </c>
      <c r="D73" s="117" t="str">
        <f aca="false">IF($B73="","",الموظفون!$F73)</f>
        <v/>
      </c>
      <c r="E73" s="117" t="str">
        <f aca="false">IF($B73="","",الموظفون!$E73)</f>
        <v/>
      </c>
      <c r="F73" s="117" t="str">
        <f aca="false">IF($B73="","",IF(AK73=0,IF(AND(الموظفون!$AE73&lt;&gt;"",الموظفون!$AE73&lt;$E$3),"✖ منتهي الخدمة","⏳ لم يباشر"),IF(S73&gt;0,"✈ راتب إجازة مقدم",IF(J73=0,"⛔ بدون راتب هذا الشهر",IF(I73&gt;0,"✈ خصم "&amp;ROUND(I73,2)&amp;" يوم بدون أجر",IF(AL73&gt;0,"🌴 إجازة سنوية "&amp;ROUND(AL73,2)&amp;" يوم",IF(H73&gt;0,"⚠ غياب "&amp;ROUND(H73,2)&amp;" يوم","✔ على رأس العمل")))))))</f>
        <v/>
      </c>
      <c r="G73" s="156" t="str">
        <f aca="false">IF($B73="","",IF(AK73&gt;=DAY($F$3),cfg_DAYS_M,MIN(AK73,cfg_DAYS_M)))</f>
        <v/>
      </c>
      <c r="H73" s="156" t="str">
        <f aca="false">IF($B73="","",SUMIFS('الحركات الشهرية'!$D$6:$D$1005,'الحركات الشهرية'!$B$6:$B$1005,$B73,'الحركات الشهرية'!$A$6:$A$1005,$C$3))</f>
        <v/>
      </c>
      <c r="I73" s="156" t="str">
        <f aca="false">IF($B73="","",MIN(G73,IF(AND(AK73&gt;0,AN73&gt;=AK73),G73,AN73)+SUMIFS('الحركات الشهرية'!$E$6:$E$1005,'الحركات الشهرية'!$B$6:$B$1005,$B73,'الحركات الشهرية'!$A$6:$A$1005,$C$3)))</f>
        <v/>
      </c>
      <c r="J73" s="156" t="str">
        <f aca="false">IF($B73="","",MAX(0,G73-H73-I73))</f>
        <v/>
      </c>
      <c r="K73" s="116" t="str">
        <f aca="false">IF($B73="","",الموظفون!$L73*$J73/cfg_DAYS_M)</f>
        <v/>
      </c>
      <c r="L73" s="116" t="str">
        <f aca="false">IF($B73="","",الموظفون!$M73*$J73/cfg_DAYS_M)</f>
        <v/>
      </c>
      <c r="M73" s="116" t="str">
        <f aca="false">IF($B73="","",الموظفون!$N73*$J73/cfg_DAYS_M)</f>
        <v/>
      </c>
      <c r="N73" s="116" t="str">
        <f aca="false">IF($B73="","",الموظفون!$O73*$J73/cfg_DAYS_M)</f>
        <v/>
      </c>
      <c r="O73" s="156" t="str">
        <f aca="false">IF($B73="","",SUMIFS('الحركات الشهرية'!$F$6:$F$1005,'الحركات الشهرية'!$B$6:$B$1005,$B73,'الحركات الشهرية'!$A$6:$A$1005,$C$3))</f>
        <v/>
      </c>
      <c r="P73" s="116" t="str">
        <f aca="false">IF($B73="","",O73*(الموظفون!$P73+الموظفون!$L73*cfg_OT_P)/cfg_DAYS_M/cfg_HRS)</f>
        <v/>
      </c>
      <c r="Q73" s="116" t="str">
        <f aca="false">IF($B73="","",SUMIFS('الحركات الشهرية'!$G$6:$G$1005,'الحركات الشهرية'!$B$6:$B$1005,$B73,'الحركات الشهرية'!$A$6:$A$1005,$C$3))</f>
        <v/>
      </c>
      <c r="R73" s="116" t="str">
        <f aca="false">IF($B73="","",SUMIFS('الحركات الشهرية'!$H$6:$H$1005,'الحركات الشهرية'!$B$6:$B$1005,$B73,'الحركات الشهرية'!$A$6:$A$1005,$C$3))</f>
        <v/>
      </c>
      <c r="S73" s="116" t="str">
        <f aca="false">IF($B73="","",SUMIFS('سجل الإجازات والحالات'!$N$6:$N$505,'سجل الإجازات والحالات'!$B$6:$B$505,$B73,'سجل الإجازات والحالات'!$O$6:$O$505,$C$3))</f>
        <v/>
      </c>
      <c r="T73" s="157" t="str">
        <f aca="false">IF($B73="","",SUM(K73:N73)+SUM(P73:S73))</f>
        <v/>
      </c>
      <c r="U73" s="116" t="str">
        <f aca="false">IF($B73="","",الموظفون!$S73*IF(E73="سعودي",cfg_G_SE,cfg_G_NE)*G73/cfg_DAYS_M)</f>
        <v/>
      </c>
      <c r="V73" s="116" t="str">
        <f aca="false">IF($B73="","",SUMIFS('الحركات الشهرية'!$I$6:$I$1005,'الحركات الشهرية'!$B$6:$B$1005,$B73,'الحركات الشهرية'!$A$6:$A$1005,$C$3))</f>
        <v/>
      </c>
      <c r="W73" s="116" t="str">
        <f aca="false">IF($B73="","",SUMIFS('الحركات الشهرية'!$J$6:$J$1005,'الحركات الشهرية'!$B$6:$B$1005,$B73,'الحركات الشهرية'!$A$6:$A$1005,$C$3))</f>
        <v/>
      </c>
      <c r="X73" s="116" t="str">
        <f aca="false">IF($B73="","",SUM(U73:W73))</f>
        <v/>
      </c>
      <c r="Y73" s="158" t="str">
        <f aca="false">IF($B73="","",T73-X73)</f>
        <v/>
      </c>
      <c r="Z73" s="116" t="str">
        <f aca="false">IF($B73="","",الموظفون!$S73*IF(E73="سعودي",cfg_G_SR,cfg_G_NR)*G73/cfg_DAYS_M)</f>
        <v/>
      </c>
      <c r="AA73" s="116" t="str">
        <f aca="false">IF($B73="","",الموظفون!$Q73*(cfg_EOS_R1*(MIN(AH73,cfg_EOS_TH)-MIN(AI73,cfg_EOS_TH))+cfg_EOS_R2*(MAX(AH73-cfg_EOS_TH,0)-MAX(AI73-cfg_EOS_TH,0))))</f>
        <v/>
      </c>
      <c r="AB73" s="116" t="str">
        <f aca="false">IF($B73="","",IF(الموظفون!$T73&lt;&gt;"",الموظفون!$T73,IF(AH73&gt;=cfg_LV_TH,cfg_LV_D2,cfg_LV_D1))/cfg_DAYS_Y*AJ73*الموظفون!$R73/cfg_DAYS_M)</f>
        <v/>
      </c>
      <c r="AC73" s="116" t="str">
        <f aca="false">IF($B73="","",IF(AND(الموظفون!$U73="نعم",N(الموظفون!$W73)&gt;0),الموظفون!$V73/الموظفون!$W73*12/cfg_DAYS_Y*AJ73,0))</f>
        <v/>
      </c>
      <c r="AD73" s="116" t="str">
        <f aca="false">IF($B73="","",(IF(الموظفون!$X73&lt;&gt;"",الموظفون!$X73,IF(الموظفون!$E73="غير سعودي",cfg_IQ,0))+IF(الموظفون!$Y73&lt;&gt;"",الموظفون!$Y73,IF(الموظفون!$E73="غير سعودي",cfg_WP,0)))/12*G73/cfg_DAYS_M)</f>
        <v/>
      </c>
      <c r="AE73" s="116" t="str">
        <f aca="false">IF($B73="","",IF(الموظفون!$Z73&lt;&gt;"",الموظفون!$Z73,cfg_MED)/12*G73/cfg_DAYS_M)</f>
        <v/>
      </c>
      <c r="AF73" s="116" t="str">
        <f aca="false">IF($B73="","",N(الموظفون!$AA73)/12*G73/cfg_DAYS_M)</f>
        <v/>
      </c>
      <c r="AG73" s="159" t="str">
        <f aca="false">IF($B73="","",T73+SUM(Z73:AF73))</f>
        <v/>
      </c>
      <c r="AH73" s="160" t="str">
        <f aca="false">IF($B73="","",MAX(0,IF(OR(الموظفون!$AE73="",الموظفون!$AE73&gt;$F$3),$F$3,الموظفون!$AE73)-الموظفون!$H73+1-SUMIFS('سجل الإجازات والحالات'!$AS$6:$AS$505,'سجل الإجازات والحالات'!$B$6:$B$505,$B73))/cfg_DAYS_Y)</f>
        <v/>
      </c>
      <c r="AI73" s="160" t="str">
        <f aca="false">IF($B73="","",MAX(0,IF(OR(الموظفون!$AE73="",الموظفون!$AE73&gt;($E$3-1)),($E$3-1),الموظفون!$AE73)-الموظفون!$H73+1-SUMIFS('سجل الإجازات والحالات'!$AR$6:$AR$505,'سجل الإجازات والحالات'!$B$6:$B$505,$B73))/cfg_DAYS_Y)</f>
        <v/>
      </c>
      <c r="AJ73" s="133" t="str">
        <f aca="false">IF($B73="","",MAX(0,AK73-(SUMIFS('سجل الإجازات والحالات'!$AS$6:$AS$505,'سجل الإجازات والحالات'!$B$6:$B$505,$B73)-SUMIFS('سجل الإجازات والحالات'!$AR$6:$AR$505,'سجل الإجازات والحالات'!$B$6:$B$505,$B73))))</f>
        <v/>
      </c>
      <c r="AK73" s="133" t="str">
        <f aca="false">IF($B73="","",MAX(0,IF(OR(الموظفون!$AE73="",الموظفون!$AE73&gt;$F$3),$F$3,الموظفون!$AE73)-MAX($E$3,الموظفون!$H73)+1))</f>
        <v/>
      </c>
      <c r="AL73" s="156" t="str">
        <f aca="false">IF($B73="","",SUMIFS('سجل الإجازات والحالات'!$BE$6:$BE$505,'سجل الإجازات والحالات'!$B$6:$B$505,$B73)+SUMIFS('الحركات الشهرية'!$K$6:$K$1005,'الحركات الشهرية'!$B$6:$B$1005,$B73,'الحركات الشهرية'!$A$6:$A$1005,$C$3))</f>
        <v/>
      </c>
      <c r="AM73" s="116" t="str">
        <f aca="false">IF($B73="","",AL73*الموظفون!$R73/cfg_DAYS_M+S73)</f>
        <v/>
      </c>
      <c r="AN73" s="156" t="str">
        <f aca="false">IF($B73="","",SUMIFS('سجل الإجازات والحالات'!$AG$6:$AG$505,'سجل الإجازات والحالات'!$B$6:$B$505,$B73))</f>
        <v/>
      </c>
    </row>
    <row r="74" customFormat="false" ht="15" hidden="false" customHeight="false" outlineLevel="0" collapsed="false">
      <c r="A74" s="106" t="str">
        <f aca="false">IF($B74="","",الموظفون!$A74)</f>
        <v/>
      </c>
      <c r="B74" s="114" t="str">
        <f aca="false">IF(الموظفون!$B74="","",الموظفون!$B74)</f>
        <v/>
      </c>
      <c r="C74" s="114" t="str">
        <f aca="false">IF($B74="","",الموظفون!$C74)</f>
        <v/>
      </c>
      <c r="D74" s="114" t="str">
        <f aca="false">IF($B74="","",الموظفون!$F74)</f>
        <v/>
      </c>
      <c r="E74" s="114" t="str">
        <f aca="false">IF($B74="","",الموظفون!$E74)</f>
        <v/>
      </c>
      <c r="F74" s="114" t="str">
        <f aca="false">IF($B74="","",IF(AK74=0,IF(AND(الموظفون!$AE74&lt;&gt;"",الموظفون!$AE74&lt;$E$3),"✖ منتهي الخدمة","⏳ لم يباشر"),IF(S74&gt;0,"✈ راتب إجازة مقدم",IF(J74=0,"⛔ بدون راتب هذا الشهر",IF(I74&gt;0,"✈ خصم "&amp;ROUND(I74,2)&amp;" يوم بدون أجر",IF(AL74&gt;0,"🌴 إجازة سنوية "&amp;ROUND(AL74,2)&amp;" يوم",IF(H74&gt;0,"⚠ غياب "&amp;ROUND(H74,2)&amp;" يوم","✔ على رأس العمل")))))))</f>
        <v/>
      </c>
      <c r="G74" s="151" t="str">
        <f aca="false">IF($B74="","",IF(AK74&gt;=DAY($F$3),cfg_DAYS_M,MIN(AK74,cfg_DAYS_M)))</f>
        <v/>
      </c>
      <c r="H74" s="151" t="str">
        <f aca="false">IF($B74="","",SUMIFS('الحركات الشهرية'!$D$6:$D$1005,'الحركات الشهرية'!$B$6:$B$1005,$B74,'الحركات الشهرية'!$A$6:$A$1005,$C$3))</f>
        <v/>
      </c>
      <c r="I74" s="151" t="str">
        <f aca="false">IF($B74="","",MIN(G74,IF(AND(AK74&gt;0,AN74&gt;=AK74),G74,AN74)+SUMIFS('الحركات الشهرية'!$E$6:$E$1005,'الحركات الشهرية'!$B$6:$B$1005,$B74,'الحركات الشهرية'!$A$6:$A$1005,$C$3)))</f>
        <v/>
      </c>
      <c r="J74" s="151" t="str">
        <f aca="false">IF($B74="","",MAX(0,G74-H74-I74))</f>
        <v/>
      </c>
      <c r="K74" s="111" t="str">
        <f aca="false">IF($B74="","",الموظفون!$L74*$J74/cfg_DAYS_M)</f>
        <v/>
      </c>
      <c r="L74" s="111" t="str">
        <f aca="false">IF($B74="","",الموظفون!$M74*$J74/cfg_DAYS_M)</f>
        <v/>
      </c>
      <c r="M74" s="111" t="str">
        <f aca="false">IF($B74="","",الموظفون!$N74*$J74/cfg_DAYS_M)</f>
        <v/>
      </c>
      <c r="N74" s="111" t="str">
        <f aca="false">IF($B74="","",الموظفون!$O74*$J74/cfg_DAYS_M)</f>
        <v/>
      </c>
      <c r="O74" s="151" t="str">
        <f aca="false">IF($B74="","",SUMIFS('الحركات الشهرية'!$F$6:$F$1005,'الحركات الشهرية'!$B$6:$B$1005,$B74,'الحركات الشهرية'!$A$6:$A$1005,$C$3))</f>
        <v/>
      </c>
      <c r="P74" s="111" t="str">
        <f aca="false">IF($B74="","",O74*(الموظفون!$P74+الموظفون!$L74*cfg_OT_P)/cfg_DAYS_M/cfg_HRS)</f>
        <v/>
      </c>
      <c r="Q74" s="111" t="str">
        <f aca="false">IF($B74="","",SUMIFS('الحركات الشهرية'!$G$6:$G$1005,'الحركات الشهرية'!$B$6:$B$1005,$B74,'الحركات الشهرية'!$A$6:$A$1005,$C$3))</f>
        <v/>
      </c>
      <c r="R74" s="111" t="str">
        <f aca="false">IF($B74="","",SUMIFS('الحركات الشهرية'!$H$6:$H$1005,'الحركات الشهرية'!$B$6:$B$1005,$B74,'الحركات الشهرية'!$A$6:$A$1005,$C$3))</f>
        <v/>
      </c>
      <c r="S74" s="111" t="str">
        <f aca="false">IF($B74="","",SUMIFS('سجل الإجازات والحالات'!$N$6:$N$505,'سجل الإجازات والحالات'!$B$6:$B$505,$B74,'سجل الإجازات والحالات'!$O$6:$O$505,$C$3))</f>
        <v/>
      </c>
      <c r="T74" s="152" t="str">
        <f aca="false">IF($B74="","",SUM(K74:N74)+SUM(P74:S74))</f>
        <v/>
      </c>
      <c r="U74" s="111" t="str">
        <f aca="false">IF($B74="","",الموظفون!$S74*IF(E74="سعودي",cfg_G_SE,cfg_G_NE)*G74/cfg_DAYS_M)</f>
        <v/>
      </c>
      <c r="V74" s="111" t="str">
        <f aca="false">IF($B74="","",SUMIFS('الحركات الشهرية'!$I$6:$I$1005,'الحركات الشهرية'!$B$6:$B$1005,$B74,'الحركات الشهرية'!$A$6:$A$1005,$C$3))</f>
        <v/>
      </c>
      <c r="W74" s="111" t="str">
        <f aca="false">IF($B74="","",SUMIFS('الحركات الشهرية'!$J$6:$J$1005,'الحركات الشهرية'!$B$6:$B$1005,$B74,'الحركات الشهرية'!$A$6:$A$1005,$C$3))</f>
        <v/>
      </c>
      <c r="X74" s="111" t="str">
        <f aca="false">IF($B74="","",SUM(U74:W74))</f>
        <v/>
      </c>
      <c r="Y74" s="153" t="str">
        <f aca="false">IF($B74="","",T74-X74)</f>
        <v/>
      </c>
      <c r="Z74" s="111" t="str">
        <f aca="false">IF($B74="","",الموظفون!$S74*IF(E74="سعودي",cfg_G_SR,cfg_G_NR)*G74/cfg_DAYS_M)</f>
        <v/>
      </c>
      <c r="AA74" s="111" t="str">
        <f aca="false">IF($B74="","",الموظفون!$Q74*(cfg_EOS_R1*(MIN(AH74,cfg_EOS_TH)-MIN(AI74,cfg_EOS_TH))+cfg_EOS_R2*(MAX(AH74-cfg_EOS_TH,0)-MAX(AI74-cfg_EOS_TH,0))))</f>
        <v/>
      </c>
      <c r="AB74" s="111" t="str">
        <f aca="false">IF($B74="","",IF(الموظفون!$T74&lt;&gt;"",الموظفون!$T74,IF(AH74&gt;=cfg_LV_TH,cfg_LV_D2,cfg_LV_D1))/cfg_DAYS_Y*AJ74*الموظفون!$R74/cfg_DAYS_M)</f>
        <v/>
      </c>
      <c r="AC74" s="111" t="str">
        <f aca="false">IF($B74="","",IF(AND(الموظفون!$U74="نعم",N(الموظفون!$W74)&gt;0),الموظفون!$V74/الموظفون!$W74*12/cfg_DAYS_Y*AJ74,0))</f>
        <v/>
      </c>
      <c r="AD74" s="111" t="str">
        <f aca="false">IF($B74="","",(IF(الموظفون!$X74&lt;&gt;"",الموظفون!$X74,IF(الموظفون!$E74="غير سعودي",cfg_IQ,0))+IF(الموظفون!$Y74&lt;&gt;"",الموظفون!$Y74,IF(الموظفون!$E74="غير سعودي",cfg_WP,0)))/12*G74/cfg_DAYS_M)</f>
        <v/>
      </c>
      <c r="AE74" s="111" t="str">
        <f aca="false">IF($B74="","",IF(الموظفون!$Z74&lt;&gt;"",الموظفون!$Z74,cfg_MED)/12*G74/cfg_DAYS_M)</f>
        <v/>
      </c>
      <c r="AF74" s="111" t="str">
        <f aca="false">IF($B74="","",N(الموظفون!$AA74)/12*G74/cfg_DAYS_M)</f>
        <v/>
      </c>
      <c r="AG74" s="154" t="str">
        <f aca="false">IF($B74="","",T74+SUM(Z74:AF74))</f>
        <v/>
      </c>
      <c r="AH74" s="155" t="str">
        <f aca="false">IF($B74="","",MAX(0,IF(OR(الموظفون!$AE74="",الموظفون!$AE74&gt;$F$3),$F$3,الموظفون!$AE74)-الموظفون!$H74+1-SUMIFS('سجل الإجازات والحالات'!$AS$6:$AS$505,'سجل الإجازات والحالات'!$B$6:$B$505,$B74))/cfg_DAYS_Y)</f>
        <v/>
      </c>
      <c r="AI74" s="155" t="str">
        <f aca="false">IF($B74="","",MAX(0,IF(OR(الموظفون!$AE74="",الموظفون!$AE74&gt;($E$3-1)),($E$3-1),الموظفون!$AE74)-الموظفون!$H74+1-SUMIFS('سجل الإجازات والحالات'!$AR$6:$AR$505,'سجل الإجازات والحالات'!$B$6:$B$505,$B74))/cfg_DAYS_Y)</f>
        <v/>
      </c>
      <c r="AJ74" s="65" t="str">
        <f aca="false">IF($B74="","",MAX(0,AK74-(SUMIFS('سجل الإجازات والحالات'!$AS$6:$AS$505,'سجل الإجازات والحالات'!$B$6:$B$505,$B74)-SUMIFS('سجل الإجازات والحالات'!$AR$6:$AR$505,'سجل الإجازات والحالات'!$B$6:$B$505,$B74))))</f>
        <v/>
      </c>
      <c r="AK74" s="65" t="str">
        <f aca="false">IF($B74="","",MAX(0,IF(OR(الموظفون!$AE74="",الموظفون!$AE74&gt;$F$3),$F$3,الموظفون!$AE74)-MAX($E$3,الموظفون!$H74)+1))</f>
        <v/>
      </c>
      <c r="AL74" s="151" t="str">
        <f aca="false">IF($B74="","",SUMIFS('سجل الإجازات والحالات'!$BE$6:$BE$505,'سجل الإجازات والحالات'!$B$6:$B$505,$B74)+SUMIFS('الحركات الشهرية'!$K$6:$K$1005,'الحركات الشهرية'!$B$6:$B$1005,$B74,'الحركات الشهرية'!$A$6:$A$1005,$C$3))</f>
        <v/>
      </c>
      <c r="AM74" s="111" t="str">
        <f aca="false">IF($B74="","",AL74*الموظفون!$R74/cfg_DAYS_M+S74)</f>
        <v/>
      </c>
      <c r="AN74" s="151" t="str">
        <f aca="false">IF($B74="","",SUMIFS('سجل الإجازات والحالات'!$AG$6:$AG$505,'سجل الإجازات والحالات'!$B$6:$B$505,$B74))</f>
        <v/>
      </c>
    </row>
    <row r="75" customFormat="false" ht="15" hidden="false" customHeight="false" outlineLevel="0" collapsed="false">
      <c r="A75" s="115" t="str">
        <f aca="false">IF($B75="","",الموظفون!$A75)</f>
        <v/>
      </c>
      <c r="B75" s="117" t="str">
        <f aca="false">IF(الموظفون!$B75="","",الموظفون!$B75)</f>
        <v/>
      </c>
      <c r="C75" s="117" t="str">
        <f aca="false">IF($B75="","",الموظفون!$C75)</f>
        <v/>
      </c>
      <c r="D75" s="117" t="str">
        <f aca="false">IF($B75="","",الموظفون!$F75)</f>
        <v/>
      </c>
      <c r="E75" s="117" t="str">
        <f aca="false">IF($B75="","",الموظفون!$E75)</f>
        <v/>
      </c>
      <c r="F75" s="117" t="str">
        <f aca="false">IF($B75="","",IF(AK75=0,IF(AND(الموظفون!$AE75&lt;&gt;"",الموظفون!$AE75&lt;$E$3),"✖ منتهي الخدمة","⏳ لم يباشر"),IF(S75&gt;0,"✈ راتب إجازة مقدم",IF(J75=0,"⛔ بدون راتب هذا الشهر",IF(I75&gt;0,"✈ خصم "&amp;ROUND(I75,2)&amp;" يوم بدون أجر",IF(AL75&gt;0,"🌴 إجازة سنوية "&amp;ROUND(AL75,2)&amp;" يوم",IF(H75&gt;0,"⚠ غياب "&amp;ROUND(H75,2)&amp;" يوم","✔ على رأس العمل")))))))</f>
        <v/>
      </c>
      <c r="G75" s="156" t="str">
        <f aca="false">IF($B75="","",IF(AK75&gt;=DAY($F$3),cfg_DAYS_M,MIN(AK75,cfg_DAYS_M)))</f>
        <v/>
      </c>
      <c r="H75" s="156" t="str">
        <f aca="false">IF($B75="","",SUMIFS('الحركات الشهرية'!$D$6:$D$1005,'الحركات الشهرية'!$B$6:$B$1005,$B75,'الحركات الشهرية'!$A$6:$A$1005,$C$3))</f>
        <v/>
      </c>
      <c r="I75" s="156" t="str">
        <f aca="false">IF($B75="","",MIN(G75,IF(AND(AK75&gt;0,AN75&gt;=AK75),G75,AN75)+SUMIFS('الحركات الشهرية'!$E$6:$E$1005,'الحركات الشهرية'!$B$6:$B$1005,$B75,'الحركات الشهرية'!$A$6:$A$1005,$C$3)))</f>
        <v/>
      </c>
      <c r="J75" s="156" t="str">
        <f aca="false">IF($B75="","",MAX(0,G75-H75-I75))</f>
        <v/>
      </c>
      <c r="K75" s="116" t="str">
        <f aca="false">IF($B75="","",الموظفون!$L75*$J75/cfg_DAYS_M)</f>
        <v/>
      </c>
      <c r="L75" s="116" t="str">
        <f aca="false">IF($B75="","",الموظفون!$M75*$J75/cfg_DAYS_M)</f>
        <v/>
      </c>
      <c r="M75" s="116" t="str">
        <f aca="false">IF($B75="","",الموظفون!$N75*$J75/cfg_DAYS_M)</f>
        <v/>
      </c>
      <c r="N75" s="116" t="str">
        <f aca="false">IF($B75="","",الموظفون!$O75*$J75/cfg_DAYS_M)</f>
        <v/>
      </c>
      <c r="O75" s="156" t="str">
        <f aca="false">IF($B75="","",SUMIFS('الحركات الشهرية'!$F$6:$F$1005,'الحركات الشهرية'!$B$6:$B$1005,$B75,'الحركات الشهرية'!$A$6:$A$1005,$C$3))</f>
        <v/>
      </c>
      <c r="P75" s="116" t="str">
        <f aca="false">IF($B75="","",O75*(الموظفون!$P75+الموظفون!$L75*cfg_OT_P)/cfg_DAYS_M/cfg_HRS)</f>
        <v/>
      </c>
      <c r="Q75" s="116" t="str">
        <f aca="false">IF($B75="","",SUMIFS('الحركات الشهرية'!$G$6:$G$1005,'الحركات الشهرية'!$B$6:$B$1005,$B75,'الحركات الشهرية'!$A$6:$A$1005,$C$3))</f>
        <v/>
      </c>
      <c r="R75" s="116" t="str">
        <f aca="false">IF($B75="","",SUMIFS('الحركات الشهرية'!$H$6:$H$1005,'الحركات الشهرية'!$B$6:$B$1005,$B75,'الحركات الشهرية'!$A$6:$A$1005,$C$3))</f>
        <v/>
      </c>
      <c r="S75" s="116" t="str">
        <f aca="false">IF($B75="","",SUMIFS('سجل الإجازات والحالات'!$N$6:$N$505,'سجل الإجازات والحالات'!$B$6:$B$505,$B75,'سجل الإجازات والحالات'!$O$6:$O$505,$C$3))</f>
        <v/>
      </c>
      <c r="T75" s="157" t="str">
        <f aca="false">IF($B75="","",SUM(K75:N75)+SUM(P75:S75))</f>
        <v/>
      </c>
      <c r="U75" s="116" t="str">
        <f aca="false">IF($B75="","",الموظفون!$S75*IF(E75="سعودي",cfg_G_SE,cfg_G_NE)*G75/cfg_DAYS_M)</f>
        <v/>
      </c>
      <c r="V75" s="116" t="str">
        <f aca="false">IF($B75="","",SUMIFS('الحركات الشهرية'!$I$6:$I$1005,'الحركات الشهرية'!$B$6:$B$1005,$B75,'الحركات الشهرية'!$A$6:$A$1005,$C$3))</f>
        <v/>
      </c>
      <c r="W75" s="116" t="str">
        <f aca="false">IF($B75="","",SUMIFS('الحركات الشهرية'!$J$6:$J$1005,'الحركات الشهرية'!$B$6:$B$1005,$B75,'الحركات الشهرية'!$A$6:$A$1005,$C$3))</f>
        <v/>
      </c>
      <c r="X75" s="116" t="str">
        <f aca="false">IF($B75="","",SUM(U75:W75))</f>
        <v/>
      </c>
      <c r="Y75" s="158" t="str">
        <f aca="false">IF($B75="","",T75-X75)</f>
        <v/>
      </c>
      <c r="Z75" s="116" t="str">
        <f aca="false">IF($B75="","",الموظفون!$S75*IF(E75="سعودي",cfg_G_SR,cfg_G_NR)*G75/cfg_DAYS_M)</f>
        <v/>
      </c>
      <c r="AA75" s="116" t="str">
        <f aca="false">IF($B75="","",الموظفون!$Q75*(cfg_EOS_R1*(MIN(AH75,cfg_EOS_TH)-MIN(AI75,cfg_EOS_TH))+cfg_EOS_R2*(MAX(AH75-cfg_EOS_TH,0)-MAX(AI75-cfg_EOS_TH,0))))</f>
        <v/>
      </c>
      <c r="AB75" s="116" t="str">
        <f aca="false">IF($B75="","",IF(الموظفون!$T75&lt;&gt;"",الموظفون!$T75,IF(AH75&gt;=cfg_LV_TH,cfg_LV_D2,cfg_LV_D1))/cfg_DAYS_Y*AJ75*الموظفون!$R75/cfg_DAYS_M)</f>
        <v/>
      </c>
      <c r="AC75" s="116" t="str">
        <f aca="false">IF($B75="","",IF(AND(الموظفون!$U75="نعم",N(الموظفون!$W75)&gt;0),الموظفون!$V75/الموظفون!$W75*12/cfg_DAYS_Y*AJ75,0))</f>
        <v/>
      </c>
      <c r="AD75" s="116" t="str">
        <f aca="false">IF($B75="","",(IF(الموظفون!$X75&lt;&gt;"",الموظفون!$X75,IF(الموظفون!$E75="غير سعودي",cfg_IQ,0))+IF(الموظفون!$Y75&lt;&gt;"",الموظفون!$Y75,IF(الموظفون!$E75="غير سعودي",cfg_WP,0)))/12*G75/cfg_DAYS_M)</f>
        <v/>
      </c>
      <c r="AE75" s="116" t="str">
        <f aca="false">IF($B75="","",IF(الموظفون!$Z75&lt;&gt;"",الموظفون!$Z75,cfg_MED)/12*G75/cfg_DAYS_M)</f>
        <v/>
      </c>
      <c r="AF75" s="116" t="str">
        <f aca="false">IF($B75="","",N(الموظفون!$AA75)/12*G75/cfg_DAYS_M)</f>
        <v/>
      </c>
      <c r="AG75" s="159" t="str">
        <f aca="false">IF($B75="","",T75+SUM(Z75:AF75))</f>
        <v/>
      </c>
      <c r="AH75" s="160" t="str">
        <f aca="false">IF($B75="","",MAX(0,IF(OR(الموظفون!$AE75="",الموظفون!$AE75&gt;$F$3),$F$3,الموظفون!$AE75)-الموظفون!$H75+1-SUMIFS('سجل الإجازات والحالات'!$AS$6:$AS$505,'سجل الإجازات والحالات'!$B$6:$B$505,$B75))/cfg_DAYS_Y)</f>
        <v/>
      </c>
      <c r="AI75" s="160" t="str">
        <f aca="false">IF($B75="","",MAX(0,IF(OR(الموظفون!$AE75="",الموظفون!$AE75&gt;($E$3-1)),($E$3-1),الموظفون!$AE75)-الموظفون!$H75+1-SUMIFS('سجل الإجازات والحالات'!$AR$6:$AR$505,'سجل الإجازات والحالات'!$B$6:$B$505,$B75))/cfg_DAYS_Y)</f>
        <v/>
      </c>
      <c r="AJ75" s="133" t="str">
        <f aca="false">IF($B75="","",MAX(0,AK75-(SUMIFS('سجل الإجازات والحالات'!$AS$6:$AS$505,'سجل الإجازات والحالات'!$B$6:$B$505,$B75)-SUMIFS('سجل الإجازات والحالات'!$AR$6:$AR$505,'سجل الإجازات والحالات'!$B$6:$B$505,$B75))))</f>
        <v/>
      </c>
      <c r="AK75" s="133" t="str">
        <f aca="false">IF($B75="","",MAX(0,IF(OR(الموظفون!$AE75="",الموظفون!$AE75&gt;$F$3),$F$3,الموظفون!$AE75)-MAX($E$3,الموظفون!$H75)+1))</f>
        <v/>
      </c>
      <c r="AL75" s="156" t="str">
        <f aca="false">IF($B75="","",SUMIFS('سجل الإجازات والحالات'!$BE$6:$BE$505,'سجل الإجازات والحالات'!$B$6:$B$505,$B75)+SUMIFS('الحركات الشهرية'!$K$6:$K$1005,'الحركات الشهرية'!$B$6:$B$1005,$B75,'الحركات الشهرية'!$A$6:$A$1005,$C$3))</f>
        <v/>
      </c>
      <c r="AM75" s="116" t="str">
        <f aca="false">IF($B75="","",AL75*الموظفون!$R75/cfg_DAYS_M+S75)</f>
        <v/>
      </c>
      <c r="AN75" s="156" t="str">
        <f aca="false">IF($B75="","",SUMIFS('سجل الإجازات والحالات'!$AG$6:$AG$505,'سجل الإجازات والحالات'!$B$6:$B$505,$B75))</f>
        <v/>
      </c>
    </row>
    <row r="76" customFormat="false" ht="15" hidden="false" customHeight="false" outlineLevel="0" collapsed="false">
      <c r="A76" s="106" t="str">
        <f aca="false">IF($B76="","",الموظفون!$A76)</f>
        <v/>
      </c>
      <c r="B76" s="114" t="str">
        <f aca="false">IF(الموظفون!$B76="","",الموظفون!$B76)</f>
        <v/>
      </c>
      <c r="C76" s="114" t="str">
        <f aca="false">IF($B76="","",الموظفون!$C76)</f>
        <v/>
      </c>
      <c r="D76" s="114" t="str">
        <f aca="false">IF($B76="","",الموظفون!$F76)</f>
        <v/>
      </c>
      <c r="E76" s="114" t="str">
        <f aca="false">IF($B76="","",الموظفون!$E76)</f>
        <v/>
      </c>
      <c r="F76" s="114" t="str">
        <f aca="false">IF($B76="","",IF(AK76=0,IF(AND(الموظفون!$AE76&lt;&gt;"",الموظفون!$AE76&lt;$E$3),"✖ منتهي الخدمة","⏳ لم يباشر"),IF(S76&gt;0,"✈ راتب إجازة مقدم",IF(J76=0,"⛔ بدون راتب هذا الشهر",IF(I76&gt;0,"✈ خصم "&amp;ROUND(I76,2)&amp;" يوم بدون أجر",IF(AL76&gt;0,"🌴 إجازة سنوية "&amp;ROUND(AL76,2)&amp;" يوم",IF(H76&gt;0,"⚠ غياب "&amp;ROUND(H76,2)&amp;" يوم","✔ على رأس العمل")))))))</f>
        <v/>
      </c>
      <c r="G76" s="151" t="str">
        <f aca="false">IF($B76="","",IF(AK76&gt;=DAY($F$3),cfg_DAYS_M,MIN(AK76,cfg_DAYS_M)))</f>
        <v/>
      </c>
      <c r="H76" s="151" t="str">
        <f aca="false">IF($B76="","",SUMIFS('الحركات الشهرية'!$D$6:$D$1005,'الحركات الشهرية'!$B$6:$B$1005,$B76,'الحركات الشهرية'!$A$6:$A$1005,$C$3))</f>
        <v/>
      </c>
      <c r="I76" s="151" t="str">
        <f aca="false">IF($B76="","",MIN(G76,IF(AND(AK76&gt;0,AN76&gt;=AK76),G76,AN76)+SUMIFS('الحركات الشهرية'!$E$6:$E$1005,'الحركات الشهرية'!$B$6:$B$1005,$B76,'الحركات الشهرية'!$A$6:$A$1005,$C$3)))</f>
        <v/>
      </c>
      <c r="J76" s="151" t="str">
        <f aca="false">IF($B76="","",MAX(0,G76-H76-I76))</f>
        <v/>
      </c>
      <c r="K76" s="111" t="str">
        <f aca="false">IF($B76="","",الموظفون!$L76*$J76/cfg_DAYS_M)</f>
        <v/>
      </c>
      <c r="L76" s="111" t="str">
        <f aca="false">IF($B76="","",الموظفون!$M76*$J76/cfg_DAYS_M)</f>
        <v/>
      </c>
      <c r="M76" s="111" t="str">
        <f aca="false">IF($B76="","",الموظفون!$N76*$J76/cfg_DAYS_M)</f>
        <v/>
      </c>
      <c r="N76" s="111" t="str">
        <f aca="false">IF($B76="","",الموظفون!$O76*$J76/cfg_DAYS_M)</f>
        <v/>
      </c>
      <c r="O76" s="151" t="str">
        <f aca="false">IF($B76="","",SUMIFS('الحركات الشهرية'!$F$6:$F$1005,'الحركات الشهرية'!$B$6:$B$1005,$B76,'الحركات الشهرية'!$A$6:$A$1005,$C$3))</f>
        <v/>
      </c>
      <c r="P76" s="111" t="str">
        <f aca="false">IF($B76="","",O76*(الموظفون!$P76+الموظفون!$L76*cfg_OT_P)/cfg_DAYS_M/cfg_HRS)</f>
        <v/>
      </c>
      <c r="Q76" s="111" t="str">
        <f aca="false">IF($B76="","",SUMIFS('الحركات الشهرية'!$G$6:$G$1005,'الحركات الشهرية'!$B$6:$B$1005,$B76,'الحركات الشهرية'!$A$6:$A$1005,$C$3))</f>
        <v/>
      </c>
      <c r="R76" s="111" t="str">
        <f aca="false">IF($B76="","",SUMIFS('الحركات الشهرية'!$H$6:$H$1005,'الحركات الشهرية'!$B$6:$B$1005,$B76,'الحركات الشهرية'!$A$6:$A$1005,$C$3))</f>
        <v/>
      </c>
      <c r="S76" s="111" t="str">
        <f aca="false">IF($B76="","",SUMIFS('سجل الإجازات والحالات'!$N$6:$N$505,'سجل الإجازات والحالات'!$B$6:$B$505,$B76,'سجل الإجازات والحالات'!$O$6:$O$505,$C$3))</f>
        <v/>
      </c>
      <c r="T76" s="152" t="str">
        <f aca="false">IF($B76="","",SUM(K76:N76)+SUM(P76:S76))</f>
        <v/>
      </c>
      <c r="U76" s="111" t="str">
        <f aca="false">IF($B76="","",الموظفون!$S76*IF(E76="سعودي",cfg_G_SE,cfg_G_NE)*G76/cfg_DAYS_M)</f>
        <v/>
      </c>
      <c r="V76" s="111" t="str">
        <f aca="false">IF($B76="","",SUMIFS('الحركات الشهرية'!$I$6:$I$1005,'الحركات الشهرية'!$B$6:$B$1005,$B76,'الحركات الشهرية'!$A$6:$A$1005,$C$3))</f>
        <v/>
      </c>
      <c r="W76" s="111" t="str">
        <f aca="false">IF($B76="","",SUMIFS('الحركات الشهرية'!$J$6:$J$1005,'الحركات الشهرية'!$B$6:$B$1005,$B76,'الحركات الشهرية'!$A$6:$A$1005,$C$3))</f>
        <v/>
      </c>
      <c r="X76" s="111" t="str">
        <f aca="false">IF($B76="","",SUM(U76:W76))</f>
        <v/>
      </c>
      <c r="Y76" s="153" t="str">
        <f aca="false">IF($B76="","",T76-X76)</f>
        <v/>
      </c>
      <c r="Z76" s="111" t="str">
        <f aca="false">IF($B76="","",الموظفون!$S76*IF(E76="سعودي",cfg_G_SR,cfg_G_NR)*G76/cfg_DAYS_M)</f>
        <v/>
      </c>
      <c r="AA76" s="111" t="str">
        <f aca="false">IF($B76="","",الموظفون!$Q76*(cfg_EOS_R1*(MIN(AH76,cfg_EOS_TH)-MIN(AI76,cfg_EOS_TH))+cfg_EOS_R2*(MAX(AH76-cfg_EOS_TH,0)-MAX(AI76-cfg_EOS_TH,0))))</f>
        <v/>
      </c>
      <c r="AB76" s="111" t="str">
        <f aca="false">IF($B76="","",IF(الموظفون!$T76&lt;&gt;"",الموظفون!$T76,IF(AH76&gt;=cfg_LV_TH,cfg_LV_D2,cfg_LV_D1))/cfg_DAYS_Y*AJ76*الموظفون!$R76/cfg_DAYS_M)</f>
        <v/>
      </c>
      <c r="AC76" s="111" t="str">
        <f aca="false">IF($B76="","",IF(AND(الموظفون!$U76="نعم",N(الموظفون!$W76)&gt;0),الموظفون!$V76/الموظفون!$W76*12/cfg_DAYS_Y*AJ76,0))</f>
        <v/>
      </c>
      <c r="AD76" s="111" t="str">
        <f aca="false">IF($B76="","",(IF(الموظفون!$X76&lt;&gt;"",الموظفون!$X76,IF(الموظفون!$E76="غير سعودي",cfg_IQ,0))+IF(الموظفون!$Y76&lt;&gt;"",الموظفون!$Y76,IF(الموظفون!$E76="غير سعودي",cfg_WP,0)))/12*G76/cfg_DAYS_M)</f>
        <v/>
      </c>
      <c r="AE76" s="111" t="str">
        <f aca="false">IF($B76="","",IF(الموظفون!$Z76&lt;&gt;"",الموظفون!$Z76,cfg_MED)/12*G76/cfg_DAYS_M)</f>
        <v/>
      </c>
      <c r="AF76" s="111" t="str">
        <f aca="false">IF($B76="","",N(الموظفون!$AA76)/12*G76/cfg_DAYS_M)</f>
        <v/>
      </c>
      <c r="AG76" s="154" t="str">
        <f aca="false">IF($B76="","",T76+SUM(Z76:AF76))</f>
        <v/>
      </c>
      <c r="AH76" s="155" t="str">
        <f aca="false">IF($B76="","",MAX(0,IF(OR(الموظفون!$AE76="",الموظفون!$AE76&gt;$F$3),$F$3,الموظفون!$AE76)-الموظفون!$H76+1-SUMIFS('سجل الإجازات والحالات'!$AS$6:$AS$505,'سجل الإجازات والحالات'!$B$6:$B$505,$B76))/cfg_DAYS_Y)</f>
        <v/>
      </c>
      <c r="AI76" s="155" t="str">
        <f aca="false">IF($B76="","",MAX(0,IF(OR(الموظفون!$AE76="",الموظفون!$AE76&gt;($E$3-1)),($E$3-1),الموظفون!$AE76)-الموظفون!$H76+1-SUMIFS('سجل الإجازات والحالات'!$AR$6:$AR$505,'سجل الإجازات والحالات'!$B$6:$B$505,$B76))/cfg_DAYS_Y)</f>
        <v/>
      </c>
      <c r="AJ76" s="65" t="str">
        <f aca="false">IF($B76="","",MAX(0,AK76-(SUMIFS('سجل الإجازات والحالات'!$AS$6:$AS$505,'سجل الإجازات والحالات'!$B$6:$B$505,$B76)-SUMIFS('سجل الإجازات والحالات'!$AR$6:$AR$505,'سجل الإجازات والحالات'!$B$6:$B$505,$B76))))</f>
        <v/>
      </c>
      <c r="AK76" s="65" t="str">
        <f aca="false">IF($B76="","",MAX(0,IF(OR(الموظفون!$AE76="",الموظفون!$AE76&gt;$F$3),$F$3,الموظفون!$AE76)-MAX($E$3,الموظفون!$H76)+1))</f>
        <v/>
      </c>
      <c r="AL76" s="151" t="str">
        <f aca="false">IF($B76="","",SUMIFS('سجل الإجازات والحالات'!$BE$6:$BE$505,'سجل الإجازات والحالات'!$B$6:$B$505,$B76)+SUMIFS('الحركات الشهرية'!$K$6:$K$1005,'الحركات الشهرية'!$B$6:$B$1005,$B76,'الحركات الشهرية'!$A$6:$A$1005,$C$3))</f>
        <v/>
      </c>
      <c r="AM76" s="111" t="str">
        <f aca="false">IF($B76="","",AL76*الموظفون!$R76/cfg_DAYS_M+S76)</f>
        <v/>
      </c>
      <c r="AN76" s="151" t="str">
        <f aca="false">IF($B76="","",SUMIFS('سجل الإجازات والحالات'!$AG$6:$AG$505,'سجل الإجازات والحالات'!$B$6:$B$505,$B76))</f>
        <v/>
      </c>
    </row>
    <row r="77" customFormat="false" ht="15" hidden="false" customHeight="false" outlineLevel="0" collapsed="false">
      <c r="A77" s="115" t="str">
        <f aca="false">IF($B77="","",الموظفون!$A77)</f>
        <v/>
      </c>
      <c r="B77" s="117" t="str">
        <f aca="false">IF(الموظفون!$B77="","",الموظفون!$B77)</f>
        <v/>
      </c>
      <c r="C77" s="117" t="str">
        <f aca="false">IF($B77="","",الموظفون!$C77)</f>
        <v/>
      </c>
      <c r="D77" s="117" t="str">
        <f aca="false">IF($B77="","",الموظفون!$F77)</f>
        <v/>
      </c>
      <c r="E77" s="117" t="str">
        <f aca="false">IF($B77="","",الموظفون!$E77)</f>
        <v/>
      </c>
      <c r="F77" s="117" t="str">
        <f aca="false">IF($B77="","",IF(AK77=0,IF(AND(الموظفون!$AE77&lt;&gt;"",الموظفون!$AE77&lt;$E$3),"✖ منتهي الخدمة","⏳ لم يباشر"),IF(S77&gt;0,"✈ راتب إجازة مقدم",IF(J77=0,"⛔ بدون راتب هذا الشهر",IF(I77&gt;0,"✈ خصم "&amp;ROUND(I77,2)&amp;" يوم بدون أجر",IF(AL77&gt;0,"🌴 إجازة سنوية "&amp;ROUND(AL77,2)&amp;" يوم",IF(H77&gt;0,"⚠ غياب "&amp;ROUND(H77,2)&amp;" يوم","✔ على رأس العمل")))))))</f>
        <v/>
      </c>
      <c r="G77" s="156" t="str">
        <f aca="false">IF($B77="","",IF(AK77&gt;=DAY($F$3),cfg_DAYS_M,MIN(AK77,cfg_DAYS_M)))</f>
        <v/>
      </c>
      <c r="H77" s="156" t="str">
        <f aca="false">IF($B77="","",SUMIFS('الحركات الشهرية'!$D$6:$D$1005,'الحركات الشهرية'!$B$6:$B$1005,$B77,'الحركات الشهرية'!$A$6:$A$1005,$C$3))</f>
        <v/>
      </c>
      <c r="I77" s="156" t="str">
        <f aca="false">IF($B77="","",MIN(G77,IF(AND(AK77&gt;0,AN77&gt;=AK77),G77,AN77)+SUMIFS('الحركات الشهرية'!$E$6:$E$1005,'الحركات الشهرية'!$B$6:$B$1005,$B77,'الحركات الشهرية'!$A$6:$A$1005,$C$3)))</f>
        <v/>
      </c>
      <c r="J77" s="156" t="str">
        <f aca="false">IF($B77="","",MAX(0,G77-H77-I77))</f>
        <v/>
      </c>
      <c r="K77" s="116" t="str">
        <f aca="false">IF($B77="","",الموظفون!$L77*$J77/cfg_DAYS_M)</f>
        <v/>
      </c>
      <c r="L77" s="116" t="str">
        <f aca="false">IF($B77="","",الموظفون!$M77*$J77/cfg_DAYS_M)</f>
        <v/>
      </c>
      <c r="M77" s="116" t="str">
        <f aca="false">IF($B77="","",الموظفون!$N77*$J77/cfg_DAYS_M)</f>
        <v/>
      </c>
      <c r="N77" s="116" t="str">
        <f aca="false">IF($B77="","",الموظفون!$O77*$J77/cfg_DAYS_M)</f>
        <v/>
      </c>
      <c r="O77" s="156" t="str">
        <f aca="false">IF($B77="","",SUMIFS('الحركات الشهرية'!$F$6:$F$1005,'الحركات الشهرية'!$B$6:$B$1005,$B77,'الحركات الشهرية'!$A$6:$A$1005,$C$3))</f>
        <v/>
      </c>
      <c r="P77" s="116" t="str">
        <f aca="false">IF($B77="","",O77*(الموظفون!$P77+الموظفون!$L77*cfg_OT_P)/cfg_DAYS_M/cfg_HRS)</f>
        <v/>
      </c>
      <c r="Q77" s="116" t="str">
        <f aca="false">IF($B77="","",SUMIFS('الحركات الشهرية'!$G$6:$G$1005,'الحركات الشهرية'!$B$6:$B$1005,$B77,'الحركات الشهرية'!$A$6:$A$1005,$C$3))</f>
        <v/>
      </c>
      <c r="R77" s="116" t="str">
        <f aca="false">IF($B77="","",SUMIFS('الحركات الشهرية'!$H$6:$H$1005,'الحركات الشهرية'!$B$6:$B$1005,$B77,'الحركات الشهرية'!$A$6:$A$1005,$C$3))</f>
        <v/>
      </c>
      <c r="S77" s="116" t="str">
        <f aca="false">IF($B77="","",SUMIFS('سجل الإجازات والحالات'!$N$6:$N$505,'سجل الإجازات والحالات'!$B$6:$B$505,$B77,'سجل الإجازات والحالات'!$O$6:$O$505,$C$3))</f>
        <v/>
      </c>
      <c r="T77" s="157" t="str">
        <f aca="false">IF($B77="","",SUM(K77:N77)+SUM(P77:S77))</f>
        <v/>
      </c>
      <c r="U77" s="116" t="str">
        <f aca="false">IF($B77="","",الموظفون!$S77*IF(E77="سعودي",cfg_G_SE,cfg_G_NE)*G77/cfg_DAYS_M)</f>
        <v/>
      </c>
      <c r="V77" s="116" t="str">
        <f aca="false">IF($B77="","",SUMIFS('الحركات الشهرية'!$I$6:$I$1005,'الحركات الشهرية'!$B$6:$B$1005,$B77,'الحركات الشهرية'!$A$6:$A$1005,$C$3))</f>
        <v/>
      </c>
      <c r="W77" s="116" t="str">
        <f aca="false">IF($B77="","",SUMIFS('الحركات الشهرية'!$J$6:$J$1005,'الحركات الشهرية'!$B$6:$B$1005,$B77,'الحركات الشهرية'!$A$6:$A$1005,$C$3))</f>
        <v/>
      </c>
      <c r="X77" s="116" t="str">
        <f aca="false">IF($B77="","",SUM(U77:W77))</f>
        <v/>
      </c>
      <c r="Y77" s="158" t="str">
        <f aca="false">IF($B77="","",T77-X77)</f>
        <v/>
      </c>
      <c r="Z77" s="116" t="str">
        <f aca="false">IF($B77="","",الموظفون!$S77*IF(E77="سعودي",cfg_G_SR,cfg_G_NR)*G77/cfg_DAYS_M)</f>
        <v/>
      </c>
      <c r="AA77" s="116" t="str">
        <f aca="false">IF($B77="","",الموظفون!$Q77*(cfg_EOS_R1*(MIN(AH77,cfg_EOS_TH)-MIN(AI77,cfg_EOS_TH))+cfg_EOS_R2*(MAX(AH77-cfg_EOS_TH,0)-MAX(AI77-cfg_EOS_TH,0))))</f>
        <v/>
      </c>
      <c r="AB77" s="116" t="str">
        <f aca="false">IF($B77="","",IF(الموظفون!$T77&lt;&gt;"",الموظفون!$T77,IF(AH77&gt;=cfg_LV_TH,cfg_LV_D2,cfg_LV_D1))/cfg_DAYS_Y*AJ77*الموظفون!$R77/cfg_DAYS_M)</f>
        <v/>
      </c>
      <c r="AC77" s="116" t="str">
        <f aca="false">IF($B77="","",IF(AND(الموظفون!$U77="نعم",N(الموظفون!$W77)&gt;0),الموظفون!$V77/الموظفون!$W77*12/cfg_DAYS_Y*AJ77,0))</f>
        <v/>
      </c>
      <c r="AD77" s="116" t="str">
        <f aca="false">IF($B77="","",(IF(الموظفون!$X77&lt;&gt;"",الموظفون!$X77,IF(الموظفون!$E77="غير سعودي",cfg_IQ,0))+IF(الموظفون!$Y77&lt;&gt;"",الموظفون!$Y77,IF(الموظفون!$E77="غير سعودي",cfg_WP,0)))/12*G77/cfg_DAYS_M)</f>
        <v/>
      </c>
      <c r="AE77" s="116" t="str">
        <f aca="false">IF($B77="","",IF(الموظفون!$Z77&lt;&gt;"",الموظفون!$Z77,cfg_MED)/12*G77/cfg_DAYS_M)</f>
        <v/>
      </c>
      <c r="AF77" s="116" t="str">
        <f aca="false">IF($B77="","",N(الموظفون!$AA77)/12*G77/cfg_DAYS_M)</f>
        <v/>
      </c>
      <c r="AG77" s="159" t="str">
        <f aca="false">IF($B77="","",T77+SUM(Z77:AF77))</f>
        <v/>
      </c>
      <c r="AH77" s="160" t="str">
        <f aca="false">IF($B77="","",MAX(0,IF(OR(الموظفون!$AE77="",الموظفون!$AE77&gt;$F$3),$F$3,الموظفون!$AE77)-الموظفون!$H77+1-SUMIFS('سجل الإجازات والحالات'!$AS$6:$AS$505,'سجل الإجازات والحالات'!$B$6:$B$505,$B77))/cfg_DAYS_Y)</f>
        <v/>
      </c>
      <c r="AI77" s="160" t="str">
        <f aca="false">IF($B77="","",MAX(0,IF(OR(الموظفون!$AE77="",الموظفون!$AE77&gt;($E$3-1)),($E$3-1),الموظفون!$AE77)-الموظفون!$H77+1-SUMIFS('سجل الإجازات والحالات'!$AR$6:$AR$505,'سجل الإجازات والحالات'!$B$6:$B$505,$B77))/cfg_DAYS_Y)</f>
        <v/>
      </c>
      <c r="AJ77" s="133" t="str">
        <f aca="false">IF($B77="","",MAX(0,AK77-(SUMIFS('سجل الإجازات والحالات'!$AS$6:$AS$505,'سجل الإجازات والحالات'!$B$6:$B$505,$B77)-SUMIFS('سجل الإجازات والحالات'!$AR$6:$AR$505,'سجل الإجازات والحالات'!$B$6:$B$505,$B77))))</f>
        <v/>
      </c>
      <c r="AK77" s="133" t="str">
        <f aca="false">IF($B77="","",MAX(0,IF(OR(الموظفون!$AE77="",الموظفون!$AE77&gt;$F$3),$F$3,الموظفون!$AE77)-MAX($E$3,الموظفون!$H77)+1))</f>
        <v/>
      </c>
      <c r="AL77" s="156" t="str">
        <f aca="false">IF($B77="","",SUMIFS('سجل الإجازات والحالات'!$BE$6:$BE$505,'سجل الإجازات والحالات'!$B$6:$B$505,$B77)+SUMIFS('الحركات الشهرية'!$K$6:$K$1005,'الحركات الشهرية'!$B$6:$B$1005,$B77,'الحركات الشهرية'!$A$6:$A$1005,$C$3))</f>
        <v/>
      </c>
      <c r="AM77" s="116" t="str">
        <f aca="false">IF($B77="","",AL77*الموظفون!$R77/cfg_DAYS_M+S77)</f>
        <v/>
      </c>
      <c r="AN77" s="156" t="str">
        <f aca="false">IF($B77="","",SUMIFS('سجل الإجازات والحالات'!$AG$6:$AG$505,'سجل الإجازات والحالات'!$B$6:$B$505,$B77))</f>
        <v/>
      </c>
    </row>
    <row r="78" customFormat="false" ht="15" hidden="false" customHeight="false" outlineLevel="0" collapsed="false">
      <c r="A78" s="106" t="str">
        <f aca="false">IF($B78="","",الموظفون!$A78)</f>
        <v/>
      </c>
      <c r="B78" s="114" t="str">
        <f aca="false">IF(الموظفون!$B78="","",الموظفون!$B78)</f>
        <v/>
      </c>
      <c r="C78" s="114" t="str">
        <f aca="false">IF($B78="","",الموظفون!$C78)</f>
        <v/>
      </c>
      <c r="D78" s="114" t="str">
        <f aca="false">IF($B78="","",الموظفون!$F78)</f>
        <v/>
      </c>
      <c r="E78" s="114" t="str">
        <f aca="false">IF($B78="","",الموظفون!$E78)</f>
        <v/>
      </c>
      <c r="F78" s="114" t="str">
        <f aca="false">IF($B78="","",IF(AK78=0,IF(AND(الموظفون!$AE78&lt;&gt;"",الموظفون!$AE78&lt;$E$3),"✖ منتهي الخدمة","⏳ لم يباشر"),IF(S78&gt;0,"✈ راتب إجازة مقدم",IF(J78=0,"⛔ بدون راتب هذا الشهر",IF(I78&gt;0,"✈ خصم "&amp;ROUND(I78,2)&amp;" يوم بدون أجر",IF(AL78&gt;0,"🌴 إجازة سنوية "&amp;ROUND(AL78,2)&amp;" يوم",IF(H78&gt;0,"⚠ غياب "&amp;ROUND(H78,2)&amp;" يوم","✔ على رأس العمل")))))))</f>
        <v/>
      </c>
      <c r="G78" s="151" t="str">
        <f aca="false">IF($B78="","",IF(AK78&gt;=DAY($F$3),cfg_DAYS_M,MIN(AK78,cfg_DAYS_M)))</f>
        <v/>
      </c>
      <c r="H78" s="151" t="str">
        <f aca="false">IF($B78="","",SUMIFS('الحركات الشهرية'!$D$6:$D$1005,'الحركات الشهرية'!$B$6:$B$1005,$B78,'الحركات الشهرية'!$A$6:$A$1005,$C$3))</f>
        <v/>
      </c>
      <c r="I78" s="151" t="str">
        <f aca="false">IF($B78="","",MIN(G78,IF(AND(AK78&gt;0,AN78&gt;=AK78),G78,AN78)+SUMIFS('الحركات الشهرية'!$E$6:$E$1005,'الحركات الشهرية'!$B$6:$B$1005,$B78,'الحركات الشهرية'!$A$6:$A$1005,$C$3)))</f>
        <v/>
      </c>
      <c r="J78" s="151" t="str">
        <f aca="false">IF($B78="","",MAX(0,G78-H78-I78))</f>
        <v/>
      </c>
      <c r="K78" s="111" t="str">
        <f aca="false">IF($B78="","",الموظفون!$L78*$J78/cfg_DAYS_M)</f>
        <v/>
      </c>
      <c r="L78" s="111" t="str">
        <f aca="false">IF($B78="","",الموظفون!$M78*$J78/cfg_DAYS_M)</f>
        <v/>
      </c>
      <c r="M78" s="111" t="str">
        <f aca="false">IF($B78="","",الموظفون!$N78*$J78/cfg_DAYS_M)</f>
        <v/>
      </c>
      <c r="N78" s="111" t="str">
        <f aca="false">IF($B78="","",الموظفون!$O78*$J78/cfg_DAYS_M)</f>
        <v/>
      </c>
      <c r="O78" s="151" t="str">
        <f aca="false">IF($B78="","",SUMIFS('الحركات الشهرية'!$F$6:$F$1005,'الحركات الشهرية'!$B$6:$B$1005,$B78,'الحركات الشهرية'!$A$6:$A$1005,$C$3))</f>
        <v/>
      </c>
      <c r="P78" s="111" t="str">
        <f aca="false">IF($B78="","",O78*(الموظفون!$P78+الموظفون!$L78*cfg_OT_P)/cfg_DAYS_M/cfg_HRS)</f>
        <v/>
      </c>
      <c r="Q78" s="111" t="str">
        <f aca="false">IF($B78="","",SUMIFS('الحركات الشهرية'!$G$6:$G$1005,'الحركات الشهرية'!$B$6:$B$1005,$B78,'الحركات الشهرية'!$A$6:$A$1005,$C$3))</f>
        <v/>
      </c>
      <c r="R78" s="111" t="str">
        <f aca="false">IF($B78="","",SUMIFS('الحركات الشهرية'!$H$6:$H$1005,'الحركات الشهرية'!$B$6:$B$1005,$B78,'الحركات الشهرية'!$A$6:$A$1005,$C$3))</f>
        <v/>
      </c>
      <c r="S78" s="111" t="str">
        <f aca="false">IF($B78="","",SUMIFS('سجل الإجازات والحالات'!$N$6:$N$505,'سجل الإجازات والحالات'!$B$6:$B$505,$B78,'سجل الإجازات والحالات'!$O$6:$O$505,$C$3))</f>
        <v/>
      </c>
      <c r="T78" s="152" t="str">
        <f aca="false">IF($B78="","",SUM(K78:N78)+SUM(P78:S78))</f>
        <v/>
      </c>
      <c r="U78" s="111" t="str">
        <f aca="false">IF($B78="","",الموظفون!$S78*IF(E78="سعودي",cfg_G_SE,cfg_G_NE)*G78/cfg_DAYS_M)</f>
        <v/>
      </c>
      <c r="V78" s="111" t="str">
        <f aca="false">IF($B78="","",SUMIFS('الحركات الشهرية'!$I$6:$I$1005,'الحركات الشهرية'!$B$6:$B$1005,$B78,'الحركات الشهرية'!$A$6:$A$1005,$C$3))</f>
        <v/>
      </c>
      <c r="W78" s="111" t="str">
        <f aca="false">IF($B78="","",SUMIFS('الحركات الشهرية'!$J$6:$J$1005,'الحركات الشهرية'!$B$6:$B$1005,$B78,'الحركات الشهرية'!$A$6:$A$1005,$C$3))</f>
        <v/>
      </c>
      <c r="X78" s="111" t="str">
        <f aca="false">IF($B78="","",SUM(U78:W78))</f>
        <v/>
      </c>
      <c r="Y78" s="153" t="str">
        <f aca="false">IF($B78="","",T78-X78)</f>
        <v/>
      </c>
      <c r="Z78" s="111" t="str">
        <f aca="false">IF($B78="","",الموظفون!$S78*IF(E78="سعودي",cfg_G_SR,cfg_G_NR)*G78/cfg_DAYS_M)</f>
        <v/>
      </c>
      <c r="AA78" s="111" t="str">
        <f aca="false">IF($B78="","",الموظفون!$Q78*(cfg_EOS_R1*(MIN(AH78,cfg_EOS_TH)-MIN(AI78,cfg_EOS_TH))+cfg_EOS_R2*(MAX(AH78-cfg_EOS_TH,0)-MAX(AI78-cfg_EOS_TH,0))))</f>
        <v/>
      </c>
      <c r="AB78" s="111" t="str">
        <f aca="false">IF($B78="","",IF(الموظفون!$T78&lt;&gt;"",الموظفون!$T78,IF(AH78&gt;=cfg_LV_TH,cfg_LV_D2,cfg_LV_D1))/cfg_DAYS_Y*AJ78*الموظفون!$R78/cfg_DAYS_M)</f>
        <v/>
      </c>
      <c r="AC78" s="111" t="str">
        <f aca="false">IF($B78="","",IF(AND(الموظفون!$U78="نعم",N(الموظفون!$W78)&gt;0),الموظفون!$V78/الموظفون!$W78*12/cfg_DAYS_Y*AJ78,0))</f>
        <v/>
      </c>
      <c r="AD78" s="111" t="str">
        <f aca="false">IF($B78="","",(IF(الموظفون!$X78&lt;&gt;"",الموظفون!$X78,IF(الموظفون!$E78="غير سعودي",cfg_IQ,0))+IF(الموظفون!$Y78&lt;&gt;"",الموظفون!$Y78,IF(الموظفون!$E78="غير سعودي",cfg_WP,0)))/12*G78/cfg_DAYS_M)</f>
        <v/>
      </c>
      <c r="AE78" s="111" t="str">
        <f aca="false">IF($B78="","",IF(الموظفون!$Z78&lt;&gt;"",الموظفون!$Z78,cfg_MED)/12*G78/cfg_DAYS_M)</f>
        <v/>
      </c>
      <c r="AF78" s="111" t="str">
        <f aca="false">IF($B78="","",N(الموظفون!$AA78)/12*G78/cfg_DAYS_M)</f>
        <v/>
      </c>
      <c r="AG78" s="154" t="str">
        <f aca="false">IF($B78="","",T78+SUM(Z78:AF78))</f>
        <v/>
      </c>
      <c r="AH78" s="155" t="str">
        <f aca="false">IF($B78="","",MAX(0,IF(OR(الموظفون!$AE78="",الموظفون!$AE78&gt;$F$3),$F$3,الموظفون!$AE78)-الموظفون!$H78+1-SUMIFS('سجل الإجازات والحالات'!$AS$6:$AS$505,'سجل الإجازات والحالات'!$B$6:$B$505,$B78))/cfg_DAYS_Y)</f>
        <v/>
      </c>
      <c r="AI78" s="155" t="str">
        <f aca="false">IF($B78="","",MAX(0,IF(OR(الموظفون!$AE78="",الموظفون!$AE78&gt;($E$3-1)),($E$3-1),الموظفون!$AE78)-الموظفون!$H78+1-SUMIFS('سجل الإجازات والحالات'!$AR$6:$AR$505,'سجل الإجازات والحالات'!$B$6:$B$505,$B78))/cfg_DAYS_Y)</f>
        <v/>
      </c>
      <c r="AJ78" s="65" t="str">
        <f aca="false">IF($B78="","",MAX(0,AK78-(SUMIFS('سجل الإجازات والحالات'!$AS$6:$AS$505,'سجل الإجازات والحالات'!$B$6:$B$505,$B78)-SUMIFS('سجل الإجازات والحالات'!$AR$6:$AR$505,'سجل الإجازات والحالات'!$B$6:$B$505,$B78))))</f>
        <v/>
      </c>
      <c r="AK78" s="65" t="str">
        <f aca="false">IF($B78="","",MAX(0,IF(OR(الموظفون!$AE78="",الموظفون!$AE78&gt;$F$3),$F$3,الموظفون!$AE78)-MAX($E$3,الموظفون!$H78)+1))</f>
        <v/>
      </c>
      <c r="AL78" s="151" t="str">
        <f aca="false">IF($B78="","",SUMIFS('سجل الإجازات والحالات'!$BE$6:$BE$505,'سجل الإجازات والحالات'!$B$6:$B$505,$B78)+SUMIFS('الحركات الشهرية'!$K$6:$K$1005,'الحركات الشهرية'!$B$6:$B$1005,$B78,'الحركات الشهرية'!$A$6:$A$1005,$C$3))</f>
        <v/>
      </c>
      <c r="AM78" s="111" t="str">
        <f aca="false">IF($B78="","",AL78*الموظفون!$R78/cfg_DAYS_M+S78)</f>
        <v/>
      </c>
      <c r="AN78" s="151" t="str">
        <f aca="false">IF($B78="","",SUMIFS('سجل الإجازات والحالات'!$AG$6:$AG$505,'سجل الإجازات والحالات'!$B$6:$B$505,$B78))</f>
        <v/>
      </c>
    </row>
    <row r="79" customFormat="false" ht="15" hidden="false" customHeight="false" outlineLevel="0" collapsed="false">
      <c r="A79" s="115" t="str">
        <f aca="false">IF($B79="","",الموظفون!$A79)</f>
        <v/>
      </c>
      <c r="B79" s="117" t="str">
        <f aca="false">IF(الموظفون!$B79="","",الموظفون!$B79)</f>
        <v/>
      </c>
      <c r="C79" s="117" t="str">
        <f aca="false">IF($B79="","",الموظفون!$C79)</f>
        <v/>
      </c>
      <c r="D79" s="117" t="str">
        <f aca="false">IF($B79="","",الموظفون!$F79)</f>
        <v/>
      </c>
      <c r="E79" s="117" t="str">
        <f aca="false">IF($B79="","",الموظفون!$E79)</f>
        <v/>
      </c>
      <c r="F79" s="117" t="str">
        <f aca="false">IF($B79="","",IF(AK79=0,IF(AND(الموظفون!$AE79&lt;&gt;"",الموظفون!$AE79&lt;$E$3),"✖ منتهي الخدمة","⏳ لم يباشر"),IF(S79&gt;0,"✈ راتب إجازة مقدم",IF(J79=0,"⛔ بدون راتب هذا الشهر",IF(I79&gt;0,"✈ خصم "&amp;ROUND(I79,2)&amp;" يوم بدون أجر",IF(AL79&gt;0,"🌴 إجازة سنوية "&amp;ROUND(AL79,2)&amp;" يوم",IF(H79&gt;0,"⚠ غياب "&amp;ROUND(H79,2)&amp;" يوم","✔ على رأس العمل")))))))</f>
        <v/>
      </c>
      <c r="G79" s="156" t="str">
        <f aca="false">IF($B79="","",IF(AK79&gt;=DAY($F$3),cfg_DAYS_M,MIN(AK79,cfg_DAYS_M)))</f>
        <v/>
      </c>
      <c r="H79" s="156" t="str">
        <f aca="false">IF($B79="","",SUMIFS('الحركات الشهرية'!$D$6:$D$1005,'الحركات الشهرية'!$B$6:$B$1005,$B79,'الحركات الشهرية'!$A$6:$A$1005,$C$3))</f>
        <v/>
      </c>
      <c r="I79" s="156" t="str">
        <f aca="false">IF($B79="","",MIN(G79,IF(AND(AK79&gt;0,AN79&gt;=AK79),G79,AN79)+SUMIFS('الحركات الشهرية'!$E$6:$E$1005,'الحركات الشهرية'!$B$6:$B$1005,$B79,'الحركات الشهرية'!$A$6:$A$1005,$C$3)))</f>
        <v/>
      </c>
      <c r="J79" s="156" t="str">
        <f aca="false">IF($B79="","",MAX(0,G79-H79-I79))</f>
        <v/>
      </c>
      <c r="K79" s="116" t="str">
        <f aca="false">IF($B79="","",الموظفون!$L79*$J79/cfg_DAYS_M)</f>
        <v/>
      </c>
      <c r="L79" s="116" t="str">
        <f aca="false">IF($B79="","",الموظفون!$M79*$J79/cfg_DAYS_M)</f>
        <v/>
      </c>
      <c r="M79" s="116" t="str">
        <f aca="false">IF($B79="","",الموظفون!$N79*$J79/cfg_DAYS_M)</f>
        <v/>
      </c>
      <c r="N79" s="116" t="str">
        <f aca="false">IF($B79="","",الموظفون!$O79*$J79/cfg_DAYS_M)</f>
        <v/>
      </c>
      <c r="O79" s="156" t="str">
        <f aca="false">IF($B79="","",SUMIFS('الحركات الشهرية'!$F$6:$F$1005,'الحركات الشهرية'!$B$6:$B$1005,$B79,'الحركات الشهرية'!$A$6:$A$1005,$C$3))</f>
        <v/>
      </c>
      <c r="P79" s="116" t="str">
        <f aca="false">IF($B79="","",O79*(الموظفون!$P79+الموظفون!$L79*cfg_OT_P)/cfg_DAYS_M/cfg_HRS)</f>
        <v/>
      </c>
      <c r="Q79" s="116" t="str">
        <f aca="false">IF($B79="","",SUMIFS('الحركات الشهرية'!$G$6:$G$1005,'الحركات الشهرية'!$B$6:$B$1005,$B79,'الحركات الشهرية'!$A$6:$A$1005,$C$3))</f>
        <v/>
      </c>
      <c r="R79" s="116" t="str">
        <f aca="false">IF($B79="","",SUMIFS('الحركات الشهرية'!$H$6:$H$1005,'الحركات الشهرية'!$B$6:$B$1005,$B79,'الحركات الشهرية'!$A$6:$A$1005,$C$3))</f>
        <v/>
      </c>
      <c r="S79" s="116" t="str">
        <f aca="false">IF($B79="","",SUMIFS('سجل الإجازات والحالات'!$N$6:$N$505,'سجل الإجازات والحالات'!$B$6:$B$505,$B79,'سجل الإجازات والحالات'!$O$6:$O$505,$C$3))</f>
        <v/>
      </c>
      <c r="T79" s="157" t="str">
        <f aca="false">IF($B79="","",SUM(K79:N79)+SUM(P79:S79))</f>
        <v/>
      </c>
      <c r="U79" s="116" t="str">
        <f aca="false">IF($B79="","",الموظفون!$S79*IF(E79="سعودي",cfg_G_SE,cfg_G_NE)*G79/cfg_DAYS_M)</f>
        <v/>
      </c>
      <c r="V79" s="116" t="str">
        <f aca="false">IF($B79="","",SUMIFS('الحركات الشهرية'!$I$6:$I$1005,'الحركات الشهرية'!$B$6:$B$1005,$B79,'الحركات الشهرية'!$A$6:$A$1005,$C$3))</f>
        <v/>
      </c>
      <c r="W79" s="116" t="str">
        <f aca="false">IF($B79="","",SUMIFS('الحركات الشهرية'!$J$6:$J$1005,'الحركات الشهرية'!$B$6:$B$1005,$B79,'الحركات الشهرية'!$A$6:$A$1005,$C$3))</f>
        <v/>
      </c>
      <c r="X79" s="116" t="str">
        <f aca="false">IF($B79="","",SUM(U79:W79))</f>
        <v/>
      </c>
      <c r="Y79" s="158" t="str">
        <f aca="false">IF($B79="","",T79-X79)</f>
        <v/>
      </c>
      <c r="Z79" s="116" t="str">
        <f aca="false">IF($B79="","",الموظفون!$S79*IF(E79="سعودي",cfg_G_SR,cfg_G_NR)*G79/cfg_DAYS_M)</f>
        <v/>
      </c>
      <c r="AA79" s="116" t="str">
        <f aca="false">IF($B79="","",الموظفون!$Q79*(cfg_EOS_R1*(MIN(AH79,cfg_EOS_TH)-MIN(AI79,cfg_EOS_TH))+cfg_EOS_R2*(MAX(AH79-cfg_EOS_TH,0)-MAX(AI79-cfg_EOS_TH,0))))</f>
        <v/>
      </c>
      <c r="AB79" s="116" t="str">
        <f aca="false">IF($B79="","",IF(الموظفون!$T79&lt;&gt;"",الموظفون!$T79,IF(AH79&gt;=cfg_LV_TH,cfg_LV_D2,cfg_LV_D1))/cfg_DAYS_Y*AJ79*الموظفون!$R79/cfg_DAYS_M)</f>
        <v/>
      </c>
      <c r="AC79" s="116" t="str">
        <f aca="false">IF($B79="","",IF(AND(الموظفون!$U79="نعم",N(الموظفون!$W79)&gt;0),الموظفون!$V79/الموظفون!$W79*12/cfg_DAYS_Y*AJ79,0))</f>
        <v/>
      </c>
      <c r="AD79" s="116" t="str">
        <f aca="false">IF($B79="","",(IF(الموظفون!$X79&lt;&gt;"",الموظفون!$X79,IF(الموظفون!$E79="غير سعودي",cfg_IQ,0))+IF(الموظفون!$Y79&lt;&gt;"",الموظفون!$Y79,IF(الموظفون!$E79="غير سعودي",cfg_WP,0)))/12*G79/cfg_DAYS_M)</f>
        <v/>
      </c>
      <c r="AE79" s="116" t="str">
        <f aca="false">IF($B79="","",IF(الموظفون!$Z79&lt;&gt;"",الموظفون!$Z79,cfg_MED)/12*G79/cfg_DAYS_M)</f>
        <v/>
      </c>
      <c r="AF79" s="116" t="str">
        <f aca="false">IF($B79="","",N(الموظفون!$AA79)/12*G79/cfg_DAYS_M)</f>
        <v/>
      </c>
      <c r="AG79" s="159" t="str">
        <f aca="false">IF($B79="","",T79+SUM(Z79:AF79))</f>
        <v/>
      </c>
      <c r="AH79" s="160" t="str">
        <f aca="false">IF($B79="","",MAX(0,IF(OR(الموظفون!$AE79="",الموظفون!$AE79&gt;$F$3),$F$3,الموظفون!$AE79)-الموظفون!$H79+1-SUMIFS('سجل الإجازات والحالات'!$AS$6:$AS$505,'سجل الإجازات والحالات'!$B$6:$B$505,$B79))/cfg_DAYS_Y)</f>
        <v/>
      </c>
      <c r="AI79" s="160" t="str">
        <f aca="false">IF($B79="","",MAX(0,IF(OR(الموظفون!$AE79="",الموظفون!$AE79&gt;($E$3-1)),($E$3-1),الموظفون!$AE79)-الموظفون!$H79+1-SUMIFS('سجل الإجازات والحالات'!$AR$6:$AR$505,'سجل الإجازات والحالات'!$B$6:$B$505,$B79))/cfg_DAYS_Y)</f>
        <v/>
      </c>
      <c r="AJ79" s="133" t="str">
        <f aca="false">IF($B79="","",MAX(0,AK79-(SUMIFS('سجل الإجازات والحالات'!$AS$6:$AS$505,'سجل الإجازات والحالات'!$B$6:$B$505,$B79)-SUMIFS('سجل الإجازات والحالات'!$AR$6:$AR$505,'سجل الإجازات والحالات'!$B$6:$B$505,$B79))))</f>
        <v/>
      </c>
      <c r="AK79" s="133" t="str">
        <f aca="false">IF($B79="","",MAX(0,IF(OR(الموظفون!$AE79="",الموظفون!$AE79&gt;$F$3),$F$3,الموظفون!$AE79)-MAX($E$3,الموظفون!$H79)+1))</f>
        <v/>
      </c>
      <c r="AL79" s="156" t="str">
        <f aca="false">IF($B79="","",SUMIFS('سجل الإجازات والحالات'!$BE$6:$BE$505,'سجل الإجازات والحالات'!$B$6:$B$505,$B79)+SUMIFS('الحركات الشهرية'!$K$6:$K$1005,'الحركات الشهرية'!$B$6:$B$1005,$B79,'الحركات الشهرية'!$A$6:$A$1005,$C$3))</f>
        <v/>
      </c>
      <c r="AM79" s="116" t="str">
        <f aca="false">IF($B79="","",AL79*الموظفون!$R79/cfg_DAYS_M+S79)</f>
        <v/>
      </c>
      <c r="AN79" s="156" t="str">
        <f aca="false">IF($B79="","",SUMIFS('سجل الإجازات والحالات'!$AG$6:$AG$505,'سجل الإجازات والحالات'!$B$6:$B$505,$B79))</f>
        <v/>
      </c>
    </row>
    <row r="80" customFormat="false" ht="15" hidden="false" customHeight="false" outlineLevel="0" collapsed="false">
      <c r="A80" s="106" t="str">
        <f aca="false">IF($B80="","",الموظفون!$A80)</f>
        <v/>
      </c>
      <c r="B80" s="114" t="str">
        <f aca="false">IF(الموظفون!$B80="","",الموظفون!$B80)</f>
        <v/>
      </c>
      <c r="C80" s="114" t="str">
        <f aca="false">IF($B80="","",الموظفون!$C80)</f>
        <v/>
      </c>
      <c r="D80" s="114" t="str">
        <f aca="false">IF($B80="","",الموظفون!$F80)</f>
        <v/>
      </c>
      <c r="E80" s="114" t="str">
        <f aca="false">IF($B80="","",الموظفون!$E80)</f>
        <v/>
      </c>
      <c r="F80" s="114" t="str">
        <f aca="false">IF($B80="","",IF(AK80=0,IF(AND(الموظفون!$AE80&lt;&gt;"",الموظفون!$AE80&lt;$E$3),"✖ منتهي الخدمة","⏳ لم يباشر"),IF(S80&gt;0,"✈ راتب إجازة مقدم",IF(J80=0,"⛔ بدون راتب هذا الشهر",IF(I80&gt;0,"✈ خصم "&amp;ROUND(I80,2)&amp;" يوم بدون أجر",IF(AL80&gt;0,"🌴 إجازة سنوية "&amp;ROUND(AL80,2)&amp;" يوم",IF(H80&gt;0,"⚠ غياب "&amp;ROUND(H80,2)&amp;" يوم","✔ على رأس العمل")))))))</f>
        <v/>
      </c>
      <c r="G80" s="151" t="str">
        <f aca="false">IF($B80="","",IF(AK80&gt;=DAY($F$3),cfg_DAYS_M,MIN(AK80,cfg_DAYS_M)))</f>
        <v/>
      </c>
      <c r="H80" s="151" t="str">
        <f aca="false">IF($B80="","",SUMIFS('الحركات الشهرية'!$D$6:$D$1005,'الحركات الشهرية'!$B$6:$B$1005,$B80,'الحركات الشهرية'!$A$6:$A$1005,$C$3))</f>
        <v/>
      </c>
      <c r="I80" s="151" t="str">
        <f aca="false">IF($B80="","",MIN(G80,IF(AND(AK80&gt;0,AN80&gt;=AK80),G80,AN80)+SUMIFS('الحركات الشهرية'!$E$6:$E$1005,'الحركات الشهرية'!$B$6:$B$1005,$B80,'الحركات الشهرية'!$A$6:$A$1005,$C$3)))</f>
        <v/>
      </c>
      <c r="J80" s="151" t="str">
        <f aca="false">IF($B80="","",MAX(0,G80-H80-I80))</f>
        <v/>
      </c>
      <c r="K80" s="111" t="str">
        <f aca="false">IF($B80="","",الموظفون!$L80*$J80/cfg_DAYS_M)</f>
        <v/>
      </c>
      <c r="L80" s="111" t="str">
        <f aca="false">IF($B80="","",الموظفون!$M80*$J80/cfg_DAYS_M)</f>
        <v/>
      </c>
      <c r="M80" s="111" t="str">
        <f aca="false">IF($B80="","",الموظفون!$N80*$J80/cfg_DAYS_M)</f>
        <v/>
      </c>
      <c r="N80" s="111" t="str">
        <f aca="false">IF($B80="","",الموظفون!$O80*$J80/cfg_DAYS_M)</f>
        <v/>
      </c>
      <c r="O80" s="151" t="str">
        <f aca="false">IF($B80="","",SUMIFS('الحركات الشهرية'!$F$6:$F$1005,'الحركات الشهرية'!$B$6:$B$1005,$B80,'الحركات الشهرية'!$A$6:$A$1005,$C$3))</f>
        <v/>
      </c>
      <c r="P80" s="111" t="str">
        <f aca="false">IF($B80="","",O80*(الموظفون!$P80+الموظفون!$L80*cfg_OT_P)/cfg_DAYS_M/cfg_HRS)</f>
        <v/>
      </c>
      <c r="Q80" s="111" t="str">
        <f aca="false">IF($B80="","",SUMIFS('الحركات الشهرية'!$G$6:$G$1005,'الحركات الشهرية'!$B$6:$B$1005,$B80,'الحركات الشهرية'!$A$6:$A$1005,$C$3))</f>
        <v/>
      </c>
      <c r="R80" s="111" t="str">
        <f aca="false">IF($B80="","",SUMIFS('الحركات الشهرية'!$H$6:$H$1005,'الحركات الشهرية'!$B$6:$B$1005,$B80,'الحركات الشهرية'!$A$6:$A$1005,$C$3))</f>
        <v/>
      </c>
      <c r="S80" s="111" t="str">
        <f aca="false">IF($B80="","",SUMIFS('سجل الإجازات والحالات'!$N$6:$N$505,'سجل الإجازات والحالات'!$B$6:$B$505,$B80,'سجل الإجازات والحالات'!$O$6:$O$505,$C$3))</f>
        <v/>
      </c>
      <c r="T80" s="152" t="str">
        <f aca="false">IF($B80="","",SUM(K80:N80)+SUM(P80:S80))</f>
        <v/>
      </c>
      <c r="U80" s="111" t="str">
        <f aca="false">IF($B80="","",الموظفون!$S80*IF(E80="سعودي",cfg_G_SE,cfg_G_NE)*G80/cfg_DAYS_M)</f>
        <v/>
      </c>
      <c r="V80" s="111" t="str">
        <f aca="false">IF($B80="","",SUMIFS('الحركات الشهرية'!$I$6:$I$1005,'الحركات الشهرية'!$B$6:$B$1005,$B80,'الحركات الشهرية'!$A$6:$A$1005,$C$3))</f>
        <v/>
      </c>
      <c r="W80" s="111" t="str">
        <f aca="false">IF($B80="","",SUMIFS('الحركات الشهرية'!$J$6:$J$1005,'الحركات الشهرية'!$B$6:$B$1005,$B80,'الحركات الشهرية'!$A$6:$A$1005,$C$3))</f>
        <v/>
      </c>
      <c r="X80" s="111" t="str">
        <f aca="false">IF($B80="","",SUM(U80:W80))</f>
        <v/>
      </c>
      <c r="Y80" s="153" t="str">
        <f aca="false">IF($B80="","",T80-X80)</f>
        <v/>
      </c>
      <c r="Z80" s="111" t="str">
        <f aca="false">IF($B80="","",الموظفون!$S80*IF(E80="سعودي",cfg_G_SR,cfg_G_NR)*G80/cfg_DAYS_M)</f>
        <v/>
      </c>
      <c r="AA80" s="111" t="str">
        <f aca="false">IF($B80="","",الموظفون!$Q80*(cfg_EOS_R1*(MIN(AH80,cfg_EOS_TH)-MIN(AI80,cfg_EOS_TH))+cfg_EOS_R2*(MAX(AH80-cfg_EOS_TH,0)-MAX(AI80-cfg_EOS_TH,0))))</f>
        <v/>
      </c>
      <c r="AB80" s="111" t="str">
        <f aca="false">IF($B80="","",IF(الموظفون!$T80&lt;&gt;"",الموظفون!$T80,IF(AH80&gt;=cfg_LV_TH,cfg_LV_D2,cfg_LV_D1))/cfg_DAYS_Y*AJ80*الموظفون!$R80/cfg_DAYS_M)</f>
        <v/>
      </c>
      <c r="AC80" s="111" t="str">
        <f aca="false">IF($B80="","",IF(AND(الموظفون!$U80="نعم",N(الموظفون!$W80)&gt;0),الموظفون!$V80/الموظفون!$W80*12/cfg_DAYS_Y*AJ80,0))</f>
        <v/>
      </c>
      <c r="AD80" s="111" t="str">
        <f aca="false">IF($B80="","",(IF(الموظفون!$X80&lt;&gt;"",الموظفون!$X80,IF(الموظفون!$E80="غير سعودي",cfg_IQ,0))+IF(الموظفون!$Y80&lt;&gt;"",الموظفون!$Y80,IF(الموظفون!$E80="غير سعودي",cfg_WP,0)))/12*G80/cfg_DAYS_M)</f>
        <v/>
      </c>
      <c r="AE80" s="111" t="str">
        <f aca="false">IF($B80="","",IF(الموظفون!$Z80&lt;&gt;"",الموظفون!$Z80,cfg_MED)/12*G80/cfg_DAYS_M)</f>
        <v/>
      </c>
      <c r="AF80" s="111" t="str">
        <f aca="false">IF($B80="","",N(الموظفون!$AA80)/12*G80/cfg_DAYS_M)</f>
        <v/>
      </c>
      <c r="AG80" s="154" t="str">
        <f aca="false">IF($B80="","",T80+SUM(Z80:AF80))</f>
        <v/>
      </c>
      <c r="AH80" s="155" t="str">
        <f aca="false">IF($B80="","",MAX(0,IF(OR(الموظفون!$AE80="",الموظفون!$AE80&gt;$F$3),$F$3,الموظفون!$AE80)-الموظفون!$H80+1-SUMIFS('سجل الإجازات والحالات'!$AS$6:$AS$505,'سجل الإجازات والحالات'!$B$6:$B$505,$B80))/cfg_DAYS_Y)</f>
        <v/>
      </c>
      <c r="AI80" s="155" t="str">
        <f aca="false">IF($B80="","",MAX(0,IF(OR(الموظفون!$AE80="",الموظفون!$AE80&gt;($E$3-1)),($E$3-1),الموظفون!$AE80)-الموظفون!$H80+1-SUMIFS('سجل الإجازات والحالات'!$AR$6:$AR$505,'سجل الإجازات والحالات'!$B$6:$B$505,$B80))/cfg_DAYS_Y)</f>
        <v/>
      </c>
      <c r="AJ80" s="65" t="str">
        <f aca="false">IF($B80="","",MAX(0,AK80-(SUMIFS('سجل الإجازات والحالات'!$AS$6:$AS$505,'سجل الإجازات والحالات'!$B$6:$B$505,$B80)-SUMIFS('سجل الإجازات والحالات'!$AR$6:$AR$505,'سجل الإجازات والحالات'!$B$6:$B$505,$B80))))</f>
        <v/>
      </c>
      <c r="AK80" s="65" t="str">
        <f aca="false">IF($B80="","",MAX(0,IF(OR(الموظفون!$AE80="",الموظفون!$AE80&gt;$F$3),$F$3,الموظفون!$AE80)-MAX($E$3,الموظفون!$H80)+1))</f>
        <v/>
      </c>
      <c r="AL80" s="151" t="str">
        <f aca="false">IF($B80="","",SUMIFS('سجل الإجازات والحالات'!$BE$6:$BE$505,'سجل الإجازات والحالات'!$B$6:$B$505,$B80)+SUMIFS('الحركات الشهرية'!$K$6:$K$1005,'الحركات الشهرية'!$B$6:$B$1005,$B80,'الحركات الشهرية'!$A$6:$A$1005,$C$3))</f>
        <v/>
      </c>
      <c r="AM80" s="111" t="str">
        <f aca="false">IF($B80="","",AL80*الموظفون!$R80/cfg_DAYS_M+S80)</f>
        <v/>
      </c>
      <c r="AN80" s="151" t="str">
        <f aca="false">IF($B80="","",SUMIFS('سجل الإجازات والحالات'!$AG$6:$AG$505,'سجل الإجازات والحالات'!$B$6:$B$505,$B80))</f>
        <v/>
      </c>
    </row>
    <row r="81" customFormat="false" ht="15" hidden="false" customHeight="false" outlineLevel="0" collapsed="false">
      <c r="A81" s="115" t="str">
        <f aca="false">IF($B81="","",الموظفون!$A81)</f>
        <v/>
      </c>
      <c r="B81" s="117" t="str">
        <f aca="false">IF(الموظفون!$B81="","",الموظفون!$B81)</f>
        <v/>
      </c>
      <c r="C81" s="117" t="str">
        <f aca="false">IF($B81="","",الموظفون!$C81)</f>
        <v/>
      </c>
      <c r="D81" s="117" t="str">
        <f aca="false">IF($B81="","",الموظفون!$F81)</f>
        <v/>
      </c>
      <c r="E81" s="117" t="str">
        <f aca="false">IF($B81="","",الموظفون!$E81)</f>
        <v/>
      </c>
      <c r="F81" s="117" t="str">
        <f aca="false">IF($B81="","",IF(AK81=0,IF(AND(الموظفون!$AE81&lt;&gt;"",الموظفون!$AE81&lt;$E$3),"✖ منتهي الخدمة","⏳ لم يباشر"),IF(S81&gt;0,"✈ راتب إجازة مقدم",IF(J81=0,"⛔ بدون راتب هذا الشهر",IF(I81&gt;0,"✈ خصم "&amp;ROUND(I81,2)&amp;" يوم بدون أجر",IF(AL81&gt;0,"🌴 إجازة سنوية "&amp;ROUND(AL81,2)&amp;" يوم",IF(H81&gt;0,"⚠ غياب "&amp;ROUND(H81,2)&amp;" يوم","✔ على رأس العمل")))))))</f>
        <v/>
      </c>
      <c r="G81" s="156" t="str">
        <f aca="false">IF($B81="","",IF(AK81&gt;=DAY($F$3),cfg_DAYS_M,MIN(AK81,cfg_DAYS_M)))</f>
        <v/>
      </c>
      <c r="H81" s="156" t="str">
        <f aca="false">IF($B81="","",SUMIFS('الحركات الشهرية'!$D$6:$D$1005,'الحركات الشهرية'!$B$6:$B$1005,$B81,'الحركات الشهرية'!$A$6:$A$1005,$C$3))</f>
        <v/>
      </c>
      <c r="I81" s="156" t="str">
        <f aca="false">IF($B81="","",MIN(G81,IF(AND(AK81&gt;0,AN81&gt;=AK81),G81,AN81)+SUMIFS('الحركات الشهرية'!$E$6:$E$1005,'الحركات الشهرية'!$B$6:$B$1005,$B81,'الحركات الشهرية'!$A$6:$A$1005,$C$3)))</f>
        <v/>
      </c>
      <c r="J81" s="156" t="str">
        <f aca="false">IF($B81="","",MAX(0,G81-H81-I81))</f>
        <v/>
      </c>
      <c r="K81" s="116" t="str">
        <f aca="false">IF($B81="","",الموظفون!$L81*$J81/cfg_DAYS_M)</f>
        <v/>
      </c>
      <c r="L81" s="116" t="str">
        <f aca="false">IF($B81="","",الموظفون!$M81*$J81/cfg_DAYS_M)</f>
        <v/>
      </c>
      <c r="M81" s="116" t="str">
        <f aca="false">IF($B81="","",الموظفون!$N81*$J81/cfg_DAYS_M)</f>
        <v/>
      </c>
      <c r="N81" s="116" t="str">
        <f aca="false">IF($B81="","",الموظفون!$O81*$J81/cfg_DAYS_M)</f>
        <v/>
      </c>
      <c r="O81" s="156" t="str">
        <f aca="false">IF($B81="","",SUMIFS('الحركات الشهرية'!$F$6:$F$1005,'الحركات الشهرية'!$B$6:$B$1005,$B81,'الحركات الشهرية'!$A$6:$A$1005,$C$3))</f>
        <v/>
      </c>
      <c r="P81" s="116" t="str">
        <f aca="false">IF($B81="","",O81*(الموظفون!$P81+الموظفون!$L81*cfg_OT_P)/cfg_DAYS_M/cfg_HRS)</f>
        <v/>
      </c>
      <c r="Q81" s="116" t="str">
        <f aca="false">IF($B81="","",SUMIFS('الحركات الشهرية'!$G$6:$G$1005,'الحركات الشهرية'!$B$6:$B$1005,$B81,'الحركات الشهرية'!$A$6:$A$1005,$C$3))</f>
        <v/>
      </c>
      <c r="R81" s="116" t="str">
        <f aca="false">IF($B81="","",SUMIFS('الحركات الشهرية'!$H$6:$H$1005,'الحركات الشهرية'!$B$6:$B$1005,$B81,'الحركات الشهرية'!$A$6:$A$1005,$C$3))</f>
        <v/>
      </c>
      <c r="S81" s="116" t="str">
        <f aca="false">IF($B81="","",SUMIFS('سجل الإجازات والحالات'!$N$6:$N$505,'سجل الإجازات والحالات'!$B$6:$B$505,$B81,'سجل الإجازات والحالات'!$O$6:$O$505,$C$3))</f>
        <v/>
      </c>
      <c r="T81" s="157" t="str">
        <f aca="false">IF($B81="","",SUM(K81:N81)+SUM(P81:S81))</f>
        <v/>
      </c>
      <c r="U81" s="116" t="str">
        <f aca="false">IF($B81="","",الموظفون!$S81*IF(E81="سعودي",cfg_G_SE,cfg_G_NE)*G81/cfg_DAYS_M)</f>
        <v/>
      </c>
      <c r="V81" s="116" t="str">
        <f aca="false">IF($B81="","",SUMIFS('الحركات الشهرية'!$I$6:$I$1005,'الحركات الشهرية'!$B$6:$B$1005,$B81,'الحركات الشهرية'!$A$6:$A$1005,$C$3))</f>
        <v/>
      </c>
      <c r="W81" s="116" t="str">
        <f aca="false">IF($B81="","",SUMIFS('الحركات الشهرية'!$J$6:$J$1005,'الحركات الشهرية'!$B$6:$B$1005,$B81,'الحركات الشهرية'!$A$6:$A$1005,$C$3))</f>
        <v/>
      </c>
      <c r="X81" s="116" t="str">
        <f aca="false">IF($B81="","",SUM(U81:W81))</f>
        <v/>
      </c>
      <c r="Y81" s="158" t="str">
        <f aca="false">IF($B81="","",T81-X81)</f>
        <v/>
      </c>
      <c r="Z81" s="116" t="str">
        <f aca="false">IF($B81="","",الموظفون!$S81*IF(E81="سعودي",cfg_G_SR,cfg_G_NR)*G81/cfg_DAYS_M)</f>
        <v/>
      </c>
      <c r="AA81" s="116" t="str">
        <f aca="false">IF($B81="","",الموظفون!$Q81*(cfg_EOS_R1*(MIN(AH81,cfg_EOS_TH)-MIN(AI81,cfg_EOS_TH))+cfg_EOS_R2*(MAX(AH81-cfg_EOS_TH,0)-MAX(AI81-cfg_EOS_TH,0))))</f>
        <v/>
      </c>
      <c r="AB81" s="116" t="str">
        <f aca="false">IF($B81="","",IF(الموظفون!$T81&lt;&gt;"",الموظفون!$T81,IF(AH81&gt;=cfg_LV_TH,cfg_LV_D2,cfg_LV_D1))/cfg_DAYS_Y*AJ81*الموظفون!$R81/cfg_DAYS_M)</f>
        <v/>
      </c>
      <c r="AC81" s="116" t="str">
        <f aca="false">IF($B81="","",IF(AND(الموظفون!$U81="نعم",N(الموظفون!$W81)&gt;0),الموظفون!$V81/الموظفون!$W81*12/cfg_DAYS_Y*AJ81,0))</f>
        <v/>
      </c>
      <c r="AD81" s="116" t="str">
        <f aca="false">IF($B81="","",(IF(الموظفون!$X81&lt;&gt;"",الموظفون!$X81,IF(الموظفون!$E81="غير سعودي",cfg_IQ,0))+IF(الموظفون!$Y81&lt;&gt;"",الموظفون!$Y81,IF(الموظفون!$E81="غير سعودي",cfg_WP,0)))/12*G81/cfg_DAYS_M)</f>
        <v/>
      </c>
      <c r="AE81" s="116" t="str">
        <f aca="false">IF($B81="","",IF(الموظفون!$Z81&lt;&gt;"",الموظفون!$Z81,cfg_MED)/12*G81/cfg_DAYS_M)</f>
        <v/>
      </c>
      <c r="AF81" s="116" t="str">
        <f aca="false">IF($B81="","",N(الموظفون!$AA81)/12*G81/cfg_DAYS_M)</f>
        <v/>
      </c>
      <c r="AG81" s="159" t="str">
        <f aca="false">IF($B81="","",T81+SUM(Z81:AF81))</f>
        <v/>
      </c>
      <c r="AH81" s="160" t="str">
        <f aca="false">IF($B81="","",MAX(0,IF(OR(الموظفون!$AE81="",الموظفون!$AE81&gt;$F$3),$F$3,الموظفون!$AE81)-الموظفون!$H81+1-SUMIFS('سجل الإجازات والحالات'!$AS$6:$AS$505,'سجل الإجازات والحالات'!$B$6:$B$505,$B81))/cfg_DAYS_Y)</f>
        <v/>
      </c>
      <c r="AI81" s="160" t="str">
        <f aca="false">IF($B81="","",MAX(0,IF(OR(الموظفون!$AE81="",الموظفون!$AE81&gt;($E$3-1)),($E$3-1),الموظفون!$AE81)-الموظفون!$H81+1-SUMIFS('سجل الإجازات والحالات'!$AR$6:$AR$505,'سجل الإجازات والحالات'!$B$6:$B$505,$B81))/cfg_DAYS_Y)</f>
        <v/>
      </c>
      <c r="AJ81" s="133" t="str">
        <f aca="false">IF($B81="","",MAX(0,AK81-(SUMIFS('سجل الإجازات والحالات'!$AS$6:$AS$505,'سجل الإجازات والحالات'!$B$6:$B$505,$B81)-SUMIFS('سجل الإجازات والحالات'!$AR$6:$AR$505,'سجل الإجازات والحالات'!$B$6:$B$505,$B81))))</f>
        <v/>
      </c>
      <c r="AK81" s="133" t="str">
        <f aca="false">IF($B81="","",MAX(0,IF(OR(الموظفون!$AE81="",الموظفون!$AE81&gt;$F$3),$F$3,الموظفون!$AE81)-MAX($E$3,الموظفون!$H81)+1))</f>
        <v/>
      </c>
      <c r="AL81" s="156" t="str">
        <f aca="false">IF($B81="","",SUMIFS('سجل الإجازات والحالات'!$BE$6:$BE$505,'سجل الإجازات والحالات'!$B$6:$B$505,$B81)+SUMIFS('الحركات الشهرية'!$K$6:$K$1005,'الحركات الشهرية'!$B$6:$B$1005,$B81,'الحركات الشهرية'!$A$6:$A$1005,$C$3))</f>
        <v/>
      </c>
      <c r="AM81" s="116" t="str">
        <f aca="false">IF($B81="","",AL81*الموظفون!$R81/cfg_DAYS_M+S81)</f>
        <v/>
      </c>
      <c r="AN81" s="156" t="str">
        <f aca="false">IF($B81="","",SUMIFS('سجل الإجازات والحالات'!$AG$6:$AG$505,'سجل الإجازات والحالات'!$B$6:$B$505,$B81))</f>
        <v/>
      </c>
    </row>
    <row r="82" customFormat="false" ht="15" hidden="false" customHeight="false" outlineLevel="0" collapsed="false">
      <c r="A82" s="106" t="str">
        <f aca="false">IF($B82="","",الموظفون!$A82)</f>
        <v/>
      </c>
      <c r="B82" s="114" t="str">
        <f aca="false">IF(الموظفون!$B82="","",الموظفون!$B82)</f>
        <v/>
      </c>
      <c r="C82" s="114" t="str">
        <f aca="false">IF($B82="","",الموظفون!$C82)</f>
        <v/>
      </c>
      <c r="D82" s="114" t="str">
        <f aca="false">IF($B82="","",الموظفون!$F82)</f>
        <v/>
      </c>
      <c r="E82" s="114" t="str">
        <f aca="false">IF($B82="","",الموظفون!$E82)</f>
        <v/>
      </c>
      <c r="F82" s="114" t="str">
        <f aca="false">IF($B82="","",IF(AK82=0,IF(AND(الموظفون!$AE82&lt;&gt;"",الموظفون!$AE82&lt;$E$3),"✖ منتهي الخدمة","⏳ لم يباشر"),IF(S82&gt;0,"✈ راتب إجازة مقدم",IF(J82=0,"⛔ بدون راتب هذا الشهر",IF(I82&gt;0,"✈ خصم "&amp;ROUND(I82,2)&amp;" يوم بدون أجر",IF(AL82&gt;0,"🌴 إجازة سنوية "&amp;ROUND(AL82,2)&amp;" يوم",IF(H82&gt;0,"⚠ غياب "&amp;ROUND(H82,2)&amp;" يوم","✔ على رأس العمل")))))))</f>
        <v/>
      </c>
      <c r="G82" s="151" t="str">
        <f aca="false">IF($B82="","",IF(AK82&gt;=DAY($F$3),cfg_DAYS_M,MIN(AK82,cfg_DAYS_M)))</f>
        <v/>
      </c>
      <c r="H82" s="151" t="str">
        <f aca="false">IF($B82="","",SUMIFS('الحركات الشهرية'!$D$6:$D$1005,'الحركات الشهرية'!$B$6:$B$1005,$B82,'الحركات الشهرية'!$A$6:$A$1005,$C$3))</f>
        <v/>
      </c>
      <c r="I82" s="151" t="str">
        <f aca="false">IF($B82="","",MIN(G82,IF(AND(AK82&gt;0,AN82&gt;=AK82),G82,AN82)+SUMIFS('الحركات الشهرية'!$E$6:$E$1005,'الحركات الشهرية'!$B$6:$B$1005,$B82,'الحركات الشهرية'!$A$6:$A$1005,$C$3)))</f>
        <v/>
      </c>
      <c r="J82" s="151" t="str">
        <f aca="false">IF($B82="","",MAX(0,G82-H82-I82))</f>
        <v/>
      </c>
      <c r="K82" s="111" t="str">
        <f aca="false">IF($B82="","",الموظفون!$L82*$J82/cfg_DAYS_M)</f>
        <v/>
      </c>
      <c r="L82" s="111" t="str">
        <f aca="false">IF($B82="","",الموظفون!$M82*$J82/cfg_DAYS_M)</f>
        <v/>
      </c>
      <c r="M82" s="111" t="str">
        <f aca="false">IF($B82="","",الموظفون!$N82*$J82/cfg_DAYS_M)</f>
        <v/>
      </c>
      <c r="N82" s="111" t="str">
        <f aca="false">IF($B82="","",الموظفون!$O82*$J82/cfg_DAYS_M)</f>
        <v/>
      </c>
      <c r="O82" s="151" t="str">
        <f aca="false">IF($B82="","",SUMIFS('الحركات الشهرية'!$F$6:$F$1005,'الحركات الشهرية'!$B$6:$B$1005,$B82,'الحركات الشهرية'!$A$6:$A$1005,$C$3))</f>
        <v/>
      </c>
      <c r="P82" s="111" t="str">
        <f aca="false">IF($B82="","",O82*(الموظفون!$P82+الموظفون!$L82*cfg_OT_P)/cfg_DAYS_M/cfg_HRS)</f>
        <v/>
      </c>
      <c r="Q82" s="111" t="str">
        <f aca="false">IF($B82="","",SUMIFS('الحركات الشهرية'!$G$6:$G$1005,'الحركات الشهرية'!$B$6:$B$1005,$B82,'الحركات الشهرية'!$A$6:$A$1005,$C$3))</f>
        <v/>
      </c>
      <c r="R82" s="111" t="str">
        <f aca="false">IF($B82="","",SUMIFS('الحركات الشهرية'!$H$6:$H$1005,'الحركات الشهرية'!$B$6:$B$1005,$B82,'الحركات الشهرية'!$A$6:$A$1005,$C$3))</f>
        <v/>
      </c>
      <c r="S82" s="111" t="str">
        <f aca="false">IF($B82="","",SUMIFS('سجل الإجازات والحالات'!$N$6:$N$505,'سجل الإجازات والحالات'!$B$6:$B$505,$B82,'سجل الإجازات والحالات'!$O$6:$O$505,$C$3))</f>
        <v/>
      </c>
      <c r="T82" s="152" t="str">
        <f aca="false">IF($B82="","",SUM(K82:N82)+SUM(P82:S82))</f>
        <v/>
      </c>
      <c r="U82" s="111" t="str">
        <f aca="false">IF($B82="","",الموظفون!$S82*IF(E82="سعودي",cfg_G_SE,cfg_G_NE)*G82/cfg_DAYS_M)</f>
        <v/>
      </c>
      <c r="V82" s="111" t="str">
        <f aca="false">IF($B82="","",SUMIFS('الحركات الشهرية'!$I$6:$I$1005,'الحركات الشهرية'!$B$6:$B$1005,$B82,'الحركات الشهرية'!$A$6:$A$1005,$C$3))</f>
        <v/>
      </c>
      <c r="W82" s="111" t="str">
        <f aca="false">IF($B82="","",SUMIFS('الحركات الشهرية'!$J$6:$J$1005,'الحركات الشهرية'!$B$6:$B$1005,$B82,'الحركات الشهرية'!$A$6:$A$1005,$C$3))</f>
        <v/>
      </c>
      <c r="X82" s="111" t="str">
        <f aca="false">IF($B82="","",SUM(U82:W82))</f>
        <v/>
      </c>
      <c r="Y82" s="153" t="str">
        <f aca="false">IF($B82="","",T82-X82)</f>
        <v/>
      </c>
      <c r="Z82" s="111" t="str">
        <f aca="false">IF($B82="","",الموظفون!$S82*IF(E82="سعودي",cfg_G_SR,cfg_G_NR)*G82/cfg_DAYS_M)</f>
        <v/>
      </c>
      <c r="AA82" s="111" t="str">
        <f aca="false">IF($B82="","",الموظفون!$Q82*(cfg_EOS_R1*(MIN(AH82,cfg_EOS_TH)-MIN(AI82,cfg_EOS_TH))+cfg_EOS_R2*(MAX(AH82-cfg_EOS_TH,0)-MAX(AI82-cfg_EOS_TH,0))))</f>
        <v/>
      </c>
      <c r="AB82" s="111" t="str">
        <f aca="false">IF($B82="","",IF(الموظفون!$T82&lt;&gt;"",الموظفون!$T82,IF(AH82&gt;=cfg_LV_TH,cfg_LV_D2,cfg_LV_D1))/cfg_DAYS_Y*AJ82*الموظفون!$R82/cfg_DAYS_M)</f>
        <v/>
      </c>
      <c r="AC82" s="111" t="str">
        <f aca="false">IF($B82="","",IF(AND(الموظفون!$U82="نعم",N(الموظفون!$W82)&gt;0),الموظفون!$V82/الموظفون!$W82*12/cfg_DAYS_Y*AJ82,0))</f>
        <v/>
      </c>
      <c r="AD82" s="111" t="str">
        <f aca="false">IF($B82="","",(IF(الموظفون!$X82&lt;&gt;"",الموظفون!$X82,IF(الموظفون!$E82="غير سعودي",cfg_IQ,0))+IF(الموظفون!$Y82&lt;&gt;"",الموظفون!$Y82,IF(الموظفون!$E82="غير سعودي",cfg_WP,0)))/12*G82/cfg_DAYS_M)</f>
        <v/>
      </c>
      <c r="AE82" s="111" t="str">
        <f aca="false">IF($B82="","",IF(الموظفون!$Z82&lt;&gt;"",الموظفون!$Z82,cfg_MED)/12*G82/cfg_DAYS_M)</f>
        <v/>
      </c>
      <c r="AF82" s="111" t="str">
        <f aca="false">IF($B82="","",N(الموظفون!$AA82)/12*G82/cfg_DAYS_M)</f>
        <v/>
      </c>
      <c r="AG82" s="154" t="str">
        <f aca="false">IF($B82="","",T82+SUM(Z82:AF82))</f>
        <v/>
      </c>
      <c r="AH82" s="155" t="str">
        <f aca="false">IF($B82="","",MAX(0,IF(OR(الموظفون!$AE82="",الموظفون!$AE82&gt;$F$3),$F$3,الموظفون!$AE82)-الموظفون!$H82+1-SUMIFS('سجل الإجازات والحالات'!$AS$6:$AS$505,'سجل الإجازات والحالات'!$B$6:$B$505,$B82))/cfg_DAYS_Y)</f>
        <v/>
      </c>
      <c r="AI82" s="155" t="str">
        <f aca="false">IF($B82="","",MAX(0,IF(OR(الموظفون!$AE82="",الموظفون!$AE82&gt;($E$3-1)),($E$3-1),الموظفون!$AE82)-الموظفون!$H82+1-SUMIFS('سجل الإجازات والحالات'!$AR$6:$AR$505,'سجل الإجازات والحالات'!$B$6:$B$505,$B82))/cfg_DAYS_Y)</f>
        <v/>
      </c>
      <c r="AJ82" s="65" t="str">
        <f aca="false">IF($B82="","",MAX(0,AK82-(SUMIFS('سجل الإجازات والحالات'!$AS$6:$AS$505,'سجل الإجازات والحالات'!$B$6:$B$505,$B82)-SUMIFS('سجل الإجازات والحالات'!$AR$6:$AR$505,'سجل الإجازات والحالات'!$B$6:$B$505,$B82))))</f>
        <v/>
      </c>
      <c r="AK82" s="65" t="str">
        <f aca="false">IF($B82="","",MAX(0,IF(OR(الموظفون!$AE82="",الموظفون!$AE82&gt;$F$3),$F$3,الموظفون!$AE82)-MAX($E$3,الموظفون!$H82)+1))</f>
        <v/>
      </c>
      <c r="AL82" s="151" t="str">
        <f aca="false">IF($B82="","",SUMIFS('سجل الإجازات والحالات'!$BE$6:$BE$505,'سجل الإجازات والحالات'!$B$6:$B$505,$B82)+SUMIFS('الحركات الشهرية'!$K$6:$K$1005,'الحركات الشهرية'!$B$6:$B$1005,$B82,'الحركات الشهرية'!$A$6:$A$1005,$C$3))</f>
        <v/>
      </c>
      <c r="AM82" s="111" t="str">
        <f aca="false">IF($B82="","",AL82*الموظفون!$R82/cfg_DAYS_M+S82)</f>
        <v/>
      </c>
      <c r="AN82" s="151" t="str">
        <f aca="false">IF($B82="","",SUMIFS('سجل الإجازات والحالات'!$AG$6:$AG$505,'سجل الإجازات والحالات'!$B$6:$B$505,$B82))</f>
        <v/>
      </c>
    </row>
    <row r="83" customFormat="false" ht="15" hidden="false" customHeight="false" outlineLevel="0" collapsed="false">
      <c r="A83" s="115" t="str">
        <f aca="false">IF($B83="","",الموظفون!$A83)</f>
        <v/>
      </c>
      <c r="B83" s="117" t="str">
        <f aca="false">IF(الموظفون!$B83="","",الموظفون!$B83)</f>
        <v/>
      </c>
      <c r="C83" s="117" t="str">
        <f aca="false">IF($B83="","",الموظفون!$C83)</f>
        <v/>
      </c>
      <c r="D83" s="117" t="str">
        <f aca="false">IF($B83="","",الموظفون!$F83)</f>
        <v/>
      </c>
      <c r="E83" s="117" t="str">
        <f aca="false">IF($B83="","",الموظفون!$E83)</f>
        <v/>
      </c>
      <c r="F83" s="117" t="str">
        <f aca="false">IF($B83="","",IF(AK83=0,IF(AND(الموظفون!$AE83&lt;&gt;"",الموظفون!$AE83&lt;$E$3),"✖ منتهي الخدمة","⏳ لم يباشر"),IF(S83&gt;0,"✈ راتب إجازة مقدم",IF(J83=0,"⛔ بدون راتب هذا الشهر",IF(I83&gt;0,"✈ خصم "&amp;ROUND(I83,2)&amp;" يوم بدون أجر",IF(AL83&gt;0,"🌴 إجازة سنوية "&amp;ROUND(AL83,2)&amp;" يوم",IF(H83&gt;0,"⚠ غياب "&amp;ROUND(H83,2)&amp;" يوم","✔ على رأس العمل")))))))</f>
        <v/>
      </c>
      <c r="G83" s="156" t="str">
        <f aca="false">IF($B83="","",IF(AK83&gt;=DAY($F$3),cfg_DAYS_M,MIN(AK83,cfg_DAYS_M)))</f>
        <v/>
      </c>
      <c r="H83" s="156" t="str">
        <f aca="false">IF($B83="","",SUMIFS('الحركات الشهرية'!$D$6:$D$1005,'الحركات الشهرية'!$B$6:$B$1005,$B83,'الحركات الشهرية'!$A$6:$A$1005,$C$3))</f>
        <v/>
      </c>
      <c r="I83" s="156" t="str">
        <f aca="false">IF($B83="","",MIN(G83,IF(AND(AK83&gt;0,AN83&gt;=AK83),G83,AN83)+SUMIFS('الحركات الشهرية'!$E$6:$E$1005,'الحركات الشهرية'!$B$6:$B$1005,$B83,'الحركات الشهرية'!$A$6:$A$1005,$C$3)))</f>
        <v/>
      </c>
      <c r="J83" s="156" t="str">
        <f aca="false">IF($B83="","",MAX(0,G83-H83-I83))</f>
        <v/>
      </c>
      <c r="K83" s="116" t="str">
        <f aca="false">IF($B83="","",الموظفون!$L83*$J83/cfg_DAYS_M)</f>
        <v/>
      </c>
      <c r="L83" s="116" t="str">
        <f aca="false">IF($B83="","",الموظفون!$M83*$J83/cfg_DAYS_M)</f>
        <v/>
      </c>
      <c r="M83" s="116" t="str">
        <f aca="false">IF($B83="","",الموظفون!$N83*$J83/cfg_DAYS_M)</f>
        <v/>
      </c>
      <c r="N83" s="116" t="str">
        <f aca="false">IF($B83="","",الموظفون!$O83*$J83/cfg_DAYS_M)</f>
        <v/>
      </c>
      <c r="O83" s="156" t="str">
        <f aca="false">IF($B83="","",SUMIFS('الحركات الشهرية'!$F$6:$F$1005,'الحركات الشهرية'!$B$6:$B$1005,$B83,'الحركات الشهرية'!$A$6:$A$1005,$C$3))</f>
        <v/>
      </c>
      <c r="P83" s="116" t="str">
        <f aca="false">IF($B83="","",O83*(الموظفون!$P83+الموظفون!$L83*cfg_OT_P)/cfg_DAYS_M/cfg_HRS)</f>
        <v/>
      </c>
      <c r="Q83" s="116" t="str">
        <f aca="false">IF($B83="","",SUMIFS('الحركات الشهرية'!$G$6:$G$1005,'الحركات الشهرية'!$B$6:$B$1005,$B83,'الحركات الشهرية'!$A$6:$A$1005,$C$3))</f>
        <v/>
      </c>
      <c r="R83" s="116" t="str">
        <f aca="false">IF($B83="","",SUMIFS('الحركات الشهرية'!$H$6:$H$1005,'الحركات الشهرية'!$B$6:$B$1005,$B83,'الحركات الشهرية'!$A$6:$A$1005,$C$3))</f>
        <v/>
      </c>
      <c r="S83" s="116" t="str">
        <f aca="false">IF($B83="","",SUMIFS('سجل الإجازات والحالات'!$N$6:$N$505,'سجل الإجازات والحالات'!$B$6:$B$505,$B83,'سجل الإجازات والحالات'!$O$6:$O$505,$C$3))</f>
        <v/>
      </c>
      <c r="T83" s="157" t="str">
        <f aca="false">IF($B83="","",SUM(K83:N83)+SUM(P83:S83))</f>
        <v/>
      </c>
      <c r="U83" s="116" t="str">
        <f aca="false">IF($B83="","",الموظفون!$S83*IF(E83="سعودي",cfg_G_SE,cfg_G_NE)*G83/cfg_DAYS_M)</f>
        <v/>
      </c>
      <c r="V83" s="116" t="str">
        <f aca="false">IF($B83="","",SUMIFS('الحركات الشهرية'!$I$6:$I$1005,'الحركات الشهرية'!$B$6:$B$1005,$B83,'الحركات الشهرية'!$A$6:$A$1005,$C$3))</f>
        <v/>
      </c>
      <c r="W83" s="116" t="str">
        <f aca="false">IF($B83="","",SUMIFS('الحركات الشهرية'!$J$6:$J$1005,'الحركات الشهرية'!$B$6:$B$1005,$B83,'الحركات الشهرية'!$A$6:$A$1005,$C$3))</f>
        <v/>
      </c>
      <c r="X83" s="116" t="str">
        <f aca="false">IF($B83="","",SUM(U83:W83))</f>
        <v/>
      </c>
      <c r="Y83" s="158" t="str">
        <f aca="false">IF($B83="","",T83-X83)</f>
        <v/>
      </c>
      <c r="Z83" s="116" t="str">
        <f aca="false">IF($B83="","",الموظفون!$S83*IF(E83="سعودي",cfg_G_SR,cfg_G_NR)*G83/cfg_DAYS_M)</f>
        <v/>
      </c>
      <c r="AA83" s="116" t="str">
        <f aca="false">IF($B83="","",الموظفون!$Q83*(cfg_EOS_R1*(MIN(AH83,cfg_EOS_TH)-MIN(AI83,cfg_EOS_TH))+cfg_EOS_R2*(MAX(AH83-cfg_EOS_TH,0)-MAX(AI83-cfg_EOS_TH,0))))</f>
        <v/>
      </c>
      <c r="AB83" s="116" t="str">
        <f aca="false">IF($B83="","",IF(الموظفون!$T83&lt;&gt;"",الموظفون!$T83,IF(AH83&gt;=cfg_LV_TH,cfg_LV_D2,cfg_LV_D1))/cfg_DAYS_Y*AJ83*الموظفون!$R83/cfg_DAYS_M)</f>
        <v/>
      </c>
      <c r="AC83" s="116" t="str">
        <f aca="false">IF($B83="","",IF(AND(الموظفون!$U83="نعم",N(الموظفون!$W83)&gt;0),الموظفون!$V83/الموظفون!$W83*12/cfg_DAYS_Y*AJ83,0))</f>
        <v/>
      </c>
      <c r="AD83" s="116" t="str">
        <f aca="false">IF($B83="","",(IF(الموظفون!$X83&lt;&gt;"",الموظفون!$X83,IF(الموظفون!$E83="غير سعودي",cfg_IQ,0))+IF(الموظفون!$Y83&lt;&gt;"",الموظفون!$Y83,IF(الموظفون!$E83="غير سعودي",cfg_WP,0)))/12*G83/cfg_DAYS_M)</f>
        <v/>
      </c>
      <c r="AE83" s="116" t="str">
        <f aca="false">IF($B83="","",IF(الموظفون!$Z83&lt;&gt;"",الموظفون!$Z83,cfg_MED)/12*G83/cfg_DAYS_M)</f>
        <v/>
      </c>
      <c r="AF83" s="116" t="str">
        <f aca="false">IF($B83="","",N(الموظفون!$AA83)/12*G83/cfg_DAYS_M)</f>
        <v/>
      </c>
      <c r="AG83" s="159" t="str">
        <f aca="false">IF($B83="","",T83+SUM(Z83:AF83))</f>
        <v/>
      </c>
      <c r="AH83" s="160" t="str">
        <f aca="false">IF($B83="","",MAX(0,IF(OR(الموظفون!$AE83="",الموظفون!$AE83&gt;$F$3),$F$3,الموظفون!$AE83)-الموظفون!$H83+1-SUMIFS('سجل الإجازات والحالات'!$AS$6:$AS$505,'سجل الإجازات والحالات'!$B$6:$B$505,$B83))/cfg_DAYS_Y)</f>
        <v/>
      </c>
      <c r="AI83" s="160" t="str">
        <f aca="false">IF($B83="","",MAX(0,IF(OR(الموظفون!$AE83="",الموظفون!$AE83&gt;($E$3-1)),($E$3-1),الموظفون!$AE83)-الموظفون!$H83+1-SUMIFS('سجل الإجازات والحالات'!$AR$6:$AR$505,'سجل الإجازات والحالات'!$B$6:$B$505,$B83))/cfg_DAYS_Y)</f>
        <v/>
      </c>
      <c r="AJ83" s="133" t="str">
        <f aca="false">IF($B83="","",MAX(0,AK83-(SUMIFS('سجل الإجازات والحالات'!$AS$6:$AS$505,'سجل الإجازات والحالات'!$B$6:$B$505,$B83)-SUMIFS('سجل الإجازات والحالات'!$AR$6:$AR$505,'سجل الإجازات والحالات'!$B$6:$B$505,$B83))))</f>
        <v/>
      </c>
      <c r="AK83" s="133" t="str">
        <f aca="false">IF($B83="","",MAX(0,IF(OR(الموظفون!$AE83="",الموظفون!$AE83&gt;$F$3),$F$3,الموظفون!$AE83)-MAX($E$3,الموظفون!$H83)+1))</f>
        <v/>
      </c>
      <c r="AL83" s="156" t="str">
        <f aca="false">IF($B83="","",SUMIFS('سجل الإجازات والحالات'!$BE$6:$BE$505,'سجل الإجازات والحالات'!$B$6:$B$505,$B83)+SUMIFS('الحركات الشهرية'!$K$6:$K$1005,'الحركات الشهرية'!$B$6:$B$1005,$B83,'الحركات الشهرية'!$A$6:$A$1005,$C$3))</f>
        <v/>
      </c>
      <c r="AM83" s="116" t="str">
        <f aca="false">IF($B83="","",AL83*الموظفون!$R83/cfg_DAYS_M+S83)</f>
        <v/>
      </c>
      <c r="AN83" s="156" t="str">
        <f aca="false">IF($B83="","",SUMIFS('سجل الإجازات والحالات'!$AG$6:$AG$505,'سجل الإجازات والحالات'!$B$6:$B$505,$B83))</f>
        <v/>
      </c>
    </row>
    <row r="84" customFormat="false" ht="15" hidden="false" customHeight="false" outlineLevel="0" collapsed="false">
      <c r="A84" s="106" t="str">
        <f aca="false">IF($B84="","",الموظفون!$A84)</f>
        <v/>
      </c>
      <c r="B84" s="114" t="str">
        <f aca="false">IF(الموظفون!$B84="","",الموظفون!$B84)</f>
        <v/>
      </c>
      <c r="C84" s="114" t="str">
        <f aca="false">IF($B84="","",الموظفون!$C84)</f>
        <v/>
      </c>
      <c r="D84" s="114" t="str">
        <f aca="false">IF($B84="","",الموظفون!$F84)</f>
        <v/>
      </c>
      <c r="E84" s="114" t="str">
        <f aca="false">IF($B84="","",الموظفون!$E84)</f>
        <v/>
      </c>
      <c r="F84" s="114" t="str">
        <f aca="false">IF($B84="","",IF(AK84=0,IF(AND(الموظفون!$AE84&lt;&gt;"",الموظفون!$AE84&lt;$E$3),"✖ منتهي الخدمة","⏳ لم يباشر"),IF(S84&gt;0,"✈ راتب إجازة مقدم",IF(J84=0,"⛔ بدون راتب هذا الشهر",IF(I84&gt;0,"✈ خصم "&amp;ROUND(I84,2)&amp;" يوم بدون أجر",IF(AL84&gt;0,"🌴 إجازة سنوية "&amp;ROUND(AL84,2)&amp;" يوم",IF(H84&gt;0,"⚠ غياب "&amp;ROUND(H84,2)&amp;" يوم","✔ على رأس العمل")))))))</f>
        <v/>
      </c>
      <c r="G84" s="151" t="str">
        <f aca="false">IF($B84="","",IF(AK84&gt;=DAY($F$3),cfg_DAYS_M,MIN(AK84,cfg_DAYS_M)))</f>
        <v/>
      </c>
      <c r="H84" s="151" t="str">
        <f aca="false">IF($B84="","",SUMIFS('الحركات الشهرية'!$D$6:$D$1005,'الحركات الشهرية'!$B$6:$B$1005,$B84,'الحركات الشهرية'!$A$6:$A$1005,$C$3))</f>
        <v/>
      </c>
      <c r="I84" s="151" t="str">
        <f aca="false">IF($B84="","",MIN(G84,IF(AND(AK84&gt;0,AN84&gt;=AK84),G84,AN84)+SUMIFS('الحركات الشهرية'!$E$6:$E$1005,'الحركات الشهرية'!$B$6:$B$1005,$B84,'الحركات الشهرية'!$A$6:$A$1005,$C$3)))</f>
        <v/>
      </c>
      <c r="J84" s="151" t="str">
        <f aca="false">IF($B84="","",MAX(0,G84-H84-I84))</f>
        <v/>
      </c>
      <c r="K84" s="111" t="str">
        <f aca="false">IF($B84="","",الموظفون!$L84*$J84/cfg_DAYS_M)</f>
        <v/>
      </c>
      <c r="L84" s="111" t="str">
        <f aca="false">IF($B84="","",الموظفون!$M84*$J84/cfg_DAYS_M)</f>
        <v/>
      </c>
      <c r="M84" s="111" t="str">
        <f aca="false">IF($B84="","",الموظفون!$N84*$J84/cfg_DAYS_M)</f>
        <v/>
      </c>
      <c r="N84" s="111" t="str">
        <f aca="false">IF($B84="","",الموظفون!$O84*$J84/cfg_DAYS_M)</f>
        <v/>
      </c>
      <c r="O84" s="151" t="str">
        <f aca="false">IF($B84="","",SUMIFS('الحركات الشهرية'!$F$6:$F$1005,'الحركات الشهرية'!$B$6:$B$1005,$B84,'الحركات الشهرية'!$A$6:$A$1005,$C$3))</f>
        <v/>
      </c>
      <c r="P84" s="111" t="str">
        <f aca="false">IF($B84="","",O84*(الموظفون!$P84+الموظفون!$L84*cfg_OT_P)/cfg_DAYS_M/cfg_HRS)</f>
        <v/>
      </c>
      <c r="Q84" s="111" t="str">
        <f aca="false">IF($B84="","",SUMIFS('الحركات الشهرية'!$G$6:$G$1005,'الحركات الشهرية'!$B$6:$B$1005,$B84,'الحركات الشهرية'!$A$6:$A$1005,$C$3))</f>
        <v/>
      </c>
      <c r="R84" s="111" t="str">
        <f aca="false">IF($B84="","",SUMIFS('الحركات الشهرية'!$H$6:$H$1005,'الحركات الشهرية'!$B$6:$B$1005,$B84,'الحركات الشهرية'!$A$6:$A$1005,$C$3))</f>
        <v/>
      </c>
      <c r="S84" s="111" t="str">
        <f aca="false">IF($B84="","",SUMIFS('سجل الإجازات والحالات'!$N$6:$N$505,'سجل الإجازات والحالات'!$B$6:$B$505,$B84,'سجل الإجازات والحالات'!$O$6:$O$505,$C$3))</f>
        <v/>
      </c>
      <c r="T84" s="152" t="str">
        <f aca="false">IF($B84="","",SUM(K84:N84)+SUM(P84:S84))</f>
        <v/>
      </c>
      <c r="U84" s="111" t="str">
        <f aca="false">IF($B84="","",الموظفون!$S84*IF(E84="سعودي",cfg_G_SE,cfg_G_NE)*G84/cfg_DAYS_M)</f>
        <v/>
      </c>
      <c r="V84" s="111" t="str">
        <f aca="false">IF($B84="","",SUMIFS('الحركات الشهرية'!$I$6:$I$1005,'الحركات الشهرية'!$B$6:$B$1005,$B84,'الحركات الشهرية'!$A$6:$A$1005,$C$3))</f>
        <v/>
      </c>
      <c r="W84" s="111" t="str">
        <f aca="false">IF($B84="","",SUMIFS('الحركات الشهرية'!$J$6:$J$1005,'الحركات الشهرية'!$B$6:$B$1005,$B84,'الحركات الشهرية'!$A$6:$A$1005,$C$3))</f>
        <v/>
      </c>
      <c r="X84" s="111" t="str">
        <f aca="false">IF($B84="","",SUM(U84:W84))</f>
        <v/>
      </c>
      <c r="Y84" s="153" t="str">
        <f aca="false">IF($B84="","",T84-X84)</f>
        <v/>
      </c>
      <c r="Z84" s="111" t="str">
        <f aca="false">IF($B84="","",الموظفون!$S84*IF(E84="سعودي",cfg_G_SR,cfg_G_NR)*G84/cfg_DAYS_M)</f>
        <v/>
      </c>
      <c r="AA84" s="111" t="str">
        <f aca="false">IF($B84="","",الموظفون!$Q84*(cfg_EOS_R1*(MIN(AH84,cfg_EOS_TH)-MIN(AI84,cfg_EOS_TH))+cfg_EOS_R2*(MAX(AH84-cfg_EOS_TH,0)-MAX(AI84-cfg_EOS_TH,0))))</f>
        <v/>
      </c>
      <c r="AB84" s="111" t="str">
        <f aca="false">IF($B84="","",IF(الموظفون!$T84&lt;&gt;"",الموظفون!$T84,IF(AH84&gt;=cfg_LV_TH,cfg_LV_D2,cfg_LV_D1))/cfg_DAYS_Y*AJ84*الموظفون!$R84/cfg_DAYS_M)</f>
        <v/>
      </c>
      <c r="AC84" s="111" t="str">
        <f aca="false">IF($B84="","",IF(AND(الموظفون!$U84="نعم",N(الموظفون!$W84)&gt;0),الموظفون!$V84/الموظفون!$W84*12/cfg_DAYS_Y*AJ84,0))</f>
        <v/>
      </c>
      <c r="AD84" s="111" t="str">
        <f aca="false">IF($B84="","",(IF(الموظفون!$X84&lt;&gt;"",الموظفون!$X84,IF(الموظفون!$E84="غير سعودي",cfg_IQ,0))+IF(الموظفون!$Y84&lt;&gt;"",الموظفون!$Y84,IF(الموظفون!$E84="غير سعودي",cfg_WP,0)))/12*G84/cfg_DAYS_M)</f>
        <v/>
      </c>
      <c r="AE84" s="111" t="str">
        <f aca="false">IF($B84="","",IF(الموظفون!$Z84&lt;&gt;"",الموظفون!$Z84,cfg_MED)/12*G84/cfg_DAYS_M)</f>
        <v/>
      </c>
      <c r="AF84" s="111" t="str">
        <f aca="false">IF($B84="","",N(الموظفون!$AA84)/12*G84/cfg_DAYS_M)</f>
        <v/>
      </c>
      <c r="AG84" s="154" t="str">
        <f aca="false">IF($B84="","",T84+SUM(Z84:AF84))</f>
        <v/>
      </c>
      <c r="AH84" s="155" t="str">
        <f aca="false">IF($B84="","",MAX(0,IF(OR(الموظفون!$AE84="",الموظفون!$AE84&gt;$F$3),$F$3,الموظفون!$AE84)-الموظفون!$H84+1-SUMIFS('سجل الإجازات والحالات'!$AS$6:$AS$505,'سجل الإجازات والحالات'!$B$6:$B$505,$B84))/cfg_DAYS_Y)</f>
        <v/>
      </c>
      <c r="AI84" s="155" t="str">
        <f aca="false">IF($B84="","",MAX(0,IF(OR(الموظفون!$AE84="",الموظفون!$AE84&gt;($E$3-1)),($E$3-1),الموظفون!$AE84)-الموظفون!$H84+1-SUMIFS('سجل الإجازات والحالات'!$AR$6:$AR$505,'سجل الإجازات والحالات'!$B$6:$B$505,$B84))/cfg_DAYS_Y)</f>
        <v/>
      </c>
      <c r="AJ84" s="65" t="str">
        <f aca="false">IF($B84="","",MAX(0,AK84-(SUMIFS('سجل الإجازات والحالات'!$AS$6:$AS$505,'سجل الإجازات والحالات'!$B$6:$B$505,$B84)-SUMIFS('سجل الإجازات والحالات'!$AR$6:$AR$505,'سجل الإجازات والحالات'!$B$6:$B$505,$B84))))</f>
        <v/>
      </c>
      <c r="AK84" s="65" t="str">
        <f aca="false">IF($B84="","",MAX(0,IF(OR(الموظفون!$AE84="",الموظفون!$AE84&gt;$F$3),$F$3,الموظفون!$AE84)-MAX($E$3,الموظفون!$H84)+1))</f>
        <v/>
      </c>
      <c r="AL84" s="151" t="str">
        <f aca="false">IF($B84="","",SUMIFS('سجل الإجازات والحالات'!$BE$6:$BE$505,'سجل الإجازات والحالات'!$B$6:$B$505,$B84)+SUMIFS('الحركات الشهرية'!$K$6:$K$1005,'الحركات الشهرية'!$B$6:$B$1005,$B84,'الحركات الشهرية'!$A$6:$A$1005,$C$3))</f>
        <v/>
      </c>
      <c r="AM84" s="111" t="str">
        <f aca="false">IF($B84="","",AL84*الموظفون!$R84/cfg_DAYS_M+S84)</f>
        <v/>
      </c>
      <c r="AN84" s="151" t="str">
        <f aca="false">IF($B84="","",SUMIFS('سجل الإجازات والحالات'!$AG$6:$AG$505,'سجل الإجازات والحالات'!$B$6:$B$505,$B84))</f>
        <v/>
      </c>
    </row>
    <row r="85" customFormat="false" ht="15" hidden="false" customHeight="false" outlineLevel="0" collapsed="false">
      <c r="A85" s="115" t="str">
        <f aca="false">IF($B85="","",الموظفون!$A85)</f>
        <v/>
      </c>
      <c r="B85" s="117" t="str">
        <f aca="false">IF(الموظفون!$B85="","",الموظفون!$B85)</f>
        <v/>
      </c>
      <c r="C85" s="117" t="str">
        <f aca="false">IF($B85="","",الموظفون!$C85)</f>
        <v/>
      </c>
      <c r="D85" s="117" t="str">
        <f aca="false">IF($B85="","",الموظفون!$F85)</f>
        <v/>
      </c>
      <c r="E85" s="117" t="str">
        <f aca="false">IF($B85="","",الموظفون!$E85)</f>
        <v/>
      </c>
      <c r="F85" s="117" t="str">
        <f aca="false">IF($B85="","",IF(AK85=0,IF(AND(الموظفون!$AE85&lt;&gt;"",الموظفون!$AE85&lt;$E$3),"✖ منتهي الخدمة","⏳ لم يباشر"),IF(S85&gt;0,"✈ راتب إجازة مقدم",IF(J85=0,"⛔ بدون راتب هذا الشهر",IF(I85&gt;0,"✈ خصم "&amp;ROUND(I85,2)&amp;" يوم بدون أجر",IF(AL85&gt;0,"🌴 إجازة سنوية "&amp;ROUND(AL85,2)&amp;" يوم",IF(H85&gt;0,"⚠ غياب "&amp;ROUND(H85,2)&amp;" يوم","✔ على رأس العمل")))))))</f>
        <v/>
      </c>
      <c r="G85" s="156" t="str">
        <f aca="false">IF($B85="","",IF(AK85&gt;=DAY($F$3),cfg_DAYS_M,MIN(AK85,cfg_DAYS_M)))</f>
        <v/>
      </c>
      <c r="H85" s="156" t="str">
        <f aca="false">IF($B85="","",SUMIFS('الحركات الشهرية'!$D$6:$D$1005,'الحركات الشهرية'!$B$6:$B$1005,$B85,'الحركات الشهرية'!$A$6:$A$1005,$C$3))</f>
        <v/>
      </c>
      <c r="I85" s="156" t="str">
        <f aca="false">IF($B85="","",MIN(G85,IF(AND(AK85&gt;0,AN85&gt;=AK85),G85,AN85)+SUMIFS('الحركات الشهرية'!$E$6:$E$1005,'الحركات الشهرية'!$B$6:$B$1005,$B85,'الحركات الشهرية'!$A$6:$A$1005,$C$3)))</f>
        <v/>
      </c>
      <c r="J85" s="156" t="str">
        <f aca="false">IF($B85="","",MAX(0,G85-H85-I85))</f>
        <v/>
      </c>
      <c r="K85" s="116" t="str">
        <f aca="false">IF($B85="","",الموظفون!$L85*$J85/cfg_DAYS_M)</f>
        <v/>
      </c>
      <c r="L85" s="116" t="str">
        <f aca="false">IF($B85="","",الموظفون!$M85*$J85/cfg_DAYS_M)</f>
        <v/>
      </c>
      <c r="M85" s="116" t="str">
        <f aca="false">IF($B85="","",الموظفون!$N85*$J85/cfg_DAYS_M)</f>
        <v/>
      </c>
      <c r="N85" s="116" t="str">
        <f aca="false">IF($B85="","",الموظفون!$O85*$J85/cfg_DAYS_M)</f>
        <v/>
      </c>
      <c r="O85" s="156" t="str">
        <f aca="false">IF($B85="","",SUMIFS('الحركات الشهرية'!$F$6:$F$1005,'الحركات الشهرية'!$B$6:$B$1005,$B85,'الحركات الشهرية'!$A$6:$A$1005,$C$3))</f>
        <v/>
      </c>
      <c r="P85" s="116" t="str">
        <f aca="false">IF($B85="","",O85*(الموظفون!$P85+الموظفون!$L85*cfg_OT_P)/cfg_DAYS_M/cfg_HRS)</f>
        <v/>
      </c>
      <c r="Q85" s="116" t="str">
        <f aca="false">IF($B85="","",SUMIFS('الحركات الشهرية'!$G$6:$G$1005,'الحركات الشهرية'!$B$6:$B$1005,$B85,'الحركات الشهرية'!$A$6:$A$1005,$C$3))</f>
        <v/>
      </c>
      <c r="R85" s="116" t="str">
        <f aca="false">IF($B85="","",SUMIFS('الحركات الشهرية'!$H$6:$H$1005,'الحركات الشهرية'!$B$6:$B$1005,$B85,'الحركات الشهرية'!$A$6:$A$1005,$C$3))</f>
        <v/>
      </c>
      <c r="S85" s="116" t="str">
        <f aca="false">IF($B85="","",SUMIFS('سجل الإجازات والحالات'!$N$6:$N$505,'سجل الإجازات والحالات'!$B$6:$B$505,$B85,'سجل الإجازات والحالات'!$O$6:$O$505,$C$3))</f>
        <v/>
      </c>
      <c r="T85" s="157" t="str">
        <f aca="false">IF($B85="","",SUM(K85:N85)+SUM(P85:S85))</f>
        <v/>
      </c>
      <c r="U85" s="116" t="str">
        <f aca="false">IF($B85="","",الموظفون!$S85*IF(E85="سعودي",cfg_G_SE,cfg_G_NE)*G85/cfg_DAYS_M)</f>
        <v/>
      </c>
      <c r="V85" s="116" t="str">
        <f aca="false">IF($B85="","",SUMIFS('الحركات الشهرية'!$I$6:$I$1005,'الحركات الشهرية'!$B$6:$B$1005,$B85,'الحركات الشهرية'!$A$6:$A$1005,$C$3))</f>
        <v/>
      </c>
      <c r="W85" s="116" t="str">
        <f aca="false">IF($B85="","",SUMIFS('الحركات الشهرية'!$J$6:$J$1005,'الحركات الشهرية'!$B$6:$B$1005,$B85,'الحركات الشهرية'!$A$6:$A$1005,$C$3))</f>
        <v/>
      </c>
      <c r="X85" s="116" t="str">
        <f aca="false">IF($B85="","",SUM(U85:W85))</f>
        <v/>
      </c>
      <c r="Y85" s="158" t="str">
        <f aca="false">IF($B85="","",T85-X85)</f>
        <v/>
      </c>
      <c r="Z85" s="116" t="str">
        <f aca="false">IF($B85="","",الموظفون!$S85*IF(E85="سعودي",cfg_G_SR,cfg_G_NR)*G85/cfg_DAYS_M)</f>
        <v/>
      </c>
      <c r="AA85" s="116" t="str">
        <f aca="false">IF($B85="","",الموظفون!$Q85*(cfg_EOS_R1*(MIN(AH85,cfg_EOS_TH)-MIN(AI85,cfg_EOS_TH))+cfg_EOS_R2*(MAX(AH85-cfg_EOS_TH,0)-MAX(AI85-cfg_EOS_TH,0))))</f>
        <v/>
      </c>
      <c r="AB85" s="116" t="str">
        <f aca="false">IF($B85="","",IF(الموظفون!$T85&lt;&gt;"",الموظفون!$T85,IF(AH85&gt;=cfg_LV_TH,cfg_LV_D2,cfg_LV_D1))/cfg_DAYS_Y*AJ85*الموظفون!$R85/cfg_DAYS_M)</f>
        <v/>
      </c>
      <c r="AC85" s="116" t="str">
        <f aca="false">IF($B85="","",IF(AND(الموظفون!$U85="نعم",N(الموظفون!$W85)&gt;0),الموظفون!$V85/الموظفون!$W85*12/cfg_DAYS_Y*AJ85,0))</f>
        <v/>
      </c>
      <c r="AD85" s="116" t="str">
        <f aca="false">IF($B85="","",(IF(الموظفون!$X85&lt;&gt;"",الموظفون!$X85,IF(الموظفون!$E85="غير سعودي",cfg_IQ,0))+IF(الموظفون!$Y85&lt;&gt;"",الموظفون!$Y85,IF(الموظفون!$E85="غير سعودي",cfg_WP,0)))/12*G85/cfg_DAYS_M)</f>
        <v/>
      </c>
      <c r="AE85" s="116" t="str">
        <f aca="false">IF($B85="","",IF(الموظفون!$Z85&lt;&gt;"",الموظفون!$Z85,cfg_MED)/12*G85/cfg_DAYS_M)</f>
        <v/>
      </c>
      <c r="AF85" s="116" t="str">
        <f aca="false">IF($B85="","",N(الموظفون!$AA85)/12*G85/cfg_DAYS_M)</f>
        <v/>
      </c>
      <c r="AG85" s="159" t="str">
        <f aca="false">IF($B85="","",T85+SUM(Z85:AF85))</f>
        <v/>
      </c>
      <c r="AH85" s="160" t="str">
        <f aca="false">IF($B85="","",MAX(0,IF(OR(الموظفون!$AE85="",الموظفون!$AE85&gt;$F$3),$F$3,الموظفون!$AE85)-الموظفون!$H85+1-SUMIFS('سجل الإجازات والحالات'!$AS$6:$AS$505,'سجل الإجازات والحالات'!$B$6:$B$505,$B85))/cfg_DAYS_Y)</f>
        <v/>
      </c>
      <c r="AI85" s="160" t="str">
        <f aca="false">IF($B85="","",MAX(0,IF(OR(الموظفون!$AE85="",الموظفون!$AE85&gt;($E$3-1)),($E$3-1),الموظفون!$AE85)-الموظفون!$H85+1-SUMIFS('سجل الإجازات والحالات'!$AR$6:$AR$505,'سجل الإجازات والحالات'!$B$6:$B$505,$B85))/cfg_DAYS_Y)</f>
        <v/>
      </c>
      <c r="AJ85" s="133" t="str">
        <f aca="false">IF($B85="","",MAX(0,AK85-(SUMIFS('سجل الإجازات والحالات'!$AS$6:$AS$505,'سجل الإجازات والحالات'!$B$6:$B$505,$B85)-SUMIFS('سجل الإجازات والحالات'!$AR$6:$AR$505,'سجل الإجازات والحالات'!$B$6:$B$505,$B85))))</f>
        <v/>
      </c>
      <c r="AK85" s="133" t="str">
        <f aca="false">IF($B85="","",MAX(0,IF(OR(الموظفون!$AE85="",الموظفون!$AE85&gt;$F$3),$F$3,الموظفون!$AE85)-MAX($E$3,الموظفون!$H85)+1))</f>
        <v/>
      </c>
      <c r="AL85" s="156" t="str">
        <f aca="false">IF($B85="","",SUMIFS('سجل الإجازات والحالات'!$BE$6:$BE$505,'سجل الإجازات والحالات'!$B$6:$B$505,$B85)+SUMIFS('الحركات الشهرية'!$K$6:$K$1005,'الحركات الشهرية'!$B$6:$B$1005,$B85,'الحركات الشهرية'!$A$6:$A$1005,$C$3))</f>
        <v/>
      </c>
      <c r="AM85" s="116" t="str">
        <f aca="false">IF($B85="","",AL85*الموظفون!$R85/cfg_DAYS_M+S85)</f>
        <v/>
      </c>
      <c r="AN85" s="156" t="str">
        <f aca="false">IF($B85="","",SUMIFS('سجل الإجازات والحالات'!$AG$6:$AG$505,'سجل الإجازات والحالات'!$B$6:$B$505,$B85))</f>
        <v/>
      </c>
    </row>
    <row r="86" customFormat="false" ht="15" hidden="false" customHeight="false" outlineLevel="0" collapsed="false">
      <c r="A86" s="106" t="str">
        <f aca="false">IF($B86="","",الموظفون!$A86)</f>
        <v/>
      </c>
      <c r="B86" s="114" t="str">
        <f aca="false">IF(الموظفون!$B86="","",الموظفون!$B86)</f>
        <v/>
      </c>
      <c r="C86" s="114" t="str">
        <f aca="false">IF($B86="","",الموظفون!$C86)</f>
        <v/>
      </c>
      <c r="D86" s="114" t="str">
        <f aca="false">IF($B86="","",الموظفون!$F86)</f>
        <v/>
      </c>
      <c r="E86" s="114" t="str">
        <f aca="false">IF($B86="","",الموظفون!$E86)</f>
        <v/>
      </c>
      <c r="F86" s="114" t="str">
        <f aca="false">IF($B86="","",IF(AK86=0,IF(AND(الموظفون!$AE86&lt;&gt;"",الموظفون!$AE86&lt;$E$3),"✖ منتهي الخدمة","⏳ لم يباشر"),IF(S86&gt;0,"✈ راتب إجازة مقدم",IF(J86=0,"⛔ بدون راتب هذا الشهر",IF(I86&gt;0,"✈ خصم "&amp;ROUND(I86,2)&amp;" يوم بدون أجر",IF(AL86&gt;0,"🌴 إجازة سنوية "&amp;ROUND(AL86,2)&amp;" يوم",IF(H86&gt;0,"⚠ غياب "&amp;ROUND(H86,2)&amp;" يوم","✔ على رأس العمل")))))))</f>
        <v/>
      </c>
      <c r="G86" s="151" t="str">
        <f aca="false">IF($B86="","",IF(AK86&gt;=DAY($F$3),cfg_DAYS_M,MIN(AK86,cfg_DAYS_M)))</f>
        <v/>
      </c>
      <c r="H86" s="151" t="str">
        <f aca="false">IF($B86="","",SUMIFS('الحركات الشهرية'!$D$6:$D$1005,'الحركات الشهرية'!$B$6:$B$1005,$B86,'الحركات الشهرية'!$A$6:$A$1005,$C$3))</f>
        <v/>
      </c>
      <c r="I86" s="151" t="str">
        <f aca="false">IF($B86="","",MIN(G86,IF(AND(AK86&gt;0,AN86&gt;=AK86),G86,AN86)+SUMIFS('الحركات الشهرية'!$E$6:$E$1005,'الحركات الشهرية'!$B$6:$B$1005,$B86,'الحركات الشهرية'!$A$6:$A$1005,$C$3)))</f>
        <v/>
      </c>
      <c r="J86" s="151" t="str">
        <f aca="false">IF($B86="","",MAX(0,G86-H86-I86))</f>
        <v/>
      </c>
      <c r="K86" s="111" t="str">
        <f aca="false">IF($B86="","",الموظفون!$L86*$J86/cfg_DAYS_M)</f>
        <v/>
      </c>
      <c r="L86" s="111" t="str">
        <f aca="false">IF($B86="","",الموظفون!$M86*$J86/cfg_DAYS_M)</f>
        <v/>
      </c>
      <c r="M86" s="111" t="str">
        <f aca="false">IF($B86="","",الموظفون!$N86*$J86/cfg_DAYS_M)</f>
        <v/>
      </c>
      <c r="N86" s="111" t="str">
        <f aca="false">IF($B86="","",الموظفون!$O86*$J86/cfg_DAYS_M)</f>
        <v/>
      </c>
      <c r="O86" s="151" t="str">
        <f aca="false">IF($B86="","",SUMIFS('الحركات الشهرية'!$F$6:$F$1005,'الحركات الشهرية'!$B$6:$B$1005,$B86,'الحركات الشهرية'!$A$6:$A$1005,$C$3))</f>
        <v/>
      </c>
      <c r="P86" s="111" t="str">
        <f aca="false">IF($B86="","",O86*(الموظفون!$P86+الموظفون!$L86*cfg_OT_P)/cfg_DAYS_M/cfg_HRS)</f>
        <v/>
      </c>
      <c r="Q86" s="111" t="str">
        <f aca="false">IF($B86="","",SUMIFS('الحركات الشهرية'!$G$6:$G$1005,'الحركات الشهرية'!$B$6:$B$1005,$B86,'الحركات الشهرية'!$A$6:$A$1005,$C$3))</f>
        <v/>
      </c>
      <c r="R86" s="111" t="str">
        <f aca="false">IF($B86="","",SUMIFS('الحركات الشهرية'!$H$6:$H$1005,'الحركات الشهرية'!$B$6:$B$1005,$B86,'الحركات الشهرية'!$A$6:$A$1005,$C$3))</f>
        <v/>
      </c>
      <c r="S86" s="111" t="str">
        <f aca="false">IF($B86="","",SUMIFS('سجل الإجازات والحالات'!$N$6:$N$505,'سجل الإجازات والحالات'!$B$6:$B$505,$B86,'سجل الإجازات والحالات'!$O$6:$O$505,$C$3))</f>
        <v/>
      </c>
      <c r="T86" s="152" t="str">
        <f aca="false">IF($B86="","",SUM(K86:N86)+SUM(P86:S86))</f>
        <v/>
      </c>
      <c r="U86" s="111" t="str">
        <f aca="false">IF($B86="","",الموظفون!$S86*IF(E86="سعودي",cfg_G_SE,cfg_G_NE)*G86/cfg_DAYS_M)</f>
        <v/>
      </c>
      <c r="V86" s="111" t="str">
        <f aca="false">IF($B86="","",SUMIFS('الحركات الشهرية'!$I$6:$I$1005,'الحركات الشهرية'!$B$6:$B$1005,$B86,'الحركات الشهرية'!$A$6:$A$1005,$C$3))</f>
        <v/>
      </c>
      <c r="W86" s="111" t="str">
        <f aca="false">IF($B86="","",SUMIFS('الحركات الشهرية'!$J$6:$J$1005,'الحركات الشهرية'!$B$6:$B$1005,$B86,'الحركات الشهرية'!$A$6:$A$1005,$C$3))</f>
        <v/>
      </c>
      <c r="X86" s="111" t="str">
        <f aca="false">IF($B86="","",SUM(U86:W86))</f>
        <v/>
      </c>
      <c r="Y86" s="153" t="str">
        <f aca="false">IF($B86="","",T86-X86)</f>
        <v/>
      </c>
      <c r="Z86" s="111" t="str">
        <f aca="false">IF($B86="","",الموظفون!$S86*IF(E86="سعودي",cfg_G_SR,cfg_G_NR)*G86/cfg_DAYS_M)</f>
        <v/>
      </c>
      <c r="AA86" s="111" t="str">
        <f aca="false">IF($B86="","",الموظفون!$Q86*(cfg_EOS_R1*(MIN(AH86,cfg_EOS_TH)-MIN(AI86,cfg_EOS_TH))+cfg_EOS_R2*(MAX(AH86-cfg_EOS_TH,0)-MAX(AI86-cfg_EOS_TH,0))))</f>
        <v/>
      </c>
      <c r="AB86" s="111" t="str">
        <f aca="false">IF($B86="","",IF(الموظفون!$T86&lt;&gt;"",الموظفون!$T86,IF(AH86&gt;=cfg_LV_TH,cfg_LV_D2,cfg_LV_D1))/cfg_DAYS_Y*AJ86*الموظفون!$R86/cfg_DAYS_M)</f>
        <v/>
      </c>
      <c r="AC86" s="111" t="str">
        <f aca="false">IF($B86="","",IF(AND(الموظفون!$U86="نعم",N(الموظفون!$W86)&gt;0),الموظفون!$V86/الموظفون!$W86*12/cfg_DAYS_Y*AJ86,0))</f>
        <v/>
      </c>
      <c r="AD86" s="111" t="str">
        <f aca="false">IF($B86="","",(IF(الموظفون!$X86&lt;&gt;"",الموظفون!$X86,IF(الموظفون!$E86="غير سعودي",cfg_IQ,0))+IF(الموظفون!$Y86&lt;&gt;"",الموظفون!$Y86,IF(الموظفون!$E86="غير سعودي",cfg_WP,0)))/12*G86/cfg_DAYS_M)</f>
        <v/>
      </c>
      <c r="AE86" s="111" t="str">
        <f aca="false">IF($B86="","",IF(الموظفون!$Z86&lt;&gt;"",الموظفون!$Z86,cfg_MED)/12*G86/cfg_DAYS_M)</f>
        <v/>
      </c>
      <c r="AF86" s="111" t="str">
        <f aca="false">IF($B86="","",N(الموظفون!$AA86)/12*G86/cfg_DAYS_M)</f>
        <v/>
      </c>
      <c r="AG86" s="154" t="str">
        <f aca="false">IF($B86="","",T86+SUM(Z86:AF86))</f>
        <v/>
      </c>
      <c r="AH86" s="155" t="str">
        <f aca="false">IF($B86="","",MAX(0,IF(OR(الموظفون!$AE86="",الموظفون!$AE86&gt;$F$3),$F$3,الموظفون!$AE86)-الموظفون!$H86+1-SUMIFS('سجل الإجازات والحالات'!$AS$6:$AS$505,'سجل الإجازات والحالات'!$B$6:$B$505,$B86))/cfg_DAYS_Y)</f>
        <v/>
      </c>
      <c r="AI86" s="155" t="str">
        <f aca="false">IF($B86="","",MAX(0,IF(OR(الموظفون!$AE86="",الموظفون!$AE86&gt;($E$3-1)),($E$3-1),الموظفون!$AE86)-الموظفون!$H86+1-SUMIFS('سجل الإجازات والحالات'!$AR$6:$AR$505,'سجل الإجازات والحالات'!$B$6:$B$505,$B86))/cfg_DAYS_Y)</f>
        <v/>
      </c>
      <c r="AJ86" s="65" t="str">
        <f aca="false">IF($B86="","",MAX(0,AK86-(SUMIFS('سجل الإجازات والحالات'!$AS$6:$AS$505,'سجل الإجازات والحالات'!$B$6:$B$505,$B86)-SUMIFS('سجل الإجازات والحالات'!$AR$6:$AR$505,'سجل الإجازات والحالات'!$B$6:$B$505,$B86))))</f>
        <v/>
      </c>
      <c r="AK86" s="65" t="str">
        <f aca="false">IF($B86="","",MAX(0,IF(OR(الموظفون!$AE86="",الموظفون!$AE86&gt;$F$3),$F$3,الموظفون!$AE86)-MAX($E$3,الموظفون!$H86)+1))</f>
        <v/>
      </c>
      <c r="AL86" s="151" t="str">
        <f aca="false">IF($B86="","",SUMIFS('سجل الإجازات والحالات'!$BE$6:$BE$505,'سجل الإجازات والحالات'!$B$6:$B$505,$B86)+SUMIFS('الحركات الشهرية'!$K$6:$K$1005,'الحركات الشهرية'!$B$6:$B$1005,$B86,'الحركات الشهرية'!$A$6:$A$1005,$C$3))</f>
        <v/>
      </c>
      <c r="AM86" s="111" t="str">
        <f aca="false">IF($B86="","",AL86*الموظفون!$R86/cfg_DAYS_M+S86)</f>
        <v/>
      </c>
      <c r="AN86" s="151" t="str">
        <f aca="false">IF($B86="","",SUMIFS('سجل الإجازات والحالات'!$AG$6:$AG$505,'سجل الإجازات والحالات'!$B$6:$B$505,$B86))</f>
        <v/>
      </c>
    </row>
    <row r="87" customFormat="false" ht="15" hidden="false" customHeight="false" outlineLevel="0" collapsed="false">
      <c r="A87" s="115" t="str">
        <f aca="false">IF($B87="","",الموظفون!$A87)</f>
        <v/>
      </c>
      <c r="B87" s="117" t="str">
        <f aca="false">IF(الموظفون!$B87="","",الموظفون!$B87)</f>
        <v/>
      </c>
      <c r="C87" s="117" t="str">
        <f aca="false">IF($B87="","",الموظفون!$C87)</f>
        <v/>
      </c>
      <c r="D87" s="117" t="str">
        <f aca="false">IF($B87="","",الموظفون!$F87)</f>
        <v/>
      </c>
      <c r="E87" s="117" t="str">
        <f aca="false">IF($B87="","",الموظفون!$E87)</f>
        <v/>
      </c>
      <c r="F87" s="117" t="str">
        <f aca="false">IF($B87="","",IF(AK87=0,IF(AND(الموظفون!$AE87&lt;&gt;"",الموظفون!$AE87&lt;$E$3),"✖ منتهي الخدمة","⏳ لم يباشر"),IF(S87&gt;0,"✈ راتب إجازة مقدم",IF(J87=0,"⛔ بدون راتب هذا الشهر",IF(I87&gt;0,"✈ خصم "&amp;ROUND(I87,2)&amp;" يوم بدون أجر",IF(AL87&gt;0,"🌴 إجازة سنوية "&amp;ROUND(AL87,2)&amp;" يوم",IF(H87&gt;0,"⚠ غياب "&amp;ROUND(H87,2)&amp;" يوم","✔ على رأس العمل")))))))</f>
        <v/>
      </c>
      <c r="G87" s="156" t="str">
        <f aca="false">IF($B87="","",IF(AK87&gt;=DAY($F$3),cfg_DAYS_M,MIN(AK87,cfg_DAYS_M)))</f>
        <v/>
      </c>
      <c r="H87" s="156" t="str">
        <f aca="false">IF($B87="","",SUMIFS('الحركات الشهرية'!$D$6:$D$1005,'الحركات الشهرية'!$B$6:$B$1005,$B87,'الحركات الشهرية'!$A$6:$A$1005,$C$3))</f>
        <v/>
      </c>
      <c r="I87" s="156" t="str">
        <f aca="false">IF($B87="","",MIN(G87,IF(AND(AK87&gt;0,AN87&gt;=AK87),G87,AN87)+SUMIFS('الحركات الشهرية'!$E$6:$E$1005,'الحركات الشهرية'!$B$6:$B$1005,$B87,'الحركات الشهرية'!$A$6:$A$1005,$C$3)))</f>
        <v/>
      </c>
      <c r="J87" s="156" t="str">
        <f aca="false">IF($B87="","",MAX(0,G87-H87-I87))</f>
        <v/>
      </c>
      <c r="K87" s="116" t="str">
        <f aca="false">IF($B87="","",الموظفون!$L87*$J87/cfg_DAYS_M)</f>
        <v/>
      </c>
      <c r="L87" s="116" t="str">
        <f aca="false">IF($B87="","",الموظفون!$M87*$J87/cfg_DAYS_M)</f>
        <v/>
      </c>
      <c r="M87" s="116" t="str">
        <f aca="false">IF($B87="","",الموظفون!$N87*$J87/cfg_DAYS_M)</f>
        <v/>
      </c>
      <c r="N87" s="116" t="str">
        <f aca="false">IF($B87="","",الموظفون!$O87*$J87/cfg_DAYS_M)</f>
        <v/>
      </c>
      <c r="O87" s="156" t="str">
        <f aca="false">IF($B87="","",SUMIFS('الحركات الشهرية'!$F$6:$F$1005,'الحركات الشهرية'!$B$6:$B$1005,$B87,'الحركات الشهرية'!$A$6:$A$1005,$C$3))</f>
        <v/>
      </c>
      <c r="P87" s="116" t="str">
        <f aca="false">IF($B87="","",O87*(الموظفون!$P87+الموظفون!$L87*cfg_OT_P)/cfg_DAYS_M/cfg_HRS)</f>
        <v/>
      </c>
      <c r="Q87" s="116" t="str">
        <f aca="false">IF($B87="","",SUMIFS('الحركات الشهرية'!$G$6:$G$1005,'الحركات الشهرية'!$B$6:$B$1005,$B87,'الحركات الشهرية'!$A$6:$A$1005,$C$3))</f>
        <v/>
      </c>
      <c r="R87" s="116" t="str">
        <f aca="false">IF($B87="","",SUMIFS('الحركات الشهرية'!$H$6:$H$1005,'الحركات الشهرية'!$B$6:$B$1005,$B87,'الحركات الشهرية'!$A$6:$A$1005,$C$3))</f>
        <v/>
      </c>
      <c r="S87" s="116" t="str">
        <f aca="false">IF($B87="","",SUMIFS('سجل الإجازات والحالات'!$N$6:$N$505,'سجل الإجازات والحالات'!$B$6:$B$505,$B87,'سجل الإجازات والحالات'!$O$6:$O$505,$C$3))</f>
        <v/>
      </c>
      <c r="T87" s="157" t="str">
        <f aca="false">IF($B87="","",SUM(K87:N87)+SUM(P87:S87))</f>
        <v/>
      </c>
      <c r="U87" s="116" t="str">
        <f aca="false">IF($B87="","",الموظفون!$S87*IF(E87="سعودي",cfg_G_SE,cfg_G_NE)*G87/cfg_DAYS_M)</f>
        <v/>
      </c>
      <c r="V87" s="116" t="str">
        <f aca="false">IF($B87="","",SUMIFS('الحركات الشهرية'!$I$6:$I$1005,'الحركات الشهرية'!$B$6:$B$1005,$B87,'الحركات الشهرية'!$A$6:$A$1005,$C$3))</f>
        <v/>
      </c>
      <c r="W87" s="116" t="str">
        <f aca="false">IF($B87="","",SUMIFS('الحركات الشهرية'!$J$6:$J$1005,'الحركات الشهرية'!$B$6:$B$1005,$B87,'الحركات الشهرية'!$A$6:$A$1005,$C$3))</f>
        <v/>
      </c>
      <c r="X87" s="116" t="str">
        <f aca="false">IF($B87="","",SUM(U87:W87))</f>
        <v/>
      </c>
      <c r="Y87" s="158" t="str">
        <f aca="false">IF($B87="","",T87-X87)</f>
        <v/>
      </c>
      <c r="Z87" s="116" t="str">
        <f aca="false">IF($B87="","",الموظفون!$S87*IF(E87="سعودي",cfg_G_SR,cfg_G_NR)*G87/cfg_DAYS_M)</f>
        <v/>
      </c>
      <c r="AA87" s="116" t="str">
        <f aca="false">IF($B87="","",الموظفون!$Q87*(cfg_EOS_R1*(MIN(AH87,cfg_EOS_TH)-MIN(AI87,cfg_EOS_TH))+cfg_EOS_R2*(MAX(AH87-cfg_EOS_TH,0)-MAX(AI87-cfg_EOS_TH,0))))</f>
        <v/>
      </c>
      <c r="AB87" s="116" t="str">
        <f aca="false">IF($B87="","",IF(الموظفون!$T87&lt;&gt;"",الموظفون!$T87,IF(AH87&gt;=cfg_LV_TH,cfg_LV_D2,cfg_LV_D1))/cfg_DAYS_Y*AJ87*الموظفون!$R87/cfg_DAYS_M)</f>
        <v/>
      </c>
      <c r="AC87" s="116" t="str">
        <f aca="false">IF($B87="","",IF(AND(الموظفون!$U87="نعم",N(الموظفون!$W87)&gt;0),الموظفون!$V87/الموظفون!$W87*12/cfg_DAYS_Y*AJ87,0))</f>
        <v/>
      </c>
      <c r="AD87" s="116" t="str">
        <f aca="false">IF($B87="","",(IF(الموظفون!$X87&lt;&gt;"",الموظفون!$X87,IF(الموظفون!$E87="غير سعودي",cfg_IQ,0))+IF(الموظفون!$Y87&lt;&gt;"",الموظفون!$Y87,IF(الموظفون!$E87="غير سعودي",cfg_WP,0)))/12*G87/cfg_DAYS_M)</f>
        <v/>
      </c>
      <c r="AE87" s="116" t="str">
        <f aca="false">IF($B87="","",IF(الموظفون!$Z87&lt;&gt;"",الموظفون!$Z87,cfg_MED)/12*G87/cfg_DAYS_M)</f>
        <v/>
      </c>
      <c r="AF87" s="116" t="str">
        <f aca="false">IF($B87="","",N(الموظفون!$AA87)/12*G87/cfg_DAYS_M)</f>
        <v/>
      </c>
      <c r="AG87" s="159" t="str">
        <f aca="false">IF($B87="","",T87+SUM(Z87:AF87))</f>
        <v/>
      </c>
      <c r="AH87" s="160" t="str">
        <f aca="false">IF($B87="","",MAX(0,IF(OR(الموظفون!$AE87="",الموظفون!$AE87&gt;$F$3),$F$3,الموظفون!$AE87)-الموظفون!$H87+1-SUMIFS('سجل الإجازات والحالات'!$AS$6:$AS$505,'سجل الإجازات والحالات'!$B$6:$B$505,$B87))/cfg_DAYS_Y)</f>
        <v/>
      </c>
      <c r="AI87" s="160" t="str">
        <f aca="false">IF($B87="","",MAX(0,IF(OR(الموظفون!$AE87="",الموظفون!$AE87&gt;($E$3-1)),($E$3-1),الموظفون!$AE87)-الموظفون!$H87+1-SUMIFS('سجل الإجازات والحالات'!$AR$6:$AR$505,'سجل الإجازات والحالات'!$B$6:$B$505,$B87))/cfg_DAYS_Y)</f>
        <v/>
      </c>
      <c r="AJ87" s="133" t="str">
        <f aca="false">IF($B87="","",MAX(0,AK87-(SUMIFS('سجل الإجازات والحالات'!$AS$6:$AS$505,'سجل الإجازات والحالات'!$B$6:$B$505,$B87)-SUMIFS('سجل الإجازات والحالات'!$AR$6:$AR$505,'سجل الإجازات والحالات'!$B$6:$B$505,$B87))))</f>
        <v/>
      </c>
      <c r="AK87" s="133" t="str">
        <f aca="false">IF($B87="","",MAX(0,IF(OR(الموظفون!$AE87="",الموظفون!$AE87&gt;$F$3),$F$3,الموظفون!$AE87)-MAX($E$3,الموظفون!$H87)+1))</f>
        <v/>
      </c>
      <c r="AL87" s="156" t="str">
        <f aca="false">IF($B87="","",SUMIFS('سجل الإجازات والحالات'!$BE$6:$BE$505,'سجل الإجازات والحالات'!$B$6:$B$505,$B87)+SUMIFS('الحركات الشهرية'!$K$6:$K$1005,'الحركات الشهرية'!$B$6:$B$1005,$B87,'الحركات الشهرية'!$A$6:$A$1005,$C$3))</f>
        <v/>
      </c>
      <c r="AM87" s="116" t="str">
        <f aca="false">IF($B87="","",AL87*الموظفون!$R87/cfg_DAYS_M+S87)</f>
        <v/>
      </c>
      <c r="AN87" s="156" t="str">
        <f aca="false">IF($B87="","",SUMIFS('سجل الإجازات والحالات'!$AG$6:$AG$505,'سجل الإجازات والحالات'!$B$6:$B$505,$B87))</f>
        <v/>
      </c>
    </row>
    <row r="88" customFormat="false" ht="15" hidden="false" customHeight="false" outlineLevel="0" collapsed="false">
      <c r="A88" s="106" t="str">
        <f aca="false">IF($B88="","",الموظفون!$A88)</f>
        <v/>
      </c>
      <c r="B88" s="114" t="str">
        <f aca="false">IF(الموظفون!$B88="","",الموظفون!$B88)</f>
        <v/>
      </c>
      <c r="C88" s="114" t="str">
        <f aca="false">IF($B88="","",الموظفون!$C88)</f>
        <v/>
      </c>
      <c r="D88" s="114" t="str">
        <f aca="false">IF($B88="","",الموظفون!$F88)</f>
        <v/>
      </c>
      <c r="E88" s="114" t="str">
        <f aca="false">IF($B88="","",الموظفون!$E88)</f>
        <v/>
      </c>
      <c r="F88" s="114" t="str">
        <f aca="false">IF($B88="","",IF(AK88=0,IF(AND(الموظفون!$AE88&lt;&gt;"",الموظفون!$AE88&lt;$E$3),"✖ منتهي الخدمة","⏳ لم يباشر"),IF(S88&gt;0,"✈ راتب إجازة مقدم",IF(J88=0,"⛔ بدون راتب هذا الشهر",IF(I88&gt;0,"✈ خصم "&amp;ROUND(I88,2)&amp;" يوم بدون أجر",IF(AL88&gt;0,"🌴 إجازة سنوية "&amp;ROUND(AL88,2)&amp;" يوم",IF(H88&gt;0,"⚠ غياب "&amp;ROUND(H88,2)&amp;" يوم","✔ على رأس العمل")))))))</f>
        <v/>
      </c>
      <c r="G88" s="151" t="str">
        <f aca="false">IF($B88="","",IF(AK88&gt;=DAY($F$3),cfg_DAYS_M,MIN(AK88,cfg_DAYS_M)))</f>
        <v/>
      </c>
      <c r="H88" s="151" t="str">
        <f aca="false">IF($B88="","",SUMIFS('الحركات الشهرية'!$D$6:$D$1005,'الحركات الشهرية'!$B$6:$B$1005,$B88,'الحركات الشهرية'!$A$6:$A$1005,$C$3))</f>
        <v/>
      </c>
      <c r="I88" s="151" t="str">
        <f aca="false">IF($B88="","",MIN(G88,IF(AND(AK88&gt;0,AN88&gt;=AK88),G88,AN88)+SUMIFS('الحركات الشهرية'!$E$6:$E$1005,'الحركات الشهرية'!$B$6:$B$1005,$B88,'الحركات الشهرية'!$A$6:$A$1005,$C$3)))</f>
        <v/>
      </c>
      <c r="J88" s="151" t="str">
        <f aca="false">IF($B88="","",MAX(0,G88-H88-I88))</f>
        <v/>
      </c>
      <c r="K88" s="111" t="str">
        <f aca="false">IF($B88="","",الموظفون!$L88*$J88/cfg_DAYS_M)</f>
        <v/>
      </c>
      <c r="L88" s="111" t="str">
        <f aca="false">IF($B88="","",الموظفون!$M88*$J88/cfg_DAYS_M)</f>
        <v/>
      </c>
      <c r="M88" s="111" t="str">
        <f aca="false">IF($B88="","",الموظفون!$N88*$J88/cfg_DAYS_M)</f>
        <v/>
      </c>
      <c r="N88" s="111" t="str">
        <f aca="false">IF($B88="","",الموظفون!$O88*$J88/cfg_DAYS_M)</f>
        <v/>
      </c>
      <c r="O88" s="151" t="str">
        <f aca="false">IF($B88="","",SUMIFS('الحركات الشهرية'!$F$6:$F$1005,'الحركات الشهرية'!$B$6:$B$1005,$B88,'الحركات الشهرية'!$A$6:$A$1005,$C$3))</f>
        <v/>
      </c>
      <c r="P88" s="111" t="str">
        <f aca="false">IF($B88="","",O88*(الموظفون!$P88+الموظفون!$L88*cfg_OT_P)/cfg_DAYS_M/cfg_HRS)</f>
        <v/>
      </c>
      <c r="Q88" s="111" t="str">
        <f aca="false">IF($B88="","",SUMIFS('الحركات الشهرية'!$G$6:$G$1005,'الحركات الشهرية'!$B$6:$B$1005,$B88,'الحركات الشهرية'!$A$6:$A$1005,$C$3))</f>
        <v/>
      </c>
      <c r="R88" s="111" t="str">
        <f aca="false">IF($B88="","",SUMIFS('الحركات الشهرية'!$H$6:$H$1005,'الحركات الشهرية'!$B$6:$B$1005,$B88,'الحركات الشهرية'!$A$6:$A$1005,$C$3))</f>
        <v/>
      </c>
      <c r="S88" s="111" t="str">
        <f aca="false">IF($B88="","",SUMIFS('سجل الإجازات والحالات'!$N$6:$N$505,'سجل الإجازات والحالات'!$B$6:$B$505,$B88,'سجل الإجازات والحالات'!$O$6:$O$505,$C$3))</f>
        <v/>
      </c>
      <c r="T88" s="152" t="str">
        <f aca="false">IF($B88="","",SUM(K88:N88)+SUM(P88:S88))</f>
        <v/>
      </c>
      <c r="U88" s="111" t="str">
        <f aca="false">IF($B88="","",الموظفون!$S88*IF(E88="سعودي",cfg_G_SE,cfg_G_NE)*G88/cfg_DAYS_M)</f>
        <v/>
      </c>
      <c r="V88" s="111" t="str">
        <f aca="false">IF($B88="","",SUMIFS('الحركات الشهرية'!$I$6:$I$1005,'الحركات الشهرية'!$B$6:$B$1005,$B88,'الحركات الشهرية'!$A$6:$A$1005,$C$3))</f>
        <v/>
      </c>
      <c r="W88" s="111" t="str">
        <f aca="false">IF($B88="","",SUMIFS('الحركات الشهرية'!$J$6:$J$1005,'الحركات الشهرية'!$B$6:$B$1005,$B88,'الحركات الشهرية'!$A$6:$A$1005,$C$3))</f>
        <v/>
      </c>
      <c r="X88" s="111" t="str">
        <f aca="false">IF($B88="","",SUM(U88:W88))</f>
        <v/>
      </c>
      <c r="Y88" s="153" t="str">
        <f aca="false">IF($B88="","",T88-X88)</f>
        <v/>
      </c>
      <c r="Z88" s="111" t="str">
        <f aca="false">IF($B88="","",الموظفون!$S88*IF(E88="سعودي",cfg_G_SR,cfg_G_NR)*G88/cfg_DAYS_M)</f>
        <v/>
      </c>
      <c r="AA88" s="111" t="str">
        <f aca="false">IF($B88="","",الموظفون!$Q88*(cfg_EOS_R1*(MIN(AH88,cfg_EOS_TH)-MIN(AI88,cfg_EOS_TH))+cfg_EOS_R2*(MAX(AH88-cfg_EOS_TH,0)-MAX(AI88-cfg_EOS_TH,0))))</f>
        <v/>
      </c>
      <c r="AB88" s="111" t="str">
        <f aca="false">IF($B88="","",IF(الموظفون!$T88&lt;&gt;"",الموظفون!$T88,IF(AH88&gt;=cfg_LV_TH,cfg_LV_D2,cfg_LV_D1))/cfg_DAYS_Y*AJ88*الموظفون!$R88/cfg_DAYS_M)</f>
        <v/>
      </c>
      <c r="AC88" s="111" t="str">
        <f aca="false">IF($B88="","",IF(AND(الموظفون!$U88="نعم",N(الموظفون!$W88)&gt;0),الموظفون!$V88/الموظفون!$W88*12/cfg_DAYS_Y*AJ88,0))</f>
        <v/>
      </c>
      <c r="AD88" s="111" t="str">
        <f aca="false">IF($B88="","",(IF(الموظفون!$X88&lt;&gt;"",الموظفون!$X88,IF(الموظفون!$E88="غير سعودي",cfg_IQ,0))+IF(الموظفون!$Y88&lt;&gt;"",الموظفون!$Y88,IF(الموظفون!$E88="غير سعودي",cfg_WP,0)))/12*G88/cfg_DAYS_M)</f>
        <v/>
      </c>
      <c r="AE88" s="111" t="str">
        <f aca="false">IF($B88="","",IF(الموظفون!$Z88&lt;&gt;"",الموظفون!$Z88,cfg_MED)/12*G88/cfg_DAYS_M)</f>
        <v/>
      </c>
      <c r="AF88" s="111" t="str">
        <f aca="false">IF($B88="","",N(الموظفون!$AA88)/12*G88/cfg_DAYS_M)</f>
        <v/>
      </c>
      <c r="AG88" s="154" t="str">
        <f aca="false">IF($B88="","",T88+SUM(Z88:AF88))</f>
        <v/>
      </c>
      <c r="AH88" s="155" t="str">
        <f aca="false">IF($B88="","",MAX(0,IF(OR(الموظفون!$AE88="",الموظفون!$AE88&gt;$F$3),$F$3,الموظفون!$AE88)-الموظفون!$H88+1-SUMIFS('سجل الإجازات والحالات'!$AS$6:$AS$505,'سجل الإجازات والحالات'!$B$6:$B$505,$B88))/cfg_DAYS_Y)</f>
        <v/>
      </c>
      <c r="AI88" s="155" t="str">
        <f aca="false">IF($B88="","",MAX(0,IF(OR(الموظفون!$AE88="",الموظفون!$AE88&gt;($E$3-1)),($E$3-1),الموظفون!$AE88)-الموظفون!$H88+1-SUMIFS('سجل الإجازات والحالات'!$AR$6:$AR$505,'سجل الإجازات والحالات'!$B$6:$B$505,$B88))/cfg_DAYS_Y)</f>
        <v/>
      </c>
      <c r="AJ88" s="65" t="str">
        <f aca="false">IF($B88="","",MAX(0,AK88-(SUMIFS('سجل الإجازات والحالات'!$AS$6:$AS$505,'سجل الإجازات والحالات'!$B$6:$B$505,$B88)-SUMIFS('سجل الإجازات والحالات'!$AR$6:$AR$505,'سجل الإجازات والحالات'!$B$6:$B$505,$B88))))</f>
        <v/>
      </c>
      <c r="AK88" s="65" t="str">
        <f aca="false">IF($B88="","",MAX(0,IF(OR(الموظفون!$AE88="",الموظفون!$AE88&gt;$F$3),$F$3,الموظفون!$AE88)-MAX($E$3,الموظفون!$H88)+1))</f>
        <v/>
      </c>
      <c r="AL88" s="151" t="str">
        <f aca="false">IF($B88="","",SUMIFS('سجل الإجازات والحالات'!$BE$6:$BE$505,'سجل الإجازات والحالات'!$B$6:$B$505,$B88)+SUMIFS('الحركات الشهرية'!$K$6:$K$1005,'الحركات الشهرية'!$B$6:$B$1005,$B88,'الحركات الشهرية'!$A$6:$A$1005,$C$3))</f>
        <v/>
      </c>
      <c r="AM88" s="111" t="str">
        <f aca="false">IF($B88="","",AL88*الموظفون!$R88/cfg_DAYS_M+S88)</f>
        <v/>
      </c>
      <c r="AN88" s="151" t="str">
        <f aca="false">IF($B88="","",SUMIFS('سجل الإجازات والحالات'!$AG$6:$AG$505,'سجل الإجازات والحالات'!$B$6:$B$505,$B88))</f>
        <v/>
      </c>
    </row>
    <row r="89" customFormat="false" ht="15" hidden="false" customHeight="false" outlineLevel="0" collapsed="false">
      <c r="A89" s="115" t="str">
        <f aca="false">IF($B89="","",الموظفون!$A89)</f>
        <v/>
      </c>
      <c r="B89" s="117" t="str">
        <f aca="false">IF(الموظفون!$B89="","",الموظفون!$B89)</f>
        <v/>
      </c>
      <c r="C89" s="117" t="str">
        <f aca="false">IF($B89="","",الموظفون!$C89)</f>
        <v/>
      </c>
      <c r="D89" s="117" t="str">
        <f aca="false">IF($B89="","",الموظفون!$F89)</f>
        <v/>
      </c>
      <c r="E89" s="117" t="str">
        <f aca="false">IF($B89="","",الموظفون!$E89)</f>
        <v/>
      </c>
      <c r="F89" s="117" t="str">
        <f aca="false">IF($B89="","",IF(AK89=0,IF(AND(الموظفون!$AE89&lt;&gt;"",الموظفون!$AE89&lt;$E$3),"✖ منتهي الخدمة","⏳ لم يباشر"),IF(S89&gt;0,"✈ راتب إجازة مقدم",IF(J89=0,"⛔ بدون راتب هذا الشهر",IF(I89&gt;0,"✈ خصم "&amp;ROUND(I89,2)&amp;" يوم بدون أجر",IF(AL89&gt;0,"🌴 إجازة سنوية "&amp;ROUND(AL89,2)&amp;" يوم",IF(H89&gt;0,"⚠ غياب "&amp;ROUND(H89,2)&amp;" يوم","✔ على رأس العمل")))))))</f>
        <v/>
      </c>
      <c r="G89" s="156" t="str">
        <f aca="false">IF($B89="","",IF(AK89&gt;=DAY($F$3),cfg_DAYS_M,MIN(AK89,cfg_DAYS_M)))</f>
        <v/>
      </c>
      <c r="H89" s="156" t="str">
        <f aca="false">IF($B89="","",SUMIFS('الحركات الشهرية'!$D$6:$D$1005,'الحركات الشهرية'!$B$6:$B$1005,$B89,'الحركات الشهرية'!$A$6:$A$1005,$C$3))</f>
        <v/>
      </c>
      <c r="I89" s="156" t="str">
        <f aca="false">IF($B89="","",MIN(G89,IF(AND(AK89&gt;0,AN89&gt;=AK89),G89,AN89)+SUMIFS('الحركات الشهرية'!$E$6:$E$1005,'الحركات الشهرية'!$B$6:$B$1005,$B89,'الحركات الشهرية'!$A$6:$A$1005,$C$3)))</f>
        <v/>
      </c>
      <c r="J89" s="156" t="str">
        <f aca="false">IF($B89="","",MAX(0,G89-H89-I89))</f>
        <v/>
      </c>
      <c r="K89" s="116" t="str">
        <f aca="false">IF($B89="","",الموظفون!$L89*$J89/cfg_DAYS_M)</f>
        <v/>
      </c>
      <c r="L89" s="116" t="str">
        <f aca="false">IF($B89="","",الموظفون!$M89*$J89/cfg_DAYS_M)</f>
        <v/>
      </c>
      <c r="M89" s="116" t="str">
        <f aca="false">IF($B89="","",الموظفون!$N89*$J89/cfg_DAYS_M)</f>
        <v/>
      </c>
      <c r="N89" s="116" t="str">
        <f aca="false">IF($B89="","",الموظفون!$O89*$J89/cfg_DAYS_M)</f>
        <v/>
      </c>
      <c r="O89" s="156" t="str">
        <f aca="false">IF($B89="","",SUMIFS('الحركات الشهرية'!$F$6:$F$1005,'الحركات الشهرية'!$B$6:$B$1005,$B89,'الحركات الشهرية'!$A$6:$A$1005,$C$3))</f>
        <v/>
      </c>
      <c r="P89" s="116" t="str">
        <f aca="false">IF($B89="","",O89*(الموظفون!$P89+الموظفون!$L89*cfg_OT_P)/cfg_DAYS_M/cfg_HRS)</f>
        <v/>
      </c>
      <c r="Q89" s="116" t="str">
        <f aca="false">IF($B89="","",SUMIFS('الحركات الشهرية'!$G$6:$G$1005,'الحركات الشهرية'!$B$6:$B$1005,$B89,'الحركات الشهرية'!$A$6:$A$1005,$C$3))</f>
        <v/>
      </c>
      <c r="R89" s="116" t="str">
        <f aca="false">IF($B89="","",SUMIFS('الحركات الشهرية'!$H$6:$H$1005,'الحركات الشهرية'!$B$6:$B$1005,$B89,'الحركات الشهرية'!$A$6:$A$1005,$C$3))</f>
        <v/>
      </c>
      <c r="S89" s="116" t="str">
        <f aca="false">IF($B89="","",SUMIFS('سجل الإجازات والحالات'!$N$6:$N$505,'سجل الإجازات والحالات'!$B$6:$B$505,$B89,'سجل الإجازات والحالات'!$O$6:$O$505,$C$3))</f>
        <v/>
      </c>
      <c r="T89" s="157" t="str">
        <f aca="false">IF($B89="","",SUM(K89:N89)+SUM(P89:S89))</f>
        <v/>
      </c>
      <c r="U89" s="116" t="str">
        <f aca="false">IF($B89="","",الموظفون!$S89*IF(E89="سعودي",cfg_G_SE,cfg_G_NE)*G89/cfg_DAYS_M)</f>
        <v/>
      </c>
      <c r="V89" s="116" t="str">
        <f aca="false">IF($B89="","",SUMIFS('الحركات الشهرية'!$I$6:$I$1005,'الحركات الشهرية'!$B$6:$B$1005,$B89,'الحركات الشهرية'!$A$6:$A$1005,$C$3))</f>
        <v/>
      </c>
      <c r="W89" s="116" t="str">
        <f aca="false">IF($B89="","",SUMIFS('الحركات الشهرية'!$J$6:$J$1005,'الحركات الشهرية'!$B$6:$B$1005,$B89,'الحركات الشهرية'!$A$6:$A$1005,$C$3))</f>
        <v/>
      </c>
      <c r="X89" s="116" t="str">
        <f aca="false">IF($B89="","",SUM(U89:W89))</f>
        <v/>
      </c>
      <c r="Y89" s="158" t="str">
        <f aca="false">IF($B89="","",T89-X89)</f>
        <v/>
      </c>
      <c r="Z89" s="116" t="str">
        <f aca="false">IF($B89="","",الموظفون!$S89*IF(E89="سعودي",cfg_G_SR,cfg_G_NR)*G89/cfg_DAYS_M)</f>
        <v/>
      </c>
      <c r="AA89" s="116" t="str">
        <f aca="false">IF($B89="","",الموظفون!$Q89*(cfg_EOS_R1*(MIN(AH89,cfg_EOS_TH)-MIN(AI89,cfg_EOS_TH))+cfg_EOS_R2*(MAX(AH89-cfg_EOS_TH,0)-MAX(AI89-cfg_EOS_TH,0))))</f>
        <v/>
      </c>
      <c r="AB89" s="116" t="str">
        <f aca="false">IF($B89="","",IF(الموظفون!$T89&lt;&gt;"",الموظفون!$T89,IF(AH89&gt;=cfg_LV_TH,cfg_LV_D2,cfg_LV_D1))/cfg_DAYS_Y*AJ89*الموظفون!$R89/cfg_DAYS_M)</f>
        <v/>
      </c>
      <c r="AC89" s="116" t="str">
        <f aca="false">IF($B89="","",IF(AND(الموظفون!$U89="نعم",N(الموظفون!$W89)&gt;0),الموظفون!$V89/الموظفون!$W89*12/cfg_DAYS_Y*AJ89,0))</f>
        <v/>
      </c>
      <c r="AD89" s="116" t="str">
        <f aca="false">IF($B89="","",(IF(الموظفون!$X89&lt;&gt;"",الموظفون!$X89,IF(الموظفون!$E89="غير سعودي",cfg_IQ,0))+IF(الموظفون!$Y89&lt;&gt;"",الموظفون!$Y89,IF(الموظفون!$E89="غير سعودي",cfg_WP,0)))/12*G89/cfg_DAYS_M)</f>
        <v/>
      </c>
      <c r="AE89" s="116" t="str">
        <f aca="false">IF($B89="","",IF(الموظفون!$Z89&lt;&gt;"",الموظفون!$Z89,cfg_MED)/12*G89/cfg_DAYS_M)</f>
        <v/>
      </c>
      <c r="AF89" s="116" t="str">
        <f aca="false">IF($B89="","",N(الموظفون!$AA89)/12*G89/cfg_DAYS_M)</f>
        <v/>
      </c>
      <c r="AG89" s="159" t="str">
        <f aca="false">IF($B89="","",T89+SUM(Z89:AF89))</f>
        <v/>
      </c>
      <c r="AH89" s="160" t="str">
        <f aca="false">IF($B89="","",MAX(0,IF(OR(الموظفون!$AE89="",الموظفون!$AE89&gt;$F$3),$F$3,الموظفون!$AE89)-الموظفون!$H89+1-SUMIFS('سجل الإجازات والحالات'!$AS$6:$AS$505,'سجل الإجازات والحالات'!$B$6:$B$505,$B89))/cfg_DAYS_Y)</f>
        <v/>
      </c>
      <c r="AI89" s="160" t="str">
        <f aca="false">IF($B89="","",MAX(0,IF(OR(الموظفون!$AE89="",الموظفون!$AE89&gt;($E$3-1)),($E$3-1),الموظفون!$AE89)-الموظفون!$H89+1-SUMIFS('سجل الإجازات والحالات'!$AR$6:$AR$505,'سجل الإجازات والحالات'!$B$6:$B$505,$B89))/cfg_DAYS_Y)</f>
        <v/>
      </c>
      <c r="AJ89" s="133" t="str">
        <f aca="false">IF($B89="","",MAX(0,AK89-(SUMIFS('سجل الإجازات والحالات'!$AS$6:$AS$505,'سجل الإجازات والحالات'!$B$6:$B$505,$B89)-SUMIFS('سجل الإجازات والحالات'!$AR$6:$AR$505,'سجل الإجازات والحالات'!$B$6:$B$505,$B89))))</f>
        <v/>
      </c>
      <c r="AK89" s="133" t="str">
        <f aca="false">IF($B89="","",MAX(0,IF(OR(الموظفون!$AE89="",الموظفون!$AE89&gt;$F$3),$F$3,الموظفون!$AE89)-MAX($E$3,الموظفون!$H89)+1))</f>
        <v/>
      </c>
      <c r="AL89" s="156" t="str">
        <f aca="false">IF($B89="","",SUMIFS('سجل الإجازات والحالات'!$BE$6:$BE$505,'سجل الإجازات والحالات'!$B$6:$B$505,$B89)+SUMIFS('الحركات الشهرية'!$K$6:$K$1005,'الحركات الشهرية'!$B$6:$B$1005,$B89,'الحركات الشهرية'!$A$6:$A$1005,$C$3))</f>
        <v/>
      </c>
      <c r="AM89" s="116" t="str">
        <f aca="false">IF($B89="","",AL89*الموظفون!$R89/cfg_DAYS_M+S89)</f>
        <v/>
      </c>
      <c r="AN89" s="156" t="str">
        <f aca="false">IF($B89="","",SUMIFS('سجل الإجازات والحالات'!$AG$6:$AG$505,'سجل الإجازات والحالات'!$B$6:$B$505,$B89))</f>
        <v/>
      </c>
    </row>
    <row r="90" customFormat="false" ht="15" hidden="false" customHeight="false" outlineLevel="0" collapsed="false">
      <c r="A90" s="106" t="str">
        <f aca="false">IF($B90="","",الموظفون!$A90)</f>
        <v/>
      </c>
      <c r="B90" s="114" t="str">
        <f aca="false">IF(الموظفون!$B90="","",الموظفون!$B90)</f>
        <v/>
      </c>
      <c r="C90" s="114" t="str">
        <f aca="false">IF($B90="","",الموظفون!$C90)</f>
        <v/>
      </c>
      <c r="D90" s="114" t="str">
        <f aca="false">IF($B90="","",الموظفون!$F90)</f>
        <v/>
      </c>
      <c r="E90" s="114" t="str">
        <f aca="false">IF($B90="","",الموظفون!$E90)</f>
        <v/>
      </c>
      <c r="F90" s="114" t="str">
        <f aca="false">IF($B90="","",IF(AK90=0,IF(AND(الموظفون!$AE90&lt;&gt;"",الموظفون!$AE90&lt;$E$3),"✖ منتهي الخدمة","⏳ لم يباشر"),IF(S90&gt;0,"✈ راتب إجازة مقدم",IF(J90=0,"⛔ بدون راتب هذا الشهر",IF(I90&gt;0,"✈ خصم "&amp;ROUND(I90,2)&amp;" يوم بدون أجر",IF(AL90&gt;0,"🌴 إجازة سنوية "&amp;ROUND(AL90,2)&amp;" يوم",IF(H90&gt;0,"⚠ غياب "&amp;ROUND(H90,2)&amp;" يوم","✔ على رأس العمل")))))))</f>
        <v/>
      </c>
      <c r="G90" s="151" t="str">
        <f aca="false">IF($B90="","",IF(AK90&gt;=DAY($F$3),cfg_DAYS_M,MIN(AK90,cfg_DAYS_M)))</f>
        <v/>
      </c>
      <c r="H90" s="151" t="str">
        <f aca="false">IF($B90="","",SUMIFS('الحركات الشهرية'!$D$6:$D$1005,'الحركات الشهرية'!$B$6:$B$1005,$B90,'الحركات الشهرية'!$A$6:$A$1005,$C$3))</f>
        <v/>
      </c>
      <c r="I90" s="151" t="str">
        <f aca="false">IF($B90="","",MIN(G90,IF(AND(AK90&gt;0,AN90&gt;=AK90),G90,AN90)+SUMIFS('الحركات الشهرية'!$E$6:$E$1005,'الحركات الشهرية'!$B$6:$B$1005,$B90,'الحركات الشهرية'!$A$6:$A$1005,$C$3)))</f>
        <v/>
      </c>
      <c r="J90" s="151" t="str">
        <f aca="false">IF($B90="","",MAX(0,G90-H90-I90))</f>
        <v/>
      </c>
      <c r="K90" s="111" t="str">
        <f aca="false">IF($B90="","",الموظفون!$L90*$J90/cfg_DAYS_M)</f>
        <v/>
      </c>
      <c r="L90" s="111" t="str">
        <f aca="false">IF($B90="","",الموظفون!$M90*$J90/cfg_DAYS_M)</f>
        <v/>
      </c>
      <c r="M90" s="111" t="str">
        <f aca="false">IF($B90="","",الموظفون!$N90*$J90/cfg_DAYS_M)</f>
        <v/>
      </c>
      <c r="N90" s="111" t="str">
        <f aca="false">IF($B90="","",الموظفون!$O90*$J90/cfg_DAYS_M)</f>
        <v/>
      </c>
      <c r="O90" s="151" t="str">
        <f aca="false">IF($B90="","",SUMIFS('الحركات الشهرية'!$F$6:$F$1005,'الحركات الشهرية'!$B$6:$B$1005,$B90,'الحركات الشهرية'!$A$6:$A$1005,$C$3))</f>
        <v/>
      </c>
      <c r="P90" s="111" t="str">
        <f aca="false">IF($B90="","",O90*(الموظفون!$P90+الموظفون!$L90*cfg_OT_P)/cfg_DAYS_M/cfg_HRS)</f>
        <v/>
      </c>
      <c r="Q90" s="111" t="str">
        <f aca="false">IF($B90="","",SUMIFS('الحركات الشهرية'!$G$6:$G$1005,'الحركات الشهرية'!$B$6:$B$1005,$B90,'الحركات الشهرية'!$A$6:$A$1005,$C$3))</f>
        <v/>
      </c>
      <c r="R90" s="111" t="str">
        <f aca="false">IF($B90="","",SUMIFS('الحركات الشهرية'!$H$6:$H$1005,'الحركات الشهرية'!$B$6:$B$1005,$B90,'الحركات الشهرية'!$A$6:$A$1005,$C$3))</f>
        <v/>
      </c>
      <c r="S90" s="111" t="str">
        <f aca="false">IF($B90="","",SUMIFS('سجل الإجازات والحالات'!$N$6:$N$505,'سجل الإجازات والحالات'!$B$6:$B$505,$B90,'سجل الإجازات والحالات'!$O$6:$O$505,$C$3))</f>
        <v/>
      </c>
      <c r="T90" s="152" t="str">
        <f aca="false">IF($B90="","",SUM(K90:N90)+SUM(P90:S90))</f>
        <v/>
      </c>
      <c r="U90" s="111" t="str">
        <f aca="false">IF($B90="","",الموظفون!$S90*IF(E90="سعودي",cfg_G_SE,cfg_G_NE)*G90/cfg_DAYS_M)</f>
        <v/>
      </c>
      <c r="V90" s="111" t="str">
        <f aca="false">IF($B90="","",SUMIFS('الحركات الشهرية'!$I$6:$I$1005,'الحركات الشهرية'!$B$6:$B$1005,$B90,'الحركات الشهرية'!$A$6:$A$1005,$C$3))</f>
        <v/>
      </c>
      <c r="W90" s="111" t="str">
        <f aca="false">IF($B90="","",SUMIFS('الحركات الشهرية'!$J$6:$J$1005,'الحركات الشهرية'!$B$6:$B$1005,$B90,'الحركات الشهرية'!$A$6:$A$1005,$C$3))</f>
        <v/>
      </c>
      <c r="X90" s="111" t="str">
        <f aca="false">IF($B90="","",SUM(U90:W90))</f>
        <v/>
      </c>
      <c r="Y90" s="153" t="str">
        <f aca="false">IF($B90="","",T90-X90)</f>
        <v/>
      </c>
      <c r="Z90" s="111" t="str">
        <f aca="false">IF($B90="","",الموظفون!$S90*IF(E90="سعودي",cfg_G_SR,cfg_G_NR)*G90/cfg_DAYS_M)</f>
        <v/>
      </c>
      <c r="AA90" s="111" t="str">
        <f aca="false">IF($B90="","",الموظفون!$Q90*(cfg_EOS_R1*(MIN(AH90,cfg_EOS_TH)-MIN(AI90,cfg_EOS_TH))+cfg_EOS_R2*(MAX(AH90-cfg_EOS_TH,0)-MAX(AI90-cfg_EOS_TH,0))))</f>
        <v/>
      </c>
      <c r="AB90" s="111" t="str">
        <f aca="false">IF($B90="","",IF(الموظفون!$T90&lt;&gt;"",الموظفون!$T90,IF(AH90&gt;=cfg_LV_TH,cfg_LV_D2,cfg_LV_D1))/cfg_DAYS_Y*AJ90*الموظفون!$R90/cfg_DAYS_M)</f>
        <v/>
      </c>
      <c r="AC90" s="111" t="str">
        <f aca="false">IF($B90="","",IF(AND(الموظفون!$U90="نعم",N(الموظفون!$W90)&gt;0),الموظفون!$V90/الموظفون!$W90*12/cfg_DAYS_Y*AJ90,0))</f>
        <v/>
      </c>
      <c r="AD90" s="111" t="str">
        <f aca="false">IF($B90="","",(IF(الموظفون!$X90&lt;&gt;"",الموظفون!$X90,IF(الموظفون!$E90="غير سعودي",cfg_IQ,0))+IF(الموظفون!$Y90&lt;&gt;"",الموظفون!$Y90,IF(الموظفون!$E90="غير سعودي",cfg_WP,0)))/12*G90/cfg_DAYS_M)</f>
        <v/>
      </c>
      <c r="AE90" s="111" t="str">
        <f aca="false">IF($B90="","",IF(الموظفون!$Z90&lt;&gt;"",الموظفون!$Z90,cfg_MED)/12*G90/cfg_DAYS_M)</f>
        <v/>
      </c>
      <c r="AF90" s="111" t="str">
        <f aca="false">IF($B90="","",N(الموظفون!$AA90)/12*G90/cfg_DAYS_M)</f>
        <v/>
      </c>
      <c r="AG90" s="154" t="str">
        <f aca="false">IF($B90="","",T90+SUM(Z90:AF90))</f>
        <v/>
      </c>
      <c r="AH90" s="155" t="str">
        <f aca="false">IF($B90="","",MAX(0,IF(OR(الموظفون!$AE90="",الموظفون!$AE90&gt;$F$3),$F$3,الموظفون!$AE90)-الموظفون!$H90+1-SUMIFS('سجل الإجازات والحالات'!$AS$6:$AS$505,'سجل الإجازات والحالات'!$B$6:$B$505,$B90))/cfg_DAYS_Y)</f>
        <v/>
      </c>
      <c r="AI90" s="155" t="str">
        <f aca="false">IF($B90="","",MAX(0,IF(OR(الموظفون!$AE90="",الموظفون!$AE90&gt;($E$3-1)),($E$3-1),الموظفون!$AE90)-الموظفون!$H90+1-SUMIFS('سجل الإجازات والحالات'!$AR$6:$AR$505,'سجل الإجازات والحالات'!$B$6:$B$505,$B90))/cfg_DAYS_Y)</f>
        <v/>
      </c>
      <c r="AJ90" s="65" t="str">
        <f aca="false">IF($B90="","",MAX(0,AK90-(SUMIFS('سجل الإجازات والحالات'!$AS$6:$AS$505,'سجل الإجازات والحالات'!$B$6:$B$505,$B90)-SUMIFS('سجل الإجازات والحالات'!$AR$6:$AR$505,'سجل الإجازات والحالات'!$B$6:$B$505,$B90))))</f>
        <v/>
      </c>
      <c r="AK90" s="65" t="str">
        <f aca="false">IF($B90="","",MAX(0,IF(OR(الموظفون!$AE90="",الموظفون!$AE90&gt;$F$3),$F$3,الموظفون!$AE90)-MAX($E$3,الموظفون!$H90)+1))</f>
        <v/>
      </c>
      <c r="AL90" s="151" t="str">
        <f aca="false">IF($B90="","",SUMIFS('سجل الإجازات والحالات'!$BE$6:$BE$505,'سجل الإجازات والحالات'!$B$6:$B$505,$B90)+SUMIFS('الحركات الشهرية'!$K$6:$K$1005,'الحركات الشهرية'!$B$6:$B$1005,$B90,'الحركات الشهرية'!$A$6:$A$1005,$C$3))</f>
        <v/>
      </c>
      <c r="AM90" s="111" t="str">
        <f aca="false">IF($B90="","",AL90*الموظفون!$R90/cfg_DAYS_M+S90)</f>
        <v/>
      </c>
      <c r="AN90" s="151" t="str">
        <f aca="false">IF($B90="","",SUMIFS('سجل الإجازات والحالات'!$AG$6:$AG$505,'سجل الإجازات والحالات'!$B$6:$B$505,$B90))</f>
        <v/>
      </c>
    </row>
    <row r="91" customFormat="false" ht="15" hidden="false" customHeight="false" outlineLevel="0" collapsed="false">
      <c r="A91" s="115" t="str">
        <f aca="false">IF($B91="","",الموظفون!$A91)</f>
        <v/>
      </c>
      <c r="B91" s="117" t="str">
        <f aca="false">IF(الموظفون!$B91="","",الموظفون!$B91)</f>
        <v/>
      </c>
      <c r="C91" s="117" t="str">
        <f aca="false">IF($B91="","",الموظفون!$C91)</f>
        <v/>
      </c>
      <c r="D91" s="117" t="str">
        <f aca="false">IF($B91="","",الموظفون!$F91)</f>
        <v/>
      </c>
      <c r="E91" s="117" t="str">
        <f aca="false">IF($B91="","",الموظفون!$E91)</f>
        <v/>
      </c>
      <c r="F91" s="117" t="str">
        <f aca="false">IF($B91="","",IF(AK91=0,IF(AND(الموظفون!$AE91&lt;&gt;"",الموظفون!$AE91&lt;$E$3),"✖ منتهي الخدمة","⏳ لم يباشر"),IF(S91&gt;0,"✈ راتب إجازة مقدم",IF(J91=0,"⛔ بدون راتب هذا الشهر",IF(I91&gt;0,"✈ خصم "&amp;ROUND(I91,2)&amp;" يوم بدون أجر",IF(AL91&gt;0,"🌴 إجازة سنوية "&amp;ROUND(AL91,2)&amp;" يوم",IF(H91&gt;0,"⚠ غياب "&amp;ROUND(H91,2)&amp;" يوم","✔ على رأس العمل")))))))</f>
        <v/>
      </c>
      <c r="G91" s="156" t="str">
        <f aca="false">IF($B91="","",IF(AK91&gt;=DAY($F$3),cfg_DAYS_M,MIN(AK91,cfg_DAYS_M)))</f>
        <v/>
      </c>
      <c r="H91" s="156" t="str">
        <f aca="false">IF($B91="","",SUMIFS('الحركات الشهرية'!$D$6:$D$1005,'الحركات الشهرية'!$B$6:$B$1005,$B91,'الحركات الشهرية'!$A$6:$A$1005,$C$3))</f>
        <v/>
      </c>
      <c r="I91" s="156" t="str">
        <f aca="false">IF($B91="","",MIN(G91,IF(AND(AK91&gt;0,AN91&gt;=AK91),G91,AN91)+SUMIFS('الحركات الشهرية'!$E$6:$E$1005,'الحركات الشهرية'!$B$6:$B$1005,$B91,'الحركات الشهرية'!$A$6:$A$1005,$C$3)))</f>
        <v/>
      </c>
      <c r="J91" s="156" t="str">
        <f aca="false">IF($B91="","",MAX(0,G91-H91-I91))</f>
        <v/>
      </c>
      <c r="K91" s="116" t="str">
        <f aca="false">IF($B91="","",الموظفون!$L91*$J91/cfg_DAYS_M)</f>
        <v/>
      </c>
      <c r="L91" s="116" t="str">
        <f aca="false">IF($B91="","",الموظفون!$M91*$J91/cfg_DAYS_M)</f>
        <v/>
      </c>
      <c r="M91" s="116" t="str">
        <f aca="false">IF($B91="","",الموظفون!$N91*$J91/cfg_DAYS_M)</f>
        <v/>
      </c>
      <c r="N91" s="116" t="str">
        <f aca="false">IF($B91="","",الموظفون!$O91*$J91/cfg_DAYS_M)</f>
        <v/>
      </c>
      <c r="O91" s="156" t="str">
        <f aca="false">IF($B91="","",SUMIFS('الحركات الشهرية'!$F$6:$F$1005,'الحركات الشهرية'!$B$6:$B$1005,$B91,'الحركات الشهرية'!$A$6:$A$1005,$C$3))</f>
        <v/>
      </c>
      <c r="P91" s="116" t="str">
        <f aca="false">IF($B91="","",O91*(الموظفون!$P91+الموظفون!$L91*cfg_OT_P)/cfg_DAYS_M/cfg_HRS)</f>
        <v/>
      </c>
      <c r="Q91" s="116" t="str">
        <f aca="false">IF($B91="","",SUMIFS('الحركات الشهرية'!$G$6:$G$1005,'الحركات الشهرية'!$B$6:$B$1005,$B91,'الحركات الشهرية'!$A$6:$A$1005,$C$3))</f>
        <v/>
      </c>
      <c r="R91" s="116" t="str">
        <f aca="false">IF($B91="","",SUMIFS('الحركات الشهرية'!$H$6:$H$1005,'الحركات الشهرية'!$B$6:$B$1005,$B91,'الحركات الشهرية'!$A$6:$A$1005,$C$3))</f>
        <v/>
      </c>
      <c r="S91" s="116" t="str">
        <f aca="false">IF($B91="","",SUMIFS('سجل الإجازات والحالات'!$N$6:$N$505,'سجل الإجازات والحالات'!$B$6:$B$505,$B91,'سجل الإجازات والحالات'!$O$6:$O$505,$C$3))</f>
        <v/>
      </c>
      <c r="T91" s="157" t="str">
        <f aca="false">IF($B91="","",SUM(K91:N91)+SUM(P91:S91))</f>
        <v/>
      </c>
      <c r="U91" s="116" t="str">
        <f aca="false">IF($B91="","",الموظفون!$S91*IF(E91="سعودي",cfg_G_SE,cfg_G_NE)*G91/cfg_DAYS_M)</f>
        <v/>
      </c>
      <c r="V91" s="116" t="str">
        <f aca="false">IF($B91="","",SUMIFS('الحركات الشهرية'!$I$6:$I$1005,'الحركات الشهرية'!$B$6:$B$1005,$B91,'الحركات الشهرية'!$A$6:$A$1005,$C$3))</f>
        <v/>
      </c>
      <c r="W91" s="116" t="str">
        <f aca="false">IF($B91="","",SUMIFS('الحركات الشهرية'!$J$6:$J$1005,'الحركات الشهرية'!$B$6:$B$1005,$B91,'الحركات الشهرية'!$A$6:$A$1005,$C$3))</f>
        <v/>
      </c>
      <c r="X91" s="116" t="str">
        <f aca="false">IF($B91="","",SUM(U91:W91))</f>
        <v/>
      </c>
      <c r="Y91" s="158" t="str">
        <f aca="false">IF($B91="","",T91-X91)</f>
        <v/>
      </c>
      <c r="Z91" s="116" t="str">
        <f aca="false">IF($B91="","",الموظفون!$S91*IF(E91="سعودي",cfg_G_SR,cfg_G_NR)*G91/cfg_DAYS_M)</f>
        <v/>
      </c>
      <c r="AA91" s="116" t="str">
        <f aca="false">IF($B91="","",الموظفون!$Q91*(cfg_EOS_R1*(MIN(AH91,cfg_EOS_TH)-MIN(AI91,cfg_EOS_TH))+cfg_EOS_R2*(MAX(AH91-cfg_EOS_TH,0)-MAX(AI91-cfg_EOS_TH,0))))</f>
        <v/>
      </c>
      <c r="AB91" s="116" t="str">
        <f aca="false">IF($B91="","",IF(الموظفون!$T91&lt;&gt;"",الموظفون!$T91,IF(AH91&gt;=cfg_LV_TH,cfg_LV_D2,cfg_LV_D1))/cfg_DAYS_Y*AJ91*الموظفون!$R91/cfg_DAYS_M)</f>
        <v/>
      </c>
      <c r="AC91" s="116" t="str">
        <f aca="false">IF($B91="","",IF(AND(الموظفون!$U91="نعم",N(الموظفون!$W91)&gt;0),الموظفون!$V91/الموظفون!$W91*12/cfg_DAYS_Y*AJ91,0))</f>
        <v/>
      </c>
      <c r="AD91" s="116" t="str">
        <f aca="false">IF($B91="","",(IF(الموظفون!$X91&lt;&gt;"",الموظفون!$X91,IF(الموظفون!$E91="غير سعودي",cfg_IQ,0))+IF(الموظفون!$Y91&lt;&gt;"",الموظفون!$Y91,IF(الموظفون!$E91="غير سعودي",cfg_WP,0)))/12*G91/cfg_DAYS_M)</f>
        <v/>
      </c>
      <c r="AE91" s="116" t="str">
        <f aca="false">IF($B91="","",IF(الموظفون!$Z91&lt;&gt;"",الموظفون!$Z91,cfg_MED)/12*G91/cfg_DAYS_M)</f>
        <v/>
      </c>
      <c r="AF91" s="116" t="str">
        <f aca="false">IF($B91="","",N(الموظفون!$AA91)/12*G91/cfg_DAYS_M)</f>
        <v/>
      </c>
      <c r="AG91" s="159" t="str">
        <f aca="false">IF($B91="","",T91+SUM(Z91:AF91))</f>
        <v/>
      </c>
      <c r="AH91" s="160" t="str">
        <f aca="false">IF($B91="","",MAX(0,IF(OR(الموظفون!$AE91="",الموظفون!$AE91&gt;$F$3),$F$3,الموظفون!$AE91)-الموظفون!$H91+1-SUMIFS('سجل الإجازات والحالات'!$AS$6:$AS$505,'سجل الإجازات والحالات'!$B$6:$B$505,$B91))/cfg_DAYS_Y)</f>
        <v/>
      </c>
      <c r="AI91" s="160" t="str">
        <f aca="false">IF($B91="","",MAX(0,IF(OR(الموظفون!$AE91="",الموظفون!$AE91&gt;($E$3-1)),($E$3-1),الموظفون!$AE91)-الموظفون!$H91+1-SUMIFS('سجل الإجازات والحالات'!$AR$6:$AR$505,'سجل الإجازات والحالات'!$B$6:$B$505,$B91))/cfg_DAYS_Y)</f>
        <v/>
      </c>
      <c r="AJ91" s="133" t="str">
        <f aca="false">IF($B91="","",MAX(0,AK91-(SUMIFS('سجل الإجازات والحالات'!$AS$6:$AS$505,'سجل الإجازات والحالات'!$B$6:$B$505,$B91)-SUMIFS('سجل الإجازات والحالات'!$AR$6:$AR$505,'سجل الإجازات والحالات'!$B$6:$B$505,$B91))))</f>
        <v/>
      </c>
      <c r="AK91" s="133" t="str">
        <f aca="false">IF($B91="","",MAX(0,IF(OR(الموظفون!$AE91="",الموظفون!$AE91&gt;$F$3),$F$3,الموظفون!$AE91)-MAX($E$3,الموظفون!$H91)+1))</f>
        <v/>
      </c>
      <c r="AL91" s="156" t="str">
        <f aca="false">IF($B91="","",SUMIFS('سجل الإجازات والحالات'!$BE$6:$BE$505,'سجل الإجازات والحالات'!$B$6:$B$505,$B91)+SUMIFS('الحركات الشهرية'!$K$6:$K$1005,'الحركات الشهرية'!$B$6:$B$1005,$B91,'الحركات الشهرية'!$A$6:$A$1005,$C$3))</f>
        <v/>
      </c>
      <c r="AM91" s="116" t="str">
        <f aca="false">IF($B91="","",AL91*الموظفون!$R91/cfg_DAYS_M+S91)</f>
        <v/>
      </c>
      <c r="AN91" s="156" t="str">
        <f aca="false">IF($B91="","",SUMIFS('سجل الإجازات والحالات'!$AG$6:$AG$505,'سجل الإجازات والحالات'!$B$6:$B$505,$B91))</f>
        <v/>
      </c>
    </row>
    <row r="92" customFormat="false" ht="15" hidden="false" customHeight="false" outlineLevel="0" collapsed="false">
      <c r="A92" s="106" t="str">
        <f aca="false">IF($B92="","",الموظفون!$A92)</f>
        <v/>
      </c>
      <c r="B92" s="114" t="str">
        <f aca="false">IF(الموظفون!$B92="","",الموظفون!$B92)</f>
        <v/>
      </c>
      <c r="C92" s="114" t="str">
        <f aca="false">IF($B92="","",الموظفون!$C92)</f>
        <v/>
      </c>
      <c r="D92" s="114" t="str">
        <f aca="false">IF($B92="","",الموظفون!$F92)</f>
        <v/>
      </c>
      <c r="E92" s="114" t="str">
        <f aca="false">IF($B92="","",الموظفون!$E92)</f>
        <v/>
      </c>
      <c r="F92" s="114" t="str">
        <f aca="false">IF($B92="","",IF(AK92=0,IF(AND(الموظفون!$AE92&lt;&gt;"",الموظفون!$AE92&lt;$E$3),"✖ منتهي الخدمة","⏳ لم يباشر"),IF(S92&gt;0,"✈ راتب إجازة مقدم",IF(J92=0,"⛔ بدون راتب هذا الشهر",IF(I92&gt;0,"✈ خصم "&amp;ROUND(I92,2)&amp;" يوم بدون أجر",IF(AL92&gt;0,"🌴 إجازة سنوية "&amp;ROUND(AL92,2)&amp;" يوم",IF(H92&gt;0,"⚠ غياب "&amp;ROUND(H92,2)&amp;" يوم","✔ على رأس العمل")))))))</f>
        <v/>
      </c>
      <c r="G92" s="151" t="str">
        <f aca="false">IF($B92="","",IF(AK92&gt;=DAY($F$3),cfg_DAYS_M,MIN(AK92,cfg_DAYS_M)))</f>
        <v/>
      </c>
      <c r="H92" s="151" t="str">
        <f aca="false">IF($B92="","",SUMIFS('الحركات الشهرية'!$D$6:$D$1005,'الحركات الشهرية'!$B$6:$B$1005,$B92,'الحركات الشهرية'!$A$6:$A$1005,$C$3))</f>
        <v/>
      </c>
      <c r="I92" s="151" t="str">
        <f aca="false">IF($B92="","",MIN(G92,IF(AND(AK92&gt;0,AN92&gt;=AK92),G92,AN92)+SUMIFS('الحركات الشهرية'!$E$6:$E$1005,'الحركات الشهرية'!$B$6:$B$1005,$B92,'الحركات الشهرية'!$A$6:$A$1005,$C$3)))</f>
        <v/>
      </c>
      <c r="J92" s="151" t="str">
        <f aca="false">IF($B92="","",MAX(0,G92-H92-I92))</f>
        <v/>
      </c>
      <c r="K92" s="111" t="str">
        <f aca="false">IF($B92="","",الموظفون!$L92*$J92/cfg_DAYS_M)</f>
        <v/>
      </c>
      <c r="L92" s="111" t="str">
        <f aca="false">IF($B92="","",الموظفون!$M92*$J92/cfg_DAYS_M)</f>
        <v/>
      </c>
      <c r="M92" s="111" t="str">
        <f aca="false">IF($B92="","",الموظفون!$N92*$J92/cfg_DAYS_M)</f>
        <v/>
      </c>
      <c r="N92" s="111" t="str">
        <f aca="false">IF($B92="","",الموظفون!$O92*$J92/cfg_DAYS_M)</f>
        <v/>
      </c>
      <c r="O92" s="151" t="str">
        <f aca="false">IF($B92="","",SUMIFS('الحركات الشهرية'!$F$6:$F$1005,'الحركات الشهرية'!$B$6:$B$1005,$B92,'الحركات الشهرية'!$A$6:$A$1005,$C$3))</f>
        <v/>
      </c>
      <c r="P92" s="111" t="str">
        <f aca="false">IF($B92="","",O92*(الموظفون!$P92+الموظفون!$L92*cfg_OT_P)/cfg_DAYS_M/cfg_HRS)</f>
        <v/>
      </c>
      <c r="Q92" s="111" t="str">
        <f aca="false">IF($B92="","",SUMIFS('الحركات الشهرية'!$G$6:$G$1005,'الحركات الشهرية'!$B$6:$B$1005,$B92,'الحركات الشهرية'!$A$6:$A$1005,$C$3))</f>
        <v/>
      </c>
      <c r="R92" s="111" t="str">
        <f aca="false">IF($B92="","",SUMIFS('الحركات الشهرية'!$H$6:$H$1005,'الحركات الشهرية'!$B$6:$B$1005,$B92,'الحركات الشهرية'!$A$6:$A$1005,$C$3))</f>
        <v/>
      </c>
      <c r="S92" s="111" t="str">
        <f aca="false">IF($B92="","",SUMIFS('سجل الإجازات والحالات'!$N$6:$N$505,'سجل الإجازات والحالات'!$B$6:$B$505,$B92,'سجل الإجازات والحالات'!$O$6:$O$505,$C$3))</f>
        <v/>
      </c>
      <c r="T92" s="152" t="str">
        <f aca="false">IF($B92="","",SUM(K92:N92)+SUM(P92:S92))</f>
        <v/>
      </c>
      <c r="U92" s="111" t="str">
        <f aca="false">IF($B92="","",الموظفون!$S92*IF(E92="سعودي",cfg_G_SE,cfg_G_NE)*G92/cfg_DAYS_M)</f>
        <v/>
      </c>
      <c r="V92" s="111" t="str">
        <f aca="false">IF($B92="","",SUMIFS('الحركات الشهرية'!$I$6:$I$1005,'الحركات الشهرية'!$B$6:$B$1005,$B92,'الحركات الشهرية'!$A$6:$A$1005,$C$3))</f>
        <v/>
      </c>
      <c r="W92" s="111" t="str">
        <f aca="false">IF($B92="","",SUMIFS('الحركات الشهرية'!$J$6:$J$1005,'الحركات الشهرية'!$B$6:$B$1005,$B92,'الحركات الشهرية'!$A$6:$A$1005,$C$3))</f>
        <v/>
      </c>
      <c r="X92" s="111" t="str">
        <f aca="false">IF($B92="","",SUM(U92:W92))</f>
        <v/>
      </c>
      <c r="Y92" s="153" t="str">
        <f aca="false">IF($B92="","",T92-X92)</f>
        <v/>
      </c>
      <c r="Z92" s="111" t="str">
        <f aca="false">IF($B92="","",الموظفون!$S92*IF(E92="سعودي",cfg_G_SR,cfg_G_NR)*G92/cfg_DAYS_M)</f>
        <v/>
      </c>
      <c r="AA92" s="111" t="str">
        <f aca="false">IF($B92="","",الموظفون!$Q92*(cfg_EOS_R1*(MIN(AH92,cfg_EOS_TH)-MIN(AI92,cfg_EOS_TH))+cfg_EOS_R2*(MAX(AH92-cfg_EOS_TH,0)-MAX(AI92-cfg_EOS_TH,0))))</f>
        <v/>
      </c>
      <c r="AB92" s="111" t="str">
        <f aca="false">IF($B92="","",IF(الموظفون!$T92&lt;&gt;"",الموظفون!$T92,IF(AH92&gt;=cfg_LV_TH,cfg_LV_D2,cfg_LV_D1))/cfg_DAYS_Y*AJ92*الموظفون!$R92/cfg_DAYS_M)</f>
        <v/>
      </c>
      <c r="AC92" s="111" t="str">
        <f aca="false">IF($B92="","",IF(AND(الموظفون!$U92="نعم",N(الموظفون!$W92)&gt;0),الموظفون!$V92/الموظفون!$W92*12/cfg_DAYS_Y*AJ92,0))</f>
        <v/>
      </c>
      <c r="AD92" s="111" t="str">
        <f aca="false">IF($B92="","",(IF(الموظفون!$X92&lt;&gt;"",الموظفون!$X92,IF(الموظفون!$E92="غير سعودي",cfg_IQ,0))+IF(الموظفون!$Y92&lt;&gt;"",الموظفون!$Y92,IF(الموظفون!$E92="غير سعودي",cfg_WP,0)))/12*G92/cfg_DAYS_M)</f>
        <v/>
      </c>
      <c r="AE92" s="111" t="str">
        <f aca="false">IF($B92="","",IF(الموظفون!$Z92&lt;&gt;"",الموظفون!$Z92,cfg_MED)/12*G92/cfg_DAYS_M)</f>
        <v/>
      </c>
      <c r="AF92" s="111" t="str">
        <f aca="false">IF($B92="","",N(الموظفون!$AA92)/12*G92/cfg_DAYS_M)</f>
        <v/>
      </c>
      <c r="AG92" s="154" t="str">
        <f aca="false">IF($B92="","",T92+SUM(Z92:AF92))</f>
        <v/>
      </c>
      <c r="AH92" s="155" t="str">
        <f aca="false">IF($B92="","",MAX(0,IF(OR(الموظفون!$AE92="",الموظفون!$AE92&gt;$F$3),$F$3,الموظفون!$AE92)-الموظفون!$H92+1-SUMIFS('سجل الإجازات والحالات'!$AS$6:$AS$505,'سجل الإجازات والحالات'!$B$6:$B$505,$B92))/cfg_DAYS_Y)</f>
        <v/>
      </c>
      <c r="AI92" s="155" t="str">
        <f aca="false">IF($B92="","",MAX(0,IF(OR(الموظفون!$AE92="",الموظفون!$AE92&gt;($E$3-1)),($E$3-1),الموظفون!$AE92)-الموظفون!$H92+1-SUMIFS('سجل الإجازات والحالات'!$AR$6:$AR$505,'سجل الإجازات والحالات'!$B$6:$B$505,$B92))/cfg_DAYS_Y)</f>
        <v/>
      </c>
      <c r="AJ92" s="65" t="str">
        <f aca="false">IF($B92="","",MAX(0,AK92-(SUMIFS('سجل الإجازات والحالات'!$AS$6:$AS$505,'سجل الإجازات والحالات'!$B$6:$B$505,$B92)-SUMIFS('سجل الإجازات والحالات'!$AR$6:$AR$505,'سجل الإجازات والحالات'!$B$6:$B$505,$B92))))</f>
        <v/>
      </c>
      <c r="AK92" s="65" t="str">
        <f aca="false">IF($B92="","",MAX(0,IF(OR(الموظفون!$AE92="",الموظفون!$AE92&gt;$F$3),$F$3,الموظفون!$AE92)-MAX($E$3,الموظفون!$H92)+1))</f>
        <v/>
      </c>
      <c r="AL92" s="151" t="str">
        <f aca="false">IF($B92="","",SUMIFS('سجل الإجازات والحالات'!$BE$6:$BE$505,'سجل الإجازات والحالات'!$B$6:$B$505,$B92)+SUMIFS('الحركات الشهرية'!$K$6:$K$1005,'الحركات الشهرية'!$B$6:$B$1005,$B92,'الحركات الشهرية'!$A$6:$A$1005,$C$3))</f>
        <v/>
      </c>
      <c r="AM92" s="111" t="str">
        <f aca="false">IF($B92="","",AL92*الموظفون!$R92/cfg_DAYS_M+S92)</f>
        <v/>
      </c>
      <c r="AN92" s="151" t="str">
        <f aca="false">IF($B92="","",SUMIFS('سجل الإجازات والحالات'!$AG$6:$AG$505,'سجل الإجازات والحالات'!$B$6:$B$505,$B92))</f>
        <v/>
      </c>
    </row>
    <row r="93" customFormat="false" ht="15" hidden="false" customHeight="false" outlineLevel="0" collapsed="false">
      <c r="A93" s="115" t="str">
        <f aca="false">IF($B93="","",الموظفون!$A93)</f>
        <v/>
      </c>
      <c r="B93" s="117" t="str">
        <f aca="false">IF(الموظفون!$B93="","",الموظفون!$B93)</f>
        <v/>
      </c>
      <c r="C93" s="117" t="str">
        <f aca="false">IF($B93="","",الموظفون!$C93)</f>
        <v/>
      </c>
      <c r="D93" s="117" t="str">
        <f aca="false">IF($B93="","",الموظفون!$F93)</f>
        <v/>
      </c>
      <c r="E93" s="117" t="str">
        <f aca="false">IF($B93="","",الموظفون!$E93)</f>
        <v/>
      </c>
      <c r="F93" s="117" t="str">
        <f aca="false">IF($B93="","",IF(AK93=0,IF(AND(الموظفون!$AE93&lt;&gt;"",الموظفون!$AE93&lt;$E$3),"✖ منتهي الخدمة","⏳ لم يباشر"),IF(S93&gt;0,"✈ راتب إجازة مقدم",IF(J93=0,"⛔ بدون راتب هذا الشهر",IF(I93&gt;0,"✈ خصم "&amp;ROUND(I93,2)&amp;" يوم بدون أجر",IF(AL93&gt;0,"🌴 إجازة سنوية "&amp;ROUND(AL93,2)&amp;" يوم",IF(H93&gt;0,"⚠ غياب "&amp;ROUND(H93,2)&amp;" يوم","✔ على رأس العمل")))))))</f>
        <v/>
      </c>
      <c r="G93" s="156" t="str">
        <f aca="false">IF($B93="","",IF(AK93&gt;=DAY($F$3),cfg_DAYS_M,MIN(AK93,cfg_DAYS_M)))</f>
        <v/>
      </c>
      <c r="H93" s="156" t="str">
        <f aca="false">IF($B93="","",SUMIFS('الحركات الشهرية'!$D$6:$D$1005,'الحركات الشهرية'!$B$6:$B$1005,$B93,'الحركات الشهرية'!$A$6:$A$1005,$C$3))</f>
        <v/>
      </c>
      <c r="I93" s="156" t="str">
        <f aca="false">IF($B93="","",MIN(G93,IF(AND(AK93&gt;0,AN93&gt;=AK93),G93,AN93)+SUMIFS('الحركات الشهرية'!$E$6:$E$1005,'الحركات الشهرية'!$B$6:$B$1005,$B93,'الحركات الشهرية'!$A$6:$A$1005,$C$3)))</f>
        <v/>
      </c>
      <c r="J93" s="156" t="str">
        <f aca="false">IF($B93="","",MAX(0,G93-H93-I93))</f>
        <v/>
      </c>
      <c r="K93" s="116" t="str">
        <f aca="false">IF($B93="","",الموظفون!$L93*$J93/cfg_DAYS_M)</f>
        <v/>
      </c>
      <c r="L93" s="116" t="str">
        <f aca="false">IF($B93="","",الموظفون!$M93*$J93/cfg_DAYS_M)</f>
        <v/>
      </c>
      <c r="M93" s="116" t="str">
        <f aca="false">IF($B93="","",الموظفون!$N93*$J93/cfg_DAYS_M)</f>
        <v/>
      </c>
      <c r="N93" s="116" t="str">
        <f aca="false">IF($B93="","",الموظفون!$O93*$J93/cfg_DAYS_M)</f>
        <v/>
      </c>
      <c r="O93" s="156" t="str">
        <f aca="false">IF($B93="","",SUMIFS('الحركات الشهرية'!$F$6:$F$1005,'الحركات الشهرية'!$B$6:$B$1005,$B93,'الحركات الشهرية'!$A$6:$A$1005,$C$3))</f>
        <v/>
      </c>
      <c r="P93" s="116" t="str">
        <f aca="false">IF($B93="","",O93*(الموظفون!$P93+الموظفون!$L93*cfg_OT_P)/cfg_DAYS_M/cfg_HRS)</f>
        <v/>
      </c>
      <c r="Q93" s="116" t="str">
        <f aca="false">IF($B93="","",SUMIFS('الحركات الشهرية'!$G$6:$G$1005,'الحركات الشهرية'!$B$6:$B$1005,$B93,'الحركات الشهرية'!$A$6:$A$1005,$C$3))</f>
        <v/>
      </c>
      <c r="R93" s="116" t="str">
        <f aca="false">IF($B93="","",SUMIFS('الحركات الشهرية'!$H$6:$H$1005,'الحركات الشهرية'!$B$6:$B$1005,$B93,'الحركات الشهرية'!$A$6:$A$1005,$C$3))</f>
        <v/>
      </c>
      <c r="S93" s="116" t="str">
        <f aca="false">IF($B93="","",SUMIFS('سجل الإجازات والحالات'!$N$6:$N$505,'سجل الإجازات والحالات'!$B$6:$B$505,$B93,'سجل الإجازات والحالات'!$O$6:$O$505,$C$3))</f>
        <v/>
      </c>
      <c r="T93" s="157" t="str">
        <f aca="false">IF($B93="","",SUM(K93:N93)+SUM(P93:S93))</f>
        <v/>
      </c>
      <c r="U93" s="116" t="str">
        <f aca="false">IF($B93="","",الموظفون!$S93*IF(E93="سعودي",cfg_G_SE,cfg_G_NE)*G93/cfg_DAYS_M)</f>
        <v/>
      </c>
      <c r="V93" s="116" t="str">
        <f aca="false">IF($B93="","",SUMIFS('الحركات الشهرية'!$I$6:$I$1005,'الحركات الشهرية'!$B$6:$B$1005,$B93,'الحركات الشهرية'!$A$6:$A$1005,$C$3))</f>
        <v/>
      </c>
      <c r="W93" s="116" t="str">
        <f aca="false">IF($B93="","",SUMIFS('الحركات الشهرية'!$J$6:$J$1005,'الحركات الشهرية'!$B$6:$B$1005,$B93,'الحركات الشهرية'!$A$6:$A$1005,$C$3))</f>
        <v/>
      </c>
      <c r="X93" s="116" t="str">
        <f aca="false">IF($B93="","",SUM(U93:W93))</f>
        <v/>
      </c>
      <c r="Y93" s="158" t="str">
        <f aca="false">IF($B93="","",T93-X93)</f>
        <v/>
      </c>
      <c r="Z93" s="116" t="str">
        <f aca="false">IF($B93="","",الموظفون!$S93*IF(E93="سعودي",cfg_G_SR,cfg_G_NR)*G93/cfg_DAYS_M)</f>
        <v/>
      </c>
      <c r="AA93" s="116" t="str">
        <f aca="false">IF($B93="","",الموظفون!$Q93*(cfg_EOS_R1*(MIN(AH93,cfg_EOS_TH)-MIN(AI93,cfg_EOS_TH))+cfg_EOS_R2*(MAX(AH93-cfg_EOS_TH,0)-MAX(AI93-cfg_EOS_TH,0))))</f>
        <v/>
      </c>
      <c r="AB93" s="116" t="str">
        <f aca="false">IF($B93="","",IF(الموظفون!$T93&lt;&gt;"",الموظفون!$T93,IF(AH93&gt;=cfg_LV_TH,cfg_LV_D2,cfg_LV_D1))/cfg_DAYS_Y*AJ93*الموظفون!$R93/cfg_DAYS_M)</f>
        <v/>
      </c>
      <c r="AC93" s="116" t="str">
        <f aca="false">IF($B93="","",IF(AND(الموظفون!$U93="نعم",N(الموظفون!$W93)&gt;0),الموظفون!$V93/الموظفون!$W93*12/cfg_DAYS_Y*AJ93,0))</f>
        <v/>
      </c>
      <c r="AD93" s="116" t="str">
        <f aca="false">IF($B93="","",(IF(الموظفون!$X93&lt;&gt;"",الموظفون!$X93,IF(الموظفون!$E93="غير سعودي",cfg_IQ,0))+IF(الموظفون!$Y93&lt;&gt;"",الموظفون!$Y93,IF(الموظفون!$E93="غير سعودي",cfg_WP,0)))/12*G93/cfg_DAYS_M)</f>
        <v/>
      </c>
      <c r="AE93" s="116" t="str">
        <f aca="false">IF($B93="","",IF(الموظفون!$Z93&lt;&gt;"",الموظفون!$Z93,cfg_MED)/12*G93/cfg_DAYS_M)</f>
        <v/>
      </c>
      <c r="AF93" s="116" t="str">
        <f aca="false">IF($B93="","",N(الموظفون!$AA93)/12*G93/cfg_DAYS_M)</f>
        <v/>
      </c>
      <c r="AG93" s="159" t="str">
        <f aca="false">IF($B93="","",T93+SUM(Z93:AF93))</f>
        <v/>
      </c>
      <c r="AH93" s="160" t="str">
        <f aca="false">IF($B93="","",MAX(0,IF(OR(الموظفون!$AE93="",الموظفون!$AE93&gt;$F$3),$F$3,الموظفون!$AE93)-الموظفون!$H93+1-SUMIFS('سجل الإجازات والحالات'!$AS$6:$AS$505,'سجل الإجازات والحالات'!$B$6:$B$505,$B93))/cfg_DAYS_Y)</f>
        <v/>
      </c>
      <c r="AI93" s="160" t="str">
        <f aca="false">IF($B93="","",MAX(0,IF(OR(الموظفون!$AE93="",الموظفون!$AE93&gt;($E$3-1)),($E$3-1),الموظفون!$AE93)-الموظفون!$H93+1-SUMIFS('سجل الإجازات والحالات'!$AR$6:$AR$505,'سجل الإجازات والحالات'!$B$6:$B$505,$B93))/cfg_DAYS_Y)</f>
        <v/>
      </c>
      <c r="AJ93" s="133" t="str">
        <f aca="false">IF($B93="","",MAX(0,AK93-(SUMIFS('سجل الإجازات والحالات'!$AS$6:$AS$505,'سجل الإجازات والحالات'!$B$6:$B$505,$B93)-SUMIFS('سجل الإجازات والحالات'!$AR$6:$AR$505,'سجل الإجازات والحالات'!$B$6:$B$505,$B93))))</f>
        <v/>
      </c>
      <c r="AK93" s="133" t="str">
        <f aca="false">IF($B93="","",MAX(0,IF(OR(الموظفون!$AE93="",الموظفون!$AE93&gt;$F$3),$F$3,الموظفون!$AE93)-MAX($E$3,الموظفون!$H93)+1))</f>
        <v/>
      </c>
      <c r="AL93" s="156" t="str">
        <f aca="false">IF($B93="","",SUMIFS('سجل الإجازات والحالات'!$BE$6:$BE$505,'سجل الإجازات والحالات'!$B$6:$B$505,$B93)+SUMIFS('الحركات الشهرية'!$K$6:$K$1005,'الحركات الشهرية'!$B$6:$B$1005,$B93,'الحركات الشهرية'!$A$6:$A$1005,$C$3))</f>
        <v/>
      </c>
      <c r="AM93" s="116" t="str">
        <f aca="false">IF($B93="","",AL93*الموظفون!$R93/cfg_DAYS_M+S93)</f>
        <v/>
      </c>
      <c r="AN93" s="156" t="str">
        <f aca="false">IF($B93="","",SUMIFS('سجل الإجازات والحالات'!$AG$6:$AG$505,'سجل الإجازات والحالات'!$B$6:$B$505,$B93))</f>
        <v/>
      </c>
    </row>
    <row r="94" customFormat="false" ht="15" hidden="false" customHeight="false" outlineLevel="0" collapsed="false">
      <c r="A94" s="106" t="str">
        <f aca="false">IF($B94="","",الموظفون!$A94)</f>
        <v/>
      </c>
      <c r="B94" s="114" t="str">
        <f aca="false">IF(الموظفون!$B94="","",الموظفون!$B94)</f>
        <v/>
      </c>
      <c r="C94" s="114" t="str">
        <f aca="false">IF($B94="","",الموظفون!$C94)</f>
        <v/>
      </c>
      <c r="D94" s="114" t="str">
        <f aca="false">IF($B94="","",الموظفون!$F94)</f>
        <v/>
      </c>
      <c r="E94" s="114" t="str">
        <f aca="false">IF($B94="","",الموظفون!$E94)</f>
        <v/>
      </c>
      <c r="F94" s="114" t="str">
        <f aca="false">IF($B94="","",IF(AK94=0,IF(AND(الموظفون!$AE94&lt;&gt;"",الموظفون!$AE94&lt;$E$3),"✖ منتهي الخدمة","⏳ لم يباشر"),IF(S94&gt;0,"✈ راتب إجازة مقدم",IF(J94=0,"⛔ بدون راتب هذا الشهر",IF(I94&gt;0,"✈ خصم "&amp;ROUND(I94,2)&amp;" يوم بدون أجر",IF(AL94&gt;0,"🌴 إجازة سنوية "&amp;ROUND(AL94,2)&amp;" يوم",IF(H94&gt;0,"⚠ غياب "&amp;ROUND(H94,2)&amp;" يوم","✔ على رأس العمل")))))))</f>
        <v/>
      </c>
      <c r="G94" s="151" t="str">
        <f aca="false">IF($B94="","",IF(AK94&gt;=DAY($F$3),cfg_DAYS_M,MIN(AK94,cfg_DAYS_M)))</f>
        <v/>
      </c>
      <c r="H94" s="151" t="str">
        <f aca="false">IF($B94="","",SUMIFS('الحركات الشهرية'!$D$6:$D$1005,'الحركات الشهرية'!$B$6:$B$1005,$B94,'الحركات الشهرية'!$A$6:$A$1005,$C$3))</f>
        <v/>
      </c>
      <c r="I94" s="151" t="str">
        <f aca="false">IF($B94="","",MIN(G94,IF(AND(AK94&gt;0,AN94&gt;=AK94),G94,AN94)+SUMIFS('الحركات الشهرية'!$E$6:$E$1005,'الحركات الشهرية'!$B$6:$B$1005,$B94,'الحركات الشهرية'!$A$6:$A$1005,$C$3)))</f>
        <v/>
      </c>
      <c r="J94" s="151" t="str">
        <f aca="false">IF($B94="","",MAX(0,G94-H94-I94))</f>
        <v/>
      </c>
      <c r="K94" s="111" t="str">
        <f aca="false">IF($B94="","",الموظفون!$L94*$J94/cfg_DAYS_M)</f>
        <v/>
      </c>
      <c r="L94" s="111" t="str">
        <f aca="false">IF($B94="","",الموظفون!$M94*$J94/cfg_DAYS_M)</f>
        <v/>
      </c>
      <c r="M94" s="111" t="str">
        <f aca="false">IF($B94="","",الموظفون!$N94*$J94/cfg_DAYS_M)</f>
        <v/>
      </c>
      <c r="N94" s="111" t="str">
        <f aca="false">IF($B94="","",الموظفون!$O94*$J94/cfg_DAYS_M)</f>
        <v/>
      </c>
      <c r="O94" s="151" t="str">
        <f aca="false">IF($B94="","",SUMIFS('الحركات الشهرية'!$F$6:$F$1005,'الحركات الشهرية'!$B$6:$B$1005,$B94,'الحركات الشهرية'!$A$6:$A$1005,$C$3))</f>
        <v/>
      </c>
      <c r="P94" s="111" t="str">
        <f aca="false">IF($B94="","",O94*(الموظفون!$P94+الموظفون!$L94*cfg_OT_P)/cfg_DAYS_M/cfg_HRS)</f>
        <v/>
      </c>
      <c r="Q94" s="111" t="str">
        <f aca="false">IF($B94="","",SUMIFS('الحركات الشهرية'!$G$6:$G$1005,'الحركات الشهرية'!$B$6:$B$1005,$B94,'الحركات الشهرية'!$A$6:$A$1005,$C$3))</f>
        <v/>
      </c>
      <c r="R94" s="111" t="str">
        <f aca="false">IF($B94="","",SUMIFS('الحركات الشهرية'!$H$6:$H$1005,'الحركات الشهرية'!$B$6:$B$1005,$B94,'الحركات الشهرية'!$A$6:$A$1005,$C$3))</f>
        <v/>
      </c>
      <c r="S94" s="111" t="str">
        <f aca="false">IF($B94="","",SUMIFS('سجل الإجازات والحالات'!$N$6:$N$505,'سجل الإجازات والحالات'!$B$6:$B$505,$B94,'سجل الإجازات والحالات'!$O$6:$O$505,$C$3))</f>
        <v/>
      </c>
      <c r="T94" s="152" t="str">
        <f aca="false">IF($B94="","",SUM(K94:N94)+SUM(P94:S94))</f>
        <v/>
      </c>
      <c r="U94" s="111" t="str">
        <f aca="false">IF($B94="","",الموظفون!$S94*IF(E94="سعودي",cfg_G_SE,cfg_G_NE)*G94/cfg_DAYS_M)</f>
        <v/>
      </c>
      <c r="V94" s="111" t="str">
        <f aca="false">IF($B94="","",SUMIFS('الحركات الشهرية'!$I$6:$I$1005,'الحركات الشهرية'!$B$6:$B$1005,$B94,'الحركات الشهرية'!$A$6:$A$1005,$C$3))</f>
        <v/>
      </c>
      <c r="W94" s="111" t="str">
        <f aca="false">IF($B94="","",SUMIFS('الحركات الشهرية'!$J$6:$J$1005,'الحركات الشهرية'!$B$6:$B$1005,$B94,'الحركات الشهرية'!$A$6:$A$1005,$C$3))</f>
        <v/>
      </c>
      <c r="X94" s="111" t="str">
        <f aca="false">IF($B94="","",SUM(U94:W94))</f>
        <v/>
      </c>
      <c r="Y94" s="153" t="str">
        <f aca="false">IF($B94="","",T94-X94)</f>
        <v/>
      </c>
      <c r="Z94" s="111" t="str">
        <f aca="false">IF($B94="","",الموظفون!$S94*IF(E94="سعودي",cfg_G_SR,cfg_G_NR)*G94/cfg_DAYS_M)</f>
        <v/>
      </c>
      <c r="AA94" s="111" t="str">
        <f aca="false">IF($B94="","",الموظفون!$Q94*(cfg_EOS_R1*(MIN(AH94,cfg_EOS_TH)-MIN(AI94,cfg_EOS_TH))+cfg_EOS_R2*(MAX(AH94-cfg_EOS_TH,0)-MAX(AI94-cfg_EOS_TH,0))))</f>
        <v/>
      </c>
      <c r="AB94" s="111" t="str">
        <f aca="false">IF($B94="","",IF(الموظفون!$T94&lt;&gt;"",الموظفون!$T94,IF(AH94&gt;=cfg_LV_TH,cfg_LV_D2,cfg_LV_D1))/cfg_DAYS_Y*AJ94*الموظفون!$R94/cfg_DAYS_M)</f>
        <v/>
      </c>
      <c r="AC94" s="111" t="str">
        <f aca="false">IF($B94="","",IF(AND(الموظفون!$U94="نعم",N(الموظفون!$W94)&gt;0),الموظفون!$V94/الموظفون!$W94*12/cfg_DAYS_Y*AJ94,0))</f>
        <v/>
      </c>
      <c r="AD94" s="111" t="str">
        <f aca="false">IF($B94="","",(IF(الموظفون!$X94&lt;&gt;"",الموظفون!$X94,IF(الموظفون!$E94="غير سعودي",cfg_IQ,0))+IF(الموظفون!$Y94&lt;&gt;"",الموظفون!$Y94,IF(الموظفون!$E94="غير سعودي",cfg_WP,0)))/12*G94/cfg_DAYS_M)</f>
        <v/>
      </c>
      <c r="AE94" s="111" t="str">
        <f aca="false">IF($B94="","",IF(الموظفون!$Z94&lt;&gt;"",الموظفون!$Z94,cfg_MED)/12*G94/cfg_DAYS_M)</f>
        <v/>
      </c>
      <c r="AF94" s="111" t="str">
        <f aca="false">IF($B94="","",N(الموظفون!$AA94)/12*G94/cfg_DAYS_M)</f>
        <v/>
      </c>
      <c r="AG94" s="154" t="str">
        <f aca="false">IF($B94="","",T94+SUM(Z94:AF94))</f>
        <v/>
      </c>
      <c r="AH94" s="155" t="str">
        <f aca="false">IF($B94="","",MAX(0,IF(OR(الموظفون!$AE94="",الموظفون!$AE94&gt;$F$3),$F$3,الموظفون!$AE94)-الموظفون!$H94+1-SUMIFS('سجل الإجازات والحالات'!$AS$6:$AS$505,'سجل الإجازات والحالات'!$B$6:$B$505,$B94))/cfg_DAYS_Y)</f>
        <v/>
      </c>
      <c r="AI94" s="155" t="str">
        <f aca="false">IF($B94="","",MAX(0,IF(OR(الموظفون!$AE94="",الموظفون!$AE94&gt;($E$3-1)),($E$3-1),الموظفون!$AE94)-الموظفون!$H94+1-SUMIFS('سجل الإجازات والحالات'!$AR$6:$AR$505,'سجل الإجازات والحالات'!$B$6:$B$505,$B94))/cfg_DAYS_Y)</f>
        <v/>
      </c>
      <c r="AJ94" s="65" t="str">
        <f aca="false">IF($B94="","",MAX(0,AK94-(SUMIFS('سجل الإجازات والحالات'!$AS$6:$AS$505,'سجل الإجازات والحالات'!$B$6:$B$505,$B94)-SUMIFS('سجل الإجازات والحالات'!$AR$6:$AR$505,'سجل الإجازات والحالات'!$B$6:$B$505,$B94))))</f>
        <v/>
      </c>
      <c r="AK94" s="65" t="str">
        <f aca="false">IF($B94="","",MAX(0,IF(OR(الموظفون!$AE94="",الموظفون!$AE94&gt;$F$3),$F$3,الموظفون!$AE94)-MAX($E$3,الموظفون!$H94)+1))</f>
        <v/>
      </c>
      <c r="AL94" s="151" t="str">
        <f aca="false">IF($B94="","",SUMIFS('سجل الإجازات والحالات'!$BE$6:$BE$505,'سجل الإجازات والحالات'!$B$6:$B$505,$B94)+SUMIFS('الحركات الشهرية'!$K$6:$K$1005,'الحركات الشهرية'!$B$6:$B$1005,$B94,'الحركات الشهرية'!$A$6:$A$1005,$C$3))</f>
        <v/>
      </c>
      <c r="AM94" s="111" t="str">
        <f aca="false">IF($B94="","",AL94*الموظفون!$R94/cfg_DAYS_M+S94)</f>
        <v/>
      </c>
      <c r="AN94" s="151" t="str">
        <f aca="false">IF($B94="","",SUMIFS('سجل الإجازات والحالات'!$AG$6:$AG$505,'سجل الإجازات والحالات'!$B$6:$B$505,$B94))</f>
        <v/>
      </c>
    </row>
    <row r="95" customFormat="false" ht="15" hidden="false" customHeight="false" outlineLevel="0" collapsed="false">
      <c r="A95" s="115" t="str">
        <f aca="false">IF($B95="","",الموظفون!$A95)</f>
        <v/>
      </c>
      <c r="B95" s="117" t="str">
        <f aca="false">IF(الموظفون!$B95="","",الموظفون!$B95)</f>
        <v/>
      </c>
      <c r="C95" s="117" t="str">
        <f aca="false">IF($B95="","",الموظفون!$C95)</f>
        <v/>
      </c>
      <c r="D95" s="117" t="str">
        <f aca="false">IF($B95="","",الموظفون!$F95)</f>
        <v/>
      </c>
      <c r="E95" s="117" t="str">
        <f aca="false">IF($B95="","",الموظفون!$E95)</f>
        <v/>
      </c>
      <c r="F95" s="117" t="str">
        <f aca="false">IF($B95="","",IF(AK95=0,IF(AND(الموظفون!$AE95&lt;&gt;"",الموظفون!$AE95&lt;$E$3),"✖ منتهي الخدمة","⏳ لم يباشر"),IF(S95&gt;0,"✈ راتب إجازة مقدم",IF(J95=0,"⛔ بدون راتب هذا الشهر",IF(I95&gt;0,"✈ خصم "&amp;ROUND(I95,2)&amp;" يوم بدون أجر",IF(AL95&gt;0,"🌴 إجازة سنوية "&amp;ROUND(AL95,2)&amp;" يوم",IF(H95&gt;0,"⚠ غياب "&amp;ROUND(H95,2)&amp;" يوم","✔ على رأس العمل")))))))</f>
        <v/>
      </c>
      <c r="G95" s="156" t="str">
        <f aca="false">IF($B95="","",IF(AK95&gt;=DAY($F$3),cfg_DAYS_M,MIN(AK95,cfg_DAYS_M)))</f>
        <v/>
      </c>
      <c r="H95" s="156" t="str">
        <f aca="false">IF($B95="","",SUMIFS('الحركات الشهرية'!$D$6:$D$1005,'الحركات الشهرية'!$B$6:$B$1005,$B95,'الحركات الشهرية'!$A$6:$A$1005,$C$3))</f>
        <v/>
      </c>
      <c r="I95" s="156" t="str">
        <f aca="false">IF($B95="","",MIN(G95,IF(AND(AK95&gt;0,AN95&gt;=AK95),G95,AN95)+SUMIFS('الحركات الشهرية'!$E$6:$E$1005,'الحركات الشهرية'!$B$6:$B$1005,$B95,'الحركات الشهرية'!$A$6:$A$1005,$C$3)))</f>
        <v/>
      </c>
      <c r="J95" s="156" t="str">
        <f aca="false">IF($B95="","",MAX(0,G95-H95-I95))</f>
        <v/>
      </c>
      <c r="K95" s="116" t="str">
        <f aca="false">IF($B95="","",الموظفون!$L95*$J95/cfg_DAYS_M)</f>
        <v/>
      </c>
      <c r="L95" s="116" t="str">
        <f aca="false">IF($B95="","",الموظفون!$M95*$J95/cfg_DAYS_M)</f>
        <v/>
      </c>
      <c r="M95" s="116" t="str">
        <f aca="false">IF($B95="","",الموظفون!$N95*$J95/cfg_DAYS_M)</f>
        <v/>
      </c>
      <c r="N95" s="116" t="str">
        <f aca="false">IF($B95="","",الموظفون!$O95*$J95/cfg_DAYS_M)</f>
        <v/>
      </c>
      <c r="O95" s="156" t="str">
        <f aca="false">IF($B95="","",SUMIFS('الحركات الشهرية'!$F$6:$F$1005,'الحركات الشهرية'!$B$6:$B$1005,$B95,'الحركات الشهرية'!$A$6:$A$1005,$C$3))</f>
        <v/>
      </c>
      <c r="P95" s="116" t="str">
        <f aca="false">IF($B95="","",O95*(الموظفون!$P95+الموظفون!$L95*cfg_OT_P)/cfg_DAYS_M/cfg_HRS)</f>
        <v/>
      </c>
      <c r="Q95" s="116" t="str">
        <f aca="false">IF($B95="","",SUMIFS('الحركات الشهرية'!$G$6:$G$1005,'الحركات الشهرية'!$B$6:$B$1005,$B95,'الحركات الشهرية'!$A$6:$A$1005,$C$3))</f>
        <v/>
      </c>
      <c r="R95" s="116" t="str">
        <f aca="false">IF($B95="","",SUMIFS('الحركات الشهرية'!$H$6:$H$1005,'الحركات الشهرية'!$B$6:$B$1005,$B95,'الحركات الشهرية'!$A$6:$A$1005,$C$3))</f>
        <v/>
      </c>
      <c r="S95" s="116" t="str">
        <f aca="false">IF($B95="","",SUMIFS('سجل الإجازات والحالات'!$N$6:$N$505,'سجل الإجازات والحالات'!$B$6:$B$505,$B95,'سجل الإجازات والحالات'!$O$6:$O$505,$C$3))</f>
        <v/>
      </c>
      <c r="T95" s="157" t="str">
        <f aca="false">IF($B95="","",SUM(K95:N95)+SUM(P95:S95))</f>
        <v/>
      </c>
      <c r="U95" s="116" t="str">
        <f aca="false">IF($B95="","",الموظفون!$S95*IF(E95="سعودي",cfg_G_SE,cfg_G_NE)*G95/cfg_DAYS_M)</f>
        <v/>
      </c>
      <c r="V95" s="116" t="str">
        <f aca="false">IF($B95="","",SUMIFS('الحركات الشهرية'!$I$6:$I$1005,'الحركات الشهرية'!$B$6:$B$1005,$B95,'الحركات الشهرية'!$A$6:$A$1005,$C$3))</f>
        <v/>
      </c>
      <c r="W95" s="116" t="str">
        <f aca="false">IF($B95="","",SUMIFS('الحركات الشهرية'!$J$6:$J$1005,'الحركات الشهرية'!$B$6:$B$1005,$B95,'الحركات الشهرية'!$A$6:$A$1005,$C$3))</f>
        <v/>
      </c>
      <c r="X95" s="116" t="str">
        <f aca="false">IF($B95="","",SUM(U95:W95))</f>
        <v/>
      </c>
      <c r="Y95" s="158" t="str">
        <f aca="false">IF($B95="","",T95-X95)</f>
        <v/>
      </c>
      <c r="Z95" s="116" t="str">
        <f aca="false">IF($B95="","",الموظفون!$S95*IF(E95="سعودي",cfg_G_SR,cfg_G_NR)*G95/cfg_DAYS_M)</f>
        <v/>
      </c>
      <c r="AA95" s="116" t="str">
        <f aca="false">IF($B95="","",الموظفون!$Q95*(cfg_EOS_R1*(MIN(AH95,cfg_EOS_TH)-MIN(AI95,cfg_EOS_TH))+cfg_EOS_R2*(MAX(AH95-cfg_EOS_TH,0)-MAX(AI95-cfg_EOS_TH,0))))</f>
        <v/>
      </c>
      <c r="AB95" s="116" t="str">
        <f aca="false">IF($B95="","",IF(الموظفون!$T95&lt;&gt;"",الموظفون!$T95,IF(AH95&gt;=cfg_LV_TH,cfg_LV_D2,cfg_LV_D1))/cfg_DAYS_Y*AJ95*الموظفون!$R95/cfg_DAYS_M)</f>
        <v/>
      </c>
      <c r="AC95" s="116" t="str">
        <f aca="false">IF($B95="","",IF(AND(الموظفون!$U95="نعم",N(الموظفون!$W95)&gt;0),الموظفون!$V95/الموظفون!$W95*12/cfg_DAYS_Y*AJ95,0))</f>
        <v/>
      </c>
      <c r="AD95" s="116" t="str">
        <f aca="false">IF($B95="","",(IF(الموظفون!$X95&lt;&gt;"",الموظفون!$X95,IF(الموظفون!$E95="غير سعودي",cfg_IQ,0))+IF(الموظفون!$Y95&lt;&gt;"",الموظفون!$Y95,IF(الموظفون!$E95="غير سعودي",cfg_WP,0)))/12*G95/cfg_DAYS_M)</f>
        <v/>
      </c>
      <c r="AE95" s="116" t="str">
        <f aca="false">IF($B95="","",IF(الموظفون!$Z95&lt;&gt;"",الموظفون!$Z95,cfg_MED)/12*G95/cfg_DAYS_M)</f>
        <v/>
      </c>
      <c r="AF95" s="116" t="str">
        <f aca="false">IF($B95="","",N(الموظفون!$AA95)/12*G95/cfg_DAYS_M)</f>
        <v/>
      </c>
      <c r="AG95" s="159" t="str">
        <f aca="false">IF($B95="","",T95+SUM(Z95:AF95))</f>
        <v/>
      </c>
      <c r="AH95" s="160" t="str">
        <f aca="false">IF($B95="","",MAX(0,IF(OR(الموظفون!$AE95="",الموظفون!$AE95&gt;$F$3),$F$3,الموظفون!$AE95)-الموظفون!$H95+1-SUMIFS('سجل الإجازات والحالات'!$AS$6:$AS$505,'سجل الإجازات والحالات'!$B$6:$B$505,$B95))/cfg_DAYS_Y)</f>
        <v/>
      </c>
      <c r="AI95" s="160" t="str">
        <f aca="false">IF($B95="","",MAX(0,IF(OR(الموظفون!$AE95="",الموظفون!$AE95&gt;($E$3-1)),($E$3-1),الموظفون!$AE95)-الموظفون!$H95+1-SUMIFS('سجل الإجازات والحالات'!$AR$6:$AR$505,'سجل الإجازات والحالات'!$B$6:$B$505,$B95))/cfg_DAYS_Y)</f>
        <v/>
      </c>
      <c r="AJ95" s="133" t="str">
        <f aca="false">IF($B95="","",MAX(0,AK95-(SUMIFS('سجل الإجازات والحالات'!$AS$6:$AS$505,'سجل الإجازات والحالات'!$B$6:$B$505,$B95)-SUMIFS('سجل الإجازات والحالات'!$AR$6:$AR$505,'سجل الإجازات والحالات'!$B$6:$B$505,$B95))))</f>
        <v/>
      </c>
      <c r="AK95" s="133" t="str">
        <f aca="false">IF($B95="","",MAX(0,IF(OR(الموظفون!$AE95="",الموظفون!$AE95&gt;$F$3),$F$3,الموظفون!$AE95)-MAX($E$3,الموظفون!$H95)+1))</f>
        <v/>
      </c>
      <c r="AL95" s="156" t="str">
        <f aca="false">IF($B95="","",SUMIFS('سجل الإجازات والحالات'!$BE$6:$BE$505,'سجل الإجازات والحالات'!$B$6:$B$505,$B95)+SUMIFS('الحركات الشهرية'!$K$6:$K$1005,'الحركات الشهرية'!$B$6:$B$1005,$B95,'الحركات الشهرية'!$A$6:$A$1005,$C$3))</f>
        <v/>
      </c>
      <c r="AM95" s="116" t="str">
        <f aca="false">IF($B95="","",AL95*الموظفون!$R95/cfg_DAYS_M+S95)</f>
        <v/>
      </c>
      <c r="AN95" s="156" t="str">
        <f aca="false">IF($B95="","",SUMIFS('سجل الإجازات والحالات'!$AG$6:$AG$505,'سجل الإجازات والحالات'!$B$6:$B$505,$B95))</f>
        <v/>
      </c>
    </row>
    <row r="96" customFormat="false" ht="15" hidden="false" customHeight="false" outlineLevel="0" collapsed="false">
      <c r="A96" s="106" t="str">
        <f aca="false">IF($B96="","",الموظفون!$A96)</f>
        <v/>
      </c>
      <c r="B96" s="114" t="str">
        <f aca="false">IF(الموظفون!$B96="","",الموظفون!$B96)</f>
        <v/>
      </c>
      <c r="C96" s="114" t="str">
        <f aca="false">IF($B96="","",الموظفون!$C96)</f>
        <v/>
      </c>
      <c r="D96" s="114" t="str">
        <f aca="false">IF($B96="","",الموظفون!$F96)</f>
        <v/>
      </c>
      <c r="E96" s="114" t="str">
        <f aca="false">IF($B96="","",الموظفون!$E96)</f>
        <v/>
      </c>
      <c r="F96" s="114" t="str">
        <f aca="false">IF($B96="","",IF(AK96=0,IF(AND(الموظفون!$AE96&lt;&gt;"",الموظفون!$AE96&lt;$E$3),"✖ منتهي الخدمة","⏳ لم يباشر"),IF(S96&gt;0,"✈ راتب إجازة مقدم",IF(J96=0,"⛔ بدون راتب هذا الشهر",IF(I96&gt;0,"✈ خصم "&amp;ROUND(I96,2)&amp;" يوم بدون أجر",IF(AL96&gt;0,"🌴 إجازة سنوية "&amp;ROUND(AL96,2)&amp;" يوم",IF(H96&gt;0,"⚠ غياب "&amp;ROUND(H96,2)&amp;" يوم","✔ على رأس العمل")))))))</f>
        <v/>
      </c>
      <c r="G96" s="151" t="str">
        <f aca="false">IF($B96="","",IF(AK96&gt;=DAY($F$3),cfg_DAYS_M,MIN(AK96,cfg_DAYS_M)))</f>
        <v/>
      </c>
      <c r="H96" s="151" t="str">
        <f aca="false">IF($B96="","",SUMIFS('الحركات الشهرية'!$D$6:$D$1005,'الحركات الشهرية'!$B$6:$B$1005,$B96,'الحركات الشهرية'!$A$6:$A$1005,$C$3))</f>
        <v/>
      </c>
      <c r="I96" s="151" t="str">
        <f aca="false">IF($B96="","",MIN(G96,IF(AND(AK96&gt;0,AN96&gt;=AK96),G96,AN96)+SUMIFS('الحركات الشهرية'!$E$6:$E$1005,'الحركات الشهرية'!$B$6:$B$1005,$B96,'الحركات الشهرية'!$A$6:$A$1005,$C$3)))</f>
        <v/>
      </c>
      <c r="J96" s="151" t="str">
        <f aca="false">IF($B96="","",MAX(0,G96-H96-I96))</f>
        <v/>
      </c>
      <c r="K96" s="111" t="str">
        <f aca="false">IF($B96="","",الموظفون!$L96*$J96/cfg_DAYS_M)</f>
        <v/>
      </c>
      <c r="L96" s="111" t="str">
        <f aca="false">IF($B96="","",الموظفون!$M96*$J96/cfg_DAYS_M)</f>
        <v/>
      </c>
      <c r="M96" s="111" t="str">
        <f aca="false">IF($B96="","",الموظفون!$N96*$J96/cfg_DAYS_M)</f>
        <v/>
      </c>
      <c r="N96" s="111" t="str">
        <f aca="false">IF($B96="","",الموظفون!$O96*$J96/cfg_DAYS_M)</f>
        <v/>
      </c>
      <c r="O96" s="151" t="str">
        <f aca="false">IF($B96="","",SUMIFS('الحركات الشهرية'!$F$6:$F$1005,'الحركات الشهرية'!$B$6:$B$1005,$B96,'الحركات الشهرية'!$A$6:$A$1005,$C$3))</f>
        <v/>
      </c>
      <c r="P96" s="111" t="str">
        <f aca="false">IF($B96="","",O96*(الموظفون!$P96+الموظفون!$L96*cfg_OT_P)/cfg_DAYS_M/cfg_HRS)</f>
        <v/>
      </c>
      <c r="Q96" s="111" t="str">
        <f aca="false">IF($B96="","",SUMIFS('الحركات الشهرية'!$G$6:$G$1005,'الحركات الشهرية'!$B$6:$B$1005,$B96,'الحركات الشهرية'!$A$6:$A$1005,$C$3))</f>
        <v/>
      </c>
      <c r="R96" s="111" t="str">
        <f aca="false">IF($B96="","",SUMIFS('الحركات الشهرية'!$H$6:$H$1005,'الحركات الشهرية'!$B$6:$B$1005,$B96,'الحركات الشهرية'!$A$6:$A$1005,$C$3))</f>
        <v/>
      </c>
      <c r="S96" s="111" t="str">
        <f aca="false">IF($B96="","",SUMIFS('سجل الإجازات والحالات'!$N$6:$N$505,'سجل الإجازات والحالات'!$B$6:$B$505,$B96,'سجل الإجازات والحالات'!$O$6:$O$505,$C$3))</f>
        <v/>
      </c>
      <c r="T96" s="152" t="str">
        <f aca="false">IF($B96="","",SUM(K96:N96)+SUM(P96:S96))</f>
        <v/>
      </c>
      <c r="U96" s="111" t="str">
        <f aca="false">IF($B96="","",الموظفون!$S96*IF(E96="سعودي",cfg_G_SE,cfg_G_NE)*G96/cfg_DAYS_M)</f>
        <v/>
      </c>
      <c r="V96" s="111" t="str">
        <f aca="false">IF($B96="","",SUMIFS('الحركات الشهرية'!$I$6:$I$1005,'الحركات الشهرية'!$B$6:$B$1005,$B96,'الحركات الشهرية'!$A$6:$A$1005,$C$3))</f>
        <v/>
      </c>
      <c r="W96" s="111" t="str">
        <f aca="false">IF($B96="","",SUMIFS('الحركات الشهرية'!$J$6:$J$1005,'الحركات الشهرية'!$B$6:$B$1005,$B96,'الحركات الشهرية'!$A$6:$A$1005,$C$3))</f>
        <v/>
      </c>
      <c r="X96" s="111" t="str">
        <f aca="false">IF($B96="","",SUM(U96:W96))</f>
        <v/>
      </c>
      <c r="Y96" s="153" t="str">
        <f aca="false">IF($B96="","",T96-X96)</f>
        <v/>
      </c>
      <c r="Z96" s="111" t="str">
        <f aca="false">IF($B96="","",الموظفون!$S96*IF(E96="سعودي",cfg_G_SR,cfg_G_NR)*G96/cfg_DAYS_M)</f>
        <v/>
      </c>
      <c r="AA96" s="111" t="str">
        <f aca="false">IF($B96="","",الموظفون!$Q96*(cfg_EOS_R1*(MIN(AH96,cfg_EOS_TH)-MIN(AI96,cfg_EOS_TH))+cfg_EOS_R2*(MAX(AH96-cfg_EOS_TH,0)-MAX(AI96-cfg_EOS_TH,0))))</f>
        <v/>
      </c>
      <c r="AB96" s="111" t="str">
        <f aca="false">IF($B96="","",IF(الموظفون!$T96&lt;&gt;"",الموظفون!$T96,IF(AH96&gt;=cfg_LV_TH,cfg_LV_D2,cfg_LV_D1))/cfg_DAYS_Y*AJ96*الموظفون!$R96/cfg_DAYS_M)</f>
        <v/>
      </c>
      <c r="AC96" s="111" t="str">
        <f aca="false">IF($B96="","",IF(AND(الموظفون!$U96="نعم",N(الموظفون!$W96)&gt;0),الموظفون!$V96/الموظفون!$W96*12/cfg_DAYS_Y*AJ96,0))</f>
        <v/>
      </c>
      <c r="AD96" s="111" t="str">
        <f aca="false">IF($B96="","",(IF(الموظفون!$X96&lt;&gt;"",الموظفون!$X96,IF(الموظفون!$E96="غير سعودي",cfg_IQ,0))+IF(الموظفون!$Y96&lt;&gt;"",الموظفون!$Y96,IF(الموظفون!$E96="غير سعودي",cfg_WP,0)))/12*G96/cfg_DAYS_M)</f>
        <v/>
      </c>
      <c r="AE96" s="111" t="str">
        <f aca="false">IF($B96="","",IF(الموظفون!$Z96&lt;&gt;"",الموظفون!$Z96,cfg_MED)/12*G96/cfg_DAYS_M)</f>
        <v/>
      </c>
      <c r="AF96" s="111" t="str">
        <f aca="false">IF($B96="","",N(الموظفون!$AA96)/12*G96/cfg_DAYS_M)</f>
        <v/>
      </c>
      <c r="AG96" s="154" t="str">
        <f aca="false">IF($B96="","",T96+SUM(Z96:AF96))</f>
        <v/>
      </c>
      <c r="AH96" s="155" t="str">
        <f aca="false">IF($B96="","",MAX(0,IF(OR(الموظفون!$AE96="",الموظفون!$AE96&gt;$F$3),$F$3,الموظفون!$AE96)-الموظفون!$H96+1-SUMIFS('سجل الإجازات والحالات'!$AS$6:$AS$505,'سجل الإجازات والحالات'!$B$6:$B$505,$B96))/cfg_DAYS_Y)</f>
        <v/>
      </c>
      <c r="AI96" s="155" t="str">
        <f aca="false">IF($B96="","",MAX(0,IF(OR(الموظفون!$AE96="",الموظفون!$AE96&gt;($E$3-1)),($E$3-1),الموظفون!$AE96)-الموظفون!$H96+1-SUMIFS('سجل الإجازات والحالات'!$AR$6:$AR$505,'سجل الإجازات والحالات'!$B$6:$B$505,$B96))/cfg_DAYS_Y)</f>
        <v/>
      </c>
      <c r="AJ96" s="65" t="str">
        <f aca="false">IF($B96="","",MAX(0,AK96-(SUMIFS('سجل الإجازات والحالات'!$AS$6:$AS$505,'سجل الإجازات والحالات'!$B$6:$B$505,$B96)-SUMIFS('سجل الإجازات والحالات'!$AR$6:$AR$505,'سجل الإجازات والحالات'!$B$6:$B$505,$B96))))</f>
        <v/>
      </c>
      <c r="AK96" s="65" t="str">
        <f aca="false">IF($B96="","",MAX(0,IF(OR(الموظفون!$AE96="",الموظفون!$AE96&gt;$F$3),$F$3,الموظفون!$AE96)-MAX($E$3,الموظفون!$H96)+1))</f>
        <v/>
      </c>
      <c r="AL96" s="151" t="str">
        <f aca="false">IF($B96="","",SUMIFS('سجل الإجازات والحالات'!$BE$6:$BE$505,'سجل الإجازات والحالات'!$B$6:$B$505,$B96)+SUMIFS('الحركات الشهرية'!$K$6:$K$1005,'الحركات الشهرية'!$B$6:$B$1005,$B96,'الحركات الشهرية'!$A$6:$A$1005,$C$3))</f>
        <v/>
      </c>
      <c r="AM96" s="111" t="str">
        <f aca="false">IF($B96="","",AL96*الموظفون!$R96/cfg_DAYS_M+S96)</f>
        <v/>
      </c>
      <c r="AN96" s="151" t="str">
        <f aca="false">IF($B96="","",SUMIFS('سجل الإجازات والحالات'!$AG$6:$AG$505,'سجل الإجازات والحالات'!$B$6:$B$505,$B96))</f>
        <v/>
      </c>
    </row>
    <row r="97" customFormat="false" ht="15" hidden="false" customHeight="false" outlineLevel="0" collapsed="false">
      <c r="A97" s="115" t="str">
        <f aca="false">IF($B97="","",الموظفون!$A97)</f>
        <v/>
      </c>
      <c r="B97" s="117" t="str">
        <f aca="false">IF(الموظفون!$B97="","",الموظفون!$B97)</f>
        <v/>
      </c>
      <c r="C97" s="117" t="str">
        <f aca="false">IF($B97="","",الموظفون!$C97)</f>
        <v/>
      </c>
      <c r="D97" s="117" t="str">
        <f aca="false">IF($B97="","",الموظفون!$F97)</f>
        <v/>
      </c>
      <c r="E97" s="117" t="str">
        <f aca="false">IF($B97="","",الموظفون!$E97)</f>
        <v/>
      </c>
      <c r="F97" s="117" t="str">
        <f aca="false">IF($B97="","",IF(AK97=0,IF(AND(الموظفون!$AE97&lt;&gt;"",الموظفون!$AE97&lt;$E$3),"✖ منتهي الخدمة","⏳ لم يباشر"),IF(S97&gt;0,"✈ راتب إجازة مقدم",IF(J97=0,"⛔ بدون راتب هذا الشهر",IF(I97&gt;0,"✈ خصم "&amp;ROUND(I97,2)&amp;" يوم بدون أجر",IF(AL97&gt;0,"🌴 إجازة سنوية "&amp;ROUND(AL97,2)&amp;" يوم",IF(H97&gt;0,"⚠ غياب "&amp;ROUND(H97,2)&amp;" يوم","✔ على رأس العمل")))))))</f>
        <v/>
      </c>
      <c r="G97" s="156" t="str">
        <f aca="false">IF($B97="","",IF(AK97&gt;=DAY($F$3),cfg_DAYS_M,MIN(AK97,cfg_DAYS_M)))</f>
        <v/>
      </c>
      <c r="H97" s="156" t="str">
        <f aca="false">IF($B97="","",SUMIFS('الحركات الشهرية'!$D$6:$D$1005,'الحركات الشهرية'!$B$6:$B$1005,$B97,'الحركات الشهرية'!$A$6:$A$1005,$C$3))</f>
        <v/>
      </c>
      <c r="I97" s="156" t="str">
        <f aca="false">IF($B97="","",MIN(G97,IF(AND(AK97&gt;0,AN97&gt;=AK97),G97,AN97)+SUMIFS('الحركات الشهرية'!$E$6:$E$1005,'الحركات الشهرية'!$B$6:$B$1005,$B97,'الحركات الشهرية'!$A$6:$A$1005,$C$3)))</f>
        <v/>
      </c>
      <c r="J97" s="156" t="str">
        <f aca="false">IF($B97="","",MAX(0,G97-H97-I97))</f>
        <v/>
      </c>
      <c r="K97" s="116" t="str">
        <f aca="false">IF($B97="","",الموظفون!$L97*$J97/cfg_DAYS_M)</f>
        <v/>
      </c>
      <c r="L97" s="116" t="str">
        <f aca="false">IF($B97="","",الموظفون!$M97*$J97/cfg_DAYS_M)</f>
        <v/>
      </c>
      <c r="M97" s="116" t="str">
        <f aca="false">IF($B97="","",الموظفون!$N97*$J97/cfg_DAYS_M)</f>
        <v/>
      </c>
      <c r="N97" s="116" t="str">
        <f aca="false">IF($B97="","",الموظفون!$O97*$J97/cfg_DAYS_M)</f>
        <v/>
      </c>
      <c r="O97" s="156" t="str">
        <f aca="false">IF($B97="","",SUMIFS('الحركات الشهرية'!$F$6:$F$1005,'الحركات الشهرية'!$B$6:$B$1005,$B97,'الحركات الشهرية'!$A$6:$A$1005,$C$3))</f>
        <v/>
      </c>
      <c r="P97" s="116" t="str">
        <f aca="false">IF($B97="","",O97*(الموظفون!$P97+الموظفون!$L97*cfg_OT_P)/cfg_DAYS_M/cfg_HRS)</f>
        <v/>
      </c>
      <c r="Q97" s="116" t="str">
        <f aca="false">IF($B97="","",SUMIFS('الحركات الشهرية'!$G$6:$G$1005,'الحركات الشهرية'!$B$6:$B$1005,$B97,'الحركات الشهرية'!$A$6:$A$1005,$C$3))</f>
        <v/>
      </c>
      <c r="R97" s="116" t="str">
        <f aca="false">IF($B97="","",SUMIFS('الحركات الشهرية'!$H$6:$H$1005,'الحركات الشهرية'!$B$6:$B$1005,$B97,'الحركات الشهرية'!$A$6:$A$1005,$C$3))</f>
        <v/>
      </c>
      <c r="S97" s="116" t="str">
        <f aca="false">IF($B97="","",SUMIFS('سجل الإجازات والحالات'!$N$6:$N$505,'سجل الإجازات والحالات'!$B$6:$B$505,$B97,'سجل الإجازات والحالات'!$O$6:$O$505,$C$3))</f>
        <v/>
      </c>
      <c r="T97" s="157" t="str">
        <f aca="false">IF($B97="","",SUM(K97:N97)+SUM(P97:S97))</f>
        <v/>
      </c>
      <c r="U97" s="116" t="str">
        <f aca="false">IF($B97="","",الموظفون!$S97*IF(E97="سعودي",cfg_G_SE,cfg_G_NE)*G97/cfg_DAYS_M)</f>
        <v/>
      </c>
      <c r="V97" s="116" t="str">
        <f aca="false">IF($B97="","",SUMIFS('الحركات الشهرية'!$I$6:$I$1005,'الحركات الشهرية'!$B$6:$B$1005,$B97,'الحركات الشهرية'!$A$6:$A$1005,$C$3))</f>
        <v/>
      </c>
      <c r="W97" s="116" t="str">
        <f aca="false">IF($B97="","",SUMIFS('الحركات الشهرية'!$J$6:$J$1005,'الحركات الشهرية'!$B$6:$B$1005,$B97,'الحركات الشهرية'!$A$6:$A$1005,$C$3))</f>
        <v/>
      </c>
      <c r="X97" s="116" t="str">
        <f aca="false">IF($B97="","",SUM(U97:W97))</f>
        <v/>
      </c>
      <c r="Y97" s="158" t="str">
        <f aca="false">IF($B97="","",T97-X97)</f>
        <v/>
      </c>
      <c r="Z97" s="116" t="str">
        <f aca="false">IF($B97="","",الموظفون!$S97*IF(E97="سعودي",cfg_G_SR,cfg_G_NR)*G97/cfg_DAYS_M)</f>
        <v/>
      </c>
      <c r="AA97" s="116" t="str">
        <f aca="false">IF($B97="","",الموظفون!$Q97*(cfg_EOS_R1*(MIN(AH97,cfg_EOS_TH)-MIN(AI97,cfg_EOS_TH))+cfg_EOS_R2*(MAX(AH97-cfg_EOS_TH,0)-MAX(AI97-cfg_EOS_TH,0))))</f>
        <v/>
      </c>
      <c r="AB97" s="116" t="str">
        <f aca="false">IF($B97="","",IF(الموظفون!$T97&lt;&gt;"",الموظفون!$T97,IF(AH97&gt;=cfg_LV_TH,cfg_LV_D2,cfg_LV_D1))/cfg_DAYS_Y*AJ97*الموظفون!$R97/cfg_DAYS_M)</f>
        <v/>
      </c>
      <c r="AC97" s="116" t="str">
        <f aca="false">IF($B97="","",IF(AND(الموظفون!$U97="نعم",N(الموظفون!$W97)&gt;0),الموظفون!$V97/الموظفون!$W97*12/cfg_DAYS_Y*AJ97,0))</f>
        <v/>
      </c>
      <c r="AD97" s="116" t="str">
        <f aca="false">IF($B97="","",(IF(الموظفون!$X97&lt;&gt;"",الموظفون!$X97,IF(الموظفون!$E97="غير سعودي",cfg_IQ,0))+IF(الموظفون!$Y97&lt;&gt;"",الموظفون!$Y97,IF(الموظفون!$E97="غير سعودي",cfg_WP,0)))/12*G97/cfg_DAYS_M)</f>
        <v/>
      </c>
      <c r="AE97" s="116" t="str">
        <f aca="false">IF($B97="","",IF(الموظفون!$Z97&lt;&gt;"",الموظفون!$Z97,cfg_MED)/12*G97/cfg_DAYS_M)</f>
        <v/>
      </c>
      <c r="AF97" s="116" t="str">
        <f aca="false">IF($B97="","",N(الموظفون!$AA97)/12*G97/cfg_DAYS_M)</f>
        <v/>
      </c>
      <c r="AG97" s="159" t="str">
        <f aca="false">IF($B97="","",T97+SUM(Z97:AF97))</f>
        <v/>
      </c>
      <c r="AH97" s="160" t="str">
        <f aca="false">IF($B97="","",MAX(0,IF(OR(الموظفون!$AE97="",الموظفون!$AE97&gt;$F$3),$F$3,الموظفون!$AE97)-الموظفون!$H97+1-SUMIFS('سجل الإجازات والحالات'!$AS$6:$AS$505,'سجل الإجازات والحالات'!$B$6:$B$505,$B97))/cfg_DAYS_Y)</f>
        <v/>
      </c>
      <c r="AI97" s="160" t="str">
        <f aca="false">IF($B97="","",MAX(0,IF(OR(الموظفون!$AE97="",الموظفون!$AE97&gt;($E$3-1)),($E$3-1),الموظفون!$AE97)-الموظفون!$H97+1-SUMIFS('سجل الإجازات والحالات'!$AR$6:$AR$505,'سجل الإجازات والحالات'!$B$6:$B$505,$B97))/cfg_DAYS_Y)</f>
        <v/>
      </c>
      <c r="AJ97" s="133" t="str">
        <f aca="false">IF($B97="","",MAX(0,AK97-(SUMIFS('سجل الإجازات والحالات'!$AS$6:$AS$505,'سجل الإجازات والحالات'!$B$6:$B$505,$B97)-SUMIFS('سجل الإجازات والحالات'!$AR$6:$AR$505,'سجل الإجازات والحالات'!$B$6:$B$505,$B97))))</f>
        <v/>
      </c>
      <c r="AK97" s="133" t="str">
        <f aca="false">IF($B97="","",MAX(0,IF(OR(الموظفون!$AE97="",الموظفون!$AE97&gt;$F$3),$F$3,الموظفون!$AE97)-MAX($E$3,الموظفون!$H97)+1))</f>
        <v/>
      </c>
      <c r="AL97" s="156" t="str">
        <f aca="false">IF($B97="","",SUMIFS('سجل الإجازات والحالات'!$BE$6:$BE$505,'سجل الإجازات والحالات'!$B$6:$B$505,$B97)+SUMIFS('الحركات الشهرية'!$K$6:$K$1005,'الحركات الشهرية'!$B$6:$B$1005,$B97,'الحركات الشهرية'!$A$6:$A$1005,$C$3))</f>
        <v/>
      </c>
      <c r="AM97" s="116" t="str">
        <f aca="false">IF($B97="","",AL97*الموظفون!$R97/cfg_DAYS_M+S97)</f>
        <v/>
      </c>
      <c r="AN97" s="156" t="str">
        <f aca="false">IF($B97="","",SUMIFS('سجل الإجازات والحالات'!$AG$6:$AG$505,'سجل الإجازات والحالات'!$B$6:$B$505,$B97))</f>
        <v/>
      </c>
    </row>
    <row r="98" customFormat="false" ht="15" hidden="false" customHeight="false" outlineLevel="0" collapsed="false">
      <c r="A98" s="106" t="str">
        <f aca="false">IF($B98="","",الموظفون!$A98)</f>
        <v/>
      </c>
      <c r="B98" s="114" t="str">
        <f aca="false">IF(الموظفون!$B98="","",الموظفون!$B98)</f>
        <v/>
      </c>
      <c r="C98" s="114" t="str">
        <f aca="false">IF($B98="","",الموظفون!$C98)</f>
        <v/>
      </c>
      <c r="D98" s="114" t="str">
        <f aca="false">IF($B98="","",الموظفون!$F98)</f>
        <v/>
      </c>
      <c r="E98" s="114" t="str">
        <f aca="false">IF($B98="","",الموظفون!$E98)</f>
        <v/>
      </c>
      <c r="F98" s="114" t="str">
        <f aca="false">IF($B98="","",IF(AK98=0,IF(AND(الموظفون!$AE98&lt;&gt;"",الموظفون!$AE98&lt;$E$3),"✖ منتهي الخدمة","⏳ لم يباشر"),IF(S98&gt;0,"✈ راتب إجازة مقدم",IF(J98=0,"⛔ بدون راتب هذا الشهر",IF(I98&gt;0,"✈ خصم "&amp;ROUND(I98,2)&amp;" يوم بدون أجر",IF(AL98&gt;0,"🌴 إجازة سنوية "&amp;ROUND(AL98,2)&amp;" يوم",IF(H98&gt;0,"⚠ غياب "&amp;ROUND(H98,2)&amp;" يوم","✔ على رأس العمل")))))))</f>
        <v/>
      </c>
      <c r="G98" s="151" t="str">
        <f aca="false">IF($B98="","",IF(AK98&gt;=DAY($F$3),cfg_DAYS_M,MIN(AK98,cfg_DAYS_M)))</f>
        <v/>
      </c>
      <c r="H98" s="151" t="str">
        <f aca="false">IF($B98="","",SUMIFS('الحركات الشهرية'!$D$6:$D$1005,'الحركات الشهرية'!$B$6:$B$1005,$B98,'الحركات الشهرية'!$A$6:$A$1005,$C$3))</f>
        <v/>
      </c>
      <c r="I98" s="151" t="str">
        <f aca="false">IF($B98="","",MIN(G98,IF(AND(AK98&gt;0,AN98&gt;=AK98),G98,AN98)+SUMIFS('الحركات الشهرية'!$E$6:$E$1005,'الحركات الشهرية'!$B$6:$B$1005,$B98,'الحركات الشهرية'!$A$6:$A$1005,$C$3)))</f>
        <v/>
      </c>
      <c r="J98" s="151" t="str">
        <f aca="false">IF($B98="","",MAX(0,G98-H98-I98))</f>
        <v/>
      </c>
      <c r="K98" s="111" t="str">
        <f aca="false">IF($B98="","",الموظفون!$L98*$J98/cfg_DAYS_M)</f>
        <v/>
      </c>
      <c r="L98" s="111" t="str">
        <f aca="false">IF($B98="","",الموظفون!$M98*$J98/cfg_DAYS_M)</f>
        <v/>
      </c>
      <c r="M98" s="111" t="str">
        <f aca="false">IF($B98="","",الموظفون!$N98*$J98/cfg_DAYS_M)</f>
        <v/>
      </c>
      <c r="N98" s="111" t="str">
        <f aca="false">IF($B98="","",الموظفون!$O98*$J98/cfg_DAYS_M)</f>
        <v/>
      </c>
      <c r="O98" s="151" t="str">
        <f aca="false">IF($B98="","",SUMIFS('الحركات الشهرية'!$F$6:$F$1005,'الحركات الشهرية'!$B$6:$B$1005,$B98,'الحركات الشهرية'!$A$6:$A$1005,$C$3))</f>
        <v/>
      </c>
      <c r="P98" s="111" t="str">
        <f aca="false">IF($B98="","",O98*(الموظفون!$P98+الموظفون!$L98*cfg_OT_P)/cfg_DAYS_M/cfg_HRS)</f>
        <v/>
      </c>
      <c r="Q98" s="111" t="str">
        <f aca="false">IF($B98="","",SUMIFS('الحركات الشهرية'!$G$6:$G$1005,'الحركات الشهرية'!$B$6:$B$1005,$B98,'الحركات الشهرية'!$A$6:$A$1005,$C$3))</f>
        <v/>
      </c>
      <c r="R98" s="111" t="str">
        <f aca="false">IF($B98="","",SUMIFS('الحركات الشهرية'!$H$6:$H$1005,'الحركات الشهرية'!$B$6:$B$1005,$B98,'الحركات الشهرية'!$A$6:$A$1005,$C$3))</f>
        <v/>
      </c>
      <c r="S98" s="111" t="str">
        <f aca="false">IF($B98="","",SUMIFS('سجل الإجازات والحالات'!$N$6:$N$505,'سجل الإجازات والحالات'!$B$6:$B$505,$B98,'سجل الإجازات والحالات'!$O$6:$O$505,$C$3))</f>
        <v/>
      </c>
      <c r="T98" s="152" t="str">
        <f aca="false">IF($B98="","",SUM(K98:N98)+SUM(P98:S98))</f>
        <v/>
      </c>
      <c r="U98" s="111" t="str">
        <f aca="false">IF($B98="","",الموظفون!$S98*IF(E98="سعودي",cfg_G_SE,cfg_G_NE)*G98/cfg_DAYS_M)</f>
        <v/>
      </c>
      <c r="V98" s="111" t="str">
        <f aca="false">IF($B98="","",SUMIFS('الحركات الشهرية'!$I$6:$I$1005,'الحركات الشهرية'!$B$6:$B$1005,$B98,'الحركات الشهرية'!$A$6:$A$1005,$C$3))</f>
        <v/>
      </c>
      <c r="W98" s="111" t="str">
        <f aca="false">IF($B98="","",SUMIFS('الحركات الشهرية'!$J$6:$J$1005,'الحركات الشهرية'!$B$6:$B$1005,$B98,'الحركات الشهرية'!$A$6:$A$1005,$C$3))</f>
        <v/>
      </c>
      <c r="X98" s="111" t="str">
        <f aca="false">IF($B98="","",SUM(U98:W98))</f>
        <v/>
      </c>
      <c r="Y98" s="153" t="str">
        <f aca="false">IF($B98="","",T98-X98)</f>
        <v/>
      </c>
      <c r="Z98" s="111" t="str">
        <f aca="false">IF($B98="","",الموظفون!$S98*IF(E98="سعودي",cfg_G_SR,cfg_G_NR)*G98/cfg_DAYS_M)</f>
        <v/>
      </c>
      <c r="AA98" s="111" t="str">
        <f aca="false">IF($B98="","",الموظفون!$Q98*(cfg_EOS_R1*(MIN(AH98,cfg_EOS_TH)-MIN(AI98,cfg_EOS_TH))+cfg_EOS_R2*(MAX(AH98-cfg_EOS_TH,0)-MAX(AI98-cfg_EOS_TH,0))))</f>
        <v/>
      </c>
      <c r="AB98" s="111" t="str">
        <f aca="false">IF($B98="","",IF(الموظفون!$T98&lt;&gt;"",الموظفون!$T98,IF(AH98&gt;=cfg_LV_TH,cfg_LV_D2,cfg_LV_D1))/cfg_DAYS_Y*AJ98*الموظفون!$R98/cfg_DAYS_M)</f>
        <v/>
      </c>
      <c r="AC98" s="111" t="str">
        <f aca="false">IF($B98="","",IF(AND(الموظفون!$U98="نعم",N(الموظفون!$W98)&gt;0),الموظفون!$V98/الموظفون!$W98*12/cfg_DAYS_Y*AJ98,0))</f>
        <v/>
      </c>
      <c r="AD98" s="111" t="str">
        <f aca="false">IF($B98="","",(IF(الموظفون!$X98&lt;&gt;"",الموظفون!$X98,IF(الموظفون!$E98="غير سعودي",cfg_IQ,0))+IF(الموظفون!$Y98&lt;&gt;"",الموظفون!$Y98,IF(الموظفون!$E98="غير سعودي",cfg_WP,0)))/12*G98/cfg_DAYS_M)</f>
        <v/>
      </c>
      <c r="AE98" s="111" t="str">
        <f aca="false">IF($B98="","",IF(الموظفون!$Z98&lt;&gt;"",الموظفون!$Z98,cfg_MED)/12*G98/cfg_DAYS_M)</f>
        <v/>
      </c>
      <c r="AF98" s="111" t="str">
        <f aca="false">IF($B98="","",N(الموظفون!$AA98)/12*G98/cfg_DAYS_M)</f>
        <v/>
      </c>
      <c r="AG98" s="154" t="str">
        <f aca="false">IF($B98="","",T98+SUM(Z98:AF98))</f>
        <v/>
      </c>
      <c r="AH98" s="155" t="str">
        <f aca="false">IF($B98="","",MAX(0,IF(OR(الموظفون!$AE98="",الموظفون!$AE98&gt;$F$3),$F$3,الموظفون!$AE98)-الموظفون!$H98+1-SUMIFS('سجل الإجازات والحالات'!$AS$6:$AS$505,'سجل الإجازات والحالات'!$B$6:$B$505,$B98))/cfg_DAYS_Y)</f>
        <v/>
      </c>
      <c r="AI98" s="155" t="str">
        <f aca="false">IF($B98="","",MAX(0,IF(OR(الموظفون!$AE98="",الموظفون!$AE98&gt;($E$3-1)),($E$3-1),الموظفون!$AE98)-الموظفون!$H98+1-SUMIFS('سجل الإجازات والحالات'!$AR$6:$AR$505,'سجل الإجازات والحالات'!$B$6:$B$505,$B98))/cfg_DAYS_Y)</f>
        <v/>
      </c>
      <c r="AJ98" s="65" t="str">
        <f aca="false">IF($B98="","",MAX(0,AK98-(SUMIFS('سجل الإجازات والحالات'!$AS$6:$AS$505,'سجل الإجازات والحالات'!$B$6:$B$505,$B98)-SUMIFS('سجل الإجازات والحالات'!$AR$6:$AR$505,'سجل الإجازات والحالات'!$B$6:$B$505,$B98))))</f>
        <v/>
      </c>
      <c r="AK98" s="65" t="str">
        <f aca="false">IF($B98="","",MAX(0,IF(OR(الموظفون!$AE98="",الموظفون!$AE98&gt;$F$3),$F$3,الموظفون!$AE98)-MAX($E$3,الموظفون!$H98)+1))</f>
        <v/>
      </c>
      <c r="AL98" s="151" t="str">
        <f aca="false">IF($B98="","",SUMIFS('سجل الإجازات والحالات'!$BE$6:$BE$505,'سجل الإجازات والحالات'!$B$6:$B$505,$B98)+SUMIFS('الحركات الشهرية'!$K$6:$K$1005,'الحركات الشهرية'!$B$6:$B$1005,$B98,'الحركات الشهرية'!$A$6:$A$1005,$C$3))</f>
        <v/>
      </c>
      <c r="AM98" s="111" t="str">
        <f aca="false">IF($B98="","",AL98*الموظفون!$R98/cfg_DAYS_M+S98)</f>
        <v/>
      </c>
      <c r="AN98" s="151" t="str">
        <f aca="false">IF($B98="","",SUMIFS('سجل الإجازات والحالات'!$AG$6:$AG$505,'سجل الإجازات والحالات'!$B$6:$B$505,$B98))</f>
        <v/>
      </c>
    </row>
    <row r="99" customFormat="false" ht="15" hidden="false" customHeight="false" outlineLevel="0" collapsed="false">
      <c r="A99" s="115" t="str">
        <f aca="false">IF($B99="","",الموظفون!$A99)</f>
        <v/>
      </c>
      <c r="B99" s="117" t="str">
        <f aca="false">IF(الموظفون!$B99="","",الموظفون!$B99)</f>
        <v/>
      </c>
      <c r="C99" s="117" t="str">
        <f aca="false">IF($B99="","",الموظفون!$C99)</f>
        <v/>
      </c>
      <c r="D99" s="117" t="str">
        <f aca="false">IF($B99="","",الموظفون!$F99)</f>
        <v/>
      </c>
      <c r="E99" s="117" t="str">
        <f aca="false">IF($B99="","",الموظفون!$E99)</f>
        <v/>
      </c>
      <c r="F99" s="117" t="str">
        <f aca="false">IF($B99="","",IF(AK99=0,IF(AND(الموظفون!$AE99&lt;&gt;"",الموظفون!$AE99&lt;$E$3),"✖ منتهي الخدمة","⏳ لم يباشر"),IF(S99&gt;0,"✈ راتب إجازة مقدم",IF(J99=0,"⛔ بدون راتب هذا الشهر",IF(I99&gt;0,"✈ خصم "&amp;ROUND(I99,2)&amp;" يوم بدون أجر",IF(AL99&gt;0,"🌴 إجازة سنوية "&amp;ROUND(AL99,2)&amp;" يوم",IF(H99&gt;0,"⚠ غياب "&amp;ROUND(H99,2)&amp;" يوم","✔ على رأس العمل")))))))</f>
        <v/>
      </c>
      <c r="G99" s="156" t="str">
        <f aca="false">IF($B99="","",IF(AK99&gt;=DAY($F$3),cfg_DAYS_M,MIN(AK99,cfg_DAYS_M)))</f>
        <v/>
      </c>
      <c r="H99" s="156" t="str">
        <f aca="false">IF($B99="","",SUMIFS('الحركات الشهرية'!$D$6:$D$1005,'الحركات الشهرية'!$B$6:$B$1005,$B99,'الحركات الشهرية'!$A$6:$A$1005,$C$3))</f>
        <v/>
      </c>
      <c r="I99" s="156" t="str">
        <f aca="false">IF($B99="","",MIN(G99,IF(AND(AK99&gt;0,AN99&gt;=AK99),G99,AN99)+SUMIFS('الحركات الشهرية'!$E$6:$E$1005,'الحركات الشهرية'!$B$6:$B$1005,$B99,'الحركات الشهرية'!$A$6:$A$1005,$C$3)))</f>
        <v/>
      </c>
      <c r="J99" s="156" t="str">
        <f aca="false">IF($B99="","",MAX(0,G99-H99-I99))</f>
        <v/>
      </c>
      <c r="K99" s="116" t="str">
        <f aca="false">IF($B99="","",الموظفون!$L99*$J99/cfg_DAYS_M)</f>
        <v/>
      </c>
      <c r="L99" s="116" t="str">
        <f aca="false">IF($B99="","",الموظفون!$M99*$J99/cfg_DAYS_M)</f>
        <v/>
      </c>
      <c r="M99" s="116" t="str">
        <f aca="false">IF($B99="","",الموظفون!$N99*$J99/cfg_DAYS_M)</f>
        <v/>
      </c>
      <c r="N99" s="116" t="str">
        <f aca="false">IF($B99="","",الموظفون!$O99*$J99/cfg_DAYS_M)</f>
        <v/>
      </c>
      <c r="O99" s="156" t="str">
        <f aca="false">IF($B99="","",SUMIFS('الحركات الشهرية'!$F$6:$F$1005,'الحركات الشهرية'!$B$6:$B$1005,$B99,'الحركات الشهرية'!$A$6:$A$1005,$C$3))</f>
        <v/>
      </c>
      <c r="P99" s="116" t="str">
        <f aca="false">IF($B99="","",O99*(الموظفون!$P99+الموظفون!$L99*cfg_OT_P)/cfg_DAYS_M/cfg_HRS)</f>
        <v/>
      </c>
      <c r="Q99" s="116" t="str">
        <f aca="false">IF($B99="","",SUMIFS('الحركات الشهرية'!$G$6:$G$1005,'الحركات الشهرية'!$B$6:$B$1005,$B99,'الحركات الشهرية'!$A$6:$A$1005,$C$3))</f>
        <v/>
      </c>
      <c r="R99" s="116" t="str">
        <f aca="false">IF($B99="","",SUMIFS('الحركات الشهرية'!$H$6:$H$1005,'الحركات الشهرية'!$B$6:$B$1005,$B99,'الحركات الشهرية'!$A$6:$A$1005,$C$3))</f>
        <v/>
      </c>
      <c r="S99" s="116" t="str">
        <f aca="false">IF($B99="","",SUMIFS('سجل الإجازات والحالات'!$N$6:$N$505,'سجل الإجازات والحالات'!$B$6:$B$505,$B99,'سجل الإجازات والحالات'!$O$6:$O$505,$C$3))</f>
        <v/>
      </c>
      <c r="T99" s="157" t="str">
        <f aca="false">IF($B99="","",SUM(K99:N99)+SUM(P99:S99))</f>
        <v/>
      </c>
      <c r="U99" s="116" t="str">
        <f aca="false">IF($B99="","",الموظفون!$S99*IF(E99="سعودي",cfg_G_SE,cfg_G_NE)*G99/cfg_DAYS_M)</f>
        <v/>
      </c>
      <c r="V99" s="116" t="str">
        <f aca="false">IF($B99="","",SUMIFS('الحركات الشهرية'!$I$6:$I$1005,'الحركات الشهرية'!$B$6:$B$1005,$B99,'الحركات الشهرية'!$A$6:$A$1005,$C$3))</f>
        <v/>
      </c>
      <c r="W99" s="116" t="str">
        <f aca="false">IF($B99="","",SUMIFS('الحركات الشهرية'!$J$6:$J$1005,'الحركات الشهرية'!$B$6:$B$1005,$B99,'الحركات الشهرية'!$A$6:$A$1005,$C$3))</f>
        <v/>
      </c>
      <c r="X99" s="116" t="str">
        <f aca="false">IF($B99="","",SUM(U99:W99))</f>
        <v/>
      </c>
      <c r="Y99" s="158" t="str">
        <f aca="false">IF($B99="","",T99-X99)</f>
        <v/>
      </c>
      <c r="Z99" s="116" t="str">
        <f aca="false">IF($B99="","",الموظفون!$S99*IF(E99="سعودي",cfg_G_SR,cfg_G_NR)*G99/cfg_DAYS_M)</f>
        <v/>
      </c>
      <c r="AA99" s="116" t="str">
        <f aca="false">IF($B99="","",الموظفون!$Q99*(cfg_EOS_R1*(MIN(AH99,cfg_EOS_TH)-MIN(AI99,cfg_EOS_TH))+cfg_EOS_R2*(MAX(AH99-cfg_EOS_TH,0)-MAX(AI99-cfg_EOS_TH,0))))</f>
        <v/>
      </c>
      <c r="AB99" s="116" t="str">
        <f aca="false">IF($B99="","",IF(الموظفون!$T99&lt;&gt;"",الموظفون!$T99,IF(AH99&gt;=cfg_LV_TH,cfg_LV_D2,cfg_LV_D1))/cfg_DAYS_Y*AJ99*الموظفون!$R99/cfg_DAYS_M)</f>
        <v/>
      </c>
      <c r="AC99" s="116" t="str">
        <f aca="false">IF($B99="","",IF(AND(الموظفون!$U99="نعم",N(الموظفون!$W99)&gt;0),الموظفون!$V99/الموظفون!$W99*12/cfg_DAYS_Y*AJ99,0))</f>
        <v/>
      </c>
      <c r="AD99" s="116" t="str">
        <f aca="false">IF($B99="","",(IF(الموظفون!$X99&lt;&gt;"",الموظفون!$X99,IF(الموظفون!$E99="غير سعودي",cfg_IQ,0))+IF(الموظفون!$Y99&lt;&gt;"",الموظفون!$Y99,IF(الموظفون!$E99="غير سعودي",cfg_WP,0)))/12*G99/cfg_DAYS_M)</f>
        <v/>
      </c>
      <c r="AE99" s="116" t="str">
        <f aca="false">IF($B99="","",IF(الموظفون!$Z99&lt;&gt;"",الموظفون!$Z99,cfg_MED)/12*G99/cfg_DAYS_M)</f>
        <v/>
      </c>
      <c r="AF99" s="116" t="str">
        <f aca="false">IF($B99="","",N(الموظفون!$AA99)/12*G99/cfg_DAYS_M)</f>
        <v/>
      </c>
      <c r="AG99" s="159" t="str">
        <f aca="false">IF($B99="","",T99+SUM(Z99:AF99))</f>
        <v/>
      </c>
      <c r="AH99" s="160" t="str">
        <f aca="false">IF($B99="","",MAX(0,IF(OR(الموظفون!$AE99="",الموظفون!$AE99&gt;$F$3),$F$3,الموظفون!$AE99)-الموظفون!$H99+1-SUMIFS('سجل الإجازات والحالات'!$AS$6:$AS$505,'سجل الإجازات والحالات'!$B$6:$B$505,$B99))/cfg_DAYS_Y)</f>
        <v/>
      </c>
      <c r="AI99" s="160" t="str">
        <f aca="false">IF($B99="","",MAX(0,IF(OR(الموظفون!$AE99="",الموظفون!$AE99&gt;($E$3-1)),($E$3-1),الموظفون!$AE99)-الموظفون!$H99+1-SUMIFS('سجل الإجازات والحالات'!$AR$6:$AR$505,'سجل الإجازات والحالات'!$B$6:$B$505,$B99))/cfg_DAYS_Y)</f>
        <v/>
      </c>
      <c r="AJ99" s="133" t="str">
        <f aca="false">IF($B99="","",MAX(0,AK99-(SUMIFS('سجل الإجازات والحالات'!$AS$6:$AS$505,'سجل الإجازات والحالات'!$B$6:$B$505,$B99)-SUMIFS('سجل الإجازات والحالات'!$AR$6:$AR$505,'سجل الإجازات والحالات'!$B$6:$B$505,$B99))))</f>
        <v/>
      </c>
      <c r="AK99" s="133" t="str">
        <f aca="false">IF($B99="","",MAX(0,IF(OR(الموظفون!$AE99="",الموظفون!$AE99&gt;$F$3),$F$3,الموظفون!$AE99)-MAX($E$3,الموظفون!$H99)+1))</f>
        <v/>
      </c>
      <c r="AL99" s="156" t="str">
        <f aca="false">IF($B99="","",SUMIFS('سجل الإجازات والحالات'!$BE$6:$BE$505,'سجل الإجازات والحالات'!$B$6:$B$505,$B99)+SUMIFS('الحركات الشهرية'!$K$6:$K$1005,'الحركات الشهرية'!$B$6:$B$1005,$B99,'الحركات الشهرية'!$A$6:$A$1005,$C$3))</f>
        <v/>
      </c>
      <c r="AM99" s="116" t="str">
        <f aca="false">IF($B99="","",AL99*الموظفون!$R99/cfg_DAYS_M+S99)</f>
        <v/>
      </c>
      <c r="AN99" s="156" t="str">
        <f aca="false">IF($B99="","",SUMIFS('سجل الإجازات والحالات'!$AG$6:$AG$505,'سجل الإجازات والحالات'!$B$6:$B$505,$B99))</f>
        <v/>
      </c>
    </row>
    <row r="100" customFormat="false" ht="15" hidden="false" customHeight="false" outlineLevel="0" collapsed="false">
      <c r="A100" s="106" t="str">
        <f aca="false">IF($B100="","",الموظفون!$A100)</f>
        <v/>
      </c>
      <c r="B100" s="114" t="str">
        <f aca="false">IF(الموظفون!$B100="","",الموظفون!$B100)</f>
        <v/>
      </c>
      <c r="C100" s="114" t="str">
        <f aca="false">IF($B100="","",الموظفون!$C100)</f>
        <v/>
      </c>
      <c r="D100" s="114" t="str">
        <f aca="false">IF($B100="","",الموظفون!$F100)</f>
        <v/>
      </c>
      <c r="E100" s="114" t="str">
        <f aca="false">IF($B100="","",الموظفون!$E100)</f>
        <v/>
      </c>
      <c r="F100" s="114" t="str">
        <f aca="false">IF($B100="","",IF(AK100=0,IF(AND(الموظفون!$AE100&lt;&gt;"",الموظفون!$AE100&lt;$E$3),"✖ منتهي الخدمة","⏳ لم يباشر"),IF(S100&gt;0,"✈ راتب إجازة مقدم",IF(J100=0,"⛔ بدون راتب هذا الشهر",IF(I100&gt;0,"✈ خصم "&amp;ROUND(I100,2)&amp;" يوم بدون أجر",IF(AL100&gt;0,"🌴 إجازة سنوية "&amp;ROUND(AL100,2)&amp;" يوم",IF(H100&gt;0,"⚠ غياب "&amp;ROUND(H100,2)&amp;" يوم","✔ على رأس العمل")))))))</f>
        <v/>
      </c>
      <c r="G100" s="151" t="str">
        <f aca="false">IF($B100="","",IF(AK100&gt;=DAY($F$3),cfg_DAYS_M,MIN(AK100,cfg_DAYS_M)))</f>
        <v/>
      </c>
      <c r="H100" s="151" t="str">
        <f aca="false">IF($B100="","",SUMIFS('الحركات الشهرية'!$D$6:$D$1005,'الحركات الشهرية'!$B$6:$B$1005,$B100,'الحركات الشهرية'!$A$6:$A$1005,$C$3))</f>
        <v/>
      </c>
      <c r="I100" s="151" t="str">
        <f aca="false">IF($B100="","",MIN(G100,IF(AND(AK100&gt;0,AN100&gt;=AK100),G100,AN100)+SUMIFS('الحركات الشهرية'!$E$6:$E$1005,'الحركات الشهرية'!$B$6:$B$1005,$B100,'الحركات الشهرية'!$A$6:$A$1005,$C$3)))</f>
        <v/>
      </c>
      <c r="J100" s="151" t="str">
        <f aca="false">IF($B100="","",MAX(0,G100-H100-I100))</f>
        <v/>
      </c>
      <c r="K100" s="111" t="str">
        <f aca="false">IF($B100="","",الموظفون!$L100*$J100/cfg_DAYS_M)</f>
        <v/>
      </c>
      <c r="L100" s="111" t="str">
        <f aca="false">IF($B100="","",الموظفون!$M100*$J100/cfg_DAYS_M)</f>
        <v/>
      </c>
      <c r="M100" s="111" t="str">
        <f aca="false">IF($B100="","",الموظفون!$N100*$J100/cfg_DAYS_M)</f>
        <v/>
      </c>
      <c r="N100" s="111" t="str">
        <f aca="false">IF($B100="","",الموظفون!$O100*$J100/cfg_DAYS_M)</f>
        <v/>
      </c>
      <c r="O100" s="151" t="str">
        <f aca="false">IF($B100="","",SUMIFS('الحركات الشهرية'!$F$6:$F$1005,'الحركات الشهرية'!$B$6:$B$1005,$B100,'الحركات الشهرية'!$A$6:$A$1005,$C$3))</f>
        <v/>
      </c>
      <c r="P100" s="111" t="str">
        <f aca="false">IF($B100="","",O100*(الموظفون!$P100+الموظفون!$L100*cfg_OT_P)/cfg_DAYS_M/cfg_HRS)</f>
        <v/>
      </c>
      <c r="Q100" s="111" t="str">
        <f aca="false">IF($B100="","",SUMIFS('الحركات الشهرية'!$G$6:$G$1005,'الحركات الشهرية'!$B$6:$B$1005,$B100,'الحركات الشهرية'!$A$6:$A$1005,$C$3))</f>
        <v/>
      </c>
      <c r="R100" s="111" t="str">
        <f aca="false">IF($B100="","",SUMIFS('الحركات الشهرية'!$H$6:$H$1005,'الحركات الشهرية'!$B$6:$B$1005,$B100,'الحركات الشهرية'!$A$6:$A$1005,$C$3))</f>
        <v/>
      </c>
      <c r="S100" s="111" t="str">
        <f aca="false">IF($B100="","",SUMIFS('سجل الإجازات والحالات'!$N$6:$N$505,'سجل الإجازات والحالات'!$B$6:$B$505,$B100,'سجل الإجازات والحالات'!$O$6:$O$505,$C$3))</f>
        <v/>
      </c>
      <c r="T100" s="152" t="str">
        <f aca="false">IF($B100="","",SUM(K100:N100)+SUM(P100:S100))</f>
        <v/>
      </c>
      <c r="U100" s="111" t="str">
        <f aca="false">IF($B100="","",الموظفون!$S100*IF(E100="سعودي",cfg_G_SE,cfg_G_NE)*G100/cfg_DAYS_M)</f>
        <v/>
      </c>
      <c r="V100" s="111" t="str">
        <f aca="false">IF($B100="","",SUMIFS('الحركات الشهرية'!$I$6:$I$1005,'الحركات الشهرية'!$B$6:$B$1005,$B100,'الحركات الشهرية'!$A$6:$A$1005,$C$3))</f>
        <v/>
      </c>
      <c r="W100" s="111" t="str">
        <f aca="false">IF($B100="","",SUMIFS('الحركات الشهرية'!$J$6:$J$1005,'الحركات الشهرية'!$B$6:$B$1005,$B100,'الحركات الشهرية'!$A$6:$A$1005,$C$3))</f>
        <v/>
      </c>
      <c r="X100" s="111" t="str">
        <f aca="false">IF($B100="","",SUM(U100:W100))</f>
        <v/>
      </c>
      <c r="Y100" s="153" t="str">
        <f aca="false">IF($B100="","",T100-X100)</f>
        <v/>
      </c>
      <c r="Z100" s="111" t="str">
        <f aca="false">IF($B100="","",الموظفون!$S100*IF(E100="سعودي",cfg_G_SR,cfg_G_NR)*G100/cfg_DAYS_M)</f>
        <v/>
      </c>
      <c r="AA100" s="111" t="str">
        <f aca="false">IF($B100="","",الموظفون!$Q100*(cfg_EOS_R1*(MIN(AH100,cfg_EOS_TH)-MIN(AI100,cfg_EOS_TH))+cfg_EOS_R2*(MAX(AH100-cfg_EOS_TH,0)-MAX(AI100-cfg_EOS_TH,0))))</f>
        <v/>
      </c>
      <c r="AB100" s="111" t="str">
        <f aca="false">IF($B100="","",IF(الموظفون!$T100&lt;&gt;"",الموظفون!$T100,IF(AH100&gt;=cfg_LV_TH,cfg_LV_D2,cfg_LV_D1))/cfg_DAYS_Y*AJ100*الموظفون!$R100/cfg_DAYS_M)</f>
        <v/>
      </c>
      <c r="AC100" s="111" t="str">
        <f aca="false">IF($B100="","",IF(AND(الموظفون!$U100="نعم",N(الموظفون!$W100)&gt;0),الموظفون!$V100/الموظفون!$W100*12/cfg_DAYS_Y*AJ100,0))</f>
        <v/>
      </c>
      <c r="AD100" s="111" t="str">
        <f aca="false">IF($B100="","",(IF(الموظفون!$X100&lt;&gt;"",الموظفون!$X100,IF(الموظفون!$E100="غير سعودي",cfg_IQ,0))+IF(الموظفون!$Y100&lt;&gt;"",الموظفون!$Y100,IF(الموظفون!$E100="غير سعودي",cfg_WP,0)))/12*G100/cfg_DAYS_M)</f>
        <v/>
      </c>
      <c r="AE100" s="111" t="str">
        <f aca="false">IF($B100="","",IF(الموظفون!$Z100&lt;&gt;"",الموظفون!$Z100,cfg_MED)/12*G100/cfg_DAYS_M)</f>
        <v/>
      </c>
      <c r="AF100" s="111" t="str">
        <f aca="false">IF($B100="","",N(الموظفون!$AA100)/12*G100/cfg_DAYS_M)</f>
        <v/>
      </c>
      <c r="AG100" s="154" t="str">
        <f aca="false">IF($B100="","",T100+SUM(Z100:AF100))</f>
        <v/>
      </c>
      <c r="AH100" s="155" t="str">
        <f aca="false">IF($B100="","",MAX(0,IF(OR(الموظفون!$AE100="",الموظفون!$AE100&gt;$F$3),$F$3,الموظفون!$AE100)-الموظفون!$H100+1-SUMIFS('سجل الإجازات والحالات'!$AS$6:$AS$505,'سجل الإجازات والحالات'!$B$6:$B$505,$B100))/cfg_DAYS_Y)</f>
        <v/>
      </c>
      <c r="AI100" s="155" t="str">
        <f aca="false">IF($B100="","",MAX(0,IF(OR(الموظفون!$AE100="",الموظفون!$AE100&gt;($E$3-1)),($E$3-1),الموظفون!$AE100)-الموظفون!$H100+1-SUMIFS('سجل الإجازات والحالات'!$AR$6:$AR$505,'سجل الإجازات والحالات'!$B$6:$B$505,$B100))/cfg_DAYS_Y)</f>
        <v/>
      </c>
      <c r="AJ100" s="65" t="str">
        <f aca="false">IF($B100="","",MAX(0,AK100-(SUMIFS('سجل الإجازات والحالات'!$AS$6:$AS$505,'سجل الإجازات والحالات'!$B$6:$B$505,$B100)-SUMIFS('سجل الإجازات والحالات'!$AR$6:$AR$505,'سجل الإجازات والحالات'!$B$6:$B$505,$B100))))</f>
        <v/>
      </c>
      <c r="AK100" s="65" t="str">
        <f aca="false">IF($B100="","",MAX(0,IF(OR(الموظفون!$AE100="",الموظفون!$AE100&gt;$F$3),$F$3,الموظفون!$AE100)-MAX($E$3,الموظفون!$H100)+1))</f>
        <v/>
      </c>
      <c r="AL100" s="151" t="str">
        <f aca="false">IF($B100="","",SUMIFS('سجل الإجازات والحالات'!$BE$6:$BE$505,'سجل الإجازات والحالات'!$B$6:$B$505,$B100)+SUMIFS('الحركات الشهرية'!$K$6:$K$1005,'الحركات الشهرية'!$B$6:$B$1005,$B100,'الحركات الشهرية'!$A$6:$A$1005,$C$3))</f>
        <v/>
      </c>
      <c r="AM100" s="111" t="str">
        <f aca="false">IF($B100="","",AL100*الموظفون!$R100/cfg_DAYS_M+S100)</f>
        <v/>
      </c>
      <c r="AN100" s="151" t="str">
        <f aca="false">IF($B100="","",SUMIFS('سجل الإجازات والحالات'!$AG$6:$AG$505,'سجل الإجازات والحالات'!$B$6:$B$505,$B100))</f>
        <v/>
      </c>
    </row>
    <row r="101" customFormat="false" ht="15" hidden="false" customHeight="false" outlineLevel="0" collapsed="false">
      <c r="A101" s="115" t="str">
        <f aca="false">IF($B101="","",الموظفون!$A101)</f>
        <v/>
      </c>
      <c r="B101" s="117" t="str">
        <f aca="false">IF(الموظفون!$B101="","",الموظفون!$B101)</f>
        <v/>
      </c>
      <c r="C101" s="117" t="str">
        <f aca="false">IF($B101="","",الموظفون!$C101)</f>
        <v/>
      </c>
      <c r="D101" s="117" t="str">
        <f aca="false">IF($B101="","",الموظفون!$F101)</f>
        <v/>
      </c>
      <c r="E101" s="117" t="str">
        <f aca="false">IF($B101="","",الموظفون!$E101)</f>
        <v/>
      </c>
      <c r="F101" s="117" t="str">
        <f aca="false">IF($B101="","",IF(AK101=0,IF(AND(الموظفون!$AE101&lt;&gt;"",الموظفون!$AE101&lt;$E$3),"✖ منتهي الخدمة","⏳ لم يباشر"),IF(S101&gt;0,"✈ راتب إجازة مقدم",IF(J101=0,"⛔ بدون راتب هذا الشهر",IF(I101&gt;0,"✈ خصم "&amp;ROUND(I101,2)&amp;" يوم بدون أجر",IF(AL101&gt;0,"🌴 إجازة سنوية "&amp;ROUND(AL101,2)&amp;" يوم",IF(H101&gt;0,"⚠ غياب "&amp;ROUND(H101,2)&amp;" يوم","✔ على رأس العمل")))))))</f>
        <v/>
      </c>
      <c r="G101" s="156" t="str">
        <f aca="false">IF($B101="","",IF(AK101&gt;=DAY($F$3),cfg_DAYS_M,MIN(AK101,cfg_DAYS_M)))</f>
        <v/>
      </c>
      <c r="H101" s="156" t="str">
        <f aca="false">IF($B101="","",SUMIFS('الحركات الشهرية'!$D$6:$D$1005,'الحركات الشهرية'!$B$6:$B$1005,$B101,'الحركات الشهرية'!$A$6:$A$1005,$C$3))</f>
        <v/>
      </c>
      <c r="I101" s="156" t="str">
        <f aca="false">IF($B101="","",MIN(G101,IF(AND(AK101&gt;0,AN101&gt;=AK101),G101,AN101)+SUMIFS('الحركات الشهرية'!$E$6:$E$1005,'الحركات الشهرية'!$B$6:$B$1005,$B101,'الحركات الشهرية'!$A$6:$A$1005,$C$3)))</f>
        <v/>
      </c>
      <c r="J101" s="156" t="str">
        <f aca="false">IF($B101="","",MAX(0,G101-H101-I101))</f>
        <v/>
      </c>
      <c r="K101" s="116" t="str">
        <f aca="false">IF($B101="","",الموظفون!$L101*$J101/cfg_DAYS_M)</f>
        <v/>
      </c>
      <c r="L101" s="116" t="str">
        <f aca="false">IF($B101="","",الموظفون!$M101*$J101/cfg_DAYS_M)</f>
        <v/>
      </c>
      <c r="M101" s="116" t="str">
        <f aca="false">IF($B101="","",الموظفون!$N101*$J101/cfg_DAYS_M)</f>
        <v/>
      </c>
      <c r="N101" s="116" t="str">
        <f aca="false">IF($B101="","",الموظفون!$O101*$J101/cfg_DAYS_M)</f>
        <v/>
      </c>
      <c r="O101" s="156" t="str">
        <f aca="false">IF($B101="","",SUMIFS('الحركات الشهرية'!$F$6:$F$1005,'الحركات الشهرية'!$B$6:$B$1005,$B101,'الحركات الشهرية'!$A$6:$A$1005,$C$3))</f>
        <v/>
      </c>
      <c r="P101" s="116" t="str">
        <f aca="false">IF($B101="","",O101*(الموظفون!$P101+الموظفون!$L101*cfg_OT_P)/cfg_DAYS_M/cfg_HRS)</f>
        <v/>
      </c>
      <c r="Q101" s="116" t="str">
        <f aca="false">IF($B101="","",SUMIFS('الحركات الشهرية'!$G$6:$G$1005,'الحركات الشهرية'!$B$6:$B$1005,$B101,'الحركات الشهرية'!$A$6:$A$1005,$C$3))</f>
        <v/>
      </c>
      <c r="R101" s="116" t="str">
        <f aca="false">IF($B101="","",SUMIFS('الحركات الشهرية'!$H$6:$H$1005,'الحركات الشهرية'!$B$6:$B$1005,$B101,'الحركات الشهرية'!$A$6:$A$1005,$C$3))</f>
        <v/>
      </c>
      <c r="S101" s="116" t="str">
        <f aca="false">IF($B101="","",SUMIFS('سجل الإجازات والحالات'!$N$6:$N$505,'سجل الإجازات والحالات'!$B$6:$B$505,$B101,'سجل الإجازات والحالات'!$O$6:$O$505,$C$3))</f>
        <v/>
      </c>
      <c r="T101" s="157" t="str">
        <f aca="false">IF($B101="","",SUM(K101:N101)+SUM(P101:S101))</f>
        <v/>
      </c>
      <c r="U101" s="116" t="str">
        <f aca="false">IF($B101="","",الموظفون!$S101*IF(E101="سعودي",cfg_G_SE,cfg_G_NE)*G101/cfg_DAYS_M)</f>
        <v/>
      </c>
      <c r="V101" s="116" t="str">
        <f aca="false">IF($B101="","",SUMIFS('الحركات الشهرية'!$I$6:$I$1005,'الحركات الشهرية'!$B$6:$B$1005,$B101,'الحركات الشهرية'!$A$6:$A$1005,$C$3))</f>
        <v/>
      </c>
      <c r="W101" s="116" t="str">
        <f aca="false">IF($B101="","",SUMIFS('الحركات الشهرية'!$J$6:$J$1005,'الحركات الشهرية'!$B$6:$B$1005,$B101,'الحركات الشهرية'!$A$6:$A$1005,$C$3))</f>
        <v/>
      </c>
      <c r="X101" s="116" t="str">
        <f aca="false">IF($B101="","",SUM(U101:W101))</f>
        <v/>
      </c>
      <c r="Y101" s="158" t="str">
        <f aca="false">IF($B101="","",T101-X101)</f>
        <v/>
      </c>
      <c r="Z101" s="116" t="str">
        <f aca="false">IF($B101="","",الموظفون!$S101*IF(E101="سعودي",cfg_G_SR,cfg_G_NR)*G101/cfg_DAYS_M)</f>
        <v/>
      </c>
      <c r="AA101" s="116" t="str">
        <f aca="false">IF($B101="","",الموظفون!$Q101*(cfg_EOS_R1*(MIN(AH101,cfg_EOS_TH)-MIN(AI101,cfg_EOS_TH))+cfg_EOS_R2*(MAX(AH101-cfg_EOS_TH,0)-MAX(AI101-cfg_EOS_TH,0))))</f>
        <v/>
      </c>
      <c r="AB101" s="116" t="str">
        <f aca="false">IF($B101="","",IF(الموظفون!$T101&lt;&gt;"",الموظفون!$T101,IF(AH101&gt;=cfg_LV_TH,cfg_LV_D2,cfg_LV_D1))/cfg_DAYS_Y*AJ101*الموظفون!$R101/cfg_DAYS_M)</f>
        <v/>
      </c>
      <c r="AC101" s="116" t="str">
        <f aca="false">IF($B101="","",IF(AND(الموظفون!$U101="نعم",N(الموظفون!$W101)&gt;0),الموظفون!$V101/الموظفون!$W101*12/cfg_DAYS_Y*AJ101,0))</f>
        <v/>
      </c>
      <c r="AD101" s="116" t="str">
        <f aca="false">IF($B101="","",(IF(الموظفون!$X101&lt;&gt;"",الموظفون!$X101,IF(الموظفون!$E101="غير سعودي",cfg_IQ,0))+IF(الموظفون!$Y101&lt;&gt;"",الموظفون!$Y101,IF(الموظفون!$E101="غير سعودي",cfg_WP,0)))/12*G101/cfg_DAYS_M)</f>
        <v/>
      </c>
      <c r="AE101" s="116" t="str">
        <f aca="false">IF($B101="","",IF(الموظفون!$Z101&lt;&gt;"",الموظفون!$Z101,cfg_MED)/12*G101/cfg_DAYS_M)</f>
        <v/>
      </c>
      <c r="AF101" s="116" t="str">
        <f aca="false">IF($B101="","",N(الموظفون!$AA101)/12*G101/cfg_DAYS_M)</f>
        <v/>
      </c>
      <c r="AG101" s="159" t="str">
        <f aca="false">IF($B101="","",T101+SUM(Z101:AF101))</f>
        <v/>
      </c>
      <c r="AH101" s="160" t="str">
        <f aca="false">IF($B101="","",MAX(0,IF(OR(الموظفون!$AE101="",الموظفون!$AE101&gt;$F$3),$F$3,الموظفون!$AE101)-الموظفون!$H101+1-SUMIFS('سجل الإجازات والحالات'!$AS$6:$AS$505,'سجل الإجازات والحالات'!$B$6:$B$505,$B101))/cfg_DAYS_Y)</f>
        <v/>
      </c>
      <c r="AI101" s="160" t="str">
        <f aca="false">IF($B101="","",MAX(0,IF(OR(الموظفون!$AE101="",الموظفون!$AE101&gt;($E$3-1)),($E$3-1),الموظفون!$AE101)-الموظفون!$H101+1-SUMIFS('سجل الإجازات والحالات'!$AR$6:$AR$505,'سجل الإجازات والحالات'!$B$6:$B$505,$B101))/cfg_DAYS_Y)</f>
        <v/>
      </c>
      <c r="AJ101" s="133" t="str">
        <f aca="false">IF($B101="","",MAX(0,AK101-(SUMIFS('سجل الإجازات والحالات'!$AS$6:$AS$505,'سجل الإجازات والحالات'!$B$6:$B$505,$B101)-SUMIFS('سجل الإجازات والحالات'!$AR$6:$AR$505,'سجل الإجازات والحالات'!$B$6:$B$505,$B101))))</f>
        <v/>
      </c>
      <c r="AK101" s="133" t="str">
        <f aca="false">IF($B101="","",MAX(0,IF(OR(الموظفون!$AE101="",الموظفون!$AE101&gt;$F$3),$F$3,الموظفون!$AE101)-MAX($E$3,الموظفون!$H101)+1))</f>
        <v/>
      </c>
      <c r="AL101" s="156" t="str">
        <f aca="false">IF($B101="","",SUMIFS('سجل الإجازات والحالات'!$BE$6:$BE$505,'سجل الإجازات والحالات'!$B$6:$B$505,$B101)+SUMIFS('الحركات الشهرية'!$K$6:$K$1005,'الحركات الشهرية'!$B$6:$B$1005,$B101,'الحركات الشهرية'!$A$6:$A$1005,$C$3))</f>
        <v/>
      </c>
      <c r="AM101" s="116" t="str">
        <f aca="false">IF($B101="","",AL101*الموظفون!$R101/cfg_DAYS_M+S101)</f>
        <v/>
      </c>
      <c r="AN101" s="156" t="str">
        <f aca="false">IF($B101="","",SUMIFS('سجل الإجازات والحالات'!$AG$6:$AG$505,'سجل الإجازات والحالات'!$B$6:$B$505,$B101))</f>
        <v/>
      </c>
    </row>
    <row r="102" customFormat="false" ht="15" hidden="false" customHeight="false" outlineLevel="0" collapsed="false">
      <c r="A102" s="106" t="str">
        <f aca="false">IF($B102="","",الموظفون!$A102)</f>
        <v/>
      </c>
      <c r="B102" s="114" t="str">
        <f aca="false">IF(الموظفون!$B102="","",الموظفون!$B102)</f>
        <v/>
      </c>
      <c r="C102" s="114" t="str">
        <f aca="false">IF($B102="","",الموظفون!$C102)</f>
        <v/>
      </c>
      <c r="D102" s="114" t="str">
        <f aca="false">IF($B102="","",الموظفون!$F102)</f>
        <v/>
      </c>
      <c r="E102" s="114" t="str">
        <f aca="false">IF($B102="","",الموظفون!$E102)</f>
        <v/>
      </c>
      <c r="F102" s="114" t="str">
        <f aca="false">IF($B102="","",IF(AK102=0,IF(AND(الموظفون!$AE102&lt;&gt;"",الموظفون!$AE102&lt;$E$3),"✖ منتهي الخدمة","⏳ لم يباشر"),IF(S102&gt;0,"✈ راتب إجازة مقدم",IF(J102=0,"⛔ بدون راتب هذا الشهر",IF(I102&gt;0,"✈ خصم "&amp;ROUND(I102,2)&amp;" يوم بدون أجر",IF(AL102&gt;0,"🌴 إجازة سنوية "&amp;ROUND(AL102,2)&amp;" يوم",IF(H102&gt;0,"⚠ غياب "&amp;ROUND(H102,2)&amp;" يوم","✔ على رأس العمل")))))))</f>
        <v/>
      </c>
      <c r="G102" s="151" t="str">
        <f aca="false">IF($B102="","",IF(AK102&gt;=DAY($F$3),cfg_DAYS_M,MIN(AK102,cfg_DAYS_M)))</f>
        <v/>
      </c>
      <c r="H102" s="151" t="str">
        <f aca="false">IF($B102="","",SUMIFS('الحركات الشهرية'!$D$6:$D$1005,'الحركات الشهرية'!$B$6:$B$1005,$B102,'الحركات الشهرية'!$A$6:$A$1005,$C$3))</f>
        <v/>
      </c>
      <c r="I102" s="151" t="str">
        <f aca="false">IF($B102="","",MIN(G102,IF(AND(AK102&gt;0,AN102&gt;=AK102),G102,AN102)+SUMIFS('الحركات الشهرية'!$E$6:$E$1005,'الحركات الشهرية'!$B$6:$B$1005,$B102,'الحركات الشهرية'!$A$6:$A$1005,$C$3)))</f>
        <v/>
      </c>
      <c r="J102" s="151" t="str">
        <f aca="false">IF($B102="","",MAX(0,G102-H102-I102))</f>
        <v/>
      </c>
      <c r="K102" s="111" t="str">
        <f aca="false">IF($B102="","",الموظفون!$L102*$J102/cfg_DAYS_M)</f>
        <v/>
      </c>
      <c r="L102" s="111" t="str">
        <f aca="false">IF($B102="","",الموظفون!$M102*$J102/cfg_DAYS_M)</f>
        <v/>
      </c>
      <c r="M102" s="111" t="str">
        <f aca="false">IF($B102="","",الموظفون!$N102*$J102/cfg_DAYS_M)</f>
        <v/>
      </c>
      <c r="N102" s="111" t="str">
        <f aca="false">IF($B102="","",الموظفون!$O102*$J102/cfg_DAYS_M)</f>
        <v/>
      </c>
      <c r="O102" s="151" t="str">
        <f aca="false">IF($B102="","",SUMIFS('الحركات الشهرية'!$F$6:$F$1005,'الحركات الشهرية'!$B$6:$B$1005,$B102,'الحركات الشهرية'!$A$6:$A$1005,$C$3))</f>
        <v/>
      </c>
      <c r="P102" s="111" t="str">
        <f aca="false">IF($B102="","",O102*(الموظفون!$P102+الموظفون!$L102*cfg_OT_P)/cfg_DAYS_M/cfg_HRS)</f>
        <v/>
      </c>
      <c r="Q102" s="111" t="str">
        <f aca="false">IF($B102="","",SUMIFS('الحركات الشهرية'!$G$6:$G$1005,'الحركات الشهرية'!$B$6:$B$1005,$B102,'الحركات الشهرية'!$A$6:$A$1005,$C$3))</f>
        <v/>
      </c>
      <c r="R102" s="111" t="str">
        <f aca="false">IF($B102="","",SUMIFS('الحركات الشهرية'!$H$6:$H$1005,'الحركات الشهرية'!$B$6:$B$1005,$B102,'الحركات الشهرية'!$A$6:$A$1005,$C$3))</f>
        <v/>
      </c>
      <c r="S102" s="111" t="str">
        <f aca="false">IF($B102="","",SUMIFS('سجل الإجازات والحالات'!$N$6:$N$505,'سجل الإجازات والحالات'!$B$6:$B$505,$B102,'سجل الإجازات والحالات'!$O$6:$O$505,$C$3))</f>
        <v/>
      </c>
      <c r="T102" s="152" t="str">
        <f aca="false">IF($B102="","",SUM(K102:N102)+SUM(P102:S102))</f>
        <v/>
      </c>
      <c r="U102" s="111" t="str">
        <f aca="false">IF($B102="","",الموظفون!$S102*IF(E102="سعودي",cfg_G_SE,cfg_G_NE)*G102/cfg_DAYS_M)</f>
        <v/>
      </c>
      <c r="V102" s="111" t="str">
        <f aca="false">IF($B102="","",SUMIFS('الحركات الشهرية'!$I$6:$I$1005,'الحركات الشهرية'!$B$6:$B$1005,$B102,'الحركات الشهرية'!$A$6:$A$1005,$C$3))</f>
        <v/>
      </c>
      <c r="W102" s="111" t="str">
        <f aca="false">IF($B102="","",SUMIFS('الحركات الشهرية'!$J$6:$J$1005,'الحركات الشهرية'!$B$6:$B$1005,$B102,'الحركات الشهرية'!$A$6:$A$1005,$C$3))</f>
        <v/>
      </c>
      <c r="X102" s="111" t="str">
        <f aca="false">IF($B102="","",SUM(U102:W102))</f>
        <v/>
      </c>
      <c r="Y102" s="153" t="str">
        <f aca="false">IF($B102="","",T102-X102)</f>
        <v/>
      </c>
      <c r="Z102" s="111" t="str">
        <f aca="false">IF($B102="","",الموظفون!$S102*IF(E102="سعودي",cfg_G_SR,cfg_G_NR)*G102/cfg_DAYS_M)</f>
        <v/>
      </c>
      <c r="AA102" s="111" t="str">
        <f aca="false">IF($B102="","",الموظفون!$Q102*(cfg_EOS_R1*(MIN(AH102,cfg_EOS_TH)-MIN(AI102,cfg_EOS_TH))+cfg_EOS_R2*(MAX(AH102-cfg_EOS_TH,0)-MAX(AI102-cfg_EOS_TH,0))))</f>
        <v/>
      </c>
      <c r="AB102" s="111" t="str">
        <f aca="false">IF($B102="","",IF(الموظفون!$T102&lt;&gt;"",الموظفون!$T102,IF(AH102&gt;=cfg_LV_TH,cfg_LV_D2,cfg_LV_D1))/cfg_DAYS_Y*AJ102*الموظفون!$R102/cfg_DAYS_M)</f>
        <v/>
      </c>
      <c r="AC102" s="111" t="str">
        <f aca="false">IF($B102="","",IF(AND(الموظفون!$U102="نعم",N(الموظفون!$W102)&gt;0),الموظفون!$V102/الموظفون!$W102*12/cfg_DAYS_Y*AJ102,0))</f>
        <v/>
      </c>
      <c r="AD102" s="111" t="str">
        <f aca="false">IF($B102="","",(IF(الموظفون!$X102&lt;&gt;"",الموظفون!$X102,IF(الموظفون!$E102="غير سعودي",cfg_IQ,0))+IF(الموظفون!$Y102&lt;&gt;"",الموظفون!$Y102,IF(الموظفون!$E102="غير سعودي",cfg_WP,0)))/12*G102/cfg_DAYS_M)</f>
        <v/>
      </c>
      <c r="AE102" s="111" t="str">
        <f aca="false">IF($B102="","",IF(الموظفون!$Z102&lt;&gt;"",الموظفون!$Z102,cfg_MED)/12*G102/cfg_DAYS_M)</f>
        <v/>
      </c>
      <c r="AF102" s="111" t="str">
        <f aca="false">IF($B102="","",N(الموظفون!$AA102)/12*G102/cfg_DAYS_M)</f>
        <v/>
      </c>
      <c r="AG102" s="154" t="str">
        <f aca="false">IF($B102="","",T102+SUM(Z102:AF102))</f>
        <v/>
      </c>
      <c r="AH102" s="155" t="str">
        <f aca="false">IF($B102="","",MAX(0,IF(OR(الموظفون!$AE102="",الموظفون!$AE102&gt;$F$3),$F$3,الموظفون!$AE102)-الموظفون!$H102+1-SUMIFS('سجل الإجازات والحالات'!$AS$6:$AS$505,'سجل الإجازات والحالات'!$B$6:$B$505,$B102))/cfg_DAYS_Y)</f>
        <v/>
      </c>
      <c r="AI102" s="155" t="str">
        <f aca="false">IF($B102="","",MAX(0,IF(OR(الموظفون!$AE102="",الموظفون!$AE102&gt;($E$3-1)),($E$3-1),الموظفون!$AE102)-الموظفون!$H102+1-SUMIFS('سجل الإجازات والحالات'!$AR$6:$AR$505,'سجل الإجازات والحالات'!$B$6:$B$505,$B102))/cfg_DAYS_Y)</f>
        <v/>
      </c>
      <c r="AJ102" s="65" t="str">
        <f aca="false">IF($B102="","",MAX(0,AK102-(SUMIFS('سجل الإجازات والحالات'!$AS$6:$AS$505,'سجل الإجازات والحالات'!$B$6:$B$505,$B102)-SUMIFS('سجل الإجازات والحالات'!$AR$6:$AR$505,'سجل الإجازات والحالات'!$B$6:$B$505,$B102))))</f>
        <v/>
      </c>
      <c r="AK102" s="65" t="str">
        <f aca="false">IF($B102="","",MAX(0,IF(OR(الموظفون!$AE102="",الموظفون!$AE102&gt;$F$3),$F$3,الموظفون!$AE102)-MAX($E$3,الموظفون!$H102)+1))</f>
        <v/>
      </c>
      <c r="AL102" s="151" t="str">
        <f aca="false">IF($B102="","",SUMIFS('سجل الإجازات والحالات'!$BE$6:$BE$505,'سجل الإجازات والحالات'!$B$6:$B$505,$B102)+SUMIFS('الحركات الشهرية'!$K$6:$K$1005,'الحركات الشهرية'!$B$6:$B$1005,$B102,'الحركات الشهرية'!$A$6:$A$1005,$C$3))</f>
        <v/>
      </c>
      <c r="AM102" s="111" t="str">
        <f aca="false">IF($B102="","",AL102*الموظفون!$R102/cfg_DAYS_M+S102)</f>
        <v/>
      </c>
      <c r="AN102" s="151" t="str">
        <f aca="false">IF($B102="","",SUMIFS('سجل الإجازات والحالات'!$AG$6:$AG$505,'سجل الإجازات والحالات'!$B$6:$B$505,$B102))</f>
        <v/>
      </c>
    </row>
    <row r="103" customFormat="false" ht="15" hidden="false" customHeight="false" outlineLevel="0" collapsed="false">
      <c r="A103" s="115" t="str">
        <f aca="false">IF($B103="","",الموظفون!$A103)</f>
        <v/>
      </c>
      <c r="B103" s="117" t="str">
        <f aca="false">IF(الموظفون!$B103="","",الموظفون!$B103)</f>
        <v/>
      </c>
      <c r="C103" s="117" t="str">
        <f aca="false">IF($B103="","",الموظفون!$C103)</f>
        <v/>
      </c>
      <c r="D103" s="117" t="str">
        <f aca="false">IF($B103="","",الموظفون!$F103)</f>
        <v/>
      </c>
      <c r="E103" s="117" t="str">
        <f aca="false">IF($B103="","",الموظفون!$E103)</f>
        <v/>
      </c>
      <c r="F103" s="117" t="str">
        <f aca="false">IF($B103="","",IF(AK103=0,IF(AND(الموظفون!$AE103&lt;&gt;"",الموظفون!$AE103&lt;$E$3),"✖ منتهي الخدمة","⏳ لم يباشر"),IF(S103&gt;0,"✈ راتب إجازة مقدم",IF(J103=0,"⛔ بدون راتب هذا الشهر",IF(I103&gt;0,"✈ خصم "&amp;ROUND(I103,2)&amp;" يوم بدون أجر",IF(AL103&gt;0,"🌴 إجازة سنوية "&amp;ROUND(AL103,2)&amp;" يوم",IF(H103&gt;0,"⚠ غياب "&amp;ROUND(H103,2)&amp;" يوم","✔ على رأس العمل")))))))</f>
        <v/>
      </c>
      <c r="G103" s="156" t="str">
        <f aca="false">IF($B103="","",IF(AK103&gt;=DAY($F$3),cfg_DAYS_M,MIN(AK103,cfg_DAYS_M)))</f>
        <v/>
      </c>
      <c r="H103" s="156" t="str">
        <f aca="false">IF($B103="","",SUMIFS('الحركات الشهرية'!$D$6:$D$1005,'الحركات الشهرية'!$B$6:$B$1005,$B103,'الحركات الشهرية'!$A$6:$A$1005,$C$3))</f>
        <v/>
      </c>
      <c r="I103" s="156" t="str">
        <f aca="false">IF($B103="","",MIN(G103,IF(AND(AK103&gt;0,AN103&gt;=AK103),G103,AN103)+SUMIFS('الحركات الشهرية'!$E$6:$E$1005,'الحركات الشهرية'!$B$6:$B$1005,$B103,'الحركات الشهرية'!$A$6:$A$1005,$C$3)))</f>
        <v/>
      </c>
      <c r="J103" s="156" t="str">
        <f aca="false">IF($B103="","",MAX(0,G103-H103-I103))</f>
        <v/>
      </c>
      <c r="K103" s="116" t="str">
        <f aca="false">IF($B103="","",الموظفون!$L103*$J103/cfg_DAYS_M)</f>
        <v/>
      </c>
      <c r="L103" s="116" t="str">
        <f aca="false">IF($B103="","",الموظفون!$M103*$J103/cfg_DAYS_M)</f>
        <v/>
      </c>
      <c r="M103" s="116" t="str">
        <f aca="false">IF($B103="","",الموظفون!$N103*$J103/cfg_DAYS_M)</f>
        <v/>
      </c>
      <c r="N103" s="116" t="str">
        <f aca="false">IF($B103="","",الموظفون!$O103*$J103/cfg_DAYS_M)</f>
        <v/>
      </c>
      <c r="O103" s="156" t="str">
        <f aca="false">IF($B103="","",SUMIFS('الحركات الشهرية'!$F$6:$F$1005,'الحركات الشهرية'!$B$6:$B$1005,$B103,'الحركات الشهرية'!$A$6:$A$1005,$C$3))</f>
        <v/>
      </c>
      <c r="P103" s="116" t="str">
        <f aca="false">IF($B103="","",O103*(الموظفون!$P103+الموظفون!$L103*cfg_OT_P)/cfg_DAYS_M/cfg_HRS)</f>
        <v/>
      </c>
      <c r="Q103" s="116" t="str">
        <f aca="false">IF($B103="","",SUMIFS('الحركات الشهرية'!$G$6:$G$1005,'الحركات الشهرية'!$B$6:$B$1005,$B103,'الحركات الشهرية'!$A$6:$A$1005,$C$3))</f>
        <v/>
      </c>
      <c r="R103" s="116" t="str">
        <f aca="false">IF($B103="","",SUMIFS('الحركات الشهرية'!$H$6:$H$1005,'الحركات الشهرية'!$B$6:$B$1005,$B103,'الحركات الشهرية'!$A$6:$A$1005,$C$3))</f>
        <v/>
      </c>
      <c r="S103" s="116" t="str">
        <f aca="false">IF($B103="","",SUMIFS('سجل الإجازات والحالات'!$N$6:$N$505,'سجل الإجازات والحالات'!$B$6:$B$505,$B103,'سجل الإجازات والحالات'!$O$6:$O$505,$C$3))</f>
        <v/>
      </c>
      <c r="T103" s="157" t="str">
        <f aca="false">IF($B103="","",SUM(K103:N103)+SUM(P103:S103))</f>
        <v/>
      </c>
      <c r="U103" s="116" t="str">
        <f aca="false">IF($B103="","",الموظفون!$S103*IF(E103="سعودي",cfg_G_SE,cfg_G_NE)*G103/cfg_DAYS_M)</f>
        <v/>
      </c>
      <c r="V103" s="116" t="str">
        <f aca="false">IF($B103="","",SUMIFS('الحركات الشهرية'!$I$6:$I$1005,'الحركات الشهرية'!$B$6:$B$1005,$B103,'الحركات الشهرية'!$A$6:$A$1005,$C$3))</f>
        <v/>
      </c>
      <c r="W103" s="116" t="str">
        <f aca="false">IF($B103="","",SUMIFS('الحركات الشهرية'!$J$6:$J$1005,'الحركات الشهرية'!$B$6:$B$1005,$B103,'الحركات الشهرية'!$A$6:$A$1005,$C$3))</f>
        <v/>
      </c>
      <c r="X103" s="116" t="str">
        <f aca="false">IF($B103="","",SUM(U103:W103))</f>
        <v/>
      </c>
      <c r="Y103" s="158" t="str">
        <f aca="false">IF($B103="","",T103-X103)</f>
        <v/>
      </c>
      <c r="Z103" s="116" t="str">
        <f aca="false">IF($B103="","",الموظفون!$S103*IF(E103="سعودي",cfg_G_SR,cfg_G_NR)*G103/cfg_DAYS_M)</f>
        <v/>
      </c>
      <c r="AA103" s="116" t="str">
        <f aca="false">IF($B103="","",الموظفون!$Q103*(cfg_EOS_R1*(MIN(AH103,cfg_EOS_TH)-MIN(AI103,cfg_EOS_TH))+cfg_EOS_R2*(MAX(AH103-cfg_EOS_TH,0)-MAX(AI103-cfg_EOS_TH,0))))</f>
        <v/>
      </c>
      <c r="AB103" s="116" t="str">
        <f aca="false">IF($B103="","",IF(الموظفون!$T103&lt;&gt;"",الموظفون!$T103,IF(AH103&gt;=cfg_LV_TH,cfg_LV_D2,cfg_LV_D1))/cfg_DAYS_Y*AJ103*الموظفون!$R103/cfg_DAYS_M)</f>
        <v/>
      </c>
      <c r="AC103" s="116" t="str">
        <f aca="false">IF($B103="","",IF(AND(الموظفون!$U103="نعم",N(الموظفون!$W103)&gt;0),الموظفون!$V103/الموظفون!$W103*12/cfg_DAYS_Y*AJ103,0))</f>
        <v/>
      </c>
      <c r="AD103" s="116" t="str">
        <f aca="false">IF($B103="","",(IF(الموظفون!$X103&lt;&gt;"",الموظفون!$X103,IF(الموظفون!$E103="غير سعودي",cfg_IQ,0))+IF(الموظفون!$Y103&lt;&gt;"",الموظفون!$Y103,IF(الموظفون!$E103="غير سعودي",cfg_WP,0)))/12*G103/cfg_DAYS_M)</f>
        <v/>
      </c>
      <c r="AE103" s="116" t="str">
        <f aca="false">IF($B103="","",IF(الموظفون!$Z103&lt;&gt;"",الموظفون!$Z103,cfg_MED)/12*G103/cfg_DAYS_M)</f>
        <v/>
      </c>
      <c r="AF103" s="116" t="str">
        <f aca="false">IF($B103="","",N(الموظفون!$AA103)/12*G103/cfg_DAYS_M)</f>
        <v/>
      </c>
      <c r="AG103" s="159" t="str">
        <f aca="false">IF($B103="","",T103+SUM(Z103:AF103))</f>
        <v/>
      </c>
      <c r="AH103" s="160" t="str">
        <f aca="false">IF($B103="","",MAX(0,IF(OR(الموظفون!$AE103="",الموظفون!$AE103&gt;$F$3),$F$3,الموظفون!$AE103)-الموظفون!$H103+1-SUMIFS('سجل الإجازات والحالات'!$AS$6:$AS$505,'سجل الإجازات والحالات'!$B$6:$B$505,$B103))/cfg_DAYS_Y)</f>
        <v/>
      </c>
      <c r="AI103" s="160" t="str">
        <f aca="false">IF($B103="","",MAX(0,IF(OR(الموظفون!$AE103="",الموظفون!$AE103&gt;($E$3-1)),($E$3-1),الموظفون!$AE103)-الموظفون!$H103+1-SUMIFS('سجل الإجازات والحالات'!$AR$6:$AR$505,'سجل الإجازات والحالات'!$B$6:$B$505,$B103))/cfg_DAYS_Y)</f>
        <v/>
      </c>
      <c r="AJ103" s="133" t="str">
        <f aca="false">IF($B103="","",MAX(0,AK103-(SUMIFS('سجل الإجازات والحالات'!$AS$6:$AS$505,'سجل الإجازات والحالات'!$B$6:$B$505,$B103)-SUMIFS('سجل الإجازات والحالات'!$AR$6:$AR$505,'سجل الإجازات والحالات'!$B$6:$B$505,$B103))))</f>
        <v/>
      </c>
      <c r="AK103" s="133" t="str">
        <f aca="false">IF($B103="","",MAX(0,IF(OR(الموظفون!$AE103="",الموظفون!$AE103&gt;$F$3),$F$3,الموظفون!$AE103)-MAX($E$3,الموظفون!$H103)+1))</f>
        <v/>
      </c>
      <c r="AL103" s="156" t="str">
        <f aca="false">IF($B103="","",SUMIFS('سجل الإجازات والحالات'!$BE$6:$BE$505,'سجل الإجازات والحالات'!$B$6:$B$505,$B103)+SUMIFS('الحركات الشهرية'!$K$6:$K$1005,'الحركات الشهرية'!$B$6:$B$1005,$B103,'الحركات الشهرية'!$A$6:$A$1005,$C$3))</f>
        <v/>
      </c>
      <c r="AM103" s="116" t="str">
        <f aca="false">IF($B103="","",AL103*الموظفون!$R103/cfg_DAYS_M+S103)</f>
        <v/>
      </c>
      <c r="AN103" s="156" t="str">
        <f aca="false">IF($B103="","",SUMIFS('سجل الإجازات والحالات'!$AG$6:$AG$505,'سجل الإجازات والحالات'!$B$6:$B$505,$B103))</f>
        <v/>
      </c>
    </row>
    <row r="104" customFormat="false" ht="15" hidden="false" customHeight="false" outlineLevel="0" collapsed="false">
      <c r="A104" s="106" t="str">
        <f aca="false">IF($B104="","",الموظفون!$A104)</f>
        <v/>
      </c>
      <c r="B104" s="114" t="str">
        <f aca="false">IF(الموظفون!$B104="","",الموظفون!$B104)</f>
        <v/>
      </c>
      <c r="C104" s="114" t="str">
        <f aca="false">IF($B104="","",الموظفون!$C104)</f>
        <v/>
      </c>
      <c r="D104" s="114" t="str">
        <f aca="false">IF($B104="","",الموظفون!$F104)</f>
        <v/>
      </c>
      <c r="E104" s="114" t="str">
        <f aca="false">IF($B104="","",الموظفون!$E104)</f>
        <v/>
      </c>
      <c r="F104" s="114" t="str">
        <f aca="false">IF($B104="","",IF(AK104=0,IF(AND(الموظفون!$AE104&lt;&gt;"",الموظفون!$AE104&lt;$E$3),"✖ منتهي الخدمة","⏳ لم يباشر"),IF(S104&gt;0,"✈ راتب إجازة مقدم",IF(J104=0,"⛔ بدون راتب هذا الشهر",IF(I104&gt;0,"✈ خصم "&amp;ROUND(I104,2)&amp;" يوم بدون أجر",IF(AL104&gt;0,"🌴 إجازة سنوية "&amp;ROUND(AL104,2)&amp;" يوم",IF(H104&gt;0,"⚠ غياب "&amp;ROUND(H104,2)&amp;" يوم","✔ على رأس العمل")))))))</f>
        <v/>
      </c>
      <c r="G104" s="151" t="str">
        <f aca="false">IF($B104="","",IF(AK104&gt;=DAY($F$3),cfg_DAYS_M,MIN(AK104,cfg_DAYS_M)))</f>
        <v/>
      </c>
      <c r="H104" s="151" t="str">
        <f aca="false">IF($B104="","",SUMIFS('الحركات الشهرية'!$D$6:$D$1005,'الحركات الشهرية'!$B$6:$B$1005,$B104,'الحركات الشهرية'!$A$6:$A$1005,$C$3))</f>
        <v/>
      </c>
      <c r="I104" s="151" t="str">
        <f aca="false">IF($B104="","",MIN(G104,IF(AND(AK104&gt;0,AN104&gt;=AK104),G104,AN104)+SUMIFS('الحركات الشهرية'!$E$6:$E$1005,'الحركات الشهرية'!$B$6:$B$1005,$B104,'الحركات الشهرية'!$A$6:$A$1005,$C$3)))</f>
        <v/>
      </c>
      <c r="J104" s="151" t="str">
        <f aca="false">IF($B104="","",MAX(0,G104-H104-I104))</f>
        <v/>
      </c>
      <c r="K104" s="111" t="str">
        <f aca="false">IF($B104="","",الموظفون!$L104*$J104/cfg_DAYS_M)</f>
        <v/>
      </c>
      <c r="L104" s="111" t="str">
        <f aca="false">IF($B104="","",الموظفون!$M104*$J104/cfg_DAYS_M)</f>
        <v/>
      </c>
      <c r="M104" s="111" t="str">
        <f aca="false">IF($B104="","",الموظفون!$N104*$J104/cfg_DAYS_M)</f>
        <v/>
      </c>
      <c r="N104" s="111" t="str">
        <f aca="false">IF($B104="","",الموظفون!$O104*$J104/cfg_DAYS_M)</f>
        <v/>
      </c>
      <c r="O104" s="151" t="str">
        <f aca="false">IF($B104="","",SUMIFS('الحركات الشهرية'!$F$6:$F$1005,'الحركات الشهرية'!$B$6:$B$1005,$B104,'الحركات الشهرية'!$A$6:$A$1005,$C$3))</f>
        <v/>
      </c>
      <c r="P104" s="111" t="str">
        <f aca="false">IF($B104="","",O104*(الموظفون!$P104+الموظفون!$L104*cfg_OT_P)/cfg_DAYS_M/cfg_HRS)</f>
        <v/>
      </c>
      <c r="Q104" s="111" t="str">
        <f aca="false">IF($B104="","",SUMIFS('الحركات الشهرية'!$G$6:$G$1005,'الحركات الشهرية'!$B$6:$B$1005,$B104,'الحركات الشهرية'!$A$6:$A$1005,$C$3))</f>
        <v/>
      </c>
      <c r="R104" s="111" t="str">
        <f aca="false">IF($B104="","",SUMIFS('الحركات الشهرية'!$H$6:$H$1005,'الحركات الشهرية'!$B$6:$B$1005,$B104,'الحركات الشهرية'!$A$6:$A$1005,$C$3))</f>
        <v/>
      </c>
      <c r="S104" s="111" t="str">
        <f aca="false">IF($B104="","",SUMIFS('سجل الإجازات والحالات'!$N$6:$N$505,'سجل الإجازات والحالات'!$B$6:$B$505,$B104,'سجل الإجازات والحالات'!$O$6:$O$505,$C$3))</f>
        <v/>
      </c>
      <c r="T104" s="152" t="str">
        <f aca="false">IF($B104="","",SUM(K104:N104)+SUM(P104:S104))</f>
        <v/>
      </c>
      <c r="U104" s="111" t="str">
        <f aca="false">IF($B104="","",الموظفون!$S104*IF(E104="سعودي",cfg_G_SE,cfg_G_NE)*G104/cfg_DAYS_M)</f>
        <v/>
      </c>
      <c r="V104" s="111" t="str">
        <f aca="false">IF($B104="","",SUMIFS('الحركات الشهرية'!$I$6:$I$1005,'الحركات الشهرية'!$B$6:$B$1005,$B104,'الحركات الشهرية'!$A$6:$A$1005,$C$3))</f>
        <v/>
      </c>
      <c r="W104" s="111" t="str">
        <f aca="false">IF($B104="","",SUMIFS('الحركات الشهرية'!$J$6:$J$1005,'الحركات الشهرية'!$B$6:$B$1005,$B104,'الحركات الشهرية'!$A$6:$A$1005,$C$3))</f>
        <v/>
      </c>
      <c r="X104" s="111" t="str">
        <f aca="false">IF($B104="","",SUM(U104:W104))</f>
        <v/>
      </c>
      <c r="Y104" s="153" t="str">
        <f aca="false">IF($B104="","",T104-X104)</f>
        <v/>
      </c>
      <c r="Z104" s="111" t="str">
        <f aca="false">IF($B104="","",الموظفون!$S104*IF(E104="سعودي",cfg_G_SR,cfg_G_NR)*G104/cfg_DAYS_M)</f>
        <v/>
      </c>
      <c r="AA104" s="111" t="str">
        <f aca="false">IF($B104="","",الموظفون!$Q104*(cfg_EOS_R1*(MIN(AH104,cfg_EOS_TH)-MIN(AI104,cfg_EOS_TH))+cfg_EOS_R2*(MAX(AH104-cfg_EOS_TH,0)-MAX(AI104-cfg_EOS_TH,0))))</f>
        <v/>
      </c>
      <c r="AB104" s="111" t="str">
        <f aca="false">IF($B104="","",IF(الموظفون!$T104&lt;&gt;"",الموظفون!$T104,IF(AH104&gt;=cfg_LV_TH,cfg_LV_D2,cfg_LV_D1))/cfg_DAYS_Y*AJ104*الموظفون!$R104/cfg_DAYS_M)</f>
        <v/>
      </c>
      <c r="AC104" s="111" t="str">
        <f aca="false">IF($B104="","",IF(AND(الموظفون!$U104="نعم",N(الموظفون!$W104)&gt;0),الموظفون!$V104/الموظفون!$W104*12/cfg_DAYS_Y*AJ104,0))</f>
        <v/>
      </c>
      <c r="AD104" s="111" t="str">
        <f aca="false">IF($B104="","",(IF(الموظفون!$X104&lt;&gt;"",الموظفون!$X104,IF(الموظفون!$E104="غير سعودي",cfg_IQ,0))+IF(الموظفون!$Y104&lt;&gt;"",الموظفون!$Y104,IF(الموظفون!$E104="غير سعودي",cfg_WP,0)))/12*G104/cfg_DAYS_M)</f>
        <v/>
      </c>
      <c r="AE104" s="111" t="str">
        <f aca="false">IF($B104="","",IF(الموظفون!$Z104&lt;&gt;"",الموظفون!$Z104,cfg_MED)/12*G104/cfg_DAYS_M)</f>
        <v/>
      </c>
      <c r="AF104" s="111" t="str">
        <f aca="false">IF($B104="","",N(الموظفون!$AA104)/12*G104/cfg_DAYS_M)</f>
        <v/>
      </c>
      <c r="AG104" s="154" t="str">
        <f aca="false">IF($B104="","",T104+SUM(Z104:AF104))</f>
        <v/>
      </c>
      <c r="AH104" s="155" t="str">
        <f aca="false">IF($B104="","",MAX(0,IF(OR(الموظفون!$AE104="",الموظفون!$AE104&gt;$F$3),$F$3,الموظفون!$AE104)-الموظفون!$H104+1-SUMIFS('سجل الإجازات والحالات'!$AS$6:$AS$505,'سجل الإجازات والحالات'!$B$6:$B$505,$B104))/cfg_DAYS_Y)</f>
        <v/>
      </c>
      <c r="AI104" s="155" t="str">
        <f aca="false">IF($B104="","",MAX(0,IF(OR(الموظفون!$AE104="",الموظفون!$AE104&gt;($E$3-1)),($E$3-1),الموظفون!$AE104)-الموظفون!$H104+1-SUMIFS('سجل الإجازات والحالات'!$AR$6:$AR$505,'سجل الإجازات والحالات'!$B$6:$B$505,$B104))/cfg_DAYS_Y)</f>
        <v/>
      </c>
      <c r="AJ104" s="65" t="str">
        <f aca="false">IF($B104="","",MAX(0,AK104-(SUMIFS('سجل الإجازات والحالات'!$AS$6:$AS$505,'سجل الإجازات والحالات'!$B$6:$B$505,$B104)-SUMIFS('سجل الإجازات والحالات'!$AR$6:$AR$505,'سجل الإجازات والحالات'!$B$6:$B$505,$B104))))</f>
        <v/>
      </c>
      <c r="AK104" s="65" t="str">
        <f aca="false">IF($B104="","",MAX(0,IF(OR(الموظفون!$AE104="",الموظفون!$AE104&gt;$F$3),$F$3,الموظفون!$AE104)-MAX($E$3,الموظفون!$H104)+1))</f>
        <v/>
      </c>
      <c r="AL104" s="151" t="str">
        <f aca="false">IF($B104="","",SUMIFS('سجل الإجازات والحالات'!$BE$6:$BE$505,'سجل الإجازات والحالات'!$B$6:$B$505,$B104)+SUMIFS('الحركات الشهرية'!$K$6:$K$1005,'الحركات الشهرية'!$B$6:$B$1005,$B104,'الحركات الشهرية'!$A$6:$A$1005,$C$3))</f>
        <v/>
      </c>
      <c r="AM104" s="111" t="str">
        <f aca="false">IF($B104="","",AL104*الموظفون!$R104/cfg_DAYS_M+S104)</f>
        <v/>
      </c>
      <c r="AN104" s="151" t="str">
        <f aca="false">IF($B104="","",SUMIFS('سجل الإجازات والحالات'!$AG$6:$AG$505,'سجل الإجازات والحالات'!$B$6:$B$505,$B104))</f>
        <v/>
      </c>
    </row>
    <row r="105" customFormat="false" ht="15" hidden="false" customHeight="false" outlineLevel="0" collapsed="false">
      <c r="A105" s="115" t="str">
        <f aca="false">IF($B105="","",الموظفون!$A105)</f>
        <v/>
      </c>
      <c r="B105" s="117" t="str">
        <f aca="false">IF(الموظفون!$B105="","",الموظفون!$B105)</f>
        <v/>
      </c>
      <c r="C105" s="117" t="str">
        <f aca="false">IF($B105="","",الموظفون!$C105)</f>
        <v/>
      </c>
      <c r="D105" s="117" t="str">
        <f aca="false">IF($B105="","",الموظفون!$F105)</f>
        <v/>
      </c>
      <c r="E105" s="117" t="str">
        <f aca="false">IF($B105="","",الموظفون!$E105)</f>
        <v/>
      </c>
      <c r="F105" s="117" t="str">
        <f aca="false">IF($B105="","",IF(AK105=0,IF(AND(الموظفون!$AE105&lt;&gt;"",الموظفون!$AE105&lt;$E$3),"✖ منتهي الخدمة","⏳ لم يباشر"),IF(S105&gt;0,"✈ راتب إجازة مقدم",IF(J105=0,"⛔ بدون راتب هذا الشهر",IF(I105&gt;0,"✈ خصم "&amp;ROUND(I105,2)&amp;" يوم بدون أجر",IF(AL105&gt;0,"🌴 إجازة سنوية "&amp;ROUND(AL105,2)&amp;" يوم",IF(H105&gt;0,"⚠ غياب "&amp;ROUND(H105,2)&amp;" يوم","✔ على رأس العمل")))))))</f>
        <v/>
      </c>
      <c r="G105" s="156" t="str">
        <f aca="false">IF($B105="","",IF(AK105&gt;=DAY($F$3),cfg_DAYS_M,MIN(AK105,cfg_DAYS_M)))</f>
        <v/>
      </c>
      <c r="H105" s="156" t="str">
        <f aca="false">IF($B105="","",SUMIFS('الحركات الشهرية'!$D$6:$D$1005,'الحركات الشهرية'!$B$6:$B$1005,$B105,'الحركات الشهرية'!$A$6:$A$1005,$C$3))</f>
        <v/>
      </c>
      <c r="I105" s="156" t="str">
        <f aca="false">IF($B105="","",MIN(G105,IF(AND(AK105&gt;0,AN105&gt;=AK105),G105,AN105)+SUMIFS('الحركات الشهرية'!$E$6:$E$1005,'الحركات الشهرية'!$B$6:$B$1005,$B105,'الحركات الشهرية'!$A$6:$A$1005,$C$3)))</f>
        <v/>
      </c>
      <c r="J105" s="156" t="str">
        <f aca="false">IF($B105="","",MAX(0,G105-H105-I105))</f>
        <v/>
      </c>
      <c r="K105" s="116" t="str">
        <f aca="false">IF($B105="","",الموظفون!$L105*$J105/cfg_DAYS_M)</f>
        <v/>
      </c>
      <c r="L105" s="116" t="str">
        <f aca="false">IF($B105="","",الموظفون!$M105*$J105/cfg_DAYS_M)</f>
        <v/>
      </c>
      <c r="M105" s="116" t="str">
        <f aca="false">IF($B105="","",الموظفون!$N105*$J105/cfg_DAYS_M)</f>
        <v/>
      </c>
      <c r="N105" s="116" t="str">
        <f aca="false">IF($B105="","",الموظفون!$O105*$J105/cfg_DAYS_M)</f>
        <v/>
      </c>
      <c r="O105" s="156" t="str">
        <f aca="false">IF($B105="","",SUMIFS('الحركات الشهرية'!$F$6:$F$1005,'الحركات الشهرية'!$B$6:$B$1005,$B105,'الحركات الشهرية'!$A$6:$A$1005,$C$3))</f>
        <v/>
      </c>
      <c r="P105" s="116" t="str">
        <f aca="false">IF($B105="","",O105*(الموظفون!$P105+الموظفون!$L105*cfg_OT_P)/cfg_DAYS_M/cfg_HRS)</f>
        <v/>
      </c>
      <c r="Q105" s="116" t="str">
        <f aca="false">IF($B105="","",SUMIFS('الحركات الشهرية'!$G$6:$G$1005,'الحركات الشهرية'!$B$6:$B$1005,$B105,'الحركات الشهرية'!$A$6:$A$1005,$C$3))</f>
        <v/>
      </c>
      <c r="R105" s="116" t="str">
        <f aca="false">IF($B105="","",SUMIFS('الحركات الشهرية'!$H$6:$H$1005,'الحركات الشهرية'!$B$6:$B$1005,$B105,'الحركات الشهرية'!$A$6:$A$1005,$C$3))</f>
        <v/>
      </c>
      <c r="S105" s="116" t="str">
        <f aca="false">IF($B105="","",SUMIFS('سجل الإجازات والحالات'!$N$6:$N$505,'سجل الإجازات والحالات'!$B$6:$B$505,$B105,'سجل الإجازات والحالات'!$O$6:$O$505,$C$3))</f>
        <v/>
      </c>
      <c r="T105" s="157" t="str">
        <f aca="false">IF($B105="","",SUM(K105:N105)+SUM(P105:S105))</f>
        <v/>
      </c>
      <c r="U105" s="116" t="str">
        <f aca="false">IF($B105="","",الموظفون!$S105*IF(E105="سعودي",cfg_G_SE,cfg_G_NE)*G105/cfg_DAYS_M)</f>
        <v/>
      </c>
      <c r="V105" s="116" t="str">
        <f aca="false">IF($B105="","",SUMIFS('الحركات الشهرية'!$I$6:$I$1005,'الحركات الشهرية'!$B$6:$B$1005,$B105,'الحركات الشهرية'!$A$6:$A$1005,$C$3))</f>
        <v/>
      </c>
      <c r="W105" s="116" t="str">
        <f aca="false">IF($B105="","",SUMIFS('الحركات الشهرية'!$J$6:$J$1005,'الحركات الشهرية'!$B$6:$B$1005,$B105,'الحركات الشهرية'!$A$6:$A$1005,$C$3))</f>
        <v/>
      </c>
      <c r="X105" s="116" t="str">
        <f aca="false">IF($B105="","",SUM(U105:W105))</f>
        <v/>
      </c>
      <c r="Y105" s="158" t="str">
        <f aca="false">IF($B105="","",T105-X105)</f>
        <v/>
      </c>
      <c r="Z105" s="116" t="str">
        <f aca="false">IF($B105="","",الموظفون!$S105*IF(E105="سعودي",cfg_G_SR,cfg_G_NR)*G105/cfg_DAYS_M)</f>
        <v/>
      </c>
      <c r="AA105" s="116" t="str">
        <f aca="false">IF($B105="","",الموظفون!$Q105*(cfg_EOS_R1*(MIN(AH105,cfg_EOS_TH)-MIN(AI105,cfg_EOS_TH))+cfg_EOS_R2*(MAX(AH105-cfg_EOS_TH,0)-MAX(AI105-cfg_EOS_TH,0))))</f>
        <v/>
      </c>
      <c r="AB105" s="116" t="str">
        <f aca="false">IF($B105="","",IF(الموظفون!$T105&lt;&gt;"",الموظفون!$T105,IF(AH105&gt;=cfg_LV_TH,cfg_LV_D2,cfg_LV_D1))/cfg_DAYS_Y*AJ105*الموظفون!$R105/cfg_DAYS_M)</f>
        <v/>
      </c>
      <c r="AC105" s="116" t="str">
        <f aca="false">IF($B105="","",IF(AND(الموظفون!$U105="نعم",N(الموظفون!$W105)&gt;0),الموظفون!$V105/الموظفون!$W105*12/cfg_DAYS_Y*AJ105,0))</f>
        <v/>
      </c>
      <c r="AD105" s="116" t="str">
        <f aca="false">IF($B105="","",(IF(الموظفون!$X105&lt;&gt;"",الموظفون!$X105,IF(الموظفون!$E105="غير سعودي",cfg_IQ,0))+IF(الموظفون!$Y105&lt;&gt;"",الموظفون!$Y105,IF(الموظفون!$E105="غير سعودي",cfg_WP,0)))/12*G105/cfg_DAYS_M)</f>
        <v/>
      </c>
      <c r="AE105" s="116" t="str">
        <f aca="false">IF($B105="","",IF(الموظفون!$Z105&lt;&gt;"",الموظفون!$Z105,cfg_MED)/12*G105/cfg_DAYS_M)</f>
        <v/>
      </c>
      <c r="AF105" s="116" t="str">
        <f aca="false">IF($B105="","",N(الموظفون!$AA105)/12*G105/cfg_DAYS_M)</f>
        <v/>
      </c>
      <c r="AG105" s="159" t="str">
        <f aca="false">IF($B105="","",T105+SUM(Z105:AF105))</f>
        <v/>
      </c>
      <c r="AH105" s="160" t="str">
        <f aca="false">IF($B105="","",MAX(0,IF(OR(الموظفون!$AE105="",الموظفون!$AE105&gt;$F$3),$F$3,الموظفون!$AE105)-الموظفون!$H105+1-SUMIFS('سجل الإجازات والحالات'!$AS$6:$AS$505,'سجل الإجازات والحالات'!$B$6:$B$505,$B105))/cfg_DAYS_Y)</f>
        <v/>
      </c>
      <c r="AI105" s="160" t="str">
        <f aca="false">IF($B105="","",MAX(0,IF(OR(الموظفون!$AE105="",الموظفون!$AE105&gt;($E$3-1)),($E$3-1),الموظفون!$AE105)-الموظفون!$H105+1-SUMIFS('سجل الإجازات والحالات'!$AR$6:$AR$505,'سجل الإجازات والحالات'!$B$6:$B$505,$B105))/cfg_DAYS_Y)</f>
        <v/>
      </c>
      <c r="AJ105" s="133" t="str">
        <f aca="false">IF($B105="","",MAX(0,AK105-(SUMIFS('سجل الإجازات والحالات'!$AS$6:$AS$505,'سجل الإجازات والحالات'!$B$6:$B$505,$B105)-SUMIFS('سجل الإجازات والحالات'!$AR$6:$AR$505,'سجل الإجازات والحالات'!$B$6:$B$505,$B105))))</f>
        <v/>
      </c>
      <c r="AK105" s="133" t="str">
        <f aca="false">IF($B105="","",MAX(0,IF(OR(الموظفون!$AE105="",الموظفون!$AE105&gt;$F$3),$F$3,الموظفون!$AE105)-MAX($E$3,الموظفون!$H105)+1))</f>
        <v/>
      </c>
      <c r="AL105" s="156" t="str">
        <f aca="false">IF($B105="","",SUMIFS('سجل الإجازات والحالات'!$BE$6:$BE$505,'سجل الإجازات والحالات'!$B$6:$B$505,$B105)+SUMIFS('الحركات الشهرية'!$K$6:$K$1005,'الحركات الشهرية'!$B$6:$B$1005,$B105,'الحركات الشهرية'!$A$6:$A$1005,$C$3))</f>
        <v/>
      </c>
      <c r="AM105" s="116" t="str">
        <f aca="false">IF($B105="","",AL105*الموظفون!$R105/cfg_DAYS_M+S105)</f>
        <v/>
      </c>
      <c r="AN105" s="156" t="str">
        <f aca="false">IF($B105="","",SUMIFS('سجل الإجازات والحالات'!$AG$6:$AG$505,'سجل الإجازات والحالات'!$B$6:$B$505,$B105))</f>
        <v/>
      </c>
    </row>
    <row r="106" customFormat="false" ht="24" hidden="false" customHeight="true" outlineLevel="0" collapsed="false">
      <c r="A106" s="124"/>
      <c r="B106" s="125" t="str">
        <f aca="false">COUNTIF(G6:G105,"&gt;0")&amp;" موظف"</f>
        <v>11 موظف</v>
      </c>
      <c r="C106" s="124" t="s">
        <v>161</v>
      </c>
      <c r="D106" s="124"/>
      <c r="E106" s="124"/>
      <c r="F106" s="125" t="str">
        <f aca="false">COUNTIFS(G6:G105,"&gt;0",J6:J105,0)&amp;" بدون راتب"</f>
        <v>1 بدون راتب</v>
      </c>
      <c r="G106" s="124"/>
      <c r="H106" s="161" t="n">
        <f aca="false">SUM(H6:H105)</f>
        <v>0</v>
      </c>
      <c r="I106" s="161" t="n">
        <f aca="false">SUM(I6:I105)</f>
        <v>30</v>
      </c>
      <c r="J106" s="161" t="n">
        <f aca="false">SUM(J6:J105)</f>
        <v>300</v>
      </c>
      <c r="K106" s="125" t="n">
        <f aca="false">SUM(K6:K105)</f>
        <v>128000</v>
      </c>
      <c r="L106" s="125" t="n">
        <f aca="false">SUM(L6:L105)</f>
        <v>32000</v>
      </c>
      <c r="M106" s="125" t="n">
        <f aca="false">SUM(M6:M105)</f>
        <v>12800</v>
      </c>
      <c r="N106" s="125" t="n">
        <f aca="false">SUM(N6:N105)</f>
        <v>9800</v>
      </c>
      <c r="O106" s="161" t="n">
        <f aca="false">SUM(O6:O105)</f>
        <v>0</v>
      </c>
      <c r="P106" s="125" t="n">
        <f aca="false">SUM(P6:P105)</f>
        <v>0</v>
      </c>
      <c r="Q106" s="125" t="n">
        <f aca="false">SUM(Q6:Q105)</f>
        <v>0</v>
      </c>
      <c r="R106" s="125" t="n">
        <f aca="false">SUM(R6:R105)</f>
        <v>0</v>
      </c>
      <c r="S106" s="125" t="n">
        <f aca="false">SUM(S6:S105)</f>
        <v>11475</v>
      </c>
      <c r="T106" s="125" t="n">
        <f aca="false">SUM(T6:T105)</f>
        <v>194075</v>
      </c>
      <c r="U106" s="125" t="n">
        <f aca="false">SUM(U6:U105)</f>
        <v>12370.3125</v>
      </c>
      <c r="V106" s="125" t="n">
        <f aca="false">SUM(V6:V105)</f>
        <v>0</v>
      </c>
      <c r="W106" s="125" t="n">
        <f aca="false">SUM(W6:W105)</f>
        <v>0</v>
      </c>
      <c r="X106" s="125" t="n">
        <f aca="false">SUM(X6:X105)</f>
        <v>12370.3125</v>
      </c>
      <c r="Y106" s="125" t="n">
        <f aca="false">SUM(Y6:Y105)</f>
        <v>181704.6875</v>
      </c>
      <c r="Z106" s="125" t="n">
        <f aca="false">SUM(Z6:Z105)</f>
        <v>15782.8125</v>
      </c>
      <c r="AA106" s="125" t="n">
        <f aca="false">SUM(AA6:AA105)</f>
        <v>14016.8835616439</v>
      </c>
      <c r="AB106" s="125" t="n">
        <f aca="false">SUM(AB6:AB105)</f>
        <v>14670.4315068493</v>
      </c>
      <c r="AC106" s="125" t="n">
        <f aca="false">SUM(AC6:AC105)</f>
        <v>849.315068493151</v>
      </c>
      <c r="AD106" s="125" t="n">
        <f aca="false">SUM(AD6:AD105)</f>
        <v>3416.66666666667</v>
      </c>
      <c r="AE106" s="125" t="n">
        <f aca="false">SUM(AE6:AE105)</f>
        <v>2650</v>
      </c>
      <c r="AF106" s="125" t="n">
        <f aca="false">SUM(AF6:AF105)</f>
        <v>400</v>
      </c>
      <c r="AG106" s="125" t="n">
        <f aca="false">SUM(AG6:AG105)</f>
        <v>245861.109303653</v>
      </c>
      <c r="AH106" s="124"/>
      <c r="AI106" s="124"/>
      <c r="AJ106" s="124"/>
      <c r="AK106" s="124"/>
      <c r="AL106" s="161" t="n">
        <f aca="false">SUM(AL6:AL105)</f>
        <v>0</v>
      </c>
      <c r="AM106" s="125" t="n">
        <f aca="false">SUM(AM6:AM105)</f>
        <v>11475</v>
      </c>
      <c r="AN106" s="124"/>
    </row>
    <row r="107" customFormat="false" ht="48" hidden="false" customHeight="true" outlineLevel="0" collapsed="false">
      <c r="A107" s="24" t="s">
        <v>505</v>
      </c>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row>
  </sheetData>
  <sheetProtection sheet="true" password="ffa5" objects="true" scenarios="true"/>
  <autoFilter ref="A5:AN105"/>
  <mergeCells count="5">
    <mergeCell ref="A1:AG1"/>
    <mergeCell ref="A2:AG2"/>
    <mergeCell ref="G3:H3"/>
    <mergeCell ref="J3:K3"/>
    <mergeCell ref="A107:AN107"/>
  </mergeCells>
  <conditionalFormatting sqref="G3">
    <cfRule type="expression" priority="2" aboveAverage="0" equalAverage="0" bottom="0" percent="0" rank="0" text="" dxfId="0">
      <formula>ISNUMBER(SEARCH("✔",G3))</formula>
    </cfRule>
    <cfRule type="expression" priority="3" aboveAverage="0" equalAverage="0" bottom="0" percent="0" rank="0" text="" dxfId="1">
      <formula>ISNUMBER(SEARCH("✖",G3))</formula>
    </cfRule>
    <cfRule type="expression" priority="4" aboveAverage="0" equalAverage="0" bottom="0" percent="0" rank="0" text="" dxfId="2">
      <formula>ISNUMBER(SEARCH("⚠",G3))</formula>
    </cfRule>
    <cfRule type="expression" priority="5" aboveAverage="0" equalAverage="0" bottom="0" percent="0" rank="0" text="" dxfId="3">
      <formula>ISNUMBER(SEARCH("✈",G3))</formula>
    </cfRule>
    <cfRule type="expression" priority="6" aboveAverage="0" equalAverage="0" bottom="0" percent="0" rank="0" text="" dxfId="1">
      <formula>ISNUMBER(SEARCH("⛔",G3))</formula>
    </cfRule>
    <cfRule type="expression" priority="7" aboveAverage="0" equalAverage="0" bottom="0" percent="0" rank="0" text="" dxfId="0">
      <formula>ISNUMBER(SEARCH("🌴",G3))</formula>
    </cfRule>
    <cfRule type="expression" priority="8" aboveAverage="0" equalAverage="0" bottom="0" percent="0" rank="0" text="" dxfId="4">
      <formula>ISNUMBER(SEARCH("⏳",G3))</formula>
    </cfRule>
  </conditionalFormatting>
  <conditionalFormatting sqref="F6:F105">
    <cfRule type="expression" priority="9" aboveAverage="0" equalAverage="0" bottom="0" percent="0" rank="0" text="" dxfId="0">
      <formula>ISNUMBER(SEARCH("✔",F6))</formula>
    </cfRule>
    <cfRule type="expression" priority="10" aboveAverage="0" equalAverage="0" bottom="0" percent="0" rank="0" text="" dxfId="1">
      <formula>ISNUMBER(SEARCH("✖",F6))</formula>
    </cfRule>
    <cfRule type="expression" priority="11" aboveAverage="0" equalAverage="0" bottom="0" percent="0" rank="0" text="" dxfId="2">
      <formula>ISNUMBER(SEARCH("⚠",F6))</formula>
    </cfRule>
    <cfRule type="expression" priority="12" aboveAverage="0" equalAverage="0" bottom="0" percent="0" rank="0" text="" dxfId="3">
      <formula>ISNUMBER(SEARCH("✈",F6))</formula>
    </cfRule>
    <cfRule type="expression" priority="13" aboveAverage="0" equalAverage="0" bottom="0" percent="0" rank="0" text="" dxfId="1">
      <formula>ISNUMBER(SEARCH("⛔",F6))</formula>
    </cfRule>
    <cfRule type="expression" priority="14" aboveAverage="0" equalAverage="0" bottom="0" percent="0" rank="0" text="" dxfId="0">
      <formula>ISNUMBER(SEARCH("🌴",F6))</formula>
    </cfRule>
    <cfRule type="expression" priority="15" aboveAverage="0" equalAverage="0" bottom="0" percent="0" rank="0" text="" dxfId="4">
      <formula>ISNUMBER(SEARCH("⏳",F6))</formula>
    </cfRule>
  </conditionalFormatting>
  <conditionalFormatting sqref="G6:AN105">
    <cfRule type="expression" priority="16" aboveAverage="0" equalAverage="0" bottom="0" percent="0" rank="0" text="" dxfId="31">
      <formula>AND($B6&lt;&gt;"",$J6=0)</formula>
    </cfRule>
  </conditionalFormatting>
  <conditionalFormatting sqref="Y6:Y105">
    <cfRule type="expression" priority="17" aboveAverage="0" equalAverage="0" bottom="0" percent="0" rank="0" text="" dxfId="1">
      <formula>AND(ISNUMBER(Y6),Y6&lt;0)</formula>
    </cfRule>
  </conditionalFormatting>
  <hyperlinks>
    <hyperlink ref="A2" r:id="rId1" display="https://accopro.net/"/>
    <hyperlink ref="J3" location="'مسير نوفمبر'!A1" display="◀ الشهر السابق"/>
    <hyperlink ref="O3" location="'الرئيسية'!A1" display="🏠 الرئيسية"/>
    <hyperlink ref="P3" location="'لوحة التحكم'!A1" display="📊 لوحة التحكم"/>
    <hyperlink ref="R3" location="'الموظفون'!A1" display="👥 الموظفون"/>
    <hyperlink ref="S3" location="'سجل الإجازات والحالات'!A1" display="🌴 سجل الإجازات"/>
    <hyperlink ref="U3" location="'الحركات الشهرية'!A1" display="✍ الحركات"/>
    <hyperlink ref="W3" location="'الملخص الشهري'!A1" display="📅 الملخص الشهري"/>
    <hyperlink ref="Y3" location="'قيود الرواتب'!A1" display="🧾 القيود"/>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&amp;Cنسخة تجريبية — النسخة الكاملة: accopro.net</oddHeader>
    <oddFooter>&amp;CAccoPro — https://accopro.net</oddFooter>
  </headerFooter>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V20"/>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11"/>
    <col collapsed="false" customWidth="true" hidden="false" outlineLevel="0" max="3" min="3" style="0" width="6"/>
    <col collapsed="false" customWidth="true" hidden="false" outlineLevel="0" max="5" min="4" style="0" width="9"/>
    <col collapsed="false" customWidth="true" hidden="false" outlineLevel="0" max="7" min="6" style="0" width="14"/>
    <col collapsed="false" customWidth="true" hidden="false" outlineLevel="0" max="8" min="8" style="0" width="12"/>
    <col collapsed="false" customWidth="true" hidden="false" outlineLevel="0" max="10" min="9" style="0" width="13"/>
    <col collapsed="false" customWidth="true" hidden="false" outlineLevel="0" max="11" min="11" style="0" width="15"/>
    <col collapsed="false" customWidth="true" hidden="false" outlineLevel="0" max="13" min="12" style="0" width="12"/>
    <col collapsed="false" customWidth="true" hidden="false" outlineLevel="0" max="14" min="14" style="0" width="15"/>
    <col collapsed="false" customWidth="true" hidden="false" outlineLevel="0" max="16" min="15" style="0" width="13"/>
    <col collapsed="false" customWidth="true" hidden="false" outlineLevel="0" max="18" min="17" style="0" width="12"/>
    <col collapsed="false" customWidth="true" hidden="false" outlineLevel="0" max="19" min="19" style="0" width="14"/>
    <col collapsed="false" customWidth="true" hidden="false" outlineLevel="0" max="20" min="20" style="0" width="12"/>
    <col collapsed="false" customWidth="true" hidden="false" outlineLevel="0" max="21" min="21" style="0" width="15"/>
    <col collapsed="false" customWidth="true" hidden="false" outlineLevel="0" max="22" min="22" style="0" width="11"/>
  </cols>
  <sheetData>
    <row r="1" customFormat="false" ht="37.5" hidden="false" customHeight="true" outlineLevel="0" collapsed="false">
      <c r="B1" s="1" t="s">
        <v>507</v>
      </c>
      <c r="C1" s="1"/>
      <c r="D1" s="1"/>
      <c r="E1" s="1"/>
      <c r="F1" s="1"/>
      <c r="G1" s="1"/>
      <c r="H1" s="1"/>
      <c r="I1" s="1"/>
      <c r="J1" s="1"/>
      <c r="K1" s="1"/>
      <c r="L1" s="1"/>
      <c r="M1" s="1"/>
      <c r="N1" s="1"/>
      <c r="O1" s="1"/>
      <c r="P1" s="1"/>
      <c r="Q1" s="1"/>
      <c r="R1" s="1"/>
      <c r="S1" s="1"/>
      <c r="T1" s="1"/>
      <c r="U1" s="1"/>
      <c r="V1" s="1"/>
    </row>
    <row r="2" customFormat="false" ht="19.5" hidden="false" customHeight="true" outlineLevel="0" collapsed="false">
      <c r="B2" s="2" t="str">
        <f aca="false">"🛒 نسخة تجريبية — للنسخة الكاملة اضغط هنا ← accopro.net   |   "&amp;cfg_CO&amp;"   |   السنة المالية "&amp;cfg_FY&amp;"   |   شهر التقرير: "&amp;INDEX(L_MONTH,cfg_VAL_M)&amp;"   |   المبالغ بـ "&amp;cfg_CUR</f>
        <v>🛒 نسخة تجريبية — للنسخة الكاملة اضغط هنا ← accopro.net   |   شركة النخبة للتجارة والمقاولات   |   السنة المالية 2026   |   شهر التقرير: سبتمبر   |   المبالغ بـ ريال سعودي</v>
      </c>
      <c r="C2" s="2"/>
      <c r="D2" s="2"/>
      <c r="E2" s="2"/>
      <c r="F2" s="2"/>
      <c r="G2" s="2"/>
      <c r="H2" s="2"/>
      <c r="I2" s="2"/>
      <c r="J2" s="2"/>
      <c r="K2" s="2"/>
      <c r="L2" s="2"/>
      <c r="M2" s="2"/>
      <c r="N2" s="2"/>
      <c r="O2" s="2"/>
      <c r="P2" s="2"/>
      <c r="Q2" s="2"/>
      <c r="R2" s="2"/>
      <c r="S2" s="2"/>
      <c r="T2" s="2"/>
      <c r="U2" s="2"/>
      <c r="V2" s="2"/>
    </row>
    <row r="3" customFormat="false" ht="25.5" hidden="false" customHeight="true" outlineLevel="0" collapsed="false">
      <c r="B3" s="31" t="s">
        <v>114</v>
      </c>
      <c r="C3" s="12" t="s">
        <v>172</v>
      </c>
      <c r="D3" s="32" t="s">
        <v>115</v>
      </c>
      <c r="E3" s="32" t="s">
        <v>116</v>
      </c>
      <c r="F3" s="33" t="s">
        <v>117</v>
      </c>
      <c r="G3" s="32" t="s">
        <v>118</v>
      </c>
      <c r="H3" s="34" t="s">
        <v>119</v>
      </c>
      <c r="I3" s="32" t="s">
        <v>173</v>
      </c>
      <c r="J3" s="32" t="s">
        <v>174</v>
      </c>
    </row>
    <row r="4" customFormat="false" ht="7.5" hidden="false" customHeight="true" outlineLevel="0" collapsed="false"/>
    <row r="5" customFormat="false" ht="43.5" hidden="false" customHeight="true" outlineLevel="0" collapsed="false">
      <c r="B5" s="6" t="s">
        <v>163</v>
      </c>
      <c r="C5" s="6" t="s">
        <v>508</v>
      </c>
      <c r="D5" s="6" t="s">
        <v>157</v>
      </c>
      <c r="E5" s="6" t="s">
        <v>509</v>
      </c>
      <c r="F5" s="6" t="s">
        <v>510</v>
      </c>
      <c r="G5" s="6" t="s">
        <v>511</v>
      </c>
      <c r="H5" s="6" t="s">
        <v>512</v>
      </c>
      <c r="I5" s="6" t="s">
        <v>513</v>
      </c>
      <c r="J5" s="6" t="s">
        <v>514</v>
      </c>
      <c r="K5" s="6" t="s">
        <v>127</v>
      </c>
      <c r="L5" s="6" t="s">
        <v>515</v>
      </c>
      <c r="M5" s="6" t="s">
        <v>165</v>
      </c>
      <c r="N5" s="6" t="s">
        <v>164</v>
      </c>
      <c r="O5" s="6" t="s">
        <v>516</v>
      </c>
      <c r="P5" s="6" t="s">
        <v>37</v>
      </c>
      <c r="Q5" s="6" t="s">
        <v>136</v>
      </c>
      <c r="R5" s="6" t="s">
        <v>517</v>
      </c>
      <c r="S5" s="6" t="s">
        <v>518</v>
      </c>
      <c r="T5" s="6" t="s">
        <v>519</v>
      </c>
      <c r="U5" s="6" t="s">
        <v>130</v>
      </c>
      <c r="V5" s="6" t="s">
        <v>431</v>
      </c>
    </row>
    <row r="6" customFormat="false" ht="15" hidden="false" customHeight="false" outlineLevel="0" collapsed="false">
      <c r="B6" s="162" t="s">
        <v>196</v>
      </c>
      <c r="C6" s="163" t="n">
        <v>1</v>
      </c>
      <c r="D6" s="65" t="n">
        <f aca="false">COUNTIF('مسير يناير'!$G$6:$G$105,"&gt;0")</f>
        <v>11</v>
      </c>
      <c r="E6" s="65" t="n">
        <f aca="false">COUNTIF('مسير يناير'!$I$6:$I$105,"&gt;0")</f>
        <v>0</v>
      </c>
      <c r="F6" s="111" t="n">
        <f aca="false">'مسير يناير'!K106</f>
        <v>132283.333333333</v>
      </c>
      <c r="G6" s="111" t="n">
        <f aca="false">'مسير يناير'!L106+'مسير يناير'!M106+'مسير يناير'!N106</f>
        <v>56589.1666666667</v>
      </c>
      <c r="H6" s="111" t="n">
        <f aca="false">'مسير يناير'!P106</f>
        <v>1838.33333333333</v>
      </c>
      <c r="I6" s="111" t="n">
        <f aca="false">'مسير يناير'!Q106+'مسير يناير'!R106</f>
        <v>0</v>
      </c>
      <c r="J6" s="111" t="n">
        <f aca="false">'مسير يناير'!S106</f>
        <v>0</v>
      </c>
      <c r="K6" s="111" t="n">
        <f aca="false">'مسير يناير'!T106</f>
        <v>190710.833333333</v>
      </c>
      <c r="L6" s="111" t="n">
        <f aca="false">'مسير يناير'!U106</f>
        <v>11273.4375</v>
      </c>
      <c r="M6" s="111" t="n">
        <f aca="false">'مسير يناير'!V106+'مسير يناير'!W106</f>
        <v>1100</v>
      </c>
      <c r="N6" s="111" t="n">
        <f aca="false">'مسير يناير'!Y106</f>
        <v>178337.395833333</v>
      </c>
      <c r="O6" s="111" t="n">
        <f aca="false">'مسير يناير'!Z106</f>
        <v>14585.9375</v>
      </c>
      <c r="P6" s="111" t="n">
        <f aca="false">'مسير يناير'!AA106</f>
        <v>13708.0479452055</v>
      </c>
      <c r="Q6" s="111" t="n">
        <f aca="false">'مسير يناير'!AB106</f>
        <v>14521.3767123288</v>
      </c>
      <c r="R6" s="111" t="n">
        <f aca="false">'مسير يناير'!AC106</f>
        <v>959.72602739726</v>
      </c>
      <c r="S6" s="111" t="n">
        <f aca="false">'مسير يناير'!AD106+'مسير يناير'!AF106</f>
        <v>4670.83333333333</v>
      </c>
      <c r="T6" s="111" t="n">
        <f aca="false">'مسير يناير'!AE106</f>
        <v>2600</v>
      </c>
      <c r="U6" s="111" t="n">
        <f aca="false">'مسير يناير'!AG106</f>
        <v>241756.754851598</v>
      </c>
      <c r="V6" s="114" t="str">
        <f aca="false">IF(C6&lt;=cfg_VAL_M,"✔ فعلي","⚠ متوقع")</f>
        <v>✔ فعلي</v>
      </c>
    </row>
    <row r="7" customFormat="false" ht="15" hidden="false" customHeight="false" outlineLevel="0" collapsed="false">
      <c r="B7" s="164" t="s">
        <v>204</v>
      </c>
      <c r="C7" s="165" t="n">
        <v>2</v>
      </c>
      <c r="D7" s="133" t="n">
        <f aca="false">COUNTIF('مسير فبراير'!$G$6:$G$105,"&gt;0")</f>
        <v>11</v>
      </c>
      <c r="E7" s="133" t="n">
        <f aca="false">COUNTIF('مسير فبراير'!$I$6:$I$105,"&gt;0")</f>
        <v>0</v>
      </c>
      <c r="F7" s="116" t="n">
        <f aca="false">'مسير فبراير'!K106</f>
        <v>132500</v>
      </c>
      <c r="G7" s="116" t="n">
        <f aca="false">'مسير فبراير'!L106+'مسير فبراير'!M106+'مسير فبراير'!N106</f>
        <v>56675</v>
      </c>
      <c r="H7" s="116" t="n">
        <f aca="false">'مسير فبراير'!P106</f>
        <v>540.833333333333</v>
      </c>
      <c r="I7" s="116" t="n">
        <f aca="false">'مسير فبراير'!Q106+'مسير فبراير'!R106</f>
        <v>5000</v>
      </c>
      <c r="J7" s="116" t="n">
        <f aca="false">'مسير فبراير'!S106</f>
        <v>0</v>
      </c>
      <c r="K7" s="116" t="n">
        <f aca="false">'مسير فبراير'!T106</f>
        <v>194715.833333333</v>
      </c>
      <c r="L7" s="116" t="n">
        <f aca="false">'مسير فبراير'!U106</f>
        <v>11273.4375</v>
      </c>
      <c r="M7" s="116" t="n">
        <f aca="false">'مسير فبراير'!V106+'مسير فبراير'!W106</f>
        <v>1000</v>
      </c>
      <c r="N7" s="116" t="n">
        <f aca="false">'مسير فبراير'!Y106</f>
        <v>182442.395833333</v>
      </c>
      <c r="O7" s="116" t="n">
        <f aca="false">'مسير فبراير'!Z106</f>
        <v>14585.9375</v>
      </c>
      <c r="P7" s="116" t="n">
        <f aca="false">'مسير فبراير'!AA106</f>
        <v>12712.1917808219</v>
      </c>
      <c r="Q7" s="116" t="n">
        <f aca="false">'مسير فبراير'!AB106</f>
        <v>13116.0821917808</v>
      </c>
      <c r="R7" s="116" t="n">
        <f aca="false">'مسير فبراير'!AC106</f>
        <v>866.849315068493</v>
      </c>
      <c r="S7" s="116" t="n">
        <f aca="false">'مسير فبراير'!AD106+'مسير فبراير'!AF106</f>
        <v>4670.83333333333</v>
      </c>
      <c r="T7" s="116" t="n">
        <f aca="false">'مسير فبراير'!AE106</f>
        <v>2600</v>
      </c>
      <c r="U7" s="116" t="n">
        <f aca="false">'مسير فبراير'!AG106</f>
        <v>243267.727454338</v>
      </c>
      <c r="V7" s="117" t="str">
        <f aca="false">IF(C7&lt;=cfg_VAL_M,"✔ فعلي","⚠ متوقع")</f>
        <v>✔ فعلي</v>
      </c>
    </row>
    <row r="8" customFormat="false" ht="15" hidden="false" customHeight="false" outlineLevel="0" collapsed="false">
      <c r="B8" s="162" t="s">
        <v>211</v>
      </c>
      <c r="C8" s="163" t="n">
        <v>3</v>
      </c>
      <c r="D8" s="65" t="n">
        <f aca="false">COUNTIF('مسير مارس'!$G$6:$G$105,"&gt;0")</f>
        <v>11</v>
      </c>
      <c r="E8" s="65" t="n">
        <f aca="false">COUNTIF('مسير مارس'!$I$6:$I$105,"&gt;0")</f>
        <v>0</v>
      </c>
      <c r="F8" s="111" t="n">
        <f aca="false">'مسير مارس'!K106</f>
        <v>132500</v>
      </c>
      <c r="G8" s="111" t="n">
        <f aca="false">'مسير مارس'!L106+'مسير مارس'!M106+'مسير مارس'!N106</f>
        <v>56675</v>
      </c>
      <c r="H8" s="111" t="n">
        <f aca="false">'مسير مارس'!P106</f>
        <v>881.25</v>
      </c>
      <c r="I8" s="111" t="n">
        <f aca="false">'مسير مارس'!Q106+'مسير مارس'!R106</f>
        <v>0</v>
      </c>
      <c r="J8" s="111" t="n">
        <f aca="false">'مسير مارس'!S106</f>
        <v>0</v>
      </c>
      <c r="K8" s="111" t="n">
        <f aca="false">'مسير مارس'!T106</f>
        <v>190056.25</v>
      </c>
      <c r="L8" s="111" t="n">
        <f aca="false">'مسير مارس'!U106</f>
        <v>11273.4375</v>
      </c>
      <c r="M8" s="111" t="n">
        <f aca="false">'مسير مارس'!V106+'مسير مارس'!W106</f>
        <v>1000</v>
      </c>
      <c r="N8" s="111" t="n">
        <f aca="false">'مسير مارس'!Y106</f>
        <v>177782.8125</v>
      </c>
      <c r="O8" s="111" t="n">
        <f aca="false">'مسير مارس'!Z106</f>
        <v>14585.9375</v>
      </c>
      <c r="P8" s="111" t="n">
        <f aca="false">'مسير مارس'!AA106</f>
        <v>14074.2123287672</v>
      </c>
      <c r="Q8" s="111" t="n">
        <f aca="false">'مسير مارس'!AB106</f>
        <v>14521.3767123288</v>
      </c>
      <c r="R8" s="111" t="n">
        <f aca="false">'مسير مارس'!AC106</f>
        <v>959.72602739726</v>
      </c>
      <c r="S8" s="111" t="n">
        <f aca="false">'مسير مارس'!AD106+'مسير مارس'!AF106</f>
        <v>4670.83333333333</v>
      </c>
      <c r="T8" s="111" t="n">
        <f aca="false">'مسير مارس'!AE106</f>
        <v>2600</v>
      </c>
      <c r="U8" s="111" t="n">
        <f aca="false">'مسير مارس'!AG106</f>
        <v>241468.335901827</v>
      </c>
      <c r="V8" s="114" t="str">
        <f aca="false">IF(C8&lt;=cfg_VAL_M,"✔ فعلي","⚠ متوقع")</f>
        <v>✔ فعلي</v>
      </c>
    </row>
    <row r="9" customFormat="false" ht="15" hidden="false" customHeight="false" outlineLevel="0" collapsed="false">
      <c r="B9" s="164" t="s">
        <v>219</v>
      </c>
      <c r="C9" s="165" t="n">
        <v>4</v>
      </c>
      <c r="D9" s="133" t="n">
        <f aca="false">COUNTIF('مسير أبريل'!$G$6:$G$105,"&gt;0")</f>
        <v>12</v>
      </c>
      <c r="E9" s="133" t="n">
        <f aca="false">COUNTIF('مسير أبريل'!$I$6:$I$105,"&gt;0")</f>
        <v>0</v>
      </c>
      <c r="F9" s="116" t="n">
        <f aca="false">'مسير أبريل'!K106</f>
        <v>136500</v>
      </c>
      <c r="G9" s="116" t="n">
        <f aca="false">'مسير أبريل'!L106+'مسير أبريل'!M106+'مسير أبريل'!N106</f>
        <v>57975</v>
      </c>
      <c r="H9" s="116" t="n">
        <f aca="false">'مسير أبريل'!P106</f>
        <v>0</v>
      </c>
      <c r="I9" s="116" t="n">
        <f aca="false">'مسير أبريل'!Q106+'مسير أبريل'!R106</f>
        <v>0</v>
      </c>
      <c r="J9" s="116" t="n">
        <f aca="false">'مسير أبريل'!S106</f>
        <v>0</v>
      </c>
      <c r="K9" s="116" t="n">
        <f aca="false">'مسير أبريل'!T106</f>
        <v>194475</v>
      </c>
      <c r="L9" s="116" t="n">
        <f aca="false">'مسير أبريل'!U106</f>
        <v>11858.4375</v>
      </c>
      <c r="M9" s="116" t="n">
        <f aca="false">'مسير أبريل'!V106+'مسير أبريل'!W106</f>
        <v>1000</v>
      </c>
      <c r="N9" s="116" t="n">
        <f aca="false">'مسير أبريل'!Y106</f>
        <v>181616.5625</v>
      </c>
      <c r="O9" s="116" t="n">
        <f aca="false">'مسير أبريل'!Z106</f>
        <v>15290.9375</v>
      </c>
      <c r="P9" s="116" t="n">
        <f aca="false">'مسير أبريل'!AA106</f>
        <v>13886.506849315</v>
      </c>
      <c r="Q9" s="116" t="n">
        <f aca="false">'مسير أبريل'!AB106</f>
        <v>14425.7671232877</v>
      </c>
      <c r="R9" s="116" t="n">
        <f aca="false">'مسير أبريل'!AC106</f>
        <v>928.767123287671</v>
      </c>
      <c r="S9" s="116" t="n">
        <f aca="false">'مسير أبريل'!AD106+'مسير أبريل'!AF106</f>
        <v>4670.83333333333</v>
      </c>
      <c r="T9" s="116" t="n">
        <f aca="false">'مسير أبريل'!AE106</f>
        <v>2706.66666666667</v>
      </c>
      <c r="U9" s="116" t="n">
        <f aca="false">'مسير أبريل'!AG106</f>
        <v>246384.47859589</v>
      </c>
      <c r="V9" s="117" t="str">
        <f aca="false">IF(C9&lt;=cfg_VAL_M,"✔ فعلي","⚠ متوقع")</f>
        <v>✔ فعلي</v>
      </c>
    </row>
    <row r="10" customFormat="false" ht="15" hidden="false" customHeight="false" outlineLevel="0" collapsed="false">
      <c r="B10" s="162" t="s">
        <v>226</v>
      </c>
      <c r="C10" s="163" t="n">
        <v>5</v>
      </c>
      <c r="D10" s="65" t="n">
        <f aca="false">COUNTIF('مسير مايو'!$G$6:$G$105,"&gt;0")</f>
        <v>12</v>
      </c>
      <c r="E10" s="65" t="n">
        <f aca="false">COUNTIF('مسير مايو'!$I$6:$I$105,"&gt;0")</f>
        <v>0</v>
      </c>
      <c r="F10" s="111" t="n">
        <f aca="false">'مسير مايو'!K106</f>
        <v>141500</v>
      </c>
      <c r="G10" s="111" t="n">
        <f aca="false">'مسير مايو'!L106+'مسير مايو'!M106+'مسير مايو'!N106</f>
        <v>59825</v>
      </c>
      <c r="H10" s="111" t="n">
        <f aca="false">'مسير مايو'!P106</f>
        <v>1156.66666666667</v>
      </c>
      <c r="I10" s="111" t="n">
        <f aca="false">'مسير مايو'!Q106+'مسير مايو'!R106</f>
        <v>0</v>
      </c>
      <c r="J10" s="111" t="n">
        <f aca="false">'مسير مايو'!S106</f>
        <v>0</v>
      </c>
      <c r="K10" s="111" t="n">
        <f aca="false">'مسير مايو'!T106</f>
        <v>202481.666666667</v>
      </c>
      <c r="L10" s="111" t="n">
        <f aca="false">'مسير مايو'!U106</f>
        <v>12370.3125</v>
      </c>
      <c r="M10" s="111" t="n">
        <f aca="false">'مسير مايو'!V106+'مسير مايو'!W106</f>
        <v>1000</v>
      </c>
      <c r="N10" s="111" t="n">
        <f aca="false">'مسير مايو'!Y106</f>
        <v>189111.354166667</v>
      </c>
      <c r="O10" s="111" t="n">
        <f aca="false">'مسير مايو'!Z106</f>
        <v>15907.8125</v>
      </c>
      <c r="P10" s="111" t="n">
        <f aca="false">'مسير مايو'!AA106</f>
        <v>14590.1712328767</v>
      </c>
      <c r="Q10" s="111" t="n">
        <f aca="false">'مسير مايو'!AB106</f>
        <v>15243.7191780822</v>
      </c>
      <c r="R10" s="111" t="n">
        <f aca="false">'مسير مايو'!AC106</f>
        <v>959.72602739726</v>
      </c>
      <c r="S10" s="111" t="n">
        <f aca="false">'مسير مايو'!AD106+'مسير مايو'!AF106</f>
        <v>4670.83333333333</v>
      </c>
      <c r="T10" s="111" t="n">
        <f aca="false">'مسير مايو'!AE106</f>
        <v>2800</v>
      </c>
      <c r="U10" s="111" t="n">
        <f aca="false">'مسير مايو'!AG106</f>
        <v>256653.928938356</v>
      </c>
      <c r="V10" s="114" t="str">
        <f aca="false">IF(C10&lt;=cfg_VAL_M,"✔ فعلي","⚠ متوقع")</f>
        <v>✔ فعلي</v>
      </c>
    </row>
    <row r="11" customFormat="false" ht="15" hidden="false" customHeight="false" outlineLevel="0" collapsed="false">
      <c r="B11" s="164" t="s">
        <v>231</v>
      </c>
      <c r="C11" s="165" t="n">
        <v>6</v>
      </c>
      <c r="D11" s="133" t="n">
        <f aca="false">COUNTIF('مسير يونيو'!$G$6:$G$105,"&gt;0")</f>
        <v>12</v>
      </c>
      <c r="E11" s="133" t="n">
        <f aca="false">COUNTIF('مسير يونيو'!$I$6:$I$105,"&gt;0")</f>
        <v>1</v>
      </c>
      <c r="F11" s="116" t="n">
        <f aca="false">'مسير يونيو'!K106</f>
        <v>135000</v>
      </c>
      <c r="G11" s="116" t="n">
        <f aca="false">'مسير يونيو'!L106+'مسير يونيو'!M106+'مسير يونيو'!N106</f>
        <v>57250</v>
      </c>
      <c r="H11" s="116" t="n">
        <f aca="false">'مسير يونيو'!P106</f>
        <v>0</v>
      </c>
      <c r="I11" s="116" t="n">
        <f aca="false">'مسير يونيو'!Q106+'مسير يونيو'!R106</f>
        <v>6500</v>
      </c>
      <c r="J11" s="116" t="n">
        <f aca="false">'مسير يونيو'!S106</f>
        <v>8775</v>
      </c>
      <c r="K11" s="116" t="n">
        <f aca="false">'مسير يونيو'!T106</f>
        <v>207525</v>
      </c>
      <c r="L11" s="116" t="n">
        <f aca="false">'مسير يونيو'!U106</f>
        <v>12370.3125</v>
      </c>
      <c r="M11" s="116" t="n">
        <f aca="false">'مسير يونيو'!V106+'مسير يونيو'!W106</f>
        <v>0</v>
      </c>
      <c r="N11" s="116" t="n">
        <f aca="false">'مسير يونيو'!Y106</f>
        <v>195154.6875</v>
      </c>
      <c r="O11" s="116" t="n">
        <f aca="false">'مسير يونيو'!Z106</f>
        <v>15907.8125</v>
      </c>
      <c r="P11" s="116" t="n">
        <f aca="false">'مسير يونيو'!AA106</f>
        <v>14119.5205479452</v>
      </c>
      <c r="Q11" s="116" t="n">
        <f aca="false">'مسير يونيو'!AB106</f>
        <v>14751.9863013699</v>
      </c>
      <c r="R11" s="116" t="n">
        <f aca="false">'مسير يونيو'!AC106</f>
        <v>928.767123287671</v>
      </c>
      <c r="S11" s="116" t="n">
        <f aca="false">'مسير يونيو'!AD106+'مسير يونيو'!AF106</f>
        <v>4670.83333333333</v>
      </c>
      <c r="T11" s="116" t="n">
        <f aca="false">'مسير يونيو'!AE106</f>
        <v>2800</v>
      </c>
      <c r="U11" s="116" t="n">
        <f aca="false">'مسير يونيو'!AG106</f>
        <v>260703.919805936</v>
      </c>
      <c r="V11" s="117" t="str">
        <f aca="false">IF(C11&lt;=cfg_VAL_M,"✔ فعلي","⚠ متوقع")</f>
        <v>✔ فعلي</v>
      </c>
    </row>
    <row r="12" customFormat="false" ht="15" hidden="false" customHeight="false" outlineLevel="0" collapsed="false">
      <c r="B12" s="162" t="s">
        <v>236</v>
      </c>
      <c r="C12" s="163" t="n">
        <v>7</v>
      </c>
      <c r="D12" s="65" t="n">
        <f aca="false">COUNTIF('مسير يوليو'!$G$6:$G$105,"&gt;0")</f>
        <v>11</v>
      </c>
      <c r="E12" s="65" t="n">
        <f aca="false">COUNTIF('مسير يوليو'!$I$6:$I$105,"&gt;0")</f>
        <v>0</v>
      </c>
      <c r="F12" s="111" t="n">
        <f aca="false">'مسير يوليو'!K106</f>
        <v>136500</v>
      </c>
      <c r="G12" s="111" t="n">
        <f aca="false">'مسير يوليو'!L106+'مسير يوليو'!M106+'مسير يوليو'!N106</f>
        <v>58075</v>
      </c>
      <c r="H12" s="111" t="n">
        <f aca="false">'مسير يوليو'!P106</f>
        <v>0</v>
      </c>
      <c r="I12" s="111" t="n">
        <f aca="false">'مسير يوليو'!Q106+'مسير يوليو'!R106</f>
        <v>8297.2602739726</v>
      </c>
      <c r="J12" s="111" t="n">
        <f aca="false">'مسير يوليو'!S106</f>
        <v>0</v>
      </c>
      <c r="K12" s="111" t="n">
        <f aca="false">'مسير يوليو'!T106</f>
        <v>202872.260273973</v>
      </c>
      <c r="L12" s="111" t="n">
        <f aca="false">'مسير يوليو'!U106</f>
        <v>12370.3125</v>
      </c>
      <c r="M12" s="111" t="n">
        <f aca="false">'مسير يوليو'!V106+'مسير يوليو'!W106</f>
        <v>0</v>
      </c>
      <c r="N12" s="111" t="n">
        <f aca="false">'مسير يوليو'!Y106</f>
        <v>190501.947773973</v>
      </c>
      <c r="O12" s="111" t="n">
        <f aca="false">'مسير يوليو'!Z106</f>
        <v>15782.8125</v>
      </c>
      <c r="P12" s="111" t="n">
        <f aca="false">'مسير يوليو'!AA106</f>
        <v>14016.8835616438</v>
      </c>
      <c r="Q12" s="111" t="n">
        <f aca="false">'مسير يوليو'!AB106</f>
        <v>14670.4315068493</v>
      </c>
      <c r="R12" s="111" t="n">
        <f aca="false">'مسير يوليو'!AC106</f>
        <v>849.315068493151</v>
      </c>
      <c r="S12" s="111" t="n">
        <f aca="false">'مسير يوليو'!AD106+'مسير يوليو'!AF106</f>
        <v>3816.66666666667</v>
      </c>
      <c r="T12" s="111" t="n">
        <f aca="false">'مسير يوليو'!AE106</f>
        <v>2650</v>
      </c>
      <c r="U12" s="111" t="n">
        <f aca="false">'مسير يوليو'!AG106</f>
        <v>254658.369577626</v>
      </c>
      <c r="V12" s="114" t="str">
        <f aca="false">IF(C12&lt;=cfg_VAL_M,"✔ فعلي","⚠ متوقع")</f>
        <v>✔ فعلي</v>
      </c>
    </row>
    <row r="13" customFormat="false" ht="15" hidden="false" customHeight="false" outlineLevel="0" collapsed="false">
      <c r="B13" s="164" t="s">
        <v>241</v>
      </c>
      <c r="C13" s="165" t="n">
        <v>8</v>
      </c>
      <c r="D13" s="133" t="n">
        <f aca="false">COUNTIF('مسير أغسطس'!$G$6:$G$105,"&gt;0")</f>
        <v>11</v>
      </c>
      <c r="E13" s="133" t="n">
        <f aca="false">COUNTIF('مسير أغسطس'!$I$6:$I$105,"&gt;0")</f>
        <v>2</v>
      </c>
      <c r="F13" s="116" t="n">
        <f aca="false">'مسير أغسطس'!K106</f>
        <v>129450</v>
      </c>
      <c r="G13" s="116" t="n">
        <f aca="false">'مسير أغسطس'!L106+'مسير أغسطس'!M106+'مسير أغسطس'!N106</f>
        <v>55117.5</v>
      </c>
      <c r="H13" s="116" t="n">
        <f aca="false">'مسير أغسطس'!P106</f>
        <v>0</v>
      </c>
      <c r="I13" s="116" t="n">
        <f aca="false">'مسير أغسطس'!Q106+'مسير أغسطس'!R106</f>
        <v>0</v>
      </c>
      <c r="J13" s="116" t="n">
        <f aca="false">'مسير أغسطس'!S106</f>
        <v>8505</v>
      </c>
      <c r="K13" s="116" t="n">
        <f aca="false">'مسير أغسطس'!T106</f>
        <v>193072.5</v>
      </c>
      <c r="L13" s="116" t="n">
        <f aca="false">'مسير أغسطس'!U106</f>
        <v>12370.3125</v>
      </c>
      <c r="M13" s="116" t="n">
        <f aca="false">'مسير أغسطس'!V106+'مسير أغسطس'!W106</f>
        <v>0</v>
      </c>
      <c r="N13" s="116" t="n">
        <f aca="false">'مسير أغسطس'!Y106</f>
        <v>180702.1875</v>
      </c>
      <c r="O13" s="116" t="n">
        <f aca="false">'مسير أغسطس'!Z106</f>
        <v>15782.8125</v>
      </c>
      <c r="P13" s="116" t="n">
        <f aca="false">'مسير أغسطس'!AA106</f>
        <v>13975.2739726027</v>
      </c>
      <c r="Q13" s="116" t="n">
        <f aca="false">'مسير أغسطس'!AB106</f>
        <v>14612.1780821918</v>
      </c>
      <c r="R13" s="116" t="n">
        <f aca="false">'مسير أغسطس'!AC106</f>
        <v>849.315068493151</v>
      </c>
      <c r="S13" s="116" t="n">
        <f aca="false">'مسير أغسطس'!AD106+'مسير أغسطس'!AF106</f>
        <v>3816.66666666667</v>
      </c>
      <c r="T13" s="116" t="n">
        <f aca="false">'مسير أغسطس'!AE106</f>
        <v>2650</v>
      </c>
      <c r="U13" s="116" t="n">
        <f aca="false">'مسير أغسطس'!AG106</f>
        <v>244758.746289954</v>
      </c>
      <c r="V13" s="117" t="str">
        <f aca="false">IF(C13&lt;=cfg_VAL_M,"✔ فعلي","⚠ متوقع")</f>
        <v>✔ فعلي</v>
      </c>
    </row>
    <row r="14" customFormat="false" ht="15" hidden="false" customHeight="false" outlineLevel="0" collapsed="false">
      <c r="B14" s="162" t="s">
        <v>246</v>
      </c>
      <c r="C14" s="163" t="n">
        <v>9</v>
      </c>
      <c r="D14" s="65" t="n">
        <f aca="false">COUNTIF('مسير سبتمبر'!$G$6:$G$105,"&gt;0")</f>
        <v>11</v>
      </c>
      <c r="E14" s="65" t="n">
        <f aca="false">COUNTIF('مسير سبتمبر'!$I$6:$I$105,"&gt;0")</f>
        <v>2</v>
      </c>
      <c r="F14" s="111" t="n">
        <f aca="false">'مسير سبتمبر'!K106</f>
        <v>130733.333333333</v>
      </c>
      <c r="G14" s="111" t="n">
        <f aca="false">'مسير سبتمبر'!L106+'مسير سبتمبر'!M106+'مسير سبتمبر'!N106</f>
        <v>55015</v>
      </c>
      <c r="H14" s="111" t="n">
        <f aca="false">'مسير سبتمبر'!P106</f>
        <v>416.25</v>
      </c>
      <c r="I14" s="111" t="n">
        <f aca="false">'مسير سبتمبر'!Q106+'مسير سبتمبر'!R106</f>
        <v>1500</v>
      </c>
      <c r="J14" s="111" t="n">
        <f aca="false">'مسير سبتمبر'!S106</f>
        <v>0</v>
      </c>
      <c r="K14" s="111" t="n">
        <f aca="false">'مسير سبتمبر'!T106</f>
        <v>187664.583333333</v>
      </c>
      <c r="L14" s="111" t="n">
        <f aca="false">'مسير سبتمبر'!U106</f>
        <v>12370.3125</v>
      </c>
      <c r="M14" s="111" t="n">
        <f aca="false">'مسير سبتمبر'!V106+'مسير سبتمبر'!W106</f>
        <v>250</v>
      </c>
      <c r="N14" s="111" t="n">
        <f aca="false">'مسير سبتمبر'!Y106</f>
        <v>175044.270833333</v>
      </c>
      <c r="O14" s="111" t="n">
        <f aca="false">'مسير سبتمبر'!Z106</f>
        <v>15782.8125</v>
      </c>
      <c r="P14" s="111" t="n">
        <f aca="false">'مسير سبتمبر'!AA106</f>
        <v>13035.8219178082</v>
      </c>
      <c r="Q14" s="111" t="n">
        <f aca="false">'مسير سبتمبر'!AB106</f>
        <v>13668.2876712329</v>
      </c>
      <c r="R14" s="111" t="n">
        <f aca="false">'مسير سبتمبر'!AC106</f>
        <v>821.917808219178</v>
      </c>
      <c r="S14" s="111" t="n">
        <f aca="false">'مسير سبتمبر'!AD106+'مسير سبتمبر'!AF106</f>
        <v>3816.66666666667</v>
      </c>
      <c r="T14" s="111" t="n">
        <f aca="false">'مسير سبتمبر'!AE106</f>
        <v>2650</v>
      </c>
      <c r="U14" s="111" t="n">
        <f aca="false">'مسير سبتمبر'!AG106</f>
        <v>237440.08989726</v>
      </c>
      <c r="V14" s="114" t="str">
        <f aca="false">IF(C14&lt;=cfg_VAL_M,"✔ فعلي","⚠ متوقع")</f>
        <v>✔ فعلي</v>
      </c>
    </row>
    <row r="15" customFormat="false" ht="15" hidden="false" customHeight="false" outlineLevel="0" collapsed="false">
      <c r="B15" s="164" t="s">
        <v>251</v>
      </c>
      <c r="C15" s="165" t="n">
        <v>10</v>
      </c>
      <c r="D15" s="133" t="n">
        <f aca="false">COUNTIF('مسير أكتوبر'!$G$6:$G$105,"&gt;0")</f>
        <v>11</v>
      </c>
      <c r="E15" s="133" t="n">
        <f aca="false">COUNTIF('مسير أكتوبر'!$I$6:$I$105,"&gt;0")</f>
        <v>1</v>
      </c>
      <c r="F15" s="116" t="n">
        <f aca="false">'مسير أكتوبر'!K106</f>
        <v>128266.666666667</v>
      </c>
      <c r="G15" s="116" t="n">
        <f aca="false">'مسير أكتوبر'!L106+'مسير أكتوبر'!M106+'مسير أكتوبر'!N106</f>
        <v>53610</v>
      </c>
      <c r="H15" s="116" t="n">
        <f aca="false">'مسير أكتوبر'!P106</f>
        <v>0</v>
      </c>
      <c r="I15" s="116" t="n">
        <f aca="false">'مسير أكتوبر'!Q106+'مسير أكتوبر'!R106</f>
        <v>0</v>
      </c>
      <c r="J15" s="116" t="n">
        <f aca="false">'مسير أكتوبر'!S106</f>
        <v>0</v>
      </c>
      <c r="K15" s="116" t="n">
        <f aca="false">'مسير أكتوبر'!T106</f>
        <v>181876.666666667</v>
      </c>
      <c r="L15" s="116" t="n">
        <f aca="false">'مسير أكتوبر'!U106</f>
        <v>12370.3125</v>
      </c>
      <c r="M15" s="116" t="n">
        <f aca="false">'مسير أكتوبر'!V106+'مسير أكتوبر'!W106</f>
        <v>0</v>
      </c>
      <c r="N15" s="116" t="n">
        <f aca="false">'مسير أكتوبر'!Y106</f>
        <v>169506.354166667</v>
      </c>
      <c r="O15" s="116" t="n">
        <f aca="false">'مسير أكتوبر'!Z106</f>
        <v>15782.8125</v>
      </c>
      <c r="P15" s="116" t="n">
        <f aca="false">'مسير أكتوبر'!AA106</f>
        <v>13103.3219178082</v>
      </c>
      <c r="Q15" s="116" t="n">
        <f aca="false">'مسير أكتوبر'!AB106</f>
        <v>13756.8698630137</v>
      </c>
      <c r="R15" s="116" t="n">
        <f aca="false">'مسير أكتوبر'!AC106</f>
        <v>849.315068493151</v>
      </c>
      <c r="S15" s="116" t="n">
        <f aca="false">'مسير أكتوبر'!AD106+'مسير أكتوبر'!AF106</f>
        <v>3816.66666666667</v>
      </c>
      <c r="T15" s="116" t="n">
        <f aca="false">'مسير أكتوبر'!AE106</f>
        <v>2650</v>
      </c>
      <c r="U15" s="116" t="n">
        <f aca="false">'مسير أكتوبر'!AG106</f>
        <v>231835.652682648</v>
      </c>
      <c r="V15" s="117" t="str">
        <f aca="false">IF(C15&lt;=cfg_VAL_M,"✔ فعلي","⚠ متوقع")</f>
        <v>⚠ متوقع</v>
      </c>
    </row>
    <row r="16" customFormat="false" ht="15" hidden="false" customHeight="false" outlineLevel="0" collapsed="false">
      <c r="B16" s="162" t="s">
        <v>255</v>
      </c>
      <c r="C16" s="163" t="n">
        <v>11</v>
      </c>
      <c r="D16" s="65" t="n">
        <f aca="false">COUNTIF('مسير نوفمبر'!$G$6:$G$105,"&gt;0")</f>
        <v>11</v>
      </c>
      <c r="E16" s="65" t="n">
        <f aca="false">COUNTIF('مسير نوفمبر'!$I$6:$I$105,"&gt;0")</f>
        <v>0</v>
      </c>
      <c r="F16" s="111" t="n">
        <f aca="false">'مسير نوفمبر'!K106</f>
        <v>136500</v>
      </c>
      <c r="G16" s="111" t="n">
        <f aca="false">'مسير نوفمبر'!L106+'مسير نوفمبر'!M106+'مسير نوفمبر'!N106</f>
        <v>58075</v>
      </c>
      <c r="H16" s="111" t="n">
        <f aca="false">'مسير نوفمبر'!P106</f>
        <v>0</v>
      </c>
      <c r="I16" s="111" t="n">
        <f aca="false">'مسير نوفمبر'!Q106+'مسير نوفمبر'!R106</f>
        <v>0</v>
      </c>
      <c r="J16" s="111" t="n">
        <f aca="false">'مسير نوفمبر'!S106</f>
        <v>0</v>
      </c>
      <c r="K16" s="111" t="n">
        <f aca="false">'مسير نوفمبر'!T106</f>
        <v>194575</v>
      </c>
      <c r="L16" s="111" t="n">
        <f aca="false">'مسير نوفمبر'!U106</f>
        <v>12370.3125</v>
      </c>
      <c r="M16" s="111" t="n">
        <f aca="false">'مسير نوفمبر'!V106+'مسير نوفمبر'!W106</f>
        <v>0</v>
      </c>
      <c r="N16" s="111" t="n">
        <f aca="false">'مسير نوفمبر'!Y106</f>
        <v>182204.6875</v>
      </c>
      <c r="O16" s="111" t="n">
        <f aca="false">'مسير نوفمبر'!Z106</f>
        <v>15782.8125</v>
      </c>
      <c r="P16" s="111" t="n">
        <f aca="false">'مسير نوفمبر'!AA106</f>
        <v>13564.7260273973</v>
      </c>
      <c r="Q16" s="111" t="n">
        <f aca="false">'مسير نوفمبر'!AB106</f>
        <v>14197.1917808219</v>
      </c>
      <c r="R16" s="111" t="n">
        <f aca="false">'مسير نوفمبر'!AC106</f>
        <v>821.917808219178</v>
      </c>
      <c r="S16" s="111" t="n">
        <f aca="false">'مسير نوفمبر'!AD106+'مسير نوفمبر'!AF106</f>
        <v>3816.66666666667</v>
      </c>
      <c r="T16" s="111" t="n">
        <f aca="false">'مسير نوفمبر'!AE106</f>
        <v>2650</v>
      </c>
      <c r="U16" s="111" t="n">
        <f aca="false">'مسير نوفمبر'!AG106</f>
        <v>245408.314783105</v>
      </c>
      <c r="V16" s="114" t="str">
        <f aca="false">IF(C16&lt;=cfg_VAL_M,"✔ فعلي","⚠ متوقع")</f>
        <v>⚠ متوقع</v>
      </c>
    </row>
    <row r="17" customFormat="false" ht="15" hidden="false" customHeight="false" outlineLevel="0" collapsed="false">
      <c r="B17" s="164" t="s">
        <v>258</v>
      </c>
      <c r="C17" s="165" t="n">
        <v>12</v>
      </c>
      <c r="D17" s="133" t="n">
        <f aca="false">COUNTIF('مسير ديسمبر'!$G$6:$G$105,"&gt;0")</f>
        <v>11</v>
      </c>
      <c r="E17" s="133" t="n">
        <f aca="false">COUNTIF('مسير ديسمبر'!$I$6:$I$105,"&gt;0")</f>
        <v>1</v>
      </c>
      <c r="F17" s="116" t="n">
        <f aca="false">'مسير ديسمبر'!K106</f>
        <v>128000</v>
      </c>
      <c r="G17" s="116" t="n">
        <f aca="false">'مسير ديسمبر'!L106+'مسير ديسمبر'!M106+'مسير ديسمبر'!N106</f>
        <v>54600</v>
      </c>
      <c r="H17" s="116" t="n">
        <f aca="false">'مسير ديسمبر'!P106</f>
        <v>0</v>
      </c>
      <c r="I17" s="116" t="n">
        <f aca="false">'مسير ديسمبر'!Q106+'مسير ديسمبر'!R106</f>
        <v>0</v>
      </c>
      <c r="J17" s="116" t="n">
        <f aca="false">'مسير ديسمبر'!S106</f>
        <v>11475</v>
      </c>
      <c r="K17" s="116" t="n">
        <f aca="false">'مسير ديسمبر'!T106</f>
        <v>194075</v>
      </c>
      <c r="L17" s="116" t="n">
        <f aca="false">'مسير ديسمبر'!U106</f>
        <v>12370.3125</v>
      </c>
      <c r="M17" s="116" t="n">
        <f aca="false">'مسير ديسمبر'!V106+'مسير ديسمبر'!W106</f>
        <v>0</v>
      </c>
      <c r="N17" s="116" t="n">
        <f aca="false">'مسير ديسمبر'!Y106</f>
        <v>181704.6875</v>
      </c>
      <c r="O17" s="116" t="n">
        <f aca="false">'مسير ديسمبر'!Z106</f>
        <v>15782.8125</v>
      </c>
      <c r="P17" s="116" t="n">
        <f aca="false">'مسير ديسمبر'!AA106</f>
        <v>14016.8835616439</v>
      </c>
      <c r="Q17" s="116" t="n">
        <f aca="false">'مسير ديسمبر'!AB106</f>
        <v>14670.4315068493</v>
      </c>
      <c r="R17" s="116" t="n">
        <f aca="false">'مسير ديسمبر'!AC106</f>
        <v>849.315068493151</v>
      </c>
      <c r="S17" s="116" t="n">
        <f aca="false">'مسير ديسمبر'!AD106+'مسير ديسمبر'!AF106</f>
        <v>3816.66666666667</v>
      </c>
      <c r="T17" s="116" t="n">
        <f aca="false">'مسير ديسمبر'!AE106</f>
        <v>2650</v>
      </c>
      <c r="U17" s="116" t="n">
        <f aca="false">'مسير ديسمبر'!AG106</f>
        <v>245861.109303653</v>
      </c>
      <c r="V17" s="117" t="str">
        <f aca="false">IF(C17&lt;=cfg_VAL_M,"✔ فعلي","⚠ متوقع")</f>
        <v>⚠ متوقع</v>
      </c>
    </row>
    <row r="18" customFormat="false" ht="24" hidden="false" customHeight="true" outlineLevel="0" collapsed="false">
      <c r="B18" s="124" t="s">
        <v>169</v>
      </c>
      <c r="C18" s="124"/>
      <c r="D18" s="124"/>
      <c r="E18" s="124"/>
      <c r="F18" s="125" t="n">
        <f aca="false">SUM(F6:F17)</f>
        <v>1599733.33333333</v>
      </c>
      <c r="G18" s="125" t="n">
        <f aca="false">SUM(G6:G17)</f>
        <v>679481.666666667</v>
      </c>
      <c r="H18" s="125" t="n">
        <f aca="false">SUM(H6:H17)</f>
        <v>4833.33333333333</v>
      </c>
      <c r="I18" s="125" t="n">
        <f aca="false">SUM(I6:I17)</f>
        <v>21297.2602739726</v>
      </c>
      <c r="J18" s="125" t="n">
        <f aca="false">SUM(J6:J17)</f>
        <v>28755</v>
      </c>
      <c r="K18" s="125" t="n">
        <f aca="false">SUM(K6:K17)</f>
        <v>2334100.59360731</v>
      </c>
      <c r="L18" s="125" t="n">
        <f aca="false">SUM(L6:L17)</f>
        <v>144641.25</v>
      </c>
      <c r="M18" s="125" t="n">
        <f aca="false">SUM(M6:M17)</f>
        <v>5350</v>
      </c>
      <c r="N18" s="125" t="n">
        <f aca="false">SUM(N6:N17)</f>
        <v>2184109.34360731</v>
      </c>
      <c r="O18" s="125" t="n">
        <f aca="false">SUM(O6:O17)</f>
        <v>185561.25</v>
      </c>
      <c r="P18" s="125" t="n">
        <f aca="false">SUM(P6:P17)</f>
        <v>164803.561643836</v>
      </c>
      <c r="Q18" s="125" t="n">
        <f aca="false">SUM(Q6:Q17)</f>
        <v>172155.698630137</v>
      </c>
      <c r="R18" s="125" t="n">
        <f aca="false">SUM(R6:R17)</f>
        <v>10644.6575342466</v>
      </c>
      <c r="S18" s="125" t="n">
        <f aca="false">SUM(S6:S17)</f>
        <v>50925</v>
      </c>
      <c r="T18" s="125" t="n">
        <f aca="false">SUM(T6:T17)</f>
        <v>32006.6666666667</v>
      </c>
      <c r="U18" s="125" t="n">
        <f aca="false">SUM(U6:U17)</f>
        <v>2950197.42808219</v>
      </c>
      <c r="V18" s="124"/>
    </row>
    <row r="19" customFormat="false" ht="15" hidden="false" customHeight="false" outlineLevel="0" collapsed="false">
      <c r="B19" s="166" t="str">
        <f aca="false">"حتى "&amp;INDEX(L_MONTH,cfg_VAL_M)</f>
        <v>حتى سبتمبر</v>
      </c>
      <c r="C19" s="167"/>
      <c r="D19" s="168" t="n">
        <f aca="false">INDEX(D6:D17,cfg_VAL_M)</f>
        <v>11</v>
      </c>
      <c r="E19" s="167"/>
      <c r="F19" s="169" t="n">
        <f aca="false">SUMIF($C$6:$C$17,"&lt;="&amp;cfg_VAL_M,F6:F17)</f>
        <v>1206966.66666667</v>
      </c>
      <c r="G19" s="169" t="n">
        <f aca="false">SUMIF($C$6:$C$17,"&lt;="&amp;cfg_VAL_M,G6:G17)</f>
        <v>513196.666666667</v>
      </c>
      <c r="H19" s="169" t="n">
        <f aca="false">SUMIF($C$6:$C$17,"&lt;="&amp;cfg_VAL_M,H6:H17)</f>
        <v>4833.33333333333</v>
      </c>
      <c r="I19" s="169" t="n">
        <f aca="false">SUMIF($C$6:$C$17,"&lt;="&amp;cfg_VAL_M,I6:I17)</f>
        <v>21297.2602739726</v>
      </c>
      <c r="J19" s="169" t="n">
        <f aca="false">SUMIF($C$6:$C$17,"&lt;="&amp;cfg_VAL_M,J6:J17)</f>
        <v>17280</v>
      </c>
      <c r="K19" s="169" t="n">
        <f aca="false">SUMIF($C$6:$C$17,"&lt;="&amp;cfg_VAL_M,K6:K17)</f>
        <v>1763573.92694064</v>
      </c>
      <c r="L19" s="169" t="n">
        <f aca="false">SUMIF($C$6:$C$17,"&lt;="&amp;cfg_VAL_M,L6:L17)</f>
        <v>107530.3125</v>
      </c>
      <c r="M19" s="169" t="n">
        <f aca="false">SUMIF($C$6:$C$17,"&lt;="&amp;cfg_VAL_M,M6:M17)</f>
        <v>5350</v>
      </c>
      <c r="N19" s="169" t="n">
        <f aca="false">SUMIF($C$6:$C$17,"&lt;="&amp;cfg_VAL_M,N6:N17)</f>
        <v>1650693.61444064</v>
      </c>
      <c r="O19" s="169" t="n">
        <f aca="false">SUMIF($C$6:$C$17,"&lt;="&amp;cfg_VAL_M,O6:O17)</f>
        <v>138212.8125</v>
      </c>
      <c r="P19" s="169" t="n">
        <f aca="false">SUMIF($C$6:$C$17,"&lt;="&amp;cfg_VAL_M,P6:P17)</f>
        <v>124118.630136986</v>
      </c>
      <c r="Q19" s="169" t="n">
        <f aca="false">SUMIF($C$6:$C$17,"&lt;="&amp;cfg_VAL_M,Q6:Q17)</f>
        <v>129531.205479452</v>
      </c>
      <c r="R19" s="169" t="n">
        <f aca="false">SUMIF($C$6:$C$17,"&lt;="&amp;cfg_VAL_M,R6:R17)</f>
        <v>8124.1095890411</v>
      </c>
      <c r="S19" s="169" t="n">
        <f aca="false">SUMIF($C$6:$C$17,"&lt;="&amp;cfg_VAL_M,S6:S17)</f>
        <v>39475</v>
      </c>
      <c r="T19" s="169" t="n">
        <f aca="false">SUMIF($C$6:$C$17,"&lt;="&amp;cfg_VAL_M,T6:T17)</f>
        <v>24056.6666666667</v>
      </c>
      <c r="U19" s="169" t="n">
        <f aca="false">SUMIF($C$6:$C$17,"&lt;="&amp;cfg_VAL_M,U6:U17)</f>
        <v>2227092.35131279</v>
      </c>
      <c r="V19" s="167"/>
    </row>
    <row r="20" customFormat="false" ht="30" hidden="false" customHeight="true" outlineLevel="0" collapsed="false">
      <c r="B20" s="24" t="s">
        <v>520</v>
      </c>
      <c r="C20" s="24"/>
      <c r="D20" s="24"/>
      <c r="E20" s="24"/>
      <c r="F20" s="24"/>
      <c r="G20" s="24"/>
      <c r="H20" s="24"/>
      <c r="I20" s="24"/>
      <c r="J20" s="24"/>
      <c r="K20" s="24"/>
      <c r="L20" s="24"/>
      <c r="M20" s="24"/>
      <c r="N20" s="24"/>
      <c r="O20" s="24"/>
      <c r="P20" s="24"/>
      <c r="Q20" s="24"/>
      <c r="R20" s="24"/>
      <c r="S20" s="24"/>
      <c r="T20" s="24"/>
      <c r="U20" s="24"/>
      <c r="V20" s="24"/>
    </row>
  </sheetData>
  <sheetProtection sheet="true" password="ffa5" objects="true" scenarios="true"/>
  <mergeCells count="3">
    <mergeCell ref="B1:V1"/>
    <mergeCell ref="B2:V2"/>
    <mergeCell ref="B20:V20"/>
  </mergeCells>
  <conditionalFormatting sqref="V6:V17">
    <cfRule type="expression" priority="2" aboveAverage="0" equalAverage="0" bottom="0" percent="0" rank="0" text="" dxfId="0">
      <formula>ISNUMBER(SEARCH("✔",V6))</formula>
    </cfRule>
    <cfRule type="expression" priority="3" aboveAverage="0" equalAverage="0" bottom="0" percent="0" rank="0" text="" dxfId="1">
      <formula>ISNUMBER(SEARCH("✖",V6))</formula>
    </cfRule>
    <cfRule type="expression" priority="4" aboveAverage="0" equalAverage="0" bottom="0" percent="0" rank="0" text="" dxfId="2">
      <formula>ISNUMBER(SEARCH("⚠",V6))</formula>
    </cfRule>
    <cfRule type="expression" priority="5" aboveAverage="0" equalAverage="0" bottom="0" percent="0" rank="0" text="" dxfId="3">
      <formula>ISNUMBER(SEARCH("✈",V6))</formula>
    </cfRule>
    <cfRule type="expression" priority="6" aboveAverage="0" equalAverage="0" bottom="0" percent="0" rank="0" text="" dxfId="1">
      <formula>ISNUMBER(SEARCH("⛔",V6))</formula>
    </cfRule>
    <cfRule type="expression" priority="7" aboveAverage="0" equalAverage="0" bottom="0" percent="0" rank="0" text="" dxfId="0">
      <formula>ISNUMBER(SEARCH("🌴",V6))</formula>
    </cfRule>
    <cfRule type="expression" priority="8" aboveAverage="0" equalAverage="0" bottom="0" percent="0" rank="0" text="" dxfId="4">
      <formula>ISNUMBER(SEARCH("⏳",V6))</formula>
    </cfRule>
  </conditionalFormatting>
  <conditionalFormatting sqref="B6:U17">
    <cfRule type="expression" priority="9" aboveAverage="0" equalAverage="0" bottom="0" percent="0" rank="0" text="" dxfId="5">
      <formula>$C6=cfg_VAL_M</formula>
    </cfRule>
  </conditionalFormatting>
  <hyperlinks>
    <hyperlink ref="B2" r:id="rId1" display="https://accopro.net/"/>
    <hyperlink ref="B3" location="'الرئيسية'!A1" display="🏠 الرئيسية"/>
    <hyperlink ref="C3" location="'لوحة التحكم'!A1" display="📊 لوحة التحكم"/>
    <hyperlink ref="D3" location="'الإعدادات'!A1" display="⚙ الإعدادات"/>
    <hyperlink ref="E3" location="'الموظفون'!A1" display="👥 الموظفون"/>
    <hyperlink ref="F3" location="'سجل الإجازات والحالات'!A1" display="🌴 سجل الإجازات"/>
    <hyperlink ref="G3" location="'الحركات الشهرية'!A1" display="✍ الحركات"/>
    <hyperlink ref="H3" location="'الإقامات ورخص العمل'!A1" display="🪪 الإقامات"/>
    <hyperlink ref="I3" location="'قيود الرواتب'!A1" display="🧾 القيود"/>
    <hyperlink ref="J3" location="'قسيمة الراتب'!A1" display="💳 القسيمة"/>
    <hyperlink ref="B6" location="'مسير يناير'!A1" display="يناير"/>
    <hyperlink ref="B7" location="'مسير فبراير'!A1" display="فبراير"/>
    <hyperlink ref="B8" location="'مسير مارس'!A1" display="مارس"/>
    <hyperlink ref="B9" location="'مسير أبريل'!A1" display="أبريل"/>
    <hyperlink ref="B10" location="'مسير مايو'!A1" display="مايو"/>
    <hyperlink ref="B11" location="'مسير يونيو'!A1" display="يونيو"/>
    <hyperlink ref="B12" location="'مسير يوليو'!A1" display="يوليو"/>
    <hyperlink ref="B13" location="'مسير أغسطس'!A1" display="أغسطس"/>
    <hyperlink ref="B14" location="'مسير سبتمبر'!A1" display="سبتمبر"/>
    <hyperlink ref="B15" location="'مسير أكتوبر'!A1" display="أكتوبر"/>
    <hyperlink ref="B16" location="'مسير نوفمبر'!A1" display="نوفمبر"/>
    <hyperlink ref="B17" location="'مسير ديسمبر'!A1" display="ديسمبر"/>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&amp;Cنسخة تجريبية — النسخة الكاملة: accopro.net</oddHeader>
    <oddFooter>&amp;CAccoPro — https://accopro.net</oddFooter>
  </headerFooter>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AH106"/>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24"/>
    <col collapsed="false" customWidth="true" hidden="false" outlineLevel="0" max="4" min="4" style="0" width="15"/>
    <col collapsed="false" customWidth="true" hidden="false" outlineLevel="0" max="5" min="5" style="0" width="10"/>
    <col collapsed="false" customWidth="true" hidden="false" outlineLevel="0" max="17" min="6" style="0" width="10.5"/>
    <col collapsed="false" customWidth="true" hidden="false" outlineLevel="0" max="18" min="18" style="0" width="14"/>
    <col collapsed="false" customWidth="true" hidden="false" outlineLevel="0" max="19" min="19" style="0" width="3"/>
    <col collapsed="false" customWidth="true" hidden="false" outlineLevel="0" max="31" min="20" style="0" width="10.5"/>
    <col collapsed="false" customWidth="true" hidden="false" outlineLevel="0" max="34" min="32" style="0" width="14"/>
  </cols>
  <sheetData>
    <row r="1" customFormat="false" ht="37.5" hidden="false" customHeight="true" outlineLevel="0" collapsed="false">
      <c r="B1" s="1" t="s">
        <v>521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customFormat="false" ht="19.5" hidden="false" customHeight="true" outlineLevel="0" collapsed="false">
      <c r="B2" s="2" t="str">
        <f aca="false">"🛒 نسخة تجريبية — للنسخة الكاملة اضغط هنا ← accopro.net   |   "&amp;cfg_CO&amp;"   |   السنة المالية "&amp;cfg_FY&amp;"   |   شهر التقرير: "&amp;INDEX(L_MONTH,cfg_VAL_M)&amp;"   |   المبالغ بـ "&amp;cfg_CUR</f>
        <v>🛒 نسخة تجريبية — للنسخة الكاملة اضغط هنا ← accopro.net   |   شركة النخبة للتجارة والمقاولات   |   السنة المالية 2026   |   شهر التقرير: سبتمبر   |   المبالغ بـ ريال سعودي</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row>
    <row r="3" customFormat="false" ht="25.5" hidden="false" customHeight="true" outlineLevel="0" collapsed="false">
      <c r="B3" s="31" t="s">
        <v>114</v>
      </c>
      <c r="C3" s="12" t="s">
        <v>172</v>
      </c>
      <c r="D3" s="32" t="s">
        <v>115</v>
      </c>
      <c r="E3" s="32" t="s">
        <v>116</v>
      </c>
      <c r="F3" s="33" t="s">
        <v>117</v>
      </c>
      <c r="G3" s="32" t="s">
        <v>118</v>
      </c>
      <c r="H3" s="34" t="s">
        <v>119</v>
      </c>
      <c r="I3" s="32" t="s">
        <v>39</v>
      </c>
      <c r="J3" s="32" t="s">
        <v>173</v>
      </c>
    </row>
    <row r="4" customFormat="false" ht="21.75" hidden="false" customHeight="true" outlineLevel="0" collapsed="false">
      <c r="F4" s="20" t="s">
        <v>522</v>
      </c>
      <c r="G4" s="20"/>
      <c r="H4" s="20"/>
      <c r="I4" s="20"/>
      <c r="J4" s="20"/>
      <c r="K4" s="20"/>
      <c r="L4" s="20"/>
      <c r="M4" s="20"/>
      <c r="N4" s="20"/>
      <c r="O4" s="20"/>
      <c r="P4" s="20"/>
      <c r="Q4" s="20"/>
      <c r="R4" s="20"/>
      <c r="T4" s="78" t="s">
        <v>523</v>
      </c>
      <c r="U4" s="78"/>
      <c r="V4" s="78"/>
      <c r="W4" s="78"/>
      <c r="X4" s="78"/>
      <c r="Y4" s="78"/>
      <c r="Z4" s="78"/>
      <c r="AA4" s="78"/>
      <c r="AB4" s="78"/>
      <c r="AC4" s="78"/>
      <c r="AD4" s="78"/>
      <c r="AE4" s="78"/>
      <c r="AF4" s="78"/>
    </row>
    <row r="5" customFormat="false" ht="39.75" hidden="false" customHeight="true" outlineLevel="0" collapsed="false">
      <c r="B5" s="6" t="s">
        <v>524</v>
      </c>
      <c r="C5" s="6" t="s">
        <v>310</v>
      </c>
      <c r="D5" s="6" t="s">
        <v>156</v>
      </c>
      <c r="E5" s="6" t="s">
        <v>142</v>
      </c>
      <c r="F5" s="6" t="s">
        <v>196</v>
      </c>
      <c r="G5" s="6" t="s">
        <v>204</v>
      </c>
      <c r="H5" s="6" t="s">
        <v>211</v>
      </c>
      <c r="I5" s="6" t="s">
        <v>219</v>
      </c>
      <c r="J5" s="6" t="s">
        <v>226</v>
      </c>
      <c r="K5" s="6" t="s">
        <v>231</v>
      </c>
      <c r="L5" s="6" t="s">
        <v>236</v>
      </c>
      <c r="M5" s="6" t="s">
        <v>241</v>
      </c>
      <c r="N5" s="6" t="s">
        <v>246</v>
      </c>
      <c r="O5" s="6" t="s">
        <v>251</v>
      </c>
      <c r="P5" s="6" t="s">
        <v>255</v>
      </c>
      <c r="Q5" s="6" t="s">
        <v>258</v>
      </c>
      <c r="R5" s="6" t="s">
        <v>525</v>
      </c>
      <c r="T5" s="6" t="s">
        <v>196</v>
      </c>
      <c r="U5" s="6" t="s">
        <v>204</v>
      </c>
      <c r="V5" s="6" t="s">
        <v>211</v>
      </c>
      <c r="W5" s="6" t="s">
        <v>219</v>
      </c>
      <c r="X5" s="6" t="s">
        <v>226</v>
      </c>
      <c r="Y5" s="6" t="s">
        <v>231</v>
      </c>
      <c r="Z5" s="6" t="s">
        <v>236</v>
      </c>
      <c r="AA5" s="6" t="s">
        <v>241</v>
      </c>
      <c r="AB5" s="6" t="s">
        <v>246</v>
      </c>
      <c r="AC5" s="6" t="s">
        <v>251</v>
      </c>
      <c r="AD5" s="6" t="s">
        <v>255</v>
      </c>
      <c r="AE5" s="6" t="s">
        <v>258</v>
      </c>
      <c r="AF5" s="6" t="s">
        <v>526</v>
      </c>
      <c r="AG5" s="6" t="s">
        <v>527</v>
      </c>
      <c r="AH5" s="6" t="s">
        <v>528</v>
      </c>
    </row>
    <row r="6" customFormat="false" ht="15" hidden="false" customHeight="false" outlineLevel="0" collapsed="false">
      <c r="B6" s="114" t="str">
        <f aca="false">IF(الموظفون!$B6="","",الموظفون!$B6)</f>
        <v>E001</v>
      </c>
      <c r="C6" s="114" t="str">
        <f aca="false">IF(الموظفون!$B6="","",الموظفون!$C6)</f>
        <v>عبدالله محمد العتيبي</v>
      </c>
      <c r="D6" s="114" t="str">
        <f aca="false">IF(الموظفون!$B6="","",الموظفون!$F6)</f>
        <v>الإدارة العليا</v>
      </c>
      <c r="E6" s="114" t="str">
        <f aca="false">IF(الموظفون!$B6="","",الموظفون!$E6)</f>
        <v>سعودي</v>
      </c>
      <c r="F6" s="111" t="n">
        <f aca="false">IF($B6="","",'مسير يناير'!T6)</f>
        <v>40800</v>
      </c>
      <c r="G6" s="111" t="n">
        <f aca="false">IF($B6="","",'مسير فبراير'!T6)</f>
        <v>40800</v>
      </c>
      <c r="H6" s="111" t="n">
        <f aca="false">IF($B6="","",'مسير مارس'!T6)</f>
        <v>40800</v>
      </c>
      <c r="I6" s="111" t="n">
        <f aca="false">IF($B6="","",'مسير أبريل'!T6)</f>
        <v>40800</v>
      </c>
      <c r="J6" s="111" t="n">
        <f aca="false">IF($B6="","",'مسير مايو'!T6)</f>
        <v>40800</v>
      </c>
      <c r="K6" s="111" t="n">
        <f aca="false">IF($B6="","",'مسير يونيو'!T6)</f>
        <v>40800</v>
      </c>
      <c r="L6" s="111" t="n">
        <f aca="false">IF($B6="","",'مسير يوليو'!T6)</f>
        <v>40800</v>
      </c>
      <c r="M6" s="111" t="n">
        <f aca="false">IF($B6="","",'مسير أغسطس'!T6)</f>
        <v>40800</v>
      </c>
      <c r="N6" s="111" t="n">
        <f aca="false">IF($B6="","",'مسير سبتمبر'!T6)</f>
        <v>40800</v>
      </c>
      <c r="O6" s="111" t="n">
        <f aca="false">IF($B6="","",'مسير أكتوبر'!T6)</f>
        <v>40800</v>
      </c>
      <c r="P6" s="111" t="n">
        <f aca="false">IF($B6="","",'مسير نوفمبر'!T6)</f>
        <v>40800</v>
      </c>
      <c r="Q6" s="111" t="n">
        <f aca="false">IF($B6="","",'مسير ديسمبر'!T6)</f>
        <v>40800</v>
      </c>
      <c r="R6" s="170" t="n">
        <f aca="false">IF($B6="","",IF(1&lt;=cfg_VAL_M,'مسير يناير'!T6,0)+IF(2&lt;=cfg_VAL_M,'مسير فبراير'!T6,0)+IF(3&lt;=cfg_VAL_M,'مسير مارس'!T6,0)+IF(4&lt;=cfg_VAL_M,'مسير أبريل'!T6,0)+IF(5&lt;=cfg_VAL_M,'مسير مايو'!T6,0)+IF(6&lt;=cfg_VAL_M,'مسير يونيو'!T6,0)+IF(7&lt;=cfg_VAL_M,'مسير يوليو'!T6,0)+IF(8&lt;=cfg_VAL_M,'مسير أغسطس'!T6,0)+IF(9&lt;=cfg_VAL_M,'مسير سبتمبر'!T6,0)+IF(10&lt;=cfg_VAL_M,'مسير أكتوبر'!T6,0)+IF(11&lt;=cfg_VAL_M,'مسير نوفمبر'!T6,0)+IF(12&lt;=cfg_VAL_M,'مسير ديسمبر'!T6,0))</f>
        <v>367200</v>
      </c>
      <c r="T6" s="111" t="n">
        <f aca="false">IF($B6="","",'مسير يناير'!AG6)</f>
        <v>51733.3219178082</v>
      </c>
      <c r="U6" s="111" t="n">
        <f aca="false">IF($B6="","",'مسير فبراير'!AG6)</f>
        <v>51111.9520547946</v>
      </c>
      <c r="V6" s="111" t="n">
        <f aca="false">IF($B6="","",'مسير مارس'!AG6)</f>
        <v>51733.3219178082</v>
      </c>
      <c r="W6" s="111" t="n">
        <f aca="false">IF($B6="","",'مسير أبريل'!AG6)</f>
        <v>51526.198630137</v>
      </c>
      <c r="X6" s="111" t="n">
        <f aca="false">IF($B6="","",'مسير مايو'!AG6)</f>
        <v>51733.3219178082</v>
      </c>
      <c r="Y6" s="111" t="n">
        <f aca="false">IF($B6="","",'مسير يونيو'!AG6)</f>
        <v>51526.198630137</v>
      </c>
      <c r="Z6" s="111" t="n">
        <f aca="false">IF($B6="","",'مسير يوليو'!AG6)</f>
        <v>51733.3219178082</v>
      </c>
      <c r="AA6" s="111" t="n">
        <f aca="false">IF($B6="","",'مسير أغسطس'!AG6)</f>
        <v>51733.3219178082</v>
      </c>
      <c r="AB6" s="111" t="n">
        <f aca="false">IF($B6="","",'مسير سبتمبر'!AG6)</f>
        <v>51526.198630137</v>
      </c>
      <c r="AC6" s="111" t="n">
        <f aca="false">IF($B6="","",'مسير أكتوبر'!AG6)</f>
        <v>51733.3219178082</v>
      </c>
      <c r="AD6" s="111" t="n">
        <f aca="false">IF($B6="","",'مسير نوفمبر'!AG6)</f>
        <v>51526.198630137</v>
      </c>
      <c r="AE6" s="111" t="n">
        <f aca="false">IF($B6="","",'مسير ديسمبر'!AG6)</f>
        <v>51733.3219178082</v>
      </c>
      <c r="AF6" s="170" t="n">
        <f aca="false">IF($B6="","",IF(1&lt;=cfg_VAL_M,'مسير يناير'!AG6,0)+IF(2&lt;=cfg_VAL_M,'مسير فبراير'!AG6,0)+IF(3&lt;=cfg_VAL_M,'مسير مارس'!AG6,0)+IF(4&lt;=cfg_VAL_M,'مسير أبريل'!AG6,0)+IF(5&lt;=cfg_VAL_M,'مسير مايو'!AG6,0)+IF(6&lt;=cfg_VAL_M,'مسير يونيو'!AG6,0)+IF(7&lt;=cfg_VAL_M,'مسير يوليو'!AG6,0)+IF(8&lt;=cfg_VAL_M,'مسير أغسطس'!AG6,0)+IF(9&lt;=cfg_VAL_M,'مسير سبتمبر'!AG6,0)+IF(10&lt;=cfg_VAL_M,'مسير أكتوبر'!AG6,0)+IF(11&lt;=cfg_VAL_M,'مسير نوفمبر'!AG6,0)+IF(12&lt;=cfg_VAL_M,'مسير ديسمبر'!AG6,0))</f>
        <v>464357.157534247</v>
      </c>
      <c r="AG6" s="170" t="n">
        <f aca="false">IF($B6="","",IF(1&lt;=cfg_VAL_M,'مسير يناير'!Y6,0)+IF(2&lt;=cfg_VAL_M,'مسير فبراير'!Y6,0)+IF(3&lt;=cfg_VAL_M,'مسير مارس'!Y6,0)+IF(4&lt;=cfg_VAL_M,'مسير أبريل'!Y6,0)+IF(5&lt;=cfg_VAL_M,'مسير مايو'!Y6,0)+IF(6&lt;=cfg_VAL_M,'مسير يونيو'!Y6,0)+IF(7&lt;=cfg_VAL_M,'مسير يوليو'!Y6,0)+IF(8&lt;=cfg_VAL_M,'مسير أغسطس'!Y6,0)+IF(9&lt;=cfg_VAL_M,'مسير سبتمبر'!Y6,0)+IF(10&lt;=cfg_VAL_M,'مسير أكتوبر'!Y6,0)+IF(11&lt;=cfg_VAL_M,'مسير نوفمبر'!Y6,0)+IF(12&lt;=cfg_VAL_M,'مسير ديسمبر'!Y6,0))</f>
        <v>336487.5</v>
      </c>
      <c r="AH6" s="111" t="n">
        <f aca="false">IF($B6="","",AF6/cfg_VAL_M)</f>
        <v>51595.2397260274</v>
      </c>
    </row>
    <row r="7" customFormat="false" ht="15" hidden="false" customHeight="false" outlineLevel="0" collapsed="false">
      <c r="B7" s="117" t="str">
        <f aca="false">IF(الموظفون!$B7="","",الموظفون!$B7)</f>
        <v>E002</v>
      </c>
      <c r="C7" s="117" t="str">
        <f aca="false">IF(الموظفون!$B7="","",الموظفون!$C7)</f>
        <v>أحمد سعيد القحطاني</v>
      </c>
      <c r="D7" s="117" t="str">
        <f aca="false">IF(الموظفون!$B7="","",الموظفون!$F7)</f>
        <v>المالية</v>
      </c>
      <c r="E7" s="117" t="str">
        <f aca="false">IF(الموظفون!$B7="","",الموظفون!$E7)</f>
        <v>سعودي</v>
      </c>
      <c r="F7" s="116" t="n">
        <f aca="false">IF($B7="","",'مسير يناير'!T7)</f>
        <v>25300</v>
      </c>
      <c r="G7" s="116" t="n">
        <f aca="false">IF($B7="","",'مسير فبراير'!T7)</f>
        <v>25300</v>
      </c>
      <c r="H7" s="116" t="n">
        <f aca="false">IF($B7="","",'مسير مارس'!T7)</f>
        <v>25300</v>
      </c>
      <c r="I7" s="116" t="n">
        <f aca="false">IF($B7="","",'مسير أبريل'!T7)</f>
        <v>25300</v>
      </c>
      <c r="J7" s="116" t="n">
        <f aca="false">IF($B7="","",'مسير مايو'!T7)</f>
        <v>25300</v>
      </c>
      <c r="K7" s="116" t="n">
        <f aca="false">IF($B7="","",'مسير يونيو'!T7)</f>
        <v>25300</v>
      </c>
      <c r="L7" s="116" t="n">
        <f aca="false">IF($B7="","",'مسير يوليو'!T7)</f>
        <v>25300</v>
      </c>
      <c r="M7" s="116" t="n">
        <f aca="false">IF($B7="","",'مسير أغسطس'!T7)</f>
        <v>25300</v>
      </c>
      <c r="N7" s="116" t="n">
        <f aca="false">IF($B7="","",'مسير سبتمبر'!T7)</f>
        <v>25300</v>
      </c>
      <c r="O7" s="116" t="n">
        <f aca="false">IF($B7="","",'مسير أكتوبر'!T7)</f>
        <v>25300</v>
      </c>
      <c r="P7" s="116" t="n">
        <f aca="false">IF($B7="","",'مسير نوفمبر'!T7)</f>
        <v>25300</v>
      </c>
      <c r="Q7" s="116" t="n">
        <f aca="false">IF($B7="","",'مسير ديسمبر'!T7)</f>
        <v>25300</v>
      </c>
      <c r="R7" s="171" t="n">
        <f aca="false">IF($B7="","",IF(1&lt;=cfg_VAL_M,'مسير يناير'!T7,0)+IF(2&lt;=cfg_VAL_M,'مسير فبراير'!T7,0)+IF(3&lt;=cfg_VAL_M,'مسير مارس'!T7,0)+IF(4&lt;=cfg_VAL_M,'مسير أبريل'!T7,0)+IF(5&lt;=cfg_VAL_M,'مسير مايو'!T7,0)+IF(6&lt;=cfg_VAL_M,'مسير يونيو'!T7,0)+IF(7&lt;=cfg_VAL_M,'مسير يوليو'!T7,0)+IF(8&lt;=cfg_VAL_M,'مسير أغسطس'!T7,0)+IF(9&lt;=cfg_VAL_M,'مسير سبتمبر'!T7,0)+IF(10&lt;=cfg_VAL_M,'مسير أكتوبر'!T7,0)+IF(11&lt;=cfg_VAL_M,'مسير نوفمبر'!T7,0)+IF(12&lt;=cfg_VAL_M,'مسير ديسمبر'!T7,0))</f>
        <v>227700</v>
      </c>
      <c r="T7" s="116" t="n">
        <f aca="false">IF($B7="","",'مسير يناير'!AG7)</f>
        <v>32371.4212328767</v>
      </c>
      <c r="U7" s="116" t="n">
        <f aca="false">IF($B7="","",'مسير فبراير'!AG7)</f>
        <v>31971.9691780822</v>
      </c>
      <c r="V7" s="116" t="n">
        <f aca="false">IF($B7="","",'مسير مارس'!AG7)</f>
        <v>32371.4212328767</v>
      </c>
      <c r="W7" s="116" t="n">
        <f aca="false">IF($B7="","",'مسير أبريل'!AG7)</f>
        <v>32238.2705479452</v>
      </c>
      <c r="X7" s="116" t="n">
        <f aca="false">IF($B7="","",'مسير مايو'!AG7)</f>
        <v>32371.4212328767</v>
      </c>
      <c r="Y7" s="116" t="n">
        <f aca="false">IF($B7="","",'مسير يونيو'!AG7)</f>
        <v>32238.2705479452</v>
      </c>
      <c r="Z7" s="116" t="n">
        <f aca="false">IF($B7="","",'مسير يوليو'!AG7)</f>
        <v>32371.4212328767</v>
      </c>
      <c r="AA7" s="116" t="n">
        <f aca="false">IF($B7="","",'مسير أغسطس'!AG7)</f>
        <v>32371.4212328767</v>
      </c>
      <c r="AB7" s="116" t="n">
        <f aca="false">IF($B7="","",'مسير سبتمبر'!AG7)</f>
        <v>32238.2705479452</v>
      </c>
      <c r="AC7" s="116" t="n">
        <f aca="false">IF($B7="","",'مسير أكتوبر'!AG7)</f>
        <v>32371.4212328767</v>
      </c>
      <c r="AD7" s="116" t="n">
        <f aca="false">IF($B7="","",'مسير نوفمبر'!AG7)</f>
        <v>32238.2705479452</v>
      </c>
      <c r="AE7" s="116" t="n">
        <f aca="false">IF($B7="","",'مسير ديسمبر'!AG7)</f>
        <v>32371.4212328767</v>
      </c>
      <c r="AF7" s="171" t="n">
        <f aca="false">IF($B7="","",IF(1&lt;=cfg_VAL_M,'مسير يناير'!AG7,0)+IF(2&lt;=cfg_VAL_M,'مسير فبراير'!AG7,0)+IF(3&lt;=cfg_VAL_M,'مسير مارس'!AG7,0)+IF(4&lt;=cfg_VAL_M,'مسير أبريل'!AG7,0)+IF(5&lt;=cfg_VAL_M,'مسير مايو'!AG7,0)+IF(6&lt;=cfg_VAL_M,'مسير يونيو'!AG7,0)+IF(7&lt;=cfg_VAL_M,'مسير يوليو'!AG7,0)+IF(8&lt;=cfg_VAL_M,'مسير أغسطس'!AG7,0)+IF(9&lt;=cfg_VAL_M,'مسير سبتمبر'!AG7,0)+IF(10&lt;=cfg_VAL_M,'مسير أكتوبر'!AG7,0)+IF(11&lt;=cfg_VAL_M,'مسير نوفمبر'!AG7,0)+IF(12&lt;=cfg_VAL_M,'مسير ديسمبر'!AG7,0))</f>
        <v>290543.886986301</v>
      </c>
      <c r="AG7" s="171" t="n">
        <f aca="false">IF($B7="","",IF(1&lt;=cfg_VAL_M,'مسير يناير'!Y7,0)+IF(2&lt;=cfg_VAL_M,'مسير فبراير'!Y7,0)+IF(3&lt;=cfg_VAL_M,'مسير مارس'!Y7,0)+IF(4&lt;=cfg_VAL_M,'مسير أبريل'!Y7,0)+IF(5&lt;=cfg_VAL_M,'مسير مايو'!Y7,0)+IF(6&lt;=cfg_VAL_M,'مسير يونيو'!Y7,0)+IF(7&lt;=cfg_VAL_M,'مسير يوليو'!Y7,0)+IF(8&lt;=cfg_VAL_M,'مسير أغسطس'!Y7,0)+IF(9&lt;=cfg_VAL_M,'مسير سبتمبر'!Y7,0)+IF(10&lt;=cfg_VAL_M,'مسير أكتوبر'!Y7,0)+IF(11&lt;=cfg_VAL_M,'مسير نوفمبر'!Y7,0)+IF(12&lt;=cfg_VAL_M,'مسير ديسمبر'!Y7,0))</f>
        <v>207956.25</v>
      </c>
      <c r="AH7" s="116" t="n">
        <f aca="false">IF($B7="","",AF7/cfg_VAL_M)</f>
        <v>32282.654109589</v>
      </c>
    </row>
    <row r="8" customFormat="false" ht="15" hidden="false" customHeight="false" outlineLevel="0" collapsed="false">
      <c r="B8" s="114" t="str">
        <f aca="false">IF(الموظفون!$B8="","",الموظفون!$B8)</f>
        <v>E003</v>
      </c>
      <c r="C8" s="114" t="str">
        <f aca="false">IF(الموظفون!$B8="","",الموظفون!$C8)</f>
        <v>محمد علي حسن</v>
      </c>
      <c r="D8" s="114" t="str">
        <f aca="false">IF(الموظفون!$B8="","",الموظفون!$F8)</f>
        <v>المالية</v>
      </c>
      <c r="E8" s="114" t="str">
        <f aca="false">IF(الموظفون!$B8="","",الموظفون!$E8)</f>
        <v>غير سعودي</v>
      </c>
      <c r="F8" s="111" t="n">
        <f aca="false">IF($B8="","",'مسير يناير'!T8)</f>
        <v>12786.25</v>
      </c>
      <c r="G8" s="111" t="n">
        <f aca="false">IF($B8="","",'مسير فبراير'!T8)</f>
        <v>12515.8333333333</v>
      </c>
      <c r="H8" s="111" t="n">
        <f aca="false">IF($B8="","",'مسير مارس'!T8)</f>
        <v>11975</v>
      </c>
      <c r="I8" s="111" t="n">
        <f aca="false">IF($B8="","",'مسير أبريل'!T8)</f>
        <v>11975</v>
      </c>
      <c r="J8" s="111" t="n">
        <f aca="false">IF($B8="","",'مسير مايو'!T8)</f>
        <v>11975</v>
      </c>
      <c r="K8" s="111" t="n">
        <f aca="false">IF($B8="","",'مسير يونيو'!T8)</f>
        <v>11975</v>
      </c>
      <c r="L8" s="111" t="n">
        <f aca="false">IF($B8="","",'مسير يوليو'!T8)</f>
        <v>11975</v>
      </c>
      <c r="M8" s="111" t="n">
        <f aca="false">IF($B8="","",'مسير أغسطس'!T8)</f>
        <v>11975</v>
      </c>
      <c r="N8" s="111" t="n">
        <f aca="false">IF($B8="","",'مسير سبتمبر'!T8)</f>
        <v>11975</v>
      </c>
      <c r="O8" s="111" t="n">
        <f aca="false">IF($B8="","",'مسير أكتوبر'!T8)</f>
        <v>11975</v>
      </c>
      <c r="P8" s="111" t="n">
        <f aca="false">IF($B8="","",'مسير نوفمبر'!T8)</f>
        <v>11975</v>
      </c>
      <c r="Q8" s="111" t="n">
        <f aca="false">IF($B8="","",'مسير ديسمبر'!T8)</f>
        <v>11475</v>
      </c>
      <c r="R8" s="170" t="n">
        <f aca="false">IF($B8="","",IF(1&lt;=cfg_VAL_M,'مسير يناير'!T8,0)+IF(2&lt;=cfg_VAL_M,'مسير فبراير'!T8,0)+IF(3&lt;=cfg_VAL_M,'مسير مارس'!T8,0)+IF(4&lt;=cfg_VAL_M,'مسير أبريل'!T8,0)+IF(5&lt;=cfg_VAL_M,'مسير مايو'!T8,0)+IF(6&lt;=cfg_VAL_M,'مسير يونيو'!T8,0)+IF(7&lt;=cfg_VAL_M,'مسير يوليو'!T8,0)+IF(8&lt;=cfg_VAL_M,'مسير أغسطس'!T8,0)+IF(9&lt;=cfg_VAL_M,'مسير سبتمبر'!T8,0)+IF(10&lt;=cfg_VAL_M,'مسير أكتوبر'!T8,0)+IF(11&lt;=cfg_VAL_M,'مسير نوفمبر'!T8,0)+IF(12&lt;=cfg_VAL_M,'مسير ديسمبر'!T8,0))</f>
        <v>109127.083333333</v>
      </c>
      <c r="T8" s="111" t="n">
        <f aca="false">IF($B8="","",'مسير يناير'!AG8)</f>
        <v>16137.9851598174</v>
      </c>
      <c r="U8" s="111" t="n">
        <f aca="false">IF($B8="","",'مسير فبراير'!AG8)</f>
        <v>15665.7876712329</v>
      </c>
      <c r="V8" s="111" t="n">
        <f aca="false">IF($B8="","",'مسير مارس'!AG8)</f>
        <v>15326.7351598174</v>
      </c>
      <c r="W8" s="111" t="n">
        <f aca="false">IF($B8="","",'مسير أبريل'!AG8)</f>
        <v>15259.4748858448</v>
      </c>
      <c r="X8" s="111" t="n">
        <f aca="false">IF($B8="","",'مسير مايو'!AG8)</f>
        <v>15326.7351598173</v>
      </c>
      <c r="Y8" s="111" t="n">
        <f aca="false">IF($B8="","",'مسير يونيو'!AG8)</f>
        <v>15259.4748858448</v>
      </c>
      <c r="Z8" s="111" t="n">
        <f aca="false">IF($B8="","",'مسير يوليو'!AG8)</f>
        <v>15326.7351598173</v>
      </c>
      <c r="AA8" s="111" t="n">
        <f aca="false">IF($B8="","",'مسير أغسطس'!AG8)</f>
        <v>15326.7351598174</v>
      </c>
      <c r="AB8" s="111" t="n">
        <f aca="false">IF($B8="","",'مسير سبتمبر'!AG8)</f>
        <v>15259.4748858447</v>
      </c>
      <c r="AC8" s="111" t="n">
        <f aca="false">IF($B8="","",'مسير أكتوبر'!AG8)</f>
        <v>15326.7351598174</v>
      </c>
      <c r="AD8" s="111" t="n">
        <f aca="false">IF($B8="","",'مسير نوفمبر'!AG8)</f>
        <v>15259.4748858447</v>
      </c>
      <c r="AE8" s="111" t="n">
        <f aca="false">IF($B8="","",'مسير ديسمبر'!AG8)</f>
        <v>14826.7351598174</v>
      </c>
      <c r="AF8" s="170" t="n">
        <f aca="false">IF($B8="","",IF(1&lt;=cfg_VAL_M,'مسير يناير'!AG8,0)+IF(2&lt;=cfg_VAL_M,'مسير فبراير'!AG8,0)+IF(3&lt;=cfg_VAL_M,'مسير مارس'!AG8,0)+IF(4&lt;=cfg_VAL_M,'مسير أبريل'!AG8,0)+IF(5&lt;=cfg_VAL_M,'مسير مايو'!AG8,0)+IF(6&lt;=cfg_VAL_M,'مسير يونيو'!AG8,0)+IF(7&lt;=cfg_VAL_M,'مسير يوليو'!AG8,0)+IF(8&lt;=cfg_VAL_M,'مسير أغسطس'!AG8,0)+IF(9&lt;=cfg_VAL_M,'مسير سبتمبر'!AG8,0)+IF(10&lt;=cfg_VAL_M,'مسير أكتوبر'!AG8,0)+IF(11&lt;=cfg_VAL_M,'مسير نوفمبر'!AG8,0)+IF(12&lt;=cfg_VAL_M,'مسير ديسمبر'!AG8,0))</f>
        <v>138889.138127854</v>
      </c>
      <c r="AG8" s="170" t="n">
        <f aca="false">IF($B8="","",IF(1&lt;=cfg_VAL_M,'مسير يناير'!Y8,0)+IF(2&lt;=cfg_VAL_M,'مسير فبراير'!Y8,0)+IF(3&lt;=cfg_VAL_M,'مسير مارس'!Y8,0)+IF(4&lt;=cfg_VAL_M,'مسير أبريل'!Y8,0)+IF(5&lt;=cfg_VAL_M,'مسير مايو'!Y8,0)+IF(6&lt;=cfg_VAL_M,'مسير يونيو'!Y8,0)+IF(7&lt;=cfg_VAL_M,'مسير يوليو'!Y8,0)+IF(8&lt;=cfg_VAL_M,'مسير أغسطس'!Y8,0)+IF(9&lt;=cfg_VAL_M,'مسير سبتمبر'!Y8,0)+IF(10&lt;=cfg_VAL_M,'مسير أكتوبر'!Y8,0)+IF(11&lt;=cfg_VAL_M,'مسير نوفمبر'!Y8,0)+IF(12&lt;=cfg_VAL_M,'مسير ديسمبر'!Y8,0))</f>
        <v>104127.083333333</v>
      </c>
      <c r="AH8" s="111" t="n">
        <f aca="false">IF($B8="","",AF8/cfg_VAL_M)</f>
        <v>15432.1264586504</v>
      </c>
    </row>
    <row r="9" customFormat="false" ht="15" hidden="false" customHeight="false" outlineLevel="0" collapsed="false">
      <c r="B9" s="117" t="str">
        <f aca="false">IF(الموظفون!$B9="","",الموظفون!$B9)</f>
        <v>E004</v>
      </c>
      <c r="C9" s="117" t="str">
        <f aca="false">IF(الموظفون!$B9="","",الموظفون!$C9)</f>
        <v>نورة خالد الدوسري</v>
      </c>
      <c r="D9" s="117" t="str">
        <f aca="false">IF(الموظفون!$B9="","",الموظفون!$F9)</f>
        <v>الموارد البشرية</v>
      </c>
      <c r="E9" s="117" t="str">
        <f aca="false">IF(الموظفون!$B9="","",الموظفون!$E9)</f>
        <v>سعودي</v>
      </c>
      <c r="F9" s="116" t="n">
        <f aca="false">IF($B9="","",'مسير يناير'!T9)</f>
        <v>18900</v>
      </c>
      <c r="G9" s="116" t="n">
        <f aca="false">IF($B9="","",'مسير فبراير'!T9)</f>
        <v>18900</v>
      </c>
      <c r="H9" s="116" t="n">
        <f aca="false">IF($B9="","",'مسير مارس'!T9)</f>
        <v>18900</v>
      </c>
      <c r="I9" s="116" t="n">
        <f aca="false">IF($B9="","",'مسير أبريل'!T9)</f>
        <v>18900</v>
      </c>
      <c r="J9" s="116" t="n">
        <f aca="false">IF($B9="","",'مسير مايو'!T9)</f>
        <v>18900</v>
      </c>
      <c r="K9" s="116" t="n">
        <f aca="false">IF($B9="","",'مسير يونيو'!T9)</f>
        <v>18900</v>
      </c>
      <c r="L9" s="116" t="n">
        <f aca="false">IF($B9="","",'مسير يوليو'!T9)</f>
        <v>18900</v>
      </c>
      <c r="M9" s="116" t="n">
        <f aca="false">IF($B9="","",'مسير أغسطس'!T9)</f>
        <v>18900</v>
      </c>
      <c r="N9" s="116" t="n">
        <f aca="false">IF($B9="","",'مسير سبتمبر'!T9)</f>
        <v>18900</v>
      </c>
      <c r="O9" s="116" t="n">
        <f aca="false">IF($B9="","",'مسير أكتوبر'!T9)</f>
        <v>18900</v>
      </c>
      <c r="P9" s="116" t="n">
        <f aca="false">IF($B9="","",'مسير نوفمبر'!T9)</f>
        <v>18900</v>
      </c>
      <c r="Q9" s="116" t="n">
        <f aca="false">IF($B9="","",'مسير ديسمبر'!T9)</f>
        <v>18900</v>
      </c>
      <c r="R9" s="171" t="n">
        <f aca="false">IF($B9="","",IF(1&lt;=cfg_VAL_M,'مسير يناير'!T9,0)+IF(2&lt;=cfg_VAL_M,'مسير فبراير'!T9,0)+IF(3&lt;=cfg_VAL_M,'مسير مارس'!T9,0)+IF(4&lt;=cfg_VAL_M,'مسير أبريل'!T9,0)+IF(5&lt;=cfg_VAL_M,'مسير مايو'!T9,0)+IF(6&lt;=cfg_VAL_M,'مسير يونيو'!T9,0)+IF(7&lt;=cfg_VAL_M,'مسير يوليو'!T9,0)+IF(8&lt;=cfg_VAL_M,'مسير أغسطس'!T9,0)+IF(9&lt;=cfg_VAL_M,'مسير سبتمبر'!T9,0)+IF(10&lt;=cfg_VAL_M,'مسير أكتوبر'!T9,0)+IF(11&lt;=cfg_VAL_M,'مسير نوفمبر'!T9,0)+IF(12&lt;=cfg_VAL_M,'مسير ديسمبر'!T9,0))</f>
        <v>170100</v>
      </c>
      <c r="T9" s="116" t="n">
        <f aca="false">IF($B9="","",'مسير يناير'!AG9)</f>
        <v>24466.6609589041</v>
      </c>
      <c r="U9" s="116" t="n">
        <f aca="false">IF($B9="","",'مسير فبراير'!AG9)</f>
        <v>24155.9760273973</v>
      </c>
      <c r="V9" s="116" t="n">
        <f aca="false">IF($B9="","",'مسير مارس'!AG9)</f>
        <v>24466.6609589041</v>
      </c>
      <c r="W9" s="116" t="n">
        <f aca="false">IF($B9="","",'مسير أبريل'!AG9)</f>
        <v>24363.0993150685</v>
      </c>
      <c r="X9" s="116" t="n">
        <f aca="false">IF($B9="","",'مسير مايو'!AG9)</f>
        <v>24466.6609589041</v>
      </c>
      <c r="Y9" s="116" t="n">
        <f aca="false">IF($B9="","",'مسير يونيو'!AG9)</f>
        <v>24363.0993150685</v>
      </c>
      <c r="Z9" s="116" t="n">
        <f aca="false">IF($B9="","",'مسير يوليو'!AG9)</f>
        <v>24466.6609589041</v>
      </c>
      <c r="AA9" s="116" t="n">
        <f aca="false">IF($B9="","",'مسير أغسطس'!AG9)</f>
        <v>24466.6609589041</v>
      </c>
      <c r="AB9" s="116" t="n">
        <f aca="false">IF($B9="","",'مسير سبتمبر'!AG9)</f>
        <v>24363.0993150685</v>
      </c>
      <c r="AC9" s="116" t="n">
        <f aca="false">IF($B9="","",'مسير أكتوبر'!AG9)</f>
        <v>24466.6609589041</v>
      </c>
      <c r="AD9" s="116" t="n">
        <f aca="false">IF($B9="","",'مسير نوفمبر'!AG9)</f>
        <v>24363.0993150685</v>
      </c>
      <c r="AE9" s="116" t="n">
        <f aca="false">IF($B9="","",'مسير ديسمبر'!AG9)</f>
        <v>24466.6609589041</v>
      </c>
      <c r="AF9" s="171" t="n">
        <f aca="false">IF($B9="","",IF(1&lt;=cfg_VAL_M,'مسير يناير'!AG9,0)+IF(2&lt;=cfg_VAL_M,'مسير فبراير'!AG9,0)+IF(3&lt;=cfg_VAL_M,'مسير مارس'!AG9,0)+IF(4&lt;=cfg_VAL_M,'مسير أبريل'!AG9,0)+IF(5&lt;=cfg_VAL_M,'مسير مايو'!AG9,0)+IF(6&lt;=cfg_VAL_M,'مسير يونيو'!AG9,0)+IF(7&lt;=cfg_VAL_M,'مسير يوليو'!AG9,0)+IF(8&lt;=cfg_VAL_M,'مسير أغسطس'!AG9,0)+IF(9&lt;=cfg_VAL_M,'مسير سبتمبر'!AG9,0)+IF(10&lt;=cfg_VAL_M,'مسير أكتوبر'!AG9,0)+IF(11&lt;=cfg_VAL_M,'مسير نوفمبر'!AG9,0)+IF(12&lt;=cfg_VAL_M,'مسير ديسمبر'!AG9,0))</f>
        <v>219578.578767123</v>
      </c>
      <c r="AG9" s="171" t="n">
        <f aca="false">IF($B9="","",IF(1&lt;=cfg_VAL_M,'مسير يناير'!Y9,0)+IF(2&lt;=cfg_VAL_M,'مسير فبراير'!Y9,0)+IF(3&lt;=cfg_VAL_M,'مسير مارس'!Y9,0)+IF(4&lt;=cfg_VAL_M,'مسير أبريل'!Y9,0)+IF(5&lt;=cfg_VAL_M,'مسير مايو'!Y9,0)+IF(6&lt;=cfg_VAL_M,'مسير يونيو'!Y9,0)+IF(7&lt;=cfg_VAL_M,'مسير يوليو'!Y9,0)+IF(8&lt;=cfg_VAL_M,'مسير أغسطس'!Y9,0)+IF(9&lt;=cfg_VAL_M,'مسير سبتمبر'!Y9,0)+IF(10&lt;=cfg_VAL_M,'مسير أكتوبر'!Y9,0)+IF(11&lt;=cfg_VAL_M,'مسير نوفمبر'!Y9,0)+IF(12&lt;=cfg_VAL_M,'مسير ديسمبر'!Y9,0))</f>
        <v>154743.75</v>
      </c>
      <c r="AH9" s="116" t="n">
        <f aca="false">IF($B9="","",AF9/cfg_VAL_M)</f>
        <v>24397.6198630137</v>
      </c>
    </row>
    <row r="10" customFormat="false" ht="15" hidden="false" customHeight="false" outlineLevel="0" collapsed="false">
      <c r="B10" s="114" t="str">
        <f aca="false">IF(الموظفون!$B10="","",الموظفون!$B10)</f>
        <v>E005</v>
      </c>
      <c r="C10" s="114" t="str">
        <f aca="false">IF(الموظفون!$B10="","",الموظفون!$C10)</f>
        <v>راجيش كومار</v>
      </c>
      <c r="D10" s="114" t="str">
        <f aca="false">IF(الموظفون!$B10="","",الموظفون!$F10)</f>
        <v>تقنية المعلومات</v>
      </c>
      <c r="E10" s="114" t="str">
        <f aca="false">IF(الموظفون!$B10="","",الموظفون!$E10)</f>
        <v>غير سعودي</v>
      </c>
      <c r="F10" s="111" t="n">
        <f aca="false">IF($B10="","",'مسير يناير'!T10)</f>
        <v>12850</v>
      </c>
      <c r="G10" s="111" t="n">
        <f aca="false">IF($B10="","",'مسير فبراير'!T10)</f>
        <v>12850</v>
      </c>
      <c r="H10" s="111" t="n">
        <f aca="false">IF($B10="","",'مسير مارس'!T10)</f>
        <v>12850</v>
      </c>
      <c r="I10" s="111" t="n">
        <f aca="false">IF($B10="","",'مسير أبريل'!T10)</f>
        <v>12850</v>
      </c>
      <c r="J10" s="111" t="n">
        <f aca="false">IF($B10="","",'مسير مايو'!T10)</f>
        <v>14006.6666666667</v>
      </c>
      <c r="K10" s="111" t="n">
        <f aca="false">IF($B10="","",'مسير يونيو'!T10)</f>
        <v>12850</v>
      </c>
      <c r="L10" s="111" t="n">
        <f aca="false">IF($B10="","",'مسير يوليو'!T10)</f>
        <v>12850</v>
      </c>
      <c r="M10" s="111" t="n">
        <f aca="false">IF($B10="","",'مسير أغسطس'!T10)</f>
        <v>12360</v>
      </c>
      <c r="N10" s="111" t="n">
        <f aca="false">IF($B10="","",'مسير سبتمبر'!T10)</f>
        <v>12850</v>
      </c>
      <c r="O10" s="111" t="n">
        <f aca="false">IF($B10="","",'مسير أكتوبر'!T10)</f>
        <v>12850</v>
      </c>
      <c r="P10" s="111" t="n">
        <f aca="false">IF($B10="","",'مسير نوفمبر'!T10)</f>
        <v>12850</v>
      </c>
      <c r="Q10" s="111" t="n">
        <f aca="false">IF($B10="","",'مسير ديسمبر'!T10)</f>
        <v>12850</v>
      </c>
      <c r="R10" s="170" t="n">
        <f aca="false">IF($B10="","",IF(1&lt;=cfg_VAL_M,'مسير يناير'!T10,0)+IF(2&lt;=cfg_VAL_M,'مسير فبراير'!T10,0)+IF(3&lt;=cfg_VAL_M,'مسير مارس'!T10,0)+IF(4&lt;=cfg_VAL_M,'مسير أبريل'!T10,0)+IF(5&lt;=cfg_VAL_M,'مسير مايو'!T10,0)+IF(6&lt;=cfg_VAL_M,'مسير يونيو'!T10,0)+IF(7&lt;=cfg_VAL_M,'مسير يوليو'!T10,0)+IF(8&lt;=cfg_VAL_M,'مسير أغسطس'!T10,0)+IF(9&lt;=cfg_VAL_M,'مسير سبتمبر'!T10,0)+IF(10&lt;=cfg_VAL_M,'مسير أكتوبر'!T10,0)+IF(11&lt;=cfg_VAL_M,'مسير نوفمبر'!T10,0)+IF(12&lt;=cfg_VAL_M,'مسير ديسمبر'!T10,0))</f>
        <v>116316.666666667</v>
      </c>
      <c r="T10" s="111" t="n">
        <f aca="false">IF($B10="","",'مسير يناير'!AG10)</f>
        <v>16430.8105022831</v>
      </c>
      <c r="U10" s="111" t="n">
        <f aca="false">IF($B10="","",'مسير فبراير'!AG10)</f>
        <v>16208.0707762557</v>
      </c>
      <c r="V10" s="111" t="n">
        <f aca="false">IF($B10="","",'مسير مارس'!AG10)</f>
        <v>16430.8105022831</v>
      </c>
      <c r="W10" s="111" t="n">
        <f aca="false">IF($B10="","",'مسير أبريل'!AG10)</f>
        <v>16356.5639269406</v>
      </c>
      <c r="X10" s="111" t="n">
        <f aca="false">IF($B10="","",'مسير مايو'!AG10)</f>
        <v>17587.4771689498</v>
      </c>
      <c r="Y10" s="111" t="n">
        <f aca="false">IF($B10="","",'مسير يونيو'!AG10)</f>
        <v>16356.5639269406</v>
      </c>
      <c r="Z10" s="111" t="n">
        <f aca="false">IF($B10="","",'مسير يوليو'!AG10)</f>
        <v>16430.8105022831</v>
      </c>
      <c r="AA10" s="111" t="n">
        <f aca="false">IF($B10="","",'مسير أغسطس'!AG10)</f>
        <v>15940.8105022831</v>
      </c>
      <c r="AB10" s="111" t="n">
        <f aca="false">IF($B10="","",'مسير سبتمبر'!AG10)</f>
        <v>16356.5639269406</v>
      </c>
      <c r="AC10" s="111" t="n">
        <f aca="false">IF($B10="","",'مسير أكتوبر'!AG10)</f>
        <v>16430.8105022831</v>
      </c>
      <c r="AD10" s="111" t="n">
        <f aca="false">IF($B10="","",'مسير نوفمبر'!AG10)</f>
        <v>16356.5639269406</v>
      </c>
      <c r="AE10" s="111" t="n">
        <f aca="false">IF($B10="","",'مسير ديسمبر'!AG10)</f>
        <v>16430.8105022831</v>
      </c>
      <c r="AF10" s="170" t="n">
        <f aca="false">IF($B10="","",IF(1&lt;=cfg_VAL_M,'مسير يناير'!AG10,0)+IF(2&lt;=cfg_VAL_M,'مسير فبراير'!AG10,0)+IF(3&lt;=cfg_VAL_M,'مسير مارس'!AG10,0)+IF(4&lt;=cfg_VAL_M,'مسير أبريل'!AG10,0)+IF(5&lt;=cfg_VAL_M,'مسير مايو'!AG10,0)+IF(6&lt;=cfg_VAL_M,'مسير يونيو'!AG10,0)+IF(7&lt;=cfg_VAL_M,'مسير يوليو'!AG10,0)+IF(8&lt;=cfg_VAL_M,'مسير أغسطس'!AG10,0)+IF(9&lt;=cfg_VAL_M,'مسير سبتمبر'!AG10,0)+IF(10&lt;=cfg_VAL_M,'مسير أكتوبر'!AG10,0)+IF(11&lt;=cfg_VAL_M,'مسير نوفمبر'!AG10,0)+IF(12&lt;=cfg_VAL_M,'مسير ديسمبر'!AG10,0))</f>
        <v>148098.48173516</v>
      </c>
      <c r="AG10" s="170" t="n">
        <f aca="false">IF($B10="","",IF(1&lt;=cfg_VAL_M,'مسير يناير'!Y10,0)+IF(2&lt;=cfg_VAL_M,'مسير فبراير'!Y10,0)+IF(3&lt;=cfg_VAL_M,'مسير مارس'!Y10,0)+IF(4&lt;=cfg_VAL_M,'مسير أبريل'!Y10,0)+IF(5&lt;=cfg_VAL_M,'مسير مايو'!Y10,0)+IF(6&lt;=cfg_VAL_M,'مسير يونيو'!Y10,0)+IF(7&lt;=cfg_VAL_M,'مسير يوليو'!Y10,0)+IF(8&lt;=cfg_VAL_M,'مسير أغسطس'!Y10,0)+IF(9&lt;=cfg_VAL_M,'مسير سبتمبر'!Y10,0)+IF(10&lt;=cfg_VAL_M,'مسير أكتوبر'!Y10,0)+IF(11&lt;=cfg_VAL_M,'مسير نوفمبر'!Y10,0)+IF(12&lt;=cfg_VAL_M,'مسير ديسمبر'!Y10,0))</f>
        <v>116316.666666667</v>
      </c>
      <c r="AH10" s="111" t="n">
        <f aca="false">IF($B10="","",AF10/cfg_VAL_M)</f>
        <v>16455.3868594622</v>
      </c>
    </row>
    <row r="11" customFormat="false" ht="15" hidden="false" customHeight="false" outlineLevel="0" collapsed="false">
      <c r="B11" s="117" t="str">
        <f aca="false">IF(الموظفون!$B11="","",الموظفون!$B11)</f>
        <v>E006</v>
      </c>
      <c r="C11" s="117" t="str">
        <f aca="false">IF(الموظفون!$B11="","",الموظفون!$C11)</f>
        <v>فهد ناصر الشمري</v>
      </c>
      <c r="D11" s="117" t="str">
        <f aca="false">IF(الموظفون!$B11="","",الموظفون!$F11)</f>
        <v>المبيعات</v>
      </c>
      <c r="E11" s="117" t="str">
        <f aca="false">IF(الموظفون!$B11="","",الموظفون!$E11)</f>
        <v>سعودي</v>
      </c>
      <c r="F11" s="116" t="n">
        <f aca="false">IF($B11="","",'مسير يناير'!T11)</f>
        <v>20050</v>
      </c>
      <c r="G11" s="116" t="n">
        <f aca="false">IF($B11="","",'مسير فبراير'!T11)</f>
        <v>25050</v>
      </c>
      <c r="H11" s="116" t="n">
        <f aca="false">IF($B11="","",'مسير مارس'!T11)</f>
        <v>20050</v>
      </c>
      <c r="I11" s="116" t="n">
        <f aca="false">IF($B11="","",'مسير أبريل'!T11)</f>
        <v>20050</v>
      </c>
      <c r="J11" s="116" t="n">
        <f aca="false">IF($B11="","",'مسير مايو'!T11)</f>
        <v>20050</v>
      </c>
      <c r="K11" s="116" t="n">
        <f aca="false">IF($B11="","",'مسير يونيو'!T11)</f>
        <v>26550</v>
      </c>
      <c r="L11" s="116" t="n">
        <f aca="false">IF($B11="","",'مسير يوليو'!T11)</f>
        <v>20050</v>
      </c>
      <c r="M11" s="116" t="n">
        <f aca="false">IF($B11="","",'مسير أغسطس'!T11)</f>
        <v>20050</v>
      </c>
      <c r="N11" s="116" t="n">
        <f aca="false">IF($B11="","",'مسير سبتمبر'!T11)</f>
        <v>12698.3333333333</v>
      </c>
      <c r="O11" s="116" t="n">
        <f aca="false">IF($B11="","",'مسير أكتوبر'!T11)</f>
        <v>7351.66666666667</v>
      </c>
      <c r="P11" s="116" t="n">
        <f aca="false">IF($B11="","",'مسير نوفمبر'!T11)</f>
        <v>20050</v>
      </c>
      <c r="Q11" s="116" t="n">
        <f aca="false">IF($B11="","",'مسير ديسمبر'!T11)</f>
        <v>20050</v>
      </c>
      <c r="R11" s="171" t="n">
        <f aca="false">IF($B11="","",IF(1&lt;=cfg_VAL_M,'مسير يناير'!T11,0)+IF(2&lt;=cfg_VAL_M,'مسير فبراير'!T11,0)+IF(3&lt;=cfg_VAL_M,'مسير مارس'!T11,0)+IF(4&lt;=cfg_VAL_M,'مسير أبريل'!T11,0)+IF(5&lt;=cfg_VAL_M,'مسير مايو'!T11,0)+IF(6&lt;=cfg_VAL_M,'مسير يونيو'!T11,0)+IF(7&lt;=cfg_VAL_M,'مسير يوليو'!T11,0)+IF(8&lt;=cfg_VAL_M,'مسير أغسطس'!T11,0)+IF(9&lt;=cfg_VAL_M,'مسير سبتمبر'!T11,0)+IF(10&lt;=cfg_VAL_M,'مسير أكتوبر'!T11,0)+IF(11&lt;=cfg_VAL_M,'مسير نوفمبر'!T11,0)+IF(12&lt;=cfg_VAL_M,'مسير ديسمبر'!T11,0))</f>
        <v>184598.333333333</v>
      </c>
      <c r="T11" s="116" t="n">
        <f aca="false">IF($B11="","",'مسير يناير'!AG11)</f>
        <v>25240.470890411</v>
      </c>
      <c r="U11" s="116" t="n">
        <f aca="false">IF($B11="","",'مسير فبراير'!AG11)</f>
        <v>29951.977739726</v>
      </c>
      <c r="V11" s="116" t="n">
        <f aca="false">IF($B11="","",'مسير مارس'!AG11)</f>
        <v>25240.470890411</v>
      </c>
      <c r="W11" s="116" t="n">
        <f aca="false">IF($B11="","",'مسير أبريل'!AG11)</f>
        <v>25144.3065068493</v>
      </c>
      <c r="X11" s="116" t="n">
        <f aca="false">IF($B11="","",'مسير مايو'!AG11)</f>
        <v>25240.470890411</v>
      </c>
      <c r="Y11" s="116" t="n">
        <f aca="false">IF($B11="","",'مسير يونيو'!AG11)</f>
        <v>31644.3065068493</v>
      </c>
      <c r="Z11" s="116" t="n">
        <f aca="false">IF($B11="","",'مسير يوليو'!AG11)</f>
        <v>25240.4708904109</v>
      </c>
      <c r="AA11" s="116" t="n">
        <f aca="false">IF($B11="","",'مسير أغسطس'!AG11)</f>
        <v>25240.470890411</v>
      </c>
      <c r="AB11" s="116" t="n">
        <f aca="false">IF($B11="","",'مسير سبتمبر'!AG11)</f>
        <v>16734.8316210046</v>
      </c>
      <c r="AC11" s="116" t="n">
        <f aca="false">IF($B11="","",'مسير أكتوبر'!AG11)</f>
        <v>10715.0142694064</v>
      </c>
      <c r="AD11" s="116" t="n">
        <f aca="false">IF($B11="","",'مسير نوفمبر'!AG11)</f>
        <v>25144.3065068493</v>
      </c>
      <c r="AE11" s="116" t="n">
        <f aca="false">IF($B11="","",'مسير ديسمبر'!AG11)</f>
        <v>25240.470890411</v>
      </c>
      <c r="AF11" s="171" t="n">
        <f aca="false">IF($B11="","",IF(1&lt;=cfg_VAL_M,'مسير يناير'!AG11,0)+IF(2&lt;=cfg_VAL_M,'مسير فبراير'!AG11,0)+IF(3&lt;=cfg_VAL_M,'مسير مارس'!AG11,0)+IF(4&lt;=cfg_VAL_M,'مسير أبريل'!AG11,0)+IF(5&lt;=cfg_VAL_M,'مسير مايو'!AG11,0)+IF(6&lt;=cfg_VAL_M,'مسير يونيو'!AG11,0)+IF(7&lt;=cfg_VAL_M,'مسير يوليو'!AG11,0)+IF(8&lt;=cfg_VAL_M,'مسير أغسطس'!AG11,0)+IF(9&lt;=cfg_VAL_M,'مسير سبتمبر'!AG11,0)+IF(10&lt;=cfg_VAL_M,'مسير أكتوبر'!AG11,0)+IF(11&lt;=cfg_VAL_M,'مسير نوفمبر'!AG11,0)+IF(12&lt;=cfg_VAL_M,'مسير ديسمبر'!AG11,0))</f>
        <v>229677.776826484</v>
      </c>
      <c r="AG11" s="171" t="n">
        <f aca="false">IF($B11="","",IF(1&lt;=cfg_VAL_M,'مسير يناير'!Y11,0)+IF(2&lt;=cfg_VAL_M,'مسير فبراير'!Y11,0)+IF(3&lt;=cfg_VAL_M,'مسير مارس'!Y11,0)+IF(4&lt;=cfg_VAL_M,'مسير أبريل'!Y11,0)+IF(5&lt;=cfg_VAL_M,'مسير مايو'!Y11,0)+IF(6&lt;=cfg_VAL_M,'مسير يونيو'!Y11,0)+IF(7&lt;=cfg_VAL_M,'مسير يوليو'!Y11,0)+IF(8&lt;=cfg_VAL_M,'مسير أغسطس'!Y11,0)+IF(9&lt;=cfg_VAL_M,'مسير سبتمبر'!Y11,0)+IF(10&lt;=cfg_VAL_M,'مسير أكتوبر'!Y11,0)+IF(11&lt;=cfg_VAL_M,'مسير نوفمبر'!Y11,0)+IF(12&lt;=cfg_VAL_M,'مسير ديسمبر'!Y11,0))</f>
        <v>170088.958333333</v>
      </c>
      <c r="AH11" s="116" t="n">
        <f aca="false">IF($B11="","",AF11/cfg_VAL_M)</f>
        <v>25519.7529807204</v>
      </c>
    </row>
    <row r="12" customFormat="false" ht="15" hidden="false" customHeight="false" outlineLevel="0" collapsed="false">
      <c r="B12" s="114" t="str">
        <f aca="false">IF(الموظفون!$B12="","",الموظفون!$B12)</f>
        <v>E007</v>
      </c>
      <c r="C12" s="114" t="str">
        <f aca="false">IF(الموظفون!$B12="","",الموظفون!$C12)</f>
        <v>خالد يوسف الأحمد</v>
      </c>
      <c r="D12" s="114" t="str">
        <f aca="false">IF(الموظفون!$B12="","",الموظفون!$F12)</f>
        <v>المشاريع</v>
      </c>
      <c r="E12" s="114" t="str">
        <f aca="false">IF(الموظفون!$B12="","",الموظفون!$E12)</f>
        <v>غير سعودي</v>
      </c>
      <c r="F12" s="111" t="n">
        <f aca="false">IF($B12="","",'مسير يناير'!T12)</f>
        <v>15650</v>
      </c>
      <c r="G12" s="111" t="n">
        <f aca="false">IF($B12="","",'مسير فبراير'!T12)</f>
        <v>15650</v>
      </c>
      <c r="H12" s="111" t="n">
        <f aca="false">IF($B12="","",'مسير مارس'!T12)</f>
        <v>16531.25</v>
      </c>
      <c r="I12" s="111" t="n">
        <f aca="false">IF($B12="","",'مسير أبريل'!T12)</f>
        <v>15650</v>
      </c>
      <c r="J12" s="111" t="n">
        <f aca="false">IF($B12="","",'مسير مايو'!T12)</f>
        <v>15650</v>
      </c>
      <c r="K12" s="111" t="n">
        <f aca="false">IF($B12="","",'مسير يونيو'!T12)</f>
        <v>15650</v>
      </c>
      <c r="L12" s="111" t="n">
        <f aca="false">IF($B12="","",'مسير يوليو'!T12)</f>
        <v>15650</v>
      </c>
      <c r="M12" s="111" t="n">
        <f aca="false">IF($B12="","",'مسير أغسطس'!T12)</f>
        <v>15650</v>
      </c>
      <c r="N12" s="111" t="n">
        <f aca="false">IF($B12="","",'مسير سبتمبر'!T12)</f>
        <v>15650</v>
      </c>
      <c r="O12" s="111" t="n">
        <f aca="false">IF($B12="","",'مسير أكتوبر'!T12)</f>
        <v>15650</v>
      </c>
      <c r="P12" s="111" t="n">
        <f aca="false">IF($B12="","",'مسير نوفمبر'!T12)</f>
        <v>15650</v>
      </c>
      <c r="Q12" s="111" t="n">
        <f aca="false">IF($B12="","",'مسير ديسمبر'!T12)</f>
        <v>15650</v>
      </c>
      <c r="R12" s="170" t="n">
        <f aca="false">IF($B12="","",IF(1&lt;=cfg_VAL_M,'مسير يناير'!T12,0)+IF(2&lt;=cfg_VAL_M,'مسير فبراير'!T12,0)+IF(3&lt;=cfg_VAL_M,'مسير مارس'!T12,0)+IF(4&lt;=cfg_VAL_M,'مسير أبريل'!T12,0)+IF(5&lt;=cfg_VAL_M,'مسير مايو'!T12,0)+IF(6&lt;=cfg_VAL_M,'مسير يونيو'!T12,0)+IF(7&lt;=cfg_VAL_M,'مسير يوليو'!T12,0)+IF(8&lt;=cfg_VAL_M,'مسير أغسطس'!T12,0)+IF(9&lt;=cfg_VAL_M,'مسير سبتمبر'!T12,0)+IF(10&lt;=cfg_VAL_M,'مسير أكتوبر'!T12,0)+IF(11&lt;=cfg_VAL_M,'مسير نوفمبر'!T12,0)+IF(12&lt;=cfg_VAL_M,'مسير ديسمبر'!T12,0))</f>
        <v>141731.25</v>
      </c>
      <c r="T12" s="111" t="n">
        <f aca="false">IF($B12="","",'مسير يناير'!AG12)</f>
        <v>19917.6598173516</v>
      </c>
      <c r="U12" s="111" t="n">
        <f aca="false">IF($B12="","",'مسير فبراير'!AG12)</f>
        <v>20002.7283105023</v>
      </c>
      <c r="V12" s="111" t="n">
        <f aca="false">IF($B12="","",'مسير مارس'!AG12)</f>
        <v>21165.0742009133</v>
      </c>
      <c r="W12" s="111" t="n">
        <f aca="false">IF($B12="","",'مسير أبريل'!AG12)</f>
        <v>20190.1255707763</v>
      </c>
      <c r="X12" s="111" t="n">
        <f aca="false">IF($B12="","",'مسير مايو'!AG12)</f>
        <v>20283.8242009132</v>
      </c>
      <c r="Y12" s="111" t="n">
        <f aca="false">IF($B12="","",'مسير يونيو'!AG12)</f>
        <v>20190.1255707763</v>
      </c>
      <c r="Z12" s="111" t="n">
        <f aca="false">IF($B12="","",'مسير يوليو'!AG12)</f>
        <v>20283.8242009132</v>
      </c>
      <c r="AA12" s="111" t="n">
        <f aca="false">IF($B12="","",'مسير أغسطس'!AG12)</f>
        <v>20283.8242009133</v>
      </c>
      <c r="AB12" s="111" t="n">
        <f aca="false">IF($B12="","",'مسير سبتمبر'!AG12)</f>
        <v>20190.1255707762</v>
      </c>
      <c r="AC12" s="111" t="n">
        <f aca="false">IF($B12="","",'مسير أكتوبر'!AG12)</f>
        <v>20283.8242009133</v>
      </c>
      <c r="AD12" s="111" t="n">
        <f aca="false">IF($B12="","",'مسير نوفمبر'!AG12)</f>
        <v>20190.1255707763</v>
      </c>
      <c r="AE12" s="111" t="n">
        <f aca="false">IF($B12="","",'مسير ديسمبر'!AG12)</f>
        <v>20283.8242009132</v>
      </c>
      <c r="AF12" s="170" t="n">
        <f aca="false">IF($B12="","",IF(1&lt;=cfg_VAL_M,'مسير يناير'!AG12,0)+IF(2&lt;=cfg_VAL_M,'مسير فبراير'!AG12,0)+IF(3&lt;=cfg_VAL_M,'مسير مارس'!AG12,0)+IF(4&lt;=cfg_VAL_M,'مسير أبريل'!AG12,0)+IF(5&lt;=cfg_VAL_M,'مسير مايو'!AG12,0)+IF(6&lt;=cfg_VAL_M,'مسير يونيو'!AG12,0)+IF(7&lt;=cfg_VAL_M,'مسير يوليو'!AG12,0)+IF(8&lt;=cfg_VAL_M,'مسير أغسطس'!AG12,0)+IF(9&lt;=cfg_VAL_M,'مسير سبتمبر'!AG12,0)+IF(10&lt;=cfg_VAL_M,'مسير أكتوبر'!AG12,0)+IF(11&lt;=cfg_VAL_M,'مسير نوفمبر'!AG12,0)+IF(12&lt;=cfg_VAL_M,'مسير ديسمبر'!AG12,0))</f>
        <v>182507.311643836</v>
      </c>
      <c r="AG12" s="170" t="n">
        <f aca="false">IF($B12="","",IF(1&lt;=cfg_VAL_M,'مسير يناير'!Y12,0)+IF(2&lt;=cfg_VAL_M,'مسير فبراير'!Y12,0)+IF(3&lt;=cfg_VAL_M,'مسير مارس'!Y12,0)+IF(4&lt;=cfg_VAL_M,'مسير أبريل'!Y12,0)+IF(5&lt;=cfg_VAL_M,'مسير مايو'!Y12,0)+IF(6&lt;=cfg_VAL_M,'مسير يونيو'!Y12,0)+IF(7&lt;=cfg_VAL_M,'مسير يوليو'!Y12,0)+IF(8&lt;=cfg_VAL_M,'مسير أغسطس'!Y12,0)+IF(9&lt;=cfg_VAL_M,'مسير سبتمبر'!Y12,0)+IF(10&lt;=cfg_VAL_M,'مسير أكتوبر'!Y12,0)+IF(11&lt;=cfg_VAL_M,'مسير نوفمبر'!Y12,0)+IF(12&lt;=cfg_VAL_M,'مسير ديسمبر'!Y12,0))</f>
        <v>141731.25</v>
      </c>
      <c r="AH12" s="111" t="n">
        <f aca="false">IF($B12="","",AF12/cfg_VAL_M)</f>
        <v>20278.5901826484</v>
      </c>
    </row>
    <row r="13" customFormat="false" ht="15" hidden="false" customHeight="false" outlineLevel="0" collapsed="false">
      <c r="B13" s="117" t="str">
        <f aca="false">IF(الموظفون!$B13="","",الموظفون!$B13)</f>
        <v>E008</v>
      </c>
      <c r="C13" s="117" t="str">
        <f aca="false">IF(الموظفون!$B13="","",الموظفون!$C13)</f>
        <v>سارة عبدالرحمن الزهراني</v>
      </c>
      <c r="D13" s="117" t="str">
        <f aca="false">IF(الموظفون!$B13="","",الموظفون!$F13)</f>
        <v>المالية</v>
      </c>
      <c r="E13" s="117" t="str">
        <f aca="false">IF(الموظفون!$B13="","",الموظفون!$E13)</f>
        <v>سعودي</v>
      </c>
      <c r="F13" s="116" t="n">
        <f aca="false">IF($B13="","",'مسير يناير'!T13)</f>
        <v>10125</v>
      </c>
      <c r="G13" s="116" t="n">
        <f aca="false">IF($B13="","",'مسير فبراير'!T13)</f>
        <v>10125</v>
      </c>
      <c r="H13" s="116" t="n">
        <f aca="false">IF($B13="","",'مسير مارس'!T13)</f>
        <v>10125</v>
      </c>
      <c r="I13" s="116" t="n">
        <f aca="false">IF($B13="","",'مسير أبريل'!T13)</f>
        <v>10125</v>
      </c>
      <c r="J13" s="116" t="n">
        <f aca="false">IF($B13="","",'مسير مايو'!T13)</f>
        <v>10125</v>
      </c>
      <c r="K13" s="116" t="n">
        <f aca="false">IF($B13="","",'مسير يونيو'!T13)</f>
        <v>10125</v>
      </c>
      <c r="L13" s="116" t="n">
        <f aca="false">IF($B13="","",'مسير يوليو'!T13)</f>
        <v>10125</v>
      </c>
      <c r="M13" s="116" t="n">
        <f aca="false">IF($B13="","",'مسير أغسطس'!T13)</f>
        <v>9112.5</v>
      </c>
      <c r="N13" s="116" t="n">
        <f aca="false">IF($B13="","",'مسير سبتمبر'!T13)</f>
        <v>10125</v>
      </c>
      <c r="O13" s="116" t="n">
        <f aca="false">IF($B13="","",'مسير أكتوبر'!T13)</f>
        <v>10125</v>
      </c>
      <c r="P13" s="116" t="n">
        <f aca="false">IF($B13="","",'مسير نوفمبر'!T13)</f>
        <v>10125</v>
      </c>
      <c r="Q13" s="116" t="n">
        <f aca="false">IF($B13="","",'مسير ديسمبر'!T13)</f>
        <v>10125</v>
      </c>
      <c r="R13" s="171" t="n">
        <f aca="false">IF($B13="","",IF(1&lt;=cfg_VAL_M,'مسير يناير'!T13,0)+IF(2&lt;=cfg_VAL_M,'مسير فبراير'!T13,0)+IF(3&lt;=cfg_VAL_M,'مسير مارس'!T13,0)+IF(4&lt;=cfg_VAL_M,'مسير أبريل'!T13,0)+IF(5&lt;=cfg_VAL_M,'مسير مايو'!T13,0)+IF(6&lt;=cfg_VAL_M,'مسير يونيو'!T13,0)+IF(7&lt;=cfg_VAL_M,'مسير يوليو'!T13,0)+IF(8&lt;=cfg_VAL_M,'مسير أغسطس'!T13,0)+IF(9&lt;=cfg_VAL_M,'مسير سبتمبر'!T13,0)+IF(10&lt;=cfg_VAL_M,'مسير أكتوبر'!T13,0)+IF(11&lt;=cfg_VAL_M,'مسير نوفمبر'!T13,0)+IF(12&lt;=cfg_VAL_M,'مسير ديسمبر'!T13,0))</f>
        <v>90112.5</v>
      </c>
      <c r="T13" s="116" t="n">
        <f aca="false">IF($B13="","",'مسير يناير'!AG13)</f>
        <v>12458.4803082192</v>
      </c>
      <c r="U13" s="116" t="n">
        <f aca="false">IF($B13="","",'مسير فبراير'!AG13)</f>
        <v>12358.6172945205</v>
      </c>
      <c r="V13" s="116" t="n">
        <f aca="false">IF($B13="","",'مسير مارس'!AG13)</f>
        <v>12458.4803082192</v>
      </c>
      <c r="W13" s="116" t="n">
        <f aca="false">IF($B13="","",'مسير أبريل'!AG13)</f>
        <v>12425.1926369863</v>
      </c>
      <c r="X13" s="116" t="n">
        <f aca="false">IF($B13="","",'مسير مايو'!AG13)</f>
        <v>12458.4803082192</v>
      </c>
      <c r="Y13" s="116" t="n">
        <f aca="false">IF($B13="","",'مسير يونيو'!AG13)</f>
        <v>12425.1926369863</v>
      </c>
      <c r="Z13" s="116" t="n">
        <f aca="false">IF($B13="","",'مسير يوليو'!AG13)</f>
        <v>12458.4803082192</v>
      </c>
      <c r="AA13" s="116" t="n">
        <f aca="false">IF($B13="","",'مسير أغسطس'!AG13)</f>
        <v>11346.1172945205</v>
      </c>
      <c r="AB13" s="116" t="n">
        <f aca="false">IF($B13="","",'مسير سبتمبر'!AG13)</f>
        <v>12425.1926369863</v>
      </c>
      <c r="AC13" s="116" t="n">
        <f aca="false">IF($B13="","",'مسير أكتوبر'!AG13)</f>
        <v>12458.4803082192</v>
      </c>
      <c r="AD13" s="116" t="n">
        <f aca="false">IF($B13="","",'مسير نوفمبر'!AG13)</f>
        <v>12425.1926369863</v>
      </c>
      <c r="AE13" s="116" t="n">
        <f aca="false">IF($B13="","",'مسير ديسمبر'!AG13)</f>
        <v>12458.4803082192</v>
      </c>
      <c r="AF13" s="171" t="n">
        <f aca="false">IF($B13="","",IF(1&lt;=cfg_VAL_M,'مسير يناير'!AG13,0)+IF(2&lt;=cfg_VAL_M,'مسير فبراير'!AG13,0)+IF(3&lt;=cfg_VAL_M,'مسير مارس'!AG13,0)+IF(4&lt;=cfg_VAL_M,'مسير أبريل'!AG13,0)+IF(5&lt;=cfg_VAL_M,'مسير مايو'!AG13,0)+IF(6&lt;=cfg_VAL_M,'مسير يونيو'!AG13,0)+IF(7&lt;=cfg_VAL_M,'مسير يوليو'!AG13,0)+IF(8&lt;=cfg_VAL_M,'مسير أغسطس'!AG13,0)+IF(9&lt;=cfg_VAL_M,'مسير سبتمبر'!AG13,0)+IF(10&lt;=cfg_VAL_M,'مسير أكتوبر'!AG13,0)+IF(11&lt;=cfg_VAL_M,'مسير نوفمبر'!AG13,0)+IF(12&lt;=cfg_VAL_M,'مسير ديسمبر'!AG13,0))</f>
        <v>110814.233732877</v>
      </c>
      <c r="AG13" s="171" t="n">
        <f aca="false">IF($B13="","",IF(1&lt;=cfg_VAL_M,'مسير يناير'!Y13,0)+IF(2&lt;=cfg_VAL_M,'مسير فبراير'!Y13,0)+IF(3&lt;=cfg_VAL_M,'مسير مارس'!Y13,0)+IF(4&lt;=cfg_VAL_M,'مسير أبريل'!Y13,0)+IF(5&lt;=cfg_VAL_M,'مسير مايو'!Y13,0)+IF(6&lt;=cfg_VAL_M,'مسير يونيو'!Y13,0)+IF(7&lt;=cfg_VAL_M,'مسير يوليو'!Y13,0)+IF(8&lt;=cfg_VAL_M,'مسير أغسطس'!Y13,0)+IF(9&lt;=cfg_VAL_M,'مسير سبتمبر'!Y13,0)+IF(10&lt;=cfg_VAL_M,'مسير أكتوبر'!Y13,0)+IF(11&lt;=cfg_VAL_M,'مسير نوفمبر'!Y13,0)+IF(12&lt;=cfg_VAL_M,'مسير ديسمبر'!Y13,0))</f>
        <v>81885.9375</v>
      </c>
      <c r="AH13" s="116" t="n">
        <f aca="false">IF($B13="","",AF13/cfg_VAL_M)</f>
        <v>12312.6926369863</v>
      </c>
    </row>
    <row r="14" customFormat="false" ht="15" hidden="false" customHeight="false" outlineLevel="0" collapsed="false">
      <c r="B14" s="114" t="str">
        <f aca="false">IF(الموظفون!$B14="","",الموظفون!$B14)</f>
        <v>E009</v>
      </c>
      <c r="C14" s="114" t="str">
        <f aca="false">IF(الموظفون!$B14="","",الموظفون!$C14)</f>
        <v>محمد رفيق</v>
      </c>
      <c r="D14" s="114" t="str">
        <f aca="false">IF(الموظفون!$B14="","",الموظفون!$F14)</f>
        <v>العمليات</v>
      </c>
      <c r="E14" s="114" t="str">
        <f aca="false">IF(الموظفون!$B14="","",الموظفون!$E14)</f>
        <v>غير سعودي</v>
      </c>
      <c r="F14" s="111" t="n">
        <f aca="false">IF($B14="","",'مسير يناير'!T14)</f>
        <v>9799.58333333333</v>
      </c>
      <c r="G14" s="111" t="n">
        <f aca="false">IF($B14="","",'مسير فبراير'!T14)</f>
        <v>9075</v>
      </c>
      <c r="H14" s="111" t="n">
        <f aca="false">IF($B14="","",'مسير مارس'!T14)</f>
        <v>9075</v>
      </c>
      <c r="I14" s="111" t="n">
        <f aca="false">IF($B14="","",'مسير أبريل'!T14)</f>
        <v>9075</v>
      </c>
      <c r="J14" s="111" t="n">
        <f aca="false">IF($B14="","",'مسير مايو'!T14)</f>
        <v>9075</v>
      </c>
      <c r="K14" s="111" t="n">
        <f aca="false">IF($B14="","",'مسير يونيو'!T14)</f>
        <v>8775</v>
      </c>
      <c r="L14" s="111" t="n">
        <f aca="false">IF($B14="","",'مسير يوليو'!T14)</f>
        <v>9075</v>
      </c>
      <c r="M14" s="111" t="n">
        <f aca="false">IF($B14="","",'مسير أغسطس'!T14)</f>
        <v>9075</v>
      </c>
      <c r="N14" s="111" t="n">
        <f aca="false">IF($B14="","",'مسير سبتمبر'!T14)</f>
        <v>9075</v>
      </c>
      <c r="O14" s="111" t="n">
        <f aca="false">IF($B14="","",'مسير أكتوبر'!T14)</f>
        <v>9075</v>
      </c>
      <c r="P14" s="111" t="n">
        <f aca="false">IF($B14="","",'مسير نوفمبر'!T14)</f>
        <v>9075</v>
      </c>
      <c r="Q14" s="111" t="n">
        <f aca="false">IF($B14="","",'مسير ديسمبر'!T14)</f>
        <v>9075</v>
      </c>
      <c r="R14" s="170" t="n">
        <f aca="false">IF($B14="","",IF(1&lt;=cfg_VAL_M,'مسير يناير'!T14,0)+IF(2&lt;=cfg_VAL_M,'مسير فبراير'!T14,0)+IF(3&lt;=cfg_VAL_M,'مسير مارس'!T14,0)+IF(4&lt;=cfg_VAL_M,'مسير أبريل'!T14,0)+IF(5&lt;=cfg_VAL_M,'مسير مايو'!T14,0)+IF(6&lt;=cfg_VAL_M,'مسير يونيو'!T14,0)+IF(7&lt;=cfg_VAL_M,'مسير يوليو'!T14,0)+IF(8&lt;=cfg_VAL_M,'مسير أغسطس'!T14,0)+IF(9&lt;=cfg_VAL_M,'مسير سبتمبر'!T14,0)+IF(10&lt;=cfg_VAL_M,'مسير أكتوبر'!T14,0)+IF(11&lt;=cfg_VAL_M,'مسير نوفمبر'!T14,0)+IF(12&lt;=cfg_VAL_M,'مسير ديسمبر'!T14,0))</f>
        <v>82099.5833333333</v>
      </c>
      <c r="T14" s="111" t="n">
        <f aca="false">IF($B14="","",'مسير يناير'!AG14)</f>
        <v>12550.2226027397</v>
      </c>
      <c r="U14" s="111" t="n">
        <f aca="false">IF($B14="","",'مسير فبراير'!AG14)</f>
        <v>11672.3515981735</v>
      </c>
      <c r="V14" s="111" t="n">
        <f aca="false">IF($B14="","",'مسير مارس'!AG14)</f>
        <v>11825.6392694064</v>
      </c>
      <c r="W14" s="111" t="n">
        <f aca="false">IF($B14="","",'مسير أبريل'!AG14)</f>
        <v>11774.5433789954</v>
      </c>
      <c r="X14" s="111" t="n">
        <f aca="false">IF($B14="","",'مسير مايو'!AG14)</f>
        <v>11825.6392694064</v>
      </c>
      <c r="Y14" s="111" t="n">
        <f aca="false">IF($B14="","",'مسير يونيو'!AG14)</f>
        <v>11474.5433789954</v>
      </c>
      <c r="Z14" s="111" t="n">
        <f aca="false">IF($B14="","",'مسير يوليو'!AG14)</f>
        <v>11825.6392694064</v>
      </c>
      <c r="AA14" s="111" t="n">
        <f aca="false">IF($B14="","",'مسير أغسطس'!AG14)</f>
        <v>11825.6392694064</v>
      </c>
      <c r="AB14" s="111" t="n">
        <f aca="false">IF($B14="","",'مسير سبتمبر'!AG14)</f>
        <v>11774.5433789954</v>
      </c>
      <c r="AC14" s="111" t="n">
        <f aca="false">IF($B14="","",'مسير أكتوبر'!AG14)</f>
        <v>11825.6392694064</v>
      </c>
      <c r="AD14" s="111" t="n">
        <f aca="false">IF($B14="","",'مسير نوفمبر'!AG14)</f>
        <v>11774.5433789954</v>
      </c>
      <c r="AE14" s="111" t="n">
        <f aca="false">IF($B14="","",'مسير ديسمبر'!AG14)</f>
        <v>11825.6392694064</v>
      </c>
      <c r="AF14" s="170" t="n">
        <f aca="false">IF($B14="","",IF(1&lt;=cfg_VAL_M,'مسير يناير'!AG14,0)+IF(2&lt;=cfg_VAL_M,'مسير فبراير'!AG14,0)+IF(3&lt;=cfg_VAL_M,'مسير مارس'!AG14,0)+IF(4&lt;=cfg_VAL_M,'مسير أبريل'!AG14,0)+IF(5&lt;=cfg_VAL_M,'مسير مايو'!AG14,0)+IF(6&lt;=cfg_VAL_M,'مسير يونيو'!AG14,0)+IF(7&lt;=cfg_VAL_M,'مسير يوليو'!AG14,0)+IF(8&lt;=cfg_VAL_M,'مسير أغسطس'!AG14,0)+IF(9&lt;=cfg_VAL_M,'مسير سبتمبر'!AG14,0)+IF(10&lt;=cfg_VAL_M,'مسير أكتوبر'!AG14,0)+IF(11&lt;=cfg_VAL_M,'مسير نوفمبر'!AG14,0)+IF(12&lt;=cfg_VAL_M,'مسير ديسمبر'!AG14,0))</f>
        <v>106548.761415525</v>
      </c>
      <c r="AG14" s="170" t="n">
        <f aca="false">IF($B14="","",IF(1&lt;=cfg_VAL_M,'مسير يناير'!Y14,0)+IF(2&lt;=cfg_VAL_M,'مسير فبراير'!Y14,0)+IF(3&lt;=cfg_VAL_M,'مسير مارس'!Y14,0)+IF(4&lt;=cfg_VAL_M,'مسير أبريل'!Y14,0)+IF(5&lt;=cfg_VAL_M,'مسير مايو'!Y14,0)+IF(6&lt;=cfg_VAL_M,'مسير يونيو'!Y14,0)+IF(7&lt;=cfg_VAL_M,'مسير يوليو'!Y14,0)+IF(8&lt;=cfg_VAL_M,'مسير أغسطس'!Y14,0)+IF(9&lt;=cfg_VAL_M,'مسير سبتمبر'!Y14,0)+IF(10&lt;=cfg_VAL_M,'مسير أكتوبر'!Y14,0)+IF(11&lt;=cfg_VAL_M,'مسير نوفمبر'!Y14,0)+IF(12&lt;=cfg_VAL_M,'مسير ديسمبر'!Y14,0))</f>
        <v>81999.5833333333</v>
      </c>
      <c r="AH14" s="111" t="n">
        <f aca="false">IF($B14="","",AF14/cfg_VAL_M)</f>
        <v>11838.7512683917</v>
      </c>
    </row>
    <row r="15" customFormat="false" ht="15" hidden="false" customHeight="false" outlineLevel="0" collapsed="false">
      <c r="B15" s="117" t="str">
        <f aca="false">IF(الموظفون!$B15="","",الموظفون!$B15)</f>
        <v>E010</v>
      </c>
      <c r="C15" s="117" t="str">
        <f aca="false">IF(الموظفون!$B15="","",الموظفون!$C15)</f>
        <v>ريم سلطان المطيري</v>
      </c>
      <c r="D15" s="117" t="str">
        <f aca="false">IF(الموظفون!$B15="","",الموظفون!$F15)</f>
        <v>المبيعات</v>
      </c>
      <c r="E15" s="117" t="str">
        <f aca="false">IF(الموظفون!$B15="","",الموظفون!$E15)</f>
        <v>سعودي</v>
      </c>
      <c r="F15" s="116" t="n">
        <f aca="false">IF($B15="","",'مسير يناير'!T15)</f>
        <v>0</v>
      </c>
      <c r="G15" s="116" t="n">
        <f aca="false">IF($B15="","",'مسير فبراير'!T15)</f>
        <v>0</v>
      </c>
      <c r="H15" s="116" t="n">
        <f aca="false">IF($B15="","",'مسير مارس'!T15)</f>
        <v>0</v>
      </c>
      <c r="I15" s="116" t="n">
        <f aca="false">IF($B15="","",'مسير أبريل'!T15)</f>
        <v>6480</v>
      </c>
      <c r="J15" s="116" t="n">
        <f aca="false">IF($B15="","",'مسير مايو'!T15)</f>
        <v>12150</v>
      </c>
      <c r="K15" s="116" t="n">
        <f aca="false">IF($B15="","",'مسير يونيو'!T15)</f>
        <v>12150</v>
      </c>
      <c r="L15" s="116" t="n">
        <f aca="false">IF($B15="","",'مسير يوليو'!T15)</f>
        <v>12150</v>
      </c>
      <c r="M15" s="116" t="n">
        <f aca="false">IF($B15="","",'مسير أغسطس'!T15)</f>
        <v>12150</v>
      </c>
      <c r="N15" s="116" t="n">
        <f aca="false">IF($B15="","",'مسير سبتمبر'!T15)</f>
        <v>14066.25</v>
      </c>
      <c r="O15" s="116" t="n">
        <f aca="false">IF($B15="","",'مسير أكتوبر'!T15)</f>
        <v>12150</v>
      </c>
      <c r="P15" s="116" t="n">
        <f aca="false">IF($B15="","",'مسير نوفمبر'!T15)</f>
        <v>12150</v>
      </c>
      <c r="Q15" s="116" t="n">
        <f aca="false">IF($B15="","",'مسير ديسمبر'!T15)</f>
        <v>12150</v>
      </c>
      <c r="R15" s="171" t="n">
        <f aca="false">IF($B15="","",IF(1&lt;=cfg_VAL_M,'مسير يناير'!T15,0)+IF(2&lt;=cfg_VAL_M,'مسير فبراير'!T15,0)+IF(3&lt;=cfg_VAL_M,'مسير مارس'!T15,0)+IF(4&lt;=cfg_VAL_M,'مسير أبريل'!T15,0)+IF(5&lt;=cfg_VAL_M,'مسير مايو'!T15,0)+IF(6&lt;=cfg_VAL_M,'مسير يونيو'!T15,0)+IF(7&lt;=cfg_VAL_M,'مسير يوليو'!T15,0)+IF(8&lt;=cfg_VAL_M,'مسير أغسطس'!T15,0)+IF(9&lt;=cfg_VAL_M,'مسير سبتمبر'!T15,0)+IF(10&lt;=cfg_VAL_M,'مسير أكتوبر'!T15,0)+IF(11&lt;=cfg_VAL_M,'مسير نوفمبر'!T15,0)+IF(12&lt;=cfg_VAL_M,'مسير ديسمبر'!T15,0))</f>
        <v>69146.25</v>
      </c>
      <c r="T15" s="116" t="n">
        <f aca="false">IF($B15="","",'مسير يناير'!AG15)</f>
        <v>0</v>
      </c>
      <c r="U15" s="116" t="n">
        <f aca="false">IF($B15="","",'مسير فبراير'!AG15)</f>
        <v>0</v>
      </c>
      <c r="V15" s="116" t="n">
        <f aca="false">IF($B15="","",'مسير مارس'!AG15)</f>
        <v>0</v>
      </c>
      <c r="W15" s="116" t="n">
        <f aca="false">IF($B15="","",'مسير أبريل'!AG15)</f>
        <v>7930.7899543379</v>
      </c>
      <c r="X15" s="116" t="n">
        <f aca="false">IF($B15="","",'مسير مايو'!AG15)</f>
        <v>14910.176369863</v>
      </c>
      <c r="Y15" s="116" t="n">
        <f aca="false">IF($B15="","",'مسير يونيو'!AG15)</f>
        <v>14870.2311643836</v>
      </c>
      <c r="Z15" s="116" t="n">
        <f aca="false">IF($B15="","",'مسير يوليو'!AG15)</f>
        <v>14910.176369863</v>
      </c>
      <c r="AA15" s="116" t="n">
        <f aca="false">IF($B15="","",'مسير أغسطس'!AG15)</f>
        <v>14910.176369863</v>
      </c>
      <c r="AB15" s="116" t="n">
        <f aca="false">IF($B15="","",'مسير سبتمبر'!AG15)</f>
        <v>16786.4811643836</v>
      </c>
      <c r="AC15" s="116" t="n">
        <f aca="false">IF($B15="","",'مسير أكتوبر'!AG15)</f>
        <v>14910.176369863</v>
      </c>
      <c r="AD15" s="116" t="n">
        <f aca="false">IF($B15="","",'مسير نوفمبر'!AG15)</f>
        <v>14870.2311643836</v>
      </c>
      <c r="AE15" s="116" t="n">
        <f aca="false">IF($B15="","",'مسير ديسمبر'!AG15)</f>
        <v>14910.176369863</v>
      </c>
      <c r="AF15" s="171" t="n">
        <f aca="false">IF($B15="","",IF(1&lt;=cfg_VAL_M,'مسير يناير'!AG15,0)+IF(2&lt;=cfg_VAL_M,'مسير فبراير'!AG15,0)+IF(3&lt;=cfg_VAL_M,'مسير مارس'!AG15,0)+IF(4&lt;=cfg_VAL_M,'مسير أبريل'!AG15,0)+IF(5&lt;=cfg_VAL_M,'مسير مايو'!AG15,0)+IF(6&lt;=cfg_VAL_M,'مسير يونيو'!AG15,0)+IF(7&lt;=cfg_VAL_M,'مسير يوليو'!AG15,0)+IF(8&lt;=cfg_VAL_M,'مسير أغسطس'!AG15,0)+IF(9&lt;=cfg_VAL_M,'مسير سبتمبر'!AG15,0)+IF(10&lt;=cfg_VAL_M,'مسير أكتوبر'!AG15,0)+IF(11&lt;=cfg_VAL_M,'مسير نوفمبر'!AG15,0)+IF(12&lt;=cfg_VAL_M,'مسير ديسمبر'!AG15,0))</f>
        <v>84318.0313926941</v>
      </c>
      <c r="AG15" s="171" t="n">
        <f aca="false">IF($B15="","",IF(1&lt;=cfg_VAL_M,'مسير يناير'!Y15,0)+IF(2&lt;=cfg_VAL_M,'مسير فبراير'!Y15,0)+IF(3&lt;=cfg_VAL_M,'مسير مارس'!Y15,0)+IF(4&lt;=cfg_VAL_M,'مسير أبريل'!Y15,0)+IF(5&lt;=cfg_VAL_M,'مسير مايو'!Y15,0)+IF(6&lt;=cfg_VAL_M,'مسير يونيو'!Y15,0)+IF(7&lt;=cfg_VAL_M,'مسير يوليو'!Y15,0)+IF(8&lt;=cfg_VAL_M,'مسير أغسطس'!Y15,0)+IF(9&lt;=cfg_VAL_M,'مسير سبتمبر'!Y15,0)+IF(10&lt;=cfg_VAL_M,'مسير أكتوبر'!Y15,0)+IF(11&lt;=cfg_VAL_M,'مسير نوفمبر'!Y15,0)+IF(12&lt;=cfg_VAL_M,'مسير ديسمبر'!Y15,0))</f>
        <v>63076.875</v>
      </c>
      <c r="AH15" s="116" t="n">
        <f aca="false">IF($B15="","",AF15/cfg_VAL_M)</f>
        <v>9368.67015474378</v>
      </c>
    </row>
    <row r="16" customFormat="false" ht="15" hidden="false" customHeight="false" outlineLevel="0" collapsed="false">
      <c r="B16" s="114" t="str">
        <f aca="false">IF(الموظفون!$B16="","",الموظفون!$B16)</f>
        <v>E011</v>
      </c>
      <c r="C16" s="114" t="str">
        <f aca="false">IF(الموظفون!$B16="","",الموظفون!$C16)</f>
        <v>جون ماتيو</v>
      </c>
      <c r="D16" s="114" t="str">
        <f aca="false">IF(الموظفون!$B16="","",الموظفون!$F16)</f>
        <v>العمليات</v>
      </c>
      <c r="E16" s="114" t="str">
        <f aca="false">IF(الموظفون!$B16="","",الموظفون!$E16)</f>
        <v>غير سعودي</v>
      </c>
      <c r="F16" s="111" t="n">
        <f aca="false">IF($B16="","",'مسير يناير'!T16)</f>
        <v>6750</v>
      </c>
      <c r="G16" s="111" t="n">
        <f aca="false">IF($B16="","",'مسير فبراير'!T16)</f>
        <v>6750</v>
      </c>
      <c r="H16" s="111" t="n">
        <f aca="false">IF($B16="","",'مسير مارس'!T16)</f>
        <v>6750</v>
      </c>
      <c r="I16" s="111" t="n">
        <f aca="false">IF($B16="","",'مسير أبريل'!T16)</f>
        <v>6750</v>
      </c>
      <c r="J16" s="111" t="n">
        <f aca="false">IF($B16="","",'مسير مايو'!T16)</f>
        <v>6750</v>
      </c>
      <c r="K16" s="111" t="n">
        <f aca="false">IF($B16="","",'مسير يونيو'!T16)</f>
        <v>6750</v>
      </c>
      <c r="L16" s="111" t="n">
        <f aca="false">IF($B16="","",'مسير يوليو'!T16)</f>
        <v>8297.2602739726</v>
      </c>
      <c r="M16" s="111" t="n">
        <f aca="false">IF($B16="","",'مسير أغسطس'!T16)</f>
        <v>0</v>
      </c>
      <c r="N16" s="111" t="n">
        <f aca="false">IF($B16="","",'مسير سبتمبر'!T16)</f>
        <v>0</v>
      </c>
      <c r="O16" s="111" t="n">
        <f aca="false">IF($B16="","",'مسير أكتوبر'!T16)</f>
        <v>0</v>
      </c>
      <c r="P16" s="111" t="n">
        <f aca="false">IF($B16="","",'مسير نوفمبر'!T16)</f>
        <v>0</v>
      </c>
      <c r="Q16" s="111" t="n">
        <f aca="false">IF($B16="","",'مسير ديسمبر'!T16)</f>
        <v>0</v>
      </c>
      <c r="R16" s="170" t="n">
        <f aca="false">IF($B16="","",IF(1&lt;=cfg_VAL_M,'مسير يناير'!T16,0)+IF(2&lt;=cfg_VAL_M,'مسير فبراير'!T16,0)+IF(3&lt;=cfg_VAL_M,'مسير مارس'!T16,0)+IF(4&lt;=cfg_VAL_M,'مسير أبريل'!T16,0)+IF(5&lt;=cfg_VAL_M,'مسير مايو'!T16,0)+IF(6&lt;=cfg_VAL_M,'مسير يونيو'!T16,0)+IF(7&lt;=cfg_VAL_M,'مسير يوليو'!T16,0)+IF(8&lt;=cfg_VAL_M,'مسير أغسطس'!T16,0)+IF(9&lt;=cfg_VAL_M,'مسير سبتمبر'!T16,0)+IF(10&lt;=cfg_VAL_M,'مسير أكتوبر'!T16,0)+IF(11&lt;=cfg_VAL_M,'مسير نوفمبر'!T16,0)+IF(12&lt;=cfg_VAL_M,'مسير ديسمبر'!T16,0))</f>
        <v>48797.2602739726</v>
      </c>
      <c r="T16" s="111" t="n">
        <f aca="false">IF($B16="","",'مسير يناير'!AG16)</f>
        <v>9136.15296803653</v>
      </c>
      <c r="U16" s="111" t="n">
        <f aca="false">IF($B16="","",'مسير فبراير'!AG16)</f>
        <v>9014.50913242009</v>
      </c>
      <c r="V16" s="111" t="n">
        <f aca="false">IF($B16="","",'مسير مارس'!AG16)</f>
        <v>9136.15296803653</v>
      </c>
      <c r="W16" s="111" t="n">
        <f aca="false">IF($B16="","",'مسير أبريل'!AG16)</f>
        <v>9095.60502283105</v>
      </c>
      <c r="X16" s="111" t="n">
        <f aca="false">IF($B16="","",'مسير مايو'!AG16)</f>
        <v>9136.15296803653</v>
      </c>
      <c r="Y16" s="111" t="n">
        <f aca="false">IF($B16="","",'مسير يونيو'!AG16)</f>
        <v>9095.60502283105</v>
      </c>
      <c r="Z16" s="111" t="n">
        <f aca="false">IF($B16="","",'مسير يوليو'!AG16)</f>
        <v>8297.2602739726</v>
      </c>
      <c r="AA16" s="111" t="n">
        <f aca="false">IF($B16="","",'مسير أغسطس'!AG16)</f>
        <v>0</v>
      </c>
      <c r="AB16" s="111" t="n">
        <f aca="false">IF($B16="","",'مسير سبتمبر'!AG16)</f>
        <v>0</v>
      </c>
      <c r="AC16" s="111" t="n">
        <f aca="false">IF($B16="","",'مسير أكتوبر'!AG16)</f>
        <v>0</v>
      </c>
      <c r="AD16" s="111" t="n">
        <f aca="false">IF($B16="","",'مسير نوفمبر'!AG16)</f>
        <v>0</v>
      </c>
      <c r="AE16" s="111" t="n">
        <f aca="false">IF($B16="","",'مسير ديسمبر'!AG16)</f>
        <v>0</v>
      </c>
      <c r="AF16" s="170" t="n">
        <f aca="false">IF($B16="","",IF(1&lt;=cfg_VAL_M,'مسير يناير'!AG16,0)+IF(2&lt;=cfg_VAL_M,'مسير فبراير'!AG16,0)+IF(3&lt;=cfg_VAL_M,'مسير مارس'!AG16,0)+IF(4&lt;=cfg_VAL_M,'مسير أبريل'!AG16,0)+IF(5&lt;=cfg_VAL_M,'مسير مايو'!AG16,0)+IF(6&lt;=cfg_VAL_M,'مسير يونيو'!AG16,0)+IF(7&lt;=cfg_VAL_M,'مسير يوليو'!AG16,0)+IF(8&lt;=cfg_VAL_M,'مسير أغسطس'!AG16,0)+IF(9&lt;=cfg_VAL_M,'مسير سبتمبر'!AG16,0)+IF(10&lt;=cfg_VAL_M,'مسير أكتوبر'!AG16,0)+IF(11&lt;=cfg_VAL_M,'مسير نوفمبر'!AG16,0)+IF(12&lt;=cfg_VAL_M,'مسير ديسمبر'!AG16,0))</f>
        <v>62911.4383561644</v>
      </c>
      <c r="AG16" s="170" t="n">
        <f aca="false">IF($B16="","",IF(1&lt;=cfg_VAL_M,'مسير يناير'!Y16,0)+IF(2&lt;=cfg_VAL_M,'مسير فبراير'!Y16,0)+IF(3&lt;=cfg_VAL_M,'مسير مارس'!Y16,0)+IF(4&lt;=cfg_VAL_M,'مسير أبريل'!Y16,0)+IF(5&lt;=cfg_VAL_M,'مسير مايو'!Y16,0)+IF(6&lt;=cfg_VAL_M,'مسير يونيو'!Y16,0)+IF(7&lt;=cfg_VAL_M,'مسير يوليو'!Y16,0)+IF(8&lt;=cfg_VAL_M,'مسير أغسطس'!Y16,0)+IF(9&lt;=cfg_VAL_M,'مسير سبتمبر'!Y16,0)+IF(10&lt;=cfg_VAL_M,'مسير أكتوبر'!Y16,0)+IF(11&lt;=cfg_VAL_M,'مسير نوفمبر'!Y16,0)+IF(12&lt;=cfg_VAL_M,'مسير ديسمبر'!Y16,0))</f>
        <v>48797.2602739726</v>
      </c>
      <c r="AH16" s="111" t="n">
        <f aca="false">IF($B16="","",AF16/cfg_VAL_M)</f>
        <v>6990.1598173516</v>
      </c>
    </row>
    <row r="17" customFormat="false" ht="15" hidden="false" customHeight="false" outlineLevel="0" collapsed="false">
      <c r="B17" s="117" t="str">
        <f aca="false">IF(الموظفون!$B17="","",الموظفون!$B17)</f>
        <v>E012</v>
      </c>
      <c r="C17" s="117" t="str">
        <f aca="false">IF(الموظفون!$B17="","",الموظفون!$C17)</f>
        <v>عمر حسين البيشي</v>
      </c>
      <c r="D17" s="117" t="str">
        <f aca="false">IF(الموظفون!$B17="","",الموظفون!$F17)</f>
        <v>تقنية المعلومات</v>
      </c>
      <c r="E17" s="117" t="str">
        <f aca="false">IF(الموظفون!$B17="","",الموظفون!$E17)</f>
        <v>سعودي</v>
      </c>
      <c r="F17" s="116" t="n">
        <f aca="false">IF($B17="","",'مسير يناير'!T17)</f>
        <v>17700</v>
      </c>
      <c r="G17" s="116" t="n">
        <f aca="false">IF($B17="","",'مسير فبراير'!T17)</f>
        <v>17700</v>
      </c>
      <c r="H17" s="116" t="n">
        <f aca="false">IF($B17="","",'مسير مارس'!T17)</f>
        <v>17700</v>
      </c>
      <c r="I17" s="116" t="n">
        <f aca="false">IF($B17="","",'مسير أبريل'!T17)</f>
        <v>16520</v>
      </c>
      <c r="J17" s="116" t="n">
        <f aca="false">IF($B17="","",'مسير مايو'!T17)</f>
        <v>17700</v>
      </c>
      <c r="K17" s="116" t="n">
        <f aca="false">IF($B17="","",'مسير يونيو'!T17)</f>
        <v>17700</v>
      </c>
      <c r="L17" s="116" t="n">
        <f aca="false">IF($B17="","",'مسير يوليو'!T17)</f>
        <v>17700</v>
      </c>
      <c r="M17" s="116" t="n">
        <f aca="false">IF($B17="","",'مسير أغسطس'!T17)</f>
        <v>17700</v>
      </c>
      <c r="N17" s="116" t="n">
        <f aca="false">IF($B17="","",'مسير سبتمبر'!T17)</f>
        <v>16225</v>
      </c>
      <c r="O17" s="116" t="n">
        <f aca="false">IF($B17="","",'مسير أكتوبر'!T17)</f>
        <v>17700</v>
      </c>
      <c r="P17" s="116" t="n">
        <f aca="false">IF($B17="","",'مسير نوفمبر'!T17)</f>
        <v>17700</v>
      </c>
      <c r="Q17" s="116" t="n">
        <f aca="false">IF($B17="","",'مسير ديسمبر'!T17)</f>
        <v>17700</v>
      </c>
      <c r="R17" s="171" t="n">
        <f aca="false">IF($B17="","",IF(1&lt;=cfg_VAL_M,'مسير يناير'!T17,0)+IF(2&lt;=cfg_VAL_M,'مسير فبراير'!T17,0)+IF(3&lt;=cfg_VAL_M,'مسير مارس'!T17,0)+IF(4&lt;=cfg_VAL_M,'مسير أبريل'!T17,0)+IF(5&lt;=cfg_VAL_M,'مسير مايو'!T17,0)+IF(6&lt;=cfg_VAL_M,'مسير يونيو'!T17,0)+IF(7&lt;=cfg_VAL_M,'مسير يوليو'!T17,0)+IF(8&lt;=cfg_VAL_M,'مسير أغسطس'!T17,0)+IF(9&lt;=cfg_VAL_M,'مسير سبتمبر'!T17,0)+IF(10&lt;=cfg_VAL_M,'مسير أكتوبر'!T17,0)+IF(11&lt;=cfg_VAL_M,'مسير نوفمبر'!T17,0)+IF(12&lt;=cfg_VAL_M,'مسير ديسمبر'!T17,0))</f>
        <v>156645</v>
      </c>
      <c r="T17" s="116" t="n">
        <f aca="false">IF($B17="","",'مسير يناير'!AG17)</f>
        <v>21313.5684931507</v>
      </c>
      <c r="U17" s="116" t="n">
        <f aca="false">IF($B17="","",'مسير فبراير'!AG17)</f>
        <v>21153.7876712329</v>
      </c>
      <c r="V17" s="116" t="n">
        <f aca="false">IF($B17="","",'مسير مارس'!AG17)</f>
        <v>21313.5684931507</v>
      </c>
      <c r="W17" s="116" t="n">
        <f aca="false">IF($B17="","",'مسير أبريل'!AG17)</f>
        <v>20080.3082191781</v>
      </c>
      <c r="X17" s="116" t="n">
        <f aca="false">IF($B17="","",'مسير مايو'!AG17)</f>
        <v>21313.5684931507</v>
      </c>
      <c r="Y17" s="116" t="n">
        <f aca="false">IF($B17="","",'مسير يونيو'!AG17)</f>
        <v>21260.3082191781</v>
      </c>
      <c r="Z17" s="116" t="n">
        <f aca="false">IF($B17="","",'مسير يوليو'!AG17)</f>
        <v>21313.5684931507</v>
      </c>
      <c r="AA17" s="116" t="n">
        <f aca="false">IF($B17="","",'مسير أغسطس'!AG17)</f>
        <v>21313.5684931507</v>
      </c>
      <c r="AB17" s="116" t="n">
        <f aca="false">IF($B17="","",'مسير سبتمبر'!AG17)</f>
        <v>19785.3082191781</v>
      </c>
      <c r="AC17" s="116" t="n">
        <f aca="false">IF($B17="","",'مسير أكتوبر'!AG17)</f>
        <v>21313.5684931507</v>
      </c>
      <c r="AD17" s="116" t="n">
        <f aca="false">IF($B17="","",'مسير نوفمبر'!AG17)</f>
        <v>21260.3082191781</v>
      </c>
      <c r="AE17" s="116" t="n">
        <f aca="false">IF($B17="","",'مسير ديسمبر'!AG17)</f>
        <v>21313.5684931507</v>
      </c>
      <c r="AF17" s="171" t="n">
        <f aca="false">IF($B17="","",IF(1&lt;=cfg_VAL_M,'مسير يناير'!AG17,0)+IF(2&lt;=cfg_VAL_M,'مسير فبراير'!AG17,0)+IF(3&lt;=cfg_VAL_M,'مسير مارس'!AG17,0)+IF(4&lt;=cfg_VAL_M,'مسير أبريل'!AG17,0)+IF(5&lt;=cfg_VAL_M,'مسير مايو'!AG17,0)+IF(6&lt;=cfg_VAL_M,'مسير يونيو'!AG17,0)+IF(7&lt;=cfg_VAL_M,'مسير يوليو'!AG17,0)+IF(8&lt;=cfg_VAL_M,'مسير أغسطس'!AG17,0)+IF(9&lt;=cfg_VAL_M,'مسير سبتمبر'!AG17,0)+IF(10&lt;=cfg_VAL_M,'مسير أكتوبر'!AG17,0)+IF(11&lt;=cfg_VAL_M,'مسير نوفمبر'!AG17,0)+IF(12&lt;=cfg_VAL_M,'مسير ديسمبر'!AG17,0))</f>
        <v>188847.554794521</v>
      </c>
      <c r="AG17" s="171" t="n">
        <f aca="false">IF($B17="","",IF(1&lt;=cfg_VAL_M,'مسير يناير'!Y17,0)+IF(2&lt;=cfg_VAL_M,'مسير فبراير'!Y17,0)+IF(3&lt;=cfg_VAL_M,'مسير مارس'!Y17,0)+IF(4&lt;=cfg_VAL_M,'مسير أبريل'!Y17,0)+IF(5&lt;=cfg_VAL_M,'مسير مايو'!Y17,0)+IF(6&lt;=cfg_VAL_M,'مسير يونيو'!Y17,0)+IF(7&lt;=cfg_VAL_M,'مسير يوليو'!Y17,0)+IF(8&lt;=cfg_VAL_M,'مسير أغسطس'!Y17,0)+IF(9&lt;=cfg_VAL_M,'مسير سبتمبر'!Y17,0)+IF(10&lt;=cfg_VAL_M,'مسير أكتوبر'!Y17,0)+IF(11&lt;=cfg_VAL_M,'مسير نوفمبر'!Y17,0)+IF(12&lt;=cfg_VAL_M,'مسير ديسمبر'!Y17,0))</f>
        <v>143482.5</v>
      </c>
      <c r="AH17" s="116" t="n">
        <f aca="false">IF($B17="","",AF17/cfg_VAL_M)</f>
        <v>20983.0616438356</v>
      </c>
    </row>
    <row r="18" customFormat="false" ht="15" hidden="false" customHeight="false" outlineLevel="0" collapsed="false">
      <c r="B18" s="114" t="str">
        <f aca="false">IF(الموظفون!$B18="","",الموظفون!$B18)</f>
        <v/>
      </c>
      <c r="C18" s="114" t="str">
        <f aca="false">IF(الموظفون!$B18="","",الموظفون!$C18)</f>
        <v/>
      </c>
      <c r="D18" s="114" t="str">
        <f aca="false">IF(الموظفون!$B18="","",الموظفون!$F18)</f>
        <v/>
      </c>
      <c r="E18" s="114" t="str">
        <f aca="false">IF(الموظفون!$B18="","",الموظفون!$E18)</f>
        <v/>
      </c>
      <c r="F18" s="111" t="str">
        <f aca="false">IF($B18="","",'مسير يناير'!T18)</f>
        <v/>
      </c>
      <c r="G18" s="111" t="str">
        <f aca="false">IF($B18="","",'مسير فبراير'!T18)</f>
        <v/>
      </c>
      <c r="H18" s="111" t="str">
        <f aca="false">IF($B18="","",'مسير مارس'!T18)</f>
        <v/>
      </c>
      <c r="I18" s="111" t="str">
        <f aca="false">IF($B18="","",'مسير أبريل'!T18)</f>
        <v/>
      </c>
      <c r="J18" s="111" t="str">
        <f aca="false">IF($B18="","",'مسير مايو'!T18)</f>
        <v/>
      </c>
      <c r="K18" s="111" t="str">
        <f aca="false">IF($B18="","",'مسير يونيو'!T18)</f>
        <v/>
      </c>
      <c r="L18" s="111" t="str">
        <f aca="false">IF($B18="","",'مسير يوليو'!T18)</f>
        <v/>
      </c>
      <c r="M18" s="111" t="str">
        <f aca="false">IF($B18="","",'مسير أغسطس'!T18)</f>
        <v/>
      </c>
      <c r="N18" s="111" t="str">
        <f aca="false">IF($B18="","",'مسير سبتمبر'!T18)</f>
        <v/>
      </c>
      <c r="O18" s="111" t="str">
        <f aca="false">IF($B18="","",'مسير أكتوبر'!T18)</f>
        <v/>
      </c>
      <c r="P18" s="111" t="str">
        <f aca="false">IF($B18="","",'مسير نوفمبر'!T18)</f>
        <v/>
      </c>
      <c r="Q18" s="111" t="str">
        <f aca="false">IF($B18="","",'مسير ديسمبر'!T18)</f>
        <v/>
      </c>
      <c r="R18" s="170" t="str">
        <f aca="false">IF($B18="","",IF(1&lt;=cfg_VAL_M,'مسير يناير'!T18,0)+IF(2&lt;=cfg_VAL_M,'مسير فبراير'!T18,0)+IF(3&lt;=cfg_VAL_M,'مسير مارس'!T18,0)+IF(4&lt;=cfg_VAL_M,'مسير أبريل'!T18,0)+IF(5&lt;=cfg_VAL_M,'مسير مايو'!T18,0)+IF(6&lt;=cfg_VAL_M,'مسير يونيو'!T18,0)+IF(7&lt;=cfg_VAL_M,'مسير يوليو'!T18,0)+IF(8&lt;=cfg_VAL_M,'مسير أغسطس'!T18,0)+IF(9&lt;=cfg_VAL_M,'مسير سبتمبر'!T18,0)+IF(10&lt;=cfg_VAL_M,'مسير أكتوبر'!T18,0)+IF(11&lt;=cfg_VAL_M,'مسير نوفمبر'!T18,0)+IF(12&lt;=cfg_VAL_M,'مسير ديسمبر'!T18,0))</f>
        <v/>
      </c>
      <c r="T18" s="111" t="str">
        <f aca="false">IF($B18="","",'مسير يناير'!AG18)</f>
        <v/>
      </c>
      <c r="U18" s="111" t="str">
        <f aca="false">IF($B18="","",'مسير فبراير'!AG18)</f>
        <v/>
      </c>
      <c r="V18" s="111" t="str">
        <f aca="false">IF($B18="","",'مسير مارس'!AG18)</f>
        <v/>
      </c>
      <c r="W18" s="111" t="str">
        <f aca="false">IF($B18="","",'مسير أبريل'!AG18)</f>
        <v/>
      </c>
      <c r="X18" s="111" t="str">
        <f aca="false">IF($B18="","",'مسير مايو'!AG18)</f>
        <v/>
      </c>
      <c r="Y18" s="111" t="str">
        <f aca="false">IF($B18="","",'مسير يونيو'!AG18)</f>
        <v/>
      </c>
      <c r="Z18" s="111" t="str">
        <f aca="false">IF($B18="","",'مسير يوليو'!AG18)</f>
        <v/>
      </c>
      <c r="AA18" s="111" t="str">
        <f aca="false">IF($B18="","",'مسير أغسطس'!AG18)</f>
        <v/>
      </c>
      <c r="AB18" s="111" t="str">
        <f aca="false">IF($B18="","",'مسير سبتمبر'!AG18)</f>
        <v/>
      </c>
      <c r="AC18" s="111" t="str">
        <f aca="false">IF($B18="","",'مسير أكتوبر'!AG18)</f>
        <v/>
      </c>
      <c r="AD18" s="111" t="str">
        <f aca="false">IF($B18="","",'مسير نوفمبر'!AG18)</f>
        <v/>
      </c>
      <c r="AE18" s="111" t="str">
        <f aca="false">IF($B18="","",'مسير ديسمبر'!AG18)</f>
        <v/>
      </c>
      <c r="AF18" s="170" t="str">
        <f aca="false">IF($B18="","",IF(1&lt;=cfg_VAL_M,'مسير يناير'!AG18,0)+IF(2&lt;=cfg_VAL_M,'مسير فبراير'!AG18,0)+IF(3&lt;=cfg_VAL_M,'مسير مارس'!AG18,0)+IF(4&lt;=cfg_VAL_M,'مسير أبريل'!AG18,0)+IF(5&lt;=cfg_VAL_M,'مسير مايو'!AG18,0)+IF(6&lt;=cfg_VAL_M,'مسير يونيو'!AG18,0)+IF(7&lt;=cfg_VAL_M,'مسير يوليو'!AG18,0)+IF(8&lt;=cfg_VAL_M,'مسير أغسطس'!AG18,0)+IF(9&lt;=cfg_VAL_M,'مسير سبتمبر'!AG18,0)+IF(10&lt;=cfg_VAL_M,'مسير أكتوبر'!AG18,0)+IF(11&lt;=cfg_VAL_M,'مسير نوفمبر'!AG18,0)+IF(12&lt;=cfg_VAL_M,'مسير ديسمبر'!AG18,0))</f>
        <v/>
      </c>
      <c r="AG18" s="170" t="str">
        <f aca="false">IF($B18="","",IF(1&lt;=cfg_VAL_M,'مسير يناير'!Y18,0)+IF(2&lt;=cfg_VAL_M,'مسير فبراير'!Y18,0)+IF(3&lt;=cfg_VAL_M,'مسير مارس'!Y18,0)+IF(4&lt;=cfg_VAL_M,'مسير أبريل'!Y18,0)+IF(5&lt;=cfg_VAL_M,'مسير مايو'!Y18,0)+IF(6&lt;=cfg_VAL_M,'مسير يونيو'!Y18,0)+IF(7&lt;=cfg_VAL_M,'مسير يوليو'!Y18,0)+IF(8&lt;=cfg_VAL_M,'مسير أغسطس'!Y18,0)+IF(9&lt;=cfg_VAL_M,'مسير سبتمبر'!Y18,0)+IF(10&lt;=cfg_VAL_M,'مسير أكتوبر'!Y18,0)+IF(11&lt;=cfg_VAL_M,'مسير نوفمبر'!Y18,0)+IF(12&lt;=cfg_VAL_M,'مسير ديسمبر'!Y18,0))</f>
        <v/>
      </c>
      <c r="AH18" s="111" t="str">
        <f aca="false">IF($B18="","",AF18/cfg_VAL_M)</f>
        <v/>
      </c>
    </row>
    <row r="19" customFormat="false" ht="15" hidden="false" customHeight="false" outlineLevel="0" collapsed="false">
      <c r="B19" s="117" t="str">
        <f aca="false">IF(الموظفون!$B19="","",الموظفون!$B19)</f>
        <v/>
      </c>
      <c r="C19" s="117" t="str">
        <f aca="false">IF(الموظفون!$B19="","",الموظفون!$C19)</f>
        <v/>
      </c>
      <c r="D19" s="117" t="str">
        <f aca="false">IF(الموظفون!$B19="","",الموظفون!$F19)</f>
        <v/>
      </c>
      <c r="E19" s="117" t="str">
        <f aca="false">IF(الموظفون!$B19="","",الموظفون!$E19)</f>
        <v/>
      </c>
      <c r="F19" s="116" t="str">
        <f aca="false">IF($B19="","",'مسير يناير'!T19)</f>
        <v/>
      </c>
      <c r="G19" s="116" t="str">
        <f aca="false">IF($B19="","",'مسير فبراير'!T19)</f>
        <v/>
      </c>
      <c r="H19" s="116" t="str">
        <f aca="false">IF($B19="","",'مسير مارس'!T19)</f>
        <v/>
      </c>
      <c r="I19" s="116" t="str">
        <f aca="false">IF($B19="","",'مسير أبريل'!T19)</f>
        <v/>
      </c>
      <c r="J19" s="116" t="str">
        <f aca="false">IF($B19="","",'مسير مايو'!T19)</f>
        <v/>
      </c>
      <c r="K19" s="116" t="str">
        <f aca="false">IF($B19="","",'مسير يونيو'!T19)</f>
        <v/>
      </c>
      <c r="L19" s="116" t="str">
        <f aca="false">IF($B19="","",'مسير يوليو'!T19)</f>
        <v/>
      </c>
      <c r="M19" s="116" t="str">
        <f aca="false">IF($B19="","",'مسير أغسطس'!T19)</f>
        <v/>
      </c>
      <c r="N19" s="116" t="str">
        <f aca="false">IF($B19="","",'مسير سبتمبر'!T19)</f>
        <v/>
      </c>
      <c r="O19" s="116" t="str">
        <f aca="false">IF($B19="","",'مسير أكتوبر'!T19)</f>
        <v/>
      </c>
      <c r="P19" s="116" t="str">
        <f aca="false">IF($B19="","",'مسير نوفمبر'!T19)</f>
        <v/>
      </c>
      <c r="Q19" s="116" t="str">
        <f aca="false">IF($B19="","",'مسير ديسمبر'!T19)</f>
        <v/>
      </c>
      <c r="R19" s="171" t="str">
        <f aca="false">IF($B19="","",IF(1&lt;=cfg_VAL_M,'مسير يناير'!T19,0)+IF(2&lt;=cfg_VAL_M,'مسير فبراير'!T19,0)+IF(3&lt;=cfg_VAL_M,'مسير مارس'!T19,0)+IF(4&lt;=cfg_VAL_M,'مسير أبريل'!T19,0)+IF(5&lt;=cfg_VAL_M,'مسير مايو'!T19,0)+IF(6&lt;=cfg_VAL_M,'مسير يونيو'!T19,0)+IF(7&lt;=cfg_VAL_M,'مسير يوليو'!T19,0)+IF(8&lt;=cfg_VAL_M,'مسير أغسطس'!T19,0)+IF(9&lt;=cfg_VAL_M,'مسير سبتمبر'!T19,0)+IF(10&lt;=cfg_VAL_M,'مسير أكتوبر'!T19,0)+IF(11&lt;=cfg_VAL_M,'مسير نوفمبر'!T19,0)+IF(12&lt;=cfg_VAL_M,'مسير ديسمبر'!T19,0))</f>
        <v/>
      </c>
      <c r="T19" s="116" t="str">
        <f aca="false">IF($B19="","",'مسير يناير'!AG19)</f>
        <v/>
      </c>
      <c r="U19" s="116" t="str">
        <f aca="false">IF($B19="","",'مسير فبراير'!AG19)</f>
        <v/>
      </c>
      <c r="V19" s="116" t="str">
        <f aca="false">IF($B19="","",'مسير مارس'!AG19)</f>
        <v/>
      </c>
      <c r="W19" s="116" t="str">
        <f aca="false">IF($B19="","",'مسير أبريل'!AG19)</f>
        <v/>
      </c>
      <c r="X19" s="116" t="str">
        <f aca="false">IF($B19="","",'مسير مايو'!AG19)</f>
        <v/>
      </c>
      <c r="Y19" s="116" t="str">
        <f aca="false">IF($B19="","",'مسير يونيو'!AG19)</f>
        <v/>
      </c>
      <c r="Z19" s="116" t="str">
        <f aca="false">IF($B19="","",'مسير يوليو'!AG19)</f>
        <v/>
      </c>
      <c r="AA19" s="116" t="str">
        <f aca="false">IF($B19="","",'مسير أغسطس'!AG19)</f>
        <v/>
      </c>
      <c r="AB19" s="116" t="str">
        <f aca="false">IF($B19="","",'مسير سبتمبر'!AG19)</f>
        <v/>
      </c>
      <c r="AC19" s="116" t="str">
        <f aca="false">IF($B19="","",'مسير أكتوبر'!AG19)</f>
        <v/>
      </c>
      <c r="AD19" s="116" t="str">
        <f aca="false">IF($B19="","",'مسير نوفمبر'!AG19)</f>
        <v/>
      </c>
      <c r="AE19" s="116" t="str">
        <f aca="false">IF($B19="","",'مسير ديسمبر'!AG19)</f>
        <v/>
      </c>
      <c r="AF19" s="171" t="str">
        <f aca="false">IF($B19="","",IF(1&lt;=cfg_VAL_M,'مسير يناير'!AG19,0)+IF(2&lt;=cfg_VAL_M,'مسير فبراير'!AG19,0)+IF(3&lt;=cfg_VAL_M,'مسير مارس'!AG19,0)+IF(4&lt;=cfg_VAL_M,'مسير أبريل'!AG19,0)+IF(5&lt;=cfg_VAL_M,'مسير مايو'!AG19,0)+IF(6&lt;=cfg_VAL_M,'مسير يونيو'!AG19,0)+IF(7&lt;=cfg_VAL_M,'مسير يوليو'!AG19,0)+IF(8&lt;=cfg_VAL_M,'مسير أغسطس'!AG19,0)+IF(9&lt;=cfg_VAL_M,'مسير سبتمبر'!AG19,0)+IF(10&lt;=cfg_VAL_M,'مسير أكتوبر'!AG19,0)+IF(11&lt;=cfg_VAL_M,'مسير نوفمبر'!AG19,0)+IF(12&lt;=cfg_VAL_M,'مسير ديسمبر'!AG19,0))</f>
        <v/>
      </c>
      <c r="AG19" s="171" t="str">
        <f aca="false">IF($B19="","",IF(1&lt;=cfg_VAL_M,'مسير يناير'!Y19,0)+IF(2&lt;=cfg_VAL_M,'مسير فبراير'!Y19,0)+IF(3&lt;=cfg_VAL_M,'مسير مارس'!Y19,0)+IF(4&lt;=cfg_VAL_M,'مسير أبريل'!Y19,0)+IF(5&lt;=cfg_VAL_M,'مسير مايو'!Y19,0)+IF(6&lt;=cfg_VAL_M,'مسير يونيو'!Y19,0)+IF(7&lt;=cfg_VAL_M,'مسير يوليو'!Y19,0)+IF(8&lt;=cfg_VAL_M,'مسير أغسطس'!Y19,0)+IF(9&lt;=cfg_VAL_M,'مسير سبتمبر'!Y19,0)+IF(10&lt;=cfg_VAL_M,'مسير أكتوبر'!Y19,0)+IF(11&lt;=cfg_VAL_M,'مسير نوفمبر'!Y19,0)+IF(12&lt;=cfg_VAL_M,'مسير ديسمبر'!Y19,0))</f>
        <v/>
      </c>
      <c r="AH19" s="116" t="str">
        <f aca="false">IF($B19="","",AF19/cfg_VAL_M)</f>
        <v/>
      </c>
    </row>
    <row r="20" customFormat="false" ht="15" hidden="false" customHeight="false" outlineLevel="0" collapsed="false">
      <c r="B20" s="114" t="str">
        <f aca="false">IF(الموظفون!$B20="","",الموظفون!$B20)</f>
        <v/>
      </c>
      <c r="C20" s="114" t="str">
        <f aca="false">IF(الموظفون!$B20="","",الموظفون!$C20)</f>
        <v/>
      </c>
      <c r="D20" s="114" t="str">
        <f aca="false">IF(الموظفون!$B20="","",الموظفون!$F20)</f>
        <v/>
      </c>
      <c r="E20" s="114" t="str">
        <f aca="false">IF(الموظفون!$B20="","",الموظفون!$E20)</f>
        <v/>
      </c>
      <c r="F20" s="111" t="str">
        <f aca="false">IF($B20="","",'مسير يناير'!T20)</f>
        <v/>
      </c>
      <c r="G20" s="111" t="str">
        <f aca="false">IF($B20="","",'مسير فبراير'!T20)</f>
        <v/>
      </c>
      <c r="H20" s="111" t="str">
        <f aca="false">IF($B20="","",'مسير مارس'!T20)</f>
        <v/>
      </c>
      <c r="I20" s="111" t="str">
        <f aca="false">IF($B20="","",'مسير أبريل'!T20)</f>
        <v/>
      </c>
      <c r="J20" s="111" t="str">
        <f aca="false">IF($B20="","",'مسير مايو'!T20)</f>
        <v/>
      </c>
      <c r="K20" s="111" t="str">
        <f aca="false">IF($B20="","",'مسير يونيو'!T20)</f>
        <v/>
      </c>
      <c r="L20" s="111" t="str">
        <f aca="false">IF($B20="","",'مسير يوليو'!T20)</f>
        <v/>
      </c>
      <c r="M20" s="111" t="str">
        <f aca="false">IF($B20="","",'مسير أغسطس'!T20)</f>
        <v/>
      </c>
      <c r="N20" s="111" t="str">
        <f aca="false">IF($B20="","",'مسير سبتمبر'!T20)</f>
        <v/>
      </c>
      <c r="O20" s="111" t="str">
        <f aca="false">IF($B20="","",'مسير أكتوبر'!T20)</f>
        <v/>
      </c>
      <c r="P20" s="111" t="str">
        <f aca="false">IF($B20="","",'مسير نوفمبر'!T20)</f>
        <v/>
      </c>
      <c r="Q20" s="111" t="str">
        <f aca="false">IF($B20="","",'مسير ديسمبر'!T20)</f>
        <v/>
      </c>
      <c r="R20" s="170" t="str">
        <f aca="false">IF($B20="","",IF(1&lt;=cfg_VAL_M,'مسير يناير'!T20,0)+IF(2&lt;=cfg_VAL_M,'مسير فبراير'!T20,0)+IF(3&lt;=cfg_VAL_M,'مسير مارس'!T20,0)+IF(4&lt;=cfg_VAL_M,'مسير أبريل'!T20,0)+IF(5&lt;=cfg_VAL_M,'مسير مايو'!T20,0)+IF(6&lt;=cfg_VAL_M,'مسير يونيو'!T20,0)+IF(7&lt;=cfg_VAL_M,'مسير يوليو'!T20,0)+IF(8&lt;=cfg_VAL_M,'مسير أغسطس'!T20,0)+IF(9&lt;=cfg_VAL_M,'مسير سبتمبر'!T20,0)+IF(10&lt;=cfg_VAL_M,'مسير أكتوبر'!T20,0)+IF(11&lt;=cfg_VAL_M,'مسير نوفمبر'!T20,0)+IF(12&lt;=cfg_VAL_M,'مسير ديسمبر'!T20,0))</f>
        <v/>
      </c>
      <c r="T20" s="111" t="str">
        <f aca="false">IF($B20="","",'مسير يناير'!AG20)</f>
        <v/>
      </c>
      <c r="U20" s="111" t="str">
        <f aca="false">IF($B20="","",'مسير فبراير'!AG20)</f>
        <v/>
      </c>
      <c r="V20" s="111" t="str">
        <f aca="false">IF($B20="","",'مسير مارس'!AG20)</f>
        <v/>
      </c>
      <c r="W20" s="111" t="str">
        <f aca="false">IF($B20="","",'مسير أبريل'!AG20)</f>
        <v/>
      </c>
      <c r="X20" s="111" t="str">
        <f aca="false">IF($B20="","",'مسير مايو'!AG20)</f>
        <v/>
      </c>
      <c r="Y20" s="111" t="str">
        <f aca="false">IF($B20="","",'مسير يونيو'!AG20)</f>
        <v/>
      </c>
      <c r="Z20" s="111" t="str">
        <f aca="false">IF($B20="","",'مسير يوليو'!AG20)</f>
        <v/>
      </c>
      <c r="AA20" s="111" t="str">
        <f aca="false">IF($B20="","",'مسير أغسطس'!AG20)</f>
        <v/>
      </c>
      <c r="AB20" s="111" t="str">
        <f aca="false">IF($B20="","",'مسير سبتمبر'!AG20)</f>
        <v/>
      </c>
      <c r="AC20" s="111" t="str">
        <f aca="false">IF($B20="","",'مسير أكتوبر'!AG20)</f>
        <v/>
      </c>
      <c r="AD20" s="111" t="str">
        <f aca="false">IF($B20="","",'مسير نوفمبر'!AG20)</f>
        <v/>
      </c>
      <c r="AE20" s="111" t="str">
        <f aca="false">IF($B20="","",'مسير ديسمبر'!AG20)</f>
        <v/>
      </c>
      <c r="AF20" s="170" t="str">
        <f aca="false">IF($B20="","",IF(1&lt;=cfg_VAL_M,'مسير يناير'!AG20,0)+IF(2&lt;=cfg_VAL_M,'مسير فبراير'!AG20,0)+IF(3&lt;=cfg_VAL_M,'مسير مارس'!AG20,0)+IF(4&lt;=cfg_VAL_M,'مسير أبريل'!AG20,0)+IF(5&lt;=cfg_VAL_M,'مسير مايو'!AG20,0)+IF(6&lt;=cfg_VAL_M,'مسير يونيو'!AG20,0)+IF(7&lt;=cfg_VAL_M,'مسير يوليو'!AG20,0)+IF(8&lt;=cfg_VAL_M,'مسير أغسطس'!AG20,0)+IF(9&lt;=cfg_VAL_M,'مسير سبتمبر'!AG20,0)+IF(10&lt;=cfg_VAL_M,'مسير أكتوبر'!AG20,0)+IF(11&lt;=cfg_VAL_M,'مسير نوفمبر'!AG20,0)+IF(12&lt;=cfg_VAL_M,'مسير ديسمبر'!AG20,0))</f>
        <v/>
      </c>
      <c r="AG20" s="170" t="str">
        <f aca="false">IF($B20="","",IF(1&lt;=cfg_VAL_M,'مسير يناير'!Y20,0)+IF(2&lt;=cfg_VAL_M,'مسير فبراير'!Y20,0)+IF(3&lt;=cfg_VAL_M,'مسير مارس'!Y20,0)+IF(4&lt;=cfg_VAL_M,'مسير أبريل'!Y20,0)+IF(5&lt;=cfg_VAL_M,'مسير مايو'!Y20,0)+IF(6&lt;=cfg_VAL_M,'مسير يونيو'!Y20,0)+IF(7&lt;=cfg_VAL_M,'مسير يوليو'!Y20,0)+IF(8&lt;=cfg_VAL_M,'مسير أغسطس'!Y20,0)+IF(9&lt;=cfg_VAL_M,'مسير سبتمبر'!Y20,0)+IF(10&lt;=cfg_VAL_M,'مسير أكتوبر'!Y20,0)+IF(11&lt;=cfg_VAL_M,'مسير نوفمبر'!Y20,0)+IF(12&lt;=cfg_VAL_M,'مسير ديسمبر'!Y20,0))</f>
        <v/>
      </c>
      <c r="AH20" s="111" t="str">
        <f aca="false">IF($B20="","",AF20/cfg_VAL_M)</f>
        <v/>
      </c>
    </row>
    <row r="21" customFormat="false" ht="15" hidden="false" customHeight="false" outlineLevel="0" collapsed="false">
      <c r="B21" s="117" t="str">
        <f aca="false">IF(الموظفون!$B21="","",الموظفون!$B21)</f>
        <v/>
      </c>
      <c r="C21" s="117" t="str">
        <f aca="false">IF(الموظفون!$B21="","",الموظفون!$C21)</f>
        <v/>
      </c>
      <c r="D21" s="117" t="str">
        <f aca="false">IF(الموظفون!$B21="","",الموظفون!$F21)</f>
        <v/>
      </c>
      <c r="E21" s="117" t="str">
        <f aca="false">IF(الموظفون!$B21="","",الموظفون!$E21)</f>
        <v/>
      </c>
      <c r="F21" s="116" t="str">
        <f aca="false">IF($B21="","",'مسير يناير'!T21)</f>
        <v/>
      </c>
      <c r="G21" s="116" t="str">
        <f aca="false">IF($B21="","",'مسير فبراير'!T21)</f>
        <v/>
      </c>
      <c r="H21" s="116" t="str">
        <f aca="false">IF($B21="","",'مسير مارس'!T21)</f>
        <v/>
      </c>
      <c r="I21" s="116" t="str">
        <f aca="false">IF($B21="","",'مسير أبريل'!T21)</f>
        <v/>
      </c>
      <c r="J21" s="116" t="str">
        <f aca="false">IF($B21="","",'مسير مايو'!T21)</f>
        <v/>
      </c>
      <c r="K21" s="116" t="str">
        <f aca="false">IF($B21="","",'مسير يونيو'!T21)</f>
        <v/>
      </c>
      <c r="L21" s="116" t="str">
        <f aca="false">IF($B21="","",'مسير يوليو'!T21)</f>
        <v/>
      </c>
      <c r="M21" s="116" t="str">
        <f aca="false">IF($B21="","",'مسير أغسطس'!T21)</f>
        <v/>
      </c>
      <c r="N21" s="116" t="str">
        <f aca="false">IF($B21="","",'مسير سبتمبر'!T21)</f>
        <v/>
      </c>
      <c r="O21" s="116" t="str">
        <f aca="false">IF($B21="","",'مسير أكتوبر'!T21)</f>
        <v/>
      </c>
      <c r="P21" s="116" t="str">
        <f aca="false">IF($B21="","",'مسير نوفمبر'!T21)</f>
        <v/>
      </c>
      <c r="Q21" s="116" t="str">
        <f aca="false">IF($B21="","",'مسير ديسمبر'!T21)</f>
        <v/>
      </c>
      <c r="R21" s="171" t="str">
        <f aca="false">IF($B21="","",IF(1&lt;=cfg_VAL_M,'مسير يناير'!T21,0)+IF(2&lt;=cfg_VAL_M,'مسير فبراير'!T21,0)+IF(3&lt;=cfg_VAL_M,'مسير مارس'!T21,0)+IF(4&lt;=cfg_VAL_M,'مسير أبريل'!T21,0)+IF(5&lt;=cfg_VAL_M,'مسير مايو'!T21,0)+IF(6&lt;=cfg_VAL_M,'مسير يونيو'!T21,0)+IF(7&lt;=cfg_VAL_M,'مسير يوليو'!T21,0)+IF(8&lt;=cfg_VAL_M,'مسير أغسطس'!T21,0)+IF(9&lt;=cfg_VAL_M,'مسير سبتمبر'!T21,0)+IF(10&lt;=cfg_VAL_M,'مسير أكتوبر'!T21,0)+IF(11&lt;=cfg_VAL_M,'مسير نوفمبر'!T21,0)+IF(12&lt;=cfg_VAL_M,'مسير ديسمبر'!T21,0))</f>
        <v/>
      </c>
      <c r="T21" s="116" t="str">
        <f aca="false">IF($B21="","",'مسير يناير'!AG21)</f>
        <v/>
      </c>
      <c r="U21" s="116" t="str">
        <f aca="false">IF($B21="","",'مسير فبراير'!AG21)</f>
        <v/>
      </c>
      <c r="V21" s="116" t="str">
        <f aca="false">IF($B21="","",'مسير مارس'!AG21)</f>
        <v/>
      </c>
      <c r="W21" s="116" t="str">
        <f aca="false">IF($B21="","",'مسير أبريل'!AG21)</f>
        <v/>
      </c>
      <c r="X21" s="116" t="str">
        <f aca="false">IF($B21="","",'مسير مايو'!AG21)</f>
        <v/>
      </c>
      <c r="Y21" s="116" t="str">
        <f aca="false">IF($B21="","",'مسير يونيو'!AG21)</f>
        <v/>
      </c>
      <c r="Z21" s="116" t="str">
        <f aca="false">IF($B21="","",'مسير يوليو'!AG21)</f>
        <v/>
      </c>
      <c r="AA21" s="116" t="str">
        <f aca="false">IF($B21="","",'مسير أغسطس'!AG21)</f>
        <v/>
      </c>
      <c r="AB21" s="116" t="str">
        <f aca="false">IF($B21="","",'مسير سبتمبر'!AG21)</f>
        <v/>
      </c>
      <c r="AC21" s="116" t="str">
        <f aca="false">IF($B21="","",'مسير أكتوبر'!AG21)</f>
        <v/>
      </c>
      <c r="AD21" s="116" t="str">
        <f aca="false">IF($B21="","",'مسير نوفمبر'!AG21)</f>
        <v/>
      </c>
      <c r="AE21" s="116" t="str">
        <f aca="false">IF($B21="","",'مسير ديسمبر'!AG21)</f>
        <v/>
      </c>
      <c r="AF21" s="171" t="str">
        <f aca="false">IF($B21="","",IF(1&lt;=cfg_VAL_M,'مسير يناير'!AG21,0)+IF(2&lt;=cfg_VAL_M,'مسير فبراير'!AG21,0)+IF(3&lt;=cfg_VAL_M,'مسير مارس'!AG21,0)+IF(4&lt;=cfg_VAL_M,'مسير أبريل'!AG21,0)+IF(5&lt;=cfg_VAL_M,'مسير مايو'!AG21,0)+IF(6&lt;=cfg_VAL_M,'مسير يونيو'!AG21,0)+IF(7&lt;=cfg_VAL_M,'مسير يوليو'!AG21,0)+IF(8&lt;=cfg_VAL_M,'مسير أغسطس'!AG21,0)+IF(9&lt;=cfg_VAL_M,'مسير سبتمبر'!AG21,0)+IF(10&lt;=cfg_VAL_M,'مسير أكتوبر'!AG21,0)+IF(11&lt;=cfg_VAL_M,'مسير نوفمبر'!AG21,0)+IF(12&lt;=cfg_VAL_M,'مسير ديسمبر'!AG21,0))</f>
        <v/>
      </c>
      <c r="AG21" s="171" t="str">
        <f aca="false">IF($B21="","",IF(1&lt;=cfg_VAL_M,'مسير يناير'!Y21,0)+IF(2&lt;=cfg_VAL_M,'مسير فبراير'!Y21,0)+IF(3&lt;=cfg_VAL_M,'مسير مارس'!Y21,0)+IF(4&lt;=cfg_VAL_M,'مسير أبريل'!Y21,0)+IF(5&lt;=cfg_VAL_M,'مسير مايو'!Y21,0)+IF(6&lt;=cfg_VAL_M,'مسير يونيو'!Y21,0)+IF(7&lt;=cfg_VAL_M,'مسير يوليو'!Y21,0)+IF(8&lt;=cfg_VAL_M,'مسير أغسطس'!Y21,0)+IF(9&lt;=cfg_VAL_M,'مسير سبتمبر'!Y21,0)+IF(10&lt;=cfg_VAL_M,'مسير أكتوبر'!Y21,0)+IF(11&lt;=cfg_VAL_M,'مسير نوفمبر'!Y21,0)+IF(12&lt;=cfg_VAL_M,'مسير ديسمبر'!Y21,0))</f>
        <v/>
      </c>
      <c r="AH21" s="116" t="str">
        <f aca="false">IF($B21="","",AF21/cfg_VAL_M)</f>
        <v/>
      </c>
    </row>
    <row r="22" customFormat="false" ht="15" hidden="false" customHeight="false" outlineLevel="0" collapsed="false">
      <c r="B22" s="114" t="str">
        <f aca="false">IF(الموظفون!$B22="","",الموظفون!$B22)</f>
        <v/>
      </c>
      <c r="C22" s="114" t="str">
        <f aca="false">IF(الموظفون!$B22="","",الموظفون!$C22)</f>
        <v/>
      </c>
      <c r="D22" s="114" t="str">
        <f aca="false">IF(الموظفون!$B22="","",الموظفون!$F22)</f>
        <v/>
      </c>
      <c r="E22" s="114" t="str">
        <f aca="false">IF(الموظفون!$B22="","",الموظفون!$E22)</f>
        <v/>
      </c>
      <c r="F22" s="111" t="str">
        <f aca="false">IF($B22="","",'مسير يناير'!T22)</f>
        <v/>
      </c>
      <c r="G22" s="111" t="str">
        <f aca="false">IF($B22="","",'مسير فبراير'!T22)</f>
        <v/>
      </c>
      <c r="H22" s="111" t="str">
        <f aca="false">IF($B22="","",'مسير مارس'!T22)</f>
        <v/>
      </c>
      <c r="I22" s="111" t="str">
        <f aca="false">IF($B22="","",'مسير أبريل'!T22)</f>
        <v/>
      </c>
      <c r="J22" s="111" t="str">
        <f aca="false">IF($B22="","",'مسير مايو'!T22)</f>
        <v/>
      </c>
      <c r="K22" s="111" t="str">
        <f aca="false">IF($B22="","",'مسير يونيو'!T22)</f>
        <v/>
      </c>
      <c r="L22" s="111" t="str">
        <f aca="false">IF($B22="","",'مسير يوليو'!T22)</f>
        <v/>
      </c>
      <c r="M22" s="111" t="str">
        <f aca="false">IF($B22="","",'مسير أغسطس'!T22)</f>
        <v/>
      </c>
      <c r="N22" s="111" t="str">
        <f aca="false">IF($B22="","",'مسير سبتمبر'!T22)</f>
        <v/>
      </c>
      <c r="O22" s="111" t="str">
        <f aca="false">IF($B22="","",'مسير أكتوبر'!T22)</f>
        <v/>
      </c>
      <c r="P22" s="111" t="str">
        <f aca="false">IF($B22="","",'مسير نوفمبر'!T22)</f>
        <v/>
      </c>
      <c r="Q22" s="111" t="str">
        <f aca="false">IF($B22="","",'مسير ديسمبر'!T22)</f>
        <v/>
      </c>
      <c r="R22" s="170" t="str">
        <f aca="false">IF($B22="","",IF(1&lt;=cfg_VAL_M,'مسير يناير'!T22,0)+IF(2&lt;=cfg_VAL_M,'مسير فبراير'!T22,0)+IF(3&lt;=cfg_VAL_M,'مسير مارس'!T22,0)+IF(4&lt;=cfg_VAL_M,'مسير أبريل'!T22,0)+IF(5&lt;=cfg_VAL_M,'مسير مايو'!T22,0)+IF(6&lt;=cfg_VAL_M,'مسير يونيو'!T22,0)+IF(7&lt;=cfg_VAL_M,'مسير يوليو'!T22,0)+IF(8&lt;=cfg_VAL_M,'مسير أغسطس'!T22,0)+IF(9&lt;=cfg_VAL_M,'مسير سبتمبر'!T22,0)+IF(10&lt;=cfg_VAL_M,'مسير أكتوبر'!T22,0)+IF(11&lt;=cfg_VAL_M,'مسير نوفمبر'!T22,0)+IF(12&lt;=cfg_VAL_M,'مسير ديسمبر'!T22,0))</f>
        <v/>
      </c>
      <c r="T22" s="111" t="str">
        <f aca="false">IF($B22="","",'مسير يناير'!AG22)</f>
        <v/>
      </c>
      <c r="U22" s="111" t="str">
        <f aca="false">IF($B22="","",'مسير فبراير'!AG22)</f>
        <v/>
      </c>
      <c r="V22" s="111" t="str">
        <f aca="false">IF($B22="","",'مسير مارس'!AG22)</f>
        <v/>
      </c>
      <c r="W22" s="111" t="str">
        <f aca="false">IF($B22="","",'مسير أبريل'!AG22)</f>
        <v/>
      </c>
      <c r="X22" s="111" t="str">
        <f aca="false">IF($B22="","",'مسير مايو'!AG22)</f>
        <v/>
      </c>
      <c r="Y22" s="111" t="str">
        <f aca="false">IF($B22="","",'مسير يونيو'!AG22)</f>
        <v/>
      </c>
      <c r="Z22" s="111" t="str">
        <f aca="false">IF($B22="","",'مسير يوليو'!AG22)</f>
        <v/>
      </c>
      <c r="AA22" s="111" t="str">
        <f aca="false">IF($B22="","",'مسير أغسطس'!AG22)</f>
        <v/>
      </c>
      <c r="AB22" s="111" t="str">
        <f aca="false">IF($B22="","",'مسير سبتمبر'!AG22)</f>
        <v/>
      </c>
      <c r="AC22" s="111" t="str">
        <f aca="false">IF($B22="","",'مسير أكتوبر'!AG22)</f>
        <v/>
      </c>
      <c r="AD22" s="111" t="str">
        <f aca="false">IF($B22="","",'مسير نوفمبر'!AG22)</f>
        <v/>
      </c>
      <c r="AE22" s="111" t="str">
        <f aca="false">IF($B22="","",'مسير ديسمبر'!AG22)</f>
        <v/>
      </c>
      <c r="AF22" s="170" t="str">
        <f aca="false">IF($B22="","",IF(1&lt;=cfg_VAL_M,'مسير يناير'!AG22,0)+IF(2&lt;=cfg_VAL_M,'مسير فبراير'!AG22,0)+IF(3&lt;=cfg_VAL_M,'مسير مارس'!AG22,0)+IF(4&lt;=cfg_VAL_M,'مسير أبريل'!AG22,0)+IF(5&lt;=cfg_VAL_M,'مسير مايو'!AG22,0)+IF(6&lt;=cfg_VAL_M,'مسير يونيو'!AG22,0)+IF(7&lt;=cfg_VAL_M,'مسير يوليو'!AG22,0)+IF(8&lt;=cfg_VAL_M,'مسير أغسطس'!AG22,0)+IF(9&lt;=cfg_VAL_M,'مسير سبتمبر'!AG22,0)+IF(10&lt;=cfg_VAL_M,'مسير أكتوبر'!AG22,0)+IF(11&lt;=cfg_VAL_M,'مسير نوفمبر'!AG22,0)+IF(12&lt;=cfg_VAL_M,'مسير ديسمبر'!AG22,0))</f>
        <v/>
      </c>
      <c r="AG22" s="170" t="str">
        <f aca="false">IF($B22="","",IF(1&lt;=cfg_VAL_M,'مسير يناير'!Y22,0)+IF(2&lt;=cfg_VAL_M,'مسير فبراير'!Y22,0)+IF(3&lt;=cfg_VAL_M,'مسير مارس'!Y22,0)+IF(4&lt;=cfg_VAL_M,'مسير أبريل'!Y22,0)+IF(5&lt;=cfg_VAL_M,'مسير مايو'!Y22,0)+IF(6&lt;=cfg_VAL_M,'مسير يونيو'!Y22,0)+IF(7&lt;=cfg_VAL_M,'مسير يوليو'!Y22,0)+IF(8&lt;=cfg_VAL_M,'مسير أغسطس'!Y22,0)+IF(9&lt;=cfg_VAL_M,'مسير سبتمبر'!Y22,0)+IF(10&lt;=cfg_VAL_M,'مسير أكتوبر'!Y22,0)+IF(11&lt;=cfg_VAL_M,'مسير نوفمبر'!Y22,0)+IF(12&lt;=cfg_VAL_M,'مسير ديسمبر'!Y22,0))</f>
        <v/>
      </c>
      <c r="AH22" s="111" t="str">
        <f aca="false">IF($B22="","",AF22/cfg_VAL_M)</f>
        <v/>
      </c>
    </row>
    <row r="23" customFormat="false" ht="15" hidden="false" customHeight="false" outlineLevel="0" collapsed="false">
      <c r="B23" s="117" t="str">
        <f aca="false">IF(الموظفون!$B23="","",الموظفون!$B23)</f>
        <v/>
      </c>
      <c r="C23" s="117" t="str">
        <f aca="false">IF(الموظفون!$B23="","",الموظفون!$C23)</f>
        <v/>
      </c>
      <c r="D23" s="117" t="str">
        <f aca="false">IF(الموظفون!$B23="","",الموظفون!$F23)</f>
        <v/>
      </c>
      <c r="E23" s="117" t="str">
        <f aca="false">IF(الموظفون!$B23="","",الموظفون!$E23)</f>
        <v/>
      </c>
      <c r="F23" s="116" t="str">
        <f aca="false">IF($B23="","",'مسير يناير'!T23)</f>
        <v/>
      </c>
      <c r="G23" s="116" t="str">
        <f aca="false">IF($B23="","",'مسير فبراير'!T23)</f>
        <v/>
      </c>
      <c r="H23" s="116" t="str">
        <f aca="false">IF($B23="","",'مسير مارس'!T23)</f>
        <v/>
      </c>
      <c r="I23" s="116" t="str">
        <f aca="false">IF($B23="","",'مسير أبريل'!T23)</f>
        <v/>
      </c>
      <c r="J23" s="116" t="str">
        <f aca="false">IF($B23="","",'مسير مايو'!T23)</f>
        <v/>
      </c>
      <c r="K23" s="116" t="str">
        <f aca="false">IF($B23="","",'مسير يونيو'!T23)</f>
        <v/>
      </c>
      <c r="L23" s="116" t="str">
        <f aca="false">IF($B23="","",'مسير يوليو'!T23)</f>
        <v/>
      </c>
      <c r="M23" s="116" t="str">
        <f aca="false">IF($B23="","",'مسير أغسطس'!T23)</f>
        <v/>
      </c>
      <c r="N23" s="116" t="str">
        <f aca="false">IF($B23="","",'مسير سبتمبر'!T23)</f>
        <v/>
      </c>
      <c r="O23" s="116" t="str">
        <f aca="false">IF($B23="","",'مسير أكتوبر'!T23)</f>
        <v/>
      </c>
      <c r="P23" s="116" t="str">
        <f aca="false">IF($B23="","",'مسير نوفمبر'!T23)</f>
        <v/>
      </c>
      <c r="Q23" s="116" t="str">
        <f aca="false">IF($B23="","",'مسير ديسمبر'!T23)</f>
        <v/>
      </c>
      <c r="R23" s="171" t="str">
        <f aca="false">IF($B23="","",IF(1&lt;=cfg_VAL_M,'مسير يناير'!T23,0)+IF(2&lt;=cfg_VAL_M,'مسير فبراير'!T23,0)+IF(3&lt;=cfg_VAL_M,'مسير مارس'!T23,0)+IF(4&lt;=cfg_VAL_M,'مسير أبريل'!T23,0)+IF(5&lt;=cfg_VAL_M,'مسير مايو'!T23,0)+IF(6&lt;=cfg_VAL_M,'مسير يونيو'!T23,0)+IF(7&lt;=cfg_VAL_M,'مسير يوليو'!T23,0)+IF(8&lt;=cfg_VAL_M,'مسير أغسطس'!T23,0)+IF(9&lt;=cfg_VAL_M,'مسير سبتمبر'!T23,0)+IF(10&lt;=cfg_VAL_M,'مسير أكتوبر'!T23,0)+IF(11&lt;=cfg_VAL_M,'مسير نوفمبر'!T23,0)+IF(12&lt;=cfg_VAL_M,'مسير ديسمبر'!T23,0))</f>
        <v/>
      </c>
      <c r="T23" s="116" t="str">
        <f aca="false">IF($B23="","",'مسير يناير'!AG23)</f>
        <v/>
      </c>
      <c r="U23" s="116" t="str">
        <f aca="false">IF($B23="","",'مسير فبراير'!AG23)</f>
        <v/>
      </c>
      <c r="V23" s="116" t="str">
        <f aca="false">IF($B23="","",'مسير مارس'!AG23)</f>
        <v/>
      </c>
      <c r="W23" s="116" t="str">
        <f aca="false">IF($B23="","",'مسير أبريل'!AG23)</f>
        <v/>
      </c>
      <c r="X23" s="116" t="str">
        <f aca="false">IF($B23="","",'مسير مايو'!AG23)</f>
        <v/>
      </c>
      <c r="Y23" s="116" t="str">
        <f aca="false">IF($B23="","",'مسير يونيو'!AG23)</f>
        <v/>
      </c>
      <c r="Z23" s="116" t="str">
        <f aca="false">IF($B23="","",'مسير يوليو'!AG23)</f>
        <v/>
      </c>
      <c r="AA23" s="116" t="str">
        <f aca="false">IF($B23="","",'مسير أغسطس'!AG23)</f>
        <v/>
      </c>
      <c r="AB23" s="116" t="str">
        <f aca="false">IF($B23="","",'مسير سبتمبر'!AG23)</f>
        <v/>
      </c>
      <c r="AC23" s="116" t="str">
        <f aca="false">IF($B23="","",'مسير أكتوبر'!AG23)</f>
        <v/>
      </c>
      <c r="AD23" s="116" t="str">
        <f aca="false">IF($B23="","",'مسير نوفمبر'!AG23)</f>
        <v/>
      </c>
      <c r="AE23" s="116" t="str">
        <f aca="false">IF($B23="","",'مسير ديسمبر'!AG23)</f>
        <v/>
      </c>
      <c r="AF23" s="171" t="str">
        <f aca="false">IF($B23="","",IF(1&lt;=cfg_VAL_M,'مسير يناير'!AG23,0)+IF(2&lt;=cfg_VAL_M,'مسير فبراير'!AG23,0)+IF(3&lt;=cfg_VAL_M,'مسير مارس'!AG23,0)+IF(4&lt;=cfg_VAL_M,'مسير أبريل'!AG23,0)+IF(5&lt;=cfg_VAL_M,'مسير مايو'!AG23,0)+IF(6&lt;=cfg_VAL_M,'مسير يونيو'!AG23,0)+IF(7&lt;=cfg_VAL_M,'مسير يوليو'!AG23,0)+IF(8&lt;=cfg_VAL_M,'مسير أغسطس'!AG23,0)+IF(9&lt;=cfg_VAL_M,'مسير سبتمبر'!AG23,0)+IF(10&lt;=cfg_VAL_M,'مسير أكتوبر'!AG23,0)+IF(11&lt;=cfg_VAL_M,'مسير نوفمبر'!AG23,0)+IF(12&lt;=cfg_VAL_M,'مسير ديسمبر'!AG23,0))</f>
        <v/>
      </c>
      <c r="AG23" s="171" t="str">
        <f aca="false">IF($B23="","",IF(1&lt;=cfg_VAL_M,'مسير يناير'!Y23,0)+IF(2&lt;=cfg_VAL_M,'مسير فبراير'!Y23,0)+IF(3&lt;=cfg_VAL_M,'مسير مارس'!Y23,0)+IF(4&lt;=cfg_VAL_M,'مسير أبريل'!Y23,0)+IF(5&lt;=cfg_VAL_M,'مسير مايو'!Y23,0)+IF(6&lt;=cfg_VAL_M,'مسير يونيو'!Y23,0)+IF(7&lt;=cfg_VAL_M,'مسير يوليو'!Y23,0)+IF(8&lt;=cfg_VAL_M,'مسير أغسطس'!Y23,0)+IF(9&lt;=cfg_VAL_M,'مسير سبتمبر'!Y23,0)+IF(10&lt;=cfg_VAL_M,'مسير أكتوبر'!Y23,0)+IF(11&lt;=cfg_VAL_M,'مسير نوفمبر'!Y23,0)+IF(12&lt;=cfg_VAL_M,'مسير ديسمبر'!Y23,0))</f>
        <v/>
      </c>
      <c r="AH23" s="116" t="str">
        <f aca="false">IF($B23="","",AF23/cfg_VAL_M)</f>
        <v/>
      </c>
    </row>
    <row r="24" customFormat="false" ht="15" hidden="false" customHeight="false" outlineLevel="0" collapsed="false">
      <c r="B24" s="114" t="str">
        <f aca="false">IF(الموظفون!$B24="","",الموظفون!$B24)</f>
        <v/>
      </c>
      <c r="C24" s="114" t="str">
        <f aca="false">IF(الموظفون!$B24="","",الموظفون!$C24)</f>
        <v/>
      </c>
      <c r="D24" s="114" t="str">
        <f aca="false">IF(الموظفون!$B24="","",الموظفون!$F24)</f>
        <v/>
      </c>
      <c r="E24" s="114" t="str">
        <f aca="false">IF(الموظفون!$B24="","",الموظفون!$E24)</f>
        <v/>
      </c>
      <c r="F24" s="111" t="str">
        <f aca="false">IF($B24="","",'مسير يناير'!T24)</f>
        <v/>
      </c>
      <c r="G24" s="111" t="str">
        <f aca="false">IF($B24="","",'مسير فبراير'!T24)</f>
        <v/>
      </c>
      <c r="H24" s="111" t="str">
        <f aca="false">IF($B24="","",'مسير مارس'!T24)</f>
        <v/>
      </c>
      <c r="I24" s="111" t="str">
        <f aca="false">IF($B24="","",'مسير أبريل'!T24)</f>
        <v/>
      </c>
      <c r="J24" s="111" t="str">
        <f aca="false">IF($B24="","",'مسير مايو'!T24)</f>
        <v/>
      </c>
      <c r="K24" s="111" t="str">
        <f aca="false">IF($B24="","",'مسير يونيو'!T24)</f>
        <v/>
      </c>
      <c r="L24" s="111" t="str">
        <f aca="false">IF($B24="","",'مسير يوليو'!T24)</f>
        <v/>
      </c>
      <c r="M24" s="111" t="str">
        <f aca="false">IF($B24="","",'مسير أغسطس'!T24)</f>
        <v/>
      </c>
      <c r="N24" s="111" t="str">
        <f aca="false">IF($B24="","",'مسير سبتمبر'!T24)</f>
        <v/>
      </c>
      <c r="O24" s="111" t="str">
        <f aca="false">IF($B24="","",'مسير أكتوبر'!T24)</f>
        <v/>
      </c>
      <c r="P24" s="111" t="str">
        <f aca="false">IF($B24="","",'مسير نوفمبر'!T24)</f>
        <v/>
      </c>
      <c r="Q24" s="111" t="str">
        <f aca="false">IF($B24="","",'مسير ديسمبر'!T24)</f>
        <v/>
      </c>
      <c r="R24" s="170" t="str">
        <f aca="false">IF($B24="","",IF(1&lt;=cfg_VAL_M,'مسير يناير'!T24,0)+IF(2&lt;=cfg_VAL_M,'مسير فبراير'!T24,0)+IF(3&lt;=cfg_VAL_M,'مسير مارس'!T24,0)+IF(4&lt;=cfg_VAL_M,'مسير أبريل'!T24,0)+IF(5&lt;=cfg_VAL_M,'مسير مايو'!T24,0)+IF(6&lt;=cfg_VAL_M,'مسير يونيو'!T24,0)+IF(7&lt;=cfg_VAL_M,'مسير يوليو'!T24,0)+IF(8&lt;=cfg_VAL_M,'مسير أغسطس'!T24,0)+IF(9&lt;=cfg_VAL_M,'مسير سبتمبر'!T24,0)+IF(10&lt;=cfg_VAL_M,'مسير أكتوبر'!T24,0)+IF(11&lt;=cfg_VAL_M,'مسير نوفمبر'!T24,0)+IF(12&lt;=cfg_VAL_M,'مسير ديسمبر'!T24,0))</f>
        <v/>
      </c>
      <c r="T24" s="111" t="str">
        <f aca="false">IF($B24="","",'مسير يناير'!AG24)</f>
        <v/>
      </c>
      <c r="U24" s="111" t="str">
        <f aca="false">IF($B24="","",'مسير فبراير'!AG24)</f>
        <v/>
      </c>
      <c r="V24" s="111" t="str">
        <f aca="false">IF($B24="","",'مسير مارس'!AG24)</f>
        <v/>
      </c>
      <c r="W24" s="111" t="str">
        <f aca="false">IF($B24="","",'مسير أبريل'!AG24)</f>
        <v/>
      </c>
      <c r="X24" s="111" t="str">
        <f aca="false">IF($B24="","",'مسير مايو'!AG24)</f>
        <v/>
      </c>
      <c r="Y24" s="111" t="str">
        <f aca="false">IF($B24="","",'مسير يونيو'!AG24)</f>
        <v/>
      </c>
      <c r="Z24" s="111" t="str">
        <f aca="false">IF($B24="","",'مسير يوليو'!AG24)</f>
        <v/>
      </c>
      <c r="AA24" s="111" t="str">
        <f aca="false">IF($B24="","",'مسير أغسطس'!AG24)</f>
        <v/>
      </c>
      <c r="AB24" s="111" t="str">
        <f aca="false">IF($B24="","",'مسير سبتمبر'!AG24)</f>
        <v/>
      </c>
      <c r="AC24" s="111" t="str">
        <f aca="false">IF($B24="","",'مسير أكتوبر'!AG24)</f>
        <v/>
      </c>
      <c r="AD24" s="111" t="str">
        <f aca="false">IF($B24="","",'مسير نوفمبر'!AG24)</f>
        <v/>
      </c>
      <c r="AE24" s="111" t="str">
        <f aca="false">IF($B24="","",'مسير ديسمبر'!AG24)</f>
        <v/>
      </c>
      <c r="AF24" s="170" t="str">
        <f aca="false">IF($B24="","",IF(1&lt;=cfg_VAL_M,'مسير يناير'!AG24,0)+IF(2&lt;=cfg_VAL_M,'مسير فبراير'!AG24,0)+IF(3&lt;=cfg_VAL_M,'مسير مارس'!AG24,0)+IF(4&lt;=cfg_VAL_M,'مسير أبريل'!AG24,0)+IF(5&lt;=cfg_VAL_M,'مسير مايو'!AG24,0)+IF(6&lt;=cfg_VAL_M,'مسير يونيو'!AG24,0)+IF(7&lt;=cfg_VAL_M,'مسير يوليو'!AG24,0)+IF(8&lt;=cfg_VAL_M,'مسير أغسطس'!AG24,0)+IF(9&lt;=cfg_VAL_M,'مسير سبتمبر'!AG24,0)+IF(10&lt;=cfg_VAL_M,'مسير أكتوبر'!AG24,0)+IF(11&lt;=cfg_VAL_M,'مسير نوفمبر'!AG24,0)+IF(12&lt;=cfg_VAL_M,'مسير ديسمبر'!AG24,0))</f>
        <v/>
      </c>
      <c r="AG24" s="170" t="str">
        <f aca="false">IF($B24="","",IF(1&lt;=cfg_VAL_M,'مسير يناير'!Y24,0)+IF(2&lt;=cfg_VAL_M,'مسير فبراير'!Y24,0)+IF(3&lt;=cfg_VAL_M,'مسير مارس'!Y24,0)+IF(4&lt;=cfg_VAL_M,'مسير أبريل'!Y24,0)+IF(5&lt;=cfg_VAL_M,'مسير مايو'!Y24,0)+IF(6&lt;=cfg_VAL_M,'مسير يونيو'!Y24,0)+IF(7&lt;=cfg_VAL_M,'مسير يوليو'!Y24,0)+IF(8&lt;=cfg_VAL_M,'مسير أغسطس'!Y24,0)+IF(9&lt;=cfg_VAL_M,'مسير سبتمبر'!Y24,0)+IF(10&lt;=cfg_VAL_M,'مسير أكتوبر'!Y24,0)+IF(11&lt;=cfg_VAL_M,'مسير نوفمبر'!Y24,0)+IF(12&lt;=cfg_VAL_M,'مسير ديسمبر'!Y24,0))</f>
        <v/>
      </c>
      <c r="AH24" s="111" t="str">
        <f aca="false">IF($B24="","",AF24/cfg_VAL_M)</f>
        <v/>
      </c>
    </row>
    <row r="25" customFormat="false" ht="15" hidden="false" customHeight="false" outlineLevel="0" collapsed="false">
      <c r="B25" s="117" t="str">
        <f aca="false">IF(الموظفون!$B25="","",الموظفون!$B25)</f>
        <v/>
      </c>
      <c r="C25" s="117" t="str">
        <f aca="false">IF(الموظفون!$B25="","",الموظفون!$C25)</f>
        <v/>
      </c>
      <c r="D25" s="117" t="str">
        <f aca="false">IF(الموظفون!$B25="","",الموظفون!$F25)</f>
        <v/>
      </c>
      <c r="E25" s="117" t="str">
        <f aca="false">IF(الموظفون!$B25="","",الموظفون!$E25)</f>
        <v/>
      </c>
      <c r="F25" s="116" t="str">
        <f aca="false">IF($B25="","",'مسير يناير'!T25)</f>
        <v/>
      </c>
      <c r="G25" s="116" t="str">
        <f aca="false">IF($B25="","",'مسير فبراير'!T25)</f>
        <v/>
      </c>
      <c r="H25" s="116" t="str">
        <f aca="false">IF($B25="","",'مسير مارس'!T25)</f>
        <v/>
      </c>
      <c r="I25" s="116" t="str">
        <f aca="false">IF($B25="","",'مسير أبريل'!T25)</f>
        <v/>
      </c>
      <c r="J25" s="116" t="str">
        <f aca="false">IF($B25="","",'مسير مايو'!T25)</f>
        <v/>
      </c>
      <c r="K25" s="116" t="str">
        <f aca="false">IF($B25="","",'مسير يونيو'!T25)</f>
        <v/>
      </c>
      <c r="L25" s="116" t="str">
        <f aca="false">IF($B25="","",'مسير يوليو'!T25)</f>
        <v/>
      </c>
      <c r="M25" s="116" t="str">
        <f aca="false">IF($B25="","",'مسير أغسطس'!T25)</f>
        <v/>
      </c>
      <c r="N25" s="116" t="str">
        <f aca="false">IF($B25="","",'مسير سبتمبر'!T25)</f>
        <v/>
      </c>
      <c r="O25" s="116" t="str">
        <f aca="false">IF($B25="","",'مسير أكتوبر'!T25)</f>
        <v/>
      </c>
      <c r="P25" s="116" t="str">
        <f aca="false">IF($B25="","",'مسير نوفمبر'!T25)</f>
        <v/>
      </c>
      <c r="Q25" s="116" t="str">
        <f aca="false">IF($B25="","",'مسير ديسمبر'!T25)</f>
        <v/>
      </c>
      <c r="R25" s="171" t="str">
        <f aca="false">IF($B25="","",IF(1&lt;=cfg_VAL_M,'مسير يناير'!T25,0)+IF(2&lt;=cfg_VAL_M,'مسير فبراير'!T25,0)+IF(3&lt;=cfg_VAL_M,'مسير مارس'!T25,0)+IF(4&lt;=cfg_VAL_M,'مسير أبريل'!T25,0)+IF(5&lt;=cfg_VAL_M,'مسير مايو'!T25,0)+IF(6&lt;=cfg_VAL_M,'مسير يونيو'!T25,0)+IF(7&lt;=cfg_VAL_M,'مسير يوليو'!T25,0)+IF(8&lt;=cfg_VAL_M,'مسير أغسطس'!T25,0)+IF(9&lt;=cfg_VAL_M,'مسير سبتمبر'!T25,0)+IF(10&lt;=cfg_VAL_M,'مسير أكتوبر'!T25,0)+IF(11&lt;=cfg_VAL_M,'مسير نوفمبر'!T25,0)+IF(12&lt;=cfg_VAL_M,'مسير ديسمبر'!T25,0))</f>
        <v/>
      </c>
      <c r="T25" s="116" t="str">
        <f aca="false">IF($B25="","",'مسير يناير'!AG25)</f>
        <v/>
      </c>
      <c r="U25" s="116" t="str">
        <f aca="false">IF($B25="","",'مسير فبراير'!AG25)</f>
        <v/>
      </c>
      <c r="V25" s="116" t="str">
        <f aca="false">IF($B25="","",'مسير مارس'!AG25)</f>
        <v/>
      </c>
      <c r="W25" s="116" t="str">
        <f aca="false">IF($B25="","",'مسير أبريل'!AG25)</f>
        <v/>
      </c>
      <c r="X25" s="116" t="str">
        <f aca="false">IF($B25="","",'مسير مايو'!AG25)</f>
        <v/>
      </c>
      <c r="Y25" s="116" t="str">
        <f aca="false">IF($B25="","",'مسير يونيو'!AG25)</f>
        <v/>
      </c>
      <c r="Z25" s="116" t="str">
        <f aca="false">IF($B25="","",'مسير يوليو'!AG25)</f>
        <v/>
      </c>
      <c r="AA25" s="116" t="str">
        <f aca="false">IF($B25="","",'مسير أغسطس'!AG25)</f>
        <v/>
      </c>
      <c r="AB25" s="116" t="str">
        <f aca="false">IF($B25="","",'مسير سبتمبر'!AG25)</f>
        <v/>
      </c>
      <c r="AC25" s="116" t="str">
        <f aca="false">IF($B25="","",'مسير أكتوبر'!AG25)</f>
        <v/>
      </c>
      <c r="AD25" s="116" t="str">
        <f aca="false">IF($B25="","",'مسير نوفمبر'!AG25)</f>
        <v/>
      </c>
      <c r="AE25" s="116" t="str">
        <f aca="false">IF($B25="","",'مسير ديسمبر'!AG25)</f>
        <v/>
      </c>
      <c r="AF25" s="171" t="str">
        <f aca="false">IF($B25="","",IF(1&lt;=cfg_VAL_M,'مسير يناير'!AG25,0)+IF(2&lt;=cfg_VAL_M,'مسير فبراير'!AG25,0)+IF(3&lt;=cfg_VAL_M,'مسير مارس'!AG25,0)+IF(4&lt;=cfg_VAL_M,'مسير أبريل'!AG25,0)+IF(5&lt;=cfg_VAL_M,'مسير مايو'!AG25,0)+IF(6&lt;=cfg_VAL_M,'مسير يونيو'!AG25,0)+IF(7&lt;=cfg_VAL_M,'مسير يوليو'!AG25,0)+IF(8&lt;=cfg_VAL_M,'مسير أغسطس'!AG25,0)+IF(9&lt;=cfg_VAL_M,'مسير سبتمبر'!AG25,0)+IF(10&lt;=cfg_VAL_M,'مسير أكتوبر'!AG25,0)+IF(11&lt;=cfg_VAL_M,'مسير نوفمبر'!AG25,0)+IF(12&lt;=cfg_VAL_M,'مسير ديسمبر'!AG25,0))</f>
        <v/>
      </c>
      <c r="AG25" s="171" t="str">
        <f aca="false">IF($B25="","",IF(1&lt;=cfg_VAL_M,'مسير يناير'!Y25,0)+IF(2&lt;=cfg_VAL_M,'مسير فبراير'!Y25,0)+IF(3&lt;=cfg_VAL_M,'مسير مارس'!Y25,0)+IF(4&lt;=cfg_VAL_M,'مسير أبريل'!Y25,0)+IF(5&lt;=cfg_VAL_M,'مسير مايو'!Y25,0)+IF(6&lt;=cfg_VAL_M,'مسير يونيو'!Y25,0)+IF(7&lt;=cfg_VAL_M,'مسير يوليو'!Y25,0)+IF(8&lt;=cfg_VAL_M,'مسير أغسطس'!Y25,0)+IF(9&lt;=cfg_VAL_M,'مسير سبتمبر'!Y25,0)+IF(10&lt;=cfg_VAL_M,'مسير أكتوبر'!Y25,0)+IF(11&lt;=cfg_VAL_M,'مسير نوفمبر'!Y25,0)+IF(12&lt;=cfg_VAL_M,'مسير ديسمبر'!Y25,0))</f>
        <v/>
      </c>
      <c r="AH25" s="116" t="str">
        <f aca="false">IF($B25="","",AF25/cfg_VAL_M)</f>
        <v/>
      </c>
    </row>
    <row r="26" customFormat="false" ht="15" hidden="false" customHeight="false" outlineLevel="0" collapsed="false">
      <c r="B26" s="114" t="str">
        <f aca="false">IF(الموظفون!$B26="","",الموظفون!$B26)</f>
        <v/>
      </c>
      <c r="C26" s="114" t="str">
        <f aca="false">IF(الموظفون!$B26="","",الموظفون!$C26)</f>
        <v/>
      </c>
      <c r="D26" s="114" t="str">
        <f aca="false">IF(الموظفون!$B26="","",الموظفون!$F26)</f>
        <v/>
      </c>
      <c r="E26" s="114" t="str">
        <f aca="false">IF(الموظفون!$B26="","",الموظفون!$E26)</f>
        <v/>
      </c>
      <c r="F26" s="111" t="str">
        <f aca="false">IF($B26="","",'مسير يناير'!T26)</f>
        <v/>
      </c>
      <c r="G26" s="111" t="str">
        <f aca="false">IF($B26="","",'مسير فبراير'!T26)</f>
        <v/>
      </c>
      <c r="H26" s="111" t="str">
        <f aca="false">IF($B26="","",'مسير مارس'!T26)</f>
        <v/>
      </c>
      <c r="I26" s="111" t="str">
        <f aca="false">IF($B26="","",'مسير أبريل'!T26)</f>
        <v/>
      </c>
      <c r="J26" s="111" t="str">
        <f aca="false">IF($B26="","",'مسير مايو'!T26)</f>
        <v/>
      </c>
      <c r="K26" s="111" t="str">
        <f aca="false">IF($B26="","",'مسير يونيو'!T26)</f>
        <v/>
      </c>
      <c r="L26" s="111" t="str">
        <f aca="false">IF($B26="","",'مسير يوليو'!T26)</f>
        <v/>
      </c>
      <c r="M26" s="111" t="str">
        <f aca="false">IF($B26="","",'مسير أغسطس'!T26)</f>
        <v/>
      </c>
      <c r="N26" s="111" t="str">
        <f aca="false">IF($B26="","",'مسير سبتمبر'!T26)</f>
        <v/>
      </c>
      <c r="O26" s="111" t="str">
        <f aca="false">IF($B26="","",'مسير أكتوبر'!T26)</f>
        <v/>
      </c>
      <c r="P26" s="111" t="str">
        <f aca="false">IF($B26="","",'مسير نوفمبر'!T26)</f>
        <v/>
      </c>
      <c r="Q26" s="111" t="str">
        <f aca="false">IF($B26="","",'مسير ديسمبر'!T26)</f>
        <v/>
      </c>
      <c r="R26" s="170" t="str">
        <f aca="false">IF($B26="","",IF(1&lt;=cfg_VAL_M,'مسير يناير'!T26,0)+IF(2&lt;=cfg_VAL_M,'مسير فبراير'!T26,0)+IF(3&lt;=cfg_VAL_M,'مسير مارس'!T26,0)+IF(4&lt;=cfg_VAL_M,'مسير أبريل'!T26,0)+IF(5&lt;=cfg_VAL_M,'مسير مايو'!T26,0)+IF(6&lt;=cfg_VAL_M,'مسير يونيو'!T26,0)+IF(7&lt;=cfg_VAL_M,'مسير يوليو'!T26,0)+IF(8&lt;=cfg_VAL_M,'مسير أغسطس'!T26,0)+IF(9&lt;=cfg_VAL_M,'مسير سبتمبر'!T26,0)+IF(10&lt;=cfg_VAL_M,'مسير أكتوبر'!T26,0)+IF(11&lt;=cfg_VAL_M,'مسير نوفمبر'!T26,0)+IF(12&lt;=cfg_VAL_M,'مسير ديسمبر'!T26,0))</f>
        <v/>
      </c>
      <c r="T26" s="111" t="str">
        <f aca="false">IF($B26="","",'مسير يناير'!AG26)</f>
        <v/>
      </c>
      <c r="U26" s="111" t="str">
        <f aca="false">IF($B26="","",'مسير فبراير'!AG26)</f>
        <v/>
      </c>
      <c r="V26" s="111" t="str">
        <f aca="false">IF($B26="","",'مسير مارس'!AG26)</f>
        <v/>
      </c>
      <c r="W26" s="111" t="str">
        <f aca="false">IF($B26="","",'مسير أبريل'!AG26)</f>
        <v/>
      </c>
      <c r="X26" s="111" t="str">
        <f aca="false">IF($B26="","",'مسير مايو'!AG26)</f>
        <v/>
      </c>
      <c r="Y26" s="111" t="str">
        <f aca="false">IF($B26="","",'مسير يونيو'!AG26)</f>
        <v/>
      </c>
      <c r="Z26" s="111" t="str">
        <f aca="false">IF($B26="","",'مسير يوليو'!AG26)</f>
        <v/>
      </c>
      <c r="AA26" s="111" t="str">
        <f aca="false">IF($B26="","",'مسير أغسطس'!AG26)</f>
        <v/>
      </c>
      <c r="AB26" s="111" t="str">
        <f aca="false">IF($B26="","",'مسير سبتمبر'!AG26)</f>
        <v/>
      </c>
      <c r="AC26" s="111" t="str">
        <f aca="false">IF($B26="","",'مسير أكتوبر'!AG26)</f>
        <v/>
      </c>
      <c r="AD26" s="111" t="str">
        <f aca="false">IF($B26="","",'مسير نوفمبر'!AG26)</f>
        <v/>
      </c>
      <c r="AE26" s="111" t="str">
        <f aca="false">IF($B26="","",'مسير ديسمبر'!AG26)</f>
        <v/>
      </c>
      <c r="AF26" s="170" t="str">
        <f aca="false">IF($B26="","",IF(1&lt;=cfg_VAL_M,'مسير يناير'!AG26,0)+IF(2&lt;=cfg_VAL_M,'مسير فبراير'!AG26,0)+IF(3&lt;=cfg_VAL_M,'مسير مارس'!AG26,0)+IF(4&lt;=cfg_VAL_M,'مسير أبريل'!AG26,0)+IF(5&lt;=cfg_VAL_M,'مسير مايو'!AG26,0)+IF(6&lt;=cfg_VAL_M,'مسير يونيو'!AG26,0)+IF(7&lt;=cfg_VAL_M,'مسير يوليو'!AG26,0)+IF(8&lt;=cfg_VAL_M,'مسير أغسطس'!AG26,0)+IF(9&lt;=cfg_VAL_M,'مسير سبتمبر'!AG26,0)+IF(10&lt;=cfg_VAL_M,'مسير أكتوبر'!AG26,0)+IF(11&lt;=cfg_VAL_M,'مسير نوفمبر'!AG26,0)+IF(12&lt;=cfg_VAL_M,'مسير ديسمبر'!AG26,0))</f>
        <v/>
      </c>
      <c r="AG26" s="170" t="str">
        <f aca="false">IF($B26="","",IF(1&lt;=cfg_VAL_M,'مسير يناير'!Y26,0)+IF(2&lt;=cfg_VAL_M,'مسير فبراير'!Y26,0)+IF(3&lt;=cfg_VAL_M,'مسير مارس'!Y26,0)+IF(4&lt;=cfg_VAL_M,'مسير أبريل'!Y26,0)+IF(5&lt;=cfg_VAL_M,'مسير مايو'!Y26,0)+IF(6&lt;=cfg_VAL_M,'مسير يونيو'!Y26,0)+IF(7&lt;=cfg_VAL_M,'مسير يوليو'!Y26,0)+IF(8&lt;=cfg_VAL_M,'مسير أغسطس'!Y26,0)+IF(9&lt;=cfg_VAL_M,'مسير سبتمبر'!Y26,0)+IF(10&lt;=cfg_VAL_M,'مسير أكتوبر'!Y26,0)+IF(11&lt;=cfg_VAL_M,'مسير نوفمبر'!Y26,0)+IF(12&lt;=cfg_VAL_M,'مسير ديسمبر'!Y26,0))</f>
        <v/>
      </c>
      <c r="AH26" s="111" t="str">
        <f aca="false">IF($B26="","",AF26/cfg_VAL_M)</f>
        <v/>
      </c>
    </row>
    <row r="27" customFormat="false" ht="15" hidden="false" customHeight="false" outlineLevel="0" collapsed="false">
      <c r="B27" s="117" t="str">
        <f aca="false">IF(الموظفون!$B27="","",الموظفون!$B27)</f>
        <v/>
      </c>
      <c r="C27" s="117" t="str">
        <f aca="false">IF(الموظفون!$B27="","",الموظفون!$C27)</f>
        <v/>
      </c>
      <c r="D27" s="117" t="str">
        <f aca="false">IF(الموظفون!$B27="","",الموظفون!$F27)</f>
        <v/>
      </c>
      <c r="E27" s="117" t="str">
        <f aca="false">IF(الموظفون!$B27="","",الموظفون!$E27)</f>
        <v/>
      </c>
      <c r="F27" s="116" t="str">
        <f aca="false">IF($B27="","",'مسير يناير'!T27)</f>
        <v/>
      </c>
      <c r="G27" s="116" t="str">
        <f aca="false">IF($B27="","",'مسير فبراير'!T27)</f>
        <v/>
      </c>
      <c r="H27" s="116" t="str">
        <f aca="false">IF($B27="","",'مسير مارس'!T27)</f>
        <v/>
      </c>
      <c r="I27" s="116" t="str">
        <f aca="false">IF($B27="","",'مسير أبريل'!T27)</f>
        <v/>
      </c>
      <c r="J27" s="116" t="str">
        <f aca="false">IF($B27="","",'مسير مايو'!T27)</f>
        <v/>
      </c>
      <c r="K27" s="116" t="str">
        <f aca="false">IF($B27="","",'مسير يونيو'!T27)</f>
        <v/>
      </c>
      <c r="L27" s="116" t="str">
        <f aca="false">IF($B27="","",'مسير يوليو'!T27)</f>
        <v/>
      </c>
      <c r="M27" s="116" t="str">
        <f aca="false">IF($B27="","",'مسير أغسطس'!T27)</f>
        <v/>
      </c>
      <c r="N27" s="116" t="str">
        <f aca="false">IF($B27="","",'مسير سبتمبر'!T27)</f>
        <v/>
      </c>
      <c r="O27" s="116" t="str">
        <f aca="false">IF($B27="","",'مسير أكتوبر'!T27)</f>
        <v/>
      </c>
      <c r="P27" s="116" t="str">
        <f aca="false">IF($B27="","",'مسير نوفمبر'!T27)</f>
        <v/>
      </c>
      <c r="Q27" s="116" t="str">
        <f aca="false">IF($B27="","",'مسير ديسمبر'!T27)</f>
        <v/>
      </c>
      <c r="R27" s="171" t="str">
        <f aca="false">IF($B27="","",IF(1&lt;=cfg_VAL_M,'مسير يناير'!T27,0)+IF(2&lt;=cfg_VAL_M,'مسير فبراير'!T27,0)+IF(3&lt;=cfg_VAL_M,'مسير مارس'!T27,0)+IF(4&lt;=cfg_VAL_M,'مسير أبريل'!T27,0)+IF(5&lt;=cfg_VAL_M,'مسير مايو'!T27,0)+IF(6&lt;=cfg_VAL_M,'مسير يونيو'!T27,0)+IF(7&lt;=cfg_VAL_M,'مسير يوليو'!T27,0)+IF(8&lt;=cfg_VAL_M,'مسير أغسطس'!T27,0)+IF(9&lt;=cfg_VAL_M,'مسير سبتمبر'!T27,0)+IF(10&lt;=cfg_VAL_M,'مسير أكتوبر'!T27,0)+IF(11&lt;=cfg_VAL_M,'مسير نوفمبر'!T27,0)+IF(12&lt;=cfg_VAL_M,'مسير ديسمبر'!T27,0))</f>
        <v/>
      </c>
      <c r="T27" s="116" t="str">
        <f aca="false">IF($B27="","",'مسير يناير'!AG27)</f>
        <v/>
      </c>
      <c r="U27" s="116" t="str">
        <f aca="false">IF($B27="","",'مسير فبراير'!AG27)</f>
        <v/>
      </c>
      <c r="V27" s="116" t="str">
        <f aca="false">IF($B27="","",'مسير مارس'!AG27)</f>
        <v/>
      </c>
      <c r="W27" s="116" t="str">
        <f aca="false">IF($B27="","",'مسير أبريل'!AG27)</f>
        <v/>
      </c>
      <c r="X27" s="116" t="str">
        <f aca="false">IF($B27="","",'مسير مايو'!AG27)</f>
        <v/>
      </c>
      <c r="Y27" s="116" t="str">
        <f aca="false">IF($B27="","",'مسير يونيو'!AG27)</f>
        <v/>
      </c>
      <c r="Z27" s="116" t="str">
        <f aca="false">IF($B27="","",'مسير يوليو'!AG27)</f>
        <v/>
      </c>
      <c r="AA27" s="116" t="str">
        <f aca="false">IF($B27="","",'مسير أغسطس'!AG27)</f>
        <v/>
      </c>
      <c r="AB27" s="116" t="str">
        <f aca="false">IF($B27="","",'مسير سبتمبر'!AG27)</f>
        <v/>
      </c>
      <c r="AC27" s="116" t="str">
        <f aca="false">IF($B27="","",'مسير أكتوبر'!AG27)</f>
        <v/>
      </c>
      <c r="AD27" s="116" t="str">
        <f aca="false">IF($B27="","",'مسير نوفمبر'!AG27)</f>
        <v/>
      </c>
      <c r="AE27" s="116" t="str">
        <f aca="false">IF($B27="","",'مسير ديسمبر'!AG27)</f>
        <v/>
      </c>
      <c r="AF27" s="171" t="str">
        <f aca="false">IF($B27="","",IF(1&lt;=cfg_VAL_M,'مسير يناير'!AG27,0)+IF(2&lt;=cfg_VAL_M,'مسير فبراير'!AG27,0)+IF(3&lt;=cfg_VAL_M,'مسير مارس'!AG27,0)+IF(4&lt;=cfg_VAL_M,'مسير أبريل'!AG27,0)+IF(5&lt;=cfg_VAL_M,'مسير مايو'!AG27,0)+IF(6&lt;=cfg_VAL_M,'مسير يونيو'!AG27,0)+IF(7&lt;=cfg_VAL_M,'مسير يوليو'!AG27,0)+IF(8&lt;=cfg_VAL_M,'مسير أغسطس'!AG27,0)+IF(9&lt;=cfg_VAL_M,'مسير سبتمبر'!AG27,0)+IF(10&lt;=cfg_VAL_M,'مسير أكتوبر'!AG27,0)+IF(11&lt;=cfg_VAL_M,'مسير نوفمبر'!AG27,0)+IF(12&lt;=cfg_VAL_M,'مسير ديسمبر'!AG27,0))</f>
        <v/>
      </c>
      <c r="AG27" s="171" t="str">
        <f aca="false">IF($B27="","",IF(1&lt;=cfg_VAL_M,'مسير يناير'!Y27,0)+IF(2&lt;=cfg_VAL_M,'مسير فبراير'!Y27,0)+IF(3&lt;=cfg_VAL_M,'مسير مارس'!Y27,0)+IF(4&lt;=cfg_VAL_M,'مسير أبريل'!Y27,0)+IF(5&lt;=cfg_VAL_M,'مسير مايو'!Y27,0)+IF(6&lt;=cfg_VAL_M,'مسير يونيو'!Y27,0)+IF(7&lt;=cfg_VAL_M,'مسير يوليو'!Y27,0)+IF(8&lt;=cfg_VAL_M,'مسير أغسطس'!Y27,0)+IF(9&lt;=cfg_VAL_M,'مسير سبتمبر'!Y27,0)+IF(10&lt;=cfg_VAL_M,'مسير أكتوبر'!Y27,0)+IF(11&lt;=cfg_VAL_M,'مسير نوفمبر'!Y27,0)+IF(12&lt;=cfg_VAL_M,'مسير ديسمبر'!Y27,0))</f>
        <v/>
      </c>
      <c r="AH27" s="116" t="str">
        <f aca="false">IF($B27="","",AF27/cfg_VAL_M)</f>
        <v/>
      </c>
    </row>
    <row r="28" customFormat="false" ht="15" hidden="false" customHeight="false" outlineLevel="0" collapsed="false">
      <c r="B28" s="114" t="str">
        <f aca="false">IF(الموظفون!$B28="","",الموظفون!$B28)</f>
        <v/>
      </c>
      <c r="C28" s="114" t="str">
        <f aca="false">IF(الموظفون!$B28="","",الموظفون!$C28)</f>
        <v/>
      </c>
      <c r="D28" s="114" t="str">
        <f aca="false">IF(الموظفون!$B28="","",الموظفون!$F28)</f>
        <v/>
      </c>
      <c r="E28" s="114" t="str">
        <f aca="false">IF(الموظفون!$B28="","",الموظفون!$E28)</f>
        <v/>
      </c>
      <c r="F28" s="111" t="str">
        <f aca="false">IF($B28="","",'مسير يناير'!T28)</f>
        <v/>
      </c>
      <c r="G28" s="111" t="str">
        <f aca="false">IF($B28="","",'مسير فبراير'!T28)</f>
        <v/>
      </c>
      <c r="H28" s="111" t="str">
        <f aca="false">IF($B28="","",'مسير مارس'!T28)</f>
        <v/>
      </c>
      <c r="I28" s="111" t="str">
        <f aca="false">IF($B28="","",'مسير أبريل'!T28)</f>
        <v/>
      </c>
      <c r="J28" s="111" t="str">
        <f aca="false">IF($B28="","",'مسير مايو'!T28)</f>
        <v/>
      </c>
      <c r="K28" s="111" t="str">
        <f aca="false">IF($B28="","",'مسير يونيو'!T28)</f>
        <v/>
      </c>
      <c r="L28" s="111" t="str">
        <f aca="false">IF($B28="","",'مسير يوليو'!T28)</f>
        <v/>
      </c>
      <c r="M28" s="111" t="str">
        <f aca="false">IF($B28="","",'مسير أغسطس'!T28)</f>
        <v/>
      </c>
      <c r="N28" s="111" t="str">
        <f aca="false">IF($B28="","",'مسير سبتمبر'!T28)</f>
        <v/>
      </c>
      <c r="O28" s="111" t="str">
        <f aca="false">IF($B28="","",'مسير أكتوبر'!T28)</f>
        <v/>
      </c>
      <c r="P28" s="111" t="str">
        <f aca="false">IF($B28="","",'مسير نوفمبر'!T28)</f>
        <v/>
      </c>
      <c r="Q28" s="111" t="str">
        <f aca="false">IF($B28="","",'مسير ديسمبر'!T28)</f>
        <v/>
      </c>
      <c r="R28" s="170" t="str">
        <f aca="false">IF($B28="","",IF(1&lt;=cfg_VAL_M,'مسير يناير'!T28,0)+IF(2&lt;=cfg_VAL_M,'مسير فبراير'!T28,0)+IF(3&lt;=cfg_VAL_M,'مسير مارس'!T28,0)+IF(4&lt;=cfg_VAL_M,'مسير أبريل'!T28,0)+IF(5&lt;=cfg_VAL_M,'مسير مايو'!T28,0)+IF(6&lt;=cfg_VAL_M,'مسير يونيو'!T28,0)+IF(7&lt;=cfg_VAL_M,'مسير يوليو'!T28,0)+IF(8&lt;=cfg_VAL_M,'مسير أغسطس'!T28,0)+IF(9&lt;=cfg_VAL_M,'مسير سبتمبر'!T28,0)+IF(10&lt;=cfg_VAL_M,'مسير أكتوبر'!T28,0)+IF(11&lt;=cfg_VAL_M,'مسير نوفمبر'!T28,0)+IF(12&lt;=cfg_VAL_M,'مسير ديسمبر'!T28,0))</f>
        <v/>
      </c>
      <c r="T28" s="111" t="str">
        <f aca="false">IF($B28="","",'مسير يناير'!AG28)</f>
        <v/>
      </c>
      <c r="U28" s="111" t="str">
        <f aca="false">IF($B28="","",'مسير فبراير'!AG28)</f>
        <v/>
      </c>
      <c r="V28" s="111" t="str">
        <f aca="false">IF($B28="","",'مسير مارس'!AG28)</f>
        <v/>
      </c>
      <c r="W28" s="111" t="str">
        <f aca="false">IF($B28="","",'مسير أبريل'!AG28)</f>
        <v/>
      </c>
      <c r="X28" s="111" t="str">
        <f aca="false">IF($B28="","",'مسير مايو'!AG28)</f>
        <v/>
      </c>
      <c r="Y28" s="111" t="str">
        <f aca="false">IF($B28="","",'مسير يونيو'!AG28)</f>
        <v/>
      </c>
      <c r="Z28" s="111" t="str">
        <f aca="false">IF($B28="","",'مسير يوليو'!AG28)</f>
        <v/>
      </c>
      <c r="AA28" s="111" t="str">
        <f aca="false">IF($B28="","",'مسير أغسطس'!AG28)</f>
        <v/>
      </c>
      <c r="AB28" s="111" t="str">
        <f aca="false">IF($B28="","",'مسير سبتمبر'!AG28)</f>
        <v/>
      </c>
      <c r="AC28" s="111" t="str">
        <f aca="false">IF($B28="","",'مسير أكتوبر'!AG28)</f>
        <v/>
      </c>
      <c r="AD28" s="111" t="str">
        <f aca="false">IF($B28="","",'مسير نوفمبر'!AG28)</f>
        <v/>
      </c>
      <c r="AE28" s="111" t="str">
        <f aca="false">IF($B28="","",'مسير ديسمبر'!AG28)</f>
        <v/>
      </c>
      <c r="AF28" s="170" t="str">
        <f aca="false">IF($B28="","",IF(1&lt;=cfg_VAL_M,'مسير يناير'!AG28,0)+IF(2&lt;=cfg_VAL_M,'مسير فبراير'!AG28,0)+IF(3&lt;=cfg_VAL_M,'مسير مارس'!AG28,0)+IF(4&lt;=cfg_VAL_M,'مسير أبريل'!AG28,0)+IF(5&lt;=cfg_VAL_M,'مسير مايو'!AG28,0)+IF(6&lt;=cfg_VAL_M,'مسير يونيو'!AG28,0)+IF(7&lt;=cfg_VAL_M,'مسير يوليو'!AG28,0)+IF(8&lt;=cfg_VAL_M,'مسير أغسطس'!AG28,0)+IF(9&lt;=cfg_VAL_M,'مسير سبتمبر'!AG28,0)+IF(10&lt;=cfg_VAL_M,'مسير أكتوبر'!AG28,0)+IF(11&lt;=cfg_VAL_M,'مسير نوفمبر'!AG28,0)+IF(12&lt;=cfg_VAL_M,'مسير ديسمبر'!AG28,0))</f>
        <v/>
      </c>
      <c r="AG28" s="170" t="str">
        <f aca="false">IF($B28="","",IF(1&lt;=cfg_VAL_M,'مسير يناير'!Y28,0)+IF(2&lt;=cfg_VAL_M,'مسير فبراير'!Y28,0)+IF(3&lt;=cfg_VAL_M,'مسير مارس'!Y28,0)+IF(4&lt;=cfg_VAL_M,'مسير أبريل'!Y28,0)+IF(5&lt;=cfg_VAL_M,'مسير مايو'!Y28,0)+IF(6&lt;=cfg_VAL_M,'مسير يونيو'!Y28,0)+IF(7&lt;=cfg_VAL_M,'مسير يوليو'!Y28,0)+IF(8&lt;=cfg_VAL_M,'مسير أغسطس'!Y28,0)+IF(9&lt;=cfg_VAL_M,'مسير سبتمبر'!Y28,0)+IF(10&lt;=cfg_VAL_M,'مسير أكتوبر'!Y28,0)+IF(11&lt;=cfg_VAL_M,'مسير نوفمبر'!Y28,0)+IF(12&lt;=cfg_VAL_M,'مسير ديسمبر'!Y28,0))</f>
        <v/>
      </c>
      <c r="AH28" s="111" t="str">
        <f aca="false">IF($B28="","",AF28/cfg_VAL_M)</f>
        <v/>
      </c>
    </row>
    <row r="29" customFormat="false" ht="15" hidden="false" customHeight="false" outlineLevel="0" collapsed="false">
      <c r="B29" s="117" t="str">
        <f aca="false">IF(الموظفون!$B29="","",الموظفون!$B29)</f>
        <v/>
      </c>
      <c r="C29" s="117" t="str">
        <f aca="false">IF(الموظفون!$B29="","",الموظفون!$C29)</f>
        <v/>
      </c>
      <c r="D29" s="117" t="str">
        <f aca="false">IF(الموظفون!$B29="","",الموظفون!$F29)</f>
        <v/>
      </c>
      <c r="E29" s="117" t="str">
        <f aca="false">IF(الموظفون!$B29="","",الموظفون!$E29)</f>
        <v/>
      </c>
      <c r="F29" s="116" t="str">
        <f aca="false">IF($B29="","",'مسير يناير'!T29)</f>
        <v/>
      </c>
      <c r="G29" s="116" t="str">
        <f aca="false">IF($B29="","",'مسير فبراير'!T29)</f>
        <v/>
      </c>
      <c r="H29" s="116" t="str">
        <f aca="false">IF($B29="","",'مسير مارس'!T29)</f>
        <v/>
      </c>
      <c r="I29" s="116" t="str">
        <f aca="false">IF($B29="","",'مسير أبريل'!T29)</f>
        <v/>
      </c>
      <c r="J29" s="116" t="str">
        <f aca="false">IF($B29="","",'مسير مايو'!T29)</f>
        <v/>
      </c>
      <c r="K29" s="116" t="str">
        <f aca="false">IF($B29="","",'مسير يونيو'!T29)</f>
        <v/>
      </c>
      <c r="L29" s="116" t="str">
        <f aca="false">IF($B29="","",'مسير يوليو'!T29)</f>
        <v/>
      </c>
      <c r="M29" s="116" t="str">
        <f aca="false">IF($B29="","",'مسير أغسطس'!T29)</f>
        <v/>
      </c>
      <c r="N29" s="116" t="str">
        <f aca="false">IF($B29="","",'مسير سبتمبر'!T29)</f>
        <v/>
      </c>
      <c r="O29" s="116" t="str">
        <f aca="false">IF($B29="","",'مسير أكتوبر'!T29)</f>
        <v/>
      </c>
      <c r="P29" s="116" t="str">
        <f aca="false">IF($B29="","",'مسير نوفمبر'!T29)</f>
        <v/>
      </c>
      <c r="Q29" s="116" t="str">
        <f aca="false">IF($B29="","",'مسير ديسمبر'!T29)</f>
        <v/>
      </c>
      <c r="R29" s="171" t="str">
        <f aca="false">IF($B29="","",IF(1&lt;=cfg_VAL_M,'مسير يناير'!T29,0)+IF(2&lt;=cfg_VAL_M,'مسير فبراير'!T29,0)+IF(3&lt;=cfg_VAL_M,'مسير مارس'!T29,0)+IF(4&lt;=cfg_VAL_M,'مسير أبريل'!T29,0)+IF(5&lt;=cfg_VAL_M,'مسير مايو'!T29,0)+IF(6&lt;=cfg_VAL_M,'مسير يونيو'!T29,0)+IF(7&lt;=cfg_VAL_M,'مسير يوليو'!T29,0)+IF(8&lt;=cfg_VAL_M,'مسير أغسطس'!T29,0)+IF(9&lt;=cfg_VAL_M,'مسير سبتمبر'!T29,0)+IF(10&lt;=cfg_VAL_M,'مسير أكتوبر'!T29,0)+IF(11&lt;=cfg_VAL_M,'مسير نوفمبر'!T29,0)+IF(12&lt;=cfg_VAL_M,'مسير ديسمبر'!T29,0))</f>
        <v/>
      </c>
      <c r="T29" s="116" t="str">
        <f aca="false">IF($B29="","",'مسير يناير'!AG29)</f>
        <v/>
      </c>
      <c r="U29" s="116" t="str">
        <f aca="false">IF($B29="","",'مسير فبراير'!AG29)</f>
        <v/>
      </c>
      <c r="V29" s="116" t="str">
        <f aca="false">IF($B29="","",'مسير مارس'!AG29)</f>
        <v/>
      </c>
      <c r="W29" s="116" t="str">
        <f aca="false">IF($B29="","",'مسير أبريل'!AG29)</f>
        <v/>
      </c>
      <c r="X29" s="116" t="str">
        <f aca="false">IF($B29="","",'مسير مايو'!AG29)</f>
        <v/>
      </c>
      <c r="Y29" s="116" t="str">
        <f aca="false">IF($B29="","",'مسير يونيو'!AG29)</f>
        <v/>
      </c>
      <c r="Z29" s="116" t="str">
        <f aca="false">IF($B29="","",'مسير يوليو'!AG29)</f>
        <v/>
      </c>
      <c r="AA29" s="116" t="str">
        <f aca="false">IF($B29="","",'مسير أغسطس'!AG29)</f>
        <v/>
      </c>
      <c r="AB29" s="116" t="str">
        <f aca="false">IF($B29="","",'مسير سبتمبر'!AG29)</f>
        <v/>
      </c>
      <c r="AC29" s="116" t="str">
        <f aca="false">IF($B29="","",'مسير أكتوبر'!AG29)</f>
        <v/>
      </c>
      <c r="AD29" s="116" t="str">
        <f aca="false">IF($B29="","",'مسير نوفمبر'!AG29)</f>
        <v/>
      </c>
      <c r="AE29" s="116" t="str">
        <f aca="false">IF($B29="","",'مسير ديسمبر'!AG29)</f>
        <v/>
      </c>
      <c r="AF29" s="171" t="str">
        <f aca="false">IF($B29="","",IF(1&lt;=cfg_VAL_M,'مسير يناير'!AG29,0)+IF(2&lt;=cfg_VAL_M,'مسير فبراير'!AG29,0)+IF(3&lt;=cfg_VAL_M,'مسير مارس'!AG29,0)+IF(4&lt;=cfg_VAL_M,'مسير أبريل'!AG29,0)+IF(5&lt;=cfg_VAL_M,'مسير مايو'!AG29,0)+IF(6&lt;=cfg_VAL_M,'مسير يونيو'!AG29,0)+IF(7&lt;=cfg_VAL_M,'مسير يوليو'!AG29,0)+IF(8&lt;=cfg_VAL_M,'مسير أغسطس'!AG29,0)+IF(9&lt;=cfg_VAL_M,'مسير سبتمبر'!AG29,0)+IF(10&lt;=cfg_VAL_M,'مسير أكتوبر'!AG29,0)+IF(11&lt;=cfg_VAL_M,'مسير نوفمبر'!AG29,0)+IF(12&lt;=cfg_VAL_M,'مسير ديسمبر'!AG29,0))</f>
        <v/>
      </c>
      <c r="AG29" s="171" t="str">
        <f aca="false">IF($B29="","",IF(1&lt;=cfg_VAL_M,'مسير يناير'!Y29,0)+IF(2&lt;=cfg_VAL_M,'مسير فبراير'!Y29,0)+IF(3&lt;=cfg_VAL_M,'مسير مارس'!Y29,0)+IF(4&lt;=cfg_VAL_M,'مسير أبريل'!Y29,0)+IF(5&lt;=cfg_VAL_M,'مسير مايو'!Y29,0)+IF(6&lt;=cfg_VAL_M,'مسير يونيو'!Y29,0)+IF(7&lt;=cfg_VAL_M,'مسير يوليو'!Y29,0)+IF(8&lt;=cfg_VAL_M,'مسير أغسطس'!Y29,0)+IF(9&lt;=cfg_VAL_M,'مسير سبتمبر'!Y29,0)+IF(10&lt;=cfg_VAL_M,'مسير أكتوبر'!Y29,0)+IF(11&lt;=cfg_VAL_M,'مسير نوفمبر'!Y29,0)+IF(12&lt;=cfg_VAL_M,'مسير ديسمبر'!Y29,0))</f>
        <v/>
      </c>
      <c r="AH29" s="116" t="str">
        <f aca="false">IF($B29="","",AF29/cfg_VAL_M)</f>
        <v/>
      </c>
    </row>
    <row r="30" customFormat="false" ht="15" hidden="false" customHeight="false" outlineLevel="0" collapsed="false">
      <c r="B30" s="114" t="str">
        <f aca="false">IF(الموظفون!$B30="","",الموظفون!$B30)</f>
        <v/>
      </c>
      <c r="C30" s="114" t="str">
        <f aca="false">IF(الموظفون!$B30="","",الموظفون!$C30)</f>
        <v/>
      </c>
      <c r="D30" s="114" t="str">
        <f aca="false">IF(الموظفون!$B30="","",الموظفون!$F30)</f>
        <v/>
      </c>
      <c r="E30" s="114" t="str">
        <f aca="false">IF(الموظفون!$B30="","",الموظفون!$E30)</f>
        <v/>
      </c>
      <c r="F30" s="111" t="str">
        <f aca="false">IF($B30="","",'مسير يناير'!T30)</f>
        <v/>
      </c>
      <c r="G30" s="111" t="str">
        <f aca="false">IF($B30="","",'مسير فبراير'!T30)</f>
        <v/>
      </c>
      <c r="H30" s="111" t="str">
        <f aca="false">IF($B30="","",'مسير مارس'!T30)</f>
        <v/>
      </c>
      <c r="I30" s="111" t="str">
        <f aca="false">IF($B30="","",'مسير أبريل'!T30)</f>
        <v/>
      </c>
      <c r="J30" s="111" t="str">
        <f aca="false">IF($B30="","",'مسير مايو'!T30)</f>
        <v/>
      </c>
      <c r="K30" s="111" t="str">
        <f aca="false">IF($B30="","",'مسير يونيو'!T30)</f>
        <v/>
      </c>
      <c r="L30" s="111" t="str">
        <f aca="false">IF($B30="","",'مسير يوليو'!T30)</f>
        <v/>
      </c>
      <c r="M30" s="111" t="str">
        <f aca="false">IF($B30="","",'مسير أغسطس'!T30)</f>
        <v/>
      </c>
      <c r="N30" s="111" t="str">
        <f aca="false">IF($B30="","",'مسير سبتمبر'!T30)</f>
        <v/>
      </c>
      <c r="O30" s="111" t="str">
        <f aca="false">IF($B30="","",'مسير أكتوبر'!T30)</f>
        <v/>
      </c>
      <c r="P30" s="111" t="str">
        <f aca="false">IF($B30="","",'مسير نوفمبر'!T30)</f>
        <v/>
      </c>
      <c r="Q30" s="111" t="str">
        <f aca="false">IF($B30="","",'مسير ديسمبر'!T30)</f>
        <v/>
      </c>
      <c r="R30" s="170" t="str">
        <f aca="false">IF($B30="","",IF(1&lt;=cfg_VAL_M,'مسير يناير'!T30,0)+IF(2&lt;=cfg_VAL_M,'مسير فبراير'!T30,0)+IF(3&lt;=cfg_VAL_M,'مسير مارس'!T30,0)+IF(4&lt;=cfg_VAL_M,'مسير أبريل'!T30,0)+IF(5&lt;=cfg_VAL_M,'مسير مايو'!T30,0)+IF(6&lt;=cfg_VAL_M,'مسير يونيو'!T30,0)+IF(7&lt;=cfg_VAL_M,'مسير يوليو'!T30,0)+IF(8&lt;=cfg_VAL_M,'مسير أغسطس'!T30,0)+IF(9&lt;=cfg_VAL_M,'مسير سبتمبر'!T30,0)+IF(10&lt;=cfg_VAL_M,'مسير أكتوبر'!T30,0)+IF(11&lt;=cfg_VAL_M,'مسير نوفمبر'!T30,0)+IF(12&lt;=cfg_VAL_M,'مسير ديسمبر'!T30,0))</f>
        <v/>
      </c>
      <c r="T30" s="111" t="str">
        <f aca="false">IF($B30="","",'مسير يناير'!AG30)</f>
        <v/>
      </c>
      <c r="U30" s="111" t="str">
        <f aca="false">IF($B30="","",'مسير فبراير'!AG30)</f>
        <v/>
      </c>
      <c r="V30" s="111" t="str">
        <f aca="false">IF($B30="","",'مسير مارس'!AG30)</f>
        <v/>
      </c>
      <c r="W30" s="111" t="str">
        <f aca="false">IF($B30="","",'مسير أبريل'!AG30)</f>
        <v/>
      </c>
      <c r="X30" s="111" t="str">
        <f aca="false">IF($B30="","",'مسير مايو'!AG30)</f>
        <v/>
      </c>
      <c r="Y30" s="111" t="str">
        <f aca="false">IF($B30="","",'مسير يونيو'!AG30)</f>
        <v/>
      </c>
      <c r="Z30" s="111" t="str">
        <f aca="false">IF($B30="","",'مسير يوليو'!AG30)</f>
        <v/>
      </c>
      <c r="AA30" s="111" t="str">
        <f aca="false">IF($B30="","",'مسير أغسطس'!AG30)</f>
        <v/>
      </c>
      <c r="AB30" s="111" t="str">
        <f aca="false">IF($B30="","",'مسير سبتمبر'!AG30)</f>
        <v/>
      </c>
      <c r="AC30" s="111" t="str">
        <f aca="false">IF($B30="","",'مسير أكتوبر'!AG30)</f>
        <v/>
      </c>
      <c r="AD30" s="111" t="str">
        <f aca="false">IF($B30="","",'مسير نوفمبر'!AG30)</f>
        <v/>
      </c>
      <c r="AE30" s="111" t="str">
        <f aca="false">IF($B30="","",'مسير ديسمبر'!AG30)</f>
        <v/>
      </c>
      <c r="AF30" s="170" t="str">
        <f aca="false">IF($B30="","",IF(1&lt;=cfg_VAL_M,'مسير يناير'!AG30,0)+IF(2&lt;=cfg_VAL_M,'مسير فبراير'!AG30,0)+IF(3&lt;=cfg_VAL_M,'مسير مارس'!AG30,0)+IF(4&lt;=cfg_VAL_M,'مسير أبريل'!AG30,0)+IF(5&lt;=cfg_VAL_M,'مسير مايو'!AG30,0)+IF(6&lt;=cfg_VAL_M,'مسير يونيو'!AG30,0)+IF(7&lt;=cfg_VAL_M,'مسير يوليو'!AG30,0)+IF(8&lt;=cfg_VAL_M,'مسير أغسطس'!AG30,0)+IF(9&lt;=cfg_VAL_M,'مسير سبتمبر'!AG30,0)+IF(10&lt;=cfg_VAL_M,'مسير أكتوبر'!AG30,0)+IF(11&lt;=cfg_VAL_M,'مسير نوفمبر'!AG30,0)+IF(12&lt;=cfg_VAL_M,'مسير ديسمبر'!AG30,0))</f>
        <v/>
      </c>
      <c r="AG30" s="170" t="str">
        <f aca="false">IF($B30="","",IF(1&lt;=cfg_VAL_M,'مسير يناير'!Y30,0)+IF(2&lt;=cfg_VAL_M,'مسير فبراير'!Y30,0)+IF(3&lt;=cfg_VAL_M,'مسير مارس'!Y30,0)+IF(4&lt;=cfg_VAL_M,'مسير أبريل'!Y30,0)+IF(5&lt;=cfg_VAL_M,'مسير مايو'!Y30,0)+IF(6&lt;=cfg_VAL_M,'مسير يونيو'!Y30,0)+IF(7&lt;=cfg_VAL_M,'مسير يوليو'!Y30,0)+IF(8&lt;=cfg_VAL_M,'مسير أغسطس'!Y30,0)+IF(9&lt;=cfg_VAL_M,'مسير سبتمبر'!Y30,0)+IF(10&lt;=cfg_VAL_M,'مسير أكتوبر'!Y30,0)+IF(11&lt;=cfg_VAL_M,'مسير نوفمبر'!Y30,0)+IF(12&lt;=cfg_VAL_M,'مسير ديسمبر'!Y30,0))</f>
        <v/>
      </c>
      <c r="AH30" s="111" t="str">
        <f aca="false">IF($B30="","",AF30/cfg_VAL_M)</f>
        <v/>
      </c>
    </row>
    <row r="31" customFormat="false" ht="15" hidden="false" customHeight="false" outlineLevel="0" collapsed="false">
      <c r="B31" s="117" t="str">
        <f aca="false">IF(الموظفون!$B31="","",الموظفون!$B31)</f>
        <v/>
      </c>
      <c r="C31" s="117" t="str">
        <f aca="false">IF(الموظفون!$B31="","",الموظفون!$C31)</f>
        <v/>
      </c>
      <c r="D31" s="117" t="str">
        <f aca="false">IF(الموظفون!$B31="","",الموظفون!$F31)</f>
        <v/>
      </c>
      <c r="E31" s="117" t="str">
        <f aca="false">IF(الموظفون!$B31="","",الموظفون!$E31)</f>
        <v/>
      </c>
      <c r="F31" s="116" t="str">
        <f aca="false">IF($B31="","",'مسير يناير'!T31)</f>
        <v/>
      </c>
      <c r="G31" s="116" t="str">
        <f aca="false">IF($B31="","",'مسير فبراير'!T31)</f>
        <v/>
      </c>
      <c r="H31" s="116" t="str">
        <f aca="false">IF($B31="","",'مسير مارس'!T31)</f>
        <v/>
      </c>
      <c r="I31" s="116" t="str">
        <f aca="false">IF($B31="","",'مسير أبريل'!T31)</f>
        <v/>
      </c>
      <c r="J31" s="116" t="str">
        <f aca="false">IF($B31="","",'مسير مايو'!T31)</f>
        <v/>
      </c>
      <c r="K31" s="116" t="str">
        <f aca="false">IF($B31="","",'مسير يونيو'!T31)</f>
        <v/>
      </c>
      <c r="L31" s="116" t="str">
        <f aca="false">IF($B31="","",'مسير يوليو'!T31)</f>
        <v/>
      </c>
      <c r="M31" s="116" t="str">
        <f aca="false">IF($B31="","",'مسير أغسطس'!T31)</f>
        <v/>
      </c>
      <c r="N31" s="116" t="str">
        <f aca="false">IF($B31="","",'مسير سبتمبر'!T31)</f>
        <v/>
      </c>
      <c r="O31" s="116" t="str">
        <f aca="false">IF($B31="","",'مسير أكتوبر'!T31)</f>
        <v/>
      </c>
      <c r="P31" s="116" t="str">
        <f aca="false">IF($B31="","",'مسير نوفمبر'!T31)</f>
        <v/>
      </c>
      <c r="Q31" s="116" t="str">
        <f aca="false">IF($B31="","",'مسير ديسمبر'!T31)</f>
        <v/>
      </c>
      <c r="R31" s="171" t="str">
        <f aca="false">IF($B31="","",IF(1&lt;=cfg_VAL_M,'مسير يناير'!T31,0)+IF(2&lt;=cfg_VAL_M,'مسير فبراير'!T31,0)+IF(3&lt;=cfg_VAL_M,'مسير مارس'!T31,0)+IF(4&lt;=cfg_VAL_M,'مسير أبريل'!T31,0)+IF(5&lt;=cfg_VAL_M,'مسير مايو'!T31,0)+IF(6&lt;=cfg_VAL_M,'مسير يونيو'!T31,0)+IF(7&lt;=cfg_VAL_M,'مسير يوليو'!T31,0)+IF(8&lt;=cfg_VAL_M,'مسير أغسطس'!T31,0)+IF(9&lt;=cfg_VAL_M,'مسير سبتمبر'!T31,0)+IF(10&lt;=cfg_VAL_M,'مسير أكتوبر'!T31,0)+IF(11&lt;=cfg_VAL_M,'مسير نوفمبر'!T31,0)+IF(12&lt;=cfg_VAL_M,'مسير ديسمبر'!T31,0))</f>
        <v/>
      </c>
      <c r="T31" s="116" t="str">
        <f aca="false">IF($B31="","",'مسير يناير'!AG31)</f>
        <v/>
      </c>
      <c r="U31" s="116" t="str">
        <f aca="false">IF($B31="","",'مسير فبراير'!AG31)</f>
        <v/>
      </c>
      <c r="V31" s="116" t="str">
        <f aca="false">IF($B31="","",'مسير مارس'!AG31)</f>
        <v/>
      </c>
      <c r="W31" s="116" t="str">
        <f aca="false">IF($B31="","",'مسير أبريل'!AG31)</f>
        <v/>
      </c>
      <c r="X31" s="116" t="str">
        <f aca="false">IF($B31="","",'مسير مايو'!AG31)</f>
        <v/>
      </c>
      <c r="Y31" s="116" t="str">
        <f aca="false">IF($B31="","",'مسير يونيو'!AG31)</f>
        <v/>
      </c>
      <c r="Z31" s="116" t="str">
        <f aca="false">IF($B31="","",'مسير يوليو'!AG31)</f>
        <v/>
      </c>
      <c r="AA31" s="116" t="str">
        <f aca="false">IF($B31="","",'مسير أغسطس'!AG31)</f>
        <v/>
      </c>
      <c r="AB31" s="116" t="str">
        <f aca="false">IF($B31="","",'مسير سبتمبر'!AG31)</f>
        <v/>
      </c>
      <c r="AC31" s="116" t="str">
        <f aca="false">IF($B31="","",'مسير أكتوبر'!AG31)</f>
        <v/>
      </c>
      <c r="AD31" s="116" t="str">
        <f aca="false">IF($B31="","",'مسير نوفمبر'!AG31)</f>
        <v/>
      </c>
      <c r="AE31" s="116" t="str">
        <f aca="false">IF($B31="","",'مسير ديسمبر'!AG31)</f>
        <v/>
      </c>
      <c r="AF31" s="171" t="str">
        <f aca="false">IF($B31="","",IF(1&lt;=cfg_VAL_M,'مسير يناير'!AG31,0)+IF(2&lt;=cfg_VAL_M,'مسير فبراير'!AG31,0)+IF(3&lt;=cfg_VAL_M,'مسير مارس'!AG31,0)+IF(4&lt;=cfg_VAL_M,'مسير أبريل'!AG31,0)+IF(5&lt;=cfg_VAL_M,'مسير مايو'!AG31,0)+IF(6&lt;=cfg_VAL_M,'مسير يونيو'!AG31,0)+IF(7&lt;=cfg_VAL_M,'مسير يوليو'!AG31,0)+IF(8&lt;=cfg_VAL_M,'مسير أغسطس'!AG31,0)+IF(9&lt;=cfg_VAL_M,'مسير سبتمبر'!AG31,0)+IF(10&lt;=cfg_VAL_M,'مسير أكتوبر'!AG31,0)+IF(11&lt;=cfg_VAL_M,'مسير نوفمبر'!AG31,0)+IF(12&lt;=cfg_VAL_M,'مسير ديسمبر'!AG31,0))</f>
        <v/>
      </c>
      <c r="AG31" s="171" t="str">
        <f aca="false">IF($B31="","",IF(1&lt;=cfg_VAL_M,'مسير يناير'!Y31,0)+IF(2&lt;=cfg_VAL_M,'مسير فبراير'!Y31,0)+IF(3&lt;=cfg_VAL_M,'مسير مارس'!Y31,0)+IF(4&lt;=cfg_VAL_M,'مسير أبريل'!Y31,0)+IF(5&lt;=cfg_VAL_M,'مسير مايو'!Y31,0)+IF(6&lt;=cfg_VAL_M,'مسير يونيو'!Y31,0)+IF(7&lt;=cfg_VAL_M,'مسير يوليو'!Y31,0)+IF(8&lt;=cfg_VAL_M,'مسير أغسطس'!Y31,0)+IF(9&lt;=cfg_VAL_M,'مسير سبتمبر'!Y31,0)+IF(10&lt;=cfg_VAL_M,'مسير أكتوبر'!Y31,0)+IF(11&lt;=cfg_VAL_M,'مسير نوفمبر'!Y31,0)+IF(12&lt;=cfg_VAL_M,'مسير ديسمبر'!Y31,0))</f>
        <v/>
      </c>
      <c r="AH31" s="116" t="str">
        <f aca="false">IF($B31="","",AF31/cfg_VAL_M)</f>
        <v/>
      </c>
    </row>
    <row r="32" customFormat="false" ht="15" hidden="false" customHeight="false" outlineLevel="0" collapsed="false">
      <c r="B32" s="114" t="str">
        <f aca="false">IF(الموظفون!$B32="","",الموظفون!$B32)</f>
        <v/>
      </c>
      <c r="C32" s="114" t="str">
        <f aca="false">IF(الموظفون!$B32="","",الموظفون!$C32)</f>
        <v/>
      </c>
      <c r="D32" s="114" t="str">
        <f aca="false">IF(الموظفون!$B32="","",الموظفون!$F32)</f>
        <v/>
      </c>
      <c r="E32" s="114" t="str">
        <f aca="false">IF(الموظفون!$B32="","",الموظفون!$E32)</f>
        <v/>
      </c>
      <c r="F32" s="111" t="str">
        <f aca="false">IF($B32="","",'مسير يناير'!T32)</f>
        <v/>
      </c>
      <c r="G32" s="111" t="str">
        <f aca="false">IF($B32="","",'مسير فبراير'!T32)</f>
        <v/>
      </c>
      <c r="H32" s="111" t="str">
        <f aca="false">IF($B32="","",'مسير مارس'!T32)</f>
        <v/>
      </c>
      <c r="I32" s="111" t="str">
        <f aca="false">IF($B32="","",'مسير أبريل'!T32)</f>
        <v/>
      </c>
      <c r="J32" s="111" t="str">
        <f aca="false">IF($B32="","",'مسير مايو'!T32)</f>
        <v/>
      </c>
      <c r="K32" s="111" t="str">
        <f aca="false">IF($B32="","",'مسير يونيو'!T32)</f>
        <v/>
      </c>
      <c r="L32" s="111" t="str">
        <f aca="false">IF($B32="","",'مسير يوليو'!T32)</f>
        <v/>
      </c>
      <c r="M32" s="111" t="str">
        <f aca="false">IF($B32="","",'مسير أغسطس'!T32)</f>
        <v/>
      </c>
      <c r="N32" s="111" t="str">
        <f aca="false">IF($B32="","",'مسير سبتمبر'!T32)</f>
        <v/>
      </c>
      <c r="O32" s="111" t="str">
        <f aca="false">IF($B32="","",'مسير أكتوبر'!T32)</f>
        <v/>
      </c>
      <c r="P32" s="111" t="str">
        <f aca="false">IF($B32="","",'مسير نوفمبر'!T32)</f>
        <v/>
      </c>
      <c r="Q32" s="111" t="str">
        <f aca="false">IF($B32="","",'مسير ديسمبر'!T32)</f>
        <v/>
      </c>
      <c r="R32" s="170" t="str">
        <f aca="false">IF($B32="","",IF(1&lt;=cfg_VAL_M,'مسير يناير'!T32,0)+IF(2&lt;=cfg_VAL_M,'مسير فبراير'!T32,0)+IF(3&lt;=cfg_VAL_M,'مسير مارس'!T32,0)+IF(4&lt;=cfg_VAL_M,'مسير أبريل'!T32,0)+IF(5&lt;=cfg_VAL_M,'مسير مايو'!T32,0)+IF(6&lt;=cfg_VAL_M,'مسير يونيو'!T32,0)+IF(7&lt;=cfg_VAL_M,'مسير يوليو'!T32,0)+IF(8&lt;=cfg_VAL_M,'مسير أغسطس'!T32,0)+IF(9&lt;=cfg_VAL_M,'مسير سبتمبر'!T32,0)+IF(10&lt;=cfg_VAL_M,'مسير أكتوبر'!T32,0)+IF(11&lt;=cfg_VAL_M,'مسير نوفمبر'!T32,0)+IF(12&lt;=cfg_VAL_M,'مسير ديسمبر'!T32,0))</f>
        <v/>
      </c>
      <c r="T32" s="111" t="str">
        <f aca="false">IF($B32="","",'مسير يناير'!AG32)</f>
        <v/>
      </c>
      <c r="U32" s="111" t="str">
        <f aca="false">IF($B32="","",'مسير فبراير'!AG32)</f>
        <v/>
      </c>
      <c r="V32" s="111" t="str">
        <f aca="false">IF($B32="","",'مسير مارس'!AG32)</f>
        <v/>
      </c>
      <c r="W32" s="111" t="str">
        <f aca="false">IF($B32="","",'مسير أبريل'!AG32)</f>
        <v/>
      </c>
      <c r="X32" s="111" t="str">
        <f aca="false">IF($B32="","",'مسير مايو'!AG32)</f>
        <v/>
      </c>
      <c r="Y32" s="111" t="str">
        <f aca="false">IF($B32="","",'مسير يونيو'!AG32)</f>
        <v/>
      </c>
      <c r="Z32" s="111" t="str">
        <f aca="false">IF($B32="","",'مسير يوليو'!AG32)</f>
        <v/>
      </c>
      <c r="AA32" s="111" t="str">
        <f aca="false">IF($B32="","",'مسير أغسطس'!AG32)</f>
        <v/>
      </c>
      <c r="AB32" s="111" t="str">
        <f aca="false">IF($B32="","",'مسير سبتمبر'!AG32)</f>
        <v/>
      </c>
      <c r="AC32" s="111" t="str">
        <f aca="false">IF($B32="","",'مسير أكتوبر'!AG32)</f>
        <v/>
      </c>
      <c r="AD32" s="111" t="str">
        <f aca="false">IF($B32="","",'مسير نوفمبر'!AG32)</f>
        <v/>
      </c>
      <c r="AE32" s="111" t="str">
        <f aca="false">IF($B32="","",'مسير ديسمبر'!AG32)</f>
        <v/>
      </c>
      <c r="AF32" s="170" t="str">
        <f aca="false">IF($B32="","",IF(1&lt;=cfg_VAL_M,'مسير يناير'!AG32,0)+IF(2&lt;=cfg_VAL_M,'مسير فبراير'!AG32,0)+IF(3&lt;=cfg_VAL_M,'مسير مارس'!AG32,0)+IF(4&lt;=cfg_VAL_M,'مسير أبريل'!AG32,0)+IF(5&lt;=cfg_VAL_M,'مسير مايو'!AG32,0)+IF(6&lt;=cfg_VAL_M,'مسير يونيو'!AG32,0)+IF(7&lt;=cfg_VAL_M,'مسير يوليو'!AG32,0)+IF(8&lt;=cfg_VAL_M,'مسير أغسطس'!AG32,0)+IF(9&lt;=cfg_VAL_M,'مسير سبتمبر'!AG32,0)+IF(10&lt;=cfg_VAL_M,'مسير أكتوبر'!AG32,0)+IF(11&lt;=cfg_VAL_M,'مسير نوفمبر'!AG32,0)+IF(12&lt;=cfg_VAL_M,'مسير ديسمبر'!AG32,0))</f>
        <v/>
      </c>
      <c r="AG32" s="170" t="str">
        <f aca="false">IF($B32="","",IF(1&lt;=cfg_VAL_M,'مسير يناير'!Y32,0)+IF(2&lt;=cfg_VAL_M,'مسير فبراير'!Y32,0)+IF(3&lt;=cfg_VAL_M,'مسير مارس'!Y32,0)+IF(4&lt;=cfg_VAL_M,'مسير أبريل'!Y32,0)+IF(5&lt;=cfg_VAL_M,'مسير مايو'!Y32,0)+IF(6&lt;=cfg_VAL_M,'مسير يونيو'!Y32,0)+IF(7&lt;=cfg_VAL_M,'مسير يوليو'!Y32,0)+IF(8&lt;=cfg_VAL_M,'مسير أغسطس'!Y32,0)+IF(9&lt;=cfg_VAL_M,'مسير سبتمبر'!Y32,0)+IF(10&lt;=cfg_VAL_M,'مسير أكتوبر'!Y32,0)+IF(11&lt;=cfg_VAL_M,'مسير نوفمبر'!Y32,0)+IF(12&lt;=cfg_VAL_M,'مسير ديسمبر'!Y32,0))</f>
        <v/>
      </c>
      <c r="AH32" s="111" t="str">
        <f aca="false">IF($B32="","",AF32/cfg_VAL_M)</f>
        <v/>
      </c>
    </row>
    <row r="33" customFormat="false" ht="15" hidden="false" customHeight="false" outlineLevel="0" collapsed="false">
      <c r="B33" s="117" t="str">
        <f aca="false">IF(الموظفون!$B33="","",الموظفون!$B33)</f>
        <v/>
      </c>
      <c r="C33" s="117" t="str">
        <f aca="false">IF(الموظفون!$B33="","",الموظفون!$C33)</f>
        <v/>
      </c>
      <c r="D33" s="117" t="str">
        <f aca="false">IF(الموظفون!$B33="","",الموظفون!$F33)</f>
        <v/>
      </c>
      <c r="E33" s="117" t="str">
        <f aca="false">IF(الموظفون!$B33="","",الموظفون!$E33)</f>
        <v/>
      </c>
      <c r="F33" s="116" t="str">
        <f aca="false">IF($B33="","",'مسير يناير'!T33)</f>
        <v/>
      </c>
      <c r="G33" s="116" t="str">
        <f aca="false">IF($B33="","",'مسير فبراير'!T33)</f>
        <v/>
      </c>
      <c r="H33" s="116" t="str">
        <f aca="false">IF($B33="","",'مسير مارس'!T33)</f>
        <v/>
      </c>
      <c r="I33" s="116" t="str">
        <f aca="false">IF($B33="","",'مسير أبريل'!T33)</f>
        <v/>
      </c>
      <c r="J33" s="116" t="str">
        <f aca="false">IF($B33="","",'مسير مايو'!T33)</f>
        <v/>
      </c>
      <c r="K33" s="116" t="str">
        <f aca="false">IF($B33="","",'مسير يونيو'!T33)</f>
        <v/>
      </c>
      <c r="L33" s="116" t="str">
        <f aca="false">IF($B33="","",'مسير يوليو'!T33)</f>
        <v/>
      </c>
      <c r="M33" s="116" t="str">
        <f aca="false">IF($B33="","",'مسير أغسطس'!T33)</f>
        <v/>
      </c>
      <c r="N33" s="116" t="str">
        <f aca="false">IF($B33="","",'مسير سبتمبر'!T33)</f>
        <v/>
      </c>
      <c r="O33" s="116" t="str">
        <f aca="false">IF($B33="","",'مسير أكتوبر'!T33)</f>
        <v/>
      </c>
      <c r="P33" s="116" t="str">
        <f aca="false">IF($B33="","",'مسير نوفمبر'!T33)</f>
        <v/>
      </c>
      <c r="Q33" s="116" t="str">
        <f aca="false">IF($B33="","",'مسير ديسمبر'!T33)</f>
        <v/>
      </c>
      <c r="R33" s="171" t="str">
        <f aca="false">IF($B33="","",IF(1&lt;=cfg_VAL_M,'مسير يناير'!T33,0)+IF(2&lt;=cfg_VAL_M,'مسير فبراير'!T33,0)+IF(3&lt;=cfg_VAL_M,'مسير مارس'!T33,0)+IF(4&lt;=cfg_VAL_M,'مسير أبريل'!T33,0)+IF(5&lt;=cfg_VAL_M,'مسير مايو'!T33,0)+IF(6&lt;=cfg_VAL_M,'مسير يونيو'!T33,0)+IF(7&lt;=cfg_VAL_M,'مسير يوليو'!T33,0)+IF(8&lt;=cfg_VAL_M,'مسير أغسطس'!T33,0)+IF(9&lt;=cfg_VAL_M,'مسير سبتمبر'!T33,0)+IF(10&lt;=cfg_VAL_M,'مسير أكتوبر'!T33,0)+IF(11&lt;=cfg_VAL_M,'مسير نوفمبر'!T33,0)+IF(12&lt;=cfg_VAL_M,'مسير ديسمبر'!T33,0))</f>
        <v/>
      </c>
      <c r="T33" s="116" t="str">
        <f aca="false">IF($B33="","",'مسير يناير'!AG33)</f>
        <v/>
      </c>
      <c r="U33" s="116" t="str">
        <f aca="false">IF($B33="","",'مسير فبراير'!AG33)</f>
        <v/>
      </c>
      <c r="V33" s="116" t="str">
        <f aca="false">IF($B33="","",'مسير مارس'!AG33)</f>
        <v/>
      </c>
      <c r="W33" s="116" t="str">
        <f aca="false">IF($B33="","",'مسير أبريل'!AG33)</f>
        <v/>
      </c>
      <c r="X33" s="116" t="str">
        <f aca="false">IF($B33="","",'مسير مايو'!AG33)</f>
        <v/>
      </c>
      <c r="Y33" s="116" t="str">
        <f aca="false">IF($B33="","",'مسير يونيو'!AG33)</f>
        <v/>
      </c>
      <c r="Z33" s="116" t="str">
        <f aca="false">IF($B33="","",'مسير يوليو'!AG33)</f>
        <v/>
      </c>
      <c r="AA33" s="116" t="str">
        <f aca="false">IF($B33="","",'مسير أغسطس'!AG33)</f>
        <v/>
      </c>
      <c r="AB33" s="116" t="str">
        <f aca="false">IF($B33="","",'مسير سبتمبر'!AG33)</f>
        <v/>
      </c>
      <c r="AC33" s="116" t="str">
        <f aca="false">IF($B33="","",'مسير أكتوبر'!AG33)</f>
        <v/>
      </c>
      <c r="AD33" s="116" t="str">
        <f aca="false">IF($B33="","",'مسير نوفمبر'!AG33)</f>
        <v/>
      </c>
      <c r="AE33" s="116" t="str">
        <f aca="false">IF($B33="","",'مسير ديسمبر'!AG33)</f>
        <v/>
      </c>
      <c r="AF33" s="171" t="str">
        <f aca="false">IF($B33="","",IF(1&lt;=cfg_VAL_M,'مسير يناير'!AG33,0)+IF(2&lt;=cfg_VAL_M,'مسير فبراير'!AG33,0)+IF(3&lt;=cfg_VAL_M,'مسير مارس'!AG33,0)+IF(4&lt;=cfg_VAL_M,'مسير أبريل'!AG33,0)+IF(5&lt;=cfg_VAL_M,'مسير مايو'!AG33,0)+IF(6&lt;=cfg_VAL_M,'مسير يونيو'!AG33,0)+IF(7&lt;=cfg_VAL_M,'مسير يوليو'!AG33,0)+IF(8&lt;=cfg_VAL_M,'مسير أغسطس'!AG33,0)+IF(9&lt;=cfg_VAL_M,'مسير سبتمبر'!AG33,0)+IF(10&lt;=cfg_VAL_M,'مسير أكتوبر'!AG33,0)+IF(11&lt;=cfg_VAL_M,'مسير نوفمبر'!AG33,0)+IF(12&lt;=cfg_VAL_M,'مسير ديسمبر'!AG33,0))</f>
        <v/>
      </c>
      <c r="AG33" s="171" t="str">
        <f aca="false">IF($B33="","",IF(1&lt;=cfg_VAL_M,'مسير يناير'!Y33,0)+IF(2&lt;=cfg_VAL_M,'مسير فبراير'!Y33,0)+IF(3&lt;=cfg_VAL_M,'مسير مارس'!Y33,0)+IF(4&lt;=cfg_VAL_M,'مسير أبريل'!Y33,0)+IF(5&lt;=cfg_VAL_M,'مسير مايو'!Y33,0)+IF(6&lt;=cfg_VAL_M,'مسير يونيو'!Y33,0)+IF(7&lt;=cfg_VAL_M,'مسير يوليو'!Y33,0)+IF(8&lt;=cfg_VAL_M,'مسير أغسطس'!Y33,0)+IF(9&lt;=cfg_VAL_M,'مسير سبتمبر'!Y33,0)+IF(10&lt;=cfg_VAL_M,'مسير أكتوبر'!Y33,0)+IF(11&lt;=cfg_VAL_M,'مسير نوفمبر'!Y33,0)+IF(12&lt;=cfg_VAL_M,'مسير ديسمبر'!Y33,0))</f>
        <v/>
      </c>
      <c r="AH33" s="116" t="str">
        <f aca="false">IF($B33="","",AF33/cfg_VAL_M)</f>
        <v/>
      </c>
    </row>
    <row r="34" customFormat="false" ht="15" hidden="false" customHeight="false" outlineLevel="0" collapsed="false">
      <c r="B34" s="114" t="str">
        <f aca="false">IF(الموظفون!$B34="","",الموظفون!$B34)</f>
        <v/>
      </c>
      <c r="C34" s="114" t="str">
        <f aca="false">IF(الموظفون!$B34="","",الموظفون!$C34)</f>
        <v/>
      </c>
      <c r="D34" s="114" t="str">
        <f aca="false">IF(الموظفون!$B34="","",الموظفون!$F34)</f>
        <v/>
      </c>
      <c r="E34" s="114" t="str">
        <f aca="false">IF(الموظفون!$B34="","",الموظفون!$E34)</f>
        <v/>
      </c>
      <c r="F34" s="111" t="str">
        <f aca="false">IF($B34="","",'مسير يناير'!T34)</f>
        <v/>
      </c>
      <c r="G34" s="111" t="str">
        <f aca="false">IF($B34="","",'مسير فبراير'!T34)</f>
        <v/>
      </c>
      <c r="H34" s="111" t="str">
        <f aca="false">IF($B34="","",'مسير مارس'!T34)</f>
        <v/>
      </c>
      <c r="I34" s="111" t="str">
        <f aca="false">IF($B34="","",'مسير أبريل'!T34)</f>
        <v/>
      </c>
      <c r="J34" s="111" t="str">
        <f aca="false">IF($B34="","",'مسير مايو'!T34)</f>
        <v/>
      </c>
      <c r="K34" s="111" t="str">
        <f aca="false">IF($B34="","",'مسير يونيو'!T34)</f>
        <v/>
      </c>
      <c r="L34" s="111" t="str">
        <f aca="false">IF($B34="","",'مسير يوليو'!T34)</f>
        <v/>
      </c>
      <c r="M34" s="111" t="str">
        <f aca="false">IF($B34="","",'مسير أغسطس'!T34)</f>
        <v/>
      </c>
      <c r="N34" s="111" t="str">
        <f aca="false">IF($B34="","",'مسير سبتمبر'!T34)</f>
        <v/>
      </c>
      <c r="O34" s="111" t="str">
        <f aca="false">IF($B34="","",'مسير أكتوبر'!T34)</f>
        <v/>
      </c>
      <c r="P34" s="111" t="str">
        <f aca="false">IF($B34="","",'مسير نوفمبر'!T34)</f>
        <v/>
      </c>
      <c r="Q34" s="111" t="str">
        <f aca="false">IF($B34="","",'مسير ديسمبر'!T34)</f>
        <v/>
      </c>
      <c r="R34" s="170" t="str">
        <f aca="false">IF($B34="","",IF(1&lt;=cfg_VAL_M,'مسير يناير'!T34,0)+IF(2&lt;=cfg_VAL_M,'مسير فبراير'!T34,0)+IF(3&lt;=cfg_VAL_M,'مسير مارس'!T34,0)+IF(4&lt;=cfg_VAL_M,'مسير أبريل'!T34,0)+IF(5&lt;=cfg_VAL_M,'مسير مايو'!T34,0)+IF(6&lt;=cfg_VAL_M,'مسير يونيو'!T34,0)+IF(7&lt;=cfg_VAL_M,'مسير يوليو'!T34,0)+IF(8&lt;=cfg_VAL_M,'مسير أغسطس'!T34,0)+IF(9&lt;=cfg_VAL_M,'مسير سبتمبر'!T34,0)+IF(10&lt;=cfg_VAL_M,'مسير أكتوبر'!T34,0)+IF(11&lt;=cfg_VAL_M,'مسير نوفمبر'!T34,0)+IF(12&lt;=cfg_VAL_M,'مسير ديسمبر'!T34,0))</f>
        <v/>
      </c>
      <c r="T34" s="111" t="str">
        <f aca="false">IF($B34="","",'مسير يناير'!AG34)</f>
        <v/>
      </c>
      <c r="U34" s="111" t="str">
        <f aca="false">IF($B34="","",'مسير فبراير'!AG34)</f>
        <v/>
      </c>
      <c r="V34" s="111" t="str">
        <f aca="false">IF($B34="","",'مسير مارس'!AG34)</f>
        <v/>
      </c>
      <c r="W34" s="111" t="str">
        <f aca="false">IF($B34="","",'مسير أبريل'!AG34)</f>
        <v/>
      </c>
      <c r="X34" s="111" t="str">
        <f aca="false">IF($B34="","",'مسير مايو'!AG34)</f>
        <v/>
      </c>
      <c r="Y34" s="111" t="str">
        <f aca="false">IF($B34="","",'مسير يونيو'!AG34)</f>
        <v/>
      </c>
      <c r="Z34" s="111" t="str">
        <f aca="false">IF($B34="","",'مسير يوليو'!AG34)</f>
        <v/>
      </c>
      <c r="AA34" s="111" t="str">
        <f aca="false">IF($B34="","",'مسير أغسطس'!AG34)</f>
        <v/>
      </c>
      <c r="AB34" s="111" t="str">
        <f aca="false">IF($B34="","",'مسير سبتمبر'!AG34)</f>
        <v/>
      </c>
      <c r="AC34" s="111" t="str">
        <f aca="false">IF($B34="","",'مسير أكتوبر'!AG34)</f>
        <v/>
      </c>
      <c r="AD34" s="111" t="str">
        <f aca="false">IF($B34="","",'مسير نوفمبر'!AG34)</f>
        <v/>
      </c>
      <c r="AE34" s="111" t="str">
        <f aca="false">IF($B34="","",'مسير ديسمبر'!AG34)</f>
        <v/>
      </c>
      <c r="AF34" s="170" t="str">
        <f aca="false">IF($B34="","",IF(1&lt;=cfg_VAL_M,'مسير يناير'!AG34,0)+IF(2&lt;=cfg_VAL_M,'مسير فبراير'!AG34,0)+IF(3&lt;=cfg_VAL_M,'مسير مارس'!AG34,0)+IF(4&lt;=cfg_VAL_M,'مسير أبريل'!AG34,0)+IF(5&lt;=cfg_VAL_M,'مسير مايو'!AG34,0)+IF(6&lt;=cfg_VAL_M,'مسير يونيو'!AG34,0)+IF(7&lt;=cfg_VAL_M,'مسير يوليو'!AG34,0)+IF(8&lt;=cfg_VAL_M,'مسير أغسطس'!AG34,0)+IF(9&lt;=cfg_VAL_M,'مسير سبتمبر'!AG34,0)+IF(10&lt;=cfg_VAL_M,'مسير أكتوبر'!AG34,0)+IF(11&lt;=cfg_VAL_M,'مسير نوفمبر'!AG34,0)+IF(12&lt;=cfg_VAL_M,'مسير ديسمبر'!AG34,0))</f>
        <v/>
      </c>
      <c r="AG34" s="170" t="str">
        <f aca="false">IF($B34="","",IF(1&lt;=cfg_VAL_M,'مسير يناير'!Y34,0)+IF(2&lt;=cfg_VAL_M,'مسير فبراير'!Y34,0)+IF(3&lt;=cfg_VAL_M,'مسير مارس'!Y34,0)+IF(4&lt;=cfg_VAL_M,'مسير أبريل'!Y34,0)+IF(5&lt;=cfg_VAL_M,'مسير مايو'!Y34,0)+IF(6&lt;=cfg_VAL_M,'مسير يونيو'!Y34,0)+IF(7&lt;=cfg_VAL_M,'مسير يوليو'!Y34,0)+IF(8&lt;=cfg_VAL_M,'مسير أغسطس'!Y34,0)+IF(9&lt;=cfg_VAL_M,'مسير سبتمبر'!Y34,0)+IF(10&lt;=cfg_VAL_M,'مسير أكتوبر'!Y34,0)+IF(11&lt;=cfg_VAL_M,'مسير نوفمبر'!Y34,0)+IF(12&lt;=cfg_VAL_M,'مسير ديسمبر'!Y34,0))</f>
        <v/>
      </c>
      <c r="AH34" s="111" t="str">
        <f aca="false">IF($B34="","",AF34/cfg_VAL_M)</f>
        <v/>
      </c>
    </row>
    <row r="35" customFormat="false" ht="15" hidden="false" customHeight="false" outlineLevel="0" collapsed="false">
      <c r="B35" s="117" t="str">
        <f aca="false">IF(الموظفون!$B35="","",الموظفون!$B35)</f>
        <v/>
      </c>
      <c r="C35" s="117" t="str">
        <f aca="false">IF(الموظفون!$B35="","",الموظفون!$C35)</f>
        <v/>
      </c>
      <c r="D35" s="117" t="str">
        <f aca="false">IF(الموظفون!$B35="","",الموظفون!$F35)</f>
        <v/>
      </c>
      <c r="E35" s="117" t="str">
        <f aca="false">IF(الموظفون!$B35="","",الموظفون!$E35)</f>
        <v/>
      </c>
      <c r="F35" s="116" t="str">
        <f aca="false">IF($B35="","",'مسير يناير'!T35)</f>
        <v/>
      </c>
      <c r="G35" s="116" t="str">
        <f aca="false">IF($B35="","",'مسير فبراير'!T35)</f>
        <v/>
      </c>
      <c r="H35" s="116" t="str">
        <f aca="false">IF($B35="","",'مسير مارس'!T35)</f>
        <v/>
      </c>
      <c r="I35" s="116" t="str">
        <f aca="false">IF($B35="","",'مسير أبريل'!T35)</f>
        <v/>
      </c>
      <c r="J35" s="116" t="str">
        <f aca="false">IF($B35="","",'مسير مايو'!T35)</f>
        <v/>
      </c>
      <c r="K35" s="116" t="str">
        <f aca="false">IF($B35="","",'مسير يونيو'!T35)</f>
        <v/>
      </c>
      <c r="L35" s="116" t="str">
        <f aca="false">IF($B35="","",'مسير يوليو'!T35)</f>
        <v/>
      </c>
      <c r="M35" s="116" t="str">
        <f aca="false">IF($B35="","",'مسير أغسطس'!T35)</f>
        <v/>
      </c>
      <c r="N35" s="116" t="str">
        <f aca="false">IF($B35="","",'مسير سبتمبر'!T35)</f>
        <v/>
      </c>
      <c r="O35" s="116" t="str">
        <f aca="false">IF($B35="","",'مسير أكتوبر'!T35)</f>
        <v/>
      </c>
      <c r="P35" s="116" t="str">
        <f aca="false">IF($B35="","",'مسير نوفمبر'!T35)</f>
        <v/>
      </c>
      <c r="Q35" s="116" t="str">
        <f aca="false">IF($B35="","",'مسير ديسمبر'!T35)</f>
        <v/>
      </c>
      <c r="R35" s="171" t="str">
        <f aca="false">IF($B35="","",IF(1&lt;=cfg_VAL_M,'مسير يناير'!T35,0)+IF(2&lt;=cfg_VAL_M,'مسير فبراير'!T35,0)+IF(3&lt;=cfg_VAL_M,'مسير مارس'!T35,0)+IF(4&lt;=cfg_VAL_M,'مسير أبريل'!T35,0)+IF(5&lt;=cfg_VAL_M,'مسير مايو'!T35,0)+IF(6&lt;=cfg_VAL_M,'مسير يونيو'!T35,0)+IF(7&lt;=cfg_VAL_M,'مسير يوليو'!T35,0)+IF(8&lt;=cfg_VAL_M,'مسير أغسطس'!T35,0)+IF(9&lt;=cfg_VAL_M,'مسير سبتمبر'!T35,0)+IF(10&lt;=cfg_VAL_M,'مسير أكتوبر'!T35,0)+IF(11&lt;=cfg_VAL_M,'مسير نوفمبر'!T35,0)+IF(12&lt;=cfg_VAL_M,'مسير ديسمبر'!T35,0))</f>
        <v/>
      </c>
      <c r="T35" s="116" t="str">
        <f aca="false">IF($B35="","",'مسير يناير'!AG35)</f>
        <v/>
      </c>
      <c r="U35" s="116" t="str">
        <f aca="false">IF($B35="","",'مسير فبراير'!AG35)</f>
        <v/>
      </c>
      <c r="V35" s="116" t="str">
        <f aca="false">IF($B35="","",'مسير مارس'!AG35)</f>
        <v/>
      </c>
      <c r="W35" s="116" t="str">
        <f aca="false">IF($B35="","",'مسير أبريل'!AG35)</f>
        <v/>
      </c>
      <c r="X35" s="116" t="str">
        <f aca="false">IF($B35="","",'مسير مايو'!AG35)</f>
        <v/>
      </c>
      <c r="Y35" s="116" t="str">
        <f aca="false">IF($B35="","",'مسير يونيو'!AG35)</f>
        <v/>
      </c>
      <c r="Z35" s="116" t="str">
        <f aca="false">IF($B35="","",'مسير يوليو'!AG35)</f>
        <v/>
      </c>
      <c r="AA35" s="116" t="str">
        <f aca="false">IF($B35="","",'مسير أغسطس'!AG35)</f>
        <v/>
      </c>
      <c r="AB35" s="116" t="str">
        <f aca="false">IF($B35="","",'مسير سبتمبر'!AG35)</f>
        <v/>
      </c>
      <c r="AC35" s="116" t="str">
        <f aca="false">IF($B35="","",'مسير أكتوبر'!AG35)</f>
        <v/>
      </c>
      <c r="AD35" s="116" t="str">
        <f aca="false">IF($B35="","",'مسير نوفمبر'!AG35)</f>
        <v/>
      </c>
      <c r="AE35" s="116" t="str">
        <f aca="false">IF($B35="","",'مسير ديسمبر'!AG35)</f>
        <v/>
      </c>
      <c r="AF35" s="171" t="str">
        <f aca="false">IF($B35="","",IF(1&lt;=cfg_VAL_M,'مسير يناير'!AG35,0)+IF(2&lt;=cfg_VAL_M,'مسير فبراير'!AG35,0)+IF(3&lt;=cfg_VAL_M,'مسير مارس'!AG35,0)+IF(4&lt;=cfg_VAL_M,'مسير أبريل'!AG35,0)+IF(5&lt;=cfg_VAL_M,'مسير مايو'!AG35,0)+IF(6&lt;=cfg_VAL_M,'مسير يونيو'!AG35,0)+IF(7&lt;=cfg_VAL_M,'مسير يوليو'!AG35,0)+IF(8&lt;=cfg_VAL_M,'مسير أغسطس'!AG35,0)+IF(9&lt;=cfg_VAL_M,'مسير سبتمبر'!AG35,0)+IF(10&lt;=cfg_VAL_M,'مسير أكتوبر'!AG35,0)+IF(11&lt;=cfg_VAL_M,'مسير نوفمبر'!AG35,0)+IF(12&lt;=cfg_VAL_M,'مسير ديسمبر'!AG35,0))</f>
        <v/>
      </c>
      <c r="AG35" s="171" t="str">
        <f aca="false">IF($B35="","",IF(1&lt;=cfg_VAL_M,'مسير يناير'!Y35,0)+IF(2&lt;=cfg_VAL_M,'مسير فبراير'!Y35,0)+IF(3&lt;=cfg_VAL_M,'مسير مارس'!Y35,0)+IF(4&lt;=cfg_VAL_M,'مسير أبريل'!Y35,0)+IF(5&lt;=cfg_VAL_M,'مسير مايو'!Y35,0)+IF(6&lt;=cfg_VAL_M,'مسير يونيو'!Y35,0)+IF(7&lt;=cfg_VAL_M,'مسير يوليو'!Y35,0)+IF(8&lt;=cfg_VAL_M,'مسير أغسطس'!Y35,0)+IF(9&lt;=cfg_VAL_M,'مسير سبتمبر'!Y35,0)+IF(10&lt;=cfg_VAL_M,'مسير أكتوبر'!Y35,0)+IF(11&lt;=cfg_VAL_M,'مسير نوفمبر'!Y35,0)+IF(12&lt;=cfg_VAL_M,'مسير ديسمبر'!Y35,0))</f>
        <v/>
      </c>
      <c r="AH35" s="116" t="str">
        <f aca="false">IF($B35="","",AF35/cfg_VAL_M)</f>
        <v/>
      </c>
    </row>
    <row r="36" customFormat="false" ht="15" hidden="false" customHeight="false" outlineLevel="0" collapsed="false">
      <c r="B36" s="114" t="str">
        <f aca="false">IF(الموظفون!$B36="","",الموظفون!$B36)</f>
        <v/>
      </c>
      <c r="C36" s="114" t="str">
        <f aca="false">IF(الموظفون!$B36="","",الموظفون!$C36)</f>
        <v/>
      </c>
      <c r="D36" s="114" t="str">
        <f aca="false">IF(الموظفون!$B36="","",الموظفون!$F36)</f>
        <v/>
      </c>
      <c r="E36" s="114" t="str">
        <f aca="false">IF(الموظفون!$B36="","",الموظفون!$E36)</f>
        <v/>
      </c>
      <c r="F36" s="111" t="str">
        <f aca="false">IF($B36="","",'مسير يناير'!T36)</f>
        <v/>
      </c>
      <c r="G36" s="111" t="str">
        <f aca="false">IF($B36="","",'مسير فبراير'!T36)</f>
        <v/>
      </c>
      <c r="H36" s="111" t="str">
        <f aca="false">IF($B36="","",'مسير مارس'!T36)</f>
        <v/>
      </c>
      <c r="I36" s="111" t="str">
        <f aca="false">IF($B36="","",'مسير أبريل'!T36)</f>
        <v/>
      </c>
      <c r="J36" s="111" t="str">
        <f aca="false">IF($B36="","",'مسير مايو'!T36)</f>
        <v/>
      </c>
      <c r="K36" s="111" t="str">
        <f aca="false">IF($B36="","",'مسير يونيو'!T36)</f>
        <v/>
      </c>
      <c r="L36" s="111" t="str">
        <f aca="false">IF($B36="","",'مسير يوليو'!T36)</f>
        <v/>
      </c>
      <c r="M36" s="111" t="str">
        <f aca="false">IF($B36="","",'مسير أغسطس'!T36)</f>
        <v/>
      </c>
      <c r="N36" s="111" t="str">
        <f aca="false">IF($B36="","",'مسير سبتمبر'!T36)</f>
        <v/>
      </c>
      <c r="O36" s="111" t="str">
        <f aca="false">IF($B36="","",'مسير أكتوبر'!T36)</f>
        <v/>
      </c>
      <c r="P36" s="111" t="str">
        <f aca="false">IF($B36="","",'مسير نوفمبر'!T36)</f>
        <v/>
      </c>
      <c r="Q36" s="111" t="str">
        <f aca="false">IF($B36="","",'مسير ديسمبر'!T36)</f>
        <v/>
      </c>
      <c r="R36" s="170" t="str">
        <f aca="false">IF($B36="","",IF(1&lt;=cfg_VAL_M,'مسير يناير'!T36,0)+IF(2&lt;=cfg_VAL_M,'مسير فبراير'!T36,0)+IF(3&lt;=cfg_VAL_M,'مسير مارس'!T36,0)+IF(4&lt;=cfg_VAL_M,'مسير أبريل'!T36,0)+IF(5&lt;=cfg_VAL_M,'مسير مايو'!T36,0)+IF(6&lt;=cfg_VAL_M,'مسير يونيو'!T36,0)+IF(7&lt;=cfg_VAL_M,'مسير يوليو'!T36,0)+IF(8&lt;=cfg_VAL_M,'مسير أغسطس'!T36,0)+IF(9&lt;=cfg_VAL_M,'مسير سبتمبر'!T36,0)+IF(10&lt;=cfg_VAL_M,'مسير أكتوبر'!T36,0)+IF(11&lt;=cfg_VAL_M,'مسير نوفمبر'!T36,0)+IF(12&lt;=cfg_VAL_M,'مسير ديسمبر'!T36,0))</f>
        <v/>
      </c>
      <c r="T36" s="111" t="str">
        <f aca="false">IF($B36="","",'مسير يناير'!AG36)</f>
        <v/>
      </c>
      <c r="U36" s="111" t="str">
        <f aca="false">IF($B36="","",'مسير فبراير'!AG36)</f>
        <v/>
      </c>
      <c r="V36" s="111" t="str">
        <f aca="false">IF($B36="","",'مسير مارس'!AG36)</f>
        <v/>
      </c>
      <c r="W36" s="111" t="str">
        <f aca="false">IF($B36="","",'مسير أبريل'!AG36)</f>
        <v/>
      </c>
      <c r="X36" s="111" t="str">
        <f aca="false">IF($B36="","",'مسير مايو'!AG36)</f>
        <v/>
      </c>
      <c r="Y36" s="111" t="str">
        <f aca="false">IF($B36="","",'مسير يونيو'!AG36)</f>
        <v/>
      </c>
      <c r="Z36" s="111" t="str">
        <f aca="false">IF($B36="","",'مسير يوليو'!AG36)</f>
        <v/>
      </c>
      <c r="AA36" s="111" t="str">
        <f aca="false">IF($B36="","",'مسير أغسطس'!AG36)</f>
        <v/>
      </c>
      <c r="AB36" s="111" t="str">
        <f aca="false">IF($B36="","",'مسير سبتمبر'!AG36)</f>
        <v/>
      </c>
      <c r="AC36" s="111" t="str">
        <f aca="false">IF($B36="","",'مسير أكتوبر'!AG36)</f>
        <v/>
      </c>
      <c r="AD36" s="111" t="str">
        <f aca="false">IF($B36="","",'مسير نوفمبر'!AG36)</f>
        <v/>
      </c>
      <c r="AE36" s="111" t="str">
        <f aca="false">IF($B36="","",'مسير ديسمبر'!AG36)</f>
        <v/>
      </c>
      <c r="AF36" s="170" t="str">
        <f aca="false">IF($B36="","",IF(1&lt;=cfg_VAL_M,'مسير يناير'!AG36,0)+IF(2&lt;=cfg_VAL_M,'مسير فبراير'!AG36,0)+IF(3&lt;=cfg_VAL_M,'مسير مارس'!AG36,0)+IF(4&lt;=cfg_VAL_M,'مسير أبريل'!AG36,0)+IF(5&lt;=cfg_VAL_M,'مسير مايو'!AG36,0)+IF(6&lt;=cfg_VAL_M,'مسير يونيو'!AG36,0)+IF(7&lt;=cfg_VAL_M,'مسير يوليو'!AG36,0)+IF(8&lt;=cfg_VAL_M,'مسير أغسطس'!AG36,0)+IF(9&lt;=cfg_VAL_M,'مسير سبتمبر'!AG36,0)+IF(10&lt;=cfg_VAL_M,'مسير أكتوبر'!AG36,0)+IF(11&lt;=cfg_VAL_M,'مسير نوفمبر'!AG36,0)+IF(12&lt;=cfg_VAL_M,'مسير ديسمبر'!AG36,0))</f>
        <v/>
      </c>
      <c r="AG36" s="170" t="str">
        <f aca="false">IF($B36="","",IF(1&lt;=cfg_VAL_M,'مسير يناير'!Y36,0)+IF(2&lt;=cfg_VAL_M,'مسير فبراير'!Y36,0)+IF(3&lt;=cfg_VAL_M,'مسير مارس'!Y36,0)+IF(4&lt;=cfg_VAL_M,'مسير أبريل'!Y36,0)+IF(5&lt;=cfg_VAL_M,'مسير مايو'!Y36,0)+IF(6&lt;=cfg_VAL_M,'مسير يونيو'!Y36,0)+IF(7&lt;=cfg_VAL_M,'مسير يوليو'!Y36,0)+IF(8&lt;=cfg_VAL_M,'مسير أغسطس'!Y36,0)+IF(9&lt;=cfg_VAL_M,'مسير سبتمبر'!Y36,0)+IF(10&lt;=cfg_VAL_M,'مسير أكتوبر'!Y36,0)+IF(11&lt;=cfg_VAL_M,'مسير نوفمبر'!Y36,0)+IF(12&lt;=cfg_VAL_M,'مسير ديسمبر'!Y36,0))</f>
        <v/>
      </c>
      <c r="AH36" s="111" t="str">
        <f aca="false">IF($B36="","",AF36/cfg_VAL_M)</f>
        <v/>
      </c>
    </row>
    <row r="37" customFormat="false" ht="15" hidden="false" customHeight="false" outlineLevel="0" collapsed="false">
      <c r="B37" s="117" t="str">
        <f aca="false">IF(الموظفون!$B37="","",الموظفون!$B37)</f>
        <v/>
      </c>
      <c r="C37" s="117" t="str">
        <f aca="false">IF(الموظفون!$B37="","",الموظفون!$C37)</f>
        <v/>
      </c>
      <c r="D37" s="117" t="str">
        <f aca="false">IF(الموظفون!$B37="","",الموظفون!$F37)</f>
        <v/>
      </c>
      <c r="E37" s="117" t="str">
        <f aca="false">IF(الموظفون!$B37="","",الموظفون!$E37)</f>
        <v/>
      </c>
      <c r="F37" s="116" t="str">
        <f aca="false">IF($B37="","",'مسير يناير'!T37)</f>
        <v/>
      </c>
      <c r="G37" s="116" t="str">
        <f aca="false">IF($B37="","",'مسير فبراير'!T37)</f>
        <v/>
      </c>
      <c r="H37" s="116" t="str">
        <f aca="false">IF($B37="","",'مسير مارس'!T37)</f>
        <v/>
      </c>
      <c r="I37" s="116" t="str">
        <f aca="false">IF($B37="","",'مسير أبريل'!T37)</f>
        <v/>
      </c>
      <c r="J37" s="116" t="str">
        <f aca="false">IF($B37="","",'مسير مايو'!T37)</f>
        <v/>
      </c>
      <c r="K37" s="116" t="str">
        <f aca="false">IF($B37="","",'مسير يونيو'!T37)</f>
        <v/>
      </c>
      <c r="L37" s="116" t="str">
        <f aca="false">IF($B37="","",'مسير يوليو'!T37)</f>
        <v/>
      </c>
      <c r="M37" s="116" t="str">
        <f aca="false">IF($B37="","",'مسير أغسطس'!T37)</f>
        <v/>
      </c>
      <c r="N37" s="116" t="str">
        <f aca="false">IF($B37="","",'مسير سبتمبر'!T37)</f>
        <v/>
      </c>
      <c r="O37" s="116" t="str">
        <f aca="false">IF($B37="","",'مسير أكتوبر'!T37)</f>
        <v/>
      </c>
      <c r="P37" s="116" t="str">
        <f aca="false">IF($B37="","",'مسير نوفمبر'!T37)</f>
        <v/>
      </c>
      <c r="Q37" s="116" t="str">
        <f aca="false">IF($B37="","",'مسير ديسمبر'!T37)</f>
        <v/>
      </c>
      <c r="R37" s="171" t="str">
        <f aca="false">IF($B37="","",IF(1&lt;=cfg_VAL_M,'مسير يناير'!T37,0)+IF(2&lt;=cfg_VAL_M,'مسير فبراير'!T37,0)+IF(3&lt;=cfg_VAL_M,'مسير مارس'!T37,0)+IF(4&lt;=cfg_VAL_M,'مسير أبريل'!T37,0)+IF(5&lt;=cfg_VAL_M,'مسير مايو'!T37,0)+IF(6&lt;=cfg_VAL_M,'مسير يونيو'!T37,0)+IF(7&lt;=cfg_VAL_M,'مسير يوليو'!T37,0)+IF(8&lt;=cfg_VAL_M,'مسير أغسطس'!T37,0)+IF(9&lt;=cfg_VAL_M,'مسير سبتمبر'!T37,0)+IF(10&lt;=cfg_VAL_M,'مسير أكتوبر'!T37,0)+IF(11&lt;=cfg_VAL_M,'مسير نوفمبر'!T37,0)+IF(12&lt;=cfg_VAL_M,'مسير ديسمبر'!T37,0))</f>
        <v/>
      </c>
      <c r="T37" s="116" t="str">
        <f aca="false">IF($B37="","",'مسير يناير'!AG37)</f>
        <v/>
      </c>
      <c r="U37" s="116" t="str">
        <f aca="false">IF($B37="","",'مسير فبراير'!AG37)</f>
        <v/>
      </c>
      <c r="V37" s="116" t="str">
        <f aca="false">IF($B37="","",'مسير مارس'!AG37)</f>
        <v/>
      </c>
      <c r="W37" s="116" t="str">
        <f aca="false">IF($B37="","",'مسير أبريل'!AG37)</f>
        <v/>
      </c>
      <c r="X37" s="116" t="str">
        <f aca="false">IF($B37="","",'مسير مايو'!AG37)</f>
        <v/>
      </c>
      <c r="Y37" s="116" t="str">
        <f aca="false">IF($B37="","",'مسير يونيو'!AG37)</f>
        <v/>
      </c>
      <c r="Z37" s="116" t="str">
        <f aca="false">IF($B37="","",'مسير يوليو'!AG37)</f>
        <v/>
      </c>
      <c r="AA37" s="116" t="str">
        <f aca="false">IF($B37="","",'مسير أغسطس'!AG37)</f>
        <v/>
      </c>
      <c r="AB37" s="116" t="str">
        <f aca="false">IF($B37="","",'مسير سبتمبر'!AG37)</f>
        <v/>
      </c>
      <c r="AC37" s="116" t="str">
        <f aca="false">IF($B37="","",'مسير أكتوبر'!AG37)</f>
        <v/>
      </c>
      <c r="AD37" s="116" t="str">
        <f aca="false">IF($B37="","",'مسير نوفمبر'!AG37)</f>
        <v/>
      </c>
      <c r="AE37" s="116" t="str">
        <f aca="false">IF($B37="","",'مسير ديسمبر'!AG37)</f>
        <v/>
      </c>
      <c r="AF37" s="171" t="str">
        <f aca="false">IF($B37="","",IF(1&lt;=cfg_VAL_M,'مسير يناير'!AG37,0)+IF(2&lt;=cfg_VAL_M,'مسير فبراير'!AG37,0)+IF(3&lt;=cfg_VAL_M,'مسير مارس'!AG37,0)+IF(4&lt;=cfg_VAL_M,'مسير أبريل'!AG37,0)+IF(5&lt;=cfg_VAL_M,'مسير مايو'!AG37,0)+IF(6&lt;=cfg_VAL_M,'مسير يونيو'!AG37,0)+IF(7&lt;=cfg_VAL_M,'مسير يوليو'!AG37,0)+IF(8&lt;=cfg_VAL_M,'مسير أغسطس'!AG37,0)+IF(9&lt;=cfg_VAL_M,'مسير سبتمبر'!AG37,0)+IF(10&lt;=cfg_VAL_M,'مسير أكتوبر'!AG37,0)+IF(11&lt;=cfg_VAL_M,'مسير نوفمبر'!AG37,0)+IF(12&lt;=cfg_VAL_M,'مسير ديسمبر'!AG37,0))</f>
        <v/>
      </c>
      <c r="AG37" s="171" t="str">
        <f aca="false">IF($B37="","",IF(1&lt;=cfg_VAL_M,'مسير يناير'!Y37,0)+IF(2&lt;=cfg_VAL_M,'مسير فبراير'!Y37,0)+IF(3&lt;=cfg_VAL_M,'مسير مارس'!Y37,0)+IF(4&lt;=cfg_VAL_M,'مسير أبريل'!Y37,0)+IF(5&lt;=cfg_VAL_M,'مسير مايو'!Y37,0)+IF(6&lt;=cfg_VAL_M,'مسير يونيو'!Y37,0)+IF(7&lt;=cfg_VAL_M,'مسير يوليو'!Y37,0)+IF(8&lt;=cfg_VAL_M,'مسير أغسطس'!Y37,0)+IF(9&lt;=cfg_VAL_M,'مسير سبتمبر'!Y37,0)+IF(10&lt;=cfg_VAL_M,'مسير أكتوبر'!Y37,0)+IF(11&lt;=cfg_VAL_M,'مسير نوفمبر'!Y37,0)+IF(12&lt;=cfg_VAL_M,'مسير ديسمبر'!Y37,0))</f>
        <v/>
      </c>
      <c r="AH37" s="116" t="str">
        <f aca="false">IF($B37="","",AF37/cfg_VAL_M)</f>
        <v/>
      </c>
    </row>
    <row r="38" customFormat="false" ht="15" hidden="false" customHeight="false" outlineLevel="0" collapsed="false">
      <c r="B38" s="114" t="str">
        <f aca="false">IF(الموظفون!$B38="","",الموظفون!$B38)</f>
        <v/>
      </c>
      <c r="C38" s="114" t="str">
        <f aca="false">IF(الموظفون!$B38="","",الموظفون!$C38)</f>
        <v/>
      </c>
      <c r="D38" s="114" t="str">
        <f aca="false">IF(الموظفون!$B38="","",الموظفون!$F38)</f>
        <v/>
      </c>
      <c r="E38" s="114" t="str">
        <f aca="false">IF(الموظفون!$B38="","",الموظفون!$E38)</f>
        <v/>
      </c>
      <c r="F38" s="111" t="str">
        <f aca="false">IF($B38="","",'مسير يناير'!T38)</f>
        <v/>
      </c>
      <c r="G38" s="111" t="str">
        <f aca="false">IF($B38="","",'مسير فبراير'!T38)</f>
        <v/>
      </c>
      <c r="H38" s="111" t="str">
        <f aca="false">IF($B38="","",'مسير مارس'!T38)</f>
        <v/>
      </c>
      <c r="I38" s="111" t="str">
        <f aca="false">IF($B38="","",'مسير أبريل'!T38)</f>
        <v/>
      </c>
      <c r="J38" s="111" t="str">
        <f aca="false">IF($B38="","",'مسير مايو'!T38)</f>
        <v/>
      </c>
      <c r="K38" s="111" t="str">
        <f aca="false">IF($B38="","",'مسير يونيو'!T38)</f>
        <v/>
      </c>
      <c r="L38" s="111" t="str">
        <f aca="false">IF($B38="","",'مسير يوليو'!T38)</f>
        <v/>
      </c>
      <c r="M38" s="111" t="str">
        <f aca="false">IF($B38="","",'مسير أغسطس'!T38)</f>
        <v/>
      </c>
      <c r="N38" s="111" t="str">
        <f aca="false">IF($B38="","",'مسير سبتمبر'!T38)</f>
        <v/>
      </c>
      <c r="O38" s="111" t="str">
        <f aca="false">IF($B38="","",'مسير أكتوبر'!T38)</f>
        <v/>
      </c>
      <c r="P38" s="111" t="str">
        <f aca="false">IF($B38="","",'مسير نوفمبر'!T38)</f>
        <v/>
      </c>
      <c r="Q38" s="111" t="str">
        <f aca="false">IF($B38="","",'مسير ديسمبر'!T38)</f>
        <v/>
      </c>
      <c r="R38" s="170" t="str">
        <f aca="false">IF($B38="","",IF(1&lt;=cfg_VAL_M,'مسير يناير'!T38,0)+IF(2&lt;=cfg_VAL_M,'مسير فبراير'!T38,0)+IF(3&lt;=cfg_VAL_M,'مسير مارس'!T38,0)+IF(4&lt;=cfg_VAL_M,'مسير أبريل'!T38,0)+IF(5&lt;=cfg_VAL_M,'مسير مايو'!T38,0)+IF(6&lt;=cfg_VAL_M,'مسير يونيو'!T38,0)+IF(7&lt;=cfg_VAL_M,'مسير يوليو'!T38,0)+IF(8&lt;=cfg_VAL_M,'مسير أغسطس'!T38,0)+IF(9&lt;=cfg_VAL_M,'مسير سبتمبر'!T38,0)+IF(10&lt;=cfg_VAL_M,'مسير أكتوبر'!T38,0)+IF(11&lt;=cfg_VAL_M,'مسير نوفمبر'!T38,0)+IF(12&lt;=cfg_VAL_M,'مسير ديسمبر'!T38,0))</f>
        <v/>
      </c>
      <c r="T38" s="111" t="str">
        <f aca="false">IF($B38="","",'مسير يناير'!AG38)</f>
        <v/>
      </c>
      <c r="U38" s="111" t="str">
        <f aca="false">IF($B38="","",'مسير فبراير'!AG38)</f>
        <v/>
      </c>
      <c r="V38" s="111" t="str">
        <f aca="false">IF($B38="","",'مسير مارس'!AG38)</f>
        <v/>
      </c>
      <c r="W38" s="111" t="str">
        <f aca="false">IF($B38="","",'مسير أبريل'!AG38)</f>
        <v/>
      </c>
      <c r="X38" s="111" t="str">
        <f aca="false">IF($B38="","",'مسير مايو'!AG38)</f>
        <v/>
      </c>
      <c r="Y38" s="111" t="str">
        <f aca="false">IF($B38="","",'مسير يونيو'!AG38)</f>
        <v/>
      </c>
      <c r="Z38" s="111" t="str">
        <f aca="false">IF($B38="","",'مسير يوليو'!AG38)</f>
        <v/>
      </c>
      <c r="AA38" s="111" t="str">
        <f aca="false">IF($B38="","",'مسير أغسطس'!AG38)</f>
        <v/>
      </c>
      <c r="AB38" s="111" t="str">
        <f aca="false">IF($B38="","",'مسير سبتمبر'!AG38)</f>
        <v/>
      </c>
      <c r="AC38" s="111" t="str">
        <f aca="false">IF($B38="","",'مسير أكتوبر'!AG38)</f>
        <v/>
      </c>
      <c r="AD38" s="111" t="str">
        <f aca="false">IF($B38="","",'مسير نوفمبر'!AG38)</f>
        <v/>
      </c>
      <c r="AE38" s="111" t="str">
        <f aca="false">IF($B38="","",'مسير ديسمبر'!AG38)</f>
        <v/>
      </c>
      <c r="AF38" s="170" t="str">
        <f aca="false">IF($B38="","",IF(1&lt;=cfg_VAL_M,'مسير يناير'!AG38,0)+IF(2&lt;=cfg_VAL_M,'مسير فبراير'!AG38,0)+IF(3&lt;=cfg_VAL_M,'مسير مارس'!AG38,0)+IF(4&lt;=cfg_VAL_M,'مسير أبريل'!AG38,0)+IF(5&lt;=cfg_VAL_M,'مسير مايو'!AG38,0)+IF(6&lt;=cfg_VAL_M,'مسير يونيو'!AG38,0)+IF(7&lt;=cfg_VAL_M,'مسير يوليو'!AG38,0)+IF(8&lt;=cfg_VAL_M,'مسير أغسطس'!AG38,0)+IF(9&lt;=cfg_VAL_M,'مسير سبتمبر'!AG38,0)+IF(10&lt;=cfg_VAL_M,'مسير أكتوبر'!AG38,0)+IF(11&lt;=cfg_VAL_M,'مسير نوفمبر'!AG38,0)+IF(12&lt;=cfg_VAL_M,'مسير ديسمبر'!AG38,0))</f>
        <v/>
      </c>
      <c r="AG38" s="170" t="str">
        <f aca="false">IF($B38="","",IF(1&lt;=cfg_VAL_M,'مسير يناير'!Y38,0)+IF(2&lt;=cfg_VAL_M,'مسير فبراير'!Y38,0)+IF(3&lt;=cfg_VAL_M,'مسير مارس'!Y38,0)+IF(4&lt;=cfg_VAL_M,'مسير أبريل'!Y38,0)+IF(5&lt;=cfg_VAL_M,'مسير مايو'!Y38,0)+IF(6&lt;=cfg_VAL_M,'مسير يونيو'!Y38,0)+IF(7&lt;=cfg_VAL_M,'مسير يوليو'!Y38,0)+IF(8&lt;=cfg_VAL_M,'مسير أغسطس'!Y38,0)+IF(9&lt;=cfg_VAL_M,'مسير سبتمبر'!Y38,0)+IF(10&lt;=cfg_VAL_M,'مسير أكتوبر'!Y38,0)+IF(11&lt;=cfg_VAL_M,'مسير نوفمبر'!Y38,0)+IF(12&lt;=cfg_VAL_M,'مسير ديسمبر'!Y38,0))</f>
        <v/>
      </c>
      <c r="AH38" s="111" t="str">
        <f aca="false">IF($B38="","",AF38/cfg_VAL_M)</f>
        <v/>
      </c>
    </row>
    <row r="39" customFormat="false" ht="15" hidden="false" customHeight="false" outlineLevel="0" collapsed="false">
      <c r="B39" s="117" t="str">
        <f aca="false">IF(الموظفون!$B39="","",الموظفون!$B39)</f>
        <v/>
      </c>
      <c r="C39" s="117" t="str">
        <f aca="false">IF(الموظفون!$B39="","",الموظفون!$C39)</f>
        <v/>
      </c>
      <c r="D39" s="117" t="str">
        <f aca="false">IF(الموظفون!$B39="","",الموظفون!$F39)</f>
        <v/>
      </c>
      <c r="E39" s="117" t="str">
        <f aca="false">IF(الموظفون!$B39="","",الموظفون!$E39)</f>
        <v/>
      </c>
      <c r="F39" s="116" t="str">
        <f aca="false">IF($B39="","",'مسير يناير'!T39)</f>
        <v/>
      </c>
      <c r="G39" s="116" t="str">
        <f aca="false">IF($B39="","",'مسير فبراير'!T39)</f>
        <v/>
      </c>
      <c r="H39" s="116" t="str">
        <f aca="false">IF($B39="","",'مسير مارس'!T39)</f>
        <v/>
      </c>
      <c r="I39" s="116" t="str">
        <f aca="false">IF($B39="","",'مسير أبريل'!T39)</f>
        <v/>
      </c>
      <c r="J39" s="116" t="str">
        <f aca="false">IF($B39="","",'مسير مايو'!T39)</f>
        <v/>
      </c>
      <c r="K39" s="116" t="str">
        <f aca="false">IF($B39="","",'مسير يونيو'!T39)</f>
        <v/>
      </c>
      <c r="L39" s="116" t="str">
        <f aca="false">IF($B39="","",'مسير يوليو'!T39)</f>
        <v/>
      </c>
      <c r="M39" s="116" t="str">
        <f aca="false">IF($B39="","",'مسير أغسطس'!T39)</f>
        <v/>
      </c>
      <c r="N39" s="116" t="str">
        <f aca="false">IF($B39="","",'مسير سبتمبر'!T39)</f>
        <v/>
      </c>
      <c r="O39" s="116" t="str">
        <f aca="false">IF($B39="","",'مسير أكتوبر'!T39)</f>
        <v/>
      </c>
      <c r="P39" s="116" t="str">
        <f aca="false">IF($B39="","",'مسير نوفمبر'!T39)</f>
        <v/>
      </c>
      <c r="Q39" s="116" t="str">
        <f aca="false">IF($B39="","",'مسير ديسمبر'!T39)</f>
        <v/>
      </c>
      <c r="R39" s="171" t="str">
        <f aca="false">IF($B39="","",IF(1&lt;=cfg_VAL_M,'مسير يناير'!T39,0)+IF(2&lt;=cfg_VAL_M,'مسير فبراير'!T39,0)+IF(3&lt;=cfg_VAL_M,'مسير مارس'!T39,0)+IF(4&lt;=cfg_VAL_M,'مسير أبريل'!T39,0)+IF(5&lt;=cfg_VAL_M,'مسير مايو'!T39,0)+IF(6&lt;=cfg_VAL_M,'مسير يونيو'!T39,0)+IF(7&lt;=cfg_VAL_M,'مسير يوليو'!T39,0)+IF(8&lt;=cfg_VAL_M,'مسير أغسطس'!T39,0)+IF(9&lt;=cfg_VAL_M,'مسير سبتمبر'!T39,0)+IF(10&lt;=cfg_VAL_M,'مسير أكتوبر'!T39,0)+IF(11&lt;=cfg_VAL_M,'مسير نوفمبر'!T39,0)+IF(12&lt;=cfg_VAL_M,'مسير ديسمبر'!T39,0))</f>
        <v/>
      </c>
      <c r="T39" s="116" t="str">
        <f aca="false">IF($B39="","",'مسير يناير'!AG39)</f>
        <v/>
      </c>
      <c r="U39" s="116" t="str">
        <f aca="false">IF($B39="","",'مسير فبراير'!AG39)</f>
        <v/>
      </c>
      <c r="V39" s="116" t="str">
        <f aca="false">IF($B39="","",'مسير مارس'!AG39)</f>
        <v/>
      </c>
      <c r="W39" s="116" t="str">
        <f aca="false">IF($B39="","",'مسير أبريل'!AG39)</f>
        <v/>
      </c>
      <c r="X39" s="116" t="str">
        <f aca="false">IF($B39="","",'مسير مايو'!AG39)</f>
        <v/>
      </c>
      <c r="Y39" s="116" t="str">
        <f aca="false">IF($B39="","",'مسير يونيو'!AG39)</f>
        <v/>
      </c>
      <c r="Z39" s="116" t="str">
        <f aca="false">IF($B39="","",'مسير يوليو'!AG39)</f>
        <v/>
      </c>
      <c r="AA39" s="116" t="str">
        <f aca="false">IF($B39="","",'مسير أغسطس'!AG39)</f>
        <v/>
      </c>
      <c r="AB39" s="116" t="str">
        <f aca="false">IF($B39="","",'مسير سبتمبر'!AG39)</f>
        <v/>
      </c>
      <c r="AC39" s="116" t="str">
        <f aca="false">IF($B39="","",'مسير أكتوبر'!AG39)</f>
        <v/>
      </c>
      <c r="AD39" s="116" t="str">
        <f aca="false">IF($B39="","",'مسير نوفمبر'!AG39)</f>
        <v/>
      </c>
      <c r="AE39" s="116" t="str">
        <f aca="false">IF($B39="","",'مسير ديسمبر'!AG39)</f>
        <v/>
      </c>
      <c r="AF39" s="171" t="str">
        <f aca="false">IF($B39="","",IF(1&lt;=cfg_VAL_M,'مسير يناير'!AG39,0)+IF(2&lt;=cfg_VAL_M,'مسير فبراير'!AG39,0)+IF(3&lt;=cfg_VAL_M,'مسير مارس'!AG39,0)+IF(4&lt;=cfg_VAL_M,'مسير أبريل'!AG39,0)+IF(5&lt;=cfg_VAL_M,'مسير مايو'!AG39,0)+IF(6&lt;=cfg_VAL_M,'مسير يونيو'!AG39,0)+IF(7&lt;=cfg_VAL_M,'مسير يوليو'!AG39,0)+IF(8&lt;=cfg_VAL_M,'مسير أغسطس'!AG39,0)+IF(9&lt;=cfg_VAL_M,'مسير سبتمبر'!AG39,0)+IF(10&lt;=cfg_VAL_M,'مسير أكتوبر'!AG39,0)+IF(11&lt;=cfg_VAL_M,'مسير نوفمبر'!AG39,0)+IF(12&lt;=cfg_VAL_M,'مسير ديسمبر'!AG39,0))</f>
        <v/>
      </c>
      <c r="AG39" s="171" t="str">
        <f aca="false">IF($B39="","",IF(1&lt;=cfg_VAL_M,'مسير يناير'!Y39,0)+IF(2&lt;=cfg_VAL_M,'مسير فبراير'!Y39,0)+IF(3&lt;=cfg_VAL_M,'مسير مارس'!Y39,0)+IF(4&lt;=cfg_VAL_M,'مسير أبريل'!Y39,0)+IF(5&lt;=cfg_VAL_M,'مسير مايو'!Y39,0)+IF(6&lt;=cfg_VAL_M,'مسير يونيو'!Y39,0)+IF(7&lt;=cfg_VAL_M,'مسير يوليو'!Y39,0)+IF(8&lt;=cfg_VAL_M,'مسير أغسطس'!Y39,0)+IF(9&lt;=cfg_VAL_M,'مسير سبتمبر'!Y39,0)+IF(10&lt;=cfg_VAL_M,'مسير أكتوبر'!Y39,0)+IF(11&lt;=cfg_VAL_M,'مسير نوفمبر'!Y39,0)+IF(12&lt;=cfg_VAL_M,'مسير ديسمبر'!Y39,0))</f>
        <v/>
      </c>
      <c r="AH39" s="116" t="str">
        <f aca="false">IF($B39="","",AF39/cfg_VAL_M)</f>
        <v/>
      </c>
    </row>
    <row r="40" customFormat="false" ht="15" hidden="false" customHeight="false" outlineLevel="0" collapsed="false">
      <c r="B40" s="114" t="str">
        <f aca="false">IF(الموظفون!$B40="","",الموظفون!$B40)</f>
        <v/>
      </c>
      <c r="C40" s="114" t="str">
        <f aca="false">IF(الموظفون!$B40="","",الموظفون!$C40)</f>
        <v/>
      </c>
      <c r="D40" s="114" t="str">
        <f aca="false">IF(الموظفون!$B40="","",الموظفون!$F40)</f>
        <v/>
      </c>
      <c r="E40" s="114" t="str">
        <f aca="false">IF(الموظفون!$B40="","",الموظفون!$E40)</f>
        <v/>
      </c>
      <c r="F40" s="111" t="str">
        <f aca="false">IF($B40="","",'مسير يناير'!T40)</f>
        <v/>
      </c>
      <c r="G40" s="111" t="str">
        <f aca="false">IF($B40="","",'مسير فبراير'!T40)</f>
        <v/>
      </c>
      <c r="H40" s="111" t="str">
        <f aca="false">IF($B40="","",'مسير مارس'!T40)</f>
        <v/>
      </c>
      <c r="I40" s="111" t="str">
        <f aca="false">IF($B40="","",'مسير أبريل'!T40)</f>
        <v/>
      </c>
      <c r="J40" s="111" t="str">
        <f aca="false">IF($B40="","",'مسير مايو'!T40)</f>
        <v/>
      </c>
      <c r="K40" s="111" t="str">
        <f aca="false">IF($B40="","",'مسير يونيو'!T40)</f>
        <v/>
      </c>
      <c r="L40" s="111" t="str">
        <f aca="false">IF($B40="","",'مسير يوليو'!T40)</f>
        <v/>
      </c>
      <c r="M40" s="111" t="str">
        <f aca="false">IF($B40="","",'مسير أغسطس'!T40)</f>
        <v/>
      </c>
      <c r="N40" s="111" t="str">
        <f aca="false">IF($B40="","",'مسير سبتمبر'!T40)</f>
        <v/>
      </c>
      <c r="O40" s="111" t="str">
        <f aca="false">IF($B40="","",'مسير أكتوبر'!T40)</f>
        <v/>
      </c>
      <c r="P40" s="111" t="str">
        <f aca="false">IF($B40="","",'مسير نوفمبر'!T40)</f>
        <v/>
      </c>
      <c r="Q40" s="111" t="str">
        <f aca="false">IF($B40="","",'مسير ديسمبر'!T40)</f>
        <v/>
      </c>
      <c r="R40" s="170" t="str">
        <f aca="false">IF($B40="","",IF(1&lt;=cfg_VAL_M,'مسير يناير'!T40,0)+IF(2&lt;=cfg_VAL_M,'مسير فبراير'!T40,0)+IF(3&lt;=cfg_VAL_M,'مسير مارس'!T40,0)+IF(4&lt;=cfg_VAL_M,'مسير أبريل'!T40,0)+IF(5&lt;=cfg_VAL_M,'مسير مايو'!T40,0)+IF(6&lt;=cfg_VAL_M,'مسير يونيو'!T40,0)+IF(7&lt;=cfg_VAL_M,'مسير يوليو'!T40,0)+IF(8&lt;=cfg_VAL_M,'مسير أغسطس'!T40,0)+IF(9&lt;=cfg_VAL_M,'مسير سبتمبر'!T40,0)+IF(10&lt;=cfg_VAL_M,'مسير أكتوبر'!T40,0)+IF(11&lt;=cfg_VAL_M,'مسير نوفمبر'!T40,0)+IF(12&lt;=cfg_VAL_M,'مسير ديسمبر'!T40,0))</f>
        <v/>
      </c>
      <c r="T40" s="111" t="str">
        <f aca="false">IF($B40="","",'مسير يناير'!AG40)</f>
        <v/>
      </c>
      <c r="U40" s="111" t="str">
        <f aca="false">IF($B40="","",'مسير فبراير'!AG40)</f>
        <v/>
      </c>
      <c r="V40" s="111" t="str">
        <f aca="false">IF($B40="","",'مسير مارس'!AG40)</f>
        <v/>
      </c>
      <c r="W40" s="111" t="str">
        <f aca="false">IF($B40="","",'مسير أبريل'!AG40)</f>
        <v/>
      </c>
      <c r="X40" s="111" t="str">
        <f aca="false">IF($B40="","",'مسير مايو'!AG40)</f>
        <v/>
      </c>
      <c r="Y40" s="111" t="str">
        <f aca="false">IF($B40="","",'مسير يونيو'!AG40)</f>
        <v/>
      </c>
      <c r="Z40" s="111" t="str">
        <f aca="false">IF($B40="","",'مسير يوليو'!AG40)</f>
        <v/>
      </c>
      <c r="AA40" s="111" t="str">
        <f aca="false">IF($B40="","",'مسير أغسطس'!AG40)</f>
        <v/>
      </c>
      <c r="AB40" s="111" t="str">
        <f aca="false">IF($B40="","",'مسير سبتمبر'!AG40)</f>
        <v/>
      </c>
      <c r="AC40" s="111" t="str">
        <f aca="false">IF($B40="","",'مسير أكتوبر'!AG40)</f>
        <v/>
      </c>
      <c r="AD40" s="111" t="str">
        <f aca="false">IF($B40="","",'مسير نوفمبر'!AG40)</f>
        <v/>
      </c>
      <c r="AE40" s="111" t="str">
        <f aca="false">IF($B40="","",'مسير ديسمبر'!AG40)</f>
        <v/>
      </c>
      <c r="AF40" s="170" t="str">
        <f aca="false">IF($B40="","",IF(1&lt;=cfg_VAL_M,'مسير يناير'!AG40,0)+IF(2&lt;=cfg_VAL_M,'مسير فبراير'!AG40,0)+IF(3&lt;=cfg_VAL_M,'مسير مارس'!AG40,0)+IF(4&lt;=cfg_VAL_M,'مسير أبريل'!AG40,0)+IF(5&lt;=cfg_VAL_M,'مسير مايو'!AG40,0)+IF(6&lt;=cfg_VAL_M,'مسير يونيو'!AG40,0)+IF(7&lt;=cfg_VAL_M,'مسير يوليو'!AG40,0)+IF(8&lt;=cfg_VAL_M,'مسير أغسطس'!AG40,0)+IF(9&lt;=cfg_VAL_M,'مسير سبتمبر'!AG40,0)+IF(10&lt;=cfg_VAL_M,'مسير أكتوبر'!AG40,0)+IF(11&lt;=cfg_VAL_M,'مسير نوفمبر'!AG40,0)+IF(12&lt;=cfg_VAL_M,'مسير ديسمبر'!AG40,0))</f>
        <v/>
      </c>
      <c r="AG40" s="170" t="str">
        <f aca="false">IF($B40="","",IF(1&lt;=cfg_VAL_M,'مسير يناير'!Y40,0)+IF(2&lt;=cfg_VAL_M,'مسير فبراير'!Y40,0)+IF(3&lt;=cfg_VAL_M,'مسير مارس'!Y40,0)+IF(4&lt;=cfg_VAL_M,'مسير أبريل'!Y40,0)+IF(5&lt;=cfg_VAL_M,'مسير مايو'!Y40,0)+IF(6&lt;=cfg_VAL_M,'مسير يونيو'!Y40,0)+IF(7&lt;=cfg_VAL_M,'مسير يوليو'!Y40,0)+IF(8&lt;=cfg_VAL_M,'مسير أغسطس'!Y40,0)+IF(9&lt;=cfg_VAL_M,'مسير سبتمبر'!Y40,0)+IF(10&lt;=cfg_VAL_M,'مسير أكتوبر'!Y40,0)+IF(11&lt;=cfg_VAL_M,'مسير نوفمبر'!Y40,0)+IF(12&lt;=cfg_VAL_M,'مسير ديسمبر'!Y40,0))</f>
        <v/>
      </c>
      <c r="AH40" s="111" t="str">
        <f aca="false">IF($B40="","",AF40/cfg_VAL_M)</f>
        <v/>
      </c>
    </row>
    <row r="41" customFormat="false" ht="15" hidden="false" customHeight="false" outlineLevel="0" collapsed="false">
      <c r="B41" s="117" t="str">
        <f aca="false">IF(الموظفون!$B41="","",الموظفون!$B41)</f>
        <v/>
      </c>
      <c r="C41" s="117" t="str">
        <f aca="false">IF(الموظفون!$B41="","",الموظفون!$C41)</f>
        <v/>
      </c>
      <c r="D41" s="117" t="str">
        <f aca="false">IF(الموظفون!$B41="","",الموظفون!$F41)</f>
        <v/>
      </c>
      <c r="E41" s="117" t="str">
        <f aca="false">IF(الموظفون!$B41="","",الموظفون!$E41)</f>
        <v/>
      </c>
      <c r="F41" s="116" t="str">
        <f aca="false">IF($B41="","",'مسير يناير'!T41)</f>
        <v/>
      </c>
      <c r="G41" s="116" t="str">
        <f aca="false">IF($B41="","",'مسير فبراير'!T41)</f>
        <v/>
      </c>
      <c r="H41" s="116" t="str">
        <f aca="false">IF($B41="","",'مسير مارس'!T41)</f>
        <v/>
      </c>
      <c r="I41" s="116" t="str">
        <f aca="false">IF($B41="","",'مسير أبريل'!T41)</f>
        <v/>
      </c>
      <c r="J41" s="116" t="str">
        <f aca="false">IF($B41="","",'مسير مايو'!T41)</f>
        <v/>
      </c>
      <c r="K41" s="116" t="str">
        <f aca="false">IF($B41="","",'مسير يونيو'!T41)</f>
        <v/>
      </c>
      <c r="L41" s="116" t="str">
        <f aca="false">IF($B41="","",'مسير يوليو'!T41)</f>
        <v/>
      </c>
      <c r="M41" s="116" t="str">
        <f aca="false">IF($B41="","",'مسير أغسطس'!T41)</f>
        <v/>
      </c>
      <c r="N41" s="116" t="str">
        <f aca="false">IF($B41="","",'مسير سبتمبر'!T41)</f>
        <v/>
      </c>
      <c r="O41" s="116" t="str">
        <f aca="false">IF($B41="","",'مسير أكتوبر'!T41)</f>
        <v/>
      </c>
      <c r="P41" s="116" t="str">
        <f aca="false">IF($B41="","",'مسير نوفمبر'!T41)</f>
        <v/>
      </c>
      <c r="Q41" s="116" t="str">
        <f aca="false">IF($B41="","",'مسير ديسمبر'!T41)</f>
        <v/>
      </c>
      <c r="R41" s="171" t="str">
        <f aca="false">IF($B41="","",IF(1&lt;=cfg_VAL_M,'مسير يناير'!T41,0)+IF(2&lt;=cfg_VAL_M,'مسير فبراير'!T41,0)+IF(3&lt;=cfg_VAL_M,'مسير مارس'!T41,0)+IF(4&lt;=cfg_VAL_M,'مسير أبريل'!T41,0)+IF(5&lt;=cfg_VAL_M,'مسير مايو'!T41,0)+IF(6&lt;=cfg_VAL_M,'مسير يونيو'!T41,0)+IF(7&lt;=cfg_VAL_M,'مسير يوليو'!T41,0)+IF(8&lt;=cfg_VAL_M,'مسير أغسطس'!T41,0)+IF(9&lt;=cfg_VAL_M,'مسير سبتمبر'!T41,0)+IF(10&lt;=cfg_VAL_M,'مسير أكتوبر'!T41,0)+IF(11&lt;=cfg_VAL_M,'مسير نوفمبر'!T41,0)+IF(12&lt;=cfg_VAL_M,'مسير ديسمبر'!T41,0))</f>
        <v/>
      </c>
      <c r="T41" s="116" t="str">
        <f aca="false">IF($B41="","",'مسير يناير'!AG41)</f>
        <v/>
      </c>
      <c r="U41" s="116" t="str">
        <f aca="false">IF($B41="","",'مسير فبراير'!AG41)</f>
        <v/>
      </c>
      <c r="V41" s="116" t="str">
        <f aca="false">IF($B41="","",'مسير مارس'!AG41)</f>
        <v/>
      </c>
      <c r="W41" s="116" t="str">
        <f aca="false">IF($B41="","",'مسير أبريل'!AG41)</f>
        <v/>
      </c>
      <c r="X41" s="116" t="str">
        <f aca="false">IF($B41="","",'مسير مايو'!AG41)</f>
        <v/>
      </c>
      <c r="Y41" s="116" t="str">
        <f aca="false">IF($B41="","",'مسير يونيو'!AG41)</f>
        <v/>
      </c>
      <c r="Z41" s="116" t="str">
        <f aca="false">IF($B41="","",'مسير يوليو'!AG41)</f>
        <v/>
      </c>
      <c r="AA41" s="116" t="str">
        <f aca="false">IF($B41="","",'مسير أغسطس'!AG41)</f>
        <v/>
      </c>
      <c r="AB41" s="116" t="str">
        <f aca="false">IF($B41="","",'مسير سبتمبر'!AG41)</f>
        <v/>
      </c>
      <c r="AC41" s="116" t="str">
        <f aca="false">IF($B41="","",'مسير أكتوبر'!AG41)</f>
        <v/>
      </c>
      <c r="AD41" s="116" t="str">
        <f aca="false">IF($B41="","",'مسير نوفمبر'!AG41)</f>
        <v/>
      </c>
      <c r="AE41" s="116" t="str">
        <f aca="false">IF($B41="","",'مسير ديسمبر'!AG41)</f>
        <v/>
      </c>
      <c r="AF41" s="171" t="str">
        <f aca="false">IF($B41="","",IF(1&lt;=cfg_VAL_M,'مسير يناير'!AG41,0)+IF(2&lt;=cfg_VAL_M,'مسير فبراير'!AG41,0)+IF(3&lt;=cfg_VAL_M,'مسير مارس'!AG41,0)+IF(4&lt;=cfg_VAL_M,'مسير أبريل'!AG41,0)+IF(5&lt;=cfg_VAL_M,'مسير مايو'!AG41,0)+IF(6&lt;=cfg_VAL_M,'مسير يونيو'!AG41,0)+IF(7&lt;=cfg_VAL_M,'مسير يوليو'!AG41,0)+IF(8&lt;=cfg_VAL_M,'مسير أغسطس'!AG41,0)+IF(9&lt;=cfg_VAL_M,'مسير سبتمبر'!AG41,0)+IF(10&lt;=cfg_VAL_M,'مسير أكتوبر'!AG41,0)+IF(11&lt;=cfg_VAL_M,'مسير نوفمبر'!AG41,0)+IF(12&lt;=cfg_VAL_M,'مسير ديسمبر'!AG41,0))</f>
        <v/>
      </c>
      <c r="AG41" s="171" t="str">
        <f aca="false">IF($B41="","",IF(1&lt;=cfg_VAL_M,'مسير يناير'!Y41,0)+IF(2&lt;=cfg_VAL_M,'مسير فبراير'!Y41,0)+IF(3&lt;=cfg_VAL_M,'مسير مارس'!Y41,0)+IF(4&lt;=cfg_VAL_M,'مسير أبريل'!Y41,0)+IF(5&lt;=cfg_VAL_M,'مسير مايو'!Y41,0)+IF(6&lt;=cfg_VAL_M,'مسير يونيو'!Y41,0)+IF(7&lt;=cfg_VAL_M,'مسير يوليو'!Y41,0)+IF(8&lt;=cfg_VAL_M,'مسير أغسطس'!Y41,0)+IF(9&lt;=cfg_VAL_M,'مسير سبتمبر'!Y41,0)+IF(10&lt;=cfg_VAL_M,'مسير أكتوبر'!Y41,0)+IF(11&lt;=cfg_VAL_M,'مسير نوفمبر'!Y41,0)+IF(12&lt;=cfg_VAL_M,'مسير ديسمبر'!Y41,0))</f>
        <v/>
      </c>
      <c r="AH41" s="116" t="str">
        <f aca="false">IF($B41="","",AF41/cfg_VAL_M)</f>
        <v/>
      </c>
    </row>
    <row r="42" customFormat="false" ht="15" hidden="false" customHeight="false" outlineLevel="0" collapsed="false">
      <c r="B42" s="114" t="str">
        <f aca="false">IF(الموظفون!$B42="","",الموظفون!$B42)</f>
        <v/>
      </c>
      <c r="C42" s="114" t="str">
        <f aca="false">IF(الموظفون!$B42="","",الموظفون!$C42)</f>
        <v/>
      </c>
      <c r="D42" s="114" t="str">
        <f aca="false">IF(الموظفون!$B42="","",الموظفون!$F42)</f>
        <v/>
      </c>
      <c r="E42" s="114" t="str">
        <f aca="false">IF(الموظفون!$B42="","",الموظفون!$E42)</f>
        <v/>
      </c>
      <c r="F42" s="111" t="str">
        <f aca="false">IF($B42="","",'مسير يناير'!T42)</f>
        <v/>
      </c>
      <c r="G42" s="111" t="str">
        <f aca="false">IF($B42="","",'مسير فبراير'!T42)</f>
        <v/>
      </c>
      <c r="H42" s="111" t="str">
        <f aca="false">IF($B42="","",'مسير مارس'!T42)</f>
        <v/>
      </c>
      <c r="I42" s="111" t="str">
        <f aca="false">IF($B42="","",'مسير أبريل'!T42)</f>
        <v/>
      </c>
      <c r="J42" s="111" t="str">
        <f aca="false">IF($B42="","",'مسير مايو'!T42)</f>
        <v/>
      </c>
      <c r="K42" s="111" t="str">
        <f aca="false">IF($B42="","",'مسير يونيو'!T42)</f>
        <v/>
      </c>
      <c r="L42" s="111" t="str">
        <f aca="false">IF($B42="","",'مسير يوليو'!T42)</f>
        <v/>
      </c>
      <c r="M42" s="111" t="str">
        <f aca="false">IF($B42="","",'مسير أغسطس'!T42)</f>
        <v/>
      </c>
      <c r="N42" s="111" t="str">
        <f aca="false">IF($B42="","",'مسير سبتمبر'!T42)</f>
        <v/>
      </c>
      <c r="O42" s="111" t="str">
        <f aca="false">IF($B42="","",'مسير أكتوبر'!T42)</f>
        <v/>
      </c>
      <c r="P42" s="111" t="str">
        <f aca="false">IF($B42="","",'مسير نوفمبر'!T42)</f>
        <v/>
      </c>
      <c r="Q42" s="111" t="str">
        <f aca="false">IF($B42="","",'مسير ديسمبر'!T42)</f>
        <v/>
      </c>
      <c r="R42" s="170" t="str">
        <f aca="false">IF($B42="","",IF(1&lt;=cfg_VAL_M,'مسير يناير'!T42,0)+IF(2&lt;=cfg_VAL_M,'مسير فبراير'!T42,0)+IF(3&lt;=cfg_VAL_M,'مسير مارس'!T42,0)+IF(4&lt;=cfg_VAL_M,'مسير أبريل'!T42,0)+IF(5&lt;=cfg_VAL_M,'مسير مايو'!T42,0)+IF(6&lt;=cfg_VAL_M,'مسير يونيو'!T42,0)+IF(7&lt;=cfg_VAL_M,'مسير يوليو'!T42,0)+IF(8&lt;=cfg_VAL_M,'مسير أغسطس'!T42,0)+IF(9&lt;=cfg_VAL_M,'مسير سبتمبر'!T42,0)+IF(10&lt;=cfg_VAL_M,'مسير أكتوبر'!T42,0)+IF(11&lt;=cfg_VAL_M,'مسير نوفمبر'!T42,0)+IF(12&lt;=cfg_VAL_M,'مسير ديسمبر'!T42,0))</f>
        <v/>
      </c>
      <c r="T42" s="111" t="str">
        <f aca="false">IF($B42="","",'مسير يناير'!AG42)</f>
        <v/>
      </c>
      <c r="U42" s="111" t="str">
        <f aca="false">IF($B42="","",'مسير فبراير'!AG42)</f>
        <v/>
      </c>
      <c r="V42" s="111" t="str">
        <f aca="false">IF($B42="","",'مسير مارس'!AG42)</f>
        <v/>
      </c>
      <c r="W42" s="111" t="str">
        <f aca="false">IF($B42="","",'مسير أبريل'!AG42)</f>
        <v/>
      </c>
      <c r="X42" s="111" t="str">
        <f aca="false">IF($B42="","",'مسير مايو'!AG42)</f>
        <v/>
      </c>
      <c r="Y42" s="111" t="str">
        <f aca="false">IF($B42="","",'مسير يونيو'!AG42)</f>
        <v/>
      </c>
      <c r="Z42" s="111" t="str">
        <f aca="false">IF($B42="","",'مسير يوليو'!AG42)</f>
        <v/>
      </c>
      <c r="AA42" s="111" t="str">
        <f aca="false">IF($B42="","",'مسير أغسطس'!AG42)</f>
        <v/>
      </c>
      <c r="AB42" s="111" t="str">
        <f aca="false">IF($B42="","",'مسير سبتمبر'!AG42)</f>
        <v/>
      </c>
      <c r="AC42" s="111" t="str">
        <f aca="false">IF($B42="","",'مسير أكتوبر'!AG42)</f>
        <v/>
      </c>
      <c r="AD42" s="111" t="str">
        <f aca="false">IF($B42="","",'مسير نوفمبر'!AG42)</f>
        <v/>
      </c>
      <c r="AE42" s="111" t="str">
        <f aca="false">IF($B42="","",'مسير ديسمبر'!AG42)</f>
        <v/>
      </c>
      <c r="AF42" s="170" t="str">
        <f aca="false">IF($B42="","",IF(1&lt;=cfg_VAL_M,'مسير يناير'!AG42,0)+IF(2&lt;=cfg_VAL_M,'مسير فبراير'!AG42,0)+IF(3&lt;=cfg_VAL_M,'مسير مارس'!AG42,0)+IF(4&lt;=cfg_VAL_M,'مسير أبريل'!AG42,0)+IF(5&lt;=cfg_VAL_M,'مسير مايو'!AG42,0)+IF(6&lt;=cfg_VAL_M,'مسير يونيو'!AG42,0)+IF(7&lt;=cfg_VAL_M,'مسير يوليو'!AG42,0)+IF(8&lt;=cfg_VAL_M,'مسير أغسطس'!AG42,0)+IF(9&lt;=cfg_VAL_M,'مسير سبتمبر'!AG42,0)+IF(10&lt;=cfg_VAL_M,'مسير أكتوبر'!AG42,0)+IF(11&lt;=cfg_VAL_M,'مسير نوفمبر'!AG42,0)+IF(12&lt;=cfg_VAL_M,'مسير ديسمبر'!AG42,0))</f>
        <v/>
      </c>
      <c r="AG42" s="170" t="str">
        <f aca="false">IF($B42="","",IF(1&lt;=cfg_VAL_M,'مسير يناير'!Y42,0)+IF(2&lt;=cfg_VAL_M,'مسير فبراير'!Y42,0)+IF(3&lt;=cfg_VAL_M,'مسير مارس'!Y42,0)+IF(4&lt;=cfg_VAL_M,'مسير أبريل'!Y42,0)+IF(5&lt;=cfg_VAL_M,'مسير مايو'!Y42,0)+IF(6&lt;=cfg_VAL_M,'مسير يونيو'!Y42,0)+IF(7&lt;=cfg_VAL_M,'مسير يوليو'!Y42,0)+IF(8&lt;=cfg_VAL_M,'مسير أغسطس'!Y42,0)+IF(9&lt;=cfg_VAL_M,'مسير سبتمبر'!Y42,0)+IF(10&lt;=cfg_VAL_M,'مسير أكتوبر'!Y42,0)+IF(11&lt;=cfg_VAL_M,'مسير نوفمبر'!Y42,0)+IF(12&lt;=cfg_VAL_M,'مسير ديسمبر'!Y42,0))</f>
        <v/>
      </c>
      <c r="AH42" s="111" t="str">
        <f aca="false">IF($B42="","",AF42/cfg_VAL_M)</f>
        <v/>
      </c>
    </row>
    <row r="43" customFormat="false" ht="15" hidden="false" customHeight="false" outlineLevel="0" collapsed="false">
      <c r="B43" s="117" t="str">
        <f aca="false">IF(الموظفون!$B43="","",الموظفون!$B43)</f>
        <v/>
      </c>
      <c r="C43" s="117" t="str">
        <f aca="false">IF(الموظفون!$B43="","",الموظفون!$C43)</f>
        <v/>
      </c>
      <c r="D43" s="117" t="str">
        <f aca="false">IF(الموظفون!$B43="","",الموظفون!$F43)</f>
        <v/>
      </c>
      <c r="E43" s="117" t="str">
        <f aca="false">IF(الموظفون!$B43="","",الموظفون!$E43)</f>
        <v/>
      </c>
      <c r="F43" s="116" t="str">
        <f aca="false">IF($B43="","",'مسير يناير'!T43)</f>
        <v/>
      </c>
      <c r="G43" s="116" t="str">
        <f aca="false">IF($B43="","",'مسير فبراير'!T43)</f>
        <v/>
      </c>
      <c r="H43" s="116" t="str">
        <f aca="false">IF($B43="","",'مسير مارس'!T43)</f>
        <v/>
      </c>
      <c r="I43" s="116" t="str">
        <f aca="false">IF($B43="","",'مسير أبريل'!T43)</f>
        <v/>
      </c>
      <c r="J43" s="116" t="str">
        <f aca="false">IF($B43="","",'مسير مايو'!T43)</f>
        <v/>
      </c>
      <c r="K43" s="116" t="str">
        <f aca="false">IF($B43="","",'مسير يونيو'!T43)</f>
        <v/>
      </c>
      <c r="L43" s="116" t="str">
        <f aca="false">IF($B43="","",'مسير يوليو'!T43)</f>
        <v/>
      </c>
      <c r="M43" s="116" t="str">
        <f aca="false">IF($B43="","",'مسير أغسطس'!T43)</f>
        <v/>
      </c>
      <c r="N43" s="116" t="str">
        <f aca="false">IF($B43="","",'مسير سبتمبر'!T43)</f>
        <v/>
      </c>
      <c r="O43" s="116" t="str">
        <f aca="false">IF($B43="","",'مسير أكتوبر'!T43)</f>
        <v/>
      </c>
      <c r="P43" s="116" t="str">
        <f aca="false">IF($B43="","",'مسير نوفمبر'!T43)</f>
        <v/>
      </c>
      <c r="Q43" s="116" t="str">
        <f aca="false">IF($B43="","",'مسير ديسمبر'!T43)</f>
        <v/>
      </c>
      <c r="R43" s="171" t="str">
        <f aca="false">IF($B43="","",IF(1&lt;=cfg_VAL_M,'مسير يناير'!T43,0)+IF(2&lt;=cfg_VAL_M,'مسير فبراير'!T43,0)+IF(3&lt;=cfg_VAL_M,'مسير مارس'!T43,0)+IF(4&lt;=cfg_VAL_M,'مسير أبريل'!T43,0)+IF(5&lt;=cfg_VAL_M,'مسير مايو'!T43,0)+IF(6&lt;=cfg_VAL_M,'مسير يونيو'!T43,0)+IF(7&lt;=cfg_VAL_M,'مسير يوليو'!T43,0)+IF(8&lt;=cfg_VAL_M,'مسير أغسطس'!T43,0)+IF(9&lt;=cfg_VAL_M,'مسير سبتمبر'!T43,0)+IF(10&lt;=cfg_VAL_M,'مسير أكتوبر'!T43,0)+IF(11&lt;=cfg_VAL_M,'مسير نوفمبر'!T43,0)+IF(12&lt;=cfg_VAL_M,'مسير ديسمبر'!T43,0))</f>
        <v/>
      </c>
      <c r="T43" s="116" t="str">
        <f aca="false">IF($B43="","",'مسير يناير'!AG43)</f>
        <v/>
      </c>
      <c r="U43" s="116" t="str">
        <f aca="false">IF($B43="","",'مسير فبراير'!AG43)</f>
        <v/>
      </c>
      <c r="V43" s="116" t="str">
        <f aca="false">IF($B43="","",'مسير مارس'!AG43)</f>
        <v/>
      </c>
      <c r="W43" s="116" t="str">
        <f aca="false">IF($B43="","",'مسير أبريل'!AG43)</f>
        <v/>
      </c>
      <c r="X43" s="116" t="str">
        <f aca="false">IF($B43="","",'مسير مايو'!AG43)</f>
        <v/>
      </c>
      <c r="Y43" s="116" t="str">
        <f aca="false">IF($B43="","",'مسير يونيو'!AG43)</f>
        <v/>
      </c>
      <c r="Z43" s="116" t="str">
        <f aca="false">IF($B43="","",'مسير يوليو'!AG43)</f>
        <v/>
      </c>
      <c r="AA43" s="116" t="str">
        <f aca="false">IF($B43="","",'مسير أغسطس'!AG43)</f>
        <v/>
      </c>
      <c r="AB43" s="116" t="str">
        <f aca="false">IF($B43="","",'مسير سبتمبر'!AG43)</f>
        <v/>
      </c>
      <c r="AC43" s="116" t="str">
        <f aca="false">IF($B43="","",'مسير أكتوبر'!AG43)</f>
        <v/>
      </c>
      <c r="AD43" s="116" t="str">
        <f aca="false">IF($B43="","",'مسير نوفمبر'!AG43)</f>
        <v/>
      </c>
      <c r="AE43" s="116" t="str">
        <f aca="false">IF($B43="","",'مسير ديسمبر'!AG43)</f>
        <v/>
      </c>
      <c r="AF43" s="171" t="str">
        <f aca="false">IF($B43="","",IF(1&lt;=cfg_VAL_M,'مسير يناير'!AG43,0)+IF(2&lt;=cfg_VAL_M,'مسير فبراير'!AG43,0)+IF(3&lt;=cfg_VAL_M,'مسير مارس'!AG43,0)+IF(4&lt;=cfg_VAL_M,'مسير أبريل'!AG43,0)+IF(5&lt;=cfg_VAL_M,'مسير مايو'!AG43,0)+IF(6&lt;=cfg_VAL_M,'مسير يونيو'!AG43,0)+IF(7&lt;=cfg_VAL_M,'مسير يوليو'!AG43,0)+IF(8&lt;=cfg_VAL_M,'مسير أغسطس'!AG43,0)+IF(9&lt;=cfg_VAL_M,'مسير سبتمبر'!AG43,0)+IF(10&lt;=cfg_VAL_M,'مسير أكتوبر'!AG43,0)+IF(11&lt;=cfg_VAL_M,'مسير نوفمبر'!AG43,0)+IF(12&lt;=cfg_VAL_M,'مسير ديسمبر'!AG43,0))</f>
        <v/>
      </c>
      <c r="AG43" s="171" t="str">
        <f aca="false">IF($B43="","",IF(1&lt;=cfg_VAL_M,'مسير يناير'!Y43,0)+IF(2&lt;=cfg_VAL_M,'مسير فبراير'!Y43,0)+IF(3&lt;=cfg_VAL_M,'مسير مارس'!Y43,0)+IF(4&lt;=cfg_VAL_M,'مسير أبريل'!Y43,0)+IF(5&lt;=cfg_VAL_M,'مسير مايو'!Y43,0)+IF(6&lt;=cfg_VAL_M,'مسير يونيو'!Y43,0)+IF(7&lt;=cfg_VAL_M,'مسير يوليو'!Y43,0)+IF(8&lt;=cfg_VAL_M,'مسير أغسطس'!Y43,0)+IF(9&lt;=cfg_VAL_M,'مسير سبتمبر'!Y43,0)+IF(10&lt;=cfg_VAL_M,'مسير أكتوبر'!Y43,0)+IF(11&lt;=cfg_VAL_M,'مسير نوفمبر'!Y43,0)+IF(12&lt;=cfg_VAL_M,'مسير ديسمبر'!Y43,0))</f>
        <v/>
      </c>
      <c r="AH43" s="116" t="str">
        <f aca="false">IF($B43="","",AF43/cfg_VAL_M)</f>
        <v/>
      </c>
    </row>
    <row r="44" customFormat="false" ht="15" hidden="false" customHeight="false" outlineLevel="0" collapsed="false">
      <c r="B44" s="114" t="str">
        <f aca="false">IF(الموظفون!$B44="","",الموظفون!$B44)</f>
        <v/>
      </c>
      <c r="C44" s="114" t="str">
        <f aca="false">IF(الموظفون!$B44="","",الموظفون!$C44)</f>
        <v/>
      </c>
      <c r="D44" s="114" t="str">
        <f aca="false">IF(الموظفون!$B44="","",الموظفون!$F44)</f>
        <v/>
      </c>
      <c r="E44" s="114" t="str">
        <f aca="false">IF(الموظفون!$B44="","",الموظفون!$E44)</f>
        <v/>
      </c>
      <c r="F44" s="111" t="str">
        <f aca="false">IF($B44="","",'مسير يناير'!T44)</f>
        <v/>
      </c>
      <c r="G44" s="111" t="str">
        <f aca="false">IF($B44="","",'مسير فبراير'!T44)</f>
        <v/>
      </c>
      <c r="H44" s="111" t="str">
        <f aca="false">IF($B44="","",'مسير مارس'!T44)</f>
        <v/>
      </c>
      <c r="I44" s="111" t="str">
        <f aca="false">IF($B44="","",'مسير أبريل'!T44)</f>
        <v/>
      </c>
      <c r="J44" s="111" t="str">
        <f aca="false">IF($B44="","",'مسير مايو'!T44)</f>
        <v/>
      </c>
      <c r="K44" s="111" t="str">
        <f aca="false">IF($B44="","",'مسير يونيو'!T44)</f>
        <v/>
      </c>
      <c r="L44" s="111" t="str">
        <f aca="false">IF($B44="","",'مسير يوليو'!T44)</f>
        <v/>
      </c>
      <c r="M44" s="111" t="str">
        <f aca="false">IF($B44="","",'مسير أغسطس'!T44)</f>
        <v/>
      </c>
      <c r="N44" s="111" t="str">
        <f aca="false">IF($B44="","",'مسير سبتمبر'!T44)</f>
        <v/>
      </c>
      <c r="O44" s="111" t="str">
        <f aca="false">IF($B44="","",'مسير أكتوبر'!T44)</f>
        <v/>
      </c>
      <c r="P44" s="111" t="str">
        <f aca="false">IF($B44="","",'مسير نوفمبر'!T44)</f>
        <v/>
      </c>
      <c r="Q44" s="111" t="str">
        <f aca="false">IF($B44="","",'مسير ديسمبر'!T44)</f>
        <v/>
      </c>
      <c r="R44" s="170" t="str">
        <f aca="false">IF($B44="","",IF(1&lt;=cfg_VAL_M,'مسير يناير'!T44,0)+IF(2&lt;=cfg_VAL_M,'مسير فبراير'!T44,0)+IF(3&lt;=cfg_VAL_M,'مسير مارس'!T44,0)+IF(4&lt;=cfg_VAL_M,'مسير أبريل'!T44,0)+IF(5&lt;=cfg_VAL_M,'مسير مايو'!T44,0)+IF(6&lt;=cfg_VAL_M,'مسير يونيو'!T44,0)+IF(7&lt;=cfg_VAL_M,'مسير يوليو'!T44,0)+IF(8&lt;=cfg_VAL_M,'مسير أغسطس'!T44,0)+IF(9&lt;=cfg_VAL_M,'مسير سبتمبر'!T44,0)+IF(10&lt;=cfg_VAL_M,'مسير أكتوبر'!T44,0)+IF(11&lt;=cfg_VAL_M,'مسير نوفمبر'!T44,0)+IF(12&lt;=cfg_VAL_M,'مسير ديسمبر'!T44,0))</f>
        <v/>
      </c>
      <c r="T44" s="111" t="str">
        <f aca="false">IF($B44="","",'مسير يناير'!AG44)</f>
        <v/>
      </c>
      <c r="U44" s="111" t="str">
        <f aca="false">IF($B44="","",'مسير فبراير'!AG44)</f>
        <v/>
      </c>
      <c r="V44" s="111" t="str">
        <f aca="false">IF($B44="","",'مسير مارس'!AG44)</f>
        <v/>
      </c>
      <c r="W44" s="111" t="str">
        <f aca="false">IF($B44="","",'مسير أبريل'!AG44)</f>
        <v/>
      </c>
      <c r="X44" s="111" t="str">
        <f aca="false">IF($B44="","",'مسير مايو'!AG44)</f>
        <v/>
      </c>
      <c r="Y44" s="111" t="str">
        <f aca="false">IF($B44="","",'مسير يونيو'!AG44)</f>
        <v/>
      </c>
      <c r="Z44" s="111" t="str">
        <f aca="false">IF($B44="","",'مسير يوليو'!AG44)</f>
        <v/>
      </c>
      <c r="AA44" s="111" t="str">
        <f aca="false">IF($B44="","",'مسير أغسطس'!AG44)</f>
        <v/>
      </c>
      <c r="AB44" s="111" t="str">
        <f aca="false">IF($B44="","",'مسير سبتمبر'!AG44)</f>
        <v/>
      </c>
      <c r="AC44" s="111" t="str">
        <f aca="false">IF($B44="","",'مسير أكتوبر'!AG44)</f>
        <v/>
      </c>
      <c r="AD44" s="111" t="str">
        <f aca="false">IF($B44="","",'مسير نوفمبر'!AG44)</f>
        <v/>
      </c>
      <c r="AE44" s="111" t="str">
        <f aca="false">IF($B44="","",'مسير ديسمبر'!AG44)</f>
        <v/>
      </c>
      <c r="AF44" s="170" t="str">
        <f aca="false">IF($B44="","",IF(1&lt;=cfg_VAL_M,'مسير يناير'!AG44,0)+IF(2&lt;=cfg_VAL_M,'مسير فبراير'!AG44,0)+IF(3&lt;=cfg_VAL_M,'مسير مارس'!AG44,0)+IF(4&lt;=cfg_VAL_M,'مسير أبريل'!AG44,0)+IF(5&lt;=cfg_VAL_M,'مسير مايو'!AG44,0)+IF(6&lt;=cfg_VAL_M,'مسير يونيو'!AG44,0)+IF(7&lt;=cfg_VAL_M,'مسير يوليو'!AG44,0)+IF(8&lt;=cfg_VAL_M,'مسير أغسطس'!AG44,0)+IF(9&lt;=cfg_VAL_M,'مسير سبتمبر'!AG44,0)+IF(10&lt;=cfg_VAL_M,'مسير أكتوبر'!AG44,0)+IF(11&lt;=cfg_VAL_M,'مسير نوفمبر'!AG44,0)+IF(12&lt;=cfg_VAL_M,'مسير ديسمبر'!AG44,0))</f>
        <v/>
      </c>
      <c r="AG44" s="170" t="str">
        <f aca="false">IF($B44="","",IF(1&lt;=cfg_VAL_M,'مسير يناير'!Y44,0)+IF(2&lt;=cfg_VAL_M,'مسير فبراير'!Y44,0)+IF(3&lt;=cfg_VAL_M,'مسير مارس'!Y44,0)+IF(4&lt;=cfg_VAL_M,'مسير أبريل'!Y44,0)+IF(5&lt;=cfg_VAL_M,'مسير مايو'!Y44,0)+IF(6&lt;=cfg_VAL_M,'مسير يونيو'!Y44,0)+IF(7&lt;=cfg_VAL_M,'مسير يوليو'!Y44,0)+IF(8&lt;=cfg_VAL_M,'مسير أغسطس'!Y44,0)+IF(9&lt;=cfg_VAL_M,'مسير سبتمبر'!Y44,0)+IF(10&lt;=cfg_VAL_M,'مسير أكتوبر'!Y44,0)+IF(11&lt;=cfg_VAL_M,'مسير نوفمبر'!Y44,0)+IF(12&lt;=cfg_VAL_M,'مسير ديسمبر'!Y44,0))</f>
        <v/>
      </c>
      <c r="AH44" s="111" t="str">
        <f aca="false">IF($B44="","",AF44/cfg_VAL_M)</f>
        <v/>
      </c>
    </row>
    <row r="45" customFormat="false" ht="15" hidden="false" customHeight="false" outlineLevel="0" collapsed="false">
      <c r="B45" s="117" t="str">
        <f aca="false">IF(الموظفون!$B45="","",الموظفون!$B45)</f>
        <v/>
      </c>
      <c r="C45" s="117" t="str">
        <f aca="false">IF(الموظفون!$B45="","",الموظفون!$C45)</f>
        <v/>
      </c>
      <c r="D45" s="117" t="str">
        <f aca="false">IF(الموظفون!$B45="","",الموظفون!$F45)</f>
        <v/>
      </c>
      <c r="E45" s="117" t="str">
        <f aca="false">IF(الموظفون!$B45="","",الموظفون!$E45)</f>
        <v/>
      </c>
      <c r="F45" s="116" t="str">
        <f aca="false">IF($B45="","",'مسير يناير'!T45)</f>
        <v/>
      </c>
      <c r="G45" s="116" t="str">
        <f aca="false">IF($B45="","",'مسير فبراير'!T45)</f>
        <v/>
      </c>
      <c r="H45" s="116" t="str">
        <f aca="false">IF($B45="","",'مسير مارس'!T45)</f>
        <v/>
      </c>
      <c r="I45" s="116" t="str">
        <f aca="false">IF($B45="","",'مسير أبريل'!T45)</f>
        <v/>
      </c>
      <c r="J45" s="116" t="str">
        <f aca="false">IF($B45="","",'مسير مايو'!T45)</f>
        <v/>
      </c>
      <c r="K45" s="116" t="str">
        <f aca="false">IF($B45="","",'مسير يونيو'!T45)</f>
        <v/>
      </c>
      <c r="L45" s="116" t="str">
        <f aca="false">IF($B45="","",'مسير يوليو'!T45)</f>
        <v/>
      </c>
      <c r="M45" s="116" t="str">
        <f aca="false">IF($B45="","",'مسير أغسطس'!T45)</f>
        <v/>
      </c>
      <c r="N45" s="116" t="str">
        <f aca="false">IF($B45="","",'مسير سبتمبر'!T45)</f>
        <v/>
      </c>
      <c r="O45" s="116" t="str">
        <f aca="false">IF($B45="","",'مسير أكتوبر'!T45)</f>
        <v/>
      </c>
      <c r="P45" s="116" t="str">
        <f aca="false">IF($B45="","",'مسير نوفمبر'!T45)</f>
        <v/>
      </c>
      <c r="Q45" s="116" t="str">
        <f aca="false">IF($B45="","",'مسير ديسمبر'!T45)</f>
        <v/>
      </c>
      <c r="R45" s="171" t="str">
        <f aca="false">IF($B45="","",IF(1&lt;=cfg_VAL_M,'مسير يناير'!T45,0)+IF(2&lt;=cfg_VAL_M,'مسير فبراير'!T45,0)+IF(3&lt;=cfg_VAL_M,'مسير مارس'!T45,0)+IF(4&lt;=cfg_VAL_M,'مسير أبريل'!T45,0)+IF(5&lt;=cfg_VAL_M,'مسير مايو'!T45,0)+IF(6&lt;=cfg_VAL_M,'مسير يونيو'!T45,0)+IF(7&lt;=cfg_VAL_M,'مسير يوليو'!T45,0)+IF(8&lt;=cfg_VAL_M,'مسير أغسطس'!T45,0)+IF(9&lt;=cfg_VAL_M,'مسير سبتمبر'!T45,0)+IF(10&lt;=cfg_VAL_M,'مسير أكتوبر'!T45,0)+IF(11&lt;=cfg_VAL_M,'مسير نوفمبر'!T45,0)+IF(12&lt;=cfg_VAL_M,'مسير ديسمبر'!T45,0))</f>
        <v/>
      </c>
      <c r="T45" s="116" t="str">
        <f aca="false">IF($B45="","",'مسير يناير'!AG45)</f>
        <v/>
      </c>
      <c r="U45" s="116" t="str">
        <f aca="false">IF($B45="","",'مسير فبراير'!AG45)</f>
        <v/>
      </c>
      <c r="V45" s="116" t="str">
        <f aca="false">IF($B45="","",'مسير مارس'!AG45)</f>
        <v/>
      </c>
      <c r="W45" s="116" t="str">
        <f aca="false">IF($B45="","",'مسير أبريل'!AG45)</f>
        <v/>
      </c>
      <c r="X45" s="116" t="str">
        <f aca="false">IF($B45="","",'مسير مايو'!AG45)</f>
        <v/>
      </c>
      <c r="Y45" s="116" t="str">
        <f aca="false">IF($B45="","",'مسير يونيو'!AG45)</f>
        <v/>
      </c>
      <c r="Z45" s="116" t="str">
        <f aca="false">IF($B45="","",'مسير يوليو'!AG45)</f>
        <v/>
      </c>
      <c r="AA45" s="116" t="str">
        <f aca="false">IF($B45="","",'مسير أغسطس'!AG45)</f>
        <v/>
      </c>
      <c r="AB45" s="116" t="str">
        <f aca="false">IF($B45="","",'مسير سبتمبر'!AG45)</f>
        <v/>
      </c>
      <c r="AC45" s="116" t="str">
        <f aca="false">IF($B45="","",'مسير أكتوبر'!AG45)</f>
        <v/>
      </c>
      <c r="AD45" s="116" t="str">
        <f aca="false">IF($B45="","",'مسير نوفمبر'!AG45)</f>
        <v/>
      </c>
      <c r="AE45" s="116" t="str">
        <f aca="false">IF($B45="","",'مسير ديسمبر'!AG45)</f>
        <v/>
      </c>
      <c r="AF45" s="171" t="str">
        <f aca="false">IF($B45="","",IF(1&lt;=cfg_VAL_M,'مسير يناير'!AG45,0)+IF(2&lt;=cfg_VAL_M,'مسير فبراير'!AG45,0)+IF(3&lt;=cfg_VAL_M,'مسير مارس'!AG45,0)+IF(4&lt;=cfg_VAL_M,'مسير أبريل'!AG45,0)+IF(5&lt;=cfg_VAL_M,'مسير مايو'!AG45,0)+IF(6&lt;=cfg_VAL_M,'مسير يونيو'!AG45,0)+IF(7&lt;=cfg_VAL_M,'مسير يوليو'!AG45,0)+IF(8&lt;=cfg_VAL_M,'مسير أغسطس'!AG45,0)+IF(9&lt;=cfg_VAL_M,'مسير سبتمبر'!AG45,0)+IF(10&lt;=cfg_VAL_M,'مسير أكتوبر'!AG45,0)+IF(11&lt;=cfg_VAL_M,'مسير نوفمبر'!AG45,0)+IF(12&lt;=cfg_VAL_M,'مسير ديسمبر'!AG45,0))</f>
        <v/>
      </c>
      <c r="AG45" s="171" t="str">
        <f aca="false">IF($B45="","",IF(1&lt;=cfg_VAL_M,'مسير يناير'!Y45,0)+IF(2&lt;=cfg_VAL_M,'مسير فبراير'!Y45,0)+IF(3&lt;=cfg_VAL_M,'مسير مارس'!Y45,0)+IF(4&lt;=cfg_VAL_M,'مسير أبريل'!Y45,0)+IF(5&lt;=cfg_VAL_M,'مسير مايو'!Y45,0)+IF(6&lt;=cfg_VAL_M,'مسير يونيو'!Y45,0)+IF(7&lt;=cfg_VAL_M,'مسير يوليو'!Y45,0)+IF(8&lt;=cfg_VAL_M,'مسير أغسطس'!Y45,0)+IF(9&lt;=cfg_VAL_M,'مسير سبتمبر'!Y45,0)+IF(10&lt;=cfg_VAL_M,'مسير أكتوبر'!Y45,0)+IF(11&lt;=cfg_VAL_M,'مسير نوفمبر'!Y45,0)+IF(12&lt;=cfg_VAL_M,'مسير ديسمبر'!Y45,0))</f>
        <v/>
      </c>
      <c r="AH45" s="116" t="str">
        <f aca="false">IF($B45="","",AF45/cfg_VAL_M)</f>
        <v/>
      </c>
    </row>
    <row r="46" customFormat="false" ht="15" hidden="false" customHeight="false" outlineLevel="0" collapsed="false">
      <c r="B46" s="114" t="str">
        <f aca="false">IF(الموظفون!$B46="","",الموظفون!$B46)</f>
        <v/>
      </c>
      <c r="C46" s="114" t="str">
        <f aca="false">IF(الموظفون!$B46="","",الموظفون!$C46)</f>
        <v/>
      </c>
      <c r="D46" s="114" t="str">
        <f aca="false">IF(الموظفون!$B46="","",الموظفون!$F46)</f>
        <v/>
      </c>
      <c r="E46" s="114" t="str">
        <f aca="false">IF(الموظفون!$B46="","",الموظفون!$E46)</f>
        <v/>
      </c>
      <c r="F46" s="111" t="str">
        <f aca="false">IF($B46="","",'مسير يناير'!T46)</f>
        <v/>
      </c>
      <c r="G46" s="111" t="str">
        <f aca="false">IF($B46="","",'مسير فبراير'!T46)</f>
        <v/>
      </c>
      <c r="H46" s="111" t="str">
        <f aca="false">IF($B46="","",'مسير مارس'!T46)</f>
        <v/>
      </c>
      <c r="I46" s="111" t="str">
        <f aca="false">IF($B46="","",'مسير أبريل'!T46)</f>
        <v/>
      </c>
      <c r="J46" s="111" t="str">
        <f aca="false">IF($B46="","",'مسير مايو'!T46)</f>
        <v/>
      </c>
      <c r="K46" s="111" t="str">
        <f aca="false">IF($B46="","",'مسير يونيو'!T46)</f>
        <v/>
      </c>
      <c r="L46" s="111" t="str">
        <f aca="false">IF($B46="","",'مسير يوليو'!T46)</f>
        <v/>
      </c>
      <c r="M46" s="111" t="str">
        <f aca="false">IF($B46="","",'مسير أغسطس'!T46)</f>
        <v/>
      </c>
      <c r="N46" s="111" t="str">
        <f aca="false">IF($B46="","",'مسير سبتمبر'!T46)</f>
        <v/>
      </c>
      <c r="O46" s="111" t="str">
        <f aca="false">IF($B46="","",'مسير أكتوبر'!T46)</f>
        <v/>
      </c>
      <c r="P46" s="111" t="str">
        <f aca="false">IF($B46="","",'مسير نوفمبر'!T46)</f>
        <v/>
      </c>
      <c r="Q46" s="111" t="str">
        <f aca="false">IF($B46="","",'مسير ديسمبر'!T46)</f>
        <v/>
      </c>
      <c r="R46" s="170" t="str">
        <f aca="false">IF($B46="","",IF(1&lt;=cfg_VAL_M,'مسير يناير'!T46,0)+IF(2&lt;=cfg_VAL_M,'مسير فبراير'!T46,0)+IF(3&lt;=cfg_VAL_M,'مسير مارس'!T46,0)+IF(4&lt;=cfg_VAL_M,'مسير أبريل'!T46,0)+IF(5&lt;=cfg_VAL_M,'مسير مايو'!T46,0)+IF(6&lt;=cfg_VAL_M,'مسير يونيو'!T46,0)+IF(7&lt;=cfg_VAL_M,'مسير يوليو'!T46,0)+IF(8&lt;=cfg_VAL_M,'مسير أغسطس'!T46,0)+IF(9&lt;=cfg_VAL_M,'مسير سبتمبر'!T46,0)+IF(10&lt;=cfg_VAL_M,'مسير أكتوبر'!T46,0)+IF(11&lt;=cfg_VAL_M,'مسير نوفمبر'!T46,0)+IF(12&lt;=cfg_VAL_M,'مسير ديسمبر'!T46,0))</f>
        <v/>
      </c>
      <c r="T46" s="111" t="str">
        <f aca="false">IF($B46="","",'مسير يناير'!AG46)</f>
        <v/>
      </c>
      <c r="U46" s="111" t="str">
        <f aca="false">IF($B46="","",'مسير فبراير'!AG46)</f>
        <v/>
      </c>
      <c r="V46" s="111" t="str">
        <f aca="false">IF($B46="","",'مسير مارس'!AG46)</f>
        <v/>
      </c>
      <c r="W46" s="111" t="str">
        <f aca="false">IF($B46="","",'مسير أبريل'!AG46)</f>
        <v/>
      </c>
      <c r="X46" s="111" t="str">
        <f aca="false">IF($B46="","",'مسير مايو'!AG46)</f>
        <v/>
      </c>
      <c r="Y46" s="111" t="str">
        <f aca="false">IF($B46="","",'مسير يونيو'!AG46)</f>
        <v/>
      </c>
      <c r="Z46" s="111" t="str">
        <f aca="false">IF($B46="","",'مسير يوليو'!AG46)</f>
        <v/>
      </c>
      <c r="AA46" s="111" t="str">
        <f aca="false">IF($B46="","",'مسير أغسطس'!AG46)</f>
        <v/>
      </c>
      <c r="AB46" s="111" t="str">
        <f aca="false">IF($B46="","",'مسير سبتمبر'!AG46)</f>
        <v/>
      </c>
      <c r="AC46" s="111" t="str">
        <f aca="false">IF($B46="","",'مسير أكتوبر'!AG46)</f>
        <v/>
      </c>
      <c r="AD46" s="111" t="str">
        <f aca="false">IF($B46="","",'مسير نوفمبر'!AG46)</f>
        <v/>
      </c>
      <c r="AE46" s="111" t="str">
        <f aca="false">IF($B46="","",'مسير ديسمبر'!AG46)</f>
        <v/>
      </c>
      <c r="AF46" s="170" t="str">
        <f aca="false">IF($B46="","",IF(1&lt;=cfg_VAL_M,'مسير يناير'!AG46,0)+IF(2&lt;=cfg_VAL_M,'مسير فبراير'!AG46,0)+IF(3&lt;=cfg_VAL_M,'مسير مارس'!AG46,0)+IF(4&lt;=cfg_VAL_M,'مسير أبريل'!AG46,0)+IF(5&lt;=cfg_VAL_M,'مسير مايو'!AG46,0)+IF(6&lt;=cfg_VAL_M,'مسير يونيو'!AG46,0)+IF(7&lt;=cfg_VAL_M,'مسير يوليو'!AG46,0)+IF(8&lt;=cfg_VAL_M,'مسير أغسطس'!AG46,0)+IF(9&lt;=cfg_VAL_M,'مسير سبتمبر'!AG46,0)+IF(10&lt;=cfg_VAL_M,'مسير أكتوبر'!AG46,0)+IF(11&lt;=cfg_VAL_M,'مسير نوفمبر'!AG46,0)+IF(12&lt;=cfg_VAL_M,'مسير ديسمبر'!AG46,0))</f>
        <v/>
      </c>
      <c r="AG46" s="170" t="str">
        <f aca="false">IF($B46="","",IF(1&lt;=cfg_VAL_M,'مسير يناير'!Y46,0)+IF(2&lt;=cfg_VAL_M,'مسير فبراير'!Y46,0)+IF(3&lt;=cfg_VAL_M,'مسير مارس'!Y46,0)+IF(4&lt;=cfg_VAL_M,'مسير أبريل'!Y46,0)+IF(5&lt;=cfg_VAL_M,'مسير مايو'!Y46,0)+IF(6&lt;=cfg_VAL_M,'مسير يونيو'!Y46,0)+IF(7&lt;=cfg_VAL_M,'مسير يوليو'!Y46,0)+IF(8&lt;=cfg_VAL_M,'مسير أغسطس'!Y46,0)+IF(9&lt;=cfg_VAL_M,'مسير سبتمبر'!Y46,0)+IF(10&lt;=cfg_VAL_M,'مسير أكتوبر'!Y46,0)+IF(11&lt;=cfg_VAL_M,'مسير نوفمبر'!Y46,0)+IF(12&lt;=cfg_VAL_M,'مسير ديسمبر'!Y46,0))</f>
        <v/>
      </c>
      <c r="AH46" s="111" t="str">
        <f aca="false">IF($B46="","",AF46/cfg_VAL_M)</f>
        <v/>
      </c>
    </row>
    <row r="47" customFormat="false" ht="15" hidden="false" customHeight="false" outlineLevel="0" collapsed="false">
      <c r="B47" s="117" t="str">
        <f aca="false">IF(الموظفون!$B47="","",الموظفون!$B47)</f>
        <v/>
      </c>
      <c r="C47" s="117" t="str">
        <f aca="false">IF(الموظفون!$B47="","",الموظفون!$C47)</f>
        <v/>
      </c>
      <c r="D47" s="117" t="str">
        <f aca="false">IF(الموظفون!$B47="","",الموظفون!$F47)</f>
        <v/>
      </c>
      <c r="E47" s="117" t="str">
        <f aca="false">IF(الموظفون!$B47="","",الموظفون!$E47)</f>
        <v/>
      </c>
      <c r="F47" s="116" t="str">
        <f aca="false">IF($B47="","",'مسير يناير'!T47)</f>
        <v/>
      </c>
      <c r="G47" s="116" t="str">
        <f aca="false">IF($B47="","",'مسير فبراير'!T47)</f>
        <v/>
      </c>
      <c r="H47" s="116" t="str">
        <f aca="false">IF($B47="","",'مسير مارس'!T47)</f>
        <v/>
      </c>
      <c r="I47" s="116" t="str">
        <f aca="false">IF($B47="","",'مسير أبريل'!T47)</f>
        <v/>
      </c>
      <c r="J47" s="116" t="str">
        <f aca="false">IF($B47="","",'مسير مايو'!T47)</f>
        <v/>
      </c>
      <c r="K47" s="116" t="str">
        <f aca="false">IF($B47="","",'مسير يونيو'!T47)</f>
        <v/>
      </c>
      <c r="L47" s="116" t="str">
        <f aca="false">IF($B47="","",'مسير يوليو'!T47)</f>
        <v/>
      </c>
      <c r="M47" s="116" t="str">
        <f aca="false">IF($B47="","",'مسير أغسطس'!T47)</f>
        <v/>
      </c>
      <c r="N47" s="116" t="str">
        <f aca="false">IF($B47="","",'مسير سبتمبر'!T47)</f>
        <v/>
      </c>
      <c r="O47" s="116" t="str">
        <f aca="false">IF($B47="","",'مسير أكتوبر'!T47)</f>
        <v/>
      </c>
      <c r="P47" s="116" t="str">
        <f aca="false">IF($B47="","",'مسير نوفمبر'!T47)</f>
        <v/>
      </c>
      <c r="Q47" s="116" t="str">
        <f aca="false">IF($B47="","",'مسير ديسمبر'!T47)</f>
        <v/>
      </c>
      <c r="R47" s="171" t="str">
        <f aca="false">IF($B47="","",IF(1&lt;=cfg_VAL_M,'مسير يناير'!T47,0)+IF(2&lt;=cfg_VAL_M,'مسير فبراير'!T47,0)+IF(3&lt;=cfg_VAL_M,'مسير مارس'!T47,0)+IF(4&lt;=cfg_VAL_M,'مسير أبريل'!T47,0)+IF(5&lt;=cfg_VAL_M,'مسير مايو'!T47,0)+IF(6&lt;=cfg_VAL_M,'مسير يونيو'!T47,0)+IF(7&lt;=cfg_VAL_M,'مسير يوليو'!T47,0)+IF(8&lt;=cfg_VAL_M,'مسير أغسطس'!T47,0)+IF(9&lt;=cfg_VAL_M,'مسير سبتمبر'!T47,0)+IF(10&lt;=cfg_VAL_M,'مسير أكتوبر'!T47,0)+IF(11&lt;=cfg_VAL_M,'مسير نوفمبر'!T47,0)+IF(12&lt;=cfg_VAL_M,'مسير ديسمبر'!T47,0))</f>
        <v/>
      </c>
      <c r="T47" s="116" t="str">
        <f aca="false">IF($B47="","",'مسير يناير'!AG47)</f>
        <v/>
      </c>
      <c r="U47" s="116" t="str">
        <f aca="false">IF($B47="","",'مسير فبراير'!AG47)</f>
        <v/>
      </c>
      <c r="V47" s="116" t="str">
        <f aca="false">IF($B47="","",'مسير مارس'!AG47)</f>
        <v/>
      </c>
      <c r="W47" s="116" t="str">
        <f aca="false">IF($B47="","",'مسير أبريل'!AG47)</f>
        <v/>
      </c>
      <c r="X47" s="116" t="str">
        <f aca="false">IF($B47="","",'مسير مايو'!AG47)</f>
        <v/>
      </c>
      <c r="Y47" s="116" t="str">
        <f aca="false">IF($B47="","",'مسير يونيو'!AG47)</f>
        <v/>
      </c>
      <c r="Z47" s="116" t="str">
        <f aca="false">IF($B47="","",'مسير يوليو'!AG47)</f>
        <v/>
      </c>
      <c r="AA47" s="116" t="str">
        <f aca="false">IF($B47="","",'مسير أغسطس'!AG47)</f>
        <v/>
      </c>
      <c r="AB47" s="116" t="str">
        <f aca="false">IF($B47="","",'مسير سبتمبر'!AG47)</f>
        <v/>
      </c>
      <c r="AC47" s="116" t="str">
        <f aca="false">IF($B47="","",'مسير أكتوبر'!AG47)</f>
        <v/>
      </c>
      <c r="AD47" s="116" t="str">
        <f aca="false">IF($B47="","",'مسير نوفمبر'!AG47)</f>
        <v/>
      </c>
      <c r="AE47" s="116" t="str">
        <f aca="false">IF($B47="","",'مسير ديسمبر'!AG47)</f>
        <v/>
      </c>
      <c r="AF47" s="171" t="str">
        <f aca="false">IF($B47="","",IF(1&lt;=cfg_VAL_M,'مسير يناير'!AG47,0)+IF(2&lt;=cfg_VAL_M,'مسير فبراير'!AG47,0)+IF(3&lt;=cfg_VAL_M,'مسير مارس'!AG47,0)+IF(4&lt;=cfg_VAL_M,'مسير أبريل'!AG47,0)+IF(5&lt;=cfg_VAL_M,'مسير مايو'!AG47,0)+IF(6&lt;=cfg_VAL_M,'مسير يونيو'!AG47,0)+IF(7&lt;=cfg_VAL_M,'مسير يوليو'!AG47,0)+IF(8&lt;=cfg_VAL_M,'مسير أغسطس'!AG47,0)+IF(9&lt;=cfg_VAL_M,'مسير سبتمبر'!AG47,0)+IF(10&lt;=cfg_VAL_M,'مسير أكتوبر'!AG47,0)+IF(11&lt;=cfg_VAL_M,'مسير نوفمبر'!AG47,0)+IF(12&lt;=cfg_VAL_M,'مسير ديسمبر'!AG47,0))</f>
        <v/>
      </c>
      <c r="AG47" s="171" t="str">
        <f aca="false">IF($B47="","",IF(1&lt;=cfg_VAL_M,'مسير يناير'!Y47,0)+IF(2&lt;=cfg_VAL_M,'مسير فبراير'!Y47,0)+IF(3&lt;=cfg_VAL_M,'مسير مارس'!Y47,0)+IF(4&lt;=cfg_VAL_M,'مسير أبريل'!Y47,0)+IF(5&lt;=cfg_VAL_M,'مسير مايو'!Y47,0)+IF(6&lt;=cfg_VAL_M,'مسير يونيو'!Y47,0)+IF(7&lt;=cfg_VAL_M,'مسير يوليو'!Y47,0)+IF(8&lt;=cfg_VAL_M,'مسير أغسطس'!Y47,0)+IF(9&lt;=cfg_VAL_M,'مسير سبتمبر'!Y47,0)+IF(10&lt;=cfg_VAL_M,'مسير أكتوبر'!Y47,0)+IF(11&lt;=cfg_VAL_M,'مسير نوفمبر'!Y47,0)+IF(12&lt;=cfg_VAL_M,'مسير ديسمبر'!Y47,0))</f>
        <v/>
      </c>
      <c r="AH47" s="116" t="str">
        <f aca="false">IF($B47="","",AF47/cfg_VAL_M)</f>
        <v/>
      </c>
    </row>
    <row r="48" customFormat="false" ht="15" hidden="false" customHeight="false" outlineLevel="0" collapsed="false">
      <c r="B48" s="114" t="str">
        <f aca="false">IF(الموظفون!$B48="","",الموظفون!$B48)</f>
        <v/>
      </c>
      <c r="C48" s="114" t="str">
        <f aca="false">IF(الموظفون!$B48="","",الموظفون!$C48)</f>
        <v/>
      </c>
      <c r="D48" s="114" t="str">
        <f aca="false">IF(الموظفون!$B48="","",الموظفون!$F48)</f>
        <v/>
      </c>
      <c r="E48" s="114" t="str">
        <f aca="false">IF(الموظفون!$B48="","",الموظفون!$E48)</f>
        <v/>
      </c>
      <c r="F48" s="111" t="str">
        <f aca="false">IF($B48="","",'مسير يناير'!T48)</f>
        <v/>
      </c>
      <c r="G48" s="111" t="str">
        <f aca="false">IF($B48="","",'مسير فبراير'!T48)</f>
        <v/>
      </c>
      <c r="H48" s="111" t="str">
        <f aca="false">IF($B48="","",'مسير مارس'!T48)</f>
        <v/>
      </c>
      <c r="I48" s="111" t="str">
        <f aca="false">IF($B48="","",'مسير أبريل'!T48)</f>
        <v/>
      </c>
      <c r="J48" s="111" t="str">
        <f aca="false">IF($B48="","",'مسير مايو'!T48)</f>
        <v/>
      </c>
      <c r="K48" s="111" t="str">
        <f aca="false">IF($B48="","",'مسير يونيو'!T48)</f>
        <v/>
      </c>
      <c r="L48" s="111" t="str">
        <f aca="false">IF($B48="","",'مسير يوليو'!T48)</f>
        <v/>
      </c>
      <c r="M48" s="111" t="str">
        <f aca="false">IF($B48="","",'مسير أغسطس'!T48)</f>
        <v/>
      </c>
      <c r="N48" s="111" t="str">
        <f aca="false">IF($B48="","",'مسير سبتمبر'!T48)</f>
        <v/>
      </c>
      <c r="O48" s="111" t="str">
        <f aca="false">IF($B48="","",'مسير أكتوبر'!T48)</f>
        <v/>
      </c>
      <c r="P48" s="111" t="str">
        <f aca="false">IF($B48="","",'مسير نوفمبر'!T48)</f>
        <v/>
      </c>
      <c r="Q48" s="111" t="str">
        <f aca="false">IF($B48="","",'مسير ديسمبر'!T48)</f>
        <v/>
      </c>
      <c r="R48" s="170" t="str">
        <f aca="false">IF($B48="","",IF(1&lt;=cfg_VAL_M,'مسير يناير'!T48,0)+IF(2&lt;=cfg_VAL_M,'مسير فبراير'!T48,0)+IF(3&lt;=cfg_VAL_M,'مسير مارس'!T48,0)+IF(4&lt;=cfg_VAL_M,'مسير أبريل'!T48,0)+IF(5&lt;=cfg_VAL_M,'مسير مايو'!T48,0)+IF(6&lt;=cfg_VAL_M,'مسير يونيو'!T48,0)+IF(7&lt;=cfg_VAL_M,'مسير يوليو'!T48,0)+IF(8&lt;=cfg_VAL_M,'مسير أغسطس'!T48,0)+IF(9&lt;=cfg_VAL_M,'مسير سبتمبر'!T48,0)+IF(10&lt;=cfg_VAL_M,'مسير أكتوبر'!T48,0)+IF(11&lt;=cfg_VAL_M,'مسير نوفمبر'!T48,0)+IF(12&lt;=cfg_VAL_M,'مسير ديسمبر'!T48,0))</f>
        <v/>
      </c>
      <c r="T48" s="111" t="str">
        <f aca="false">IF($B48="","",'مسير يناير'!AG48)</f>
        <v/>
      </c>
      <c r="U48" s="111" t="str">
        <f aca="false">IF($B48="","",'مسير فبراير'!AG48)</f>
        <v/>
      </c>
      <c r="V48" s="111" t="str">
        <f aca="false">IF($B48="","",'مسير مارس'!AG48)</f>
        <v/>
      </c>
      <c r="W48" s="111" t="str">
        <f aca="false">IF($B48="","",'مسير أبريل'!AG48)</f>
        <v/>
      </c>
      <c r="X48" s="111" t="str">
        <f aca="false">IF($B48="","",'مسير مايو'!AG48)</f>
        <v/>
      </c>
      <c r="Y48" s="111" t="str">
        <f aca="false">IF($B48="","",'مسير يونيو'!AG48)</f>
        <v/>
      </c>
      <c r="Z48" s="111" t="str">
        <f aca="false">IF($B48="","",'مسير يوليو'!AG48)</f>
        <v/>
      </c>
      <c r="AA48" s="111" t="str">
        <f aca="false">IF($B48="","",'مسير أغسطس'!AG48)</f>
        <v/>
      </c>
      <c r="AB48" s="111" t="str">
        <f aca="false">IF($B48="","",'مسير سبتمبر'!AG48)</f>
        <v/>
      </c>
      <c r="AC48" s="111" t="str">
        <f aca="false">IF($B48="","",'مسير أكتوبر'!AG48)</f>
        <v/>
      </c>
      <c r="AD48" s="111" t="str">
        <f aca="false">IF($B48="","",'مسير نوفمبر'!AG48)</f>
        <v/>
      </c>
      <c r="AE48" s="111" t="str">
        <f aca="false">IF($B48="","",'مسير ديسمبر'!AG48)</f>
        <v/>
      </c>
      <c r="AF48" s="170" t="str">
        <f aca="false">IF($B48="","",IF(1&lt;=cfg_VAL_M,'مسير يناير'!AG48,0)+IF(2&lt;=cfg_VAL_M,'مسير فبراير'!AG48,0)+IF(3&lt;=cfg_VAL_M,'مسير مارس'!AG48,0)+IF(4&lt;=cfg_VAL_M,'مسير أبريل'!AG48,0)+IF(5&lt;=cfg_VAL_M,'مسير مايو'!AG48,0)+IF(6&lt;=cfg_VAL_M,'مسير يونيو'!AG48,0)+IF(7&lt;=cfg_VAL_M,'مسير يوليو'!AG48,0)+IF(8&lt;=cfg_VAL_M,'مسير أغسطس'!AG48,0)+IF(9&lt;=cfg_VAL_M,'مسير سبتمبر'!AG48,0)+IF(10&lt;=cfg_VAL_M,'مسير أكتوبر'!AG48,0)+IF(11&lt;=cfg_VAL_M,'مسير نوفمبر'!AG48,0)+IF(12&lt;=cfg_VAL_M,'مسير ديسمبر'!AG48,0))</f>
        <v/>
      </c>
      <c r="AG48" s="170" t="str">
        <f aca="false">IF($B48="","",IF(1&lt;=cfg_VAL_M,'مسير يناير'!Y48,0)+IF(2&lt;=cfg_VAL_M,'مسير فبراير'!Y48,0)+IF(3&lt;=cfg_VAL_M,'مسير مارس'!Y48,0)+IF(4&lt;=cfg_VAL_M,'مسير أبريل'!Y48,0)+IF(5&lt;=cfg_VAL_M,'مسير مايو'!Y48,0)+IF(6&lt;=cfg_VAL_M,'مسير يونيو'!Y48,0)+IF(7&lt;=cfg_VAL_M,'مسير يوليو'!Y48,0)+IF(8&lt;=cfg_VAL_M,'مسير أغسطس'!Y48,0)+IF(9&lt;=cfg_VAL_M,'مسير سبتمبر'!Y48,0)+IF(10&lt;=cfg_VAL_M,'مسير أكتوبر'!Y48,0)+IF(11&lt;=cfg_VAL_M,'مسير نوفمبر'!Y48,0)+IF(12&lt;=cfg_VAL_M,'مسير ديسمبر'!Y48,0))</f>
        <v/>
      </c>
      <c r="AH48" s="111" t="str">
        <f aca="false">IF($B48="","",AF48/cfg_VAL_M)</f>
        <v/>
      </c>
    </row>
    <row r="49" customFormat="false" ht="15" hidden="false" customHeight="false" outlineLevel="0" collapsed="false">
      <c r="B49" s="117" t="str">
        <f aca="false">IF(الموظفون!$B49="","",الموظفون!$B49)</f>
        <v/>
      </c>
      <c r="C49" s="117" t="str">
        <f aca="false">IF(الموظفون!$B49="","",الموظفون!$C49)</f>
        <v/>
      </c>
      <c r="D49" s="117" t="str">
        <f aca="false">IF(الموظفون!$B49="","",الموظفون!$F49)</f>
        <v/>
      </c>
      <c r="E49" s="117" t="str">
        <f aca="false">IF(الموظفون!$B49="","",الموظفون!$E49)</f>
        <v/>
      </c>
      <c r="F49" s="116" t="str">
        <f aca="false">IF($B49="","",'مسير يناير'!T49)</f>
        <v/>
      </c>
      <c r="G49" s="116" t="str">
        <f aca="false">IF($B49="","",'مسير فبراير'!T49)</f>
        <v/>
      </c>
      <c r="H49" s="116" t="str">
        <f aca="false">IF($B49="","",'مسير مارس'!T49)</f>
        <v/>
      </c>
      <c r="I49" s="116" t="str">
        <f aca="false">IF($B49="","",'مسير أبريل'!T49)</f>
        <v/>
      </c>
      <c r="J49" s="116" t="str">
        <f aca="false">IF($B49="","",'مسير مايو'!T49)</f>
        <v/>
      </c>
      <c r="K49" s="116" t="str">
        <f aca="false">IF($B49="","",'مسير يونيو'!T49)</f>
        <v/>
      </c>
      <c r="L49" s="116" t="str">
        <f aca="false">IF($B49="","",'مسير يوليو'!T49)</f>
        <v/>
      </c>
      <c r="M49" s="116" t="str">
        <f aca="false">IF($B49="","",'مسير أغسطس'!T49)</f>
        <v/>
      </c>
      <c r="N49" s="116" t="str">
        <f aca="false">IF($B49="","",'مسير سبتمبر'!T49)</f>
        <v/>
      </c>
      <c r="O49" s="116" t="str">
        <f aca="false">IF($B49="","",'مسير أكتوبر'!T49)</f>
        <v/>
      </c>
      <c r="P49" s="116" t="str">
        <f aca="false">IF($B49="","",'مسير نوفمبر'!T49)</f>
        <v/>
      </c>
      <c r="Q49" s="116" t="str">
        <f aca="false">IF($B49="","",'مسير ديسمبر'!T49)</f>
        <v/>
      </c>
      <c r="R49" s="171" t="str">
        <f aca="false">IF($B49="","",IF(1&lt;=cfg_VAL_M,'مسير يناير'!T49,0)+IF(2&lt;=cfg_VAL_M,'مسير فبراير'!T49,0)+IF(3&lt;=cfg_VAL_M,'مسير مارس'!T49,0)+IF(4&lt;=cfg_VAL_M,'مسير أبريل'!T49,0)+IF(5&lt;=cfg_VAL_M,'مسير مايو'!T49,0)+IF(6&lt;=cfg_VAL_M,'مسير يونيو'!T49,0)+IF(7&lt;=cfg_VAL_M,'مسير يوليو'!T49,0)+IF(8&lt;=cfg_VAL_M,'مسير أغسطس'!T49,0)+IF(9&lt;=cfg_VAL_M,'مسير سبتمبر'!T49,0)+IF(10&lt;=cfg_VAL_M,'مسير أكتوبر'!T49,0)+IF(11&lt;=cfg_VAL_M,'مسير نوفمبر'!T49,0)+IF(12&lt;=cfg_VAL_M,'مسير ديسمبر'!T49,0))</f>
        <v/>
      </c>
      <c r="T49" s="116" t="str">
        <f aca="false">IF($B49="","",'مسير يناير'!AG49)</f>
        <v/>
      </c>
      <c r="U49" s="116" t="str">
        <f aca="false">IF($B49="","",'مسير فبراير'!AG49)</f>
        <v/>
      </c>
      <c r="V49" s="116" t="str">
        <f aca="false">IF($B49="","",'مسير مارس'!AG49)</f>
        <v/>
      </c>
      <c r="W49" s="116" t="str">
        <f aca="false">IF($B49="","",'مسير أبريل'!AG49)</f>
        <v/>
      </c>
      <c r="X49" s="116" t="str">
        <f aca="false">IF($B49="","",'مسير مايو'!AG49)</f>
        <v/>
      </c>
      <c r="Y49" s="116" t="str">
        <f aca="false">IF($B49="","",'مسير يونيو'!AG49)</f>
        <v/>
      </c>
      <c r="Z49" s="116" t="str">
        <f aca="false">IF($B49="","",'مسير يوليو'!AG49)</f>
        <v/>
      </c>
      <c r="AA49" s="116" t="str">
        <f aca="false">IF($B49="","",'مسير أغسطس'!AG49)</f>
        <v/>
      </c>
      <c r="AB49" s="116" t="str">
        <f aca="false">IF($B49="","",'مسير سبتمبر'!AG49)</f>
        <v/>
      </c>
      <c r="AC49" s="116" t="str">
        <f aca="false">IF($B49="","",'مسير أكتوبر'!AG49)</f>
        <v/>
      </c>
      <c r="AD49" s="116" t="str">
        <f aca="false">IF($B49="","",'مسير نوفمبر'!AG49)</f>
        <v/>
      </c>
      <c r="AE49" s="116" t="str">
        <f aca="false">IF($B49="","",'مسير ديسمبر'!AG49)</f>
        <v/>
      </c>
      <c r="AF49" s="171" t="str">
        <f aca="false">IF($B49="","",IF(1&lt;=cfg_VAL_M,'مسير يناير'!AG49,0)+IF(2&lt;=cfg_VAL_M,'مسير فبراير'!AG49,0)+IF(3&lt;=cfg_VAL_M,'مسير مارس'!AG49,0)+IF(4&lt;=cfg_VAL_M,'مسير أبريل'!AG49,0)+IF(5&lt;=cfg_VAL_M,'مسير مايو'!AG49,0)+IF(6&lt;=cfg_VAL_M,'مسير يونيو'!AG49,0)+IF(7&lt;=cfg_VAL_M,'مسير يوليو'!AG49,0)+IF(8&lt;=cfg_VAL_M,'مسير أغسطس'!AG49,0)+IF(9&lt;=cfg_VAL_M,'مسير سبتمبر'!AG49,0)+IF(10&lt;=cfg_VAL_M,'مسير أكتوبر'!AG49,0)+IF(11&lt;=cfg_VAL_M,'مسير نوفمبر'!AG49,0)+IF(12&lt;=cfg_VAL_M,'مسير ديسمبر'!AG49,0))</f>
        <v/>
      </c>
      <c r="AG49" s="171" t="str">
        <f aca="false">IF($B49="","",IF(1&lt;=cfg_VAL_M,'مسير يناير'!Y49,0)+IF(2&lt;=cfg_VAL_M,'مسير فبراير'!Y49,0)+IF(3&lt;=cfg_VAL_M,'مسير مارس'!Y49,0)+IF(4&lt;=cfg_VAL_M,'مسير أبريل'!Y49,0)+IF(5&lt;=cfg_VAL_M,'مسير مايو'!Y49,0)+IF(6&lt;=cfg_VAL_M,'مسير يونيو'!Y49,0)+IF(7&lt;=cfg_VAL_M,'مسير يوليو'!Y49,0)+IF(8&lt;=cfg_VAL_M,'مسير أغسطس'!Y49,0)+IF(9&lt;=cfg_VAL_M,'مسير سبتمبر'!Y49,0)+IF(10&lt;=cfg_VAL_M,'مسير أكتوبر'!Y49,0)+IF(11&lt;=cfg_VAL_M,'مسير نوفمبر'!Y49,0)+IF(12&lt;=cfg_VAL_M,'مسير ديسمبر'!Y49,0))</f>
        <v/>
      </c>
      <c r="AH49" s="116" t="str">
        <f aca="false">IF($B49="","",AF49/cfg_VAL_M)</f>
        <v/>
      </c>
    </row>
    <row r="50" customFormat="false" ht="15" hidden="false" customHeight="false" outlineLevel="0" collapsed="false">
      <c r="B50" s="114" t="str">
        <f aca="false">IF(الموظفون!$B50="","",الموظفون!$B50)</f>
        <v/>
      </c>
      <c r="C50" s="114" t="str">
        <f aca="false">IF(الموظفون!$B50="","",الموظفون!$C50)</f>
        <v/>
      </c>
      <c r="D50" s="114" t="str">
        <f aca="false">IF(الموظفون!$B50="","",الموظفون!$F50)</f>
        <v/>
      </c>
      <c r="E50" s="114" t="str">
        <f aca="false">IF(الموظفون!$B50="","",الموظفون!$E50)</f>
        <v/>
      </c>
      <c r="F50" s="111" t="str">
        <f aca="false">IF($B50="","",'مسير يناير'!T50)</f>
        <v/>
      </c>
      <c r="G50" s="111" t="str">
        <f aca="false">IF($B50="","",'مسير فبراير'!T50)</f>
        <v/>
      </c>
      <c r="H50" s="111" t="str">
        <f aca="false">IF($B50="","",'مسير مارس'!T50)</f>
        <v/>
      </c>
      <c r="I50" s="111" t="str">
        <f aca="false">IF($B50="","",'مسير أبريل'!T50)</f>
        <v/>
      </c>
      <c r="J50" s="111" t="str">
        <f aca="false">IF($B50="","",'مسير مايو'!T50)</f>
        <v/>
      </c>
      <c r="K50" s="111" t="str">
        <f aca="false">IF($B50="","",'مسير يونيو'!T50)</f>
        <v/>
      </c>
      <c r="L50" s="111" t="str">
        <f aca="false">IF($B50="","",'مسير يوليو'!T50)</f>
        <v/>
      </c>
      <c r="M50" s="111" t="str">
        <f aca="false">IF($B50="","",'مسير أغسطس'!T50)</f>
        <v/>
      </c>
      <c r="N50" s="111" t="str">
        <f aca="false">IF($B50="","",'مسير سبتمبر'!T50)</f>
        <v/>
      </c>
      <c r="O50" s="111" t="str">
        <f aca="false">IF($B50="","",'مسير أكتوبر'!T50)</f>
        <v/>
      </c>
      <c r="P50" s="111" t="str">
        <f aca="false">IF($B50="","",'مسير نوفمبر'!T50)</f>
        <v/>
      </c>
      <c r="Q50" s="111" t="str">
        <f aca="false">IF($B50="","",'مسير ديسمبر'!T50)</f>
        <v/>
      </c>
      <c r="R50" s="170" t="str">
        <f aca="false">IF($B50="","",IF(1&lt;=cfg_VAL_M,'مسير يناير'!T50,0)+IF(2&lt;=cfg_VAL_M,'مسير فبراير'!T50,0)+IF(3&lt;=cfg_VAL_M,'مسير مارس'!T50,0)+IF(4&lt;=cfg_VAL_M,'مسير أبريل'!T50,0)+IF(5&lt;=cfg_VAL_M,'مسير مايو'!T50,0)+IF(6&lt;=cfg_VAL_M,'مسير يونيو'!T50,0)+IF(7&lt;=cfg_VAL_M,'مسير يوليو'!T50,0)+IF(8&lt;=cfg_VAL_M,'مسير أغسطس'!T50,0)+IF(9&lt;=cfg_VAL_M,'مسير سبتمبر'!T50,0)+IF(10&lt;=cfg_VAL_M,'مسير أكتوبر'!T50,0)+IF(11&lt;=cfg_VAL_M,'مسير نوفمبر'!T50,0)+IF(12&lt;=cfg_VAL_M,'مسير ديسمبر'!T50,0))</f>
        <v/>
      </c>
      <c r="T50" s="111" t="str">
        <f aca="false">IF($B50="","",'مسير يناير'!AG50)</f>
        <v/>
      </c>
      <c r="U50" s="111" t="str">
        <f aca="false">IF($B50="","",'مسير فبراير'!AG50)</f>
        <v/>
      </c>
      <c r="V50" s="111" t="str">
        <f aca="false">IF($B50="","",'مسير مارس'!AG50)</f>
        <v/>
      </c>
      <c r="W50" s="111" t="str">
        <f aca="false">IF($B50="","",'مسير أبريل'!AG50)</f>
        <v/>
      </c>
      <c r="X50" s="111" t="str">
        <f aca="false">IF($B50="","",'مسير مايو'!AG50)</f>
        <v/>
      </c>
      <c r="Y50" s="111" t="str">
        <f aca="false">IF($B50="","",'مسير يونيو'!AG50)</f>
        <v/>
      </c>
      <c r="Z50" s="111" t="str">
        <f aca="false">IF($B50="","",'مسير يوليو'!AG50)</f>
        <v/>
      </c>
      <c r="AA50" s="111" t="str">
        <f aca="false">IF($B50="","",'مسير أغسطس'!AG50)</f>
        <v/>
      </c>
      <c r="AB50" s="111" t="str">
        <f aca="false">IF($B50="","",'مسير سبتمبر'!AG50)</f>
        <v/>
      </c>
      <c r="AC50" s="111" t="str">
        <f aca="false">IF($B50="","",'مسير أكتوبر'!AG50)</f>
        <v/>
      </c>
      <c r="AD50" s="111" t="str">
        <f aca="false">IF($B50="","",'مسير نوفمبر'!AG50)</f>
        <v/>
      </c>
      <c r="AE50" s="111" t="str">
        <f aca="false">IF($B50="","",'مسير ديسمبر'!AG50)</f>
        <v/>
      </c>
      <c r="AF50" s="170" t="str">
        <f aca="false">IF($B50="","",IF(1&lt;=cfg_VAL_M,'مسير يناير'!AG50,0)+IF(2&lt;=cfg_VAL_M,'مسير فبراير'!AG50,0)+IF(3&lt;=cfg_VAL_M,'مسير مارس'!AG50,0)+IF(4&lt;=cfg_VAL_M,'مسير أبريل'!AG50,0)+IF(5&lt;=cfg_VAL_M,'مسير مايو'!AG50,0)+IF(6&lt;=cfg_VAL_M,'مسير يونيو'!AG50,0)+IF(7&lt;=cfg_VAL_M,'مسير يوليو'!AG50,0)+IF(8&lt;=cfg_VAL_M,'مسير أغسطس'!AG50,0)+IF(9&lt;=cfg_VAL_M,'مسير سبتمبر'!AG50,0)+IF(10&lt;=cfg_VAL_M,'مسير أكتوبر'!AG50,0)+IF(11&lt;=cfg_VAL_M,'مسير نوفمبر'!AG50,0)+IF(12&lt;=cfg_VAL_M,'مسير ديسمبر'!AG50,0))</f>
        <v/>
      </c>
      <c r="AG50" s="170" t="str">
        <f aca="false">IF($B50="","",IF(1&lt;=cfg_VAL_M,'مسير يناير'!Y50,0)+IF(2&lt;=cfg_VAL_M,'مسير فبراير'!Y50,0)+IF(3&lt;=cfg_VAL_M,'مسير مارس'!Y50,0)+IF(4&lt;=cfg_VAL_M,'مسير أبريل'!Y50,0)+IF(5&lt;=cfg_VAL_M,'مسير مايو'!Y50,0)+IF(6&lt;=cfg_VAL_M,'مسير يونيو'!Y50,0)+IF(7&lt;=cfg_VAL_M,'مسير يوليو'!Y50,0)+IF(8&lt;=cfg_VAL_M,'مسير أغسطس'!Y50,0)+IF(9&lt;=cfg_VAL_M,'مسير سبتمبر'!Y50,0)+IF(10&lt;=cfg_VAL_M,'مسير أكتوبر'!Y50,0)+IF(11&lt;=cfg_VAL_M,'مسير نوفمبر'!Y50,0)+IF(12&lt;=cfg_VAL_M,'مسير ديسمبر'!Y50,0))</f>
        <v/>
      </c>
      <c r="AH50" s="111" t="str">
        <f aca="false">IF($B50="","",AF50/cfg_VAL_M)</f>
        <v/>
      </c>
    </row>
    <row r="51" customFormat="false" ht="15" hidden="false" customHeight="false" outlineLevel="0" collapsed="false">
      <c r="B51" s="117" t="str">
        <f aca="false">IF(الموظفون!$B51="","",الموظفون!$B51)</f>
        <v/>
      </c>
      <c r="C51" s="117" t="str">
        <f aca="false">IF(الموظفون!$B51="","",الموظفون!$C51)</f>
        <v/>
      </c>
      <c r="D51" s="117" t="str">
        <f aca="false">IF(الموظفون!$B51="","",الموظفون!$F51)</f>
        <v/>
      </c>
      <c r="E51" s="117" t="str">
        <f aca="false">IF(الموظفون!$B51="","",الموظفون!$E51)</f>
        <v/>
      </c>
      <c r="F51" s="116" t="str">
        <f aca="false">IF($B51="","",'مسير يناير'!T51)</f>
        <v/>
      </c>
      <c r="G51" s="116" t="str">
        <f aca="false">IF($B51="","",'مسير فبراير'!T51)</f>
        <v/>
      </c>
      <c r="H51" s="116" t="str">
        <f aca="false">IF($B51="","",'مسير مارس'!T51)</f>
        <v/>
      </c>
      <c r="I51" s="116" t="str">
        <f aca="false">IF($B51="","",'مسير أبريل'!T51)</f>
        <v/>
      </c>
      <c r="J51" s="116" t="str">
        <f aca="false">IF($B51="","",'مسير مايو'!T51)</f>
        <v/>
      </c>
      <c r="K51" s="116" t="str">
        <f aca="false">IF($B51="","",'مسير يونيو'!T51)</f>
        <v/>
      </c>
      <c r="L51" s="116" t="str">
        <f aca="false">IF($B51="","",'مسير يوليو'!T51)</f>
        <v/>
      </c>
      <c r="M51" s="116" t="str">
        <f aca="false">IF($B51="","",'مسير أغسطس'!T51)</f>
        <v/>
      </c>
      <c r="N51" s="116" t="str">
        <f aca="false">IF($B51="","",'مسير سبتمبر'!T51)</f>
        <v/>
      </c>
      <c r="O51" s="116" t="str">
        <f aca="false">IF($B51="","",'مسير أكتوبر'!T51)</f>
        <v/>
      </c>
      <c r="P51" s="116" t="str">
        <f aca="false">IF($B51="","",'مسير نوفمبر'!T51)</f>
        <v/>
      </c>
      <c r="Q51" s="116" t="str">
        <f aca="false">IF($B51="","",'مسير ديسمبر'!T51)</f>
        <v/>
      </c>
      <c r="R51" s="171" t="str">
        <f aca="false">IF($B51="","",IF(1&lt;=cfg_VAL_M,'مسير يناير'!T51,0)+IF(2&lt;=cfg_VAL_M,'مسير فبراير'!T51,0)+IF(3&lt;=cfg_VAL_M,'مسير مارس'!T51,0)+IF(4&lt;=cfg_VAL_M,'مسير أبريل'!T51,0)+IF(5&lt;=cfg_VAL_M,'مسير مايو'!T51,0)+IF(6&lt;=cfg_VAL_M,'مسير يونيو'!T51,0)+IF(7&lt;=cfg_VAL_M,'مسير يوليو'!T51,0)+IF(8&lt;=cfg_VAL_M,'مسير أغسطس'!T51,0)+IF(9&lt;=cfg_VAL_M,'مسير سبتمبر'!T51,0)+IF(10&lt;=cfg_VAL_M,'مسير أكتوبر'!T51,0)+IF(11&lt;=cfg_VAL_M,'مسير نوفمبر'!T51,0)+IF(12&lt;=cfg_VAL_M,'مسير ديسمبر'!T51,0))</f>
        <v/>
      </c>
      <c r="T51" s="116" t="str">
        <f aca="false">IF($B51="","",'مسير يناير'!AG51)</f>
        <v/>
      </c>
      <c r="U51" s="116" t="str">
        <f aca="false">IF($B51="","",'مسير فبراير'!AG51)</f>
        <v/>
      </c>
      <c r="V51" s="116" t="str">
        <f aca="false">IF($B51="","",'مسير مارس'!AG51)</f>
        <v/>
      </c>
      <c r="W51" s="116" t="str">
        <f aca="false">IF($B51="","",'مسير أبريل'!AG51)</f>
        <v/>
      </c>
      <c r="X51" s="116" t="str">
        <f aca="false">IF($B51="","",'مسير مايو'!AG51)</f>
        <v/>
      </c>
      <c r="Y51" s="116" t="str">
        <f aca="false">IF($B51="","",'مسير يونيو'!AG51)</f>
        <v/>
      </c>
      <c r="Z51" s="116" t="str">
        <f aca="false">IF($B51="","",'مسير يوليو'!AG51)</f>
        <v/>
      </c>
      <c r="AA51" s="116" t="str">
        <f aca="false">IF($B51="","",'مسير أغسطس'!AG51)</f>
        <v/>
      </c>
      <c r="AB51" s="116" t="str">
        <f aca="false">IF($B51="","",'مسير سبتمبر'!AG51)</f>
        <v/>
      </c>
      <c r="AC51" s="116" t="str">
        <f aca="false">IF($B51="","",'مسير أكتوبر'!AG51)</f>
        <v/>
      </c>
      <c r="AD51" s="116" t="str">
        <f aca="false">IF($B51="","",'مسير نوفمبر'!AG51)</f>
        <v/>
      </c>
      <c r="AE51" s="116" t="str">
        <f aca="false">IF($B51="","",'مسير ديسمبر'!AG51)</f>
        <v/>
      </c>
      <c r="AF51" s="171" t="str">
        <f aca="false">IF($B51="","",IF(1&lt;=cfg_VAL_M,'مسير يناير'!AG51,0)+IF(2&lt;=cfg_VAL_M,'مسير فبراير'!AG51,0)+IF(3&lt;=cfg_VAL_M,'مسير مارس'!AG51,0)+IF(4&lt;=cfg_VAL_M,'مسير أبريل'!AG51,0)+IF(5&lt;=cfg_VAL_M,'مسير مايو'!AG51,0)+IF(6&lt;=cfg_VAL_M,'مسير يونيو'!AG51,0)+IF(7&lt;=cfg_VAL_M,'مسير يوليو'!AG51,0)+IF(8&lt;=cfg_VAL_M,'مسير أغسطس'!AG51,0)+IF(9&lt;=cfg_VAL_M,'مسير سبتمبر'!AG51,0)+IF(10&lt;=cfg_VAL_M,'مسير أكتوبر'!AG51,0)+IF(11&lt;=cfg_VAL_M,'مسير نوفمبر'!AG51,0)+IF(12&lt;=cfg_VAL_M,'مسير ديسمبر'!AG51,0))</f>
        <v/>
      </c>
      <c r="AG51" s="171" t="str">
        <f aca="false">IF($B51="","",IF(1&lt;=cfg_VAL_M,'مسير يناير'!Y51,0)+IF(2&lt;=cfg_VAL_M,'مسير فبراير'!Y51,0)+IF(3&lt;=cfg_VAL_M,'مسير مارس'!Y51,0)+IF(4&lt;=cfg_VAL_M,'مسير أبريل'!Y51,0)+IF(5&lt;=cfg_VAL_M,'مسير مايو'!Y51,0)+IF(6&lt;=cfg_VAL_M,'مسير يونيو'!Y51,0)+IF(7&lt;=cfg_VAL_M,'مسير يوليو'!Y51,0)+IF(8&lt;=cfg_VAL_M,'مسير أغسطس'!Y51,0)+IF(9&lt;=cfg_VAL_M,'مسير سبتمبر'!Y51,0)+IF(10&lt;=cfg_VAL_M,'مسير أكتوبر'!Y51,0)+IF(11&lt;=cfg_VAL_M,'مسير نوفمبر'!Y51,0)+IF(12&lt;=cfg_VAL_M,'مسير ديسمبر'!Y51,0))</f>
        <v/>
      </c>
      <c r="AH51" s="116" t="str">
        <f aca="false">IF($B51="","",AF51/cfg_VAL_M)</f>
        <v/>
      </c>
    </row>
    <row r="52" customFormat="false" ht="15" hidden="false" customHeight="false" outlineLevel="0" collapsed="false">
      <c r="B52" s="114" t="str">
        <f aca="false">IF(الموظفون!$B52="","",الموظفون!$B52)</f>
        <v/>
      </c>
      <c r="C52" s="114" t="str">
        <f aca="false">IF(الموظفون!$B52="","",الموظفون!$C52)</f>
        <v/>
      </c>
      <c r="D52" s="114" t="str">
        <f aca="false">IF(الموظفون!$B52="","",الموظفون!$F52)</f>
        <v/>
      </c>
      <c r="E52" s="114" t="str">
        <f aca="false">IF(الموظفون!$B52="","",الموظفون!$E52)</f>
        <v/>
      </c>
      <c r="F52" s="111" t="str">
        <f aca="false">IF($B52="","",'مسير يناير'!T52)</f>
        <v/>
      </c>
      <c r="G52" s="111" t="str">
        <f aca="false">IF($B52="","",'مسير فبراير'!T52)</f>
        <v/>
      </c>
      <c r="H52" s="111" t="str">
        <f aca="false">IF($B52="","",'مسير مارس'!T52)</f>
        <v/>
      </c>
      <c r="I52" s="111" t="str">
        <f aca="false">IF($B52="","",'مسير أبريل'!T52)</f>
        <v/>
      </c>
      <c r="J52" s="111" t="str">
        <f aca="false">IF($B52="","",'مسير مايو'!T52)</f>
        <v/>
      </c>
      <c r="K52" s="111" t="str">
        <f aca="false">IF($B52="","",'مسير يونيو'!T52)</f>
        <v/>
      </c>
      <c r="L52" s="111" t="str">
        <f aca="false">IF($B52="","",'مسير يوليو'!T52)</f>
        <v/>
      </c>
      <c r="M52" s="111" t="str">
        <f aca="false">IF($B52="","",'مسير أغسطس'!T52)</f>
        <v/>
      </c>
      <c r="N52" s="111" t="str">
        <f aca="false">IF($B52="","",'مسير سبتمبر'!T52)</f>
        <v/>
      </c>
      <c r="O52" s="111" t="str">
        <f aca="false">IF($B52="","",'مسير أكتوبر'!T52)</f>
        <v/>
      </c>
      <c r="P52" s="111" t="str">
        <f aca="false">IF($B52="","",'مسير نوفمبر'!T52)</f>
        <v/>
      </c>
      <c r="Q52" s="111" t="str">
        <f aca="false">IF($B52="","",'مسير ديسمبر'!T52)</f>
        <v/>
      </c>
      <c r="R52" s="170" t="str">
        <f aca="false">IF($B52="","",IF(1&lt;=cfg_VAL_M,'مسير يناير'!T52,0)+IF(2&lt;=cfg_VAL_M,'مسير فبراير'!T52,0)+IF(3&lt;=cfg_VAL_M,'مسير مارس'!T52,0)+IF(4&lt;=cfg_VAL_M,'مسير أبريل'!T52,0)+IF(5&lt;=cfg_VAL_M,'مسير مايو'!T52,0)+IF(6&lt;=cfg_VAL_M,'مسير يونيو'!T52,0)+IF(7&lt;=cfg_VAL_M,'مسير يوليو'!T52,0)+IF(8&lt;=cfg_VAL_M,'مسير أغسطس'!T52,0)+IF(9&lt;=cfg_VAL_M,'مسير سبتمبر'!T52,0)+IF(10&lt;=cfg_VAL_M,'مسير أكتوبر'!T52,0)+IF(11&lt;=cfg_VAL_M,'مسير نوفمبر'!T52,0)+IF(12&lt;=cfg_VAL_M,'مسير ديسمبر'!T52,0))</f>
        <v/>
      </c>
      <c r="T52" s="111" t="str">
        <f aca="false">IF($B52="","",'مسير يناير'!AG52)</f>
        <v/>
      </c>
      <c r="U52" s="111" t="str">
        <f aca="false">IF($B52="","",'مسير فبراير'!AG52)</f>
        <v/>
      </c>
      <c r="V52" s="111" t="str">
        <f aca="false">IF($B52="","",'مسير مارس'!AG52)</f>
        <v/>
      </c>
      <c r="W52" s="111" t="str">
        <f aca="false">IF($B52="","",'مسير أبريل'!AG52)</f>
        <v/>
      </c>
      <c r="X52" s="111" t="str">
        <f aca="false">IF($B52="","",'مسير مايو'!AG52)</f>
        <v/>
      </c>
      <c r="Y52" s="111" t="str">
        <f aca="false">IF($B52="","",'مسير يونيو'!AG52)</f>
        <v/>
      </c>
      <c r="Z52" s="111" t="str">
        <f aca="false">IF($B52="","",'مسير يوليو'!AG52)</f>
        <v/>
      </c>
      <c r="AA52" s="111" t="str">
        <f aca="false">IF($B52="","",'مسير أغسطس'!AG52)</f>
        <v/>
      </c>
      <c r="AB52" s="111" t="str">
        <f aca="false">IF($B52="","",'مسير سبتمبر'!AG52)</f>
        <v/>
      </c>
      <c r="AC52" s="111" t="str">
        <f aca="false">IF($B52="","",'مسير أكتوبر'!AG52)</f>
        <v/>
      </c>
      <c r="AD52" s="111" t="str">
        <f aca="false">IF($B52="","",'مسير نوفمبر'!AG52)</f>
        <v/>
      </c>
      <c r="AE52" s="111" t="str">
        <f aca="false">IF($B52="","",'مسير ديسمبر'!AG52)</f>
        <v/>
      </c>
      <c r="AF52" s="170" t="str">
        <f aca="false">IF($B52="","",IF(1&lt;=cfg_VAL_M,'مسير يناير'!AG52,0)+IF(2&lt;=cfg_VAL_M,'مسير فبراير'!AG52,0)+IF(3&lt;=cfg_VAL_M,'مسير مارس'!AG52,0)+IF(4&lt;=cfg_VAL_M,'مسير أبريل'!AG52,0)+IF(5&lt;=cfg_VAL_M,'مسير مايو'!AG52,0)+IF(6&lt;=cfg_VAL_M,'مسير يونيو'!AG52,0)+IF(7&lt;=cfg_VAL_M,'مسير يوليو'!AG52,0)+IF(8&lt;=cfg_VAL_M,'مسير أغسطس'!AG52,0)+IF(9&lt;=cfg_VAL_M,'مسير سبتمبر'!AG52,0)+IF(10&lt;=cfg_VAL_M,'مسير أكتوبر'!AG52,0)+IF(11&lt;=cfg_VAL_M,'مسير نوفمبر'!AG52,0)+IF(12&lt;=cfg_VAL_M,'مسير ديسمبر'!AG52,0))</f>
        <v/>
      </c>
      <c r="AG52" s="170" t="str">
        <f aca="false">IF($B52="","",IF(1&lt;=cfg_VAL_M,'مسير يناير'!Y52,0)+IF(2&lt;=cfg_VAL_M,'مسير فبراير'!Y52,0)+IF(3&lt;=cfg_VAL_M,'مسير مارس'!Y52,0)+IF(4&lt;=cfg_VAL_M,'مسير أبريل'!Y52,0)+IF(5&lt;=cfg_VAL_M,'مسير مايو'!Y52,0)+IF(6&lt;=cfg_VAL_M,'مسير يونيو'!Y52,0)+IF(7&lt;=cfg_VAL_M,'مسير يوليو'!Y52,0)+IF(8&lt;=cfg_VAL_M,'مسير أغسطس'!Y52,0)+IF(9&lt;=cfg_VAL_M,'مسير سبتمبر'!Y52,0)+IF(10&lt;=cfg_VAL_M,'مسير أكتوبر'!Y52,0)+IF(11&lt;=cfg_VAL_M,'مسير نوفمبر'!Y52,0)+IF(12&lt;=cfg_VAL_M,'مسير ديسمبر'!Y52,0))</f>
        <v/>
      </c>
      <c r="AH52" s="111" t="str">
        <f aca="false">IF($B52="","",AF52/cfg_VAL_M)</f>
        <v/>
      </c>
    </row>
    <row r="53" customFormat="false" ht="15" hidden="false" customHeight="false" outlineLevel="0" collapsed="false">
      <c r="B53" s="117" t="str">
        <f aca="false">IF(الموظفون!$B53="","",الموظفون!$B53)</f>
        <v/>
      </c>
      <c r="C53" s="117" t="str">
        <f aca="false">IF(الموظفون!$B53="","",الموظفون!$C53)</f>
        <v/>
      </c>
      <c r="D53" s="117" t="str">
        <f aca="false">IF(الموظفون!$B53="","",الموظفون!$F53)</f>
        <v/>
      </c>
      <c r="E53" s="117" t="str">
        <f aca="false">IF(الموظفون!$B53="","",الموظفون!$E53)</f>
        <v/>
      </c>
      <c r="F53" s="116" t="str">
        <f aca="false">IF($B53="","",'مسير يناير'!T53)</f>
        <v/>
      </c>
      <c r="G53" s="116" t="str">
        <f aca="false">IF($B53="","",'مسير فبراير'!T53)</f>
        <v/>
      </c>
      <c r="H53" s="116" t="str">
        <f aca="false">IF($B53="","",'مسير مارس'!T53)</f>
        <v/>
      </c>
      <c r="I53" s="116" t="str">
        <f aca="false">IF($B53="","",'مسير أبريل'!T53)</f>
        <v/>
      </c>
      <c r="J53" s="116" t="str">
        <f aca="false">IF($B53="","",'مسير مايو'!T53)</f>
        <v/>
      </c>
      <c r="K53" s="116" t="str">
        <f aca="false">IF($B53="","",'مسير يونيو'!T53)</f>
        <v/>
      </c>
      <c r="L53" s="116" t="str">
        <f aca="false">IF($B53="","",'مسير يوليو'!T53)</f>
        <v/>
      </c>
      <c r="M53" s="116" t="str">
        <f aca="false">IF($B53="","",'مسير أغسطس'!T53)</f>
        <v/>
      </c>
      <c r="N53" s="116" t="str">
        <f aca="false">IF($B53="","",'مسير سبتمبر'!T53)</f>
        <v/>
      </c>
      <c r="O53" s="116" t="str">
        <f aca="false">IF($B53="","",'مسير أكتوبر'!T53)</f>
        <v/>
      </c>
      <c r="P53" s="116" t="str">
        <f aca="false">IF($B53="","",'مسير نوفمبر'!T53)</f>
        <v/>
      </c>
      <c r="Q53" s="116" t="str">
        <f aca="false">IF($B53="","",'مسير ديسمبر'!T53)</f>
        <v/>
      </c>
      <c r="R53" s="171" t="str">
        <f aca="false">IF($B53="","",IF(1&lt;=cfg_VAL_M,'مسير يناير'!T53,0)+IF(2&lt;=cfg_VAL_M,'مسير فبراير'!T53,0)+IF(3&lt;=cfg_VAL_M,'مسير مارس'!T53,0)+IF(4&lt;=cfg_VAL_M,'مسير أبريل'!T53,0)+IF(5&lt;=cfg_VAL_M,'مسير مايو'!T53,0)+IF(6&lt;=cfg_VAL_M,'مسير يونيو'!T53,0)+IF(7&lt;=cfg_VAL_M,'مسير يوليو'!T53,0)+IF(8&lt;=cfg_VAL_M,'مسير أغسطس'!T53,0)+IF(9&lt;=cfg_VAL_M,'مسير سبتمبر'!T53,0)+IF(10&lt;=cfg_VAL_M,'مسير أكتوبر'!T53,0)+IF(11&lt;=cfg_VAL_M,'مسير نوفمبر'!T53,0)+IF(12&lt;=cfg_VAL_M,'مسير ديسمبر'!T53,0))</f>
        <v/>
      </c>
      <c r="T53" s="116" t="str">
        <f aca="false">IF($B53="","",'مسير يناير'!AG53)</f>
        <v/>
      </c>
      <c r="U53" s="116" t="str">
        <f aca="false">IF($B53="","",'مسير فبراير'!AG53)</f>
        <v/>
      </c>
      <c r="V53" s="116" t="str">
        <f aca="false">IF($B53="","",'مسير مارس'!AG53)</f>
        <v/>
      </c>
      <c r="W53" s="116" t="str">
        <f aca="false">IF($B53="","",'مسير أبريل'!AG53)</f>
        <v/>
      </c>
      <c r="X53" s="116" t="str">
        <f aca="false">IF($B53="","",'مسير مايو'!AG53)</f>
        <v/>
      </c>
      <c r="Y53" s="116" t="str">
        <f aca="false">IF($B53="","",'مسير يونيو'!AG53)</f>
        <v/>
      </c>
      <c r="Z53" s="116" t="str">
        <f aca="false">IF($B53="","",'مسير يوليو'!AG53)</f>
        <v/>
      </c>
      <c r="AA53" s="116" t="str">
        <f aca="false">IF($B53="","",'مسير أغسطس'!AG53)</f>
        <v/>
      </c>
      <c r="AB53" s="116" t="str">
        <f aca="false">IF($B53="","",'مسير سبتمبر'!AG53)</f>
        <v/>
      </c>
      <c r="AC53" s="116" t="str">
        <f aca="false">IF($B53="","",'مسير أكتوبر'!AG53)</f>
        <v/>
      </c>
      <c r="AD53" s="116" t="str">
        <f aca="false">IF($B53="","",'مسير نوفمبر'!AG53)</f>
        <v/>
      </c>
      <c r="AE53" s="116" t="str">
        <f aca="false">IF($B53="","",'مسير ديسمبر'!AG53)</f>
        <v/>
      </c>
      <c r="AF53" s="171" t="str">
        <f aca="false">IF($B53="","",IF(1&lt;=cfg_VAL_M,'مسير يناير'!AG53,0)+IF(2&lt;=cfg_VAL_M,'مسير فبراير'!AG53,0)+IF(3&lt;=cfg_VAL_M,'مسير مارس'!AG53,0)+IF(4&lt;=cfg_VAL_M,'مسير أبريل'!AG53,0)+IF(5&lt;=cfg_VAL_M,'مسير مايو'!AG53,0)+IF(6&lt;=cfg_VAL_M,'مسير يونيو'!AG53,0)+IF(7&lt;=cfg_VAL_M,'مسير يوليو'!AG53,0)+IF(8&lt;=cfg_VAL_M,'مسير أغسطس'!AG53,0)+IF(9&lt;=cfg_VAL_M,'مسير سبتمبر'!AG53,0)+IF(10&lt;=cfg_VAL_M,'مسير أكتوبر'!AG53,0)+IF(11&lt;=cfg_VAL_M,'مسير نوفمبر'!AG53,0)+IF(12&lt;=cfg_VAL_M,'مسير ديسمبر'!AG53,0))</f>
        <v/>
      </c>
      <c r="AG53" s="171" t="str">
        <f aca="false">IF($B53="","",IF(1&lt;=cfg_VAL_M,'مسير يناير'!Y53,0)+IF(2&lt;=cfg_VAL_M,'مسير فبراير'!Y53,0)+IF(3&lt;=cfg_VAL_M,'مسير مارس'!Y53,0)+IF(4&lt;=cfg_VAL_M,'مسير أبريل'!Y53,0)+IF(5&lt;=cfg_VAL_M,'مسير مايو'!Y53,0)+IF(6&lt;=cfg_VAL_M,'مسير يونيو'!Y53,0)+IF(7&lt;=cfg_VAL_M,'مسير يوليو'!Y53,0)+IF(8&lt;=cfg_VAL_M,'مسير أغسطس'!Y53,0)+IF(9&lt;=cfg_VAL_M,'مسير سبتمبر'!Y53,0)+IF(10&lt;=cfg_VAL_M,'مسير أكتوبر'!Y53,0)+IF(11&lt;=cfg_VAL_M,'مسير نوفمبر'!Y53,0)+IF(12&lt;=cfg_VAL_M,'مسير ديسمبر'!Y53,0))</f>
        <v/>
      </c>
      <c r="AH53" s="116" t="str">
        <f aca="false">IF($B53="","",AF53/cfg_VAL_M)</f>
        <v/>
      </c>
    </row>
    <row r="54" customFormat="false" ht="15" hidden="false" customHeight="false" outlineLevel="0" collapsed="false">
      <c r="B54" s="114" t="str">
        <f aca="false">IF(الموظفون!$B54="","",الموظفون!$B54)</f>
        <v/>
      </c>
      <c r="C54" s="114" t="str">
        <f aca="false">IF(الموظفون!$B54="","",الموظفون!$C54)</f>
        <v/>
      </c>
      <c r="D54" s="114" t="str">
        <f aca="false">IF(الموظفون!$B54="","",الموظفون!$F54)</f>
        <v/>
      </c>
      <c r="E54" s="114" t="str">
        <f aca="false">IF(الموظفون!$B54="","",الموظفون!$E54)</f>
        <v/>
      </c>
      <c r="F54" s="111" t="str">
        <f aca="false">IF($B54="","",'مسير يناير'!T54)</f>
        <v/>
      </c>
      <c r="G54" s="111" t="str">
        <f aca="false">IF($B54="","",'مسير فبراير'!T54)</f>
        <v/>
      </c>
      <c r="H54" s="111" t="str">
        <f aca="false">IF($B54="","",'مسير مارس'!T54)</f>
        <v/>
      </c>
      <c r="I54" s="111" t="str">
        <f aca="false">IF($B54="","",'مسير أبريل'!T54)</f>
        <v/>
      </c>
      <c r="J54" s="111" t="str">
        <f aca="false">IF($B54="","",'مسير مايو'!T54)</f>
        <v/>
      </c>
      <c r="K54" s="111" t="str">
        <f aca="false">IF($B54="","",'مسير يونيو'!T54)</f>
        <v/>
      </c>
      <c r="L54" s="111" t="str">
        <f aca="false">IF($B54="","",'مسير يوليو'!T54)</f>
        <v/>
      </c>
      <c r="M54" s="111" t="str">
        <f aca="false">IF($B54="","",'مسير أغسطس'!T54)</f>
        <v/>
      </c>
      <c r="N54" s="111" t="str">
        <f aca="false">IF($B54="","",'مسير سبتمبر'!T54)</f>
        <v/>
      </c>
      <c r="O54" s="111" t="str">
        <f aca="false">IF($B54="","",'مسير أكتوبر'!T54)</f>
        <v/>
      </c>
      <c r="P54" s="111" t="str">
        <f aca="false">IF($B54="","",'مسير نوفمبر'!T54)</f>
        <v/>
      </c>
      <c r="Q54" s="111" t="str">
        <f aca="false">IF($B54="","",'مسير ديسمبر'!T54)</f>
        <v/>
      </c>
      <c r="R54" s="170" t="str">
        <f aca="false">IF($B54="","",IF(1&lt;=cfg_VAL_M,'مسير يناير'!T54,0)+IF(2&lt;=cfg_VAL_M,'مسير فبراير'!T54,0)+IF(3&lt;=cfg_VAL_M,'مسير مارس'!T54,0)+IF(4&lt;=cfg_VAL_M,'مسير أبريل'!T54,0)+IF(5&lt;=cfg_VAL_M,'مسير مايو'!T54,0)+IF(6&lt;=cfg_VAL_M,'مسير يونيو'!T54,0)+IF(7&lt;=cfg_VAL_M,'مسير يوليو'!T54,0)+IF(8&lt;=cfg_VAL_M,'مسير أغسطس'!T54,0)+IF(9&lt;=cfg_VAL_M,'مسير سبتمبر'!T54,0)+IF(10&lt;=cfg_VAL_M,'مسير أكتوبر'!T54,0)+IF(11&lt;=cfg_VAL_M,'مسير نوفمبر'!T54,0)+IF(12&lt;=cfg_VAL_M,'مسير ديسمبر'!T54,0))</f>
        <v/>
      </c>
      <c r="T54" s="111" t="str">
        <f aca="false">IF($B54="","",'مسير يناير'!AG54)</f>
        <v/>
      </c>
      <c r="U54" s="111" t="str">
        <f aca="false">IF($B54="","",'مسير فبراير'!AG54)</f>
        <v/>
      </c>
      <c r="V54" s="111" t="str">
        <f aca="false">IF($B54="","",'مسير مارس'!AG54)</f>
        <v/>
      </c>
      <c r="W54" s="111" t="str">
        <f aca="false">IF($B54="","",'مسير أبريل'!AG54)</f>
        <v/>
      </c>
      <c r="X54" s="111" t="str">
        <f aca="false">IF($B54="","",'مسير مايو'!AG54)</f>
        <v/>
      </c>
      <c r="Y54" s="111" t="str">
        <f aca="false">IF($B54="","",'مسير يونيو'!AG54)</f>
        <v/>
      </c>
      <c r="Z54" s="111" t="str">
        <f aca="false">IF($B54="","",'مسير يوليو'!AG54)</f>
        <v/>
      </c>
      <c r="AA54" s="111" t="str">
        <f aca="false">IF($B54="","",'مسير أغسطس'!AG54)</f>
        <v/>
      </c>
      <c r="AB54" s="111" t="str">
        <f aca="false">IF($B54="","",'مسير سبتمبر'!AG54)</f>
        <v/>
      </c>
      <c r="AC54" s="111" t="str">
        <f aca="false">IF($B54="","",'مسير أكتوبر'!AG54)</f>
        <v/>
      </c>
      <c r="AD54" s="111" t="str">
        <f aca="false">IF($B54="","",'مسير نوفمبر'!AG54)</f>
        <v/>
      </c>
      <c r="AE54" s="111" t="str">
        <f aca="false">IF($B54="","",'مسير ديسمبر'!AG54)</f>
        <v/>
      </c>
      <c r="AF54" s="170" t="str">
        <f aca="false">IF($B54="","",IF(1&lt;=cfg_VAL_M,'مسير يناير'!AG54,0)+IF(2&lt;=cfg_VAL_M,'مسير فبراير'!AG54,0)+IF(3&lt;=cfg_VAL_M,'مسير مارس'!AG54,0)+IF(4&lt;=cfg_VAL_M,'مسير أبريل'!AG54,0)+IF(5&lt;=cfg_VAL_M,'مسير مايو'!AG54,0)+IF(6&lt;=cfg_VAL_M,'مسير يونيو'!AG54,0)+IF(7&lt;=cfg_VAL_M,'مسير يوليو'!AG54,0)+IF(8&lt;=cfg_VAL_M,'مسير أغسطس'!AG54,0)+IF(9&lt;=cfg_VAL_M,'مسير سبتمبر'!AG54,0)+IF(10&lt;=cfg_VAL_M,'مسير أكتوبر'!AG54,0)+IF(11&lt;=cfg_VAL_M,'مسير نوفمبر'!AG54,0)+IF(12&lt;=cfg_VAL_M,'مسير ديسمبر'!AG54,0))</f>
        <v/>
      </c>
      <c r="AG54" s="170" t="str">
        <f aca="false">IF($B54="","",IF(1&lt;=cfg_VAL_M,'مسير يناير'!Y54,0)+IF(2&lt;=cfg_VAL_M,'مسير فبراير'!Y54,0)+IF(3&lt;=cfg_VAL_M,'مسير مارس'!Y54,0)+IF(4&lt;=cfg_VAL_M,'مسير أبريل'!Y54,0)+IF(5&lt;=cfg_VAL_M,'مسير مايو'!Y54,0)+IF(6&lt;=cfg_VAL_M,'مسير يونيو'!Y54,0)+IF(7&lt;=cfg_VAL_M,'مسير يوليو'!Y54,0)+IF(8&lt;=cfg_VAL_M,'مسير أغسطس'!Y54,0)+IF(9&lt;=cfg_VAL_M,'مسير سبتمبر'!Y54,0)+IF(10&lt;=cfg_VAL_M,'مسير أكتوبر'!Y54,0)+IF(11&lt;=cfg_VAL_M,'مسير نوفمبر'!Y54,0)+IF(12&lt;=cfg_VAL_M,'مسير ديسمبر'!Y54,0))</f>
        <v/>
      </c>
      <c r="AH54" s="111" t="str">
        <f aca="false">IF($B54="","",AF54/cfg_VAL_M)</f>
        <v/>
      </c>
    </row>
    <row r="55" customFormat="false" ht="15" hidden="false" customHeight="false" outlineLevel="0" collapsed="false">
      <c r="B55" s="117" t="str">
        <f aca="false">IF(الموظفون!$B55="","",الموظفون!$B55)</f>
        <v/>
      </c>
      <c r="C55" s="117" t="str">
        <f aca="false">IF(الموظفون!$B55="","",الموظفون!$C55)</f>
        <v/>
      </c>
      <c r="D55" s="117" t="str">
        <f aca="false">IF(الموظفون!$B55="","",الموظفون!$F55)</f>
        <v/>
      </c>
      <c r="E55" s="117" t="str">
        <f aca="false">IF(الموظفون!$B55="","",الموظفون!$E55)</f>
        <v/>
      </c>
      <c r="F55" s="116" t="str">
        <f aca="false">IF($B55="","",'مسير يناير'!T55)</f>
        <v/>
      </c>
      <c r="G55" s="116" t="str">
        <f aca="false">IF($B55="","",'مسير فبراير'!T55)</f>
        <v/>
      </c>
      <c r="H55" s="116" t="str">
        <f aca="false">IF($B55="","",'مسير مارس'!T55)</f>
        <v/>
      </c>
      <c r="I55" s="116" t="str">
        <f aca="false">IF($B55="","",'مسير أبريل'!T55)</f>
        <v/>
      </c>
      <c r="J55" s="116" t="str">
        <f aca="false">IF($B55="","",'مسير مايو'!T55)</f>
        <v/>
      </c>
      <c r="K55" s="116" t="str">
        <f aca="false">IF($B55="","",'مسير يونيو'!T55)</f>
        <v/>
      </c>
      <c r="L55" s="116" t="str">
        <f aca="false">IF($B55="","",'مسير يوليو'!T55)</f>
        <v/>
      </c>
      <c r="M55" s="116" t="str">
        <f aca="false">IF($B55="","",'مسير أغسطس'!T55)</f>
        <v/>
      </c>
      <c r="N55" s="116" t="str">
        <f aca="false">IF($B55="","",'مسير سبتمبر'!T55)</f>
        <v/>
      </c>
      <c r="O55" s="116" t="str">
        <f aca="false">IF($B55="","",'مسير أكتوبر'!T55)</f>
        <v/>
      </c>
      <c r="P55" s="116" t="str">
        <f aca="false">IF($B55="","",'مسير نوفمبر'!T55)</f>
        <v/>
      </c>
      <c r="Q55" s="116" t="str">
        <f aca="false">IF($B55="","",'مسير ديسمبر'!T55)</f>
        <v/>
      </c>
      <c r="R55" s="171" t="str">
        <f aca="false">IF($B55="","",IF(1&lt;=cfg_VAL_M,'مسير يناير'!T55,0)+IF(2&lt;=cfg_VAL_M,'مسير فبراير'!T55,0)+IF(3&lt;=cfg_VAL_M,'مسير مارس'!T55,0)+IF(4&lt;=cfg_VAL_M,'مسير أبريل'!T55,0)+IF(5&lt;=cfg_VAL_M,'مسير مايو'!T55,0)+IF(6&lt;=cfg_VAL_M,'مسير يونيو'!T55,0)+IF(7&lt;=cfg_VAL_M,'مسير يوليو'!T55,0)+IF(8&lt;=cfg_VAL_M,'مسير أغسطس'!T55,0)+IF(9&lt;=cfg_VAL_M,'مسير سبتمبر'!T55,0)+IF(10&lt;=cfg_VAL_M,'مسير أكتوبر'!T55,0)+IF(11&lt;=cfg_VAL_M,'مسير نوفمبر'!T55,0)+IF(12&lt;=cfg_VAL_M,'مسير ديسمبر'!T55,0))</f>
        <v/>
      </c>
      <c r="T55" s="116" t="str">
        <f aca="false">IF($B55="","",'مسير يناير'!AG55)</f>
        <v/>
      </c>
      <c r="U55" s="116" t="str">
        <f aca="false">IF($B55="","",'مسير فبراير'!AG55)</f>
        <v/>
      </c>
      <c r="V55" s="116" t="str">
        <f aca="false">IF($B55="","",'مسير مارس'!AG55)</f>
        <v/>
      </c>
      <c r="W55" s="116" t="str">
        <f aca="false">IF($B55="","",'مسير أبريل'!AG55)</f>
        <v/>
      </c>
      <c r="X55" s="116" t="str">
        <f aca="false">IF($B55="","",'مسير مايو'!AG55)</f>
        <v/>
      </c>
      <c r="Y55" s="116" t="str">
        <f aca="false">IF($B55="","",'مسير يونيو'!AG55)</f>
        <v/>
      </c>
      <c r="Z55" s="116" t="str">
        <f aca="false">IF($B55="","",'مسير يوليو'!AG55)</f>
        <v/>
      </c>
      <c r="AA55" s="116" t="str">
        <f aca="false">IF($B55="","",'مسير أغسطس'!AG55)</f>
        <v/>
      </c>
      <c r="AB55" s="116" t="str">
        <f aca="false">IF($B55="","",'مسير سبتمبر'!AG55)</f>
        <v/>
      </c>
      <c r="AC55" s="116" t="str">
        <f aca="false">IF($B55="","",'مسير أكتوبر'!AG55)</f>
        <v/>
      </c>
      <c r="AD55" s="116" t="str">
        <f aca="false">IF($B55="","",'مسير نوفمبر'!AG55)</f>
        <v/>
      </c>
      <c r="AE55" s="116" t="str">
        <f aca="false">IF($B55="","",'مسير ديسمبر'!AG55)</f>
        <v/>
      </c>
      <c r="AF55" s="171" t="str">
        <f aca="false">IF($B55="","",IF(1&lt;=cfg_VAL_M,'مسير يناير'!AG55,0)+IF(2&lt;=cfg_VAL_M,'مسير فبراير'!AG55,0)+IF(3&lt;=cfg_VAL_M,'مسير مارس'!AG55,0)+IF(4&lt;=cfg_VAL_M,'مسير أبريل'!AG55,0)+IF(5&lt;=cfg_VAL_M,'مسير مايو'!AG55,0)+IF(6&lt;=cfg_VAL_M,'مسير يونيو'!AG55,0)+IF(7&lt;=cfg_VAL_M,'مسير يوليو'!AG55,0)+IF(8&lt;=cfg_VAL_M,'مسير أغسطس'!AG55,0)+IF(9&lt;=cfg_VAL_M,'مسير سبتمبر'!AG55,0)+IF(10&lt;=cfg_VAL_M,'مسير أكتوبر'!AG55,0)+IF(11&lt;=cfg_VAL_M,'مسير نوفمبر'!AG55,0)+IF(12&lt;=cfg_VAL_M,'مسير ديسمبر'!AG55,0))</f>
        <v/>
      </c>
      <c r="AG55" s="171" t="str">
        <f aca="false">IF($B55="","",IF(1&lt;=cfg_VAL_M,'مسير يناير'!Y55,0)+IF(2&lt;=cfg_VAL_M,'مسير فبراير'!Y55,0)+IF(3&lt;=cfg_VAL_M,'مسير مارس'!Y55,0)+IF(4&lt;=cfg_VAL_M,'مسير أبريل'!Y55,0)+IF(5&lt;=cfg_VAL_M,'مسير مايو'!Y55,0)+IF(6&lt;=cfg_VAL_M,'مسير يونيو'!Y55,0)+IF(7&lt;=cfg_VAL_M,'مسير يوليو'!Y55,0)+IF(8&lt;=cfg_VAL_M,'مسير أغسطس'!Y55,0)+IF(9&lt;=cfg_VAL_M,'مسير سبتمبر'!Y55,0)+IF(10&lt;=cfg_VAL_M,'مسير أكتوبر'!Y55,0)+IF(11&lt;=cfg_VAL_M,'مسير نوفمبر'!Y55,0)+IF(12&lt;=cfg_VAL_M,'مسير ديسمبر'!Y55,0))</f>
        <v/>
      </c>
      <c r="AH55" s="116" t="str">
        <f aca="false">IF($B55="","",AF55/cfg_VAL_M)</f>
        <v/>
      </c>
    </row>
    <row r="56" customFormat="false" ht="15" hidden="false" customHeight="false" outlineLevel="0" collapsed="false">
      <c r="B56" s="114" t="str">
        <f aca="false">IF(الموظفون!$B56="","",الموظفون!$B56)</f>
        <v/>
      </c>
      <c r="C56" s="114" t="str">
        <f aca="false">IF(الموظفون!$B56="","",الموظفون!$C56)</f>
        <v/>
      </c>
      <c r="D56" s="114" t="str">
        <f aca="false">IF(الموظفون!$B56="","",الموظفون!$F56)</f>
        <v/>
      </c>
      <c r="E56" s="114" t="str">
        <f aca="false">IF(الموظفون!$B56="","",الموظفون!$E56)</f>
        <v/>
      </c>
      <c r="F56" s="111" t="str">
        <f aca="false">IF($B56="","",'مسير يناير'!T56)</f>
        <v/>
      </c>
      <c r="G56" s="111" t="str">
        <f aca="false">IF($B56="","",'مسير فبراير'!T56)</f>
        <v/>
      </c>
      <c r="H56" s="111" t="str">
        <f aca="false">IF($B56="","",'مسير مارس'!T56)</f>
        <v/>
      </c>
      <c r="I56" s="111" t="str">
        <f aca="false">IF($B56="","",'مسير أبريل'!T56)</f>
        <v/>
      </c>
      <c r="J56" s="111" t="str">
        <f aca="false">IF($B56="","",'مسير مايو'!T56)</f>
        <v/>
      </c>
      <c r="K56" s="111" t="str">
        <f aca="false">IF($B56="","",'مسير يونيو'!T56)</f>
        <v/>
      </c>
      <c r="L56" s="111" t="str">
        <f aca="false">IF($B56="","",'مسير يوليو'!T56)</f>
        <v/>
      </c>
      <c r="M56" s="111" t="str">
        <f aca="false">IF($B56="","",'مسير أغسطس'!T56)</f>
        <v/>
      </c>
      <c r="N56" s="111" t="str">
        <f aca="false">IF($B56="","",'مسير سبتمبر'!T56)</f>
        <v/>
      </c>
      <c r="O56" s="111" t="str">
        <f aca="false">IF($B56="","",'مسير أكتوبر'!T56)</f>
        <v/>
      </c>
      <c r="P56" s="111" t="str">
        <f aca="false">IF($B56="","",'مسير نوفمبر'!T56)</f>
        <v/>
      </c>
      <c r="Q56" s="111" t="str">
        <f aca="false">IF($B56="","",'مسير ديسمبر'!T56)</f>
        <v/>
      </c>
      <c r="R56" s="170" t="str">
        <f aca="false">IF($B56="","",IF(1&lt;=cfg_VAL_M,'مسير يناير'!T56,0)+IF(2&lt;=cfg_VAL_M,'مسير فبراير'!T56,0)+IF(3&lt;=cfg_VAL_M,'مسير مارس'!T56,0)+IF(4&lt;=cfg_VAL_M,'مسير أبريل'!T56,0)+IF(5&lt;=cfg_VAL_M,'مسير مايو'!T56,0)+IF(6&lt;=cfg_VAL_M,'مسير يونيو'!T56,0)+IF(7&lt;=cfg_VAL_M,'مسير يوليو'!T56,0)+IF(8&lt;=cfg_VAL_M,'مسير أغسطس'!T56,0)+IF(9&lt;=cfg_VAL_M,'مسير سبتمبر'!T56,0)+IF(10&lt;=cfg_VAL_M,'مسير أكتوبر'!T56,0)+IF(11&lt;=cfg_VAL_M,'مسير نوفمبر'!T56,0)+IF(12&lt;=cfg_VAL_M,'مسير ديسمبر'!T56,0))</f>
        <v/>
      </c>
      <c r="T56" s="111" t="str">
        <f aca="false">IF($B56="","",'مسير يناير'!AG56)</f>
        <v/>
      </c>
      <c r="U56" s="111" t="str">
        <f aca="false">IF($B56="","",'مسير فبراير'!AG56)</f>
        <v/>
      </c>
      <c r="V56" s="111" t="str">
        <f aca="false">IF($B56="","",'مسير مارس'!AG56)</f>
        <v/>
      </c>
      <c r="W56" s="111" t="str">
        <f aca="false">IF($B56="","",'مسير أبريل'!AG56)</f>
        <v/>
      </c>
      <c r="X56" s="111" t="str">
        <f aca="false">IF($B56="","",'مسير مايو'!AG56)</f>
        <v/>
      </c>
      <c r="Y56" s="111" t="str">
        <f aca="false">IF($B56="","",'مسير يونيو'!AG56)</f>
        <v/>
      </c>
      <c r="Z56" s="111" t="str">
        <f aca="false">IF($B56="","",'مسير يوليو'!AG56)</f>
        <v/>
      </c>
      <c r="AA56" s="111" t="str">
        <f aca="false">IF($B56="","",'مسير أغسطس'!AG56)</f>
        <v/>
      </c>
      <c r="AB56" s="111" t="str">
        <f aca="false">IF($B56="","",'مسير سبتمبر'!AG56)</f>
        <v/>
      </c>
      <c r="AC56" s="111" t="str">
        <f aca="false">IF($B56="","",'مسير أكتوبر'!AG56)</f>
        <v/>
      </c>
      <c r="AD56" s="111" t="str">
        <f aca="false">IF($B56="","",'مسير نوفمبر'!AG56)</f>
        <v/>
      </c>
      <c r="AE56" s="111" t="str">
        <f aca="false">IF($B56="","",'مسير ديسمبر'!AG56)</f>
        <v/>
      </c>
      <c r="AF56" s="170" t="str">
        <f aca="false">IF($B56="","",IF(1&lt;=cfg_VAL_M,'مسير يناير'!AG56,0)+IF(2&lt;=cfg_VAL_M,'مسير فبراير'!AG56,0)+IF(3&lt;=cfg_VAL_M,'مسير مارس'!AG56,0)+IF(4&lt;=cfg_VAL_M,'مسير أبريل'!AG56,0)+IF(5&lt;=cfg_VAL_M,'مسير مايو'!AG56,0)+IF(6&lt;=cfg_VAL_M,'مسير يونيو'!AG56,0)+IF(7&lt;=cfg_VAL_M,'مسير يوليو'!AG56,0)+IF(8&lt;=cfg_VAL_M,'مسير أغسطس'!AG56,0)+IF(9&lt;=cfg_VAL_M,'مسير سبتمبر'!AG56,0)+IF(10&lt;=cfg_VAL_M,'مسير أكتوبر'!AG56,0)+IF(11&lt;=cfg_VAL_M,'مسير نوفمبر'!AG56,0)+IF(12&lt;=cfg_VAL_M,'مسير ديسمبر'!AG56,0))</f>
        <v/>
      </c>
      <c r="AG56" s="170" t="str">
        <f aca="false">IF($B56="","",IF(1&lt;=cfg_VAL_M,'مسير يناير'!Y56,0)+IF(2&lt;=cfg_VAL_M,'مسير فبراير'!Y56,0)+IF(3&lt;=cfg_VAL_M,'مسير مارس'!Y56,0)+IF(4&lt;=cfg_VAL_M,'مسير أبريل'!Y56,0)+IF(5&lt;=cfg_VAL_M,'مسير مايو'!Y56,0)+IF(6&lt;=cfg_VAL_M,'مسير يونيو'!Y56,0)+IF(7&lt;=cfg_VAL_M,'مسير يوليو'!Y56,0)+IF(8&lt;=cfg_VAL_M,'مسير أغسطس'!Y56,0)+IF(9&lt;=cfg_VAL_M,'مسير سبتمبر'!Y56,0)+IF(10&lt;=cfg_VAL_M,'مسير أكتوبر'!Y56,0)+IF(11&lt;=cfg_VAL_M,'مسير نوفمبر'!Y56,0)+IF(12&lt;=cfg_VAL_M,'مسير ديسمبر'!Y56,0))</f>
        <v/>
      </c>
      <c r="AH56" s="111" t="str">
        <f aca="false">IF($B56="","",AF56/cfg_VAL_M)</f>
        <v/>
      </c>
    </row>
    <row r="57" customFormat="false" ht="15" hidden="false" customHeight="false" outlineLevel="0" collapsed="false">
      <c r="B57" s="117" t="str">
        <f aca="false">IF(الموظفون!$B57="","",الموظفون!$B57)</f>
        <v/>
      </c>
      <c r="C57" s="117" t="str">
        <f aca="false">IF(الموظفون!$B57="","",الموظفون!$C57)</f>
        <v/>
      </c>
      <c r="D57" s="117" t="str">
        <f aca="false">IF(الموظفون!$B57="","",الموظفون!$F57)</f>
        <v/>
      </c>
      <c r="E57" s="117" t="str">
        <f aca="false">IF(الموظفون!$B57="","",الموظفون!$E57)</f>
        <v/>
      </c>
      <c r="F57" s="116" t="str">
        <f aca="false">IF($B57="","",'مسير يناير'!T57)</f>
        <v/>
      </c>
      <c r="G57" s="116" t="str">
        <f aca="false">IF($B57="","",'مسير فبراير'!T57)</f>
        <v/>
      </c>
      <c r="H57" s="116" t="str">
        <f aca="false">IF($B57="","",'مسير مارس'!T57)</f>
        <v/>
      </c>
      <c r="I57" s="116" t="str">
        <f aca="false">IF($B57="","",'مسير أبريل'!T57)</f>
        <v/>
      </c>
      <c r="J57" s="116" t="str">
        <f aca="false">IF($B57="","",'مسير مايو'!T57)</f>
        <v/>
      </c>
      <c r="K57" s="116" t="str">
        <f aca="false">IF($B57="","",'مسير يونيو'!T57)</f>
        <v/>
      </c>
      <c r="L57" s="116" t="str">
        <f aca="false">IF($B57="","",'مسير يوليو'!T57)</f>
        <v/>
      </c>
      <c r="M57" s="116" t="str">
        <f aca="false">IF($B57="","",'مسير أغسطس'!T57)</f>
        <v/>
      </c>
      <c r="N57" s="116" t="str">
        <f aca="false">IF($B57="","",'مسير سبتمبر'!T57)</f>
        <v/>
      </c>
      <c r="O57" s="116" t="str">
        <f aca="false">IF($B57="","",'مسير أكتوبر'!T57)</f>
        <v/>
      </c>
      <c r="P57" s="116" t="str">
        <f aca="false">IF($B57="","",'مسير نوفمبر'!T57)</f>
        <v/>
      </c>
      <c r="Q57" s="116" t="str">
        <f aca="false">IF($B57="","",'مسير ديسمبر'!T57)</f>
        <v/>
      </c>
      <c r="R57" s="171" t="str">
        <f aca="false">IF($B57="","",IF(1&lt;=cfg_VAL_M,'مسير يناير'!T57,0)+IF(2&lt;=cfg_VAL_M,'مسير فبراير'!T57,0)+IF(3&lt;=cfg_VAL_M,'مسير مارس'!T57,0)+IF(4&lt;=cfg_VAL_M,'مسير أبريل'!T57,0)+IF(5&lt;=cfg_VAL_M,'مسير مايو'!T57,0)+IF(6&lt;=cfg_VAL_M,'مسير يونيو'!T57,0)+IF(7&lt;=cfg_VAL_M,'مسير يوليو'!T57,0)+IF(8&lt;=cfg_VAL_M,'مسير أغسطس'!T57,0)+IF(9&lt;=cfg_VAL_M,'مسير سبتمبر'!T57,0)+IF(10&lt;=cfg_VAL_M,'مسير أكتوبر'!T57,0)+IF(11&lt;=cfg_VAL_M,'مسير نوفمبر'!T57,0)+IF(12&lt;=cfg_VAL_M,'مسير ديسمبر'!T57,0))</f>
        <v/>
      </c>
      <c r="T57" s="116" t="str">
        <f aca="false">IF($B57="","",'مسير يناير'!AG57)</f>
        <v/>
      </c>
      <c r="U57" s="116" t="str">
        <f aca="false">IF($B57="","",'مسير فبراير'!AG57)</f>
        <v/>
      </c>
      <c r="V57" s="116" t="str">
        <f aca="false">IF($B57="","",'مسير مارس'!AG57)</f>
        <v/>
      </c>
      <c r="W57" s="116" t="str">
        <f aca="false">IF($B57="","",'مسير أبريل'!AG57)</f>
        <v/>
      </c>
      <c r="X57" s="116" t="str">
        <f aca="false">IF($B57="","",'مسير مايو'!AG57)</f>
        <v/>
      </c>
      <c r="Y57" s="116" t="str">
        <f aca="false">IF($B57="","",'مسير يونيو'!AG57)</f>
        <v/>
      </c>
      <c r="Z57" s="116" t="str">
        <f aca="false">IF($B57="","",'مسير يوليو'!AG57)</f>
        <v/>
      </c>
      <c r="AA57" s="116" t="str">
        <f aca="false">IF($B57="","",'مسير أغسطس'!AG57)</f>
        <v/>
      </c>
      <c r="AB57" s="116" t="str">
        <f aca="false">IF($B57="","",'مسير سبتمبر'!AG57)</f>
        <v/>
      </c>
      <c r="AC57" s="116" t="str">
        <f aca="false">IF($B57="","",'مسير أكتوبر'!AG57)</f>
        <v/>
      </c>
      <c r="AD57" s="116" t="str">
        <f aca="false">IF($B57="","",'مسير نوفمبر'!AG57)</f>
        <v/>
      </c>
      <c r="AE57" s="116" t="str">
        <f aca="false">IF($B57="","",'مسير ديسمبر'!AG57)</f>
        <v/>
      </c>
      <c r="AF57" s="171" t="str">
        <f aca="false">IF($B57="","",IF(1&lt;=cfg_VAL_M,'مسير يناير'!AG57,0)+IF(2&lt;=cfg_VAL_M,'مسير فبراير'!AG57,0)+IF(3&lt;=cfg_VAL_M,'مسير مارس'!AG57,0)+IF(4&lt;=cfg_VAL_M,'مسير أبريل'!AG57,0)+IF(5&lt;=cfg_VAL_M,'مسير مايو'!AG57,0)+IF(6&lt;=cfg_VAL_M,'مسير يونيو'!AG57,0)+IF(7&lt;=cfg_VAL_M,'مسير يوليو'!AG57,0)+IF(8&lt;=cfg_VAL_M,'مسير أغسطس'!AG57,0)+IF(9&lt;=cfg_VAL_M,'مسير سبتمبر'!AG57,0)+IF(10&lt;=cfg_VAL_M,'مسير أكتوبر'!AG57,0)+IF(11&lt;=cfg_VAL_M,'مسير نوفمبر'!AG57,0)+IF(12&lt;=cfg_VAL_M,'مسير ديسمبر'!AG57,0))</f>
        <v/>
      </c>
      <c r="AG57" s="171" t="str">
        <f aca="false">IF($B57="","",IF(1&lt;=cfg_VAL_M,'مسير يناير'!Y57,0)+IF(2&lt;=cfg_VAL_M,'مسير فبراير'!Y57,0)+IF(3&lt;=cfg_VAL_M,'مسير مارس'!Y57,0)+IF(4&lt;=cfg_VAL_M,'مسير أبريل'!Y57,0)+IF(5&lt;=cfg_VAL_M,'مسير مايو'!Y57,0)+IF(6&lt;=cfg_VAL_M,'مسير يونيو'!Y57,0)+IF(7&lt;=cfg_VAL_M,'مسير يوليو'!Y57,0)+IF(8&lt;=cfg_VAL_M,'مسير أغسطس'!Y57,0)+IF(9&lt;=cfg_VAL_M,'مسير سبتمبر'!Y57,0)+IF(10&lt;=cfg_VAL_M,'مسير أكتوبر'!Y57,0)+IF(11&lt;=cfg_VAL_M,'مسير نوفمبر'!Y57,0)+IF(12&lt;=cfg_VAL_M,'مسير ديسمبر'!Y57,0))</f>
        <v/>
      </c>
      <c r="AH57" s="116" t="str">
        <f aca="false">IF($B57="","",AF57/cfg_VAL_M)</f>
        <v/>
      </c>
    </row>
    <row r="58" customFormat="false" ht="15" hidden="false" customHeight="false" outlineLevel="0" collapsed="false">
      <c r="B58" s="114" t="str">
        <f aca="false">IF(الموظفون!$B58="","",الموظفون!$B58)</f>
        <v/>
      </c>
      <c r="C58" s="114" t="str">
        <f aca="false">IF(الموظفون!$B58="","",الموظفون!$C58)</f>
        <v/>
      </c>
      <c r="D58" s="114" t="str">
        <f aca="false">IF(الموظفون!$B58="","",الموظفون!$F58)</f>
        <v/>
      </c>
      <c r="E58" s="114" t="str">
        <f aca="false">IF(الموظفون!$B58="","",الموظفون!$E58)</f>
        <v/>
      </c>
      <c r="F58" s="111" t="str">
        <f aca="false">IF($B58="","",'مسير يناير'!T58)</f>
        <v/>
      </c>
      <c r="G58" s="111" t="str">
        <f aca="false">IF($B58="","",'مسير فبراير'!T58)</f>
        <v/>
      </c>
      <c r="H58" s="111" t="str">
        <f aca="false">IF($B58="","",'مسير مارس'!T58)</f>
        <v/>
      </c>
      <c r="I58" s="111" t="str">
        <f aca="false">IF($B58="","",'مسير أبريل'!T58)</f>
        <v/>
      </c>
      <c r="J58" s="111" t="str">
        <f aca="false">IF($B58="","",'مسير مايو'!T58)</f>
        <v/>
      </c>
      <c r="K58" s="111" t="str">
        <f aca="false">IF($B58="","",'مسير يونيو'!T58)</f>
        <v/>
      </c>
      <c r="L58" s="111" t="str">
        <f aca="false">IF($B58="","",'مسير يوليو'!T58)</f>
        <v/>
      </c>
      <c r="M58" s="111" t="str">
        <f aca="false">IF($B58="","",'مسير أغسطس'!T58)</f>
        <v/>
      </c>
      <c r="N58" s="111" t="str">
        <f aca="false">IF($B58="","",'مسير سبتمبر'!T58)</f>
        <v/>
      </c>
      <c r="O58" s="111" t="str">
        <f aca="false">IF($B58="","",'مسير أكتوبر'!T58)</f>
        <v/>
      </c>
      <c r="P58" s="111" t="str">
        <f aca="false">IF($B58="","",'مسير نوفمبر'!T58)</f>
        <v/>
      </c>
      <c r="Q58" s="111" t="str">
        <f aca="false">IF($B58="","",'مسير ديسمبر'!T58)</f>
        <v/>
      </c>
      <c r="R58" s="170" t="str">
        <f aca="false">IF($B58="","",IF(1&lt;=cfg_VAL_M,'مسير يناير'!T58,0)+IF(2&lt;=cfg_VAL_M,'مسير فبراير'!T58,0)+IF(3&lt;=cfg_VAL_M,'مسير مارس'!T58,0)+IF(4&lt;=cfg_VAL_M,'مسير أبريل'!T58,0)+IF(5&lt;=cfg_VAL_M,'مسير مايو'!T58,0)+IF(6&lt;=cfg_VAL_M,'مسير يونيو'!T58,0)+IF(7&lt;=cfg_VAL_M,'مسير يوليو'!T58,0)+IF(8&lt;=cfg_VAL_M,'مسير أغسطس'!T58,0)+IF(9&lt;=cfg_VAL_M,'مسير سبتمبر'!T58,0)+IF(10&lt;=cfg_VAL_M,'مسير أكتوبر'!T58,0)+IF(11&lt;=cfg_VAL_M,'مسير نوفمبر'!T58,0)+IF(12&lt;=cfg_VAL_M,'مسير ديسمبر'!T58,0))</f>
        <v/>
      </c>
      <c r="T58" s="111" t="str">
        <f aca="false">IF($B58="","",'مسير يناير'!AG58)</f>
        <v/>
      </c>
      <c r="U58" s="111" t="str">
        <f aca="false">IF($B58="","",'مسير فبراير'!AG58)</f>
        <v/>
      </c>
      <c r="V58" s="111" t="str">
        <f aca="false">IF($B58="","",'مسير مارس'!AG58)</f>
        <v/>
      </c>
      <c r="W58" s="111" t="str">
        <f aca="false">IF($B58="","",'مسير أبريل'!AG58)</f>
        <v/>
      </c>
      <c r="X58" s="111" t="str">
        <f aca="false">IF($B58="","",'مسير مايو'!AG58)</f>
        <v/>
      </c>
      <c r="Y58" s="111" t="str">
        <f aca="false">IF($B58="","",'مسير يونيو'!AG58)</f>
        <v/>
      </c>
      <c r="Z58" s="111" t="str">
        <f aca="false">IF($B58="","",'مسير يوليو'!AG58)</f>
        <v/>
      </c>
      <c r="AA58" s="111" t="str">
        <f aca="false">IF($B58="","",'مسير أغسطس'!AG58)</f>
        <v/>
      </c>
      <c r="AB58" s="111" t="str">
        <f aca="false">IF($B58="","",'مسير سبتمبر'!AG58)</f>
        <v/>
      </c>
      <c r="AC58" s="111" t="str">
        <f aca="false">IF($B58="","",'مسير أكتوبر'!AG58)</f>
        <v/>
      </c>
      <c r="AD58" s="111" t="str">
        <f aca="false">IF($B58="","",'مسير نوفمبر'!AG58)</f>
        <v/>
      </c>
      <c r="AE58" s="111" t="str">
        <f aca="false">IF($B58="","",'مسير ديسمبر'!AG58)</f>
        <v/>
      </c>
      <c r="AF58" s="170" t="str">
        <f aca="false">IF($B58="","",IF(1&lt;=cfg_VAL_M,'مسير يناير'!AG58,0)+IF(2&lt;=cfg_VAL_M,'مسير فبراير'!AG58,0)+IF(3&lt;=cfg_VAL_M,'مسير مارس'!AG58,0)+IF(4&lt;=cfg_VAL_M,'مسير أبريل'!AG58,0)+IF(5&lt;=cfg_VAL_M,'مسير مايو'!AG58,0)+IF(6&lt;=cfg_VAL_M,'مسير يونيو'!AG58,0)+IF(7&lt;=cfg_VAL_M,'مسير يوليو'!AG58,0)+IF(8&lt;=cfg_VAL_M,'مسير أغسطس'!AG58,0)+IF(9&lt;=cfg_VAL_M,'مسير سبتمبر'!AG58,0)+IF(10&lt;=cfg_VAL_M,'مسير أكتوبر'!AG58,0)+IF(11&lt;=cfg_VAL_M,'مسير نوفمبر'!AG58,0)+IF(12&lt;=cfg_VAL_M,'مسير ديسمبر'!AG58,0))</f>
        <v/>
      </c>
      <c r="AG58" s="170" t="str">
        <f aca="false">IF($B58="","",IF(1&lt;=cfg_VAL_M,'مسير يناير'!Y58,0)+IF(2&lt;=cfg_VAL_M,'مسير فبراير'!Y58,0)+IF(3&lt;=cfg_VAL_M,'مسير مارس'!Y58,0)+IF(4&lt;=cfg_VAL_M,'مسير أبريل'!Y58,0)+IF(5&lt;=cfg_VAL_M,'مسير مايو'!Y58,0)+IF(6&lt;=cfg_VAL_M,'مسير يونيو'!Y58,0)+IF(7&lt;=cfg_VAL_M,'مسير يوليو'!Y58,0)+IF(8&lt;=cfg_VAL_M,'مسير أغسطس'!Y58,0)+IF(9&lt;=cfg_VAL_M,'مسير سبتمبر'!Y58,0)+IF(10&lt;=cfg_VAL_M,'مسير أكتوبر'!Y58,0)+IF(11&lt;=cfg_VAL_M,'مسير نوفمبر'!Y58,0)+IF(12&lt;=cfg_VAL_M,'مسير ديسمبر'!Y58,0))</f>
        <v/>
      </c>
      <c r="AH58" s="111" t="str">
        <f aca="false">IF($B58="","",AF58/cfg_VAL_M)</f>
        <v/>
      </c>
    </row>
    <row r="59" customFormat="false" ht="15" hidden="false" customHeight="false" outlineLevel="0" collapsed="false">
      <c r="B59" s="117" t="str">
        <f aca="false">IF(الموظفون!$B59="","",الموظفون!$B59)</f>
        <v/>
      </c>
      <c r="C59" s="117" t="str">
        <f aca="false">IF(الموظفون!$B59="","",الموظفون!$C59)</f>
        <v/>
      </c>
      <c r="D59" s="117" t="str">
        <f aca="false">IF(الموظفون!$B59="","",الموظفون!$F59)</f>
        <v/>
      </c>
      <c r="E59" s="117" t="str">
        <f aca="false">IF(الموظفون!$B59="","",الموظفون!$E59)</f>
        <v/>
      </c>
      <c r="F59" s="116" t="str">
        <f aca="false">IF($B59="","",'مسير يناير'!T59)</f>
        <v/>
      </c>
      <c r="G59" s="116" t="str">
        <f aca="false">IF($B59="","",'مسير فبراير'!T59)</f>
        <v/>
      </c>
      <c r="H59" s="116" t="str">
        <f aca="false">IF($B59="","",'مسير مارس'!T59)</f>
        <v/>
      </c>
      <c r="I59" s="116" t="str">
        <f aca="false">IF($B59="","",'مسير أبريل'!T59)</f>
        <v/>
      </c>
      <c r="J59" s="116" t="str">
        <f aca="false">IF($B59="","",'مسير مايو'!T59)</f>
        <v/>
      </c>
      <c r="K59" s="116" t="str">
        <f aca="false">IF($B59="","",'مسير يونيو'!T59)</f>
        <v/>
      </c>
      <c r="L59" s="116" t="str">
        <f aca="false">IF($B59="","",'مسير يوليو'!T59)</f>
        <v/>
      </c>
      <c r="M59" s="116" t="str">
        <f aca="false">IF($B59="","",'مسير أغسطس'!T59)</f>
        <v/>
      </c>
      <c r="N59" s="116" t="str">
        <f aca="false">IF($B59="","",'مسير سبتمبر'!T59)</f>
        <v/>
      </c>
      <c r="O59" s="116" t="str">
        <f aca="false">IF($B59="","",'مسير أكتوبر'!T59)</f>
        <v/>
      </c>
      <c r="P59" s="116" t="str">
        <f aca="false">IF($B59="","",'مسير نوفمبر'!T59)</f>
        <v/>
      </c>
      <c r="Q59" s="116" t="str">
        <f aca="false">IF($B59="","",'مسير ديسمبر'!T59)</f>
        <v/>
      </c>
      <c r="R59" s="171" t="str">
        <f aca="false">IF($B59="","",IF(1&lt;=cfg_VAL_M,'مسير يناير'!T59,0)+IF(2&lt;=cfg_VAL_M,'مسير فبراير'!T59,0)+IF(3&lt;=cfg_VAL_M,'مسير مارس'!T59,0)+IF(4&lt;=cfg_VAL_M,'مسير أبريل'!T59,0)+IF(5&lt;=cfg_VAL_M,'مسير مايو'!T59,0)+IF(6&lt;=cfg_VAL_M,'مسير يونيو'!T59,0)+IF(7&lt;=cfg_VAL_M,'مسير يوليو'!T59,0)+IF(8&lt;=cfg_VAL_M,'مسير أغسطس'!T59,0)+IF(9&lt;=cfg_VAL_M,'مسير سبتمبر'!T59,0)+IF(10&lt;=cfg_VAL_M,'مسير أكتوبر'!T59,0)+IF(11&lt;=cfg_VAL_M,'مسير نوفمبر'!T59,0)+IF(12&lt;=cfg_VAL_M,'مسير ديسمبر'!T59,0))</f>
        <v/>
      </c>
      <c r="T59" s="116" t="str">
        <f aca="false">IF($B59="","",'مسير يناير'!AG59)</f>
        <v/>
      </c>
      <c r="U59" s="116" t="str">
        <f aca="false">IF($B59="","",'مسير فبراير'!AG59)</f>
        <v/>
      </c>
      <c r="V59" s="116" t="str">
        <f aca="false">IF($B59="","",'مسير مارس'!AG59)</f>
        <v/>
      </c>
      <c r="W59" s="116" t="str">
        <f aca="false">IF($B59="","",'مسير أبريل'!AG59)</f>
        <v/>
      </c>
      <c r="X59" s="116" t="str">
        <f aca="false">IF($B59="","",'مسير مايو'!AG59)</f>
        <v/>
      </c>
      <c r="Y59" s="116" t="str">
        <f aca="false">IF($B59="","",'مسير يونيو'!AG59)</f>
        <v/>
      </c>
      <c r="Z59" s="116" t="str">
        <f aca="false">IF($B59="","",'مسير يوليو'!AG59)</f>
        <v/>
      </c>
      <c r="AA59" s="116" t="str">
        <f aca="false">IF($B59="","",'مسير أغسطس'!AG59)</f>
        <v/>
      </c>
      <c r="AB59" s="116" t="str">
        <f aca="false">IF($B59="","",'مسير سبتمبر'!AG59)</f>
        <v/>
      </c>
      <c r="AC59" s="116" t="str">
        <f aca="false">IF($B59="","",'مسير أكتوبر'!AG59)</f>
        <v/>
      </c>
      <c r="AD59" s="116" t="str">
        <f aca="false">IF($B59="","",'مسير نوفمبر'!AG59)</f>
        <v/>
      </c>
      <c r="AE59" s="116" t="str">
        <f aca="false">IF($B59="","",'مسير ديسمبر'!AG59)</f>
        <v/>
      </c>
      <c r="AF59" s="171" t="str">
        <f aca="false">IF($B59="","",IF(1&lt;=cfg_VAL_M,'مسير يناير'!AG59,0)+IF(2&lt;=cfg_VAL_M,'مسير فبراير'!AG59,0)+IF(3&lt;=cfg_VAL_M,'مسير مارس'!AG59,0)+IF(4&lt;=cfg_VAL_M,'مسير أبريل'!AG59,0)+IF(5&lt;=cfg_VAL_M,'مسير مايو'!AG59,0)+IF(6&lt;=cfg_VAL_M,'مسير يونيو'!AG59,0)+IF(7&lt;=cfg_VAL_M,'مسير يوليو'!AG59,0)+IF(8&lt;=cfg_VAL_M,'مسير أغسطس'!AG59,0)+IF(9&lt;=cfg_VAL_M,'مسير سبتمبر'!AG59,0)+IF(10&lt;=cfg_VAL_M,'مسير أكتوبر'!AG59,0)+IF(11&lt;=cfg_VAL_M,'مسير نوفمبر'!AG59,0)+IF(12&lt;=cfg_VAL_M,'مسير ديسمبر'!AG59,0))</f>
        <v/>
      </c>
      <c r="AG59" s="171" t="str">
        <f aca="false">IF($B59="","",IF(1&lt;=cfg_VAL_M,'مسير يناير'!Y59,0)+IF(2&lt;=cfg_VAL_M,'مسير فبراير'!Y59,0)+IF(3&lt;=cfg_VAL_M,'مسير مارس'!Y59,0)+IF(4&lt;=cfg_VAL_M,'مسير أبريل'!Y59,0)+IF(5&lt;=cfg_VAL_M,'مسير مايو'!Y59,0)+IF(6&lt;=cfg_VAL_M,'مسير يونيو'!Y59,0)+IF(7&lt;=cfg_VAL_M,'مسير يوليو'!Y59,0)+IF(8&lt;=cfg_VAL_M,'مسير أغسطس'!Y59,0)+IF(9&lt;=cfg_VAL_M,'مسير سبتمبر'!Y59,0)+IF(10&lt;=cfg_VAL_M,'مسير أكتوبر'!Y59,0)+IF(11&lt;=cfg_VAL_M,'مسير نوفمبر'!Y59,0)+IF(12&lt;=cfg_VAL_M,'مسير ديسمبر'!Y59,0))</f>
        <v/>
      </c>
      <c r="AH59" s="116" t="str">
        <f aca="false">IF($B59="","",AF59/cfg_VAL_M)</f>
        <v/>
      </c>
    </row>
    <row r="60" customFormat="false" ht="15" hidden="false" customHeight="false" outlineLevel="0" collapsed="false">
      <c r="B60" s="114" t="str">
        <f aca="false">IF(الموظفون!$B60="","",الموظفون!$B60)</f>
        <v/>
      </c>
      <c r="C60" s="114" t="str">
        <f aca="false">IF(الموظفون!$B60="","",الموظفون!$C60)</f>
        <v/>
      </c>
      <c r="D60" s="114" t="str">
        <f aca="false">IF(الموظفون!$B60="","",الموظفون!$F60)</f>
        <v/>
      </c>
      <c r="E60" s="114" t="str">
        <f aca="false">IF(الموظفون!$B60="","",الموظفون!$E60)</f>
        <v/>
      </c>
      <c r="F60" s="111" t="str">
        <f aca="false">IF($B60="","",'مسير يناير'!T60)</f>
        <v/>
      </c>
      <c r="G60" s="111" t="str">
        <f aca="false">IF($B60="","",'مسير فبراير'!T60)</f>
        <v/>
      </c>
      <c r="H60" s="111" t="str">
        <f aca="false">IF($B60="","",'مسير مارس'!T60)</f>
        <v/>
      </c>
      <c r="I60" s="111" t="str">
        <f aca="false">IF($B60="","",'مسير أبريل'!T60)</f>
        <v/>
      </c>
      <c r="J60" s="111" t="str">
        <f aca="false">IF($B60="","",'مسير مايو'!T60)</f>
        <v/>
      </c>
      <c r="K60" s="111" t="str">
        <f aca="false">IF($B60="","",'مسير يونيو'!T60)</f>
        <v/>
      </c>
      <c r="L60" s="111" t="str">
        <f aca="false">IF($B60="","",'مسير يوليو'!T60)</f>
        <v/>
      </c>
      <c r="M60" s="111" t="str">
        <f aca="false">IF($B60="","",'مسير أغسطس'!T60)</f>
        <v/>
      </c>
      <c r="N60" s="111" t="str">
        <f aca="false">IF($B60="","",'مسير سبتمبر'!T60)</f>
        <v/>
      </c>
      <c r="O60" s="111" t="str">
        <f aca="false">IF($B60="","",'مسير أكتوبر'!T60)</f>
        <v/>
      </c>
      <c r="P60" s="111" t="str">
        <f aca="false">IF($B60="","",'مسير نوفمبر'!T60)</f>
        <v/>
      </c>
      <c r="Q60" s="111" t="str">
        <f aca="false">IF($B60="","",'مسير ديسمبر'!T60)</f>
        <v/>
      </c>
      <c r="R60" s="170" t="str">
        <f aca="false">IF($B60="","",IF(1&lt;=cfg_VAL_M,'مسير يناير'!T60,0)+IF(2&lt;=cfg_VAL_M,'مسير فبراير'!T60,0)+IF(3&lt;=cfg_VAL_M,'مسير مارس'!T60,0)+IF(4&lt;=cfg_VAL_M,'مسير أبريل'!T60,0)+IF(5&lt;=cfg_VAL_M,'مسير مايو'!T60,0)+IF(6&lt;=cfg_VAL_M,'مسير يونيو'!T60,0)+IF(7&lt;=cfg_VAL_M,'مسير يوليو'!T60,0)+IF(8&lt;=cfg_VAL_M,'مسير أغسطس'!T60,0)+IF(9&lt;=cfg_VAL_M,'مسير سبتمبر'!T60,0)+IF(10&lt;=cfg_VAL_M,'مسير أكتوبر'!T60,0)+IF(11&lt;=cfg_VAL_M,'مسير نوفمبر'!T60,0)+IF(12&lt;=cfg_VAL_M,'مسير ديسمبر'!T60,0))</f>
        <v/>
      </c>
      <c r="T60" s="111" t="str">
        <f aca="false">IF($B60="","",'مسير يناير'!AG60)</f>
        <v/>
      </c>
      <c r="U60" s="111" t="str">
        <f aca="false">IF($B60="","",'مسير فبراير'!AG60)</f>
        <v/>
      </c>
      <c r="V60" s="111" t="str">
        <f aca="false">IF($B60="","",'مسير مارس'!AG60)</f>
        <v/>
      </c>
      <c r="W60" s="111" t="str">
        <f aca="false">IF($B60="","",'مسير أبريل'!AG60)</f>
        <v/>
      </c>
      <c r="X60" s="111" t="str">
        <f aca="false">IF($B60="","",'مسير مايو'!AG60)</f>
        <v/>
      </c>
      <c r="Y60" s="111" t="str">
        <f aca="false">IF($B60="","",'مسير يونيو'!AG60)</f>
        <v/>
      </c>
      <c r="Z60" s="111" t="str">
        <f aca="false">IF($B60="","",'مسير يوليو'!AG60)</f>
        <v/>
      </c>
      <c r="AA60" s="111" t="str">
        <f aca="false">IF($B60="","",'مسير أغسطس'!AG60)</f>
        <v/>
      </c>
      <c r="AB60" s="111" t="str">
        <f aca="false">IF($B60="","",'مسير سبتمبر'!AG60)</f>
        <v/>
      </c>
      <c r="AC60" s="111" t="str">
        <f aca="false">IF($B60="","",'مسير أكتوبر'!AG60)</f>
        <v/>
      </c>
      <c r="AD60" s="111" t="str">
        <f aca="false">IF($B60="","",'مسير نوفمبر'!AG60)</f>
        <v/>
      </c>
      <c r="AE60" s="111" t="str">
        <f aca="false">IF($B60="","",'مسير ديسمبر'!AG60)</f>
        <v/>
      </c>
      <c r="AF60" s="170" t="str">
        <f aca="false">IF($B60="","",IF(1&lt;=cfg_VAL_M,'مسير يناير'!AG60,0)+IF(2&lt;=cfg_VAL_M,'مسير فبراير'!AG60,0)+IF(3&lt;=cfg_VAL_M,'مسير مارس'!AG60,0)+IF(4&lt;=cfg_VAL_M,'مسير أبريل'!AG60,0)+IF(5&lt;=cfg_VAL_M,'مسير مايو'!AG60,0)+IF(6&lt;=cfg_VAL_M,'مسير يونيو'!AG60,0)+IF(7&lt;=cfg_VAL_M,'مسير يوليو'!AG60,0)+IF(8&lt;=cfg_VAL_M,'مسير أغسطس'!AG60,0)+IF(9&lt;=cfg_VAL_M,'مسير سبتمبر'!AG60,0)+IF(10&lt;=cfg_VAL_M,'مسير أكتوبر'!AG60,0)+IF(11&lt;=cfg_VAL_M,'مسير نوفمبر'!AG60,0)+IF(12&lt;=cfg_VAL_M,'مسير ديسمبر'!AG60,0))</f>
        <v/>
      </c>
      <c r="AG60" s="170" t="str">
        <f aca="false">IF($B60="","",IF(1&lt;=cfg_VAL_M,'مسير يناير'!Y60,0)+IF(2&lt;=cfg_VAL_M,'مسير فبراير'!Y60,0)+IF(3&lt;=cfg_VAL_M,'مسير مارس'!Y60,0)+IF(4&lt;=cfg_VAL_M,'مسير أبريل'!Y60,0)+IF(5&lt;=cfg_VAL_M,'مسير مايو'!Y60,0)+IF(6&lt;=cfg_VAL_M,'مسير يونيو'!Y60,0)+IF(7&lt;=cfg_VAL_M,'مسير يوليو'!Y60,0)+IF(8&lt;=cfg_VAL_M,'مسير أغسطس'!Y60,0)+IF(9&lt;=cfg_VAL_M,'مسير سبتمبر'!Y60,0)+IF(10&lt;=cfg_VAL_M,'مسير أكتوبر'!Y60,0)+IF(11&lt;=cfg_VAL_M,'مسير نوفمبر'!Y60,0)+IF(12&lt;=cfg_VAL_M,'مسير ديسمبر'!Y60,0))</f>
        <v/>
      </c>
      <c r="AH60" s="111" t="str">
        <f aca="false">IF($B60="","",AF60/cfg_VAL_M)</f>
        <v/>
      </c>
    </row>
    <row r="61" customFormat="false" ht="15" hidden="false" customHeight="false" outlineLevel="0" collapsed="false">
      <c r="B61" s="117" t="str">
        <f aca="false">IF(الموظفون!$B61="","",الموظفون!$B61)</f>
        <v/>
      </c>
      <c r="C61" s="117" t="str">
        <f aca="false">IF(الموظفون!$B61="","",الموظفون!$C61)</f>
        <v/>
      </c>
      <c r="D61" s="117" t="str">
        <f aca="false">IF(الموظفون!$B61="","",الموظفون!$F61)</f>
        <v/>
      </c>
      <c r="E61" s="117" t="str">
        <f aca="false">IF(الموظفون!$B61="","",الموظفون!$E61)</f>
        <v/>
      </c>
      <c r="F61" s="116" t="str">
        <f aca="false">IF($B61="","",'مسير يناير'!T61)</f>
        <v/>
      </c>
      <c r="G61" s="116" t="str">
        <f aca="false">IF($B61="","",'مسير فبراير'!T61)</f>
        <v/>
      </c>
      <c r="H61" s="116" t="str">
        <f aca="false">IF($B61="","",'مسير مارس'!T61)</f>
        <v/>
      </c>
      <c r="I61" s="116" t="str">
        <f aca="false">IF($B61="","",'مسير أبريل'!T61)</f>
        <v/>
      </c>
      <c r="J61" s="116" t="str">
        <f aca="false">IF($B61="","",'مسير مايو'!T61)</f>
        <v/>
      </c>
      <c r="K61" s="116" t="str">
        <f aca="false">IF($B61="","",'مسير يونيو'!T61)</f>
        <v/>
      </c>
      <c r="L61" s="116" t="str">
        <f aca="false">IF($B61="","",'مسير يوليو'!T61)</f>
        <v/>
      </c>
      <c r="M61" s="116" t="str">
        <f aca="false">IF($B61="","",'مسير أغسطس'!T61)</f>
        <v/>
      </c>
      <c r="N61" s="116" t="str">
        <f aca="false">IF($B61="","",'مسير سبتمبر'!T61)</f>
        <v/>
      </c>
      <c r="O61" s="116" t="str">
        <f aca="false">IF($B61="","",'مسير أكتوبر'!T61)</f>
        <v/>
      </c>
      <c r="P61" s="116" t="str">
        <f aca="false">IF($B61="","",'مسير نوفمبر'!T61)</f>
        <v/>
      </c>
      <c r="Q61" s="116" t="str">
        <f aca="false">IF($B61="","",'مسير ديسمبر'!T61)</f>
        <v/>
      </c>
      <c r="R61" s="171" t="str">
        <f aca="false">IF($B61="","",IF(1&lt;=cfg_VAL_M,'مسير يناير'!T61,0)+IF(2&lt;=cfg_VAL_M,'مسير فبراير'!T61,0)+IF(3&lt;=cfg_VAL_M,'مسير مارس'!T61,0)+IF(4&lt;=cfg_VAL_M,'مسير أبريل'!T61,0)+IF(5&lt;=cfg_VAL_M,'مسير مايو'!T61,0)+IF(6&lt;=cfg_VAL_M,'مسير يونيو'!T61,0)+IF(7&lt;=cfg_VAL_M,'مسير يوليو'!T61,0)+IF(8&lt;=cfg_VAL_M,'مسير أغسطس'!T61,0)+IF(9&lt;=cfg_VAL_M,'مسير سبتمبر'!T61,0)+IF(10&lt;=cfg_VAL_M,'مسير أكتوبر'!T61,0)+IF(11&lt;=cfg_VAL_M,'مسير نوفمبر'!T61,0)+IF(12&lt;=cfg_VAL_M,'مسير ديسمبر'!T61,0))</f>
        <v/>
      </c>
      <c r="T61" s="116" t="str">
        <f aca="false">IF($B61="","",'مسير يناير'!AG61)</f>
        <v/>
      </c>
      <c r="U61" s="116" t="str">
        <f aca="false">IF($B61="","",'مسير فبراير'!AG61)</f>
        <v/>
      </c>
      <c r="V61" s="116" t="str">
        <f aca="false">IF($B61="","",'مسير مارس'!AG61)</f>
        <v/>
      </c>
      <c r="W61" s="116" t="str">
        <f aca="false">IF($B61="","",'مسير أبريل'!AG61)</f>
        <v/>
      </c>
      <c r="X61" s="116" t="str">
        <f aca="false">IF($B61="","",'مسير مايو'!AG61)</f>
        <v/>
      </c>
      <c r="Y61" s="116" t="str">
        <f aca="false">IF($B61="","",'مسير يونيو'!AG61)</f>
        <v/>
      </c>
      <c r="Z61" s="116" t="str">
        <f aca="false">IF($B61="","",'مسير يوليو'!AG61)</f>
        <v/>
      </c>
      <c r="AA61" s="116" t="str">
        <f aca="false">IF($B61="","",'مسير أغسطس'!AG61)</f>
        <v/>
      </c>
      <c r="AB61" s="116" t="str">
        <f aca="false">IF($B61="","",'مسير سبتمبر'!AG61)</f>
        <v/>
      </c>
      <c r="AC61" s="116" t="str">
        <f aca="false">IF($B61="","",'مسير أكتوبر'!AG61)</f>
        <v/>
      </c>
      <c r="AD61" s="116" t="str">
        <f aca="false">IF($B61="","",'مسير نوفمبر'!AG61)</f>
        <v/>
      </c>
      <c r="AE61" s="116" t="str">
        <f aca="false">IF($B61="","",'مسير ديسمبر'!AG61)</f>
        <v/>
      </c>
      <c r="AF61" s="171" t="str">
        <f aca="false">IF($B61="","",IF(1&lt;=cfg_VAL_M,'مسير يناير'!AG61,0)+IF(2&lt;=cfg_VAL_M,'مسير فبراير'!AG61,0)+IF(3&lt;=cfg_VAL_M,'مسير مارس'!AG61,0)+IF(4&lt;=cfg_VAL_M,'مسير أبريل'!AG61,0)+IF(5&lt;=cfg_VAL_M,'مسير مايو'!AG61,0)+IF(6&lt;=cfg_VAL_M,'مسير يونيو'!AG61,0)+IF(7&lt;=cfg_VAL_M,'مسير يوليو'!AG61,0)+IF(8&lt;=cfg_VAL_M,'مسير أغسطس'!AG61,0)+IF(9&lt;=cfg_VAL_M,'مسير سبتمبر'!AG61,0)+IF(10&lt;=cfg_VAL_M,'مسير أكتوبر'!AG61,0)+IF(11&lt;=cfg_VAL_M,'مسير نوفمبر'!AG61,0)+IF(12&lt;=cfg_VAL_M,'مسير ديسمبر'!AG61,0))</f>
        <v/>
      </c>
      <c r="AG61" s="171" t="str">
        <f aca="false">IF($B61="","",IF(1&lt;=cfg_VAL_M,'مسير يناير'!Y61,0)+IF(2&lt;=cfg_VAL_M,'مسير فبراير'!Y61,0)+IF(3&lt;=cfg_VAL_M,'مسير مارس'!Y61,0)+IF(4&lt;=cfg_VAL_M,'مسير أبريل'!Y61,0)+IF(5&lt;=cfg_VAL_M,'مسير مايو'!Y61,0)+IF(6&lt;=cfg_VAL_M,'مسير يونيو'!Y61,0)+IF(7&lt;=cfg_VAL_M,'مسير يوليو'!Y61,0)+IF(8&lt;=cfg_VAL_M,'مسير أغسطس'!Y61,0)+IF(9&lt;=cfg_VAL_M,'مسير سبتمبر'!Y61,0)+IF(10&lt;=cfg_VAL_M,'مسير أكتوبر'!Y61,0)+IF(11&lt;=cfg_VAL_M,'مسير نوفمبر'!Y61,0)+IF(12&lt;=cfg_VAL_M,'مسير ديسمبر'!Y61,0))</f>
        <v/>
      </c>
      <c r="AH61" s="116" t="str">
        <f aca="false">IF($B61="","",AF61/cfg_VAL_M)</f>
        <v/>
      </c>
    </row>
    <row r="62" customFormat="false" ht="15" hidden="false" customHeight="false" outlineLevel="0" collapsed="false">
      <c r="B62" s="114" t="str">
        <f aca="false">IF(الموظفون!$B62="","",الموظفون!$B62)</f>
        <v/>
      </c>
      <c r="C62" s="114" t="str">
        <f aca="false">IF(الموظفون!$B62="","",الموظفون!$C62)</f>
        <v/>
      </c>
      <c r="D62" s="114" t="str">
        <f aca="false">IF(الموظفون!$B62="","",الموظفون!$F62)</f>
        <v/>
      </c>
      <c r="E62" s="114" t="str">
        <f aca="false">IF(الموظفون!$B62="","",الموظفون!$E62)</f>
        <v/>
      </c>
      <c r="F62" s="111" t="str">
        <f aca="false">IF($B62="","",'مسير يناير'!T62)</f>
        <v/>
      </c>
      <c r="G62" s="111" t="str">
        <f aca="false">IF($B62="","",'مسير فبراير'!T62)</f>
        <v/>
      </c>
      <c r="H62" s="111" t="str">
        <f aca="false">IF($B62="","",'مسير مارس'!T62)</f>
        <v/>
      </c>
      <c r="I62" s="111" t="str">
        <f aca="false">IF($B62="","",'مسير أبريل'!T62)</f>
        <v/>
      </c>
      <c r="J62" s="111" t="str">
        <f aca="false">IF($B62="","",'مسير مايو'!T62)</f>
        <v/>
      </c>
      <c r="K62" s="111" t="str">
        <f aca="false">IF($B62="","",'مسير يونيو'!T62)</f>
        <v/>
      </c>
      <c r="L62" s="111" t="str">
        <f aca="false">IF($B62="","",'مسير يوليو'!T62)</f>
        <v/>
      </c>
      <c r="M62" s="111" t="str">
        <f aca="false">IF($B62="","",'مسير أغسطس'!T62)</f>
        <v/>
      </c>
      <c r="N62" s="111" t="str">
        <f aca="false">IF($B62="","",'مسير سبتمبر'!T62)</f>
        <v/>
      </c>
      <c r="O62" s="111" t="str">
        <f aca="false">IF($B62="","",'مسير أكتوبر'!T62)</f>
        <v/>
      </c>
      <c r="P62" s="111" t="str">
        <f aca="false">IF($B62="","",'مسير نوفمبر'!T62)</f>
        <v/>
      </c>
      <c r="Q62" s="111" t="str">
        <f aca="false">IF($B62="","",'مسير ديسمبر'!T62)</f>
        <v/>
      </c>
      <c r="R62" s="170" t="str">
        <f aca="false">IF($B62="","",IF(1&lt;=cfg_VAL_M,'مسير يناير'!T62,0)+IF(2&lt;=cfg_VAL_M,'مسير فبراير'!T62,0)+IF(3&lt;=cfg_VAL_M,'مسير مارس'!T62,0)+IF(4&lt;=cfg_VAL_M,'مسير أبريل'!T62,0)+IF(5&lt;=cfg_VAL_M,'مسير مايو'!T62,0)+IF(6&lt;=cfg_VAL_M,'مسير يونيو'!T62,0)+IF(7&lt;=cfg_VAL_M,'مسير يوليو'!T62,0)+IF(8&lt;=cfg_VAL_M,'مسير أغسطس'!T62,0)+IF(9&lt;=cfg_VAL_M,'مسير سبتمبر'!T62,0)+IF(10&lt;=cfg_VAL_M,'مسير أكتوبر'!T62,0)+IF(11&lt;=cfg_VAL_M,'مسير نوفمبر'!T62,0)+IF(12&lt;=cfg_VAL_M,'مسير ديسمبر'!T62,0))</f>
        <v/>
      </c>
      <c r="T62" s="111" t="str">
        <f aca="false">IF($B62="","",'مسير يناير'!AG62)</f>
        <v/>
      </c>
      <c r="U62" s="111" t="str">
        <f aca="false">IF($B62="","",'مسير فبراير'!AG62)</f>
        <v/>
      </c>
      <c r="V62" s="111" t="str">
        <f aca="false">IF($B62="","",'مسير مارس'!AG62)</f>
        <v/>
      </c>
      <c r="W62" s="111" t="str">
        <f aca="false">IF($B62="","",'مسير أبريل'!AG62)</f>
        <v/>
      </c>
      <c r="X62" s="111" t="str">
        <f aca="false">IF($B62="","",'مسير مايو'!AG62)</f>
        <v/>
      </c>
      <c r="Y62" s="111" t="str">
        <f aca="false">IF($B62="","",'مسير يونيو'!AG62)</f>
        <v/>
      </c>
      <c r="Z62" s="111" t="str">
        <f aca="false">IF($B62="","",'مسير يوليو'!AG62)</f>
        <v/>
      </c>
      <c r="AA62" s="111" t="str">
        <f aca="false">IF($B62="","",'مسير أغسطس'!AG62)</f>
        <v/>
      </c>
      <c r="AB62" s="111" t="str">
        <f aca="false">IF($B62="","",'مسير سبتمبر'!AG62)</f>
        <v/>
      </c>
      <c r="AC62" s="111" t="str">
        <f aca="false">IF($B62="","",'مسير أكتوبر'!AG62)</f>
        <v/>
      </c>
      <c r="AD62" s="111" t="str">
        <f aca="false">IF($B62="","",'مسير نوفمبر'!AG62)</f>
        <v/>
      </c>
      <c r="AE62" s="111" t="str">
        <f aca="false">IF($B62="","",'مسير ديسمبر'!AG62)</f>
        <v/>
      </c>
      <c r="AF62" s="170" t="str">
        <f aca="false">IF($B62="","",IF(1&lt;=cfg_VAL_M,'مسير يناير'!AG62,0)+IF(2&lt;=cfg_VAL_M,'مسير فبراير'!AG62,0)+IF(3&lt;=cfg_VAL_M,'مسير مارس'!AG62,0)+IF(4&lt;=cfg_VAL_M,'مسير أبريل'!AG62,0)+IF(5&lt;=cfg_VAL_M,'مسير مايو'!AG62,0)+IF(6&lt;=cfg_VAL_M,'مسير يونيو'!AG62,0)+IF(7&lt;=cfg_VAL_M,'مسير يوليو'!AG62,0)+IF(8&lt;=cfg_VAL_M,'مسير أغسطس'!AG62,0)+IF(9&lt;=cfg_VAL_M,'مسير سبتمبر'!AG62,0)+IF(10&lt;=cfg_VAL_M,'مسير أكتوبر'!AG62,0)+IF(11&lt;=cfg_VAL_M,'مسير نوفمبر'!AG62,0)+IF(12&lt;=cfg_VAL_M,'مسير ديسمبر'!AG62,0))</f>
        <v/>
      </c>
      <c r="AG62" s="170" t="str">
        <f aca="false">IF($B62="","",IF(1&lt;=cfg_VAL_M,'مسير يناير'!Y62,0)+IF(2&lt;=cfg_VAL_M,'مسير فبراير'!Y62,0)+IF(3&lt;=cfg_VAL_M,'مسير مارس'!Y62,0)+IF(4&lt;=cfg_VAL_M,'مسير أبريل'!Y62,0)+IF(5&lt;=cfg_VAL_M,'مسير مايو'!Y62,0)+IF(6&lt;=cfg_VAL_M,'مسير يونيو'!Y62,0)+IF(7&lt;=cfg_VAL_M,'مسير يوليو'!Y62,0)+IF(8&lt;=cfg_VAL_M,'مسير أغسطس'!Y62,0)+IF(9&lt;=cfg_VAL_M,'مسير سبتمبر'!Y62,0)+IF(10&lt;=cfg_VAL_M,'مسير أكتوبر'!Y62,0)+IF(11&lt;=cfg_VAL_M,'مسير نوفمبر'!Y62,0)+IF(12&lt;=cfg_VAL_M,'مسير ديسمبر'!Y62,0))</f>
        <v/>
      </c>
      <c r="AH62" s="111" t="str">
        <f aca="false">IF($B62="","",AF62/cfg_VAL_M)</f>
        <v/>
      </c>
    </row>
    <row r="63" customFormat="false" ht="15" hidden="false" customHeight="false" outlineLevel="0" collapsed="false">
      <c r="B63" s="117" t="str">
        <f aca="false">IF(الموظفون!$B63="","",الموظفون!$B63)</f>
        <v/>
      </c>
      <c r="C63" s="117" t="str">
        <f aca="false">IF(الموظفون!$B63="","",الموظفون!$C63)</f>
        <v/>
      </c>
      <c r="D63" s="117" t="str">
        <f aca="false">IF(الموظفون!$B63="","",الموظفون!$F63)</f>
        <v/>
      </c>
      <c r="E63" s="117" t="str">
        <f aca="false">IF(الموظفون!$B63="","",الموظفون!$E63)</f>
        <v/>
      </c>
      <c r="F63" s="116" t="str">
        <f aca="false">IF($B63="","",'مسير يناير'!T63)</f>
        <v/>
      </c>
      <c r="G63" s="116" t="str">
        <f aca="false">IF($B63="","",'مسير فبراير'!T63)</f>
        <v/>
      </c>
      <c r="H63" s="116" t="str">
        <f aca="false">IF($B63="","",'مسير مارس'!T63)</f>
        <v/>
      </c>
      <c r="I63" s="116" t="str">
        <f aca="false">IF($B63="","",'مسير أبريل'!T63)</f>
        <v/>
      </c>
      <c r="J63" s="116" t="str">
        <f aca="false">IF($B63="","",'مسير مايو'!T63)</f>
        <v/>
      </c>
      <c r="K63" s="116" t="str">
        <f aca="false">IF($B63="","",'مسير يونيو'!T63)</f>
        <v/>
      </c>
      <c r="L63" s="116" t="str">
        <f aca="false">IF($B63="","",'مسير يوليو'!T63)</f>
        <v/>
      </c>
      <c r="M63" s="116" t="str">
        <f aca="false">IF($B63="","",'مسير أغسطس'!T63)</f>
        <v/>
      </c>
      <c r="N63" s="116" t="str">
        <f aca="false">IF($B63="","",'مسير سبتمبر'!T63)</f>
        <v/>
      </c>
      <c r="O63" s="116" t="str">
        <f aca="false">IF($B63="","",'مسير أكتوبر'!T63)</f>
        <v/>
      </c>
      <c r="P63" s="116" t="str">
        <f aca="false">IF($B63="","",'مسير نوفمبر'!T63)</f>
        <v/>
      </c>
      <c r="Q63" s="116" t="str">
        <f aca="false">IF($B63="","",'مسير ديسمبر'!T63)</f>
        <v/>
      </c>
      <c r="R63" s="171" t="str">
        <f aca="false">IF($B63="","",IF(1&lt;=cfg_VAL_M,'مسير يناير'!T63,0)+IF(2&lt;=cfg_VAL_M,'مسير فبراير'!T63,0)+IF(3&lt;=cfg_VAL_M,'مسير مارس'!T63,0)+IF(4&lt;=cfg_VAL_M,'مسير أبريل'!T63,0)+IF(5&lt;=cfg_VAL_M,'مسير مايو'!T63,0)+IF(6&lt;=cfg_VAL_M,'مسير يونيو'!T63,0)+IF(7&lt;=cfg_VAL_M,'مسير يوليو'!T63,0)+IF(8&lt;=cfg_VAL_M,'مسير أغسطس'!T63,0)+IF(9&lt;=cfg_VAL_M,'مسير سبتمبر'!T63,0)+IF(10&lt;=cfg_VAL_M,'مسير أكتوبر'!T63,0)+IF(11&lt;=cfg_VAL_M,'مسير نوفمبر'!T63,0)+IF(12&lt;=cfg_VAL_M,'مسير ديسمبر'!T63,0))</f>
        <v/>
      </c>
      <c r="T63" s="116" t="str">
        <f aca="false">IF($B63="","",'مسير يناير'!AG63)</f>
        <v/>
      </c>
      <c r="U63" s="116" t="str">
        <f aca="false">IF($B63="","",'مسير فبراير'!AG63)</f>
        <v/>
      </c>
      <c r="V63" s="116" t="str">
        <f aca="false">IF($B63="","",'مسير مارس'!AG63)</f>
        <v/>
      </c>
      <c r="W63" s="116" t="str">
        <f aca="false">IF($B63="","",'مسير أبريل'!AG63)</f>
        <v/>
      </c>
      <c r="X63" s="116" t="str">
        <f aca="false">IF($B63="","",'مسير مايو'!AG63)</f>
        <v/>
      </c>
      <c r="Y63" s="116" t="str">
        <f aca="false">IF($B63="","",'مسير يونيو'!AG63)</f>
        <v/>
      </c>
      <c r="Z63" s="116" t="str">
        <f aca="false">IF($B63="","",'مسير يوليو'!AG63)</f>
        <v/>
      </c>
      <c r="AA63" s="116" t="str">
        <f aca="false">IF($B63="","",'مسير أغسطس'!AG63)</f>
        <v/>
      </c>
      <c r="AB63" s="116" t="str">
        <f aca="false">IF($B63="","",'مسير سبتمبر'!AG63)</f>
        <v/>
      </c>
      <c r="AC63" s="116" t="str">
        <f aca="false">IF($B63="","",'مسير أكتوبر'!AG63)</f>
        <v/>
      </c>
      <c r="AD63" s="116" t="str">
        <f aca="false">IF($B63="","",'مسير نوفمبر'!AG63)</f>
        <v/>
      </c>
      <c r="AE63" s="116" t="str">
        <f aca="false">IF($B63="","",'مسير ديسمبر'!AG63)</f>
        <v/>
      </c>
      <c r="AF63" s="171" t="str">
        <f aca="false">IF($B63="","",IF(1&lt;=cfg_VAL_M,'مسير يناير'!AG63,0)+IF(2&lt;=cfg_VAL_M,'مسير فبراير'!AG63,0)+IF(3&lt;=cfg_VAL_M,'مسير مارس'!AG63,0)+IF(4&lt;=cfg_VAL_M,'مسير أبريل'!AG63,0)+IF(5&lt;=cfg_VAL_M,'مسير مايو'!AG63,0)+IF(6&lt;=cfg_VAL_M,'مسير يونيو'!AG63,0)+IF(7&lt;=cfg_VAL_M,'مسير يوليو'!AG63,0)+IF(8&lt;=cfg_VAL_M,'مسير أغسطس'!AG63,0)+IF(9&lt;=cfg_VAL_M,'مسير سبتمبر'!AG63,0)+IF(10&lt;=cfg_VAL_M,'مسير أكتوبر'!AG63,0)+IF(11&lt;=cfg_VAL_M,'مسير نوفمبر'!AG63,0)+IF(12&lt;=cfg_VAL_M,'مسير ديسمبر'!AG63,0))</f>
        <v/>
      </c>
      <c r="AG63" s="171" t="str">
        <f aca="false">IF($B63="","",IF(1&lt;=cfg_VAL_M,'مسير يناير'!Y63,0)+IF(2&lt;=cfg_VAL_M,'مسير فبراير'!Y63,0)+IF(3&lt;=cfg_VAL_M,'مسير مارس'!Y63,0)+IF(4&lt;=cfg_VAL_M,'مسير أبريل'!Y63,0)+IF(5&lt;=cfg_VAL_M,'مسير مايو'!Y63,0)+IF(6&lt;=cfg_VAL_M,'مسير يونيو'!Y63,0)+IF(7&lt;=cfg_VAL_M,'مسير يوليو'!Y63,0)+IF(8&lt;=cfg_VAL_M,'مسير أغسطس'!Y63,0)+IF(9&lt;=cfg_VAL_M,'مسير سبتمبر'!Y63,0)+IF(10&lt;=cfg_VAL_M,'مسير أكتوبر'!Y63,0)+IF(11&lt;=cfg_VAL_M,'مسير نوفمبر'!Y63,0)+IF(12&lt;=cfg_VAL_M,'مسير ديسمبر'!Y63,0))</f>
        <v/>
      </c>
      <c r="AH63" s="116" t="str">
        <f aca="false">IF($B63="","",AF63/cfg_VAL_M)</f>
        <v/>
      </c>
    </row>
    <row r="64" customFormat="false" ht="15" hidden="false" customHeight="false" outlineLevel="0" collapsed="false">
      <c r="B64" s="114" t="str">
        <f aca="false">IF(الموظفون!$B64="","",الموظفون!$B64)</f>
        <v/>
      </c>
      <c r="C64" s="114" t="str">
        <f aca="false">IF(الموظفون!$B64="","",الموظفون!$C64)</f>
        <v/>
      </c>
      <c r="D64" s="114" t="str">
        <f aca="false">IF(الموظفون!$B64="","",الموظفون!$F64)</f>
        <v/>
      </c>
      <c r="E64" s="114" t="str">
        <f aca="false">IF(الموظفون!$B64="","",الموظفون!$E64)</f>
        <v/>
      </c>
      <c r="F64" s="111" t="str">
        <f aca="false">IF($B64="","",'مسير يناير'!T64)</f>
        <v/>
      </c>
      <c r="G64" s="111" t="str">
        <f aca="false">IF($B64="","",'مسير فبراير'!T64)</f>
        <v/>
      </c>
      <c r="H64" s="111" t="str">
        <f aca="false">IF($B64="","",'مسير مارس'!T64)</f>
        <v/>
      </c>
      <c r="I64" s="111" t="str">
        <f aca="false">IF($B64="","",'مسير أبريل'!T64)</f>
        <v/>
      </c>
      <c r="J64" s="111" t="str">
        <f aca="false">IF($B64="","",'مسير مايو'!T64)</f>
        <v/>
      </c>
      <c r="K64" s="111" t="str">
        <f aca="false">IF($B64="","",'مسير يونيو'!T64)</f>
        <v/>
      </c>
      <c r="L64" s="111" t="str">
        <f aca="false">IF($B64="","",'مسير يوليو'!T64)</f>
        <v/>
      </c>
      <c r="M64" s="111" t="str">
        <f aca="false">IF($B64="","",'مسير أغسطس'!T64)</f>
        <v/>
      </c>
      <c r="N64" s="111" t="str">
        <f aca="false">IF($B64="","",'مسير سبتمبر'!T64)</f>
        <v/>
      </c>
      <c r="O64" s="111" t="str">
        <f aca="false">IF($B64="","",'مسير أكتوبر'!T64)</f>
        <v/>
      </c>
      <c r="P64" s="111" t="str">
        <f aca="false">IF($B64="","",'مسير نوفمبر'!T64)</f>
        <v/>
      </c>
      <c r="Q64" s="111" t="str">
        <f aca="false">IF($B64="","",'مسير ديسمبر'!T64)</f>
        <v/>
      </c>
      <c r="R64" s="170" t="str">
        <f aca="false">IF($B64="","",IF(1&lt;=cfg_VAL_M,'مسير يناير'!T64,0)+IF(2&lt;=cfg_VAL_M,'مسير فبراير'!T64,0)+IF(3&lt;=cfg_VAL_M,'مسير مارس'!T64,0)+IF(4&lt;=cfg_VAL_M,'مسير أبريل'!T64,0)+IF(5&lt;=cfg_VAL_M,'مسير مايو'!T64,0)+IF(6&lt;=cfg_VAL_M,'مسير يونيو'!T64,0)+IF(7&lt;=cfg_VAL_M,'مسير يوليو'!T64,0)+IF(8&lt;=cfg_VAL_M,'مسير أغسطس'!T64,0)+IF(9&lt;=cfg_VAL_M,'مسير سبتمبر'!T64,0)+IF(10&lt;=cfg_VAL_M,'مسير أكتوبر'!T64,0)+IF(11&lt;=cfg_VAL_M,'مسير نوفمبر'!T64,0)+IF(12&lt;=cfg_VAL_M,'مسير ديسمبر'!T64,0))</f>
        <v/>
      </c>
      <c r="T64" s="111" t="str">
        <f aca="false">IF($B64="","",'مسير يناير'!AG64)</f>
        <v/>
      </c>
      <c r="U64" s="111" t="str">
        <f aca="false">IF($B64="","",'مسير فبراير'!AG64)</f>
        <v/>
      </c>
      <c r="V64" s="111" t="str">
        <f aca="false">IF($B64="","",'مسير مارس'!AG64)</f>
        <v/>
      </c>
      <c r="W64" s="111" t="str">
        <f aca="false">IF($B64="","",'مسير أبريل'!AG64)</f>
        <v/>
      </c>
      <c r="X64" s="111" t="str">
        <f aca="false">IF($B64="","",'مسير مايو'!AG64)</f>
        <v/>
      </c>
      <c r="Y64" s="111" t="str">
        <f aca="false">IF($B64="","",'مسير يونيو'!AG64)</f>
        <v/>
      </c>
      <c r="Z64" s="111" t="str">
        <f aca="false">IF($B64="","",'مسير يوليو'!AG64)</f>
        <v/>
      </c>
      <c r="AA64" s="111" t="str">
        <f aca="false">IF($B64="","",'مسير أغسطس'!AG64)</f>
        <v/>
      </c>
      <c r="AB64" s="111" t="str">
        <f aca="false">IF($B64="","",'مسير سبتمبر'!AG64)</f>
        <v/>
      </c>
      <c r="AC64" s="111" t="str">
        <f aca="false">IF($B64="","",'مسير أكتوبر'!AG64)</f>
        <v/>
      </c>
      <c r="AD64" s="111" t="str">
        <f aca="false">IF($B64="","",'مسير نوفمبر'!AG64)</f>
        <v/>
      </c>
      <c r="AE64" s="111" t="str">
        <f aca="false">IF($B64="","",'مسير ديسمبر'!AG64)</f>
        <v/>
      </c>
      <c r="AF64" s="170" t="str">
        <f aca="false">IF($B64="","",IF(1&lt;=cfg_VAL_M,'مسير يناير'!AG64,0)+IF(2&lt;=cfg_VAL_M,'مسير فبراير'!AG64,0)+IF(3&lt;=cfg_VAL_M,'مسير مارس'!AG64,0)+IF(4&lt;=cfg_VAL_M,'مسير أبريل'!AG64,0)+IF(5&lt;=cfg_VAL_M,'مسير مايو'!AG64,0)+IF(6&lt;=cfg_VAL_M,'مسير يونيو'!AG64,0)+IF(7&lt;=cfg_VAL_M,'مسير يوليو'!AG64,0)+IF(8&lt;=cfg_VAL_M,'مسير أغسطس'!AG64,0)+IF(9&lt;=cfg_VAL_M,'مسير سبتمبر'!AG64,0)+IF(10&lt;=cfg_VAL_M,'مسير أكتوبر'!AG64,0)+IF(11&lt;=cfg_VAL_M,'مسير نوفمبر'!AG64,0)+IF(12&lt;=cfg_VAL_M,'مسير ديسمبر'!AG64,0))</f>
        <v/>
      </c>
      <c r="AG64" s="170" t="str">
        <f aca="false">IF($B64="","",IF(1&lt;=cfg_VAL_M,'مسير يناير'!Y64,0)+IF(2&lt;=cfg_VAL_M,'مسير فبراير'!Y64,0)+IF(3&lt;=cfg_VAL_M,'مسير مارس'!Y64,0)+IF(4&lt;=cfg_VAL_M,'مسير أبريل'!Y64,0)+IF(5&lt;=cfg_VAL_M,'مسير مايو'!Y64,0)+IF(6&lt;=cfg_VAL_M,'مسير يونيو'!Y64,0)+IF(7&lt;=cfg_VAL_M,'مسير يوليو'!Y64,0)+IF(8&lt;=cfg_VAL_M,'مسير أغسطس'!Y64,0)+IF(9&lt;=cfg_VAL_M,'مسير سبتمبر'!Y64,0)+IF(10&lt;=cfg_VAL_M,'مسير أكتوبر'!Y64,0)+IF(11&lt;=cfg_VAL_M,'مسير نوفمبر'!Y64,0)+IF(12&lt;=cfg_VAL_M,'مسير ديسمبر'!Y64,0))</f>
        <v/>
      </c>
      <c r="AH64" s="111" t="str">
        <f aca="false">IF($B64="","",AF64/cfg_VAL_M)</f>
        <v/>
      </c>
    </row>
    <row r="65" customFormat="false" ht="15" hidden="false" customHeight="false" outlineLevel="0" collapsed="false">
      <c r="B65" s="117" t="str">
        <f aca="false">IF(الموظفون!$B65="","",الموظفون!$B65)</f>
        <v/>
      </c>
      <c r="C65" s="117" t="str">
        <f aca="false">IF(الموظفون!$B65="","",الموظفون!$C65)</f>
        <v/>
      </c>
      <c r="D65" s="117" t="str">
        <f aca="false">IF(الموظفون!$B65="","",الموظفون!$F65)</f>
        <v/>
      </c>
      <c r="E65" s="117" t="str">
        <f aca="false">IF(الموظفون!$B65="","",الموظفون!$E65)</f>
        <v/>
      </c>
      <c r="F65" s="116" t="str">
        <f aca="false">IF($B65="","",'مسير يناير'!T65)</f>
        <v/>
      </c>
      <c r="G65" s="116" t="str">
        <f aca="false">IF($B65="","",'مسير فبراير'!T65)</f>
        <v/>
      </c>
      <c r="H65" s="116" t="str">
        <f aca="false">IF($B65="","",'مسير مارس'!T65)</f>
        <v/>
      </c>
      <c r="I65" s="116" t="str">
        <f aca="false">IF($B65="","",'مسير أبريل'!T65)</f>
        <v/>
      </c>
      <c r="J65" s="116" t="str">
        <f aca="false">IF($B65="","",'مسير مايو'!T65)</f>
        <v/>
      </c>
      <c r="K65" s="116" t="str">
        <f aca="false">IF($B65="","",'مسير يونيو'!T65)</f>
        <v/>
      </c>
      <c r="L65" s="116" t="str">
        <f aca="false">IF($B65="","",'مسير يوليو'!T65)</f>
        <v/>
      </c>
      <c r="M65" s="116" t="str">
        <f aca="false">IF($B65="","",'مسير أغسطس'!T65)</f>
        <v/>
      </c>
      <c r="N65" s="116" t="str">
        <f aca="false">IF($B65="","",'مسير سبتمبر'!T65)</f>
        <v/>
      </c>
      <c r="O65" s="116" t="str">
        <f aca="false">IF($B65="","",'مسير أكتوبر'!T65)</f>
        <v/>
      </c>
      <c r="P65" s="116" t="str">
        <f aca="false">IF($B65="","",'مسير نوفمبر'!T65)</f>
        <v/>
      </c>
      <c r="Q65" s="116" t="str">
        <f aca="false">IF($B65="","",'مسير ديسمبر'!T65)</f>
        <v/>
      </c>
      <c r="R65" s="171" t="str">
        <f aca="false">IF($B65="","",IF(1&lt;=cfg_VAL_M,'مسير يناير'!T65,0)+IF(2&lt;=cfg_VAL_M,'مسير فبراير'!T65,0)+IF(3&lt;=cfg_VAL_M,'مسير مارس'!T65,0)+IF(4&lt;=cfg_VAL_M,'مسير أبريل'!T65,0)+IF(5&lt;=cfg_VAL_M,'مسير مايو'!T65,0)+IF(6&lt;=cfg_VAL_M,'مسير يونيو'!T65,0)+IF(7&lt;=cfg_VAL_M,'مسير يوليو'!T65,0)+IF(8&lt;=cfg_VAL_M,'مسير أغسطس'!T65,0)+IF(9&lt;=cfg_VAL_M,'مسير سبتمبر'!T65,0)+IF(10&lt;=cfg_VAL_M,'مسير أكتوبر'!T65,0)+IF(11&lt;=cfg_VAL_M,'مسير نوفمبر'!T65,0)+IF(12&lt;=cfg_VAL_M,'مسير ديسمبر'!T65,0))</f>
        <v/>
      </c>
      <c r="T65" s="116" t="str">
        <f aca="false">IF($B65="","",'مسير يناير'!AG65)</f>
        <v/>
      </c>
      <c r="U65" s="116" t="str">
        <f aca="false">IF($B65="","",'مسير فبراير'!AG65)</f>
        <v/>
      </c>
      <c r="V65" s="116" t="str">
        <f aca="false">IF($B65="","",'مسير مارس'!AG65)</f>
        <v/>
      </c>
      <c r="W65" s="116" t="str">
        <f aca="false">IF($B65="","",'مسير أبريل'!AG65)</f>
        <v/>
      </c>
      <c r="X65" s="116" t="str">
        <f aca="false">IF($B65="","",'مسير مايو'!AG65)</f>
        <v/>
      </c>
      <c r="Y65" s="116" t="str">
        <f aca="false">IF($B65="","",'مسير يونيو'!AG65)</f>
        <v/>
      </c>
      <c r="Z65" s="116" t="str">
        <f aca="false">IF($B65="","",'مسير يوليو'!AG65)</f>
        <v/>
      </c>
      <c r="AA65" s="116" t="str">
        <f aca="false">IF($B65="","",'مسير أغسطس'!AG65)</f>
        <v/>
      </c>
      <c r="AB65" s="116" t="str">
        <f aca="false">IF($B65="","",'مسير سبتمبر'!AG65)</f>
        <v/>
      </c>
      <c r="AC65" s="116" t="str">
        <f aca="false">IF($B65="","",'مسير أكتوبر'!AG65)</f>
        <v/>
      </c>
      <c r="AD65" s="116" t="str">
        <f aca="false">IF($B65="","",'مسير نوفمبر'!AG65)</f>
        <v/>
      </c>
      <c r="AE65" s="116" t="str">
        <f aca="false">IF($B65="","",'مسير ديسمبر'!AG65)</f>
        <v/>
      </c>
      <c r="AF65" s="171" t="str">
        <f aca="false">IF($B65="","",IF(1&lt;=cfg_VAL_M,'مسير يناير'!AG65,0)+IF(2&lt;=cfg_VAL_M,'مسير فبراير'!AG65,0)+IF(3&lt;=cfg_VAL_M,'مسير مارس'!AG65,0)+IF(4&lt;=cfg_VAL_M,'مسير أبريل'!AG65,0)+IF(5&lt;=cfg_VAL_M,'مسير مايو'!AG65,0)+IF(6&lt;=cfg_VAL_M,'مسير يونيو'!AG65,0)+IF(7&lt;=cfg_VAL_M,'مسير يوليو'!AG65,0)+IF(8&lt;=cfg_VAL_M,'مسير أغسطس'!AG65,0)+IF(9&lt;=cfg_VAL_M,'مسير سبتمبر'!AG65,0)+IF(10&lt;=cfg_VAL_M,'مسير أكتوبر'!AG65,0)+IF(11&lt;=cfg_VAL_M,'مسير نوفمبر'!AG65,0)+IF(12&lt;=cfg_VAL_M,'مسير ديسمبر'!AG65,0))</f>
        <v/>
      </c>
      <c r="AG65" s="171" t="str">
        <f aca="false">IF($B65="","",IF(1&lt;=cfg_VAL_M,'مسير يناير'!Y65,0)+IF(2&lt;=cfg_VAL_M,'مسير فبراير'!Y65,0)+IF(3&lt;=cfg_VAL_M,'مسير مارس'!Y65,0)+IF(4&lt;=cfg_VAL_M,'مسير أبريل'!Y65,0)+IF(5&lt;=cfg_VAL_M,'مسير مايو'!Y65,0)+IF(6&lt;=cfg_VAL_M,'مسير يونيو'!Y65,0)+IF(7&lt;=cfg_VAL_M,'مسير يوليو'!Y65,0)+IF(8&lt;=cfg_VAL_M,'مسير أغسطس'!Y65,0)+IF(9&lt;=cfg_VAL_M,'مسير سبتمبر'!Y65,0)+IF(10&lt;=cfg_VAL_M,'مسير أكتوبر'!Y65,0)+IF(11&lt;=cfg_VAL_M,'مسير نوفمبر'!Y65,0)+IF(12&lt;=cfg_VAL_M,'مسير ديسمبر'!Y65,0))</f>
        <v/>
      </c>
      <c r="AH65" s="116" t="str">
        <f aca="false">IF($B65="","",AF65/cfg_VAL_M)</f>
        <v/>
      </c>
    </row>
    <row r="66" customFormat="false" ht="15" hidden="false" customHeight="false" outlineLevel="0" collapsed="false">
      <c r="B66" s="114" t="str">
        <f aca="false">IF(الموظفون!$B66="","",الموظفون!$B66)</f>
        <v/>
      </c>
      <c r="C66" s="114" t="str">
        <f aca="false">IF(الموظفون!$B66="","",الموظفون!$C66)</f>
        <v/>
      </c>
      <c r="D66" s="114" t="str">
        <f aca="false">IF(الموظفون!$B66="","",الموظفون!$F66)</f>
        <v/>
      </c>
      <c r="E66" s="114" t="str">
        <f aca="false">IF(الموظفون!$B66="","",الموظفون!$E66)</f>
        <v/>
      </c>
      <c r="F66" s="111" t="str">
        <f aca="false">IF($B66="","",'مسير يناير'!T66)</f>
        <v/>
      </c>
      <c r="G66" s="111" t="str">
        <f aca="false">IF($B66="","",'مسير فبراير'!T66)</f>
        <v/>
      </c>
      <c r="H66" s="111" t="str">
        <f aca="false">IF($B66="","",'مسير مارس'!T66)</f>
        <v/>
      </c>
      <c r="I66" s="111" t="str">
        <f aca="false">IF($B66="","",'مسير أبريل'!T66)</f>
        <v/>
      </c>
      <c r="J66" s="111" t="str">
        <f aca="false">IF($B66="","",'مسير مايو'!T66)</f>
        <v/>
      </c>
      <c r="K66" s="111" t="str">
        <f aca="false">IF($B66="","",'مسير يونيو'!T66)</f>
        <v/>
      </c>
      <c r="L66" s="111" t="str">
        <f aca="false">IF($B66="","",'مسير يوليو'!T66)</f>
        <v/>
      </c>
      <c r="M66" s="111" t="str">
        <f aca="false">IF($B66="","",'مسير أغسطس'!T66)</f>
        <v/>
      </c>
      <c r="N66" s="111" t="str">
        <f aca="false">IF($B66="","",'مسير سبتمبر'!T66)</f>
        <v/>
      </c>
      <c r="O66" s="111" t="str">
        <f aca="false">IF($B66="","",'مسير أكتوبر'!T66)</f>
        <v/>
      </c>
      <c r="P66" s="111" t="str">
        <f aca="false">IF($B66="","",'مسير نوفمبر'!T66)</f>
        <v/>
      </c>
      <c r="Q66" s="111" t="str">
        <f aca="false">IF($B66="","",'مسير ديسمبر'!T66)</f>
        <v/>
      </c>
      <c r="R66" s="170" t="str">
        <f aca="false">IF($B66="","",IF(1&lt;=cfg_VAL_M,'مسير يناير'!T66,0)+IF(2&lt;=cfg_VAL_M,'مسير فبراير'!T66,0)+IF(3&lt;=cfg_VAL_M,'مسير مارس'!T66,0)+IF(4&lt;=cfg_VAL_M,'مسير أبريل'!T66,0)+IF(5&lt;=cfg_VAL_M,'مسير مايو'!T66,0)+IF(6&lt;=cfg_VAL_M,'مسير يونيو'!T66,0)+IF(7&lt;=cfg_VAL_M,'مسير يوليو'!T66,0)+IF(8&lt;=cfg_VAL_M,'مسير أغسطس'!T66,0)+IF(9&lt;=cfg_VAL_M,'مسير سبتمبر'!T66,0)+IF(10&lt;=cfg_VAL_M,'مسير أكتوبر'!T66,0)+IF(11&lt;=cfg_VAL_M,'مسير نوفمبر'!T66,0)+IF(12&lt;=cfg_VAL_M,'مسير ديسمبر'!T66,0))</f>
        <v/>
      </c>
      <c r="T66" s="111" t="str">
        <f aca="false">IF($B66="","",'مسير يناير'!AG66)</f>
        <v/>
      </c>
      <c r="U66" s="111" t="str">
        <f aca="false">IF($B66="","",'مسير فبراير'!AG66)</f>
        <v/>
      </c>
      <c r="V66" s="111" t="str">
        <f aca="false">IF($B66="","",'مسير مارس'!AG66)</f>
        <v/>
      </c>
      <c r="W66" s="111" t="str">
        <f aca="false">IF($B66="","",'مسير أبريل'!AG66)</f>
        <v/>
      </c>
      <c r="X66" s="111" t="str">
        <f aca="false">IF($B66="","",'مسير مايو'!AG66)</f>
        <v/>
      </c>
      <c r="Y66" s="111" t="str">
        <f aca="false">IF($B66="","",'مسير يونيو'!AG66)</f>
        <v/>
      </c>
      <c r="Z66" s="111" t="str">
        <f aca="false">IF($B66="","",'مسير يوليو'!AG66)</f>
        <v/>
      </c>
      <c r="AA66" s="111" t="str">
        <f aca="false">IF($B66="","",'مسير أغسطس'!AG66)</f>
        <v/>
      </c>
      <c r="AB66" s="111" t="str">
        <f aca="false">IF($B66="","",'مسير سبتمبر'!AG66)</f>
        <v/>
      </c>
      <c r="AC66" s="111" t="str">
        <f aca="false">IF($B66="","",'مسير أكتوبر'!AG66)</f>
        <v/>
      </c>
      <c r="AD66" s="111" t="str">
        <f aca="false">IF($B66="","",'مسير نوفمبر'!AG66)</f>
        <v/>
      </c>
      <c r="AE66" s="111" t="str">
        <f aca="false">IF($B66="","",'مسير ديسمبر'!AG66)</f>
        <v/>
      </c>
      <c r="AF66" s="170" t="str">
        <f aca="false">IF($B66="","",IF(1&lt;=cfg_VAL_M,'مسير يناير'!AG66,0)+IF(2&lt;=cfg_VAL_M,'مسير فبراير'!AG66,0)+IF(3&lt;=cfg_VAL_M,'مسير مارس'!AG66,0)+IF(4&lt;=cfg_VAL_M,'مسير أبريل'!AG66,0)+IF(5&lt;=cfg_VAL_M,'مسير مايو'!AG66,0)+IF(6&lt;=cfg_VAL_M,'مسير يونيو'!AG66,0)+IF(7&lt;=cfg_VAL_M,'مسير يوليو'!AG66,0)+IF(8&lt;=cfg_VAL_M,'مسير أغسطس'!AG66,0)+IF(9&lt;=cfg_VAL_M,'مسير سبتمبر'!AG66,0)+IF(10&lt;=cfg_VAL_M,'مسير أكتوبر'!AG66,0)+IF(11&lt;=cfg_VAL_M,'مسير نوفمبر'!AG66,0)+IF(12&lt;=cfg_VAL_M,'مسير ديسمبر'!AG66,0))</f>
        <v/>
      </c>
      <c r="AG66" s="170" t="str">
        <f aca="false">IF($B66="","",IF(1&lt;=cfg_VAL_M,'مسير يناير'!Y66,0)+IF(2&lt;=cfg_VAL_M,'مسير فبراير'!Y66,0)+IF(3&lt;=cfg_VAL_M,'مسير مارس'!Y66,0)+IF(4&lt;=cfg_VAL_M,'مسير أبريل'!Y66,0)+IF(5&lt;=cfg_VAL_M,'مسير مايو'!Y66,0)+IF(6&lt;=cfg_VAL_M,'مسير يونيو'!Y66,0)+IF(7&lt;=cfg_VAL_M,'مسير يوليو'!Y66,0)+IF(8&lt;=cfg_VAL_M,'مسير أغسطس'!Y66,0)+IF(9&lt;=cfg_VAL_M,'مسير سبتمبر'!Y66,0)+IF(10&lt;=cfg_VAL_M,'مسير أكتوبر'!Y66,0)+IF(11&lt;=cfg_VAL_M,'مسير نوفمبر'!Y66,0)+IF(12&lt;=cfg_VAL_M,'مسير ديسمبر'!Y66,0))</f>
        <v/>
      </c>
      <c r="AH66" s="111" t="str">
        <f aca="false">IF($B66="","",AF66/cfg_VAL_M)</f>
        <v/>
      </c>
    </row>
    <row r="67" customFormat="false" ht="15" hidden="false" customHeight="false" outlineLevel="0" collapsed="false">
      <c r="B67" s="117" t="str">
        <f aca="false">IF(الموظفون!$B67="","",الموظفون!$B67)</f>
        <v/>
      </c>
      <c r="C67" s="117" t="str">
        <f aca="false">IF(الموظفون!$B67="","",الموظفون!$C67)</f>
        <v/>
      </c>
      <c r="D67" s="117" t="str">
        <f aca="false">IF(الموظفون!$B67="","",الموظفون!$F67)</f>
        <v/>
      </c>
      <c r="E67" s="117" t="str">
        <f aca="false">IF(الموظفون!$B67="","",الموظفون!$E67)</f>
        <v/>
      </c>
      <c r="F67" s="116" t="str">
        <f aca="false">IF($B67="","",'مسير يناير'!T67)</f>
        <v/>
      </c>
      <c r="G67" s="116" t="str">
        <f aca="false">IF($B67="","",'مسير فبراير'!T67)</f>
        <v/>
      </c>
      <c r="H67" s="116" t="str">
        <f aca="false">IF($B67="","",'مسير مارس'!T67)</f>
        <v/>
      </c>
      <c r="I67" s="116" t="str">
        <f aca="false">IF($B67="","",'مسير أبريل'!T67)</f>
        <v/>
      </c>
      <c r="J67" s="116" t="str">
        <f aca="false">IF($B67="","",'مسير مايو'!T67)</f>
        <v/>
      </c>
      <c r="K67" s="116" t="str">
        <f aca="false">IF($B67="","",'مسير يونيو'!T67)</f>
        <v/>
      </c>
      <c r="L67" s="116" t="str">
        <f aca="false">IF($B67="","",'مسير يوليو'!T67)</f>
        <v/>
      </c>
      <c r="M67" s="116" t="str">
        <f aca="false">IF($B67="","",'مسير أغسطس'!T67)</f>
        <v/>
      </c>
      <c r="N67" s="116" t="str">
        <f aca="false">IF($B67="","",'مسير سبتمبر'!T67)</f>
        <v/>
      </c>
      <c r="O67" s="116" t="str">
        <f aca="false">IF($B67="","",'مسير أكتوبر'!T67)</f>
        <v/>
      </c>
      <c r="P67" s="116" t="str">
        <f aca="false">IF($B67="","",'مسير نوفمبر'!T67)</f>
        <v/>
      </c>
      <c r="Q67" s="116" t="str">
        <f aca="false">IF($B67="","",'مسير ديسمبر'!T67)</f>
        <v/>
      </c>
      <c r="R67" s="171" t="str">
        <f aca="false">IF($B67="","",IF(1&lt;=cfg_VAL_M,'مسير يناير'!T67,0)+IF(2&lt;=cfg_VAL_M,'مسير فبراير'!T67,0)+IF(3&lt;=cfg_VAL_M,'مسير مارس'!T67,0)+IF(4&lt;=cfg_VAL_M,'مسير أبريل'!T67,0)+IF(5&lt;=cfg_VAL_M,'مسير مايو'!T67,0)+IF(6&lt;=cfg_VAL_M,'مسير يونيو'!T67,0)+IF(7&lt;=cfg_VAL_M,'مسير يوليو'!T67,0)+IF(8&lt;=cfg_VAL_M,'مسير أغسطس'!T67,0)+IF(9&lt;=cfg_VAL_M,'مسير سبتمبر'!T67,0)+IF(10&lt;=cfg_VAL_M,'مسير أكتوبر'!T67,0)+IF(11&lt;=cfg_VAL_M,'مسير نوفمبر'!T67,0)+IF(12&lt;=cfg_VAL_M,'مسير ديسمبر'!T67,0))</f>
        <v/>
      </c>
      <c r="T67" s="116" t="str">
        <f aca="false">IF($B67="","",'مسير يناير'!AG67)</f>
        <v/>
      </c>
      <c r="U67" s="116" t="str">
        <f aca="false">IF($B67="","",'مسير فبراير'!AG67)</f>
        <v/>
      </c>
      <c r="V67" s="116" t="str">
        <f aca="false">IF($B67="","",'مسير مارس'!AG67)</f>
        <v/>
      </c>
      <c r="W67" s="116" t="str">
        <f aca="false">IF($B67="","",'مسير أبريل'!AG67)</f>
        <v/>
      </c>
      <c r="X67" s="116" t="str">
        <f aca="false">IF($B67="","",'مسير مايو'!AG67)</f>
        <v/>
      </c>
      <c r="Y67" s="116" t="str">
        <f aca="false">IF($B67="","",'مسير يونيو'!AG67)</f>
        <v/>
      </c>
      <c r="Z67" s="116" t="str">
        <f aca="false">IF($B67="","",'مسير يوليو'!AG67)</f>
        <v/>
      </c>
      <c r="AA67" s="116" t="str">
        <f aca="false">IF($B67="","",'مسير أغسطس'!AG67)</f>
        <v/>
      </c>
      <c r="AB67" s="116" t="str">
        <f aca="false">IF($B67="","",'مسير سبتمبر'!AG67)</f>
        <v/>
      </c>
      <c r="AC67" s="116" t="str">
        <f aca="false">IF($B67="","",'مسير أكتوبر'!AG67)</f>
        <v/>
      </c>
      <c r="AD67" s="116" t="str">
        <f aca="false">IF($B67="","",'مسير نوفمبر'!AG67)</f>
        <v/>
      </c>
      <c r="AE67" s="116" t="str">
        <f aca="false">IF($B67="","",'مسير ديسمبر'!AG67)</f>
        <v/>
      </c>
      <c r="AF67" s="171" t="str">
        <f aca="false">IF($B67="","",IF(1&lt;=cfg_VAL_M,'مسير يناير'!AG67,0)+IF(2&lt;=cfg_VAL_M,'مسير فبراير'!AG67,0)+IF(3&lt;=cfg_VAL_M,'مسير مارس'!AG67,0)+IF(4&lt;=cfg_VAL_M,'مسير أبريل'!AG67,0)+IF(5&lt;=cfg_VAL_M,'مسير مايو'!AG67,0)+IF(6&lt;=cfg_VAL_M,'مسير يونيو'!AG67,0)+IF(7&lt;=cfg_VAL_M,'مسير يوليو'!AG67,0)+IF(8&lt;=cfg_VAL_M,'مسير أغسطس'!AG67,0)+IF(9&lt;=cfg_VAL_M,'مسير سبتمبر'!AG67,0)+IF(10&lt;=cfg_VAL_M,'مسير أكتوبر'!AG67,0)+IF(11&lt;=cfg_VAL_M,'مسير نوفمبر'!AG67,0)+IF(12&lt;=cfg_VAL_M,'مسير ديسمبر'!AG67,0))</f>
        <v/>
      </c>
      <c r="AG67" s="171" t="str">
        <f aca="false">IF($B67="","",IF(1&lt;=cfg_VAL_M,'مسير يناير'!Y67,0)+IF(2&lt;=cfg_VAL_M,'مسير فبراير'!Y67,0)+IF(3&lt;=cfg_VAL_M,'مسير مارس'!Y67,0)+IF(4&lt;=cfg_VAL_M,'مسير أبريل'!Y67,0)+IF(5&lt;=cfg_VAL_M,'مسير مايو'!Y67,0)+IF(6&lt;=cfg_VAL_M,'مسير يونيو'!Y67,0)+IF(7&lt;=cfg_VAL_M,'مسير يوليو'!Y67,0)+IF(8&lt;=cfg_VAL_M,'مسير أغسطس'!Y67,0)+IF(9&lt;=cfg_VAL_M,'مسير سبتمبر'!Y67,0)+IF(10&lt;=cfg_VAL_M,'مسير أكتوبر'!Y67,0)+IF(11&lt;=cfg_VAL_M,'مسير نوفمبر'!Y67,0)+IF(12&lt;=cfg_VAL_M,'مسير ديسمبر'!Y67,0))</f>
        <v/>
      </c>
      <c r="AH67" s="116" t="str">
        <f aca="false">IF($B67="","",AF67/cfg_VAL_M)</f>
        <v/>
      </c>
    </row>
    <row r="68" customFormat="false" ht="15" hidden="false" customHeight="false" outlineLevel="0" collapsed="false">
      <c r="B68" s="114" t="str">
        <f aca="false">IF(الموظفون!$B68="","",الموظفون!$B68)</f>
        <v/>
      </c>
      <c r="C68" s="114" t="str">
        <f aca="false">IF(الموظفون!$B68="","",الموظفون!$C68)</f>
        <v/>
      </c>
      <c r="D68" s="114" t="str">
        <f aca="false">IF(الموظفون!$B68="","",الموظفون!$F68)</f>
        <v/>
      </c>
      <c r="E68" s="114" t="str">
        <f aca="false">IF(الموظفون!$B68="","",الموظفون!$E68)</f>
        <v/>
      </c>
      <c r="F68" s="111" t="str">
        <f aca="false">IF($B68="","",'مسير يناير'!T68)</f>
        <v/>
      </c>
      <c r="G68" s="111" t="str">
        <f aca="false">IF($B68="","",'مسير فبراير'!T68)</f>
        <v/>
      </c>
      <c r="H68" s="111" t="str">
        <f aca="false">IF($B68="","",'مسير مارس'!T68)</f>
        <v/>
      </c>
      <c r="I68" s="111" t="str">
        <f aca="false">IF($B68="","",'مسير أبريل'!T68)</f>
        <v/>
      </c>
      <c r="J68" s="111" t="str">
        <f aca="false">IF($B68="","",'مسير مايو'!T68)</f>
        <v/>
      </c>
      <c r="K68" s="111" t="str">
        <f aca="false">IF($B68="","",'مسير يونيو'!T68)</f>
        <v/>
      </c>
      <c r="L68" s="111" t="str">
        <f aca="false">IF($B68="","",'مسير يوليو'!T68)</f>
        <v/>
      </c>
      <c r="M68" s="111" t="str">
        <f aca="false">IF($B68="","",'مسير أغسطس'!T68)</f>
        <v/>
      </c>
      <c r="N68" s="111" t="str">
        <f aca="false">IF($B68="","",'مسير سبتمبر'!T68)</f>
        <v/>
      </c>
      <c r="O68" s="111" t="str">
        <f aca="false">IF($B68="","",'مسير أكتوبر'!T68)</f>
        <v/>
      </c>
      <c r="P68" s="111" t="str">
        <f aca="false">IF($B68="","",'مسير نوفمبر'!T68)</f>
        <v/>
      </c>
      <c r="Q68" s="111" t="str">
        <f aca="false">IF($B68="","",'مسير ديسمبر'!T68)</f>
        <v/>
      </c>
      <c r="R68" s="170" t="str">
        <f aca="false">IF($B68="","",IF(1&lt;=cfg_VAL_M,'مسير يناير'!T68,0)+IF(2&lt;=cfg_VAL_M,'مسير فبراير'!T68,0)+IF(3&lt;=cfg_VAL_M,'مسير مارس'!T68,0)+IF(4&lt;=cfg_VAL_M,'مسير أبريل'!T68,0)+IF(5&lt;=cfg_VAL_M,'مسير مايو'!T68,0)+IF(6&lt;=cfg_VAL_M,'مسير يونيو'!T68,0)+IF(7&lt;=cfg_VAL_M,'مسير يوليو'!T68,0)+IF(8&lt;=cfg_VAL_M,'مسير أغسطس'!T68,0)+IF(9&lt;=cfg_VAL_M,'مسير سبتمبر'!T68,0)+IF(10&lt;=cfg_VAL_M,'مسير أكتوبر'!T68,0)+IF(11&lt;=cfg_VAL_M,'مسير نوفمبر'!T68,0)+IF(12&lt;=cfg_VAL_M,'مسير ديسمبر'!T68,0))</f>
        <v/>
      </c>
      <c r="T68" s="111" t="str">
        <f aca="false">IF($B68="","",'مسير يناير'!AG68)</f>
        <v/>
      </c>
      <c r="U68" s="111" t="str">
        <f aca="false">IF($B68="","",'مسير فبراير'!AG68)</f>
        <v/>
      </c>
      <c r="V68" s="111" t="str">
        <f aca="false">IF($B68="","",'مسير مارس'!AG68)</f>
        <v/>
      </c>
      <c r="W68" s="111" t="str">
        <f aca="false">IF($B68="","",'مسير أبريل'!AG68)</f>
        <v/>
      </c>
      <c r="X68" s="111" t="str">
        <f aca="false">IF($B68="","",'مسير مايو'!AG68)</f>
        <v/>
      </c>
      <c r="Y68" s="111" t="str">
        <f aca="false">IF($B68="","",'مسير يونيو'!AG68)</f>
        <v/>
      </c>
      <c r="Z68" s="111" t="str">
        <f aca="false">IF($B68="","",'مسير يوليو'!AG68)</f>
        <v/>
      </c>
      <c r="AA68" s="111" t="str">
        <f aca="false">IF($B68="","",'مسير أغسطس'!AG68)</f>
        <v/>
      </c>
      <c r="AB68" s="111" t="str">
        <f aca="false">IF($B68="","",'مسير سبتمبر'!AG68)</f>
        <v/>
      </c>
      <c r="AC68" s="111" t="str">
        <f aca="false">IF($B68="","",'مسير أكتوبر'!AG68)</f>
        <v/>
      </c>
      <c r="AD68" s="111" t="str">
        <f aca="false">IF($B68="","",'مسير نوفمبر'!AG68)</f>
        <v/>
      </c>
      <c r="AE68" s="111" t="str">
        <f aca="false">IF($B68="","",'مسير ديسمبر'!AG68)</f>
        <v/>
      </c>
      <c r="AF68" s="170" t="str">
        <f aca="false">IF($B68="","",IF(1&lt;=cfg_VAL_M,'مسير يناير'!AG68,0)+IF(2&lt;=cfg_VAL_M,'مسير فبراير'!AG68,0)+IF(3&lt;=cfg_VAL_M,'مسير مارس'!AG68,0)+IF(4&lt;=cfg_VAL_M,'مسير أبريل'!AG68,0)+IF(5&lt;=cfg_VAL_M,'مسير مايو'!AG68,0)+IF(6&lt;=cfg_VAL_M,'مسير يونيو'!AG68,0)+IF(7&lt;=cfg_VAL_M,'مسير يوليو'!AG68,0)+IF(8&lt;=cfg_VAL_M,'مسير أغسطس'!AG68,0)+IF(9&lt;=cfg_VAL_M,'مسير سبتمبر'!AG68,0)+IF(10&lt;=cfg_VAL_M,'مسير أكتوبر'!AG68,0)+IF(11&lt;=cfg_VAL_M,'مسير نوفمبر'!AG68,0)+IF(12&lt;=cfg_VAL_M,'مسير ديسمبر'!AG68,0))</f>
        <v/>
      </c>
      <c r="AG68" s="170" t="str">
        <f aca="false">IF($B68="","",IF(1&lt;=cfg_VAL_M,'مسير يناير'!Y68,0)+IF(2&lt;=cfg_VAL_M,'مسير فبراير'!Y68,0)+IF(3&lt;=cfg_VAL_M,'مسير مارس'!Y68,0)+IF(4&lt;=cfg_VAL_M,'مسير أبريل'!Y68,0)+IF(5&lt;=cfg_VAL_M,'مسير مايو'!Y68,0)+IF(6&lt;=cfg_VAL_M,'مسير يونيو'!Y68,0)+IF(7&lt;=cfg_VAL_M,'مسير يوليو'!Y68,0)+IF(8&lt;=cfg_VAL_M,'مسير أغسطس'!Y68,0)+IF(9&lt;=cfg_VAL_M,'مسير سبتمبر'!Y68,0)+IF(10&lt;=cfg_VAL_M,'مسير أكتوبر'!Y68,0)+IF(11&lt;=cfg_VAL_M,'مسير نوفمبر'!Y68,0)+IF(12&lt;=cfg_VAL_M,'مسير ديسمبر'!Y68,0))</f>
        <v/>
      </c>
      <c r="AH68" s="111" t="str">
        <f aca="false">IF($B68="","",AF68/cfg_VAL_M)</f>
        <v/>
      </c>
    </row>
    <row r="69" customFormat="false" ht="15" hidden="false" customHeight="false" outlineLevel="0" collapsed="false">
      <c r="B69" s="117" t="str">
        <f aca="false">IF(الموظفون!$B69="","",الموظفون!$B69)</f>
        <v/>
      </c>
      <c r="C69" s="117" t="str">
        <f aca="false">IF(الموظفون!$B69="","",الموظفون!$C69)</f>
        <v/>
      </c>
      <c r="D69" s="117" t="str">
        <f aca="false">IF(الموظفون!$B69="","",الموظفون!$F69)</f>
        <v/>
      </c>
      <c r="E69" s="117" t="str">
        <f aca="false">IF(الموظفون!$B69="","",الموظفون!$E69)</f>
        <v/>
      </c>
      <c r="F69" s="116" t="str">
        <f aca="false">IF($B69="","",'مسير يناير'!T69)</f>
        <v/>
      </c>
      <c r="G69" s="116" t="str">
        <f aca="false">IF($B69="","",'مسير فبراير'!T69)</f>
        <v/>
      </c>
      <c r="H69" s="116" t="str">
        <f aca="false">IF($B69="","",'مسير مارس'!T69)</f>
        <v/>
      </c>
      <c r="I69" s="116" t="str">
        <f aca="false">IF($B69="","",'مسير أبريل'!T69)</f>
        <v/>
      </c>
      <c r="J69" s="116" t="str">
        <f aca="false">IF($B69="","",'مسير مايو'!T69)</f>
        <v/>
      </c>
      <c r="K69" s="116" t="str">
        <f aca="false">IF($B69="","",'مسير يونيو'!T69)</f>
        <v/>
      </c>
      <c r="L69" s="116" t="str">
        <f aca="false">IF($B69="","",'مسير يوليو'!T69)</f>
        <v/>
      </c>
      <c r="M69" s="116" t="str">
        <f aca="false">IF($B69="","",'مسير أغسطس'!T69)</f>
        <v/>
      </c>
      <c r="N69" s="116" t="str">
        <f aca="false">IF($B69="","",'مسير سبتمبر'!T69)</f>
        <v/>
      </c>
      <c r="O69" s="116" t="str">
        <f aca="false">IF($B69="","",'مسير أكتوبر'!T69)</f>
        <v/>
      </c>
      <c r="P69" s="116" t="str">
        <f aca="false">IF($B69="","",'مسير نوفمبر'!T69)</f>
        <v/>
      </c>
      <c r="Q69" s="116" t="str">
        <f aca="false">IF($B69="","",'مسير ديسمبر'!T69)</f>
        <v/>
      </c>
      <c r="R69" s="171" t="str">
        <f aca="false">IF($B69="","",IF(1&lt;=cfg_VAL_M,'مسير يناير'!T69,0)+IF(2&lt;=cfg_VAL_M,'مسير فبراير'!T69,0)+IF(3&lt;=cfg_VAL_M,'مسير مارس'!T69,0)+IF(4&lt;=cfg_VAL_M,'مسير أبريل'!T69,0)+IF(5&lt;=cfg_VAL_M,'مسير مايو'!T69,0)+IF(6&lt;=cfg_VAL_M,'مسير يونيو'!T69,0)+IF(7&lt;=cfg_VAL_M,'مسير يوليو'!T69,0)+IF(8&lt;=cfg_VAL_M,'مسير أغسطس'!T69,0)+IF(9&lt;=cfg_VAL_M,'مسير سبتمبر'!T69,0)+IF(10&lt;=cfg_VAL_M,'مسير أكتوبر'!T69,0)+IF(11&lt;=cfg_VAL_M,'مسير نوفمبر'!T69,0)+IF(12&lt;=cfg_VAL_M,'مسير ديسمبر'!T69,0))</f>
        <v/>
      </c>
      <c r="T69" s="116" t="str">
        <f aca="false">IF($B69="","",'مسير يناير'!AG69)</f>
        <v/>
      </c>
      <c r="U69" s="116" t="str">
        <f aca="false">IF($B69="","",'مسير فبراير'!AG69)</f>
        <v/>
      </c>
      <c r="V69" s="116" t="str">
        <f aca="false">IF($B69="","",'مسير مارس'!AG69)</f>
        <v/>
      </c>
      <c r="W69" s="116" t="str">
        <f aca="false">IF($B69="","",'مسير أبريل'!AG69)</f>
        <v/>
      </c>
      <c r="X69" s="116" t="str">
        <f aca="false">IF($B69="","",'مسير مايو'!AG69)</f>
        <v/>
      </c>
      <c r="Y69" s="116" t="str">
        <f aca="false">IF($B69="","",'مسير يونيو'!AG69)</f>
        <v/>
      </c>
      <c r="Z69" s="116" t="str">
        <f aca="false">IF($B69="","",'مسير يوليو'!AG69)</f>
        <v/>
      </c>
      <c r="AA69" s="116" t="str">
        <f aca="false">IF($B69="","",'مسير أغسطس'!AG69)</f>
        <v/>
      </c>
      <c r="AB69" s="116" t="str">
        <f aca="false">IF($B69="","",'مسير سبتمبر'!AG69)</f>
        <v/>
      </c>
      <c r="AC69" s="116" t="str">
        <f aca="false">IF($B69="","",'مسير أكتوبر'!AG69)</f>
        <v/>
      </c>
      <c r="AD69" s="116" t="str">
        <f aca="false">IF($B69="","",'مسير نوفمبر'!AG69)</f>
        <v/>
      </c>
      <c r="AE69" s="116" t="str">
        <f aca="false">IF($B69="","",'مسير ديسمبر'!AG69)</f>
        <v/>
      </c>
      <c r="AF69" s="171" t="str">
        <f aca="false">IF($B69="","",IF(1&lt;=cfg_VAL_M,'مسير يناير'!AG69,0)+IF(2&lt;=cfg_VAL_M,'مسير فبراير'!AG69,0)+IF(3&lt;=cfg_VAL_M,'مسير مارس'!AG69,0)+IF(4&lt;=cfg_VAL_M,'مسير أبريل'!AG69,0)+IF(5&lt;=cfg_VAL_M,'مسير مايو'!AG69,0)+IF(6&lt;=cfg_VAL_M,'مسير يونيو'!AG69,0)+IF(7&lt;=cfg_VAL_M,'مسير يوليو'!AG69,0)+IF(8&lt;=cfg_VAL_M,'مسير أغسطس'!AG69,0)+IF(9&lt;=cfg_VAL_M,'مسير سبتمبر'!AG69,0)+IF(10&lt;=cfg_VAL_M,'مسير أكتوبر'!AG69,0)+IF(11&lt;=cfg_VAL_M,'مسير نوفمبر'!AG69,0)+IF(12&lt;=cfg_VAL_M,'مسير ديسمبر'!AG69,0))</f>
        <v/>
      </c>
      <c r="AG69" s="171" t="str">
        <f aca="false">IF($B69="","",IF(1&lt;=cfg_VAL_M,'مسير يناير'!Y69,0)+IF(2&lt;=cfg_VAL_M,'مسير فبراير'!Y69,0)+IF(3&lt;=cfg_VAL_M,'مسير مارس'!Y69,0)+IF(4&lt;=cfg_VAL_M,'مسير أبريل'!Y69,0)+IF(5&lt;=cfg_VAL_M,'مسير مايو'!Y69,0)+IF(6&lt;=cfg_VAL_M,'مسير يونيو'!Y69,0)+IF(7&lt;=cfg_VAL_M,'مسير يوليو'!Y69,0)+IF(8&lt;=cfg_VAL_M,'مسير أغسطس'!Y69,0)+IF(9&lt;=cfg_VAL_M,'مسير سبتمبر'!Y69,0)+IF(10&lt;=cfg_VAL_M,'مسير أكتوبر'!Y69,0)+IF(11&lt;=cfg_VAL_M,'مسير نوفمبر'!Y69,0)+IF(12&lt;=cfg_VAL_M,'مسير ديسمبر'!Y69,0))</f>
        <v/>
      </c>
      <c r="AH69" s="116" t="str">
        <f aca="false">IF($B69="","",AF69/cfg_VAL_M)</f>
        <v/>
      </c>
    </row>
    <row r="70" customFormat="false" ht="15" hidden="false" customHeight="false" outlineLevel="0" collapsed="false">
      <c r="B70" s="114" t="str">
        <f aca="false">IF(الموظفون!$B70="","",الموظفون!$B70)</f>
        <v/>
      </c>
      <c r="C70" s="114" t="str">
        <f aca="false">IF(الموظفون!$B70="","",الموظفون!$C70)</f>
        <v/>
      </c>
      <c r="D70" s="114" t="str">
        <f aca="false">IF(الموظفون!$B70="","",الموظفون!$F70)</f>
        <v/>
      </c>
      <c r="E70" s="114" t="str">
        <f aca="false">IF(الموظفون!$B70="","",الموظفون!$E70)</f>
        <v/>
      </c>
      <c r="F70" s="111" t="str">
        <f aca="false">IF($B70="","",'مسير يناير'!T70)</f>
        <v/>
      </c>
      <c r="G70" s="111" t="str">
        <f aca="false">IF($B70="","",'مسير فبراير'!T70)</f>
        <v/>
      </c>
      <c r="H70" s="111" t="str">
        <f aca="false">IF($B70="","",'مسير مارس'!T70)</f>
        <v/>
      </c>
      <c r="I70" s="111" t="str">
        <f aca="false">IF($B70="","",'مسير أبريل'!T70)</f>
        <v/>
      </c>
      <c r="J70" s="111" t="str">
        <f aca="false">IF($B70="","",'مسير مايو'!T70)</f>
        <v/>
      </c>
      <c r="K70" s="111" t="str">
        <f aca="false">IF($B70="","",'مسير يونيو'!T70)</f>
        <v/>
      </c>
      <c r="L70" s="111" t="str">
        <f aca="false">IF($B70="","",'مسير يوليو'!T70)</f>
        <v/>
      </c>
      <c r="M70" s="111" t="str">
        <f aca="false">IF($B70="","",'مسير أغسطس'!T70)</f>
        <v/>
      </c>
      <c r="N70" s="111" t="str">
        <f aca="false">IF($B70="","",'مسير سبتمبر'!T70)</f>
        <v/>
      </c>
      <c r="O70" s="111" t="str">
        <f aca="false">IF($B70="","",'مسير أكتوبر'!T70)</f>
        <v/>
      </c>
      <c r="P70" s="111" t="str">
        <f aca="false">IF($B70="","",'مسير نوفمبر'!T70)</f>
        <v/>
      </c>
      <c r="Q70" s="111" t="str">
        <f aca="false">IF($B70="","",'مسير ديسمبر'!T70)</f>
        <v/>
      </c>
      <c r="R70" s="170" t="str">
        <f aca="false">IF($B70="","",IF(1&lt;=cfg_VAL_M,'مسير يناير'!T70,0)+IF(2&lt;=cfg_VAL_M,'مسير فبراير'!T70,0)+IF(3&lt;=cfg_VAL_M,'مسير مارس'!T70,0)+IF(4&lt;=cfg_VAL_M,'مسير أبريل'!T70,0)+IF(5&lt;=cfg_VAL_M,'مسير مايو'!T70,0)+IF(6&lt;=cfg_VAL_M,'مسير يونيو'!T70,0)+IF(7&lt;=cfg_VAL_M,'مسير يوليو'!T70,0)+IF(8&lt;=cfg_VAL_M,'مسير أغسطس'!T70,0)+IF(9&lt;=cfg_VAL_M,'مسير سبتمبر'!T70,0)+IF(10&lt;=cfg_VAL_M,'مسير أكتوبر'!T70,0)+IF(11&lt;=cfg_VAL_M,'مسير نوفمبر'!T70,0)+IF(12&lt;=cfg_VAL_M,'مسير ديسمبر'!T70,0))</f>
        <v/>
      </c>
      <c r="T70" s="111" t="str">
        <f aca="false">IF($B70="","",'مسير يناير'!AG70)</f>
        <v/>
      </c>
      <c r="U70" s="111" t="str">
        <f aca="false">IF($B70="","",'مسير فبراير'!AG70)</f>
        <v/>
      </c>
      <c r="V70" s="111" t="str">
        <f aca="false">IF($B70="","",'مسير مارس'!AG70)</f>
        <v/>
      </c>
      <c r="W70" s="111" t="str">
        <f aca="false">IF($B70="","",'مسير أبريل'!AG70)</f>
        <v/>
      </c>
      <c r="X70" s="111" t="str">
        <f aca="false">IF($B70="","",'مسير مايو'!AG70)</f>
        <v/>
      </c>
      <c r="Y70" s="111" t="str">
        <f aca="false">IF($B70="","",'مسير يونيو'!AG70)</f>
        <v/>
      </c>
      <c r="Z70" s="111" t="str">
        <f aca="false">IF($B70="","",'مسير يوليو'!AG70)</f>
        <v/>
      </c>
      <c r="AA70" s="111" t="str">
        <f aca="false">IF($B70="","",'مسير أغسطس'!AG70)</f>
        <v/>
      </c>
      <c r="AB70" s="111" t="str">
        <f aca="false">IF($B70="","",'مسير سبتمبر'!AG70)</f>
        <v/>
      </c>
      <c r="AC70" s="111" t="str">
        <f aca="false">IF($B70="","",'مسير أكتوبر'!AG70)</f>
        <v/>
      </c>
      <c r="AD70" s="111" t="str">
        <f aca="false">IF($B70="","",'مسير نوفمبر'!AG70)</f>
        <v/>
      </c>
      <c r="AE70" s="111" t="str">
        <f aca="false">IF($B70="","",'مسير ديسمبر'!AG70)</f>
        <v/>
      </c>
      <c r="AF70" s="170" t="str">
        <f aca="false">IF($B70="","",IF(1&lt;=cfg_VAL_M,'مسير يناير'!AG70,0)+IF(2&lt;=cfg_VAL_M,'مسير فبراير'!AG70,0)+IF(3&lt;=cfg_VAL_M,'مسير مارس'!AG70,0)+IF(4&lt;=cfg_VAL_M,'مسير أبريل'!AG70,0)+IF(5&lt;=cfg_VAL_M,'مسير مايو'!AG70,0)+IF(6&lt;=cfg_VAL_M,'مسير يونيو'!AG70,0)+IF(7&lt;=cfg_VAL_M,'مسير يوليو'!AG70,0)+IF(8&lt;=cfg_VAL_M,'مسير أغسطس'!AG70,0)+IF(9&lt;=cfg_VAL_M,'مسير سبتمبر'!AG70,0)+IF(10&lt;=cfg_VAL_M,'مسير أكتوبر'!AG70,0)+IF(11&lt;=cfg_VAL_M,'مسير نوفمبر'!AG70,0)+IF(12&lt;=cfg_VAL_M,'مسير ديسمبر'!AG70,0))</f>
        <v/>
      </c>
      <c r="AG70" s="170" t="str">
        <f aca="false">IF($B70="","",IF(1&lt;=cfg_VAL_M,'مسير يناير'!Y70,0)+IF(2&lt;=cfg_VAL_M,'مسير فبراير'!Y70,0)+IF(3&lt;=cfg_VAL_M,'مسير مارس'!Y70,0)+IF(4&lt;=cfg_VAL_M,'مسير أبريل'!Y70,0)+IF(5&lt;=cfg_VAL_M,'مسير مايو'!Y70,0)+IF(6&lt;=cfg_VAL_M,'مسير يونيو'!Y70,0)+IF(7&lt;=cfg_VAL_M,'مسير يوليو'!Y70,0)+IF(8&lt;=cfg_VAL_M,'مسير أغسطس'!Y70,0)+IF(9&lt;=cfg_VAL_M,'مسير سبتمبر'!Y70,0)+IF(10&lt;=cfg_VAL_M,'مسير أكتوبر'!Y70,0)+IF(11&lt;=cfg_VAL_M,'مسير نوفمبر'!Y70,0)+IF(12&lt;=cfg_VAL_M,'مسير ديسمبر'!Y70,0))</f>
        <v/>
      </c>
      <c r="AH70" s="111" t="str">
        <f aca="false">IF($B70="","",AF70/cfg_VAL_M)</f>
        <v/>
      </c>
    </row>
    <row r="71" customFormat="false" ht="15" hidden="false" customHeight="false" outlineLevel="0" collapsed="false">
      <c r="B71" s="117" t="str">
        <f aca="false">IF(الموظفون!$B71="","",الموظفون!$B71)</f>
        <v/>
      </c>
      <c r="C71" s="117" t="str">
        <f aca="false">IF(الموظفون!$B71="","",الموظفون!$C71)</f>
        <v/>
      </c>
      <c r="D71" s="117" t="str">
        <f aca="false">IF(الموظفون!$B71="","",الموظفون!$F71)</f>
        <v/>
      </c>
      <c r="E71" s="117" t="str">
        <f aca="false">IF(الموظفون!$B71="","",الموظفون!$E71)</f>
        <v/>
      </c>
      <c r="F71" s="116" t="str">
        <f aca="false">IF($B71="","",'مسير يناير'!T71)</f>
        <v/>
      </c>
      <c r="G71" s="116" t="str">
        <f aca="false">IF($B71="","",'مسير فبراير'!T71)</f>
        <v/>
      </c>
      <c r="H71" s="116" t="str">
        <f aca="false">IF($B71="","",'مسير مارس'!T71)</f>
        <v/>
      </c>
      <c r="I71" s="116" t="str">
        <f aca="false">IF($B71="","",'مسير أبريل'!T71)</f>
        <v/>
      </c>
      <c r="J71" s="116" t="str">
        <f aca="false">IF($B71="","",'مسير مايو'!T71)</f>
        <v/>
      </c>
      <c r="K71" s="116" t="str">
        <f aca="false">IF($B71="","",'مسير يونيو'!T71)</f>
        <v/>
      </c>
      <c r="L71" s="116" t="str">
        <f aca="false">IF($B71="","",'مسير يوليو'!T71)</f>
        <v/>
      </c>
      <c r="M71" s="116" t="str">
        <f aca="false">IF($B71="","",'مسير أغسطس'!T71)</f>
        <v/>
      </c>
      <c r="N71" s="116" t="str">
        <f aca="false">IF($B71="","",'مسير سبتمبر'!T71)</f>
        <v/>
      </c>
      <c r="O71" s="116" t="str">
        <f aca="false">IF($B71="","",'مسير أكتوبر'!T71)</f>
        <v/>
      </c>
      <c r="P71" s="116" t="str">
        <f aca="false">IF($B71="","",'مسير نوفمبر'!T71)</f>
        <v/>
      </c>
      <c r="Q71" s="116" t="str">
        <f aca="false">IF($B71="","",'مسير ديسمبر'!T71)</f>
        <v/>
      </c>
      <c r="R71" s="171" t="str">
        <f aca="false">IF($B71="","",IF(1&lt;=cfg_VAL_M,'مسير يناير'!T71,0)+IF(2&lt;=cfg_VAL_M,'مسير فبراير'!T71,0)+IF(3&lt;=cfg_VAL_M,'مسير مارس'!T71,0)+IF(4&lt;=cfg_VAL_M,'مسير أبريل'!T71,0)+IF(5&lt;=cfg_VAL_M,'مسير مايو'!T71,0)+IF(6&lt;=cfg_VAL_M,'مسير يونيو'!T71,0)+IF(7&lt;=cfg_VAL_M,'مسير يوليو'!T71,0)+IF(8&lt;=cfg_VAL_M,'مسير أغسطس'!T71,0)+IF(9&lt;=cfg_VAL_M,'مسير سبتمبر'!T71,0)+IF(10&lt;=cfg_VAL_M,'مسير أكتوبر'!T71,0)+IF(11&lt;=cfg_VAL_M,'مسير نوفمبر'!T71,0)+IF(12&lt;=cfg_VAL_M,'مسير ديسمبر'!T71,0))</f>
        <v/>
      </c>
      <c r="T71" s="116" t="str">
        <f aca="false">IF($B71="","",'مسير يناير'!AG71)</f>
        <v/>
      </c>
      <c r="U71" s="116" t="str">
        <f aca="false">IF($B71="","",'مسير فبراير'!AG71)</f>
        <v/>
      </c>
      <c r="V71" s="116" t="str">
        <f aca="false">IF($B71="","",'مسير مارس'!AG71)</f>
        <v/>
      </c>
      <c r="W71" s="116" t="str">
        <f aca="false">IF($B71="","",'مسير أبريل'!AG71)</f>
        <v/>
      </c>
      <c r="X71" s="116" t="str">
        <f aca="false">IF($B71="","",'مسير مايو'!AG71)</f>
        <v/>
      </c>
      <c r="Y71" s="116" t="str">
        <f aca="false">IF($B71="","",'مسير يونيو'!AG71)</f>
        <v/>
      </c>
      <c r="Z71" s="116" t="str">
        <f aca="false">IF($B71="","",'مسير يوليو'!AG71)</f>
        <v/>
      </c>
      <c r="AA71" s="116" t="str">
        <f aca="false">IF($B71="","",'مسير أغسطس'!AG71)</f>
        <v/>
      </c>
      <c r="AB71" s="116" t="str">
        <f aca="false">IF($B71="","",'مسير سبتمبر'!AG71)</f>
        <v/>
      </c>
      <c r="AC71" s="116" t="str">
        <f aca="false">IF($B71="","",'مسير أكتوبر'!AG71)</f>
        <v/>
      </c>
      <c r="AD71" s="116" t="str">
        <f aca="false">IF($B71="","",'مسير نوفمبر'!AG71)</f>
        <v/>
      </c>
      <c r="AE71" s="116" t="str">
        <f aca="false">IF($B71="","",'مسير ديسمبر'!AG71)</f>
        <v/>
      </c>
      <c r="AF71" s="171" t="str">
        <f aca="false">IF($B71="","",IF(1&lt;=cfg_VAL_M,'مسير يناير'!AG71,0)+IF(2&lt;=cfg_VAL_M,'مسير فبراير'!AG71,0)+IF(3&lt;=cfg_VAL_M,'مسير مارس'!AG71,0)+IF(4&lt;=cfg_VAL_M,'مسير أبريل'!AG71,0)+IF(5&lt;=cfg_VAL_M,'مسير مايو'!AG71,0)+IF(6&lt;=cfg_VAL_M,'مسير يونيو'!AG71,0)+IF(7&lt;=cfg_VAL_M,'مسير يوليو'!AG71,0)+IF(8&lt;=cfg_VAL_M,'مسير أغسطس'!AG71,0)+IF(9&lt;=cfg_VAL_M,'مسير سبتمبر'!AG71,0)+IF(10&lt;=cfg_VAL_M,'مسير أكتوبر'!AG71,0)+IF(11&lt;=cfg_VAL_M,'مسير نوفمبر'!AG71,0)+IF(12&lt;=cfg_VAL_M,'مسير ديسمبر'!AG71,0))</f>
        <v/>
      </c>
      <c r="AG71" s="171" t="str">
        <f aca="false">IF($B71="","",IF(1&lt;=cfg_VAL_M,'مسير يناير'!Y71,0)+IF(2&lt;=cfg_VAL_M,'مسير فبراير'!Y71,0)+IF(3&lt;=cfg_VAL_M,'مسير مارس'!Y71,0)+IF(4&lt;=cfg_VAL_M,'مسير أبريل'!Y71,0)+IF(5&lt;=cfg_VAL_M,'مسير مايو'!Y71,0)+IF(6&lt;=cfg_VAL_M,'مسير يونيو'!Y71,0)+IF(7&lt;=cfg_VAL_M,'مسير يوليو'!Y71,0)+IF(8&lt;=cfg_VAL_M,'مسير أغسطس'!Y71,0)+IF(9&lt;=cfg_VAL_M,'مسير سبتمبر'!Y71,0)+IF(10&lt;=cfg_VAL_M,'مسير أكتوبر'!Y71,0)+IF(11&lt;=cfg_VAL_M,'مسير نوفمبر'!Y71,0)+IF(12&lt;=cfg_VAL_M,'مسير ديسمبر'!Y71,0))</f>
        <v/>
      </c>
      <c r="AH71" s="116" t="str">
        <f aca="false">IF($B71="","",AF71/cfg_VAL_M)</f>
        <v/>
      </c>
    </row>
    <row r="72" customFormat="false" ht="15" hidden="false" customHeight="false" outlineLevel="0" collapsed="false">
      <c r="B72" s="114" t="str">
        <f aca="false">IF(الموظفون!$B72="","",الموظفون!$B72)</f>
        <v/>
      </c>
      <c r="C72" s="114" t="str">
        <f aca="false">IF(الموظفون!$B72="","",الموظفون!$C72)</f>
        <v/>
      </c>
      <c r="D72" s="114" t="str">
        <f aca="false">IF(الموظفون!$B72="","",الموظفون!$F72)</f>
        <v/>
      </c>
      <c r="E72" s="114" t="str">
        <f aca="false">IF(الموظفون!$B72="","",الموظفون!$E72)</f>
        <v/>
      </c>
      <c r="F72" s="111" t="str">
        <f aca="false">IF($B72="","",'مسير يناير'!T72)</f>
        <v/>
      </c>
      <c r="G72" s="111" t="str">
        <f aca="false">IF($B72="","",'مسير فبراير'!T72)</f>
        <v/>
      </c>
      <c r="H72" s="111" t="str">
        <f aca="false">IF($B72="","",'مسير مارس'!T72)</f>
        <v/>
      </c>
      <c r="I72" s="111" t="str">
        <f aca="false">IF($B72="","",'مسير أبريل'!T72)</f>
        <v/>
      </c>
      <c r="J72" s="111" t="str">
        <f aca="false">IF($B72="","",'مسير مايو'!T72)</f>
        <v/>
      </c>
      <c r="K72" s="111" t="str">
        <f aca="false">IF($B72="","",'مسير يونيو'!T72)</f>
        <v/>
      </c>
      <c r="L72" s="111" t="str">
        <f aca="false">IF($B72="","",'مسير يوليو'!T72)</f>
        <v/>
      </c>
      <c r="M72" s="111" t="str">
        <f aca="false">IF($B72="","",'مسير أغسطس'!T72)</f>
        <v/>
      </c>
      <c r="N72" s="111" t="str">
        <f aca="false">IF($B72="","",'مسير سبتمبر'!T72)</f>
        <v/>
      </c>
      <c r="O72" s="111" t="str">
        <f aca="false">IF($B72="","",'مسير أكتوبر'!T72)</f>
        <v/>
      </c>
      <c r="P72" s="111" t="str">
        <f aca="false">IF($B72="","",'مسير نوفمبر'!T72)</f>
        <v/>
      </c>
      <c r="Q72" s="111" t="str">
        <f aca="false">IF($B72="","",'مسير ديسمبر'!T72)</f>
        <v/>
      </c>
      <c r="R72" s="170" t="str">
        <f aca="false">IF($B72="","",IF(1&lt;=cfg_VAL_M,'مسير يناير'!T72,0)+IF(2&lt;=cfg_VAL_M,'مسير فبراير'!T72,0)+IF(3&lt;=cfg_VAL_M,'مسير مارس'!T72,0)+IF(4&lt;=cfg_VAL_M,'مسير أبريل'!T72,0)+IF(5&lt;=cfg_VAL_M,'مسير مايو'!T72,0)+IF(6&lt;=cfg_VAL_M,'مسير يونيو'!T72,0)+IF(7&lt;=cfg_VAL_M,'مسير يوليو'!T72,0)+IF(8&lt;=cfg_VAL_M,'مسير أغسطس'!T72,0)+IF(9&lt;=cfg_VAL_M,'مسير سبتمبر'!T72,0)+IF(10&lt;=cfg_VAL_M,'مسير أكتوبر'!T72,0)+IF(11&lt;=cfg_VAL_M,'مسير نوفمبر'!T72,0)+IF(12&lt;=cfg_VAL_M,'مسير ديسمبر'!T72,0))</f>
        <v/>
      </c>
      <c r="T72" s="111" t="str">
        <f aca="false">IF($B72="","",'مسير يناير'!AG72)</f>
        <v/>
      </c>
      <c r="U72" s="111" t="str">
        <f aca="false">IF($B72="","",'مسير فبراير'!AG72)</f>
        <v/>
      </c>
      <c r="V72" s="111" t="str">
        <f aca="false">IF($B72="","",'مسير مارس'!AG72)</f>
        <v/>
      </c>
      <c r="W72" s="111" t="str">
        <f aca="false">IF($B72="","",'مسير أبريل'!AG72)</f>
        <v/>
      </c>
      <c r="X72" s="111" t="str">
        <f aca="false">IF($B72="","",'مسير مايو'!AG72)</f>
        <v/>
      </c>
      <c r="Y72" s="111" t="str">
        <f aca="false">IF($B72="","",'مسير يونيو'!AG72)</f>
        <v/>
      </c>
      <c r="Z72" s="111" t="str">
        <f aca="false">IF($B72="","",'مسير يوليو'!AG72)</f>
        <v/>
      </c>
      <c r="AA72" s="111" t="str">
        <f aca="false">IF($B72="","",'مسير أغسطس'!AG72)</f>
        <v/>
      </c>
      <c r="AB72" s="111" t="str">
        <f aca="false">IF($B72="","",'مسير سبتمبر'!AG72)</f>
        <v/>
      </c>
      <c r="AC72" s="111" t="str">
        <f aca="false">IF($B72="","",'مسير أكتوبر'!AG72)</f>
        <v/>
      </c>
      <c r="AD72" s="111" t="str">
        <f aca="false">IF($B72="","",'مسير نوفمبر'!AG72)</f>
        <v/>
      </c>
      <c r="AE72" s="111" t="str">
        <f aca="false">IF($B72="","",'مسير ديسمبر'!AG72)</f>
        <v/>
      </c>
      <c r="AF72" s="170" t="str">
        <f aca="false">IF($B72="","",IF(1&lt;=cfg_VAL_M,'مسير يناير'!AG72,0)+IF(2&lt;=cfg_VAL_M,'مسير فبراير'!AG72,0)+IF(3&lt;=cfg_VAL_M,'مسير مارس'!AG72,0)+IF(4&lt;=cfg_VAL_M,'مسير أبريل'!AG72,0)+IF(5&lt;=cfg_VAL_M,'مسير مايو'!AG72,0)+IF(6&lt;=cfg_VAL_M,'مسير يونيو'!AG72,0)+IF(7&lt;=cfg_VAL_M,'مسير يوليو'!AG72,0)+IF(8&lt;=cfg_VAL_M,'مسير أغسطس'!AG72,0)+IF(9&lt;=cfg_VAL_M,'مسير سبتمبر'!AG72,0)+IF(10&lt;=cfg_VAL_M,'مسير أكتوبر'!AG72,0)+IF(11&lt;=cfg_VAL_M,'مسير نوفمبر'!AG72,0)+IF(12&lt;=cfg_VAL_M,'مسير ديسمبر'!AG72,0))</f>
        <v/>
      </c>
      <c r="AG72" s="170" t="str">
        <f aca="false">IF($B72="","",IF(1&lt;=cfg_VAL_M,'مسير يناير'!Y72,0)+IF(2&lt;=cfg_VAL_M,'مسير فبراير'!Y72,0)+IF(3&lt;=cfg_VAL_M,'مسير مارس'!Y72,0)+IF(4&lt;=cfg_VAL_M,'مسير أبريل'!Y72,0)+IF(5&lt;=cfg_VAL_M,'مسير مايو'!Y72,0)+IF(6&lt;=cfg_VAL_M,'مسير يونيو'!Y72,0)+IF(7&lt;=cfg_VAL_M,'مسير يوليو'!Y72,0)+IF(8&lt;=cfg_VAL_M,'مسير أغسطس'!Y72,0)+IF(9&lt;=cfg_VAL_M,'مسير سبتمبر'!Y72,0)+IF(10&lt;=cfg_VAL_M,'مسير أكتوبر'!Y72,0)+IF(11&lt;=cfg_VAL_M,'مسير نوفمبر'!Y72,0)+IF(12&lt;=cfg_VAL_M,'مسير ديسمبر'!Y72,0))</f>
        <v/>
      </c>
      <c r="AH72" s="111" t="str">
        <f aca="false">IF($B72="","",AF72/cfg_VAL_M)</f>
        <v/>
      </c>
    </row>
    <row r="73" customFormat="false" ht="15" hidden="false" customHeight="false" outlineLevel="0" collapsed="false">
      <c r="B73" s="117" t="str">
        <f aca="false">IF(الموظفون!$B73="","",الموظفون!$B73)</f>
        <v/>
      </c>
      <c r="C73" s="117" t="str">
        <f aca="false">IF(الموظفون!$B73="","",الموظفون!$C73)</f>
        <v/>
      </c>
      <c r="D73" s="117" t="str">
        <f aca="false">IF(الموظفون!$B73="","",الموظفون!$F73)</f>
        <v/>
      </c>
      <c r="E73" s="117" t="str">
        <f aca="false">IF(الموظفون!$B73="","",الموظفون!$E73)</f>
        <v/>
      </c>
      <c r="F73" s="116" t="str">
        <f aca="false">IF($B73="","",'مسير يناير'!T73)</f>
        <v/>
      </c>
      <c r="G73" s="116" t="str">
        <f aca="false">IF($B73="","",'مسير فبراير'!T73)</f>
        <v/>
      </c>
      <c r="H73" s="116" t="str">
        <f aca="false">IF($B73="","",'مسير مارس'!T73)</f>
        <v/>
      </c>
      <c r="I73" s="116" t="str">
        <f aca="false">IF($B73="","",'مسير أبريل'!T73)</f>
        <v/>
      </c>
      <c r="J73" s="116" t="str">
        <f aca="false">IF($B73="","",'مسير مايو'!T73)</f>
        <v/>
      </c>
      <c r="K73" s="116" t="str">
        <f aca="false">IF($B73="","",'مسير يونيو'!T73)</f>
        <v/>
      </c>
      <c r="L73" s="116" t="str">
        <f aca="false">IF($B73="","",'مسير يوليو'!T73)</f>
        <v/>
      </c>
      <c r="M73" s="116" t="str">
        <f aca="false">IF($B73="","",'مسير أغسطس'!T73)</f>
        <v/>
      </c>
      <c r="N73" s="116" t="str">
        <f aca="false">IF($B73="","",'مسير سبتمبر'!T73)</f>
        <v/>
      </c>
      <c r="O73" s="116" t="str">
        <f aca="false">IF($B73="","",'مسير أكتوبر'!T73)</f>
        <v/>
      </c>
      <c r="P73" s="116" t="str">
        <f aca="false">IF($B73="","",'مسير نوفمبر'!T73)</f>
        <v/>
      </c>
      <c r="Q73" s="116" t="str">
        <f aca="false">IF($B73="","",'مسير ديسمبر'!T73)</f>
        <v/>
      </c>
      <c r="R73" s="171" t="str">
        <f aca="false">IF($B73="","",IF(1&lt;=cfg_VAL_M,'مسير يناير'!T73,0)+IF(2&lt;=cfg_VAL_M,'مسير فبراير'!T73,0)+IF(3&lt;=cfg_VAL_M,'مسير مارس'!T73,0)+IF(4&lt;=cfg_VAL_M,'مسير أبريل'!T73,0)+IF(5&lt;=cfg_VAL_M,'مسير مايو'!T73,0)+IF(6&lt;=cfg_VAL_M,'مسير يونيو'!T73,0)+IF(7&lt;=cfg_VAL_M,'مسير يوليو'!T73,0)+IF(8&lt;=cfg_VAL_M,'مسير أغسطس'!T73,0)+IF(9&lt;=cfg_VAL_M,'مسير سبتمبر'!T73,0)+IF(10&lt;=cfg_VAL_M,'مسير أكتوبر'!T73,0)+IF(11&lt;=cfg_VAL_M,'مسير نوفمبر'!T73,0)+IF(12&lt;=cfg_VAL_M,'مسير ديسمبر'!T73,0))</f>
        <v/>
      </c>
      <c r="T73" s="116" t="str">
        <f aca="false">IF($B73="","",'مسير يناير'!AG73)</f>
        <v/>
      </c>
      <c r="U73" s="116" t="str">
        <f aca="false">IF($B73="","",'مسير فبراير'!AG73)</f>
        <v/>
      </c>
      <c r="V73" s="116" t="str">
        <f aca="false">IF($B73="","",'مسير مارس'!AG73)</f>
        <v/>
      </c>
      <c r="W73" s="116" t="str">
        <f aca="false">IF($B73="","",'مسير أبريل'!AG73)</f>
        <v/>
      </c>
      <c r="X73" s="116" t="str">
        <f aca="false">IF($B73="","",'مسير مايو'!AG73)</f>
        <v/>
      </c>
      <c r="Y73" s="116" t="str">
        <f aca="false">IF($B73="","",'مسير يونيو'!AG73)</f>
        <v/>
      </c>
      <c r="Z73" s="116" t="str">
        <f aca="false">IF($B73="","",'مسير يوليو'!AG73)</f>
        <v/>
      </c>
      <c r="AA73" s="116" t="str">
        <f aca="false">IF($B73="","",'مسير أغسطس'!AG73)</f>
        <v/>
      </c>
      <c r="AB73" s="116" t="str">
        <f aca="false">IF($B73="","",'مسير سبتمبر'!AG73)</f>
        <v/>
      </c>
      <c r="AC73" s="116" t="str">
        <f aca="false">IF($B73="","",'مسير أكتوبر'!AG73)</f>
        <v/>
      </c>
      <c r="AD73" s="116" t="str">
        <f aca="false">IF($B73="","",'مسير نوفمبر'!AG73)</f>
        <v/>
      </c>
      <c r="AE73" s="116" t="str">
        <f aca="false">IF($B73="","",'مسير ديسمبر'!AG73)</f>
        <v/>
      </c>
      <c r="AF73" s="171" t="str">
        <f aca="false">IF($B73="","",IF(1&lt;=cfg_VAL_M,'مسير يناير'!AG73,0)+IF(2&lt;=cfg_VAL_M,'مسير فبراير'!AG73,0)+IF(3&lt;=cfg_VAL_M,'مسير مارس'!AG73,0)+IF(4&lt;=cfg_VAL_M,'مسير أبريل'!AG73,0)+IF(5&lt;=cfg_VAL_M,'مسير مايو'!AG73,0)+IF(6&lt;=cfg_VAL_M,'مسير يونيو'!AG73,0)+IF(7&lt;=cfg_VAL_M,'مسير يوليو'!AG73,0)+IF(8&lt;=cfg_VAL_M,'مسير أغسطس'!AG73,0)+IF(9&lt;=cfg_VAL_M,'مسير سبتمبر'!AG73,0)+IF(10&lt;=cfg_VAL_M,'مسير أكتوبر'!AG73,0)+IF(11&lt;=cfg_VAL_M,'مسير نوفمبر'!AG73,0)+IF(12&lt;=cfg_VAL_M,'مسير ديسمبر'!AG73,0))</f>
        <v/>
      </c>
      <c r="AG73" s="171" t="str">
        <f aca="false">IF($B73="","",IF(1&lt;=cfg_VAL_M,'مسير يناير'!Y73,0)+IF(2&lt;=cfg_VAL_M,'مسير فبراير'!Y73,0)+IF(3&lt;=cfg_VAL_M,'مسير مارس'!Y73,0)+IF(4&lt;=cfg_VAL_M,'مسير أبريل'!Y73,0)+IF(5&lt;=cfg_VAL_M,'مسير مايو'!Y73,0)+IF(6&lt;=cfg_VAL_M,'مسير يونيو'!Y73,0)+IF(7&lt;=cfg_VAL_M,'مسير يوليو'!Y73,0)+IF(8&lt;=cfg_VAL_M,'مسير أغسطس'!Y73,0)+IF(9&lt;=cfg_VAL_M,'مسير سبتمبر'!Y73,0)+IF(10&lt;=cfg_VAL_M,'مسير أكتوبر'!Y73,0)+IF(11&lt;=cfg_VAL_M,'مسير نوفمبر'!Y73,0)+IF(12&lt;=cfg_VAL_M,'مسير ديسمبر'!Y73,0))</f>
        <v/>
      </c>
      <c r="AH73" s="116" t="str">
        <f aca="false">IF($B73="","",AF73/cfg_VAL_M)</f>
        <v/>
      </c>
    </row>
    <row r="74" customFormat="false" ht="15" hidden="false" customHeight="false" outlineLevel="0" collapsed="false">
      <c r="B74" s="114" t="str">
        <f aca="false">IF(الموظفون!$B74="","",الموظفون!$B74)</f>
        <v/>
      </c>
      <c r="C74" s="114" t="str">
        <f aca="false">IF(الموظفون!$B74="","",الموظفون!$C74)</f>
        <v/>
      </c>
      <c r="D74" s="114" t="str">
        <f aca="false">IF(الموظفون!$B74="","",الموظفون!$F74)</f>
        <v/>
      </c>
      <c r="E74" s="114" t="str">
        <f aca="false">IF(الموظفون!$B74="","",الموظفون!$E74)</f>
        <v/>
      </c>
      <c r="F74" s="111" t="str">
        <f aca="false">IF($B74="","",'مسير يناير'!T74)</f>
        <v/>
      </c>
      <c r="G74" s="111" t="str">
        <f aca="false">IF($B74="","",'مسير فبراير'!T74)</f>
        <v/>
      </c>
      <c r="H74" s="111" t="str">
        <f aca="false">IF($B74="","",'مسير مارس'!T74)</f>
        <v/>
      </c>
      <c r="I74" s="111" t="str">
        <f aca="false">IF($B74="","",'مسير أبريل'!T74)</f>
        <v/>
      </c>
      <c r="J74" s="111" t="str">
        <f aca="false">IF($B74="","",'مسير مايو'!T74)</f>
        <v/>
      </c>
      <c r="K74" s="111" t="str">
        <f aca="false">IF($B74="","",'مسير يونيو'!T74)</f>
        <v/>
      </c>
      <c r="L74" s="111" t="str">
        <f aca="false">IF($B74="","",'مسير يوليو'!T74)</f>
        <v/>
      </c>
      <c r="M74" s="111" t="str">
        <f aca="false">IF($B74="","",'مسير أغسطس'!T74)</f>
        <v/>
      </c>
      <c r="N74" s="111" t="str">
        <f aca="false">IF($B74="","",'مسير سبتمبر'!T74)</f>
        <v/>
      </c>
      <c r="O74" s="111" t="str">
        <f aca="false">IF($B74="","",'مسير أكتوبر'!T74)</f>
        <v/>
      </c>
      <c r="P74" s="111" t="str">
        <f aca="false">IF($B74="","",'مسير نوفمبر'!T74)</f>
        <v/>
      </c>
      <c r="Q74" s="111" t="str">
        <f aca="false">IF($B74="","",'مسير ديسمبر'!T74)</f>
        <v/>
      </c>
      <c r="R74" s="170" t="str">
        <f aca="false">IF($B74="","",IF(1&lt;=cfg_VAL_M,'مسير يناير'!T74,0)+IF(2&lt;=cfg_VAL_M,'مسير فبراير'!T74,0)+IF(3&lt;=cfg_VAL_M,'مسير مارس'!T74,0)+IF(4&lt;=cfg_VAL_M,'مسير أبريل'!T74,0)+IF(5&lt;=cfg_VAL_M,'مسير مايو'!T74,0)+IF(6&lt;=cfg_VAL_M,'مسير يونيو'!T74,0)+IF(7&lt;=cfg_VAL_M,'مسير يوليو'!T74,0)+IF(8&lt;=cfg_VAL_M,'مسير أغسطس'!T74,0)+IF(9&lt;=cfg_VAL_M,'مسير سبتمبر'!T74,0)+IF(10&lt;=cfg_VAL_M,'مسير أكتوبر'!T74,0)+IF(11&lt;=cfg_VAL_M,'مسير نوفمبر'!T74,0)+IF(12&lt;=cfg_VAL_M,'مسير ديسمبر'!T74,0))</f>
        <v/>
      </c>
      <c r="T74" s="111" t="str">
        <f aca="false">IF($B74="","",'مسير يناير'!AG74)</f>
        <v/>
      </c>
      <c r="U74" s="111" t="str">
        <f aca="false">IF($B74="","",'مسير فبراير'!AG74)</f>
        <v/>
      </c>
      <c r="V74" s="111" t="str">
        <f aca="false">IF($B74="","",'مسير مارس'!AG74)</f>
        <v/>
      </c>
      <c r="W74" s="111" t="str">
        <f aca="false">IF($B74="","",'مسير أبريل'!AG74)</f>
        <v/>
      </c>
      <c r="X74" s="111" t="str">
        <f aca="false">IF($B74="","",'مسير مايو'!AG74)</f>
        <v/>
      </c>
      <c r="Y74" s="111" t="str">
        <f aca="false">IF($B74="","",'مسير يونيو'!AG74)</f>
        <v/>
      </c>
      <c r="Z74" s="111" t="str">
        <f aca="false">IF($B74="","",'مسير يوليو'!AG74)</f>
        <v/>
      </c>
      <c r="AA74" s="111" t="str">
        <f aca="false">IF($B74="","",'مسير أغسطس'!AG74)</f>
        <v/>
      </c>
      <c r="AB74" s="111" t="str">
        <f aca="false">IF($B74="","",'مسير سبتمبر'!AG74)</f>
        <v/>
      </c>
      <c r="AC74" s="111" t="str">
        <f aca="false">IF($B74="","",'مسير أكتوبر'!AG74)</f>
        <v/>
      </c>
      <c r="AD74" s="111" t="str">
        <f aca="false">IF($B74="","",'مسير نوفمبر'!AG74)</f>
        <v/>
      </c>
      <c r="AE74" s="111" t="str">
        <f aca="false">IF($B74="","",'مسير ديسمبر'!AG74)</f>
        <v/>
      </c>
      <c r="AF74" s="170" t="str">
        <f aca="false">IF($B74="","",IF(1&lt;=cfg_VAL_M,'مسير يناير'!AG74,0)+IF(2&lt;=cfg_VAL_M,'مسير فبراير'!AG74,0)+IF(3&lt;=cfg_VAL_M,'مسير مارس'!AG74,0)+IF(4&lt;=cfg_VAL_M,'مسير أبريل'!AG74,0)+IF(5&lt;=cfg_VAL_M,'مسير مايو'!AG74,0)+IF(6&lt;=cfg_VAL_M,'مسير يونيو'!AG74,0)+IF(7&lt;=cfg_VAL_M,'مسير يوليو'!AG74,0)+IF(8&lt;=cfg_VAL_M,'مسير أغسطس'!AG74,0)+IF(9&lt;=cfg_VAL_M,'مسير سبتمبر'!AG74,0)+IF(10&lt;=cfg_VAL_M,'مسير أكتوبر'!AG74,0)+IF(11&lt;=cfg_VAL_M,'مسير نوفمبر'!AG74,0)+IF(12&lt;=cfg_VAL_M,'مسير ديسمبر'!AG74,0))</f>
        <v/>
      </c>
      <c r="AG74" s="170" t="str">
        <f aca="false">IF($B74="","",IF(1&lt;=cfg_VAL_M,'مسير يناير'!Y74,0)+IF(2&lt;=cfg_VAL_M,'مسير فبراير'!Y74,0)+IF(3&lt;=cfg_VAL_M,'مسير مارس'!Y74,0)+IF(4&lt;=cfg_VAL_M,'مسير أبريل'!Y74,0)+IF(5&lt;=cfg_VAL_M,'مسير مايو'!Y74,0)+IF(6&lt;=cfg_VAL_M,'مسير يونيو'!Y74,0)+IF(7&lt;=cfg_VAL_M,'مسير يوليو'!Y74,0)+IF(8&lt;=cfg_VAL_M,'مسير أغسطس'!Y74,0)+IF(9&lt;=cfg_VAL_M,'مسير سبتمبر'!Y74,0)+IF(10&lt;=cfg_VAL_M,'مسير أكتوبر'!Y74,0)+IF(11&lt;=cfg_VAL_M,'مسير نوفمبر'!Y74,0)+IF(12&lt;=cfg_VAL_M,'مسير ديسمبر'!Y74,0))</f>
        <v/>
      </c>
      <c r="AH74" s="111" t="str">
        <f aca="false">IF($B74="","",AF74/cfg_VAL_M)</f>
        <v/>
      </c>
    </row>
    <row r="75" customFormat="false" ht="15" hidden="false" customHeight="false" outlineLevel="0" collapsed="false">
      <c r="B75" s="117" t="str">
        <f aca="false">IF(الموظفون!$B75="","",الموظفون!$B75)</f>
        <v/>
      </c>
      <c r="C75" s="117" t="str">
        <f aca="false">IF(الموظفون!$B75="","",الموظفون!$C75)</f>
        <v/>
      </c>
      <c r="D75" s="117" t="str">
        <f aca="false">IF(الموظفون!$B75="","",الموظفون!$F75)</f>
        <v/>
      </c>
      <c r="E75" s="117" t="str">
        <f aca="false">IF(الموظفون!$B75="","",الموظفون!$E75)</f>
        <v/>
      </c>
      <c r="F75" s="116" t="str">
        <f aca="false">IF($B75="","",'مسير يناير'!T75)</f>
        <v/>
      </c>
      <c r="G75" s="116" t="str">
        <f aca="false">IF($B75="","",'مسير فبراير'!T75)</f>
        <v/>
      </c>
      <c r="H75" s="116" t="str">
        <f aca="false">IF($B75="","",'مسير مارس'!T75)</f>
        <v/>
      </c>
      <c r="I75" s="116" t="str">
        <f aca="false">IF($B75="","",'مسير أبريل'!T75)</f>
        <v/>
      </c>
      <c r="J75" s="116" t="str">
        <f aca="false">IF($B75="","",'مسير مايو'!T75)</f>
        <v/>
      </c>
      <c r="K75" s="116" t="str">
        <f aca="false">IF($B75="","",'مسير يونيو'!T75)</f>
        <v/>
      </c>
      <c r="L75" s="116" t="str">
        <f aca="false">IF($B75="","",'مسير يوليو'!T75)</f>
        <v/>
      </c>
      <c r="M75" s="116" t="str">
        <f aca="false">IF($B75="","",'مسير أغسطس'!T75)</f>
        <v/>
      </c>
      <c r="N75" s="116" t="str">
        <f aca="false">IF($B75="","",'مسير سبتمبر'!T75)</f>
        <v/>
      </c>
      <c r="O75" s="116" t="str">
        <f aca="false">IF($B75="","",'مسير أكتوبر'!T75)</f>
        <v/>
      </c>
      <c r="P75" s="116" t="str">
        <f aca="false">IF($B75="","",'مسير نوفمبر'!T75)</f>
        <v/>
      </c>
      <c r="Q75" s="116" t="str">
        <f aca="false">IF($B75="","",'مسير ديسمبر'!T75)</f>
        <v/>
      </c>
      <c r="R75" s="171" t="str">
        <f aca="false">IF($B75="","",IF(1&lt;=cfg_VAL_M,'مسير يناير'!T75,0)+IF(2&lt;=cfg_VAL_M,'مسير فبراير'!T75,0)+IF(3&lt;=cfg_VAL_M,'مسير مارس'!T75,0)+IF(4&lt;=cfg_VAL_M,'مسير أبريل'!T75,0)+IF(5&lt;=cfg_VAL_M,'مسير مايو'!T75,0)+IF(6&lt;=cfg_VAL_M,'مسير يونيو'!T75,0)+IF(7&lt;=cfg_VAL_M,'مسير يوليو'!T75,0)+IF(8&lt;=cfg_VAL_M,'مسير أغسطس'!T75,0)+IF(9&lt;=cfg_VAL_M,'مسير سبتمبر'!T75,0)+IF(10&lt;=cfg_VAL_M,'مسير أكتوبر'!T75,0)+IF(11&lt;=cfg_VAL_M,'مسير نوفمبر'!T75,0)+IF(12&lt;=cfg_VAL_M,'مسير ديسمبر'!T75,0))</f>
        <v/>
      </c>
      <c r="T75" s="116" t="str">
        <f aca="false">IF($B75="","",'مسير يناير'!AG75)</f>
        <v/>
      </c>
      <c r="U75" s="116" t="str">
        <f aca="false">IF($B75="","",'مسير فبراير'!AG75)</f>
        <v/>
      </c>
      <c r="V75" s="116" t="str">
        <f aca="false">IF($B75="","",'مسير مارس'!AG75)</f>
        <v/>
      </c>
      <c r="W75" s="116" t="str">
        <f aca="false">IF($B75="","",'مسير أبريل'!AG75)</f>
        <v/>
      </c>
      <c r="X75" s="116" t="str">
        <f aca="false">IF($B75="","",'مسير مايو'!AG75)</f>
        <v/>
      </c>
      <c r="Y75" s="116" t="str">
        <f aca="false">IF($B75="","",'مسير يونيو'!AG75)</f>
        <v/>
      </c>
      <c r="Z75" s="116" t="str">
        <f aca="false">IF($B75="","",'مسير يوليو'!AG75)</f>
        <v/>
      </c>
      <c r="AA75" s="116" t="str">
        <f aca="false">IF($B75="","",'مسير أغسطس'!AG75)</f>
        <v/>
      </c>
      <c r="AB75" s="116" t="str">
        <f aca="false">IF($B75="","",'مسير سبتمبر'!AG75)</f>
        <v/>
      </c>
      <c r="AC75" s="116" t="str">
        <f aca="false">IF($B75="","",'مسير أكتوبر'!AG75)</f>
        <v/>
      </c>
      <c r="AD75" s="116" t="str">
        <f aca="false">IF($B75="","",'مسير نوفمبر'!AG75)</f>
        <v/>
      </c>
      <c r="AE75" s="116" t="str">
        <f aca="false">IF($B75="","",'مسير ديسمبر'!AG75)</f>
        <v/>
      </c>
      <c r="AF75" s="171" t="str">
        <f aca="false">IF($B75="","",IF(1&lt;=cfg_VAL_M,'مسير يناير'!AG75,0)+IF(2&lt;=cfg_VAL_M,'مسير فبراير'!AG75,0)+IF(3&lt;=cfg_VAL_M,'مسير مارس'!AG75,0)+IF(4&lt;=cfg_VAL_M,'مسير أبريل'!AG75,0)+IF(5&lt;=cfg_VAL_M,'مسير مايو'!AG75,0)+IF(6&lt;=cfg_VAL_M,'مسير يونيو'!AG75,0)+IF(7&lt;=cfg_VAL_M,'مسير يوليو'!AG75,0)+IF(8&lt;=cfg_VAL_M,'مسير أغسطس'!AG75,0)+IF(9&lt;=cfg_VAL_M,'مسير سبتمبر'!AG75,0)+IF(10&lt;=cfg_VAL_M,'مسير أكتوبر'!AG75,0)+IF(11&lt;=cfg_VAL_M,'مسير نوفمبر'!AG75,0)+IF(12&lt;=cfg_VAL_M,'مسير ديسمبر'!AG75,0))</f>
        <v/>
      </c>
      <c r="AG75" s="171" t="str">
        <f aca="false">IF($B75="","",IF(1&lt;=cfg_VAL_M,'مسير يناير'!Y75,0)+IF(2&lt;=cfg_VAL_M,'مسير فبراير'!Y75,0)+IF(3&lt;=cfg_VAL_M,'مسير مارس'!Y75,0)+IF(4&lt;=cfg_VAL_M,'مسير أبريل'!Y75,0)+IF(5&lt;=cfg_VAL_M,'مسير مايو'!Y75,0)+IF(6&lt;=cfg_VAL_M,'مسير يونيو'!Y75,0)+IF(7&lt;=cfg_VAL_M,'مسير يوليو'!Y75,0)+IF(8&lt;=cfg_VAL_M,'مسير أغسطس'!Y75,0)+IF(9&lt;=cfg_VAL_M,'مسير سبتمبر'!Y75,0)+IF(10&lt;=cfg_VAL_M,'مسير أكتوبر'!Y75,0)+IF(11&lt;=cfg_VAL_M,'مسير نوفمبر'!Y75,0)+IF(12&lt;=cfg_VAL_M,'مسير ديسمبر'!Y75,0))</f>
        <v/>
      </c>
      <c r="AH75" s="116" t="str">
        <f aca="false">IF($B75="","",AF75/cfg_VAL_M)</f>
        <v/>
      </c>
    </row>
    <row r="76" customFormat="false" ht="15" hidden="false" customHeight="false" outlineLevel="0" collapsed="false">
      <c r="B76" s="114" t="str">
        <f aca="false">IF(الموظفون!$B76="","",الموظفون!$B76)</f>
        <v/>
      </c>
      <c r="C76" s="114" t="str">
        <f aca="false">IF(الموظفون!$B76="","",الموظفون!$C76)</f>
        <v/>
      </c>
      <c r="D76" s="114" t="str">
        <f aca="false">IF(الموظفون!$B76="","",الموظفون!$F76)</f>
        <v/>
      </c>
      <c r="E76" s="114" t="str">
        <f aca="false">IF(الموظفون!$B76="","",الموظفون!$E76)</f>
        <v/>
      </c>
      <c r="F76" s="111" t="str">
        <f aca="false">IF($B76="","",'مسير يناير'!T76)</f>
        <v/>
      </c>
      <c r="G76" s="111" t="str">
        <f aca="false">IF($B76="","",'مسير فبراير'!T76)</f>
        <v/>
      </c>
      <c r="H76" s="111" t="str">
        <f aca="false">IF($B76="","",'مسير مارس'!T76)</f>
        <v/>
      </c>
      <c r="I76" s="111" t="str">
        <f aca="false">IF($B76="","",'مسير أبريل'!T76)</f>
        <v/>
      </c>
      <c r="J76" s="111" t="str">
        <f aca="false">IF($B76="","",'مسير مايو'!T76)</f>
        <v/>
      </c>
      <c r="K76" s="111" t="str">
        <f aca="false">IF($B76="","",'مسير يونيو'!T76)</f>
        <v/>
      </c>
      <c r="L76" s="111" t="str">
        <f aca="false">IF($B76="","",'مسير يوليو'!T76)</f>
        <v/>
      </c>
      <c r="M76" s="111" t="str">
        <f aca="false">IF($B76="","",'مسير أغسطس'!T76)</f>
        <v/>
      </c>
      <c r="N76" s="111" t="str">
        <f aca="false">IF($B76="","",'مسير سبتمبر'!T76)</f>
        <v/>
      </c>
      <c r="O76" s="111" t="str">
        <f aca="false">IF($B76="","",'مسير أكتوبر'!T76)</f>
        <v/>
      </c>
      <c r="P76" s="111" t="str">
        <f aca="false">IF($B76="","",'مسير نوفمبر'!T76)</f>
        <v/>
      </c>
      <c r="Q76" s="111" t="str">
        <f aca="false">IF($B76="","",'مسير ديسمبر'!T76)</f>
        <v/>
      </c>
      <c r="R76" s="170" t="str">
        <f aca="false">IF($B76="","",IF(1&lt;=cfg_VAL_M,'مسير يناير'!T76,0)+IF(2&lt;=cfg_VAL_M,'مسير فبراير'!T76,0)+IF(3&lt;=cfg_VAL_M,'مسير مارس'!T76,0)+IF(4&lt;=cfg_VAL_M,'مسير أبريل'!T76,0)+IF(5&lt;=cfg_VAL_M,'مسير مايو'!T76,0)+IF(6&lt;=cfg_VAL_M,'مسير يونيو'!T76,0)+IF(7&lt;=cfg_VAL_M,'مسير يوليو'!T76,0)+IF(8&lt;=cfg_VAL_M,'مسير أغسطس'!T76,0)+IF(9&lt;=cfg_VAL_M,'مسير سبتمبر'!T76,0)+IF(10&lt;=cfg_VAL_M,'مسير أكتوبر'!T76,0)+IF(11&lt;=cfg_VAL_M,'مسير نوفمبر'!T76,0)+IF(12&lt;=cfg_VAL_M,'مسير ديسمبر'!T76,0))</f>
        <v/>
      </c>
      <c r="T76" s="111" t="str">
        <f aca="false">IF($B76="","",'مسير يناير'!AG76)</f>
        <v/>
      </c>
      <c r="U76" s="111" t="str">
        <f aca="false">IF($B76="","",'مسير فبراير'!AG76)</f>
        <v/>
      </c>
      <c r="V76" s="111" t="str">
        <f aca="false">IF($B76="","",'مسير مارس'!AG76)</f>
        <v/>
      </c>
      <c r="W76" s="111" t="str">
        <f aca="false">IF($B76="","",'مسير أبريل'!AG76)</f>
        <v/>
      </c>
      <c r="X76" s="111" t="str">
        <f aca="false">IF($B76="","",'مسير مايو'!AG76)</f>
        <v/>
      </c>
      <c r="Y76" s="111" t="str">
        <f aca="false">IF($B76="","",'مسير يونيو'!AG76)</f>
        <v/>
      </c>
      <c r="Z76" s="111" t="str">
        <f aca="false">IF($B76="","",'مسير يوليو'!AG76)</f>
        <v/>
      </c>
      <c r="AA76" s="111" t="str">
        <f aca="false">IF($B76="","",'مسير أغسطس'!AG76)</f>
        <v/>
      </c>
      <c r="AB76" s="111" t="str">
        <f aca="false">IF($B76="","",'مسير سبتمبر'!AG76)</f>
        <v/>
      </c>
      <c r="AC76" s="111" t="str">
        <f aca="false">IF($B76="","",'مسير أكتوبر'!AG76)</f>
        <v/>
      </c>
      <c r="AD76" s="111" t="str">
        <f aca="false">IF($B76="","",'مسير نوفمبر'!AG76)</f>
        <v/>
      </c>
      <c r="AE76" s="111" t="str">
        <f aca="false">IF($B76="","",'مسير ديسمبر'!AG76)</f>
        <v/>
      </c>
      <c r="AF76" s="170" t="str">
        <f aca="false">IF($B76="","",IF(1&lt;=cfg_VAL_M,'مسير يناير'!AG76,0)+IF(2&lt;=cfg_VAL_M,'مسير فبراير'!AG76,0)+IF(3&lt;=cfg_VAL_M,'مسير مارس'!AG76,0)+IF(4&lt;=cfg_VAL_M,'مسير أبريل'!AG76,0)+IF(5&lt;=cfg_VAL_M,'مسير مايو'!AG76,0)+IF(6&lt;=cfg_VAL_M,'مسير يونيو'!AG76,0)+IF(7&lt;=cfg_VAL_M,'مسير يوليو'!AG76,0)+IF(8&lt;=cfg_VAL_M,'مسير أغسطس'!AG76,0)+IF(9&lt;=cfg_VAL_M,'مسير سبتمبر'!AG76,0)+IF(10&lt;=cfg_VAL_M,'مسير أكتوبر'!AG76,0)+IF(11&lt;=cfg_VAL_M,'مسير نوفمبر'!AG76,0)+IF(12&lt;=cfg_VAL_M,'مسير ديسمبر'!AG76,0))</f>
        <v/>
      </c>
      <c r="AG76" s="170" t="str">
        <f aca="false">IF($B76="","",IF(1&lt;=cfg_VAL_M,'مسير يناير'!Y76,0)+IF(2&lt;=cfg_VAL_M,'مسير فبراير'!Y76,0)+IF(3&lt;=cfg_VAL_M,'مسير مارس'!Y76,0)+IF(4&lt;=cfg_VAL_M,'مسير أبريل'!Y76,0)+IF(5&lt;=cfg_VAL_M,'مسير مايو'!Y76,0)+IF(6&lt;=cfg_VAL_M,'مسير يونيو'!Y76,0)+IF(7&lt;=cfg_VAL_M,'مسير يوليو'!Y76,0)+IF(8&lt;=cfg_VAL_M,'مسير أغسطس'!Y76,0)+IF(9&lt;=cfg_VAL_M,'مسير سبتمبر'!Y76,0)+IF(10&lt;=cfg_VAL_M,'مسير أكتوبر'!Y76,0)+IF(11&lt;=cfg_VAL_M,'مسير نوفمبر'!Y76,0)+IF(12&lt;=cfg_VAL_M,'مسير ديسمبر'!Y76,0))</f>
        <v/>
      </c>
      <c r="AH76" s="111" t="str">
        <f aca="false">IF($B76="","",AF76/cfg_VAL_M)</f>
        <v/>
      </c>
    </row>
    <row r="77" customFormat="false" ht="15" hidden="false" customHeight="false" outlineLevel="0" collapsed="false">
      <c r="B77" s="117" t="str">
        <f aca="false">IF(الموظفون!$B77="","",الموظفون!$B77)</f>
        <v/>
      </c>
      <c r="C77" s="117" t="str">
        <f aca="false">IF(الموظفون!$B77="","",الموظفون!$C77)</f>
        <v/>
      </c>
      <c r="D77" s="117" t="str">
        <f aca="false">IF(الموظفون!$B77="","",الموظفون!$F77)</f>
        <v/>
      </c>
      <c r="E77" s="117" t="str">
        <f aca="false">IF(الموظفون!$B77="","",الموظفون!$E77)</f>
        <v/>
      </c>
      <c r="F77" s="116" t="str">
        <f aca="false">IF($B77="","",'مسير يناير'!T77)</f>
        <v/>
      </c>
      <c r="G77" s="116" t="str">
        <f aca="false">IF($B77="","",'مسير فبراير'!T77)</f>
        <v/>
      </c>
      <c r="H77" s="116" t="str">
        <f aca="false">IF($B77="","",'مسير مارس'!T77)</f>
        <v/>
      </c>
      <c r="I77" s="116" t="str">
        <f aca="false">IF($B77="","",'مسير أبريل'!T77)</f>
        <v/>
      </c>
      <c r="J77" s="116" t="str">
        <f aca="false">IF($B77="","",'مسير مايو'!T77)</f>
        <v/>
      </c>
      <c r="K77" s="116" t="str">
        <f aca="false">IF($B77="","",'مسير يونيو'!T77)</f>
        <v/>
      </c>
      <c r="L77" s="116" t="str">
        <f aca="false">IF($B77="","",'مسير يوليو'!T77)</f>
        <v/>
      </c>
      <c r="M77" s="116" t="str">
        <f aca="false">IF($B77="","",'مسير أغسطس'!T77)</f>
        <v/>
      </c>
      <c r="N77" s="116" t="str">
        <f aca="false">IF($B77="","",'مسير سبتمبر'!T77)</f>
        <v/>
      </c>
      <c r="O77" s="116" t="str">
        <f aca="false">IF($B77="","",'مسير أكتوبر'!T77)</f>
        <v/>
      </c>
      <c r="P77" s="116" t="str">
        <f aca="false">IF($B77="","",'مسير نوفمبر'!T77)</f>
        <v/>
      </c>
      <c r="Q77" s="116" t="str">
        <f aca="false">IF($B77="","",'مسير ديسمبر'!T77)</f>
        <v/>
      </c>
      <c r="R77" s="171" t="str">
        <f aca="false">IF($B77="","",IF(1&lt;=cfg_VAL_M,'مسير يناير'!T77,0)+IF(2&lt;=cfg_VAL_M,'مسير فبراير'!T77,0)+IF(3&lt;=cfg_VAL_M,'مسير مارس'!T77,0)+IF(4&lt;=cfg_VAL_M,'مسير أبريل'!T77,0)+IF(5&lt;=cfg_VAL_M,'مسير مايو'!T77,0)+IF(6&lt;=cfg_VAL_M,'مسير يونيو'!T77,0)+IF(7&lt;=cfg_VAL_M,'مسير يوليو'!T77,0)+IF(8&lt;=cfg_VAL_M,'مسير أغسطس'!T77,0)+IF(9&lt;=cfg_VAL_M,'مسير سبتمبر'!T77,0)+IF(10&lt;=cfg_VAL_M,'مسير أكتوبر'!T77,0)+IF(11&lt;=cfg_VAL_M,'مسير نوفمبر'!T77,0)+IF(12&lt;=cfg_VAL_M,'مسير ديسمبر'!T77,0))</f>
        <v/>
      </c>
      <c r="T77" s="116" t="str">
        <f aca="false">IF($B77="","",'مسير يناير'!AG77)</f>
        <v/>
      </c>
      <c r="U77" s="116" t="str">
        <f aca="false">IF($B77="","",'مسير فبراير'!AG77)</f>
        <v/>
      </c>
      <c r="V77" s="116" t="str">
        <f aca="false">IF($B77="","",'مسير مارس'!AG77)</f>
        <v/>
      </c>
      <c r="W77" s="116" t="str">
        <f aca="false">IF($B77="","",'مسير أبريل'!AG77)</f>
        <v/>
      </c>
      <c r="X77" s="116" t="str">
        <f aca="false">IF($B77="","",'مسير مايو'!AG77)</f>
        <v/>
      </c>
      <c r="Y77" s="116" t="str">
        <f aca="false">IF($B77="","",'مسير يونيو'!AG77)</f>
        <v/>
      </c>
      <c r="Z77" s="116" t="str">
        <f aca="false">IF($B77="","",'مسير يوليو'!AG77)</f>
        <v/>
      </c>
      <c r="AA77" s="116" t="str">
        <f aca="false">IF($B77="","",'مسير أغسطس'!AG77)</f>
        <v/>
      </c>
      <c r="AB77" s="116" t="str">
        <f aca="false">IF($B77="","",'مسير سبتمبر'!AG77)</f>
        <v/>
      </c>
      <c r="AC77" s="116" t="str">
        <f aca="false">IF($B77="","",'مسير أكتوبر'!AG77)</f>
        <v/>
      </c>
      <c r="AD77" s="116" t="str">
        <f aca="false">IF($B77="","",'مسير نوفمبر'!AG77)</f>
        <v/>
      </c>
      <c r="AE77" s="116" t="str">
        <f aca="false">IF($B77="","",'مسير ديسمبر'!AG77)</f>
        <v/>
      </c>
      <c r="AF77" s="171" t="str">
        <f aca="false">IF($B77="","",IF(1&lt;=cfg_VAL_M,'مسير يناير'!AG77,0)+IF(2&lt;=cfg_VAL_M,'مسير فبراير'!AG77,0)+IF(3&lt;=cfg_VAL_M,'مسير مارس'!AG77,0)+IF(4&lt;=cfg_VAL_M,'مسير أبريل'!AG77,0)+IF(5&lt;=cfg_VAL_M,'مسير مايو'!AG77,0)+IF(6&lt;=cfg_VAL_M,'مسير يونيو'!AG77,0)+IF(7&lt;=cfg_VAL_M,'مسير يوليو'!AG77,0)+IF(8&lt;=cfg_VAL_M,'مسير أغسطس'!AG77,0)+IF(9&lt;=cfg_VAL_M,'مسير سبتمبر'!AG77,0)+IF(10&lt;=cfg_VAL_M,'مسير أكتوبر'!AG77,0)+IF(11&lt;=cfg_VAL_M,'مسير نوفمبر'!AG77,0)+IF(12&lt;=cfg_VAL_M,'مسير ديسمبر'!AG77,0))</f>
        <v/>
      </c>
      <c r="AG77" s="171" t="str">
        <f aca="false">IF($B77="","",IF(1&lt;=cfg_VAL_M,'مسير يناير'!Y77,0)+IF(2&lt;=cfg_VAL_M,'مسير فبراير'!Y77,0)+IF(3&lt;=cfg_VAL_M,'مسير مارس'!Y77,0)+IF(4&lt;=cfg_VAL_M,'مسير أبريل'!Y77,0)+IF(5&lt;=cfg_VAL_M,'مسير مايو'!Y77,0)+IF(6&lt;=cfg_VAL_M,'مسير يونيو'!Y77,0)+IF(7&lt;=cfg_VAL_M,'مسير يوليو'!Y77,0)+IF(8&lt;=cfg_VAL_M,'مسير أغسطس'!Y77,0)+IF(9&lt;=cfg_VAL_M,'مسير سبتمبر'!Y77,0)+IF(10&lt;=cfg_VAL_M,'مسير أكتوبر'!Y77,0)+IF(11&lt;=cfg_VAL_M,'مسير نوفمبر'!Y77,0)+IF(12&lt;=cfg_VAL_M,'مسير ديسمبر'!Y77,0))</f>
        <v/>
      </c>
      <c r="AH77" s="116" t="str">
        <f aca="false">IF($B77="","",AF77/cfg_VAL_M)</f>
        <v/>
      </c>
    </row>
    <row r="78" customFormat="false" ht="15" hidden="false" customHeight="false" outlineLevel="0" collapsed="false">
      <c r="B78" s="114" t="str">
        <f aca="false">IF(الموظفون!$B78="","",الموظفون!$B78)</f>
        <v/>
      </c>
      <c r="C78" s="114" t="str">
        <f aca="false">IF(الموظفون!$B78="","",الموظفون!$C78)</f>
        <v/>
      </c>
      <c r="D78" s="114" t="str">
        <f aca="false">IF(الموظفون!$B78="","",الموظفون!$F78)</f>
        <v/>
      </c>
      <c r="E78" s="114" t="str">
        <f aca="false">IF(الموظفون!$B78="","",الموظفون!$E78)</f>
        <v/>
      </c>
      <c r="F78" s="111" t="str">
        <f aca="false">IF($B78="","",'مسير يناير'!T78)</f>
        <v/>
      </c>
      <c r="G78" s="111" t="str">
        <f aca="false">IF($B78="","",'مسير فبراير'!T78)</f>
        <v/>
      </c>
      <c r="H78" s="111" t="str">
        <f aca="false">IF($B78="","",'مسير مارس'!T78)</f>
        <v/>
      </c>
      <c r="I78" s="111" t="str">
        <f aca="false">IF($B78="","",'مسير أبريل'!T78)</f>
        <v/>
      </c>
      <c r="J78" s="111" t="str">
        <f aca="false">IF($B78="","",'مسير مايو'!T78)</f>
        <v/>
      </c>
      <c r="K78" s="111" t="str">
        <f aca="false">IF($B78="","",'مسير يونيو'!T78)</f>
        <v/>
      </c>
      <c r="L78" s="111" t="str">
        <f aca="false">IF($B78="","",'مسير يوليو'!T78)</f>
        <v/>
      </c>
      <c r="M78" s="111" t="str">
        <f aca="false">IF($B78="","",'مسير أغسطس'!T78)</f>
        <v/>
      </c>
      <c r="N78" s="111" t="str">
        <f aca="false">IF($B78="","",'مسير سبتمبر'!T78)</f>
        <v/>
      </c>
      <c r="O78" s="111" t="str">
        <f aca="false">IF($B78="","",'مسير أكتوبر'!T78)</f>
        <v/>
      </c>
      <c r="P78" s="111" t="str">
        <f aca="false">IF($B78="","",'مسير نوفمبر'!T78)</f>
        <v/>
      </c>
      <c r="Q78" s="111" t="str">
        <f aca="false">IF($B78="","",'مسير ديسمبر'!T78)</f>
        <v/>
      </c>
      <c r="R78" s="170" t="str">
        <f aca="false">IF($B78="","",IF(1&lt;=cfg_VAL_M,'مسير يناير'!T78,0)+IF(2&lt;=cfg_VAL_M,'مسير فبراير'!T78,0)+IF(3&lt;=cfg_VAL_M,'مسير مارس'!T78,0)+IF(4&lt;=cfg_VAL_M,'مسير أبريل'!T78,0)+IF(5&lt;=cfg_VAL_M,'مسير مايو'!T78,0)+IF(6&lt;=cfg_VAL_M,'مسير يونيو'!T78,0)+IF(7&lt;=cfg_VAL_M,'مسير يوليو'!T78,0)+IF(8&lt;=cfg_VAL_M,'مسير أغسطس'!T78,0)+IF(9&lt;=cfg_VAL_M,'مسير سبتمبر'!T78,0)+IF(10&lt;=cfg_VAL_M,'مسير أكتوبر'!T78,0)+IF(11&lt;=cfg_VAL_M,'مسير نوفمبر'!T78,0)+IF(12&lt;=cfg_VAL_M,'مسير ديسمبر'!T78,0))</f>
        <v/>
      </c>
      <c r="T78" s="111" t="str">
        <f aca="false">IF($B78="","",'مسير يناير'!AG78)</f>
        <v/>
      </c>
      <c r="U78" s="111" t="str">
        <f aca="false">IF($B78="","",'مسير فبراير'!AG78)</f>
        <v/>
      </c>
      <c r="V78" s="111" t="str">
        <f aca="false">IF($B78="","",'مسير مارس'!AG78)</f>
        <v/>
      </c>
      <c r="W78" s="111" t="str">
        <f aca="false">IF($B78="","",'مسير أبريل'!AG78)</f>
        <v/>
      </c>
      <c r="X78" s="111" t="str">
        <f aca="false">IF($B78="","",'مسير مايو'!AG78)</f>
        <v/>
      </c>
      <c r="Y78" s="111" t="str">
        <f aca="false">IF($B78="","",'مسير يونيو'!AG78)</f>
        <v/>
      </c>
      <c r="Z78" s="111" t="str">
        <f aca="false">IF($B78="","",'مسير يوليو'!AG78)</f>
        <v/>
      </c>
      <c r="AA78" s="111" t="str">
        <f aca="false">IF($B78="","",'مسير أغسطس'!AG78)</f>
        <v/>
      </c>
      <c r="AB78" s="111" t="str">
        <f aca="false">IF($B78="","",'مسير سبتمبر'!AG78)</f>
        <v/>
      </c>
      <c r="AC78" s="111" t="str">
        <f aca="false">IF($B78="","",'مسير أكتوبر'!AG78)</f>
        <v/>
      </c>
      <c r="AD78" s="111" t="str">
        <f aca="false">IF($B78="","",'مسير نوفمبر'!AG78)</f>
        <v/>
      </c>
      <c r="AE78" s="111" t="str">
        <f aca="false">IF($B78="","",'مسير ديسمبر'!AG78)</f>
        <v/>
      </c>
      <c r="AF78" s="170" t="str">
        <f aca="false">IF($B78="","",IF(1&lt;=cfg_VAL_M,'مسير يناير'!AG78,0)+IF(2&lt;=cfg_VAL_M,'مسير فبراير'!AG78,0)+IF(3&lt;=cfg_VAL_M,'مسير مارس'!AG78,0)+IF(4&lt;=cfg_VAL_M,'مسير أبريل'!AG78,0)+IF(5&lt;=cfg_VAL_M,'مسير مايو'!AG78,0)+IF(6&lt;=cfg_VAL_M,'مسير يونيو'!AG78,0)+IF(7&lt;=cfg_VAL_M,'مسير يوليو'!AG78,0)+IF(8&lt;=cfg_VAL_M,'مسير أغسطس'!AG78,0)+IF(9&lt;=cfg_VAL_M,'مسير سبتمبر'!AG78,0)+IF(10&lt;=cfg_VAL_M,'مسير أكتوبر'!AG78,0)+IF(11&lt;=cfg_VAL_M,'مسير نوفمبر'!AG78,0)+IF(12&lt;=cfg_VAL_M,'مسير ديسمبر'!AG78,0))</f>
        <v/>
      </c>
      <c r="AG78" s="170" t="str">
        <f aca="false">IF($B78="","",IF(1&lt;=cfg_VAL_M,'مسير يناير'!Y78,0)+IF(2&lt;=cfg_VAL_M,'مسير فبراير'!Y78,0)+IF(3&lt;=cfg_VAL_M,'مسير مارس'!Y78,0)+IF(4&lt;=cfg_VAL_M,'مسير أبريل'!Y78,0)+IF(5&lt;=cfg_VAL_M,'مسير مايو'!Y78,0)+IF(6&lt;=cfg_VAL_M,'مسير يونيو'!Y78,0)+IF(7&lt;=cfg_VAL_M,'مسير يوليو'!Y78,0)+IF(8&lt;=cfg_VAL_M,'مسير أغسطس'!Y78,0)+IF(9&lt;=cfg_VAL_M,'مسير سبتمبر'!Y78,0)+IF(10&lt;=cfg_VAL_M,'مسير أكتوبر'!Y78,0)+IF(11&lt;=cfg_VAL_M,'مسير نوفمبر'!Y78,0)+IF(12&lt;=cfg_VAL_M,'مسير ديسمبر'!Y78,0))</f>
        <v/>
      </c>
      <c r="AH78" s="111" t="str">
        <f aca="false">IF($B78="","",AF78/cfg_VAL_M)</f>
        <v/>
      </c>
    </row>
    <row r="79" customFormat="false" ht="15" hidden="false" customHeight="false" outlineLevel="0" collapsed="false">
      <c r="B79" s="117" t="str">
        <f aca="false">IF(الموظفون!$B79="","",الموظفون!$B79)</f>
        <v/>
      </c>
      <c r="C79" s="117" t="str">
        <f aca="false">IF(الموظفون!$B79="","",الموظفون!$C79)</f>
        <v/>
      </c>
      <c r="D79" s="117" t="str">
        <f aca="false">IF(الموظفون!$B79="","",الموظفون!$F79)</f>
        <v/>
      </c>
      <c r="E79" s="117" t="str">
        <f aca="false">IF(الموظفون!$B79="","",الموظفون!$E79)</f>
        <v/>
      </c>
      <c r="F79" s="116" t="str">
        <f aca="false">IF($B79="","",'مسير يناير'!T79)</f>
        <v/>
      </c>
      <c r="G79" s="116" t="str">
        <f aca="false">IF($B79="","",'مسير فبراير'!T79)</f>
        <v/>
      </c>
      <c r="H79" s="116" t="str">
        <f aca="false">IF($B79="","",'مسير مارس'!T79)</f>
        <v/>
      </c>
      <c r="I79" s="116" t="str">
        <f aca="false">IF($B79="","",'مسير أبريل'!T79)</f>
        <v/>
      </c>
      <c r="J79" s="116" t="str">
        <f aca="false">IF($B79="","",'مسير مايو'!T79)</f>
        <v/>
      </c>
      <c r="K79" s="116" t="str">
        <f aca="false">IF($B79="","",'مسير يونيو'!T79)</f>
        <v/>
      </c>
      <c r="L79" s="116" t="str">
        <f aca="false">IF($B79="","",'مسير يوليو'!T79)</f>
        <v/>
      </c>
      <c r="M79" s="116" t="str">
        <f aca="false">IF($B79="","",'مسير أغسطس'!T79)</f>
        <v/>
      </c>
      <c r="N79" s="116" t="str">
        <f aca="false">IF($B79="","",'مسير سبتمبر'!T79)</f>
        <v/>
      </c>
      <c r="O79" s="116" t="str">
        <f aca="false">IF($B79="","",'مسير أكتوبر'!T79)</f>
        <v/>
      </c>
      <c r="P79" s="116" t="str">
        <f aca="false">IF($B79="","",'مسير نوفمبر'!T79)</f>
        <v/>
      </c>
      <c r="Q79" s="116" t="str">
        <f aca="false">IF($B79="","",'مسير ديسمبر'!T79)</f>
        <v/>
      </c>
      <c r="R79" s="171" t="str">
        <f aca="false">IF($B79="","",IF(1&lt;=cfg_VAL_M,'مسير يناير'!T79,0)+IF(2&lt;=cfg_VAL_M,'مسير فبراير'!T79,0)+IF(3&lt;=cfg_VAL_M,'مسير مارس'!T79,0)+IF(4&lt;=cfg_VAL_M,'مسير أبريل'!T79,0)+IF(5&lt;=cfg_VAL_M,'مسير مايو'!T79,0)+IF(6&lt;=cfg_VAL_M,'مسير يونيو'!T79,0)+IF(7&lt;=cfg_VAL_M,'مسير يوليو'!T79,0)+IF(8&lt;=cfg_VAL_M,'مسير أغسطس'!T79,0)+IF(9&lt;=cfg_VAL_M,'مسير سبتمبر'!T79,0)+IF(10&lt;=cfg_VAL_M,'مسير أكتوبر'!T79,0)+IF(11&lt;=cfg_VAL_M,'مسير نوفمبر'!T79,0)+IF(12&lt;=cfg_VAL_M,'مسير ديسمبر'!T79,0))</f>
        <v/>
      </c>
      <c r="T79" s="116" t="str">
        <f aca="false">IF($B79="","",'مسير يناير'!AG79)</f>
        <v/>
      </c>
      <c r="U79" s="116" t="str">
        <f aca="false">IF($B79="","",'مسير فبراير'!AG79)</f>
        <v/>
      </c>
      <c r="V79" s="116" t="str">
        <f aca="false">IF($B79="","",'مسير مارس'!AG79)</f>
        <v/>
      </c>
      <c r="W79" s="116" t="str">
        <f aca="false">IF($B79="","",'مسير أبريل'!AG79)</f>
        <v/>
      </c>
      <c r="X79" s="116" t="str">
        <f aca="false">IF($B79="","",'مسير مايو'!AG79)</f>
        <v/>
      </c>
      <c r="Y79" s="116" t="str">
        <f aca="false">IF($B79="","",'مسير يونيو'!AG79)</f>
        <v/>
      </c>
      <c r="Z79" s="116" t="str">
        <f aca="false">IF($B79="","",'مسير يوليو'!AG79)</f>
        <v/>
      </c>
      <c r="AA79" s="116" t="str">
        <f aca="false">IF($B79="","",'مسير أغسطس'!AG79)</f>
        <v/>
      </c>
      <c r="AB79" s="116" t="str">
        <f aca="false">IF($B79="","",'مسير سبتمبر'!AG79)</f>
        <v/>
      </c>
      <c r="AC79" s="116" t="str">
        <f aca="false">IF($B79="","",'مسير أكتوبر'!AG79)</f>
        <v/>
      </c>
      <c r="AD79" s="116" t="str">
        <f aca="false">IF($B79="","",'مسير نوفمبر'!AG79)</f>
        <v/>
      </c>
      <c r="AE79" s="116" t="str">
        <f aca="false">IF($B79="","",'مسير ديسمبر'!AG79)</f>
        <v/>
      </c>
      <c r="AF79" s="171" t="str">
        <f aca="false">IF($B79="","",IF(1&lt;=cfg_VAL_M,'مسير يناير'!AG79,0)+IF(2&lt;=cfg_VAL_M,'مسير فبراير'!AG79,0)+IF(3&lt;=cfg_VAL_M,'مسير مارس'!AG79,0)+IF(4&lt;=cfg_VAL_M,'مسير أبريل'!AG79,0)+IF(5&lt;=cfg_VAL_M,'مسير مايو'!AG79,0)+IF(6&lt;=cfg_VAL_M,'مسير يونيو'!AG79,0)+IF(7&lt;=cfg_VAL_M,'مسير يوليو'!AG79,0)+IF(8&lt;=cfg_VAL_M,'مسير أغسطس'!AG79,0)+IF(9&lt;=cfg_VAL_M,'مسير سبتمبر'!AG79,0)+IF(10&lt;=cfg_VAL_M,'مسير أكتوبر'!AG79,0)+IF(11&lt;=cfg_VAL_M,'مسير نوفمبر'!AG79,0)+IF(12&lt;=cfg_VAL_M,'مسير ديسمبر'!AG79,0))</f>
        <v/>
      </c>
      <c r="AG79" s="171" t="str">
        <f aca="false">IF($B79="","",IF(1&lt;=cfg_VAL_M,'مسير يناير'!Y79,0)+IF(2&lt;=cfg_VAL_M,'مسير فبراير'!Y79,0)+IF(3&lt;=cfg_VAL_M,'مسير مارس'!Y79,0)+IF(4&lt;=cfg_VAL_M,'مسير أبريل'!Y79,0)+IF(5&lt;=cfg_VAL_M,'مسير مايو'!Y79,0)+IF(6&lt;=cfg_VAL_M,'مسير يونيو'!Y79,0)+IF(7&lt;=cfg_VAL_M,'مسير يوليو'!Y79,0)+IF(8&lt;=cfg_VAL_M,'مسير أغسطس'!Y79,0)+IF(9&lt;=cfg_VAL_M,'مسير سبتمبر'!Y79,0)+IF(10&lt;=cfg_VAL_M,'مسير أكتوبر'!Y79,0)+IF(11&lt;=cfg_VAL_M,'مسير نوفمبر'!Y79,0)+IF(12&lt;=cfg_VAL_M,'مسير ديسمبر'!Y79,0))</f>
        <v/>
      </c>
      <c r="AH79" s="116" t="str">
        <f aca="false">IF($B79="","",AF79/cfg_VAL_M)</f>
        <v/>
      </c>
    </row>
    <row r="80" customFormat="false" ht="15" hidden="false" customHeight="false" outlineLevel="0" collapsed="false">
      <c r="B80" s="114" t="str">
        <f aca="false">IF(الموظفون!$B80="","",الموظفون!$B80)</f>
        <v/>
      </c>
      <c r="C80" s="114" t="str">
        <f aca="false">IF(الموظفون!$B80="","",الموظفون!$C80)</f>
        <v/>
      </c>
      <c r="D80" s="114" t="str">
        <f aca="false">IF(الموظفون!$B80="","",الموظفون!$F80)</f>
        <v/>
      </c>
      <c r="E80" s="114" t="str">
        <f aca="false">IF(الموظفون!$B80="","",الموظفون!$E80)</f>
        <v/>
      </c>
      <c r="F80" s="111" t="str">
        <f aca="false">IF($B80="","",'مسير يناير'!T80)</f>
        <v/>
      </c>
      <c r="G80" s="111" t="str">
        <f aca="false">IF($B80="","",'مسير فبراير'!T80)</f>
        <v/>
      </c>
      <c r="H80" s="111" t="str">
        <f aca="false">IF($B80="","",'مسير مارس'!T80)</f>
        <v/>
      </c>
      <c r="I80" s="111" t="str">
        <f aca="false">IF($B80="","",'مسير أبريل'!T80)</f>
        <v/>
      </c>
      <c r="J80" s="111" t="str">
        <f aca="false">IF($B80="","",'مسير مايو'!T80)</f>
        <v/>
      </c>
      <c r="K80" s="111" t="str">
        <f aca="false">IF($B80="","",'مسير يونيو'!T80)</f>
        <v/>
      </c>
      <c r="L80" s="111" t="str">
        <f aca="false">IF($B80="","",'مسير يوليو'!T80)</f>
        <v/>
      </c>
      <c r="M80" s="111" t="str">
        <f aca="false">IF($B80="","",'مسير أغسطس'!T80)</f>
        <v/>
      </c>
      <c r="N80" s="111" t="str">
        <f aca="false">IF($B80="","",'مسير سبتمبر'!T80)</f>
        <v/>
      </c>
      <c r="O80" s="111" t="str">
        <f aca="false">IF($B80="","",'مسير أكتوبر'!T80)</f>
        <v/>
      </c>
      <c r="P80" s="111" t="str">
        <f aca="false">IF($B80="","",'مسير نوفمبر'!T80)</f>
        <v/>
      </c>
      <c r="Q80" s="111" t="str">
        <f aca="false">IF($B80="","",'مسير ديسمبر'!T80)</f>
        <v/>
      </c>
      <c r="R80" s="170" t="str">
        <f aca="false">IF($B80="","",IF(1&lt;=cfg_VAL_M,'مسير يناير'!T80,0)+IF(2&lt;=cfg_VAL_M,'مسير فبراير'!T80,0)+IF(3&lt;=cfg_VAL_M,'مسير مارس'!T80,0)+IF(4&lt;=cfg_VAL_M,'مسير أبريل'!T80,0)+IF(5&lt;=cfg_VAL_M,'مسير مايو'!T80,0)+IF(6&lt;=cfg_VAL_M,'مسير يونيو'!T80,0)+IF(7&lt;=cfg_VAL_M,'مسير يوليو'!T80,0)+IF(8&lt;=cfg_VAL_M,'مسير أغسطس'!T80,0)+IF(9&lt;=cfg_VAL_M,'مسير سبتمبر'!T80,0)+IF(10&lt;=cfg_VAL_M,'مسير أكتوبر'!T80,0)+IF(11&lt;=cfg_VAL_M,'مسير نوفمبر'!T80,0)+IF(12&lt;=cfg_VAL_M,'مسير ديسمبر'!T80,0))</f>
        <v/>
      </c>
      <c r="T80" s="111" t="str">
        <f aca="false">IF($B80="","",'مسير يناير'!AG80)</f>
        <v/>
      </c>
      <c r="U80" s="111" t="str">
        <f aca="false">IF($B80="","",'مسير فبراير'!AG80)</f>
        <v/>
      </c>
      <c r="V80" s="111" t="str">
        <f aca="false">IF($B80="","",'مسير مارس'!AG80)</f>
        <v/>
      </c>
      <c r="W80" s="111" t="str">
        <f aca="false">IF($B80="","",'مسير أبريل'!AG80)</f>
        <v/>
      </c>
      <c r="X80" s="111" t="str">
        <f aca="false">IF($B80="","",'مسير مايو'!AG80)</f>
        <v/>
      </c>
      <c r="Y80" s="111" t="str">
        <f aca="false">IF($B80="","",'مسير يونيو'!AG80)</f>
        <v/>
      </c>
      <c r="Z80" s="111" t="str">
        <f aca="false">IF($B80="","",'مسير يوليو'!AG80)</f>
        <v/>
      </c>
      <c r="AA80" s="111" t="str">
        <f aca="false">IF($B80="","",'مسير أغسطس'!AG80)</f>
        <v/>
      </c>
      <c r="AB80" s="111" t="str">
        <f aca="false">IF($B80="","",'مسير سبتمبر'!AG80)</f>
        <v/>
      </c>
      <c r="AC80" s="111" t="str">
        <f aca="false">IF($B80="","",'مسير أكتوبر'!AG80)</f>
        <v/>
      </c>
      <c r="AD80" s="111" t="str">
        <f aca="false">IF($B80="","",'مسير نوفمبر'!AG80)</f>
        <v/>
      </c>
      <c r="AE80" s="111" t="str">
        <f aca="false">IF($B80="","",'مسير ديسمبر'!AG80)</f>
        <v/>
      </c>
      <c r="AF80" s="170" t="str">
        <f aca="false">IF($B80="","",IF(1&lt;=cfg_VAL_M,'مسير يناير'!AG80,0)+IF(2&lt;=cfg_VAL_M,'مسير فبراير'!AG80,0)+IF(3&lt;=cfg_VAL_M,'مسير مارس'!AG80,0)+IF(4&lt;=cfg_VAL_M,'مسير أبريل'!AG80,0)+IF(5&lt;=cfg_VAL_M,'مسير مايو'!AG80,0)+IF(6&lt;=cfg_VAL_M,'مسير يونيو'!AG80,0)+IF(7&lt;=cfg_VAL_M,'مسير يوليو'!AG80,0)+IF(8&lt;=cfg_VAL_M,'مسير أغسطس'!AG80,0)+IF(9&lt;=cfg_VAL_M,'مسير سبتمبر'!AG80,0)+IF(10&lt;=cfg_VAL_M,'مسير أكتوبر'!AG80,0)+IF(11&lt;=cfg_VAL_M,'مسير نوفمبر'!AG80,0)+IF(12&lt;=cfg_VAL_M,'مسير ديسمبر'!AG80,0))</f>
        <v/>
      </c>
      <c r="AG80" s="170" t="str">
        <f aca="false">IF($B80="","",IF(1&lt;=cfg_VAL_M,'مسير يناير'!Y80,0)+IF(2&lt;=cfg_VAL_M,'مسير فبراير'!Y80,0)+IF(3&lt;=cfg_VAL_M,'مسير مارس'!Y80,0)+IF(4&lt;=cfg_VAL_M,'مسير أبريل'!Y80,0)+IF(5&lt;=cfg_VAL_M,'مسير مايو'!Y80,0)+IF(6&lt;=cfg_VAL_M,'مسير يونيو'!Y80,0)+IF(7&lt;=cfg_VAL_M,'مسير يوليو'!Y80,0)+IF(8&lt;=cfg_VAL_M,'مسير أغسطس'!Y80,0)+IF(9&lt;=cfg_VAL_M,'مسير سبتمبر'!Y80,0)+IF(10&lt;=cfg_VAL_M,'مسير أكتوبر'!Y80,0)+IF(11&lt;=cfg_VAL_M,'مسير نوفمبر'!Y80,0)+IF(12&lt;=cfg_VAL_M,'مسير ديسمبر'!Y80,0))</f>
        <v/>
      </c>
      <c r="AH80" s="111" t="str">
        <f aca="false">IF($B80="","",AF80/cfg_VAL_M)</f>
        <v/>
      </c>
    </row>
    <row r="81" customFormat="false" ht="15" hidden="false" customHeight="false" outlineLevel="0" collapsed="false">
      <c r="B81" s="117" t="str">
        <f aca="false">IF(الموظفون!$B81="","",الموظفون!$B81)</f>
        <v/>
      </c>
      <c r="C81" s="117" t="str">
        <f aca="false">IF(الموظفون!$B81="","",الموظفون!$C81)</f>
        <v/>
      </c>
      <c r="D81" s="117" t="str">
        <f aca="false">IF(الموظفون!$B81="","",الموظفون!$F81)</f>
        <v/>
      </c>
      <c r="E81" s="117" t="str">
        <f aca="false">IF(الموظفون!$B81="","",الموظفون!$E81)</f>
        <v/>
      </c>
      <c r="F81" s="116" t="str">
        <f aca="false">IF($B81="","",'مسير يناير'!T81)</f>
        <v/>
      </c>
      <c r="G81" s="116" t="str">
        <f aca="false">IF($B81="","",'مسير فبراير'!T81)</f>
        <v/>
      </c>
      <c r="H81" s="116" t="str">
        <f aca="false">IF($B81="","",'مسير مارس'!T81)</f>
        <v/>
      </c>
      <c r="I81" s="116" t="str">
        <f aca="false">IF($B81="","",'مسير أبريل'!T81)</f>
        <v/>
      </c>
      <c r="J81" s="116" t="str">
        <f aca="false">IF($B81="","",'مسير مايو'!T81)</f>
        <v/>
      </c>
      <c r="K81" s="116" t="str">
        <f aca="false">IF($B81="","",'مسير يونيو'!T81)</f>
        <v/>
      </c>
      <c r="L81" s="116" t="str">
        <f aca="false">IF($B81="","",'مسير يوليو'!T81)</f>
        <v/>
      </c>
      <c r="M81" s="116" t="str">
        <f aca="false">IF($B81="","",'مسير أغسطس'!T81)</f>
        <v/>
      </c>
      <c r="N81" s="116" t="str">
        <f aca="false">IF($B81="","",'مسير سبتمبر'!T81)</f>
        <v/>
      </c>
      <c r="O81" s="116" t="str">
        <f aca="false">IF($B81="","",'مسير أكتوبر'!T81)</f>
        <v/>
      </c>
      <c r="P81" s="116" t="str">
        <f aca="false">IF($B81="","",'مسير نوفمبر'!T81)</f>
        <v/>
      </c>
      <c r="Q81" s="116" t="str">
        <f aca="false">IF($B81="","",'مسير ديسمبر'!T81)</f>
        <v/>
      </c>
      <c r="R81" s="171" t="str">
        <f aca="false">IF($B81="","",IF(1&lt;=cfg_VAL_M,'مسير يناير'!T81,0)+IF(2&lt;=cfg_VAL_M,'مسير فبراير'!T81,0)+IF(3&lt;=cfg_VAL_M,'مسير مارس'!T81,0)+IF(4&lt;=cfg_VAL_M,'مسير أبريل'!T81,0)+IF(5&lt;=cfg_VAL_M,'مسير مايو'!T81,0)+IF(6&lt;=cfg_VAL_M,'مسير يونيو'!T81,0)+IF(7&lt;=cfg_VAL_M,'مسير يوليو'!T81,0)+IF(8&lt;=cfg_VAL_M,'مسير أغسطس'!T81,0)+IF(9&lt;=cfg_VAL_M,'مسير سبتمبر'!T81,0)+IF(10&lt;=cfg_VAL_M,'مسير أكتوبر'!T81,0)+IF(11&lt;=cfg_VAL_M,'مسير نوفمبر'!T81,0)+IF(12&lt;=cfg_VAL_M,'مسير ديسمبر'!T81,0))</f>
        <v/>
      </c>
      <c r="T81" s="116" t="str">
        <f aca="false">IF($B81="","",'مسير يناير'!AG81)</f>
        <v/>
      </c>
      <c r="U81" s="116" t="str">
        <f aca="false">IF($B81="","",'مسير فبراير'!AG81)</f>
        <v/>
      </c>
      <c r="V81" s="116" t="str">
        <f aca="false">IF($B81="","",'مسير مارس'!AG81)</f>
        <v/>
      </c>
      <c r="W81" s="116" t="str">
        <f aca="false">IF($B81="","",'مسير أبريل'!AG81)</f>
        <v/>
      </c>
      <c r="X81" s="116" t="str">
        <f aca="false">IF($B81="","",'مسير مايو'!AG81)</f>
        <v/>
      </c>
      <c r="Y81" s="116" t="str">
        <f aca="false">IF($B81="","",'مسير يونيو'!AG81)</f>
        <v/>
      </c>
      <c r="Z81" s="116" t="str">
        <f aca="false">IF($B81="","",'مسير يوليو'!AG81)</f>
        <v/>
      </c>
      <c r="AA81" s="116" t="str">
        <f aca="false">IF($B81="","",'مسير أغسطس'!AG81)</f>
        <v/>
      </c>
      <c r="AB81" s="116" t="str">
        <f aca="false">IF($B81="","",'مسير سبتمبر'!AG81)</f>
        <v/>
      </c>
      <c r="AC81" s="116" t="str">
        <f aca="false">IF($B81="","",'مسير أكتوبر'!AG81)</f>
        <v/>
      </c>
      <c r="AD81" s="116" t="str">
        <f aca="false">IF($B81="","",'مسير نوفمبر'!AG81)</f>
        <v/>
      </c>
      <c r="AE81" s="116" t="str">
        <f aca="false">IF($B81="","",'مسير ديسمبر'!AG81)</f>
        <v/>
      </c>
      <c r="AF81" s="171" t="str">
        <f aca="false">IF($B81="","",IF(1&lt;=cfg_VAL_M,'مسير يناير'!AG81,0)+IF(2&lt;=cfg_VAL_M,'مسير فبراير'!AG81,0)+IF(3&lt;=cfg_VAL_M,'مسير مارس'!AG81,0)+IF(4&lt;=cfg_VAL_M,'مسير أبريل'!AG81,0)+IF(5&lt;=cfg_VAL_M,'مسير مايو'!AG81,0)+IF(6&lt;=cfg_VAL_M,'مسير يونيو'!AG81,0)+IF(7&lt;=cfg_VAL_M,'مسير يوليو'!AG81,0)+IF(8&lt;=cfg_VAL_M,'مسير أغسطس'!AG81,0)+IF(9&lt;=cfg_VAL_M,'مسير سبتمبر'!AG81,0)+IF(10&lt;=cfg_VAL_M,'مسير أكتوبر'!AG81,0)+IF(11&lt;=cfg_VAL_M,'مسير نوفمبر'!AG81,0)+IF(12&lt;=cfg_VAL_M,'مسير ديسمبر'!AG81,0))</f>
        <v/>
      </c>
      <c r="AG81" s="171" t="str">
        <f aca="false">IF($B81="","",IF(1&lt;=cfg_VAL_M,'مسير يناير'!Y81,0)+IF(2&lt;=cfg_VAL_M,'مسير فبراير'!Y81,0)+IF(3&lt;=cfg_VAL_M,'مسير مارس'!Y81,0)+IF(4&lt;=cfg_VAL_M,'مسير أبريل'!Y81,0)+IF(5&lt;=cfg_VAL_M,'مسير مايو'!Y81,0)+IF(6&lt;=cfg_VAL_M,'مسير يونيو'!Y81,0)+IF(7&lt;=cfg_VAL_M,'مسير يوليو'!Y81,0)+IF(8&lt;=cfg_VAL_M,'مسير أغسطس'!Y81,0)+IF(9&lt;=cfg_VAL_M,'مسير سبتمبر'!Y81,0)+IF(10&lt;=cfg_VAL_M,'مسير أكتوبر'!Y81,0)+IF(11&lt;=cfg_VAL_M,'مسير نوفمبر'!Y81,0)+IF(12&lt;=cfg_VAL_M,'مسير ديسمبر'!Y81,0))</f>
        <v/>
      </c>
      <c r="AH81" s="116" t="str">
        <f aca="false">IF($B81="","",AF81/cfg_VAL_M)</f>
        <v/>
      </c>
    </row>
    <row r="82" customFormat="false" ht="15" hidden="false" customHeight="false" outlineLevel="0" collapsed="false">
      <c r="B82" s="114" t="str">
        <f aca="false">IF(الموظفون!$B82="","",الموظفون!$B82)</f>
        <v/>
      </c>
      <c r="C82" s="114" t="str">
        <f aca="false">IF(الموظفون!$B82="","",الموظفون!$C82)</f>
        <v/>
      </c>
      <c r="D82" s="114" t="str">
        <f aca="false">IF(الموظفون!$B82="","",الموظفون!$F82)</f>
        <v/>
      </c>
      <c r="E82" s="114" t="str">
        <f aca="false">IF(الموظفون!$B82="","",الموظفون!$E82)</f>
        <v/>
      </c>
      <c r="F82" s="111" t="str">
        <f aca="false">IF($B82="","",'مسير يناير'!T82)</f>
        <v/>
      </c>
      <c r="G82" s="111" t="str">
        <f aca="false">IF($B82="","",'مسير فبراير'!T82)</f>
        <v/>
      </c>
      <c r="H82" s="111" t="str">
        <f aca="false">IF($B82="","",'مسير مارس'!T82)</f>
        <v/>
      </c>
      <c r="I82" s="111" t="str">
        <f aca="false">IF($B82="","",'مسير أبريل'!T82)</f>
        <v/>
      </c>
      <c r="J82" s="111" t="str">
        <f aca="false">IF($B82="","",'مسير مايو'!T82)</f>
        <v/>
      </c>
      <c r="K82" s="111" t="str">
        <f aca="false">IF($B82="","",'مسير يونيو'!T82)</f>
        <v/>
      </c>
      <c r="L82" s="111" t="str">
        <f aca="false">IF($B82="","",'مسير يوليو'!T82)</f>
        <v/>
      </c>
      <c r="M82" s="111" t="str">
        <f aca="false">IF($B82="","",'مسير أغسطس'!T82)</f>
        <v/>
      </c>
      <c r="N82" s="111" t="str">
        <f aca="false">IF($B82="","",'مسير سبتمبر'!T82)</f>
        <v/>
      </c>
      <c r="O82" s="111" t="str">
        <f aca="false">IF($B82="","",'مسير أكتوبر'!T82)</f>
        <v/>
      </c>
      <c r="P82" s="111" t="str">
        <f aca="false">IF($B82="","",'مسير نوفمبر'!T82)</f>
        <v/>
      </c>
      <c r="Q82" s="111" t="str">
        <f aca="false">IF($B82="","",'مسير ديسمبر'!T82)</f>
        <v/>
      </c>
      <c r="R82" s="170" t="str">
        <f aca="false">IF($B82="","",IF(1&lt;=cfg_VAL_M,'مسير يناير'!T82,0)+IF(2&lt;=cfg_VAL_M,'مسير فبراير'!T82,0)+IF(3&lt;=cfg_VAL_M,'مسير مارس'!T82,0)+IF(4&lt;=cfg_VAL_M,'مسير أبريل'!T82,0)+IF(5&lt;=cfg_VAL_M,'مسير مايو'!T82,0)+IF(6&lt;=cfg_VAL_M,'مسير يونيو'!T82,0)+IF(7&lt;=cfg_VAL_M,'مسير يوليو'!T82,0)+IF(8&lt;=cfg_VAL_M,'مسير أغسطس'!T82,0)+IF(9&lt;=cfg_VAL_M,'مسير سبتمبر'!T82,0)+IF(10&lt;=cfg_VAL_M,'مسير أكتوبر'!T82,0)+IF(11&lt;=cfg_VAL_M,'مسير نوفمبر'!T82,0)+IF(12&lt;=cfg_VAL_M,'مسير ديسمبر'!T82,0))</f>
        <v/>
      </c>
      <c r="T82" s="111" t="str">
        <f aca="false">IF($B82="","",'مسير يناير'!AG82)</f>
        <v/>
      </c>
      <c r="U82" s="111" t="str">
        <f aca="false">IF($B82="","",'مسير فبراير'!AG82)</f>
        <v/>
      </c>
      <c r="V82" s="111" t="str">
        <f aca="false">IF($B82="","",'مسير مارس'!AG82)</f>
        <v/>
      </c>
      <c r="W82" s="111" t="str">
        <f aca="false">IF($B82="","",'مسير أبريل'!AG82)</f>
        <v/>
      </c>
      <c r="X82" s="111" t="str">
        <f aca="false">IF($B82="","",'مسير مايو'!AG82)</f>
        <v/>
      </c>
      <c r="Y82" s="111" t="str">
        <f aca="false">IF($B82="","",'مسير يونيو'!AG82)</f>
        <v/>
      </c>
      <c r="Z82" s="111" t="str">
        <f aca="false">IF($B82="","",'مسير يوليو'!AG82)</f>
        <v/>
      </c>
      <c r="AA82" s="111" t="str">
        <f aca="false">IF($B82="","",'مسير أغسطس'!AG82)</f>
        <v/>
      </c>
      <c r="AB82" s="111" t="str">
        <f aca="false">IF($B82="","",'مسير سبتمبر'!AG82)</f>
        <v/>
      </c>
      <c r="AC82" s="111" t="str">
        <f aca="false">IF($B82="","",'مسير أكتوبر'!AG82)</f>
        <v/>
      </c>
      <c r="AD82" s="111" t="str">
        <f aca="false">IF($B82="","",'مسير نوفمبر'!AG82)</f>
        <v/>
      </c>
      <c r="AE82" s="111" t="str">
        <f aca="false">IF($B82="","",'مسير ديسمبر'!AG82)</f>
        <v/>
      </c>
      <c r="AF82" s="170" t="str">
        <f aca="false">IF($B82="","",IF(1&lt;=cfg_VAL_M,'مسير يناير'!AG82,0)+IF(2&lt;=cfg_VAL_M,'مسير فبراير'!AG82,0)+IF(3&lt;=cfg_VAL_M,'مسير مارس'!AG82,0)+IF(4&lt;=cfg_VAL_M,'مسير أبريل'!AG82,0)+IF(5&lt;=cfg_VAL_M,'مسير مايو'!AG82,0)+IF(6&lt;=cfg_VAL_M,'مسير يونيو'!AG82,0)+IF(7&lt;=cfg_VAL_M,'مسير يوليو'!AG82,0)+IF(8&lt;=cfg_VAL_M,'مسير أغسطس'!AG82,0)+IF(9&lt;=cfg_VAL_M,'مسير سبتمبر'!AG82,0)+IF(10&lt;=cfg_VAL_M,'مسير أكتوبر'!AG82,0)+IF(11&lt;=cfg_VAL_M,'مسير نوفمبر'!AG82,0)+IF(12&lt;=cfg_VAL_M,'مسير ديسمبر'!AG82,0))</f>
        <v/>
      </c>
      <c r="AG82" s="170" t="str">
        <f aca="false">IF($B82="","",IF(1&lt;=cfg_VAL_M,'مسير يناير'!Y82,0)+IF(2&lt;=cfg_VAL_M,'مسير فبراير'!Y82,0)+IF(3&lt;=cfg_VAL_M,'مسير مارس'!Y82,0)+IF(4&lt;=cfg_VAL_M,'مسير أبريل'!Y82,0)+IF(5&lt;=cfg_VAL_M,'مسير مايو'!Y82,0)+IF(6&lt;=cfg_VAL_M,'مسير يونيو'!Y82,0)+IF(7&lt;=cfg_VAL_M,'مسير يوليو'!Y82,0)+IF(8&lt;=cfg_VAL_M,'مسير أغسطس'!Y82,0)+IF(9&lt;=cfg_VAL_M,'مسير سبتمبر'!Y82,0)+IF(10&lt;=cfg_VAL_M,'مسير أكتوبر'!Y82,0)+IF(11&lt;=cfg_VAL_M,'مسير نوفمبر'!Y82,0)+IF(12&lt;=cfg_VAL_M,'مسير ديسمبر'!Y82,0))</f>
        <v/>
      </c>
      <c r="AH82" s="111" t="str">
        <f aca="false">IF($B82="","",AF82/cfg_VAL_M)</f>
        <v/>
      </c>
    </row>
    <row r="83" customFormat="false" ht="15" hidden="false" customHeight="false" outlineLevel="0" collapsed="false">
      <c r="B83" s="117" t="str">
        <f aca="false">IF(الموظفون!$B83="","",الموظفون!$B83)</f>
        <v/>
      </c>
      <c r="C83" s="117" t="str">
        <f aca="false">IF(الموظفون!$B83="","",الموظفون!$C83)</f>
        <v/>
      </c>
      <c r="D83" s="117" t="str">
        <f aca="false">IF(الموظفون!$B83="","",الموظفون!$F83)</f>
        <v/>
      </c>
      <c r="E83" s="117" t="str">
        <f aca="false">IF(الموظفون!$B83="","",الموظفون!$E83)</f>
        <v/>
      </c>
      <c r="F83" s="116" t="str">
        <f aca="false">IF($B83="","",'مسير يناير'!T83)</f>
        <v/>
      </c>
      <c r="G83" s="116" t="str">
        <f aca="false">IF($B83="","",'مسير فبراير'!T83)</f>
        <v/>
      </c>
      <c r="H83" s="116" t="str">
        <f aca="false">IF($B83="","",'مسير مارس'!T83)</f>
        <v/>
      </c>
      <c r="I83" s="116" t="str">
        <f aca="false">IF($B83="","",'مسير أبريل'!T83)</f>
        <v/>
      </c>
      <c r="J83" s="116" t="str">
        <f aca="false">IF($B83="","",'مسير مايو'!T83)</f>
        <v/>
      </c>
      <c r="K83" s="116" t="str">
        <f aca="false">IF($B83="","",'مسير يونيو'!T83)</f>
        <v/>
      </c>
      <c r="L83" s="116" t="str">
        <f aca="false">IF($B83="","",'مسير يوليو'!T83)</f>
        <v/>
      </c>
      <c r="M83" s="116" t="str">
        <f aca="false">IF($B83="","",'مسير أغسطس'!T83)</f>
        <v/>
      </c>
      <c r="N83" s="116" t="str">
        <f aca="false">IF($B83="","",'مسير سبتمبر'!T83)</f>
        <v/>
      </c>
      <c r="O83" s="116" t="str">
        <f aca="false">IF($B83="","",'مسير أكتوبر'!T83)</f>
        <v/>
      </c>
      <c r="P83" s="116" t="str">
        <f aca="false">IF($B83="","",'مسير نوفمبر'!T83)</f>
        <v/>
      </c>
      <c r="Q83" s="116" t="str">
        <f aca="false">IF($B83="","",'مسير ديسمبر'!T83)</f>
        <v/>
      </c>
      <c r="R83" s="171" t="str">
        <f aca="false">IF($B83="","",IF(1&lt;=cfg_VAL_M,'مسير يناير'!T83,0)+IF(2&lt;=cfg_VAL_M,'مسير فبراير'!T83,0)+IF(3&lt;=cfg_VAL_M,'مسير مارس'!T83,0)+IF(4&lt;=cfg_VAL_M,'مسير أبريل'!T83,0)+IF(5&lt;=cfg_VAL_M,'مسير مايو'!T83,0)+IF(6&lt;=cfg_VAL_M,'مسير يونيو'!T83,0)+IF(7&lt;=cfg_VAL_M,'مسير يوليو'!T83,0)+IF(8&lt;=cfg_VAL_M,'مسير أغسطس'!T83,0)+IF(9&lt;=cfg_VAL_M,'مسير سبتمبر'!T83,0)+IF(10&lt;=cfg_VAL_M,'مسير أكتوبر'!T83,0)+IF(11&lt;=cfg_VAL_M,'مسير نوفمبر'!T83,0)+IF(12&lt;=cfg_VAL_M,'مسير ديسمبر'!T83,0))</f>
        <v/>
      </c>
      <c r="T83" s="116" t="str">
        <f aca="false">IF($B83="","",'مسير يناير'!AG83)</f>
        <v/>
      </c>
      <c r="U83" s="116" t="str">
        <f aca="false">IF($B83="","",'مسير فبراير'!AG83)</f>
        <v/>
      </c>
      <c r="V83" s="116" t="str">
        <f aca="false">IF($B83="","",'مسير مارس'!AG83)</f>
        <v/>
      </c>
      <c r="W83" s="116" t="str">
        <f aca="false">IF($B83="","",'مسير أبريل'!AG83)</f>
        <v/>
      </c>
      <c r="X83" s="116" t="str">
        <f aca="false">IF($B83="","",'مسير مايو'!AG83)</f>
        <v/>
      </c>
      <c r="Y83" s="116" t="str">
        <f aca="false">IF($B83="","",'مسير يونيو'!AG83)</f>
        <v/>
      </c>
      <c r="Z83" s="116" t="str">
        <f aca="false">IF($B83="","",'مسير يوليو'!AG83)</f>
        <v/>
      </c>
      <c r="AA83" s="116" t="str">
        <f aca="false">IF($B83="","",'مسير أغسطس'!AG83)</f>
        <v/>
      </c>
      <c r="AB83" s="116" t="str">
        <f aca="false">IF($B83="","",'مسير سبتمبر'!AG83)</f>
        <v/>
      </c>
      <c r="AC83" s="116" t="str">
        <f aca="false">IF($B83="","",'مسير أكتوبر'!AG83)</f>
        <v/>
      </c>
      <c r="AD83" s="116" t="str">
        <f aca="false">IF($B83="","",'مسير نوفمبر'!AG83)</f>
        <v/>
      </c>
      <c r="AE83" s="116" t="str">
        <f aca="false">IF($B83="","",'مسير ديسمبر'!AG83)</f>
        <v/>
      </c>
      <c r="AF83" s="171" t="str">
        <f aca="false">IF($B83="","",IF(1&lt;=cfg_VAL_M,'مسير يناير'!AG83,0)+IF(2&lt;=cfg_VAL_M,'مسير فبراير'!AG83,0)+IF(3&lt;=cfg_VAL_M,'مسير مارس'!AG83,0)+IF(4&lt;=cfg_VAL_M,'مسير أبريل'!AG83,0)+IF(5&lt;=cfg_VAL_M,'مسير مايو'!AG83,0)+IF(6&lt;=cfg_VAL_M,'مسير يونيو'!AG83,0)+IF(7&lt;=cfg_VAL_M,'مسير يوليو'!AG83,0)+IF(8&lt;=cfg_VAL_M,'مسير أغسطس'!AG83,0)+IF(9&lt;=cfg_VAL_M,'مسير سبتمبر'!AG83,0)+IF(10&lt;=cfg_VAL_M,'مسير أكتوبر'!AG83,0)+IF(11&lt;=cfg_VAL_M,'مسير نوفمبر'!AG83,0)+IF(12&lt;=cfg_VAL_M,'مسير ديسمبر'!AG83,0))</f>
        <v/>
      </c>
      <c r="AG83" s="171" t="str">
        <f aca="false">IF($B83="","",IF(1&lt;=cfg_VAL_M,'مسير يناير'!Y83,0)+IF(2&lt;=cfg_VAL_M,'مسير فبراير'!Y83,0)+IF(3&lt;=cfg_VAL_M,'مسير مارس'!Y83,0)+IF(4&lt;=cfg_VAL_M,'مسير أبريل'!Y83,0)+IF(5&lt;=cfg_VAL_M,'مسير مايو'!Y83,0)+IF(6&lt;=cfg_VAL_M,'مسير يونيو'!Y83,0)+IF(7&lt;=cfg_VAL_M,'مسير يوليو'!Y83,0)+IF(8&lt;=cfg_VAL_M,'مسير أغسطس'!Y83,0)+IF(9&lt;=cfg_VAL_M,'مسير سبتمبر'!Y83,0)+IF(10&lt;=cfg_VAL_M,'مسير أكتوبر'!Y83,0)+IF(11&lt;=cfg_VAL_M,'مسير نوفمبر'!Y83,0)+IF(12&lt;=cfg_VAL_M,'مسير ديسمبر'!Y83,0))</f>
        <v/>
      </c>
      <c r="AH83" s="116" t="str">
        <f aca="false">IF($B83="","",AF83/cfg_VAL_M)</f>
        <v/>
      </c>
    </row>
    <row r="84" customFormat="false" ht="15" hidden="false" customHeight="false" outlineLevel="0" collapsed="false">
      <c r="B84" s="114" t="str">
        <f aca="false">IF(الموظفون!$B84="","",الموظفون!$B84)</f>
        <v/>
      </c>
      <c r="C84" s="114" t="str">
        <f aca="false">IF(الموظفون!$B84="","",الموظفون!$C84)</f>
        <v/>
      </c>
      <c r="D84" s="114" t="str">
        <f aca="false">IF(الموظفون!$B84="","",الموظفون!$F84)</f>
        <v/>
      </c>
      <c r="E84" s="114" t="str">
        <f aca="false">IF(الموظفون!$B84="","",الموظفون!$E84)</f>
        <v/>
      </c>
      <c r="F84" s="111" t="str">
        <f aca="false">IF($B84="","",'مسير يناير'!T84)</f>
        <v/>
      </c>
      <c r="G84" s="111" t="str">
        <f aca="false">IF($B84="","",'مسير فبراير'!T84)</f>
        <v/>
      </c>
      <c r="H84" s="111" t="str">
        <f aca="false">IF($B84="","",'مسير مارس'!T84)</f>
        <v/>
      </c>
      <c r="I84" s="111" t="str">
        <f aca="false">IF($B84="","",'مسير أبريل'!T84)</f>
        <v/>
      </c>
      <c r="J84" s="111" t="str">
        <f aca="false">IF($B84="","",'مسير مايو'!T84)</f>
        <v/>
      </c>
      <c r="K84" s="111" t="str">
        <f aca="false">IF($B84="","",'مسير يونيو'!T84)</f>
        <v/>
      </c>
      <c r="L84" s="111" t="str">
        <f aca="false">IF($B84="","",'مسير يوليو'!T84)</f>
        <v/>
      </c>
      <c r="M84" s="111" t="str">
        <f aca="false">IF($B84="","",'مسير أغسطس'!T84)</f>
        <v/>
      </c>
      <c r="N84" s="111" t="str">
        <f aca="false">IF($B84="","",'مسير سبتمبر'!T84)</f>
        <v/>
      </c>
      <c r="O84" s="111" t="str">
        <f aca="false">IF($B84="","",'مسير أكتوبر'!T84)</f>
        <v/>
      </c>
      <c r="P84" s="111" t="str">
        <f aca="false">IF($B84="","",'مسير نوفمبر'!T84)</f>
        <v/>
      </c>
      <c r="Q84" s="111" t="str">
        <f aca="false">IF($B84="","",'مسير ديسمبر'!T84)</f>
        <v/>
      </c>
      <c r="R84" s="170" t="str">
        <f aca="false">IF($B84="","",IF(1&lt;=cfg_VAL_M,'مسير يناير'!T84,0)+IF(2&lt;=cfg_VAL_M,'مسير فبراير'!T84,0)+IF(3&lt;=cfg_VAL_M,'مسير مارس'!T84,0)+IF(4&lt;=cfg_VAL_M,'مسير أبريل'!T84,0)+IF(5&lt;=cfg_VAL_M,'مسير مايو'!T84,0)+IF(6&lt;=cfg_VAL_M,'مسير يونيو'!T84,0)+IF(7&lt;=cfg_VAL_M,'مسير يوليو'!T84,0)+IF(8&lt;=cfg_VAL_M,'مسير أغسطس'!T84,0)+IF(9&lt;=cfg_VAL_M,'مسير سبتمبر'!T84,0)+IF(10&lt;=cfg_VAL_M,'مسير أكتوبر'!T84,0)+IF(11&lt;=cfg_VAL_M,'مسير نوفمبر'!T84,0)+IF(12&lt;=cfg_VAL_M,'مسير ديسمبر'!T84,0))</f>
        <v/>
      </c>
      <c r="T84" s="111" t="str">
        <f aca="false">IF($B84="","",'مسير يناير'!AG84)</f>
        <v/>
      </c>
      <c r="U84" s="111" t="str">
        <f aca="false">IF($B84="","",'مسير فبراير'!AG84)</f>
        <v/>
      </c>
      <c r="V84" s="111" t="str">
        <f aca="false">IF($B84="","",'مسير مارس'!AG84)</f>
        <v/>
      </c>
      <c r="W84" s="111" t="str">
        <f aca="false">IF($B84="","",'مسير أبريل'!AG84)</f>
        <v/>
      </c>
      <c r="X84" s="111" t="str">
        <f aca="false">IF($B84="","",'مسير مايو'!AG84)</f>
        <v/>
      </c>
      <c r="Y84" s="111" t="str">
        <f aca="false">IF($B84="","",'مسير يونيو'!AG84)</f>
        <v/>
      </c>
      <c r="Z84" s="111" t="str">
        <f aca="false">IF($B84="","",'مسير يوليو'!AG84)</f>
        <v/>
      </c>
      <c r="AA84" s="111" t="str">
        <f aca="false">IF($B84="","",'مسير أغسطس'!AG84)</f>
        <v/>
      </c>
      <c r="AB84" s="111" t="str">
        <f aca="false">IF($B84="","",'مسير سبتمبر'!AG84)</f>
        <v/>
      </c>
      <c r="AC84" s="111" t="str">
        <f aca="false">IF($B84="","",'مسير أكتوبر'!AG84)</f>
        <v/>
      </c>
      <c r="AD84" s="111" t="str">
        <f aca="false">IF($B84="","",'مسير نوفمبر'!AG84)</f>
        <v/>
      </c>
      <c r="AE84" s="111" t="str">
        <f aca="false">IF($B84="","",'مسير ديسمبر'!AG84)</f>
        <v/>
      </c>
      <c r="AF84" s="170" t="str">
        <f aca="false">IF($B84="","",IF(1&lt;=cfg_VAL_M,'مسير يناير'!AG84,0)+IF(2&lt;=cfg_VAL_M,'مسير فبراير'!AG84,0)+IF(3&lt;=cfg_VAL_M,'مسير مارس'!AG84,0)+IF(4&lt;=cfg_VAL_M,'مسير أبريل'!AG84,0)+IF(5&lt;=cfg_VAL_M,'مسير مايو'!AG84,0)+IF(6&lt;=cfg_VAL_M,'مسير يونيو'!AG84,0)+IF(7&lt;=cfg_VAL_M,'مسير يوليو'!AG84,0)+IF(8&lt;=cfg_VAL_M,'مسير أغسطس'!AG84,0)+IF(9&lt;=cfg_VAL_M,'مسير سبتمبر'!AG84,0)+IF(10&lt;=cfg_VAL_M,'مسير أكتوبر'!AG84,0)+IF(11&lt;=cfg_VAL_M,'مسير نوفمبر'!AG84,0)+IF(12&lt;=cfg_VAL_M,'مسير ديسمبر'!AG84,0))</f>
        <v/>
      </c>
      <c r="AG84" s="170" t="str">
        <f aca="false">IF($B84="","",IF(1&lt;=cfg_VAL_M,'مسير يناير'!Y84,0)+IF(2&lt;=cfg_VAL_M,'مسير فبراير'!Y84,0)+IF(3&lt;=cfg_VAL_M,'مسير مارس'!Y84,0)+IF(4&lt;=cfg_VAL_M,'مسير أبريل'!Y84,0)+IF(5&lt;=cfg_VAL_M,'مسير مايو'!Y84,0)+IF(6&lt;=cfg_VAL_M,'مسير يونيو'!Y84,0)+IF(7&lt;=cfg_VAL_M,'مسير يوليو'!Y84,0)+IF(8&lt;=cfg_VAL_M,'مسير أغسطس'!Y84,0)+IF(9&lt;=cfg_VAL_M,'مسير سبتمبر'!Y84,0)+IF(10&lt;=cfg_VAL_M,'مسير أكتوبر'!Y84,0)+IF(11&lt;=cfg_VAL_M,'مسير نوفمبر'!Y84,0)+IF(12&lt;=cfg_VAL_M,'مسير ديسمبر'!Y84,0))</f>
        <v/>
      </c>
      <c r="AH84" s="111" t="str">
        <f aca="false">IF($B84="","",AF84/cfg_VAL_M)</f>
        <v/>
      </c>
    </row>
    <row r="85" customFormat="false" ht="15" hidden="false" customHeight="false" outlineLevel="0" collapsed="false">
      <c r="B85" s="117" t="str">
        <f aca="false">IF(الموظفون!$B85="","",الموظفون!$B85)</f>
        <v/>
      </c>
      <c r="C85" s="117" t="str">
        <f aca="false">IF(الموظفون!$B85="","",الموظفون!$C85)</f>
        <v/>
      </c>
      <c r="D85" s="117" t="str">
        <f aca="false">IF(الموظفون!$B85="","",الموظفون!$F85)</f>
        <v/>
      </c>
      <c r="E85" s="117" t="str">
        <f aca="false">IF(الموظفون!$B85="","",الموظفون!$E85)</f>
        <v/>
      </c>
      <c r="F85" s="116" t="str">
        <f aca="false">IF($B85="","",'مسير يناير'!T85)</f>
        <v/>
      </c>
      <c r="G85" s="116" t="str">
        <f aca="false">IF($B85="","",'مسير فبراير'!T85)</f>
        <v/>
      </c>
      <c r="H85" s="116" t="str">
        <f aca="false">IF($B85="","",'مسير مارس'!T85)</f>
        <v/>
      </c>
      <c r="I85" s="116" t="str">
        <f aca="false">IF($B85="","",'مسير أبريل'!T85)</f>
        <v/>
      </c>
      <c r="J85" s="116" t="str">
        <f aca="false">IF($B85="","",'مسير مايو'!T85)</f>
        <v/>
      </c>
      <c r="K85" s="116" t="str">
        <f aca="false">IF($B85="","",'مسير يونيو'!T85)</f>
        <v/>
      </c>
      <c r="L85" s="116" t="str">
        <f aca="false">IF($B85="","",'مسير يوليو'!T85)</f>
        <v/>
      </c>
      <c r="M85" s="116" t="str">
        <f aca="false">IF($B85="","",'مسير أغسطس'!T85)</f>
        <v/>
      </c>
      <c r="N85" s="116" t="str">
        <f aca="false">IF($B85="","",'مسير سبتمبر'!T85)</f>
        <v/>
      </c>
      <c r="O85" s="116" t="str">
        <f aca="false">IF($B85="","",'مسير أكتوبر'!T85)</f>
        <v/>
      </c>
      <c r="P85" s="116" t="str">
        <f aca="false">IF($B85="","",'مسير نوفمبر'!T85)</f>
        <v/>
      </c>
      <c r="Q85" s="116" t="str">
        <f aca="false">IF($B85="","",'مسير ديسمبر'!T85)</f>
        <v/>
      </c>
      <c r="R85" s="171" t="str">
        <f aca="false">IF($B85="","",IF(1&lt;=cfg_VAL_M,'مسير يناير'!T85,0)+IF(2&lt;=cfg_VAL_M,'مسير فبراير'!T85,0)+IF(3&lt;=cfg_VAL_M,'مسير مارس'!T85,0)+IF(4&lt;=cfg_VAL_M,'مسير أبريل'!T85,0)+IF(5&lt;=cfg_VAL_M,'مسير مايو'!T85,0)+IF(6&lt;=cfg_VAL_M,'مسير يونيو'!T85,0)+IF(7&lt;=cfg_VAL_M,'مسير يوليو'!T85,0)+IF(8&lt;=cfg_VAL_M,'مسير أغسطس'!T85,0)+IF(9&lt;=cfg_VAL_M,'مسير سبتمبر'!T85,0)+IF(10&lt;=cfg_VAL_M,'مسير أكتوبر'!T85,0)+IF(11&lt;=cfg_VAL_M,'مسير نوفمبر'!T85,0)+IF(12&lt;=cfg_VAL_M,'مسير ديسمبر'!T85,0))</f>
        <v/>
      </c>
      <c r="T85" s="116" t="str">
        <f aca="false">IF($B85="","",'مسير يناير'!AG85)</f>
        <v/>
      </c>
      <c r="U85" s="116" t="str">
        <f aca="false">IF($B85="","",'مسير فبراير'!AG85)</f>
        <v/>
      </c>
      <c r="V85" s="116" t="str">
        <f aca="false">IF($B85="","",'مسير مارس'!AG85)</f>
        <v/>
      </c>
      <c r="W85" s="116" t="str">
        <f aca="false">IF($B85="","",'مسير أبريل'!AG85)</f>
        <v/>
      </c>
      <c r="X85" s="116" t="str">
        <f aca="false">IF($B85="","",'مسير مايو'!AG85)</f>
        <v/>
      </c>
      <c r="Y85" s="116" t="str">
        <f aca="false">IF($B85="","",'مسير يونيو'!AG85)</f>
        <v/>
      </c>
      <c r="Z85" s="116" t="str">
        <f aca="false">IF($B85="","",'مسير يوليو'!AG85)</f>
        <v/>
      </c>
      <c r="AA85" s="116" t="str">
        <f aca="false">IF($B85="","",'مسير أغسطس'!AG85)</f>
        <v/>
      </c>
      <c r="AB85" s="116" t="str">
        <f aca="false">IF($B85="","",'مسير سبتمبر'!AG85)</f>
        <v/>
      </c>
      <c r="AC85" s="116" t="str">
        <f aca="false">IF($B85="","",'مسير أكتوبر'!AG85)</f>
        <v/>
      </c>
      <c r="AD85" s="116" t="str">
        <f aca="false">IF($B85="","",'مسير نوفمبر'!AG85)</f>
        <v/>
      </c>
      <c r="AE85" s="116" t="str">
        <f aca="false">IF($B85="","",'مسير ديسمبر'!AG85)</f>
        <v/>
      </c>
      <c r="AF85" s="171" t="str">
        <f aca="false">IF($B85="","",IF(1&lt;=cfg_VAL_M,'مسير يناير'!AG85,0)+IF(2&lt;=cfg_VAL_M,'مسير فبراير'!AG85,0)+IF(3&lt;=cfg_VAL_M,'مسير مارس'!AG85,0)+IF(4&lt;=cfg_VAL_M,'مسير أبريل'!AG85,0)+IF(5&lt;=cfg_VAL_M,'مسير مايو'!AG85,0)+IF(6&lt;=cfg_VAL_M,'مسير يونيو'!AG85,0)+IF(7&lt;=cfg_VAL_M,'مسير يوليو'!AG85,0)+IF(8&lt;=cfg_VAL_M,'مسير أغسطس'!AG85,0)+IF(9&lt;=cfg_VAL_M,'مسير سبتمبر'!AG85,0)+IF(10&lt;=cfg_VAL_M,'مسير أكتوبر'!AG85,0)+IF(11&lt;=cfg_VAL_M,'مسير نوفمبر'!AG85,0)+IF(12&lt;=cfg_VAL_M,'مسير ديسمبر'!AG85,0))</f>
        <v/>
      </c>
      <c r="AG85" s="171" t="str">
        <f aca="false">IF($B85="","",IF(1&lt;=cfg_VAL_M,'مسير يناير'!Y85,0)+IF(2&lt;=cfg_VAL_M,'مسير فبراير'!Y85,0)+IF(3&lt;=cfg_VAL_M,'مسير مارس'!Y85,0)+IF(4&lt;=cfg_VAL_M,'مسير أبريل'!Y85,0)+IF(5&lt;=cfg_VAL_M,'مسير مايو'!Y85,0)+IF(6&lt;=cfg_VAL_M,'مسير يونيو'!Y85,0)+IF(7&lt;=cfg_VAL_M,'مسير يوليو'!Y85,0)+IF(8&lt;=cfg_VAL_M,'مسير أغسطس'!Y85,0)+IF(9&lt;=cfg_VAL_M,'مسير سبتمبر'!Y85,0)+IF(10&lt;=cfg_VAL_M,'مسير أكتوبر'!Y85,0)+IF(11&lt;=cfg_VAL_M,'مسير نوفمبر'!Y85,0)+IF(12&lt;=cfg_VAL_M,'مسير ديسمبر'!Y85,0))</f>
        <v/>
      </c>
      <c r="AH85" s="116" t="str">
        <f aca="false">IF($B85="","",AF85/cfg_VAL_M)</f>
        <v/>
      </c>
    </row>
    <row r="86" customFormat="false" ht="15" hidden="false" customHeight="false" outlineLevel="0" collapsed="false">
      <c r="B86" s="114" t="str">
        <f aca="false">IF(الموظفون!$B86="","",الموظفون!$B86)</f>
        <v/>
      </c>
      <c r="C86" s="114" t="str">
        <f aca="false">IF(الموظفون!$B86="","",الموظفون!$C86)</f>
        <v/>
      </c>
      <c r="D86" s="114" t="str">
        <f aca="false">IF(الموظفون!$B86="","",الموظفون!$F86)</f>
        <v/>
      </c>
      <c r="E86" s="114" t="str">
        <f aca="false">IF(الموظفون!$B86="","",الموظفون!$E86)</f>
        <v/>
      </c>
      <c r="F86" s="111" t="str">
        <f aca="false">IF($B86="","",'مسير يناير'!T86)</f>
        <v/>
      </c>
      <c r="G86" s="111" t="str">
        <f aca="false">IF($B86="","",'مسير فبراير'!T86)</f>
        <v/>
      </c>
      <c r="H86" s="111" t="str">
        <f aca="false">IF($B86="","",'مسير مارس'!T86)</f>
        <v/>
      </c>
      <c r="I86" s="111" t="str">
        <f aca="false">IF($B86="","",'مسير أبريل'!T86)</f>
        <v/>
      </c>
      <c r="J86" s="111" t="str">
        <f aca="false">IF($B86="","",'مسير مايو'!T86)</f>
        <v/>
      </c>
      <c r="K86" s="111" t="str">
        <f aca="false">IF($B86="","",'مسير يونيو'!T86)</f>
        <v/>
      </c>
      <c r="L86" s="111" t="str">
        <f aca="false">IF($B86="","",'مسير يوليو'!T86)</f>
        <v/>
      </c>
      <c r="M86" s="111" t="str">
        <f aca="false">IF($B86="","",'مسير أغسطس'!T86)</f>
        <v/>
      </c>
      <c r="N86" s="111" t="str">
        <f aca="false">IF($B86="","",'مسير سبتمبر'!T86)</f>
        <v/>
      </c>
      <c r="O86" s="111" t="str">
        <f aca="false">IF($B86="","",'مسير أكتوبر'!T86)</f>
        <v/>
      </c>
      <c r="P86" s="111" t="str">
        <f aca="false">IF($B86="","",'مسير نوفمبر'!T86)</f>
        <v/>
      </c>
      <c r="Q86" s="111" t="str">
        <f aca="false">IF($B86="","",'مسير ديسمبر'!T86)</f>
        <v/>
      </c>
      <c r="R86" s="170" t="str">
        <f aca="false">IF($B86="","",IF(1&lt;=cfg_VAL_M,'مسير يناير'!T86,0)+IF(2&lt;=cfg_VAL_M,'مسير فبراير'!T86,0)+IF(3&lt;=cfg_VAL_M,'مسير مارس'!T86,0)+IF(4&lt;=cfg_VAL_M,'مسير أبريل'!T86,0)+IF(5&lt;=cfg_VAL_M,'مسير مايو'!T86,0)+IF(6&lt;=cfg_VAL_M,'مسير يونيو'!T86,0)+IF(7&lt;=cfg_VAL_M,'مسير يوليو'!T86,0)+IF(8&lt;=cfg_VAL_M,'مسير أغسطس'!T86,0)+IF(9&lt;=cfg_VAL_M,'مسير سبتمبر'!T86,0)+IF(10&lt;=cfg_VAL_M,'مسير أكتوبر'!T86,0)+IF(11&lt;=cfg_VAL_M,'مسير نوفمبر'!T86,0)+IF(12&lt;=cfg_VAL_M,'مسير ديسمبر'!T86,0))</f>
        <v/>
      </c>
      <c r="T86" s="111" t="str">
        <f aca="false">IF($B86="","",'مسير يناير'!AG86)</f>
        <v/>
      </c>
      <c r="U86" s="111" t="str">
        <f aca="false">IF($B86="","",'مسير فبراير'!AG86)</f>
        <v/>
      </c>
      <c r="V86" s="111" t="str">
        <f aca="false">IF($B86="","",'مسير مارس'!AG86)</f>
        <v/>
      </c>
      <c r="W86" s="111" t="str">
        <f aca="false">IF($B86="","",'مسير أبريل'!AG86)</f>
        <v/>
      </c>
      <c r="X86" s="111" t="str">
        <f aca="false">IF($B86="","",'مسير مايو'!AG86)</f>
        <v/>
      </c>
      <c r="Y86" s="111" t="str">
        <f aca="false">IF($B86="","",'مسير يونيو'!AG86)</f>
        <v/>
      </c>
      <c r="Z86" s="111" t="str">
        <f aca="false">IF($B86="","",'مسير يوليو'!AG86)</f>
        <v/>
      </c>
      <c r="AA86" s="111" t="str">
        <f aca="false">IF($B86="","",'مسير أغسطس'!AG86)</f>
        <v/>
      </c>
      <c r="AB86" s="111" t="str">
        <f aca="false">IF($B86="","",'مسير سبتمبر'!AG86)</f>
        <v/>
      </c>
      <c r="AC86" s="111" t="str">
        <f aca="false">IF($B86="","",'مسير أكتوبر'!AG86)</f>
        <v/>
      </c>
      <c r="AD86" s="111" t="str">
        <f aca="false">IF($B86="","",'مسير نوفمبر'!AG86)</f>
        <v/>
      </c>
      <c r="AE86" s="111" t="str">
        <f aca="false">IF($B86="","",'مسير ديسمبر'!AG86)</f>
        <v/>
      </c>
      <c r="AF86" s="170" t="str">
        <f aca="false">IF($B86="","",IF(1&lt;=cfg_VAL_M,'مسير يناير'!AG86,0)+IF(2&lt;=cfg_VAL_M,'مسير فبراير'!AG86,0)+IF(3&lt;=cfg_VAL_M,'مسير مارس'!AG86,0)+IF(4&lt;=cfg_VAL_M,'مسير أبريل'!AG86,0)+IF(5&lt;=cfg_VAL_M,'مسير مايو'!AG86,0)+IF(6&lt;=cfg_VAL_M,'مسير يونيو'!AG86,0)+IF(7&lt;=cfg_VAL_M,'مسير يوليو'!AG86,0)+IF(8&lt;=cfg_VAL_M,'مسير أغسطس'!AG86,0)+IF(9&lt;=cfg_VAL_M,'مسير سبتمبر'!AG86,0)+IF(10&lt;=cfg_VAL_M,'مسير أكتوبر'!AG86,0)+IF(11&lt;=cfg_VAL_M,'مسير نوفمبر'!AG86,0)+IF(12&lt;=cfg_VAL_M,'مسير ديسمبر'!AG86,0))</f>
        <v/>
      </c>
      <c r="AG86" s="170" t="str">
        <f aca="false">IF($B86="","",IF(1&lt;=cfg_VAL_M,'مسير يناير'!Y86,0)+IF(2&lt;=cfg_VAL_M,'مسير فبراير'!Y86,0)+IF(3&lt;=cfg_VAL_M,'مسير مارس'!Y86,0)+IF(4&lt;=cfg_VAL_M,'مسير أبريل'!Y86,0)+IF(5&lt;=cfg_VAL_M,'مسير مايو'!Y86,0)+IF(6&lt;=cfg_VAL_M,'مسير يونيو'!Y86,0)+IF(7&lt;=cfg_VAL_M,'مسير يوليو'!Y86,0)+IF(8&lt;=cfg_VAL_M,'مسير أغسطس'!Y86,0)+IF(9&lt;=cfg_VAL_M,'مسير سبتمبر'!Y86,0)+IF(10&lt;=cfg_VAL_M,'مسير أكتوبر'!Y86,0)+IF(11&lt;=cfg_VAL_M,'مسير نوفمبر'!Y86,0)+IF(12&lt;=cfg_VAL_M,'مسير ديسمبر'!Y86,0))</f>
        <v/>
      </c>
      <c r="AH86" s="111" t="str">
        <f aca="false">IF($B86="","",AF86/cfg_VAL_M)</f>
        <v/>
      </c>
    </row>
    <row r="87" customFormat="false" ht="15" hidden="false" customHeight="false" outlineLevel="0" collapsed="false">
      <c r="B87" s="117" t="str">
        <f aca="false">IF(الموظفون!$B87="","",الموظفون!$B87)</f>
        <v/>
      </c>
      <c r="C87" s="117" t="str">
        <f aca="false">IF(الموظفون!$B87="","",الموظفون!$C87)</f>
        <v/>
      </c>
      <c r="D87" s="117" t="str">
        <f aca="false">IF(الموظفون!$B87="","",الموظفون!$F87)</f>
        <v/>
      </c>
      <c r="E87" s="117" t="str">
        <f aca="false">IF(الموظفون!$B87="","",الموظفون!$E87)</f>
        <v/>
      </c>
      <c r="F87" s="116" t="str">
        <f aca="false">IF($B87="","",'مسير يناير'!T87)</f>
        <v/>
      </c>
      <c r="G87" s="116" t="str">
        <f aca="false">IF($B87="","",'مسير فبراير'!T87)</f>
        <v/>
      </c>
      <c r="H87" s="116" t="str">
        <f aca="false">IF($B87="","",'مسير مارس'!T87)</f>
        <v/>
      </c>
      <c r="I87" s="116" t="str">
        <f aca="false">IF($B87="","",'مسير أبريل'!T87)</f>
        <v/>
      </c>
      <c r="J87" s="116" t="str">
        <f aca="false">IF($B87="","",'مسير مايو'!T87)</f>
        <v/>
      </c>
      <c r="K87" s="116" t="str">
        <f aca="false">IF($B87="","",'مسير يونيو'!T87)</f>
        <v/>
      </c>
      <c r="L87" s="116" t="str">
        <f aca="false">IF($B87="","",'مسير يوليو'!T87)</f>
        <v/>
      </c>
      <c r="M87" s="116" t="str">
        <f aca="false">IF($B87="","",'مسير أغسطس'!T87)</f>
        <v/>
      </c>
      <c r="N87" s="116" t="str">
        <f aca="false">IF($B87="","",'مسير سبتمبر'!T87)</f>
        <v/>
      </c>
      <c r="O87" s="116" t="str">
        <f aca="false">IF($B87="","",'مسير أكتوبر'!T87)</f>
        <v/>
      </c>
      <c r="P87" s="116" t="str">
        <f aca="false">IF($B87="","",'مسير نوفمبر'!T87)</f>
        <v/>
      </c>
      <c r="Q87" s="116" t="str">
        <f aca="false">IF($B87="","",'مسير ديسمبر'!T87)</f>
        <v/>
      </c>
      <c r="R87" s="171" t="str">
        <f aca="false">IF($B87="","",IF(1&lt;=cfg_VAL_M,'مسير يناير'!T87,0)+IF(2&lt;=cfg_VAL_M,'مسير فبراير'!T87,0)+IF(3&lt;=cfg_VAL_M,'مسير مارس'!T87,0)+IF(4&lt;=cfg_VAL_M,'مسير أبريل'!T87,0)+IF(5&lt;=cfg_VAL_M,'مسير مايو'!T87,0)+IF(6&lt;=cfg_VAL_M,'مسير يونيو'!T87,0)+IF(7&lt;=cfg_VAL_M,'مسير يوليو'!T87,0)+IF(8&lt;=cfg_VAL_M,'مسير أغسطس'!T87,0)+IF(9&lt;=cfg_VAL_M,'مسير سبتمبر'!T87,0)+IF(10&lt;=cfg_VAL_M,'مسير أكتوبر'!T87,0)+IF(11&lt;=cfg_VAL_M,'مسير نوفمبر'!T87,0)+IF(12&lt;=cfg_VAL_M,'مسير ديسمبر'!T87,0))</f>
        <v/>
      </c>
      <c r="T87" s="116" t="str">
        <f aca="false">IF($B87="","",'مسير يناير'!AG87)</f>
        <v/>
      </c>
      <c r="U87" s="116" t="str">
        <f aca="false">IF($B87="","",'مسير فبراير'!AG87)</f>
        <v/>
      </c>
      <c r="V87" s="116" t="str">
        <f aca="false">IF($B87="","",'مسير مارس'!AG87)</f>
        <v/>
      </c>
      <c r="W87" s="116" t="str">
        <f aca="false">IF($B87="","",'مسير أبريل'!AG87)</f>
        <v/>
      </c>
      <c r="X87" s="116" t="str">
        <f aca="false">IF($B87="","",'مسير مايو'!AG87)</f>
        <v/>
      </c>
      <c r="Y87" s="116" t="str">
        <f aca="false">IF($B87="","",'مسير يونيو'!AG87)</f>
        <v/>
      </c>
      <c r="Z87" s="116" t="str">
        <f aca="false">IF($B87="","",'مسير يوليو'!AG87)</f>
        <v/>
      </c>
      <c r="AA87" s="116" t="str">
        <f aca="false">IF($B87="","",'مسير أغسطس'!AG87)</f>
        <v/>
      </c>
      <c r="AB87" s="116" t="str">
        <f aca="false">IF($B87="","",'مسير سبتمبر'!AG87)</f>
        <v/>
      </c>
      <c r="AC87" s="116" t="str">
        <f aca="false">IF($B87="","",'مسير أكتوبر'!AG87)</f>
        <v/>
      </c>
      <c r="AD87" s="116" t="str">
        <f aca="false">IF($B87="","",'مسير نوفمبر'!AG87)</f>
        <v/>
      </c>
      <c r="AE87" s="116" t="str">
        <f aca="false">IF($B87="","",'مسير ديسمبر'!AG87)</f>
        <v/>
      </c>
      <c r="AF87" s="171" t="str">
        <f aca="false">IF($B87="","",IF(1&lt;=cfg_VAL_M,'مسير يناير'!AG87,0)+IF(2&lt;=cfg_VAL_M,'مسير فبراير'!AG87,0)+IF(3&lt;=cfg_VAL_M,'مسير مارس'!AG87,0)+IF(4&lt;=cfg_VAL_M,'مسير أبريل'!AG87,0)+IF(5&lt;=cfg_VAL_M,'مسير مايو'!AG87,0)+IF(6&lt;=cfg_VAL_M,'مسير يونيو'!AG87,0)+IF(7&lt;=cfg_VAL_M,'مسير يوليو'!AG87,0)+IF(8&lt;=cfg_VAL_M,'مسير أغسطس'!AG87,0)+IF(9&lt;=cfg_VAL_M,'مسير سبتمبر'!AG87,0)+IF(10&lt;=cfg_VAL_M,'مسير أكتوبر'!AG87,0)+IF(11&lt;=cfg_VAL_M,'مسير نوفمبر'!AG87,0)+IF(12&lt;=cfg_VAL_M,'مسير ديسمبر'!AG87,0))</f>
        <v/>
      </c>
      <c r="AG87" s="171" t="str">
        <f aca="false">IF($B87="","",IF(1&lt;=cfg_VAL_M,'مسير يناير'!Y87,0)+IF(2&lt;=cfg_VAL_M,'مسير فبراير'!Y87,0)+IF(3&lt;=cfg_VAL_M,'مسير مارس'!Y87,0)+IF(4&lt;=cfg_VAL_M,'مسير أبريل'!Y87,0)+IF(5&lt;=cfg_VAL_M,'مسير مايو'!Y87,0)+IF(6&lt;=cfg_VAL_M,'مسير يونيو'!Y87,0)+IF(7&lt;=cfg_VAL_M,'مسير يوليو'!Y87,0)+IF(8&lt;=cfg_VAL_M,'مسير أغسطس'!Y87,0)+IF(9&lt;=cfg_VAL_M,'مسير سبتمبر'!Y87,0)+IF(10&lt;=cfg_VAL_M,'مسير أكتوبر'!Y87,0)+IF(11&lt;=cfg_VAL_M,'مسير نوفمبر'!Y87,0)+IF(12&lt;=cfg_VAL_M,'مسير ديسمبر'!Y87,0))</f>
        <v/>
      </c>
      <c r="AH87" s="116" t="str">
        <f aca="false">IF($B87="","",AF87/cfg_VAL_M)</f>
        <v/>
      </c>
    </row>
    <row r="88" customFormat="false" ht="15" hidden="false" customHeight="false" outlineLevel="0" collapsed="false">
      <c r="B88" s="114" t="str">
        <f aca="false">IF(الموظفون!$B88="","",الموظفون!$B88)</f>
        <v/>
      </c>
      <c r="C88" s="114" t="str">
        <f aca="false">IF(الموظفون!$B88="","",الموظفون!$C88)</f>
        <v/>
      </c>
      <c r="D88" s="114" t="str">
        <f aca="false">IF(الموظفون!$B88="","",الموظفون!$F88)</f>
        <v/>
      </c>
      <c r="E88" s="114" t="str">
        <f aca="false">IF(الموظفون!$B88="","",الموظفون!$E88)</f>
        <v/>
      </c>
      <c r="F88" s="111" t="str">
        <f aca="false">IF($B88="","",'مسير يناير'!T88)</f>
        <v/>
      </c>
      <c r="G88" s="111" t="str">
        <f aca="false">IF($B88="","",'مسير فبراير'!T88)</f>
        <v/>
      </c>
      <c r="H88" s="111" t="str">
        <f aca="false">IF($B88="","",'مسير مارس'!T88)</f>
        <v/>
      </c>
      <c r="I88" s="111" t="str">
        <f aca="false">IF($B88="","",'مسير أبريل'!T88)</f>
        <v/>
      </c>
      <c r="J88" s="111" t="str">
        <f aca="false">IF($B88="","",'مسير مايو'!T88)</f>
        <v/>
      </c>
      <c r="K88" s="111" t="str">
        <f aca="false">IF($B88="","",'مسير يونيو'!T88)</f>
        <v/>
      </c>
      <c r="L88" s="111" t="str">
        <f aca="false">IF($B88="","",'مسير يوليو'!T88)</f>
        <v/>
      </c>
      <c r="M88" s="111" t="str">
        <f aca="false">IF($B88="","",'مسير أغسطس'!T88)</f>
        <v/>
      </c>
      <c r="N88" s="111" t="str">
        <f aca="false">IF($B88="","",'مسير سبتمبر'!T88)</f>
        <v/>
      </c>
      <c r="O88" s="111" t="str">
        <f aca="false">IF($B88="","",'مسير أكتوبر'!T88)</f>
        <v/>
      </c>
      <c r="P88" s="111" t="str">
        <f aca="false">IF($B88="","",'مسير نوفمبر'!T88)</f>
        <v/>
      </c>
      <c r="Q88" s="111" t="str">
        <f aca="false">IF($B88="","",'مسير ديسمبر'!T88)</f>
        <v/>
      </c>
      <c r="R88" s="170" t="str">
        <f aca="false">IF($B88="","",IF(1&lt;=cfg_VAL_M,'مسير يناير'!T88,0)+IF(2&lt;=cfg_VAL_M,'مسير فبراير'!T88,0)+IF(3&lt;=cfg_VAL_M,'مسير مارس'!T88,0)+IF(4&lt;=cfg_VAL_M,'مسير أبريل'!T88,0)+IF(5&lt;=cfg_VAL_M,'مسير مايو'!T88,0)+IF(6&lt;=cfg_VAL_M,'مسير يونيو'!T88,0)+IF(7&lt;=cfg_VAL_M,'مسير يوليو'!T88,0)+IF(8&lt;=cfg_VAL_M,'مسير أغسطس'!T88,0)+IF(9&lt;=cfg_VAL_M,'مسير سبتمبر'!T88,0)+IF(10&lt;=cfg_VAL_M,'مسير أكتوبر'!T88,0)+IF(11&lt;=cfg_VAL_M,'مسير نوفمبر'!T88,0)+IF(12&lt;=cfg_VAL_M,'مسير ديسمبر'!T88,0))</f>
        <v/>
      </c>
      <c r="T88" s="111" t="str">
        <f aca="false">IF($B88="","",'مسير يناير'!AG88)</f>
        <v/>
      </c>
      <c r="U88" s="111" t="str">
        <f aca="false">IF($B88="","",'مسير فبراير'!AG88)</f>
        <v/>
      </c>
      <c r="V88" s="111" t="str">
        <f aca="false">IF($B88="","",'مسير مارس'!AG88)</f>
        <v/>
      </c>
      <c r="W88" s="111" t="str">
        <f aca="false">IF($B88="","",'مسير أبريل'!AG88)</f>
        <v/>
      </c>
      <c r="X88" s="111" t="str">
        <f aca="false">IF($B88="","",'مسير مايو'!AG88)</f>
        <v/>
      </c>
      <c r="Y88" s="111" t="str">
        <f aca="false">IF($B88="","",'مسير يونيو'!AG88)</f>
        <v/>
      </c>
      <c r="Z88" s="111" t="str">
        <f aca="false">IF($B88="","",'مسير يوليو'!AG88)</f>
        <v/>
      </c>
      <c r="AA88" s="111" t="str">
        <f aca="false">IF($B88="","",'مسير أغسطس'!AG88)</f>
        <v/>
      </c>
      <c r="AB88" s="111" t="str">
        <f aca="false">IF($B88="","",'مسير سبتمبر'!AG88)</f>
        <v/>
      </c>
      <c r="AC88" s="111" t="str">
        <f aca="false">IF($B88="","",'مسير أكتوبر'!AG88)</f>
        <v/>
      </c>
      <c r="AD88" s="111" t="str">
        <f aca="false">IF($B88="","",'مسير نوفمبر'!AG88)</f>
        <v/>
      </c>
      <c r="AE88" s="111" t="str">
        <f aca="false">IF($B88="","",'مسير ديسمبر'!AG88)</f>
        <v/>
      </c>
      <c r="AF88" s="170" t="str">
        <f aca="false">IF($B88="","",IF(1&lt;=cfg_VAL_M,'مسير يناير'!AG88,0)+IF(2&lt;=cfg_VAL_M,'مسير فبراير'!AG88,0)+IF(3&lt;=cfg_VAL_M,'مسير مارس'!AG88,0)+IF(4&lt;=cfg_VAL_M,'مسير أبريل'!AG88,0)+IF(5&lt;=cfg_VAL_M,'مسير مايو'!AG88,0)+IF(6&lt;=cfg_VAL_M,'مسير يونيو'!AG88,0)+IF(7&lt;=cfg_VAL_M,'مسير يوليو'!AG88,0)+IF(8&lt;=cfg_VAL_M,'مسير أغسطس'!AG88,0)+IF(9&lt;=cfg_VAL_M,'مسير سبتمبر'!AG88,0)+IF(10&lt;=cfg_VAL_M,'مسير أكتوبر'!AG88,0)+IF(11&lt;=cfg_VAL_M,'مسير نوفمبر'!AG88,0)+IF(12&lt;=cfg_VAL_M,'مسير ديسمبر'!AG88,0))</f>
        <v/>
      </c>
      <c r="AG88" s="170" t="str">
        <f aca="false">IF($B88="","",IF(1&lt;=cfg_VAL_M,'مسير يناير'!Y88,0)+IF(2&lt;=cfg_VAL_M,'مسير فبراير'!Y88,0)+IF(3&lt;=cfg_VAL_M,'مسير مارس'!Y88,0)+IF(4&lt;=cfg_VAL_M,'مسير أبريل'!Y88,0)+IF(5&lt;=cfg_VAL_M,'مسير مايو'!Y88,0)+IF(6&lt;=cfg_VAL_M,'مسير يونيو'!Y88,0)+IF(7&lt;=cfg_VAL_M,'مسير يوليو'!Y88,0)+IF(8&lt;=cfg_VAL_M,'مسير أغسطس'!Y88,0)+IF(9&lt;=cfg_VAL_M,'مسير سبتمبر'!Y88,0)+IF(10&lt;=cfg_VAL_M,'مسير أكتوبر'!Y88,0)+IF(11&lt;=cfg_VAL_M,'مسير نوفمبر'!Y88,0)+IF(12&lt;=cfg_VAL_M,'مسير ديسمبر'!Y88,0))</f>
        <v/>
      </c>
      <c r="AH88" s="111" t="str">
        <f aca="false">IF($B88="","",AF88/cfg_VAL_M)</f>
        <v/>
      </c>
    </row>
    <row r="89" customFormat="false" ht="15" hidden="false" customHeight="false" outlineLevel="0" collapsed="false">
      <c r="B89" s="117" t="str">
        <f aca="false">IF(الموظفون!$B89="","",الموظفون!$B89)</f>
        <v/>
      </c>
      <c r="C89" s="117" t="str">
        <f aca="false">IF(الموظفون!$B89="","",الموظفون!$C89)</f>
        <v/>
      </c>
      <c r="D89" s="117" t="str">
        <f aca="false">IF(الموظفون!$B89="","",الموظفون!$F89)</f>
        <v/>
      </c>
      <c r="E89" s="117" t="str">
        <f aca="false">IF(الموظفون!$B89="","",الموظفون!$E89)</f>
        <v/>
      </c>
      <c r="F89" s="116" t="str">
        <f aca="false">IF($B89="","",'مسير يناير'!T89)</f>
        <v/>
      </c>
      <c r="G89" s="116" t="str">
        <f aca="false">IF($B89="","",'مسير فبراير'!T89)</f>
        <v/>
      </c>
      <c r="H89" s="116" t="str">
        <f aca="false">IF($B89="","",'مسير مارس'!T89)</f>
        <v/>
      </c>
      <c r="I89" s="116" t="str">
        <f aca="false">IF($B89="","",'مسير أبريل'!T89)</f>
        <v/>
      </c>
      <c r="J89" s="116" t="str">
        <f aca="false">IF($B89="","",'مسير مايو'!T89)</f>
        <v/>
      </c>
      <c r="K89" s="116" t="str">
        <f aca="false">IF($B89="","",'مسير يونيو'!T89)</f>
        <v/>
      </c>
      <c r="L89" s="116" t="str">
        <f aca="false">IF($B89="","",'مسير يوليو'!T89)</f>
        <v/>
      </c>
      <c r="M89" s="116" t="str">
        <f aca="false">IF($B89="","",'مسير أغسطس'!T89)</f>
        <v/>
      </c>
      <c r="N89" s="116" t="str">
        <f aca="false">IF($B89="","",'مسير سبتمبر'!T89)</f>
        <v/>
      </c>
      <c r="O89" s="116" t="str">
        <f aca="false">IF($B89="","",'مسير أكتوبر'!T89)</f>
        <v/>
      </c>
      <c r="P89" s="116" t="str">
        <f aca="false">IF($B89="","",'مسير نوفمبر'!T89)</f>
        <v/>
      </c>
      <c r="Q89" s="116" t="str">
        <f aca="false">IF($B89="","",'مسير ديسمبر'!T89)</f>
        <v/>
      </c>
      <c r="R89" s="171" t="str">
        <f aca="false">IF($B89="","",IF(1&lt;=cfg_VAL_M,'مسير يناير'!T89,0)+IF(2&lt;=cfg_VAL_M,'مسير فبراير'!T89,0)+IF(3&lt;=cfg_VAL_M,'مسير مارس'!T89,0)+IF(4&lt;=cfg_VAL_M,'مسير أبريل'!T89,0)+IF(5&lt;=cfg_VAL_M,'مسير مايو'!T89,0)+IF(6&lt;=cfg_VAL_M,'مسير يونيو'!T89,0)+IF(7&lt;=cfg_VAL_M,'مسير يوليو'!T89,0)+IF(8&lt;=cfg_VAL_M,'مسير أغسطس'!T89,0)+IF(9&lt;=cfg_VAL_M,'مسير سبتمبر'!T89,0)+IF(10&lt;=cfg_VAL_M,'مسير أكتوبر'!T89,0)+IF(11&lt;=cfg_VAL_M,'مسير نوفمبر'!T89,0)+IF(12&lt;=cfg_VAL_M,'مسير ديسمبر'!T89,0))</f>
        <v/>
      </c>
      <c r="T89" s="116" t="str">
        <f aca="false">IF($B89="","",'مسير يناير'!AG89)</f>
        <v/>
      </c>
      <c r="U89" s="116" t="str">
        <f aca="false">IF($B89="","",'مسير فبراير'!AG89)</f>
        <v/>
      </c>
      <c r="V89" s="116" t="str">
        <f aca="false">IF($B89="","",'مسير مارس'!AG89)</f>
        <v/>
      </c>
      <c r="W89" s="116" t="str">
        <f aca="false">IF($B89="","",'مسير أبريل'!AG89)</f>
        <v/>
      </c>
      <c r="X89" s="116" t="str">
        <f aca="false">IF($B89="","",'مسير مايو'!AG89)</f>
        <v/>
      </c>
      <c r="Y89" s="116" t="str">
        <f aca="false">IF($B89="","",'مسير يونيو'!AG89)</f>
        <v/>
      </c>
      <c r="Z89" s="116" t="str">
        <f aca="false">IF($B89="","",'مسير يوليو'!AG89)</f>
        <v/>
      </c>
      <c r="AA89" s="116" t="str">
        <f aca="false">IF($B89="","",'مسير أغسطس'!AG89)</f>
        <v/>
      </c>
      <c r="AB89" s="116" t="str">
        <f aca="false">IF($B89="","",'مسير سبتمبر'!AG89)</f>
        <v/>
      </c>
      <c r="AC89" s="116" t="str">
        <f aca="false">IF($B89="","",'مسير أكتوبر'!AG89)</f>
        <v/>
      </c>
      <c r="AD89" s="116" t="str">
        <f aca="false">IF($B89="","",'مسير نوفمبر'!AG89)</f>
        <v/>
      </c>
      <c r="AE89" s="116" t="str">
        <f aca="false">IF($B89="","",'مسير ديسمبر'!AG89)</f>
        <v/>
      </c>
      <c r="AF89" s="171" t="str">
        <f aca="false">IF($B89="","",IF(1&lt;=cfg_VAL_M,'مسير يناير'!AG89,0)+IF(2&lt;=cfg_VAL_M,'مسير فبراير'!AG89,0)+IF(3&lt;=cfg_VAL_M,'مسير مارس'!AG89,0)+IF(4&lt;=cfg_VAL_M,'مسير أبريل'!AG89,0)+IF(5&lt;=cfg_VAL_M,'مسير مايو'!AG89,0)+IF(6&lt;=cfg_VAL_M,'مسير يونيو'!AG89,0)+IF(7&lt;=cfg_VAL_M,'مسير يوليو'!AG89,0)+IF(8&lt;=cfg_VAL_M,'مسير أغسطس'!AG89,0)+IF(9&lt;=cfg_VAL_M,'مسير سبتمبر'!AG89,0)+IF(10&lt;=cfg_VAL_M,'مسير أكتوبر'!AG89,0)+IF(11&lt;=cfg_VAL_M,'مسير نوفمبر'!AG89,0)+IF(12&lt;=cfg_VAL_M,'مسير ديسمبر'!AG89,0))</f>
        <v/>
      </c>
      <c r="AG89" s="171" t="str">
        <f aca="false">IF($B89="","",IF(1&lt;=cfg_VAL_M,'مسير يناير'!Y89,0)+IF(2&lt;=cfg_VAL_M,'مسير فبراير'!Y89,0)+IF(3&lt;=cfg_VAL_M,'مسير مارس'!Y89,0)+IF(4&lt;=cfg_VAL_M,'مسير أبريل'!Y89,0)+IF(5&lt;=cfg_VAL_M,'مسير مايو'!Y89,0)+IF(6&lt;=cfg_VAL_M,'مسير يونيو'!Y89,0)+IF(7&lt;=cfg_VAL_M,'مسير يوليو'!Y89,0)+IF(8&lt;=cfg_VAL_M,'مسير أغسطس'!Y89,0)+IF(9&lt;=cfg_VAL_M,'مسير سبتمبر'!Y89,0)+IF(10&lt;=cfg_VAL_M,'مسير أكتوبر'!Y89,0)+IF(11&lt;=cfg_VAL_M,'مسير نوفمبر'!Y89,0)+IF(12&lt;=cfg_VAL_M,'مسير ديسمبر'!Y89,0))</f>
        <v/>
      </c>
      <c r="AH89" s="116" t="str">
        <f aca="false">IF($B89="","",AF89/cfg_VAL_M)</f>
        <v/>
      </c>
    </row>
    <row r="90" customFormat="false" ht="15" hidden="false" customHeight="false" outlineLevel="0" collapsed="false">
      <c r="B90" s="114" t="str">
        <f aca="false">IF(الموظفون!$B90="","",الموظفون!$B90)</f>
        <v/>
      </c>
      <c r="C90" s="114" t="str">
        <f aca="false">IF(الموظفون!$B90="","",الموظفون!$C90)</f>
        <v/>
      </c>
      <c r="D90" s="114" t="str">
        <f aca="false">IF(الموظفون!$B90="","",الموظفون!$F90)</f>
        <v/>
      </c>
      <c r="E90" s="114" t="str">
        <f aca="false">IF(الموظفون!$B90="","",الموظفون!$E90)</f>
        <v/>
      </c>
      <c r="F90" s="111" t="str">
        <f aca="false">IF($B90="","",'مسير يناير'!T90)</f>
        <v/>
      </c>
      <c r="G90" s="111" t="str">
        <f aca="false">IF($B90="","",'مسير فبراير'!T90)</f>
        <v/>
      </c>
      <c r="H90" s="111" t="str">
        <f aca="false">IF($B90="","",'مسير مارس'!T90)</f>
        <v/>
      </c>
      <c r="I90" s="111" t="str">
        <f aca="false">IF($B90="","",'مسير أبريل'!T90)</f>
        <v/>
      </c>
      <c r="J90" s="111" t="str">
        <f aca="false">IF($B90="","",'مسير مايو'!T90)</f>
        <v/>
      </c>
      <c r="K90" s="111" t="str">
        <f aca="false">IF($B90="","",'مسير يونيو'!T90)</f>
        <v/>
      </c>
      <c r="L90" s="111" t="str">
        <f aca="false">IF($B90="","",'مسير يوليو'!T90)</f>
        <v/>
      </c>
      <c r="M90" s="111" t="str">
        <f aca="false">IF($B90="","",'مسير أغسطس'!T90)</f>
        <v/>
      </c>
      <c r="N90" s="111" t="str">
        <f aca="false">IF($B90="","",'مسير سبتمبر'!T90)</f>
        <v/>
      </c>
      <c r="O90" s="111" t="str">
        <f aca="false">IF($B90="","",'مسير أكتوبر'!T90)</f>
        <v/>
      </c>
      <c r="P90" s="111" t="str">
        <f aca="false">IF($B90="","",'مسير نوفمبر'!T90)</f>
        <v/>
      </c>
      <c r="Q90" s="111" t="str">
        <f aca="false">IF($B90="","",'مسير ديسمبر'!T90)</f>
        <v/>
      </c>
      <c r="R90" s="170" t="str">
        <f aca="false">IF($B90="","",IF(1&lt;=cfg_VAL_M,'مسير يناير'!T90,0)+IF(2&lt;=cfg_VAL_M,'مسير فبراير'!T90,0)+IF(3&lt;=cfg_VAL_M,'مسير مارس'!T90,0)+IF(4&lt;=cfg_VAL_M,'مسير أبريل'!T90,0)+IF(5&lt;=cfg_VAL_M,'مسير مايو'!T90,0)+IF(6&lt;=cfg_VAL_M,'مسير يونيو'!T90,0)+IF(7&lt;=cfg_VAL_M,'مسير يوليو'!T90,0)+IF(8&lt;=cfg_VAL_M,'مسير أغسطس'!T90,0)+IF(9&lt;=cfg_VAL_M,'مسير سبتمبر'!T90,0)+IF(10&lt;=cfg_VAL_M,'مسير أكتوبر'!T90,0)+IF(11&lt;=cfg_VAL_M,'مسير نوفمبر'!T90,0)+IF(12&lt;=cfg_VAL_M,'مسير ديسمبر'!T90,0))</f>
        <v/>
      </c>
      <c r="T90" s="111" t="str">
        <f aca="false">IF($B90="","",'مسير يناير'!AG90)</f>
        <v/>
      </c>
      <c r="U90" s="111" t="str">
        <f aca="false">IF($B90="","",'مسير فبراير'!AG90)</f>
        <v/>
      </c>
      <c r="V90" s="111" t="str">
        <f aca="false">IF($B90="","",'مسير مارس'!AG90)</f>
        <v/>
      </c>
      <c r="W90" s="111" t="str">
        <f aca="false">IF($B90="","",'مسير أبريل'!AG90)</f>
        <v/>
      </c>
      <c r="X90" s="111" t="str">
        <f aca="false">IF($B90="","",'مسير مايو'!AG90)</f>
        <v/>
      </c>
      <c r="Y90" s="111" t="str">
        <f aca="false">IF($B90="","",'مسير يونيو'!AG90)</f>
        <v/>
      </c>
      <c r="Z90" s="111" t="str">
        <f aca="false">IF($B90="","",'مسير يوليو'!AG90)</f>
        <v/>
      </c>
      <c r="AA90" s="111" t="str">
        <f aca="false">IF($B90="","",'مسير أغسطس'!AG90)</f>
        <v/>
      </c>
      <c r="AB90" s="111" t="str">
        <f aca="false">IF($B90="","",'مسير سبتمبر'!AG90)</f>
        <v/>
      </c>
      <c r="AC90" s="111" t="str">
        <f aca="false">IF($B90="","",'مسير أكتوبر'!AG90)</f>
        <v/>
      </c>
      <c r="AD90" s="111" t="str">
        <f aca="false">IF($B90="","",'مسير نوفمبر'!AG90)</f>
        <v/>
      </c>
      <c r="AE90" s="111" t="str">
        <f aca="false">IF($B90="","",'مسير ديسمبر'!AG90)</f>
        <v/>
      </c>
      <c r="AF90" s="170" t="str">
        <f aca="false">IF($B90="","",IF(1&lt;=cfg_VAL_M,'مسير يناير'!AG90,0)+IF(2&lt;=cfg_VAL_M,'مسير فبراير'!AG90,0)+IF(3&lt;=cfg_VAL_M,'مسير مارس'!AG90,0)+IF(4&lt;=cfg_VAL_M,'مسير أبريل'!AG90,0)+IF(5&lt;=cfg_VAL_M,'مسير مايو'!AG90,0)+IF(6&lt;=cfg_VAL_M,'مسير يونيو'!AG90,0)+IF(7&lt;=cfg_VAL_M,'مسير يوليو'!AG90,0)+IF(8&lt;=cfg_VAL_M,'مسير أغسطس'!AG90,0)+IF(9&lt;=cfg_VAL_M,'مسير سبتمبر'!AG90,0)+IF(10&lt;=cfg_VAL_M,'مسير أكتوبر'!AG90,0)+IF(11&lt;=cfg_VAL_M,'مسير نوفمبر'!AG90,0)+IF(12&lt;=cfg_VAL_M,'مسير ديسمبر'!AG90,0))</f>
        <v/>
      </c>
      <c r="AG90" s="170" t="str">
        <f aca="false">IF($B90="","",IF(1&lt;=cfg_VAL_M,'مسير يناير'!Y90,0)+IF(2&lt;=cfg_VAL_M,'مسير فبراير'!Y90,0)+IF(3&lt;=cfg_VAL_M,'مسير مارس'!Y90,0)+IF(4&lt;=cfg_VAL_M,'مسير أبريل'!Y90,0)+IF(5&lt;=cfg_VAL_M,'مسير مايو'!Y90,0)+IF(6&lt;=cfg_VAL_M,'مسير يونيو'!Y90,0)+IF(7&lt;=cfg_VAL_M,'مسير يوليو'!Y90,0)+IF(8&lt;=cfg_VAL_M,'مسير أغسطس'!Y90,0)+IF(9&lt;=cfg_VAL_M,'مسير سبتمبر'!Y90,0)+IF(10&lt;=cfg_VAL_M,'مسير أكتوبر'!Y90,0)+IF(11&lt;=cfg_VAL_M,'مسير نوفمبر'!Y90,0)+IF(12&lt;=cfg_VAL_M,'مسير ديسمبر'!Y90,0))</f>
        <v/>
      </c>
      <c r="AH90" s="111" t="str">
        <f aca="false">IF($B90="","",AF90/cfg_VAL_M)</f>
        <v/>
      </c>
    </row>
    <row r="91" customFormat="false" ht="15" hidden="false" customHeight="false" outlineLevel="0" collapsed="false">
      <c r="B91" s="117" t="str">
        <f aca="false">IF(الموظفون!$B91="","",الموظفون!$B91)</f>
        <v/>
      </c>
      <c r="C91" s="117" t="str">
        <f aca="false">IF(الموظفون!$B91="","",الموظفون!$C91)</f>
        <v/>
      </c>
      <c r="D91" s="117" t="str">
        <f aca="false">IF(الموظفون!$B91="","",الموظفون!$F91)</f>
        <v/>
      </c>
      <c r="E91" s="117" t="str">
        <f aca="false">IF(الموظفون!$B91="","",الموظفون!$E91)</f>
        <v/>
      </c>
      <c r="F91" s="116" t="str">
        <f aca="false">IF($B91="","",'مسير يناير'!T91)</f>
        <v/>
      </c>
      <c r="G91" s="116" t="str">
        <f aca="false">IF($B91="","",'مسير فبراير'!T91)</f>
        <v/>
      </c>
      <c r="H91" s="116" t="str">
        <f aca="false">IF($B91="","",'مسير مارس'!T91)</f>
        <v/>
      </c>
      <c r="I91" s="116" t="str">
        <f aca="false">IF($B91="","",'مسير أبريل'!T91)</f>
        <v/>
      </c>
      <c r="J91" s="116" t="str">
        <f aca="false">IF($B91="","",'مسير مايو'!T91)</f>
        <v/>
      </c>
      <c r="K91" s="116" t="str">
        <f aca="false">IF($B91="","",'مسير يونيو'!T91)</f>
        <v/>
      </c>
      <c r="L91" s="116" t="str">
        <f aca="false">IF($B91="","",'مسير يوليو'!T91)</f>
        <v/>
      </c>
      <c r="M91" s="116" t="str">
        <f aca="false">IF($B91="","",'مسير أغسطس'!T91)</f>
        <v/>
      </c>
      <c r="N91" s="116" t="str">
        <f aca="false">IF($B91="","",'مسير سبتمبر'!T91)</f>
        <v/>
      </c>
      <c r="O91" s="116" t="str">
        <f aca="false">IF($B91="","",'مسير أكتوبر'!T91)</f>
        <v/>
      </c>
      <c r="P91" s="116" t="str">
        <f aca="false">IF($B91="","",'مسير نوفمبر'!T91)</f>
        <v/>
      </c>
      <c r="Q91" s="116" t="str">
        <f aca="false">IF($B91="","",'مسير ديسمبر'!T91)</f>
        <v/>
      </c>
      <c r="R91" s="171" t="str">
        <f aca="false">IF($B91="","",IF(1&lt;=cfg_VAL_M,'مسير يناير'!T91,0)+IF(2&lt;=cfg_VAL_M,'مسير فبراير'!T91,0)+IF(3&lt;=cfg_VAL_M,'مسير مارس'!T91,0)+IF(4&lt;=cfg_VAL_M,'مسير أبريل'!T91,0)+IF(5&lt;=cfg_VAL_M,'مسير مايو'!T91,0)+IF(6&lt;=cfg_VAL_M,'مسير يونيو'!T91,0)+IF(7&lt;=cfg_VAL_M,'مسير يوليو'!T91,0)+IF(8&lt;=cfg_VAL_M,'مسير أغسطس'!T91,0)+IF(9&lt;=cfg_VAL_M,'مسير سبتمبر'!T91,0)+IF(10&lt;=cfg_VAL_M,'مسير أكتوبر'!T91,0)+IF(11&lt;=cfg_VAL_M,'مسير نوفمبر'!T91,0)+IF(12&lt;=cfg_VAL_M,'مسير ديسمبر'!T91,0))</f>
        <v/>
      </c>
      <c r="T91" s="116" t="str">
        <f aca="false">IF($B91="","",'مسير يناير'!AG91)</f>
        <v/>
      </c>
      <c r="U91" s="116" t="str">
        <f aca="false">IF($B91="","",'مسير فبراير'!AG91)</f>
        <v/>
      </c>
      <c r="V91" s="116" t="str">
        <f aca="false">IF($B91="","",'مسير مارس'!AG91)</f>
        <v/>
      </c>
      <c r="W91" s="116" t="str">
        <f aca="false">IF($B91="","",'مسير أبريل'!AG91)</f>
        <v/>
      </c>
      <c r="X91" s="116" t="str">
        <f aca="false">IF($B91="","",'مسير مايو'!AG91)</f>
        <v/>
      </c>
      <c r="Y91" s="116" t="str">
        <f aca="false">IF($B91="","",'مسير يونيو'!AG91)</f>
        <v/>
      </c>
      <c r="Z91" s="116" t="str">
        <f aca="false">IF($B91="","",'مسير يوليو'!AG91)</f>
        <v/>
      </c>
      <c r="AA91" s="116" t="str">
        <f aca="false">IF($B91="","",'مسير أغسطس'!AG91)</f>
        <v/>
      </c>
      <c r="AB91" s="116" t="str">
        <f aca="false">IF($B91="","",'مسير سبتمبر'!AG91)</f>
        <v/>
      </c>
      <c r="AC91" s="116" t="str">
        <f aca="false">IF($B91="","",'مسير أكتوبر'!AG91)</f>
        <v/>
      </c>
      <c r="AD91" s="116" t="str">
        <f aca="false">IF($B91="","",'مسير نوفمبر'!AG91)</f>
        <v/>
      </c>
      <c r="AE91" s="116" t="str">
        <f aca="false">IF($B91="","",'مسير ديسمبر'!AG91)</f>
        <v/>
      </c>
      <c r="AF91" s="171" t="str">
        <f aca="false">IF($B91="","",IF(1&lt;=cfg_VAL_M,'مسير يناير'!AG91,0)+IF(2&lt;=cfg_VAL_M,'مسير فبراير'!AG91,0)+IF(3&lt;=cfg_VAL_M,'مسير مارس'!AG91,0)+IF(4&lt;=cfg_VAL_M,'مسير أبريل'!AG91,0)+IF(5&lt;=cfg_VAL_M,'مسير مايو'!AG91,0)+IF(6&lt;=cfg_VAL_M,'مسير يونيو'!AG91,0)+IF(7&lt;=cfg_VAL_M,'مسير يوليو'!AG91,0)+IF(8&lt;=cfg_VAL_M,'مسير أغسطس'!AG91,0)+IF(9&lt;=cfg_VAL_M,'مسير سبتمبر'!AG91,0)+IF(10&lt;=cfg_VAL_M,'مسير أكتوبر'!AG91,0)+IF(11&lt;=cfg_VAL_M,'مسير نوفمبر'!AG91,0)+IF(12&lt;=cfg_VAL_M,'مسير ديسمبر'!AG91,0))</f>
        <v/>
      </c>
      <c r="AG91" s="171" t="str">
        <f aca="false">IF($B91="","",IF(1&lt;=cfg_VAL_M,'مسير يناير'!Y91,0)+IF(2&lt;=cfg_VAL_M,'مسير فبراير'!Y91,0)+IF(3&lt;=cfg_VAL_M,'مسير مارس'!Y91,0)+IF(4&lt;=cfg_VAL_M,'مسير أبريل'!Y91,0)+IF(5&lt;=cfg_VAL_M,'مسير مايو'!Y91,0)+IF(6&lt;=cfg_VAL_M,'مسير يونيو'!Y91,0)+IF(7&lt;=cfg_VAL_M,'مسير يوليو'!Y91,0)+IF(8&lt;=cfg_VAL_M,'مسير أغسطس'!Y91,0)+IF(9&lt;=cfg_VAL_M,'مسير سبتمبر'!Y91,0)+IF(10&lt;=cfg_VAL_M,'مسير أكتوبر'!Y91,0)+IF(11&lt;=cfg_VAL_M,'مسير نوفمبر'!Y91,0)+IF(12&lt;=cfg_VAL_M,'مسير ديسمبر'!Y91,0))</f>
        <v/>
      </c>
      <c r="AH91" s="116" t="str">
        <f aca="false">IF($B91="","",AF91/cfg_VAL_M)</f>
        <v/>
      </c>
    </row>
    <row r="92" customFormat="false" ht="15" hidden="false" customHeight="false" outlineLevel="0" collapsed="false">
      <c r="B92" s="114" t="str">
        <f aca="false">IF(الموظفون!$B92="","",الموظفون!$B92)</f>
        <v/>
      </c>
      <c r="C92" s="114" t="str">
        <f aca="false">IF(الموظفون!$B92="","",الموظفون!$C92)</f>
        <v/>
      </c>
      <c r="D92" s="114" t="str">
        <f aca="false">IF(الموظفون!$B92="","",الموظفون!$F92)</f>
        <v/>
      </c>
      <c r="E92" s="114" t="str">
        <f aca="false">IF(الموظفون!$B92="","",الموظفون!$E92)</f>
        <v/>
      </c>
      <c r="F92" s="111" t="str">
        <f aca="false">IF($B92="","",'مسير يناير'!T92)</f>
        <v/>
      </c>
      <c r="G92" s="111" t="str">
        <f aca="false">IF($B92="","",'مسير فبراير'!T92)</f>
        <v/>
      </c>
      <c r="H92" s="111" t="str">
        <f aca="false">IF($B92="","",'مسير مارس'!T92)</f>
        <v/>
      </c>
      <c r="I92" s="111" t="str">
        <f aca="false">IF($B92="","",'مسير أبريل'!T92)</f>
        <v/>
      </c>
      <c r="J92" s="111" t="str">
        <f aca="false">IF($B92="","",'مسير مايو'!T92)</f>
        <v/>
      </c>
      <c r="K92" s="111" t="str">
        <f aca="false">IF($B92="","",'مسير يونيو'!T92)</f>
        <v/>
      </c>
      <c r="L92" s="111" t="str">
        <f aca="false">IF($B92="","",'مسير يوليو'!T92)</f>
        <v/>
      </c>
      <c r="M92" s="111" t="str">
        <f aca="false">IF($B92="","",'مسير أغسطس'!T92)</f>
        <v/>
      </c>
      <c r="N92" s="111" t="str">
        <f aca="false">IF($B92="","",'مسير سبتمبر'!T92)</f>
        <v/>
      </c>
      <c r="O92" s="111" t="str">
        <f aca="false">IF($B92="","",'مسير أكتوبر'!T92)</f>
        <v/>
      </c>
      <c r="P92" s="111" t="str">
        <f aca="false">IF($B92="","",'مسير نوفمبر'!T92)</f>
        <v/>
      </c>
      <c r="Q92" s="111" t="str">
        <f aca="false">IF($B92="","",'مسير ديسمبر'!T92)</f>
        <v/>
      </c>
      <c r="R92" s="170" t="str">
        <f aca="false">IF($B92="","",IF(1&lt;=cfg_VAL_M,'مسير يناير'!T92,0)+IF(2&lt;=cfg_VAL_M,'مسير فبراير'!T92,0)+IF(3&lt;=cfg_VAL_M,'مسير مارس'!T92,0)+IF(4&lt;=cfg_VAL_M,'مسير أبريل'!T92,0)+IF(5&lt;=cfg_VAL_M,'مسير مايو'!T92,0)+IF(6&lt;=cfg_VAL_M,'مسير يونيو'!T92,0)+IF(7&lt;=cfg_VAL_M,'مسير يوليو'!T92,0)+IF(8&lt;=cfg_VAL_M,'مسير أغسطس'!T92,0)+IF(9&lt;=cfg_VAL_M,'مسير سبتمبر'!T92,0)+IF(10&lt;=cfg_VAL_M,'مسير أكتوبر'!T92,0)+IF(11&lt;=cfg_VAL_M,'مسير نوفمبر'!T92,0)+IF(12&lt;=cfg_VAL_M,'مسير ديسمبر'!T92,0))</f>
        <v/>
      </c>
      <c r="T92" s="111" t="str">
        <f aca="false">IF($B92="","",'مسير يناير'!AG92)</f>
        <v/>
      </c>
      <c r="U92" s="111" t="str">
        <f aca="false">IF($B92="","",'مسير فبراير'!AG92)</f>
        <v/>
      </c>
      <c r="V92" s="111" t="str">
        <f aca="false">IF($B92="","",'مسير مارس'!AG92)</f>
        <v/>
      </c>
      <c r="W92" s="111" t="str">
        <f aca="false">IF($B92="","",'مسير أبريل'!AG92)</f>
        <v/>
      </c>
      <c r="X92" s="111" t="str">
        <f aca="false">IF($B92="","",'مسير مايو'!AG92)</f>
        <v/>
      </c>
      <c r="Y92" s="111" t="str">
        <f aca="false">IF($B92="","",'مسير يونيو'!AG92)</f>
        <v/>
      </c>
      <c r="Z92" s="111" t="str">
        <f aca="false">IF($B92="","",'مسير يوليو'!AG92)</f>
        <v/>
      </c>
      <c r="AA92" s="111" t="str">
        <f aca="false">IF($B92="","",'مسير أغسطس'!AG92)</f>
        <v/>
      </c>
      <c r="AB92" s="111" t="str">
        <f aca="false">IF($B92="","",'مسير سبتمبر'!AG92)</f>
        <v/>
      </c>
      <c r="AC92" s="111" t="str">
        <f aca="false">IF($B92="","",'مسير أكتوبر'!AG92)</f>
        <v/>
      </c>
      <c r="AD92" s="111" t="str">
        <f aca="false">IF($B92="","",'مسير نوفمبر'!AG92)</f>
        <v/>
      </c>
      <c r="AE92" s="111" t="str">
        <f aca="false">IF($B92="","",'مسير ديسمبر'!AG92)</f>
        <v/>
      </c>
      <c r="AF92" s="170" t="str">
        <f aca="false">IF($B92="","",IF(1&lt;=cfg_VAL_M,'مسير يناير'!AG92,0)+IF(2&lt;=cfg_VAL_M,'مسير فبراير'!AG92,0)+IF(3&lt;=cfg_VAL_M,'مسير مارس'!AG92,0)+IF(4&lt;=cfg_VAL_M,'مسير أبريل'!AG92,0)+IF(5&lt;=cfg_VAL_M,'مسير مايو'!AG92,0)+IF(6&lt;=cfg_VAL_M,'مسير يونيو'!AG92,0)+IF(7&lt;=cfg_VAL_M,'مسير يوليو'!AG92,0)+IF(8&lt;=cfg_VAL_M,'مسير أغسطس'!AG92,0)+IF(9&lt;=cfg_VAL_M,'مسير سبتمبر'!AG92,0)+IF(10&lt;=cfg_VAL_M,'مسير أكتوبر'!AG92,0)+IF(11&lt;=cfg_VAL_M,'مسير نوفمبر'!AG92,0)+IF(12&lt;=cfg_VAL_M,'مسير ديسمبر'!AG92,0))</f>
        <v/>
      </c>
      <c r="AG92" s="170" t="str">
        <f aca="false">IF($B92="","",IF(1&lt;=cfg_VAL_M,'مسير يناير'!Y92,0)+IF(2&lt;=cfg_VAL_M,'مسير فبراير'!Y92,0)+IF(3&lt;=cfg_VAL_M,'مسير مارس'!Y92,0)+IF(4&lt;=cfg_VAL_M,'مسير أبريل'!Y92,0)+IF(5&lt;=cfg_VAL_M,'مسير مايو'!Y92,0)+IF(6&lt;=cfg_VAL_M,'مسير يونيو'!Y92,0)+IF(7&lt;=cfg_VAL_M,'مسير يوليو'!Y92,0)+IF(8&lt;=cfg_VAL_M,'مسير أغسطس'!Y92,0)+IF(9&lt;=cfg_VAL_M,'مسير سبتمبر'!Y92,0)+IF(10&lt;=cfg_VAL_M,'مسير أكتوبر'!Y92,0)+IF(11&lt;=cfg_VAL_M,'مسير نوفمبر'!Y92,0)+IF(12&lt;=cfg_VAL_M,'مسير ديسمبر'!Y92,0))</f>
        <v/>
      </c>
      <c r="AH92" s="111" t="str">
        <f aca="false">IF($B92="","",AF92/cfg_VAL_M)</f>
        <v/>
      </c>
    </row>
    <row r="93" customFormat="false" ht="15" hidden="false" customHeight="false" outlineLevel="0" collapsed="false">
      <c r="B93" s="117" t="str">
        <f aca="false">IF(الموظفون!$B93="","",الموظفون!$B93)</f>
        <v/>
      </c>
      <c r="C93" s="117" t="str">
        <f aca="false">IF(الموظفون!$B93="","",الموظفون!$C93)</f>
        <v/>
      </c>
      <c r="D93" s="117" t="str">
        <f aca="false">IF(الموظفون!$B93="","",الموظفون!$F93)</f>
        <v/>
      </c>
      <c r="E93" s="117" t="str">
        <f aca="false">IF(الموظفون!$B93="","",الموظفون!$E93)</f>
        <v/>
      </c>
      <c r="F93" s="116" t="str">
        <f aca="false">IF($B93="","",'مسير يناير'!T93)</f>
        <v/>
      </c>
      <c r="G93" s="116" t="str">
        <f aca="false">IF($B93="","",'مسير فبراير'!T93)</f>
        <v/>
      </c>
      <c r="H93" s="116" t="str">
        <f aca="false">IF($B93="","",'مسير مارس'!T93)</f>
        <v/>
      </c>
      <c r="I93" s="116" t="str">
        <f aca="false">IF($B93="","",'مسير أبريل'!T93)</f>
        <v/>
      </c>
      <c r="J93" s="116" t="str">
        <f aca="false">IF($B93="","",'مسير مايو'!T93)</f>
        <v/>
      </c>
      <c r="K93" s="116" t="str">
        <f aca="false">IF($B93="","",'مسير يونيو'!T93)</f>
        <v/>
      </c>
      <c r="L93" s="116" t="str">
        <f aca="false">IF($B93="","",'مسير يوليو'!T93)</f>
        <v/>
      </c>
      <c r="M93" s="116" t="str">
        <f aca="false">IF($B93="","",'مسير أغسطس'!T93)</f>
        <v/>
      </c>
      <c r="N93" s="116" t="str">
        <f aca="false">IF($B93="","",'مسير سبتمبر'!T93)</f>
        <v/>
      </c>
      <c r="O93" s="116" t="str">
        <f aca="false">IF($B93="","",'مسير أكتوبر'!T93)</f>
        <v/>
      </c>
      <c r="P93" s="116" t="str">
        <f aca="false">IF($B93="","",'مسير نوفمبر'!T93)</f>
        <v/>
      </c>
      <c r="Q93" s="116" t="str">
        <f aca="false">IF($B93="","",'مسير ديسمبر'!T93)</f>
        <v/>
      </c>
      <c r="R93" s="171" t="str">
        <f aca="false">IF($B93="","",IF(1&lt;=cfg_VAL_M,'مسير يناير'!T93,0)+IF(2&lt;=cfg_VAL_M,'مسير فبراير'!T93,0)+IF(3&lt;=cfg_VAL_M,'مسير مارس'!T93,0)+IF(4&lt;=cfg_VAL_M,'مسير أبريل'!T93,0)+IF(5&lt;=cfg_VAL_M,'مسير مايو'!T93,0)+IF(6&lt;=cfg_VAL_M,'مسير يونيو'!T93,0)+IF(7&lt;=cfg_VAL_M,'مسير يوليو'!T93,0)+IF(8&lt;=cfg_VAL_M,'مسير أغسطس'!T93,0)+IF(9&lt;=cfg_VAL_M,'مسير سبتمبر'!T93,0)+IF(10&lt;=cfg_VAL_M,'مسير أكتوبر'!T93,0)+IF(11&lt;=cfg_VAL_M,'مسير نوفمبر'!T93,0)+IF(12&lt;=cfg_VAL_M,'مسير ديسمبر'!T93,0))</f>
        <v/>
      </c>
      <c r="T93" s="116" t="str">
        <f aca="false">IF($B93="","",'مسير يناير'!AG93)</f>
        <v/>
      </c>
      <c r="U93" s="116" t="str">
        <f aca="false">IF($B93="","",'مسير فبراير'!AG93)</f>
        <v/>
      </c>
      <c r="V93" s="116" t="str">
        <f aca="false">IF($B93="","",'مسير مارس'!AG93)</f>
        <v/>
      </c>
      <c r="W93" s="116" t="str">
        <f aca="false">IF($B93="","",'مسير أبريل'!AG93)</f>
        <v/>
      </c>
      <c r="X93" s="116" t="str">
        <f aca="false">IF($B93="","",'مسير مايو'!AG93)</f>
        <v/>
      </c>
      <c r="Y93" s="116" t="str">
        <f aca="false">IF($B93="","",'مسير يونيو'!AG93)</f>
        <v/>
      </c>
      <c r="Z93" s="116" t="str">
        <f aca="false">IF($B93="","",'مسير يوليو'!AG93)</f>
        <v/>
      </c>
      <c r="AA93" s="116" t="str">
        <f aca="false">IF($B93="","",'مسير أغسطس'!AG93)</f>
        <v/>
      </c>
      <c r="AB93" s="116" t="str">
        <f aca="false">IF($B93="","",'مسير سبتمبر'!AG93)</f>
        <v/>
      </c>
      <c r="AC93" s="116" t="str">
        <f aca="false">IF($B93="","",'مسير أكتوبر'!AG93)</f>
        <v/>
      </c>
      <c r="AD93" s="116" t="str">
        <f aca="false">IF($B93="","",'مسير نوفمبر'!AG93)</f>
        <v/>
      </c>
      <c r="AE93" s="116" t="str">
        <f aca="false">IF($B93="","",'مسير ديسمبر'!AG93)</f>
        <v/>
      </c>
      <c r="AF93" s="171" t="str">
        <f aca="false">IF($B93="","",IF(1&lt;=cfg_VAL_M,'مسير يناير'!AG93,0)+IF(2&lt;=cfg_VAL_M,'مسير فبراير'!AG93,0)+IF(3&lt;=cfg_VAL_M,'مسير مارس'!AG93,0)+IF(4&lt;=cfg_VAL_M,'مسير أبريل'!AG93,0)+IF(5&lt;=cfg_VAL_M,'مسير مايو'!AG93,0)+IF(6&lt;=cfg_VAL_M,'مسير يونيو'!AG93,0)+IF(7&lt;=cfg_VAL_M,'مسير يوليو'!AG93,0)+IF(8&lt;=cfg_VAL_M,'مسير أغسطس'!AG93,0)+IF(9&lt;=cfg_VAL_M,'مسير سبتمبر'!AG93,0)+IF(10&lt;=cfg_VAL_M,'مسير أكتوبر'!AG93,0)+IF(11&lt;=cfg_VAL_M,'مسير نوفمبر'!AG93,0)+IF(12&lt;=cfg_VAL_M,'مسير ديسمبر'!AG93,0))</f>
        <v/>
      </c>
      <c r="AG93" s="171" t="str">
        <f aca="false">IF($B93="","",IF(1&lt;=cfg_VAL_M,'مسير يناير'!Y93,0)+IF(2&lt;=cfg_VAL_M,'مسير فبراير'!Y93,0)+IF(3&lt;=cfg_VAL_M,'مسير مارس'!Y93,0)+IF(4&lt;=cfg_VAL_M,'مسير أبريل'!Y93,0)+IF(5&lt;=cfg_VAL_M,'مسير مايو'!Y93,0)+IF(6&lt;=cfg_VAL_M,'مسير يونيو'!Y93,0)+IF(7&lt;=cfg_VAL_M,'مسير يوليو'!Y93,0)+IF(8&lt;=cfg_VAL_M,'مسير أغسطس'!Y93,0)+IF(9&lt;=cfg_VAL_M,'مسير سبتمبر'!Y93,0)+IF(10&lt;=cfg_VAL_M,'مسير أكتوبر'!Y93,0)+IF(11&lt;=cfg_VAL_M,'مسير نوفمبر'!Y93,0)+IF(12&lt;=cfg_VAL_M,'مسير ديسمبر'!Y93,0))</f>
        <v/>
      </c>
      <c r="AH93" s="116" t="str">
        <f aca="false">IF($B93="","",AF93/cfg_VAL_M)</f>
        <v/>
      </c>
    </row>
    <row r="94" customFormat="false" ht="15" hidden="false" customHeight="false" outlineLevel="0" collapsed="false">
      <c r="B94" s="114" t="str">
        <f aca="false">IF(الموظفون!$B94="","",الموظفون!$B94)</f>
        <v/>
      </c>
      <c r="C94" s="114" t="str">
        <f aca="false">IF(الموظفون!$B94="","",الموظفون!$C94)</f>
        <v/>
      </c>
      <c r="D94" s="114" t="str">
        <f aca="false">IF(الموظفون!$B94="","",الموظفون!$F94)</f>
        <v/>
      </c>
      <c r="E94" s="114" t="str">
        <f aca="false">IF(الموظفون!$B94="","",الموظفون!$E94)</f>
        <v/>
      </c>
      <c r="F94" s="111" t="str">
        <f aca="false">IF($B94="","",'مسير يناير'!T94)</f>
        <v/>
      </c>
      <c r="G94" s="111" t="str">
        <f aca="false">IF($B94="","",'مسير فبراير'!T94)</f>
        <v/>
      </c>
      <c r="H94" s="111" t="str">
        <f aca="false">IF($B94="","",'مسير مارس'!T94)</f>
        <v/>
      </c>
      <c r="I94" s="111" t="str">
        <f aca="false">IF($B94="","",'مسير أبريل'!T94)</f>
        <v/>
      </c>
      <c r="J94" s="111" t="str">
        <f aca="false">IF($B94="","",'مسير مايو'!T94)</f>
        <v/>
      </c>
      <c r="K94" s="111" t="str">
        <f aca="false">IF($B94="","",'مسير يونيو'!T94)</f>
        <v/>
      </c>
      <c r="L94" s="111" t="str">
        <f aca="false">IF($B94="","",'مسير يوليو'!T94)</f>
        <v/>
      </c>
      <c r="M94" s="111" t="str">
        <f aca="false">IF($B94="","",'مسير أغسطس'!T94)</f>
        <v/>
      </c>
      <c r="N94" s="111" t="str">
        <f aca="false">IF($B94="","",'مسير سبتمبر'!T94)</f>
        <v/>
      </c>
      <c r="O94" s="111" t="str">
        <f aca="false">IF($B94="","",'مسير أكتوبر'!T94)</f>
        <v/>
      </c>
      <c r="P94" s="111" t="str">
        <f aca="false">IF($B94="","",'مسير نوفمبر'!T94)</f>
        <v/>
      </c>
      <c r="Q94" s="111" t="str">
        <f aca="false">IF($B94="","",'مسير ديسمبر'!T94)</f>
        <v/>
      </c>
      <c r="R94" s="170" t="str">
        <f aca="false">IF($B94="","",IF(1&lt;=cfg_VAL_M,'مسير يناير'!T94,0)+IF(2&lt;=cfg_VAL_M,'مسير فبراير'!T94,0)+IF(3&lt;=cfg_VAL_M,'مسير مارس'!T94,0)+IF(4&lt;=cfg_VAL_M,'مسير أبريل'!T94,0)+IF(5&lt;=cfg_VAL_M,'مسير مايو'!T94,0)+IF(6&lt;=cfg_VAL_M,'مسير يونيو'!T94,0)+IF(7&lt;=cfg_VAL_M,'مسير يوليو'!T94,0)+IF(8&lt;=cfg_VAL_M,'مسير أغسطس'!T94,0)+IF(9&lt;=cfg_VAL_M,'مسير سبتمبر'!T94,0)+IF(10&lt;=cfg_VAL_M,'مسير أكتوبر'!T94,0)+IF(11&lt;=cfg_VAL_M,'مسير نوفمبر'!T94,0)+IF(12&lt;=cfg_VAL_M,'مسير ديسمبر'!T94,0))</f>
        <v/>
      </c>
      <c r="T94" s="111" t="str">
        <f aca="false">IF($B94="","",'مسير يناير'!AG94)</f>
        <v/>
      </c>
      <c r="U94" s="111" t="str">
        <f aca="false">IF($B94="","",'مسير فبراير'!AG94)</f>
        <v/>
      </c>
      <c r="V94" s="111" t="str">
        <f aca="false">IF($B94="","",'مسير مارس'!AG94)</f>
        <v/>
      </c>
      <c r="W94" s="111" t="str">
        <f aca="false">IF($B94="","",'مسير أبريل'!AG94)</f>
        <v/>
      </c>
      <c r="X94" s="111" t="str">
        <f aca="false">IF($B94="","",'مسير مايو'!AG94)</f>
        <v/>
      </c>
      <c r="Y94" s="111" t="str">
        <f aca="false">IF($B94="","",'مسير يونيو'!AG94)</f>
        <v/>
      </c>
      <c r="Z94" s="111" t="str">
        <f aca="false">IF($B94="","",'مسير يوليو'!AG94)</f>
        <v/>
      </c>
      <c r="AA94" s="111" t="str">
        <f aca="false">IF($B94="","",'مسير أغسطس'!AG94)</f>
        <v/>
      </c>
      <c r="AB94" s="111" t="str">
        <f aca="false">IF($B94="","",'مسير سبتمبر'!AG94)</f>
        <v/>
      </c>
      <c r="AC94" s="111" t="str">
        <f aca="false">IF($B94="","",'مسير أكتوبر'!AG94)</f>
        <v/>
      </c>
      <c r="AD94" s="111" t="str">
        <f aca="false">IF($B94="","",'مسير نوفمبر'!AG94)</f>
        <v/>
      </c>
      <c r="AE94" s="111" t="str">
        <f aca="false">IF($B94="","",'مسير ديسمبر'!AG94)</f>
        <v/>
      </c>
      <c r="AF94" s="170" t="str">
        <f aca="false">IF($B94="","",IF(1&lt;=cfg_VAL_M,'مسير يناير'!AG94,0)+IF(2&lt;=cfg_VAL_M,'مسير فبراير'!AG94,0)+IF(3&lt;=cfg_VAL_M,'مسير مارس'!AG94,0)+IF(4&lt;=cfg_VAL_M,'مسير أبريل'!AG94,0)+IF(5&lt;=cfg_VAL_M,'مسير مايو'!AG94,0)+IF(6&lt;=cfg_VAL_M,'مسير يونيو'!AG94,0)+IF(7&lt;=cfg_VAL_M,'مسير يوليو'!AG94,0)+IF(8&lt;=cfg_VAL_M,'مسير أغسطس'!AG94,0)+IF(9&lt;=cfg_VAL_M,'مسير سبتمبر'!AG94,0)+IF(10&lt;=cfg_VAL_M,'مسير أكتوبر'!AG94,0)+IF(11&lt;=cfg_VAL_M,'مسير نوفمبر'!AG94,0)+IF(12&lt;=cfg_VAL_M,'مسير ديسمبر'!AG94,0))</f>
        <v/>
      </c>
      <c r="AG94" s="170" t="str">
        <f aca="false">IF($B94="","",IF(1&lt;=cfg_VAL_M,'مسير يناير'!Y94,0)+IF(2&lt;=cfg_VAL_M,'مسير فبراير'!Y94,0)+IF(3&lt;=cfg_VAL_M,'مسير مارس'!Y94,0)+IF(4&lt;=cfg_VAL_M,'مسير أبريل'!Y94,0)+IF(5&lt;=cfg_VAL_M,'مسير مايو'!Y94,0)+IF(6&lt;=cfg_VAL_M,'مسير يونيو'!Y94,0)+IF(7&lt;=cfg_VAL_M,'مسير يوليو'!Y94,0)+IF(8&lt;=cfg_VAL_M,'مسير أغسطس'!Y94,0)+IF(9&lt;=cfg_VAL_M,'مسير سبتمبر'!Y94,0)+IF(10&lt;=cfg_VAL_M,'مسير أكتوبر'!Y94,0)+IF(11&lt;=cfg_VAL_M,'مسير نوفمبر'!Y94,0)+IF(12&lt;=cfg_VAL_M,'مسير ديسمبر'!Y94,0))</f>
        <v/>
      </c>
      <c r="AH94" s="111" t="str">
        <f aca="false">IF($B94="","",AF94/cfg_VAL_M)</f>
        <v/>
      </c>
    </row>
    <row r="95" customFormat="false" ht="15" hidden="false" customHeight="false" outlineLevel="0" collapsed="false">
      <c r="B95" s="117" t="str">
        <f aca="false">IF(الموظفون!$B95="","",الموظفون!$B95)</f>
        <v/>
      </c>
      <c r="C95" s="117" t="str">
        <f aca="false">IF(الموظفون!$B95="","",الموظفون!$C95)</f>
        <v/>
      </c>
      <c r="D95" s="117" t="str">
        <f aca="false">IF(الموظفون!$B95="","",الموظفون!$F95)</f>
        <v/>
      </c>
      <c r="E95" s="117" t="str">
        <f aca="false">IF(الموظفون!$B95="","",الموظفون!$E95)</f>
        <v/>
      </c>
      <c r="F95" s="116" t="str">
        <f aca="false">IF($B95="","",'مسير يناير'!T95)</f>
        <v/>
      </c>
      <c r="G95" s="116" t="str">
        <f aca="false">IF($B95="","",'مسير فبراير'!T95)</f>
        <v/>
      </c>
      <c r="H95" s="116" t="str">
        <f aca="false">IF($B95="","",'مسير مارس'!T95)</f>
        <v/>
      </c>
      <c r="I95" s="116" t="str">
        <f aca="false">IF($B95="","",'مسير أبريل'!T95)</f>
        <v/>
      </c>
      <c r="J95" s="116" t="str">
        <f aca="false">IF($B95="","",'مسير مايو'!T95)</f>
        <v/>
      </c>
      <c r="K95" s="116" t="str">
        <f aca="false">IF($B95="","",'مسير يونيو'!T95)</f>
        <v/>
      </c>
      <c r="L95" s="116" t="str">
        <f aca="false">IF($B95="","",'مسير يوليو'!T95)</f>
        <v/>
      </c>
      <c r="M95" s="116" t="str">
        <f aca="false">IF($B95="","",'مسير أغسطس'!T95)</f>
        <v/>
      </c>
      <c r="N95" s="116" t="str">
        <f aca="false">IF($B95="","",'مسير سبتمبر'!T95)</f>
        <v/>
      </c>
      <c r="O95" s="116" t="str">
        <f aca="false">IF($B95="","",'مسير أكتوبر'!T95)</f>
        <v/>
      </c>
      <c r="P95" s="116" t="str">
        <f aca="false">IF($B95="","",'مسير نوفمبر'!T95)</f>
        <v/>
      </c>
      <c r="Q95" s="116" t="str">
        <f aca="false">IF($B95="","",'مسير ديسمبر'!T95)</f>
        <v/>
      </c>
      <c r="R95" s="171" t="str">
        <f aca="false">IF($B95="","",IF(1&lt;=cfg_VAL_M,'مسير يناير'!T95,0)+IF(2&lt;=cfg_VAL_M,'مسير فبراير'!T95,0)+IF(3&lt;=cfg_VAL_M,'مسير مارس'!T95,0)+IF(4&lt;=cfg_VAL_M,'مسير أبريل'!T95,0)+IF(5&lt;=cfg_VAL_M,'مسير مايو'!T95,0)+IF(6&lt;=cfg_VAL_M,'مسير يونيو'!T95,0)+IF(7&lt;=cfg_VAL_M,'مسير يوليو'!T95,0)+IF(8&lt;=cfg_VAL_M,'مسير أغسطس'!T95,0)+IF(9&lt;=cfg_VAL_M,'مسير سبتمبر'!T95,0)+IF(10&lt;=cfg_VAL_M,'مسير أكتوبر'!T95,0)+IF(11&lt;=cfg_VAL_M,'مسير نوفمبر'!T95,0)+IF(12&lt;=cfg_VAL_M,'مسير ديسمبر'!T95,0))</f>
        <v/>
      </c>
      <c r="T95" s="116" t="str">
        <f aca="false">IF($B95="","",'مسير يناير'!AG95)</f>
        <v/>
      </c>
      <c r="U95" s="116" t="str">
        <f aca="false">IF($B95="","",'مسير فبراير'!AG95)</f>
        <v/>
      </c>
      <c r="V95" s="116" t="str">
        <f aca="false">IF($B95="","",'مسير مارس'!AG95)</f>
        <v/>
      </c>
      <c r="W95" s="116" t="str">
        <f aca="false">IF($B95="","",'مسير أبريل'!AG95)</f>
        <v/>
      </c>
      <c r="X95" s="116" t="str">
        <f aca="false">IF($B95="","",'مسير مايو'!AG95)</f>
        <v/>
      </c>
      <c r="Y95" s="116" t="str">
        <f aca="false">IF($B95="","",'مسير يونيو'!AG95)</f>
        <v/>
      </c>
      <c r="Z95" s="116" t="str">
        <f aca="false">IF($B95="","",'مسير يوليو'!AG95)</f>
        <v/>
      </c>
      <c r="AA95" s="116" t="str">
        <f aca="false">IF($B95="","",'مسير أغسطس'!AG95)</f>
        <v/>
      </c>
      <c r="AB95" s="116" t="str">
        <f aca="false">IF($B95="","",'مسير سبتمبر'!AG95)</f>
        <v/>
      </c>
      <c r="AC95" s="116" t="str">
        <f aca="false">IF($B95="","",'مسير أكتوبر'!AG95)</f>
        <v/>
      </c>
      <c r="AD95" s="116" t="str">
        <f aca="false">IF($B95="","",'مسير نوفمبر'!AG95)</f>
        <v/>
      </c>
      <c r="AE95" s="116" t="str">
        <f aca="false">IF($B95="","",'مسير ديسمبر'!AG95)</f>
        <v/>
      </c>
      <c r="AF95" s="171" t="str">
        <f aca="false">IF($B95="","",IF(1&lt;=cfg_VAL_M,'مسير يناير'!AG95,0)+IF(2&lt;=cfg_VAL_M,'مسير فبراير'!AG95,0)+IF(3&lt;=cfg_VAL_M,'مسير مارس'!AG95,0)+IF(4&lt;=cfg_VAL_M,'مسير أبريل'!AG95,0)+IF(5&lt;=cfg_VAL_M,'مسير مايو'!AG95,0)+IF(6&lt;=cfg_VAL_M,'مسير يونيو'!AG95,0)+IF(7&lt;=cfg_VAL_M,'مسير يوليو'!AG95,0)+IF(8&lt;=cfg_VAL_M,'مسير أغسطس'!AG95,0)+IF(9&lt;=cfg_VAL_M,'مسير سبتمبر'!AG95,0)+IF(10&lt;=cfg_VAL_M,'مسير أكتوبر'!AG95,0)+IF(11&lt;=cfg_VAL_M,'مسير نوفمبر'!AG95,0)+IF(12&lt;=cfg_VAL_M,'مسير ديسمبر'!AG95,0))</f>
        <v/>
      </c>
      <c r="AG95" s="171" t="str">
        <f aca="false">IF($B95="","",IF(1&lt;=cfg_VAL_M,'مسير يناير'!Y95,0)+IF(2&lt;=cfg_VAL_M,'مسير فبراير'!Y95,0)+IF(3&lt;=cfg_VAL_M,'مسير مارس'!Y95,0)+IF(4&lt;=cfg_VAL_M,'مسير أبريل'!Y95,0)+IF(5&lt;=cfg_VAL_M,'مسير مايو'!Y95,0)+IF(6&lt;=cfg_VAL_M,'مسير يونيو'!Y95,0)+IF(7&lt;=cfg_VAL_M,'مسير يوليو'!Y95,0)+IF(8&lt;=cfg_VAL_M,'مسير أغسطس'!Y95,0)+IF(9&lt;=cfg_VAL_M,'مسير سبتمبر'!Y95,0)+IF(10&lt;=cfg_VAL_M,'مسير أكتوبر'!Y95,0)+IF(11&lt;=cfg_VAL_M,'مسير نوفمبر'!Y95,0)+IF(12&lt;=cfg_VAL_M,'مسير ديسمبر'!Y95,0))</f>
        <v/>
      </c>
      <c r="AH95" s="116" t="str">
        <f aca="false">IF($B95="","",AF95/cfg_VAL_M)</f>
        <v/>
      </c>
    </row>
    <row r="96" customFormat="false" ht="15" hidden="false" customHeight="false" outlineLevel="0" collapsed="false">
      <c r="B96" s="114" t="str">
        <f aca="false">IF(الموظفون!$B96="","",الموظفون!$B96)</f>
        <v/>
      </c>
      <c r="C96" s="114" t="str">
        <f aca="false">IF(الموظفون!$B96="","",الموظفون!$C96)</f>
        <v/>
      </c>
      <c r="D96" s="114" t="str">
        <f aca="false">IF(الموظفون!$B96="","",الموظفون!$F96)</f>
        <v/>
      </c>
      <c r="E96" s="114" t="str">
        <f aca="false">IF(الموظفون!$B96="","",الموظفون!$E96)</f>
        <v/>
      </c>
      <c r="F96" s="111" t="str">
        <f aca="false">IF($B96="","",'مسير يناير'!T96)</f>
        <v/>
      </c>
      <c r="G96" s="111" t="str">
        <f aca="false">IF($B96="","",'مسير فبراير'!T96)</f>
        <v/>
      </c>
      <c r="H96" s="111" t="str">
        <f aca="false">IF($B96="","",'مسير مارس'!T96)</f>
        <v/>
      </c>
      <c r="I96" s="111" t="str">
        <f aca="false">IF($B96="","",'مسير أبريل'!T96)</f>
        <v/>
      </c>
      <c r="J96" s="111" t="str">
        <f aca="false">IF($B96="","",'مسير مايو'!T96)</f>
        <v/>
      </c>
      <c r="K96" s="111" t="str">
        <f aca="false">IF($B96="","",'مسير يونيو'!T96)</f>
        <v/>
      </c>
      <c r="L96" s="111" t="str">
        <f aca="false">IF($B96="","",'مسير يوليو'!T96)</f>
        <v/>
      </c>
      <c r="M96" s="111" t="str">
        <f aca="false">IF($B96="","",'مسير أغسطس'!T96)</f>
        <v/>
      </c>
      <c r="N96" s="111" t="str">
        <f aca="false">IF($B96="","",'مسير سبتمبر'!T96)</f>
        <v/>
      </c>
      <c r="O96" s="111" t="str">
        <f aca="false">IF($B96="","",'مسير أكتوبر'!T96)</f>
        <v/>
      </c>
      <c r="P96" s="111" t="str">
        <f aca="false">IF($B96="","",'مسير نوفمبر'!T96)</f>
        <v/>
      </c>
      <c r="Q96" s="111" t="str">
        <f aca="false">IF($B96="","",'مسير ديسمبر'!T96)</f>
        <v/>
      </c>
      <c r="R96" s="170" t="str">
        <f aca="false">IF($B96="","",IF(1&lt;=cfg_VAL_M,'مسير يناير'!T96,0)+IF(2&lt;=cfg_VAL_M,'مسير فبراير'!T96,0)+IF(3&lt;=cfg_VAL_M,'مسير مارس'!T96,0)+IF(4&lt;=cfg_VAL_M,'مسير أبريل'!T96,0)+IF(5&lt;=cfg_VAL_M,'مسير مايو'!T96,0)+IF(6&lt;=cfg_VAL_M,'مسير يونيو'!T96,0)+IF(7&lt;=cfg_VAL_M,'مسير يوليو'!T96,0)+IF(8&lt;=cfg_VAL_M,'مسير أغسطس'!T96,0)+IF(9&lt;=cfg_VAL_M,'مسير سبتمبر'!T96,0)+IF(10&lt;=cfg_VAL_M,'مسير أكتوبر'!T96,0)+IF(11&lt;=cfg_VAL_M,'مسير نوفمبر'!T96,0)+IF(12&lt;=cfg_VAL_M,'مسير ديسمبر'!T96,0))</f>
        <v/>
      </c>
      <c r="T96" s="111" t="str">
        <f aca="false">IF($B96="","",'مسير يناير'!AG96)</f>
        <v/>
      </c>
      <c r="U96" s="111" t="str">
        <f aca="false">IF($B96="","",'مسير فبراير'!AG96)</f>
        <v/>
      </c>
      <c r="V96" s="111" t="str">
        <f aca="false">IF($B96="","",'مسير مارس'!AG96)</f>
        <v/>
      </c>
      <c r="W96" s="111" t="str">
        <f aca="false">IF($B96="","",'مسير أبريل'!AG96)</f>
        <v/>
      </c>
      <c r="X96" s="111" t="str">
        <f aca="false">IF($B96="","",'مسير مايو'!AG96)</f>
        <v/>
      </c>
      <c r="Y96" s="111" t="str">
        <f aca="false">IF($B96="","",'مسير يونيو'!AG96)</f>
        <v/>
      </c>
      <c r="Z96" s="111" t="str">
        <f aca="false">IF($B96="","",'مسير يوليو'!AG96)</f>
        <v/>
      </c>
      <c r="AA96" s="111" t="str">
        <f aca="false">IF($B96="","",'مسير أغسطس'!AG96)</f>
        <v/>
      </c>
      <c r="AB96" s="111" t="str">
        <f aca="false">IF($B96="","",'مسير سبتمبر'!AG96)</f>
        <v/>
      </c>
      <c r="AC96" s="111" t="str">
        <f aca="false">IF($B96="","",'مسير أكتوبر'!AG96)</f>
        <v/>
      </c>
      <c r="AD96" s="111" t="str">
        <f aca="false">IF($B96="","",'مسير نوفمبر'!AG96)</f>
        <v/>
      </c>
      <c r="AE96" s="111" t="str">
        <f aca="false">IF($B96="","",'مسير ديسمبر'!AG96)</f>
        <v/>
      </c>
      <c r="AF96" s="170" t="str">
        <f aca="false">IF($B96="","",IF(1&lt;=cfg_VAL_M,'مسير يناير'!AG96,0)+IF(2&lt;=cfg_VAL_M,'مسير فبراير'!AG96,0)+IF(3&lt;=cfg_VAL_M,'مسير مارس'!AG96,0)+IF(4&lt;=cfg_VAL_M,'مسير أبريل'!AG96,0)+IF(5&lt;=cfg_VAL_M,'مسير مايو'!AG96,0)+IF(6&lt;=cfg_VAL_M,'مسير يونيو'!AG96,0)+IF(7&lt;=cfg_VAL_M,'مسير يوليو'!AG96,0)+IF(8&lt;=cfg_VAL_M,'مسير أغسطس'!AG96,0)+IF(9&lt;=cfg_VAL_M,'مسير سبتمبر'!AG96,0)+IF(10&lt;=cfg_VAL_M,'مسير أكتوبر'!AG96,0)+IF(11&lt;=cfg_VAL_M,'مسير نوفمبر'!AG96,0)+IF(12&lt;=cfg_VAL_M,'مسير ديسمبر'!AG96,0))</f>
        <v/>
      </c>
      <c r="AG96" s="170" t="str">
        <f aca="false">IF($B96="","",IF(1&lt;=cfg_VAL_M,'مسير يناير'!Y96,0)+IF(2&lt;=cfg_VAL_M,'مسير فبراير'!Y96,0)+IF(3&lt;=cfg_VAL_M,'مسير مارس'!Y96,0)+IF(4&lt;=cfg_VAL_M,'مسير أبريل'!Y96,0)+IF(5&lt;=cfg_VAL_M,'مسير مايو'!Y96,0)+IF(6&lt;=cfg_VAL_M,'مسير يونيو'!Y96,0)+IF(7&lt;=cfg_VAL_M,'مسير يوليو'!Y96,0)+IF(8&lt;=cfg_VAL_M,'مسير أغسطس'!Y96,0)+IF(9&lt;=cfg_VAL_M,'مسير سبتمبر'!Y96,0)+IF(10&lt;=cfg_VAL_M,'مسير أكتوبر'!Y96,0)+IF(11&lt;=cfg_VAL_M,'مسير نوفمبر'!Y96,0)+IF(12&lt;=cfg_VAL_M,'مسير ديسمبر'!Y96,0))</f>
        <v/>
      </c>
      <c r="AH96" s="111" t="str">
        <f aca="false">IF($B96="","",AF96/cfg_VAL_M)</f>
        <v/>
      </c>
    </row>
    <row r="97" customFormat="false" ht="15" hidden="false" customHeight="false" outlineLevel="0" collapsed="false">
      <c r="B97" s="117" t="str">
        <f aca="false">IF(الموظفون!$B97="","",الموظفون!$B97)</f>
        <v/>
      </c>
      <c r="C97" s="117" t="str">
        <f aca="false">IF(الموظفون!$B97="","",الموظفون!$C97)</f>
        <v/>
      </c>
      <c r="D97" s="117" t="str">
        <f aca="false">IF(الموظفون!$B97="","",الموظفون!$F97)</f>
        <v/>
      </c>
      <c r="E97" s="117" t="str">
        <f aca="false">IF(الموظفون!$B97="","",الموظفون!$E97)</f>
        <v/>
      </c>
      <c r="F97" s="116" t="str">
        <f aca="false">IF($B97="","",'مسير يناير'!T97)</f>
        <v/>
      </c>
      <c r="G97" s="116" t="str">
        <f aca="false">IF($B97="","",'مسير فبراير'!T97)</f>
        <v/>
      </c>
      <c r="H97" s="116" t="str">
        <f aca="false">IF($B97="","",'مسير مارس'!T97)</f>
        <v/>
      </c>
      <c r="I97" s="116" t="str">
        <f aca="false">IF($B97="","",'مسير أبريل'!T97)</f>
        <v/>
      </c>
      <c r="J97" s="116" t="str">
        <f aca="false">IF($B97="","",'مسير مايو'!T97)</f>
        <v/>
      </c>
      <c r="K97" s="116" t="str">
        <f aca="false">IF($B97="","",'مسير يونيو'!T97)</f>
        <v/>
      </c>
      <c r="L97" s="116" t="str">
        <f aca="false">IF($B97="","",'مسير يوليو'!T97)</f>
        <v/>
      </c>
      <c r="M97" s="116" t="str">
        <f aca="false">IF($B97="","",'مسير أغسطس'!T97)</f>
        <v/>
      </c>
      <c r="N97" s="116" t="str">
        <f aca="false">IF($B97="","",'مسير سبتمبر'!T97)</f>
        <v/>
      </c>
      <c r="O97" s="116" t="str">
        <f aca="false">IF($B97="","",'مسير أكتوبر'!T97)</f>
        <v/>
      </c>
      <c r="P97" s="116" t="str">
        <f aca="false">IF($B97="","",'مسير نوفمبر'!T97)</f>
        <v/>
      </c>
      <c r="Q97" s="116" t="str">
        <f aca="false">IF($B97="","",'مسير ديسمبر'!T97)</f>
        <v/>
      </c>
      <c r="R97" s="171" t="str">
        <f aca="false">IF($B97="","",IF(1&lt;=cfg_VAL_M,'مسير يناير'!T97,0)+IF(2&lt;=cfg_VAL_M,'مسير فبراير'!T97,0)+IF(3&lt;=cfg_VAL_M,'مسير مارس'!T97,0)+IF(4&lt;=cfg_VAL_M,'مسير أبريل'!T97,0)+IF(5&lt;=cfg_VAL_M,'مسير مايو'!T97,0)+IF(6&lt;=cfg_VAL_M,'مسير يونيو'!T97,0)+IF(7&lt;=cfg_VAL_M,'مسير يوليو'!T97,0)+IF(8&lt;=cfg_VAL_M,'مسير أغسطس'!T97,0)+IF(9&lt;=cfg_VAL_M,'مسير سبتمبر'!T97,0)+IF(10&lt;=cfg_VAL_M,'مسير أكتوبر'!T97,0)+IF(11&lt;=cfg_VAL_M,'مسير نوفمبر'!T97,0)+IF(12&lt;=cfg_VAL_M,'مسير ديسمبر'!T97,0))</f>
        <v/>
      </c>
      <c r="T97" s="116" t="str">
        <f aca="false">IF($B97="","",'مسير يناير'!AG97)</f>
        <v/>
      </c>
      <c r="U97" s="116" t="str">
        <f aca="false">IF($B97="","",'مسير فبراير'!AG97)</f>
        <v/>
      </c>
      <c r="V97" s="116" t="str">
        <f aca="false">IF($B97="","",'مسير مارس'!AG97)</f>
        <v/>
      </c>
      <c r="W97" s="116" t="str">
        <f aca="false">IF($B97="","",'مسير أبريل'!AG97)</f>
        <v/>
      </c>
      <c r="X97" s="116" t="str">
        <f aca="false">IF($B97="","",'مسير مايو'!AG97)</f>
        <v/>
      </c>
      <c r="Y97" s="116" t="str">
        <f aca="false">IF($B97="","",'مسير يونيو'!AG97)</f>
        <v/>
      </c>
      <c r="Z97" s="116" t="str">
        <f aca="false">IF($B97="","",'مسير يوليو'!AG97)</f>
        <v/>
      </c>
      <c r="AA97" s="116" t="str">
        <f aca="false">IF($B97="","",'مسير أغسطس'!AG97)</f>
        <v/>
      </c>
      <c r="AB97" s="116" t="str">
        <f aca="false">IF($B97="","",'مسير سبتمبر'!AG97)</f>
        <v/>
      </c>
      <c r="AC97" s="116" t="str">
        <f aca="false">IF($B97="","",'مسير أكتوبر'!AG97)</f>
        <v/>
      </c>
      <c r="AD97" s="116" t="str">
        <f aca="false">IF($B97="","",'مسير نوفمبر'!AG97)</f>
        <v/>
      </c>
      <c r="AE97" s="116" t="str">
        <f aca="false">IF($B97="","",'مسير ديسمبر'!AG97)</f>
        <v/>
      </c>
      <c r="AF97" s="171" t="str">
        <f aca="false">IF($B97="","",IF(1&lt;=cfg_VAL_M,'مسير يناير'!AG97,0)+IF(2&lt;=cfg_VAL_M,'مسير فبراير'!AG97,0)+IF(3&lt;=cfg_VAL_M,'مسير مارس'!AG97,0)+IF(4&lt;=cfg_VAL_M,'مسير أبريل'!AG97,0)+IF(5&lt;=cfg_VAL_M,'مسير مايو'!AG97,0)+IF(6&lt;=cfg_VAL_M,'مسير يونيو'!AG97,0)+IF(7&lt;=cfg_VAL_M,'مسير يوليو'!AG97,0)+IF(8&lt;=cfg_VAL_M,'مسير أغسطس'!AG97,0)+IF(9&lt;=cfg_VAL_M,'مسير سبتمبر'!AG97,0)+IF(10&lt;=cfg_VAL_M,'مسير أكتوبر'!AG97,0)+IF(11&lt;=cfg_VAL_M,'مسير نوفمبر'!AG97,0)+IF(12&lt;=cfg_VAL_M,'مسير ديسمبر'!AG97,0))</f>
        <v/>
      </c>
      <c r="AG97" s="171" t="str">
        <f aca="false">IF($B97="","",IF(1&lt;=cfg_VAL_M,'مسير يناير'!Y97,0)+IF(2&lt;=cfg_VAL_M,'مسير فبراير'!Y97,0)+IF(3&lt;=cfg_VAL_M,'مسير مارس'!Y97,0)+IF(4&lt;=cfg_VAL_M,'مسير أبريل'!Y97,0)+IF(5&lt;=cfg_VAL_M,'مسير مايو'!Y97,0)+IF(6&lt;=cfg_VAL_M,'مسير يونيو'!Y97,0)+IF(7&lt;=cfg_VAL_M,'مسير يوليو'!Y97,0)+IF(8&lt;=cfg_VAL_M,'مسير أغسطس'!Y97,0)+IF(9&lt;=cfg_VAL_M,'مسير سبتمبر'!Y97,0)+IF(10&lt;=cfg_VAL_M,'مسير أكتوبر'!Y97,0)+IF(11&lt;=cfg_VAL_M,'مسير نوفمبر'!Y97,0)+IF(12&lt;=cfg_VAL_M,'مسير ديسمبر'!Y97,0))</f>
        <v/>
      </c>
      <c r="AH97" s="116" t="str">
        <f aca="false">IF($B97="","",AF97/cfg_VAL_M)</f>
        <v/>
      </c>
    </row>
    <row r="98" customFormat="false" ht="15" hidden="false" customHeight="false" outlineLevel="0" collapsed="false">
      <c r="B98" s="114" t="str">
        <f aca="false">IF(الموظفون!$B98="","",الموظفون!$B98)</f>
        <v/>
      </c>
      <c r="C98" s="114" t="str">
        <f aca="false">IF(الموظفون!$B98="","",الموظفون!$C98)</f>
        <v/>
      </c>
      <c r="D98" s="114" t="str">
        <f aca="false">IF(الموظفون!$B98="","",الموظفون!$F98)</f>
        <v/>
      </c>
      <c r="E98" s="114" t="str">
        <f aca="false">IF(الموظفون!$B98="","",الموظفون!$E98)</f>
        <v/>
      </c>
      <c r="F98" s="111" t="str">
        <f aca="false">IF($B98="","",'مسير يناير'!T98)</f>
        <v/>
      </c>
      <c r="G98" s="111" t="str">
        <f aca="false">IF($B98="","",'مسير فبراير'!T98)</f>
        <v/>
      </c>
      <c r="H98" s="111" t="str">
        <f aca="false">IF($B98="","",'مسير مارس'!T98)</f>
        <v/>
      </c>
      <c r="I98" s="111" t="str">
        <f aca="false">IF($B98="","",'مسير أبريل'!T98)</f>
        <v/>
      </c>
      <c r="J98" s="111" t="str">
        <f aca="false">IF($B98="","",'مسير مايو'!T98)</f>
        <v/>
      </c>
      <c r="K98" s="111" t="str">
        <f aca="false">IF($B98="","",'مسير يونيو'!T98)</f>
        <v/>
      </c>
      <c r="L98" s="111" t="str">
        <f aca="false">IF($B98="","",'مسير يوليو'!T98)</f>
        <v/>
      </c>
      <c r="M98" s="111" t="str">
        <f aca="false">IF($B98="","",'مسير أغسطس'!T98)</f>
        <v/>
      </c>
      <c r="N98" s="111" t="str">
        <f aca="false">IF($B98="","",'مسير سبتمبر'!T98)</f>
        <v/>
      </c>
      <c r="O98" s="111" t="str">
        <f aca="false">IF($B98="","",'مسير أكتوبر'!T98)</f>
        <v/>
      </c>
      <c r="P98" s="111" t="str">
        <f aca="false">IF($B98="","",'مسير نوفمبر'!T98)</f>
        <v/>
      </c>
      <c r="Q98" s="111" t="str">
        <f aca="false">IF($B98="","",'مسير ديسمبر'!T98)</f>
        <v/>
      </c>
      <c r="R98" s="170" t="str">
        <f aca="false">IF($B98="","",IF(1&lt;=cfg_VAL_M,'مسير يناير'!T98,0)+IF(2&lt;=cfg_VAL_M,'مسير فبراير'!T98,0)+IF(3&lt;=cfg_VAL_M,'مسير مارس'!T98,0)+IF(4&lt;=cfg_VAL_M,'مسير أبريل'!T98,0)+IF(5&lt;=cfg_VAL_M,'مسير مايو'!T98,0)+IF(6&lt;=cfg_VAL_M,'مسير يونيو'!T98,0)+IF(7&lt;=cfg_VAL_M,'مسير يوليو'!T98,0)+IF(8&lt;=cfg_VAL_M,'مسير أغسطس'!T98,0)+IF(9&lt;=cfg_VAL_M,'مسير سبتمبر'!T98,0)+IF(10&lt;=cfg_VAL_M,'مسير أكتوبر'!T98,0)+IF(11&lt;=cfg_VAL_M,'مسير نوفمبر'!T98,0)+IF(12&lt;=cfg_VAL_M,'مسير ديسمبر'!T98,0))</f>
        <v/>
      </c>
      <c r="T98" s="111" t="str">
        <f aca="false">IF($B98="","",'مسير يناير'!AG98)</f>
        <v/>
      </c>
      <c r="U98" s="111" t="str">
        <f aca="false">IF($B98="","",'مسير فبراير'!AG98)</f>
        <v/>
      </c>
      <c r="V98" s="111" t="str">
        <f aca="false">IF($B98="","",'مسير مارس'!AG98)</f>
        <v/>
      </c>
      <c r="W98" s="111" t="str">
        <f aca="false">IF($B98="","",'مسير أبريل'!AG98)</f>
        <v/>
      </c>
      <c r="X98" s="111" t="str">
        <f aca="false">IF($B98="","",'مسير مايو'!AG98)</f>
        <v/>
      </c>
      <c r="Y98" s="111" t="str">
        <f aca="false">IF($B98="","",'مسير يونيو'!AG98)</f>
        <v/>
      </c>
      <c r="Z98" s="111" t="str">
        <f aca="false">IF($B98="","",'مسير يوليو'!AG98)</f>
        <v/>
      </c>
      <c r="AA98" s="111" t="str">
        <f aca="false">IF($B98="","",'مسير أغسطس'!AG98)</f>
        <v/>
      </c>
      <c r="AB98" s="111" t="str">
        <f aca="false">IF($B98="","",'مسير سبتمبر'!AG98)</f>
        <v/>
      </c>
      <c r="AC98" s="111" t="str">
        <f aca="false">IF($B98="","",'مسير أكتوبر'!AG98)</f>
        <v/>
      </c>
      <c r="AD98" s="111" t="str">
        <f aca="false">IF($B98="","",'مسير نوفمبر'!AG98)</f>
        <v/>
      </c>
      <c r="AE98" s="111" t="str">
        <f aca="false">IF($B98="","",'مسير ديسمبر'!AG98)</f>
        <v/>
      </c>
      <c r="AF98" s="170" t="str">
        <f aca="false">IF($B98="","",IF(1&lt;=cfg_VAL_M,'مسير يناير'!AG98,0)+IF(2&lt;=cfg_VAL_M,'مسير فبراير'!AG98,0)+IF(3&lt;=cfg_VAL_M,'مسير مارس'!AG98,0)+IF(4&lt;=cfg_VAL_M,'مسير أبريل'!AG98,0)+IF(5&lt;=cfg_VAL_M,'مسير مايو'!AG98,0)+IF(6&lt;=cfg_VAL_M,'مسير يونيو'!AG98,0)+IF(7&lt;=cfg_VAL_M,'مسير يوليو'!AG98,0)+IF(8&lt;=cfg_VAL_M,'مسير أغسطس'!AG98,0)+IF(9&lt;=cfg_VAL_M,'مسير سبتمبر'!AG98,0)+IF(10&lt;=cfg_VAL_M,'مسير أكتوبر'!AG98,0)+IF(11&lt;=cfg_VAL_M,'مسير نوفمبر'!AG98,0)+IF(12&lt;=cfg_VAL_M,'مسير ديسمبر'!AG98,0))</f>
        <v/>
      </c>
      <c r="AG98" s="170" t="str">
        <f aca="false">IF($B98="","",IF(1&lt;=cfg_VAL_M,'مسير يناير'!Y98,0)+IF(2&lt;=cfg_VAL_M,'مسير فبراير'!Y98,0)+IF(3&lt;=cfg_VAL_M,'مسير مارس'!Y98,0)+IF(4&lt;=cfg_VAL_M,'مسير أبريل'!Y98,0)+IF(5&lt;=cfg_VAL_M,'مسير مايو'!Y98,0)+IF(6&lt;=cfg_VAL_M,'مسير يونيو'!Y98,0)+IF(7&lt;=cfg_VAL_M,'مسير يوليو'!Y98,0)+IF(8&lt;=cfg_VAL_M,'مسير أغسطس'!Y98,0)+IF(9&lt;=cfg_VAL_M,'مسير سبتمبر'!Y98,0)+IF(10&lt;=cfg_VAL_M,'مسير أكتوبر'!Y98,0)+IF(11&lt;=cfg_VAL_M,'مسير نوفمبر'!Y98,0)+IF(12&lt;=cfg_VAL_M,'مسير ديسمبر'!Y98,0))</f>
        <v/>
      </c>
      <c r="AH98" s="111" t="str">
        <f aca="false">IF($B98="","",AF98/cfg_VAL_M)</f>
        <v/>
      </c>
    </row>
    <row r="99" customFormat="false" ht="15" hidden="false" customHeight="false" outlineLevel="0" collapsed="false">
      <c r="B99" s="117" t="str">
        <f aca="false">IF(الموظفون!$B99="","",الموظفون!$B99)</f>
        <v/>
      </c>
      <c r="C99" s="117" t="str">
        <f aca="false">IF(الموظفون!$B99="","",الموظفون!$C99)</f>
        <v/>
      </c>
      <c r="D99" s="117" t="str">
        <f aca="false">IF(الموظفون!$B99="","",الموظفون!$F99)</f>
        <v/>
      </c>
      <c r="E99" s="117" t="str">
        <f aca="false">IF(الموظفون!$B99="","",الموظفون!$E99)</f>
        <v/>
      </c>
      <c r="F99" s="116" t="str">
        <f aca="false">IF($B99="","",'مسير يناير'!T99)</f>
        <v/>
      </c>
      <c r="G99" s="116" t="str">
        <f aca="false">IF($B99="","",'مسير فبراير'!T99)</f>
        <v/>
      </c>
      <c r="H99" s="116" t="str">
        <f aca="false">IF($B99="","",'مسير مارس'!T99)</f>
        <v/>
      </c>
      <c r="I99" s="116" t="str">
        <f aca="false">IF($B99="","",'مسير أبريل'!T99)</f>
        <v/>
      </c>
      <c r="J99" s="116" t="str">
        <f aca="false">IF($B99="","",'مسير مايو'!T99)</f>
        <v/>
      </c>
      <c r="K99" s="116" t="str">
        <f aca="false">IF($B99="","",'مسير يونيو'!T99)</f>
        <v/>
      </c>
      <c r="L99" s="116" t="str">
        <f aca="false">IF($B99="","",'مسير يوليو'!T99)</f>
        <v/>
      </c>
      <c r="M99" s="116" t="str">
        <f aca="false">IF($B99="","",'مسير أغسطس'!T99)</f>
        <v/>
      </c>
      <c r="N99" s="116" t="str">
        <f aca="false">IF($B99="","",'مسير سبتمبر'!T99)</f>
        <v/>
      </c>
      <c r="O99" s="116" t="str">
        <f aca="false">IF($B99="","",'مسير أكتوبر'!T99)</f>
        <v/>
      </c>
      <c r="P99" s="116" t="str">
        <f aca="false">IF($B99="","",'مسير نوفمبر'!T99)</f>
        <v/>
      </c>
      <c r="Q99" s="116" t="str">
        <f aca="false">IF($B99="","",'مسير ديسمبر'!T99)</f>
        <v/>
      </c>
      <c r="R99" s="171" t="str">
        <f aca="false">IF($B99="","",IF(1&lt;=cfg_VAL_M,'مسير يناير'!T99,0)+IF(2&lt;=cfg_VAL_M,'مسير فبراير'!T99,0)+IF(3&lt;=cfg_VAL_M,'مسير مارس'!T99,0)+IF(4&lt;=cfg_VAL_M,'مسير أبريل'!T99,0)+IF(5&lt;=cfg_VAL_M,'مسير مايو'!T99,0)+IF(6&lt;=cfg_VAL_M,'مسير يونيو'!T99,0)+IF(7&lt;=cfg_VAL_M,'مسير يوليو'!T99,0)+IF(8&lt;=cfg_VAL_M,'مسير أغسطس'!T99,0)+IF(9&lt;=cfg_VAL_M,'مسير سبتمبر'!T99,0)+IF(10&lt;=cfg_VAL_M,'مسير أكتوبر'!T99,0)+IF(11&lt;=cfg_VAL_M,'مسير نوفمبر'!T99,0)+IF(12&lt;=cfg_VAL_M,'مسير ديسمبر'!T99,0))</f>
        <v/>
      </c>
      <c r="T99" s="116" t="str">
        <f aca="false">IF($B99="","",'مسير يناير'!AG99)</f>
        <v/>
      </c>
      <c r="U99" s="116" t="str">
        <f aca="false">IF($B99="","",'مسير فبراير'!AG99)</f>
        <v/>
      </c>
      <c r="V99" s="116" t="str">
        <f aca="false">IF($B99="","",'مسير مارس'!AG99)</f>
        <v/>
      </c>
      <c r="W99" s="116" t="str">
        <f aca="false">IF($B99="","",'مسير أبريل'!AG99)</f>
        <v/>
      </c>
      <c r="X99" s="116" t="str">
        <f aca="false">IF($B99="","",'مسير مايو'!AG99)</f>
        <v/>
      </c>
      <c r="Y99" s="116" t="str">
        <f aca="false">IF($B99="","",'مسير يونيو'!AG99)</f>
        <v/>
      </c>
      <c r="Z99" s="116" t="str">
        <f aca="false">IF($B99="","",'مسير يوليو'!AG99)</f>
        <v/>
      </c>
      <c r="AA99" s="116" t="str">
        <f aca="false">IF($B99="","",'مسير أغسطس'!AG99)</f>
        <v/>
      </c>
      <c r="AB99" s="116" t="str">
        <f aca="false">IF($B99="","",'مسير سبتمبر'!AG99)</f>
        <v/>
      </c>
      <c r="AC99" s="116" t="str">
        <f aca="false">IF($B99="","",'مسير أكتوبر'!AG99)</f>
        <v/>
      </c>
      <c r="AD99" s="116" t="str">
        <f aca="false">IF($B99="","",'مسير نوفمبر'!AG99)</f>
        <v/>
      </c>
      <c r="AE99" s="116" t="str">
        <f aca="false">IF($B99="","",'مسير ديسمبر'!AG99)</f>
        <v/>
      </c>
      <c r="AF99" s="171" t="str">
        <f aca="false">IF($B99="","",IF(1&lt;=cfg_VAL_M,'مسير يناير'!AG99,0)+IF(2&lt;=cfg_VAL_M,'مسير فبراير'!AG99,0)+IF(3&lt;=cfg_VAL_M,'مسير مارس'!AG99,0)+IF(4&lt;=cfg_VAL_M,'مسير أبريل'!AG99,0)+IF(5&lt;=cfg_VAL_M,'مسير مايو'!AG99,0)+IF(6&lt;=cfg_VAL_M,'مسير يونيو'!AG99,0)+IF(7&lt;=cfg_VAL_M,'مسير يوليو'!AG99,0)+IF(8&lt;=cfg_VAL_M,'مسير أغسطس'!AG99,0)+IF(9&lt;=cfg_VAL_M,'مسير سبتمبر'!AG99,0)+IF(10&lt;=cfg_VAL_M,'مسير أكتوبر'!AG99,0)+IF(11&lt;=cfg_VAL_M,'مسير نوفمبر'!AG99,0)+IF(12&lt;=cfg_VAL_M,'مسير ديسمبر'!AG99,0))</f>
        <v/>
      </c>
      <c r="AG99" s="171" t="str">
        <f aca="false">IF($B99="","",IF(1&lt;=cfg_VAL_M,'مسير يناير'!Y99,0)+IF(2&lt;=cfg_VAL_M,'مسير فبراير'!Y99,0)+IF(3&lt;=cfg_VAL_M,'مسير مارس'!Y99,0)+IF(4&lt;=cfg_VAL_M,'مسير أبريل'!Y99,0)+IF(5&lt;=cfg_VAL_M,'مسير مايو'!Y99,0)+IF(6&lt;=cfg_VAL_M,'مسير يونيو'!Y99,0)+IF(7&lt;=cfg_VAL_M,'مسير يوليو'!Y99,0)+IF(8&lt;=cfg_VAL_M,'مسير أغسطس'!Y99,0)+IF(9&lt;=cfg_VAL_M,'مسير سبتمبر'!Y99,0)+IF(10&lt;=cfg_VAL_M,'مسير أكتوبر'!Y99,0)+IF(11&lt;=cfg_VAL_M,'مسير نوفمبر'!Y99,0)+IF(12&lt;=cfg_VAL_M,'مسير ديسمبر'!Y99,0))</f>
        <v/>
      </c>
      <c r="AH99" s="116" t="str">
        <f aca="false">IF($B99="","",AF99/cfg_VAL_M)</f>
        <v/>
      </c>
    </row>
    <row r="100" customFormat="false" ht="15" hidden="false" customHeight="false" outlineLevel="0" collapsed="false">
      <c r="B100" s="114" t="str">
        <f aca="false">IF(الموظفون!$B100="","",الموظفون!$B100)</f>
        <v/>
      </c>
      <c r="C100" s="114" t="str">
        <f aca="false">IF(الموظفون!$B100="","",الموظفون!$C100)</f>
        <v/>
      </c>
      <c r="D100" s="114" t="str">
        <f aca="false">IF(الموظفون!$B100="","",الموظفون!$F100)</f>
        <v/>
      </c>
      <c r="E100" s="114" t="str">
        <f aca="false">IF(الموظفون!$B100="","",الموظفون!$E100)</f>
        <v/>
      </c>
      <c r="F100" s="111" t="str">
        <f aca="false">IF($B100="","",'مسير يناير'!T100)</f>
        <v/>
      </c>
      <c r="G100" s="111" t="str">
        <f aca="false">IF($B100="","",'مسير فبراير'!T100)</f>
        <v/>
      </c>
      <c r="H100" s="111" t="str">
        <f aca="false">IF($B100="","",'مسير مارس'!T100)</f>
        <v/>
      </c>
      <c r="I100" s="111" t="str">
        <f aca="false">IF($B100="","",'مسير أبريل'!T100)</f>
        <v/>
      </c>
      <c r="J100" s="111" t="str">
        <f aca="false">IF($B100="","",'مسير مايو'!T100)</f>
        <v/>
      </c>
      <c r="K100" s="111" t="str">
        <f aca="false">IF($B100="","",'مسير يونيو'!T100)</f>
        <v/>
      </c>
      <c r="L100" s="111" t="str">
        <f aca="false">IF($B100="","",'مسير يوليو'!T100)</f>
        <v/>
      </c>
      <c r="M100" s="111" t="str">
        <f aca="false">IF($B100="","",'مسير أغسطس'!T100)</f>
        <v/>
      </c>
      <c r="N100" s="111" t="str">
        <f aca="false">IF($B100="","",'مسير سبتمبر'!T100)</f>
        <v/>
      </c>
      <c r="O100" s="111" t="str">
        <f aca="false">IF($B100="","",'مسير أكتوبر'!T100)</f>
        <v/>
      </c>
      <c r="P100" s="111" t="str">
        <f aca="false">IF($B100="","",'مسير نوفمبر'!T100)</f>
        <v/>
      </c>
      <c r="Q100" s="111" t="str">
        <f aca="false">IF($B100="","",'مسير ديسمبر'!T100)</f>
        <v/>
      </c>
      <c r="R100" s="170" t="str">
        <f aca="false">IF($B100="","",IF(1&lt;=cfg_VAL_M,'مسير يناير'!T100,0)+IF(2&lt;=cfg_VAL_M,'مسير فبراير'!T100,0)+IF(3&lt;=cfg_VAL_M,'مسير مارس'!T100,0)+IF(4&lt;=cfg_VAL_M,'مسير أبريل'!T100,0)+IF(5&lt;=cfg_VAL_M,'مسير مايو'!T100,0)+IF(6&lt;=cfg_VAL_M,'مسير يونيو'!T100,0)+IF(7&lt;=cfg_VAL_M,'مسير يوليو'!T100,0)+IF(8&lt;=cfg_VAL_M,'مسير أغسطس'!T100,0)+IF(9&lt;=cfg_VAL_M,'مسير سبتمبر'!T100,0)+IF(10&lt;=cfg_VAL_M,'مسير أكتوبر'!T100,0)+IF(11&lt;=cfg_VAL_M,'مسير نوفمبر'!T100,0)+IF(12&lt;=cfg_VAL_M,'مسير ديسمبر'!T100,0))</f>
        <v/>
      </c>
      <c r="T100" s="111" t="str">
        <f aca="false">IF($B100="","",'مسير يناير'!AG100)</f>
        <v/>
      </c>
      <c r="U100" s="111" t="str">
        <f aca="false">IF($B100="","",'مسير فبراير'!AG100)</f>
        <v/>
      </c>
      <c r="V100" s="111" t="str">
        <f aca="false">IF($B100="","",'مسير مارس'!AG100)</f>
        <v/>
      </c>
      <c r="W100" s="111" t="str">
        <f aca="false">IF($B100="","",'مسير أبريل'!AG100)</f>
        <v/>
      </c>
      <c r="X100" s="111" t="str">
        <f aca="false">IF($B100="","",'مسير مايو'!AG100)</f>
        <v/>
      </c>
      <c r="Y100" s="111" t="str">
        <f aca="false">IF($B100="","",'مسير يونيو'!AG100)</f>
        <v/>
      </c>
      <c r="Z100" s="111" t="str">
        <f aca="false">IF($B100="","",'مسير يوليو'!AG100)</f>
        <v/>
      </c>
      <c r="AA100" s="111" t="str">
        <f aca="false">IF($B100="","",'مسير أغسطس'!AG100)</f>
        <v/>
      </c>
      <c r="AB100" s="111" t="str">
        <f aca="false">IF($B100="","",'مسير سبتمبر'!AG100)</f>
        <v/>
      </c>
      <c r="AC100" s="111" t="str">
        <f aca="false">IF($B100="","",'مسير أكتوبر'!AG100)</f>
        <v/>
      </c>
      <c r="AD100" s="111" t="str">
        <f aca="false">IF($B100="","",'مسير نوفمبر'!AG100)</f>
        <v/>
      </c>
      <c r="AE100" s="111" t="str">
        <f aca="false">IF($B100="","",'مسير ديسمبر'!AG100)</f>
        <v/>
      </c>
      <c r="AF100" s="170" t="str">
        <f aca="false">IF($B100="","",IF(1&lt;=cfg_VAL_M,'مسير يناير'!AG100,0)+IF(2&lt;=cfg_VAL_M,'مسير فبراير'!AG100,0)+IF(3&lt;=cfg_VAL_M,'مسير مارس'!AG100,0)+IF(4&lt;=cfg_VAL_M,'مسير أبريل'!AG100,0)+IF(5&lt;=cfg_VAL_M,'مسير مايو'!AG100,0)+IF(6&lt;=cfg_VAL_M,'مسير يونيو'!AG100,0)+IF(7&lt;=cfg_VAL_M,'مسير يوليو'!AG100,0)+IF(8&lt;=cfg_VAL_M,'مسير أغسطس'!AG100,0)+IF(9&lt;=cfg_VAL_M,'مسير سبتمبر'!AG100,0)+IF(10&lt;=cfg_VAL_M,'مسير أكتوبر'!AG100,0)+IF(11&lt;=cfg_VAL_M,'مسير نوفمبر'!AG100,0)+IF(12&lt;=cfg_VAL_M,'مسير ديسمبر'!AG100,0))</f>
        <v/>
      </c>
      <c r="AG100" s="170" t="str">
        <f aca="false">IF($B100="","",IF(1&lt;=cfg_VAL_M,'مسير يناير'!Y100,0)+IF(2&lt;=cfg_VAL_M,'مسير فبراير'!Y100,0)+IF(3&lt;=cfg_VAL_M,'مسير مارس'!Y100,0)+IF(4&lt;=cfg_VAL_M,'مسير أبريل'!Y100,0)+IF(5&lt;=cfg_VAL_M,'مسير مايو'!Y100,0)+IF(6&lt;=cfg_VAL_M,'مسير يونيو'!Y100,0)+IF(7&lt;=cfg_VAL_M,'مسير يوليو'!Y100,0)+IF(8&lt;=cfg_VAL_M,'مسير أغسطس'!Y100,0)+IF(9&lt;=cfg_VAL_M,'مسير سبتمبر'!Y100,0)+IF(10&lt;=cfg_VAL_M,'مسير أكتوبر'!Y100,0)+IF(11&lt;=cfg_VAL_M,'مسير نوفمبر'!Y100,0)+IF(12&lt;=cfg_VAL_M,'مسير ديسمبر'!Y100,0))</f>
        <v/>
      </c>
      <c r="AH100" s="111" t="str">
        <f aca="false">IF($B100="","",AF100/cfg_VAL_M)</f>
        <v/>
      </c>
    </row>
    <row r="101" customFormat="false" ht="15" hidden="false" customHeight="false" outlineLevel="0" collapsed="false">
      <c r="B101" s="117" t="str">
        <f aca="false">IF(الموظفون!$B101="","",الموظفون!$B101)</f>
        <v/>
      </c>
      <c r="C101" s="117" t="str">
        <f aca="false">IF(الموظفون!$B101="","",الموظفون!$C101)</f>
        <v/>
      </c>
      <c r="D101" s="117" t="str">
        <f aca="false">IF(الموظفون!$B101="","",الموظفون!$F101)</f>
        <v/>
      </c>
      <c r="E101" s="117" t="str">
        <f aca="false">IF(الموظفون!$B101="","",الموظفون!$E101)</f>
        <v/>
      </c>
      <c r="F101" s="116" t="str">
        <f aca="false">IF($B101="","",'مسير يناير'!T101)</f>
        <v/>
      </c>
      <c r="G101" s="116" t="str">
        <f aca="false">IF($B101="","",'مسير فبراير'!T101)</f>
        <v/>
      </c>
      <c r="H101" s="116" t="str">
        <f aca="false">IF($B101="","",'مسير مارس'!T101)</f>
        <v/>
      </c>
      <c r="I101" s="116" t="str">
        <f aca="false">IF($B101="","",'مسير أبريل'!T101)</f>
        <v/>
      </c>
      <c r="J101" s="116" t="str">
        <f aca="false">IF($B101="","",'مسير مايو'!T101)</f>
        <v/>
      </c>
      <c r="K101" s="116" t="str">
        <f aca="false">IF($B101="","",'مسير يونيو'!T101)</f>
        <v/>
      </c>
      <c r="L101" s="116" t="str">
        <f aca="false">IF($B101="","",'مسير يوليو'!T101)</f>
        <v/>
      </c>
      <c r="M101" s="116" t="str">
        <f aca="false">IF($B101="","",'مسير أغسطس'!T101)</f>
        <v/>
      </c>
      <c r="N101" s="116" t="str">
        <f aca="false">IF($B101="","",'مسير سبتمبر'!T101)</f>
        <v/>
      </c>
      <c r="O101" s="116" t="str">
        <f aca="false">IF($B101="","",'مسير أكتوبر'!T101)</f>
        <v/>
      </c>
      <c r="P101" s="116" t="str">
        <f aca="false">IF($B101="","",'مسير نوفمبر'!T101)</f>
        <v/>
      </c>
      <c r="Q101" s="116" t="str">
        <f aca="false">IF($B101="","",'مسير ديسمبر'!T101)</f>
        <v/>
      </c>
      <c r="R101" s="171" t="str">
        <f aca="false">IF($B101="","",IF(1&lt;=cfg_VAL_M,'مسير يناير'!T101,0)+IF(2&lt;=cfg_VAL_M,'مسير فبراير'!T101,0)+IF(3&lt;=cfg_VAL_M,'مسير مارس'!T101,0)+IF(4&lt;=cfg_VAL_M,'مسير أبريل'!T101,0)+IF(5&lt;=cfg_VAL_M,'مسير مايو'!T101,0)+IF(6&lt;=cfg_VAL_M,'مسير يونيو'!T101,0)+IF(7&lt;=cfg_VAL_M,'مسير يوليو'!T101,0)+IF(8&lt;=cfg_VAL_M,'مسير أغسطس'!T101,0)+IF(9&lt;=cfg_VAL_M,'مسير سبتمبر'!T101,0)+IF(10&lt;=cfg_VAL_M,'مسير أكتوبر'!T101,0)+IF(11&lt;=cfg_VAL_M,'مسير نوفمبر'!T101,0)+IF(12&lt;=cfg_VAL_M,'مسير ديسمبر'!T101,0))</f>
        <v/>
      </c>
      <c r="T101" s="116" t="str">
        <f aca="false">IF($B101="","",'مسير يناير'!AG101)</f>
        <v/>
      </c>
      <c r="U101" s="116" t="str">
        <f aca="false">IF($B101="","",'مسير فبراير'!AG101)</f>
        <v/>
      </c>
      <c r="V101" s="116" t="str">
        <f aca="false">IF($B101="","",'مسير مارس'!AG101)</f>
        <v/>
      </c>
      <c r="W101" s="116" t="str">
        <f aca="false">IF($B101="","",'مسير أبريل'!AG101)</f>
        <v/>
      </c>
      <c r="X101" s="116" t="str">
        <f aca="false">IF($B101="","",'مسير مايو'!AG101)</f>
        <v/>
      </c>
      <c r="Y101" s="116" t="str">
        <f aca="false">IF($B101="","",'مسير يونيو'!AG101)</f>
        <v/>
      </c>
      <c r="Z101" s="116" t="str">
        <f aca="false">IF($B101="","",'مسير يوليو'!AG101)</f>
        <v/>
      </c>
      <c r="AA101" s="116" t="str">
        <f aca="false">IF($B101="","",'مسير أغسطس'!AG101)</f>
        <v/>
      </c>
      <c r="AB101" s="116" t="str">
        <f aca="false">IF($B101="","",'مسير سبتمبر'!AG101)</f>
        <v/>
      </c>
      <c r="AC101" s="116" t="str">
        <f aca="false">IF($B101="","",'مسير أكتوبر'!AG101)</f>
        <v/>
      </c>
      <c r="AD101" s="116" t="str">
        <f aca="false">IF($B101="","",'مسير نوفمبر'!AG101)</f>
        <v/>
      </c>
      <c r="AE101" s="116" t="str">
        <f aca="false">IF($B101="","",'مسير ديسمبر'!AG101)</f>
        <v/>
      </c>
      <c r="AF101" s="171" t="str">
        <f aca="false">IF($B101="","",IF(1&lt;=cfg_VAL_M,'مسير يناير'!AG101,0)+IF(2&lt;=cfg_VAL_M,'مسير فبراير'!AG101,0)+IF(3&lt;=cfg_VAL_M,'مسير مارس'!AG101,0)+IF(4&lt;=cfg_VAL_M,'مسير أبريل'!AG101,0)+IF(5&lt;=cfg_VAL_M,'مسير مايو'!AG101,0)+IF(6&lt;=cfg_VAL_M,'مسير يونيو'!AG101,0)+IF(7&lt;=cfg_VAL_M,'مسير يوليو'!AG101,0)+IF(8&lt;=cfg_VAL_M,'مسير أغسطس'!AG101,0)+IF(9&lt;=cfg_VAL_M,'مسير سبتمبر'!AG101,0)+IF(10&lt;=cfg_VAL_M,'مسير أكتوبر'!AG101,0)+IF(11&lt;=cfg_VAL_M,'مسير نوفمبر'!AG101,0)+IF(12&lt;=cfg_VAL_M,'مسير ديسمبر'!AG101,0))</f>
        <v/>
      </c>
      <c r="AG101" s="171" t="str">
        <f aca="false">IF($B101="","",IF(1&lt;=cfg_VAL_M,'مسير يناير'!Y101,0)+IF(2&lt;=cfg_VAL_M,'مسير فبراير'!Y101,0)+IF(3&lt;=cfg_VAL_M,'مسير مارس'!Y101,0)+IF(4&lt;=cfg_VAL_M,'مسير أبريل'!Y101,0)+IF(5&lt;=cfg_VAL_M,'مسير مايو'!Y101,0)+IF(6&lt;=cfg_VAL_M,'مسير يونيو'!Y101,0)+IF(7&lt;=cfg_VAL_M,'مسير يوليو'!Y101,0)+IF(8&lt;=cfg_VAL_M,'مسير أغسطس'!Y101,0)+IF(9&lt;=cfg_VAL_M,'مسير سبتمبر'!Y101,0)+IF(10&lt;=cfg_VAL_M,'مسير أكتوبر'!Y101,0)+IF(11&lt;=cfg_VAL_M,'مسير نوفمبر'!Y101,0)+IF(12&lt;=cfg_VAL_M,'مسير ديسمبر'!Y101,0))</f>
        <v/>
      </c>
      <c r="AH101" s="116" t="str">
        <f aca="false">IF($B101="","",AF101/cfg_VAL_M)</f>
        <v/>
      </c>
    </row>
    <row r="102" customFormat="false" ht="15" hidden="false" customHeight="false" outlineLevel="0" collapsed="false">
      <c r="B102" s="114" t="str">
        <f aca="false">IF(الموظفون!$B102="","",الموظفون!$B102)</f>
        <v/>
      </c>
      <c r="C102" s="114" t="str">
        <f aca="false">IF(الموظفون!$B102="","",الموظفون!$C102)</f>
        <v/>
      </c>
      <c r="D102" s="114" t="str">
        <f aca="false">IF(الموظفون!$B102="","",الموظفون!$F102)</f>
        <v/>
      </c>
      <c r="E102" s="114" t="str">
        <f aca="false">IF(الموظفون!$B102="","",الموظفون!$E102)</f>
        <v/>
      </c>
      <c r="F102" s="111" t="str">
        <f aca="false">IF($B102="","",'مسير يناير'!T102)</f>
        <v/>
      </c>
      <c r="G102" s="111" t="str">
        <f aca="false">IF($B102="","",'مسير فبراير'!T102)</f>
        <v/>
      </c>
      <c r="H102" s="111" t="str">
        <f aca="false">IF($B102="","",'مسير مارس'!T102)</f>
        <v/>
      </c>
      <c r="I102" s="111" t="str">
        <f aca="false">IF($B102="","",'مسير أبريل'!T102)</f>
        <v/>
      </c>
      <c r="J102" s="111" t="str">
        <f aca="false">IF($B102="","",'مسير مايو'!T102)</f>
        <v/>
      </c>
      <c r="K102" s="111" t="str">
        <f aca="false">IF($B102="","",'مسير يونيو'!T102)</f>
        <v/>
      </c>
      <c r="L102" s="111" t="str">
        <f aca="false">IF($B102="","",'مسير يوليو'!T102)</f>
        <v/>
      </c>
      <c r="M102" s="111" t="str">
        <f aca="false">IF($B102="","",'مسير أغسطس'!T102)</f>
        <v/>
      </c>
      <c r="N102" s="111" t="str">
        <f aca="false">IF($B102="","",'مسير سبتمبر'!T102)</f>
        <v/>
      </c>
      <c r="O102" s="111" t="str">
        <f aca="false">IF($B102="","",'مسير أكتوبر'!T102)</f>
        <v/>
      </c>
      <c r="P102" s="111" t="str">
        <f aca="false">IF($B102="","",'مسير نوفمبر'!T102)</f>
        <v/>
      </c>
      <c r="Q102" s="111" t="str">
        <f aca="false">IF($B102="","",'مسير ديسمبر'!T102)</f>
        <v/>
      </c>
      <c r="R102" s="170" t="str">
        <f aca="false">IF($B102="","",IF(1&lt;=cfg_VAL_M,'مسير يناير'!T102,0)+IF(2&lt;=cfg_VAL_M,'مسير فبراير'!T102,0)+IF(3&lt;=cfg_VAL_M,'مسير مارس'!T102,0)+IF(4&lt;=cfg_VAL_M,'مسير أبريل'!T102,0)+IF(5&lt;=cfg_VAL_M,'مسير مايو'!T102,0)+IF(6&lt;=cfg_VAL_M,'مسير يونيو'!T102,0)+IF(7&lt;=cfg_VAL_M,'مسير يوليو'!T102,0)+IF(8&lt;=cfg_VAL_M,'مسير أغسطس'!T102,0)+IF(9&lt;=cfg_VAL_M,'مسير سبتمبر'!T102,0)+IF(10&lt;=cfg_VAL_M,'مسير أكتوبر'!T102,0)+IF(11&lt;=cfg_VAL_M,'مسير نوفمبر'!T102,0)+IF(12&lt;=cfg_VAL_M,'مسير ديسمبر'!T102,0))</f>
        <v/>
      </c>
      <c r="T102" s="111" t="str">
        <f aca="false">IF($B102="","",'مسير يناير'!AG102)</f>
        <v/>
      </c>
      <c r="U102" s="111" t="str">
        <f aca="false">IF($B102="","",'مسير فبراير'!AG102)</f>
        <v/>
      </c>
      <c r="V102" s="111" t="str">
        <f aca="false">IF($B102="","",'مسير مارس'!AG102)</f>
        <v/>
      </c>
      <c r="W102" s="111" t="str">
        <f aca="false">IF($B102="","",'مسير أبريل'!AG102)</f>
        <v/>
      </c>
      <c r="X102" s="111" t="str">
        <f aca="false">IF($B102="","",'مسير مايو'!AG102)</f>
        <v/>
      </c>
      <c r="Y102" s="111" t="str">
        <f aca="false">IF($B102="","",'مسير يونيو'!AG102)</f>
        <v/>
      </c>
      <c r="Z102" s="111" t="str">
        <f aca="false">IF($B102="","",'مسير يوليو'!AG102)</f>
        <v/>
      </c>
      <c r="AA102" s="111" t="str">
        <f aca="false">IF($B102="","",'مسير أغسطس'!AG102)</f>
        <v/>
      </c>
      <c r="AB102" s="111" t="str">
        <f aca="false">IF($B102="","",'مسير سبتمبر'!AG102)</f>
        <v/>
      </c>
      <c r="AC102" s="111" t="str">
        <f aca="false">IF($B102="","",'مسير أكتوبر'!AG102)</f>
        <v/>
      </c>
      <c r="AD102" s="111" t="str">
        <f aca="false">IF($B102="","",'مسير نوفمبر'!AG102)</f>
        <v/>
      </c>
      <c r="AE102" s="111" t="str">
        <f aca="false">IF($B102="","",'مسير ديسمبر'!AG102)</f>
        <v/>
      </c>
      <c r="AF102" s="170" t="str">
        <f aca="false">IF($B102="","",IF(1&lt;=cfg_VAL_M,'مسير يناير'!AG102,0)+IF(2&lt;=cfg_VAL_M,'مسير فبراير'!AG102,0)+IF(3&lt;=cfg_VAL_M,'مسير مارس'!AG102,0)+IF(4&lt;=cfg_VAL_M,'مسير أبريل'!AG102,0)+IF(5&lt;=cfg_VAL_M,'مسير مايو'!AG102,0)+IF(6&lt;=cfg_VAL_M,'مسير يونيو'!AG102,0)+IF(7&lt;=cfg_VAL_M,'مسير يوليو'!AG102,0)+IF(8&lt;=cfg_VAL_M,'مسير أغسطس'!AG102,0)+IF(9&lt;=cfg_VAL_M,'مسير سبتمبر'!AG102,0)+IF(10&lt;=cfg_VAL_M,'مسير أكتوبر'!AG102,0)+IF(11&lt;=cfg_VAL_M,'مسير نوفمبر'!AG102,0)+IF(12&lt;=cfg_VAL_M,'مسير ديسمبر'!AG102,0))</f>
        <v/>
      </c>
      <c r="AG102" s="170" t="str">
        <f aca="false">IF($B102="","",IF(1&lt;=cfg_VAL_M,'مسير يناير'!Y102,0)+IF(2&lt;=cfg_VAL_M,'مسير فبراير'!Y102,0)+IF(3&lt;=cfg_VAL_M,'مسير مارس'!Y102,0)+IF(4&lt;=cfg_VAL_M,'مسير أبريل'!Y102,0)+IF(5&lt;=cfg_VAL_M,'مسير مايو'!Y102,0)+IF(6&lt;=cfg_VAL_M,'مسير يونيو'!Y102,0)+IF(7&lt;=cfg_VAL_M,'مسير يوليو'!Y102,0)+IF(8&lt;=cfg_VAL_M,'مسير أغسطس'!Y102,0)+IF(9&lt;=cfg_VAL_M,'مسير سبتمبر'!Y102,0)+IF(10&lt;=cfg_VAL_M,'مسير أكتوبر'!Y102,0)+IF(11&lt;=cfg_VAL_M,'مسير نوفمبر'!Y102,0)+IF(12&lt;=cfg_VAL_M,'مسير ديسمبر'!Y102,0))</f>
        <v/>
      </c>
      <c r="AH102" s="111" t="str">
        <f aca="false">IF($B102="","",AF102/cfg_VAL_M)</f>
        <v/>
      </c>
    </row>
    <row r="103" customFormat="false" ht="15" hidden="false" customHeight="false" outlineLevel="0" collapsed="false">
      <c r="B103" s="117" t="str">
        <f aca="false">IF(الموظفون!$B103="","",الموظفون!$B103)</f>
        <v/>
      </c>
      <c r="C103" s="117" t="str">
        <f aca="false">IF(الموظفون!$B103="","",الموظفون!$C103)</f>
        <v/>
      </c>
      <c r="D103" s="117" t="str">
        <f aca="false">IF(الموظفون!$B103="","",الموظفون!$F103)</f>
        <v/>
      </c>
      <c r="E103" s="117" t="str">
        <f aca="false">IF(الموظفون!$B103="","",الموظفون!$E103)</f>
        <v/>
      </c>
      <c r="F103" s="116" t="str">
        <f aca="false">IF($B103="","",'مسير يناير'!T103)</f>
        <v/>
      </c>
      <c r="G103" s="116" t="str">
        <f aca="false">IF($B103="","",'مسير فبراير'!T103)</f>
        <v/>
      </c>
      <c r="H103" s="116" t="str">
        <f aca="false">IF($B103="","",'مسير مارس'!T103)</f>
        <v/>
      </c>
      <c r="I103" s="116" t="str">
        <f aca="false">IF($B103="","",'مسير أبريل'!T103)</f>
        <v/>
      </c>
      <c r="J103" s="116" t="str">
        <f aca="false">IF($B103="","",'مسير مايو'!T103)</f>
        <v/>
      </c>
      <c r="K103" s="116" t="str">
        <f aca="false">IF($B103="","",'مسير يونيو'!T103)</f>
        <v/>
      </c>
      <c r="L103" s="116" t="str">
        <f aca="false">IF($B103="","",'مسير يوليو'!T103)</f>
        <v/>
      </c>
      <c r="M103" s="116" t="str">
        <f aca="false">IF($B103="","",'مسير أغسطس'!T103)</f>
        <v/>
      </c>
      <c r="N103" s="116" t="str">
        <f aca="false">IF($B103="","",'مسير سبتمبر'!T103)</f>
        <v/>
      </c>
      <c r="O103" s="116" t="str">
        <f aca="false">IF($B103="","",'مسير أكتوبر'!T103)</f>
        <v/>
      </c>
      <c r="P103" s="116" t="str">
        <f aca="false">IF($B103="","",'مسير نوفمبر'!T103)</f>
        <v/>
      </c>
      <c r="Q103" s="116" t="str">
        <f aca="false">IF($B103="","",'مسير ديسمبر'!T103)</f>
        <v/>
      </c>
      <c r="R103" s="171" t="str">
        <f aca="false">IF($B103="","",IF(1&lt;=cfg_VAL_M,'مسير يناير'!T103,0)+IF(2&lt;=cfg_VAL_M,'مسير فبراير'!T103,0)+IF(3&lt;=cfg_VAL_M,'مسير مارس'!T103,0)+IF(4&lt;=cfg_VAL_M,'مسير أبريل'!T103,0)+IF(5&lt;=cfg_VAL_M,'مسير مايو'!T103,0)+IF(6&lt;=cfg_VAL_M,'مسير يونيو'!T103,0)+IF(7&lt;=cfg_VAL_M,'مسير يوليو'!T103,0)+IF(8&lt;=cfg_VAL_M,'مسير أغسطس'!T103,0)+IF(9&lt;=cfg_VAL_M,'مسير سبتمبر'!T103,0)+IF(10&lt;=cfg_VAL_M,'مسير أكتوبر'!T103,0)+IF(11&lt;=cfg_VAL_M,'مسير نوفمبر'!T103,0)+IF(12&lt;=cfg_VAL_M,'مسير ديسمبر'!T103,0))</f>
        <v/>
      </c>
      <c r="T103" s="116" t="str">
        <f aca="false">IF($B103="","",'مسير يناير'!AG103)</f>
        <v/>
      </c>
      <c r="U103" s="116" t="str">
        <f aca="false">IF($B103="","",'مسير فبراير'!AG103)</f>
        <v/>
      </c>
      <c r="V103" s="116" t="str">
        <f aca="false">IF($B103="","",'مسير مارس'!AG103)</f>
        <v/>
      </c>
      <c r="W103" s="116" t="str">
        <f aca="false">IF($B103="","",'مسير أبريل'!AG103)</f>
        <v/>
      </c>
      <c r="X103" s="116" t="str">
        <f aca="false">IF($B103="","",'مسير مايو'!AG103)</f>
        <v/>
      </c>
      <c r="Y103" s="116" t="str">
        <f aca="false">IF($B103="","",'مسير يونيو'!AG103)</f>
        <v/>
      </c>
      <c r="Z103" s="116" t="str">
        <f aca="false">IF($B103="","",'مسير يوليو'!AG103)</f>
        <v/>
      </c>
      <c r="AA103" s="116" t="str">
        <f aca="false">IF($B103="","",'مسير أغسطس'!AG103)</f>
        <v/>
      </c>
      <c r="AB103" s="116" t="str">
        <f aca="false">IF($B103="","",'مسير سبتمبر'!AG103)</f>
        <v/>
      </c>
      <c r="AC103" s="116" t="str">
        <f aca="false">IF($B103="","",'مسير أكتوبر'!AG103)</f>
        <v/>
      </c>
      <c r="AD103" s="116" t="str">
        <f aca="false">IF($B103="","",'مسير نوفمبر'!AG103)</f>
        <v/>
      </c>
      <c r="AE103" s="116" t="str">
        <f aca="false">IF($B103="","",'مسير ديسمبر'!AG103)</f>
        <v/>
      </c>
      <c r="AF103" s="171" t="str">
        <f aca="false">IF($B103="","",IF(1&lt;=cfg_VAL_M,'مسير يناير'!AG103,0)+IF(2&lt;=cfg_VAL_M,'مسير فبراير'!AG103,0)+IF(3&lt;=cfg_VAL_M,'مسير مارس'!AG103,0)+IF(4&lt;=cfg_VAL_M,'مسير أبريل'!AG103,0)+IF(5&lt;=cfg_VAL_M,'مسير مايو'!AG103,0)+IF(6&lt;=cfg_VAL_M,'مسير يونيو'!AG103,0)+IF(7&lt;=cfg_VAL_M,'مسير يوليو'!AG103,0)+IF(8&lt;=cfg_VAL_M,'مسير أغسطس'!AG103,0)+IF(9&lt;=cfg_VAL_M,'مسير سبتمبر'!AG103,0)+IF(10&lt;=cfg_VAL_M,'مسير أكتوبر'!AG103,0)+IF(11&lt;=cfg_VAL_M,'مسير نوفمبر'!AG103,0)+IF(12&lt;=cfg_VAL_M,'مسير ديسمبر'!AG103,0))</f>
        <v/>
      </c>
      <c r="AG103" s="171" t="str">
        <f aca="false">IF($B103="","",IF(1&lt;=cfg_VAL_M,'مسير يناير'!Y103,0)+IF(2&lt;=cfg_VAL_M,'مسير فبراير'!Y103,0)+IF(3&lt;=cfg_VAL_M,'مسير مارس'!Y103,0)+IF(4&lt;=cfg_VAL_M,'مسير أبريل'!Y103,0)+IF(5&lt;=cfg_VAL_M,'مسير مايو'!Y103,0)+IF(6&lt;=cfg_VAL_M,'مسير يونيو'!Y103,0)+IF(7&lt;=cfg_VAL_M,'مسير يوليو'!Y103,0)+IF(8&lt;=cfg_VAL_M,'مسير أغسطس'!Y103,0)+IF(9&lt;=cfg_VAL_M,'مسير سبتمبر'!Y103,0)+IF(10&lt;=cfg_VAL_M,'مسير أكتوبر'!Y103,0)+IF(11&lt;=cfg_VAL_M,'مسير نوفمبر'!Y103,0)+IF(12&lt;=cfg_VAL_M,'مسير ديسمبر'!Y103,0))</f>
        <v/>
      </c>
      <c r="AH103" s="116" t="str">
        <f aca="false">IF($B103="","",AF103/cfg_VAL_M)</f>
        <v/>
      </c>
    </row>
    <row r="104" customFormat="false" ht="15" hidden="false" customHeight="false" outlineLevel="0" collapsed="false">
      <c r="B104" s="114" t="str">
        <f aca="false">IF(الموظفون!$B104="","",الموظفون!$B104)</f>
        <v/>
      </c>
      <c r="C104" s="114" t="str">
        <f aca="false">IF(الموظفون!$B104="","",الموظفون!$C104)</f>
        <v/>
      </c>
      <c r="D104" s="114" t="str">
        <f aca="false">IF(الموظفون!$B104="","",الموظفون!$F104)</f>
        <v/>
      </c>
      <c r="E104" s="114" t="str">
        <f aca="false">IF(الموظفون!$B104="","",الموظفون!$E104)</f>
        <v/>
      </c>
      <c r="F104" s="111" t="str">
        <f aca="false">IF($B104="","",'مسير يناير'!T104)</f>
        <v/>
      </c>
      <c r="G104" s="111" t="str">
        <f aca="false">IF($B104="","",'مسير فبراير'!T104)</f>
        <v/>
      </c>
      <c r="H104" s="111" t="str">
        <f aca="false">IF($B104="","",'مسير مارس'!T104)</f>
        <v/>
      </c>
      <c r="I104" s="111" t="str">
        <f aca="false">IF($B104="","",'مسير أبريل'!T104)</f>
        <v/>
      </c>
      <c r="J104" s="111" t="str">
        <f aca="false">IF($B104="","",'مسير مايو'!T104)</f>
        <v/>
      </c>
      <c r="K104" s="111" t="str">
        <f aca="false">IF($B104="","",'مسير يونيو'!T104)</f>
        <v/>
      </c>
      <c r="L104" s="111" t="str">
        <f aca="false">IF($B104="","",'مسير يوليو'!T104)</f>
        <v/>
      </c>
      <c r="M104" s="111" t="str">
        <f aca="false">IF($B104="","",'مسير أغسطس'!T104)</f>
        <v/>
      </c>
      <c r="N104" s="111" t="str">
        <f aca="false">IF($B104="","",'مسير سبتمبر'!T104)</f>
        <v/>
      </c>
      <c r="O104" s="111" t="str">
        <f aca="false">IF($B104="","",'مسير أكتوبر'!T104)</f>
        <v/>
      </c>
      <c r="P104" s="111" t="str">
        <f aca="false">IF($B104="","",'مسير نوفمبر'!T104)</f>
        <v/>
      </c>
      <c r="Q104" s="111" t="str">
        <f aca="false">IF($B104="","",'مسير ديسمبر'!T104)</f>
        <v/>
      </c>
      <c r="R104" s="170" t="str">
        <f aca="false">IF($B104="","",IF(1&lt;=cfg_VAL_M,'مسير يناير'!T104,0)+IF(2&lt;=cfg_VAL_M,'مسير فبراير'!T104,0)+IF(3&lt;=cfg_VAL_M,'مسير مارس'!T104,0)+IF(4&lt;=cfg_VAL_M,'مسير أبريل'!T104,0)+IF(5&lt;=cfg_VAL_M,'مسير مايو'!T104,0)+IF(6&lt;=cfg_VAL_M,'مسير يونيو'!T104,0)+IF(7&lt;=cfg_VAL_M,'مسير يوليو'!T104,0)+IF(8&lt;=cfg_VAL_M,'مسير أغسطس'!T104,0)+IF(9&lt;=cfg_VAL_M,'مسير سبتمبر'!T104,0)+IF(10&lt;=cfg_VAL_M,'مسير أكتوبر'!T104,0)+IF(11&lt;=cfg_VAL_M,'مسير نوفمبر'!T104,0)+IF(12&lt;=cfg_VAL_M,'مسير ديسمبر'!T104,0))</f>
        <v/>
      </c>
      <c r="T104" s="111" t="str">
        <f aca="false">IF($B104="","",'مسير يناير'!AG104)</f>
        <v/>
      </c>
      <c r="U104" s="111" t="str">
        <f aca="false">IF($B104="","",'مسير فبراير'!AG104)</f>
        <v/>
      </c>
      <c r="V104" s="111" t="str">
        <f aca="false">IF($B104="","",'مسير مارس'!AG104)</f>
        <v/>
      </c>
      <c r="W104" s="111" t="str">
        <f aca="false">IF($B104="","",'مسير أبريل'!AG104)</f>
        <v/>
      </c>
      <c r="X104" s="111" t="str">
        <f aca="false">IF($B104="","",'مسير مايو'!AG104)</f>
        <v/>
      </c>
      <c r="Y104" s="111" t="str">
        <f aca="false">IF($B104="","",'مسير يونيو'!AG104)</f>
        <v/>
      </c>
      <c r="Z104" s="111" t="str">
        <f aca="false">IF($B104="","",'مسير يوليو'!AG104)</f>
        <v/>
      </c>
      <c r="AA104" s="111" t="str">
        <f aca="false">IF($B104="","",'مسير أغسطس'!AG104)</f>
        <v/>
      </c>
      <c r="AB104" s="111" t="str">
        <f aca="false">IF($B104="","",'مسير سبتمبر'!AG104)</f>
        <v/>
      </c>
      <c r="AC104" s="111" t="str">
        <f aca="false">IF($B104="","",'مسير أكتوبر'!AG104)</f>
        <v/>
      </c>
      <c r="AD104" s="111" t="str">
        <f aca="false">IF($B104="","",'مسير نوفمبر'!AG104)</f>
        <v/>
      </c>
      <c r="AE104" s="111" t="str">
        <f aca="false">IF($B104="","",'مسير ديسمبر'!AG104)</f>
        <v/>
      </c>
      <c r="AF104" s="170" t="str">
        <f aca="false">IF($B104="","",IF(1&lt;=cfg_VAL_M,'مسير يناير'!AG104,0)+IF(2&lt;=cfg_VAL_M,'مسير فبراير'!AG104,0)+IF(3&lt;=cfg_VAL_M,'مسير مارس'!AG104,0)+IF(4&lt;=cfg_VAL_M,'مسير أبريل'!AG104,0)+IF(5&lt;=cfg_VAL_M,'مسير مايو'!AG104,0)+IF(6&lt;=cfg_VAL_M,'مسير يونيو'!AG104,0)+IF(7&lt;=cfg_VAL_M,'مسير يوليو'!AG104,0)+IF(8&lt;=cfg_VAL_M,'مسير أغسطس'!AG104,0)+IF(9&lt;=cfg_VAL_M,'مسير سبتمبر'!AG104,0)+IF(10&lt;=cfg_VAL_M,'مسير أكتوبر'!AG104,0)+IF(11&lt;=cfg_VAL_M,'مسير نوفمبر'!AG104,0)+IF(12&lt;=cfg_VAL_M,'مسير ديسمبر'!AG104,0))</f>
        <v/>
      </c>
      <c r="AG104" s="170" t="str">
        <f aca="false">IF($B104="","",IF(1&lt;=cfg_VAL_M,'مسير يناير'!Y104,0)+IF(2&lt;=cfg_VAL_M,'مسير فبراير'!Y104,0)+IF(3&lt;=cfg_VAL_M,'مسير مارس'!Y104,0)+IF(4&lt;=cfg_VAL_M,'مسير أبريل'!Y104,0)+IF(5&lt;=cfg_VAL_M,'مسير مايو'!Y104,0)+IF(6&lt;=cfg_VAL_M,'مسير يونيو'!Y104,0)+IF(7&lt;=cfg_VAL_M,'مسير يوليو'!Y104,0)+IF(8&lt;=cfg_VAL_M,'مسير أغسطس'!Y104,0)+IF(9&lt;=cfg_VAL_M,'مسير سبتمبر'!Y104,0)+IF(10&lt;=cfg_VAL_M,'مسير أكتوبر'!Y104,0)+IF(11&lt;=cfg_VAL_M,'مسير نوفمبر'!Y104,0)+IF(12&lt;=cfg_VAL_M,'مسير ديسمبر'!Y104,0))</f>
        <v/>
      </c>
      <c r="AH104" s="111" t="str">
        <f aca="false">IF($B104="","",AF104/cfg_VAL_M)</f>
        <v/>
      </c>
    </row>
    <row r="105" customFormat="false" ht="15" hidden="false" customHeight="false" outlineLevel="0" collapsed="false">
      <c r="B105" s="117" t="str">
        <f aca="false">IF(الموظفون!$B105="","",الموظفون!$B105)</f>
        <v/>
      </c>
      <c r="C105" s="117" t="str">
        <f aca="false">IF(الموظفون!$B105="","",الموظفون!$C105)</f>
        <v/>
      </c>
      <c r="D105" s="117" t="str">
        <f aca="false">IF(الموظفون!$B105="","",الموظفون!$F105)</f>
        <v/>
      </c>
      <c r="E105" s="117" t="str">
        <f aca="false">IF(الموظفون!$B105="","",الموظفون!$E105)</f>
        <v/>
      </c>
      <c r="F105" s="116" t="str">
        <f aca="false">IF($B105="","",'مسير يناير'!T105)</f>
        <v/>
      </c>
      <c r="G105" s="116" t="str">
        <f aca="false">IF($B105="","",'مسير فبراير'!T105)</f>
        <v/>
      </c>
      <c r="H105" s="116" t="str">
        <f aca="false">IF($B105="","",'مسير مارس'!T105)</f>
        <v/>
      </c>
      <c r="I105" s="116" t="str">
        <f aca="false">IF($B105="","",'مسير أبريل'!T105)</f>
        <v/>
      </c>
      <c r="J105" s="116" t="str">
        <f aca="false">IF($B105="","",'مسير مايو'!T105)</f>
        <v/>
      </c>
      <c r="K105" s="116" t="str">
        <f aca="false">IF($B105="","",'مسير يونيو'!T105)</f>
        <v/>
      </c>
      <c r="L105" s="116" t="str">
        <f aca="false">IF($B105="","",'مسير يوليو'!T105)</f>
        <v/>
      </c>
      <c r="M105" s="116" t="str">
        <f aca="false">IF($B105="","",'مسير أغسطس'!T105)</f>
        <v/>
      </c>
      <c r="N105" s="116" t="str">
        <f aca="false">IF($B105="","",'مسير سبتمبر'!T105)</f>
        <v/>
      </c>
      <c r="O105" s="116" t="str">
        <f aca="false">IF($B105="","",'مسير أكتوبر'!T105)</f>
        <v/>
      </c>
      <c r="P105" s="116" t="str">
        <f aca="false">IF($B105="","",'مسير نوفمبر'!T105)</f>
        <v/>
      </c>
      <c r="Q105" s="116" t="str">
        <f aca="false">IF($B105="","",'مسير ديسمبر'!T105)</f>
        <v/>
      </c>
      <c r="R105" s="171" t="str">
        <f aca="false">IF($B105="","",IF(1&lt;=cfg_VAL_M,'مسير يناير'!T105,0)+IF(2&lt;=cfg_VAL_M,'مسير فبراير'!T105,0)+IF(3&lt;=cfg_VAL_M,'مسير مارس'!T105,0)+IF(4&lt;=cfg_VAL_M,'مسير أبريل'!T105,0)+IF(5&lt;=cfg_VAL_M,'مسير مايو'!T105,0)+IF(6&lt;=cfg_VAL_M,'مسير يونيو'!T105,0)+IF(7&lt;=cfg_VAL_M,'مسير يوليو'!T105,0)+IF(8&lt;=cfg_VAL_M,'مسير أغسطس'!T105,0)+IF(9&lt;=cfg_VAL_M,'مسير سبتمبر'!T105,0)+IF(10&lt;=cfg_VAL_M,'مسير أكتوبر'!T105,0)+IF(11&lt;=cfg_VAL_M,'مسير نوفمبر'!T105,0)+IF(12&lt;=cfg_VAL_M,'مسير ديسمبر'!T105,0))</f>
        <v/>
      </c>
      <c r="T105" s="116" t="str">
        <f aca="false">IF($B105="","",'مسير يناير'!AG105)</f>
        <v/>
      </c>
      <c r="U105" s="116" t="str">
        <f aca="false">IF($B105="","",'مسير فبراير'!AG105)</f>
        <v/>
      </c>
      <c r="V105" s="116" t="str">
        <f aca="false">IF($B105="","",'مسير مارس'!AG105)</f>
        <v/>
      </c>
      <c r="W105" s="116" t="str">
        <f aca="false">IF($B105="","",'مسير أبريل'!AG105)</f>
        <v/>
      </c>
      <c r="X105" s="116" t="str">
        <f aca="false">IF($B105="","",'مسير مايو'!AG105)</f>
        <v/>
      </c>
      <c r="Y105" s="116" t="str">
        <f aca="false">IF($B105="","",'مسير يونيو'!AG105)</f>
        <v/>
      </c>
      <c r="Z105" s="116" t="str">
        <f aca="false">IF($B105="","",'مسير يوليو'!AG105)</f>
        <v/>
      </c>
      <c r="AA105" s="116" t="str">
        <f aca="false">IF($B105="","",'مسير أغسطس'!AG105)</f>
        <v/>
      </c>
      <c r="AB105" s="116" t="str">
        <f aca="false">IF($B105="","",'مسير سبتمبر'!AG105)</f>
        <v/>
      </c>
      <c r="AC105" s="116" t="str">
        <f aca="false">IF($B105="","",'مسير أكتوبر'!AG105)</f>
        <v/>
      </c>
      <c r="AD105" s="116" t="str">
        <f aca="false">IF($B105="","",'مسير نوفمبر'!AG105)</f>
        <v/>
      </c>
      <c r="AE105" s="116" t="str">
        <f aca="false">IF($B105="","",'مسير ديسمبر'!AG105)</f>
        <v/>
      </c>
      <c r="AF105" s="171" t="str">
        <f aca="false">IF($B105="","",IF(1&lt;=cfg_VAL_M,'مسير يناير'!AG105,0)+IF(2&lt;=cfg_VAL_M,'مسير فبراير'!AG105,0)+IF(3&lt;=cfg_VAL_M,'مسير مارس'!AG105,0)+IF(4&lt;=cfg_VAL_M,'مسير أبريل'!AG105,0)+IF(5&lt;=cfg_VAL_M,'مسير مايو'!AG105,0)+IF(6&lt;=cfg_VAL_M,'مسير يونيو'!AG105,0)+IF(7&lt;=cfg_VAL_M,'مسير يوليو'!AG105,0)+IF(8&lt;=cfg_VAL_M,'مسير أغسطس'!AG105,0)+IF(9&lt;=cfg_VAL_M,'مسير سبتمبر'!AG105,0)+IF(10&lt;=cfg_VAL_M,'مسير أكتوبر'!AG105,0)+IF(11&lt;=cfg_VAL_M,'مسير نوفمبر'!AG105,0)+IF(12&lt;=cfg_VAL_M,'مسير ديسمبر'!AG105,0))</f>
        <v/>
      </c>
      <c r="AG105" s="171" t="str">
        <f aca="false">IF($B105="","",IF(1&lt;=cfg_VAL_M,'مسير يناير'!Y105,0)+IF(2&lt;=cfg_VAL_M,'مسير فبراير'!Y105,0)+IF(3&lt;=cfg_VAL_M,'مسير مارس'!Y105,0)+IF(4&lt;=cfg_VAL_M,'مسير أبريل'!Y105,0)+IF(5&lt;=cfg_VAL_M,'مسير مايو'!Y105,0)+IF(6&lt;=cfg_VAL_M,'مسير يونيو'!Y105,0)+IF(7&lt;=cfg_VAL_M,'مسير يوليو'!Y105,0)+IF(8&lt;=cfg_VAL_M,'مسير أغسطس'!Y105,0)+IF(9&lt;=cfg_VAL_M,'مسير سبتمبر'!Y105,0)+IF(10&lt;=cfg_VAL_M,'مسير أكتوبر'!Y105,0)+IF(11&lt;=cfg_VAL_M,'مسير نوفمبر'!Y105,0)+IF(12&lt;=cfg_VAL_M,'مسير ديسمبر'!Y105,0))</f>
        <v/>
      </c>
      <c r="AH105" s="116" t="str">
        <f aca="false">IF($B105="","",AF105/cfg_VAL_M)</f>
        <v/>
      </c>
    </row>
    <row r="106" customFormat="false" ht="24" hidden="false" customHeight="true" outlineLevel="0" collapsed="false">
      <c r="B106" s="124"/>
      <c r="C106" s="124" t="s">
        <v>161</v>
      </c>
      <c r="D106" s="124"/>
      <c r="E106" s="124"/>
      <c r="F106" s="125" t="n">
        <f aca="false">SUM(F6:F105)</f>
        <v>190710.833333333</v>
      </c>
      <c r="G106" s="125" t="n">
        <f aca="false">SUM(G6:G105)</f>
        <v>194715.833333333</v>
      </c>
      <c r="H106" s="125" t="n">
        <f aca="false">SUM(H6:H105)</f>
        <v>190056.25</v>
      </c>
      <c r="I106" s="125" t="n">
        <f aca="false">SUM(I6:I105)</f>
        <v>194475</v>
      </c>
      <c r="J106" s="125" t="n">
        <f aca="false">SUM(J6:J105)</f>
        <v>202481.666666667</v>
      </c>
      <c r="K106" s="125" t="n">
        <f aca="false">SUM(K6:K105)</f>
        <v>207525</v>
      </c>
      <c r="L106" s="125" t="n">
        <f aca="false">SUM(L6:L105)</f>
        <v>202872.260273973</v>
      </c>
      <c r="M106" s="125" t="n">
        <f aca="false">SUM(M6:M105)</f>
        <v>193072.5</v>
      </c>
      <c r="N106" s="125" t="n">
        <f aca="false">SUM(N6:N105)</f>
        <v>187664.583333333</v>
      </c>
      <c r="O106" s="125" t="n">
        <f aca="false">SUM(O6:O105)</f>
        <v>181876.666666667</v>
      </c>
      <c r="P106" s="125" t="n">
        <f aca="false">SUM(P6:P105)</f>
        <v>194575</v>
      </c>
      <c r="Q106" s="125" t="n">
        <f aca="false">SUM(Q6:Q105)</f>
        <v>194075</v>
      </c>
      <c r="R106" s="125" t="n">
        <f aca="false">SUM(R6:R105)</f>
        <v>1763573.92694064</v>
      </c>
      <c r="S106" s="172"/>
      <c r="T106" s="125" t="n">
        <f aca="false">SUM(T6:T105)</f>
        <v>241756.754851598</v>
      </c>
      <c r="U106" s="125" t="n">
        <f aca="false">SUM(U6:U105)</f>
        <v>243267.727454338</v>
      </c>
      <c r="V106" s="125" t="n">
        <f aca="false">SUM(V6:V105)</f>
        <v>241468.335901827</v>
      </c>
      <c r="W106" s="125" t="n">
        <f aca="false">SUM(W6:W105)</f>
        <v>246384.47859589</v>
      </c>
      <c r="X106" s="125" t="n">
        <f aca="false">SUM(X6:X105)</f>
        <v>256653.928938356</v>
      </c>
      <c r="Y106" s="125" t="n">
        <f aca="false">SUM(Y6:Y105)</f>
        <v>260703.919805936</v>
      </c>
      <c r="Z106" s="125" t="n">
        <f aca="false">SUM(Z6:Z105)</f>
        <v>254658.369577626</v>
      </c>
      <c r="AA106" s="125" t="n">
        <f aca="false">SUM(AA6:AA105)</f>
        <v>244758.746289954</v>
      </c>
      <c r="AB106" s="125" t="n">
        <f aca="false">SUM(AB6:AB105)</f>
        <v>237440.08989726</v>
      </c>
      <c r="AC106" s="125" t="n">
        <f aca="false">SUM(AC6:AC105)</f>
        <v>231835.652682648</v>
      </c>
      <c r="AD106" s="125" t="n">
        <f aca="false">SUM(AD6:AD105)</f>
        <v>245408.314783105</v>
      </c>
      <c r="AE106" s="125" t="n">
        <f aca="false">SUM(AE6:AE105)</f>
        <v>245861.109303653</v>
      </c>
      <c r="AF106" s="125" t="n">
        <f aca="false">SUM(AF6:AF105)</f>
        <v>2227092.35131279</v>
      </c>
      <c r="AG106" s="125" t="n">
        <f aca="false">SUM(AG6:AG105)</f>
        <v>1650693.61444064</v>
      </c>
      <c r="AH106" s="125" t="n">
        <f aca="false">SUM(AH6:AH105)</f>
        <v>247454.705701421</v>
      </c>
    </row>
  </sheetData>
  <sheetProtection sheet="true" password="ffa5" objects="true" scenarios="true"/>
  <mergeCells count="4">
    <mergeCell ref="B1:AH1"/>
    <mergeCell ref="B2:AH2"/>
    <mergeCell ref="F4:R4"/>
    <mergeCell ref="T4:AF4"/>
  </mergeCells>
  <hyperlinks>
    <hyperlink ref="B2" r:id="rId1" display="https://accopro.net/"/>
    <hyperlink ref="B3" location="'الرئيسية'!A1" display="🏠 الرئيسية"/>
    <hyperlink ref="C3" location="'لوحة التحكم'!A1" display="📊 لوحة التحكم"/>
    <hyperlink ref="D3" location="'الإعدادات'!A1" display="⚙ الإعدادات"/>
    <hyperlink ref="E3" location="'الموظفون'!A1" display="👥 الموظفون"/>
    <hyperlink ref="F3" location="'سجل الإجازات والحالات'!A1" display="🌴 سجل الإجازات"/>
    <hyperlink ref="G3" location="'الحركات الشهرية'!A1" display="✍ الحركات"/>
    <hyperlink ref="H3" location="'الإقامات ورخص العمل'!A1" display="🪪 الإقامات"/>
    <hyperlink ref="I3" location="'الملخص الشهري'!A1" display="📅 الملخص الشهري"/>
    <hyperlink ref="J3" location="'قيود الرواتب'!A1" display="🧾 القيود"/>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&amp;Cنسخة تجريبية — النسخة الكاملة: accopro.net</oddHeader>
    <oddFooter>&amp;CAccoPro — https://accopro.net</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U107"/>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9"/>
    <col collapsed="false" customWidth="true" hidden="false" outlineLevel="0" max="3" min="3" style="0" width="24"/>
    <col collapsed="false" customWidth="true" hidden="false" outlineLevel="0" max="5" min="4" style="0" width="10"/>
    <col collapsed="false" customWidth="true" hidden="false" outlineLevel="0" max="6" min="6" style="0" width="15"/>
    <col collapsed="false" customWidth="true" hidden="false" outlineLevel="0" max="7" min="7" style="0" width="13"/>
    <col collapsed="false" customWidth="true" hidden="false" outlineLevel="0" max="8" min="8" style="0" width="12"/>
    <col collapsed="false" customWidth="true" hidden="false" outlineLevel="0" max="9" min="9" style="0" width="9"/>
    <col collapsed="false" customWidth="true" hidden="false" outlineLevel="0" max="10" min="10" style="0" width="19"/>
    <col collapsed="false" customWidth="true" hidden="false" outlineLevel="0" max="11" min="11" style="0" width="12"/>
    <col collapsed="false" customWidth="true" hidden="false" outlineLevel="0" max="12" min="12" style="0" width="9"/>
    <col collapsed="false" customWidth="true" hidden="false" outlineLevel="0" max="13" min="13" style="0" width="19"/>
    <col collapsed="false" customWidth="true" hidden="false" outlineLevel="0" max="16" min="14" style="0" width="12"/>
    <col collapsed="false" customWidth="true" hidden="false" outlineLevel="0" max="17" min="17" style="0" width="11"/>
    <col collapsed="false" customWidth="true" hidden="false" outlineLevel="0" max="18" min="18" style="0" width="13"/>
    <col collapsed="false" customWidth="true" hidden="false" outlineLevel="0" max="19" min="19" style="0" width="12"/>
    <col collapsed="false" customWidth="true" hidden="false" outlineLevel="0" max="20" min="20" style="0" width="13"/>
    <col collapsed="false" customWidth="true" hidden="false" outlineLevel="0" max="21" min="21" style="0" width="14"/>
  </cols>
  <sheetData>
    <row r="1" customFormat="false" ht="37.5" hidden="false" customHeight="true" outlineLevel="0" collapsed="false">
      <c r="B1" s="136" t="str">
        <f aca="false">"🪪 متابعة الإقامات ورخص العمل وتكلفتها — كما في "&amp;TEXT(cfg_TRACK,"yyyy/mm/dd")&amp;"   🔒 نسخة تجريبية"</f>
        <v>🪪 متابعة الإقامات ورخص العمل وتكلفتها — كما في 2026/09/29   🔒 نسخة تجريبية</v>
      </c>
      <c r="C1" s="136"/>
      <c r="D1" s="136"/>
      <c r="E1" s="136"/>
      <c r="F1" s="136"/>
      <c r="G1" s="136"/>
      <c r="H1" s="136"/>
      <c r="I1" s="136"/>
      <c r="J1" s="136"/>
      <c r="K1" s="136"/>
      <c r="L1" s="136"/>
      <c r="M1" s="136"/>
      <c r="N1" s="136"/>
      <c r="O1" s="136"/>
      <c r="P1" s="136"/>
      <c r="Q1" s="136"/>
      <c r="R1" s="136"/>
      <c r="S1" s="136"/>
      <c r="T1" s="136"/>
      <c r="U1" s="136"/>
    </row>
    <row r="2" customFormat="false" ht="19.5" hidden="false" customHeight="true" outlineLevel="0" collapsed="false">
      <c r="B2" s="2" t="str">
        <f aca="false">"🛒 نسخة تجريبية — للنسخة الكاملة اضغط هنا ← accopro.net   |   "&amp;cfg_CO&amp;"   |   السنة المالية "&amp;cfg_FY&amp;"   |   شهر التقرير: "&amp;INDEX(L_MONTH,cfg_VAL_M)&amp;"   |   المبالغ بـ "&amp;cfg_CUR</f>
        <v>🛒 نسخة تجريبية — للنسخة الكاملة اضغط هنا ← accopro.net   |   شركة النخبة للتجارة والمقاولات   |   السنة المالية 2026   |   شهر التقرير: سبتمبر   |   المبالغ بـ ريال سعودي</v>
      </c>
      <c r="C2" s="2"/>
      <c r="D2" s="2"/>
      <c r="E2" s="2"/>
      <c r="F2" s="2"/>
      <c r="G2" s="2"/>
      <c r="H2" s="2"/>
      <c r="I2" s="2"/>
      <c r="J2" s="2"/>
      <c r="K2" s="2"/>
      <c r="L2" s="2"/>
      <c r="M2" s="2"/>
      <c r="N2" s="2"/>
      <c r="O2" s="2"/>
      <c r="P2" s="2"/>
      <c r="Q2" s="2"/>
      <c r="R2" s="2"/>
      <c r="S2" s="2"/>
      <c r="T2" s="2"/>
      <c r="U2" s="2"/>
    </row>
    <row r="3" customFormat="false" ht="25.5" hidden="false" customHeight="true" outlineLevel="0" collapsed="false">
      <c r="B3" s="31" t="s">
        <v>114</v>
      </c>
      <c r="C3" s="12" t="s">
        <v>172</v>
      </c>
      <c r="D3" s="32" t="s">
        <v>115</v>
      </c>
      <c r="E3" s="32" t="s">
        <v>116</v>
      </c>
      <c r="F3" s="33" t="s">
        <v>117</v>
      </c>
      <c r="G3" s="32" t="s">
        <v>118</v>
      </c>
      <c r="H3" s="32" t="s">
        <v>39</v>
      </c>
      <c r="I3" s="32" t="s">
        <v>173</v>
      </c>
      <c r="J3" s="32" t="s">
        <v>174</v>
      </c>
    </row>
    <row r="4" customFormat="false" ht="7.5" hidden="false" customHeight="true" outlineLevel="0" collapsed="false"/>
    <row r="5" customFormat="false" ht="51.75" hidden="false" customHeight="true" outlineLevel="0" collapsed="false">
      <c r="B5" s="173" t="s">
        <v>524</v>
      </c>
      <c r="C5" s="173" t="s">
        <v>310</v>
      </c>
      <c r="D5" s="173" t="s">
        <v>311</v>
      </c>
      <c r="E5" s="173" t="s">
        <v>142</v>
      </c>
      <c r="F5" s="173" t="s">
        <v>338</v>
      </c>
      <c r="G5" s="173" t="s">
        <v>314</v>
      </c>
      <c r="H5" s="173" t="s">
        <v>529</v>
      </c>
      <c r="I5" s="173" t="s">
        <v>530</v>
      </c>
      <c r="J5" s="173" t="s">
        <v>531</v>
      </c>
      <c r="K5" s="173" t="s">
        <v>532</v>
      </c>
      <c r="L5" s="173" t="s">
        <v>530</v>
      </c>
      <c r="M5" s="173" t="s">
        <v>533</v>
      </c>
      <c r="N5" s="173" t="s">
        <v>534</v>
      </c>
      <c r="O5" s="173" t="s">
        <v>535</v>
      </c>
      <c r="P5" s="173" t="s">
        <v>536</v>
      </c>
      <c r="Q5" s="173" t="s">
        <v>537</v>
      </c>
      <c r="R5" s="173" t="s">
        <v>538</v>
      </c>
      <c r="S5" s="173" t="s">
        <v>539</v>
      </c>
      <c r="T5" s="173" t="s">
        <v>540</v>
      </c>
      <c r="U5" s="173" t="s">
        <v>541</v>
      </c>
    </row>
    <row r="6" customFormat="false" ht="15" hidden="false" customHeight="false" outlineLevel="0" collapsed="false">
      <c r="B6" s="114" t="str">
        <f aca="false">IF(الموظفون!$B6="","",الموظفون!$B6)</f>
        <v>E001</v>
      </c>
      <c r="C6" s="114" t="str">
        <f aca="false">IF($B6="","",الموظفون!$C6)</f>
        <v>عبدالله محمد العتيبي</v>
      </c>
      <c r="D6" s="114" t="str">
        <f aca="false">IF($B6="","",الموظفون!$D6)</f>
        <v>سعودي</v>
      </c>
      <c r="E6" s="114" t="str">
        <f aca="false">IF($B6="","",الموظفون!$E6)</f>
        <v>سعودي</v>
      </c>
      <c r="F6" s="114" t="str">
        <f aca="false">IF($B6="","",الموظفون!$AG6)</f>
        <v>✔ على رأس العمل</v>
      </c>
      <c r="G6" s="114" t="str">
        <f aca="false">IF($B6="","",IF(الموظفون!$I6="","",الموظفون!$I6))</f>
        <v>1012345678</v>
      </c>
      <c r="H6" s="174" t="n">
        <f aca="false">IF($B6="","",IF(الموظفون!$J6="","",الموظفون!$J6))</f>
        <v>47248</v>
      </c>
      <c r="I6" s="65" t="n">
        <f aca="false">IF(OR($B6="",H6=""),"",H6-cfg_TRACK)</f>
        <v>954</v>
      </c>
      <c r="J6" s="114" t="str">
        <f aca="false">IF(OR($B6="",$F6="✖ منتهي الخدمة"),"",IF(H6="",IF($E6="غير سعودي","⚠ أدخل التاريخ","-"),IF(I6&lt;0,"✖ منتهية منذ "&amp;TEXT(-I6,"0")&amp;" يوم",IF(I6&lt;=cfg_ALERT,"⚠ تنتهي خلال "&amp;TEXT(I6,"0")&amp;" يوم","✔ سارية"))))</f>
        <v>✔ سارية</v>
      </c>
      <c r="K6" s="174" t="str">
        <f aca="false">IF($B6="","",IF(الموظفون!$K6="","",الموظفون!$K6))</f>
        <v/>
      </c>
      <c r="L6" s="65" t="str">
        <f aca="false">IF(OR($B6="",K6=""),"",K6-cfg_TRACK)</f>
        <v/>
      </c>
      <c r="M6" s="114" t="str">
        <f aca="false">IF(OR($B6="",$F6="✖ منتهي الخدمة"),"",IF(K6="",IF($E6="غير سعودي","⚠ أدخل التاريخ","-"),IF(L6&lt;0,"✖ منتهية منذ "&amp;TEXT(-L6,"0")&amp;" يوم",IF(L6&lt;=cfg_ALERT,"⚠ تنتهي خلال "&amp;TEXT(L6,"0")&amp;" يوم","✔ سارية"))))</f>
        <v>-</v>
      </c>
      <c r="N6" s="111" t="n">
        <f aca="false">IF($B6="","",IF(F6="✖ منتهي الخدمة",0,IF(الموظفون!$X6&lt;&gt;"",الموظفون!$X6,IF(الموظفون!$E6="غير سعودي",cfg_IQ,0))))</f>
        <v>0</v>
      </c>
      <c r="O6" s="111" t="n">
        <f aca="false">IF($B6="","",IF(F6="✖ منتهي الخدمة",0,IF(الموظفون!$Y6&lt;&gt;"",الموظفون!$Y6,IF(الموظفون!$E6="غير سعودي",cfg_WP,0))))</f>
        <v>0</v>
      </c>
      <c r="P6" s="111" t="n">
        <f aca="false">IF($B6="","",IF(F6="✖ منتهي الخدمة",0,IF(الموظفون!$Z6&lt;&gt;"",الموظفون!$Z6,cfg_MED)))</f>
        <v>4800</v>
      </c>
      <c r="Q6" s="111" t="n">
        <f aca="false">IF($B6="","",IF(F6="✖ منتهي الخدمة",0,N(الموظفون!$AA6)))</f>
        <v>0</v>
      </c>
      <c r="R6" s="111" t="n">
        <f aca="false">IF($B6="","",SUM(N6:Q6))</f>
        <v>4800</v>
      </c>
      <c r="S6" s="111" t="n">
        <f aca="false">IF($B6="","",R6/12)</f>
        <v>400</v>
      </c>
      <c r="T6" s="111" t="n">
        <f aca="false">IF($B6="","",IF(1&lt;=cfg_VAL_M,'مسير يناير'!AD6+'مسير يناير'!AE6+'مسير يناير'!AF6,0)+IF(2&lt;=cfg_VAL_M,'مسير فبراير'!AD6+'مسير فبراير'!AE6+'مسير فبراير'!AF6,0)+IF(3&lt;=cfg_VAL_M,'مسير مارس'!AD6+'مسير مارس'!AE6+'مسير مارس'!AF6,0)+IF(4&lt;=cfg_VAL_M,'مسير أبريل'!AD6+'مسير أبريل'!AE6+'مسير أبريل'!AF6,0)+IF(5&lt;=cfg_VAL_M,'مسير مايو'!AD6+'مسير مايو'!AE6+'مسير مايو'!AF6,0)+IF(6&lt;=cfg_VAL_M,'مسير يونيو'!AD6+'مسير يونيو'!AE6+'مسير يونيو'!AF6,0)+IF(7&lt;=cfg_VAL_M,'مسير يوليو'!AD6+'مسير يوليو'!AE6+'مسير يوليو'!AF6,0)+IF(8&lt;=cfg_VAL_M,'مسير أغسطس'!AD6+'مسير أغسطس'!AE6+'مسير أغسطس'!AF6,0)+IF(9&lt;=cfg_VAL_M,'مسير سبتمبر'!AD6+'مسير سبتمبر'!AE6+'مسير سبتمبر'!AF6,0)+IF(10&lt;=cfg_VAL_M,'مسير أكتوبر'!AD6+'مسير أكتوبر'!AE6+'مسير أكتوبر'!AF6,0)+IF(11&lt;=cfg_VAL_M,'مسير نوفمبر'!AD6+'مسير نوفمبر'!AE6+'مسير نوفمبر'!AF6,0)+IF(12&lt;=cfg_VAL_M,'مسير ديسمبر'!AD6+'مسير ديسمبر'!AE6+'مسير ديسمبر'!AF6,0))</f>
        <v>3600</v>
      </c>
      <c r="U6" s="111" t="n">
        <f aca="false">IF(OR($B6="",F6="✖ منتهي الخدمة"),"",IF(AND(ISNUMBER(I6),I6&lt;=cfg_ALERT),N6,0)+IF(AND(ISNUMBER(L6),L6&lt;=cfg_ALERT),O6,0))</f>
        <v>0</v>
      </c>
    </row>
    <row r="7" customFormat="false" ht="15" hidden="false" customHeight="false" outlineLevel="0" collapsed="false">
      <c r="B7" s="117" t="str">
        <f aca="false">IF(الموظفون!$B7="","",الموظفون!$B7)</f>
        <v>E002</v>
      </c>
      <c r="C7" s="117" t="str">
        <f aca="false">IF($B7="","",الموظفون!$C7)</f>
        <v>أحمد سعيد القحطاني</v>
      </c>
      <c r="D7" s="117" t="str">
        <f aca="false">IF($B7="","",الموظفون!$D7)</f>
        <v>سعودي</v>
      </c>
      <c r="E7" s="117" t="str">
        <f aca="false">IF($B7="","",الموظفون!$E7)</f>
        <v>سعودي</v>
      </c>
      <c r="F7" s="117" t="str">
        <f aca="false">IF($B7="","",الموظفون!$AG7)</f>
        <v>✔ على رأس العمل</v>
      </c>
      <c r="G7" s="117" t="str">
        <f aca="false">IF($B7="","",IF(الموظفون!$I7="","",الموظفون!$I7))</f>
        <v>1023456789</v>
      </c>
      <c r="H7" s="175" t="n">
        <f aca="false">IF($B7="","",IF(الموظفون!$J7="","",الموظفون!$J7))</f>
        <v>46786</v>
      </c>
      <c r="I7" s="133" t="n">
        <f aca="false">IF(OR($B7="",H7=""),"",H7-cfg_TRACK)</f>
        <v>492</v>
      </c>
      <c r="J7" s="117" t="str">
        <f aca="false">IF(OR($B7="",$F7="✖ منتهي الخدمة"),"",IF(H7="",IF($E7="غير سعودي","⚠ أدخل التاريخ","-"),IF(I7&lt;0,"✖ منتهية منذ "&amp;TEXT(-I7,"0")&amp;" يوم",IF(I7&lt;=cfg_ALERT,"⚠ تنتهي خلال "&amp;TEXT(I7,"0")&amp;" يوم","✔ سارية"))))</f>
        <v>✔ سارية</v>
      </c>
      <c r="K7" s="175" t="str">
        <f aca="false">IF($B7="","",IF(الموظفون!$K7="","",الموظفون!$K7))</f>
        <v/>
      </c>
      <c r="L7" s="133" t="str">
        <f aca="false">IF(OR($B7="",K7=""),"",K7-cfg_TRACK)</f>
        <v/>
      </c>
      <c r="M7" s="117" t="str">
        <f aca="false">IF(OR($B7="",$F7="✖ منتهي الخدمة"),"",IF(K7="",IF($E7="غير سعودي","⚠ أدخل التاريخ","-"),IF(L7&lt;0,"✖ منتهية منذ "&amp;TEXT(-L7,"0")&amp;" يوم",IF(L7&lt;=cfg_ALERT,"⚠ تنتهي خلال "&amp;TEXT(L7,"0")&amp;" يوم","✔ سارية"))))</f>
        <v>-</v>
      </c>
      <c r="N7" s="116" t="n">
        <f aca="false">IF($B7="","",IF(F7="✖ منتهي الخدمة",0,IF(الموظفون!$X7&lt;&gt;"",الموظفون!$X7,IF(الموظفون!$E7="غير سعودي",cfg_IQ,0))))</f>
        <v>0</v>
      </c>
      <c r="O7" s="116" t="n">
        <f aca="false">IF($B7="","",IF(F7="✖ منتهي الخدمة",0,IF(الموظفون!$Y7&lt;&gt;"",الموظفون!$Y7,IF(الموظفون!$E7="غير سعودي",cfg_WP,0))))</f>
        <v>0</v>
      </c>
      <c r="P7" s="116" t="n">
        <f aca="false">IF($B7="","",IF(F7="✖ منتهي الخدمة",0,IF(الموظفون!$Z7&lt;&gt;"",الموظفون!$Z7,cfg_MED)))</f>
        <v>3600</v>
      </c>
      <c r="Q7" s="116" t="n">
        <f aca="false">IF($B7="","",IF(F7="✖ منتهي الخدمة",0,N(الموظفون!$AA7)))</f>
        <v>0</v>
      </c>
      <c r="R7" s="116" t="n">
        <f aca="false">IF($B7="","",SUM(N7:Q7))</f>
        <v>3600</v>
      </c>
      <c r="S7" s="116" t="n">
        <f aca="false">IF($B7="","",R7/12)</f>
        <v>300</v>
      </c>
      <c r="T7" s="116" t="n">
        <f aca="false">IF($B7="","",IF(1&lt;=cfg_VAL_M,'مسير يناير'!AD7+'مسير يناير'!AE7+'مسير يناير'!AF7,0)+IF(2&lt;=cfg_VAL_M,'مسير فبراير'!AD7+'مسير فبراير'!AE7+'مسير فبراير'!AF7,0)+IF(3&lt;=cfg_VAL_M,'مسير مارس'!AD7+'مسير مارس'!AE7+'مسير مارس'!AF7,0)+IF(4&lt;=cfg_VAL_M,'مسير أبريل'!AD7+'مسير أبريل'!AE7+'مسير أبريل'!AF7,0)+IF(5&lt;=cfg_VAL_M,'مسير مايو'!AD7+'مسير مايو'!AE7+'مسير مايو'!AF7,0)+IF(6&lt;=cfg_VAL_M,'مسير يونيو'!AD7+'مسير يونيو'!AE7+'مسير يونيو'!AF7,0)+IF(7&lt;=cfg_VAL_M,'مسير يوليو'!AD7+'مسير يوليو'!AE7+'مسير يوليو'!AF7,0)+IF(8&lt;=cfg_VAL_M,'مسير أغسطس'!AD7+'مسير أغسطس'!AE7+'مسير أغسطس'!AF7,0)+IF(9&lt;=cfg_VAL_M,'مسير سبتمبر'!AD7+'مسير سبتمبر'!AE7+'مسير سبتمبر'!AF7,0)+IF(10&lt;=cfg_VAL_M,'مسير أكتوبر'!AD7+'مسير أكتوبر'!AE7+'مسير أكتوبر'!AF7,0)+IF(11&lt;=cfg_VAL_M,'مسير نوفمبر'!AD7+'مسير نوفمبر'!AE7+'مسير نوفمبر'!AF7,0)+IF(12&lt;=cfg_VAL_M,'مسير ديسمبر'!AD7+'مسير ديسمبر'!AE7+'مسير ديسمبر'!AF7,0))</f>
        <v>2700</v>
      </c>
      <c r="U7" s="116" t="n">
        <f aca="false">IF(OR($B7="",F7="✖ منتهي الخدمة"),"",IF(AND(ISNUMBER(I7),I7&lt;=cfg_ALERT),N7,0)+IF(AND(ISNUMBER(L7),L7&lt;=cfg_ALERT),O7,0))</f>
        <v>0</v>
      </c>
    </row>
    <row r="8" customFormat="false" ht="15" hidden="false" customHeight="false" outlineLevel="0" collapsed="false">
      <c r="B8" s="114" t="str">
        <f aca="false">IF(الموظفون!$B8="","",الموظفون!$B8)</f>
        <v>E003</v>
      </c>
      <c r="C8" s="114" t="str">
        <f aca="false">IF($B8="","",الموظفون!$C8)</f>
        <v>محمد علي حسن</v>
      </c>
      <c r="D8" s="114" t="str">
        <f aca="false">IF($B8="","",الموظفون!$D8)</f>
        <v>مصري</v>
      </c>
      <c r="E8" s="114" t="str">
        <f aca="false">IF($B8="","",الموظفون!$E8)</f>
        <v>غير سعودي</v>
      </c>
      <c r="F8" s="114" t="str">
        <f aca="false">IF($B8="","",الموظفون!$AG8)</f>
        <v>✔ على رأس العمل</v>
      </c>
      <c r="G8" s="114" t="str">
        <f aca="false">IF($B8="","",IF(الموظفون!$I8="","",الموظفون!$I8))</f>
        <v>2312345678</v>
      </c>
      <c r="H8" s="174" t="n">
        <f aca="false">IF($B8="","",IF(الموظفون!$J8="","",الموظفون!$J8))</f>
        <v>46346</v>
      </c>
      <c r="I8" s="65" t="n">
        <f aca="false">IF(OR($B8="",H8=""),"",H8-cfg_TRACK)</f>
        <v>52</v>
      </c>
      <c r="J8" s="114" t="str">
        <f aca="false">IF(OR($B8="",$F8="✖ منتهي الخدمة"),"",IF(H8="",IF($E8="غير سعودي","⚠ أدخل التاريخ","-"),IF(I8&lt;0,"✖ منتهية منذ "&amp;TEXT(-I8,"0")&amp;" يوم",IF(I8&lt;=cfg_ALERT,"⚠ تنتهي خلال "&amp;TEXT(I8,"0")&amp;" يوم","✔ سارية"))))</f>
        <v>⚠ تنتهي خلال 52 يوم</v>
      </c>
      <c r="K8" s="174" t="n">
        <f aca="false">IF($B8="","",IF(الموظفون!$K8="","",الموظفون!$K8))</f>
        <v>46346</v>
      </c>
      <c r="L8" s="65" t="n">
        <f aca="false">IF(OR($B8="",K8=""),"",K8-cfg_TRACK)</f>
        <v>52</v>
      </c>
      <c r="M8" s="114" t="str">
        <f aca="false">IF(OR($B8="",$F8="✖ منتهي الخدمة"),"",IF(K8="",IF($E8="غير سعودي","⚠ أدخل التاريخ","-"),IF(L8&lt;0,"✖ منتهية منذ "&amp;TEXT(-L8,"0")&amp;" يوم",IF(L8&lt;=cfg_ALERT,"⚠ تنتهي خلال "&amp;TEXT(L8,"0")&amp;" يوم","✔ سارية"))))</f>
        <v>⚠ تنتهي خلال 52 يوم</v>
      </c>
      <c r="N8" s="111" t="n">
        <f aca="false">IF($B8="","",IF(F8="✖ منتهي الخدمة",0,IF(الموظفون!$X8&lt;&gt;"",الموظفون!$X8,IF(الموظفون!$E8="غير سعودي",cfg_IQ,0))))</f>
        <v>650</v>
      </c>
      <c r="O8" s="111" t="n">
        <f aca="false">IF($B8="","",IF(F8="✖ منتهي الخدمة",0,IF(الموظفون!$Y8&lt;&gt;"",الموظفون!$Y8,IF(الموظفون!$E8="غير سعودي",cfg_WP,0))))</f>
        <v>9600</v>
      </c>
      <c r="P8" s="111" t="n">
        <f aca="false">IF($B8="","",IF(F8="✖ منتهي الخدمة",0,IF(الموظفون!$Z8&lt;&gt;"",الموظفون!$Z8,cfg_MED)))</f>
        <v>2400</v>
      </c>
      <c r="Q8" s="111" t="n">
        <f aca="false">IF($B8="","",IF(F8="✖ منتهي الخدمة",0,N(الموظفون!$AA8)))</f>
        <v>0</v>
      </c>
      <c r="R8" s="111" t="n">
        <f aca="false">IF($B8="","",SUM(N8:Q8))</f>
        <v>12650</v>
      </c>
      <c r="S8" s="111" t="n">
        <f aca="false">IF($B8="","",R8/12)</f>
        <v>1054.16666666667</v>
      </c>
      <c r="T8" s="111" t="n">
        <f aca="false">IF($B8="","",IF(1&lt;=cfg_VAL_M,'مسير يناير'!AD8+'مسير يناير'!AE8+'مسير يناير'!AF8,0)+IF(2&lt;=cfg_VAL_M,'مسير فبراير'!AD8+'مسير فبراير'!AE8+'مسير فبراير'!AF8,0)+IF(3&lt;=cfg_VAL_M,'مسير مارس'!AD8+'مسير مارس'!AE8+'مسير مارس'!AF8,0)+IF(4&lt;=cfg_VAL_M,'مسير أبريل'!AD8+'مسير أبريل'!AE8+'مسير أبريل'!AF8,0)+IF(5&lt;=cfg_VAL_M,'مسير مايو'!AD8+'مسير مايو'!AE8+'مسير مايو'!AF8,0)+IF(6&lt;=cfg_VAL_M,'مسير يونيو'!AD8+'مسير يونيو'!AE8+'مسير يونيو'!AF8,0)+IF(7&lt;=cfg_VAL_M,'مسير يوليو'!AD8+'مسير يوليو'!AE8+'مسير يوليو'!AF8,0)+IF(8&lt;=cfg_VAL_M,'مسير أغسطس'!AD8+'مسير أغسطس'!AE8+'مسير أغسطس'!AF8,0)+IF(9&lt;=cfg_VAL_M,'مسير سبتمبر'!AD8+'مسير سبتمبر'!AE8+'مسير سبتمبر'!AF8,0)+IF(10&lt;=cfg_VAL_M,'مسير أكتوبر'!AD8+'مسير أكتوبر'!AE8+'مسير أكتوبر'!AF8,0)+IF(11&lt;=cfg_VAL_M,'مسير نوفمبر'!AD8+'مسير نوفمبر'!AE8+'مسير نوفمبر'!AF8,0)+IF(12&lt;=cfg_VAL_M,'مسير ديسمبر'!AD8+'مسير ديسمبر'!AE8+'مسير ديسمبر'!AF8,0))</f>
        <v>9487.5</v>
      </c>
      <c r="U8" s="111" t="n">
        <f aca="false">IF(OR($B8="",F8="✖ منتهي الخدمة"),"",IF(AND(ISNUMBER(I8),I8&lt;=cfg_ALERT),N8,0)+IF(AND(ISNUMBER(L8),L8&lt;=cfg_ALERT),O8,0))</f>
        <v>10250</v>
      </c>
    </row>
    <row r="9" customFormat="false" ht="15" hidden="false" customHeight="false" outlineLevel="0" collapsed="false">
      <c r="B9" s="117" t="str">
        <f aca="false">IF(الموظفون!$B9="","",الموظفون!$B9)</f>
        <v>E004</v>
      </c>
      <c r="C9" s="117" t="str">
        <f aca="false">IF($B9="","",الموظفون!$C9)</f>
        <v>نورة خالد الدوسري</v>
      </c>
      <c r="D9" s="117" t="str">
        <f aca="false">IF($B9="","",الموظفون!$D9)</f>
        <v>سعودية</v>
      </c>
      <c r="E9" s="117" t="str">
        <f aca="false">IF($B9="","",الموظفون!$E9)</f>
        <v>سعودي</v>
      </c>
      <c r="F9" s="117" t="str">
        <f aca="false">IF($B9="","",الموظفون!$AG9)</f>
        <v>✔ على رأس العمل</v>
      </c>
      <c r="G9" s="117" t="str">
        <f aca="false">IF($B9="","",IF(الموظفون!$I9="","",الموظفون!$I9))</f>
        <v>1034567890</v>
      </c>
      <c r="H9" s="175" t="n">
        <f aca="false">IF($B9="","",IF(الموظفون!$J9="","",الموظفون!$J9))</f>
        <v>47678</v>
      </c>
      <c r="I9" s="133" t="n">
        <f aca="false">IF(OR($B9="",H9=""),"",H9-cfg_TRACK)</f>
        <v>1384</v>
      </c>
      <c r="J9" s="117" t="str">
        <f aca="false">IF(OR($B9="",$F9="✖ منتهي الخدمة"),"",IF(H9="",IF($E9="غير سعودي","⚠ أدخل التاريخ","-"),IF(I9&lt;0,"✖ منتهية منذ "&amp;TEXT(-I9,"0")&amp;" يوم",IF(I9&lt;=cfg_ALERT,"⚠ تنتهي خلال "&amp;TEXT(I9,"0")&amp;" يوم","✔ سارية"))))</f>
        <v>✔ سارية</v>
      </c>
      <c r="K9" s="175" t="str">
        <f aca="false">IF($B9="","",IF(الموظفون!$K9="","",الموظفون!$K9))</f>
        <v/>
      </c>
      <c r="L9" s="133" t="str">
        <f aca="false">IF(OR($B9="",K9=""),"",K9-cfg_TRACK)</f>
        <v/>
      </c>
      <c r="M9" s="117" t="str">
        <f aca="false">IF(OR($B9="",$F9="✖ منتهي الخدمة"),"",IF(K9="",IF($E9="غير سعودي","⚠ أدخل التاريخ","-"),IF(L9&lt;0,"✖ منتهية منذ "&amp;TEXT(-L9,"0")&amp;" يوم",IF(L9&lt;=cfg_ALERT,"⚠ تنتهي خلال "&amp;TEXT(L9,"0")&amp;" يوم","✔ سارية"))))</f>
        <v>-</v>
      </c>
      <c r="N9" s="116" t="n">
        <f aca="false">IF($B9="","",IF(F9="✖ منتهي الخدمة",0,IF(الموظفون!$X9&lt;&gt;"",الموظفون!$X9,IF(الموظفون!$E9="غير سعودي",cfg_IQ,0))))</f>
        <v>0</v>
      </c>
      <c r="O9" s="116" t="n">
        <f aca="false">IF($B9="","",IF(F9="✖ منتهي الخدمة",0,IF(الموظفون!$Y9&lt;&gt;"",الموظفون!$Y9,IF(الموظفون!$E9="غير سعودي",cfg_WP,0))))</f>
        <v>0</v>
      </c>
      <c r="P9" s="116" t="n">
        <f aca="false">IF($B9="","",IF(F9="✖ منتهي الخدمة",0,IF(الموظفون!$Z9&lt;&gt;"",الموظفون!$Z9,cfg_MED)))</f>
        <v>3600</v>
      </c>
      <c r="Q9" s="116" t="n">
        <f aca="false">IF($B9="","",IF(F9="✖ منتهي الخدمة",0,N(الموظفون!$AA9)))</f>
        <v>0</v>
      </c>
      <c r="R9" s="116" t="n">
        <f aca="false">IF($B9="","",SUM(N9:Q9))</f>
        <v>3600</v>
      </c>
      <c r="S9" s="116" t="n">
        <f aca="false">IF($B9="","",R9/12)</f>
        <v>300</v>
      </c>
      <c r="T9" s="116" t="n">
        <f aca="false">IF($B9="","",IF(1&lt;=cfg_VAL_M,'مسير يناير'!AD9+'مسير يناير'!AE9+'مسير يناير'!AF9,0)+IF(2&lt;=cfg_VAL_M,'مسير فبراير'!AD9+'مسير فبراير'!AE9+'مسير فبراير'!AF9,0)+IF(3&lt;=cfg_VAL_M,'مسير مارس'!AD9+'مسير مارس'!AE9+'مسير مارس'!AF9,0)+IF(4&lt;=cfg_VAL_M,'مسير أبريل'!AD9+'مسير أبريل'!AE9+'مسير أبريل'!AF9,0)+IF(5&lt;=cfg_VAL_M,'مسير مايو'!AD9+'مسير مايو'!AE9+'مسير مايو'!AF9,0)+IF(6&lt;=cfg_VAL_M,'مسير يونيو'!AD9+'مسير يونيو'!AE9+'مسير يونيو'!AF9,0)+IF(7&lt;=cfg_VAL_M,'مسير يوليو'!AD9+'مسير يوليو'!AE9+'مسير يوليو'!AF9,0)+IF(8&lt;=cfg_VAL_M,'مسير أغسطس'!AD9+'مسير أغسطس'!AE9+'مسير أغسطس'!AF9,0)+IF(9&lt;=cfg_VAL_M,'مسير سبتمبر'!AD9+'مسير سبتمبر'!AE9+'مسير سبتمبر'!AF9,0)+IF(10&lt;=cfg_VAL_M,'مسير أكتوبر'!AD9+'مسير أكتوبر'!AE9+'مسير أكتوبر'!AF9,0)+IF(11&lt;=cfg_VAL_M,'مسير نوفمبر'!AD9+'مسير نوفمبر'!AE9+'مسير نوفمبر'!AF9,0)+IF(12&lt;=cfg_VAL_M,'مسير ديسمبر'!AD9+'مسير ديسمبر'!AE9+'مسير ديسمبر'!AF9,0))</f>
        <v>2700</v>
      </c>
      <c r="U9" s="116" t="n">
        <f aca="false">IF(OR($B9="",F9="✖ منتهي الخدمة"),"",IF(AND(ISNUMBER(I9),I9&lt;=cfg_ALERT),N9,0)+IF(AND(ISNUMBER(L9),L9&lt;=cfg_ALERT),O9,0))</f>
        <v>0</v>
      </c>
    </row>
    <row r="10" customFormat="false" ht="15" hidden="false" customHeight="false" outlineLevel="0" collapsed="false">
      <c r="B10" s="114" t="str">
        <f aca="false">IF(الموظفون!$B10="","",الموظفون!$B10)</f>
        <v>E005</v>
      </c>
      <c r="C10" s="114" t="str">
        <f aca="false">IF($B10="","",الموظفون!$C10)</f>
        <v>راجيش كومار</v>
      </c>
      <c r="D10" s="114" t="str">
        <f aca="false">IF($B10="","",الموظفون!$D10)</f>
        <v>هندي</v>
      </c>
      <c r="E10" s="114" t="str">
        <f aca="false">IF($B10="","",الموظفون!$E10)</f>
        <v>غير سعودي</v>
      </c>
      <c r="F10" s="114" t="str">
        <f aca="false">IF($B10="","",الموظفون!$AG10)</f>
        <v>✔ على رأس العمل</v>
      </c>
      <c r="G10" s="114" t="str">
        <f aca="false">IF($B10="","",IF(الموظفون!$I10="","",الموظفون!$I10))</f>
        <v>2323456789</v>
      </c>
      <c r="H10" s="174" t="n">
        <f aca="false">IF($B10="","",IF(الموظفون!$J10="","",الموظفون!$J10))</f>
        <v>46417</v>
      </c>
      <c r="I10" s="65" t="n">
        <f aca="false">IF(OR($B10="",H10=""),"",H10-cfg_TRACK)</f>
        <v>123</v>
      </c>
      <c r="J10" s="114" t="str">
        <f aca="false">IF(OR($B10="",$F10="✖ منتهي الخدمة"),"",IF(H10="",IF($E10="غير سعودي","⚠ أدخل التاريخ","-"),IF(I10&lt;0,"✖ منتهية منذ "&amp;TEXT(-I10,"0")&amp;" يوم",IF(I10&lt;=cfg_ALERT,"⚠ تنتهي خلال "&amp;TEXT(I10,"0")&amp;" يوم","✔ سارية"))))</f>
        <v>✔ سارية</v>
      </c>
      <c r="K10" s="174" t="n">
        <f aca="false">IF($B10="","",IF(الموظفون!$K10="","",الموظفون!$K10))</f>
        <v>46417</v>
      </c>
      <c r="L10" s="65" t="n">
        <f aca="false">IF(OR($B10="",K10=""),"",K10-cfg_TRACK)</f>
        <v>123</v>
      </c>
      <c r="M10" s="114" t="str">
        <f aca="false">IF(OR($B10="",$F10="✖ منتهي الخدمة"),"",IF(K10="",IF($E10="غير سعودي","⚠ أدخل التاريخ","-"),IF(L10&lt;0,"✖ منتهية منذ "&amp;TEXT(-L10,"0")&amp;" يوم",IF(L10&lt;=cfg_ALERT,"⚠ تنتهي خلال "&amp;TEXT(L10,"0")&amp;" يوم","✔ سارية"))))</f>
        <v>✔ سارية</v>
      </c>
      <c r="N10" s="111" t="n">
        <f aca="false">IF($B10="","",IF(F10="✖ منتهي الخدمة",0,IF(الموظفون!$X10&lt;&gt;"",الموظفون!$X10,IF(الموظفون!$E10="غير سعودي",cfg_IQ,0))))</f>
        <v>650</v>
      </c>
      <c r="O10" s="111" t="n">
        <f aca="false">IF($B10="","",IF(F10="✖ منتهي الخدمة",0,IF(الموظفون!$Y10&lt;&gt;"",الموظفون!$Y10,IF(الموظفون!$E10="غير سعودي",cfg_WP,0))))</f>
        <v>9600</v>
      </c>
      <c r="P10" s="111" t="n">
        <f aca="false">IF($B10="","",IF(F10="✖ منتهي الخدمة",0,IF(الموظفون!$Z10&lt;&gt;"",الموظفون!$Z10,cfg_MED)))</f>
        <v>2400</v>
      </c>
      <c r="Q10" s="111" t="n">
        <f aca="false">IF($B10="","",IF(F10="✖ منتهي الخدمة",0,N(الموظفون!$AA10)))</f>
        <v>0</v>
      </c>
      <c r="R10" s="111" t="n">
        <f aca="false">IF($B10="","",SUM(N10:Q10))</f>
        <v>12650</v>
      </c>
      <c r="S10" s="111" t="n">
        <f aca="false">IF($B10="","",R10/12)</f>
        <v>1054.16666666667</v>
      </c>
      <c r="T10" s="111" t="n">
        <f aca="false">IF($B10="","",IF(1&lt;=cfg_VAL_M,'مسير يناير'!AD10+'مسير يناير'!AE10+'مسير يناير'!AF10,0)+IF(2&lt;=cfg_VAL_M,'مسير فبراير'!AD10+'مسير فبراير'!AE10+'مسير فبراير'!AF10,0)+IF(3&lt;=cfg_VAL_M,'مسير مارس'!AD10+'مسير مارس'!AE10+'مسير مارس'!AF10,0)+IF(4&lt;=cfg_VAL_M,'مسير أبريل'!AD10+'مسير أبريل'!AE10+'مسير أبريل'!AF10,0)+IF(5&lt;=cfg_VAL_M,'مسير مايو'!AD10+'مسير مايو'!AE10+'مسير مايو'!AF10,0)+IF(6&lt;=cfg_VAL_M,'مسير يونيو'!AD10+'مسير يونيو'!AE10+'مسير يونيو'!AF10,0)+IF(7&lt;=cfg_VAL_M,'مسير يوليو'!AD10+'مسير يوليو'!AE10+'مسير يوليو'!AF10,0)+IF(8&lt;=cfg_VAL_M,'مسير أغسطس'!AD10+'مسير أغسطس'!AE10+'مسير أغسطس'!AF10,0)+IF(9&lt;=cfg_VAL_M,'مسير سبتمبر'!AD10+'مسير سبتمبر'!AE10+'مسير سبتمبر'!AF10,0)+IF(10&lt;=cfg_VAL_M,'مسير أكتوبر'!AD10+'مسير أكتوبر'!AE10+'مسير أكتوبر'!AF10,0)+IF(11&lt;=cfg_VAL_M,'مسير نوفمبر'!AD10+'مسير نوفمبر'!AE10+'مسير نوفمبر'!AF10,0)+IF(12&lt;=cfg_VAL_M,'مسير ديسمبر'!AD10+'مسير ديسمبر'!AE10+'مسير ديسمبر'!AF10,0))</f>
        <v>9487.5</v>
      </c>
      <c r="U10" s="111" t="n">
        <f aca="false">IF(OR($B10="",F10="✖ منتهي الخدمة"),"",IF(AND(ISNUMBER(I10),I10&lt;=cfg_ALERT),N10,0)+IF(AND(ISNUMBER(L10),L10&lt;=cfg_ALERT),O10,0))</f>
        <v>0</v>
      </c>
    </row>
    <row r="11" customFormat="false" ht="15" hidden="false" customHeight="false" outlineLevel="0" collapsed="false">
      <c r="B11" s="117" t="str">
        <f aca="false">IF(الموظفون!$B11="","",الموظفون!$B11)</f>
        <v>E006</v>
      </c>
      <c r="C11" s="117" t="str">
        <f aca="false">IF($B11="","",الموظفون!$C11)</f>
        <v>فهد ناصر الشمري</v>
      </c>
      <c r="D11" s="117" t="str">
        <f aca="false">IF($B11="","",الموظفون!$D11)</f>
        <v>سعودي</v>
      </c>
      <c r="E11" s="117" t="str">
        <f aca="false">IF($B11="","",الموظفون!$E11)</f>
        <v>سعودي</v>
      </c>
      <c r="F11" s="117" t="str">
        <f aca="false">IF($B11="","",الموظفون!$AG11)</f>
        <v>✔ على رأس العمل</v>
      </c>
      <c r="G11" s="117" t="str">
        <f aca="false">IF($B11="","",IF(الموظفون!$I11="","",الموظفون!$I11))</f>
        <v>1045678901</v>
      </c>
      <c r="H11" s="175" t="n">
        <f aca="false">IF($B11="","",IF(الموظفون!$J11="","",الموظفون!$J11))</f>
        <v>47929</v>
      </c>
      <c r="I11" s="133" t="n">
        <f aca="false">IF(OR($B11="",H11=""),"",H11-cfg_TRACK)</f>
        <v>1635</v>
      </c>
      <c r="J11" s="117" t="str">
        <f aca="false">IF(OR($B11="",$F11="✖ منتهي الخدمة"),"",IF(H11="",IF($E11="غير سعودي","⚠ أدخل التاريخ","-"),IF(I11&lt;0,"✖ منتهية منذ "&amp;TEXT(-I11,"0")&amp;" يوم",IF(I11&lt;=cfg_ALERT,"⚠ تنتهي خلال "&amp;TEXT(I11,"0")&amp;" يوم","✔ سارية"))))</f>
        <v>✔ سارية</v>
      </c>
      <c r="K11" s="175" t="str">
        <f aca="false">IF($B11="","",IF(الموظفون!$K11="","",الموظفون!$K11))</f>
        <v/>
      </c>
      <c r="L11" s="133" t="str">
        <f aca="false">IF(OR($B11="",K11=""),"",K11-cfg_TRACK)</f>
        <v/>
      </c>
      <c r="M11" s="117" t="str">
        <f aca="false">IF(OR($B11="",$F11="✖ منتهي الخدمة"),"",IF(K11="",IF($E11="غير سعودي","⚠ أدخل التاريخ","-"),IF(L11&lt;0,"✖ منتهية منذ "&amp;TEXT(-L11,"0")&amp;" يوم",IF(L11&lt;=cfg_ALERT,"⚠ تنتهي خلال "&amp;TEXT(L11,"0")&amp;" يوم","✔ سارية"))))</f>
        <v>-</v>
      </c>
      <c r="N11" s="116" t="n">
        <f aca="false">IF($B11="","",IF(F11="✖ منتهي الخدمة",0,IF(الموظفون!$X11&lt;&gt;"",الموظفون!$X11,IF(الموظفون!$E11="غير سعودي",cfg_IQ,0))))</f>
        <v>0</v>
      </c>
      <c r="O11" s="116" t="n">
        <f aca="false">IF($B11="","",IF(F11="✖ منتهي الخدمة",0,IF(الموظفون!$Y11&lt;&gt;"",الموظفون!$Y11,IF(الموظفون!$E11="غير سعودي",cfg_WP,0))))</f>
        <v>0</v>
      </c>
      <c r="P11" s="116" t="n">
        <f aca="false">IF($B11="","",IF(F11="✖ منتهي الخدمة",0,IF(الموظفون!$Z11&lt;&gt;"",الموظفون!$Z11,cfg_MED)))</f>
        <v>3600</v>
      </c>
      <c r="Q11" s="116" t="n">
        <f aca="false">IF($B11="","",IF(F11="✖ منتهي الخدمة",0,N(الموظفون!$AA11)))</f>
        <v>0</v>
      </c>
      <c r="R11" s="116" t="n">
        <f aca="false">IF($B11="","",SUM(N11:Q11))</f>
        <v>3600</v>
      </c>
      <c r="S11" s="116" t="n">
        <f aca="false">IF($B11="","",R11/12)</f>
        <v>300</v>
      </c>
      <c r="T11" s="116" t="n">
        <f aca="false">IF($B11="","",IF(1&lt;=cfg_VAL_M,'مسير يناير'!AD11+'مسير يناير'!AE11+'مسير يناير'!AF11,0)+IF(2&lt;=cfg_VAL_M,'مسير فبراير'!AD11+'مسير فبراير'!AE11+'مسير فبراير'!AF11,0)+IF(3&lt;=cfg_VAL_M,'مسير مارس'!AD11+'مسير مارس'!AE11+'مسير مارس'!AF11,0)+IF(4&lt;=cfg_VAL_M,'مسير أبريل'!AD11+'مسير أبريل'!AE11+'مسير أبريل'!AF11,0)+IF(5&lt;=cfg_VAL_M,'مسير مايو'!AD11+'مسير مايو'!AE11+'مسير مايو'!AF11,0)+IF(6&lt;=cfg_VAL_M,'مسير يونيو'!AD11+'مسير يونيو'!AE11+'مسير يونيو'!AF11,0)+IF(7&lt;=cfg_VAL_M,'مسير يوليو'!AD11+'مسير يوليو'!AE11+'مسير يوليو'!AF11,0)+IF(8&lt;=cfg_VAL_M,'مسير أغسطس'!AD11+'مسير أغسطس'!AE11+'مسير أغسطس'!AF11,0)+IF(9&lt;=cfg_VAL_M,'مسير سبتمبر'!AD11+'مسير سبتمبر'!AE11+'مسير سبتمبر'!AF11,0)+IF(10&lt;=cfg_VAL_M,'مسير أكتوبر'!AD11+'مسير أكتوبر'!AE11+'مسير أكتوبر'!AF11,0)+IF(11&lt;=cfg_VAL_M,'مسير نوفمبر'!AD11+'مسير نوفمبر'!AE11+'مسير نوفمبر'!AF11,0)+IF(12&lt;=cfg_VAL_M,'مسير ديسمبر'!AD11+'مسير ديسمبر'!AE11+'مسير ديسمبر'!AF11,0))</f>
        <v>2700</v>
      </c>
      <c r="U11" s="116" t="n">
        <f aca="false">IF(OR($B11="",F11="✖ منتهي الخدمة"),"",IF(AND(ISNUMBER(I11),I11&lt;=cfg_ALERT),N11,0)+IF(AND(ISNUMBER(L11),L11&lt;=cfg_ALERT),O11,0))</f>
        <v>0</v>
      </c>
    </row>
    <row r="12" customFormat="false" ht="15" hidden="false" customHeight="false" outlineLevel="0" collapsed="false">
      <c r="B12" s="114" t="str">
        <f aca="false">IF(الموظفون!$B12="","",الموظفون!$B12)</f>
        <v>E007</v>
      </c>
      <c r="C12" s="114" t="str">
        <f aca="false">IF($B12="","",الموظفون!$C12)</f>
        <v>خالد يوسف الأحمد</v>
      </c>
      <c r="D12" s="114" t="str">
        <f aca="false">IF($B12="","",الموظفون!$D12)</f>
        <v>أردني</v>
      </c>
      <c r="E12" s="114" t="str">
        <f aca="false">IF($B12="","",الموظفون!$E12)</f>
        <v>غير سعودي</v>
      </c>
      <c r="F12" s="114" t="str">
        <f aca="false">IF($B12="","",الموظفون!$AG12)</f>
        <v>✔ على رأس العمل</v>
      </c>
      <c r="G12" s="114" t="str">
        <f aca="false">IF($B12="","",IF(الموظفون!$I12="","",الموظفون!$I12))</f>
        <v>2334567890</v>
      </c>
      <c r="H12" s="174" t="n">
        <f aca="false">IF($B12="","",IF(الموظفون!$J12="","",الموظفون!$J12))</f>
        <v>46320</v>
      </c>
      <c r="I12" s="65" t="n">
        <f aca="false">IF(OR($B12="",H12=""),"",H12-cfg_TRACK)</f>
        <v>26</v>
      </c>
      <c r="J12" s="114" t="str">
        <f aca="false">IF(OR($B12="",$F12="✖ منتهي الخدمة"),"",IF(H12="",IF($E12="غير سعودي","⚠ أدخل التاريخ","-"),IF(I12&lt;0,"✖ منتهية منذ "&amp;TEXT(-I12,"0")&amp;" يوم",IF(I12&lt;=cfg_ALERT,"⚠ تنتهي خلال "&amp;TEXT(I12,"0")&amp;" يوم","✔ سارية"))))</f>
        <v>⚠ تنتهي خلال 26 يوم</v>
      </c>
      <c r="K12" s="174" t="n">
        <f aca="false">IF($B12="","",IF(الموظفون!$K12="","",الموظفون!$K12))</f>
        <v>46280</v>
      </c>
      <c r="L12" s="65" t="n">
        <f aca="false">IF(OR($B12="",K12=""),"",K12-cfg_TRACK)</f>
        <v>-14</v>
      </c>
      <c r="M12" s="114" t="str">
        <f aca="false">IF(OR($B12="",$F12="✖ منتهي الخدمة"),"",IF(K12="",IF($E12="غير سعودي","⚠ أدخل التاريخ","-"),IF(L12&lt;0,"✖ منتهية منذ "&amp;TEXT(-L12,"0")&amp;" يوم",IF(L12&lt;=cfg_ALERT,"⚠ تنتهي خلال "&amp;TEXT(L12,"0")&amp;" يوم","✔ سارية"))))</f>
        <v>✖ منتهية منذ 14 يوم</v>
      </c>
      <c r="N12" s="111" t="n">
        <f aca="false">IF($B12="","",IF(F12="✖ منتهي الخدمة",0,IF(الموظفون!$X12&lt;&gt;"",الموظفون!$X12,IF(الموظفون!$E12="غير سعودي",cfg_IQ,0))))</f>
        <v>650</v>
      </c>
      <c r="O12" s="111" t="n">
        <f aca="false">IF($B12="","",IF(F12="✖ منتهي الخدمة",0,IF(الموظفون!$Y12&lt;&gt;"",الموظفون!$Y12,IF(الموظفون!$E12="غير سعودي",cfg_WP,0))))</f>
        <v>9600</v>
      </c>
      <c r="P12" s="111" t="n">
        <f aca="false">IF($B12="","",IF(F12="✖ منتهي الخدمة",0,IF(الموظفون!$Z12&lt;&gt;"",الموظفون!$Z12,cfg_MED)))</f>
        <v>2400</v>
      </c>
      <c r="Q12" s="111" t="n">
        <f aca="false">IF($B12="","",IF(F12="✖ منتهي الخدمة",0,N(الموظفون!$AA12)))</f>
        <v>4800</v>
      </c>
      <c r="R12" s="111" t="n">
        <f aca="false">IF($B12="","",SUM(N12:Q12))</f>
        <v>17450</v>
      </c>
      <c r="S12" s="111" t="n">
        <f aca="false">IF($B12="","",R12/12)</f>
        <v>1454.16666666667</v>
      </c>
      <c r="T12" s="111" t="n">
        <f aca="false">IF($B12="","",IF(1&lt;=cfg_VAL_M,'مسير يناير'!AD12+'مسير يناير'!AE12+'مسير يناير'!AF12,0)+IF(2&lt;=cfg_VAL_M,'مسير فبراير'!AD12+'مسير فبراير'!AE12+'مسير فبراير'!AF12,0)+IF(3&lt;=cfg_VAL_M,'مسير مارس'!AD12+'مسير مارس'!AE12+'مسير مارس'!AF12,0)+IF(4&lt;=cfg_VAL_M,'مسير أبريل'!AD12+'مسير أبريل'!AE12+'مسير أبريل'!AF12,0)+IF(5&lt;=cfg_VAL_M,'مسير مايو'!AD12+'مسير مايو'!AE12+'مسير مايو'!AF12,0)+IF(6&lt;=cfg_VAL_M,'مسير يونيو'!AD12+'مسير يونيو'!AE12+'مسير يونيو'!AF12,0)+IF(7&lt;=cfg_VAL_M,'مسير يوليو'!AD12+'مسير يوليو'!AE12+'مسير يوليو'!AF12,0)+IF(8&lt;=cfg_VAL_M,'مسير أغسطس'!AD12+'مسير أغسطس'!AE12+'مسير أغسطس'!AF12,0)+IF(9&lt;=cfg_VAL_M,'مسير سبتمبر'!AD12+'مسير سبتمبر'!AE12+'مسير سبتمبر'!AF12,0)+IF(10&lt;=cfg_VAL_M,'مسير أكتوبر'!AD12+'مسير أكتوبر'!AE12+'مسير أكتوبر'!AF12,0)+IF(11&lt;=cfg_VAL_M,'مسير نوفمبر'!AD12+'مسير نوفمبر'!AE12+'مسير نوفمبر'!AF12,0)+IF(12&lt;=cfg_VAL_M,'مسير ديسمبر'!AD12+'مسير ديسمبر'!AE12+'مسير ديسمبر'!AF12,0))</f>
        <v>13087.5</v>
      </c>
      <c r="U12" s="111" t="n">
        <f aca="false">IF(OR($B12="",F12="✖ منتهي الخدمة"),"",IF(AND(ISNUMBER(I12),I12&lt;=cfg_ALERT),N12,0)+IF(AND(ISNUMBER(L12),L12&lt;=cfg_ALERT),O12,0))</f>
        <v>10250</v>
      </c>
    </row>
    <row r="13" customFormat="false" ht="15" hidden="false" customHeight="false" outlineLevel="0" collapsed="false">
      <c r="B13" s="117" t="str">
        <f aca="false">IF(الموظفون!$B13="","",الموظفون!$B13)</f>
        <v>E008</v>
      </c>
      <c r="C13" s="117" t="str">
        <f aca="false">IF($B13="","",الموظفون!$C13)</f>
        <v>سارة عبدالرحمن الزهراني</v>
      </c>
      <c r="D13" s="117" t="str">
        <f aca="false">IF($B13="","",الموظفون!$D13)</f>
        <v>سعودية</v>
      </c>
      <c r="E13" s="117" t="str">
        <f aca="false">IF($B13="","",الموظفون!$E13)</f>
        <v>سعودي</v>
      </c>
      <c r="F13" s="117" t="str">
        <f aca="false">IF($B13="","",الموظفون!$AG13)</f>
        <v>✔ على رأس العمل</v>
      </c>
      <c r="G13" s="117" t="str">
        <f aca="false">IF($B13="","",IF(الموظفون!$I13="","",الموظفون!$I13))</f>
        <v>1056789012</v>
      </c>
      <c r="H13" s="175" t="n">
        <f aca="false">IF($B13="","",IF(الموظفون!$J13="","",الموظفون!$J13))</f>
        <v>48466</v>
      </c>
      <c r="I13" s="133" t="n">
        <f aca="false">IF(OR($B13="",H13=""),"",H13-cfg_TRACK)</f>
        <v>2172</v>
      </c>
      <c r="J13" s="117" t="str">
        <f aca="false">IF(OR($B13="",$F13="✖ منتهي الخدمة"),"",IF(H13="",IF($E13="غير سعودي","⚠ أدخل التاريخ","-"),IF(I13&lt;0,"✖ منتهية منذ "&amp;TEXT(-I13,"0")&amp;" يوم",IF(I13&lt;=cfg_ALERT,"⚠ تنتهي خلال "&amp;TEXT(I13,"0")&amp;" يوم","✔ سارية"))))</f>
        <v>✔ سارية</v>
      </c>
      <c r="K13" s="175" t="str">
        <f aca="false">IF($B13="","",IF(الموظفون!$K13="","",الموظفون!$K13))</f>
        <v/>
      </c>
      <c r="L13" s="133" t="str">
        <f aca="false">IF(OR($B13="",K13=""),"",K13-cfg_TRACK)</f>
        <v/>
      </c>
      <c r="M13" s="117" t="str">
        <f aca="false">IF(OR($B13="",$F13="✖ منتهي الخدمة"),"",IF(K13="",IF($E13="غير سعودي","⚠ أدخل التاريخ","-"),IF(L13&lt;0,"✖ منتهية منذ "&amp;TEXT(-L13,"0")&amp;" يوم",IF(L13&lt;=cfg_ALERT,"⚠ تنتهي خلال "&amp;TEXT(L13,"0")&amp;" يوم","✔ سارية"))))</f>
        <v>-</v>
      </c>
      <c r="N13" s="116" t="n">
        <f aca="false">IF($B13="","",IF(F13="✖ منتهي الخدمة",0,IF(الموظفون!$X13&lt;&gt;"",الموظفون!$X13,IF(الموظفون!$E13="غير سعودي",cfg_IQ,0))))</f>
        <v>0</v>
      </c>
      <c r="O13" s="116" t="n">
        <f aca="false">IF($B13="","",IF(F13="✖ منتهي الخدمة",0,IF(الموظفون!$Y13&lt;&gt;"",الموظفون!$Y13,IF(الموظفون!$E13="غير سعودي",cfg_WP,0))))</f>
        <v>0</v>
      </c>
      <c r="P13" s="116" t="n">
        <f aca="false">IF($B13="","",IF(F13="✖ منتهي الخدمة",0,IF(الموظفون!$Z13&lt;&gt;"",الموظفون!$Z13,cfg_MED)))</f>
        <v>2400</v>
      </c>
      <c r="Q13" s="116" t="n">
        <f aca="false">IF($B13="","",IF(F13="✖ منتهي الخدمة",0,N(الموظفون!$AA13)))</f>
        <v>0</v>
      </c>
      <c r="R13" s="116" t="n">
        <f aca="false">IF($B13="","",SUM(N13:Q13))</f>
        <v>2400</v>
      </c>
      <c r="S13" s="116" t="n">
        <f aca="false">IF($B13="","",R13/12)</f>
        <v>200</v>
      </c>
      <c r="T13" s="116" t="n">
        <f aca="false">IF($B13="","",IF(1&lt;=cfg_VAL_M,'مسير يناير'!AD13+'مسير يناير'!AE13+'مسير يناير'!AF13,0)+IF(2&lt;=cfg_VAL_M,'مسير فبراير'!AD13+'مسير فبراير'!AE13+'مسير فبراير'!AF13,0)+IF(3&lt;=cfg_VAL_M,'مسير مارس'!AD13+'مسير مارس'!AE13+'مسير مارس'!AF13,0)+IF(4&lt;=cfg_VAL_M,'مسير أبريل'!AD13+'مسير أبريل'!AE13+'مسير أبريل'!AF13,0)+IF(5&lt;=cfg_VAL_M,'مسير مايو'!AD13+'مسير مايو'!AE13+'مسير مايو'!AF13,0)+IF(6&lt;=cfg_VAL_M,'مسير يونيو'!AD13+'مسير يونيو'!AE13+'مسير يونيو'!AF13,0)+IF(7&lt;=cfg_VAL_M,'مسير يوليو'!AD13+'مسير يوليو'!AE13+'مسير يوليو'!AF13,0)+IF(8&lt;=cfg_VAL_M,'مسير أغسطس'!AD13+'مسير أغسطس'!AE13+'مسير أغسطس'!AF13,0)+IF(9&lt;=cfg_VAL_M,'مسير سبتمبر'!AD13+'مسير سبتمبر'!AE13+'مسير سبتمبر'!AF13,0)+IF(10&lt;=cfg_VAL_M,'مسير أكتوبر'!AD13+'مسير أكتوبر'!AE13+'مسير أكتوبر'!AF13,0)+IF(11&lt;=cfg_VAL_M,'مسير نوفمبر'!AD13+'مسير نوفمبر'!AE13+'مسير نوفمبر'!AF13,0)+IF(12&lt;=cfg_VAL_M,'مسير ديسمبر'!AD13+'مسير ديسمبر'!AE13+'مسير ديسمبر'!AF13,0))</f>
        <v>1800</v>
      </c>
      <c r="U13" s="116" t="n">
        <f aca="false">IF(OR($B13="",F13="✖ منتهي الخدمة"),"",IF(AND(ISNUMBER(I13),I13&lt;=cfg_ALERT),N13,0)+IF(AND(ISNUMBER(L13),L13&lt;=cfg_ALERT),O13,0))</f>
        <v>0</v>
      </c>
    </row>
    <row r="14" customFormat="false" ht="15" hidden="false" customHeight="false" outlineLevel="0" collapsed="false">
      <c r="B14" s="114" t="str">
        <f aca="false">IF(الموظفون!$B14="","",الموظفون!$B14)</f>
        <v>E009</v>
      </c>
      <c r="C14" s="114" t="str">
        <f aca="false">IF($B14="","",الموظفون!$C14)</f>
        <v>محمد رفيق</v>
      </c>
      <c r="D14" s="114" t="str">
        <f aca="false">IF($B14="","",الموظفون!$D14)</f>
        <v>باكستاني</v>
      </c>
      <c r="E14" s="114" t="str">
        <f aca="false">IF($B14="","",الموظفون!$E14)</f>
        <v>غير سعودي</v>
      </c>
      <c r="F14" s="114" t="str">
        <f aca="false">IF($B14="","",الموظفون!$AG14)</f>
        <v>✔ على رأس العمل</v>
      </c>
      <c r="G14" s="114" t="str">
        <f aca="false">IF($B14="","",IF(الموظفون!$I14="","",الموظفون!$I14))</f>
        <v>2345678901</v>
      </c>
      <c r="H14" s="174" t="n">
        <f aca="false">IF($B14="","",IF(الموظفون!$J14="","",الموظفون!$J14))</f>
        <v>46539</v>
      </c>
      <c r="I14" s="65" t="n">
        <f aca="false">IF(OR($B14="",H14=""),"",H14-cfg_TRACK)</f>
        <v>245</v>
      </c>
      <c r="J14" s="114" t="str">
        <f aca="false">IF(OR($B14="",$F14="✖ منتهي الخدمة"),"",IF(H14="",IF($E14="غير سعودي","⚠ أدخل التاريخ","-"),IF(I14&lt;0,"✖ منتهية منذ "&amp;TEXT(-I14,"0")&amp;" يوم",IF(I14&lt;=cfg_ALERT,"⚠ تنتهي خلال "&amp;TEXT(I14,"0")&amp;" يوم","✔ سارية"))))</f>
        <v>✔ سارية</v>
      </c>
      <c r="K14" s="174" t="n">
        <f aca="false">IF($B14="","",IF(الموظفون!$K14="","",الموظفون!$K14))</f>
        <v>46539</v>
      </c>
      <c r="L14" s="65" t="n">
        <f aca="false">IF(OR($B14="",K14=""),"",K14-cfg_TRACK)</f>
        <v>245</v>
      </c>
      <c r="M14" s="114" t="str">
        <f aca="false">IF(OR($B14="",$F14="✖ منتهي الخدمة"),"",IF(K14="",IF($E14="غير سعودي","⚠ أدخل التاريخ","-"),IF(L14&lt;0,"✖ منتهية منذ "&amp;TEXT(-L14,"0")&amp;" يوم",IF(L14&lt;=cfg_ALERT,"⚠ تنتهي خلال "&amp;TEXT(L14,"0")&amp;" يوم","✔ سارية"))))</f>
        <v>✔ سارية</v>
      </c>
      <c r="N14" s="111" t="n">
        <f aca="false">IF($B14="","",IF(F14="✖ منتهي الخدمة",0,IF(الموظفون!$X14&lt;&gt;"",الموظفون!$X14,IF(الموظفون!$E14="غير سعودي",cfg_IQ,0))))</f>
        <v>650</v>
      </c>
      <c r="O14" s="111" t="n">
        <f aca="false">IF($B14="","",IF(F14="✖ منتهي الخدمة",0,IF(الموظفون!$Y14&lt;&gt;"",الموظفون!$Y14,IF(الموظفون!$E14="غير سعودي",cfg_WP,0))))</f>
        <v>9600</v>
      </c>
      <c r="P14" s="111" t="n">
        <f aca="false">IF($B14="","",IF(F14="✖ منتهي الخدمة",0,IF(الموظفون!$Z14&lt;&gt;"",الموظفون!$Z14,cfg_MED)))</f>
        <v>1800</v>
      </c>
      <c r="Q14" s="111" t="n">
        <f aca="false">IF($B14="","",IF(F14="✖ منتهي الخدمة",0,N(الموظفون!$AA14)))</f>
        <v>0</v>
      </c>
      <c r="R14" s="111" t="n">
        <f aca="false">IF($B14="","",SUM(N14:Q14))</f>
        <v>12050</v>
      </c>
      <c r="S14" s="111" t="n">
        <f aca="false">IF($B14="","",R14/12)</f>
        <v>1004.16666666667</v>
      </c>
      <c r="T14" s="111" t="n">
        <f aca="false">IF($B14="","",IF(1&lt;=cfg_VAL_M,'مسير يناير'!AD14+'مسير يناير'!AE14+'مسير يناير'!AF14,0)+IF(2&lt;=cfg_VAL_M,'مسير فبراير'!AD14+'مسير فبراير'!AE14+'مسير فبراير'!AF14,0)+IF(3&lt;=cfg_VAL_M,'مسير مارس'!AD14+'مسير مارس'!AE14+'مسير مارس'!AF14,0)+IF(4&lt;=cfg_VAL_M,'مسير أبريل'!AD14+'مسير أبريل'!AE14+'مسير أبريل'!AF14,0)+IF(5&lt;=cfg_VAL_M,'مسير مايو'!AD14+'مسير مايو'!AE14+'مسير مايو'!AF14,0)+IF(6&lt;=cfg_VAL_M,'مسير يونيو'!AD14+'مسير يونيو'!AE14+'مسير يونيو'!AF14,0)+IF(7&lt;=cfg_VAL_M,'مسير يوليو'!AD14+'مسير يوليو'!AE14+'مسير يوليو'!AF14,0)+IF(8&lt;=cfg_VAL_M,'مسير أغسطس'!AD14+'مسير أغسطس'!AE14+'مسير أغسطس'!AF14,0)+IF(9&lt;=cfg_VAL_M,'مسير سبتمبر'!AD14+'مسير سبتمبر'!AE14+'مسير سبتمبر'!AF14,0)+IF(10&lt;=cfg_VAL_M,'مسير أكتوبر'!AD14+'مسير أكتوبر'!AE14+'مسير أكتوبر'!AF14,0)+IF(11&lt;=cfg_VAL_M,'مسير نوفمبر'!AD14+'مسير نوفمبر'!AE14+'مسير نوفمبر'!AF14,0)+IF(12&lt;=cfg_VAL_M,'مسير ديسمبر'!AD14+'مسير ديسمبر'!AE14+'مسير ديسمبر'!AF14,0))</f>
        <v>9037.5</v>
      </c>
      <c r="U14" s="111" t="n">
        <f aca="false">IF(OR($B14="",F14="✖ منتهي الخدمة"),"",IF(AND(ISNUMBER(I14),I14&lt;=cfg_ALERT),N14,0)+IF(AND(ISNUMBER(L14),L14&lt;=cfg_ALERT),O14,0))</f>
        <v>0</v>
      </c>
    </row>
    <row r="15" customFormat="false" ht="15" hidden="false" customHeight="false" outlineLevel="0" collapsed="false">
      <c r="B15" s="117" t="str">
        <f aca="false">IF(الموظفون!$B15="","",الموظفون!$B15)</f>
        <v>E010</v>
      </c>
      <c r="C15" s="117" t="str">
        <f aca="false">IF($B15="","",الموظفون!$C15)</f>
        <v>ريم سلطان المطيري</v>
      </c>
      <c r="D15" s="117" t="str">
        <f aca="false">IF($B15="","",الموظفون!$D15)</f>
        <v>سعودية</v>
      </c>
      <c r="E15" s="117" t="str">
        <f aca="false">IF($B15="","",الموظفون!$E15)</f>
        <v>سعودي</v>
      </c>
      <c r="F15" s="117" t="str">
        <f aca="false">IF($B15="","",الموظفون!$AG15)</f>
        <v>✔ على رأس العمل</v>
      </c>
      <c r="G15" s="117" t="str">
        <f aca="false">IF($B15="","",IF(الموظفون!$I15="","",الموظفون!$I15))</f>
        <v>1067890123</v>
      </c>
      <c r="H15" s="175" t="n">
        <f aca="false">IF($B15="","",IF(الموظفون!$J15="","",الموظفون!$J15))</f>
        <v>48580</v>
      </c>
      <c r="I15" s="133" t="n">
        <f aca="false">IF(OR($B15="",H15=""),"",H15-cfg_TRACK)</f>
        <v>2286</v>
      </c>
      <c r="J15" s="117" t="str">
        <f aca="false">IF(OR($B15="",$F15="✖ منتهي الخدمة"),"",IF(H15="",IF($E15="غير سعودي","⚠ أدخل التاريخ","-"),IF(I15&lt;0,"✖ منتهية منذ "&amp;TEXT(-I15,"0")&amp;" يوم",IF(I15&lt;=cfg_ALERT,"⚠ تنتهي خلال "&amp;TEXT(I15,"0")&amp;" يوم","✔ سارية"))))</f>
        <v>✔ سارية</v>
      </c>
      <c r="K15" s="175" t="str">
        <f aca="false">IF($B15="","",IF(الموظفون!$K15="","",الموظفون!$K15))</f>
        <v/>
      </c>
      <c r="L15" s="133" t="str">
        <f aca="false">IF(OR($B15="",K15=""),"",K15-cfg_TRACK)</f>
        <v/>
      </c>
      <c r="M15" s="117" t="str">
        <f aca="false">IF(OR($B15="",$F15="✖ منتهي الخدمة"),"",IF(K15="",IF($E15="غير سعودي","⚠ أدخل التاريخ","-"),IF(L15&lt;0,"✖ منتهية منذ "&amp;TEXT(-L15,"0")&amp;" يوم",IF(L15&lt;=cfg_ALERT,"⚠ تنتهي خلال "&amp;TEXT(L15,"0")&amp;" يوم","✔ سارية"))))</f>
        <v>-</v>
      </c>
      <c r="N15" s="116" t="n">
        <f aca="false">IF($B15="","",IF(F15="✖ منتهي الخدمة",0,IF(الموظفون!$X15&lt;&gt;"",الموظفون!$X15,IF(الموظفون!$E15="غير سعودي",cfg_IQ,0))))</f>
        <v>0</v>
      </c>
      <c r="O15" s="116" t="n">
        <f aca="false">IF($B15="","",IF(F15="✖ منتهي الخدمة",0,IF(الموظفون!$Y15&lt;&gt;"",الموظفون!$Y15,IF(الموظفون!$E15="غير سعودي",cfg_WP,0))))</f>
        <v>0</v>
      </c>
      <c r="P15" s="116" t="n">
        <f aca="false">IF($B15="","",IF(F15="✖ منتهي الخدمة",0,IF(الموظفون!$Z15&lt;&gt;"",الموظفون!$Z15,cfg_MED)))</f>
        <v>2400</v>
      </c>
      <c r="Q15" s="116" t="n">
        <f aca="false">IF($B15="","",IF(F15="✖ منتهي الخدمة",0,N(الموظفون!$AA15)))</f>
        <v>0</v>
      </c>
      <c r="R15" s="116" t="n">
        <f aca="false">IF($B15="","",SUM(N15:Q15))</f>
        <v>2400</v>
      </c>
      <c r="S15" s="116" t="n">
        <f aca="false">IF($B15="","",R15/12)</f>
        <v>200</v>
      </c>
      <c r="T15" s="116" t="n">
        <f aca="false">IF($B15="","",IF(1&lt;=cfg_VAL_M,'مسير يناير'!AD15+'مسير يناير'!AE15+'مسير يناير'!AF15,0)+IF(2&lt;=cfg_VAL_M,'مسير فبراير'!AD15+'مسير فبراير'!AE15+'مسير فبراير'!AF15,0)+IF(3&lt;=cfg_VAL_M,'مسير مارس'!AD15+'مسير مارس'!AE15+'مسير مارس'!AF15,0)+IF(4&lt;=cfg_VAL_M,'مسير أبريل'!AD15+'مسير أبريل'!AE15+'مسير أبريل'!AF15,0)+IF(5&lt;=cfg_VAL_M,'مسير مايو'!AD15+'مسير مايو'!AE15+'مسير مايو'!AF15,0)+IF(6&lt;=cfg_VAL_M,'مسير يونيو'!AD15+'مسير يونيو'!AE15+'مسير يونيو'!AF15,0)+IF(7&lt;=cfg_VAL_M,'مسير يوليو'!AD15+'مسير يوليو'!AE15+'مسير يوليو'!AF15,0)+IF(8&lt;=cfg_VAL_M,'مسير أغسطس'!AD15+'مسير أغسطس'!AE15+'مسير أغسطس'!AF15,0)+IF(9&lt;=cfg_VAL_M,'مسير سبتمبر'!AD15+'مسير سبتمبر'!AE15+'مسير سبتمبر'!AF15,0)+IF(10&lt;=cfg_VAL_M,'مسير أكتوبر'!AD15+'مسير أكتوبر'!AE15+'مسير أكتوبر'!AF15,0)+IF(11&lt;=cfg_VAL_M,'مسير نوفمبر'!AD15+'مسير نوفمبر'!AE15+'مسير نوفمبر'!AF15,0)+IF(12&lt;=cfg_VAL_M,'مسير ديسمبر'!AD15+'مسير ديسمبر'!AE15+'مسير ديسمبر'!AF15,0))</f>
        <v>1106.66666666667</v>
      </c>
      <c r="U15" s="116" t="n">
        <f aca="false">IF(OR($B15="",F15="✖ منتهي الخدمة"),"",IF(AND(ISNUMBER(I15),I15&lt;=cfg_ALERT),N15,0)+IF(AND(ISNUMBER(L15),L15&lt;=cfg_ALERT),O15,0))</f>
        <v>0</v>
      </c>
    </row>
    <row r="16" customFormat="false" ht="15" hidden="false" customHeight="false" outlineLevel="0" collapsed="false">
      <c r="B16" s="114" t="str">
        <f aca="false">IF(الموظفون!$B16="","",الموظفون!$B16)</f>
        <v>E011</v>
      </c>
      <c r="C16" s="114" t="str">
        <f aca="false">IF($B16="","",الموظفون!$C16)</f>
        <v>جون ماتيو</v>
      </c>
      <c r="D16" s="114" t="str">
        <f aca="false">IF($B16="","",الموظفون!$D16)</f>
        <v>فلبيني</v>
      </c>
      <c r="E16" s="114" t="str">
        <f aca="false">IF($B16="","",الموظفون!$E16)</f>
        <v>غير سعودي</v>
      </c>
      <c r="F16" s="114" t="str">
        <f aca="false">IF($B16="","",الموظفون!$AG16)</f>
        <v>✖ منتهي الخدمة</v>
      </c>
      <c r="G16" s="114" t="str">
        <f aca="false">IF($B16="","",IF(الموظفون!$I16="","",الموظفون!$I16))</f>
        <v>2356789012</v>
      </c>
      <c r="H16" s="174" t="n">
        <f aca="false">IF($B16="","",IF(الموظفون!$J16="","",الموظفون!$J16))</f>
        <v>46481</v>
      </c>
      <c r="I16" s="65" t="n">
        <f aca="false">IF(OR($B16="",H16=""),"",H16-cfg_TRACK)</f>
        <v>187</v>
      </c>
      <c r="J16" s="114" t="str">
        <f aca="false">IF(OR($B16="",$F16="✖ منتهي الخدمة"),"",IF(H16="",IF($E16="غير سعودي","⚠ أدخل التاريخ","-"),IF(I16&lt;0,"✖ منتهية منذ "&amp;TEXT(-I16,"0")&amp;" يوم",IF(I16&lt;=cfg_ALERT,"⚠ تنتهي خلال "&amp;TEXT(I16,"0")&amp;" يوم","✔ سارية"))))</f>
        <v/>
      </c>
      <c r="K16" s="174" t="n">
        <f aca="false">IF($B16="","",IF(الموظفون!$K16="","",الموظفون!$K16))</f>
        <v>46481</v>
      </c>
      <c r="L16" s="65" t="n">
        <f aca="false">IF(OR($B16="",K16=""),"",K16-cfg_TRACK)</f>
        <v>187</v>
      </c>
      <c r="M16" s="114" t="str">
        <f aca="false">IF(OR($B16="",$F16="✖ منتهي الخدمة"),"",IF(K16="",IF($E16="غير سعودي","⚠ أدخل التاريخ","-"),IF(L16&lt;0,"✖ منتهية منذ "&amp;TEXT(-L16,"0")&amp;" يوم",IF(L16&lt;=cfg_ALERT,"⚠ تنتهي خلال "&amp;TEXT(L16,"0")&amp;" يوم","✔ سارية"))))</f>
        <v/>
      </c>
      <c r="N16" s="111" t="n">
        <f aca="false">IF($B16="","",IF(F16="✖ منتهي الخدمة",0,IF(الموظفون!$X16&lt;&gt;"",الموظفون!$X16,IF(الموظفون!$E16="غير سعودي",cfg_IQ,0))))</f>
        <v>0</v>
      </c>
      <c r="O16" s="111" t="n">
        <f aca="false">IF($B16="","",IF(F16="✖ منتهي الخدمة",0,IF(الموظفون!$Y16&lt;&gt;"",الموظفون!$Y16,IF(الموظفون!$E16="غير سعودي",cfg_WP,0))))</f>
        <v>0</v>
      </c>
      <c r="P16" s="111" t="n">
        <f aca="false">IF($B16="","",IF(F16="✖ منتهي الخدمة",0,IF(الموظفون!$Z16&lt;&gt;"",الموظفون!$Z16,cfg_MED)))</f>
        <v>0</v>
      </c>
      <c r="Q16" s="111" t="n">
        <f aca="false">IF($B16="","",IF(F16="✖ منتهي الخدمة",0,N(الموظفون!$AA16)))</f>
        <v>0</v>
      </c>
      <c r="R16" s="111" t="n">
        <f aca="false">IF($B16="","",SUM(N16:Q16))</f>
        <v>0</v>
      </c>
      <c r="S16" s="111" t="n">
        <f aca="false">IF($B16="","",R16/12)</f>
        <v>0</v>
      </c>
      <c r="T16" s="111" t="n">
        <f aca="false">IF($B16="","",IF(1&lt;=cfg_VAL_M,'مسير يناير'!AD16+'مسير يناير'!AE16+'مسير يناير'!AF16,0)+IF(2&lt;=cfg_VAL_M,'مسير فبراير'!AD16+'مسير فبراير'!AE16+'مسير فبراير'!AF16,0)+IF(3&lt;=cfg_VAL_M,'مسير مارس'!AD16+'مسير مارس'!AE16+'مسير مارس'!AF16,0)+IF(4&lt;=cfg_VAL_M,'مسير أبريل'!AD16+'مسير أبريل'!AE16+'مسير أبريل'!AF16,0)+IF(5&lt;=cfg_VAL_M,'مسير مايو'!AD16+'مسير مايو'!AE16+'مسير مايو'!AF16,0)+IF(6&lt;=cfg_VAL_M,'مسير يونيو'!AD16+'مسير يونيو'!AE16+'مسير يونيو'!AF16,0)+IF(7&lt;=cfg_VAL_M,'مسير يوليو'!AD16+'مسير يوليو'!AE16+'مسير يوليو'!AF16,0)+IF(8&lt;=cfg_VAL_M,'مسير أغسطس'!AD16+'مسير أغسطس'!AE16+'مسير أغسطس'!AF16,0)+IF(9&lt;=cfg_VAL_M,'مسير سبتمبر'!AD16+'مسير سبتمبر'!AE16+'مسير سبتمبر'!AF16,0)+IF(10&lt;=cfg_VAL_M,'مسير أكتوبر'!AD16+'مسير أكتوبر'!AE16+'مسير أكتوبر'!AF16,0)+IF(11&lt;=cfg_VAL_M,'مسير نوفمبر'!AD16+'مسير نوفمبر'!AE16+'مسير نوفمبر'!AF16,0)+IF(12&lt;=cfg_VAL_M,'مسير ديسمبر'!AD16+'مسير ديسمبر'!AE16+'مسير ديسمبر'!AF16,0))</f>
        <v>6025</v>
      </c>
      <c r="U16" s="111" t="str">
        <f aca="false">IF(OR($B16="",F16="✖ منتهي الخدمة"),"",IF(AND(ISNUMBER(I16),I16&lt;=cfg_ALERT),N16,0)+IF(AND(ISNUMBER(L16),L16&lt;=cfg_ALERT),O16,0))</f>
        <v/>
      </c>
    </row>
    <row r="17" customFormat="false" ht="15" hidden="false" customHeight="false" outlineLevel="0" collapsed="false">
      <c r="B17" s="117" t="str">
        <f aca="false">IF(الموظفون!$B17="","",الموظفون!$B17)</f>
        <v>E012</v>
      </c>
      <c r="C17" s="117" t="str">
        <f aca="false">IF($B17="","",الموظفون!$C17)</f>
        <v>عمر حسين البيشي</v>
      </c>
      <c r="D17" s="117" t="str">
        <f aca="false">IF($B17="","",الموظفون!$D17)</f>
        <v>سعودي</v>
      </c>
      <c r="E17" s="117" t="str">
        <f aca="false">IF($B17="","",الموظفون!$E17)</f>
        <v>سعودي</v>
      </c>
      <c r="F17" s="117" t="str">
        <f aca="false">IF($B17="","",الموظفون!$AG17)</f>
        <v>✔ على رأس العمل</v>
      </c>
      <c r="G17" s="117" t="str">
        <f aca="false">IF($B17="","",IF(الموظفون!$I17="","",الموظفون!$I17))</f>
        <v>1078901234</v>
      </c>
      <c r="H17" s="175" t="n">
        <f aca="false">IF($B17="","",IF(الموظفون!$J17="","",الموظفون!$J17))</f>
        <v>47464</v>
      </c>
      <c r="I17" s="133" t="n">
        <f aca="false">IF(OR($B17="",H17=""),"",H17-cfg_TRACK)</f>
        <v>1170</v>
      </c>
      <c r="J17" s="117" t="str">
        <f aca="false">IF(OR($B17="",$F17="✖ منتهي الخدمة"),"",IF(H17="",IF($E17="غير سعودي","⚠ أدخل التاريخ","-"),IF(I17&lt;0,"✖ منتهية منذ "&amp;TEXT(-I17,"0")&amp;" يوم",IF(I17&lt;=cfg_ALERT,"⚠ تنتهي خلال "&amp;TEXT(I17,"0")&amp;" يوم","✔ سارية"))))</f>
        <v>✔ سارية</v>
      </c>
      <c r="K17" s="175" t="str">
        <f aca="false">IF($B17="","",IF(الموظفون!$K17="","",الموظفون!$K17))</f>
        <v/>
      </c>
      <c r="L17" s="133" t="str">
        <f aca="false">IF(OR($B17="",K17=""),"",K17-cfg_TRACK)</f>
        <v/>
      </c>
      <c r="M17" s="117" t="str">
        <f aca="false">IF(OR($B17="",$F17="✖ منتهي الخدمة"),"",IF(K17="",IF($E17="غير سعودي","⚠ أدخل التاريخ","-"),IF(L17&lt;0,"✖ منتهية منذ "&amp;TEXT(-L17,"0")&amp;" يوم",IF(L17&lt;=cfg_ALERT,"⚠ تنتهي خلال "&amp;TEXT(L17,"0")&amp;" يوم","✔ سارية"))))</f>
        <v>-</v>
      </c>
      <c r="N17" s="116" t="n">
        <f aca="false">IF($B17="","",IF(F17="✖ منتهي الخدمة",0,IF(الموظفون!$X17&lt;&gt;"",الموظفون!$X17,IF(الموظفون!$E17="غير سعودي",cfg_IQ,0))))</f>
        <v>0</v>
      </c>
      <c r="O17" s="116" t="n">
        <f aca="false">IF($B17="","",IF(F17="✖ منتهي الخدمة",0,IF(الموظفون!$Y17&lt;&gt;"",الموظفون!$Y17,IF(الموظفون!$E17="غير سعودي",cfg_WP,0))))</f>
        <v>0</v>
      </c>
      <c r="P17" s="116" t="n">
        <f aca="false">IF($B17="","",IF(F17="✖ منتهي الخدمة",0,IF(الموظفون!$Z17&lt;&gt;"",الموظفون!$Z17,cfg_MED)))</f>
        <v>2400</v>
      </c>
      <c r="Q17" s="116" t="n">
        <f aca="false">IF($B17="","",IF(F17="✖ منتهي الخدمة",0,N(الموظفون!$AA17)))</f>
        <v>0</v>
      </c>
      <c r="R17" s="116" t="n">
        <f aca="false">IF($B17="","",SUM(N17:Q17))</f>
        <v>2400</v>
      </c>
      <c r="S17" s="116" t="n">
        <f aca="false">IF($B17="","",R17/12)</f>
        <v>200</v>
      </c>
      <c r="T17" s="116" t="n">
        <f aca="false">IF($B17="","",IF(1&lt;=cfg_VAL_M,'مسير يناير'!AD17+'مسير يناير'!AE17+'مسير يناير'!AF17,0)+IF(2&lt;=cfg_VAL_M,'مسير فبراير'!AD17+'مسير فبراير'!AE17+'مسير فبراير'!AF17,0)+IF(3&lt;=cfg_VAL_M,'مسير مارس'!AD17+'مسير مارس'!AE17+'مسير مارس'!AF17,0)+IF(4&lt;=cfg_VAL_M,'مسير أبريل'!AD17+'مسير أبريل'!AE17+'مسير أبريل'!AF17,0)+IF(5&lt;=cfg_VAL_M,'مسير مايو'!AD17+'مسير مايو'!AE17+'مسير مايو'!AF17,0)+IF(6&lt;=cfg_VAL_M,'مسير يونيو'!AD17+'مسير يونيو'!AE17+'مسير يونيو'!AF17,0)+IF(7&lt;=cfg_VAL_M,'مسير يوليو'!AD17+'مسير يوليو'!AE17+'مسير يوليو'!AF17,0)+IF(8&lt;=cfg_VAL_M,'مسير أغسطس'!AD17+'مسير أغسطس'!AE17+'مسير أغسطس'!AF17,0)+IF(9&lt;=cfg_VAL_M,'مسير سبتمبر'!AD17+'مسير سبتمبر'!AE17+'مسير سبتمبر'!AF17,0)+IF(10&lt;=cfg_VAL_M,'مسير أكتوبر'!AD17+'مسير أكتوبر'!AE17+'مسير أكتوبر'!AF17,0)+IF(11&lt;=cfg_VAL_M,'مسير نوفمبر'!AD17+'مسير نوفمبر'!AE17+'مسير نوفمبر'!AF17,0)+IF(12&lt;=cfg_VAL_M,'مسير ديسمبر'!AD17+'مسير ديسمبر'!AE17+'مسير ديسمبر'!AF17,0))</f>
        <v>1800</v>
      </c>
      <c r="U17" s="116" t="n">
        <f aca="false">IF(OR($B17="",F17="✖ منتهي الخدمة"),"",IF(AND(ISNUMBER(I17),I17&lt;=cfg_ALERT),N17,0)+IF(AND(ISNUMBER(L17),L17&lt;=cfg_ALERT),O17,0))</f>
        <v>0</v>
      </c>
    </row>
    <row r="18" customFormat="false" ht="15" hidden="false" customHeight="false" outlineLevel="0" collapsed="false">
      <c r="B18" s="114" t="str">
        <f aca="false">IF(الموظفون!$B18="","",الموظفون!$B18)</f>
        <v/>
      </c>
      <c r="C18" s="114" t="str">
        <f aca="false">IF($B18="","",الموظفون!$C18)</f>
        <v/>
      </c>
      <c r="D18" s="114" t="str">
        <f aca="false">IF($B18="","",الموظفون!$D18)</f>
        <v/>
      </c>
      <c r="E18" s="114" t="str">
        <f aca="false">IF($B18="","",الموظفون!$E18)</f>
        <v/>
      </c>
      <c r="F18" s="114" t="str">
        <f aca="false">IF($B18="","",الموظفون!$AG18)</f>
        <v/>
      </c>
      <c r="G18" s="114" t="str">
        <f aca="false">IF($B18="","",IF(الموظفون!$I18="","",الموظفون!$I18))</f>
        <v/>
      </c>
      <c r="H18" s="174" t="str">
        <f aca="false">IF($B18="","",IF(الموظفون!$J18="","",الموظفون!$J18))</f>
        <v/>
      </c>
      <c r="I18" s="65" t="str">
        <f aca="false">IF(OR($B18="",H18=""),"",H18-cfg_TRACK)</f>
        <v/>
      </c>
      <c r="J18" s="114" t="str">
        <f aca="false">IF(OR($B18="",$F18="✖ منتهي الخدمة"),"",IF(H18="",IF($E18="غير سعودي","⚠ أدخل التاريخ","-"),IF(I18&lt;0,"✖ منتهية منذ "&amp;TEXT(-I18,"0")&amp;" يوم",IF(I18&lt;=cfg_ALERT,"⚠ تنتهي خلال "&amp;TEXT(I18,"0")&amp;" يوم","✔ سارية"))))</f>
        <v/>
      </c>
      <c r="K18" s="174" t="str">
        <f aca="false">IF($B18="","",IF(الموظفون!$K18="","",الموظفون!$K18))</f>
        <v/>
      </c>
      <c r="L18" s="65" t="str">
        <f aca="false">IF(OR($B18="",K18=""),"",K18-cfg_TRACK)</f>
        <v/>
      </c>
      <c r="M18" s="114" t="str">
        <f aca="false">IF(OR($B18="",$F18="✖ منتهي الخدمة"),"",IF(K18="",IF($E18="غير سعودي","⚠ أدخل التاريخ","-"),IF(L18&lt;0,"✖ منتهية منذ "&amp;TEXT(-L18,"0")&amp;" يوم",IF(L18&lt;=cfg_ALERT,"⚠ تنتهي خلال "&amp;TEXT(L18,"0")&amp;" يوم","✔ سارية"))))</f>
        <v/>
      </c>
      <c r="N18" s="111" t="str">
        <f aca="false">IF($B18="","",IF(F18="✖ منتهي الخدمة",0,IF(الموظفون!$X18&lt;&gt;"",الموظفون!$X18,IF(الموظفون!$E18="غير سعودي",cfg_IQ,0))))</f>
        <v/>
      </c>
      <c r="O18" s="111" t="str">
        <f aca="false">IF($B18="","",IF(F18="✖ منتهي الخدمة",0,IF(الموظفون!$Y18&lt;&gt;"",الموظفون!$Y18,IF(الموظفون!$E18="غير سعودي",cfg_WP,0))))</f>
        <v/>
      </c>
      <c r="P18" s="111" t="str">
        <f aca="false">IF($B18="","",IF(F18="✖ منتهي الخدمة",0,IF(الموظفون!$Z18&lt;&gt;"",الموظفون!$Z18,cfg_MED)))</f>
        <v/>
      </c>
      <c r="Q18" s="111" t="str">
        <f aca="false">IF($B18="","",IF(F18="✖ منتهي الخدمة",0,N(الموظفون!$AA18)))</f>
        <v/>
      </c>
      <c r="R18" s="111" t="str">
        <f aca="false">IF($B18="","",SUM(N18:Q18))</f>
        <v/>
      </c>
      <c r="S18" s="111" t="str">
        <f aca="false">IF($B18="","",R18/12)</f>
        <v/>
      </c>
      <c r="T18" s="111" t="str">
        <f aca="false">IF($B18="","",IF(1&lt;=cfg_VAL_M,'مسير يناير'!AD18+'مسير يناير'!AE18+'مسير يناير'!AF18,0)+IF(2&lt;=cfg_VAL_M,'مسير فبراير'!AD18+'مسير فبراير'!AE18+'مسير فبراير'!AF18,0)+IF(3&lt;=cfg_VAL_M,'مسير مارس'!AD18+'مسير مارس'!AE18+'مسير مارس'!AF18,0)+IF(4&lt;=cfg_VAL_M,'مسير أبريل'!AD18+'مسير أبريل'!AE18+'مسير أبريل'!AF18,0)+IF(5&lt;=cfg_VAL_M,'مسير مايو'!AD18+'مسير مايو'!AE18+'مسير مايو'!AF18,0)+IF(6&lt;=cfg_VAL_M,'مسير يونيو'!AD18+'مسير يونيو'!AE18+'مسير يونيو'!AF18,0)+IF(7&lt;=cfg_VAL_M,'مسير يوليو'!AD18+'مسير يوليو'!AE18+'مسير يوليو'!AF18,0)+IF(8&lt;=cfg_VAL_M,'مسير أغسطس'!AD18+'مسير أغسطس'!AE18+'مسير أغسطس'!AF18,0)+IF(9&lt;=cfg_VAL_M,'مسير سبتمبر'!AD18+'مسير سبتمبر'!AE18+'مسير سبتمبر'!AF18,0)+IF(10&lt;=cfg_VAL_M,'مسير أكتوبر'!AD18+'مسير أكتوبر'!AE18+'مسير أكتوبر'!AF18,0)+IF(11&lt;=cfg_VAL_M,'مسير نوفمبر'!AD18+'مسير نوفمبر'!AE18+'مسير نوفمبر'!AF18,0)+IF(12&lt;=cfg_VAL_M,'مسير ديسمبر'!AD18+'مسير ديسمبر'!AE18+'مسير ديسمبر'!AF18,0))</f>
        <v/>
      </c>
      <c r="U18" s="111" t="str">
        <f aca="false">IF(OR($B18="",F18="✖ منتهي الخدمة"),"",IF(AND(ISNUMBER(I18),I18&lt;=cfg_ALERT),N18,0)+IF(AND(ISNUMBER(L18),L18&lt;=cfg_ALERT),O18,0))</f>
        <v/>
      </c>
    </row>
    <row r="19" customFormat="false" ht="15" hidden="false" customHeight="false" outlineLevel="0" collapsed="false">
      <c r="B19" s="117" t="str">
        <f aca="false">IF(الموظفون!$B19="","",الموظفون!$B19)</f>
        <v/>
      </c>
      <c r="C19" s="117" t="str">
        <f aca="false">IF($B19="","",الموظفون!$C19)</f>
        <v/>
      </c>
      <c r="D19" s="117" t="str">
        <f aca="false">IF($B19="","",الموظفون!$D19)</f>
        <v/>
      </c>
      <c r="E19" s="117" t="str">
        <f aca="false">IF($B19="","",الموظفون!$E19)</f>
        <v/>
      </c>
      <c r="F19" s="117" t="str">
        <f aca="false">IF($B19="","",الموظفون!$AG19)</f>
        <v/>
      </c>
      <c r="G19" s="117" t="str">
        <f aca="false">IF($B19="","",IF(الموظفون!$I19="","",الموظفون!$I19))</f>
        <v/>
      </c>
      <c r="H19" s="175" t="str">
        <f aca="false">IF($B19="","",IF(الموظفون!$J19="","",الموظفون!$J19))</f>
        <v/>
      </c>
      <c r="I19" s="133" t="str">
        <f aca="false">IF(OR($B19="",H19=""),"",H19-cfg_TRACK)</f>
        <v/>
      </c>
      <c r="J19" s="117" t="str">
        <f aca="false">IF(OR($B19="",$F19="✖ منتهي الخدمة"),"",IF(H19="",IF($E19="غير سعودي","⚠ أدخل التاريخ","-"),IF(I19&lt;0,"✖ منتهية منذ "&amp;TEXT(-I19,"0")&amp;" يوم",IF(I19&lt;=cfg_ALERT,"⚠ تنتهي خلال "&amp;TEXT(I19,"0")&amp;" يوم","✔ سارية"))))</f>
        <v/>
      </c>
      <c r="K19" s="175" t="str">
        <f aca="false">IF($B19="","",IF(الموظفون!$K19="","",الموظفون!$K19))</f>
        <v/>
      </c>
      <c r="L19" s="133" t="str">
        <f aca="false">IF(OR($B19="",K19=""),"",K19-cfg_TRACK)</f>
        <v/>
      </c>
      <c r="M19" s="117" t="str">
        <f aca="false">IF(OR($B19="",$F19="✖ منتهي الخدمة"),"",IF(K19="",IF($E19="غير سعودي","⚠ أدخل التاريخ","-"),IF(L19&lt;0,"✖ منتهية منذ "&amp;TEXT(-L19,"0")&amp;" يوم",IF(L19&lt;=cfg_ALERT,"⚠ تنتهي خلال "&amp;TEXT(L19,"0")&amp;" يوم","✔ سارية"))))</f>
        <v/>
      </c>
      <c r="N19" s="116" t="str">
        <f aca="false">IF($B19="","",IF(F19="✖ منتهي الخدمة",0,IF(الموظفون!$X19&lt;&gt;"",الموظفون!$X19,IF(الموظفون!$E19="غير سعودي",cfg_IQ,0))))</f>
        <v/>
      </c>
      <c r="O19" s="116" t="str">
        <f aca="false">IF($B19="","",IF(F19="✖ منتهي الخدمة",0,IF(الموظفون!$Y19&lt;&gt;"",الموظفون!$Y19,IF(الموظفون!$E19="غير سعودي",cfg_WP,0))))</f>
        <v/>
      </c>
      <c r="P19" s="116" t="str">
        <f aca="false">IF($B19="","",IF(F19="✖ منتهي الخدمة",0,IF(الموظفون!$Z19&lt;&gt;"",الموظفون!$Z19,cfg_MED)))</f>
        <v/>
      </c>
      <c r="Q19" s="116" t="str">
        <f aca="false">IF($B19="","",IF(F19="✖ منتهي الخدمة",0,N(الموظفون!$AA19)))</f>
        <v/>
      </c>
      <c r="R19" s="116" t="str">
        <f aca="false">IF($B19="","",SUM(N19:Q19))</f>
        <v/>
      </c>
      <c r="S19" s="116" t="str">
        <f aca="false">IF($B19="","",R19/12)</f>
        <v/>
      </c>
      <c r="T19" s="116" t="str">
        <f aca="false">IF($B19="","",IF(1&lt;=cfg_VAL_M,'مسير يناير'!AD19+'مسير يناير'!AE19+'مسير يناير'!AF19,0)+IF(2&lt;=cfg_VAL_M,'مسير فبراير'!AD19+'مسير فبراير'!AE19+'مسير فبراير'!AF19,0)+IF(3&lt;=cfg_VAL_M,'مسير مارس'!AD19+'مسير مارس'!AE19+'مسير مارس'!AF19,0)+IF(4&lt;=cfg_VAL_M,'مسير أبريل'!AD19+'مسير أبريل'!AE19+'مسير أبريل'!AF19,0)+IF(5&lt;=cfg_VAL_M,'مسير مايو'!AD19+'مسير مايو'!AE19+'مسير مايو'!AF19,0)+IF(6&lt;=cfg_VAL_M,'مسير يونيو'!AD19+'مسير يونيو'!AE19+'مسير يونيو'!AF19,0)+IF(7&lt;=cfg_VAL_M,'مسير يوليو'!AD19+'مسير يوليو'!AE19+'مسير يوليو'!AF19,0)+IF(8&lt;=cfg_VAL_M,'مسير أغسطس'!AD19+'مسير أغسطس'!AE19+'مسير أغسطس'!AF19,0)+IF(9&lt;=cfg_VAL_M,'مسير سبتمبر'!AD19+'مسير سبتمبر'!AE19+'مسير سبتمبر'!AF19,0)+IF(10&lt;=cfg_VAL_M,'مسير أكتوبر'!AD19+'مسير أكتوبر'!AE19+'مسير أكتوبر'!AF19,0)+IF(11&lt;=cfg_VAL_M,'مسير نوفمبر'!AD19+'مسير نوفمبر'!AE19+'مسير نوفمبر'!AF19,0)+IF(12&lt;=cfg_VAL_M,'مسير ديسمبر'!AD19+'مسير ديسمبر'!AE19+'مسير ديسمبر'!AF19,0))</f>
        <v/>
      </c>
      <c r="U19" s="116" t="str">
        <f aca="false">IF(OR($B19="",F19="✖ منتهي الخدمة"),"",IF(AND(ISNUMBER(I19),I19&lt;=cfg_ALERT),N19,0)+IF(AND(ISNUMBER(L19),L19&lt;=cfg_ALERT),O19,0))</f>
        <v/>
      </c>
    </row>
    <row r="20" customFormat="false" ht="15" hidden="false" customHeight="false" outlineLevel="0" collapsed="false">
      <c r="B20" s="114" t="str">
        <f aca="false">IF(الموظفون!$B20="","",الموظفون!$B20)</f>
        <v/>
      </c>
      <c r="C20" s="114" t="str">
        <f aca="false">IF($B20="","",الموظفون!$C20)</f>
        <v/>
      </c>
      <c r="D20" s="114" t="str">
        <f aca="false">IF($B20="","",الموظفون!$D20)</f>
        <v/>
      </c>
      <c r="E20" s="114" t="str">
        <f aca="false">IF($B20="","",الموظفون!$E20)</f>
        <v/>
      </c>
      <c r="F20" s="114" t="str">
        <f aca="false">IF($B20="","",الموظفون!$AG20)</f>
        <v/>
      </c>
      <c r="G20" s="114" t="str">
        <f aca="false">IF($B20="","",IF(الموظفون!$I20="","",الموظفون!$I20))</f>
        <v/>
      </c>
      <c r="H20" s="174" t="str">
        <f aca="false">IF($B20="","",IF(الموظفون!$J20="","",الموظفون!$J20))</f>
        <v/>
      </c>
      <c r="I20" s="65" t="str">
        <f aca="false">IF(OR($B20="",H20=""),"",H20-cfg_TRACK)</f>
        <v/>
      </c>
      <c r="J20" s="114" t="str">
        <f aca="false">IF(OR($B20="",$F20="✖ منتهي الخدمة"),"",IF(H20="",IF($E20="غير سعودي","⚠ أدخل التاريخ","-"),IF(I20&lt;0,"✖ منتهية منذ "&amp;TEXT(-I20,"0")&amp;" يوم",IF(I20&lt;=cfg_ALERT,"⚠ تنتهي خلال "&amp;TEXT(I20,"0")&amp;" يوم","✔ سارية"))))</f>
        <v/>
      </c>
      <c r="K20" s="174" t="str">
        <f aca="false">IF($B20="","",IF(الموظفون!$K20="","",الموظفون!$K20))</f>
        <v/>
      </c>
      <c r="L20" s="65" t="str">
        <f aca="false">IF(OR($B20="",K20=""),"",K20-cfg_TRACK)</f>
        <v/>
      </c>
      <c r="M20" s="114" t="str">
        <f aca="false">IF(OR($B20="",$F20="✖ منتهي الخدمة"),"",IF(K20="",IF($E20="غير سعودي","⚠ أدخل التاريخ","-"),IF(L20&lt;0,"✖ منتهية منذ "&amp;TEXT(-L20,"0")&amp;" يوم",IF(L20&lt;=cfg_ALERT,"⚠ تنتهي خلال "&amp;TEXT(L20,"0")&amp;" يوم","✔ سارية"))))</f>
        <v/>
      </c>
      <c r="N20" s="111" t="str">
        <f aca="false">IF($B20="","",IF(F20="✖ منتهي الخدمة",0,IF(الموظفون!$X20&lt;&gt;"",الموظفون!$X20,IF(الموظفون!$E20="غير سعودي",cfg_IQ,0))))</f>
        <v/>
      </c>
      <c r="O20" s="111" t="str">
        <f aca="false">IF($B20="","",IF(F20="✖ منتهي الخدمة",0,IF(الموظفون!$Y20&lt;&gt;"",الموظفون!$Y20,IF(الموظفون!$E20="غير سعودي",cfg_WP,0))))</f>
        <v/>
      </c>
      <c r="P20" s="111" t="str">
        <f aca="false">IF($B20="","",IF(F20="✖ منتهي الخدمة",0,IF(الموظفون!$Z20&lt;&gt;"",الموظفون!$Z20,cfg_MED)))</f>
        <v/>
      </c>
      <c r="Q20" s="111" t="str">
        <f aca="false">IF($B20="","",IF(F20="✖ منتهي الخدمة",0,N(الموظفون!$AA20)))</f>
        <v/>
      </c>
      <c r="R20" s="111" t="str">
        <f aca="false">IF($B20="","",SUM(N20:Q20))</f>
        <v/>
      </c>
      <c r="S20" s="111" t="str">
        <f aca="false">IF($B20="","",R20/12)</f>
        <v/>
      </c>
      <c r="T20" s="111" t="str">
        <f aca="false">IF($B20="","",IF(1&lt;=cfg_VAL_M,'مسير يناير'!AD20+'مسير يناير'!AE20+'مسير يناير'!AF20,0)+IF(2&lt;=cfg_VAL_M,'مسير فبراير'!AD20+'مسير فبراير'!AE20+'مسير فبراير'!AF20,0)+IF(3&lt;=cfg_VAL_M,'مسير مارس'!AD20+'مسير مارس'!AE20+'مسير مارس'!AF20,0)+IF(4&lt;=cfg_VAL_M,'مسير أبريل'!AD20+'مسير أبريل'!AE20+'مسير أبريل'!AF20,0)+IF(5&lt;=cfg_VAL_M,'مسير مايو'!AD20+'مسير مايو'!AE20+'مسير مايو'!AF20,0)+IF(6&lt;=cfg_VAL_M,'مسير يونيو'!AD20+'مسير يونيو'!AE20+'مسير يونيو'!AF20,0)+IF(7&lt;=cfg_VAL_M,'مسير يوليو'!AD20+'مسير يوليو'!AE20+'مسير يوليو'!AF20,0)+IF(8&lt;=cfg_VAL_M,'مسير أغسطس'!AD20+'مسير أغسطس'!AE20+'مسير أغسطس'!AF20,0)+IF(9&lt;=cfg_VAL_M,'مسير سبتمبر'!AD20+'مسير سبتمبر'!AE20+'مسير سبتمبر'!AF20,0)+IF(10&lt;=cfg_VAL_M,'مسير أكتوبر'!AD20+'مسير أكتوبر'!AE20+'مسير أكتوبر'!AF20,0)+IF(11&lt;=cfg_VAL_M,'مسير نوفمبر'!AD20+'مسير نوفمبر'!AE20+'مسير نوفمبر'!AF20,0)+IF(12&lt;=cfg_VAL_M,'مسير ديسمبر'!AD20+'مسير ديسمبر'!AE20+'مسير ديسمبر'!AF20,0))</f>
        <v/>
      </c>
      <c r="U20" s="111" t="str">
        <f aca="false">IF(OR($B20="",F20="✖ منتهي الخدمة"),"",IF(AND(ISNUMBER(I20),I20&lt;=cfg_ALERT),N20,0)+IF(AND(ISNUMBER(L20),L20&lt;=cfg_ALERT),O20,0))</f>
        <v/>
      </c>
    </row>
    <row r="21" customFormat="false" ht="15" hidden="false" customHeight="false" outlineLevel="0" collapsed="false">
      <c r="B21" s="117" t="str">
        <f aca="false">IF(الموظفون!$B21="","",الموظفون!$B21)</f>
        <v/>
      </c>
      <c r="C21" s="117" t="str">
        <f aca="false">IF($B21="","",الموظفون!$C21)</f>
        <v/>
      </c>
      <c r="D21" s="117" t="str">
        <f aca="false">IF($B21="","",الموظفون!$D21)</f>
        <v/>
      </c>
      <c r="E21" s="117" t="str">
        <f aca="false">IF($B21="","",الموظفون!$E21)</f>
        <v/>
      </c>
      <c r="F21" s="117" t="str">
        <f aca="false">IF($B21="","",الموظفون!$AG21)</f>
        <v/>
      </c>
      <c r="G21" s="117" t="str">
        <f aca="false">IF($B21="","",IF(الموظفون!$I21="","",الموظفون!$I21))</f>
        <v/>
      </c>
      <c r="H21" s="175" t="str">
        <f aca="false">IF($B21="","",IF(الموظفون!$J21="","",الموظفون!$J21))</f>
        <v/>
      </c>
      <c r="I21" s="133" t="str">
        <f aca="false">IF(OR($B21="",H21=""),"",H21-cfg_TRACK)</f>
        <v/>
      </c>
      <c r="J21" s="117" t="str">
        <f aca="false">IF(OR($B21="",$F21="✖ منتهي الخدمة"),"",IF(H21="",IF($E21="غير سعودي","⚠ أدخل التاريخ","-"),IF(I21&lt;0,"✖ منتهية منذ "&amp;TEXT(-I21,"0")&amp;" يوم",IF(I21&lt;=cfg_ALERT,"⚠ تنتهي خلال "&amp;TEXT(I21,"0")&amp;" يوم","✔ سارية"))))</f>
        <v/>
      </c>
      <c r="K21" s="175" t="str">
        <f aca="false">IF($B21="","",IF(الموظفون!$K21="","",الموظفون!$K21))</f>
        <v/>
      </c>
      <c r="L21" s="133" t="str">
        <f aca="false">IF(OR($B21="",K21=""),"",K21-cfg_TRACK)</f>
        <v/>
      </c>
      <c r="M21" s="117" t="str">
        <f aca="false">IF(OR($B21="",$F21="✖ منتهي الخدمة"),"",IF(K21="",IF($E21="غير سعودي","⚠ أدخل التاريخ","-"),IF(L21&lt;0,"✖ منتهية منذ "&amp;TEXT(-L21,"0")&amp;" يوم",IF(L21&lt;=cfg_ALERT,"⚠ تنتهي خلال "&amp;TEXT(L21,"0")&amp;" يوم","✔ سارية"))))</f>
        <v/>
      </c>
      <c r="N21" s="116" t="str">
        <f aca="false">IF($B21="","",IF(F21="✖ منتهي الخدمة",0,IF(الموظفون!$X21&lt;&gt;"",الموظفون!$X21,IF(الموظفون!$E21="غير سعودي",cfg_IQ,0))))</f>
        <v/>
      </c>
      <c r="O21" s="116" t="str">
        <f aca="false">IF($B21="","",IF(F21="✖ منتهي الخدمة",0,IF(الموظفون!$Y21&lt;&gt;"",الموظفون!$Y21,IF(الموظفون!$E21="غير سعودي",cfg_WP,0))))</f>
        <v/>
      </c>
      <c r="P21" s="116" t="str">
        <f aca="false">IF($B21="","",IF(F21="✖ منتهي الخدمة",0,IF(الموظفون!$Z21&lt;&gt;"",الموظفون!$Z21,cfg_MED)))</f>
        <v/>
      </c>
      <c r="Q21" s="116" t="str">
        <f aca="false">IF($B21="","",IF(F21="✖ منتهي الخدمة",0,N(الموظفون!$AA21)))</f>
        <v/>
      </c>
      <c r="R21" s="116" t="str">
        <f aca="false">IF($B21="","",SUM(N21:Q21))</f>
        <v/>
      </c>
      <c r="S21" s="116" t="str">
        <f aca="false">IF($B21="","",R21/12)</f>
        <v/>
      </c>
      <c r="T21" s="116" t="str">
        <f aca="false">IF($B21="","",IF(1&lt;=cfg_VAL_M,'مسير يناير'!AD21+'مسير يناير'!AE21+'مسير يناير'!AF21,0)+IF(2&lt;=cfg_VAL_M,'مسير فبراير'!AD21+'مسير فبراير'!AE21+'مسير فبراير'!AF21,0)+IF(3&lt;=cfg_VAL_M,'مسير مارس'!AD21+'مسير مارس'!AE21+'مسير مارس'!AF21,0)+IF(4&lt;=cfg_VAL_M,'مسير أبريل'!AD21+'مسير أبريل'!AE21+'مسير أبريل'!AF21,0)+IF(5&lt;=cfg_VAL_M,'مسير مايو'!AD21+'مسير مايو'!AE21+'مسير مايو'!AF21,0)+IF(6&lt;=cfg_VAL_M,'مسير يونيو'!AD21+'مسير يونيو'!AE21+'مسير يونيو'!AF21,0)+IF(7&lt;=cfg_VAL_M,'مسير يوليو'!AD21+'مسير يوليو'!AE21+'مسير يوليو'!AF21,0)+IF(8&lt;=cfg_VAL_M,'مسير أغسطس'!AD21+'مسير أغسطس'!AE21+'مسير أغسطس'!AF21,0)+IF(9&lt;=cfg_VAL_M,'مسير سبتمبر'!AD21+'مسير سبتمبر'!AE21+'مسير سبتمبر'!AF21,0)+IF(10&lt;=cfg_VAL_M,'مسير أكتوبر'!AD21+'مسير أكتوبر'!AE21+'مسير أكتوبر'!AF21,0)+IF(11&lt;=cfg_VAL_M,'مسير نوفمبر'!AD21+'مسير نوفمبر'!AE21+'مسير نوفمبر'!AF21,0)+IF(12&lt;=cfg_VAL_M,'مسير ديسمبر'!AD21+'مسير ديسمبر'!AE21+'مسير ديسمبر'!AF21,0))</f>
        <v/>
      </c>
      <c r="U21" s="116" t="str">
        <f aca="false">IF(OR($B21="",F21="✖ منتهي الخدمة"),"",IF(AND(ISNUMBER(I21),I21&lt;=cfg_ALERT),N21,0)+IF(AND(ISNUMBER(L21),L21&lt;=cfg_ALERT),O21,0))</f>
        <v/>
      </c>
    </row>
    <row r="22" customFormat="false" ht="15" hidden="false" customHeight="false" outlineLevel="0" collapsed="false">
      <c r="B22" s="114" t="str">
        <f aca="false">IF(الموظفون!$B22="","",الموظفون!$B22)</f>
        <v/>
      </c>
      <c r="C22" s="114" t="str">
        <f aca="false">IF($B22="","",الموظفون!$C22)</f>
        <v/>
      </c>
      <c r="D22" s="114" t="str">
        <f aca="false">IF($B22="","",الموظفون!$D22)</f>
        <v/>
      </c>
      <c r="E22" s="114" t="str">
        <f aca="false">IF($B22="","",الموظفون!$E22)</f>
        <v/>
      </c>
      <c r="F22" s="114" t="str">
        <f aca="false">IF($B22="","",الموظفون!$AG22)</f>
        <v/>
      </c>
      <c r="G22" s="114" t="str">
        <f aca="false">IF($B22="","",IF(الموظفون!$I22="","",الموظفون!$I22))</f>
        <v/>
      </c>
      <c r="H22" s="174" t="str">
        <f aca="false">IF($B22="","",IF(الموظفون!$J22="","",الموظفون!$J22))</f>
        <v/>
      </c>
      <c r="I22" s="65" t="str">
        <f aca="false">IF(OR($B22="",H22=""),"",H22-cfg_TRACK)</f>
        <v/>
      </c>
      <c r="J22" s="114" t="str">
        <f aca="false">IF(OR($B22="",$F22="✖ منتهي الخدمة"),"",IF(H22="",IF($E22="غير سعودي","⚠ أدخل التاريخ","-"),IF(I22&lt;0,"✖ منتهية منذ "&amp;TEXT(-I22,"0")&amp;" يوم",IF(I22&lt;=cfg_ALERT,"⚠ تنتهي خلال "&amp;TEXT(I22,"0")&amp;" يوم","✔ سارية"))))</f>
        <v/>
      </c>
      <c r="K22" s="174" t="str">
        <f aca="false">IF($B22="","",IF(الموظفون!$K22="","",الموظفون!$K22))</f>
        <v/>
      </c>
      <c r="L22" s="65" t="str">
        <f aca="false">IF(OR($B22="",K22=""),"",K22-cfg_TRACK)</f>
        <v/>
      </c>
      <c r="M22" s="114" t="str">
        <f aca="false">IF(OR($B22="",$F22="✖ منتهي الخدمة"),"",IF(K22="",IF($E22="غير سعودي","⚠ أدخل التاريخ","-"),IF(L22&lt;0,"✖ منتهية منذ "&amp;TEXT(-L22,"0")&amp;" يوم",IF(L22&lt;=cfg_ALERT,"⚠ تنتهي خلال "&amp;TEXT(L22,"0")&amp;" يوم","✔ سارية"))))</f>
        <v/>
      </c>
      <c r="N22" s="111" t="str">
        <f aca="false">IF($B22="","",IF(F22="✖ منتهي الخدمة",0,IF(الموظفون!$X22&lt;&gt;"",الموظفون!$X22,IF(الموظفون!$E22="غير سعودي",cfg_IQ,0))))</f>
        <v/>
      </c>
      <c r="O22" s="111" t="str">
        <f aca="false">IF($B22="","",IF(F22="✖ منتهي الخدمة",0,IF(الموظفون!$Y22&lt;&gt;"",الموظفون!$Y22,IF(الموظفون!$E22="غير سعودي",cfg_WP,0))))</f>
        <v/>
      </c>
      <c r="P22" s="111" t="str">
        <f aca="false">IF($B22="","",IF(F22="✖ منتهي الخدمة",0,IF(الموظفون!$Z22&lt;&gt;"",الموظفون!$Z22,cfg_MED)))</f>
        <v/>
      </c>
      <c r="Q22" s="111" t="str">
        <f aca="false">IF($B22="","",IF(F22="✖ منتهي الخدمة",0,N(الموظفون!$AA22)))</f>
        <v/>
      </c>
      <c r="R22" s="111" t="str">
        <f aca="false">IF($B22="","",SUM(N22:Q22))</f>
        <v/>
      </c>
      <c r="S22" s="111" t="str">
        <f aca="false">IF($B22="","",R22/12)</f>
        <v/>
      </c>
      <c r="T22" s="111" t="str">
        <f aca="false">IF($B22="","",IF(1&lt;=cfg_VAL_M,'مسير يناير'!AD22+'مسير يناير'!AE22+'مسير يناير'!AF22,0)+IF(2&lt;=cfg_VAL_M,'مسير فبراير'!AD22+'مسير فبراير'!AE22+'مسير فبراير'!AF22,0)+IF(3&lt;=cfg_VAL_M,'مسير مارس'!AD22+'مسير مارس'!AE22+'مسير مارس'!AF22,0)+IF(4&lt;=cfg_VAL_M,'مسير أبريل'!AD22+'مسير أبريل'!AE22+'مسير أبريل'!AF22,0)+IF(5&lt;=cfg_VAL_M,'مسير مايو'!AD22+'مسير مايو'!AE22+'مسير مايو'!AF22,0)+IF(6&lt;=cfg_VAL_M,'مسير يونيو'!AD22+'مسير يونيو'!AE22+'مسير يونيو'!AF22,0)+IF(7&lt;=cfg_VAL_M,'مسير يوليو'!AD22+'مسير يوليو'!AE22+'مسير يوليو'!AF22,0)+IF(8&lt;=cfg_VAL_M,'مسير أغسطس'!AD22+'مسير أغسطس'!AE22+'مسير أغسطس'!AF22,0)+IF(9&lt;=cfg_VAL_M,'مسير سبتمبر'!AD22+'مسير سبتمبر'!AE22+'مسير سبتمبر'!AF22,0)+IF(10&lt;=cfg_VAL_M,'مسير أكتوبر'!AD22+'مسير أكتوبر'!AE22+'مسير أكتوبر'!AF22,0)+IF(11&lt;=cfg_VAL_M,'مسير نوفمبر'!AD22+'مسير نوفمبر'!AE22+'مسير نوفمبر'!AF22,0)+IF(12&lt;=cfg_VAL_M,'مسير ديسمبر'!AD22+'مسير ديسمبر'!AE22+'مسير ديسمبر'!AF22,0))</f>
        <v/>
      </c>
      <c r="U22" s="111" t="str">
        <f aca="false">IF(OR($B22="",F22="✖ منتهي الخدمة"),"",IF(AND(ISNUMBER(I22),I22&lt;=cfg_ALERT),N22,0)+IF(AND(ISNUMBER(L22),L22&lt;=cfg_ALERT),O22,0))</f>
        <v/>
      </c>
    </row>
    <row r="23" customFormat="false" ht="15" hidden="false" customHeight="false" outlineLevel="0" collapsed="false">
      <c r="B23" s="117" t="str">
        <f aca="false">IF(الموظفون!$B23="","",الموظفون!$B23)</f>
        <v/>
      </c>
      <c r="C23" s="117" t="str">
        <f aca="false">IF($B23="","",الموظفون!$C23)</f>
        <v/>
      </c>
      <c r="D23" s="117" t="str">
        <f aca="false">IF($B23="","",الموظفون!$D23)</f>
        <v/>
      </c>
      <c r="E23" s="117" t="str">
        <f aca="false">IF($B23="","",الموظفون!$E23)</f>
        <v/>
      </c>
      <c r="F23" s="117" t="str">
        <f aca="false">IF($B23="","",الموظفون!$AG23)</f>
        <v/>
      </c>
      <c r="G23" s="117" t="str">
        <f aca="false">IF($B23="","",IF(الموظفون!$I23="","",الموظفون!$I23))</f>
        <v/>
      </c>
      <c r="H23" s="175" t="str">
        <f aca="false">IF($B23="","",IF(الموظفون!$J23="","",الموظفون!$J23))</f>
        <v/>
      </c>
      <c r="I23" s="133" t="str">
        <f aca="false">IF(OR($B23="",H23=""),"",H23-cfg_TRACK)</f>
        <v/>
      </c>
      <c r="J23" s="117" t="str">
        <f aca="false">IF(OR($B23="",$F23="✖ منتهي الخدمة"),"",IF(H23="",IF($E23="غير سعودي","⚠ أدخل التاريخ","-"),IF(I23&lt;0,"✖ منتهية منذ "&amp;TEXT(-I23,"0")&amp;" يوم",IF(I23&lt;=cfg_ALERT,"⚠ تنتهي خلال "&amp;TEXT(I23,"0")&amp;" يوم","✔ سارية"))))</f>
        <v/>
      </c>
      <c r="K23" s="175" t="str">
        <f aca="false">IF($B23="","",IF(الموظفون!$K23="","",الموظفون!$K23))</f>
        <v/>
      </c>
      <c r="L23" s="133" t="str">
        <f aca="false">IF(OR($B23="",K23=""),"",K23-cfg_TRACK)</f>
        <v/>
      </c>
      <c r="M23" s="117" t="str">
        <f aca="false">IF(OR($B23="",$F23="✖ منتهي الخدمة"),"",IF(K23="",IF($E23="غير سعودي","⚠ أدخل التاريخ","-"),IF(L23&lt;0,"✖ منتهية منذ "&amp;TEXT(-L23,"0")&amp;" يوم",IF(L23&lt;=cfg_ALERT,"⚠ تنتهي خلال "&amp;TEXT(L23,"0")&amp;" يوم","✔ سارية"))))</f>
        <v/>
      </c>
      <c r="N23" s="116" t="str">
        <f aca="false">IF($B23="","",IF(F23="✖ منتهي الخدمة",0,IF(الموظفون!$X23&lt;&gt;"",الموظفون!$X23,IF(الموظفون!$E23="غير سعودي",cfg_IQ,0))))</f>
        <v/>
      </c>
      <c r="O23" s="116" t="str">
        <f aca="false">IF($B23="","",IF(F23="✖ منتهي الخدمة",0,IF(الموظفون!$Y23&lt;&gt;"",الموظفون!$Y23,IF(الموظفون!$E23="غير سعودي",cfg_WP,0))))</f>
        <v/>
      </c>
      <c r="P23" s="116" t="str">
        <f aca="false">IF($B23="","",IF(F23="✖ منتهي الخدمة",0,IF(الموظفون!$Z23&lt;&gt;"",الموظفون!$Z23,cfg_MED)))</f>
        <v/>
      </c>
      <c r="Q23" s="116" t="str">
        <f aca="false">IF($B23="","",IF(F23="✖ منتهي الخدمة",0,N(الموظفون!$AA23)))</f>
        <v/>
      </c>
      <c r="R23" s="116" t="str">
        <f aca="false">IF($B23="","",SUM(N23:Q23))</f>
        <v/>
      </c>
      <c r="S23" s="116" t="str">
        <f aca="false">IF($B23="","",R23/12)</f>
        <v/>
      </c>
      <c r="T23" s="116" t="str">
        <f aca="false">IF($B23="","",IF(1&lt;=cfg_VAL_M,'مسير يناير'!AD23+'مسير يناير'!AE23+'مسير يناير'!AF23,0)+IF(2&lt;=cfg_VAL_M,'مسير فبراير'!AD23+'مسير فبراير'!AE23+'مسير فبراير'!AF23,0)+IF(3&lt;=cfg_VAL_M,'مسير مارس'!AD23+'مسير مارس'!AE23+'مسير مارس'!AF23,0)+IF(4&lt;=cfg_VAL_M,'مسير أبريل'!AD23+'مسير أبريل'!AE23+'مسير أبريل'!AF23,0)+IF(5&lt;=cfg_VAL_M,'مسير مايو'!AD23+'مسير مايو'!AE23+'مسير مايو'!AF23,0)+IF(6&lt;=cfg_VAL_M,'مسير يونيو'!AD23+'مسير يونيو'!AE23+'مسير يونيو'!AF23,0)+IF(7&lt;=cfg_VAL_M,'مسير يوليو'!AD23+'مسير يوليو'!AE23+'مسير يوليو'!AF23,0)+IF(8&lt;=cfg_VAL_M,'مسير أغسطس'!AD23+'مسير أغسطس'!AE23+'مسير أغسطس'!AF23,0)+IF(9&lt;=cfg_VAL_M,'مسير سبتمبر'!AD23+'مسير سبتمبر'!AE23+'مسير سبتمبر'!AF23,0)+IF(10&lt;=cfg_VAL_M,'مسير أكتوبر'!AD23+'مسير أكتوبر'!AE23+'مسير أكتوبر'!AF23,0)+IF(11&lt;=cfg_VAL_M,'مسير نوفمبر'!AD23+'مسير نوفمبر'!AE23+'مسير نوفمبر'!AF23,0)+IF(12&lt;=cfg_VAL_M,'مسير ديسمبر'!AD23+'مسير ديسمبر'!AE23+'مسير ديسمبر'!AF23,0))</f>
        <v/>
      </c>
      <c r="U23" s="116" t="str">
        <f aca="false">IF(OR($B23="",F23="✖ منتهي الخدمة"),"",IF(AND(ISNUMBER(I23),I23&lt;=cfg_ALERT),N23,0)+IF(AND(ISNUMBER(L23),L23&lt;=cfg_ALERT),O23,0))</f>
        <v/>
      </c>
    </row>
    <row r="24" customFormat="false" ht="15" hidden="false" customHeight="false" outlineLevel="0" collapsed="false">
      <c r="B24" s="114" t="str">
        <f aca="false">IF(الموظفون!$B24="","",الموظفون!$B24)</f>
        <v/>
      </c>
      <c r="C24" s="114" t="str">
        <f aca="false">IF($B24="","",الموظفون!$C24)</f>
        <v/>
      </c>
      <c r="D24" s="114" t="str">
        <f aca="false">IF($B24="","",الموظفون!$D24)</f>
        <v/>
      </c>
      <c r="E24" s="114" t="str">
        <f aca="false">IF($B24="","",الموظفون!$E24)</f>
        <v/>
      </c>
      <c r="F24" s="114" t="str">
        <f aca="false">IF($B24="","",الموظفون!$AG24)</f>
        <v/>
      </c>
      <c r="G24" s="114" t="str">
        <f aca="false">IF($B24="","",IF(الموظفون!$I24="","",الموظفون!$I24))</f>
        <v/>
      </c>
      <c r="H24" s="174" t="str">
        <f aca="false">IF($B24="","",IF(الموظفون!$J24="","",الموظفون!$J24))</f>
        <v/>
      </c>
      <c r="I24" s="65" t="str">
        <f aca="false">IF(OR($B24="",H24=""),"",H24-cfg_TRACK)</f>
        <v/>
      </c>
      <c r="J24" s="114" t="str">
        <f aca="false">IF(OR($B24="",$F24="✖ منتهي الخدمة"),"",IF(H24="",IF($E24="غير سعودي","⚠ أدخل التاريخ","-"),IF(I24&lt;0,"✖ منتهية منذ "&amp;TEXT(-I24,"0")&amp;" يوم",IF(I24&lt;=cfg_ALERT,"⚠ تنتهي خلال "&amp;TEXT(I24,"0")&amp;" يوم","✔ سارية"))))</f>
        <v/>
      </c>
      <c r="K24" s="174" t="str">
        <f aca="false">IF($B24="","",IF(الموظفون!$K24="","",الموظفون!$K24))</f>
        <v/>
      </c>
      <c r="L24" s="65" t="str">
        <f aca="false">IF(OR($B24="",K24=""),"",K24-cfg_TRACK)</f>
        <v/>
      </c>
      <c r="M24" s="114" t="str">
        <f aca="false">IF(OR($B24="",$F24="✖ منتهي الخدمة"),"",IF(K24="",IF($E24="غير سعودي","⚠ أدخل التاريخ","-"),IF(L24&lt;0,"✖ منتهية منذ "&amp;TEXT(-L24,"0")&amp;" يوم",IF(L24&lt;=cfg_ALERT,"⚠ تنتهي خلال "&amp;TEXT(L24,"0")&amp;" يوم","✔ سارية"))))</f>
        <v/>
      </c>
      <c r="N24" s="111" t="str">
        <f aca="false">IF($B24="","",IF(F24="✖ منتهي الخدمة",0,IF(الموظفون!$X24&lt;&gt;"",الموظفون!$X24,IF(الموظفون!$E24="غير سعودي",cfg_IQ,0))))</f>
        <v/>
      </c>
      <c r="O24" s="111" t="str">
        <f aca="false">IF($B24="","",IF(F24="✖ منتهي الخدمة",0,IF(الموظفون!$Y24&lt;&gt;"",الموظفون!$Y24,IF(الموظفون!$E24="غير سعودي",cfg_WP,0))))</f>
        <v/>
      </c>
      <c r="P24" s="111" t="str">
        <f aca="false">IF($B24="","",IF(F24="✖ منتهي الخدمة",0,IF(الموظفون!$Z24&lt;&gt;"",الموظفون!$Z24,cfg_MED)))</f>
        <v/>
      </c>
      <c r="Q24" s="111" t="str">
        <f aca="false">IF($B24="","",IF(F24="✖ منتهي الخدمة",0,N(الموظفون!$AA24)))</f>
        <v/>
      </c>
      <c r="R24" s="111" t="str">
        <f aca="false">IF($B24="","",SUM(N24:Q24))</f>
        <v/>
      </c>
      <c r="S24" s="111" t="str">
        <f aca="false">IF($B24="","",R24/12)</f>
        <v/>
      </c>
      <c r="T24" s="111" t="str">
        <f aca="false">IF($B24="","",IF(1&lt;=cfg_VAL_M,'مسير يناير'!AD24+'مسير يناير'!AE24+'مسير يناير'!AF24,0)+IF(2&lt;=cfg_VAL_M,'مسير فبراير'!AD24+'مسير فبراير'!AE24+'مسير فبراير'!AF24,0)+IF(3&lt;=cfg_VAL_M,'مسير مارس'!AD24+'مسير مارس'!AE24+'مسير مارس'!AF24,0)+IF(4&lt;=cfg_VAL_M,'مسير أبريل'!AD24+'مسير أبريل'!AE24+'مسير أبريل'!AF24,0)+IF(5&lt;=cfg_VAL_M,'مسير مايو'!AD24+'مسير مايو'!AE24+'مسير مايو'!AF24,0)+IF(6&lt;=cfg_VAL_M,'مسير يونيو'!AD24+'مسير يونيو'!AE24+'مسير يونيو'!AF24,0)+IF(7&lt;=cfg_VAL_M,'مسير يوليو'!AD24+'مسير يوليو'!AE24+'مسير يوليو'!AF24,0)+IF(8&lt;=cfg_VAL_M,'مسير أغسطس'!AD24+'مسير أغسطس'!AE24+'مسير أغسطس'!AF24,0)+IF(9&lt;=cfg_VAL_M,'مسير سبتمبر'!AD24+'مسير سبتمبر'!AE24+'مسير سبتمبر'!AF24,0)+IF(10&lt;=cfg_VAL_M,'مسير أكتوبر'!AD24+'مسير أكتوبر'!AE24+'مسير أكتوبر'!AF24,0)+IF(11&lt;=cfg_VAL_M,'مسير نوفمبر'!AD24+'مسير نوفمبر'!AE24+'مسير نوفمبر'!AF24,0)+IF(12&lt;=cfg_VAL_M,'مسير ديسمبر'!AD24+'مسير ديسمبر'!AE24+'مسير ديسمبر'!AF24,0))</f>
        <v/>
      </c>
      <c r="U24" s="111" t="str">
        <f aca="false">IF(OR($B24="",F24="✖ منتهي الخدمة"),"",IF(AND(ISNUMBER(I24),I24&lt;=cfg_ALERT),N24,0)+IF(AND(ISNUMBER(L24),L24&lt;=cfg_ALERT),O24,0))</f>
        <v/>
      </c>
    </row>
    <row r="25" customFormat="false" ht="15" hidden="false" customHeight="false" outlineLevel="0" collapsed="false">
      <c r="B25" s="117" t="str">
        <f aca="false">IF(الموظفون!$B25="","",الموظفون!$B25)</f>
        <v/>
      </c>
      <c r="C25" s="117" t="str">
        <f aca="false">IF($B25="","",الموظفون!$C25)</f>
        <v/>
      </c>
      <c r="D25" s="117" t="str">
        <f aca="false">IF($B25="","",الموظفون!$D25)</f>
        <v/>
      </c>
      <c r="E25" s="117" t="str">
        <f aca="false">IF($B25="","",الموظفون!$E25)</f>
        <v/>
      </c>
      <c r="F25" s="117" t="str">
        <f aca="false">IF($B25="","",الموظفون!$AG25)</f>
        <v/>
      </c>
      <c r="G25" s="117" t="str">
        <f aca="false">IF($B25="","",IF(الموظفون!$I25="","",الموظفون!$I25))</f>
        <v/>
      </c>
      <c r="H25" s="175" t="str">
        <f aca="false">IF($B25="","",IF(الموظفون!$J25="","",الموظفون!$J25))</f>
        <v/>
      </c>
      <c r="I25" s="133" t="str">
        <f aca="false">IF(OR($B25="",H25=""),"",H25-cfg_TRACK)</f>
        <v/>
      </c>
      <c r="J25" s="117" t="str">
        <f aca="false">IF(OR($B25="",$F25="✖ منتهي الخدمة"),"",IF(H25="",IF($E25="غير سعودي","⚠ أدخل التاريخ","-"),IF(I25&lt;0,"✖ منتهية منذ "&amp;TEXT(-I25,"0")&amp;" يوم",IF(I25&lt;=cfg_ALERT,"⚠ تنتهي خلال "&amp;TEXT(I25,"0")&amp;" يوم","✔ سارية"))))</f>
        <v/>
      </c>
      <c r="K25" s="175" t="str">
        <f aca="false">IF($B25="","",IF(الموظفون!$K25="","",الموظفون!$K25))</f>
        <v/>
      </c>
      <c r="L25" s="133" t="str">
        <f aca="false">IF(OR($B25="",K25=""),"",K25-cfg_TRACK)</f>
        <v/>
      </c>
      <c r="M25" s="117" t="str">
        <f aca="false">IF(OR($B25="",$F25="✖ منتهي الخدمة"),"",IF(K25="",IF($E25="غير سعودي","⚠ أدخل التاريخ","-"),IF(L25&lt;0,"✖ منتهية منذ "&amp;TEXT(-L25,"0")&amp;" يوم",IF(L25&lt;=cfg_ALERT,"⚠ تنتهي خلال "&amp;TEXT(L25,"0")&amp;" يوم","✔ سارية"))))</f>
        <v/>
      </c>
      <c r="N25" s="116" t="str">
        <f aca="false">IF($B25="","",IF(F25="✖ منتهي الخدمة",0,IF(الموظفون!$X25&lt;&gt;"",الموظفون!$X25,IF(الموظفون!$E25="غير سعودي",cfg_IQ,0))))</f>
        <v/>
      </c>
      <c r="O25" s="116" t="str">
        <f aca="false">IF($B25="","",IF(F25="✖ منتهي الخدمة",0,IF(الموظفون!$Y25&lt;&gt;"",الموظفون!$Y25,IF(الموظفون!$E25="غير سعودي",cfg_WP,0))))</f>
        <v/>
      </c>
      <c r="P25" s="116" t="str">
        <f aca="false">IF($B25="","",IF(F25="✖ منتهي الخدمة",0,IF(الموظفون!$Z25&lt;&gt;"",الموظفون!$Z25,cfg_MED)))</f>
        <v/>
      </c>
      <c r="Q25" s="116" t="str">
        <f aca="false">IF($B25="","",IF(F25="✖ منتهي الخدمة",0,N(الموظفون!$AA25)))</f>
        <v/>
      </c>
      <c r="R25" s="116" t="str">
        <f aca="false">IF($B25="","",SUM(N25:Q25))</f>
        <v/>
      </c>
      <c r="S25" s="116" t="str">
        <f aca="false">IF($B25="","",R25/12)</f>
        <v/>
      </c>
      <c r="T25" s="116" t="str">
        <f aca="false">IF($B25="","",IF(1&lt;=cfg_VAL_M,'مسير يناير'!AD25+'مسير يناير'!AE25+'مسير يناير'!AF25,0)+IF(2&lt;=cfg_VAL_M,'مسير فبراير'!AD25+'مسير فبراير'!AE25+'مسير فبراير'!AF25,0)+IF(3&lt;=cfg_VAL_M,'مسير مارس'!AD25+'مسير مارس'!AE25+'مسير مارس'!AF25,0)+IF(4&lt;=cfg_VAL_M,'مسير أبريل'!AD25+'مسير أبريل'!AE25+'مسير أبريل'!AF25,0)+IF(5&lt;=cfg_VAL_M,'مسير مايو'!AD25+'مسير مايو'!AE25+'مسير مايو'!AF25,0)+IF(6&lt;=cfg_VAL_M,'مسير يونيو'!AD25+'مسير يونيو'!AE25+'مسير يونيو'!AF25,0)+IF(7&lt;=cfg_VAL_M,'مسير يوليو'!AD25+'مسير يوليو'!AE25+'مسير يوليو'!AF25,0)+IF(8&lt;=cfg_VAL_M,'مسير أغسطس'!AD25+'مسير أغسطس'!AE25+'مسير أغسطس'!AF25,0)+IF(9&lt;=cfg_VAL_M,'مسير سبتمبر'!AD25+'مسير سبتمبر'!AE25+'مسير سبتمبر'!AF25,0)+IF(10&lt;=cfg_VAL_M,'مسير أكتوبر'!AD25+'مسير أكتوبر'!AE25+'مسير أكتوبر'!AF25,0)+IF(11&lt;=cfg_VAL_M,'مسير نوفمبر'!AD25+'مسير نوفمبر'!AE25+'مسير نوفمبر'!AF25,0)+IF(12&lt;=cfg_VAL_M,'مسير ديسمبر'!AD25+'مسير ديسمبر'!AE25+'مسير ديسمبر'!AF25,0))</f>
        <v/>
      </c>
      <c r="U25" s="116" t="str">
        <f aca="false">IF(OR($B25="",F25="✖ منتهي الخدمة"),"",IF(AND(ISNUMBER(I25),I25&lt;=cfg_ALERT),N25,0)+IF(AND(ISNUMBER(L25),L25&lt;=cfg_ALERT),O25,0))</f>
        <v/>
      </c>
    </row>
    <row r="26" customFormat="false" ht="15" hidden="false" customHeight="false" outlineLevel="0" collapsed="false">
      <c r="B26" s="114" t="str">
        <f aca="false">IF(الموظفون!$B26="","",الموظفون!$B26)</f>
        <v/>
      </c>
      <c r="C26" s="114" t="str">
        <f aca="false">IF($B26="","",الموظفون!$C26)</f>
        <v/>
      </c>
      <c r="D26" s="114" t="str">
        <f aca="false">IF($B26="","",الموظفون!$D26)</f>
        <v/>
      </c>
      <c r="E26" s="114" t="str">
        <f aca="false">IF($B26="","",الموظفون!$E26)</f>
        <v/>
      </c>
      <c r="F26" s="114" t="str">
        <f aca="false">IF($B26="","",الموظفون!$AG26)</f>
        <v/>
      </c>
      <c r="G26" s="114" t="str">
        <f aca="false">IF($B26="","",IF(الموظفون!$I26="","",الموظفون!$I26))</f>
        <v/>
      </c>
      <c r="H26" s="174" t="str">
        <f aca="false">IF($B26="","",IF(الموظفون!$J26="","",الموظفون!$J26))</f>
        <v/>
      </c>
      <c r="I26" s="65" t="str">
        <f aca="false">IF(OR($B26="",H26=""),"",H26-cfg_TRACK)</f>
        <v/>
      </c>
      <c r="J26" s="114" t="str">
        <f aca="false">IF(OR($B26="",$F26="✖ منتهي الخدمة"),"",IF(H26="",IF($E26="غير سعودي","⚠ أدخل التاريخ","-"),IF(I26&lt;0,"✖ منتهية منذ "&amp;TEXT(-I26,"0")&amp;" يوم",IF(I26&lt;=cfg_ALERT,"⚠ تنتهي خلال "&amp;TEXT(I26,"0")&amp;" يوم","✔ سارية"))))</f>
        <v/>
      </c>
      <c r="K26" s="174" t="str">
        <f aca="false">IF($B26="","",IF(الموظفون!$K26="","",الموظفون!$K26))</f>
        <v/>
      </c>
      <c r="L26" s="65" t="str">
        <f aca="false">IF(OR($B26="",K26=""),"",K26-cfg_TRACK)</f>
        <v/>
      </c>
      <c r="M26" s="114" t="str">
        <f aca="false">IF(OR($B26="",$F26="✖ منتهي الخدمة"),"",IF(K26="",IF($E26="غير سعودي","⚠ أدخل التاريخ","-"),IF(L26&lt;0,"✖ منتهية منذ "&amp;TEXT(-L26,"0")&amp;" يوم",IF(L26&lt;=cfg_ALERT,"⚠ تنتهي خلال "&amp;TEXT(L26,"0")&amp;" يوم","✔ سارية"))))</f>
        <v/>
      </c>
      <c r="N26" s="111" t="str">
        <f aca="false">IF($B26="","",IF(F26="✖ منتهي الخدمة",0,IF(الموظفون!$X26&lt;&gt;"",الموظفون!$X26,IF(الموظفون!$E26="غير سعودي",cfg_IQ,0))))</f>
        <v/>
      </c>
      <c r="O26" s="111" t="str">
        <f aca="false">IF($B26="","",IF(F26="✖ منتهي الخدمة",0,IF(الموظفون!$Y26&lt;&gt;"",الموظفون!$Y26,IF(الموظفون!$E26="غير سعودي",cfg_WP,0))))</f>
        <v/>
      </c>
      <c r="P26" s="111" t="str">
        <f aca="false">IF($B26="","",IF(F26="✖ منتهي الخدمة",0,IF(الموظفون!$Z26&lt;&gt;"",الموظفون!$Z26,cfg_MED)))</f>
        <v/>
      </c>
      <c r="Q26" s="111" t="str">
        <f aca="false">IF($B26="","",IF(F26="✖ منتهي الخدمة",0,N(الموظفون!$AA26)))</f>
        <v/>
      </c>
      <c r="R26" s="111" t="str">
        <f aca="false">IF($B26="","",SUM(N26:Q26))</f>
        <v/>
      </c>
      <c r="S26" s="111" t="str">
        <f aca="false">IF($B26="","",R26/12)</f>
        <v/>
      </c>
      <c r="T26" s="111" t="str">
        <f aca="false">IF($B26="","",IF(1&lt;=cfg_VAL_M,'مسير يناير'!AD26+'مسير يناير'!AE26+'مسير يناير'!AF26,0)+IF(2&lt;=cfg_VAL_M,'مسير فبراير'!AD26+'مسير فبراير'!AE26+'مسير فبراير'!AF26,0)+IF(3&lt;=cfg_VAL_M,'مسير مارس'!AD26+'مسير مارس'!AE26+'مسير مارس'!AF26,0)+IF(4&lt;=cfg_VAL_M,'مسير أبريل'!AD26+'مسير أبريل'!AE26+'مسير أبريل'!AF26,0)+IF(5&lt;=cfg_VAL_M,'مسير مايو'!AD26+'مسير مايو'!AE26+'مسير مايو'!AF26,0)+IF(6&lt;=cfg_VAL_M,'مسير يونيو'!AD26+'مسير يونيو'!AE26+'مسير يونيو'!AF26,0)+IF(7&lt;=cfg_VAL_M,'مسير يوليو'!AD26+'مسير يوليو'!AE26+'مسير يوليو'!AF26,0)+IF(8&lt;=cfg_VAL_M,'مسير أغسطس'!AD26+'مسير أغسطس'!AE26+'مسير أغسطس'!AF26,0)+IF(9&lt;=cfg_VAL_M,'مسير سبتمبر'!AD26+'مسير سبتمبر'!AE26+'مسير سبتمبر'!AF26,0)+IF(10&lt;=cfg_VAL_M,'مسير أكتوبر'!AD26+'مسير أكتوبر'!AE26+'مسير أكتوبر'!AF26,0)+IF(11&lt;=cfg_VAL_M,'مسير نوفمبر'!AD26+'مسير نوفمبر'!AE26+'مسير نوفمبر'!AF26,0)+IF(12&lt;=cfg_VAL_M,'مسير ديسمبر'!AD26+'مسير ديسمبر'!AE26+'مسير ديسمبر'!AF26,0))</f>
        <v/>
      </c>
      <c r="U26" s="111" t="str">
        <f aca="false">IF(OR($B26="",F26="✖ منتهي الخدمة"),"",IF(AND(ISNUMBER(I26),I26&lt;=cfg_ALERT),N26,0)+IF(AND(ISNUMBER(L26),L26&lt;=cfg_ALERT),O26,0))</f>
        <v/>
      </c>
    </row>
    <row r="27" customFormat="false" ht="15" hidden="false" customHeight="false" outlineLevel="0" collapsed="false">
      <c r="B27" s="117" t="str">
        <f aca="false">IF(الموظفون!$B27="","",الموظفون!$B27)</f>
        <v/>
      </c>
      <c r="C27" s="117" t="str">
        <f aca="false">IF($B27="","",الموظفون!$C27)</f>
        <v/>
      </c>
      <c r="D27" s="117" t="str">
        <f aca="false">IF($B27="","",الموظفون!$D27)</f>
        <v/>
      </c>
      <c r="E27" s="117" t="str">
        <f aca="false">IF($B27="","",الموظفون!$E27)</f>
        <v/>
      </c>
      <c r="F27" s="117" t="str">
        <f aca="false">IF($B27="","",الموظفون!$AG27)</f>
        <v/>
      </c>
      <c r="G27" s="117" t="str">
        <f aca="false">IF($B27="","",IF(الموظفون!$I27="","",الموظفون!$I27))</f>
        <v/>
      </c>
      <c r="H27" s="175" t="str">
        <f aca="false">IF($B27="","",IF(الموظفون!$J27="","",الموظفون!$J27))</f>
        <v/>
      </c>
      <c r="I27" s="133" t="str">
        <f aca="false">IF(OR($B27="",H27=""),"",H27-cfg_TRACK)</f>
        <v/>
      </c>
      <c r="J27" s="117" t="str">
        <f aca="false">IF(OR($B27="",$F27="✖ منتهي الخدمة"),"",IF(H27="",IF($E27="غير سعودي","⚠ أدخل التاريخ","-"),IF(I27&lt;0,"✖ منتهية منذ "&amp;TEXT(-I27,"0")&amp;" يوم",IF(I27&lt;=cfg_ALERT,"⚠ تنتهي خلال "&amp;TEXT(I27,"0")&amp;" يوم","✔ سارية"))))</f>
        <v/>
      </c>
      <c r="K27" s="175" t="str">
        <f aca="false">IF($B27="","",IF(الموظفون!$K27="","",الموظفون!$K27))</f>
        <v/>
      </c>
      <c r="L27" s="133" t="str">
        <f aca="false">IF(OR($B27="",K27=""),"",K27-cfg_TRACK)</f>
        <v/>
      </c>
      <c r="M27" s="117" t="str">
        <f aca="false">IF(OR($B27="",$F27="✖ منتهي الخدمة"),"",IF(K27="",IF($E27="غير سعودي","⚠ أدخل التاريخ","-"),IF(L27&lt;0,"✖ منتهية منذ "&amp;TEXT(-L27,"0")&amp;" يوم",IF(L27&lt;=cfg_ALERT,"⚠ تنتهي خلال "&amp;TEXT(L27,"0")&amp;" يوم","✔ سارية"))))</f>
        <v/>
      </c>
      <c r="N27" s="116" t="str">
        <f aca="false">IF($B27="","",IF(F27="✖ منتهي الخدمة",0,IF(الموظفون!$X27&lt;&gt;"",الموظفون!$X27,IF(الموظفون!$E27="غير سعودي",cfg_IQ,0))))</f>
        <v/>
      </c>
      <c r="O27" s="116" t="str">
        <f aca="false">IF($B27="","",IF(F27="✖ منتهي الخدمة",0,IF(الموظفون!$Y27&lt;&gt;"",الموظفون!$Y27,IF(الموظفون!$E27="غير سعودي",cfg_WP,0))))</f>
        <v/>
      </c>
      <c r="P27" s="116" t="str">
        <f aca="false">IF($B27="","",IF(F27="✖ منتهي الخدمة",0,IF(الموظفون!$Z27&lt;&gt;"",الموظفون!$Z27,cfg_MED)))</f>
        <v/>
      </c>
      <c r="Q27" s="116" t="str">
        <f aca="false">IF($B27="","",IF(F27="✖ منتهي الخدمة",0,N(الموظفون!$AA27)))</f>
        <v/>
      </c>
      <c r="R27" s="116" t="str">
        <f aca="false">IF($B27="","",SUM(N27:Q27))</f>
        <v/>
      </c>
      <c r="S27" s="116" t="str">
        <f aca="false">IF($B27="","",R27/12)</f>
        <v/>
      </c>
      <c r="T27" s="116" t="str">
        <f aca="false">IF($B27="","",IF(1&lt;=cfg_VAL_M,'مسير يناير'!AD27+'مسير يناير'!AE27+'مسير يناير'!AF27,0)+IF(2&lt;=cfg_VAL_M,'مسير فبراير'!AD27+'مسير فبراير'!AE27+'مسير فبراير'!AF27,0)+IF(3&lt;=cfg_VAL_M,'مسير مارس'!AD27+'مسير مارس'!AE27+'مسير مارس'!AF27,0)+IF(4&lt;=cfg_VAL_M,'مسير أبريل'!AD27+'مسير أبريل'!AE27+'مسير أبريل'!AF27,0)+IF(5&lt;=cfg_VAL_M,'مسير مايو'!AD27+'مسير مايو'!AE27+'مسير مايو'!AF27,0)+IF(6&lt;=cfg_VAL_M,'مسير يونيو'!AD27+'مسير يونيو'!AE27+'مسير يونيو'!AF27,0)+IF(7&lt;=cfg_VAL_M,'مسير يوليو'!AD27+'مسير يوليو'!AE27+'مسير يوليو'!AF27,0)+IF(8&lt;=cfg_VAL_M,'مسير أغسطس'!AD27+'مسير أغسطس'!AE27+'مسير أغسطس'!AF27,0)+IF(9&lt;=cfg_VAL_M,'مسير سبتمبر'!AD27+'مسير سبتمبر'!AE27+'مسير سبتمبر'!AF27,0)+IF(10&lt;=cfg_VAL_M,'مسير أكتوبر'!AD27+'مسير أكتوبر'!AE27+'مسير أكتوبر'!AF27,0)+IF(11&lt;=cfg_VAL_M,'مسير نوفمبر'!AD27+'مسير نوفمبر'!AE27+'مسير نوفمبر'!AF27,0)+IF(12&lt;=cfg_VAL_M,'مسير ديسمبر'!AD27+'مسير ديسمبر'!AE27+'مسير ديسمبر'!AF27,0))</f>
        <v/>
      </c>
      <c r="U27" s="116" t="str">
        <f aca="false">IF(OR($B27="",F27="✖ منتهي الخدمة"),"",IF(AND(ISNUMBER(I27),I27&lt;=cfg_ALERT),N27,0)+IF(AND(ISNUMBER(L27),L27&lt;=cfg_ALERT),O27,0))</f>
        <v/>
      </c>
    </row>
    <row r="28" customFormat="false" ht="15" hidden="false" customHeight="false" outlineLevel="0" collapsed="false">
      <c r="B28" s="114" t="str">
        <f aca="false">IF(الموظفون!$B28="","",الموظفون!$B28)</f>
        <v/>
      </c>
      <c r="C28" s="114" t="str">
        <f aca="false">IF($B28="","",الموظفون!$C28)</f>
        <v/>
      </c>
      <c r="D28" s="114" t="str">
        <f aca="false">IF($B28="","",الموظفون!$D28)</f>
        <v/>
      </c>
      <c r="E28" s="114" t="str">
        <f aca="false">IF($B28="","",الموظفون!$E28)</f>
        <v/>
      </c>
      <c r="F28" s="114" t="str">
        <f aca="false">IF($B28="","",الموظفون!$AG28)</f>
        <v/>
      </c>
      <c r="G28" s="114" t="str">
        <f aca="false">IF($B28="","",IF(الموظفون!$I28="","",الموظفون!$I28))</f>
        <v/>
      </c>
      <c r="H28" s="174" t="str">
        <f aca="false">IF($B28="","",IF(الموظفون!$J28="","",الموظفون!$J28))</f>
        <v/>
      </c>
      <c r="I28" s="65" t="str">
        <f aca="false">IF(OR($B28="",H28=""),"",H28-cfg_TRACK)</f>
        <v/>
      </c>
      <c r="J28" s="114" t="str">
        <f aca="false">IF(OR($B28="",$F28="✖ منتهي الخدمة"),"",IF(H28="",IF($E28="غير سعودي","⚠ أدخل التاريخ","-"),IF(I28&lt;0,"✖ منتهية منذ "&amp;TEXT(-I28,"0")&amp;" يوم",IF(I28&lt;=cfg_ALERT,"⚠ تنتهي خلال "&amp;TEXT(I28,"0")&amp;" يوم","✔ سارية"))))</f>
        <v/>
      </c>
      <c r="K28" s="174" t="str">
        <f aca="false">IF($B28="","",IF(الموظفون!$K28="","",الموظفون!$K28))</f>
        <v/>
      </c>
      <c r="L28" s="65" t="str">
        <f aca="false">IF(OR($B28="",K28=""),"",K28-cfg_TRACK)</f>
        <v/>
      </c>
      <c r="M28" s="114" t="str">
        <f aca="false">IF(OR($B28="",$F28="✖ منتهي الخدمة"),"",IF(K28="",IF($E28="غير سعودي","⚠ أدخل التاريخ","-"),IF(L28&lt;0,"✖ منتهية منذ "&amp;TEXT(-L28,"0")&amp;" يوم",IF(L28&lt;=cfg_ALERT,"⚠ تنتهي خلال "&amp;TEXT(L28,"0")&amp;" يوم","✔ سارية"))))</f>
        <v/>
      </c>
      <c r="N28" s="111" t="str">
        <f aca="false">IF($B28="","",IF(F28="✖ منتهي الخدمة",0,IF(الموظفون!$X28&lt;&gt;"",الموظفون!$X28,IF(الموظفون!$E28="غير سعودي",cfg_IQ,0))))</f>
        <v/>
      </c>
      <c r="O28" s="111" t="str">
        <f aca="false">IF($B28="","",IF(F28="✖ منتهي الخدمة",0,IF(الموظفون!$Y28&lt;&gt;"",الموظفون!$Y28,IF(الموظفون!$E28="غير سعودي",cfg_WP,0))))</f>
        <v/>
      </c>
      <c r="P28" s="111" t="str">
        <f aca="false">IF($B28="","",IF(F28="✖ منتهي الخدمة",0,IF(الموظفون!$Z28&lt;&gt;"",الموظفون!$Z28,cfg_MED)))</f>
        <v/>
      </c>
      <c r="Q28" s="111" t="str">
        <f aca="false">IF($B28="","",IF(F28="✖ منتهي الخدمة",0,N(الموظفون!$AA28)))</f>
        <v/>
      </c>
      <c r="R28" s="111" t="str">
        <f aca="false">IF($B28="","",SUM(N28:Q28))</f>
        <v/>
      </c>
      <c r="S28" s="111" t="str">
        <f aca="false">IF($B28="","",R28/12)</f>
        <v/>
      </c>
      <c r="T28" s="111" t="str">
        <f aca="false">IF($B28="","",IF(1&lt;=cfg_VAL_M,'مسير يناير'!AD28+'مسير يناير'!AE28+'مسير يناير'!AF28,0)+IF(2&lt;=cfg_VAL_M,'مسير فبراير'!AD28+'مسير فبراير'!AE28+'مسير فبراير'!AF28,0)+IF(3&lt;=cfg_VAL_M,'مسير مارس'!AD28+'مسير مارس'!AE28+'مسير مارس'!AF28,0)+IF(4&lt;=cfg_VAL_M,'مسير أبريل'!AD28+'مسير أبريل'!AE28+'مسير أبريل'!AF28,0)+IF(5&lt;=cfg_VAL_M,'مسير مايو'!AD28+'مسير مايو'!AE28+'مسير مايو'!AF28,0)+IF(6&lt;=cfg_VAL_M,'مسير يونيو'!AD28+'مسير يونيو'!AE28+'مسير يونيو'!AF28,0)+IF(7&lt;=cfg_VAL_M,'مسير يوليو'!AD28+'مسير يوليو'!AE28+'مسير يوليو'!AF28,0)+IF(8&lt;=cfg_VAL_M,'مسير أغسطس'!AD28+'مسير أغسطس'!AE28+'مسير أغسطس'!AF28,0)+IF(9&lt;=cfg_VAL_M,'مسير سبتمبر'!AD28+'مسير سبتمبر'!AE28+'مسير سبتمبر'!AF28,0)+IF(10&lt;=cfg_VAL_M,'مسير أكتوبر'!AD28+'مسير أكتوبر'!AE28+'مسير أكتوبر'!AF28,0)+IF(11&lt;=cfg_VAL_M,'مسير نوفمبر'!AD28+'مسير نوفمبر'!AE28+'مسير نوفمبر'!AF28,0)+IF(12&lt;=cfg_VAL_M,'مسير ديسمبر'!AD28+'مسير ديسمبر'!AE28+'مسير ديسمبر'!AF28,0))</f>
        <v/>
      </c>
      <c r="U28" s="111" t="str">
        <f aca="false">IF(OR($B28="",F28="✖ منتهي الخدمة"),"",IF(AND(ISNUMBER(I28),I28&lt;=cfg_ALERT),N28,0)+IF(AND(ISNUMBER(L28),L28&lt;=cfg_ALERT),O28,0))</f>
        <v/>
      </c>
    </row>
    <row r="29" customFormat="false" ht="15" hidden="false" customHeight="false" outlineLevel="0" collapsed="false">
      <c r="B29" s="117" t="str">
        <f aca="false">IF(الموظفون!$B29="","",الموظفون!$B29)</f>
        <v/>
      </c>
      <c r="C29" s="117" t="str">
        <f aca="false">IF($B29="","",الموظفون!$C29)</f>
        <v/>
      </c>
      <c r="D29" s="117" t="str">
        <f aca="false">IF($B29="","",الموظفون!$D29)</f>
        <v/>
      </c>
      <c r="E29" s="117" t="str">
        <f aca="false">IF($B29="","",الموظفون!$E29)</f>
        <v/>
      </c>
      <c r="F29" s="117" t="str">
        <f aca="false">IF($B29="","",الموظفون!$AG29)</f>
        <v/>
      </c>
      <c r="G29" s="117" t="str">
        <f aca="false">IF($B29="","",IF(الموظفون!$I29="","",الموظفون!$I29))</f>
        <v/>
      </c>
      <c r="H29" s="175" t="str">
        <f aca="false">IF($B29="","",IF(الموظفون!$J29="","",الموظفون!$J29))</f>
        <v/>
      </c>
      <c r="I29" s="133" t="str">
        <f aca="false">IF(OR($B29="",H29=""),"",H29-cfg_TRACK)</f>
        <v/>
      </c>
      <c r="J29" s="117" t="str">
        <f aca="false">IF(OR($B29="",$F29="✖ منتهي الخدمة"),"",IF(H29="",IF($E29="غير سعودي","⚠ أدخل التاريخ","-"),IF(I29&lt;0,"✖ منتهية منذ "&amp;TEXT(-I29,"0")&amp;" يوم",IF(I29&lt;=cfg_ALERT,"⚠ تنتهي خلال "&amp;TEXT(I29,"0")&amp;" يوم","✔ سارية"))))</f>
        <v/>
      </c>
      <c r="K29" s="175" t="str">
        <f aca="false">IF($B29="","",IF(الموظفون!$K29="","",الموظفون!$K29))</f>
        <v/>
      </c>
      <c r="L29" s="133" t="str">
        <f aca="false">IF(OR($B29="",K29=""),"",K29-cfg_TRACK)</f>
        <v/>
      </c>
      <c r="M29" s="117" t="str">
        <f aca="false">IF(OR($B29="",$F29="✖ منتهي الخدمة"),"",IF(K29="",IF($E29="غير سعودي","⚠ أدخل التاريخ","-"),IF(L29&lt;0,"✖ منتهية منذ "&amp;TEXT(-L29,"0")&amp;" يوم",IF(L29&lt;=cfg_ALERT,"⚠ تنتهي خلال "&amp;TEXT(L29,"0")&amp;" يوم","✔ سارية"))))</f>
        <v/>
      </c>
      <c r="N29" s="116" t="str">
        <f aca="false">IF($B29="","",IF(F29="✖ منتهي الخدمة",0,IF(الموظفون!$X29&lt;&gt;"",الموظفون!$X29,IF(الموظفون!$E29="غير سعودي",cfg_IQ,0))))</f>
        <v/>
      </c>
      <c r="O29" s="116" t="str">
        <f aca="false">IF($B29="","",IF(F29="✖ منتهي الخدمة",0,IF(الموظفون!$Y29&lt;&gt;"",الموظفون!$Y29,IF(الموظفون!$E29="غير سعودي",cfg_WP,0))))</f>
        <v/>
      </c>
      <c r="P29" s="116" t="str">
        <f aca="false">IF($B29="","",IF(F29="✖ منتهي الخدمة",0,IF(الموظفون!$Z29&lt;&gt;"",الموظفون!$Z29,cfg_MED)))</f>
        <v/>
      </c>
      <c r="Q29" s="116" t="str">
        <f aca="false">IF($B29="","",IF(F29="✖ منتهي الخدمة",0,N(الموظفون!$AA29)))</f>
        <v/>
      </c>
      <c r="R29" s="116" t="str">
        <f aca="false">IF($B29="","",SUM(N29:Q29))</f>
        <v/>
      </c>
      <c r="S29" s="116" t="str">
        <f aca="false">IF($B29="","",R29/12)</f>
        <v/>
      </c>
      <c r="T29" s="116" t="str">
        <f aca="false">IF($B29="","",IF(1&lt;=cfg_VAL_M,'مسير يناير'!AD29+'مسير يناير'!AE29+'مسير يناير'!AF29,0)+IF(2&lt;=cfg_VAL_M,'مسير فبراير'!AD29+'مسير فبراير'!AE29+'مسير فبراير'!AF29,0)+IF(3&lt;=cfg_VAL_M,'مسير مارس'!AD29+'مسير مارس'!AE29+'مسير مارس'!AF29,0)+IF(4&lt;=cfg_VAL_M,'مسير أبريل'!AD29+'مسير أبريل'!AE29+'مسير أبريل'!AF29,0)+IF(5&lt;=cfg_VAL_M,'مسير مايو'!AD29+'مسير مايو'!AE29+'مسير مايو'!AF29,0)+IF(6&lt;=cfg_VAL_M,'مسير يونيو'!AD29+'مسير يونيو'!AE29+'مسير يونيو'!AF29,0)+IF(7&lt;=cfg_VAL_M,'مسير يوليو'!AD29+'مسير يوليو'!AE29+'مسير يوليو'!AF29,0)+IF(8&lt;=cfg_VAL_M,'مسير أغسطس'!AD29+'مسير أغسطس'!AE29+'مسير أغسطس'!AF29,0)+IF(9&lt;=cfg_VAL_M,'مسير سبتمبر'!AD29+'مسير سبتمبر'!AE29+'مسير سبتمبر'!AF29,0)+IF(10&lt;=cfg_VAL_M,'مسير أكتوبر'!AD29+'مسير أكتوبر'!AE29+'مسير أكتوبر'!AF29,0)+IF(11&lt;=cfg_VAL_M,'مسير نوفمبر'!AD29+'مسير نوفمبر'!AE29+'مسير نوفمبر'!AF29,0)+IF(12&lt;=cfg_VAL_M,'مسير ديسمبر'!AD29+'مسير ديسمبر'!AE29+'مسير ديسمبر'!AF29,0))</f>
        <v/>
      </c>
      <c r="U29" s="116" t="str">
        <f aca="false">IF(OR($B29="",F29="✖ منتهي الخدمة"),"",IF(AND(ISNUMBER(I29),I29&lt;=cfg_ALERT),N29,0)+IF(AND(ISNUMBER(L29),L29&lt;=cfg_ALERT),O29,0))</f>
        <v/>
      </c>
    </row>
    <row r="30" customFormat="false" ht="15" hidden="false" customHeight="false" outlineLevel="0" collapsed="false">
      <c r="B30" s="114" t="str">
        <f aca="false">IF(الموظفون!$B30="","",الموظفون!$B30)</f>
        <v/>
      </c>
      <c r="C30" s="114" t="str">
        <f aca="false">IF($B30="","",الموظفون!$C30)</f>
        <v/>
      </c>
      <c r="D30" s="114" t="str">
        <f aca="false">IF($B30="","",الموظفون!$D30)</f>
        <v/>
      </c>
      <c r="E30" s="114" t="str">
        <f aca="false">IF($B30="","",الموظفون!$E30)</f>
        <v/>
      </c>
      <c r="F30" s="114" t="str">
        <f aca="false">IF($B30="","",الموظفون!$AG30)</f>
        <v/>
      </c>
      <c r="G30" s="114" t="str">
        <f aca="false">IF($B30="","",IF(الموظفون!$I30="","",الموظفون!$I30))</f>
        <v/>
      </c>
      <c r="H30" s="174" t="str">
        <f aca="false">IF($B30="","",IF(الموظفون!$J30="","",الموظفون!$J30))</f>
        <v/>
      </c>
      <c r="I30" s="65" t="str">
        <f aca="false">IF(OR($B30="",H30=""),"",H30-cfg_TRACK)</f>
        <v/>
      </c>
      <c r="J30" s="114" t="str">
        <f aca="false">IF(OR($B30="",$F30="✖ منتهي الخدمة"),"",IF(H30="",IF($E30="غير سعودي","⚠ أدخل التاريخ","-"),IF(I30&lt;0,"✖ منتهية منذ "&amp;TEXT(-I30,"0")&amp;" يوم",IF(I30&lt;=cfg_ALERT,"⚠ تنتهي خلال "&amp;TEXT(I30,"0")&amp;" يوم","✔ سارية"))))</f>
        <v/>
      </c>
      <c r="K30" s="174" t="str">
        <f aca="false">IF($B30="","",IF(الموظفون!$K30="","",الموظفون!$K30))</f>
        <v/>
      </c>
      <c r="L30" s="65" t="str">
        <f aca="false">IF(OR($B30="",K30=""),"",K30-cfg_TRACK)</f>
        <v/>
      </c>
      <c r="M30" s="114" t="str">
        <f aca="false">IF(OR($B30="",$F30="✖ منتهي الخدمة"),"",IF(K30="",IF($E30="غير سعودي","⚠ أدخل التاريخ","-"),IF(L30&lt;0,"✖ منتهية منذ "&amp;TEXT(-L30,"0")&amp;" يوم",IF(L30&lt;=cfg_ALERT,"⚠ تنتهي خلال "&amp;TEXT(L30,"0")&amp;" يوم","✔ سارية"))))</f>
        <v/>
      </c>
      <c r="N30" s="111" t="str">
        <f aca="false">IF($B30="","",IF(F30="✖ منتهي الخدمة",0,IF(الموظفون!$X30&lt;&gt;"",الموظفون!$X30,IF(الموظفون!$E30="غير سعودي",cfg_IQ,0))))</f>
        <v/>
      </c>
      <c r="O30" s="111" t="str">
        <f aca="false">IF($B30="","",IF(F30="✖ منتهي الخدمة",0,IF(الموظفون!$Y30&lt;&gt;"",الموظفون!$Y30,IF(الموظفون!$E30="غير سعودي",cfg_WP,0))))</f>
        <v/>
      </c>
      <c r="P30" s="111" t="str">
        <f aca="false">IF($B30="","",IF(F30="✖ منتهي الخدمة",0,IF(الموظفون!$Z30&lt;&gt;"",الموظفون!$Z30,cfg_MED)))</f>
        <v/>
      </c>
      <c r="Q30" s="111" t="str">
        <f aca="false">IF($B30="","",IF(F30="✖ منتهي الخدمة",0,N(الموظفون!$AA30)))</f>
        <v/>
      </c>
      <c r="R30" s="111" t="str">
        <f aca="false">IF($B30="","",SUM(N30:Q30))</f>
        <v/>
      </c>
      <c r="S30" s="111" t="str">
        <f aca="false">IF($B30="","",R30/12)</f>
        <v/>
      </c>
      <c r="T30" s="111" t="str">
        <f aca="false">IF($B30="","",IF(1&lt;=cfg_VAL_M,'مسير يناير'!AD30+'مسير يناير'!AE30+'مسير يناير'!AF30,0)+IF(2&lt;=cfg_VAL_M,'مسير فبراير'!AD30+'مسير فبراير'!AE30+'مسير فبراير'!AF30,0)+IF(3&lt;=cfg_VAL_M,'مسير مارس'!AD30+'مسير مارس'!AE30+'مسير مارس'!AF30,0)+IF(4&lt;=cfg_VAL_M,'مسير أبريل'!AD30+'مسير أبريل'!AE30+'مسير أبريل'!AF30,0)+IF(5&lt;=cfg_VAL_M,'مسير مايو'!AD30+'مسير مايو'!AE30+'مسير مايو'!AF30,0)+IF(6&lt;=cfg_VAL_M,'مسير يونيو'!AD30+'مسير يونيو'!AE30+'مسير يونيو'!AF30,0)+IF(7&lt;=cfg_VAL_M,'مسير يوليو'!AD30+'مسير يوليو'!AE30+'مسير يوليو'!AF30,0)+IF(8&lt;=cfg_VAL_M,'مسير أغسطس'!AD30+'مسير أغسطس'!AE30+'مسير أغسطس'!AF30,0)+IF(9&lt;=cfg_VAL_M,'مسير سبتمبر'!AD30+'مسير سبتمبر'!AE30+'مسير سبتمبر'!AF30,0)+IF(10&lt;=cfg_VAL_M,'مسير أكتوبر'!AD30+'مسير أكتوبر'!AE30+'مسير أكتوبر'!AF30,0)+IF(11&lt;=cfg_VAL_M,'مسير نوفمبر'!AD30+'مسير نوفمبر'!AE30+'مسير نوفمبر'!AF30,0)+IF(12&lt;=cfg_VAL_M,'مسير ديسمبر'!AD30+'مسير ديسمبر'!AE30+'مسير ديسمبر'!AF30,0))</f>
        <v/>
      </c>
      <c r="U30" s="111" t="str">
        <f aca="false">IF(OR($B30="",F30="✖ منتهي الخدمة"),"",IF(AND(ISNUMBER(I30),I30&lt;=cfg_ALERT),N30,0)+IF(AND(ISNUMBER(L30),L30&lt;=cfg_ALERT),O30,0))</f>
        <v/>
      </c>
    </row>
    <row r="31" customFormat="false" ht="15" hidden="false" customHeight="false" outlineLevel="0" collapsed="false">
      <c r="B31" s="117" t="str">
        <f aca="false">IF(الموظفون!$B31="","",الموظفون!$B31)</f>
        <v/>
      </c>
      <c r="C31" s="117" t="str">
        <f aca="false">IF($B31="","",الموظفون!$C31)</f>
        <v/>
      </c>
      <c r="D31" s="117" t="str">
        <f aca="false">IF($B31="","",الموظفون!$D31)</f>
        <v/>
      </c>
      <c r="E31" s="117" t="str">
        <f aca="false">IF($B31="","",الموظفون!$E31)</f>
        <v/>
      </c>
      <c r="F31" s="117" t="str">
        <f aca="false">IF($B31="","",الموظفون!$AG31)</f>
        <v/>
      </c>
      <c r="G31" s="117" t="str">
        <f aca="false">IF($B31="","",IF(الموظفون!$I31="","",الموظفون!$I31))</f>
        <v/>
      </c>
      <c r="H31" s="175" t="str">
        <f aca="false">IF($B31="","",IF(الموظفون!$J31="","",الموظفون!$J31))</f>
        <v/>
      </c>
      <c r="I31" s="133" t="str">
        <f aca="false">IF(OR($B31="",H31=""),"",H31-cfg_TRACK)</f>
        <v/>
      </c>
      <c r="J31" s="117" t="str">
        <f aca="false">IF(OR($B31="",$F31="✖ منتهي الخدمة"),"",IF(H31="",IF($E31="غير سعودي","⚠ أدخل التاريخ","-"),IF(I31&lt;0,"✖ منتهية منذ "&amp;TEXT(-I31,"0")&amp;" يوم",IF(I31&lt;=cfg_ALERT,"⚠ تنتهي خلال "&amp;TEXT(I31,"0")&amp;" يوم","✔ سارية"))))</f>
        <v/>
      </c>
      <c r="K31" s="175" t="str">
        <f aca="false">IF($B31="","",IF(الموظفون!$K31="","",الموظفون!$K31))</f>
        <v/>
      </c>
      <c r="L31" s="133" t="str">
        <f aca="false">IF(OR($B31="",K31=""),"",K31-cfg_TRACK)</f>
        <v/>
      </c>
      <c r="M31" s="117" t="str">
        <f aca="false">IF(OR($B31="",$F31="✖ منتهي الخدمة"),"",IF(K31="",IF($E31="غير سعودي","⚠ أدخل التاريخ","-"),IF(L31&lt;0,"✖ منتهية منذ "&amp;TEXT(-L31,"0")&amp;" يوم",IF(L31&lt;=cfg_ALERT,"⚠ تنتهي خلال "&amp;TEXT(L31,"0")&amp;" يوم","✔ سارية"))))</f>
        <v/>
      </c>
      <c r="N31" s="116" t="str">
        <f aca="false">IF($B31="","",IF(F31="✖ منتهي الخدمة",0,IF(الموظفون!$X31&lt;&gt;"",الموظفون!$X31,IF(الموظفون!$E31="غير سعودي",cfg_IQ,0))))</f>
        <v/>
      </c>
      <c r="O31" s="116" t="str">
        <f aca="false">IF($B31="","",IF(F31="✖ منتهي الخدمة",0,IF(الموظفون!$Y31&lt;&gt;"",الموظفون!$Y31,IF(الموظفون!$E31="غير سعودي",cfg_WP,0))))</f>
        <v/>
      </c>
      <c r="P31" s="116" t="str">
        <f aca="false">IF($B31="","",IF(F31="✖ منتهي الخدمة",0,IF(الموظفون!$Z31&lt;&gt;"",الموظفون!$Z31,cfg_MED)))</f>
        <v/>
      </c>
      <c r="Q31" s="116" t="str">
        <f aca="false">IF($B31="","",IF(F31="✖ منتهي الخدمة",0,N(الموظفون!$AA31)))</f>
        <v/>
      </c>
      <c r="R31" s="116" t="str">
        <f aca="false">IF($B31="","",SUM(N31:Q31))</f>
        <v/>
      </c>
      <c r="S31" s="116" t="str">
        <f aca="false">IF($B31="","",R31/12)</f>
        <v/>
      </c>
      <c r="T31" s="116" t="str">
        <f aca="false">IF($B31="","",IF(1&lt;=cfg_VAL_M,'مسير يناير'!AD31+'مسير يناير'!AE31+'مسير يناير'!AF31,0)+IF(2&lt;=cfg_VAL_M,'مسير فبراير'!AD31+'مسير فبراير'!AE31+'مسير فبراير'!AF31,0)+IF(3&lt;=cfg_VAL_M,'مسير مارس'!AD31+'مسير مارس'!AE31+'مسير مارس'!AF31,0)+IF(4&lt;=cfg_VAL_M,'مسير أبريل'!AD31+'مسير أبريل'!AE31+'مسير أبريل'!AF31,0)+IF(5&lt;=cfg_VAL_M,'مسير مايو'!AD31+'مسير مايو'!AE31+'مسير مايو'!AF31,0)+IF(6&lt;=cfg_VAL_M,'مسير يونيو'!AD31+'مسير يونيو'!AE31+'مسير يونيو'!AF31,0)+IF(7&lt;=cfg_VAL_M,'مسير يوليو'!AD31+'مسير يوليو'!AE31+'مسير يوليو'!AF31,0)+IF(8&lt;=cfg_VAL_M,'مسير أغسطس'!AD31+'مسير أغسطس'!AE31+'مسير أغسطس'!AF31,0)+IF(9&lt;=cfg_VAL_M,'مسير سبتمبر'!AD31+'مسير سبتمبر'!AE31+'مسير سبتمبر'!AF31,0)+IF(10&lt;=cfg_VAL_M,'مسير أكتوبر'!AD31+'مسير أكتوبر'!AE31+'مسير أكتوبر'!AF31,0)+IF(11&lt;=cfg_VAL_M,'مسير نوفمبر'!AD31+'مسير نوفمبر'!AE31+'مسير نوفمبر'!AF31,0)+IF(12&lt;=cfg_VAL_M,'مسير ديسمبر'!AD31+'مسير ديسمبر'!AE31+'مسير ديسمبر'!AF31,0))</f>
        <v/>
      </c>
      <c r="U31" s="116" t="str">
        <f aca="false">IF(OR($B31="",F31="✖ منتهي الخدمة"),"",IF(AND(ISNUMBER(I31),I31&lt;=cfg_ALERT),N31,0)+IF(AND(ISNUMBER(L31),L31&lt;=cfg_ALERT),O31,0))</f>
        <v/>
      </c>
    </row>
    <row r="32" customFormat="false" ht="15" hidden="false" customHeight="false" outlineLevel="0" collapsed="false">
      <c r="B32" s="114" t="str">
        <f aca="false">IF(الموظفون!$B32="","",الموظفون!$B32)</f>
        <v/>
      </c>
      <c r="C32" s="114" t="str">
        <f aca="false">IF($B32="","",الموظفون!$C32)</f>
        <v/>
      </c>
      <c r="D32" s="114" t="str">
        <f aca="false">IF($B32="","",الموظفون!$D32)</f>
        <v/>
      </c>
      <c r="E32" s="114" t="str">
        <f aca="false">IF($B32="","",الموظفون!$E32)</f>
        <v/>
      </c>
      <c r="F32" s="114" t="str">
        <f aca="false">IF($B32="","",الموظفون!$AG32)</f>
        <v/>
      </c>
      <c r="G32" s="114" t="str">
        <f aca="false">IF($B32="","",IF(الموظفون!$I32="","",الموظفون!$I32))</f>
        <v/>
      </c>
      <c r="H32" s="174" t="str">
        <f aca="false">IF($B32="","",IF(الموظفون!$J32="","",الموظفون!$J32))</f>
        <v/>
      </c>
      <c r="I32" s="65" t="str">
        <f aca="false">IF(OR($B32="",H32=""),"",H32-cfg_TRACK)</f>
        <v/>
      </c>
      <c r="J32" s="114" t="str">
        <f aca="false">IF(OR($B32="",$F32="✖ منتهي الخدمة"),"",IF(H32="",IF($E32="غير سعودي","⚠ أدخل التاريخ","-"),IF(I32&lt;0,"✖ منتهية منذ "&amp;TEXT(-I32,"0")&amp;" يوم",IF(I32&lt;=cfg_ALERT,"⚠ تنتهي خلال "&amp;TEXT(I32,"0")&amp;" يوم","✔ سارية"))))</f>
        <v/>
      </c>
      <c r="K32" s="174" t="str">
        <f aca="false">IF($B32="","",IF(الموظفون!$K32="","",الموظفون!$K32))</f>
        <v/>
      </c>
      <c r="L32" s="65" t="str">
        <f aca="false">IF(OR($B32="",K32=""),"",K32-cfg_TRACK)</f>
        <v/>
      </c>
      <c r="M32" s="114" t="str">
        <f aca="false">IF(OR($B32="",$F32="✖ منتهي الخدمة"),"",IF(K32="",IF($E32="غير سعودي","⚠ أدخل التاريخ","-"),IF(L32&lt;0,"✖ منتهية منذ "&amp;TEXT(-L32,"0")&amp;" يوم",IF(L32&lt;=cfg_ALERT,"⚠ تنتهي خلال "&amp;TEXT(L32,"0")&amp;" يوم","✔ سارية"))))</f>
        <v/>
      </c>
      <c r="N32" s="111" t="str">
        <f aca="false">IF($B32="","",IF(F32="✖ منتهي الخدمة",0,IF(الموظفون!$X32&lt;&gt;"",الموظفون!$X32,IF(الموظفون!$E32="غير سعودي",cfg_IQ,0))))</f>
        <v/>
      </c>
      <c r="O32" s="111" t="str">
        <f aca="false">IF($B32="","",IF(F32="✖ منتهي الخدمة",0,IF(الموظفون!$Y32&lt;&gt;"",الموظفون!$Y32,IF(الموظفون!$E32="غير سعودي",cfg_WP,0))))</f>
        <v/>
      </c>
      <c r="P32" s="111" t="str">
        <f aca="false">IF($B32="","",IF(F32="✖ منتهي الخدمة",0,IF(الموظفون!$Z32&lt;&gt;"",الموظفون!$Z32,cfg_MED)))</f>
        <v/>
      </c>
      <c r="Q32" s="111" t="str">
        <f aca="false">IF($B32="","",IF(F32="✖ منتهي الخدمة",0,N(الموظفون!$AA32)))</f>
        <v/>
      </c>
      <c r="R32" s="111" t="str">
        <f aca="false">IF($B32="","",SUM(N32:Q32))</f>
        <v/>
      </c>
      <c r="S32" s="111" t="str">
        <f aca="false">IF($B32="","",R32/12)</f>
        <v/>
      </c>
      <c r="T32" s="111" t="str">
        <f aca="false">IF($B32="","",IF(1&lt;=cfg_VAL_M,'مسير يناير'!AD32+'مسير يناير'!AE32+'مسير يناير'!AF32,0)+IF(2&lt;=cfg_VAL_M,'مسير فبراير'!AD32+'مسير فبراير'!AE32+'مسير فبراير'!AF32,0)+IF(3&lt;=cfg_VAL_M,'مسير مارس'!AD32+'مسير مارس'!AE32+'مسير مارس'!AF32,0)+IF(4&lt;=cfg_VAL_M,'مسير أبريل'!AD32+'مسير أبريل'!AE32+'مسير أبريل'!AF32,0)+IF(5&lt;=cfg_VAL_M,'مسير مايو'!AD32+'مسير مايو'!AE32+'مسير مايو'!AF32,0)+IF(6&lt;=cfg_VAL_M,'مسير يونيو'!AD32+'مسير يونيو'!AE32+'مسير يونيو'!AF32,0)+IF(7&lt;=cfg_VAL_M,'مسير يوليو'!AD32+'مسير يوليو'!AE32+'مسير يوليو'!AF32,0)+IF(8&lt;=cfg_VAL_M,'مسير أغسطس'!AD32+'مسير أغسطس'!AE32+'مسير أغسطس'!AF32,0)+IF(9&lt;=cfg_VAL_M,'مسير سبتمبر'!AD32+'مسير سبتمبر'!AE32+'مسير سبتمبر'!AF32,0)+IF(10&lt;=cfg_VAL_M,'مسير أكتوبر'!AD32+'مسير أكتوبر'!AE32+'مسير أكتوبر'!AF32,0)+IF(11&lt;=cfg_VAL_M,'مسير نوفمبر'!AD32+'مسير نوفمبر'!AE32+'مسير نوفمبر'!AF32,0)+IF(12&lt;=cfg_VAL_M,'مسير ديسمبر'!AD32+'مسير ديسمبر'!AE32+'مسير ديسمبر'!AF32,0))</f>
        <v/>
      </c>
      <c r="U32" s="111" t="str">
        <f aca="false">IF(OR($B32="",F32="✖ منتهي الخدمة"),"",IF(AND(ISNUMBER(I32),I32&lt;=cfg_ALERT),N32,0)+IF(AND(ISNUMBER(L32),L32&lt;=cfg_ALERT),O32,0))</f>
        <v/>
      </c>
    </row>
    <row r="33" customFormat="false" ht="15" hidden="false" customHeight="false" outlineLevel="0" collapsed="false">
      <c r="B33" s="117" t="str">
        <f aca="false">IF(الموظفون!$B33="","",الموظفون!$B33)</f>
        <v/>
      </c>
      <c r="C33" s="117" t="str">
        <f aca="false">IF($B33="","",الموظفون!$C33)</f>
        <v/>
      </c>
      <c r="D33" s="117" t="str">
        <f aca="false">IF($B33="","",الموظفون!$D33)</f>
        <v/>
      </c>
      <c r="E33" s="117" t="str">
        <f aca="false">IF($B33="","",الموظفون!$E33)</f>
        <v/>
      </c>
      <c r="F33" s="117" t="str">
        <f aca="false">IF($B33="","",الموظفون!$AG33)</f>
        <v/>
      </c>
      <c r="G33" s="117" t="str">
        <f aca="false">IF($B33="","",IF(الموظفون!$I33="","",الموظفون!$I33))</f>
        <v/>
      </c>
      <c r="H33" s="175" t="str">
        <f aca="false">IF($B33="","",IF(الموظفون!$J33="","",الموظفون!$J33))</f>
        <v/>
      </c>
      <c r="I33" s="133" t="str">
        <f aca="false">IF(OR($B33="",H33=""),"",H33-cfg_TRACK)</f>
        <v/>
      </c>
      <c r="J33" s="117" t="str">
        <f aca="false">IF(OR($B33="",$F33="✖ منتهي الخدمة"),"",IF(H33="",IF($E33="غير سعودي","⚠ أدخل التاريخ","-"),IF(I33&lt;0,"✖ منتهية منذ "&amp;TEXT(-I33,"0")&amp;" يوم",IF(I33&lt;=cfg_ALERT,"⚠ تنتهي خلال "&amp;TEXT(I33,"0")&amp;" يوم","✔ سارية"))))</f>
        <v/>
      </c>
      <c r="K33" s="175" t="str">
        <f aca="false">IF($B33="","",IF(الموظفون!$K33="","",الموظفون!$K33))</f>
        <v/>
      </c>
      <c r="L33" s="133" t="str">
        <f aca="false">IF(OR($B33="",K33=""),"",K33-cfg_TRACK)</f>
        <v/>
      </c>
      <c r="M33" s="117" t="str">
        <f aca="false">IF(OR($B33="",$F33="✖ منتهي الخدمة"),"",IF(K33="",IF($E33="غير سعودي","⚠ أدخل التاريخ","-"),IF(L33&lt;0,"✖ منتهية منذ "&amp;TEXT(-L33,"0")&amp;" يوم",IF(L33&lt;=cfg_ALERT,"⚠ تنتهي خلال "&amp;TEXT(L33,"0")&amp;" يوم","✔ سارية"))))</f>
        <v/>
      </c>
      <c r="N33" s="116" t="str">
        <f aca="false">IF($B33="","",IF(F33="✖ منتهي الخدمة",0,IF(الموظفون!$X33&lt;&gt;"",الموظفون!$X33,IF(الموظفون!$E33="غير سعودي",cfg_IQ,0))))</f>
        <v/>
      </c>
      <c r="O33" s="116" t="str">
        <f aca="false">IF($B33="","",IF(F33="✖ منتهي الخدمة",0,IF(الموظفون!$Y33&lt;&gt;"",الموظفون!$Y33,IF(الموظفون!$E33="غير سعودي",cfg_WP,0))))</f>
        <v/>
      </c>
      <c r="P33" s="116" t="str">
        <f aca="false">IF($B33="","",IF(F33="✖ منتهي الخدمة",0,IF(الموظفون!$Z33&lt;&gt;"",الموظفون!$Z33,cfg_MED)))</f>
        <v/>
      </c>
      <c r="Q33" s="116" t="str">
        <f aca="false">IF($B33="","",IF(F33="✖ منتهي الخدمة",0,N(الموظفون!$AA33)))</f>
        <v/>
      </c>
      <c r="R33" s="116" t="str">
        <f aca="false">IF($B33="","",SUM(N33:Q33))</f>
        <v/>
      </c>
      <c r="S33" s="116" t="str">
        <f aca="false">IF($B33="","",R33/12)</f>
        <v/>
      </c>
      <c r="T33" s="116" t="str">
        <f aca="false">IF($B33="","",IF(1&lt;=cfg_VAL_M,'مسير يناير'!AD33+'مسير يناير'!AE33+'مسير يناير'!AF33,0)+IF(2&lt;=cfg_VAL_M,'مسير فبراير'!AD33+'مسير فبراير'!AE33+'مسير فبراير'!AF33,0)+IF(3&lt;=cfg_VAL_M,'مسير مارس'!AD33+'مسير مارس'!AE33+'مسير مارس'!AF33,0)+IF(4&lt;=cfg_VAL_M,'مسير أبريل'!AD33+'مسير أبريل'!AE33+'مسير أبريل'!AF33,0)+IF(5&lt;=cfg_VAL_M,'مسير مايو'!AD33+'مسير مايو'!AE33+'مسير مايو'!AF33,0)+IF(6&lt;=cfg_VAL_M,'مسير يونيو'!AD33+'مسير يونيو'!AE33+'مسير يونيو'!AF33,0)+IF(7&lt;=cfg_VAL_M,'مسير يوليو'!AD33+'مسير يوليو'!AE33+'مسير يوليو'!AF33,0)+IF(8&lt;=cfg_VAL_M,'مسير أغسطس'!AD33+'مسير أغسطس'!AE33+'مسير أغسطس'!AF33,0)+IF(9&lt;=cfg_VAL_M,'مسير سبتمبر'!AD33+'مسير سبتمبر'!AE33+'مسير سبتمبر'!AF33,0)+IF(10&lt;=cfg_VAL_M,'مسير أكتوبر'!AD33+'مسير أكتوبر'!AE33+'مسير أكتوبر'!AF33,0)+IF(11&lt;=cfg_VAL_M,'مسير نوفمبر'!AD33+'مسير نوفمبر'!AE33+'مسير نوفمبر'!AF33,0)+IF(12&lt;=cfg_VAL_M,'مسير ديسمبر'!AD33+'مسير ديسمبر'!AE33+'مسير ديسمبر'!AF33,0))</f>
        <v/>
      </c>
      <c r="U33" s="116" t="str">
        <f aca="false">IF(OR($B33="",F33="✖ منتهي الخدمة"),"",IF(AND(ISNUMBER(I33),I33&lt;=cfg_ALERT),N33,0)+IF(AND(ISNUMBER(L33),L33&lt;=cfg_ALERT),O33,0))</f>
        <v/>
      </c>
    </row>
    <row r="34" customFormat="false" ht="15" hidden="false" customHeight="false" outlineLevel="0" collapsed="false">
      <c r="B34" s="114" t="str">
        <f aca="false">IF(الموظفون!$B34="","",الموظفون!$B34)</f>
        <v/>
      </c>
      <c r="C34" s="114" t="str">
        <f aca="false">IF($B34="","",الموظفون!$C34)</f>
        <v/>
      </c>
      <c r="D34" s="114" t="str">
        <f aca="false">IF($B34="","",الموظفون!$D34)</f>
        <v/>
      </c>
      <c r="E34" s="114" t="str">
        <f aca="false">IF($B34="","",الموظفون!$E34)</f>
        <v/>
      </c>
      <c r="F34" s="114" t="str">
        <f aca="false">IF($B34="","",الموظفون!$AG34)</f>
        <v/>
      </c>
      <c r="G34" s="114" t="str">
        <f aca="false">IF($B34="","",IF(الموظفون!$I34="","",الموظفون!$I34))</f>
        <v/>
      </c>
      <c r="H34" s="174" t="str">
        <f aca="false">IF($B34="","",IF(الموظفون!$J34="","",الموظفون!$J34))</f>
        <v/>
      </c>
      <c r="I34" s="65" t="str">
        <f aca="false">IF(OR($B34="",H34=""),"",H34-cfg_TRACK)</f>
        <v/>
      </c>
      <c r="J34" s="114" t="str">
        <f aca="false">IF(OR($B34="",$F34="✖ منتهي الخدمة"),"",IF(H34="",IF($E34="غير سعودي","⚠ أدخل التاريخ","-"),IF(I34&lt;0,"✖ منتهية منذ "&amp;TEXT(-I34,"0")&amp;" يوم",IF(I34&lt;=cfg_ALERT,"⚠ تنتهي خلال "&amp;TEXT(I34,"0")&amp;" يوم","✔ سارية"))))</f>
        <v/>
      </c>
      <c r="K34" s="174" t="str">
        <f aca="false">IF($B34="","",IF(الموظفون!$K34="","",الموظفون!$K34))</f>
        <v/>
      </c>
      <c r="L34" s="65" t="str">
        <f aca="false">IF(OR($B34="",K34=""),"",K34-cfg_TRACK)</f>
        <v/>
      </c>
      <c r="M34" s="114" t="str">
        <f aca="false">IF(OR($B34="",$F34="✖ منتهي الخدمة"),"",IF(K34="",IF($E34="غير سعودي","⚠ أدخل التاريخ","-"),IF(L34&lt;0,"✖ منتهية منذ "&amp;TEXT(-L34,"0")&amp;" يوم",IF(L34&lt;=cfg_ALERT,"⚠ تنتهي خلال "&amp;TEXT(L34,"0")&amp;" يوم","✔ سارية"))))</f>
        <v/>
      </c>
      <c r="N34" s="111" t="str">
        <f aca="false">IF($B34="","",IF(F34="✖ منتهي الخدمة",0,IF(الموظفون!$X34&lt;&gt;"",الموظفون!$X34,IF(الموظفون!$E34="غير سعودي",cfg_IQ,0))))</f>
        <v/>
      </c>
      <c r="O34" s="111" t="str">
        <f aca="false">IF($B34="","",IF(F34="✖ منتهي الخدمة",0,IF(الموظفون!$Y34&lt;&gt;"",الموظفون!$Y34,IF(الموظفون!$E34="غير سعودي",cfg_WP,0))))</f>
        <v/>
      </c>
      <c r="P34" s="111" t="str">
        <f aca="false">IF($B34="","",IF(F34="✖ منتهي الخدمة",0,IF(الموظفون!$Z34&lt;&gt;"",الموظفون!$Z34,cfg_MED)))</f>
        <v/>
      </c>
      <c r="Q34" s="111" t="str">
        <f aca="false">IF($B34="","",IF(F34="✖ منتهي الخدمة",0,N(الموظفون!$AA34)))</f>
        <v/>
      </c>
      <c r="R34" s="111" t="str">
        <f aca="false">IF($B34="","",SUM(N34:Q34))</f>
        <v/>
      </c>
      <c r="S34" s="111" t="str">
        <f aca="false">IF($B34="","",R34/12)</f>
        <v/>
      </c>
      <c r="T34" s="111" t="str">
        <f aca="false">IF($B34="","",IF(1&lt;=cfg_VAL_M,'مسير يناير'!AD34+'مسير يناير'!AE34+'مسير يناير'!AF34,0)+IF(2&lt;=cfg_VAL_M,'مسير فبراير'!AD34+'مسير فبراير'!AE34+'مسير فبراير'!AF34,0)+IF(3&lt;=cfg_VAL_M,'مسير مارس'!AD34+'مسير مارس'!AE34+'مسير مارس'!AF34,0)+IF(4&lt;=cfg_VAL_M,'مسير أبريل'!AD34+'مسير أبريل'!AE34+'مسير أبريل'!AF34,0)+IF(5&lt;=cfg_VAL_M,'مسير مايو'!AD34+'مسير مايو'!AE34+'مسير مايو'!AF34,0)+IF(6&lt;=cfg_VAL_M,'مسير يونيو'!AD34+'مسير يونيو'!AE34+'مسير يونيو'!AF34,0)+IF(7&lt;=cfg_VAL_M,'مسير يوليو'!AD34+'مسير يوليو'!AE34+'مسير يوليو'!AF34,0)+IF(8&lt;=cfg_VAL_M,'مسير أغسطس'!AD34+'مسير أغسطس'!AE34+'مسير أغسطس'!AF34,0)+IF(9&lt;=cfg_VAL_M,'مسير سبتمبر'!AD34+'مسير سبتمبر'!AE34+'مسير سبتمبر'!AF34,0)+IF(10&lt;=cfg_VAL_M,'مسير أكتوبر'!AD34+'مسير أكتوبر'!AE34+'مسير أكتوبر'!AF34,0)+IF(11&lt;=cfg_VAL_M,'مسير نوفمبر'!AD34+'مسير نوفمبر'!AE34+'مسير نوفمبر'!AF34,0)+IF(12&lt;=cfg_VAL_M,'مسير ديسمبر'!AD34+'مسير ديسمبر'!AE34+'مسير ديسمبر'!AF34,0))</f>
        <v/>
      </c>
      <c r="U34" s="111" t="str">
        <f aca="false">IF(OR($B34="",F34="✖ منتهي الخدمة"),"",IF(AND(ISNUMBER(I34),I34&lt;=cfg_ALERT),N34,0)+IF(AND(ISNUMBER(L34),L34&lt;=cfg_ALERT),O34,0))</f>
        <v/>
      </c>
    </row>
    <row r="35" customFormat="false" ht="15" hidden="false" customHeight="false" outlineLevel="0" collapsed="false">
      <c r="B35" s="117" t="str">
        <f aca="false">IF(الموظفون!$B35="","",الموظفون!$B35)</f>
        <v/>
      </c>
      <c r="C35" s="117" t="str">
        <f aca="false">IF($B35="","",الموظفون!$C35)</f>
        <v/>
      </c>
      <c r="D35" s="117" t="str">
        <f aca="false">IF($B35="","",الموظفون!$D35)</f>
        <v/>
      </c>
      <c r="E35" s="117" t="str">
        <f aca="false">IF($B35="","",الموظفون!$E35)</f>
        <v/>
      </c>
      <c r="F35" s="117" t="str">
        <f aca="false">IF($B35="","",الموظفون!$AG35)</f>
        <v/>
      </c>
      <c r="G35" s="117" t="str">
        <f aca="false">IF($B35="","",IF(الموظفون!$I35="","",الموظفون!$I35))</f>
        <v/>
      </c>
      <c r="H35" s="175" t="str">
        <f aca="false">IF($B35="","",IF(الموظفون!$J35="","",الموظفون!$J35))</f>
        <v/>
      </c>
      <c r="I35" s="133" t="str">
        <f aca="false">IF(OR($B35="",H35=""),"",H35-cfg_TRACK)</f>
        <v/>
      </c>
      <c r="J35" s="117" t="str">
        <f aca="false">IF(OR($B35="",$F35="✖ منتهي الخدمة"),"",IF(H35="",IF($E35="غير سعودي","⚠ أدخل التاريخ","-"),IF(I35&lt;0,"✖ منتهية منذ "&amp;TEXT(-I35,"0")&amp;" يوم",IF(I35&lt;=cfg_ALERT,"⚠ تنتهي خلال "&amp;TEXT(I35,"0")&amp;" يوم","✔ سارية"))))</f>
        <v/>
      </c>
      <c r="K35" s="175" t="str">
        <f aca="false">IF($B35="","",IF(الموظفون!$K35="","",الموظفون!$K35))</f>
        <v/>
      </c>
      <c r="L35" s="133" t="str">
        <f aca="false">IF(OR($B35="",K35=""),"",K35-cfg_TRACK)</f>
        <v/>
      </c>
      <c r="M35" s="117" t="str">
        <f aca="false">IF(OR($B35="",$F35="✖ منتهي الخدمة"),"",IF(K35="",IF($E35="غير سعودي","⚠ أدخل التاريخ","-"),IF(L35&lt;0,"✖ منتهية منذ "&amp;TEXT(-L35,"0")&amp;" يوم",IF(L35&lt;=cfg_ALERT,"⚠ تنتهي خلال "&amp;TEXT(L35,"0")&amp;" يوم","✔ سارية"))))</f>
        <v/>
      </c>
      <c r="N35" s="116" t="str">
        <f aca="false">IF($B35="","",IF(F35="✖ منتهي الخدمة",0,IF(الموظفون!$X35&lt;&gt;"",الموظفون!$X35,IF(الموظفون!$E35="غير سعودي",cfg_IQ,0))))</f>
        <v/>
      </c>
      <c r="O35" s="116" t="str">
        <f aca="false">IF($B35="","",IF(F35="✖ منتهي الخدمة",0,IF(الموظفون!$Y35&lt;&gt;"",الموظفون!$Y35,IF(الموظفون!$E35="غير سعودي",cfg_WP,0))))</f>
        <v/>
      </c>
      <c r="P35" s="116" t="str">
        <f aca="false">IF($B35="","",IF(F35="✖ منتهي الخدمة",0,IF(الموظفون!$Z35&lt;&gt;"",الموظفون!$Z35,cfg_MED)))</f>
        <v/>
      </c>
      <c r="Q35" s="116" t="str">
        <f aca="false">IF($B35="","",IF(F35="✖ منتهي الخدمة",0,N(الموظفون!$AA35)))</f>
        <v/>
      </c>
      <c r="R35" s="116" t="str">
        <f aca="false">IF($B35="","",SUM(N35:Q35))</f>
        <v/>
      </c>
      <c r="S35" s="116" t="str">
        <f aca="false">IF($B35="","",R35/12)</f>
        <v/>
      </c>
      <c r="T35" s="116" t="str">
        <f aca="false">IF($B35="","",IF(1&lt;=cfg_VAL_M,'مسير يناير'!AD35+'مسير يناير'!AE35+'مسير يناير'!AF35,0)+IF(2&lt;=cfg_VAL_M,'مسير فبراير'!AD35+'مسير فبراير'!AE35+'مسير فبراير'!AF35,0)+IF(3&lt;=cfg_VAL_M,'مسير مارس'!AD35+'مسير مارس'!AE35+'مسير مارس'!AF35,0)+IF(4&lt;=cfg_VAL_M,'مسير أبريل'!AD35+'مسير أبريل'!AE35+'مسير أبريل'!AF35,0)+IF(5&lt;=cfg_VAL_M,'مسير مايو'!AD35+'مسير مايو'!AE35+'مسير مايو'!AF35,0)+IF(6&lt;=cfg_VAL_M,'مسير يونيو'!AD35+'مسير يونيو'!AE35+'مسير يونيو'!AF35,0)+IF(7&lt;=cfg_VAL_M,'مسير يوليو'!AD35+'مسير يوليو'!AE35+'مسير يوليو'!AF35,0)+IF(8&lt;=cfg_VAL_M,'مسير أغسطس'!AD35+'مسير أغسطس'!AE35+'مسير أغسطس'!AF35,0)+IF(9&lt;=cfg_VAL_M,'مسير سبتمبر'!AD35+'مسير سبتمبر'!AE35+'مسير سبتمبر'!AF35,0)+IF(10&lt;=cfg_VAL_M,'مسير أكتوبر'!AD35+'مسير أكتوبر'!AE35+'مسير أكتوبر'!AF35,0)+IF(11&lt;=cfg_VAL_M,'مسير نوفمبر'!AD35+'مسير نوفمبر'!AE35+'مسير نوفمبر'!AF35,0)+IF(12&lt;=cfg_VAL_M,'مسير ديسمبر'!AD35+'مسير ديسمبر'!AE35+'مسير ديسمبر'!AF35,0))</f>
        <v/>
      </c>
      <c r="U35" s="116" t="str">
        <f aca="false">IF(OR($B35="",F35="✖ منتهي الخدمة"),"",IF(AND(ISNUMBER(I35),I35&lt;=cfg_ALERT),N35,0)+IF(AND(ISNUMBER(L35),L35&lt;=cfg_ALERT),O35,0))</f>
        <v/>
      </c>
    </row>
    <row r="36" customFormat="false" ht="15" hidden="false" customHeight="false" outlineLevel="0" collapsed="false">
      <c r="B36" s="114" t="str">
        <f aca="false">IF(الموظفون!$B36="","",الموظفون!$B36)</f>
        <v/>
      </c>
      <c r="C36" s="114" t="str">
        <f aca="false">IF($B36="","",الموظفون!$C36)</f>
        <v/>
      </c>
      <c r="D36" s="114" t="str">
        <f aca="false">IF($B36="","",الموظفون!$D36)</f>
        <v/>
      </c>
      <c r="E36" s="114" t="str">
        <f aca="false">IF($B36="","",الموظفون!$E36)</f>
        <v/>
      </c>
      <c r="F36" s="114" t="str">
        <f aca="false">IF($B36="","",الموظفون!$AG36)</f>
        <v/>
      </c>
      <c r="G36" s="114" t="str">
        <f aca="false">IF($B36="","",IF(الموظفون!$I36="","",الموظفون!$I36))</f>
        <v/>
      </c>
      <c r="H36" s="174" t="str">
        <f aca="false">IF($B36="","",IF(الموظفون!$J36="","",الموظفون!$J36))</f>
        <v/>
      </c>
      <c r="I36" s="65" t="str">
        <f aca="false">IF(OR($B36="",H36=""),"",H36-cfg_TRACK)</f>
        <v/>
      </c>
      <c r="J36" s="114" t="str">
        <f aca="false">IF(OR($B36="",$F36="✖ منتهي الخدمة"),"",IF(H36="",IF($E36="غير سعودي","⚠ أدخل التاريخ","-"),IF(I36&lt;0,"✖ منتهية منذ "&amp;TEXT(-I36,"0")&amp;" يوم",IF(I36&lt;=cfg_ALERT,"⚠ تنتهي خلال "&amp;TEXT(I36,"0")&amp;" يوم","✔ سارية"))))</f>
        <v/>
      </c>
      <c r="K36" s="174" t="str">
        <f aca="false">IF($B36="","",IF(الموظفون!$K36="","",الموظفون!$K36))</f>
        <v/>
      </c>
      <c r="L36" s="65" t="str">
        <f aca="false">IF(OR($B36="",K36=""),"",K36-cfg_TRACK)</f>
        <v/>
      </c>
      <c r="M36" s="114" t="str">
        <f aca="false">IF(OR($B36="",$F36="✖ منتهي الخدمة"),"",IF(K36="",IF($E36="غير سعودي","⚠ أدخل التاريخ","-"),IF(L36&lt;0,"✖ منتهية منذ "&amp;TEXT(-L36,"0")&amp;" يوم",IF(L36&lt;=cfg_ALERT,"⚠ تنتهي خلال "&amp;TEXT(L36,"0")&amp;" يوم","✔ سارية"))))</f>
        <v/>
      </c>
      <c r="N36" s="111" t="str">
        <f aca="false">IF($B36="","",IF(F36="✖ منتهي الخدمة",0,IF(الموظفون!$X36&lt;&gt;"",الموظفون!$X36,IF(الموظفون!$E36="غير سعودي",cfg_IQ,0))))</f>
        <v/>
      </c>
      <c r="O36" s="111" t="str">
        <f aca="false">IF($B36="","",IF(F36="✖ منتهي الخدمة",0,IF(الموظفون!$Y36&lt;&gt;"",الموظفون!$Y36,IF(الموظفون!$E36="غير سعودي",cfg_WP,0))))</f>
        <v/>
      </c>
      <c r="P36" s="111" t="str">
        <f aca="false">IF($B36="","",IF(F36="✖ منتهي الخدمة",0,IF(الموظفون!$Z36&lt;&gt;"",الموظفون!$Z36,cfg_MED)))</f>
        <v/>
      </c>
      <c r="Q36" s="111" t="str">
        <f aca="false">IF($B36="","",IF(F36="✖ منتهي الخدمة",0,N(الموظفون!$AA36)))</f>
        <v/>
      </c>
      <c r="R36" s="111" t="str">
        <f aca="false">IF($B36="","",SUM(N36:Q36))</f>
        <v/>
      </c>
      <c r="S36" s="111" t="str">
        <f aca="false">IF($B36="","",R36/12)</f>
        <v/>
      </c>
      <c r="T36" s="111" t="str">
        <f aca="false">IF($B36="","",IF(1&lt;=cfg_VAL_M,'مسير يناير'!AD36+'مسير يناير'!AE36+'مسير يناير'!AF36,0)+IF(2&lt;=cfg_VAL_M,'مسير فبراير'!AD36+'مسير فبراير'!AE36+'مسير فبراير'!AF36,0)+IF(3&lt;=cfg_VAL_M,'مسير مارس'!AD36+'مسير مارس'!AE36+'مسير مارس'!AF36,0)+IF(4&lt;=cfg_VAL_M,'مسير أبريل'!AD36+'مسير أبريل'!AE36+'مسير أبريل'!AF36,0)+IF(5&lt;=cfg_VAL_M,'مسير مايو'!AD36+'مسير مايو'!AE36+'مسير مايو'!AF36,0)+IF(6&lt;=cfg_VAL_M,'مسير يونيو'!AD36+'مسير يونيو'!AE36+'مسير يونيو'!AF36,0)+IF(7&lt;=cfg_VAL_M,'مسير يوليو'!AD36+'مسير يوليو'!AE36+'مسير يوليو'!AF36,0)+IF(8&lt;=cfg_VAL_M,'مسير أغسطس'!AD36+'مسير أغسطس'!AE36+'مسير أغسطس'!AF36,0)+IF(9&lt;=cfg_VAL_M,'مسير سبتمبر'!AD36+'مسير سبتمبر'!AE36+'مسير سبتمبر'!AF36,0)+IF(10&lt;=cfg_VAL_M,'مسير أكتوبر'!AD36+'مسير أكتوبر'!AE36+'مسير أكتوبر'!AF36,0)+IF(11&lt;=cfg_VAL_M,'مسير نوفمبر'!AD36+'مسير نوفمبر'!AE36+'مسير نوفمبر'!AF36,0)+IF(12&lt;=cfg_VAL_M,'مسير ديسمبر'!AD36+'مسير ديسمبر'!AE36+'مسير ديسمبر'!AF36,0))</f>
        <v/>
      </c>
      <c r="U36" s="111" t="str">
        <f aca="false">IF(OR($B36="",F36="✖ منتهي الخدمة"),"",IF(AND(ISNUMBER(I36),I36&lt;=cfg_ALERT),N36,0)+IF(AND(ISNUMBER(L36),L36&lt;=cfg_ALERT),O36,0))</f>
        <v/>
      </c>
    </row>
    <row r="37" customFormat="false" ht="15" hidden="false" customHeight="false" outlineLevel="0" collapsed="false">
      <c r="B37" s="117" t="str">
        <f aca="false">IF(الموظفون!$B37="","",الموظفون!$B37)</f>
        <v/>
      </c>
      <c r="C37" s="117" t="str">
        <f aca="false">IF($B37="","",الموظفون!$C37)</f>
        <v/>
      </c>
      <c r="D37" s="117" t="str">
        <f aca="false">IF($B37="","",الموظفون!$D37)</f>
        <v/>
      </c>
      <c r="E37" s="117" t="str">
        <f aca="false">IF($B37="","",الموظفون!$E37)</f>
        <v/>
      </c>
      <c r="F37" s="117" t="str">
        <f aca="false">IF($B37="","",الموظفون!$AG37)</f>
        <v/>
      </c>
      <c r="G37" s="117" t="str">
        <f aca="false">IF($B37="","",IF(الموظفون!$I37="","",الموظفون!$I37))</f>
        <v/>
      </c>
      <c r="H37" s="175" t="str">
        <f aca="false">IF($B37="","",IF(الموظفون!$J37="","",الموظفون!$J37))</f>
        <v/>
      </c>
      <c r="I37" s="133" t="str">
        <f aca="false">IF(OR($B37="",H37=""),"",H37-cfg_TRACK)</f>
        <v/>
      </c>
      <c r="J37" s="117" t="str">
        <f aca="false">IF(OR($B37="",$F37="✖ منتهي الخدمة"),"",IF(H37="",IF($E37="غير سعودي","⚠ أدخل التاريخ","-"),IF(I37&lt;0,"✖ منتهية منذ "&amp;TEXT(-I37,"0")&amp;" يوم",IF(I37&lt;=cfg_ALERT,"⚠ تنتهي خلال "&amp;TEXT(I37,"0")&amp;" يوم","✔ سارية"))))</f>
        <v/>
      </c>
      <c r="K37" s="175" t="str">
        <f aca="false">IF($B37="","",IF(الموظفون!$K37="","",الموظفون!$K37))</f>
        <v/>
      </c>
      <c r="L37" s="133" t="str">
        <f aca="false">IF(OR($B37="",K37=""),"",K37-cfg_TRACK)</f>
        <v/>
      </c>
      <c r="M37" s="117" t="str">
        <f aca="false">IF(OR($B37="",$F37="✖ منتهي الخدمة"),"",IF(K37="",IF($E37="غير سعودي","⚠ أدخل التاريخ","-"),IF(L37&lt;0,"✖ منتهية منذ "&amp;TEXT(-L37,"0")&amp;" يوم",IF(L37&lt;=cfg_ALERT,"⚠ تنتهي خلال "&amp;TEXT(L37,"0")&amp;" يوم","✔ سارية"))))</f>
        <v/>
      </c>
      <c r="N37" s="116" t="str">
        <f aca="false">IF($B37="","",IF(F37="✖ منتهي الخدمة",0,IF(الموظفون!$X37&lt;&gt;"",الموظفون!$X37,IF(الموظفون!$E37="غير سعودي",cfg_IQ,0))))</f>
        <v/>
      </c>
      <c r="O37" s="116" t="str">
        <f aca="false">IF($B37="","",IF(F37="✖ منتهي الخدمة",0,IF(الموظفون!$Y37&lt;&gt;"",الموظفون!$Y37,IF(الموظفون!$E37="غير سعودي",cfg_WP,0))))</f>
        <v/>
      </c>
      <c r="P37" s="116" t="str">
        <f aca="false">IF($B37="","",IF(F37="✖ منتهي الخدمة",0,IF(الموظفون!$Z37&lt;&gt;"",الموظفون!$Z37,cfg_MED)))</f>
        <v/>
      </c>
      <c r="Q37" s="116" t="str">
        <f aca="false">IF($B37="","",IF(F37="✖ منتهي الخدمة",0,N(الموظفون!$AA37)))</f>
        <v/>
      </c>
      <c r="R37" s="116" t="str">
        <f aca="false">IF($B37="","",SUM(N37:Q37))</f>
        <v/>
      </c>
      <c r="S37" s="116" t="str">
        <f aca="false">IF($B37="","",R37/12)</f>
        <v/>
      </c>
      <c r="T37" s="116" t="str">
        <f aca="false">IF($B37="","",IF(1&lt;=cfg_VAL_M,'مسير يناير'!AD37+'مسير يناير'!AE37+'مسير يناير'!AF37,0)+IF(2&lt;=cfg_VAL_M,'مسير فبراير'!AD37+'مسير فبراير'!AE37+'مسير فبراير'!AF37,0)+IF(3&lt;=cfg_VAL_M,'مسير مارس'!AD37+'مسير مارس'!AE37+'مسير مارس'!AF37,0)+IF(4&lt;=cfg_VAL_M,'مسير أبريل'!AD37+'مسير أبريل'!AE37+'مسير أبريل'!AF37,0)+IF(5&lt;=cfg_VAL_M,'مسير مايو'!AD37+'مسير مايو'!AE37+'مسير مايو'!AF37,0)+IF(6&lt;=cfg_VAL_M,'مسير يونيو'!AD37+'مسير يونيو'!AE37+'مسير يونيو'!AF37,0)+IF(7&lt;=cfg_VAL_M,'مسير يوليو'!AD37+'مسير يوليو'!AE37+'مسير يوليو'!AF37,0)+IF(8&lt;=cfg_VAL_M,'مسير أغسطس'!AD37+'مسير أغسطس'!AE37+'مسير أغسطس'!AF37,0)+IF(9&lt;=cfg_VAL_M,'مسير سبتمبر'!AD37+'مسير سبتمبر'!AE37+'مسير سبتمبر'!AF37,0)+IF(10&lt;=cfg_VAL_M,'مسير أكتوبر'!AD37+'مسير أكتوبر'!AE37+'مسير أكتوبر'!AF37,0)+IF(11&lt;=cfg_VAL_M,'مسير نوفمبر'!AD37+'مسير نوفمبر'!AE37+'مسير نوفمبر'!AF37,0)+IF(12&lt;=cfg_VAL_M,'مسير ديسمبر'!AD37+'مسير ديسمبر'!AE37+'مسير ديسمبر'!AF37,0))</f>
        <v/>
      </c>
      <c r="U37" s="116" t="str">
        <f aca="false">IF(OR($B37="",F37="✖ منتهي الخدمة"),"",IF(AND(ISNUMBER(I37),I37&lt;=cfg_ALERT),N37,0)+IF(AND(ISNUMBER(L37),L37&lt;=cfg_ALERT),O37,0))</f>
        <v/>
      </c>
    </row>
    <row r="38" customFormat="false" ht="15" hidden="false" customHeight="false" outlineLevel="0" collapsed="false">
      <c r="B38" s="114" t="str">
        <f aca="false">IF(الموظفون!$B38="","",الموظفون!$B38)</f>
        <v/>
      </c>
      <c r="C38" s="114" t="str">
        <f aca="false">IF($B38="","",الموظفون!$C38)</f>
        <v/>
      </c>
      <c r="D38" s="114" t="str">
        <f aca="false">IF($B38="","",الموظفون!$D38)</f>
        <v/>
      </c>
      <c r="E38" s="114" t="str">
        <f aca="false">IF($B38="","",الموظفون!$E38)</f>
        <v/>
      </c>
      <c r="F38" s="114" t="str">
        <f aca="false">IF($B38="","",الموظفون!$AG38)</f>
        <v/>
      </c>
      <c r="G38" s="114" t="str">
        <f aca="false">IF($B38="","",IF(الموظفون!$I38="","",الموظفون!$I38))</f>
        <v/>
      </c>
      <c r="H38" s="174" t="str">
        <f aca="false">IF($B38="","",IF(الموظفون!$J38="","",الموظفون!$J38))</f>
        <v/>
      </c>
      <c r="I38" s="65" t="str">
        <f aca="false">IF(OR($B38="",H38=""),"",H38-cfg_TRACK)</f>
        <v/>
      </c>
      <c r="J38" s="114" t="str">
        <f aca="false">IF(OR($B38="",$F38="✖ منتهي الخدمة"),"",IF(H38="",IF($E38="غير سعودي","⚠ أدخل التاريخ","-"),IF(I38&lt;0,"✖ منتهية منذ "&amp;TEXT(-I38,"0")&amp;" يوم",IF(I38&lt;=cfg_ALERT,"⚠ تنتهي خلال "&amp;TEXT(I38,"0")&amp;" يوم","✔ سارية"))))</f>
        <v/>
      </c>
      <c r="K38" s="174" t="str">
        <f aca="false">IF($B38="","",IF(الموظفون!$K38="","",الموظفون!$K38))</f>
        <v/>
      </c>
      <c r="L38" s="65" t="str">
        <f aca="false">IF(OR($B38="",K38=""),"",K38-cfg_TRACK)</f>
        <v/>
      </c>
      <c r="M38" s="114" t="str">
        <f aca="false">IF(OR($B38="",$F38="✖ منتهي الخدمة"),"",IF(K38="",IF($E38="غير سعودي","⚠ أدخل التاريخ","-"),IF(L38&lt;0,"✖ منتهية منذ "&amp;TEXT(-L38,"0")&amp;" يوم",IF(L38&lt;=cfg_ALERT,"⚠ تنتهي خلال "&amp;TEXT(L38,"0")&amp;" يوم","✔ سارية"))))</f>
        <v/>
      </c>
      <c r="N38" s="111" t="str">
        <f aca="false">IF($B38="","",IF(F38="✖ منتهي الخدمة",0,IF(الموظفون!$X38&lt;&gt;"",الموظفون!$X38,IF(الموظفون!$E38="غير سعودي",cfg_IQ,0))))</f>
        <v/>
      </c>
      <c r="O38" s="111" t="str">
        <f aca="false">IF($B38="","",IF(F38="✖ منتهي الخدمة",0,IF(الموظفون!$Y38&lt;&gt;"",الموظفون!$Y38,IF(الموظفون!$E38="غير سعودي",cfg_WP,0))))</f>
        <v/>
      </c>
      <c r="P38" s="111" t="str">
        <f aca="false">IF($B38="","",IF(F38="✖ منتهي الخدمة",0,IF(الموظفون!$Z38&lt;&gt;"",الموظفون!$Z38,cfg_MED)))</f>
        <v/>
      </c>
      <c r="Q38" s="111" t="str">
        <f aca="false">IF($B38="","",IF(F38="✖ منتهي الخدمة",0,N(الموظفون!$AA38)))</f>
        <v/>
      </c>
      <c r="R38" s="111" t="str">
        <f aca="false">IF($B38="","",SUM(N38:Q38))</f>
        <v/>
      </c>
      <c r="S38" s="111" t="str">
        <f aca="false">IF($B38="","",R38/12)</f>
        <v/>
      </c>
      <c r="T38" s="111" t="str">
        <f aca="false">IF($B38="","",IF(1&lt;=cfg_VAL_M,'مسير يناير'!AD38+'مسير يناير'!AE38+'مسير يناير'!AF38,0)+IF(2&lt;=cfg_VAL_M,'مسير فبراير'!AD38+'مسير فبراير'!AE38+'مسير فبراير'!AF38,0)+IF(3&lt;=cfg_VAL_M,'مسير مارس'!AD38+'مسير مارس'!AE38+'مسير مارس'!AF38,0)+IF(4&lt;=cfg_VAL_M,'مسير أبريل'!AD38+'مسير أبريل'!AE38+'مسير أبريل'!AF38,0)+IF(5&lt;=cfg_VAL_M,'مسير مايو'!AD38+'مسير مايو'!AE38+'مسير مايو'!AF38,0)+IF(6&lt;=cfg_VAL_M,'مسير يونيو'!AD38+'مسير يونيو'!AE38+'مسير يونيو'!AF38,0)+IF(7&lt;=cfg_VAL_M,'مسير يوليو'!AD38+'مسير يوليو'!AE38+'مسير يوليو'!AF38,0)+IF(8&lt;=cfg_VAL_M,'مسير أغسطس'!AD38+'مسير أغسطس'!AE38+'مسير أغسطس'!AF38,0)+IF(9&lt;=cfg_VAL_M,'مسير سبتمبر'!AD38+'مسير سبتمبر'!AE38+'مسير سبتمبر'!AF38,0)+IF(10&lt;=cfg_VAL_M,'مسير أكتوبر'!AD38+'مسير أكتوبر'!AE38+'مسير أكتوبر'!AF38,0)+IF(11&lt;=cfg_VAL_M,'مسير نوفمبر'!AD38+'مسير نوفمبر'!AE38+'مسير نوفمبر'!AF38,0)+IF(12&lt;=cfg_VAL_M,'مسير ديسمبر'!AD38+'مسير ديسمبر'!AE38+'مسير ديسمبر'!AF38,0))</f>
        <v/>
      </c>
      <c r="U38" s="111" t="str">
        <f aca="false">IF(OR($B38="",F38="✖ منتهي الخدمة"),"",IF(AND(ISNUMBER(I38),I38&lt;=cfg_ALERT),N38,0)+IF(AND(ISNUMBER(L38),L38&lt;=cfg_ALERT),O38,0))</f>
        <v/>
      </c>
    </row>
    <row r="39" customFormat="false" ht="15" hidden="false" customHeight="false" outlineLevel="0" collapsed="false">
      <c r="B39" s="117" t="str">
        <f aca="false">IF(الموظفون!$B39="","",الموظفون!$B39)</f>
        <v/>
      </c>
      <c r="C39" s="117" t="str">
        <f aca="false">IF($B39="","",الموظفون!$C39)</f>
        <v/>
      </c>
      <c r="D39" s="117" t="str">
        <f aca="false">IF($B39="","",الموظفون!$D39)</f>
        <v/>
      </c>
      <c r="E39" s="117" t="str">
        <f aca="false">IF($B39="","",الموظفون!$E39)</f>
        <v/>
      </c>
      <c r="F39" s="117" t="str">
        <f aca="false">IF($B39="","",الموظفون!$AG39)</f>
        <v/>
      </c>
      <c r="G39" s="117" t="str">
        <f aca="false">IF($B39="","",IF(الموظفون!$I39="","",الموظفون!$I39))</f>
        <v/>
      </c>
      <c r="H39" s="175" t="str">
        <f aca="false">IF($B39="","",IF(الموظفون!$J39="","",الموظفون!$J39))</f>
        <v/>
      </c>
      <c r="I39" s="133" t="str">
        <f aca="false">IF(OR($B39="",H39=""),"",H39-cfg_TRACK)</f>
        <v/>
      </c>
      <c r="J39" s="117" t="str">
        <f aca="false">IF(OR($B39="",$F39="✖ منتهي الخدمة"),"",IF(H39="",IF($E39="غير سعودي","⚠ أدخل التاريخ","-"),IF(I39&lt;0,"✖ منتهية منذ "&amp;TEXT(-I39,"0")&amp;" يوم",IF(I39&lt;=cfg_ALERT,"⚠ تنتهي خلال "&amp;TEXT(I39,"0")&amp;" يوم","✔ سارية"))))</f>
        <v/>
      </c>
      <c r="K39" s="175" t="str">
        <f aca="false">IF($B39="","",IF(الموظفون!$K39="","",الموظفون!$K39))</f>
        <v/>
      </c>
      <c r="L39" s="133" t="str">
        <f aca="false">IF(OR($B39="",K39=""),"",K39-cfg_TRACK)</f>
        <v/>
      </c>
      <c r="M39" s="117" t="str">
        <f aca="false">IF(OR($B39="",$F39="✖ منتهي الخدمة"),"",IF(K39="",IF($E39="غير سعودي","⚠ أدخل التاريخ","-"),IF(L39&lt;0,"✖ منتهية منذ "&amp;TEXT(-L39,"0")&amp;" يوم",IF(L39&lt;=cfg_ALERT,"⚠ تنتهي خلال "&amp;TEXT(L39,"0")&amp;" يوم","✔ سارية"))))</f>
        <v/>
      </c>
      <c r="N39" s="116" t="str">
        <f aca="false">IF($B39="","",IF(F39="✖ منتهي الخدمة",0,IF(الموظفون!$X39&lt;&gt;"",الموظفون!$X39,IF(الموظفون!$E39="غير سعودي",cfg_IQ,0))))</f>
        <v/>
      </c>
      <c r="O39" s="116" t="str">
        <f aca="false">IF($B39="","",IF(F39="✖ منتهي الخدمة",0,IF(الموظفون!$Y39&lt;&gt;"",الموظفون!$Y39,IF(الموظفون!$E39="غير سعودي",cfg_WP,0))))</f>
        <v/>
      </c>
      <c r="P39" s="116" t="str">
        <f aca="false">IF($B39="","",IF(F39="✖ منتهي الخدمة",0,IF(الموظفون!$Z39&lt;&gt;"",الموظفون!$Z39,cfg_MED)))</f>
        <v/>
      </c>
      <c r="Q39" s="116" t="str">
        <f aca="false">IF($B39="","",IF(F39="✖ منتهي الخدمة",0,N(الموظفون!$AA39)))</f>
        <v/>
      </c>
      <c r="R39" s="116" t="str">
        <f aca="false">IF($B39="","",SUM(N39:Q39))</f>
        <v/>
      </c>
      <c r="S39" s="116" t="str">
        <f aca="false">IF($B39="","",R39/12)</f>
        <v/>
      </c>
      <c r="T39" s="116" t="str">
        <f aca="false">IF($B39="","",IF(1&lt;=cfg_VAL_M,'مسير يناير'!AD39+'مسير يناير'!AE39+'مسير يناير'!AF39,0)+IF(2&lt;=cfg_VAL_M,'مسير فبراير'!AD39+'مسير فبراير'!AE39+'مسير فبراير'!AF39,0)+IF(3&lt;=cfg_VAL_M,'مسير مارس'!AD39+'مسير مارس'!AE39+'مسير مارس'!AF39,0)+IF(4&lt;=cfg_VAL_M,'مسير أبريل'!AD39+'مسير أبريل'!AE39+'مسير أبريل'!AF39,0)+IF(5&lt;=cfg_VAL_M,'مسير مايو'!AD39+'مسير مايو'!AE39+'مسير مايو'!AF39,0)+IF(6&lt;=cfg_VAL_M,'مسير يونيو'!AD39+'مسير يونيو'!AE39+'مسير يونيو'!AF39,0)+IF(7&lt;=cfg_VAL_M,'مسير يوليو'!AD39+'مسير يوليو'!AE39+'مسير يوليو'!AF39,0)+IF(8&lt;=cfg_VAL_M,'مسير أغسطس'!AD39+'مسير أغسطس'!AE39+'مسير أغسطس'!AF39,0)+IF(9&lt;=cfg_VAL_M,'مسير سبتمبر'!AD39+'مسير سبتمبر'!AE39+'مسير سبتمبر'!AF39,0)+IF(10&lt;=cfg_VAL_M,'مسير أكتوبر'!AD39+'مسير أكتوبر'!AE39+'مسير أكتوبر'!AF39,0)+IF(11&lt;=cfg_VAL_M,'مسير نوفمبر'!AD39+'مسير نوفمبر'!AE39+'مسير نوفمبر'!AF39,0)+IF(12&lt;=cfg_VAL_M,'مسير ديسمبر'!AD39+'مسير ديسمبر'!AE39+'مسير ديسمبر'!AF39,0))</f>
        <v/>
      </c>
      <c r="U39" s="116" t="str">
        <f aca="false">IF(OR($B39="",F39="✖ منتهي الخدمة"),"",IF(AND(ISNUMBER(I39),I39&lt;=cfg_ALERT),N39,0)+IF(AND(ISNUMBER(L39),L39&lt;=cfg_ALERT),O39,0))</f>
        <v/>
      </c>
    </row>
    <row r="40" customFormat="false" ht="15" hidden="false" customHeight="false" outlineLevel="0" collapsed="false">
      <c r="B40" s="114" t="str">
        <f aca="false">IF(الموظفون!$B40="","",الموظفون!$B40)</f>
        <v/>
      </c>
      <c r="C40" s="114" t="str">
        <f aca="false">IF($B40="","",الموظفون!$C40)</f>
        <v/>
      </c>
      <c r="D40" s="114" t="str">
        <f aca="false">IF($B40="","",الموظفون!$D40)</f>
        <v/>
      </c>
      <c r="E40" s="114" t="str">
        <f aca="false">IF($B40="","",الموظفون!$E40)</f>
        <v/>
      </c>
      <c r="F40" s="114" t="str">
        <f aca="false">IF($B40="","",الموظفون!$AG40)</f>
        <v/>
      </c>
      <c r="G40" s="114" t="str">
        <f aca="false">IF($B40="","",IF(الموظفون!$I40="","",الموظفون!$I40))</f>
        <v/>
      </c>
      <c r="H40" s="174" t="str">
        <f aca="false">IF($B40="","",IF(الموظفون!$J40="","",الموظفون!$J40))</f>
        <v/>
      </c>
      <c r="I40" s="65" t="str">
        <f aca="false">IF(OR($B40="",H40=""),"",H40-cfg_TRACK)</f>
        <v/>
      </c>
      <c r="J40" s="114" t="str">
        <f aca="false">IF(OR($B40="",$F40="✖ منتهي الخدمة"),"",IF(H40="",IF($E40="غير سعودي","⚠ أدخل التاريخ","-"),IF(I40&lt;0,"✖ منتهية منذ "&amp;TEXT(-I40,"0")&amp;" يوم",IF(I40&lt;=cfg_ALERT,"⚠ تنتهي خلال "&amp;TEXT(I40,"0")&amp;" يوم","✔ سارية"))))</f>
        <v/>
      </c>
      <c r="K40" s="174" t="str">
        <f aca="false">IF($B40="","",IF(الموظفون!$K40="","",الموظفون!$K40))</f>
        <v/>
      </c>
      <c r="L40" s="65" t="str">
        <f aca="false">IF(OR($B40="",K40=""),"",K40-cfg_TRACK)</f>
        <v/>
      </c>
      <c r="M40" s="114" t="str">
        <f aca="false">IF(OR($B40="",$F40="✖ منتهي الخدمة"),"",IF(K40="",IF($E40="غير سعودي","⚠ أدخل التاريخ","-"),IF(L40&lt;0,"✖ منتهية منذ "&amp;TEXT(-L40,"0")&amp;" يوم",IF(L40&lt;=cfg_ALERT,"⚠ تنتهي خلال "&amp;TEXT(L40,"0")&amp;" يوم","✔ سارية"))))</f>
        <v/>
      </c>
      <c r="N40" s="111" t="str">
        <f aca="false">IF($B40="","",IF(F40="✖ منتهي الخدمة",0,IF(الموظفون!$X40&lt;&gt;"",الموظفون!$X40,IF(الموظفون!$E40="غير سعودي",cfg_IQ,0))))</f>
        <v/>
      </c>
      <c r="O40" s="111" t="str">
        <f aca="false">IF($B40="","",IF(F40="✖ منتهي الخدمة",0,IF(الموظفون!$Y40&lt;&gt;"",الموظفون!$Y40,IF(الموظفون!$E40="غير سعودي",cfg_WP,0))))</f>
        <v/>
      </c>
      <c r="P40" s="111" t="str">
        <f aca="false">IF($B40="","",IF(F40="✖ منتهي الخدمة",0,IF(الموظفون!$Z40&lt;&gt;"",الموظفون!$Z40,cfg_MED)))</f>
        <v/>
      </c>
      <c r="Q40" s="111" t="str">
        <f aca="false">IF($B40="","",IF(F40="✖ منتهي الخدمة",0,N(الموظفون!$AA40)))</f>
        <v/>
      </c>
      <c r="R40" s="111" t="str">
        <f aca="false">IF($B40="","",SUM(N40:Q40))</f>
        <v/>
      </c>
      <c r="S40" s="111" t="str">
        <f aca="false">IF($B40="","",R40/12)</f>
        <v/>
      </c>
      <c r="T40" s="111" t="str">
        <f aca="false">IF($B40="","",IF(1&lt;=cfg_VAL_M,'مسير يناير'!AD40+'مسير يناير'!AE40+'مسير يناير'!AF40,0)+IF(2&lt;=cfg_VAL_M,'مسير فبراير'!AD40+'مسير فبراير'!AE40+'مسير فبراير'!AF40,0)+IF(3&lt;=cfg_VAL_M,'مسير مارس'!AD40+'مسير مارس'!AE40+'مسير مارس'!AF40,0)+IF(4&lt;=cfg_VAL_M,'مسير أبريل'!AD40+'مسير أبريل'!AE40+'مسير أبريل'!AF40,0)+IF(5&lt;=cfg_VAL_M,'مسير مايو'!AD40+'مسير مايو'!AE40+'مسير مايو'!AF40,0)+IF(6&lt;=cfg_VAL_M,'مسير يونيو'!AD40+'مسير يونيو'!AE40+'مسير يونيو'!AF40,0)+IF(7&lt;=cfg_VAL_M,'مسير يوليو'!AD40+'مسير يوليو'!AE40+'مسير يوليو'!AF40,0)+IF(8&lt;=cfg_VAL_M,'مسير أغسطس'!AD40+'مسير أغسطس'!AE40+'مسير أغسطس'!AF40,0)+IF(9&lt;=cfg_VAL_M,'مسير سبتمبر'!AD40+'مسير سبتمبر'!AE40+'مسير سبتمبر'!AF40,0)+IF(10&lt;=cfg_VAL_M,'مسير أكتوبر'!AD40+'مسير أكتوبر'!AE40+'مسير أكتوبر'!AF40,0)+IF(11&lt;=cfg_VAL_M,'مسير نوفمبر'!AD40+'مسير نوفمبر'!AE40+'مسير نوفمبر'!AF40,0)+IF(12&lt;=cfg_VAL_M,'مسير ديسمبر'!AD40+'مسير ديسمبر'!AE40+'مسير ديسمبر'!AF40,0))</f>
        <v/>
      </c>
      <c r="U40" s="111" t="str">
        <f aca="false">IF(OR($B40="",F40="✖ منتهي الخدمة"),"",IF(AND(ISNUMBER(I40),I40&lt;=cfg_ALERT),N40,0)+IF(AND(ISNUMBER(L40),L40&lt;=cfg_ALERT),O40,0))</f>
        <v/>
      </c>
    </row>
    <row r="41" customFormat="false" ht="15" hidden="false" customHeight="false" outlineLevel="0" collapsed="false">
      <c r="B41" s="117" t="str">
        <f aca="false">IF(الموظفون!$B41="","",الموظفون!$B41)</f>
        <v/>
      </c>
      <c r="C41" s="117" t="str">
        <f aca="false">IF($B41="","",الموظفون!$C41)</f>
        <v/>
      </c>
      <c r="D41" s="117" t="str">
        <f aca="false">IF($B41="","",الموظفون!$D41)</f>
        <v/>
      </c>
      <c r="E41" s="117" t="str">
        <f aca="false">IF($B41="","",الموظفون!$E41)</f>
        <v/>
      </c>
      <c r="F41" s="117" t="str">
        <f aca="false">IF($B41="","",الموظفون!$AG41)</f>
        <v/>
      </c>
      <c r="G41" s="117" t="str">
        <f aca="false">IF($B41="","",IF(الموظفون!$I41="","",الموظفون!$I41))</f>
        <v/>
      </c>
      <c r="H41" s="175" t="str">
        <f aca="false">IF($B41="","",IF(الموظفون!$J41="","",الموظفون!$J41))</f>
        <v/>
      </c>
      <c r="I41" s="133" t="str">
        <f aca="false">IF(OR($B41="",H41=""),"",H41-cfg_TRACK)</f>
        <v/>
      </c>
      <c r="J41" s="117" t="str">
        <f aca="false">IF(OR($B41="",$F41="✖ منتهي الخدمة"),"",IF(H41="",IF($E41="غير سعودي","⚠ أدخل التاريخ","-"),IF(I41&lt;0,"✖ منتهية منذ "&amp;TEXT(-I41,"0")&amp;" يوم",IF(I41&lt;=cfg_ALERT,"⚠ تنتهي خلال "&amp;TEXT(I41,"0")&amp;" يوم","✔ سارية"))))</f>
        <v/>
      </c>
      <c r="K41" s="175" t="str">
        <f aca="false">IF($B41="","",IF(الموظفون!$K41="","",الموظفون!$K41))</f>
        <v/>
      </c>
      <c r="L41" s="133" t="str">
        <f aca="false">IF(OR($B41="",K41=""),"",K41-cfg_TRACK)</f>
        <v/>
      </c>
      <c r="M41" s="117" t="str">
        <f aca="false">IF(OR($B41="",$F41="✖ منتهي الخدمة"),"",IF(K41="",IF($E41="غير سعودي","⚠ أدخل التاريخ","-"),IF(L41&lt;0,"✖ منتهية منذ "&amp;TEXT(-L41,"0")&amp;" يوم",IF(L41&lt;=cfg_ALERT,"⚠ تنتهي خلال "&amp;TEXT(L41,"0")&amp;" يوم","✔ سارية"))))</f>
        <v/>
      </c>
      <c r="N41" s="116" t="str">
        <f aca="false">IF($B41="","",IF(F41="✖ منتهي الخدمة",0,IF(الموظفون!$X41&lt;&gt;"",الموظفون!$X41,IF(الموظفون!$E41="غير سعودي",cfg_IQ,0))))</f>
        <v/>
      </c>
      <c r="O41" s="116" t="str">
        <f aca="false">IF($B41="","",IF(F41="✖ منتهي الخدمة",0,IF(الموظفون!$Y41&lt;&gt;"",الموظفون!$Y41,IF(الموظفون!$E41="غير سعودي",cfg_WP,0))))</f>
        <v/>
      </c>
      <c r="P41" s="116" t="str">
        <f aca="false">IF($B41="","",IF(F41="✖ منتهي الخدمة",0,IF(الموظفون!$Z41&lt;&gt;"",الموظفون!$Z41,cfg_MED)))</f>
        <v/>
      </c>
      <c r="Q41" s="116" t="str">
        <f aca="false">IF($B41="","",IF(F41="✖ منتهي الخدمة",0,N(الموظفون!$AA41)))</f>
        <v/>
      </c>
      <c r="R41" s="116" t="str">
        <f aca="false">IF($B41="","",SUM(N41:Q41))</f>
        <v/>
      </c>
      <c r="S41" s="116" t="str">
        <f aca="false">IF($B41="","",R41/12)</f>
        <v/>
      </c>
      <c r="T41" s="116" t="str">
        <f aca="false">IF($B41="","",IF(1&lt;=cfg_VAL_M,'مسير يناير'!AD41+'مسير يناير'!AE41+'مسير يناير'!AF41,0)+IF(2&lt;=cfg_VAL_M,'مسير فبراير'!AD41+'مسير فبراير'!AE41+'مسير فبراير'!AF41,0)+IF(3&lt;=cfg_VAL_M,'مسير مارس'!AD41+'مسير مارس'!AE41+'مسير مارس'!AF41,0)+IF(4&lt;=cfg_VAL_M,'مسير أبريل'!AD41+'مسير أبريل'!AE41+'مسير أبريل'!AF41,0)+IF(5&lt;=cfg_VAL_M,'مسير مايو'!AD41+'مسير مايو'!AE41+'مسير مايو'!AF41,0)+IF(6&lt;=cfg_VAL_M,'مسير يونيو'!AD41+'مسير يونيو'!AE41+'مسير يونيو'!AF41,0)+IF(7&lt;=cfg_VAL_M,'مسير يوليو'!AD41+'مسير يوليو'!AE41+'مسير يوليو'!AF41,0)+IF(8&lt;=cfg_VAL_M,'مسير أغسطس'!AD41+'مسير أغسطس'!AE41+'مسير أغسطس'!AF41,0)+IF(9&lt;=cfg_VAL_M,'مسير سبتمبر'!AD41+'مسير سبتمبر'!AE41+'مسير سبتمبر'!AF41,0)+IF(10&lt;=cfg_VAL_M,'مسير أكتوبر'!AD41+'مسير أكتوبر'!AE41+'مسير أكتوبر'!AF41,0)+IF(11&lt;=cfg_VAL_M,'مسير نوفمبر'!AD41+'مسير نوفمبر'!AE41+'مسير نوفمبر'!AF41,0)+IF(12&lt;=cfg_VAL_M,'مسير ديسمبر'!AD41+'مسير ديسمبر'!AE41+'مسير ديسمبر'!AF41,0))</f>
        <v/>
      </c>
      <c r="U41" s="116" t="str">
        <f aca="false">IF(OR($B41="",F41="✖ منتهي الخدمة"),"",IF(AND(ISNUMBER(I41),I41&lt;=cfg_ALERT),N41,0)+IF(AND(ISNUMBER(L41),L41&lt;=cfg_ALERT),O41,0))</f>
        <v/>
      </c>
    </row>
    <row r="42" customFormat="false" ht="15" hidden="false" customHeight="false" outlineLevel="0" collapsed="false">
      <c r="B42" s="114" t="str">
        <f aca="false">IF(الموظفون!$B42="","",الموظفون!$B42)</f>
        <v/>
      </c>
      <c r="C42" s="114" t="str">
        <f aca="false">IF($B42="","",الموظفون!$C42)</f>
        <v/>
      </c>
      <c r="D42" s="114" t="str">
        <f aca="false">IF($B42="","",الموظفون!$D42)</f>
        <v/>
      </c>
      <c r="E42" s="114" t="str">
        <f aca="false">IF($B42="","",الموظفون!$E42)</f>
        <v/>
      </c>
      <c r="F42" s="114" t="str">
        <f aca="false">IF($B42="","",الموظفون!$AG42)</f>
        <v/>
      </c>
      <c r="G42" s="114" t="str">
        <f aca="false">IF($B42="","",IF(الموظفون!$I42="","",الموظفون!$I42))</f>
        <v/>
      </c>
      <c r="H42" s="174" t="str">
        <f aca="false">IF($B42="","",IF(الموظفون!$J42="","",الموظفون!$J42))</f>
        <v/>
      </c>
      <c r="I42" s="65" t="str">
        <f aca="false">IF(OR($B42="",H42=""),"",H42-cfg_TRACK)</f>
        <v/>
      </c>
      <c r="J42" s="114" t="str">
        <f aca="false">IF(OR($B42="",$F42="✖ منتهي الخدمة"),"",IF(H42="",IF($E42="غير سعودي","⚠ أدخل التاريخ","-"),IF(I42&lt;0,"✖ منتهية منذ "&amp;TEXT(-I42,"0")&amp;" يوم",IF(I42&lt;=cfg_ALERT,"⚠ تنتهي خلال "&amp;TEXT(I42,"0")&amp;" يوم","✔ سارية"))))</f>
        <v/>
      </c>
      <c r="K42" s="174" t="str">
        <f aca="false">IF($B42="","",IF(الموظفون!$K42="","",الموظفون!$K42))</f>
        <v/>
      </c>
      <c r="L42" s="65" t="str">
        <f aca="false">IF(OR($B42="",K42=""),"",K42-cfg_TRACK)</f>
        <v/>
      </c>
      <c r="M42" s="114" t="str">
        <f aca="false">IF(OR($B42="",$F42="✖ منتهي الخدمة"),"",IF(K42="",IF($E42="غير سعودي","⚠ أدخل التاريخ","-"),IF(L42&lt;0,"✖ منتهية منذ "&amp;TEXT(-L42,"0")&amp;" يوم",IF(L42&lt;=cfg_ALERT,"⚠ تنتهي خلال "&amp;TEXT(L42,"0")&amp;" يوم","✔ سارية"))))</f>
        <v/>
      </c>
      <c r="N42" s="111" t="str">
        <f aca="false">IF($B42="","",IF(F42="✖ منتهي الخدمة",0,IF(الموظفون!$X42&lt;&gt;"",الموظفون!$X42,IF(الموظفون!$E42="غير سعودي",cfg_IQ,0))))</f>
        <v/>
      </c>
      <c r="O42" s="111" t="str">
        <f aca="false">IF($B42="","",IF(F42="✖ منتهي الخدمة",0,IF(الموظفون!$Y42&lt;&gt;"",الموظفون!$Y42,IF(الموظفون!$E42="غير سعودي",cfg_WP,0))))</f>
        <v/>
      </c>
      <c r="P42" s="111" t="str">
        <f aca="false">IF($B42="","",IF(F42="✖ منتهي الخدمة",0,IF(الموظفون!$Z42&lt;&gt;"",الموظفون!$Z42,cfg_MED)))</f>
        <v/>
      </c>
      <c r="Q42" s="111" t="str">
        <f aca="false">IF($B42="","",IF(F42="✖ منتهي الخدمة",0,N(الموظفون!$AA42)))</f>
        <v/>
      </c>
      <c r="R42" s="111" t="str">
        <f aca="false">IF($B42="","",SUM(N42:Q42))</f>
        <v/>
      </c>
      <c r="S42" s="111" t="str">
        <f aca="false">IF($B42="","",R42/12)</f>
        <v/>
      </c>
      <c r="T42" s="111" t="str">
        <f aca="false">IF($B42="","",IF(1&lt;=cfg_VAL_M,'مسير يناير'!AD42+'مسير يناير'!AE42+'مسير يناير'!AF42,0)+IF(2&lt;=cfg_VAL_M,'مسير فبراير'!AD42+'مسير فبراير'!AE42+'مسير فبراير'!AF42,0)+IF(3&lt;=cfg_VAL_M,'مسير مارس'!AD42+'مسير مارس'!AE42+'مسير مارس'!AF42,0)+IF(4&lt;=cfg_VAL_M,'مسير أبريل'!AD42+'مسير أبريل'!AE42+'مسير أبريل'!AF42,0)+IF(5&lt;=cfg_VAL_M,'مسير مايو'!AD42+'مسير مايو'!AE42+'مسير مايو'!AF42,0)+IF(6&lt;=cfg_VAL_M,'مسير يونيو'!AD42+'مسير يونيو'!AE42+'مسير يونيو'!AF42,0)+IF(7&lt;=cfg_VAL_M,'مسير يوليو'!AD42+'مسير يوليو'!AE42+'مسير يوليو'!AF42,0)+IF(8&lt;=cfg_VAL_M,'مسير أغسطس'!AD42+'مسير أغسطس'!AE42+'مسير أغسطس'!AF42,0)+IF(9&lt;=cfg_VAL_M,'مسير سبتمبر'!AD42+'مسير سبتمبر'!AE42+'مسير سبتمبر'!AF42,0)+IF(10&lt;=cfg_VAL_M,'مسير أكتوبر'!AD42+'مسير أكتوبر'!AE42+'مسير أكتوبر'!AF42,0)+IF(11&lt;=cfg_VAL_M,'مسير نوفمبر'!AD42+'مسير نوفمبر'!AE42+'مسير نوفمبر'!AF42,0)+IF(12&lt;=cfg_VAL_M,'مسير ديسمبر'!AD42+'مسير ديسمبر'!AE42+'مسير ديسمبر'!AF42,0))</f>
        <v/>
      </c>
      <c r="U42" s="111" t="str">
        <f aca="false">IF(OR($B42="",F42="✖ منتهي الخدمة"),"",IF(AND(ISNUMBER(I42),I42&lt;=cfg_ALERT),N42,0)+IF(AND(ISNUMBER(L42),L42&lt;=cfg_ALERT),O42,0))</f>
        <v/>
      </c>
    </row>
    <row r="43" customFormat="false" ht="15" hidden="false" customHeight="false" outlineLevel="0" collapsed="false">
      <c r="B43" s="117" t="str">
        <f aca="false">IF(الموظفون!$B43="","",الموظفون!$B43)</f>
        <v/>
      </c>
      <c r="C43" s="117" t="str">
        <f aca="false">IF($B43="","",الموظفون!$C43)</f>
        <v/>
      </c>
      <c r="D43" s="117" t="str">
        <f aca="false">IF($B43="","",الموظفون!$D43)</f>
        <v/>
      </c>
      <c r="E43" s="117" t="str">
        <f aca="false">IF($B43="","",الموظفون!$E43)</f>
        <v/>
      </c>
      <c r="F43" s="117" t="str">
        <f aca="false">IF($B43="","",الموظفون!$AG43)</f>
        <v/>
      </c>
      <c r="G43" s="117" t="str">
        <f aca="false">IF($B43="","",IF(الموظفون!$I43="","",الموظفون!$I43))</f>
        <v/>
      </c>
      <c r="H43" s="175" t="str">
        <f aca="false">IF($B43="","",IF(الموظفون!$J43="","",الموظفون!$J43))</f>
        <v/>
      </c>
      <c r="I43" s="133" t="str">
        <f aca="false">IF(OR($B43="",H43=""),"",H43-cfg_TRACK)</f>
        <v/>
      </c>
      <c r="J43" s="117" t="str">
        <f aca="false">IF(OR($B43="",$F43="✖ منتهي الخدمة"),"",IF(H43="",IF($E43="غير سعودي","⚠ أدخل التاريخ","-"),IF(I43&lt;0,"✖ منتهية منذ "&amp;TEXT(-I43,"0")&amp;" يوم",IF(I43&lt;=cfg_ALERT,"⚠ تنتهي خلال "&amp;TEXT(I43,"0")&amp;" يوم","✔ سارية"))))</f>
        <v/>
      </c>
      <c r="K43" s="175" t="str">
        <f aca="false">IF($B43="","",IF(الموظفون!$K43="","",الموظفون!$K43))</f>
        <v/>
      </c>
      <c r="L43" s="133" t="str">
        <f aca="false">IF(OR($B43="",K43=""),"",K43-cfg_TRACK)</f>
        <v/>
      </c>
      <c r="M43" s="117" t="str">
        <f aca="false">IF(OR($B43="",$F43="✖ منتهي الخدمة"),"",IF(K43="",IF($E43="غير سعودي","⚠ أدخل التاريخ","-"),IF(L43&lt;0,"✖ منتهية منذ "&amp;TEXT(-L43,"0")&amp;" يوم",IF(L43&lt;=cfg_ALERT,"⚠ تنتهي خلال "&amp;TEXT(L43,"0")&amp;" يوم","✔ سارية"))))</f>
        <v/>
      </c>
      <c r="N43" s="116" t="str">
        <f aca="false">IF($B43="","",IF(F43="✖ منتهي الخدمة",0,IF(الموظفون!$X43&lt;&gt;"",الموظفون!$X43,IF(الموظفون!$E43="غير سعودي",cfg_IQ,0))))</f>
        <v/>
      </c>
      <c r="O43" s="116" t="str">
        <f aca="false">IF($B43="","",IF(F43="✖ منتهي الخدمة",0,IF(الموظفون!$Y43&lt;&gt;"",الموظفون!$Y43,IF(الموظفون!$E43="غير سعودي",cfg_WP,0))))</f>
        <v/>
      </c>
      <c r="P43" s="116" t="str">
        <f aca="false">IF($B43="","",IF(F43="✖ منتهي الخدمة",0,IF(الموظفون!$Z43&lt;&gt;"",الموظفون!$Z43,cfg_MED)))</f>
        <v/>
      </c>
      <c r="Q43" s="116" t="str">
        <f aca="false">IF($B43="","",IF(F43="✖ منتهي الخدمة",0,N(الموظفون!$AA43)))</f>
        <v/>
      </c>
      <c r="R43" s="116" t="str">
        <f aca="false">IF($B43="","",SUM(N43:Q43))</f>
        <v/>
      </c>
      <c r="S43" s="116" t="str">
        <f aca="false">IF($B43="","",R43/12)</f>
        <v/>
      </c>
      <c r="T43" s="116" t="str">
        <f aca="false">IF($B43="","",IF(1&lt;=cfg_VAL_M,'مسير يناير'!AD43+'مسير يناير'!AE43+'مسير يناير'!AF43,0)+IF(2&lt;=cfg_VAL_M,'مسير فبراير'!AD43+'مسير فبراير'!AE43+'مسير فبراير'!AF43,0)+IF(3&lt;=cfg_VAL_M,'مسير مارس'!AD43+'مسير مارس'!AE43+'مسير مارس'!AF43,0)+IF(4&lt;=cfg_VAL_M,'مسير أبريل'!AD43+'مسير أبريل'!AE43+'مسير أبريل'!AF43,0)+IF(5&lt;=cfg_VAL_M,'مسير مايو'!AD43+'مسير مايو'!AE43+'مسير مايو'!AF43,0)+IF(6&lt;=cfg_VAL_M,'مسير يونيو'!AD43+'مسير يونيو'!AE43+'مسير يونيو'!AF43,0)+IF(7&lt;=cfg_VAL_M,'مسير يوليو'!AD43+'مسير يوليو'!AE43+'مسير يوليو'!AF43,0)+IF(8&lt;=cfg_VAL_M,'مسير أغسطس'!AD43+'مسير أغسطس'!AE43+'مسير أغسطس'!AF43,0)+IF(9&lt;=cfg_VAL_M,'مسير سبتمبر'!AD43+'مسير سبتمبر'!AE43+'مسير سبتمبر'!AF43,0)+IF(10&lt;=cfg_VAL_M,'مسير أكتوبر'!AD43+'مسير أكتوبر'!AE43+'مسير أكتوبر'!AF43,0)+IF(11&lt;=cfg_VAL_M,'مسير نوفمبر'!AD43+'مسير نوفمبر'!AE43+'مسير نوفمبر'!AF43,0)+IF(12&lt;=cfg_VAL_M,'مسير ديسمبر'!AD43+'مسير ديسمبر'!AE43+'مسير ديسمبر'!AF43,0))</f>
        <v/>
      </c>
      <c r="U43" s="116" t="str">
        <f aca="false">IF(OR($B43="",F43="✖ منتهي الخدمة"),"",IF(AND(ISNUMBER(I43),I43&lt;=cfg_ALERT),N43,0)+IF(AND(ISNUMBER(L43),L43&lt;=cfg_ALERT),O43,0))</f>
        <v/>
      </c>
    </row>
    <row r="44" customFormat="false" ht="15" hidden="false" customHeight="false" outlineLevel="0" collapsed="false">
      <c r="B44" s="114" t="str">
        <f aca="false">IF(الموظفون!$B44="","",الموظفون!$B44)</f>
        <v/>
      </c>
      <c r="C44" s="114" t="str">
        <f aca="false">IF($B44="","",الموظفون!$C44)</f>
        <v/>
      </c>
      <c r="D44" s="114" t="str">
        <f aca="false">IF($B44="","",الموظفون!$D44)</f>
        <v/>
      </c>
      <c r="E44" s="114" t="str">
        <f aca="false">IF($B44="","",الموظفون!$E44)</f>
        <v/>
      </c>
      <c r="F44" s="114" t="str">
        <f aca="false">IF($B44="","",الموظفون!$AG44)</f>
        <v/>
      </c>
      <c r="G44" s="114" t="str">
        <f aca="false">IF($B44="","",IF(الموظفون!$I44="","",الموظفون!$I44))</f>
        <v/>
      </c>
      <c r="H44" s="174" t="str">
        <f aca="false">IF($B44="","",IF(الموظفون!$J44="","",الموظفون!$J44))</f>
        <v/>
      </c>
      <c r="I44" s="65" t="str">
        <f aca="false">IF(OR($B44="",H44=""),"",H44-cfg_TRACK)</f>
        <v/>
      </c>
      <c r="J44" s="114" t="str">
        <f aca="false">IF(OR($B44="",$F44="✖ منتهي الخدمة"),"",IF(H44="",IF($E44="غير سعودي","⚠ أدخل التاريخ","-"),IF(I44&lt;0,"✖ منتهية منذ "&amp;TEXT(-I44,"0")&amp;" يوم",IF(I44&lt;=cfg_ALERT,"⚠ تنتهي خلال "&amp;TEXT(I44,"0")&amp;" يوم","✔ سارية"))))</f>
        <v/>
      </c>
      <c r="K44" s="174" t="str">
        <f aca="false">IF($B44="","",IF(الموظفون!$K44="","",الموظفون!$K44))</f>
        <v/>
      </c>
      <c r="L44" s="65" t="str">
        <f aca="false">IF(OR($B44="",K44=""),"",K44-cfg_TRACK)</f>
        <v/>
      </c>
      <c r="M44" s="114" t="str">
        <f aca="false">IF(OR($B44="",$F44="✖ منتهي الخدمة"),"",IF(K44="",IF($E44="غير سعودي","⚠ أدخل التاريخ","-"),IF(L44&lt;0,"✖ منتهية منذ "&amp;TEXT(-L44,"0")&amp;" يوم",IF(L44&lt;=cfg_ALERT,"⚠ تنتهي خلال "&amp;TEXT(L44,"0")&amp;" يوم","✔ سارية"))))</f>
        <v/>
      </c>
      <c r="N44" s="111" t="str">
        <f aca="false">IF($B44="","",IF(F44="✖ منتهي الخدمة",0,IF(الموظفون!$X44&lt;&gt;"",الموظفون!$X44,IF(الموظفون!$E44="غير سعودي",cfg_IQ,0))))</f>
        <v/>
      </c>
      <c r="O44" s="111" t="str">
        <f aca="false">IF($B44="","",IF(F44="✖ منتهي الخدمة",0,IF(الموظفون!$Y44&lt;&gt;"",الموظفون!$Y44,IF(الموظفون!$E44="غير سعودي",cfg_WP,0))))</f>
        <v/>
      </c>
      <c r="P44" s="111" t="str">
        <f aca="false">IF($B44="","",IF(F44="✖ منتهي الخدمة",0,IF(الموظفون!$Z44&lt;&gt;"",الموظفون!$Z44,cfg_MED)))</f>
        <v/>
      </c>
      <c r="Q44" s="111" t="str">
        <f aca="false">IF($B44="","",IF(F44="✖ منتهي الخدمة",0,N(الموظفون!$AA44)))</f>
        <v/>
      </c>
      <c r="R44" s="111" t="str">
        <f aca="false">IF($B44="","",SUM(N44:Q44))</f>
        <v/>
      </c>
      <c r="S44" s="111" t="str">
        <f aca="false">IF($B44="","",R44/12)</f>
        <v/>
      </c>
      <c r="T44" s="111" t="str">
        <f aca="false">IF($B44="","",IF(1&lt;=cfg_VAL_M,'مسير يناير'!AD44+'مسير يناير'!AE44+'مسير يناير'!AF44,0)+IF(2&lt;=cfg_VAL_M,'مسير فبراير'!AD44+'مسير فبراير'!AE44+'مسير فبراير'!AF44,0)+IF(3&lt;=cfg_VAL_M,'مسير مارس'!AD44+'مسير مارس'!AE44+'مسير مارس'!AF44,0)+IF(4&lt;=cfg_VAL_M,'مسير أبريل'!AD44+'مسير أبريل'!AE44+'مسير أبريل'!AF44,0)+IF(5&lt;=cfg_VAL_M,'مسير مايو'!AD44+'مسير مايو'!AE44+'مسير مايو'!AF44,0)+IF(6&lt;=cfg_VAL_M,'مسير يونيو'!AD44+'مسير يونيو'!AE44+'مسير يونيو'!AF44,0)+IF(7&lt;=cfg_VAL_M,'مسير يوليو'!AD44+'مسير يوليو'!AE44+'مسير يوليو'!AF44,0)+IF(8&lt;=cfg_VAL_M,'مسير أغسطس'!AD44+'مسير أغسطس'!AE44+'مسير أغسطس'!AF44,0)+IF(9&lt;=cfg_VAL_M,'مسير سبتمبر'!AD44+'مسير سبتمبر'!AE44+'مسير سبتمبر'!AF44,0)+IF(10&lt;=cfg_VAL_M,'مسير أكتوبر'!AD44+'مسير أكتوبر'!AE44+'مسير أكتوبر'!AF44,0)+IF(11&lt;=cfg_VAL_M,'مسير نوفمبر'!AD44+'مسير نوفمبر'!AE44+'مسير نوفمبر'!AF44,0)+IF(12&lt;=cfg_VAL_M,'مسير ديسمبر'!AD44+'مسير ديسمبر'!AE44+'مسير ديسمبر'!AF44,0))</f>
        <v/>
      </c>
      <c r="U44" s="111" t="str">
        <f aca="false">IF(OR($B44="",F44="✖ منتهي الخدمة"),"",IF(AND(ISNUMBER(I44),I44&lt;=cfg_ALERT),N44,0)+IF(AND(ISNUMBER(L44),L44&lt;=cfg_ALERT),O44,0))</f>
        <v/>
      </c>
    </row>
    <row r="45" customFormat="false" ht="15" hidden="false" customHeight="false" outlineLevel="0" collapsed="false">
      <c r="B45" s="117" t="str">
        <f aca="false">IF(الموظفون!$B45="","",الموظفون!$B45)</f>
        <v/>
      </c>
      <c r="C45" s="117" t="str">
        <f aca="false">IF($B45="","",الموظفون!$C45)</f>
        <v/>
      </c>
      <c r="D45" s="117" t="str">
        <f aca="false">IF($B45="","",الموظفون!$D45)</f>
        <v/>
      </c>
      <c r="E45" s="117" t="str">
        <f aca="false">IF($B45="","",الموظفون!$E45)</f>
        <v/>
      </c>
      <c r="F45" s="117" t="str">
        <f aca="false">IF($B45="","",الموظفون!$AG45)</f>
        <v/>
      </c>
      <c r="G45" s="117" t="str">
        <f aca="false">IF($B45="","",IF(الموظفون!$I45="","",الموظفون!$I45))</f>
        <v/>
      </c>
      <c r="H45" s="175" t="str">
        <f aca="false">IF($B45="","",IF(الموظفون!$J45="","",الموظفون!$J45))</f>
        <v/>
      </c>
      <c r="I45" s="133" t="str">
        <f aca="false">IF(OR($B45="",H45=""),"",H45-cfg_TRACK)</f>
        <v/>
      </c>
      <c r="J45" s="117" t="str">
        <f aca="false">IF(OR($B45="",$F45="✖ منتهي الخدمة"),"",IF(H45="",IF($E45="غير سعودي","⚠ أدخل التاريخ","-"),IF(I45&lt;0,"✖ منتهية منذ "&amp;TEXT(-I45,"0")&amp;" يوم",IF(I45&lt;=cfg_ALERT,"⚠ تنتهي خلال "&amp;TEXT(I45,"0")&amp;" يوم","✔ سارية"))))</f>
        <v/>
      </c>
      <c r="K45" s="175" t="str">
        <f aca="false">IF($B45="","",IF(الموظفون!$K45="","",الموظفون!$K45))</f>
        <v/>
      </c>
      <c r="L45" s="133" t="str">
        <f aca="false">IF(OR($B45="",K45=""),"",K45-cfg_TRACK)</f>
        <v/>
      </c>
      <c r="M45" s="117" t="str">
        <f aca="false">IF(OR($B45="",$F45="✖ منتهي الخدمة"),"",IF(K45="",IF($E45="غير سعودي","⚠ أدخل التاريخ","-"),IF(L45&lt;0,"✖ منتهية منذ "&amp;TEXT(-L45,"0")&amp;" يوم",IF(L45&lt;=cfg_ALERT,"⚠ تنتهي خلال "&amp;TEXT(L45,"0")&amp;" يوم","✔ سارية"))))</f>
        <v/>
      </c>
      <c r="N45" s="116" t="str">
        <f aca="false">IF($B45="","",IF(F45="✖ منتهي الخدمة",0,IF(الموظفون!$X45&lt;&gt;"",الموظفون!$X45,IF(الموظفون!$E45="غير سعودي",cfg_IQ,0))))</f>
        <v/>
      </c>
      <c r="O45" s="116" t="str">
        <f aca="false">IF($B45="","",IF(F45="✖ منتهي الخدمة",0,IF(الموظفون!$Y45&lt;&gt;"",الموظفون!$Y45,IF(الموظفون!$E45="غير سعودي",cfg_WP,0))))</f>
        <v/>
      </c>
      <c r="P45" s="116" t="str">
        <f aca="false">IF($B45="","",IF(F45="✖ منتهي الخدمة",0,IF(الموظفون!$Z45&lt;&gt;"",الموظفون!$Z45,cfg_MED)))</f>
        <v/>
      </c>
      <c r="Q45" s="116" t="str">
        <f aca="false">IF($B45="","",IF(F45="✖ منتهي الخدمة",0,N(الموظفون!$AA45)))</f>
        <v/>
      </c>
      <c r="R45" s="116" t="str">
        <f aca="false">IF($B45="","",SUM(N45:Q45))</f>
        <v/>
      </c>
      <c r="S45" s="116" t="str">
        <f aca="false">IF($B45="","",R45/12)</f>
        <v/>
      </c>
      <c r="T45" s="116" t="str">
        <f aca="false">IF($B45="","",IF(1&lt;=cfg_VAL_M,'مسير يناير'!AD45+'مسير يناير'!AE45+'مسير يناير'!AF45,0)+IF(2&lt;=cfg_VAL_M,'مسير فبراير'!AD45+'مسير فبراير'!AE45+'مسير فبراير'!AF45,0)+IF(3&lt;=cfg_VAL_M,'مسير مارس'!AD45+'مسير مارس'!AE45+'مسير مارس'!AF45,0)+IF(4&lt;=cfg_VAL_M,'مسير أبريل'!AD45+'مسير أبريل'!AE45+'مسير أبريل'!AF45,0)+IF(5&lt;=cfg_VAL_M,'مسير مايو'!AD45+'مسير مايو'!AE45+'مسير مايو'!AF45,0)+IF(6&lt;=cfg_VAL_M,'مسير يونيو'!AD45+'مسير يونيو'!AE45+'مسير يونيو'!AF45,0)+IF(7&lt;=cfg_VAL_M,'مسير يوليو'!AD45+'مسير يوليو'!AE45+'مسير يوليو'!AF45,0)+IF(8&lt;=cfg_VAL_M,'مسير أغسطس'!AD45+'مسير أغسطس'!AE45+'مسير أغسطس'!AF45,0)+IF(9&lt;=cfg_VAL_M,'مسير سبتمبر'!AD45+'مسير سبتمبر'!AE45+'مسير سبتمبر'!AF45,0)+IF(10&lt;=cfg_VAL_M,'مسير أكتوبر'!AD45+'مسير أكتوبر'!AE45+'مسير أكتوبر'!AF45,0)+IF(11&lt;=cfg_VAL_M,'مسير نوفمبر'!AD45+'مسير نوفمبر'!AE45+'مسير نوفمبر'!AF45,0)+IF(12&lt;=cfg_VAL_M,'مسير ديسمبر'!AD45+'مسير ديسمبر'!AE45+'مسير ديسمبر'!AF45,0))</f>
        <v/>
      </c>
      <c r="U45" s="116" t="str">
        <f aca="false">IF(OR($B45="",F45="✖ منتهي الخدمة"),"",IF(AND(ISNUMBER(I45),I45&lt;=cfg_ALERT),N45,0)+IF(AND(ISNUMBER(L45),L45&lt;=cfg_ALERT),O45,0))</f>
        <v/>
      </c>
    </row>
    <row r="46" customFormat="false" ht="15" hidden="false" customHeight="false" outlineLevel="0" collapsed="false">
      <c r="B46" s="114" t="str">
        <f aca="false">IF(الموظفون!$B46="","",الموظفون!$B46)</f>
        <v/>
      </c>
      <c r="C46" s="114" t="str">
        <f aca="false">IF($B46="","",الموظفون!$C46)</f>
        <v/>
      </c>
      <c r="D46" s="114" t="str">
        <f aca="false">IF($B46="","",الموظفون!$D46)</f>
        <v/>
      </c>
      <c r="E46" s="114" t="str">
        <f aca="false">IF($B46="","",الموظفون!$E46)</f>
        <v/>
      </c>
      <c r="F46" s="114" t="str">
        <f aca="false">IF($B46="","",الموظفون!$AG46)</f>
        <v/>
      </c>
      <c r="G46" s="114" t="str">
        <f aca="false">IF($B46="","",IF(الموظفون!$I46="","",الموظفون!$I46))</f>
        <v/>
      </c>
      <c r="H46" s="174" t="str">
        <f aca="false">IF($B46="","",IF(الموظفون!$J46="","",الموظفون!$J46))</f>
        <v/>
      </c>
      <c r="I46" s="65" t="str">
        <f aca="false">IF(OR($B46="",H46=""),"",H46-cfg_TRACK)</f>
        <v/>
      </c>
      <c r="J46" s="114" t="str">
        <f aca="false">IF(OR($B46="",$F46="✖ منتهي الخدمة"),"",IF(H46="",IF($E46="غير سعودي","⚠ أدخل التاريخ","-"),IF(I46&lt;0,"✖ منتهية منذ "&amp;TEXT(-I46,"0")&amp;" يوم",IF(I46&lt;=cfg_ALERT,"⚠ تنتهي خلال "&amp;TEXT(I46,"0")&amp;" يوم","✔ سارية"))))</f>
        <v/>
      </c>
      <c r="K46" s="174" t="str">
        <f aca="false">IF($B46="","",IF(الموظفون!$K46="","",الموظفون!$K46))</f>
        <v/>
      </c>
      <c r="L46" s="65" t="str">
        <f aca="false">IF(OR($B46="",K46=""),"",K46-cfg_TRACK)</f>
        <v/>
      </c>
      <c r="M46" s="114" t="str">
        <f aca="false">IF(OR($B46="",$F46="✖ منتهي الخدمة"),"",IF(K46="",IF($E46="غير سعودي","⚠ أدخل التاريخ","-"),IF(L46&lt;0,"✖ منتهية منذ "&amp;TEXT(-L46,"0")&amp;" يوم",IF(L46&lt;=cfg_ALERT,"⚠ تنتهي خلال "&amp;TEXT(L46,"0")&amp;" يوم","✔ سارية"))))</f>
        <v/>
      </c>
      <c r="N46" s="111" t="str">
        <f aca="false">IF($B46="","",IF(F46="✖ منتهي الخدمة",0,IF(الموظفون!$X46&lt;&gt;"",الموظفون!$X46,IF(الموظفون!$E46="غير سعودي",cfg_IQ,0))))</f>
        <v/>
      </c>
      <c r="O46" s="111" t="str">
        <f aca="false">IF($B46="","",IF(F46="✖ منتهي الخدمة",0,IF(الموظفون!$Y46&lt;&gt;"",الموظفون!$Y46,IF(الموظفون!$E46="غير سعودي",cfg_WP,0))))</f>
        <v/>
      </c>
      <c r="P46" s="111" t="str">
        <f aca="false">IF($B46="","",IF(F46="✖ منتهي الخدمة",0,IF(الموظفون!$Z46&lt;&gt;"",الموظفون!$Z46,cfg_MED)))</f>
        <v/>
      </c>
      <c r="Q46" s="111" t="str">
        <f aca="false">IF($B46="","",IF(F46="✖ منتهي الخدمة",0,N(الموظفون!$AA46)))</f>
        <v/>
      </c>
      <c r="R46" s="111" t="str">
        <f aca="false">IF($B46="","",SUM(N46:Q46))</f>
        <v/>
      </c>
      <c r="S46" s="111" t="str">
        <f aca="false">IF($B46="","",R46/12)</f>
        <v/>
      </c>
      <c r="T46" s="111" t="str">
        <f aca="false">IF($B46="","",IF(1&lt;=cfg_VAL_M,'مسير يناير'!AD46+'مسير يناير'!AE46+'مسير يناير'!AF46,0)+IF(2&lt;=cfg_VAL_M,'مسير فبراير'!AD46+'مسير فبراير'!AE46+'مسير فبراير'!AF46,0)+IF(3&lt;=cfg_VAL_M,'مسير مارس'!AD46+'مسير مارس'!AE46+'مسير مارس'!AF46,0)+IF(4&lt;=cfg_VAL_M,'مسير أبريل'!AD46+'مسير أبريل'!AE46+'مسير أبريل'!AF46,0)+IF(5&lt;=cfg_VAL_M,'مسير مايو'!AD46+'مسير مايو'!AE46+'مسير مايو'!AF46,0)+IF(6&lt;=cfg_VAL_M,'مسير يونيو'!AD46+'مسير يونيو'!AE46+'مسير يونيو'!AF46,0)+IF(7&lt;=cfg_VAL_M,'مسير يوليو'!AD46+'مسير يوليو'!AE46+'مسير يوليو'!AF46,0)+IF(8&lt;=cfg_VAL_M,'مسير أغسطس'!AD46+'مسير أغسطس'!AE46+'مسير أغسطس'!AF46,0)+IF(9&lt;=cfg_VAL_M,'مسير سبتمبر'!AD46+'مسير سبتمبر'!AE46+'مسير سبتمبر'!AF46,0)+IF(10&lt;=cfg_VAL_M,'مسير أكتوبر'!AD46+'مسير أكتوبر'!AE46+'مسير أكتوبر'!AF46,0)+IF(11&lt;=cfg_VAL_M,'مسير نوفمبر'!AD46+'مسير نوفمبر'!AE46+'مسير نوفمبر'!AF46,0)+IF(12&lt;=cfg_VAL_M,'مسير ديسمبر'!AD46+'مسير ديسمبر'!AE46+'مسير ديسمبر'!AF46,0))</f>
        <v/>
      </c>
      <c r="U46" s="111" t="str">
        <f aca="false">IF(OR($B46="",F46="✖ منتهي الخدمة"),"",IF(AND(ISNUMBER(I46),I46&lt;=cfg_ALERT),N46,0)+IF(AND(ISNUMBER(L46),L46&lt;=cfg_ALERT),O46,0))</f>
        <v/>
      </c>
    </row>
    <row r="47" customFormat="false" ht="15" hidden="false" customHeight="false" outlineLevel="0" collapsed="false">
      <c r="B47" s="117" t="str">
        <f aca="false">IF(الموظفون!$B47="","",الموظفون!$B47)</f>
        <v/>
      </c>
      <c r="C47" s="117" t="str">
        <f aca="false">IF($B47="","",الموظفون!$C47)</f>
        <v/>
      </c>
      <c r="D47" s="117" t="str">
        <f aca="false">IF($B47="","",الموظفون!$D47)</f>
        <v/>
      </c>
      <c r="E47" s="117" t="str">
        <f aca="false">IF($B47="","",الموظفون!$E47)</f>
        <v/>
      </c>
      <c r="F47" s="117" t="str">
        <f aca="false">IF($B47="","",الموظفون!$AG47)</f>
        <v/>
      </c>
      <c r="G47" s="117" t="str">
        <f aca="false">IF($B47="","",IF(الموظفون!$I47="","",الموظفون!$I47))</f>
        <v/>
      </c>
      <c r="H47" s="175" t="str">
        <f aca="false">IF($B47="","",IF(الموظفون!$J47="","",الموظفون!$J47))</f>
        <v/>
      </c>
      <c r="I47" s="133" t="str">
        <f aca="false">IF(OR($B47="",H47=""),"",H47-cfg_TRACK)</f>
        <v/>
      </c>
      <c r="J47" s="117" t="str">
        <f aca="false">IF(OR($B47="",$F47="✖ منتهي الخدمة"),"",IF(H47="",IF($E47="غير سعودي","⚠ أدخل التاريخ","-"),IF(I47&lt;0,"✖ منتهية منذ "&amp;TEXT(-I47,"0")&amp;" يوم",IF(I47&lt;=cfg_ALERT,"⚠ تنتهي خلال "&amp;TEXT(I47,"0")&amp;" يوم","✔ سارية"))))</f>
        <v/>
      </c>
      <c r="K47" s="175" t="str">
        <f aca="false">IF($B47="","",IF(الموظفون!$K47="","",الموظفون!$K47))</f>
        <v/>
      </c>
      <c r="L47" s="133" t="str">
        <f aca="false">IF(OR($B47="",K47=""),"",K47-cfg_TRACK)</f>
        <v/>
      </c>
      <c r="M47" s="117" t="str">
        <f aca="false">IF(OR($B47="",$F47="✖ منتهي الخدمة"),"",IF(K47="",IF($E47="غير سعودي","⚠ أدخل التاريخ","-"),IF(L47&lt;0,"✖ منتهية منذ "&amp;TEXT(-L47,"0")&amp;" يوم",IF(L47&lt;=cfg_ALERT,"⚠ تنتهي خلال "&amp;TEXT(L47,"0")&amp;" يوم","✔ سارية"))))</f>
        <v/>
      </c>
      <c r="N47" s="116" t="str">
        <f aca="false">IF($B47="","",IF(F47="✖ منتهي الخدمة",0,IF(الموظفون!$X47&lt;&gt;"",الموظفون!$X47,IF(الموظفون!$E47="غير سعودي",cfg_IQ,0))))</f>
        <v/>
      </c>
      <c r="O47" s="116" t="str">
        <f aca="false">IF($B47="","",IF(F47="✖ منتهي الخدمة",0,IF(الموظفون!$Y47&lt;&gt;"",الموظفون!$Y47,IF(الموظفون!$E47="غير سعودي",cfg_WP,0))))</f>
        <v/>
      </c>
      <c r="P47" s="116" t="str">
        <f aca="false">IF($B47="","",IF(F47="✖ منتهي الخدمة",0,IF(الموظفون!$Z47&lt;&gt;"",الموظفون!$Z47,cfg_MED)))</f>
        <v/>
      </c>
      <c r="Q47" s="116" t="str">
        <f aca="false">IF($B47="","",IF(F47="✖ منتهي الخدمة",0,N(الموظفون!$AA47)))</f>
        <v/>
      </c>
      <c r="R47" s="116" t="str">
        <f aca="false">IF($B47="","",SUM(N47:Q47))</f>
        <v/>
      </c>
      <c r="S47" s="116" t="str">
        <f aca="false">IF($B47="","",R47/12)</f>
        <v/>
      </c>
      <c r="T47" s="116" t="str">
        <f aca="false">IF($B47="","",IF(1&lt;=cfg_VAL_M,'مسير يناير'!AD47+'مسير يناير'!AE47+'مسير يناير'!AF47,0)+IF(2&lt;=cfg_VAL_M,'مسير فبراير'!AD47+'مسير فبراير'!AE47+'مسير فبراير'!AF47,0)+IF(3&lt;=cfg_VAL_M,'مسير مارس'!AD47+'مسير مارس'!AE47+'مسير مارس'!AF47,0)+IF(4&lt;=cfg_VAL_M,'مسير أبريل'!AD47+'مسير أبريل'!AE47+'مسير أبريل'!AF47,0)+IF(5&lt;=cfg_VAL_M,'مسير مايو'!AD47+'مسير مايو'!AE47+'مسير مايو'!AF47,0)+IF(6&lt;=cfg_VAL_M,'مسير يونيو'!AD47+'مسير يونيو'!AE47+'مسير يونيو'!AF47,0)+IF(7&lt;=cfg_VAL_M,'مسير يوليو'!AD47+'مسير يوليو'!AE47+'مسير يوليو'!AF47,0)+IF(8&lt;=cfg_VAL_M,'مسير أغسطس'!AD47+'مسير أغسطس'!AE47+'مسير أغسطس'!AF47,0)+IF(9&lt;=cfg_VAL_M,'مسير سبتمبر'!AD47+'مسير سبتمبر'!AE47+'مسير سبتمبر'!AF47,0)+IF(10&lt;=cfg_VAL_M,'مسير أكتوبر'!AD47+'مسير أكتوبر'!AE47+'مسير أكتوبر'!AF47,0)+IF(11&lt;=cfg_VAL_M,'مسير نوفمبر'!AD47+'مسير نوفمبر'!AE47+'مسير نوفمبر'!AF47,0)+IF(12&lt;=cfg_VAL_M,'مسير ديسمبر'!AD47+'مسير ديسمبر'!AE47+'مسير ديسمبر'!AF47,0))</f>
        <v/>
      </c>
      <c r="U47" s="116" t="str">
        <f aca="false">IF(OR($B47="",F47="✖ منتهي الخدمة"),"",IF(AND(ISNUMBER(I47),I47&lt;=cfg_ALERT),N47,0)+IF(AND(ISNUMBER(L47),L47&lt;=cfg_ALERT),O47,0))</f>
        <v/>
      </c>
    </row>
    <row r="48" customFormat="false" ht="15" hidden="false" customHeight="false" outlineLevel="0" collapsed="false">
      <c r="B48" s="114" t="str">
        <f aca="false">IF(الموظفون!$B48="","",الموظفون!$B48)</f>
        <v/>
      </c>
      <c r="C48" s="114" t="str">
        <f aca="false">IF($B48="","",الموظفون!$C48)</f>
        <v/>
      </c>
      <c r="D48" s="114" t="str">
        <f aca="false">IF($B48="","",الموظفون!$D48)</f>
        <v/>
      </c>
      <c r="E48" s="114" t="str">
        <f aca="false">IF($B48="","",الموظفون!$E48)</f>
        <v/>
      </c>
      <c r="F48" s="114" t="str">
        <f aca="false">IF($B48="","",الموظفون!$AG48)</f>
        <v/>
      </c>
      <c r="G48" s="114" t="str">
        <f aca="false">IF($B48="","",IF(الموظفون!$I48="","",الموظفون!$I48))</f>
        <v/>
      </c>
      <c r="H48" s="174" t="str">
        <f aca="false">IF($B48="","",IF(الموظفون!$J48="","",الموظفون!$J48))</f>
        <v/>
      </c>
      <c r="I48" s="65" t="str">
        <f aca="false">IF(OR($B48="",H48=""),"",H48-cfg_TRACK)</f>
        <v/>
      </c>
      <c r="J48" s="114" t="str">
        <f aca="false">IF(OR($B48="",$F48="✖ منتهي الخدمة"),"",IF(H48="",IF($E48="غير سعودي","⚠ أدخل التاريخ","-"),IF(I48&lt;0,"✖ منتهية منذ "&amp;TEXT(-I48,"0")&amp;" يوم",IF(I48&lt;=cfg_ALERT,"⚠ تنتهي خلال "&amp;TEXT(I48,"0")&amp;" يوم","✔ سارية"))))</f>
        <v/>
      </c>
      <c r="K48" s="174" t="str">
        <f aca="false">IF($B48="","",IF(الموظفون!$K48="","",الموظفون!$K48))</f>
        <v/>
      </c>
      <c r="L48" s="65" t="str">
        <f aca="false">IF(OR($B48="",K48=""),"",K48-cfg_TRACK)</f>
        <v/>
      </c>
      <c r="M48" s="114" t="str">
        <f aca="false">IF(OR($B48="",$F48="✖ منتهي الخدمة"),"",IF(K48="",IF($E48="غير سعودي","⚠ أدخل التاريخ","-"),IF(L48&lt;0,"✖ منتهية منذ "&amp;TEXT(-L48,"0")&amp;" يوم",IF(L48&lt;=cfg_ALERT,"⚠ تنتهي خلال "&amp;TEXT(L48,"0")&amp;" يوم","✔ سارية"))))</f>
        <v/>
      </c>
      <c r="N48" s="111" t="str">
        <f aca="false">IF($B48="","",IF(F48="✖ منتهي الخدمة",0,IF(الموظفون!$X48&lt;&gt;"",الموظفون!$X48,IF(الموظفون!$E48="غير سعودي",cfg_IQ,0))))</f>
        <v/>
      </c>
      <c r="O48" s="111" t="str">
        <f aca="false">IF($B48="","",IF(F48="✖ منتهي الخدمة",0,IF(الموظفون!$Y48&lt;&gt;"",الموظفون!$Y48,IF(الموظفون!$E48="غير سعودي",cfg_WP,0))))</f>
        <v/>
      </c>
      <c r="P48" s="111" t="str">
        <f aca="false">IF($B48="","",IF(F48="✖ منتهي الخدمة",0,IF(الموظفون!$Z48&lt;&gt;"",الموظفون!$Z48,cfg_MED)))</f>
        <v/>
      </c>
      <c r="Q48" s="111" t="str">
        <f aca="false">IF($B48="","",IF(F48="✖ منتهي الخدمة",0,N(الموظفون!$AA48)))</f>
        <v/>
      </c>
      <c r="R48" s="111" t="str">
        <f aca="false">IF($B48="","",SUM(N48:Q48))</f>
        <v/>
      </c>
      <c r="S48" s="111" t="str">
        <f aca="false">IF($B48="","",R48/12)</f>
        <v/>
      </c>
      <c r="T48" s="111" t="str">
        <f aca="false">IF($B48="","",IF(1&lt;=cfg_VAL_M,'مسير يناير'!AD48+'مسير يناير'!AE48+'مسير يناير'!AF48,0)+IF(2&lt;=cfg_VAL_M,'مسير فبراير'!AD48+'مسير فبراير'!AE48+'مسير فبراير'!AF48,0)+IF(3&lt;=cfg_VAL_M,'مسير مارس'!AD48+'مسير مارس'!AE48+'مسير مارس'!AF48,0)+IF(4&lt;=cfg_VAL_M,'مسير أبريل'!AD48+'مسير أبريل'!AE48+'مسير أبريل'!AF48,0)+IF(5&lt;=cfg_VAL_M,'مسير مايو'!AD48+'مسير مايو'!AE48+'مسير مايو'!AF48,0)+IF(6&lt;=cfg_VAL_M,'مسير يونيو'!AD48+'مسير يونيو'!AE48+'مسير يونيو'!AF48,0)+IF(7&lt;=cfg_VAL_M,'مسير يوليو'!AD48+'مسير يوليو'!AE48+'مسير يوليو'!AF48,0)+IF(8&lt;=cfg_VAL_M,'مسير أغسطس'!AD48+'مسير أغسطس'!AE48+'مسير أغسطس'!AF48,0)+IF(9&lt;=cfg_VAL_M,'مسير سبتمبر'!AD48+'مسير سبتمبر'!AE48+'مسير سبتمبر'!AF48,0)+IF(10&lt;=cfg_VAL_M,'مسير أكتوبر'!AD48+'مسير أكتوبر'!AE48+'مسير أكتوبر'!AF48,0)+IF(11&lt;=cfg_VAL_M,'مسير نوفمبر'!AD48+'مسير نوفمبر'!AE48+'مسير نوفمبر'!AF48,0)+IF(12&lt;=cfg_VAL_M,'مسير ديسمبر'!AD48+'مسير ديسمبر'!AE48+'مسير ديسمبر'!AF48,0))</f>
        <v/>
      </c>
      <c r="U48" s="111" t="str">
        <f aca="false">IF(OR($B48="",F48="✖ منتهي الخدمة"),"",IF(AND(ISNUMBER(I48),I48&lt;=cfg_ALERT),N48,0)+IF(AND(ISNUMBER(L48),L48&lt;=cfg_ALERT),O48,0))</f>
        <v/>
      </c>
    </row>
    <row r="49" customFormat="false" ht="15" hidden="false" customHeight="false" outlineLevel="0" collapsed="false">
      <c r="B49" s="117" t="str">
        <f aca="false">IF(الموظفون!$B49="","",الموظفون!$B49)</f>
        <v/>
      </c>
      <c r="C49" s="117" t="str">
        <f aca="false">IF($B49="","",الموظفون!$C49)</f>
        <v/>
      </c>
      <c r="D49" s="117" t="str">
        <f aca="false">IF($B49="","",الموظفون!$D49)</f>
        <v/>
      </c>
      <c r="E49" s="117" t="str">
        <f aca="false">IF($B49="","",الموظفون!$E49)</f>
        <v/>
      </c>
      <c r="F49" s="117" t="str">
        <f aca="false">IF($B49="","",الموظفون!$AG49)</f>
        <v/>
      </c>
      <c r="G49" s="117" t="str">
        <f aca="false">IF($B49="","",IF(الموظفون!$I49="","",الموظفون!$I49))</f>
        <v/>
      </c>
      <c r="H49" s="175" t="str">
        <f aca="false">IF($B49="","",IF(الموظفون!$J49="","",الموظفون!$J49))</f>
        <v/>
      </c>
      <c r="I49" s="133" t="str">
        <f aca="false">IF(OR($B49="",H49=""),"",H49-cfg_TRACK)</f>
        <v/>
      </c>
      <c r="J49" s="117" t="str">
        <f aca="false">IF(OR($B49="",$F49="✖ منتهي الخدمة"),"",IF(H49="",IF($E49="غير سعودي","⚠ أدخل التاريخ","-"),IF(I49&lt;0,"✖ منتهية منذ "&amp;TEXT(-I49,"0")&amp;" يوم",IF(I49&lt;=cfg_ALERT,"⚠ تنتهي خلال "&amp;TEXT(I49,"0")&amp;" يوم","✔ سارية"))))</f>
        <v/>
      </c>
      <c r="K49" s="175" t="str">
        <f aca="false">IF($B49="","",IF(الموظفون!$K49="","",الموظفون!$K49))</f>
        <v/>
      </c>
      <c r="L49" s="133" t="str">
        <f aca="false">IF(OR($B49="",K49=""),"",K49-cfg_TRACK)</f>
        <v/>
      </c>
      <c r="M49" s="117" t="str">
        <f aca="false">IF(OR($B49="",$F49="✖ منتهي الخدمة"),"",IF(K49="",IF($E49="غير سعودي","⚠ أدخل التاريخ","-"),IF(L49&lt;0,"✖ منتهية منذ "&amp;TEXT(-L49,"0")&amp;" يوم",IF(L49&lt;=cfg_ALERT,"⚠ تنتهي خلال "&amp;TEXT(L49,"0")&amp;" يوم","✔ سارية"))))</f>
        <v/>
      </c>
      <c r="N49" s="116" t="str">
        <f aca="false">IF($B49="","",IF(F49="✖ منتهي الخدمة",0,IF(الموظفون!$X49&lt;&gt;"",الموظفون!$X49,IF(الموظفون!$E49="غير سعودي",cfg_IQ,0))))</f>
        <v/>
      </c>
      <c r="O49" s="116" t="str">
        <f aca="false">IF($B49="","",IF(F49="✖ منتهي الخدمة",0,IF(الموظفون!$Y49&lt;&gt;"",الموظفون!$Y49,IF(الموظفون!$E49="غير سعودي",cfg_WP,0))))</f>
        <v/>
      </c>
      <c r="P49" s="116" t="str">
        <f aca="false">IF($B49="","",IF(F49="✖ منتهي الخدمة",0,IF(الموظفون!$Z49&lt;&gt;"",الموظفون!$Z49,cfg_MED)))</f>
        <v/>
      </c>
      <c r="Q49" s="116" t="str">
        <f aca="false">IF($B49="","",IF(F49="✖ منتهي الخدمة",0,N(الموظفون!$AA49)))</f>
        <v/>
      </c>
      <c r="R49" s="116" t="str">
        <f aca="false">IF($B49="","",SUM(N49:Q49))</f>
        <v/>
      </c>
      <c r="S49" s="116" t="str">
        <f aca="false">IF($B49="","",R49/12)</f>
        <v/>
      </c>
      <c r="T49" s="116" t="str">
        <f aca="false">IF($B49="","",IF(1&lt;=cfg_VAL_M,'مسير يناير'!AD49+'مسير يناير'!AE49+'مسير يناير'!AF49,0)+IF(2&lt;=cfg_VAL_M,'مسير فبراير'!AD49+'مسير فبراير'!AE49+'مسير فبراير'!AF49,0)+IF(3&lt;=cfg_VAL_M,'مسير مارس'!AD49+'مسير مارس'!AE49+'مسير مارس'!AF49,0)+IF(4&lt;=cfg_VAL_M,'مسير أبريل'!AD49+'مسير أبريل'!AE49+'مسير أبريل'!AF49,0)+IF(5&lt;=cfg_VAL_M,'مسير مايو'!AD49+'مسير مايو'!AE49+'مسير مايو'!AF49,0)+IF(6&lt;=cfg_VAL_M,'مسير يونيو'!AD49+'مسير يونيو'!AE49+'مسير يونيو'!AF49,0)+IF(7&lt;=cfg_VAL_M,'مسير يوليو'!AD49+'مسير يوليو'!AE49+'مسير يوليو'!AF49,0)+IF(8&lt;=cfg_VAL_M,'مسير أغسطس'!AD49+'مسير أغسطس'!AE49+'مسير أغسطس'!AF49,0)+IF(9&lt;=cfg_VAL_M,'مسير سبتمبر'!AD49+'مسير سبتمبر'!AE49+'مسير سبتمبر'!AF49,0)+IF(10&lt;=cfg_VAL_M,'مسير أكتوبر'!AD49+'مسير أكتوبر'!AE49+'مسير أكتوبر'!AF49,0)+IF(11&lt;=cfg_VAL_M,'مسير نوفمبر'!AD49+'مسير نوفمبر'!AE49+'مسير نوفمبر'!AF49,0)+IF(12&lt;=cfg_VAL_M,'مسير ديسمبر'!AD49+'مسير ديسمبر'!AE49+'مسير ديسمبر'!AF49,0))</f>
        <v/>
      </c>
      <c r="U49" s="116" t="str">
        <f aca="false">IF(OR($B49="",F49="✖ منتهي الخدمة"),"",IF(AND(ISNUMBER(I49),I49&lt;=cfg_ALERT),N49,0)+IF(AND(ISNUMBER(L49),L49&lt;=cfg_ALERT),O49,0))</f>
        <v/>
      </c>
    </row>
    <row r="50" customFormat="false" ht="15" hidden="false" customHeight="false" outlineLevel="0" collapsed="false">
      <c r="B50" s="114" t="str">
        <f aca="false">IF(الموظفون!$B50="","",الموظفون!$B50)</f>
        <v/>
      </c>
      <c r="C50" s="114" t="str">
        <f aca="false">IF($B50="","",الموظفون!$C50)</f>
        <v/>
      </c>
      <c r="D50" s="114" t="str">
        <f aca="false">IF($B50="","",الموظفون!$D50)</f>
        <v/>
      </c>
      <c r="E50" s="114" t="str">
        <f aca="false">IF($B50="","",الموظفون!$E50)</f>
        <v/>
      </c>
      <c r="F50" s="114" t="str">
        <f aca="false">IF($B50="","",الموظفون!$AG50)</f>
        <v/>
      </c>
      <c r="G50" s="114" t="str">
        <f aca="false">IF($B50="","",IF(الموظفون!$I50="","",الموظفون!$I50))</f>
        <v/>
      </c>
      <c r="H50" s="174" t="str">
        <f aca="false">IF($B50="","",IF(الموظفون!$J50="","",الموظفون!$J50))</f>
        <v/>
      </c>
      <c r="I50" s="65" t="str">
        <f aca="false">IF(OR($B50="",H50=""),"",H50-cfg_TRACK)</f>
        <v/>
      </c>
      <c r="J50" s="114" t="str">
        <f aca="false">IF(OR($B50="",$F50="✖ منتهي الخدمة"),"",IF(H50="",IF($E50="غير سعودي","⚠ أدخل التاريخ","-"),IF(I50&lt;0,"✖ منتهية منذ "&amp;TEXT(-I50,"0")&amp;" يوم",IF(I50&lt;=cfg_ALERT,"⚠ تنتهي خلال "&amp;TEXT(I50,"0")&amp;" يوم","✔ سارية"))))</f>
        <v/>
      </c>
      <c r="K50" s="174" t="str">
        <f aca="false">IF($B50="","",IF(الموظفون!$K50="","",الموظفون!$K50))</f>
        <v/>
      </c>
      <c r="L50" s="65" t="str">
        <f aca="false">IF(OR($B50="",K50=""),"",K50-cfg_TRACK)</f>
        <v/>
      </c>
      <c r="M50" s="114" t="str">
        <f aca="false">IF(OR($B50="",$F50="✖ منتهي الخدمة"),"",IF(K50="",IF($E50="غير سعودي","⚠ أدخل التاريخ","-"),IF(L50&lt;0,"✖ منتهية منذ "&amp;TEXT(-L50,"0")&amp;" يوم",IF(L50&lt;=cfg_ALERT,"⚠ تنتهي خلال "&amp;TEXT(L50,"0")&amp;" يوم","✔ سارية"))))</f>
        <v/>
      </c>
      <c r="N50" s="111" t="str">
        <f aca="false">IF($B50="","",IF(F50="✖ منتهي الخدمة",0,IF(الموظفون!$X50&lt;&gt;"",الموظفون!$X50,IF(الموظفون!$E50="غير سعودي",cfg_IQ,0))))</f>
        <v/>
      </c>
      <c r="O50" s="111" t="str">
        <f aca="false">IF($B50="","",IF(F50="✖ منتهي الخدمة",0,IF(الموظفون!$Y50&lt;&gt;"",الموظفون!$Y50,IF(الموظفون!$E50="غير سعودي",cfg_WP,0))))</f>
        <v/>
      </c>
      <c r="P50" s="111" t="str">
        <f aca="false">IF($B50="","",IF(F50="✖ منتهي الخدمة",0,IF(الموظفون!$Z50&lt;&gt;"",الموظفون!$Z50,cfg_MED)))</f>
        <v/>
      </c>
      <c r="Q50" s="111" t="str">
        <f aca="false">IF($B50="","",IF(F50="✖ منتهي الخدمة",0,N(الموظفون!$AA50)))</f>
        <v/>
      </c>
      <c r="R50" s="111" t="str">
        <f aca="false">IF($B50="","",SUM(N50:Q50))</f>
        <v/>
      </c>
      <c r="S50" s="111" t="str">
        <f aca="false">IF($B50="","",R50/12)</f>
        <v/>
      </c>
      <c r="T50" s="111" t="str">
        <f aca="false">IF($B50="","",IF(1&lt;=cfg_VAL_M,'مسير يناير'!AD50+'مسير يناير'!AE50+'مسير يناير'!AF50,0)+IF(2&lt;=cfg_VAL_M,'مسير فبراير'!AD50+'مسير فبراير'!AE50+'مسير فبراير'!AF50,0)+IF(3&lt;=cfg_VAL_M,'مسير مارس'!AD50+'مسير مارس'!AE50+'مسير مارس'!AF50,0)+IF(4&lt;=cfg_VAL_M,'مسير أبريل'!AD50+'مسير أبريل'!AE50+'مسير أبريل'!AF50,0)+IF(5&lt;=cfg_VAL_M,'مسير مايو'!AD50+'مسير مايو'!AE50+'مسير مايو'!AF50,0)+IF(6&lt;=cfg_VAL_M,'مسير يونيو'!AD50+'مسير يونيو'!AE50+'مسير يونيو'!AF50,0)+IF(7&lt;=cfg_VAL_M,'مسير يوليو'!AD50+'مسير يوليو'!AE50+'مسير يوليو'!AF50,0)+IF(8&lt;=cfg_VAL_M,'مسير أغسطس'!AD50+'مسير أغسطس'!AE50+'مسير أغسطس'!AF50,0)+IF(9&lt;=cfg_VAL_M,'مسير سبتمبر'!AD50+'مسير سبتمبر'!AE50+'مسير سبتمبر'!AF50,0)+IF(10&lt;=cfg_VAL_M,'مسير أكتوبر'!AD50+'مسير أكتوبر'!AE50+'مسير أكتوبر'!AF50,0)+IF(11&lt;=cfg_VAL_M,'مسير نوفمبر'!AD50+'مسير نوفمبر'!AE50+'مسير نوفمبر'!AF50,0)+IF(12&lt;=cfg_VAL_M,'مسير ديسمبر'!AD50+'مسير ديسمبر'!AE50+'مسير ديسمبر'!AF50,0))</f>
        <v/>
      </c>
      <c r="U50" s="111" t="str">
        <f aca="false">IF(OR($B50="",F50="✖ منتهي الخدمة"),"",IF(AND(ISNUMBER(I50),I50&lt;=cfg_ALERT),N50,0)+IF(AND(ISNUMBER(L50),L50&lt;=cfg_ALERT),O50,0))</f>
        <v/>
      </c>
    </row>
    <row r="51" customFormat="false" ht="15" hidden="false" customHeight="false" outlineLevel="0" collapsed="false">
      <c r="B51" s="117" t="str">
        <f aca="false">IF(الموظفون!$B51="","",الموظفون!$B51)</f>
        <v/>
      </c>
      <c r="C51" s="117" t="str">
        <f aca="false">IF($B51="","",الموظفون!$C51)</f>
        <v/>
      </c>
      <c r="D51" s="117" t="str">
        <f aca="false">IF($B51="","",الموظفون!$D51)</f>
        <v/>
      </c>
      <c r="E51" s="117" t="str">
        <f aca="false">IF($B51="","",الموظفون!$E51)</f>
        <v/>
      </c>
      <c r="F51" s="117" t="str">
        <f aca="false">IF($B51="","",الموظفون!$AG51)</f>
        <v/>
      </c>
      <c r="G51" s="117" t="str">
        <f aca="false">IF($B51="","",IF(الموظفون!$I51="","",الموظفون!$I51))</f>
        <v/>
      </c>
      <c r="H51" s="175" t="str">
        <f aca="false">IF($B51="","",IF(الموظفون!$J51="","",الموظفون!$J51))</f>
        <v/>
      </c>
      <c r="I51" s="133" t="str">
        <f aca="false">IF(OR($B51="",H51=""),"",H51-cfg_TRACK)</f>
        <v/>
      </c>
      <c r="J51" s="117" t="str">
        <f aca="false">IF(OR($B51="",$F51="✖ منتهي الخدمة"),"",IF(H51="",IF($E51="غير سعودي","⚠ أدخل التاريخ","-"),IF(I51&lt;0,"✖ منتهية منذ "&amp;TEXT(-I51,"0")&amp;" يوم",IF(I51&lt;=cfg_ALERT,"⚠ تنتهي خلال "&amp;TEXT(I51,"0")&amp;" يوم","✔ سارية"))))</f>
        <v/>
      </c>
      <c r="K51" s="175" t="str">
        <f aca="false">IF($B51="","",IF(الموظفون!$K51="","",الموظفون!$K51))</f>
        <v/>
      </c>
      <c r="L51" s="133" t="str">
        <f aca="false">IF(OR($B51="",K51=""),"",K51-cfg_TRACK)</f>
        <v/>
      </c>
      <c r="M51" s="117" t="str">
        <f aca="false">IF(OR($B51="",$F51="✖ منتهي الخدمة"),"",IF(K51="",IF($E51="غير سعودي","⚠ أدخل التاريخ","-"),IF(L51&lt;0,"✖ منتهية منذ "&amp;TEXT(-L51,"0")&amp;" يوم",IF(L51&lt;=cfg_ALERT,"⚠ تنتهي خلال "&amp;TEXT(L51,"0")&amp;" يوم","✔ سارية"))))</f>
        <v/>
      </c>
      <c r="N51" s="116" t="str">
        <f aca="false">IF($B51="","",IF(F51="✖ منتهي الخدمة",0,IF(الموظفون!$X51&lt;&gt;"",الموظفون!$X51,IF(الموظفون!$E51="غير سعودي",cfg_IQ,0))))</f>
        <v/>
      </c>
      <c r="O51" s="116" t="str">
        <f aca="false">IF($B51="","",IF(F51="✖ منتهي الخدمة",0,IF(الموظفون!$Y51&lt;&gt;"",الموظفون!$Y51,IF(الموظفون!$E51="غير سعودي",cfg_WP,0))))</f>
        <v/>
      </c>
      <c r="P51" s="116" t="str">
        <f aca="false">IF($B51="","",IF(F51="✖ منتهي الخدمة",0,IF(الموظفون!$Z51&lt;&gt;"",الموظفون!$Z51,cfg_MED)))</f>
        <v/>
      </c>
      <c r="Q51" s="116" t="str">
        <f aca="false">IF($B51="","",IF(F51="✖ منتهي الخدمة",0,N(الموظفون!$AA51)))</f>
        <v/>
      </c>
      <c r="R51" s="116" t="str">
        <f aca="false">IF($B51="","",SUM(N51:Q51))</f>
        <v/>
      </c>
      <c r="S51" s="116" t="str">
        <f aca="false">IF($B51="","",R51/12)</f>
        <v/>
      </c>
      <c r="T51" s="116" t="str">
        <f aca="false">IF($B51="","",IF(1&lt;=cfg_VAL_M,'مسير يناير'!AD51+'مسير يناير'!AE51+'مسير يناير'!AF51,0)+IF(2&lt;=cfg_VAL_M,'مسير فبراير'!AD51+'مسير فبراير'!AE51+'مسير فبراير'!AF51,0)+IF(3&lt;=cfg_VAL_M,'مسير مارس'!AD51+'مسير مارس'!AE51+'مسير مارس'!AF51,0)+IF(4&lt;=cfg_VAL_M,'مسير أبريل'!AD51+'مسير أبريل'!AE51+'مسير أبريل'!AF51,0)+IF(5&lt;=cfg_VAL_M,'مسير مايو'!AD51+'مسير مايو'!AE51+'مسير مايو'!AF51,0)+IF(6&lt;=cfg_VAL_M,'مسير يونيو'!AD51+'مسير يونيو'!AE51+'مسير يونيو'!AF51,0)+IF(7&lt;=cfg_VAL_M,'مسير يوليو'!AD51+'مسير يوليو'!AE51+'مسير يوليو'!AF51,0)+IF(8&lt;=cfg_VAL_M,'مسير أغسطس'!AD51+'مسير أغسطس'!AE51+'مسير أغسطس'!AF51,0)+IF(9&lt;=cfg_VAL_M,'مسير سبتمبر'!AD51+'مسير سبتمبر'!AE51+'مسير سبتمبر'!AF51,0)+IF(10&lt;=cfg_VAL_M,'مسير أكتوبر'!AD51+'مسير أكتوبر'!AE51+'مسير أكتوبر'!AF51,0)+IF(11&lt;=cfg_VAL_M,'مسير نوفمبر'!AD51+'مسير نوفمبر'!AE51+'مسير نوفمبر'!AF51,0)+IF(12&lt;=cfg_VAL_M,'مسير ديسمبر'!AD51+'مسير ديسمبر'!AE51+'مسير ديسمبر'!AF51,0))</f>
        <v/>
      </c>
      <c r="U51" s="116" t="str">
        <f aca="false">IF(OR($B51="",F51="✖ منتهي الخدمة"),"",IF(AND(ISNUMBER(I51),I51&lt;=cfg_ALERT),N51,0)+IF(AND(ISNUMBER(L51),L51&lt;=cfg_ALERT),O51,0))</f>
        <v/>
      </c>
    </row>
    <row r="52" customFormat="false" ht="15" hidden="false" customHeight="false" outlineLevel="0" collapsed="false">
      <c r="B52" s="114" t="str">
        <f aca="false">IF(الموظفون!$B52="","",الموظفون!$B52)</f>
        <v/>
      </c>
      <c r="C52" s="114" t="str">
        <f aca="false">IF($B52="","",الموظفون!$C52)</f>
        <v/>
      </c>
      <c r="D52" s="114" t="str">
        <f aca="false">IF($B52="","",الموظفون!$D52)</f>
        <v/>
      </c>
      <c r="E52" s="114" t="str">
        <f aca="false">IF($B52="","",الموظفون!$E52)</f>
        <v/>
      </c>
      <c r="F52" s="114" t="str">
        <f aca="false">IF($B52="","",الموظفون!$AG52)</f>
        <v/>
      </c>
      <c r="G52" s="114" t="str">
        <f aca="false">IF($B52="","",IF(الموظفون!$I52="","",الموظفون!$I52))</f>
        <v/>
      </c>
      <c r="H52" s="174" t="str">
        <f aca="false">IF($B52="","",IF(الموظفون!$J52="","",الموظفون!$J52))</f>
        <v/>
      </c>
      <c r="I52" s="65" t="str">
        <f aca="false">IF(OR($B52="",H52=""),"",H52-cfg_TRACK)</f>
        <v/>
      </c>
      <c r="J52" s="114" t="str">
        <f aca="false">IF(OR($B52="",$F52="✖ منتهي الخدمة"),"",IF(H52="",IF($E52="غير سعودي","⚠ أدخل التاريخ","-"),IF(I52&lt;0,"✖ منتهية منذ "&amp;TEXT(-I52,"0")&amp;" يوم",IF(I52&lt;=cfg_ALERT,"⚠ تنتهي خلال "&amp;TEXT(I52,"0")&amp;" يوم","✔ سارية"))))</f>
        <v/>
      </c>
      <c r="K52" s="174" t="str">
        <f aca="false">IF($B52="","",IF(الموظفون!$K52="","",الموظفون!$K52))</f>
        <v/>
      </c>
      <c r="L52" s="65" t="str">
        <f aca="false">IF(OR($B52="",K52=""),"",K52-cfg_TRACK)</f>
        <v/>
      </c>
      <c r="M52" s="114" t="str">
        <f aca="false">IF(OR($B52="",$F52="✖ منتهي الخدمة"),"",IF(K52="",IF($E52="غير سعودي","⚠ أدخل التاريخ","-"),IF(L52&lt;0,"✖ منتهية منذ "&amp;TEXT(-L52,"0")&amp;" يوم",IF(L52&lt;=cfg_ALERT,"⚠ تنتهي خلال "&amp;TEXT(L52,"0")&amp;" يوم","✔ سارية"))))</f>
        <v/>
      </c>
      <c r="N52" s="111" t="str">
        <f aca="false">IF($B52="","",IF(F52="✖ منتهي الخدمة",0,IF(الموظفون!$X52&lt;&gt;"",الموظفون!$X52,IF(الموظفون!$E52="غير سعودي",cfg_IQ,0))))</f>
        <v/>
      </c>
      <c r="O52" s="111" t="str">
        <f aca="false">IF($B52="","",IF(F52="✖ منتهي الخدمة",0,IF(الموظفون!$Y52&lt;&gt;"",الموظفون!$Y52,IF(الموظفون!$E52="غير سعودي",cfg_WP,0))))</f>
        <v/>
      </c>
      <c r="P52" s="111" t="str">
        <f aca="false">IF($B52="","",IF(F52="✖ منتهي الخدمة",0,IF(الموظفون!$Z52&lt;&gt;"",الموظفون!$Z52,cfg_MED)))</f>
        <v/>
      </c>
      <c r="Q52" s="111" t="str">
        <f aca="false">IF($B52="","",IF(F52="✖ منتهي الخدمة",0,N(الموظفون!$AA52)))</f>
        <v/>
      </c>
      <c r="R52" s="111" t="str">
        <f aca="false">IF($B52="","",SUM(N52:Q52))</f>
        <v/>
      </c>
      <c r="S52" s="111" t="str">
        <f aca="false">IF($B52="","",R52/12)</f>
        <v/>
      </c>
      <c r="T52" s="111" t="str">
        <f aca="false">IF($B52="","",IF(1&lt;=cfg_VAL_M,'مسير يناير'!AD52+'مسير يناير'!AE52+'مسير يناير'!AF52,0)+IF(2&lt;=cfg_VAL_M,'مسير فبراير'!AD52+'مسير فبراير'!AE52+'مسير فبراير'!AF52,0)+IF(3&lt;=cfg_VAL_M,'مسير مارس'!AD52+'مسير مارس'!AE52+'مسير مارس'!AF52,0)+IF(4&lt;=cfg_VAL_M,'مسير أبريل'!AD52+'مسير أبريل'!AE52+'مسير أبريل'!AF52,0)+IF(5&lt;=cfg_VAL_M,'مسير مايو'!AD52+'مسير مايو'!AE52+'مسير مايو'!AF52,0)+IF(6&lt;=cfg_VAL_M,'مسير يونيو'!AD52+'مسير يونيو'!AE52+'مسير يونيو'!AF52,0)+IF(7&lt;=cfg_VAL_M,'مسير يوليو'!AD52+'مسير يوليو'!AE52+'مسير يوليو'!AF52,0)+IF(8&lt;=cfg_VAL_M,'مسير أغسطس'!AD52+'مسير أغسطس'!AE52+'مسير أغسطس'!AF52,0)+IF(9&lt;=cfg_VAL_M,'مسير سبتمبر'!AD52+'مسير سبتمبر'!AE52+'مسير سبتمبر'!AF52,0)+IF(10&lt;=cfg_VAL_M,'مسير أكتوبر'!AD52+'مسير أكتوبر'!AE52+'مسير أكتوبر'!AF52,0)+IF(11&lt;=cfg_VAL_M,'مسير نوفمبر'!AD52+'مسير نوفمبر'!AE52+'مسير نوفمبر'!AF52,0)+IF(12&lt;=cfg_VAL_M,'مسير ديسمبر'!AD52+'مسير ديسمبر'!AE52+'مسير ديسمبر'!AF52,0))</f>
        <v/>
      </c>
      <c r="U52" s="111" t="str">
        <f aca="false">IF(OR($B52="",F52="✖ منتهي الخدمة"),"",IF(AND(ISNUMBER(I52),I52&lt;=cfg_ALERT),N52,0)+IF(AND(ISNUMBER(L52),L52&lt;=cfg_ALERT),O52,0))</f>
        <v/>
      </c>
    </row>
    <row r="53" customFormat="false" ht="15" hidden="false" customHeight="false" outlineLevel="0" collapsed="false">
      <c r="B53" s="117" t="str">
        <f aca="false">IF(الموظفون!$B53="","",الموظفون!$B53)</f>
        <v/>
      </c>
      <c r="C53" s="117" t="str">
        <f aca="false">IF($B53="","",الموظفون!$C53)</f>
        <v/>
      </c>
      <c r="D53" s="117" t="str">
        <f aca="false">IF($B53="","",الموظفون!$D53)</f>
        <v/>
      </c>
      <c r="E53" s="117" t="str">
        <f aca="false">IF($B53="","",الموظفون!$E53)</f>
        <v/>
      </c>
      <c r="F53" s="117" t="str">
        <f aca="false">IF($B53="","",الموظفون!$AG53)</f>
        <v/>
      </c>
      <c r="G53" s="117" t="str">
        <f aca="false">IF($B53="","",IF(الموظفون!$I53="","",الموظفون!$I53))</f>
        <v/>
      </c>
      <c r="H53" s="175" t="str">
        <f aca="false">IF($B53="","",IF(الموظفون!$J53="","",الموظفون!$J53))</f>
        <v/>
      </c>
      <c r="I53" s="133" t="str">
        <f aca="false">IF(OR($B53="",H53=""),"",H53-cfg_TRACK)</f>
        <v/>
      </c>
      <c r="J53" s="117" t="str">
        <f aca="false">IF(OR($B53="",$F53="✖ منتهي الخدمة"),"",IF(H53="",IF($E53="غير سعودي","⚠ أدخل التاريخ","-"),IF(I53&lt;0,"✖ منتهية منذ "&amp;TEXT(-I53,"0")&amp;" يوم",IF(I53&lt;=cfg_ALERT,"⚠ تنتهي خلال "&amp;TEXT(I53,"0")&amp;" يوم","✔ سارية"))))</f>
        <v/>
      </c>
      <c r="K53" s="175" t="str">
        <f aca="false">IF($B53="","",IF(الموظفون!$K53="","",الموظفون!$K53))</f>
        <v/>
      </c>
      <c r="L53" s="133" t="str">
        <f aca="false">IF(OR($B53="",K53=""),"",K53-cfg_TRACK)</f>
        <v/>
      </c>
      <c r="M53" s="117" t="str">
        <f aca="false">IF(OR($B53="",$F53="✖ منتهي الخدمة"),"",IF(K53="",IF($E53="غير سعودي","⚠ أدخل التاريخ","-"),IF(L53&lt;0,"✖ منتهية منذ "&amp;TEXT(-L53,"0")&amp;" يوم",IF(L53&lt;=cfg_ALERT,"⚠ تنتهي خلال "&amp;TEXT(L53,"0")&amp;" يوم","✔ سارية"))))</f>
        <v/>
      </c>
      <c r="N53" s="116" t="str">
        <f aca="false">IF($B53="","",IF(F53="✖ منتهي الخدمة",0,IF(الموظفون!$X53&lt;&gt;"",الموظفون!$X53,IF(الموظفون!$E53="غير سعودي",cfg_IQ,0))))</f>
        <v/>
      </c>
      <c r="O53" s="116" t="str">
        <f aca="false">IF($B53="","",IF(F53="✖ منتهي الخدمة",0,IF(الموظفون!$Y53&lt;&gt;"",الموظفون!$Y53,IF(الموظفون!$E53="غير سعودي",cfg_WP,0))))</f>
        <v/>
      </c>
      <c r="P53" s="116" t="str">
        <f aca="false">IF($B53="","",IF(F53="✖ منتهي الخدمة",0,IF(الموظفون!$Z53&lt;&gt;"",الموظفون!$Z53,cfg_MED)))</f>
        <v/>
      </c>
      <c r="Q53" s="116" t="str">
        <f aca="false">IF($B53="","",IF(F53="✖ منتهي الخدمة",0,N(الموظفون!$AA53)))</f>
        <v/>
      </c>
      <c r="R53" s="116" t="str">
        <f aca="false">IF($B53="","",SUM(N53:Q53))</f>
        <v/>
      </c>
      <c r="S53" s="116" t="str">
        <f aca="false">IF($B53="","",R53/12)</f>
        <v/>
      </c>
      <c r="T53" s="116" t="str">
        <f aca="false">IF($B53="","",IF(1&lt;=cfg_VAL_M,'مسير يناير'!AD53+'مسير يناير'!AE53+'مسير يناير'!AF53,0)+IF(2&lt;=cfg_VAL_M,'مسير فبراير'!AD53+'مسير فبراير'!AE53+'مسير فبراير'!AF53,0)+IF(3&lt;=cfg_VAL_M,'مسير مارس'!AD53+'مسير مارس'!AE53+'مسير مارس'!AF53,0)+IF(4&lt;=cfg_VAL_M,'مسير أبريل'!AD53+'مسير أبريل'!AE53+'مسير أبريل'!AF53,0)+IF(5&lt;=cfg_VAL_M,'مسير مايو'!AD53+'مسير مايو'!AE53+'مسير مايو'!AF53,0)+IF(6&lt;=cfg_VAL_M,'مسير يونيو'!AD53+'مسير يونيو'!AE53+'مسير يونيو'!AF53,0)+IF(7&lt;=cfg_VAL_M,'مسير يوليو'!AD53+'مسير يوليو'!AE53+'مسير يوليو'!AF53,0)+IF(8&lt;=cfg_VAL_M,'مسير أغسطس'!AD53+'مسير أغسطس'!AE53+'مسير أغسطس'!AF53,0)+IF(9&lt;=cfg_VAL_M,'مسير سبتمبر'!AD53+'مسير سبتمبر'!AE53+'مسير سبتمبر'!AF53,0)+IF(10&lt;=cfg_VAL_M,'مسير أكتوبر'!AD53+'مسير أكتوبر'!AE53+'مسير أكتوبر'!AF53,0)+IF(11&lt;=cfg_VAL_M,'مسير نوفمبر'!AD53+'مسير نوفمبر'!AE53+'مسير نوفمبر'!AF53,0)+IF(12&lt;=cfg_VAL_M,'مسير ديسمبر'!AD53+'مسير ديسمبر'!AE53+'مسير ديسمبر'!AF53,0))</f>
        <v/>
      </c>
      <c r="U53" s="116" t="str">
        <f aca="false">IF(OR($B53="",F53="✖ منتهي الخدمة"),"",IF(AND(ISNUMBER(I53),I53&lt;=cfg_ALERT),N53,0)+IF(AND(ISNUMBER(L53),L53&lt;=cfg_ALERT),O53,0))</f>
        <v/>
      </c>
    </row>
    <row r="54" customFormat="false" ht="15" hidden="false" customHeight="false" outlineLevel="0" collapsed="false">
      <c r="B54" s="114" t="str">
        <f aca="false">IF(الموظفون!$B54="","",الموظفون!$B54)</f>
        <v/>
      </c>
      <c r="C54" s="114" t="str">
        <f aca="false">IF($B54="","",الموظفون!$C54)</f>
        <v/>
      </c>
      <c r="D54" s="114" t="str">
        <f aca="false">IF($B54="","",الموظفون!$D54)</f>
        <v/>
      </c>
      <c r="E54" s="114" t="str">
        <f aca="false">IF($B54="","",الموظفون!$E54)</f>
        <v/>
      </c>
      <c r="F54" s="114" t="str">
        <f aca="false">IF($B54="","",الموظفون!$AG54)</f>
        <v/>
      </c>
      <c r="G54" s="114" t="str">
        <f aca="false">IF($B54="","",IF(الموظفون!$I54="","",الموظفون!$I54))</f>
        <v/>
      </c>
      <c r="H54" s="174" t="str">
        <f aca="false">IF($B54="","",IF(الموظفون!$J54="","",الموظفون!$J54))</f>
        <v/>
      </c>
      <c r="I54" s="65" t="str">
        <f aca="false">IF(OR($B54="",H54=""),"",H54-cfg_TRACK)</f>
        <v/>
      </c>
      <c r="J54" s="114" t="str">
        <f aca="false">IF(OR($B54="",$F54="✖ منتهي الخدمة"),"",IF(H54="",IF($E54="غير سعودي","⚠ أدخل التاريخ","-"),IF(I54&lt;0,"✖ منتهية منذ "&amp;TEXT(-I54,"0")&amp;" يوم",IF(I54&lt;=cfg_ALERT,"⚠ تنتهي خلال "&amp;TEXT(I54,"0")&amp;" يوم","✔ سارية"))))</f>
        <v/>
      </c>
      <c r="K54" s="174" t="str">
        <f aca="false">IF($B54="","",IF(الموظفون!$K54="","",الموظفون!$K54))</f>
        <v/>
      </c>
      <c r="L54" s="65" t="str">
        <f aca="false">IF(OR($B54="",K54=""),"",K54-cfg_TRACK)</f>
        <v/>
      </c>
      <c r="M54" s="114" t="str">
        <f aca="false">IF(OR($B54="",$F54="✖ منتهي الخدمة"),"",IF(K54="",IF($E54="غير سعودي","⚠ أدخل التاريخ","-"),IF(L54&lt;0,"✖ منتهية منذ "&amp;TEXT(-L54,"0")&amp;" يوم",IF(L54&lt;=cfg_ALERT,"⚠ تنتهي خلال "&amp;TEXT(L54,"0")&amp;" يوم","✔ سارية"))))</f>
        <v/>
      </c>
      <c r="N54" s="111" t="str">
        <f aca="false">IF($B54="","",IF(F54="✖ منتهي الخدمة",0,IF(الموظفون!$X54&lt;&gt;"",الموظفون!$X54,IF(الموظفون!$E54="غير سعودي",cfg_IQ,0))))</f>
        <v/>
      </c>
      <c r="O54" s="111" t="str">
        <f aca="false">IF($B54="","",IF(F54="✖ منتهي الخدمة",0,IF(الموظفون!$Y54&lt;&gt;"",الموظفون!$Y54,IF(الموظفون!$E54="غير سعودي",cfg_WP,0))))</f>
        <v/>
      </c>
      <c r="P54" s="111" t="str">
        <f aca="false">IF($B54="","",IF(F54="✖ منتهي الخدمة",0,IF(الموظفون!$Z54&lt;&gt;"",الموظفون!$Z54,cfg_MED)))</f>
        <v/>
      </c>
      <c r="Q54" s="111" t="str">
        <f aca="false">IF($B54="","",IF(F54="✖ منتهي الخدمة",0,N(الموظفون!$AA54)))</f>
        <v/>
      </c>
      <c r="R54" s="111" t="str">
        <f aca="false">IF($B54="","",SUM(N54:Q54))</f>
        <v/>
      </c>
      <c r="S54" s="111" t="str">
        <f aca="false">IF($B54="","",R54/12)</f>
        <v/>
      </c>
      <c r="T54" s="111" t="str">
        <f aca="false">IF($B54="","",IF(1&lt;=cfg_VAL_M,'مسير يناير'!AD54+'مسير يناير'!AE54+'مسير يناير'!AF54,0)+IF(2&lt;=cfg_VAL_M,'مسير فبراير'!AD54+'مسير فبراير'!AE54+'مسير فبراير'!AF54,0)+IF(3&lt;=cfg_VAL_M,'مسير مارس'!AD54+'مسير مارس'!AE54+'مسير مارس'!AF54,0)+IF(4&lt;=cfg_VAL_M,'مسير أبريل'!AD54+'مسير أبريل'!AE54+'مسير أبريل'!AF54,0)+IF(5&lt;=cfg_VAL_M,'مسير مايو'!AD54+'مسير مايو'!AE54+'مسير مايو'!AF54,0)+IF(6&lt;=cfg_VAL_M,'مسير يونيو'!AD54+'مسير يونيو'!AE54+'مسير يونيو'!AF54,0)+IF(7&lt;=cfg_VAL_M,'مسير يوليو'!AD54+'مسير يوليو'!AE54+'مسير يوليو'!AF54,0)+IF(8&lt;=cfg_VAL_M,'مسير أغسطس'!AD54+'مسير أغسطس'!AE54+'مسير أغسطس'!AF54,0)+IF(9&lt;=cfg_VAL_M,'مسير سبتمبر'!AD54+'مسير سبتمبر'!AE54+'مسير سبتمبر'!AF54,0)+IF(10&lt;=cfg_VAL_M,'مسير أكتوبر'!AD54+'مسير أكتوبر'!AE54+'مسير أكتوبر'!AF54,0)+IF(11&lt;=cfg_VAL_M,'مسير نوفمبر'!AD54+'مسير نوفمبر'!AE54+'مسير نوفمبر'!AF54,0)+IF(12&lt;=cfg_VAL_M,'مسير ديسمبر'!AD54+'مسير ديسمبر'!AE54+'مسير ديسمبر'!AF54,0))</f>
        <v/>
      </c>
      <c r="U54" s="111" t="str">
        <f aca="false">IF(OR($B54="",F54="✖ منتهي الخدمة"),"",IF(AND(ISNUMBER(I54),I54&lt;=cfg_ALERT),N54,0)+IF(AND(ISNUMBER(L54),L54&lt;=cfg_ALERT),O54,0))</f>
        <v/>
      </c>
    </row>
    <row r="55" customFormat="false" ht="15" hidden="false" customHeight="false" outlineLevel="0" collapsed="false">
      <c r="B55" s="117" t="str">
        <f aca="false">IF(الموظفون!$B55="","",الموظفون!$B55)</f>
        <v/>
      </c>
      <c r="C55" s="117" t="str">
        <f aca="false">IF($B55="","",الموظفون!$C55)</f>
        <v/>
      </c>
      <c r="D55" s="117" t="str">
        <f aca="false">IF($B55="","",الموظفون!$D55)</f>
        <v/>
      </c>
      <c r="E55" s="117" t="str">
        <f aca="false">IF($B55="","",الموظفون!$E55)</f>
        <v/>
      </c>
      <c r="F55" s="117" t="str">
        <f aca="false">IF($B55="","",الموظفون!$AG55)</f>
        <v/>
      </c>
      <c r="G55" s="117" t="str">
        <f aca="false">IF($B55="","",IF(الموظفون!$I55="","",الموظفون!$I55))</f>
        <v/>
      </c>
      <c r="H55" s="175" t="str">
        <f aca="false">IF($B55="","",IF(الموظفون!$J55="","",الموظفون!$J55))</f>
        <v/>
      </c>
      <c r="I55" s="133" t="str">
        <f aca="false">IF(OR($B55="",H55=""),"",H55-cfg_TRACK)</f>
        <v/>
      </c>
      <c r="J55" s="117" t="str">
        <f aca="false">IF(OR($B55="",$F55="✖ منتهي الخدمة"),"",IF(H55="",IF($E55="غير سعودي","⚠ أدخل التاريخ","-"),IF(I55&lt;0,"✖ منتهية منذ "&amp;TEXT(-I55,"0")&amp;" يوم",IF(I55&lt;=cfg_ALERT,"⚠ تنتهي خلال "&amp;TEXT(I55,"0")&amp;" يوم","✔ سارية"))))</f>
        <v/>
      </c>
      <c r="K55" s="175" t="str">
        <f aca="false">IF($B55="","",IF(الموظفون!$K55="","",الموظفون!$K55))</f>
        <v/>
      </c>
      <c r="L55" s="133" t="str">
        <f aca="false">IF(OR($B55="",K55=""),"",K55-cfg_TRACK)</f>
        <v/>
      </c>
      <c r="M55" s="117" t="str">
        <f aca="false">IF(OR($B55="",$F55="✖ منتهي الخدمة"),"",IF(K55="",IF($E55="غير سعودي","⚠ أدخل التاريخ","-"),IF(L55&lt;0,"✖ منتهية منذ "&amp;TEXT(-L55,"0")&amp;" يوم",IF(L55&lt;=cfg_ALERT,"⚠ تنتهي خلال "&amp;TEXT(L55,"0")&amp;" يوم","✔ سارية"))))</f>
        <v/>
      </c>
      <c r="N55" s="116" t="str">
        <f aca="false">IF($B55="","",IF(F55="✖ منتهي الخدمة",0,IF(الموظفون!$X55&lt;&gt;"",الموظفون!$X55,IF(الموظفون!$E55="غير سعودي",cfg_IQ,0))))</f>
        <v/>
      </c>
      <c r="O55" s="116" t="str">
        <f aca="false">IF($B55="","",IF(F55="✖ منتهي الخدمة",0,IF(الموظفون!$Y55&lt;&gt;"",الموظفون!$Y55,IF(الموظفون!$E55="غير سعودي",cfg_WP,0))))</f>
        <v/>
      </c>
      <c r="P55" s="116" t="str">
        <f aca="false">IF($B55="","",IF(F55="✖ منتهي الخدمة",0,IF(الموظفون!$Z55&lt;&gt;"",الموظفون!$Z55,cfg_MED)))</f>
        <v/>
      </c>
      <c r="Q55" s="116" t="str">
        <f aca="false">IF($B55="","",IF(F55="✖ منتهي الخدمة",0,N(الموظفون!$AA55)))</f>
        <v/>
      </c>
      <c r="R55" s="116" t="str">
        <f aca="false">IF($B55="","",SUM(N55:Q55))</f>
        <v/>
      </c>
      <c r="S55" s="116" t="str">
        <f aca="false">IF($B55="","",R55/12)</f>
        <v/>
      </c>
      <c r="T55" s="116" t="str">
        <f aca="false">IF($B55="","",IF(1&lt;=cfg_VAL_M,'مسير يناير'!AD55+'مسير يناير'!AE55+'مسير يناير'!AF55,0)+IF(2&lt;=cfg_VAL_M,'مسير فبراير'!AD55+'مسير فبراير'!AE55+'مسير فبراير'!AF55,0)+IF(3&lt;=cfg_VAL_M,'مسير مارس'!AD55+'مسير مارس'!AE55+'مسير مارس'!AF55,0)+IF(4&lt;=cfg_VAL_M,'مسير أبريل'!AD55+'مسير أبريل'!AE55+'مسير أبريل'!AF55,0)+IF(5&lt;=cfg_VAL_M,'مسير مايو'!AD55+'مسير مايو'!AE55+'مسير مايو'!AF55,0)+IF(6&lt;=cfg_VAL_M,'مسير يونيو'!AD55+'مسير يونيو'!AE55+'مسير يونيو'!AF55,0)+IF(7&lt;=cfg_VAL_M,'مسير يوليو'!AD55+'مسير يوليو'!AE55+'مسير يوليو'!AF55,0)+IF(8&lt;=cfg_VAL_M,'مسير أغسطس'!AD55+'مسير أغسطس'!AE55+'مسير أغسطس'!AF55,0)+IF(9&lt;=cfg_VAL_M,'مسير سبتمبر'!AD55+'مسير سبتمبر'!AE55+'مسير سبتمبر'!AF55,0)+IF(10&lt;=cfg_VAL_M,'مسير أكتوبر'!AD55+'مسير أكتوبر'!AE55+'مسير أكتوبر'!AF55,0)+IF(11&lt;=cfg_VAL_M,'مسير نوفمبر'!AD55+'مسير نوفمبر'!AE55+'مسير نوفمبر'!AF55,0)+IF(12&lt;=cfg_VAL_M,'مسير ديسمبر'!AD55+'مسير ديسمبر'!AE55+'مسير ديسمبر'!AF55,0))</f>
        <v/>
      </c>
      <c r="U55" s="116" t="str">
        <f aca="false">IF(OR($B55="",F55="✖ منتهي الخدمة"),"",IF(AND(ISNUMBER(I55),I55&lt;=cfg_ALERT),N55,0)+IF(AND(ISNUMBER(L55),L55&lt;=cfg_ALERT),O55,0))</f>
        <v/>
      </c>
    </row>
    <row r="56" customFormat="false" ht="15" hidden="false" customHeight="false" outlineLevel="0" collapsed="false">
      <c r="B56" s="114" t="str">
        <f aca="false">IF(الموظفون!$B56="","",الموظفون!$B56)</f>
        <v/>
      </c>
      <c r="C56" s="114" t="str">
        <f aca="false">IF($B56="","",الموظفون!$C56)</f>
        <v/>
      </c>
      <c r="D56" s="114" t="str">
        <f aca="false">IF($B56="","",الموظفون!$D56)</f>
        <v/>
      </c>
      <c r="E56" s="114" t="str">
        <f aca="false">IF($B56="","",الموظفون!$E56)</f>
        <v/>
      </c>
      <c r="F56" s="114" t="str">
        <f aca="false">IF($B56="","",الموظفون!$AG56)</f>
        <v/>
      </c>
      <c r="G56" s="114" t="str">
        <f aca="false">IF($B56="","",IF(الموظفون!$I56="","",الموظفون!$I56))</f>
        <v/>
      </c>
      <c r="H56" s="174" t="str">
        <f aca="false">IF($B56="","",IF(الموظفون!$J56="","",الموظفون!$J56))</f>
        <v/>
      </c>
      <c r="I56" s="65" t="str">
        <f aca="false">IF(OR($B56="",H56=""),"",H56-cfg_TRACK)</f>
        <v/>
      </c>
      <c r="J56" s="114" t="str">
        <f aca="false">IF(OR($B56="",$F56="✖ منتهي الخدمة"),"",IF(H56="",IF($E56="غير سعودي","⚠ أدخل التاريخ","-"),IF(I56&lt;0,"✖ منتهية منذ "&amp;TEXT(-I56,"0")&amp;" يوم",IF(I56&lt;=cfg_ALERT,"⚠ تنتهي خلال "&amp;TEXT(I56,"0")&amp;" يوم","✔ سارية"))))</f>
        <v/>
      </c>
      <c r="K56" s="174" t="str">
        <f aca="false">IF($B56="","",IF(الموظفون!$K56="","",الموظفون!$K56))</f>
        <v/>
      </c>
      <c r="L56" s="65" t="str">
        <f aca="false">IF(OR($B56="",K56=""),"",K56-cfg_TRACK)</f>
        <v/>
      </c>
      <c r="M56" s="114" t="str">
        <f aca="false">IF(OR($B56="",$F56="✖ منتهي الخدمة"),"",IF(K56="",IF($E56="غير سعودي","⚠ أدخل التاريخ","-"),IF(L56&lt;0,"✖ منتهية منذ "&amp;TEXT(-L56,"0")&amp;" يوم",IF(L56&lt;=cfg_ALERT,"⚠ تنتهي خلال "&amp;TEXT(L56,"0")&amp;" يوم","✔ سارية"))))</f>
        <v/>
      </c>
      <c r="N56" s="111" t="str">
        <f aca="false">IF($B56="","",IF(F56="✖ منتهي الخدمة",0,IF(الموظفون!$X56&lt;&gt;"",الموظفون!$X56,IF(الموظفون!$E56="غير سعودي",cfg_IQ,0))))</f>
        <v/>
      </c>
      <c r="O56" s="111" t="str">
        <f aca="false">IF($B56="","",IF(F56="✖ منتهي الخدمة",0,IF(الموظفون!$Y56&lt;&gt;"",الموظفون!$Y56,IF(الموظفون!$E56="غير سعودي",cfg_WP,0))))</f>
        <v/>
      </c>
      <c r="P56" s="111" t="str">
        <f aca="false">IF($B56="","",IF(F56="✖ منتهي الخدمة",0,IF(الموظفون!$Z56&lt;&gt;"",الموظفون!$Z56,cfg_MED)))</f>
        <v/>
      </c>
      <c r="Q56" s="111" t="str">
        <f aca="false">IF($B56="","",IF(F56="✖ منتهي الخدمة",0,N(الموظفون!$AA56)))</f>
        <v/>
      </c>
      <c r="R56" s="111" t="str">
        <f aca="false">IF($B56="","",SUM(N56:Q56))</f>
        <v/>
      </c>
      <c r="S56" s="111" t="str">
        <f aca="false">IF($B56="","",R56/12)</f>
        <v/>
      </c>
      <c r="T56" s="111" t="str">
        <f aca="false">IF($B56="","",IF(1&lt;=cfg_VAL_M,'مسير يناير'!AD56+'مسير يناير'!AE56+'مسير يناير'!AF56,0)+IF(2&lt;=cfg_VAL_M,'مسير فبراير'!AD56+'مسير فبراير'!AE56+'مسير فبراير'!AF56,0)+IF(3&lt;=cfg_VAL_M,'مسير مارس'!AD56+'مسير مارس'!AE56+'مسير مارس'!AF56,0)+IF(4&lt;=cfg_VAL_M,'مسير أبريل'!AD56+'مسير أبريل'!AE56+'مسير أبريل'!AF56,0)+IF(5&lt;=cfg_VAL_M,'مسير مايو'!AD56+'مسير مايو'!AE56+'مسير مايو'!AF56,0)+IF(6&lt;=cfg_VAL_M,'مسير يونيو'!AD56+'مسير يونيو'!AE56+'مسير يونيو'!AF56,0)+IF(7&lt;=cfg_VAL_M,'مسير يوليو'!AD56+'مسير يوليو'!AE56+'مسير يوليو'!AF56,0)+IF(8&lt;=cfg_VAL_M,'مسير أغسطس'!AD56+'مسير أغسطس'!AE56+'مسير أغسطس'!AF56,0)+IF(9&lt;=cfg_VAL_M,'مسير سبتمبر'!AD56+'مسير سبتمبر'!AE56+'مسير سبتمبر'!AF56,0)+IF(10&lt;=cfg_VAL_M,'مسير أكتوبر'!AD56+'مسير أكتوبر'!AE56+'مسير أكتوبر'!AF56,0)+IF(11&lt;=cfg_VAL_M,'مسير نوفمبر'!AD56+'مسير نوفمبر'!AE56+'مسير نوفمبر'!AF56,0)+IF(12&lt;=cfg_VAL_M,'مسير ديسمبر'!AD56+'مسير ديسمبر'!AE56+'مسير ديسمبر'!AF56,0))</f>
        <v/>
      </c>
      <c r="U56" s="111" t="str">
        <f aca="false">IF(OR($B56="",F56="✖ منتهي الخدمة"),"",IF(AND(ISNUMBER(I56),I56&lt;=cfg_ALERT),N56,0)+IF(AND(ISNUMBER(L56),L56&lt;=cfg_ALERT),O56,0))</f>
        <v/>
      </c>
    </row>
    <row r="57" customFormat="false" ht="15" hidden="false" customHeight="false" outlineLevel="0" collapsed="false">
      <c r="B57" s="117" t="str">
        <f aca="false">IF(الموظفون!$B57="","",الموظفون!$B57)</f>
        <v/>
      </c>
      <c r="C57" s="117" t="str">
        <f aca="false">IF($B57="","",الموظفون!$C57)</f>
        <v/>
      </c>
      <c r="D57" s="117" t="str">
        <f aca="false">IF($B57="","",الموظفون!$D57)</f>
        <v/>
      </c>
      <c r="E57" s="117" t="str">
        <f aca="false">IF($B57="","",الموظفون!$E57)</f>
        <v/>
      </c>
      <c r="F57" s="117" t="str">
        <f aca="false">IF($B57="","",الموظفون!$AG57)</f>
        <v/>
      </c>
      <c r="G57" s="117" t="str">
        <f aca="false">IF($B57="","",IF(الموظفون!$I57="","",الموظفون!$I57))</f>
        <v/>
      </c>
      <c r="H57" s="175" t="str">
        <f aca="false">IF($B57="","",IF(الموظفون!$J57="","",الموظفون!$J57))</f>
        <v/>
      </c>
      <c r="I57" s="133" t="str">
        <f aca="false">IF(OR($B57="",H57=""),"",H57-cfg_TRACK)</f>
        <v/>
      </c>
      <c r="J57" s="117" t="str">
        <f aca="false">IF(OR($B57="",$F57="✖ منتهي الخدمة"),"",IF(H57="",IF($E57="غير سعودي","⚠ أدخل التاريخ","-"),IF(I57&lt;0,"✖ منتهية منذ "&amp;TEXT(-I57,"0")&amp;" يوم",IF(I57&lt;=cfg_ALERT,"⚠ تنتهي خلال "&amp;TEXT(I57,"0")&amp;" يوم","✔ سارية"))))</f>
        <v/>
      </c>
      <c r="K57" s="175" t="str">
        <f aca="false">IF($B57="","",IF(الموظفون!$K57="","",الموظفون!$K57))</f>
        <v/>
      </c>
      <c r="L57" s="133" t="str">
        <f aca="false">IF(OR($B57="",K57=""),"",K57-cfg_TRACK)</f>
        <v/>
      </c>
      <c r="M57" s="117" t="str">
        <f aca="false">IF(OR($B57="",$F57="✖ منتهي الخدمة"),"",IF(K57="",IF($E57="غير سعودي","⚠ أدخل التاريخ","-"),IF(L57&lt;0,"✖ منتهية منذ "&amp;TEXT(-L57,"0")&amp;" يوم",IF(L57&lt;=cfg_ALERT,"⚠ تنتهي خلال "&amp;TEXT(L57,"0")&amp;" يوم","✔ سارية"))))</f>
        <v/>
      </c>
      <c r="N57" s="116" t="str">
        <f aca="false">IF($B57="","",IF(F57="✖ منتهي الخدمة",0,IF(الموظفون!$X57&lt;&gt;"",الموظفون!$X57,IF(الموظفون!$E57="غير سعودي",cfg_IQ,0))))</f>
        <v/>
      </c>
      <c r="O57" s="116" t="str">
        <f aca="false">IF($B57="","",IF(F57="✖ منتهي الخدمة",0,IF(الموظفون!$Y57&lt;&gt;"",الموظفون!$Y57,IF(الموظفون!$E57="غير سعودي",cfg_WP,0))))</f>
        <v/>
      </c>
      <c r="P57" s="116" t="str">
        <f aca="false">IF($B57="","",IF(F57="✖ منتهي الخدمة",0,IF(الموظفون!$Z57&lt;&gt;"",الموظفون!$Z57,cfg_MED)))</f>
        <v/>
      </c>
      <c r="Q57" s="116" t="str">
        <f aca="false">IF($B57="","",IF(F57="✖ منتهي الخدمة",0,N(الموظفون!$AA57)))</f>
        <v/>
      </c>
      <c r="R57" s="116" t="str">
        <f aca="false">IF($B57="","",SUM(N57:Q57))</f>
        <v/>
      </c>
      <c r="S57" s="116" t="str">
        <f aca="false">IF($B57="","",R57/12)</f>
        <v/>
      </c>
      <c r="T57" s="116" t="str">
        <f aca="false">IF($B57="","",IF(1&lt;=cfg_VAL_M,'مسير يناير'!AD57+'مسير يناير'!AE57+'مسير يناير'!AF57,0)+IF(2&lt;=cfg_VAL_M,'مسير فبراير'!AD57+'مسير فبراير'!AE57+'مسير فبراير'!AF57,0)+IF(3&lt;=cfg_VAL_M,'مسير مارس'!AD57+'مسير مارس'!AE57+'مسير مارس'!AF57,0)+IF(4&lt;=cfg_VAL_M,'مسير أبريل'!AD57+'مسير أبريل'!AE57+'مسير أبريل'!AF57,0)+IF(5&lt;=cfg_VAL_M,'مسير مايو'!AD57+'مسير مايو'!AE57+'مسير مايو'!AF57,0)+IF(6&lt;=cfg_VAL_M,'مسير يونيو'!AD57+'مسير يونيو'!AE57+'مسير يونيو'!AF57,0)+IF(7&lt;=cfg_VAL_M,'مسير يوليو'!AD57+'مسير يوليو'!AE57+'مسير يوليو'!AF57,0)+IF(8&lt;=cfg_VAL_M,'مسير أغسطس'!AD57+'مسير أغسطس'!AE57+'مسير أغسطس'!AF57,0)+IF(9&lt;=cfg_VAL_M,'مسير سبتمبر'!AD57+'مسير سبتمبر'!AE57+'مسير سبتمبر'!AF57,0)+IF(10&lt;=cfg_VAL_M,'مسير أكتوبر'!AD57+'مسير أكتوبر'!AE57+'مسير أكتوبر'!AF57,0)+IF(11&lt;=cfg_VAL_M,'مسير نوفمبر'!AD57+'مسير نوفمبر'!AE57+'مسير نوفمبر'!AF57,0)+IF(12&lt;=cfg_VAL_M,'مسير ديسمبر'!AD57+'مسير ديسمبر'!AE57+'مسير ديسمبر'!AF57,0))</f>
        <v/>
      </c>
      <c r="U57" s="116" t="str">
        <f aca="false">IF(OR($B57="",F57="✖ منتهي الخدمة"),"",IF(AND(ISNUMBER(I57),I57&lt;=cfg_ALERT),N57,0)+IF(AND(ISNUMBER(L57),L57&lt;=cfg_ALERT),O57,0))</f>
        <v/>
      </c>
    </row>
    <row r="58" customFormat="false" ht="15" hidden="false" customHeight="false" outlineLevel="0" collapsed="false">
      <c r="B58" s="114" t="str">
        <f aca="false">IF(الموظفون!$B58="","",الموظفون!$B58)</f>
        <v/>
      </c>
      <c r="C58" s="114" t="str">
        <f aca="false">IF($B58="","",الموظفون!$C58)</f>
        <v/>
      </c>
      <c r="D58" s="114" t="str">
        <f aca="false">IF($B58="","",الموظفون!$D58)</f>
        <v/>
      </c>
      <c r="E58" s="114" t="str">
        <f aca="false">IF($B58="","",الموظفون!$E58)</f>
        <v/>
      </c>
      <c r="F58" s="114" t="str">
        <f aca="false">IF($B58="","",الموظفون!$AG58)</f>
        <v/>
      </c>
      <c r="G58" s="114" t="str">
        <f aca="false">IF($B58="","",IF(الموظفون!$I58="","",الموظفون!$I58))</f>
        <v/>
      </c>
      <c r="H58" s="174" t="str">
        <f aca="false">IF($B58="","",IF(الموظفون!$J58="","",الموظفون!$J58))</f>
        <v/>
      </c>
      <c r="I58" s="65" t="str">
        <f aca="false">IF(OR($B58="",H58=""),"",H58-cfg_TRACK)</f>
        <v/>
      </c>
      <c r="J58" s="114" t="str">
        <f aca="false">IF(OR($B58="",$F58="✖ منتهي الخدمة"),"",IF(H58="",IF($E58="غير سعودي","⚠ أدخل التاريخ","-"),IF(I58&lt;0,"✖ منتهية منذ "&amp;TEXT(-I58,"0")&amp;" يوم",IF(I58&lt;=cfg_ALERT,"⚠ تنتهي خلال "&amp;TEXT(I58,"0")&amp;" يوم","✔ سارية"))))</f>
        <v/>
      </c>
      <c r="K58" s="174" t="str">
        <f aca="false">IF($B58="","",IF(الموظفون!$K58="","",الموظفون!$K58))</f>
        <v/>
      </c>
      <c r="L58" s="65" t="str">
        <f aca="false">IF(OR($B58="",K58=""),"",K58-cfg_TRACK)</f>
        <v/>
      </c>
      <c r="M58" s="114" t="str">
        <f aca="false">IF(OR($B58="",$F58="✖ منتهي الخدمة"),"",IF(K58="",IF($E58="غير سعودي","⚠ أدخل التاريخ","-"),IF(L58&lt;0,"✖ منتهية منذ "&amp;TEXT(-L58,"0")&amp;" يوم",IF(L58&lt;=cfg_ALERT,"⚠ تنتهي خلال "&amp;TEXT(L58,"0")&amp;" يوم","✔ سارية"))))</f>
        <v/>
      </c>
      <c r="N58" s="111" t="str">
        <f aca="false">IF($B58="","",IF(F58="✖ منتهي الخدمة",0,IF(الموظفون!$X58&lt;&gt;"",الموظفون!$X58,IF(الموظفون!$E58="غير سعودي",cfg_IQ,0))))</f>
        <v/>
      </c>
      <c r="O58" s="111" t="str">
        <f aca="false">IF($B58="","",IF(F58="✖ منتهي الخدمة",0,IF(الموظفون!$Y58&lt;&gt;"",الموظفون!$Y58,IF(الموظفون!$E58="غير سعودي",cfg_WP,0))))</f>
        <v/>
      </c>
      <c r="P58" s="111" t="str">
        <f aca="false">IF($B58="","",IF(F58="✖ منتهي الخدمة",0,IF(الموظفون!$Z58&lt;&gt;"",الموظفون!$Z58,cfg_MED)))</f>
        <v/>
      </c>
      <c r="Q58" s="111" t="str">
        <f aca="false">IF($B58="","",IF(F58="✖ منتهي الخدمة",0,N(الموظفون!$AA58)))</f>
        <v/>
      </c>
      <c r="R58" s="111" t="str">
        <f aca="false">IF($B58="","",SUM(N58:Q58))</f>
        <v/>
      </c>
      <c r="S58" s="111" t="str">
        <f aca="false">IF($B58="","",R58/12)</f>
        <v/>
      </c>
      <c r="T58" s="111" t="str">
        <f aca="false">IF($B58="","",IF(1&lt;=cfg_VAL_M,'مسير يناير'!AD58+'مسير يناير'!AE58+'مسير يناير'!AF58,0)+IF(2&lt;=cfg_VAL_M,'مسير فبراير'!AD58+'مسير فبراير'!AE58+'مسير فبراير'!AF58,0)+IF(3&lt;=cfg_VAL_M,'مسير مارس'!AD58+'مسير مارس'!AE58+'مسير مارس'!AF58,0)+IF(4&lt;=cfg_VAL_M,'مسير أبريل'!AD58+'مسير أبريل'!AE58+'مسير أبريل'!AF58,0)+IF(5&lt;=cfg_VAL_M,'مسير مايو'!AD58+'مسير مايو'!AE58+'مسير مايو'!AF58,0)+IF(6&lt;=cfg_VAL_M,'مسير يونيو'!AD58+'مسير يونيو'!AE58+'مسير يونيو'!AF58,0)+IF(7&lt;=cfg_VAL_M,'مسير يوليو'!AD58+'مسير يوليو'!AE58+'مسير يوليو'!AF58,0)+IF(8&lt;=cfg_VAL_M,'مسير أغسطس'!AD58+'مسير أغسطس'!AE58+'مسير أغسطس'!AF58,0)+IF(9&lt;=cfg_VAL_M,'مسير سبتمبر'!AD58+'مسير سبتمبر'!AE58+'مسير سبتمبر'!AF58,0)+IF(10&lt;=cfg_VAL_M,'مسير أكتوبر'!AD58+'مسير أكتوبر'!AE58+'مسير أكتوبر'!AF58,0)+IF(11&lt;=cfg_VAL_M,'مسير نوفمبر'!AD58+'مسير نوفمبر'!AE58+'مسير نوفمبر'!AF58,0)+IF(12&lt;=cfg_VAL_M,'مسير ديسمبر'!AD58+'مسير ديسمبر'!AE58+'مسير ديسمبر'!AF58,0))</f>
        <v/>
      </c>
      <c r="U58" s="111" t="str">
        <f aca="false">IF(OR($B58="",F58="✖ منتهي الخدمة"),"",IF(AND(ISNUMBER(I58),I58&lt;=cfg_ALERT),N58,0)+IF(AND(ISNUMBER(L58),L58&lt;=cfg_ALERT),O58,0))</f>
        <v/>
      </c>
    </row>
    <row r="59" customFormat="false" ht="15" hidden="false" customHeight="false" outlineLevel="0" collapsed="false">
      <c r="B59" s="117" t="str">
        <f aca="false">IF(الموظفون!$B59="","",الموظفون!$B59)</f>
        <v/>
      </c>
      <c r="C59" s="117" t="str">
        <f aca="false">IF($B59="","",الموظفون!$C59)</f>
        <v/>
      </c>
      <c r="D59" s="117" t="str">
        <f aca="false">IF($B59="","",الموظفون!$D59)</f>
        <v/>
      </c>
      <c r="E59" s="117" t="str">
        <f aca="false">IF($B59="","",الموظفون!$E59)</f>
        <v/>
      </c>
      <c r="F59" s="117" t="str">
        <f aca="false">IF($B59="","",الموظفون!$AG59)</f>
        <v/>
      </c>
      <c r="G59" s="117" t="str">
        <f aca="false">IF($B59="","",IF(الموظفون!$I59="","",الموظفون!$I59))</f>
        <v/>
      </c>
      <c r="H59" s="175" t="str">
        <f aca="false">IF($B59="","",IF(الموظفون!$J59="","",الموظفون!$J59))</f>
        <v/>
      </c>
      <c r="I59" s="133" t="str">
        <f aca="false">IF(OR($B59="",H59=""),"",H59-cfg_TRACK)</f>
        <v/>
      </c>
      <c r="J59" s="117" t="str">
        <f aca="false">IF(OR($B59="",$F59="✖ منتهي الخدمة"),"",IF(H59="",IF($E59="غير سعودي","⚠ أدخل التاريخ","-"),IF(I59&lt;0,"✖ منتهية منذ "&amp;TEXT(-I59,"0")&amp;" يوم",IF(I59&lt;=cfg_ALERT,"⚠ تنتهي خلال "&amp;TEXT(I59,"0")&amp;" يوم","✔ سارية"))))</f>
        <v/>
      </c>
      <c r="K59" s="175" t="str">
        <f aca="false">IF($B59="","",IF(الموظفون!$K59="","",الموظفون!$K59))</f>
        <v/>
      </c>
      <c r="L59" s="133" t="str">
        <f aca="false">IF(OR($B59="",K59=""),"",K59-cfg_TRACK)</f>
        <v/>
      </c>
      <c r="M59" s="117" t="str">
        <f aca="false">IF(OR($B59="",$F59="✖ منتهي الخدمة"),"",IF(K59="",IF($E59="غير سعودي","⚠ أدخل التاريخ","-"),IF(L59&lt;0,"✖ منتهية منذ "&amp;TEXT(-L59,"0")&amp;" يوم",IF(L59&lt;=cfg_ALERT,"⚠ تنتهي خلال "&amp;TEXT(L59,"0")&amp;" يوم","✔ سارية"))))</f>
        <v/>
      </c>
      <c r="N59" s="116" t="str">
        <f aca="false">IF($B59="","",IF(F59="✖ منتهي الخدمة",0,IF(الموظفون!$X59&lt;&gt;"",الموظفون!$X59,IF(الموظفون!$E59="غير سعودي",cfg_IQ,0))))</f>
        <v/>
      </c>
      <c r="O59" s="116" t="str">
        <f aca="false">IF($B59="","",IF(F59="✖ منتهي الخدمة",0,IF(الموظفون!$Y59&lt;&gt;"",الموظفون!$Y59,IF(الموظفون!$E59="غير سعودي",cfg_WP,0))))</f>
        <v/>
      </c>
      <c r="P59" s="116" t="str">
        <f aca="false">IF($B59="","",IF(F59="✖ منتهي الخدمة",0,IF(الموظفون!$Z59&lt;&gt;"",الموظفون!$Z59,cfg_MED)))</f>
        <v/>
      </c>
      <c r="Q59" s="116" t="str">
        <f aca="false">IF($B59="","",IF(F59="✖ منتهي الخدمة",0,N(الموظفون!$AA59)))</f>
        <v/>
      </c>
      <c r="R59" s="116" t="str">
        <f aca="false">IF($B59="","",SUM(N59:Q59))</f>
        <v/>
      </c>
      <c r="S59" s="116" t="str">
        <f aca="false">IF($B59="","",R59/12)</f>
        <v/>
      </c>
      <c r="T59" s="116" t="str">
        <f aca="false">IF($B59="","",IF(1&lt;=cfg_VAL_M,'مسير يناير'!AD59+'مسير يناير'!AE59+'مسير يناير'!AF59,0)+IF(2&lt;=cfg_VAL_M,'مسير فبراير'!AD59+'مسير فبراير'!AE59+'مسير فبراير'!AF59,0)+IF(3&lt;=cfg_VAL_M,'مسير مارس'!AD59+'مسير مارس'!AE59+'مسير مارس'!AF59,0)+IF(4&lt;=cfg_VAL_M,'مسير أبريل'!AD59+'مسير أبريل'!AE59+'مسير أبريل'!AF59,0)+IF(5&lt;=cfg_VAL_M,'مسير مايو'!AD59+'مسير مايو'!AE59+'مسير مايو'!AF59,0)+IF(6&lt;=cfg_VAL_M,'مسير يونيو'!AD59+'مسير يونيو'!AE59+'مسير يونيو'!AF59,0)+IF(7&lt;=cfg_VAL_M,'مسير يوليو'!AD59+'مسير يوليو'!AE59+'مسير يوليو'!AF59,0)+IF(8&lt;=cfg_VAL_M,'مسير أغسطس'!AD59+'مسير أغسطس'!AE59+'مسير أغسطس'!AF59,0)+IF(9&lt;=cfg_VAL_M,'مسير سبتمبر'!AD59+'مسير سبتمبر'!AE59+'مسير سبتمبر'!AF59,0)+IF(10&lt;=cfg_VAL_M,'مسير أكتوبر'!AD59+'مسير أكتوبر'!AE59+'مسير أكتوبر'!AF59,0)+IF(11&lt;=cfg_VAL_M,'مسير نوفمبر'!AD59+'مسير نوفمبر'!AE59+'مسير نوفمبر'!AF59,0)+IF(12&lt;=cfg_VAL_M,'مسير ديسمبر'!AD59+'مسير ديسمبر'!AE59+'مسير ديسمبر'!AF59,0))</f>
        <v/>
      </c>
      <c r="U59" s="116" t="str">
        <f aca="false">IF(OR($B59="",F59="✖ منتهي الخدمة"),"",IF(AND(ISNUMBER(I59),I59&lt;=cfg_ALERT),N59,0)+IF(AND(ISNUMBER(L59),L59&lt;=cfg_ALERT),O59,0))</f>
        <v/>
      </c>
    </row>
    <row r="60" customFormat="false" ht="15" hidden="false" customHeight="false" outlineLevel="0" collapsed="false">
      <c r="B60" s="114" t="str">
        <f aca="false">IF(الموظفون!$B60="","",الموظفون!$B60)</f>
        <v/>
      </c>
      <c r="C60" s="114" t="str">
        <f aca="false">IF($B60="","",الموظفون!$C60)</f>
        <v/>
      </c>
      <c r="D60" s="114" t="str">
        <f aca="false">IF($B60="","",الموظفون!$D60)</f>
        <v/>
      </c>
      <c r="E60" s="114" t="str">
        <f aca="false">IF($B60="","",الموظفون!$E60)</f>
        <v/>
      </c>
      <c r="F60" s="114" t="str">
        <f aca="false">IF($B60="","",الموظفون!$AG60)</f>
        <v/>
      </c>
      <c r="G60" s="114" t="str">
        <f aca="false">IF($B60="","",IF(الموظفون!$I60="","",الموظفون!$I60))</f>
        <v/>
      </c>
      <c r="H60" s="174" t="str">
        <f aca="false">IF($B60="","",IF(الموظفون!$J60="","",الموظفون!$J60))</f>
        <v/>
      </c>
      <c r="I60" s="65" t="str">
        <f aca="false">IF(OR($B60="",H60=""),"",H60-cfg_TRACK)</f>
        <v/>
      </c>
      <c r="J60" s="114" t="str">
        <f aca="false">IF(OR($B60="",$F60="✖ منتهي الخدمة"),"",IF(H60="",IF($E60="غير سعودي","⚠ أدخل التاريخ","-"),IF(I60&lt;0,"✖ منتهية منذ "&amp;TEXT(-I60,"0")&amp;" يوم",IF(I60&lt;=cfg_ALERT,"⚠ تنتهي خلال "&amp;TEXT(I60,"0")&amp;" يوم","✔ سارية"))))</f>
        <v/>
      </c>
      <c r="K60" s="174" t="str">
        <f aca="false">IF($B60="","",IF(الموظفون!$K60="","",الموظفون!$K60))</f>
        <v/>
      </c>
      <c r="L60" s="65" t="str">
        <f aca="false">IF(OR($B60="",K60=""),"",K60-cfg_TRACK)</f>
        <v/>
      </c>
      <c r="M60" s="114" t="str">
        <f aca="false">IF(OR($B60="",$F60="✖ منتهي الخدمة"),"",IF(K60="",IF($E60="غير سعودي","⚠ أدخل التاريخ","-"),IF(L60&lt;0,"✖ منتهية منذ "&amp;TEXT(-L60,"0")&amp;" يوم",IF(L60&lt;=cfg_ALERT,"⚠ تنتهي خلال "&amp;TEXT(L60,"0")&amp;" يوم","✔ سارية"))))</f>
        <v/>
      </c>
      <c r="N60" s="111" t="str">
        <f aca="false">IF($B60="","",IF(F60="✖ منتهي الخدمة",0,IF(الموظفون!$X60&lt;&gt;"",الموظفون!$X60,IF(الموظفون!$E60="غير سعودي",cfg_IQ,0))))</f>
        <v/>
      </c>
      <c r="O60" s="111" t="str">
        <f aca="false">IF($B60="","",IF(F60="✖ منتهي الخدمة",0,IF(الموظفون!$Y60&lt;&gt;"",الموظفون!$Y60,IF(الموظفون!$E60="غير سعودي",cfg_WP,0))))</f>
        <v/>
      </c>
      <c r="P60" s="111" t="str">
        <f aca="false">IF($B60="","",IF(F60="✖ منتهي الخدمة",0,IF(الموظفون!$Z60&lt;&gt;"",الموظفون!$Z60,cfg_MED)))</f>
        <v/>
      </c>
      <c r="Q60" s="111" t="str">
        <f aca="false">IF($B60="","",IF(F60="✖ منتهي الخدمة",0,N(الموظفون!$AA60)))</f>
        <v/>
      </c>
      <c r="R60" s="111" t="str">
        <f aca="false">IF($B60="","",SUM(N60:Q60))</f>
        <v/>
      </c>
      <c r="S60" s="111" t="str">
        <f aca="false">IF($B60="","",R60/12)</f>
        <v/>
      </c>
      <c r="T60" s="111" t="str">
        <f aca="false">IF($B60="","",IF(1&lt;=cfg_VAL_M,'مسير يناير'!AD60+'مسير يناير'!AE60+'مسير يناير'!AF60,0)+IF(2&lt;=cfg_VAL_M,'مسير فبراير'!AD60+'مسير فبراير'!AE60+'مسير فبراير'!AF60,0)+IF(3&lt;=cfg_VAL_M,'مسير مارس'!AD60+'مسير مارس'!AE60+'مسير مارس'!AF60,0)+IF(4&lt;=cfg_VAL_M,'مسير أبريل'!AD60+'مسير أبريل'!AE60+'مسير أبريل'!AF60,0)+IF(5&lt;=cfg_VAL_M,'مسير مايو'!AD60+'مسير مايو'!AE60+'مسير مايو'!AF60,0)+IF(6&lt;=cfg_VAL_M,'مسير يونيو'!AD60+'مسير يونيو'!AE60+'مسير يونيو'!AF60,0)+IF(7&lt;=cfg_VAL_M,'مسير يوليو'!AD60+'مسير يوليو'!AE60+'مسير يوليو'!AF60,0)+IF(8&lt;=cfg_VAL_M,'مسير أغسطس'!AD60+'مسير أغسطس'!AE60+'مسير أغسطس'!AF60,0)+IF(9&lt;=cfg_VAL_M,'مسير سبتمبر'!AD60+'مسير سبتمبر'!AE60+'مسير سبتمبر'!AF60,0)+IF(10&lt;=cfg_VAL_M,'مسير أكتوبر'!AD60+'مسير أكتوبر'!AE60+'مسير أكتوبر'!AF60,0)+IF(11&lt;=cfg_VAL_M,'مسير نوفمبر'!AD60+'مسير نوفمبر'!AE60+'مسير نوفمبر'!AF60,0)+IF(12&lt;=cfg_VAL_M,'مسير ديسمبر'!AD60+'مسير ديسمبر'!AE60+'مسير ديسمبر'!AF60,0))</f>
        <v/>
      </c>
      <c r="U60" s="111" t="str">
        <f aca="false">IF(OR($B60="",F60="✖ منتهي الخدمة"),"",IF(AND(ISNUMBER(I60),I60&lt;=cfg_ALERT),N60,0)+IF(AND(ISNUMBER(L60),L60&lt;=cfg_ALERT),O60,0))</f>
        <v/>
      </c>
    </row>
    <row r="61" customFormat="false" ht="15" hidden="false" customHeight="false" outlineLevel="0" collapsed="false">
      <c r="B61" s="117" t="str">
        <f aca="false">IF(الموظفون!$B61="","",الموظفون!$B61)</f>
        <v/>
      </c>
      <c r="C61" s="117" t="str">
        <f aca="false">IF($B61="","",الموظفون!$C61)</f>
        <v/>
      </c>
      <c r="D61" s="117" t="str">
        <f aca="false">IF($B61="","",الموظفون!$D61)</f>
        <v/>
      </c>
      <c r="E61" s="117" t="str">
        <f aca="false">IF($B61="","",الموظفون!$E61)</f>
        <v/>
      </c>
      <c r="F61" s="117" t="str">
        <f aca="false">IF($B61="","",الموظفون!$AG61)</f>
        <v/>
      </c>
      <c r="G61" s="117" t="str">
        <f aca="false">IF($B61="","",IF(الموظفون!$I61="","",الموظفون!$I61))</f>
        <v/>
      </c>
      <c r="H61" s="175" t="str">
        <f aca="false">IF($B61="","",IF(الموظفون!$J61="","",الموظفون!$J61))</f>
        <v/>
      </c>
      <c r="I61" s="133" t="str">
        <f aca="false">IF(OR($B61="",H61=""),"",H61-cfg_TRACK)</f>
        <v/>
      </c>
      <c r="J61" s="117" t="str">
        <f aca="false">IF(OR($B61="",$F61="✖ منتهي الخدمة"),"",IF(H61="",IF($E61="غير سعودي","⚠ أدخل التاريخ","-"),IF(I61&lt;0,"✖ منتهية منذ "&amp;TEXT(-I61,"0")&amp;" يوم",IF(I61&lt;=cfg_ALERT,"⚠ تنتهي خلال "&amp;TEXT(I61,"0")&amp;" يوم","✔ سارية"))))</f>
        <v/>
      </c>
      <c r="K61" s="175" t="str">
        <f aca="false">IF($B61="","",IF(الموظفون!$K61="","",الموظفون!$K61))</f>
        <v/>
      </c>
      <c r="L61" s="133" t="str">
        <f aca="false">IF(OR($B61="",K61=""),"",K61-cfg_TRACK)</f>
        <v/>
      </c>
      <c r="M61" s="117" t="str">
        <f aca="false">IF(OR($B61="",$F61="✖ منتهي الخدمة"),"",IF(K61="",IF($E61="غير سعودي","⚠ أدخل التاريخ","-"),IF(L61&lt;0,"✖ منتهية منذ "&amp;TEXT(-L61,"0")&amp;" يوم",IF(L61&lt;=cfg_ALERT,"⚠ تنتهي خلال "&amp;TEXT(L61,"0")&amp;" يوم","✔ سارية"))))</f>
        <v/>
      </c>
      <c r="N61" s="116" t="str">
        <f aca="false">IF($B61="","",IF(F61="✖ منتهي الخدمة",0,IF(الموظفون!$X61&lt;&gt;"",الموظفون!$X61,IF(الموظفون!$E61="غير سعودي",cfg_IQ,0))))</f>
        <v/>
      </c>
      <c r="O61" s="116" t="str">
        <f aca="false">IF($B61="","",IF(F61="✖ منتهي الخدمة",0,IF(الموظفون!$Y61&lt;&gt;"",الموظفون!$Y61,IF(الموظفون!$E61="غير سعودي",cfg_WP,0))))</f>
        <v/>
      </c>
      <c r="P61" s="116" t="str">
        <f aca="false">IF($B61="","",IF(F61="✖ منتهي الخدمة",0,IF(الموظفون!$Z61&lt;&gt;"",الموظفون!$Z61,cfg_MED)))</f>
        <v/>
      </c>
      <c r="Q61" s="116" t="str">
        <f aca="false">IF($B61="","",IF(F61="✖ منتهي الخدمة",0,N(الموظفون!$AA61)))</f>
        <v/>
      </c>
      <c r="R61" s="116" t="str">
        <f aca="false">IF($B61="","",SUM(N61:Q61))</f>
        <v/>
      </c>
      <c r="S61" s="116" t="str">
        <f aca="false">IF($B61="","",R61/12)</f>
        <v/>
      </c>
      <c r="T61" s="116" t="str">
        <f aca="false">IF($B61="","",IF(1&lt;=cfg_VAL_M,'مسير يناير'!AD61+'مسير يناير'!AE61+'مسير يناير'!AF61,0)+IF(2&lt;=cfg_VAL_M,'مسير فبراير'!AD61+'مسير فبراير'!AE61+'مسير فبراير'!AF61,0)+IF(3&lt;=cfg_VAL_M,'مسير مارس'!AD61+'مسير مارس'!AE61+'مسير مارس'!AF61,0)+IF(4&lt;=cfg_VAL_M,'مسير أبريل'!AD61+'مسير أبريل'!AE61+'مسير أبريل'!AF61,0)+IF(5&lt;=cfg_VAL_M,'مسير مايو'!AD61+'مسير مايو'!AE61+'مسير مايو'!AF61,0)+IF(6&lt;=cfg_VAL_M,'مسير يونيو'!AD61+'مسير يونيو'!AE61+'مسير يونيو'!AF61,0)+IF(7&lt;=cfg_VAL_M,'مسير يوليو'!AD61+'مسير يوليو'!AE61+'مسير يوليو'!AF61,0)+IF(8&lt;=cfg_VAL_M,'مسير أغسطس'!AD61+'مسير أغسطس'!AE61+'مسير أغسطس'!AF61,0)+IF(9&lt;=cfg_VAL_M,'مسير سبتمبر'!AD61+'مسير سبتمبر'!AE61+'مسير سبتمبر'!AF61,0)+IF(10&lt;=cfg_VAL_M,'مسير أكتوبر'!AD61+'مسير أكتوبر'!AE61+'مسير أكتوبر'!AF61,0)+IF(11&lt;=cfg_VAL_M,'مسير نوفمبر'!AD61+'مسير نوفمبر'!AE61+'مسير نوفمبر'!AF61,0)+IF(12&lt;=cfg_VAL_M,'مسير ديسمبر'!AD61+'مسير ديسمبر'!AE61+'مسير ديسمبر'!AF61,0))</f>
        <v/>
      </c>
      <c r="U61" s="116" t="str">
        <f aca="false">IF(OR($B61="",F61="✖ منتهي الخدمة"),"",IF(AND(ISNUMBER(I61),I61&lt;=cfg_ALERT),N61,0)+IF(AND(ISNUMBER(L61),L61&lt;=cfg_ALERT),O61,0))</f>
        <v/>
      </c>
    </row>
    <row r="62" customFormat="false" ht="15" hidden="false" customHeight="false" outlineLevel="0" collapsed="false">
      <c r="B62" s="114" t="str">
        <f aca="false">IF(الموظفون!$B62="","",الموظفون!$B62)</f>
        <v/>
      </c>
      <c r="C62" s="114" t="str">
        <f aca="false">IF($B62="","",الموظفون!$C62)</f>
        <v/>
      </c>
      <c r="D62" s="114" t="str">
        <f aca="false">IF($B62="","",الموظفون!$D62)</f>
        <v/>
      </c>
      <c r="E62" s="114" t="str">
        <f aca="false">IF($B62="","",الموظفون!$E62)</f>
        <v/>
      </c>
      <c r="F62" s="114" t="str">
        <f aca="false">IF($B62="","",الموظفون!$AG62)</f>
        <v/>
      </c>
      <c r="G62" s="114" t="str">
        <f aca="false">IF($B62="","",IF(الموظفون!$I62="","",الموظفون!$I62))</f>
        <v/>
      </c>
      <c r="H62" s="174" t="str">
        <f aca="false">IF($B62="","",IF(الموظفون!$J62="","",الموظفون!$J62))</f>
        <v/>
      </c>
      <c r="I62" s="65" t="str">
        <f aca="false">IF(OR($B62="",H62=""),"",H62-cfg_TRACK)</f>
        <v/>
      </c>
      <c r="J62" s="114" t="str">
        <f aca="false">IF(OR($B62="",$F62="✖ منتهي الخدمة"),"",IF(H62="",IF($E62="غير سعودي","⚠ أدخل التاريخ","-"),IF(I62&lt;0,"✖ منتهية منذ "&amp;TEXT(-I62,"0")&amp;" يوم",IF(I62&lt;=cfg_ALERT,"⚠ تنتهي خلال "&amp;TEXT(I62,"0")&amp;" يوم","✔ سارية"))))</f>
        <v/>
      </c>
      <c r="K62" s="174" t="str">
        <f aca="false">IF($B62="","",IF(الموظفون!$K62="","",الموظفون!$K62))</f>
        <v/>
      </c>
      <c r="L62" s="65" t="str">
        <f aca="false">IF(OR($B62="",K62=""),"",K62-cfg_TRACK)</f>
        <v/>
      </c>
      <c r="M62" s="114" t="str">
        <f aca="false">IF(OR($B62="",$F62="✖ منتهي الخدمة"),"",IF(K62="",IF($E62="غير سعودي","⚠ أدخل التاريخ","-"),IF(L62&lt;0,"✖ منتهية منذ "&amp;TEXT(-L62,"0")&amp;" يوم",IF(L62&lt;=cfg_ALERT,"⚠ تنتهي خلال "&amp;TEXT(L62,"0")&amp;" يوم","✔ سارية"))))</f>
        <v/>
      </c>
      <c r="N62" s="111" t="str">
        <f aca="false">IF($B62="","",IF(F62="✖ منتهي الخدمة",0,IF(الموظفون!$X62&lt;&gt;"",الموظفون!$X62,IF(الموظفون!$E62="غير سعودي",cfg_IQ,0))))</f>
        <v/>
      </c>
      <c r="O62" s="111" t="str">
        <f aca="false">IF($B62="","",IF(F62="✖ منتهي الخدمة",0,IF(الموظفون!$Y62&lt;&gt;"",الموظفون!$Y62,IF(الموظفون!$E62="غير سعودي",cfg_WP,0))))</f>
        <v/>
      </c>
      <c r="P62" s="111" t="str">
        <f aca="false">IF($B62="","",IF(F62="✖ منتهي الخدمة",0,IF(الموظفون!$Z62&lt;&gt;"",الموظفون!$Z62,cfg_MED)))</f>
        <v/>
      </c>
      <c r="Q62" s="111" t="str">
        <f aca="false">IF($B62="","",IF(F62="✖ منتهي الخدمة",0,N(الموظفون!$AA62)))</f>
        <v/>
      </c>
      <c r="R62" s="111" t="str">
        <f aca="false">IF($B62="","",SUM(N62:Q62))</f>
        <v/>
      </c>
      <c r="S62" s="111" t="str">
        <f aca="false">IF($B62="","",R62/12)</f>
        <v/>
      </c>
      <c r="T62" s="111" t="str">
        <f aca="false">IF($B62="","",IF(1&lt;=cfg_VAL_M,'مسير يناير'!AD62+'مسير يناير'!AE62+'مسير يناير'!AF62,0)+IF(2&lt;=cfg_VAL_M,'مسير فبراير'!AD62+'مسير فبراير'!AE62+'مسير فبراير'!AF62,0)+IF(3&lt;=cfg_VAL_M,'مسير مارس'!AD62+'مسير مارس'!AE62+'مسير مارس'!AF62,0)+IF(4&lt;=cfg_VAL_M,'مسير أبريل'!AD62+'مسير أبريل'!AE62+'مسير أبريل'!AF62,0)+IF(5&lt;=cfg_VAL_M,'مسير مايو'!AD62+'مسير مايو'!AE62+'مسير مايو'!AF62,0)+IF(6&lt;=cfg_VAL_M,'مسير يونيو'!AD62+'مسير يونيو'!AE62+'مسير يونيو'!AF62,0)+IF(7&lt;=cfg_VAL_M,'مسير يوليو'!AD62+'مسير يوليو'!AE62+'مسير يوليو'!AF62,0)+IF(8&lt;=cfg_VAL_M,'مسير أغسطس'!AD62+'مسير أغسطس'!AE62+'مسير أغسطس'!AF62,0)+IF(9&lt;=cfg_VAL_M,'مسير سبتمبر'!AD62+'مسير سبتمبر'!AE62+'مسير سبتمبر'!AF62,0)+IF(10&lt;=cfg_VAL_M,'مسير أكتوبر'!AD62+'مسير أكتوبر'!AE62+'مسير أكتوبر'!AF62,0)+IF(11&lt;=cfg_VAL_M,'مسير نوفمبر'!AD62+'مسير نوفمبر'!AE62+'مسير نوفمبر'!AF62,0)+IF(12&lt;=cfg_VAL_M,'مسير ديسمبر'!AD62+'مسير ديسمبر'!AE62+'مسير ديسمبر'!AF62,0))</f>
        <v/>
      </c>
      <c r="U62" s="111" t="str">
        <f aca="false">IF(OR($B62="",F62="✖ منتهي الخدمة"),"",IF(AND(ISNUMBER(I62),I62&lt;=cfg_ALERT),N62,0)+IF(AND(ISNUMBER(L62),L62&lt;=cfg_ALERT),O62,0))</f>
        <v/>
      </c>
    </row>
    <row r="63" customFormat="false" ht="15" hidden="false" customHeight="false" outlineLevel="0" collapsed="false">
      <c r="B63" s="117" t="str">
        <f aca="false">IF(الموظفون!$B63="","",الموظفون!$B63)</f>
        <v/>
      </c>
      <c r="C63" s="117" t="str">
        <f aca="false">IF($B63="","",الموظفون!$C63)</f>
        <v/>
      </c>
      <c r="D63" s="117" t="str">
        <f aca="false">IF($B63="","",الموظفون!$D63)</f>
        <v/>
      </c>
      <c r="E63" s="117" t="str">
        <f aca="false">IF($B63="","",الموظفون!$E63)</f>
        <v/>
      </c>
      <c r="F63" s="117" t="str">
        <f aca="false">IF($B63="","",الموظفون!$AG63)</f>
        <v/>
      </c>
      <c r="G63" s="117" t="str">
        <f aca="false">IF($B63="","",IF(الموظفون!$I63="","",الموظفون!$I63))</f>
        <v/>
      </c>
      <c r="H63" s="175" t="str">
        <f aca="false">IF($B63="","",IF(الموظفون!$J63="","",الموظفون!$J63))</f>
        <v/>
      </c>
      <c r="I63" s="133" t="str">
        <f aca="false">IF(OR($B63="",H63=""),"",H63-cfg_TRACK)</f>
        <v/>
      </c>
      <c r="J63" s="117" t="str">
        <f aca="false">IF(OR($B63="",$F63="✖ منتهي الخدمة"),"",IF(H63="",IF($E63="غير سعودي","⚠ أدخل التاريخ","-"),IF(I63&lt;0,"✖ منتهية منذ "&amp;TEXT(-I63,"0")&amp;" يوم",IF(I63&lt;=cfg_ALERT,"⚠ تنتهي خلال "&amp;TEXT(I63,"0")&amp;" يوم","✔ سارية"))))</f>
        <v/>
      </c>
      <c r="K63" s="175" t="str">
        <f aca="false">IF($B63="","",IF(الموظفون!$K63="","",الموظفون!$K63))</f>
        <v/>
      </c>
      <c r="L63" s="133" t="str">
        <f aca="false">IF(OR($B63="",K63=""),"",K63-cfg_TRACK)</f>
        <v/>
      </c>
      <c r="M63" s="117" t="str">
        <f aca="false">IF(OR($B63="",$F63="✖ منتهي الخدمة"),"",IF(K63="",IF($E63="غير سعودي","⚠ أدخل التاريخ","-"),IF(L63&lt;0,"✖ منتهية منذ "&amp;TEXT(-L63,"0")&amp;" يوم",IF(L63&lt;=cfg_ALERT,"⚠ تنتهي خلال "&amp;TEXT(L63,"0")&amp;" يوم","✔ سارية"))))</f>
        <v/>
      </c>
      <c r="N63" s="116" t="str">
        <f aca="false">IF($B63="","",IF(F63="✖ منتهي الخدمة",0,IF(الموظفون!$X63&lt;&gt;"",الموظفون!$X63,IF(الموظفون!$E63="غير سعودي",cfg_IQ,0))))</f>
        <v/>
      </c>
      <c r="O63" s="116" t="str">
        <f aca="false">IF($B63="","",IF(F63="✖ منتهي الخدمة",0,IF(الموظفون!$Y63&lt;&gt;"",الموظفون!$Y63,IF(الموظفون!$E63="غير سعودي",cfg_WP,0))))</f>
        <v/>
      </c>
      <c r="P63" s="116" t="str">
        <f aca="false">IF($B63="","",IF(F63="✖ منتهي الخدمة",0,IF(الموظفون!$Z63&lt;&gt;"",الموظفون!$Z63,cfg_MED)))</f>
        <v/>
      </c>
      <c r="Q63" s="116" t="str">
        <f aca="false">IF($B63="","",IF(F63="✖ منتهي الخدمة",0,N(الموظفون!$AA63)))</f>
        <v/>
      </c>
      <c r="R63" s="116" t="str">
        <f aca="false">IF($B63="","",SUM(N63:Q63))</f>
        <v/>
      </c>
      <c r="S63" s="116" t="str">
        <f aca="false">IF($B63="","",R63/12)</f>
        <v/>
      </c>
      <c r="T63" s="116" t="str">
        <f aca="false">IF($B63="","",IF(1&lt;=cfg_VAL_M,'مسير يناير'!AD63+'مسير يناير'!AE63+'مسير يناير'!AF63,0)+IF(2&lt;=cfg_VAL_M,'مسير فبراير'!AD63+'مسير فبراير'!AE63+'مسير فبراير'!AF63,0)+IF(3&lt;=cfg_VAL_M,'مسير مارس'!AD63+'مسير مارس'!AE63+'مسير مارس'!AF63,0)+IF(4&lt;=cfg_VAL_M,'مسير أبريل'!AD63+'مسير أبريل'!AE63+'مسير أبريل'!AF63,0)+IF(5&lt;=cfg_VAL_M,'مسير مايو'!AD63+'مسير مايو'!AE63+'مسير مايو'!AF63,0)+IF(6&lt;=cfg_VAL_M,'مسير يونيو'!AD63+'مسير يونيو'!AE63+'مسير يونيو'!AF63,0)+IF(7&lt;=cfg_VAL_M,'مسير يوليو'!AD63+'مسير يوليو'!AE63+'مسير يوليو'!AF63,0)+IF(8&lt;=cfg_VAL_M,'مسير أغسطس'!AD63+'مسير أغسطس'!AE63+'مسير أغسطس'!AF63,0)+IF(9&lt;=cfg_VAL_M,'مسير سبتمبر'!AD63+'مسير سبتمبر'!AE63+'مسير سبتمبر'!AF63,0)+IF(10&lt;=cfg_VAL_M,'مسير أكتوبر'!AD63+'مسير أكتوبر'!AE63+'مسير أكتوبر'!AF63,0)+IF(11&lt;=cfg_VAL_M,'مسير نوفمبر'!AD63+'مسير نوفمبر'!AE63+'مسير نوفمبر'!AF63,0)+IF(12&lt;=cfg_VAL_M,'مسير ديسمبر'!AD63+'مسير ديسمبر'!AE63+'مسير ديسمبر'!AF63,0))</f>
        <v/>
      </c>
      <c r="U63" s="116" t="str">
        <f aca="false">IF(OR($B63="",F63="✖ منتهي الخدمة"),"",IF(AND(ISNUMBER(I63),I63&lt;=cfg_ALERT),N63,0)+IF(AND(ISNUMBER(L63),L63&lt;=cfg_ALERT),O63,0))</f>
        <v/>
      </c>
    </row>
    <row r="64" customFormat="false" ht="15" hidden="false" customHeight="false" outlineLevel="0" collapsed="false">
      <c r="B64" s="114" t="str">
        <f aca="false">IF(الموظفون!$B64="","",الموظفون!$B64)</f>
        <v/>
      </c>
      <c r="C64" s="114" t="str">
        <f aca="false">IF($B64="","",الموظفون!$C64)</f>
        <v/>
      </c>
      <c r="D64" s="114" t="str">
        <f aca="false">IF($B64="","",الموظفون!$D64)</f>
        <v/>
      </c>
      <c r="E64" s="114" t="str">
        <f aca="false">IF($B64="","",الموظفون!$E64)</f>
        <v/>
      </c>
      <c r="F64" s="114" t="str">
        <f aca="false">IF($B64="","",الموظفون!$AG64)</f>
        <v/>
      </c>
      <c r="G64" s="114" t="str">
        <f aca="false">IF($B64="","",IF(الموظفون!$I64="","",الموظفون!$I64))</f>
        <v/>
      </c>
      <c r="H64" s="174" t="str">
        <f aca="false">IF($B64="","",IF(الموظفون!$J64="","",الموظفون!$J64))</f>
        <v/>
      </c>
      <c r="I64" s="65" t="str">
        <f aca="false">IF(OR($B64="",H64=""),"",H64-cfg_TRACK)</f>
        <v/>
      </c>
      <c r="J64" s="114" t="str">
        <f aca="false">IF(OR($B64="",$F64="✖ منتهي الخدمة"),"",IF(H64="",IF($E64="غير سعودي","⚠ أدخل التاريخ","-"),IF(I64&lt;0,"✖ منتهية منذ "&amp;TEXT(-I64,"0")&amp;" يوم",IF(I64&lt;=cfg_ALERT,"⚠ تنتهي خلال "&amp;TEXT(I64,"0")&amp;" يوم","✔ سارية"))))</f>
        <v/>
      </c>
      <c r="K64" s="174" t="str">
        <f aca="false">IF($B64="","",IF(الموظفون!$K64="","",الموظفون!$K64))</f>
        <v/>
      </c>
      <c r="L64" s="65" t="str">
        <f aca="false">IF(OR($B64="",K64=""),"",K64-cfg_TRACK)</f>
        <v/>
      </c>
      <c r="M64" s="114" t="str">
        <f aca="false">IF(OR($B64="",$F64="✖ منتهي الخدمة"),"",IF(K64="",IF($E64="غير سعودي","⚠ أدخل التاريخ","-"),IF(L64&lt;0,"✖ منتهية منذ "&amp;TEXT(-L64,"0")&amp;" يوم",IF(L64&lt;=cfg_ALERT,"⚠ تنتهي خلال "&amp;TEXT(L64,"0")&amp;" يوم","✔ سارية"))))</f>
        <v/>
      </c>
      <c r="N64" s="111" t="str">
        <f aca="false">IF($B64="","",IF(F64="✖ منتهي الخدمة",0,IF(الموظفون!$X64&lt;&gt;"",الموظفون!$X64,IF(الموظفون!$E64="غير سعودي",cfg_IQ,0))))</f>
        <v/>
      </c>
      <c r="O64" s="111" t="str">
        <f aca="false">IF($B64="","",IF(F64="✖ منتهي الخدمة",0,IF(الموظفون!$Y64&lt;&gt;"",الموظفون!$Y64,IF(الموظفون!$E64="غير سعودي",cfg_WP,0))))</f>
        <v/>
      </c>
      <c r="P64" s="111" t="str">
        <f aca="false">IF($B64="","",IF(F64="✖ منتهي الخدمة",0,IF(الموظفون!$Z64&lt;&gt;"",الموظفون!$Z64,cfg_MED)))</f>
        <v/>
      </c>
      <c r="Q64" s="111" t="str">
        <f aca="false">IF($B64="","",IF(F64="✖ منتهي الخدمة",0,N(الموظفون!$AA64)))</f>
        <v/>
      </c>
      <c r="R64" s="111" t="str">
        <f aca="false">IF($B64="","",SUM(N64:Q64))</f>
        <v/>
      </c>
      <c r="S64" s="111" t="str">
        <f aca="false">IF($B64="","",R64/12)</f>
        <v/>
      </c>
      <c r="T64" s="111" t="str">
        <f aca="false">IF($B64="","",IF(1&lt;=cfg_VAL_M,'مسير يناير'!AD64+'مسير يناير'!AE64+'مسير يناير'!AF64,0)+IF(2&lt;=cfg_VAL_M,'مسير فبراير'!AD64+'مسير فبراير'!AE64+'مسير فبراير'!AF64,0)+IF(3&lt;=cfg_VAL_M,'مسير مارس'!AD64+'مسير مارس'!AE64+'مسير مارس'!AF64,0)+IF(4&lt;=cfg_VAL_M,'مسير أبريل'!AD64+'مسير أبريل'!AE64+'مسير أبريل'!AF64,0)+IF(5&lt;=cfg_VAL_M,'مسير مايو'!AD64+'مسير مايو'!AE64+'مسير مايو'!AF64,0)+IF(6&lt;=cfg_VAL_M,'مسير يونيو'!AD64+'مسير يونيو'!AE64+'مسير يونيو'!AF64,0)+IF(7&lt;=cfg_VAL_M,'مسير يوليو'!AD64+'مسير يوليو'!AE64+'مسير يوليو'!AF64,0)+IF(8&lt;=cfg_VAL_M,'مسير أغسطس'!AD64+'مسير أغسطس'!AE64+'مسير أغسطس'!AF64,0)+IF(9&lt;=cfg_VAL_M,'مسير سبتمبر'!AD64+'مسير سبتمبر'!AE64+'مسير سبتمبر'!AF64,0)+IF(10&lt;=cfg_VAL_M,'مسير أكتوبر'!AD64+'مسير أكتوبر'!AE64+'مسير أكتوبر'!AF64,0)+IF(11&lt;=cfg_VAL_M,'مسير نوفمبر'!AD64+'مسير نوفمبر'!AE64+'مسير نوفمبر'!AF64,0)+IF(12&lt;=cfg_VAL_M,'مسير ديسمبر'!AD64+'مسير ديسمبر'!AE64+'مسير ديسمبر'!AF64,0))</f>
        <v/>
      </c>
      <c r="U64" s="111" t="str">
        <f aca="false">IF(OR($B64="",F64="✖ منتهي الخدمة"),"",IF(AND(ISNUMBER(I64),I64&lt;=cfg_ALERT),N64,0)+IF(AND(ISNUMBER(L64),L64&lt;=cfg_ALERT),O64,0))</f>
        <v/>
      </c>
    </row>
    <row r="65" customFormat="false" ht="15" hidden="false" customHeight="false" outlineLevel="0" collapsed="false">
      <c r="B65" s="117" t="str">
        <f aca="false">IF(الموظفون!$B65="","",الموظفون!$B65)</f>
        <v/>
      </c>
      <c r="C65" s="117" t="str">
        <f aca="false">IF($B65="","",الموظفون!$C65)</f>
        <v/>
      </c>
      <c r="D65" s="117" t="str">
        <f aca="false">IF($B65="","",الموظفون!$D65)</f>
        <v/>
      </c>
      <c r="E65" s="117" t="str">
        <f aca="false">IF($B65="","",الموظفون!$E65)</f>
        <v/>
      </c>
      <c r="F65" s="117" t="str">
        <f aca="false">IF($B65="","",الموظفون!$AG65)</f>
        <v/>
      </c>
      <c r="G65" s="117" t="str">
        <f aca="false">IF($B65="","",IF(الموظفون!$I65="","",الموظفون!$I65))</f>
        <v/>
      </c>
      <c r="H65" s="175" t="str">
        <f aca="false">IF($B65="","",IF(الموظفون!$J65="","",الموظفون!$J65))</f>
        <v/>
      </c>
      <c r="I65" s="133" t="str">
        <f aca="false">IF(OR($B65="",H65=""),"",H65-cfg_TRACK)</f>
        <v/>
      </c>
      <c r="J65" s="117" t="str">
        <f aca="false">IF(OR($B65="",$F65="✖ منتهي الخدمة"),"",IF(H65="",IF($E65="غير سعودي","⚠ أدخل التاريخ","-"),IF(I65&lt;0,"✖ منتهية منذ "&amp;TEXT(-I65,"0")&amp;" يوم",IF(I65&lt;=cfg_ALERT,"⚠ تنتهي خلال "&amp;TEXT(I65,"0")&amp;" يوم","✔ سارية"))))</f>
        <v/>
      </c>
      <c r="K65" s="175" t="str">
        <f aca="false">IF($B65="","",IF(الموظفون!$K65="","",الموظفون!$K65))</f>
        <v/>
      </c>
      <c r="L65" s="133" t="str">
        <f aca="false">IF(OR($B65="",K65=""),"",K65-cfg_TRACK)</f>
        <v/>
      </c>
      <c r="M65" s="117" t="str">
        <f aca="false">IF(OR($B65="",$F65="✖ منتهي الخدمة"),"",IF(K65="",IF($E65="غير سعودي","⚠ أدخل التاريخ","-"),IF(L65&lt;0,"✖ منتهية منذ "&amp;TEXT(-L65,"0")&amp;" يوم",IF(L65&lt;=cfg_ALERT,"⚠ تنتهي خلال "&amp;TEXT(L65,"0")&amp;" يوم","✔ سارية"))))</f>
        <v/>
      </c>
      <c r="N65" s="116" t="str">
        <f aca="false">IF($B65="","",IF(F65="✖ منتهي الخدمة",0,IF(الموظفون!$X65&lt;&gt;"",الموظفون!$X65,IF(الموظفون!$E65="غير سعودي",cfg_IQ,0))))</f>
        <v/>
      </c>
      <c r="O65" s="116" t="str">
        <f aca="false">IF($B65="","",IF(F65="✖ منتهي الخدمة",0,IF(الموظفون!$Y65&lt;&gt;"",الموظفون!$Y65,IF(الموظفون!$E65="غير سعودي",cfg_WP,0))))</f>
        <v/>
      </c>
      <c r="P65" s="116" t="str">
        <f aca="false">IF($B65="","",IF(F65="✖ منتهي الخدمة",0,IF(الموظفون!$Z65&lt;&gt;"",الموظفون!$Z65,cfg_MED)))</f>
        <v/>
      </c>
      <c r="Q65" s="116" t="str">
        <f aca="false">IF($B65="","",IF(F65="✖ منتهي الخدمة",0,N(الموظفون!$AA65)))</f>
        <v/>
      </c>
      <c r="R65" s="116" t="str">
        <f aca="false">IF($B65="","",SUM(N65:Q65))</f>
        <v/>
      </c>
      <c r="S65" s="116" t="str">
        <f aca="false">IF($B65="","",R65/12)</f>
        <v/>
      </c>
      <c r="T65" s="116" t="str">
        <f aca="false">IF($B65="","",IF(1&lt;=cfg_VAL_M,'مسير يناير'!AD65+'مسير يناير'!AE65+'مسير يناير'!AF65,0)+IF(2&lt;=cfg_VAL_M,'مسير فبراير'!AD65+'مسير فبراير'!AE65+'مسير فبراير'!AF65,0)+IF(3&lt;=cfg_VAL_M,'مسير مارس'!AD65+'مسير مارس'!AE65+'مسير مارس'!AF65,0)+IF(4&lt;=cfg_VAL_M,'مسير أبريل'!AD65+'مسير أبريل'!AE65+'مسير أبريل'!AF65,0)+IF(5&lt;=cfg_VAL_M,'مسير مايو'!AD65+'مسير مايو'!AE65+'مسير مايو'!AF65,0)+IF(6&lt;=cfg_VAL_M,'مسير يونيو'!AD65+'مسير يونيو'!AE65+'مسير يونيو'!AF65,0)+IF(7&lt;=cfg_VAL_M,'مسير يوليو'!AD65+'مسير يوليو'!AE65+'مسير يوليو'!AF65,0)+IF(8&lt;=cfg_VAL_M,'مسير أغسطس'!AD65+'مسير أغسطس'!AE65+'مسير أغسطس'!AF65,0)+IF(9&lt;=cfg_VAL_M,'مسير سبتمبر'!AD65+'مسير سبتمبر'!AE65+'مسير سبتمبر'!AF65,0)+IF(10&lt;=cfg_VAL_M,'مسير أكتوبر'!AD65+'مسير أكتوبر'!AE65+'مسير أكتوبر'!AF65,0)+IF(11&lt;=cfg_VAL_M,'مسير نوفمبر'!AD65+'مسير نوفمبر'!AE65+'مسير نوفمبر'!AF65,0)+IF(12&lt;=cfg_VAL_M,'مسير ديسمبر'!AD65+'مسير ديسمبر'!AE65+'مسير ديسمبر'!AF65,0))</f>
        <v/>
      </c>
      <c r="U65" s="116" t="str">
        <f aca="false">IF(OR($B65="",F65="✖ منتهي الخدمة"),"",IF(AND(ISNUMBER(I65),I65&lt;=cfg_ALERT),N65,0)+IF(AND(ISNUMBER(L65),L65&lt;=cfg_ALERT),O65,0))</f>
        <v/>
      </c>
    </row>
    <row r="66" customFormat="false" ht="15" hidden="false" customHeight="false" outlineLevel="0" collapsed="false">
      <c r="B66" s="114" t="str">
        <f aca="false">IF(الموظفون!$B66="","",الموظفون!$B66)</f>
        <v/>
      </c>
      <c r="C66" s="114" t="str">
        <f aca="false">IF($B66="","",الموظفون!$C66)</f>
        <v/>
      </c>
      <c r="D66" s="114" t="str">
        <f aca="false">IF($B66="","",الموظفون!$D66)</f>
        <v/>
      </c>
      <c r="E66" s="114" t="str">
        <f aca="false">IF($B66="","",الموظفون!$E66)</f>
        <v/>
      </c>
      <c r="F66" s="114" t="str">
        <f aca="false">IF($B66="","",الموظفون!$AG66)</f>
        <v/>
      </c>
      <c r="G66" s="114" t="str">
        <f aca="false">IF($B66="","",IF(الموظفون!$I66="","",الموظفون!$I66))</f>
        <v/>
      </c>
      <c r="H66" s="174" t="str">
        <f aca="false">IF($B66="","",IF(الموظفون!$J66="","",الموظفون!$J66))</f>
        <v/>
      </c>
      <c r="I66" s="65" t="str">
        <f aca="false">IF(OR($B66="",H66=""),"",H66-cfg_TRACK)</f>
        <v/>
      </c>
      <c r="J66" s="114" t="str">
        <f aca="false">IF(OR($B66="",$F66="✖ منتهي الخدمة"),"",IF(H66="",IF($E66="غير سعودي","⚠ أدخل التاريخ","-"),IF(I66&lt;0,"✖ منتهية منذ "&amp;TEXT(-I66,"0")&amp;" يوم",IF(I66&lt;=cfg_ALERT,"⚠ تنتهي خلال "&amp;TEXT(I66,"0")&amp;" يوم","✔ سارية"))))</f>
        <v/>
      </c>
      <c r="K66" s="174" t="str">
        <f aca="false">IF($B66="","",IF(الموظفون!$K66="","",الموظفون!$K66))</f>
        <v/>
      </c>
      <c r="L66" s="65" t="str">
        <f aca="false">IF(OR($B66="",K66=""),"",K66-cfg_TRACK)</f>
        <v/>
      </c>
      <c r="M66" s="114" t="str">
        <f aca="false">IF(OR($B66="",$F66="✖ منتهي الخدمة"),"",IF(K66="",IF($E66="غير سعودي","⚠ أدخل التاريخ","-"),IF(L66&lt;0,"✖ منتهية منذ "&amp;TEXT(-L66,"0")&amp;" يوم",IF(L66&lt;=cfg_ALERT,"⚠ تنتهي خلال "&amp;TEXT(L66,"0")&amp;" يوم","✔ سارية"))))</f>
        <v/>
      </c>
      <c r="N66" s="111" t="str">
        <f aca="false">IF($B66="","",IF(F66="✖ منتهي الخدمة",0,IF(الموظفون!$X66&lt;&gt;"",الموظفون!$X66,IF(الموظفون!$E66="غير سعودي",cfg_IQ,0))))</f>
        <v/>
      </c>
      <c r="O66" s="111" t="str">
        <f aca="false">IF($B66="","",IF(F66="✖ منتهي الخدمة",0,IF(الموظفون!$Y66&lt;&gt;"",الموظفون!$Y66,IF(الموظفون!$E66="غير سعودي",cfg_WP,0))))</f>
        <v/>
      </c>
      <c r="P66" s="111" t="str">
        <f aca="false">IF($B66="","",IF(F66="✖ منتهي الخدمة",0,IF(الموظفون!$Z66&lt;&gt;"",الموظفون!$Z66,cfg_MED)))</f>
        <v/>
      </c>
      <c r="Q66" s="111" t="str">
        <f aca="false">IF($B66="","",IF(F66="✖ منتهي الخدمة",0,N(الموظفون!$AA66)))</f>
        <v/>
      </c>
      <c r="R66" s="111" t="str">
        <f aca="false">IF($B66="","",SUM(N66:Q66))</f>
        <v/>
      </c>
      <c r="S66" s="111" t="str">
        <f aca="false">IF($B66="","",R66/12)</f>
        <v/>
      </c>
      <c r="T66" s="111" t="str">
        <f aca="false">IF($B66="","",IF(1&lt;=cfg_VAL_M,'مسير يناير'!AD66+'مسير يناير'!AE66+'مسير يناير'!AF66,0)+IF(2&lt;=cfg_VAL_M,'مسير فبراير'!AD66+'مسير فبراير'!AE66+'مسير فبراير'!AF66,0)+IF(3&lt;=cfg_VAL_M,'مسير مارس'!AD66+'مسير مارس'!AE66+'مسير مارس'!AF66,0)+IF(4&lt;=cfg_VAL_M,'مسير أبريل'!AD66+'مسير أبريل'!AE66+'مسير أبريل'!AF66,0)+IF(5&lt;=cfg_VAL_M,'مسير مايو'!AD66+'مسير مايو'!AE66+'مسير مايو'!AF66,0)+IF(6&lt;=cfg_VAL_M,'مسير يونيو'!AD66+'مسير يونيو'!AE66+'مسير يونيو'!AF66,0)+IF(7&lt;=cfg_VAL_M,'مسير يوليو'!AD66+'مسير يوليو'!AE66+'مسير يوليو'!AF66,0)+IF(8&lt;=cfg_VAL_M,'مسير أغسطس'!AD66+'مسير أغسطس'!AE66+'مسير أغسطس'!AF66,0)+IF(9&lt;=cfg_VAL_M,'مسير سبتمبر'!AD66+'مسير سبتمبر'!AE66+'مسير سبتمبر'!AF66,0)+IF(10&lt;=cfg_VAL_M,'مسير أكتوبر'!AD66+'مسير أكتوبر'!AE66+'مسير أكتوبر'!AF66,0)+IF(11&lt;=cfg_VAL_M,'مسير نوفمبر'!AD66+'مسير نوفمبر'!AE66+'مسير نوفمبر'!AF66,0)+IF(12&lt;=cfg_VAL_M,'مسير ديسمبر'!AD66+'مسير ديسمبر'!AE66+'مسير ديسمبر'!AF66,0))</f>
        <v/>
      </c>
      <c r="U66" s="111" t="str">
        <f aca="false">IF(OR($B66="",F66="✖ منتهي الخدمة"),"",IF(AND(ISNUMBER(I66),I66&lt;=cfg_ALERT),N66,0)+IF(AND(ISNUMBER(L66),L66&lt;=cfg_ALERT),O66,0))</f>
        <v/>
      </c>
    </row>
    <row r="67" customFormat="false" ht="15" hidden="false" customHeight="false" outlineLevel="0" collapsed="false">
      <c r="B67" s="117" t="str">
        <f aca="false">IF(الموظفون!$B67="","",الموظفون!$B67)</f>
        <v/>
      </c>
      <c r="C67" s="117" t="str">
        <f aca="false">IF($B67="","",الموظفون!$C67)</f>
        <v/>
      </c>
      <c r="D67" s="117" t="str">
        <f aca="false">IF($B67="","",الموظفون!$D67)</f>
        <v/>
      </c>
      <c r="E67" s="117" t="str">
        <f aca="false">IF($B67="","",الموظفون!$E67)</f>
        <v/>
      </c>
      <c r="F67" s="117" t="str">
        <f aca="false">IF($B67="","",الموظفون!$AG67)</f>
        <v/>
      </c>
      <c r="G67" s="117" t="str">
        <f aca="false">IF($B67="","",IF(الموظفون!$I67="","",الموظفون!$I67))</f>
        <v/>
      </c>
      <c r="H67" s="175" t="str">
        <f aca="false">IF($B67="","",IF(الموظفون!$J67="","",الموظفون!$J67))</f>
        <v/>
      </c>
      <c r="I67" s="133" t="str">
        <f aca="false">IF(OR($B67="",H67=""),"",H67-cfg_TRACK)</f>
        <v/>
      </c>
      <c r="J67" s="117" t="str">
        <f aca="false">IF(OR($B67="",$F67="✖ منتهي الخدمة"),"",IF(H67="",IF($E67="غير سعودي","⚠ أدخل التاريخ","-"),IF(I67&lt;0,"✖ منتهية منذ "&amp;TEXT(-I67,"0")&amp;" يوم",IF(I67&lt;=cfg_ALERT,"⚠ تنتهي خلال "&amp;TEXT(I67,"0")&amp;" يوم","✔ سارية"))))</f>
        <v/>
      </c>
      <c r="K67" s="175" t="str">
        <f aca="false">IF($B67="","",IF(الموظفون!$K67="","",الموظفون!$K67))</f>
        <v/>
      </c>
      <c r="L67" s="133" t="str">
        <f aca="false">IF(OR($B67="",K67=""),"",K67-cfg_TRACK)</f>
        <v/>
      </c>
      <c r="M67" s="117" t="str">
        <f aca="false">IF(OR($B67="",$F67="✖ منتهي الخدمة"),"",IF(K67="",IF($E67="غير سعودي","⚠ أدخل التاريخ","-"),IF(L67&lt;0,"✖ منتهية منذ "&amp;TEXT(-L67,"0")&amp;" يوم",IF(L67&lt;=cfg_ALERT,"⚠ تنتهي خلال "&amp;TEXT(L67,"0")&amp;" يوم","✔ سارية"))))</f>
        <v/>
      </c>
      <c r="N67" s="116" t="str">
        <f aca="false">IF($B67="","",IF(F67="✖ منتهي الخدمة",0,IF(الموظفون!$X67&lt;&gt;"",الموظفون!$X67,IF(الموظفون!$E67="غير سعودي",cfg_IQ,0))))</f>
        <v/>
      </c>
      <c r="O67" s="116" t="str">
        <f aca="false">IF($B67="","",IF(F67="✖ منتهي الخدمة",0,IF(الموظفون!$Y67&lt;&gt;"",الموظفون!$Y67,IF(الموظفون!$E67="غير سعودي",cfg_WP,0))))</f>
        <v/>
      </c>
      <c r="P67" s="116" t="str">
        <f aca="false">IF($B67="","",IF(F67="✖ منتهي الخدمة",0,IF(الموظفون!$Z67&lt;&gt;"",الموظفون!$Z67,cfg_MED)))</f>
        <v/>
      </c>
      <c r="Q67" s="116" t="str">
        <f aca="false">IF($B67="","",IF(F67="✖ منتهي الخدمة",0,N(الموظفون!$AA67)))</f>
        <v/>
      </c>
      <c r="R67" s="116" t="str">
        <f aca="false">IF($B67="","",SUM(N67:Q67))</f>
        <v/>
      </c>
      <c r="S67" s="116" t="str">
        <f aca="false">IF($B67="","",R67/12)</f>
        <v/>
      </c>
      <c r="T67" s="116" t="str">
        <f aca="false">IF($B67="","",IF(1&lt;=cfg_VAL_M,'مسير يناير'!AD67+'مسير يناير'!AE67+'مسير يناير'!AF67,0)+IF(2&lt;=cfg_VAL_M,'مسير فبراير'!AD67+'مسير فبراير'!AE67+'مسير فبراير'!AF67,0)+IF(3&lt;=cfg_VAL_M,'مسير مارس'!AD67+'مسير مارس'!AE67+'مسير مارس'!AF67,0)+IF(4&lt;=cfg_VAL_M,'مسير أبريل'!AD67+'مسير أبريل'!AE67+'مسير أبريل'!AF67,0)+IF(5&lt;=cfg_VAL_M,'مسير مايو'!AD67+'مسير مايو'!AE67+'مسير مايو'!AF67,0)+IF(6&lt;=cfg_VAL_M,'مسير يونيو'!AD67+'مسير يونيو'!AE67+'مسير يونيو'!AF67,0)+IF(7&lt;=cfg_VAL_M,'مسير يوليو'!AD67+'مسير يوليو'!AE67+'مسير يوليو'!AF67,0)+IF(8&lt;=cfg_VAL_M,'مسير أغسطس'!AD67+'مسير أغسطس'!AE67+'مسير أغسطس'!AF67,0)+IF(9&lt;=cfg_VAL_M,'مسير سبتمبر'!AD67+'مسير سبتمبر'!AE67+'مسير سبتمبر'!AF67,0)+IF(10&lt;=cfg_VAL_M,'مسير أكتوبر'!AD67+'مسير أكتوبر'!AE67+'مسير أكتوبر'!AF67,0)+IF(11&lt;=cfg_VAL_M,'مسير نوفمبر'!AD67+'مسير نوفمبر'!AE67+'مسير نوفمبر'!AF67,0)+IF(12&lt;=cfg_VAL_M,'مسير ديسمبر'!AD67+'مسير ديسمبر'!AE67+'مسير ديسمبر'!AF67,0))</f>
        <v/>
      </c>
      <c r="U67" s="116" t="str">
        <f aca="false">IF(OR($B67="",F67="✖ منتهي الخدمة"),"",IF(AND(ISNUMBER(I67),I67&lt;=cfg_ALERT),N67,0)+IF(AND(ISNUMBER(L67),L67&lt;=cfg_ALERT),O67,0))</f>
        <v/>
      </c>
    </row>
    <row r="68" customFormat="false" ht="15" hidden="false" customHeight="false" outlineLevel="0" collapsed="false">
      <c r="B68" s="114" t="str">
        <f aca="false">IF(الموظفون!$B68="","",الموظفون!$B68)</f>
        <v/>
      </c>
      <c r="C68" s="114" t="str">
        <f aca="false">IF($B68="","",الموظفون!$C68)</f>
        <v/>
      </c>
      <c r="D68" s="114" t="str">
        <f aca="false">IF($B68="","",الموظفون!$D68)</f>
        <v/>
      </c>
      <c r="E68" s="114" t="str">
        <f aca="false">IF($B68="","",الموظفون!$E68)</f>
        <v/>
      </c>
      <c r="F68" s="114" t="str">
        <f aca="false">IF($B68="","",الموظفون!$AG68)</f>
        <v/>
      </c>
      <c r="G68" s="114" t="str">
        <f aca="false">IF($B68="","",IF(الموظفون!$I68="","",الموظفون!$I68))</f>
        <v/>
      </c>
      <c r="H68" s="174" t="str">
        <f aca="false">IF($B68="","",IF(الموظفون!$J68="","",الموظفون!$J68))</f>
        <v/>
      </c>
      <c r="I68" s="65" t="str">
        <f aca="false">IF(OR($B68="",H68=""),"",H68-cfg_TRACK)</f>
        <v/>
      </c>
      <c r="J68" s="114" t="str">
        <f aca="false">IF(OR($B68="",$F68="✖ منتهي الخدمة"),"",IF(H68="",IF($E68="غير سعودي","⚠ أدخل التاريخ","-"),IF(I68&lt;0,"✖ منتهية منذ "&amp;TEXT(-I68,"0")&amp;" يوم",IF(I68&lt;=cfg_ALERT,"⚠ تنتهي خلال "&amp;TEXT(I68,"0")&amp;" يوم","✔ سارية"))))</f>
        <v/>
      </c>
      <c r="K68" s="174" t="str">
        <f aca="false">IF($B68="","",IF(الموظفون!$K68="","",الموظفون!$K68))</f>
        <v/>
      </c>
      <c r="L68" s="65" t="str">
        <f aca="false">IF(OR($B68="",K68=""),"",K68-cfg_TRACK)</f>
        <v/>
      </c>
      <c r="M68" s="114" t="str">
        <f aca="false">IF(OR($B68="",$F68="✖ منتهي الخدمة"),"",IF(K68="",IF($E68="غير سعودي","⚠ أدخل التاريخ","-"),IF(L68&lt;0,"✖ منتهية منذ "&amp;TEXT(-L68,"0")&amp;" يوم",IF(L68&lt;=cfg_ALERT,"⚠ تنتهي خلال "&amp;TEXT(L68,"0")&amp;" يوم","✔ سارية"))))</f>
        <v/>
      </c>
      <c r="N68" s="111" t="str">
        <f aca="false">IF($B68="","",IF(F68="✖ منتهي الخدمة",0,IF(الموظفون!$X68&lt;&gt;"",الموظفون!$X68,IF(الموظفون!$E68="غير سعودي",cfg_IQ,0))))</f>
        <v/>
      </c>
      <c r="O68" s="111" t="str">
        <f aca="false">IF($B68="","",IF(F68="✖ منتهي الخدمة",0,IF(الموظفون!$Y68&lt;&gt;"",الموظفون!$Y68,IF(الموظفون!$E68="غير سعودي",cfg_WP,0))))</f>
        <v/>
      </c>
      <c r="P68" s="111" t="str">
        <f aca="false">IF($B68="","",IF(F68="✖ منتهي الخدمة",0,IF(الموظفون!$Z68&lt;&gt;"",الموظفون!$Z68,cfg_MED)))</f>
        <v/>
      </c>
      <c r="Q68" s="111" t="str">
        <f aca="false">IF($B68="","",IF(F68="✖ منتهي الخدمة",0,N(الموظفون!$AA68)))</f>
        <v/>
      </c>
      <c r="R68" s="111" t="str">
        <f aca="false">IF($B68="","",SUM(N68:Q68))</f>
        <v/>
      </c>
      <c r="S68" s="111" t="str">
        <f aca="false">IF($B68="","",R68/12)</f>
        <v/>
      </c>
      <c r="T68" s="111" t="str">
        <f aca="false">IF($B68="","",IF(1&lt;=cfg_VAL_M,'مسير يناير'!AD68+'مسير يناير'!AE68+'مسير يناير'!AF68,0)+IF(2&lt;=cfg_VAL_M,'مسير فبراير'!AD68+'مسير فبراير'!AE68+'مسير فبراير'!AF68,0)+IF(3&lt;=cfg_VAL_M,'مسير مارس'!AD68+'مسير مارس'!AE68+'مسير مارس'!AF68,0)+IF(4&lt;=cfg_VAL_M,'مسير أبريل'!AD68+'مسير أبريل'!AE68+'مسير أبريل'!AF68,0)+IF(5&lt;=cfg_VAL_M,'مسير مايو'!AD68+'مسير مايو'!AE68+'مسير مايو'!AF68,0)+IF(6&lt;=cfg_VAL_M,'مسير يونيو'!AD68+'مسير يونيو'!AE68+'مسير يونيو'!AF68,0)+IF(7&lt;=cfg_VAL_M,'مسير يوليو'!AD68+'مسير يوليو'!AE68+'مسير يوليو'!AF68,0)+IF(8&lt;=cfg_VAL_M,'مسير أغسطس'!AD68+'مسير أغسطس'!AE68+'مسير أغسطس'!AF68,0)+IF(9&lt;=cfg_VAL_M,'مسير سبتمبر'!AD68+'مسير سبتمبر'!AE68+'مسير سبتمبر'!AF68,0)+IF(10&lt;=cfg_VAL_M,'مسير أكتوبر'!AD68+'مسير أكتوبر'!AE68+'مسير أكتوبر'!AF68,0)+IF(11&lt;=cfg_VAL_M,'مسير نوفمبر'!AD68+'مسير نوفمبر'!AE68+'مسير نوفمبر'!AF68,0)+IF(12&lt;=cfg_VAL_M,'مسير ديسمبر'!AD68+'مسير ديسمبر'!AE68+'مسير ديسمبر'!AF68,0))</f>
        <v/>
      </c>
      <c r="U68" s="111" t="str">
        <f aca="false">IF(OR($B68="",F68="✖ منتهي الخدمة"),"",IF(AND(ISNUMBER(I68),I68&lt;=cfg_ALERT),N68,0)+IF(AND(ISNUMBER(L68),L68&lt;=cfg_ALERT),O68,0))</f>
        <v/>
      </c>
    </row>
    <row r="69" customFormat="false" ht="15" hidden="false" customHeight="false" outlineLevel="0" collapsed="false">
      <c r="B69" s="117" t="str">
        <f aca="false">IF(الموظفون!$B69="","",الموظفون!$B69)</f>
        <v/>
      </c>
      <c r="C69" s="117" t="str">
        <f aca="false">IF($B69="","",الموظفون!$C69)</f>
        <v/>
      </c>
      <c r="D69" s="117" t="str">
        <f aca="false">IF($B69="","",الموظفون!$D69)</f>
        <v/>
      </c>
      <c r="E69" s="117" t="str">
        <f aca="false">IF($B69="","",الموظفون!$E69)</f>
        <v/>
      </c>
      <c r="F69" s="117" t="str">
        <f aca="false">IF($B69="","",الموظفون!$AG69)</f>
        <v/>
      </c>
      <c r="G69" s="117" t="str">
        <f aca="false">IF($B69="","",IF(الموظفون!$I69="","",الموظفون!$I69))</f>
        <v/>
      </c>
      <c r="H69" s="175" t="str">
        <f aca="false">IF($B69="","",IF(الموظفون!$J69="","",الموظفون!$J69))</f>
        <v/>
      </c>
      <c r="I69" s="133" t="str">
        <f aca="false">IF(OR($B69="",H69=""),"",H69-cfg_TRACK)</f>
        <v/>
      </c>
      <c r="J69" s="117" t="str">
        <f aca="false">IF(OR($B69="",$F69="✖ منتهي الخدمة"),"",IF(H69="",IF($E69="غير سعودي","⚠ أدخل التاريخ","-"),IF(I69&lt;0,"✖ منتهية منذ "&amp;TEXT(-I69,"0")&amp;" يوم",IF(I69&lt;=cfg_ALERT,"⚠ تنتهي خلال "&amp;TEXT(I69,"0")&amp;" يوم","✔ سارية"))))</f>
        <v/>
      </c>
      <c r="K69" s="175" t="str">
        <f aca="false">IF($B69="","",IF(الموظفون!$K69="","",الموظفون!$K69))</f>
        <v/>
      </c>
      <c r="L69" s="133" t="str">
        <f aca="false">IF(OR($B69="",K69=""),"",K69-cfg_TRACK)</f>
        <v/>
      </c>
      <c r="M69" s="117" t="str">
        <f aca="false">IF(OR($B69="",$F69="✖ منتهي الخدمة"),"",IF(K69="",IF($E69="غير سعودي","⚠ أدخل التاريخ","-"),IF(L69&lt;0,"✖ منتهية منذ "&amp;TEXT(-L69,"0")&amp;" يوم",IF(L69&lt;=cfg_ALERT,"⚠ تنتهي خلال "&amp;TEXT(L69,"0")&amp;" يوم","✔ سارية"))))</f>
        <v/>
      </c>
      <c r="N69" s="116" t="str">
        <f aca="false">IF($B69="","",IF(F69="✖ منتهي الخدمة",0,IF(الموظفون!$X69&lt;&gt;"",الموظفون!$X69,IF(الموظفون!$E69="غير سعودي",cfg_IQ,0))))</f>
        <v/>
      </c>
      <c r="O69" s="116" t="str">
        <f aca="false">IF($B69="","",IF(F69="✖ منتهي الخدمة",0,IF(الموظفون!$Y69&lt;&gt;"",الموظفون!$Y69,IF(الموظفون!$E69="غير سعودي",cfg_WP,0))))</f>
        <v/>
      </c>
      <c r="P69" s="116" t="str">
        <f aca="false">IF($B69="","",IF(F69="✖ منتهي الخدمة",0,IF(الموظفون!$Z69&lt;&gt;"",الموظفون!$Z69,cfg_MED)))</f>
        <v/>
      </c>
      <c r="Q69" s="116" t="str">
        <f aca="false">IF($B69="","",IF(F69="✖ منتهي الخدمة",0,N(الموظفون!$AA69)))</f>
        <v/>
      </c>
      <c r="R69" s="116" t="str">
        <f aca="false">IF($B69="","",SUM(N69:Q69))</f>
        <v/>
      </c>
      <c r="S69" s="116" t="str">
        <f aca="false">IF($B69="","",R69/12)</f>
        <v/>
      </c>
      <c r="T69" s="116" t="str">
        <f aca="false">IF($B69="","",IF(1&lt;=cfg_VAL_M,'مسير يناير'!AD69+'مسير يناير'!AE69+'مسير يناير'!AF69,0)+IF(2&lt;=cfg_VAL_M,'مسير فبراير'!AD69+'مسير فبراير'!AE69+'مسير فبراير'!AF69,0)+IF(3&lt;=cfg_VAL_M,'مسير مارس'!AD69+'مسير مارس'!AE69+'مسير مارس'!AF69,0)+IF(4&lt;=cfg_VAL_M,'مسير أبريل'!AD69+'مسير أبريل'!AE69+'مسير أبريل'!AF69,0)+IF(5&lt;=cfg_VAL_M,'مسير مايو'!AD69+'مسير مايو'!AE69+'مسير مايو'!AF69,0)+IF(6&lt;=cfg_VAL_M,'مسير يونيو'!AD69+'مسير يونيو'!AE69+'مسير يونيو'!AF69,0)+IF(7&lt;=cfg_VAL_M,'مسير يوليو'!AD69+'مسير يوليو'!AE69+'مسير يوليو'!AF69,0)+IF(8&lt;=cfg_VAL_M,'مسير أغسطس'!AD69+'مسير أغسطس'!AE69+'مسير أغسطس'!AF69,0)+IF(9&lt;=cfg_VAL_M,'مسير سبتمبر'!AD69+'مسير سبتمبر'!AE69+'مسير سبتمبر'!AF69,0)+IF(10&lt;=cfg_VAL_M,'مسير أكتوبر'!AD69+'مسير أكتوبر'!AE69+'مسير أكتوبر'!AF69,0)+IF(11&lt;=cfg_VAL_M,'مسير نوفمبر'!AD69+'مسير نوفمبر'!AE69+'مسير نوفمبر'!AF69,0)+IF(12&lt;=cfg_VAL_M,'مسير ديسمبر'!AD69+'مسير ديسمبر'!AE69+'مسير ديسمبر'!AF69,0))</f>
        <v/>
      </c>
      <c r="U69" s="116" t="str">
        <f aca="false">IF(OR($B69="",F69="✖ منتهي الخدمة"),"",IF(AND(ISNUMBER(I69),I69&lt;=cfg_ALERT),N69,0)+IF(AND(ISNUMBER(L69),L69&lt;=cfg_ALERT),O69,0))</f>
        <v/>
      </c>
    </row>
    <row r="70" customFormat="false" ht="15" hidden="false" customHeight="false" outlineLevel="0" collapsed="false">
      <c r="B70" s="114" t="str">
        <f aca="false">IF(الموظفون!$B70="","",الموظفون!$B70)</f>
        <v/>
      </c>
      <c r="C70" s="114" t="str">
        <f aca="false">IF($B70="","",الموظفون!$C70)</f>
        <v/>
      </c>
      <c r="D70" s="114" t="str">
        <f aca="false">IF($B70="","",الموظفون!$D70)</f>
        <v/>
      </c>
      <c r="E70" s="114" t="str">
        <f aca="false">IF($B70="","",الموظفون!$E70)</f>
        <v/>
      </c>
      <c r="F70" s="114" t="str">
        <f aca="false">IF($B70="","",الموظفون!$AG70)</f>
        <v/>
      </c>
      <c r="G70" s="114" t="str">
        <f aca="false">IF($B70="","",IF(الموظفون!$I70="","",الموظفون!$I70))</f>
        <v/>
      </c>
      <c r="H70" s="174" t="str">
        <f aca="false">IF($B70="","",IF(الموظفون!$J70="","",الموظفون!$J70))</f>
        <v/>
      </c>
      <c r="I70" s="65" t="str">
        <f aca="false">IF(OR($B70="",H70=""),"",H70-cfg_TRACK)</f>
        <v/>
      </c>
      <c r="J70" s="114" t="str">
        <f aca="false">IF(OR($B70="",$F70="✖ منتهي الخدمة"),"",IF(H70="",IF($E70="غير سعودي","⚠ أدخل التاريخ","-"),IF(I70&lt;0,"✖ منتهية منذ "&amp;TEXT(-I70,"0")&amp;" يوم",IF(I70&lt;=cfg_ALERT,"⚠ تنتهي خلال "&amp;TEXT(I70,"0")&amp;" يوم","✔ سارية"))))</f>
        <v/>
      </c>
      <c r="K70" s="174" t="str">
        <f aca="false">IF($B70="","",IF(الموظفون!$K70="","",الموظفون!$K70))</f>
        <v/>
      </c>
      <c r="L70" s="65" t="str">
        <f aca="false">IF(OR($B70="",K70=""),"",K70-cfg_TRACK)</f>
        <v/>
      </c>
      <c r="M70" s="114" t="str">
        <f aca="false">IF(OR($B70="",$F70="✖ منتهي الخدمة"),"",IF(K70="",IF($E70="غير سعودي","⚠ أدخل التاريخ","-"),IF(L70&lt;0,"✖ منتهية منذ "&amp;TEXT(-L70,"0")&amp;" يوم",IF(L70&lt;=cfg_ALERT,"⚠ تنتهي خلال "&amp;TEXT(L70,"0")&amp;" يوم","✔ سارية"))))</f>
        <v/>
      </c>
      <c r="N70" s="111" t="str">
        <f aca="false">IF($B70="","",IF(F70="✖ منتهي الخدمة",0,IF(الموظفون!$X70&lt;&gt;"",الموظفون!$X70,IF(الموظفون!$E70="غير سعودي",cfg_IQ,0))))</f>
        <v/>
      </c>
      <c r="O70" s="111" t="str">
        <f aca="false">IF($B70="","",IF(F70="✖ منتهي الخدمة",0,IF(الموظفون!$Y70&lt;&gt;"",الموظفون!$Y70,IF(الموظفون!$E70="غير سعودي",cfg_WP,0))))</f>
        <v/>
      </c>
      <c r="P70" s="111" t="str">
        <f aca="false">IF($B70="","",IF(F70="✖ منتهي الخدمة",0,IF(الموظفون!$Z70&lt;&gt;"",الموظفون!$Z70,cfg_MED)))</f>
        <v/>
      </c>
      <c r="Q70" s="111" t="str">
        <f aca="false">IF($B70="","",IF(F70="✖ منتهي الخدمة",0,N(الموظفون!$AA70)))</f>
        <v/>
      </c>
      <c r="R70" s="111" t="str">
        <f aca="false">IF($B70="","",SUM(N70:Q70))</f>
        <v/>
      </c>
      <c r="S70" s="111" t="str">
        <f aca="false">IF($B70="","",R70/12)</f>
        <v/>
      </c>
      <c r="T70" s="111" t="str">
        <f aca="false">IF($B70="","",IF(1&lt;=cfg_VAL_M,'مسير يناير'!AD70+'مسير يناير'!AE70+'مسير يناير'!AF70,0)+IF(2&lt;=cfg_VAL_M,'مسير فبراير'!AD70+'مسير فبراير'!AE70+'مسير فبراير'!AF70,0)+IF(3&lt;=cfg_VAL_M,'مسير مارس'!AD70+'مسير مارس'!AE70+'مسير مارس'!AF70,0)+IF(4&lt;=cfg_VAL_M,'مسير أبريل'!AD70+'مسير أبريل'!AE70+'مسير أبريل'!AF70,0)+IF(5&lt;=cfg_VAL_M,'مسير مايو'!AD70+'مسير مايو'!AE70+'مسير مايو'!AF70,0)+IF(6&lt;=cfg_VAL_M,'مسير يونيو'!AD70+'مسير يونيو'!AE70+'مسير يونيو'!AF70,0)+IF(7&lt;=cfg_VAL_M,'مسير يوليو'!AD70+'مسير يوليو'!AE70+'مسير يوليو'!AF70,0)+IF(8&lt;=cfg_VAL_M,'مسير أغسطس'!AD70+'مسير أغسطس'!AE70+'مسير أغسطس'!AF70,0)+IF(9&lt;=cfg_VAL_M,'مسير سبتمبر'!AD70+'مسير سبتمبر'!AE70+'مسير سبتمبر'!AF70,0)+IF(10&lt;=cfg_VAL_M,'مسير أكتوبر'!AD70+'مسير أكتوبر'!AE70+'مسير أكتوبر'!AF70,0)+IF(11&lt;=cfg_VAL_M,'مسير نوفمبر'!AD70+'مسير نوفمبر'!AE70+'مسير نوفمبر'!AF70,0)+IF(12&lt;=cfg_VAL_M,'مسير ديسمبر'!AD70+'مسير ديسمبر'!AE70+'مسير ديسمبر'!AF70,0))</f>
        <v/>
      </c>
      <c r="U70" s="111" t="str">
        <f aca="false">IF(OR($B70="",F70="✖ منتهي الخدمة"),"",IF(AND(ISNUMBER(I70),I70&lt;=cfg_ALERT),N70,0)+IF(AND(ISNUMBER(L70),L70&lt;=cfg_ALERT),O70,0))</f>
        <v/>
      </c>
    </row>
    <row r="71" customFormat="false" ht="15" hidden="false" customHeight="false" outlineLevel="0" collapsed="false">
      <c r="B71" s="117" t="str">
        <f aca="false">IF(الموظفون!$B71="","",الموظفون!$B71)</f>
        <v/>
      </c>
      <c r="C71" s="117" t="str">
        <f aca="false">IF($B71="","",الموظفون!$C71)</f>
        <v/>
      </c>
      <c r="D71" s="117" t="str">
        <f aca="false">IF($B71="","",الموظفون!$D71)</f>
        <v/>
      </c>
      <c r="E71" s="117" t="str">
        <f aca="false">IF($B71="","",الموظفون!$E71)</f>
        <v/>
      </c>
      <c r="F71" s="117" t="str">
        <f aca="false">IF($B71="","",الموظفون!$AG71)</f>
        <v/>
      </c>
      <c r="G71" s="117" t="str">
        <f aca="false">IF($B71="","",IF(الموظفون!$I71="","",الموظفون!$I71))</f>
        <v/>
      </c>
      <c r="H71" s="175" t="str">
        <f aca="false">IF($B71="","",IF(الموظفون!$J71="","",الموظفون!$J71))</f>
        <v/>
      </c>
      <c r="I71" s="133" t="str">
        <f aca="false">IF(OR($B71="",H71=""),"",H71-cfg_TRACK)</f>
        <v/>
      </c>
      <c r="J71" s="117" t="str">
        <f aca="false">IF(OR($B71="",$F71="✖ منتهي الخدمة"),"",IF(H71="",IF($E71="غير سعودي","⚠ أدخل التاريخ","-"),IF(I71&lt;0,"✖ منتهية منذ "&amp;TEXT(-I71,"0")&amp;" يوم",IF(I71&lt;=cfg_ALERT,"⚠ تنتهي خلال "&amp;TEXT(I71,"0")&amp;" يوم","✔ سارية"))))</f>
        <v/>
      </c>
      <c r="K71" s="175" t="str">
        <f aca="false">IF($B71="","",IF(الموظفون!$K71="","",الموظفون!$K71))</f>
        <v/>
      </c>
      <c r="L71" s="133" t="str">
        <f aca="false">IF(OR($B71="",K71=""),"",K71-cfg_TRACK)</f>
        <v/>
      </c>
      <c r="M71" s="117" t="str">
        <f aca="false">IF(OR($B71="",$F71="✖ منتهي الخدمة"),"",IF(K71="",IF($E71="غير سعودي","⚠ أدخل التاريخ","-"),IF(L71&lt;0,"✖ منتهية منذ "&amp;TEXT(-L71,"0")&amp;" يوم",IF(L71&lt;=cfg_ALERT,"⚠ تنتهي خلال "&amp;TEXT(L71,"0")&amp;" يوم","✔ سارية"))))</f>
        <v/>
      </c>
      <c r="N71" s="116" t="str">
        <f aca="false">IF($B71="","",IF(F71="✖ منتهي الخدمة",0,IF(الموظفون!$X71&lt;&gt;"",الموظفون!$X71,IF(الموظفون!$E71="غير سعودي",cfg_IQ,0))))</f>
        <v/>
      </c>
      <c r="O71" s="116" t="str">
        <f aca="false">IF($B71="","",IF(F71="✖ منتهي الخدمة",0,IF(الموظفون!$Y71&lt;&gt;"",الموظفون!$Y71,IF(الموظفون!$E71="غير سعودي",cfg_WP,0))))</f>
        <v/>
      </c>
      <c r="P71" s="116" t="str">
        <f aca="false">IF($B71="","",IF(F71="✖ منتهي الخدمة",0,IF(الموظفون!$Z71&lt;&gt;"",الموظفون!$Z71,cfg_MED)))</f>
        <v/>
      </c>
      <c r="Q71" s="116" t="str">
        <f aca="false">IF($B71="","",IF(F71="✖ منتهي الخدمة",0,N(الموظفون!$AA71)))</f>
        <v/>
      </c>
      <c r="R71" s="116" t="str">
        <f aca="false">IF($B71="","",SUM(N71:Q71))</f>
        <v/>
      </c>
      <c r="S71" s="116" t="str">
        <f aca="false">IF($B71="","",R71/12)</f>
        <v/>
      </c>
      <c r="T71" s="116" t="str">
        <f aca="false">IF($B71="","",IF(1&lt;=cfg_VAL_M,'مسير يناير'!AD71+'مسير يناير'!AE71+'مسير يناير'!AF71,0)+IF(2&lt;=cfg_VAL_M,'مسير فبراير'!AD71+'مسير فبراير'!AE71+'مسير فبراير'!AF71,0)+IF(3&lt;=cfg_VAL_M,'مسير مارس'!AD71+'مسير مارس'!AE71+'مسير مارس'!AF71,0)+IF(4&lt;=cfg_VAL_M,'مسير أبريل'!AD71+'مسير أبريل'!AE71+'مسير أبريل'!AF71,0)+IF(5&lt;=cfg_VAL_M,'مسير مايو'!AD71+'مسير مايو'!AE71+'مسير مايو'!AF71,0)+IF(6&lt;=cfg_VAL_M,'مسير يونيو'!AD71+'مسير يونيو'!AE71+'مسير يونيو'!AF71,0)+IF(7&lt;=cfg_VAL_M,'مسير يوليو'!AD71+'مسير يوليو'!AE71+'مسير يوليو'!AF71,0)+IF(8&lt;=cfg_VAL_M,'مسير أغسطس'!AD71+'مسير أغسطس'!AE71+'مسير أغسطس'!AF71,0)+IF(9&lt;=cfg_VAL_M,'مسير سبتمبر'!AD71+'مسير سبتمبر'!AE71+'مسير سبتمبر'!AF71,0)+IF(10&lt;=cfg_VAL_M,'مسير أكتوبر'!AD71+'مسير أكتوبر'!AE71+'مسير أكتوبر'!AF71,0)+IF(11&lt;=cfg_VAL_M,'مسير نوفمبر'!AD71+'مسير نوفمبر'!AE71+'مسير نوفمبر'!AF71,0)+IF(12&lt;=cfg_VAL_M,'مسير ديسمبر'!AD71+'مسير ديسمبر'!AE71+'مسير ديسمبر'!AF71,0))</f>
        <v/>
      </c>
      <c r="U71" s="116" t="str">
        <f aca="false">IF(OR($B71="",F71="✖ منتهي الخدمة"),"",IF(AND(ISNUMBER(I71),I71&lt;=cfg_ALERT),N71,0)+IF(AND(ISNUMBER(L71),L71&lt;=cfg_ALERT),O71,0))</f>
        <v/>
      </c>
    </row>
    <row r="72" customFormat="false" ht="15" hidden="false" customHeight="false" outlineLevel="0" collapsed="false">
      <c r="B72" s="114" t="str">
        <f aca="false">IF(الموظفون!$B72="","",الموظفون!$B72)</f>
        <v/>
      </c>
      <c r="C72" s="114" t="str">
        <f aca="false">IF($B72="","",الموظفون!$C72)</f>
        <v/>
      </c>
      <c r="D72" s="114" t="str">
        <f aca="false">IF($B72="","",الموظفون!$D72)</f>
        <v/>
      </c>
      <c r="E72" s="114" t="str">
        <f aca="false">IF($B72="","",الموظفون!$E72)</f>
        <v/>
      </c>
      <c r="F72" s="114" t="str">
        <f aca="false">IF($B72="","",الموظفون!$AG72)</f>
        <v/>
      </c>
      <c r="G72" s="114" t="str">
        <f aca="false">IF($B72="","",IF(الموظفون!$I72="","",الموظفون!$I72))</f>
        <v/>
      </c>
      <c r="H72" s="174" t="str">
        <f aca="false">IF($B72="","",IF(الموظفون!$J72="","",الموظفون!$J72))</f>
        <v/>
      </c>
      <c r="I72" s="65" t="str">
        <f aca="false">IF(OR($B72="",H72=""),"",H72-cfg_TRACK)</f>
        <v/>
      </c>
      <c r="J72" s="114" t="str">
        <f aca="false">IF(OR($B72="",$F72="✖ منتهي الخدمة"),"",IF(H72="",IF($E72="غير سعودي","⚠ أدخل التاريخ","-"),IF(I72&lt;0,"✖ منتهية منذ "&amp;TEXT(-I72,"0")&amp;" يوم",IF(I72&lt;=cfg_ALERT,"⚠ تنتهي خلال "&amp;TEXT(I72,"0")&amp;" يوم","✔ سارية"))))</f>
        <v/>
      </c>
      <c r="K72" s="174" t="str">
        <f aca="false">IF($B72="","",IF(الموظفون!$K72="","",الموظفون!$K72))</f>
        <v/>
      </c>
      <c r="L72" s="65" t="str">
        <f aca="false">IF(OR($B72="",K72=""),"",K72-cfg_TRACK)</f>
        <v/>
      </c>
      <c r="M72" s="114" t="str">
        <f aca="false">IF(OR($B72="",$F72="✖ منتهي الخدمة"),"",IF(K72="",IF($E72="غير سعودي","⚠ أدخل التاريخ","-"),IF(L72&lt;0,"✖ منتهية منذ "&amp;TEXT(-L72,"0")&amp;" يوم",IF(L72&lt;=cfg_ALERT,"⚠ تنتهي خلال "&amp;TEXT(L72,"0")&amp;" يوم","✔ سارية"))))</f>
        <v/>
      </c>
      <c r="N72" s="111" t="str">
        <f aca="false">IF($B72="","",IF(F72="✖ منتهي الخدمة",0,IF(الموظفون!$X72&lt;&gt;"",الموظفون!$X72,IF(الموظفون!$E72="غير سعودي",cfg_IQ,0))))</f>
        <v/>
      </c>
      <c r="O72" s="111" t="str">
        <f aca="false">IF($B72="","",IF(F72="✖ منتهي الخدمة",0,IF(الموظفون!$Y72&lt;&gt;"",الموظفون!$Y72,IF(الموظفون!$E72="غير سعودي",cfg_WP,0))))</f>
        <v/>
      </c>
      <c r="P72" s="111" t="str">
        <f aca="false">IF($B72="","",IF(F72="✖ منتهي الخدمة",0,IF(الموظفون!$Z72&lt;&gt;"",الموظفون!$Z72,cfg_MED)))</f>
        <v/>
      </c>
      <c r="Q72" s="111" t="str">
        <f aca="false">IF($B72="","",IF(F72="✖ منتهي الخدمة",0,N(الموظفون!$AA72)))</f>
        <v/>
      </c>
      <c r="R72" s="111" t="str">
        <f aca="false">IF($B72="","",SUM(N72:Q72))</f>
        <v/>
      </c>
      <c r="S72" s="111" t="str">
        <f aca="false">IF($B72="","",R72/12)</f>
        <v/>
      </c>
      <c r="T72" s="111" t="str">
        <f aca="false">IF($B72="","",IF(1&lt;=cfg_VAL_M,'مسير يناير'!AD72+'مسير يناير'!AE72+'مسير يناير'!AF72,0)+IF(2&lt;=cfg_VAL_M,'مسير فبراير'!AD72+'مسير فبراير'!AE72+'مسير فبراير'!AF72,0)+IF(3&lt;=cfg_VAL_M,'مسير مارس'!AD72+'مسير مارس'!AE72+'مسير مارس'!AF72,0)+IF(4&lt;=cfg_VAL_M,'مسير أبريل'!AD72+'مسير أبريل'!AE72+'مسير أبريل'!AF72,0)+IF(5&lt;=cfg_VAL_M,'مسير مايو'!AD72+'مسير مايو'!AE72+'مسير مايو'!AF72,0)+IF(6&lt;=cfg_VAL_M,'مسير يونيو'!AD72+'مسير يونيو'!AE72+'مسير يونيو'!AF72,0)+IF(7&lt;=cfg_VAL_M,'مسير يوليو'!AD72+'مسير يوليو'!AE72+'مسير يوليو'!AF72,0)+IF(8&lt;=cfg_VAL_M,'مسير أغسطس'!AD72+'مسير أغسطس'!AE72+'مسير أغسطس'!AF72,0)+IF(9&lt;=cfg_VAL_M,'مسير سبتمبر'!AD72+'مسير سبتمبر'!AE72+'مسير سبتمبر'!AF72,0)+IF(10&lt;=cfg_VAL_M,'مسير أكتوبر'!AD72+'مسير أكتوبر'!AE72+'مسير أكتوبر'!AF72,0)+IF(11&lt;=cfg_VAL_M,'مسير نوفمبر'!AD72+'مسير نوفمبر'!AE72+'مسير نوفمبر'!AF72,0)+IF(12&lt;=cfg_VAL_M,'مسير ديسمبر'!AD72+'مسير ديسمبر'!AE72+'مسير ديسمبر'!AF72,0))</f>
        <v/>
      </c>
      <c r="U72" s="111" t="str">
        <f aca="false">IF(OR($B72="",F72="✖ منتهي الخدمة"),"",IF(AND(ISNUMBER(I72),I72&lt;=cfg_ALERT),N72,0)+IF(AND(ISNUMBER(L72),L72&lt;=cfg_ALERT),O72,0))</f>
        <v/>
      </c>
    </row>
    <row r="73" customFormat="false" ht="15" hidden="false" customHeight="false" outlineLevel="0" collapsed="false">
      <c r="B73" s="117" t="str">
        <f aca="false">IF(الموظفون!$B73="","",الموظفون!$B73)</f>
        <v/>
      </c>
      <c r="C73" s="117" t="str">
        <f aca="false">IF($B73="","",الموظفون!$C73)</f>
        <v/>
      </c>
      <c r="D73" s="117" t="str">
        <f aca="false">IF($B73="","",الموظفون!$D73)</f>
        <v/>
      </c>
      <c r="E73" s="117" t="str">
        <f aca="false">IF($B73="","",الموظفون!$E73)</f>
        <v/>
      </c>
      <c r="F73" s="117" t="str">
        <f aca="false">IF($B73="","",الموظفون!$AG73)</f>
        <v/>
      </c>
      <c r="G73" s="117" t="str">
        <f aca="false">IF($B73="","",IF(الموظفون!$I73="","",الموظفون!$I73))</f>
        <v/>
      </c>
      <c r="H73" s="175" t="str">
        <f aca="false">IF($B73="","",IF(الموظفون!$J73="","",الموظفون!$J73))</f>
        <v/>
      </c>
      <c r="I73" s="133" t="str">
        <f aca="false">IF(OR($B73="",H73=""),"",H73-cfg_TRACK)</f>
        <v/>
      </c>
      <c r="J73" s="117" t="str">
        <f aca="false">IF(OR($B73="",$F73="✖ منتهي الخدمة"),"",IF(H73="",IF($E73="غير سعودي","⚠ أدخل التاريخ","-"),IF(I73&lt;0,"✖ منتهية منذ "&amp;TEXT(-I73,"0")&amp;" يوم",IF(I73&lt;=cfg_ALERT,"⚠ تنتهي خلال "&amp;TEXT(I73,"0")&amp;" يوم","✔ سارية"))))</f>
        <v/>
      </c>
      <c r="K73" s="175" t="str">
        <f aca="false">IF($B73="","",IF(الموظفون!$K73="","",الموظفون!$K73))</f>
        <v/>
      </c>
      <c r="L73" s="133" t="str">
        <f aca="false">IF(OR($B73="",K73=""),"",K73-cfg_TRACK)</f>
        <v/>
      </c>
      <c r="M73" s="117" t="str">
        <f aca="false">IF(OR($B73="",$F73="✖ منتهي الخدمة"),"",IF(K73="",IF($E73="غير سعودي","⚠ أدخل التاريخ","-"),IF(L73&lt;0,"✖ منتهية منذ "&amp;TEXT(-L73,"0")&amp;" يوم",IF(L73&lt;=cfg_ALERT,"⚠ تنتهي خلال "&amp;TEXT(L73,"0")&amp;" يوم","✔ سارية"))))</f>
        <v/>
      </c>
      <c r="N73" s="116" t="str">
        <f aca="false">IF($B73="","",IF(F73="✖ منتهي الخدمة",0,IF(الموظفون!$X73&lt;&gt;"",الموظفون!$X73,IF(الموظفون!$E73="غير سعودي",cfg_IQ,0))))</f>
        <v/>
      </c>
      <c r="O73" s="116" t="str">
        <f aca="false">IF($B73="","",IF(F73="✖ منتهي الخدمة",0,IF(الموظفون!$Y73&lt;&gt;"",الموظفون!$Y73,IF(الموظفون!$E73="غير سعودي",cfg_WP,0))))</f>
        <v/>
      </c>
      <c r="P73" s="116" t="str">
        <f aca="false">IF($B73="","",IF(F73="✖ منتهي الخدمة",0,IF(الموظفون!$Z73&lt;&gt;"",الموظفون!$Z73,cfg_MED)))</f>
        <v/>
      </c>
      <c r="Q73" s="116" t="str">
        <f aca="false">IF($B73="","",IF(F73="✖ منتهي الخدمة",0,N(الموظفون!$AA73)))</f>
        <v/>
      </c>
      <c r="R73" s="116" t="str">
        <f aca="false">IF($B73="","",SUM(N73:Q73))</f>
        <v/>
      </c>
      <c r="S73" s="116" t="str">
        <f aca="false">IF($B73="","",R73/12)</f>
        <v/>
      </c>
      <c r="T73" s="116" t="str">
        <f aca="false">IF($B73="","",IF(1&lt;=cfg_VAL_M,'مسير يناير'!AD73+'مسير يناير'!AE73+'مسير يناير'!AF73,0)+IF(2&lt;=cfg_VAL_M,'مسير فبراير'!AD73+'مسير فبراير'!AE73+'مسير فبراير'!AF73,0)+IF(3&lt;=cfg_VAL_M,'مسير مارس'!AD73+'مسير مارس'!AE73+'مسير مارس'!AF73,0)+IF(4&lt;=cfg_VAL_M,'مسير أبريل'!AD73+'مسير أبريل'!AE73+'مسير أبريل'!AF73,0)+IF(5&lt;=cfg_VAL_M,'مسير مايو'!AD73+'مسير مايو'!AE73+'مسير مايو'!AF73,0)+IF(6&lt;=cfg_VAL_M,'مسير يونيو'!AD73+'مسير يونيو'!AE73+'مسير يونيو'!AF73,0)+IF(7&lt;=cfg_VAL_M,'مسير يوليو'!AD73+'مسير يوليو'!AE73+'مسير يوليو'!AF73,0)+IF(8&lt;=cfg_VAL_M,'مسير أغسطس'!AD73+'مسير أغسطس'!AE73+'مسير أغسطس'!AF73,0)+IF(9&lt;=cfg_VAL_M,'مسير سبتمبر'!AD73+'مسير سبتمبر'!AE73+'مسير سبتمبر'!AF73,0)+IF(10&lt;=cfg_VAL_M,'مسير أكتوبر'!AD73+'مسير أكتوبر'!AE73+'مسير أكتوبر'!AF73,0)+IF(11&lt;=cfg_VAL_M,'مسير نوفمبر'!AD73+'مسير نوفمبر'!AE73+'مسير نوفمبر'!AF73,0)+IF(12&lt;=cfg_VAL_M,'مسير ديسمبر'!AD73+'مسير ديسمبر'!AE73+'مسير ديسمبر'!AF73,0))</f>
        <v/>
      </c>
      <c r="U73" s="116" t="str">
        <f aca="false">IF(OR($B73="",F73="✖ منتهي الخدمة"),"",IF(AND(ISNUMBER(I73),I73&lt;=cfg_ALERT),N73,0)+IF(AND(ISNUMBER(L73),L73&lt;=cfg_ALERT),O73,0))</f>
        <v/>
      </c>
    </row>
    <row r="74" customFormat="false" ht="15" hidden="false" customHeight="false" outlineLevel="0" collapsed="false">
      <c r="B74" s="114" t="str">
        <f aca="false">IF(الموظفون!$B74="","",الموظفون!$B74)</f>
        <v/>
      </c>
      <c r="C74" s="114" t="str">
        <f aca="false">IF($B74="","",الموظفون!$C74)</f>
        <v/>
      </c>
      <c r="D74" s="114" t="str">
        <f aca="false">IF($B74="","",الموظفون!$D74)</f>
        <v/>
      </c>
      <c r="E74" s="114" t="str">
        <f aca="false">IF($B74="","",الموظفون!$E74)</f>
        <v/>
      </c>
      <c r="F74" s="114" t="str">
        <f aca="false">IF($B74="","",الموظفون!$AG74)</f>
        <v/>
      </c>
      <c r="G74" s="114" t="str">
        <f aca="false">IF($B74="","",IF(الموظفون!$I74="","",الموظفون!$I74))</f>
        <v/>
      </c>
      <c r="H74" s="174" t="str">
        <f aca="false">IF($B74="","",IF(الموظفون!$J74="","",الموظفون!$J74))</f>
        <v/>
      </c>
      <c r="I74" s="65" t="str">
        <f aca="false">IF(OR($B74="",H74=""),"",H74-cfg_TRACK)</f>
        <v/>
      </c>
      <c r="J74" s="114" t="str">
        <f aca="false">IF(OR($B74="",$F74="✖ منتهي الخدمة"),"",IF(H74="",IF($E74="غير سعودي","⚠ أدخل التاريخ","-"),IF(I74&lt;0,"✖ منتهية منذ "&amp;TEXT(-I74,"0")&amp;" يوم",IF(I74&lt;=cfg_ALERT,"⚠ تنتهي خلال "&amp;TEXT(I74,"0")&amp;" يوم","✔ سارية"))))</f>
        <v/>
      </c>
      <c r="K74" s="174" t="str">
        <f aca="false">IF($B74="","",IF(الموظفون!$K74="","",الموظفون!$K74))</f>
        <v/>
      </c>
      <c r="L74" s="65" t="str">
        <f aca="false">IF(OR($B74="",K74=""),"",K74-cfg_TRACK)</f>
        <v/>
      </c>
      <c r="M74" s="114" t="str">
        <f aca="false">IF(OR($B74="",$F74="✖ منتهي الخدمة"),"",IF(K74="",IF($E74="غير سعودي","⚠ أدخل التاريخ","-"),IF(L74&lt;0,"✖ منتهية منذ "&amp;TEXT(-L74,"0")&amp;" يوم",IF(L74&lt;=cfg_ALERT,"⚠ تنتهي خلال "&amp;TEXT(L74,"0")&amp;" يوم","✔ سارية"))))</f>
        <v/>
      </c>
      <c r="N74" s="111" t="str">
        <f aca="false">IF($B74="","",IF(F74="✖ منتهي الخدمة",0,IF(الموظفون!$X74&lt;&gt;"",الموظفون!$X74,IF(الموظفون!$E74="غير سعودي",cfg_IQ,0))))</f>
        <v/>
      </c>
      <c r="O74" s="111" t="str">
        <f aca="false">IF($B74="","",IF(F74="✖ منتهي الخدمة",0,IF(الموظفون!$Y74&lt;&gt;"",الموظفون!$Y74,IF(الموظفون!$E74="غير سعودي",cfg_WP,0))))</f>
        <v/>
      </c>
      <c r="P74" s="111" t="str">
        <f aca="false">IF($B74="","",IF(F74="✖ منتهي الخدمة",0,IF(الموظفون!$Z74&lt;&gt;"",الموظفون!$Z74,cfg_MED)))</f>
        <v/>
      </c>
      <c r="Q74" s="111" t="str">
        <f aca="false">IF($B74="","",IF(F74="✖ منتهي الخدمة",0,N(الموظفون!$AA74)))</f>
        <v/>
      </c>
      <c r="R74" s="111" t="str">
        <f aca="false">IF($B74="","",SUM(N74:Q74))</f>
        <v/>
      </c>
      <c r="S74" s="111" t="str">
        <f aca="false">IF($B74="","",R74/12)</f>
        <v/>
      </c>
      <c r="T74" s="111" t="str">
        <f aca="false">IF($B74="","",IF(1&lt;=cfg_VAL_M,'مسير يناير'!AD74+'مسير يناير'!AE74+'مسير يناير'!AF74,0)+IF(2&lt;=cfg_VAL_M,'مسير فبراير'!AD74+'مسير فبراير'!AE74+'مسير فبراير'!AF74,0)+IF(3&lt;=cfg_VAL_M,'مسير مارس'!AD74+'مسير مارس'!AE74+'مسير مارس'!AF74,0)+IF(4&lt;=cfg_VAL_M,'مسير أبريل'!AD74+'مسير أبريل'!AE74+'مسير أبريل'!AF74,0)+IF(5&lt;=cfg_VAL_M,'مسير مايو'!AD74+'مسير مايو'!AE74+'مسير مايو'!AF74,0)+IF(6&lt;=cfg_VAL_M,'مسير يونيو'!AD74+'مسير يونيو'!AE74+'مسير يونيو'!AF74,0)+IF(7&lt;=cfg_VAL_M,'مسير يوليو'!AD74+'مسير يوليو'!AE74+'مسير يوليو'!AF74,0)+IF(8&lt;=cfg_VAL_M,'مسير أغسطس'!AD74+'مسير أغسطس'!AE74+'مسير أغسطس'!AF74,0)+IF(9&lt;=cfg_VAL_M,'مسير سبتمبر'!AD74+'مسير سبتمبر'!AE74+'مسير سبتمبر'!AF74,0)+IF(10&lt;=cfg_VAL_M,'مسير أكتوبر'!AD74+'مسير أكتوبر'!AE74+'مسير أكتوبر'!AF74,0)+IF(11&lt;=cfg_VAL_M,'مسير نوفمبر'!AD74+'مسير نوفمبر'!AE74+'مسير نوفمبر'!AF74,0)+IF(12&lt;=cfg_VAL_M,'مسير ديسمبر'!AD74+'مسير ديسمبر'!AE74+'مسير ديسمبر'!AF74,0))</f>
        <v/>
      </c>
      <c r="U74" s="111" t="str">
        <f aca="false">IF(OR($B74="",F74="✖ منتهي الخدمة"),"",IF(AND(ISNUMBER(I74),I74&lt;=cfg_ALERT),N74,0)+IF(AND(ISNUMBER(L74),L74&lt;=cfg_ALERT),O74,0))</f>
        <v/>
      </c>
    </row>
    <row r="75" customFormat="false" ht="15" hidden="false" customHeight="false" outlineLevel="0" collapsed="false">
      <c r="B75" s="117" t="str">
        <f aca="false">IF(الموظفون!$B75="","",الموظفون!$B75)</f>
        <v/>
      </c>
      <c r="C75" s="117" t="str">
        <f aca="false">IF($B75="","",الموظفون!$C75)</f>
        <v/>
      </c>
      <c r="D75" s="117" t="str">
        <f aca="false">IF($B75="","",الموظفون!$D75)</f>
        <v/>
      </c>
      <c r="E75" s="117" t="str">
        <f aca="false">IF($B75="","",الموظفون!$E75)</f>
        <v/>
      </c>
      <c r="F75" s="117" t="str">
        <f aca="false">IF($B75="","",الموظفون!$AG75)</f>
        <v/>
      </c>
      <c r="G75" s="117" t="str">
        <f aca="false">IF($B75="","",IF(الموظفون!$I75="","",الموظفون!$I75))</f>
        <v/>
      </c>
      <c r="H75" s="175" t="str">
        <f aca="false">IF($B75="","",IF(الموظفون!$J75="","",الموظفون!$J75))</f>
        <v/>
      </c>
      <c r="I75" s="133" t="str">
        <f aca="false">IF(OR($B75="",H75=""),"",H75-cfg_TRACK)</f>
        <v/>
      </c>
      <c r="J75" s="117" t="str">
        <f aca="false">IF(OR($B75="",$F75="✖ منتهي الخدمة"),"",IF(H75="",IF($E75="غير سعودي","⚠ أدخل التاريخ","-"),IF(I75&lt;0,"✖ منتهية منذ "&amp;TEXT(-I75,"0")&amp;" يوم",IF(I75&lt;=cfg_ALERT,"⚠ تنتهي خلال "&amp;TEXT(I75,"0")&amp;" يوم","✔ سارية"))))</f>
        <v/>
      </c>
      <c r="K75" s="175" t="str">
        <f aca="false">IF($B75="","",IF(الموظفون!$K75="","",الموظفون!$K75))</f>
        <v/>
      </c>
      <c r="L75" s="133" t="str">
        <f aca="false">IF(OR($B75="",K75=""),"",K75-cfg_TRACK)</f>
        <v/>
      </c>
      <c r="M75" s="117" t="str">
        <f aca="false">IF(OR($B75="",$F75="✖ منتهي الخدمة"),"",IF(K75="",IF($E75="غير سعودي","⚠ أدخل التاريخ","-"),IF(L75&lt;0,"✖ منتهية منذ "&amp;TEXT(-L75,"0")&amp;" يوم",IF(L75&lt;=cfg_ALERT,"⚠ تنتهي خلال "&amp;TEXT(L75,"0")&amp;" يوم","✔ سارية"))))</f>
        <v/>
      </c>
      <c r="N75" s="116" t="str">
        <f aca="false">IF($B75="","",IF(F75="✖ منتهي الخدمة",0,IF(الموظفون!$X75&lt;&gt;"",الموظفون!$X75,IF(الموظفون!$E75="غير سعودي",cfg_IQ,0))))</f>
        <v/>
      </c>
      <c r="O75" s="116" t="str">
        <f aca="false">IF($B75="","",IF(F75="✖ منتهي الخدمة",0,IF(الموظفون!$Y75&lt;&gt;"",الموظفون!$Y75,IF(الموظفون!$E75="غير سعودي",cfg_WP,0))))</f>
        <v/>
      </c>
      <c r="P75" s="116" t="str">
        <f aca="false">IF($B75="","",IF(F75="✖ منتهي الخدمة",0,IF(الموظفون!$Z75&lt;&gt;"",الموظفون!$Z75,cfg_MED)))</f>
        <v/>
      </c>
      <c r="Q75" s="116" t="str">
        <f aca="false">IF($B75="","",IF(F75="✖ منتهي الخدمة",0,N(الموظفون!$AA75)))</f>
        <v/>
      </c>
      <c r="R75" s="116" t="str">
        <f aca="false">IF($B75="","",SUM(N75:Q75))</f>
        <v/>
      </c>
      <c r="S75" s="116" t="str">
        <f aca="false">IF($B75="","",R75/12)</f>
        <v/>
      </c>
      <c r="T75" s="116" t="str">
        <f aca="false">IF($B75="","",IF(1&lt;=cfg_VAL_M,'مسير يناير'!AD75+'مسير يناير'!AE75+'مسير يناير'!AF75,0)+IF(2&lt;=cfg_VAL_M,'مسير فبراير'!AD75+'مسير فبراير'!AE75+'مسير فبراير'!AF75,0)+IF(3&lt;=cfg_VAL_M,'مسير مارس'!AD75+'مسير مارس'!AE75+'مسير مارس'!AF75,0)+IF(4&lt;=cfg_VAL_M,'مسير أبريل'!AD75+'مسير أبريل'!AE75+'مسير أبريل'!AF75,0)+IF(5&lt;=cfg_VAL_M,'مسير مايو'!AD75+'مسير مايو'!AE75+'مسير مايو'!AF75,0)+IF(6&lt;=cfg_VAL_M,'مسير يونيو'!AD75+'مسير يونيو'!AE75+'مسير يونيو'!AF75,0)+IF(7&lt;=cfg_VAL_M,'مسير يوليو'!AD75+'مسير يوليو'!AE75+'مسير يوليو'!AF75,0)+IF(8&lt;=cfg_VAL_M,'مسير أغسطس'!AD75+'مسير أغسطس'!AE75+'مسير أغسطس'!AF75,0)+IF(9&lt;=cfg_VAL_M,'مسير سبتمبر'!AD75+'مسير سبتمبر'!AE75+'مسير سبتمبر'!AF75,0)+IF(10&lt;=cfg_VAL_M,'مسير أكتوبر'!AD75+'مسير أكتوبر'!AE75+'مسير أكتوبر'!AF75,0)+IF(11&lt;=cfg_VAL_M,'مسير نوفمبر'!AD75+'مسير نوفمبر'!AE75+'مسير نوفمبر'!AF75,0)+IF(12&lt;=cfg_VAL_M,'مسير ديسمبر'!AD75+'مسير ديسمبر'!AE75+'مسير ديسمبر'!AF75,0))</f>
        <v/>
      </c>
      <c r="U75" s="116" t="str">
        <f aca="false">IF(OR($B75="",F75="✖ منتهي الخدمة"),"",IF(AND(ISNUMBER(I75),I75&lt;=cfg_ALERT),N75,0)+IF(AND(ISNUMBER(L75),L75&lt;=cfg_ALERT),O75,0))</f>
        <v/>
      </c>
    </row>
    <row r="76" customFormat="false" ht="15" hidden="false" customHeight="false" outlineLevel="0" collapsed="false">
      <c r="B76" s="114" t="str">
        <f aca="false">IF(الموظفون!$B76="","",الموظفون!$B76)</f>
        <v/>
      </c>
      <c r="C76" s="114" t="str">
        <f aca="false">IF($B76="","",الموظفون!$C76)</f>
        <v/>
      </c>
      <c r="D76" s="114" t="str">
        <f aca="false">IF($B76="","",الموظفون!$D76)</f>
        <v/>
      </c>
      <c r="E76" s="114" t="str">
        <f aca="false">IF($B76="","",الموظفون!$E76)</f>
        <v/>
      </c>
      <c r="F76" s="114" t="str">
        <f aca="false">IF($B76="","",الموظفون!$AG76)</f>
        <v/>
      </c>
      <c r="G76" s="114" t="str">
        <f aca="false">IF($B76="","",IF(الموظفون!$I76="","",الموظفون!$I76))</f>
        <v/>
      </c>
      <c r="H76" s="174" t="str">
        <f aca="false">IF($B76="","",IF(الموظفون!$J76="","",الموظفون!$J76))</f>
        <v/>
      </c>
      <c r="I76" s="65" t="str">
        <f aca="false">IF(OR($B76="",H76=""),"",H76-cfg_TRACK)</f>
        <v/>
      </c>
      <c r="J76" s="114" t="str">
        <f aca="false">IF(OR($B76="",$F76="✖ منتهي الخدمة"),"",IF(H76="",IF($E76="غير سعودي","⚠ أدخل التاريخ","-"),IF(I76&lt;0,"✖ منتهية منذ "&amp;TEXT(-I76,"0")&amp;" يوم",IF(I76&lt;=cfg_ALERT,"⚠ تنتهي خلال "&amp;TEXT(I76,"0")&amp;" يوم","✔ سارية"))))</f>
        <v/>
      </c>
      <c r="K76" s="174" t="str">
        <f aca="false">IF($B76="","",IF(الموظفون!$K76="","",الموظفون!$K76))</f>
        <v/>
      </c>
      <c r="L76" s="65" t="str">
        <f aca="false">IF(OR($B76="",K76=""),"",K76-cfg_TRACK)</f>
        <v/>
      </c>
      <c r="M76" s="114" t="str">
        <f aca="false">IF(OR($B76="",$F76="✖ منتهي الخدمة"),"",IF(K76="",IF($E76="غير سعودي","⚠ أدخل التاريخ","-"),IF(L76&lt;0,"✖ منتهية منذ "&amp;TEXT(-L76,"0")&amp;" يوم",IF(L76&lt;=cfg_ALERT,"⚠ تنتهي خلال "&amp;TEXT(L76,"0")&amp;" يوم","✔ سارية"))))</f>
        <v/>
      </c>
      <c r="N76" s="111" t="str">
        <f aca="false">IF($B76="","",IF(F76="✖ منتهي الخدمة",0,IF(الموظفون!$X76&lt;&gt;"",الموظفون!$X76,IF(الموظفون!$E76="غير سعودي",cfg_IQ,0))))</f>
        <v/>
      </c>
      <c r="O76" s="111" t="str">
        <f aca="false">IF($B76="","",IF(F76="✖ منتهي الخدمة",0,IF(الموظفون!$Y76&lt;&gt;"",الموظفون!$Y76,IF(الموظفون!$E76="غير سعودي",cfg_WP,0))))</f>
        <v/>
      </c>
      <c r="P76" s="111" t="str">
        <f aca="false">IF($B76="","",IF(F76="✖ منتهي الخدمة",0,IF(الموظفون!$Z76&lt;&gt;"",الموظفون!$Z76,cfg_MED)))</f>
        <v/>
      </c>
      <c r="Q76" s="111" t="str">
        <f aca="false">IF($B76="","",IF(F76="✖ منتهي الخدمة",0,N(الموظفون!$AA76)))</f>
        <v/>
      </c>
      <c r="R76" s="111" t="str">
        <f aca="false">IF($B76="","",SUM(N76:Q76))</f>
        <v/>
      </c>
      <c r="S76" s="111" t="str">
        <f aca="false">IF($B76="","",R76/12)</f>
        <v/>
      </c>
      <c r="T76" s="111" t="str">
        <f aca="false">IF($B76="","",IF(1&lt;=cfg_VAL_M,'مسير يناير'!AD76+'مسير يناير'!AE76+'مسير يناير'!AF76,0)+IF(2&lt;=cfg_VAL_M,'مسير فبراير'!AD76+'مسير فبراير'!AE76+'مسير فبراير'!AF76,0)+IF(3&lt;=cfg_VAL_M,'مسير مارس'!AD76+'مسير مارس'!AE76+'مسير مارس'!AF76,0)+IF(4&lt;=cfg_VAL_M,'مسير أبريل'!AD76+'مسير أبريل'!AE76+'مسير أبريل'!AF76,0)+IF(5&lt;=cfg_VAL_M,'مسير مايو'!AD76+'مسير مايو'!AE76+'مسير مايو'!AF76,0)+IF(6&lt;=cfg_VAL_M,'مسير يونيو'!AD76+'مسير يونيو'!AE76+'مسير يونيو'!AF76,0)+IF(7&lt;=cfg_VAL_M,'مسير يوليو'!AD76+'مسير يوليو'!AE76+'مسير يوليو'!AF76,0)+IF(8&lt;=cfg_VAL_M,'مسير أغسطس'!AD76+'مسير أغسطس'!AE76+'مسير أغسطس'!AF76,0)+IF(9&lt;=cfg_VAL_M,'مسير سبتمبر'!AD76+'مسير سبتمبر'!AE76+'مسير سبتمبر'!AF76,0)+IF(10&lt;=cfg_VAL_M,'مسير أكتوبر'!AD76+'مسير أكتوبر'!AE76+'مسير أكتوبر'!AF76,0)+IF(11&lt;=cfg_VAL_M,'مسير نوفمبر'!AD76+'مسير نوفمبر'!AE76+'مسير نوفمبر'!AF76,0)+IF(12&lt;=cfg_VAL_M,'مسير ديسمبر'!AD76+'مسير ديسمبر'!AE76+'مسير ديسمبر'!AF76,0))</f>
        <v/>
      </c>
      <c r="U76" s="111" t="str">
        <f aca="false">IF(OR($B76="",F76="✖ منتهي الخدمة"),"",IF(AND(ISNUMBER(I76),I76&lt;=cfg_ALERT),N76,0)+IF(AND(ISNUMBER(L76),L76&lt;=cfg_ALERT),O76,0))</f>
        <v/>
      </c>
    </row>
    <row r="77" customFormat="false" ht="15" hidden="false" customHeight="false" outlineLevel="0" collapsed="false">
      <c r="B77" s="117" t="str">
        <f aca="false">IF(الموظفون!$B77="","",الموظفون!$B77)</f>
        <v/>
      </c>
      <c r="C77" s="117" t="str">
        <f aca="false">IF($B77="","",الموظفون!$C77)</f>
        <v/>
      </c>
      <c r="D77" s="117" t="str">
        <f aca="false">IF($B77="","",الموظفون!$D77)</f>
        <v/>
      </c>
      <c r="E77" s="117" t="str">
        <f aca="false">IF($B77="","",الموظفون!$E77)</f>
        <v/>
      </c>
      <c r="F77" s="117" t="str">
        <f aca="false">IF($B77="","",الموظفون!$AG77)</f>
        <v/>
      </c>
      <c r="G77" s="117" t="str">
        <f aca="false">IF($B77="","",IF(الموظفون!$I77="","",الموظفون!$I77))</f>
        <v/>
      </c>
      <c r="H77" s="175" t="str">
        <f aca="false">IF($B77="","",IF(الموظفون!$J77="","",الموظفون!$J77))</f>
        <v/>
      </c>
      <c r="I77" s="133" t="str">
        <f aca="false">IF(OR($B77="",H77=""),"",H77-cfg_TRACK)</f>
        <v/>
      </c>
      <c r="J77" s="117" t="str">
        <f aca="false">IF(OR($B77="",$F77="✖ منتهي الخدمة"),"",IF(H77="",IF($E77="غير سعودي","⚠ أدخل التاريخ","-"),IF(I77&lt;0,"✖ منتهية منذ "&amp;TEXT(-I77,"0")&amp;" يوم",IF(I77&lt;=cfg_ALERT,"⚠ تنتهي خلال "&amp;TEXT(I77,"0")&amp;" يوم","✔ سارية"))))</f>
        <v/>
      </c>
      <c r="K77" s="175" t="str">
        <f aca="false">IF($B77="","",IF(الموظفون!$K77="","",الموظفون!$K77))</f>
        <v/>
      </c>
      <c r="L77" s="133" t="str">
        <f aca="false">IF(OR($B77="",K77=""),"",K77-cfg_TRACK)</f>
        <v/>
      </c>
      <c r="M77" s="117" t="str">
        <f aca="false">IF(OR($B77="",$F77="✖ منتهي الخدمة"),"",IF(K77="",IF($E77="غير سعودي","⚠ أدخل التاريخ","-"),IF(L77&lt;0,"✖ منتهية منذ "&amp;TEXT(-L77,"0")&amp;" يوم",IF(L77&lt;=cfg_ALERT,"⚠ تنتهي خلال "&amp;TEXT(L77,"0")&amp;" يوم","✔ سارية"))))</f>
        <v/>
      </c>
      <c r="N77" s="116" t="str">
        <f aca="false">IF($B77="","",IF(F77="✖ منتهي الخدمة",0,IF(الموظفون!$X77&lt;&gt;"",الموظفون!$X77,IF(الموظفون!$E77="غير سعودي",cfg_IQ,0))))</f>
        <v/>
      </c>
      <c r="O77" s="116" t="str">
        <f aca="false">IF($B77="","",IF(F77="✖ منتهي الخدمة",0,IF(الموظفون!$Y77&lt;&gt;"",الموظفون!$Y77,IF(الموظفون!$E77="غير سعودي",cfg_WP,0))))</f>
        <v/>
      </c>
      <c r="P77" s="116" t="str">
        <f aca="false">IF($B77="","",IF(F77="✖ منتهي الخدمة",0,IF(الموظفون!$Z77&lt;&gt;"",الموظفون!$Z77,cfg_MED)))</f>
        <v/>
      </c>
      <c r="Q77" s="116" t="str">
        <f aca="false">IF($B77="","",IF(F77="✖ منتهي الخدمة",0,N(الموظفون!$AA77)))</f>
        <v/>
      </c>
      <c r="R77" s="116" t="str">
        <f aca="false">IF($B77="","",SUM(N77:Q77))</f>
        <v/>
      </c>
      <c r="S77" s="116" t="str">
        <f aca="false">IF($B77="","",R77/12)</f>
        <v/>
      </c>
      <c r="T77" s="116" t="str">
        <f aca="false">IF($B77="","",IF(1&lt;=cfg_VAL_M,'مسير يناير'!AD77+'مسير يناير'!AE77+'مسير يناير'!AF77,0)+IF(2&lt;=cfg_VAL_M,'مسير فبراير'!AD77+'مسير فبراير'!AE77+'مسير فبراير'!AF77,0)+IF(3&lt;=cfg_VAL_M,'مسير مارس'!AD77+'مسير مارس'!AE77+'مسير مارس'!AF77,0)+IF(4&lt;=cfg_VAL_M,'مسير أبريل'!AD77+'مسير أبريل'!AE77+'مسير أبريل'!AF77,0)+IF(5&lt;=cfg_VAL_M,'مسير مايو'!AD77+'مسير مايو'!AE77+'مسير مايو'!AF77,0)+IF(6&lt;=cfg_VAL_M,'مسير يونيو'!AD77+'مسير يونيو'!AE77+'مسير يونيو'!AF77,0)+IF(7&lt;=cfg_VAL_M,'مسير يوليو'!AD77+'مسير يوليو'!AE77+'مسير يوليو'!AF77,0)+IF(8&lt;=cfg_VAL_M,'مسير أغسطس'!AD77+'مسير أغسطس'!AE77+'مسير أغسطس'!AF77,0)+IF(9&lt;=cfg_VAL_M,'مسير سبتمبر'!AD77+'مسير سبتمبر'!AE77+'مسير سبتمبر'!AF77,0)+IF(10&lt;=cfg_VAL_M,'مسير أكتوبر'!AD77+'مسير أكتوبر'!AE77+'مسير أكتوبر'!AF77,0)+IF(11&lt;=cfg_VAL_M,'مسير نوفمبر'!AD77+'مسير نوفمبر'!AE77+'مسير نوفمبر'!AF77,0)+IF(12&lt;=cfg_VAL_M,'مسير ديسمبر'!AD77+'مسير ديسمبر'!AE77+'مسير ديسمبر'!AF77,0))</f>
        <v/>
      </c>
      <c r="U77" s="116" t="str">
        <f aca="false">IF(OR($B77="",F77="✖ منتهي الخدمة"),"",IF(AND(ISNUMBER(I77),I77&lt;=cfg_ALERT),N77,0)+IF(AND(ISNUMBER(L77),L77&lt;=cfg_ALERT),O77,0))</f>
        <v/>
      </c>
    </row>
    <row r="78" customFormat="false" ht="15" hidden="false" customHeight="false" outlineLevel="0" collapsed="false">
      <c r="B78" s="114" t="str">
        <f aca="false">IF(الموظفون!$B78="","",الموظفون!$B78)</f>
        <v/>
      </c>
      <c r="C78" s="114" t="str">
        <f aca="false">IF($B78="","",الموظفون!$C78)</f>
        <v/>
      </c>
      <c r="D78" s="114" t="str">
        <f aca="false">IF($B78="","",الموظفون!$D78)</f>
        <v/>
      </c>
      <c r="E78" s="114" t="str">
        <f aca="false">IF($B78="","",الموظفون!$E78)</f>
        <v/>
      </c>
      <c r="F78" s="114" t="str">
        <f aca="false">IF($B78="","",الموظفون!$AG78)</f>
        <v/>
      </c>
      <c r="G78" s="114" t="str">
        <f aca="false">IF($B78="","",IF(الموظفون!$I78="","",الموظفون!$I78))</f>
        <v/>
      </c>
      <c r="H78" s="174" t="str">
        <f aca="false">IF($B78="","",IF(الموظفون!$J78="","",الموظفون!$J78))</f>
        <v/>
      </c>
      <c r="I78" s="65" t="str">
        <f aca="false">IF(OR($B78="",H78=""),"",H78-cfg_TRACK)</f>
        <v/>
      </c>
      <c r="J78" s="114" t="str">
        <f aca="false">IF(OR($B78="",$F78="✖ منتهي الخدمة"),"",IF(H78="",IF($E78="غير سعودي","⚠ أدخل التاريخ","-"),IF(I78&lt;0,"✖ منتهية منذ "&amp;TEXT(-I78,"0")&amp;" يوم",IF(I78&lt;=cfg_ALERT,"⚠ تنتهي خلال "&amp;TEXT(I78,"0")&amp;" يوم","✔ سارية"))))</f>
        <v/>
      </c>
      <c r="K78" s="174" t="str">
        <f aca="false">IF($B78="","",IF(الموظفون!$K78="","",الموظفون!$K78))</f>
        <v/>
      </c>
      <c r="L78" s="65" t="str">
        <f aca="false">IF(OR($B78="",K78=""),"",K78-cfg_TRACK)</f>
        <v/>
      </c>
      <c r="M78" s="114" t="str">
        <f aca="false">IF(OR($B78="",$F78="✖ منتهي الخدمة"),"",IF(K78="",IF($E78="غير سعودي","⚠ أدخل التاريخ","-"),IF(L78&lt;0,"✖ منتهية منذ "&amp;TEXT(-L78,"0")&amp;" يوم",IF(L78&lt;=cfg_ALERT,"⚠ تنتهي خلال "&amp;TEXT(L78,"0")&amp;" يوم","✔ سارية"))))</f>
        <v/>
      </c>
      <c r="N78" s="111" t="str">
        <f aca="false">IF($B78="","",IF(F78="✖ منتهي الخدمة",0,IF(الموظفون!$X78&lt;&gt;"",الموظفون!$X78,IF(الموظفون!$E78="غير سعودي",cfg_IQ,0))))</f>
        <v/>
      </c>
      <c r="O78" s="111" t="str">
        <f aca="false">IF($B78="","",IF(F78="✖ منتهي الخدمة",0,IF(الموظفون!$Y78&lt;&gt;"",الموظفون!$Y78,IF(الموظفون!$E78="غير سعودي",cfg_WP,0))))</f>
        <v/>
      </c>
      <c r="P78" s="111" t="str">
        <f aca="false">IF($B78="","",IF(F78="✖ منتهي الخدمة",0,IF(الموظفون!$Z78&lt;&gt;"",الموظفون!$Z78,cfg_MED)))</f>
        <v/>
      </c>
      <c r="Q78" s="111" t="str">
        <f aca="false">IF($B78="","",IF(F78="✖ منتهي الخدمة",0,N(الموظفون!$AA78)))</f>
        <v/>
      </c>
      <c r="R78" s="111" t="str">
        <f aca="false">IF($B78="","",SUM(N78:Q78))</f>
        <v/>
      </c>
      <c r="S78" s="111" t="str">
        <f aca="false">IF($B78="","",R78/12)</f>
        <v/>
      </c>
      <c r="T78" s="111" t="str">
        <f aca="false">IF($B78="","",IF(1&lt;=cfg_VAL_M,'مسير يناير'!AD78+'مسير يناير'!AE78+'مسير يناير'!AF78,0)+IF(2&lt;=cfg_VAL_M,'مسير فبراير'!AD78+'مسير فبراير'!AE78+'مسير فبراير'!AF78,0)+IF(3&lt;=cfg_VAL_M,'مسير مارس'!AD78+'مسير مارس'!AE78+'مسير مارس'!AF78,0)+IF(4&lt;=cfg_VAL_M,'مسير أبريل'!AD78+'مسير أبريل'!AE78+'مسير أبريل'!AF78,0)+IF(5&lt;=cfg_VAL_M,'مسير مايو'!AD78+'مسير مايو'!AE78+'مسير مايو'!AF78,0)+IF(6&lt;=cfg_VAL_M,'مسير يونيو'!AD78+'مسير يونيو'!AE78+'مسير يونيو'!AF78,0)+IF(7&lt;=cfg_VAL_M,'مسير يوليو'!AD78+'مسير يوليو'!AE78+'مسير يوليو'!AF78,0)+IF(8&lt;=cfg_VAL_M,'مسير أغسطس'!AD78+'مسير أغسطس'!AE78+'مسير أغسطس'!AF78,0)+IF(9&lt;=cfg_VAL_M,'مسير سبتمبر'!AD78+'مسير سبتمبر'!AE78+'مسير سبتمبر'!AF78,0)+IF(10&lt;=cfg_VAL_M,'مسير أكتوبر'!AD78+'مسير أكتوبر'!AE78+'مسير أكتوبر'!AF78,0)+IF(11&lt;=cfg_VAL_M,'مسير نوفمبر'!AD78+'مسير نوفمبر'!AE78+'مسير نوفمبر'!AF78,0)+IF(12&lt;=cfg_VAL_M,'مسير ديسمبر'!AD78+'مسير ديسمبر'!AE78+'مسير ديسمبر'!AF78,0))</f>
        <v/>
      </c>
      <c r="U78" s="111" t="str">
        <f aca="false">IF(OR($B78="",F78="✖ منتهي الخدمة"),"",IF(AND(ISNUMBER(I78),I78&lt;=cfg_ALERT),N78,0)+IF(AND(ISNUMBER(L78),L78&lt;=cfg_ALERT),O78,0))</f>
        <v/>
      </c>
    </row>
    <row r="79" customFormat="false" ht="15" hidden="false" customHeight="false" outlineLevel="0" collapsed="false">
      <c r="B79" s="117" t="str">
        <f aca="false">IF(الموظفون!$B79="","",الموظفون!$B79)</f>
        <v/>
      </c>
      <c r="C79" s="117" t="str">
        <f aca="false">IF($B79="","",الموظفون!$C79)</f>
        <v/>
      </c>
      <c r="D79" s="117" t="str">
        <f aca="false">IF($B79="","",الموظفون!$D79)</f>
        <v/>
      </c>
      <c r="E79" s="117" t="str">
        <f aca="false">IF($B79="","",الموظفون!$E79)</f>
        <v/>
      </c>
      <c r="F79" s="117" t="str">
        <f aca="false">IF($B79="","",الموظفون!$AG79)</f>
        <v/>
      </c>
      <c r="G79" s="117" t="str">
        <f aca="false">IF($B79="","",IF(الموظفون!$I79="","",الموظفون!$I79))</f>
        <v/>
      </c>
      <c r="H79" s="175" t="str">
        <f aca="false">IF($B79="","",IF(الموظفون!$J79="","",الموظفون!$J79))</f>
        <v/>
      </c>
      <c r="I79" s="133" t="str">
        <f aca="false">IF(OR($B79="",H79=""),"",H79-cfg_TRACK)</f>
        <v/>
      </c>
      <c r="J79" s="117" t="str">
        <f aca="false">IF(OR($B79="",$F79="✖ منتهي الخدمة"),"",IF(H79="",IF($E79="غير سعودي","⚠ أدخل التاريخ","-"),IF(I79&lt;0,"✖ منتهية منذ "&amp;TEXT(-I79,"0")&amp;" يوم",IF(I79&lt;=cfg_ALERT,"⚠ تنتهي خلال "&amp;TEXT(I79,"0")&amp;" يوم","✔ سارية"))))</f>
        <v/>
      </c>
      <c r="K79" s="175" t="str">
        <f aca="false">IF($B79="","",IF(الموظفون!$K79="","",الموظفون!$K79))</f>
        <v/>
      </c>
      <c r="L79" s="133" t="str">
        <f aca="false">IF(OR($B79="",K79=""),"",K79-cfg_TRACK)</f>
        <v/>
      </c>
      <c r="M79" s="117" t="str">
        <f aca="false">IF(OR($B79="",$F79="✖ منتهي الخدمة"),"",IF(K79="",IF($E79="غير سعودي","⚠ أدخل التاريخ","-"),IF(L79&lt;0,"✖ منتهية منذ "&amp;TEXT(-L79,"0")&amp;" يوم",IF(L79&lt;=cfg_ALERT,"⚠ تنتهي خلال "&amp;TEXT(L79,"0")&amp;" يوم","✔ سارية"))))</f>
        <v/>
      </c>
      <c r="N79" s="116" t="str">
        <f aca="false">IF($B79="","",IF(F79="✖ منتهي الخدمة",0,IF(الموظفون!$X79&lt;&gt;"",الموظفون!$X79,IF(الموظفون!$E79="غير سعودي",cfg_IQ,0))))</f>
        <v/>
      </c>
      <c r="O79" s="116" t="str">
        <f aca="false">IF($B79="","",IF(F79="✖ منتهي الخدمة",0,IF(الموظفون!$Y79&lt;&gt;"",الموظفون!$Y79,IF(الموظفون!$E79="غير سعودي",cfg_WP,0))))</f>
        <v/>
      </c>
      <c r="P79" s="116" t="str">
        <f aca="false">IF($B79="","",IF(F79="✖ منتهي الخدمة",0,IF(الموظفون!$Z79&lt;&gt;"",الموظفون!$Z79,cfg_MED)))</f>
        <v/>
      </c>
      <c r="Q79" s="116" t="str">
        <f aca="false">IF($B79="","",IF(F79="✖ منتهي الخدمة",0,N(الموظفون!$AA79)))</f>
        <v/>
      </c>
      <c r="R79" s="116" t="str">
        <f aca="false">IF($B79="","",SUM(N79:Q79))</f>
        <v/>
      </c>
      <c r="S79" s="116" t="str">
        <f aca="false">IF($B79="","",R79/12)</f>
        <v/>
      </c>
      <c r="T79" s="116" t="str">
        <f aca="false">IF($B79="","",IF(1&lt;=cfg_VAL_M,'مسير يناير'!AD79+'مسير يناير'!AE79+'مسير يناير'!AF79,0)+IF(2&lt;=cfg_VAL_M,'مسير فبراير'!AD79+'مسير فبراير'!AE79+'مسير فبراير'!AF79,0)+IF(3&lt;=cfg_VAL_M,'مسير مارس'!AD79+'مسير مارس'!AE79+'مسير مارس'!AF79,0)+IF(4&lt;=cfg_VAL_M,'مسير أبريل'!AD79+'مسير أبريل'!AE79+'مسير أبريل'!AF79,0)+IF(5&lt;=cfg_VAL_M,'مسير مايو'!AD79+'مسير مايو'!AE79+'مسير مايو'!AF79,0)+IF(6&lt;=cfg_VAL_M,'مسير يونيو'!AD79+'مسير يونيو'!AE79+'مسير يونيو'!AF79,0)+IF(7&lt;=cfg_VAL_M,'مسير يوليو'!AD79+'مسير يوليو'!AE79+'مسير يوليو'!AF79,0)+IF(8&lt;=cfg_VAL_M,'مسير أغسطس'!AD79+'مسير أغسطس'!AE79+'مسير أغسطس'!AF79,0)+IF(9&lt;=cfg_VAL_M,'مسير سبتمبر'!AD79+'مسير سبتمبر'!AE79+'مسير سبتمبر'!AF79,0)+IF(10&lt;=cfg_VAL_M,'مسير أكتوبر'!AD79+'مسير أكتوبر'!AE79+'مسير أكتوبر'!AF79,0)+IF(11&lt;=cfg_VAL_M,'مسير نوفمبر'!AD79+'مسير نوفمبر'!AE79+'مسير نوفمبر'!AF79,0)+IF(12&lt;=cfg_VAL_M,'مسير ديسمبر'!AD79+'مسير ديسمبر'!AE79+'مسير ديسمبر'!AF79,0))</f>
        <v/>
      </c>
      <c r="U79" s="116" t="str">
        <f aca="false">IF(OR($B79="",F79="✖ منتهي الخدمة"),"",IF(AND(ISNUMBER(I79),I79&lt;=cfg_ALERT),N79,0)+IF(AND(ISNUMBER(L79),L79&lt;=cfg_ALERT),O79,0))</f>
        <v/>
      </c>
    </row>
    <row r="80" customFormat="false" ht="15" hidden="false" customHeight="false" outlineLevel="0" collapsed="false">
      <c r="B80" s="114" t="str">
        <f aca="false">IF(الموظفون!$B80="","",الموظفون!$B80)</f>
        <v/>
      </c>
      <c r="C80" s="114" t="str">
        <f aca="false">IF($B80="","",الموظفون!$C80)</f>
        <v/>
      </c>
      <c r="D80" s="114" t="str">
        <f aca="false">IF($B80="","",الموظفون!$D80)</f>
        <v/>
      </c>
      <c r="E80" s="114" t="str">
        <f aca="false">IF($B80="","",الموظفون!$E80)</f>
        <v/>
      </c>
      <c r="F80" s="114" t="str">
        <f aca="false">IF($B80="","",الموظفون!$AG80)</f>
        <v/>
      </c>
      <c r="G80" s="114" t="str">
        <f aca="false">IF($B80="","",IF(الموظفون!$I80="","",الموظفون!$I80))</f>
        <v/>
      </c>
      <c r="H80" s="174" t="str">
        <f aca="false">IF($B80="","",IF(الموظفون!$J80="","",الموظفون!$J80))</f>
        <v/>
      </c>
      <c r="I80" s="65" t="str">
        <f aca="false">IF(OR($B80="",H80=""),"",H80-cfg_TRACK)</f>
        <v/>
      </c>
      <c r="J80" s="114" t="str">
        <f aca="false">IF(OR($B80="",$F80="✖ منتهي الخدمة"),"",IF(H80="",IF($E80="غير سعودي","⚠ أدخل التاريخ","-"),IF(I80&lt;0,"✖ منتهية منذ "&amp;TEXT(-I80,"0")&amp;" يوم",IF(I80&lt;=cfg_ALERT,"⚠ تنتهي خلال "&amp;TEXT(I80,"0")&amp;" يوم","✔ سارية"))))</f>
        <v/>
      </c>
      <c r="K80" s="174" t="str">
        <f aca="false">IF($B80="","",IF(الموظفون!$K80="","",الموظفون!$K80))</f>
        <v/>
      </c>
      <c r="L80" s="65" t="str">
        <f aca="false">IF(OR($B80="",K80=""),"",K80-cfg_TRACK)</f>
        <v/>
      </c>
      <c r="M80" s="114" t="str">
        <f aca="false">IF(OR($B80="",$F80="✖ منتهي الخدمة"),"",IF(K80="",IF($E80="غير سعودي","⚠ أدخل التاريخ","-"),IF(L80&lt;0,"✖ منتهية منذ "&amp;TEXT(-L80,"0")&amp;" يوم",IF(L80&lt;=cfg_ALERT,"⚠ تنتهي خلال "&amp;TEXT(L80,"0")&amp;" يوم","✔ سارية"))))</f>
        <v/>
      </c>
      <c r="N80" s="111" t="str">
        <f aca="false">IF($B80="","",IF(F80="✖ منتهي الخدمة",0,IF(الموظفون!$X80&lt;&gt;"",الموظفون!$X80,IF(الموظفون!$E80="غير سعودي",cfg_IQ,0))))</f>
        <v/>
      </c>
      <c r="O80" s="111" t="str">
        <f aca="false">IF($B80="","",IF(F80="✖ منتهي الخدمة",0,IF(الموظفون!$Y80&lt;&gt;"",الموظفون!$Y80,IF(الموظفون!$E80="غير سعودي",cfg_WP,0))))</f>
        <v/>
      </c>
      <c r="P80" s="111" t="str">
        <f aca="false">IF($B80="","",IF(F80="✖ منتهي الخدمة",0,IF(الموظفون!$Z80&lt;&gt;"",الموظفون!$Z80,cfg_MED)))</f>
        <v/>
      </c>
      <c r="Q80" s="111" t="str">
        <f aca="false">IF($B80="","",IF(F80="✖ منتهي الخدمة",0,N(الموظفون!$AA80)))</f>
        <v/>
      </c>
      <c r="R80" s="111" t="str">
        <f aca="false">IF($B80="","",SUM(N80:Q80))</f>
        <v/>
      </c>
      <c r="S80" s="111" t="str">
        <f aca="false">IF($B80="","",R80/12)</f>
        <v/>
      </c>
      <c r="T80" s="111" t="str">
        <f aca="false">IF($B80="","",IF(1&lt;=cfg_VAL_M,'مسير يناير'!AD80+'مسير يناير'!AE80+'مسير يناير'!AF80,0)+IF(2&lt;=cfg_VAL_M,'مسير فبراير'!AD80+'مسير فبراير'!AE80+'مسير فبراير'!AF80,0)+IF(3&lt;=cfg_VAL_M,'مسير مارس'!AD80+'مسير مارس'!AE80+'مسير مارس'!AF80,0)+IF(4&lt;=cfg_VAL_M,'مسير أبريل'!AD80+'مسير أبريل'!AE80+'مسير أبريل'!AF80,0)+IF(5&lt;=cfg_VAL_M,'مسير مايو'!AD80+'مسير مايو'!AE80+'مسير مايو'!AF80,0)+IF(6&lt;=cfg_VAL_M,'مسير يونيو'!AD80+'مسير يونيو'!AE80+'مسير يونيو'!AF80,0)+IF(7&lt;=cfg_VAL_M,'مسير يوليو'!AD80+'مسير يوليو'!AE80+'مسير يوليو'!AF80,0)+IF(8&lt;=cfg_VAL_M,'مسير أغسطس'!AD80+'مسير أغسطس'!AE80+'مسير أغسطس'!AF80,0)+IF(9&lt;=cfg_VAL_M,'مسير سبتمبر'!AD80+'مسير سبتمبر'!AE80+'مسير سبتمبر'!AF80,0)+IF(10&lt;=cfg_VAL_M,'مسير أكتوبر'!AD80+'مسير أكتوبر'!AE80+'مسير أكتوبر'!AF80,0)+IF(11&lt;=cfg_VAL_M,'مسير نوفمبر'!AD80+'مسير نوفمبر'!AE80+'مسير نوفمبر'!AF80,0)+IF(12&lt;=cfg_VAL_M,'مسير ديسمبر'!AD80+'مسير ديسمبر'!AE80+'مسير ديسمبر'!AF80,0))</f>
        <v/>
      </c>
      <c r="U80" s="111" t="str">
        <f aca="false">IF(OR($B80="",F80="✖ منتهي الخدمة"),"",IF(AND(ISNUMBER(I80),I80&lt;=cfg_ALERT),N80,0)+IF(AND(ISNUMBER(L80),L80&lt;=cfg_ALERT),O80,0))</f>
        <v/>
      </c>
    </row>
    <row r="81" customFormat="false" ht="15" hidden="false" customHeight="false" outlineLevel="0" collapsed="false">
      <c r="B81" s="117" t="str">
        <f aca="false">IF(الموظفون!$B81="","",الموظفون!$B81)</f>
        <v/>
      </c>
      <c r="C81" s="117" t="str">
        <f aca="false">IF($B81="","",الموظفون!$C81)</f>
        <v/>
      </c>
      <c r="D81" s="117" t="str">
        <f aca="false">IF($B81="","",الموظفون!$D81)</f>
        <v/>
      </c>
      <c r="E81" s="117" t="str">
        <f aca="false">IF($B81="","",الموظفون!$E81)</f>
        <v/>
      </c>
      <c r="F81" s="117" t="str">
        <f aca="false">IF($B81="","",الموظفون!$AG81)</f>
        <v/>
      </c>
      <c r="G81" s="117" t="str">
        <f aca="false">IF($B81="","",IF(الموظفون!$I81="","",الموظفون!$I81))</f>
        <v/>
      </c>
      <c r="H81" s="175" t="str">
        <f aca="false">IF($B81="","",IF(الموظفون!$J81="","",الموظفون!$J81))</f>
        <v/>
      </c>
      <c r="I81" s="133" t="str">
        <f aca="false">IF(OR($B81="",H81=""),"",H81-cfg_TRACK)</f>
        <v/>
      </c>
      <c r="J81" s="117" t="str">
        <f aca="false">IF(OR($B81="",$F81="✖ منتهي الخدمة"),"",IF(H81="",IF($E81="غير سعودي","⚠ أدخل التاريخ","-"),IF(I81&lt;0,"✖ منتهية منذ "&amp;TEXT(-I81,"0")&amp;" يوم",IF(I81&lt;=cfg_ALERT,"⚠ تنتهي خلال "&amp;TEXT(I81,"0")&amp;" يوم","✔ سارية"))))</f>
        <v/>
      </c>
      <c r="K81" s="175" t="str">
        <f aca="false">IF($B81="","",IF(الموظفون!$K81="","",الموظفون!$K81))</f>
        <v/>
      </c>
      <c r="L81" s="133" t="str">
        <f aca="false">IF(OR($B81="",K81=""),"",K81-cfg_TRACK)</f>
        <v/>
      </c>
      <c r="M81" s="117" t="str">
        <f aca="false">IF(OR($B81="",$F81="✖ منتهي الخدمة"),"",IF(K81="",IF($E81="غير سعودي","⚠ أدخل التاريخ","-"),IF(L81&lt;0,"✖ منتهية منذ "&amp;TEXT(-L81,"0")&amp;" يوم",IF(L81&lt;=cfg_ALERT,"⚠ تنتهي خلال "&amp;TEXT(L81,"0")&amp;" يوم","✔ سارية"))))</f>
        <v/>
      </c>
      <c r="N81" s="116" t="str">
        <f aca="false">IF($B81="","",IF(F81="✖ منتهي الخدمة",0,IF(الموظفون!$X81&lt;&gt;"",الموظفون!$X81,IF(الموظفون!$E81="غير سعودي",cfg_IQ,0))))</f>
        <v/>
      </c>
      <c r="O81" s="116" t="str">
        <f aca="false">IF($B81="","",IF(F81="✖ منتهي الخدمة",0,IF(الموظفون!$Y81&lt;&gt;"",الموظفون!$Y81,IF(الموظفون!$E81="غير سعودي",cfg_WP,0))))</f>
        <v/>
      </c>
      <c r="P81" s="116" t="str">
        <f aca="false">IF($B81="","",IF(F81="✖ منتهي الخدمة",0,IF(الموظفون!$Z81&lt;&gt;"",الموظفون!$Z81,cfg_MED)))</f>
        <v/>
      </c>
      <c r="Q81" s="116" t="str">
        <f aca="false">IF($B81="","",IF(F81="✖ منتهي الخدمة",0,N(الموظفون!$AA81)))</f>
        <v/>
      </c>
      <c r="R81" s="116" t="str">
        <f aca="false">IF($B81="","",SUM(N81:Q81))</f>
        <v/>
      </c>
      <c r="S81" s="116" t="str">
        <f aca="false">IF($B81="","",R81/12)</f>
        <v/>
      </c>
      <c r="T81" s="116" t="str">
        <f aca="false">IF($B81="","",IF(1&lt;=cfg_VAL_M,'مسير يناير'!AD81+'مسير يناير'!AE81+'مسير يناير'!AF81,0)+IF(2&lt;=cfg_VAL_M,'مسير فبراير'!AD81+'مسير فبراير'!AE81+'مسير فبراير'!AF81,0)+IF(3&lt;=cfg_VAL_M,'مسير مارس'!AD81+'مسير مارس'!AE81+'مسير مارس'!AF81,0)+IF(4&lt;=cfg_VAL_M,'مسير أبريل'!AD81+'مسير أبريل'!AE81+'مسير أبريل'!AF81,0)+IF(5&lt;=cfg_VAL_M,'مسير مايو'!AD81+'مسير مايو'!AE81+'مسير مايو'!AF81,0)+IF(6&lt;=cfg_VAL_M,'مسير يونيو'!AD81+'مسير يونيو'!AE81+'مسير يونيو'!AF81,0)+IF(7&lt;=cfg_VAL_M,'مسير يوليو'!AD81+'مسير يوليو'!AE81+'مسير يوليو'!AF81,0)+IF(8&lt;=cfg_VAL_M,'مسير أغسطس'!AD81+'مسير أغسطس'!AE81+'مسير أغسطس'!AF81,0)+IF(9&lt;=cfg_VAL_M,'مسير سبتمبر'!AD81+'مسير سبتمبر'!AE81+'مسير سبتمبر'!AF81,0)+IF(10&lt;=cfg_VAL_M,'مسير أكتوبر'!AD81+'مسير أكتوبر'!AE81+'مسير أكتوبر'!AF81,0)+IF(11&lt;=cfg_VAL_M,'مسير نوفمبر'!AD81+'مسير نوفمبر'!AE81+'مسير نوفمبر'!AF81,0)+IF(12&lt;=cfg_VAL_M,'مسير ديسمبر'!AD81+'مسير ديسمبر'!AE81+'مسير ديسمبر'!AF81,0))</f>
        <v/>
      </c>
      <c r="U81" s="116" t="str">
        <f aca="false">IF(OR($B81="",F81="✖ منتهي الخدمة"),"",IF(AND(ISNUMBER(I81),I81&lt;=cfg_ALERT),N81,0)+IF(AND(ISNUMBER(L81),L81&lt;=cfg_ALERT),O81,0))</f>
        <v/>
      </c>
    </row>
    <row r="82" customFormat="false" ht="15" hidden="false" customHeight="false" outlineLevel="0" collapsed="false">
      <c r="B82" s="114" t="str">
        <f aca="false">IF(الموظفون!$B82="","",الموظفون!$B82)</f>
        <v/>
      </c>
      <c r="C82" s="114" t="str">
        <f aca="false">IF($B82="","",الموظفون!$C82)</f>
        <v/>
      </c>
      <c r="D82" s="114" t="str">
        <f aca="false">IF($B82="","",الموظفون!$D82)</f>
        <v/>
      </c>
      <c r="E82" s="114" t="str">
        <f aca="false">IF($B82="","",الموظفون!$E82)</f>
        <v/>
      </c>
      <c r="F82" s="114" t="str">
        <f aca="false">IF($B82="","",الموظفون!$AG82)</f>
        <v/>
      </c>
      <c r="G82" s="114" t="str">
        <f aca="false">IF($B82="","",IF(الموظفون!$I82="","",الموظفون!$I82))</f>
        <v/>
      </c>
      <c r="H82" s="174" t="str">
        <f aca="false">IF($B82="","",IF(الموظفون!$J82="","",الموظفون!$J82))</f>
        <v/>
      </c>
      <c r="I82" s="65" t="str">
        <f aca="false">IF(OR($B82="",H82=""),"",H82-cfg_TRACK)</f>
        <v/>
      </c>
      <c r="J82" s="114" t="str">
        <f aca="false">IF(OR($B82="",$F82="✖ منتهي الخدمة"),"",IF(H82="",IF($E82="غير سعودي","⚠ أدخل التاريخ","-"),IF(I82&lt;0,"✖ منتهية منذ "&amp;TEXT(-I82,"0")&amp;" يوم",IF(I82&lt;=cfg_ALERT,"⚠ تنتهي خلال "&amp;TEXT(I82,"0")&amp;" يوم","✔ سارية"))))</f>
        <v/>
      </c>
      <c r="K82" s="174" t="str">
        <f aca="false">IF($B82="","",IF(الموظفون!$K82="","",الموظفون!$K82))</f>
        <v/>
      </c>
      <c r="L82" s="65" t="str">
        <f aca="false">IF(OR($B82="",K82=""),"",K82-cfg_TRACK)</f>
        <v/>
      </c>
      <c r="M82" s="114" t="str">
        <f aca="false">IF(OR($B82="",$F82="✖ منتهي الخدمة"),"",IF(K82="",IF($E82="غير سعودي","⚠ أدخل التاريخ","-"),IF(L82&lt;0,"✖ منتهية منذ "&amp;TEXT(-L82,"0")&amp;" يوم",IF(L82&lt;=cfg_ALERT,"⚠ تنتهي خلال "&amp;TEXT(L82,"0")&amp;" يوم","✔ سارية"))))</f>
        <v/>
      </c>
      <c r="N82" s="111" t="str">
        <f aca="false">IF($B82="","",IF(F82="✖ منتهي الخدمة",0,IF(الموظفون!$X82&lt;&gt;"",الموظفون!$X82,IF(الموظفون!$E82="غير سعودي",cfg_IQ,0))))</f>
        <v/>
      </c>
      <c r="O82" s="111" t="str">
        <f aca="false">IF($B82="","",IF(F82="✖ منتهي الخدمة",0,IF(الموظفون!$Y82&lt;&gt;"",الموظفون!$Y82,IF(الموظفون!$E82="غير سعودي",cfg_WP,0))))</f>
        <v/>
      </c>
      <c r="P82" s="111" t="str">
        <f aca="false">IF($B82="","",IF(F82="✖ منتهي الخدمة",0,IF(الموظفون!$Z82&lt;&gt;"",الموظفون!$Z82,cfg_MED)))</f>
        <v/>
      </c>
      <c r="Q82" s="111" t="str">
        <f aca="false">IF($B82="","",IF(F82="✖ منتهي الخدمة",0,N(الموظفون!$AA82)))</f>
        <v/>
      </c>
      <c r="R82" s="111" t="str">
        <f aca="false">IF($B82="","",SUM(N82:Q82))</f>
        <v/>
      </c>
      <c r="S82" s="111" t="str">
        <f aca="false">IF($B82="","",R82/12)</f>
        <v/>
      </c>
      <c r="T82" s="111" t="str">
        <f aca="false">IF($B82="","",IF(1&lt;=cfg_VAL_M,'مسير يناير'!AD82+'مسير يناير'!AE82+'مسير يناير'!AF82,0)+IF(2&lt;=cfg_VAL_M,'مسير فبراير'!AD82+'مسير فبراير'!AE82+'مسير فبراير'!AF82,0)+IF(3&lt;=cfg_VAL_M,'مسير مارس'!AD82+'مسير مارس'!AE82+'مسير مارس'!AF82,0)+IF(4&lt;=cfg_VAL_M,'مسير أبريل'!AD82+'مسير أبريل'!AE82+'مسير أبريل'!AF82,0)+IF(5&lt;=cfg_VAL_M,'مسير مايو'!AD82+'مسير مايو'!AE82+'مسير مايو'!AF82,0)+IF(6&lt;=cfg_VAL_M,'مسير يونيو'!AD82+'مسير يونيو'!AE82+'مسير يونيو'!AF82,0)+IF(7&lt;=cfg_VAL_M,'مسير يوليو'!AD82+'مسير يوليو'!AE82+'مسير يوليو'!AF82,0)+IF(8&lt;=cfg_VAL_M,'مسير أغسطس'!AD82+'مسير أغسطس'!AE82+'مسير أغسطس'!AF82,0)+IF(9&lt;=cfg_VAL_M,'مسير سبتمبر'!AD82+'مسير سبتمبر'!AE82+'مسير سبتمبر'!AF82,0)+IF(10&lt;=cfg_VAL_M,'مسير أكتوبر'!AD82+'مسير أكتوبر'!AE82+'مسير أكتوبر'!AF82,0)+IF(11&lt;=cfg_VAL_M,'مسير نوفمبر'!AD82+'مسير نوفمبر'!AE82+'مسير نوفمبر'!AF82,0)+IF(12&lt;=cfg_VAL_M,'مسير ديسمبر'!AD82+'مسير ديسمبر'!AE82+'مسير ديسمبر'!AF82,0))</f>
        <v/>
      </c>
      <c r="U82" s="111" t="str">
        <f aca="false">IF(OR($B82="",F82="✖ منتهي الخدمة"),"",IF(AND(ISNUMBER(I82),I82&lt;=cfg_ALERT),N82,0)+IF(AND(ISNUMBER(L82),L82&lt;=cfg_ALERT),O82,0))</f>
        <v/>
      </c>
    </row>
    <row r="83" customFormat="false" ht="15" hidden="false" customHeight="false" outlineLevel="0" collapsed="false">
      <c r="B83" s="117" t="str">
        <f aca="false">IF(الموظفون!$B83="","",الموظفون!$B83)</f>
        <v/>
      </c>
      <c r="C83" s="117" t="str">
        <f aca="false">IF($B83="","",الموظفون!$C83)</f>
        <v/>
      </c>
      <c r="D83" s="117" t="str">
        <f aca="false">IF($B83="","",الموظفون!$D83)</f>
        <v/>
      </c>
      <c r="E83" s="117" t="str">
        <f aca="false">IF($B83="","",الموظفون!$E83)</f>
        <v/>
      </c>
      <c r="F83" s="117" t="str">
        <f aca="false">IF($B83="","",الموظفون!$AG83)</f>
        <v/>
      </c>
      <c r="G83" s="117" t="str">
        <f aca="false">IF($B83="","",IF(الموظفون!$I83="","",الموظفون!$I83))</f>
        <v/>
      </c>
      <c r="H83" s="175" t="str">
        <f aca="false">IF($B83="","",IF(الموظفون!$J83="","",الموظفون!$J83))</f>
        <v/>
      </c>
      <c r="I83" s="133" t="str">
        <f aca="false">IF(OR($B83="",H83=""),"",H83-cfg_TRACK)</f>
        <v/>
      </c>
      <c r="J83" s="117" t="str">
        <f aca="false">IF(OR($B83="",$F83="✖ منتهي الخدمة"),"",IF(H83="",IF($E83="غير سعودي","⚠ أدخل التاريخ","-"),IF(I83&lt;0,"✖ منتهية منذ "&amp;TEXT(-I83,"0")&amp;" يوم",IF(I83&lt;=cfg_ALERT,"⚠ تنتهي خلال "&amp;TEXT(I83,"0")&amp;" يوم","✔ سارية"))))</f>
        <v/>
      </c>
      <c r="K83" s="175" t="str">
        <f aca="false">IF($B83="","",IF(الموظفون!$K83="","",الموظفون!$K83))</f>
        <v/>
      </c>
      <c r="L83" s="133" t="str">
        <f aca="false">IF(OR($B83="",K83=""),"",K83-cfg_TRACK)</f>
        <v/>
      </c>
      <c r="M83" s="117" t="str">
        <f aca="false">IF(OR($B83="",$F83="✖ منتهي الخدمة"),"",IF(K83="",IF($E83="غير سعودي","⚠ أدخل التاريخ","-"),IF(L83&lt;0,"✖ منتهية منذ "&amp;TEXT(-L83,"0")&amp;" يوم",IF(L83&lt;=cfg_ALERT,"⚠ تنتهي خلال "&amp;TEXT(L83,"0")&amp;" يوم","✔ سارية"))))</f>
        <v/>
      </c>
      <c r="N83" s="116" t="str">
        <f aca="false">IF($B83="","",IF(F83="✖ منتهي الخدمة",0,IF(الموظفون!$X83&lt;&gt;"",الموظفون!$X83,IF(الموظفون!$E83="غير سعودي",cfg_IQ,0))))</f>
        <v/>
      </c>
      <c r="O83" s="116" t="str">
        <f aca="false">IF($B83="","",IF(F83="✖ منتهي الخدمة",0,IF(الموظفون!$Y83&lt;&gt;"",الموظفون!$Y83,IF(الموظفون!$E83="غير سعودي",cfg_WP,0))))</f>
        <v/>
      </c>
      <c r="P83" s="116" t="str">
        <f aca="false">IF($B83="","",IF(F83="✖ منتهي الخدمة",0,IF(الموظفون!$Z83&lt;&gt;"",الموظفون!$Z83,cfg_MED)))</f>
        <v/>
      </c>
      <c r="Q83" s="116" t="str">
        <f aca="false">IF($B83="","",IF(F83="✖ منتهي الخدمة",0,N(الموظفون!$AA83)))</f>
        <v/>
      </c>
      <c r="R83" s="116" t="str">
        <f aca="false">IF($B83="","",SUM(N83:Q83))</f>
        <v/>
      </c>
      <c r="S83" s="116" t="str">
        <f aca="false">IF($B83="","",R83/12)</f>
        <v/>
      </c>
      <c r="T83" s="116" t="str">
        <f aca="false">IF($B83="","",IF(1&lt;=cfg_VAL_M,'مسير يناير'!AD83+'مسير يناير'!AE83+'مسير يناير'!AF83,0)+IF(2&lt;=cfg_VAL_M,'مسير فبراير'!AD83+'مسير فبراير'!AE83+'مسير فبراير'!AF83,0)+IF(3&lt;=cfg_VAL_M,'مسير مارس'!AD83+'مسير مارس'!AE83+'مسير مارس'!AF83,0)+IF(4&lt;=cfg_VAL_M,'مسير أبريل'!AD83+'مسير أبريل'!AE83+'مسير أبريل'!AF83,0)+IF(5&lt;=cfg_VAL_M,'مسير مايو'!AD83+'مسير مايو'!AE83+'مسير مايو'!AF83,0)+IF(6&lt;=cfg_VAL_M,'مسير يونيو'!AD83+'مسير يونيو'!AE83+'مسير يونيو'!AF83,0)+IF(7&lt;=cfg_VAL_M,'مسير يوليو'!AD83+'مسير يوليو'!AE83+'مسير يوليو'!AF83,0)+IF(8&lt;=cfg_VAL_M,'مسير أغسطس'!AD83+'مسير أغسطس'!AE83+'مسير أغسطس'!AF83,0)+IF(9&lt;=cfg_VAL_M,'مسير سبتمبر'!AD83+'مسير سبتمبر'!AE83+'مسير سبتمبر'!AF83,0)+IF(10&lt;=cfg_VAL_M,'مسير أكتوبر'!AD83+'مسير أكتوبر'!AE83+'مسير أكتوبر'!AF83,0)+IF(11&lt;=cfg_VAL_M,'مسير نوفمبر'!AD83+'مسير نوفمبر'!AE83+'مسير نوفمبر'!AF83,0)+IF(12&lt;=cfg_VAL_M,'مسير ديسمبر'!AD83+'مسير ديسمبر'!AE83+'مسير ديسمبر'!AF83,0))</f>
        <v/>
      </c>
      <c r="U83" s="116" t="str">
        <f aca="false">IF(OR($B83="",F83="✖ منتهي الخدمة"),"",IF(AND(ISNUMBER(I83),I83&lt;=cfg_ALERT),N83,0)+IF(AND(ISNUMBER(L83),L83&lt;=cfg_ALERT),O83,0))</f>
        <v/>
      </c>
    </row>
    <row r="84" customFormat="false" ht="15" hidden="false" customHeight="false" outlineLevel="0" collapsed="false">
      <c r="B84" s="114" t="str">
        <f aca="false">IF(الموظفون!$B84="","",الموظفون!$B84)</f>
        <v/>
      </c>
      <c r="C84" s="114" t="str">
        <f aca="false">IF($B84="","",الموظفون!$C84)</f>
        <v/>
      </c>
      <c r="D84" s="114" t="str">
        <f aca="false">IF($B84="","",الموظفون!$D84)</f>
        <v/>
      </c>
      <c r="E84" s="114" t="str">
        <f aca="false">IF($B84="","",الموظفون!$E84)</f>
        <v/>
      </c>
      <c r="F84" s="114" t="str">
        <f aca="false">IF($B84="","",الموظفون!$AG84)</f>
        <v/>
      </c>
      <c r="G84" s="114" t="str">
        <f aca="false">IF($B84="","",IF(الموظفون!$I84="","",الموظفون!$I84))</f>
        <v/>
      </c>
      <c r="H84" s="174" t="str">
        <f aca="false">IF($B84="","",IF(الموظفون!$J84="","",الموظفون!$J84))</f>
        <v/>
      </c>
      <c r="I84" s="65" t="str">
        <f aca="false">IF(OR($B84="",H84=""),"",H84-cfg_TRACK)</f>
        <v/>
      </c>
      <c r="J84" s="114" t="str">
        <f aca="false">IF(OR($B84="",$F84="✖ منتهي الخدمة"),"",IF(H84="",IF($E84="غير سعودي","⚠ أدخل التاريخ","-"),IF(I84&lt;0,"✖ منتهية منذ "&amp;TEXT(-I84,"0")&amp;" يوم",IF(I84&lt;=cfg_ALERT,"⚠ تنتهي خلال "&amp;TEXT(I84,"0")&amp;" يوم","✔ سارية"))))</f>
        <v/>
      </c>
      <c r="K84" s="174" t="str">
        <f aca="false">IF($B84="","",IF(الموظفون!$K84="","",الموظفون!$K84))</f>
        <v/>
      </c>
      <c r="L84" s="65" t="str">
        <f aca="false">IF(OR($B84="",K84=""),"",K84-cfg_TRACK)</f>
        <v/>
      </c>
      <c r="M84" s="114" t="str">
        <f aca="false">IF(OR($B84="",$F84="✖ منتهي الخدمة"),"",IF(K84="",IF($E84="غير سعودي","⚠ أدخل التاريخ","-"),IF(L84&lt;0,"✖ منتهية منذ "&amp;TEXT(-L84,"0")&amp;" يوم",IF(L84&lt;=cfg_ALERT,"⚠ تنتهي خلال "&amp;TEXT(L84,"0")&amp;" يوم","✔ سارية"))))</f>
        <v/>
      </c>
      <c r="N84" s="111" t="str">
        <f aca="false">IF($B84="","",IF(F84="✖ منتهي الخدمة",0,IF(الموظفون!$X84&lt;&gt;"",الموظفون!$X84,IF(الموظفون!$E84="غير سعودي",cfg_IQ,0))))</f>
        <v/>
      </c>
      <c r="O84" s="111" t="str">
        <f aca="false">IF($B84="","",IF(F84="✖ منتهي الخدمة",0,IF(الموظفون!$Y84&lt;&gt;"",الموظفون!$Y84,IF(الموظفون!$E84="غير سعودي",cfg_WP,0))))</f>
        <v/>
      </c>
      <c r="P84" s="111" t="str">
        <f aca="false">IF($B84="","",IF(F84="✖ منتهي الخدمة",0,IF(الموظفون!$Z84&lt;&gt;"",الموظفون!$Z84,cfg_MED)))</f>
        <v/>
      </c>
      <c r="Q84" s="111" t="str">
        <f aca="false">IF($B84="","",IF(F84="✖ منتهي الخدمة",0,N(الموظفون!$AA84)))</f>
        <v/>
      </c>
      <c r="R84" s="111" t="str">
        <f aca="false">IF($B84="","",SUM(N84:Q84))</f>
        <v/>
      </c>
      <c r="S84" s="111" t="str">
        <f aca="false">IF($B84="","",R84/12)</f>
        <v/>
      </c>
      <c r="T84" s="111" t="str">
        <f aca="false">IF($B84="","",IF(1&lt;=cfg_VAL_M,'مسير يناير'!AD84+'مسير يناير'!AE84+'مسير يناير'!AF84,0)+IF(2&lt;=cfg_VAL_M,'مسير فبراير'!AD84+'مسير فبراير'!AE84+'مسير فبراير'!AF84,0)+IF(3&lt;=cfg_VAL_M,'مسير مارس'!AD84+'مسير مارس'!AE84+'مسير مارس'!AF84,0)+IF(4&lt;=cfg_VAL_M,'مسير أبريل'!AD84+'مسير أبريل'!AE84+'مسير أبريل'!AF84,0)+IF(5&lt;=cfg_VAL_M,'مسير مايو'!AD84+'مسير مايو'!AE84+'مسير مايو'!AF84,0)+IF(6&lt;=cfg_VAL_M,'مسير يونيو'!AD84+'مسير يونيو'!AE84+'مسير يونيو'!AF84,0)+IF(7&lt;=cfg_VAL_M,'مسير يوليو'!AD84+'مسير يوليو'!AE84+'مسير يوليو'!AF84,0)+IF(8&lt;=cfg_VAL_M,'مسير أغسطس'!AD84+'مسير أغسطس'!AE84+'مسير أغسطس'!AF84,0)+IF(9&lt;=cfg_VAL_M,'مسير سبتمبر'!AD84+'مسير سبتمبر'!AE84+'مسير سبتمبر'!AF84,0)+IF(10&lt;=cfg_VAL_M,'مسير أكتوبر'!AD84+'مسير أكتوبر'!AE84+'مسير أكتوبر'!AF84,0)+IF(11&lt;=cfg_VAL_M,'مسير نوفمبر'!AD84+'مسير نوفمبر'!AE84+'مسير نوفمبر'!AF84,0)+IF(12&lt;=cfg_VAL_M,'مسير ديسمبر'!AD84+'مسير ديسمبر'!AE84+'مسير ديسمبر'!AF84,0))</f>
        <v/>
      </c>
      <c r="U84" s="111" t="str">
        <f aca="false">IF(OR($B84="",F84="✖ منتهي الخدمة"),"",IF(AND(ISNUMBER(I84),I84&lt;=cfg_ALERT),N84,0)+IF(AND(ISNUMBER(L84),L84&lt;=cfg_ALERT),O84,0))</f>
        <v/>
      </c>
    </row>
    <row r="85" customFormat="false" ht="15" hidden="false" customHeight="false" outlineLevel="0" collapsed="false">
      <c r="B85" s="117" t="str">
        <f aca="false">IF(الموظفون!$B85="","",الموظفون!$B85)</f>
        <v/>
      </c>
      <c r="C85" s="117" t="str">
        <f aca="false">IF($B85="","",الموظفون!$C85)</f>
        <v/>
      </c>
      <c r="D85" s="117" t="str">
        <f aca="false">IF($B85="","",الموظفون!$D85)</f>
        <v/>
      </c>
      <c r="E85" s="117" t="str">
        <f aca="false">IF($B85="","",الموظفون!$E85)</f>
        <v/>
      </c>
      <c r="F85" s="117" t="str">
        <f aca="false">IF($B85="","",الموظفون!$AG85)</f>
        <v/>
      </c>
      <c r="G85" s="117" t="str">
        <f aca="false">IF($B85="","",IF(الموظفون!$I85="","",الموظفون!$I85))</f>
        <v/>
      </c>
      <c r="H85" s="175" t="str">
        <f aca="false">IF($B85="","",IF(الموظفون!$J85="","",الموظفون!$J85))</f>
        <v/>
      </c>
      <c r="I85" s="133" t="str">
        <f aca="false">IF(OR($B85="",H85=""),"",H85-cfg_TRACK)</f>
        <v/>
      </c>
      <c r="J85" s="117" t="str">
        <f aca="false">IF(OR($B85="",$F85="✖ منتهي الخدمة"),"",IF(H85="",IF($E85="غير سعودي","⚠ أدخل التاريخ","-"),IF(I85&lt;0,"✖ منتهية منذ "&amp;TEXT(-I85,"0")&amp;" يوم",IF(I85&lt;=cfg_ALERT,"⚠ تنتهي خلال "&amp;TEXT(I85,"0")&amp;" يوم","✔ سارية"))))</f>
        <v/>
      </c>
      <c r="K85" s="175" t="str">
        <f aca="false">IF($B85="","",IF(الموظفون!$K85="","",الموظفون!$K85))</f>
        <v/>
      </c>
      <c r="L85" s="133" t="str">
        <f aca="false">IF(OR($B85="",K85=""),"",K85-cfg_TRACK)</f>
        <v/>
      </c>
      <c r="M85" s="117" t="str">
        <f aca="false">IF(OR($B85="",$F85="✖ منتهي الخدمة"),"",IF(K85="",IF($E85="غير سعودي","⚠ أدخل التاريخ","-"),IF(L85&lt;0,"✖ منتهية منذ "&amp;TEXT(-L85,"0")&amp;" يوم",IF(L85&lt;=cfg_ALERT,"⚠ تنتهي خلال "&amp;TEXT(L85,"0")&amp;" يوم","✔ سارية"))))</f>
        <v/>
      </c>
      <c r="N85" s="116" t="str">
        <f aca="false">IF($B85="","",IF(F85="✖ منتهي الخدمة",0,IF(الموظفون!$X85&lt;&gt;"",الموظفون!$X85,IF(الموظفون!$E85="غير سعودي",cfg_IQ,0))))</f>
        <v/>
      </c>
      <c r="O85" s="116" t="str">
        <f aca="false">IF($B85="","",IF(F85="✖ منتهي الخدمة",0,IF(الموظفون!$Y85&lt;&gt;"",الموظفون!$Y85,IF(الموظفون!$E85="غير سعودي",cfg_WP,0))))</f>
        <v/>
      </c>
      <c r="P85" s="116" t="str">
        <f aca="false">IF($B85="","",IF(F85="✖ منتهي الخدمة",0,IF(الموظفون!$Z85&lt;&gt;"",الموظفون!$Z85,cfg_MED)))</f>
        <v/>
      </c>
      <c r="Q85" s="116" t="str">
        <f aca="false">IF($B85="","",IF(F85="✖ منتهي الخدمة",0,N(الموظفون!$AA85)))</f>
        <v/>
      </c>
      <c r="R85" s="116" t="str">
        <f aca="false">IF($B85="","",SUM(N85:Q85))</f>
        <v/>
      </c>
      <c r="S85" s="116" t="str">
        <f aca="false">IF($B85="","",R85/12)</f>
        <v/>
      </c>
      <c r="T85" s="116" t="str">
        <f aca="false">IF($B85="","",IF(1&lt;=cfg_VAL_M,'مسير يناير'!AD85+'مسير يناير'!AE85+'مسير يناير'!AF85,0)+IF(2&lt;=cfg_VAL_M,'مسير فبراير'!AD85+'مسير فبراير'!AE85+'مسير فبراير'!AF85,0)+IF(3&lt;=cfg_VAL_M,'مسير مارس'!AD85+'مسير مارس'!AE85+'مسير مارس'!AF85,0)+IF(4&lt;=cfg_VAL_M,'مسير أبريل'!AD85+'مسير أبريل'!AE85+'مسير أبريل'!AF85,0)+IF(5&lt;=cfg_VAL_M,'مسير مايو'!AD85+'مسير مايو'!AE85+'مسير مايو'!AF85,0)+IF(6&lt;=cfg_VAL_M,'مسير يونيو'!AD85+'مسير يونيو'!AE85+'مسير يونيو'!AF85,0)+IF(7&lt;=cfg_VAL_M,'مسير يوليو'!AD85+'مسير يوليو'!AE85+'مسير يوليو'!AF85,0)+IF(8&lt;=cfg_VAL_M,'مسير أغسطس'!AD85+'مسير أغسطس'!AE85+'مسير أغسطس'!AF85,0)+IF(9&lt;=cfg_VAL_M,'مسير سبتمبر'!AD85+'مسير سبتمبر'!AE85+'مسير سبتمبر'!AF85,0)+IF(10&lt;=cfg_VAL_M,'مسير أكتوبر'!AD85+'مسير أكتوبر'!AE85+'مسير أكتوبر'!AF85,0)+IF(11&lt;=cfg_VAL_M,'مسير نوفمبر'!AD85+'مسير نوفمبر'!AE85+'مسير نوفمبر'!AF85,0)+IF(12&lt;=cfg_VAL_M,'مسير ديسمبر'!AD85+'مسير ديسمبر'!AE85+'مسير ديسمبر'!AF85,0))</f>
        <v/>
      </c>
      <c r="U85" s="116" t="str">
        <f aca="false">IF(OR($B85="",F85="✖ منتهي الخدمة"),"",IF(AND(ISNUMBER(I85),I85&lt;=cfg_ALERT),N85,0)+IF(AND(ISNUMBER(L85),L85&lt;=cfg_ALERT),O85,0))</f>
        <v/>
      </c>
    </row>
    <row r="86" customFormat="false" ht="15" hidden="false" customHeight="false" outlineLevel="0" collapsed="false">
      <c r="B86" s="114" t="str">
        <f aca="false">IF(الموظفون!$B86="","",الموظفون!$B86)</f>
        <v/>
      </c>
      <c r="C86" s="114" t="str">
        <f aca="false">IF($B86="","",الموظفون!$C86)</f>
        <v/>
      </c>
      <c r="D86" s="114" t="str">
        <f aca="false">IF($B86="","",الموظفون!$D86)</f>
        <v/>
      </c>
      <c r="E86" s="114" t="str">
        <f aca="false">IF($B86="","",الموظفون!$E86)</f>
        <v/>
      </c>
      <c r="F86" s="114" t="str">
        <f aca="false">IF($B86="","",الموظفون!$AG86)</f>
        <v/>
      </c>
      <c r="G86" s="114" t="str">
        <f aca="false">IF($B86="","",IF(الموظفون!$I86="","",الموظفون!$I86))</f>
        <v/>
      </c>
      <c r="H86" s="174" t="str">
        <f aca="false">IF($B86="","",IF(الموظفون!$J86="","",الموظفون!$J86))</f>
        <v/>
      </c>
      <c r="I86" s="65" t="str">
        <f aca="false">IF(OR($B86="",H86=""),"",H86-cfg_TRACK)</f>
        <v/>
      </c>
      <c r="J86" s="114" t="str">
        <f aca="false">IF(OR($B86="",$F86="✖ منتهي الخدمة"),"",IF(H86="",IF($E86="غير سعودي","⚠ أدخل التاريخ","-"),IF(I86&lt;0,"✖ منتهية منذ "&amp;TEXT(-I86,"0")&amp;" يوم",IF(I86&lt;=cfg_ALERT,"⚠ تنتهي خلال "&amp;TEXT(I86,"0")&amp;" يوم","✔ سارية"))))</f>
        <v/>
      </c>
      <c r="K86" s="174" t="str">
        <f aca="false">IF($B86="","",IF(الموظفون!$K86="","",الموظفون!$K86))</f>
        <v/>
      </c>
      <c r="L86" s="65" t="str">
        <f aca="false">IF(OR($B86="",K86=""),"",K86-cfg_TRACK)</f>
        <v/>
      </c>
      <c r="M86" s="114" t="str">
        <f aca="false">IF(OR($B86="",$F86="✖ منتهي الخدمة"),"",IF(K86="",IF($E86="غير سعودي","⚠ أدخل التاريخ","-"),IF(L86&lt;0,"✖ منتهية منذ "&amp;TEXT(-L86,"0")&amp;" يوم",IF(L86&lt;=cfg_ALERT,"⚠ تنتهي خلال "&amp;TEXT(L86,"0")&amp;" يوم","✔ سارية"))))</f>
        <v/>
      </c>
      <c r="N86" s="111" t="str">
        <f aca="false">IF($B86="","",IF(F86="✖ منتهي الخدمة",0,IF(الموظفون!$X86&lt;&gt;"",الموظفون!$X86,IF(الموظفون!$E86="غير سعودي",cfg_IQ,0))))</f>
        <v/>
      </c>
      <c r="O86" s="111" t="str">
        <f aca="false">IF($B86="","",IF(F86="✖ منتهي الخدمة",0,IF(الموظفون!$Y86&lt;&gt;"",الموظفون!$Y86,IF(الموظفون!$E86="غير سعودي",cfg_WP,0))))</f>
        <v/>
      </c>
      <c r="P86" s="111" t="str">
        <f aca="false">IF($B86="","",IF(F86="✖ منتهي الخدمة",0,IF(الموظفون!$Z86&lt;&gt;"",الموظفون!$Z86,cfg_MED)))</f>
        <v/>
      </c>
      <c r="Q86" s="111" t="str">
        <f aca="false">IF($B86="","",IF(F86="✖ منتهي الخدمة",0,N(الموظفون!$AA86)))</f>
        <v/>
      </c>
      <c r="R86" s="111" t="str">
        <f aca="false">IF($B86="","",SUM(N86:Q86))</f>
        <v/>
      </c>
      <c r="S86" s="111" t="str">
        <f aca="false">IF($B86="","",R86/12)</f>
        <v/>
      </c>
      <c r="T86" s="111" t="str">
        <f aca="false">IF($B86="","",IF(1&lt;=cfg_VAL_M,'مسير يناير'!AD86+'مسير يناير'!AE86+'مسير يناير'!AF86,0)+IF(2&lt;=cfg_VAL_M,'مسير فبراير'!AD86+'مسير فبراير'!AE86+'مسير فبراير'!AF86,0)+IF(3&lt;=cfg_VAL_M,'مسير مارس'!AD86+'مسير مارس'!AE86+'مسير مارس'!AF86,0)+IF(4&lt;=cfg_VAL_M,'مسير أبريل'!AD86+'مسير أبريل'!AE86+'مسير أبريل'!AF86,0)+IF(5&lt;=cfg_VAL_M,'مسير مايو'!AD86+'مسير مايو'!AE86+'مسير مايو'!AF86,0)+IF(6&lt;=cfg_VAL_M,'مسير يونيو'!AD86+'مسير يونيو'!AE86+'مسير يونيو'!AF86,0)+IF(7&lt;=cfg_VAL_M,'مسير يوليو'!AD86+'مسير يوليو'!AE86+'مسير يوليو'!AF86,0)+IF(8&lt;=cfg_VAL_M,'مسير أغسطس'!AD86+'مسير أغسطس'!AE86+'مسير أغسطس'!AF86,0)+IF(9&lt;=cfg_VAL_M,'مسير سبتمبر'!AD86+'مسير سبتمبر'!AE86+'مسير سبتمبر'!AF86,0)+IF(10&lt;=cfg_VAL_M,'مسير أكتوبر'!AD86+'مسير أكتوبر'!AE86+'مسير أكتوبر'!AF86,0)+IF(11&lt;=cfg_VAL_M,'مسير نوفمبر'!AD86+'مسير نوفمبر'!AE86+'مسير نوفمبر'!AF86,0)+IF(12&lt;=cfg_VAL_M,'مسير ديسمبر'!AD86+'مسير ديسمبر'!AE86+'مسير ديسمبر'!AF86,0))</f>
        <v/>
      </c>
      <c r="U86" s="111" t="str">
        <f aca="false">IF(OR($B86="",F86="✖ منتهي الخدمة"),"",IF(AND(ISNUMBER(I86),I86&lt;=cfg_ALERT),N86,0)+IF(AND(ISNUMBER(L86),L86&lt;=cfg_ALERT),O86,0))</f>
        <v/>
      </c>
    </row>
    <row r="87" customFormat="false" ht="15" hidden="false" customHeight="false" outlineLevel="0" collapsed="false">
      <c r="B87" s="117" t="str">
        <f aca="false">IF(الموظفون!$B87="","",الموظفون!$B87)</f>
        <v/>
      </c>
      <c r="C87" s="117" t="str">
        <f aca="false">IF($B87="","",الموظفون!$C87)</f>
        <v/>
      </c>
      <c r="D87" s="117" t="str">
        <f aca="false">IF($B87="","",الموظفون!$D87)</f>
        <v/>
      </c>
      <c r="E87" s="117" t="str">
        <f aca="false">IF($B87="","",الموظفون!$E87)</f>
        <v/>
      </c>
      <c r="F87" s="117" t="str">
        <f aca="false">IF($B87="","",الموظفون!$AG87)</f>
        <v/>
      </c>
      <c r="G87" s="117" t="str">
        <f aca="false">IF($B87="","",IF(الموظفون!$I87="","",الموظفون!$I87))</f>
        <v/>
      </c>
      <c r="H87" s="175" t="str">
        <f aca="false">IF($B87="","",IF(الموظفون!$J87="","",الموظفون!$J87))</f>
        <v/>
      </c>
      <c r="I87" s="133" t="str">
        <f aca="false">IF(OR($B87="",H87=""),"",H87-cfg_TRACK)</f>
        <v/>
      </c>
      <c r="J87" s="117" t="str">
        <f aca="false">IF(OR($B87="",$F87="✖ منتهي الخدمة"),"",IF(H87="",IF($E87="غير سعودي","⚠ أدخل التاريخ","-"),IF(I87&lt;0,"✖ منتهية منذ "&amp;TEXT(-I87,"0")&amp;" يوم",IF(I87&lt;=cfg_ALERT,"⚠ تنتهي خلال "&amp;TEXT(I87,"0")&amp;" يوم","✔ سارية"))))</f>
        <v/>
      </c>
      <c r="K87" s="175" t="str">
        <f aca="false">IF($B87="","",IF(الموظفون!$K87="","",الموظفون!$K87))</f>
        <v/>
      </c>
      <c r="L87" s="133" t="str">
        <f aca="false">IF(OR($B87="",K87=""),"",K87-cfg_TRACK)</f>
        <v/>
      </c>
      <c r="M87" s="117" t="str">
        <f aca="false">IF(OR($B87="",$F87="✖ منتهي الخدمة"),"",IF(K87="",IF($E87="غير سعودي","⚠ أدخل التاريخ","-"),IF(L87&lt;0,"✖ منتهية منذ "&amp;TEXT(-L87,"0")&amp;" يوم",IF(L87&lt;=cfg_ALERT,"⚠ تنتهي خلال "&amp;TEXT(L87,"0")&amp;" يوم","✔ سارية"))))</f>
        <v/>
      </c>
      <c r="N87" s="116" t="str">
        <f aca="false">IF($B87="","",IF(F87="✖ منتهي الخدمة",0,IF(الموظفون!$X87&lt;&gt;"",الموظفون!$X87,IF(الموظفون!$E87="غير سعودي",cfg_IQ,0))))</f>
        <v/>
      </c>
      <c r="O87" s="116" t="str">
        <f aca="false">IF($B87="","",IF(F87="✖ منتهي الخدمة",0,IF(الموظفون!$Y87&lt;&gt;"",الموظفون!$Y87,IF(الموظفون!$E87="غير سعودي",cfg_WP,0))))</f>
        <v/>
      </c>
      <c r="P87" s="116" t="str">
        <f aca="false">IF($B87="","",IF(F87="✖ منتهي الخدمة",0,IF(الموظفون!$Z87&lt;&gt;"",الموظفون!$Z87,cfg_MED)))</f>
        <v/>
      </c>
      <c r="Q87" s="116" t="str">
        <f aca="false">IF($B87="","",IF(F87="✖ منتهي الخدمة",0,N(الموظفون!$AA87)))</f>
        <v/>
      </c>
      <c r="R87" s="116" t="str">
        <f aca="false">IF($B87="","",SUM(N87:Q87))</f>
        <v/>
      </c>
      <c r="S87" s="116" t="str">
        <f aca="false">IF($B87="","",R87/12)</f>
        <v/>
      </c>
      <c r="T87" s="116" t="str">
        <f aca="false">IF($B87="","",IF(1&lt;=cfg_VAL_M,'مسير يناير'!AD87+'مسير يناير'!AE87+'مسير يناير'!AF87,0)+IF(2&lt;=cfg_VAL_M,'مسير فبراير'!AD87+'مسير فبراير'!AE87+'مسير فبراير'!AF87,0)+IF(3&lt;=cfg_VAL_M,'مسير مارس'!AD87+'مسير مارس'!AE87+'مسير مارس'!AF87,0)+IF(4&lt;=cfg_VAL_M,'مسير أبريل'!AD87+'مسير أبريل'!AE87+'مسير أبريل'!AF87,0)+IF(5&lt;=cfg_VAL_M,'مسير مايو'!AD87+'مسير مايو'!AE87+'مسير مايو'!AF87,0)+IF(6&lt;=cfg_VAL_M,'مسير يونيو'!AD87+'مسير يونيو'!AE87+'مسير يونيو'!AF87,0)+IF(7&lt;=cfg_VAL_M,'مسير يوليو'!AD87+'مسير يوليو'!AE87+'مسير يوليو'!AF87,0)+IF(8&lt;=cfg_VAL_M,'مسير أغسطس'!AD87+'مسير أغسطس'!AE87+'مسير أغسطس'!AF87,0)+IF(9&lt;=cfg_VAL_M,'مسير سبتمبر'!AD87+'مسير سبتمبر'!AE87+'مسير سبتمبر'!AF87,0)+IF(10&lt;=cfg_VAL_M,'مسير أكتوبر'!AD87+'مسير أكتوبر'!AE87+'مسير أكتوبر'!AF87,0)+IF(11&lt;=cfg_VAL_M,'مسير نوفمبر'!AD87+'مسير نوفمبر'!AE87+'مسير نوفمبر'!AF87,0)+IF(12&lt;=cfg_VAL_M,'مسير ديسمبر'!AD87+'مسير ديسمبر'!AE87+'مسير ديسمبر'!AF87,0))</f>
        <v/>
      </c>
      <c r="U87" s="116" t="str">
        <f aca="false">IF(OR($B87="",F87="✖ منتهي الخدمة"),"",IF(AND(ISNUMBER(I87),I87&lt;=cfg_ALERT),N87,0)+IF(AND(ISNUMBER(L87),L87&lt;=cfg_ALERT),O87,0))</f>
        <v/>
      </c>
    </row>
    <row r="88" customFormat="false" ht="15" hidden="false" customHeight="false" outlineLevel="0" collapsed="false">
      <c r="B88" s="114" t="str">
        <f aca="false">IF(الموظفون!$B88="","",الموظفون!$B88)</f>
        <v/>
      </c>
      <c r="C88" s="114" t="str">
        <f aca="false">IF($B88="","",الموظفون!$C88)</f>
        <v/>
      </c>
      <c r="D88" s="114" t="str">
        <f aca="false">IF($B88="","",الموظفون!$D88)</f>
        <v/>
      </c>
      <c r="E88" s="114" t="str">
        <f aca="false">IF($B88="","",الموظفون!$E88)</f>
        <v/>
      </c>
      <c r="F88" s="114" t="str">
        <f aca="false">IF($B88="","",الموظفون!$AG88)</f>
        <v/>
      </c>
      <c r="G88" s="114" t="str">
        <f aca="false">IF($B88="","",IF(الموظفون!$I88="","",الموظفون!$I88))</f>
        <v/>
      </c>
      <c r="H88" s="174" t="str">
        <f aca="false">IF($B88="","",IF(الموظفون!$J88="","",الموظفون!$J88))</f>
        <v/>
      </c>
      <c r="I88" s="65" t="str">
        <f aca="false">IF(OR($B88="",H88=""),"",H88-cfg_TRACK)</f>
        <v/>
      </c>
      <c r="J88" s="114" t="str">
        <f aca="false">IF(OR($B88="",$F88="✖ منتهي الخدمة"),"",IF(H88="",IF($E88="غير سعودي","⚠ أدخل التاريخ","-"),IF(I88&lt;0,"✖ منتهية منذ "&amp;TEXT(-I88,"0")&amp;" يوم",IF(I88&lt;=cfg_ALERT,"⚠ تنتهي خلال "&amp;TEXT(I88,"0")&amp;" يوم","✔ سارية"))))</f>
        <v/>
      </c>
      <c r="K88" s="174" t="str">
        <f aca="false">IF($B88="","",IF(الموظفون!$K88="","",الموظفون!$K88))</f>
        <v/>
      </c>
      <c r="L88" s="65" t="str">
        <f aca="false">IF(OR($B88="",K88=""),"",K88-cfg_TRACK)</f>
        <v/>
      </c>
      <c r="M88" s="114" t="str">
        <f aca="false">IF(OR($B88="",$F88="✖ منتهي الخدمة"),"",IF(K88="",IF($E88="غير سعودي","⚠ أدخل التاريخ","-"),IF(L88&lt;0,"✖ منتهية منذ "&amp;TEXT(-L88,"0")&amp;" يوم",IF(L88&lt;=cfg_ALERT,"⚠ تنتهي خلال "&amp;TEXT(L88,"0")&amp;" يوم","✔ سارية"))))</f>
        <v/>
      </c>
      <c r="N88" s="111" t="str">
        <f aca="false">IF($B88="","",IF(F88="✖ منتهي الخدمة",0,IF(الموظفون!$X88&lt;&gt;"",الموظفون!$X88,IF(الموظفون!$E88="غير سعودي",cfg_IQ,0))))</f>
        <v/>
      </c>
      <c r="O88" s="111" t="str">
        <f aca="false">IF($B88="","",IF(F88="✖ منتهي الخدمة",0,IF(الموظفون!$Y88&lt;&gt;"",الموظفون!$Y88,IF(الموظفون!$E88="غير سعودي",cfg_WP,0))))</f>
        <v/>
      </c>
      <c r="P88" s="111" t="str">
        <f aca="false">IF($B88="","",IF(F88="✖ منتهي الخدمة",0,IF(الموظفون!$Z88&lt;&gt;"",الموظفون!$Z88,cfg_MED)))</f>
        <v/>
      </c>
      <c r="Q88" s="111" t="str">
        <f aca="false">IF($B88="","",IF(F88="✖ منتهي الخدمة",0,N(الموظفون!$AA88)))</f>
        <v/>
      </c>
      <c r="R88" s="111" t="str">
        <f aca="false">IF($B88="","",SUM(N88:Q88))</f>
        <v/>
      </c>
      <c r="S88" s="111" t="str">
        <f aca="false">IF($B88="","",R88/12)</f>
        <v/>
      </c>
      <c r="T88" s="111" t="str">
        <f aca="false">IF($B88="","",IF(1&lt;=cfg_VAL_M,'مسير يناير'!AD88+'مسير يناير'!AE88+'مسير يناير'!AF88,0)+IF(2&lt;=cfg_VAL_M,'مسير فبراير'!AD88+'مسير فبراير'!AE88+'مسير فبراير'!AF88,0)+IF(3&lt;=cfg_VAL_M,'مسير مارس'!AD88+'مسير مارس'!AE88+'مسير مارس'!AF88,0)+IF(4&lt;=cfg_VAL_M,'مسير أبريل'!AD88+'مسير أبريل'!AE88+'مسير أبريل'!AF88,0)+IF(5&lt;=cfg_VAL_M,'مسير مايو'!AD88+'مسير مايو'!AE88+'مسير مايو'!AF88,0)+IF(6&lt;=cfg_VAL_M,'مسير يونيو'!AD88+'مسير يونيو'!AE88+'مسير يونيو'!AF88,0)+IF(7&lt;=cfg_VAL_M,'مسير يوليو'!AD88+'مسير يوليو'!AE88+'مسير يوليو'!AF88,0)+IF(8&lt;=cfg_VAL_M,'مسير أغسطس'!AD88+'مسير أغسطس'!AE88+'مسير أغسطس'!AF88,0)+IF(9&lt;=cfg_VAL_M,'مسير سبتمبر'!AD88+'مسير سبتمبر'!AE88+'مسير سبتمبر'!AF88,0)+IF(10&lt;=cfg_VAL_M,'مسير أكتوبر'!AD88+'مسير أكتوبر'!AE88+'مسير أكتوبر'!AF88,0)+IF(11&lt;=cfg_VAL_M,'مسير نوفمبر'!AD88+'مسير نوفمبر'!AE88+'مسير نوفمبر'!AF88,0)+IF(12&lt;=cfg_VAL_M,'مسير ديسمبر'!AD88+'مسير ديسمبر'!AE88+'مسير ديسمبر'!AF88,0))</f>
        <v/>
      </c>
      <c r="U88" s="111" t="str">
        <f aca="false">IF(OR($B88="",F88="✖ منتهي الخدمة"),"",IF(AND(ISNUMBER(I88),I88&lt;=cfg_ALERT),N88,0)+IF(AND(ISNUMBER(L88),L88&lt;=cfg_ALERT),O88,0))</f>
        <v/>
      </c>
    </row>
    <row r="89" customFormat="false" ht="15" hidden="false" customHeight="false" outlineLevel="0" collapsed="false">
      <c r="B89" s="117" t="str">
        <f aca="false">IF(الموظفون!$B89="","",الموظفون!$B89)</f>
        <v/>
      </c>
      <c r="C89" s="117" t="str">
        <f aca="false">IF($B89="","",الموظفون!$C89)</f>
        <v/>
      </c>
      <c r="D89" s="117" t="str">
        <f aca="false">IF($B89="","",الموظفون!$D89)</f>
        <v/>
      </c>
      <c r="E89" s="117" t="str">
        <f aca="false">IF($B89="","",الموظفون!$E89)</f>
        <v/>
      </c>
      <c r="F89" s="117" t="str">
        <f aca="false">IF($B89="","",الموظفون!$AG89)</f>
        <v/>
      </c>
      <c r="G89" s="117" t="str">
        <f aca="false">IF($B89="","",IF(الموظفون!$I89="","",الموظفون!$I89))</f>
        <v/>
      </c>
      <c r="H89" s="175" t="str">
        <f aca="false">IF($B89="","",IF(الموظفون!$J89="","",الموظفون!$J89))</f>
        <v/>
      </c>
      <c r="I89" s="133" t="str">
        <f aca="false">IF(OR($B89="",H89=""),"",H89-cfg_TRACK)</f>
        <v/>
      </c>
      <c r="J89" s="117" t="str">
        <f aca="false">IF(OR($B89="",$F89="✖ منتهي الخدمة"),"",IF(H89="",IF($E89="غير سعودي","⚠ أدخل التاريخ","-"),IF(I89&lt;0,"✖ منتهية منذ "&amp;TEXT(-I89,"0")&amp;" يوم",IF(I89&lt;=cfg_ALERT,"⚠ تنتهي خلال "&amp;TEXT(I89,"0")&amp;" يوم","✔ سارية"))))</f>
        <v/>
      </c>
      <c r="K89" s="175" t="str">
        <f aca="false">IF($B89="","",IF(الموظفون!$K89="","",الموظفون!$K89))</f>
        <v/>
      </c>
      <c r="L89" s="133" t="str">
        <f aca="false">IF(OR($B89="",K89=""),"",K89-cfg_TRACK)</f>
        <v/>
      </c>
      <c r="M89" s="117" t="str">
        <f aca="false">IF(OR($B89="",$F89="✖ منتهي الخدمة"),"",IF(K89="",IF($E89="غير سعودي","⚠ أدخل التاريخ","-"),IF(L89&lt;0,"✖ منتهية منذ "&amp;TEXT(-L89,"0")&amp;" يوم",IF(L89&lt;=cfg_ALERT,"⚠ تنتهي خلال "&amp;TEXT(L89,"0")&amp;" يوم","✔ سارية"))))</f>
        <v/>
      </c>
      <c r="N89" s="116" t="str">
        <f aca="false">IF($B89="","",IF(F89="✖ منتهي الخدمة",0,IF(الموظفون!$X89&lt;&gt;"",الموظفون!$X89,IF(الموظفون!$E89="غير سعودي",cfg_IQ,0))))</f>
        <v/>
      </c>
      <c r="O89" s="116" t="str">
        <f aca="false">IF($B89="","",IF(F89="✖ منتهي الخدمة",0,IF(الموظفون!$Y89&lt;&gt;"",الموظفون!$Y89,IF(الموظفون!$E89="غير سعودي",cfg_WP,0))))</f>
        <v/>
      </c>
      <c r="P89" s="116" t="str">
        <f aca="false">IF($B89="","",IF(F89="✖ منتهي الخدمة",0,IF(الموظفون!$Z89&lt;&gt;"",الموظفون!$Z89,cfg_MED)))</f>
        <v/>
      </c>
      <c r="Q89" s="116" t="str">
        <f aca="false">IF($B89="","",IF(F89="✖ منتهي الخدمة",0,N(الموظفون!$AA89)))</f>
        <v/>
      </c>
      <c r="R89" s="116" t="str">
        <f aca="false">IF($B89="","",SUM(N89:Q89))</f>
        <v/>
      </c>
      <c r="S89" s="116" t="str">
        <f aca="false">IF($B89="","",R89/12)</f>
        <v/>
      </c>
      <c r="T89" s="116" t="str">
        <f aca="false">IF($B89="","",IF(1&lt;=cfg_VAL_M,'مسير يناير'!AD89+'مسير يناير'!AE89+'مسير يناير'!AF89,0)+IF(2&lt;=cfg_VAL_M,'مسير فبراير'!AD89+'مسير فبراير'!AE89+'مسير فبراير'!AF89,0)+IF(3&lt;=cfg_VAL_M,'مسير مارس'!AD89+'مسير مارس'!AE89+'مسير مارس'!AF89,0)+IF(4&lt;=cfg_VAL_M,'مسير أبريل'!AD89+'مسير أبريل'!AE89+'مسير أبريل'!AF89,0)+IF(5&lt;=cfg_VAL_M,'مسير مايو'!AD89+'مسير مايو'!AE89+'مسير مايو'!AF89,0)+IF(6&lt;=cfg_VAL_M,'مسير يونيو'!AD89+'مسير يونيو'!AE89+'مسير يونيو'!AF89,0)+IF(7&lt;=cfg_VAL_M,'مسير يوليو'!AD89+'مسير يوليو'!AE89+'مسير يوليو'!AF89,0)+IF(8&lt;=cfg_VAL_M,'مسير أغسطس'!AD89+'مسير أغسطس'!AE89+'مسير أغسطس'!AF89,0)+IF(9&lt;=cfg_VAL_M,'مسير سبتمبر'!AD89+'مسير سبتمبر'!AE89+'مسير سبتمبر'!AF89,0)+IF(10&lt;=cfg_VAL_M,'مسير أكتوبر'!AD89+'مسير أكتوبر'!AE89+'مسير أكتوبر'!AF89,0)+IF(11&lt;=cfg_VAL_M,'مسير نوفمبر'!AD89+'مسير نوفمبر'!AE89+'مسير نوفمبر'!AF89,0)+IF(12&lt;=cfg_VAL_M,'مسير ديسمبر'!AD89+'مسير ديسمبر'!AE89+'مسير ديسمبر'!AF89,0))</f>
        <v/>
      </c>
      <c r="U89" s="116" t="str">
        <f aca="false">IF(OR($B89="",F89="✖ منتهي الخدمة"),"",IF(AND(ISNUMBER(I89),I89&lt;=cfg_ALERT),N89,0)+IF(AND(ISNUMBER(L89),L89&lt;=cfg_ALERT),O89,0))</f>
        <v/>
      </c>
    </row>
    <row r="90" customFormat="false" ht="15" hidden="false" customHeight="false" outlineLevel="0" collapsed="false">
      <c r="B90" s="114" t="str">
        <f aca="false">IF(الموظفون!$B90="","",الموظفون!$B90)</f>
        <v/>
      </c>
      <c r="C90" s="114" t="str">
        <f aca="false">IF($B90="","",الموظفون!$C90)</f>
        <v/>
      </c>
      <c r="D90" s="114" t="str">
        <f aca="false">IF($B90="","",الموظفون!$D90)</f>
        <v/>
      </c>
      <c r="E90" s="114" t="str">
        <f aca="false">IF($B90="","",الموظفون!$E90)</f>
        <v/>
      </c>
      <c r="F90" s="114" t="str">
        <f aca="false">IF($B90="","",الموظفون!$AG90)</f>
        <v/>
      </c>
      <c r="G90" s="114" t="str">
        <f aca="false">IF($B90="","",IF(الموظفون!$I90="","",الموظفون!$I90))</f>
        <v/>
      </c>
      <c r="H90" s="174" t="str">
        <f aca="false">IF($B90="","",IF(الموظفون!$J90="","",الموظفون!$J90))</f>
        <v/>
      </c>
      <c r="I90" s="65" t="str">
        <f aca="false">IF(OR($B90="",H90=""),"",H90-cfg_TRACK)</f>
        <v/>
      </c>
      <c r="J90" s="114" t="str">
        <f aca="false">IF(OR($B90="",$F90="✖ منتهي الخدمة"),"",IF(H90="",IF($E90="غير سعودي","⚠ أدخل التاريخ","-"),IF(I90&lt;0,"✖ منتهية منذ "&amp;TEXT(-I90,"0")&amp;" يوم",IF(I90&lt;=cfg_ALERT,"⚠ تنتهي خلال "&amp;TEXT(I90,"0")&amp;" يوم","✔ سارية"))))</f>
        <v/>
      </c>
      <c r="K90" s="174" t="str">
        <f aca="false">IF($B90="","",IF(الموظفون!$K90="","",الموظفون!$K90))</f>
        <v/>
      </c>
      <c r="L90" s="65" t="str">
        <f aca="false">IF(OR($B90="",K90=""),"",K90-cfg_TRACK)</f>
        <v/>
      </c>
      <c r="M90" s="114" t="str">
        <f aca="false">IF(OR($B90="",$F90="✖ منتهي الخدمة"),"",IF(K90="",IF($E90="غير سعودي","⚠ أدخل التاريخ","-"),IF(L90&lt;0,"✖ منتهية منذ "&amp;TEXT(-L90,"0")&amp;" يوم",IF(L90&lt;=cfg_ALERT,"⚠ تنتهي خلال "&amp;TEXT(L90,"0")&amp;" يوم","✔ سارية"))))</f>
        <v/>
      </c>
      <c r="N90" s="111" t="str">
        <f aca="false">IF($B90="","",IF(F90="✖ منتهي الخدمة",0,IF(الموظفون!$X90&lt;&gt;"",الموظفون!$X90,IF(الموظفون!$E90="غير سعودي",cfg_IQ,0))))</f>
        <v/>
      </c>
      <c r="O90" s="111" t="str">
        <f aca="false">IF($B90="","",IF(F90="✖ منتهي الخدمة",0,IF(الموظفون!$Y90&lt;&gt;"",الموظفون!$Y90,IF(الموظفون!$E90="غير سعودي",cfg_WP,0))))</f>
        <v/>
      </c>
      <c r="P90" s="111" t="str">
        <f aca="false">IF($B90="","",IF(F90="✖ منتهي الخدمة",0,IF(الموظفون!$Z90&lt;&gt;"",الموظفون!$Z90,cfg_MED)))</f>
        <v/>
      </c>
      <c r="Q90" s="111" t="str">
        <f aca="false">IF($B90="","",IF(F90="✖ منتهي الخدمة",0,N(الموظفون!$AA90)))</f>
        <v/>
      </c>
      <c r="R90" s="111" t="str">
        <f aca="false">IF($B90="","",SUM(N90:Q90))</f>
        <v/>
      </c>
      <c r="S90" s="111" t="str">
        <f aca="false">IF($B90="","",R90/12)</f>
        <v/>
      </c>
      <c r="T90" s="111" t="str">
        <f aca="false">IF($B90="","",IF(1&lt;=cfg_VAL_M,'مسير يناير'!AD90+'مسير يناير'!AE90+'مسير يناير'!AF90,0)+IF(2&lt;=cfg_VAL_M,'مسير فبراير'!AD90+'مسير فبراير'!AE90+'مسير فبراير'!AF90,0)+IF(3&lt;=cfg_VAL_M,'مسير مارس'!AD90+'مسير مارس'!AE90+'مسير مارس'!AF90,0)+IF(4&lt;=cfg_VAL_M,'مسير أبريل'!AD90+'مسير أبريل'!AE90+'مسير أبريل'!AF90,0)+IF(5&lt;=cfg_VAL_M,'مسير مايو'!AD90+'مسير مايو'!AE90+'مسير مايو'!AF90,0)+IF(6&lt;=cfg_VAL_M,'مسير يونيو'!AD90+'مسير يونيو'!AE90+'مسير يونيو'!AF90,0)+IF(7&lt;=cfg_VAL_M,'مسير يوليو'!AD90+'مسير يوليو'!AE90+'مسير يوليو'!AF90,0)+IF(8&lt;=cfg_VAL_M,'مسير أغسطس'!AD90+'مسير أغسطس'!AE90+'مسير أغسطس'!AF90,0)+IF(9&lt;=cfg_VAL_M,'مسير سبتمبر'!AD90+'مسير سبتمبر'!AE90+'مسير سبتمبر'!AF90,0)+IF(10&lt;=cfg_VAL_M,'مسير أكتوبر'!AD90+'مسير أكتوبر'!AE90+'مسير أكتوبر'!AF90,0)+IF(11&lt;=cfg_VAL_M,'مسير نوفمبر'!AD90+'مسير نوفمبر'!AE90+'مسير نوفمبر'!AF90,0)+IF(12&lt;=cfg_VAL_M,'مسير ديسمبر'!AD90+'مسير ديسمبر'!AE90+'مسير ديسمبر'!AF90,0))</f>
        <v/>
      </c>
      <c r="U90" s="111" t="str">
        <f aca="false">IF(OR($B90="",F90="✖ منتهي الخدمة"),"",IF(AND(ISNUMBER(I90),I90&lt;=cfg_ALERT),N90,0)+IF(AND(ISNUMBER(L90),L90&lt;=cfg_ALERT),O90,0))</f>
        <v/>
      </c>
    </row>
    <row r="91" customFormat="false" ht="15" hidden="false" customHeight="false" outlineLevel="0" collapsed="false">
      <c r="B91" s="117" t="str">
        <f aca="false">IF(الموظفون!$B91="","",الموظفون!$B91)</f>
        <v/>
      </c>
      <c r="C91" s="117" t="str">
        <f aca="false">IF($B91="","",الموظفون!$C91)</f>
        <v/>
      </c>
      <c r="D91" s="117" t="str">
        <f aca="false">IF($B91="","",الموظفون!$D91)</f>
        <v/>
      </c>
      <c r="E91" s="117" t="str">
        <f aca="false">IF($B91="","",الموظفون!$E91)</f>
        <v/>
      </c>
      <c r="F91" s="117" t="str">
        <f aca="false">IF($B91="","",الموظفون!$AG91)</f>
        <v/>
      </c>
      <c r="G91" s="117" t="str">
        <f aca="false">IF($B91="","",IF(الموظفون!$I91="","",الموظفون!$I91))</f>
        <v/>
      </c>
      <c r="H91" s="175" t="str">
        <f aca="false">IF($B91="","",IF(الموظفون!$J91="","",الموظفون!$J91))</f>
        <v/>
      </c>
      <c r="I91" s="133" t="str">
        <f aca="false">IF(OR($B91="",H91=""),"",H91-cfg_TRACK)</f>
        <v/>
      </c>
      <c r="J91" s="117" t="str">
        <f aca="false">IF(OR($B91="",$F91="✖ منتهي الخدمة"),"",IF(H91="",IF($E91="غير سعودي","⚠ أدخل التاريخ","-"),IF(I91&lt;0,"✖ منتهية منذ "&amp;TEXT(-I91,"0")&amp;" يوم",IF(I91&lt;=cfg_ALERT,"⚠ تنتهي خلال "&amp;TEXT(I91,"0")&amp;" يوم","✔ سارية"))))</f>
        <v/>
      </c>
      <c r="K91" s="175" t="str">
        <f aca="false">IF($B91="","",IF(الموظفون!$K91="","",الموظفون!$K91))</f>
        <v/>
      </c>
      <c r="L91" s="133" t="str">
        <f aca="false">IF(OR($B91="",K91=""),"",K91-cfg_TRACK)</f>
        <v/>
      </c>
      <c r="M91" s="117" t="str">
        <f aca="false">IF(OR($B91="",$F91="✖ منتهي الخدمة"),"",IF(K91="",IF($E91="غير سعودي","⚠ أدخل التاريخ","-"),IF(L91&lt;0,"✖ منتهية منذ "&amp;TEXT(-L91,"0")&amp;" يوم",IF(L91&lt;=cfg_ALERT,"⚠ تنتهي خلال "&amp;TEXT(L91,"0")&amp;" يوم","✔ سارية"))))</f>
        <v/>
      </c>
      <c r="N91" s="116" t="str">
        <f aca="false">IF($B91="","",IF(F91="✖ منتهي الخدمة",0,IF(الموظفون!$X91&lt;&gt;"",الموظفون!$X91,IF(الموظفون!$E91="غير سعودي",cfg_IQ,0))))</f>
        <v/>
      </c>
      <c r="O91" s="116" t="str">
        <f aca="false">IF($B91="","",IF(F91="✖ منتهي الخدمة",0,IF(الموظفون!$Y91&lt;&gt;"",الموظفون!$Y91,IF(الموظفون!$E91="غير سعودي",cfg_WP,0))))</f>
        <v/>
      </c>
      <c r="P91" s="116" t="str">
        <f aca="false">IF($B91="","",IF(F91="✖ منتهي الخدمة",0,IF(الموظفون!$Z91&lt;&gt;"",الموظفون!$Z91,cfg_MED)))</f>
        <v/>
      </c>
      <c r="Q91" s="116" t="str">
        <f aca="false">IF($B91="","",IF(F91="✖ منتهي الخدمة",0,N(الموظفون!$AA91)))</f>
        <v/>
      </c>
      <c r="R91" s="116" t="str">
        <f aca="false">IF($B91="","",SUM(N91:Q91))</f>
        <v/>
      </c>
      <c r="S91" s="116" t="str">
        <f aca="false">IF($B91="","",R91/12)</f>
        <v/>
      </c>
      <c r="T91" s="116" t="str">
        <f aca="false">IF($B91="","",IF(1&lt;=cfg_VAL_M,'مسير يناير'!AD91+'مسير يناير'!AE91+'مسير يناير'!AF91,0)+IF(2&lt;=cfg_VAL_M,'مسير فبراير'!AD91+'مسير فبراير'!AE91+'مسير فبراير'!AF91,0)+IF(3&lt;=cfg_VAL_M,'مسير مارس'!AD91+'مسير مارس'!AE91+'مسير مارس'!AF91,0)+IF(4&lt;=cfg_VAL_M,'مسير أبريل'!AD91+'مسير أبريل'!AE91+'مسير أبريل'!AF91,0)+IF(5&lt;=cfg_VAL_M,'مسير مايو'!AD91+'مسير مايو'!AE91+'مسير مايو'!AF91,0)+IF(6&lt;=cfg_VAL_M,'مسير يونيو'!AD91+'مسير يونيو'!AE91+'مسير يونيو'!AF91,0)+IF(7&lt;=cfg_VAL_M,'مسير يوليو'!AD91+'مسير يوليو'!AE91+'مسير يوليو'!AF91,0)+IF(8&lt;=cfg_VAL_M,'مسير أغسطس'!AD91+'مسير أغسطس'!AE91+'مسير أغسطس'!AF91,0)+IF(9&lt;=cfg_VAL_M,'مسير سبتمبر'!AD91+'مسير سبتمبر'!AE91+'مسير سبتمبر'!AF91,0)+IF(10&lt;=cfg_VAL_M,'مسير أكتوبر'!AD91+'مسير أكتوبر'!AE91+'مسير أكتوبر'!AF91,0)+IF(11&lt;=cfg_VAL_M,'مسير نوفمبر'!AD91+'مسير نوفمبر'!AE91+'مسير نوفمبر'!AF91,0)+IF(12&lt;=cfg_VAL_M,'مسير ديسمبر'!AD91+'مسير ديسمبر'!AE91+'مسير ديسمبر'!AF91,0))</f>
        <v/>
      </c>
      <c r="U91" s="116" t="str">
        <f aca="false">IF(OR($B91="",F91="✖ منتهي الخدمة"),"",IF(AND(ISNUMBER(I91),I91&lt;=cfg_ALERT),N91,0)+IF(AND(ISNUMBER(L91),L91&lt;=cfg_ALERT),O91,0))</f>
        <v/>
      </c>
    </row>
    <row r="92" customFormat="false" ht="15" hidden="false" customHeight="false" outlineLevel="0" collapsed="false">
      <c r="B92" s="114" t="str">
        <f aca="false">IF(الموظفون!$B92="","",الموظفون!$B92)</f>
        <v/>
      </c>
      <c r="C92" s="114" t="str">
        <f aca="false">IF($B92="","",الموظفون!$C92)</f>
        <v/>
      </c>
      <c r="D92" s="114" t="str">
        <f aca="false">IF($B92="","",الموظفون!$D92)</f>
        <v/>
      </c>
      <c r="E92" s="114" t="str">
        <f aca="false">IF($B92="","",الموظفون!$E92)</f>
        <v/>
      </c>
      <c r="F92" s="114" t="str">
        <f aca="false">IF($B92="","",الموظفون!$AG92)</f>
        <v/>
      </c>
      <c r="G92" s="114" t="str">
        <f aca="false">IF($B92="","",IF(الموظفون!$I92="","",الموظفون!$I92))</f>
        <v/>
      </c>
      <c r="H92" s="174" t="str">
        <f aca="false">IF($B92="","",IF(الموظفون!$J92="","",الموظفون!$J92))</f>
        <v/>
      </c>
      <c r="I92" s="65" t="str">
        <f aca="false">IF(OR($B92="",H92=""),"",H92-cfg_TRACK)</f>
        <v/>
      </c>
      <c r="J92" s="114" t="str">
        <f aca="false">IF(OR($B92="",$F92="✖ منتهي الخدمة"),"",IF(H92="",IF($E92="غير سعودي","⚠ أدخل التاريخ","-"),IF(I92&lt;0,"✖ منتهية منذ "&amp;TEXT(-I92,"0")&amp;" يوم",IF(I92&lt;=cfg_ALERT,"⚠ تنتهي خلال "&amp;TEXT(I92,"0")&amp;" يوم","✔ سارية"))))</f>
        <v/>
      </c>
      <c r="K92" s="174" t="str">
        <f aca="false">IF($B92="","",IF(الموظفون!$K92="","",الموظفون!$K92))</f>
        <v/>
      </c>
      <c r="L92" s="65" t="str">
        <f aca="false">IF(OR($B92="",K92=""),"",K92-cfg_TRACK)</f>
        <v/>
      </c>
      <c r="M92" s="114" t="str">
        <f aca="false">IF(OR($B92="",$F92="✖ منتهي الخدمة"),"",IF(K92="",IF($E92="غير سعودي","⚠ أدخل التاريخ","-"),IF(L92&lt;0,"✖ منتهية منذ "&amp;TEXT(-L92,"0")&amp;" يوم",IF(L92&lt;=cfg_ALERT,"⚠ تنتهي خلال "&amp;TEXT(L92,"0")&amp;" يوم","✔ سارية"))))</f>
        <v/>
      </c>
      <c r="N92" s="111" t="str">
        <f aca="false">IF($B92="","",IF(F92="✖ منتهي الخدمة",0,IF(الموظفون!$X92&lt;&gt;"",الموظفون!$X92,IF(الموظفون!$E92="غير سعودي",cfg_IQ,0))))</f>
        <v/>
      </c>
      <c r="O92" s="111" t="str">
        <f aca="false">IF($B92="","",IF(F92="✖ منتهي الخدمة",0,IF(الموظفون!$Y92&lt;&gt;"",الموظفون!$Y92,IF(الموظفون!$E92="غير سعودي",cfg_WP,0))))</f>
        <v/>
      </c>
      <c r="P92" s="111" t="str">
        <f aca="false">IF($B92="","",IF(F92="✖ منتهي الخدمة",0,IF(الموظفون!$Z92&lt;&gt;"",الموظفون!$Z92,cfg_MED)))</f>
        <v/>
      </c>
      <c r="Q92" s="111" t="str">
        <f aca="false">IF($B92="","",IF(F92="✖ منتهي الخدمة",0,N(الموظفون!$AA92)))</f>
        <v/>
      </c>
      <c r="R92" s="111" t="str">
        <f aca="false">IF($B92="","",SUM(N92:Q92))</f>
        <v/>
      </c>
      <c r="S92" s="111" t="str">
        <f aca="false">IF($B92="","",R92/12)</f>
        <v/>
      </c>
      <c r="T92" s="111" t="str">
        <f aca="false">IF($B92="","",IF(1&lt;=cfg_VAL_M,'مسير يناير'!AD92+'مسير يناير'!AE92+'مسير يناير'!AF92,0)+IF(2&lt;=cfg_VAL_M,'مسير فبراير'!AD92+'مسير فبراير'!AE92+'مسير فبراير'!AF92,0)+IF(3&lt;=cfg_VAL_M,'مسير مارس'!AD92+'مسير مارس'!AE92+'مسير مارس'!AF92,0)+IF(4&lt;=cfg_VAL_M,'مسير أبريل'!AD92+'مسير أبريل'!AE92+'مسير أبريل'!AF92,0)+IF(5&lt;=cfg_VAL_M,'مسير مايو'!AD92+'مسير مايو'!AE92+'مسير مايو'!AF92,0)+IF(6&lt;=cfg_VAL_M,'مسير يونيو'!AD92+'مسير يونيو'!AE92+'مسير يونيو'!AF92,0)+IF(7&lt;=cfg_VAL_M,'مسير يوليو'!AD92+'مسير يوليو'!AE92+'مسير يوليو'!AF92,0)+IF(8&lt;=cfg_VAL_M,'مسير أغسطس'!AD92+'مسير أغسطس'!AE92+'مسير أغسطس'!AF92,0)+IF(9&lt;=cfg_VAL_M,'مسير سبتمبر'!AD92+'مسير سبتمبر'!AE92+'مسير سبتمبر'!AF92,0)+IF(10&lt;=cfg_VAL_M,'مسير أكتوبر'!AD92+'مسير أكتوبر'!AE92+'مسير أكتوبر'!AF92,0)+IF(11&lt;=cfg_VAL_M,'مسير نوفمبر'!AD92+'مسير نوفمبر'!AE92+'مسير نوفمبر'!AF92,0)+IF(12&lt;=cfg_VAL_M,'مسير ديسمبر'!AD92+'مسير ديسمبر'!AE92+'مسير ديسمبر'!AF92,0))</f>
        <v/>
      </c>
      <c r="U92" s="111" t="str">
        <f aca="false">IF(OR($B92="",F92="✖ منتهي الخدمة"),"",IF(AND(ISNUMBER(I92),I92&lt;=cfg_ALERT),N92,0)+IF(AND(ISNUMBER(L92),L92&lt;=cfg_ALERT),O92,0))</f>
        <v/>
      </c>
    </row>
    <row r="93" customFormat="false" ht="15" hidden="false" customHeight="false" outlineLevel="0" collapsed="false">
      <c r="B93" s="117" t="str">
        <f aca="false">IF(الموظفون!$B93="","",الموظفون!$B93)</f>
        <v/>
      </c>
      <c r="C93" s="117" t="str">
        <f aca="false">IF($B93="","",الموظفون!$C93)</f>
        <v/>
      </c>
      <c r="D93" s="117" t="str">
        <f aca="false">IF($B93="","",الموظفون!$D93)</f>
        <v/>
      </c>
      <c r="E93" s="117" t="str">
        <f aca="false">IF($B93="","",الموظفون!$E93)</f>
        <v/>
      </c>
      <c r="F93" s="117" t="str">
        <f aca="false">IF($B93="","",الموظفون!$AG93)</f>
        <v/>
      </c>
      <c r="G93" s="117" t="str">
        <f aca="false">IF($B93="","",IF(الموظفون!$I93="","",الموظفون!$I93))</f>
        <v/>
      </c>
      <c r="H93" s="175" t="str">
        <f aca="false">IF($B93="","",IF(الموظفون!$J93="","",الموظفون!$J93))</f>
        <v/>
      </c>
      <c r="I93" s="133" t="str">
        <f aca="false">IF(OR($B93="",H93=""),"",H93-cfg_TRACK)</f>
        <v/>
      </c>
      <c r="J93" s="117" t="str">
        <f aca="false">IF(OR($B93="",$F93="✖ منتهي الخدمة"),"",IF(H93="",IF($E93="غير سعودي","⚠ أدخل التاريخ","-"),IF(I93&lt;0,"✖ منتهية منذ "&amp;TEXT(-I93,"0")&amp;" يوم",IF(I93&lt;=cfg_ALERT,"⚠ تنتهي خلال "&amp;TEXT(I93,"0")&amp;" يوم","✔ سارية"))))</f>
        <v/>
      </c>
      <c r="K93" s="175" t="str">
        <f aca="false">IF($B93="","",IF(الموظفون!$K93="","",الموظفون!$K93))</f>
        <v/>
      </c>
      <c r="L93" s="133" t="str">
        <f aca="false">IF(OR($B93="",K93=""),"",K93-cfg_TRACK)</f>
        <v/>
      </c>
      <c r="M93" s="117" t="str">
        <f aca="false">IF(OR($B93="",$F93="✖ منتهي الخدمة"),"",IF(K93="",IF($E93="غير سعودي","⚠ أدخل التاريخ","-"),IF(L93&lt;0,"✖ منتهية منذ "&amp;TEXT(-L93,"0")&amp;" يوم",IF(L93&lt;=cfg_ALERT,"⚠ تنتهي خلال "&amp;TEXT(L93,"0")&amp;" يوم","✔ سارية"))))</f>
        <v/>
      </c>
      <c r="N93" s="116" t="str">
        <f aca="false">IF($B93="","",IF(F93="✖ منتهي الخدمة",0,IF(الموظفون!$X93&lt;&gt;"",الموظفون!$X93,IF(الموظفون!$E93="غير سعودي",cfg_IQ,0))))</f>
        <v/>
      </c>
      <c r="O93" s="116" t="str">
        <f aca="false">IF($B93="","",IF(F93="✖ منتهي الخدمة",0,IF(الموظفون!$Y93&lt;&gt;"",الموظفون!$Y93,IF(الموظفون!$E93="غير سعودي",cfg_WP,0))))</f>
        <v/>
      </c>
      <c r="P93" s="116" t="str">
        <f aca="false">IF($B93="","",IF(F93="✖ منتهي الخدمة",0,IF(الموظفون!$Z93&lt;&gt;"",الموظفون!$Z93,cfg_MED)))</f>
        <v/>
      </c>
      <c r="Q93" s="116" t="str">
        <f aca="false">IF($B93="","",IF(F93="✖ منتهي الخدمة",0,N(الموظفون!$AA93)))</f>
        <v/>
      </c>
      <c r="R93" s="116" t="str">
        <f aca="false">IF($B93="","",SUM(N93:Q93))</f>
        <v/>
      </c>
      <c r="S93" s="116" t="str">
        <f aca="false">IF($B93="","",R93/12)</f>
        <v/>
      </c>
      <c r="T93" s="116" t="str">
        <f aca="false">IF($B93="","",IF(1&lt;=cfg_VAL_M,'مسير يناير'!AD93+'مسير يناير'!AE93+'مسير يناير'!AF93,0)+IF(2&lt;=cfg_VAL_M,'مسير فبراير'!AD93+'مسير فبراير'!AE93+'مسير فبراير'!AF93,0)+IF(3&lt;=cfg_VAL_M,'مسير مارس'!AD93+'مسير مارس'!AE93+'مسير مارس'!AF93,0)+IF(4&lt;=cfg_VAL_M,'مسير أبريل'!AD93+'مسير أبريل'!AE93+'مسير أبريل'!AF93,0)+IF(5&lt;=cfg_VAL_M,'مسير مايو'!AD93+'مسير مايو'!AE93+'مسير مايو'!AF93,0)+IF(6&lt;=cfg_VAL_M,'مسير يونيو'!AD93+'مسير يونيو'!AE93+'مسير يونيو'!AF93,0)+IF(7&lt;=cfg_VAL_M,'مسير يوليو'!AD93+'مسير يوليو'!AE93+'مسير يوليو'!AF93,0)+IF(8&lt;=cfg_VAL_M,'مسير أغسطس'!AD93+'مسير أغسطس'!AE93+'مسير أغسطس'!AF93,0)+IF(9&lt;=cfg_VAL_M,'مسير سبتمبر'!AD93+'مسير سبتمبر'!AE93+'مسير سبتمبر'!AF93,0)+IF(10&lt;=cfg_VAL_M,'مسير أكتوبر'!AD93+'مسير أكتوبر'!AE93+'مسير أكتوبر'!AF93,0)+IF(11&lt;=cfg_VAL_M,'مسير نوفمبر'!AD93+'مسير نوفمبر'!AE93+'مسير نوفمبر'!AF93,0)+IF(12&lt;=cfg_VAL_M,'مسير ديسمبر'!AD93+'مسير ديسمبر'!AE93+'مسير ديسمبر'!AF93,0))</f>
        <v/>
      </c>
      <c r="U93" s="116" t="str">
        <f aca="false">IF(OR($B93="",F93="✖ منتهي الخدمة"),"",IF(AND(ISNUMBER(I93),I93&lt;=cfg_ALERT),N93,0)+IF(AND(ISNUMBER(L93),L93&lt;=cfg_ALERT),O93,0))</f>
        <v/>
      </c>
    </row>
    <row r="94" customFormat="false" ht="15" hidden="false" customHeight="false" outlineLevel="0" collapsed="false">
      <c r="B94" s="114" t="str">
        <f aca="false">IF(الموظفون!$B94="","",الموظفون!$B94)</f>
        <v/>
      </c>
      <c r="C94" s="114" t="str">
        <f aca="false">IF($B94="","",الموظفون!$C94)</f>
        <v/>
      </c>
      <c r="D94" s="114" t="str">
        <f aca="false">IF($B94="","",الموظفون!$D94)</f>
        <v/>
      </c>
      <c r="E94" s="114" t="str">
        <f aca="false">IF($B94="","",الموظفون!$E94)</f>
        <v/>
      </c>
      <c r="F94" s="114" t="str">
        <f aca="false">IF($B94="","",الموظفون!$AG94)</f>
        <v/>
      </c>
      <c r="G94" s="114" t="str">
        <f aca="false">IF($B94="","",IF(الموظفون!$I94="","",الموظفون!$I94))</f>
        <v/>
      </c>
      <c r="H94" s="174" t="str">
        <f aca="false">IF($B94="","",IF(الموظفون!$J94="","",الموظفون!$J94))</f>
        <v/>
      </c>
      <c r="I94" s="65" t="str">
        <f aca="false">IF(OR($B94="",H94=""),"",H94-cfg_TRACK)</f>
        <v/>
      </c>
      <c r="J94" s="114" t="str">
        <f aca="false">IF(OR($B94="",$F94="✖ منتهي الخدمة"),"",IF(H94="",IF($E94="غير سعودي","⚠ أدخل التاريخ","-"),IF(I94&lt;0,"✖ منتهية منذ "&amp;TEXT(-I94,"0")&amp;" يوم",IF(I94&lt;=cfg_ALERT,"⚠ تنتهي خلال "&amp;TEXT(I94,"0")&amp;" يوم","✔ سارية"))))</f>
        <v/>
      </c>
      <c r="K94" s="174" t="str">
        <f aca="false">IF($B94="","",IF(الموظفون!$K94="","",الموظفون!$K94))</f>
        <v/>
      </c>
      <c r="L94" s="65" t="str">
        <f aca="false">IF(OR($B94="",K94=""),"",K94-cfg_TRACK)</f>
        <v/>
      </c>
      <c r="M94" s="114" t="str">
        <f aca="false">IF(OR($B94="",$F94="✖ منتهي الخدمة"),"",IF(K94="",IF($E94="غير سعودي","⚠ أدخل التاريخ","-"),IF(L94&lt;0,"✖ منتهية منذ "&amp;TEXT(-L94,"0")&amp;" يوم",IF(L94&lt;=cfg_ALERT,"⚠ تنتهي خلال "&amp;TEXT(L94,"0")&amp;" يوم","✔ سارية"))))</f>
        <v/>
      </c>
      <c r="N94" s="111" t="str">
        <f aca="false">IF($B94="","",IF(F94="✖ منتهي الخدمة",0,IF(الموظفون!$X94&lt;&gt;"",الموظفون!$X94,IF(الموظفون!$E94="غير سعودي",cfg_IQ,0))))</f>
        <v/>
      </c>
      <c r="O94" s="111" t="str">
        <f aca="false">IF($B94="","",IF(F94="✖ منتهي الخدمة",0,IF(الموظفون!$Y94&lt;&gt;"",الموظفون!$Y94,IF(الموظفون!$E94="غير سعودي",cfg_WP,0))))</f>
        <v/>
      </c>
      <c r="P94" s="111" t="str">
        <f aca="false">IF($B94="","",IF(F94="✖ منتهي الخدمة",0,IF(الموظفون!$Z94&lt;&gt;"",الموظفون!$Z94,cfg_MED)))</f>
        <v/>
      </c>
      <c r="Q94" s="111" t="str">
        <f aca="false">IF($B94="","",IF(F94="✖ منتهي الخدمة",0,N(الموظفون!$AA94)))</f>
        <v/>
      </c>
      <c r="R94" s="111" t="str">
        <f aca="false">IF($B94="","",SUM(N94:Q94))</f>
        <v/>
      </c>
      <c r="S94" s="111" t="str">
        <f aca="false">IF($B94="","",R94/12)</f>
        <v/>
      </c>
      <c r="T94" s="111" t="str">
        <f aca="false">IF($B94="","",IF(1&lt;=cfg_VAL_M,'مسير يناير'!AD94+'مسير يناير'!AE94+'مسير يناير'!AF94,0)+IF(2&lt;=cfg_VAL_M,'مسير فبراير'!AD94+'مسير فبراير'!AE94+'مسير فبراير'!AF94,0)+IF(3&lt;=cfg_VAL_M,'مسير مارس'!AD94+'مسير مارس'!AE94+'مسير مارس'!AF94,0)+IF(4&lt;=cfg_VAL_M,'مسير أبريل'!AD94+'مسير أبريل'!AE94+'مسير أبريل'!AF94,0)+IF(5&lt;=cfg_VAL_M,'مسير مايو'!AD94+'مسير مايو'!AE94+'مسير مايو'!AF94,0)+IF(6&lt;=cfg_VAL_M,'مسير يونيو'!AD94+'مسير يونيو'!AE94+'مسير يونيو'!AF94,0)+IF(7&lt;=cfg_VAL_M,'مسير يوليو'!AD94+'مسير يوليو'!AE94+'مسير يوليو'!AF94,0)+IF(8&lt;=cfg_VAL_M,'مسير أغسطس'!AD94+'مسير أغسطس'!AE94+'مسير أغسطس'!AF94,0)+IF(9&lt;=cfg_VAL_M,'مسير سبتمبر'!AD94+'مسير سبتمبر'!AE94+'مسير سبتمبر'!AF94,0)+IF(10&lt;=cfg_VAL_M,'مسير أكتوبر'!AD94+'مسير أكتوبر'!AE94+'مسير أكتوبر'!AF94,0)+IF(11&lt;=cfg_VAL_M,'مسير نوفمبر'!AD94+'مسير نوفمبر'!AE94+'مسير نوفمبر'!AF94,0)+IF(12&lt;=cfg_VAL_M,'مسير ديسمبر'!AD94+'مسير ديسمبر'!AE94+'مسير ديسمبر'!AF94,0))</f>
        <v/>
      </c>
      <c r="U94" s="111" t="str">
        <f aca="false">IF(OR($B94="",F94="✖ منتهي الخدمة"),"",IF(AND(ISNUMBER(I94),I94&lt;=cfg_ALERT),N94,0)+IF(AND(ISNUMBER(L94),L94&lt;=cfg_ALERT),O94,0))</f>
        <v/>
      </c>
    </row>
    <row r="95" customFormat="false" ht="15" hidden="false" customHeight="false" outlineLevel="0" collapsed="false">
      <c r="B95" s="117" t="str">
        <f aca="false">IF(الموظفون!$B95="","",الموظفون!$B95)</f>
        <v/>
      </c>
      <c r="C95" s="117" t="str">
        <f aca="false">IF($B95="","",الموظفون!$C95)</f>
        <v/>
      </c>
      <c r="D95" s="117" t="str">
        <f aca="false">IF($B95="","",الموظفون!$D95)</f>
        <v/>
      </c>
      <c r="E95" s="117" t="str">
        <f aca="false">IF($B95="","",الموظفون!$E95)</f>
        <v/>
      </c>
      <c r="F95" s="117" t="str">
        <f aca="false">IF($B95="","",الموظفون!$AG95)</f>
        <v/>
      </c>
      <c r="G95" s="117" t="str">
        <f aca="false">IF($B95="","",IF(الموظفون!$I95="","",الموظفون!$I95))</f>
        <v/>
      </c>
      <c r="H95" s="175" t="str">
        <f aca="false">IF($B95="","",IF(الموظفون!$J95="","",الموظفون!$J95))</f>
        <v/>
      </c>
      <c r="I95" s="133" t="str">
        <f aca="false">IF(OR($B95="",H95=""),"",H95-cfg_TRACK)</f>
        <v/>
      </c>
      <c r="J95" s="117" t="str">
        <f aca="false">IF(OR($B95="",$F95="✖ منتهي الخدمة"),"",IF(H95="",IF($E95="غير سعودي","⚠ أدخل التاريخ","-"),IF(I95&lt;0,"✖ منتهية منذ "&amp;TEXT(-I95,"0")&amp;" يوم",IF(I95&lt;=cfg_ALERT,"⚠ تنتهي خلال "&amp;TEXT(I95,"0")&amp;" يوم","✔ سارية"))))</f>
        <v/>
      </c>
      <c r="K95" s="175" t="str">
        <f aca="false">IF($B95="","",IF(الموظفون!$K95="","",الموظفون!$K95))</f>
        <v/>
      </c>
      <c r="L95" s="133" t="str">
        <f aca="false">IF(OR($B95="",K95=""),"",K95-cfg_TRACK)</f>
        <v/>
      </c>
      <c r="M95" s="117" t="str">
        <f aca="false">IF(OR($B95="",$F95="✖ منتهي الخدمة"),"",IF(K95="",IF($E95="غير سعودي","⚠ أدخل التاريخ","-"),IF(L95&lt;0,"✖ منتهية منذ "&amp;TEXT(-L95,"0")&amp;" يوم",IF(L95&lt;=cfg_ALERT,"⚠ تنتهي خلال "&amp;TEXT(L95,"0")&amp;" يوم","✔ سارية"))))</f>
        <v/>
      </c>
      <c r="N95" s="116" t="str">
        <f aca="false">IF($B95="","",IF(F95="✖ منتهي الخدمة",0,IF(الموظفون!$X95&lt;&gt;"",الموظفون!$X95,IF(الموظفون!$E95="غير سعودي",cfg_IQ,0))))</f>
        <v/>
      </c>
      <c r="O95" s="116" t="str">
        <f aca="false">IF($B95="","",IF(F95="✖ منتهي الخدمة",0,IF(الموظفون!$Y95&lt;&gt;"",الموظفون!$Y95,IF(الموظفون!$E95="غير سعودي",cfg_WP,0))))</f>
        <v/>
      </c>
      <c r="P95" s="116" t="str">
        <f aca="false">IF($B95="","",IF(F95="✖ منتهي الخدمة",0,IF(الموظفون!$Z95&lt;&gt;"",الموظفون!$Z95,cfg_MED)))</f>
        <v/>
      </c>
      <c r="Q95" s="116" t="str">
        <f aca="false">IF($B95="","",IF(F95="✖ منتهي الخدمة",0,N(الموظفون!$AA95)))</f>
        <v/>
      </c>
      <c r="R95" s="116" t="str">
        <f aca="false">IF($B95="","",SUM(N95:Q95))</f>
        <v/>
      </c>
      <c r="S95" s="116" t="str">
        <f aca="false">IF($B95="","",R95/12)</f>
        <v/>
      </c>
      <c r="T95" s="116" t="str">
        <f aca="false">IF($B95="","",IF(1&lt;=cfg_VAL_M,'مسير يناير'!AD95+'مسير يناير'!AE95+'مسير يناير'!AF95,0)+IF(2&lt;=cfg_VAL_M,'مسير فبراير'!AD95+'مسير فبراير'!AE95+'مسير فبراير'!AF95,0)+IF(3&lt;=cfg_VAL_M,'مسير مارس'!AD95+'مسير مارس'!AE95+'مسير مارس'!AF95,0)+IF(4&lt;=cfg_VAL_M,'مسير أبريل'!AD95+'مسير أبريل'!AE95+'مسير أبريل'!AF95,0)+IF(5&lt;=cfg_VAL_M,'مسير مايو'!AD95+'مسير مايو'!AE95+'مسير مايو'!AF95,0)+IF(6&lt;=cfg_VAL_M,'مسير يونيو'!AD95+'مسير يونيو'!AE95+'مسير يونيو'!AF95,0)+IF(7&lt;=cfg_VAL_M,'مسير يوليو'!AD95+'مسير يوليو'!AE95+'مسير يوليو'!AF95,0)+IF(8&lt;=cfg_VAL_M,'مسير أغسطس'!AD95+'مسير أغسطس'!AE95+'مسير أغسطس'!AF95,0)+IF(9&lt;=cfg_VAL_M,'مسير سبتمبر'!AD95+'مسير سبتمبر'!AE95+'مسير سبتمبر'!AF95,0)+IF(10&lt;=cfg_VAL_M,'مسير أكتوبر'!AD95+'مسير أكتوبر'!AE95+'مسير أكتوبر'!AF95,0)+IF(11&lt;=cfg_VAL_M,'مسير نوفمبر'!AD95+'مسير نوفمبر'!AE95+'مسير نوفمبر'!AF95,0)+IF(12&lt;=cfg_VAL_M,'مسير ديسمبر'!AD95+'مسير ديسمبر'!AE95+'مسير ديسمبر'!AF95,0))</f>
        <v/>
      </c>
      <c r="U95" s="116" t="str">
        <f aca="false">IF(OR($B95="",F95="✖ منتهي الخدمة"),"",IF(AND(ISNUMBER(I95),I95&lt;=cfg_ALERT),N95,0)+IF(AND(ISNUMBER(L95),L95&lt;=cfg_ALERT),O95,0))</f>
        <v/>
      </c>
    </row>
    <row r="96" customFormat="false" ht="15" hidden="false" customHeight="false" outlineLevel="0" collapsed="false">
      <c r="B96" s="114" t="str">
        <f aca="false">IF(الموظفون!$B96="","",الموظفون!$B96)</f>
        <v/>
      </c>
      <c r="C96" s="114" t="str">
        <f aca="false">IF($B96="","",الموظفون!$C96)</f>
        <v/>
      </c>
      <c r="D96" s="114" t="str">
        <f aca="false">IF($B96="","",الموظفون!$D96)</f>
        <v/>
      </c>
      <c r="E96" s="114" t="str">
        <f aca="false">IF($B96="","",الموظفون!$E96)</f>
        <v/>
      </c>
      <c r="F96" s="114" t="str">
        <f aca="false">IF($B96="","",الموظفون!$AG96)</f>
        <v/>
      </c>
      <c r="G96" s="114" t="str">
        <f aca="false">IF($B96="","",IF(الموظفون!$I96="","",الموظفون!$I96))</f>
        <v/>
      </c>
      <c r="H96" s="174" t="str">
        <f aca="false">IF($B96="","",IF(الموظفون!$J96="","",الموظفون!$J96))</f>
        <v/>
      </c>
      <c r="I96" s="65" t="str">
        <f aca="false">IF(OR($B96="",H96=""),"",H96-cfg_TRACK)</f>
        <v/>
      </c>
      <c r="J96" s="114" t="str">
        <f aca="false">IF(OR($B96="",$F96="✖ منتهي الخدمة"),"",IF(H96="",IF($E96="غير سعودي","⚠ أدخل التاريخ","-"),IF(I96&lt;0,"✖ منتهية منذ "&amp;TEXT(-I96,"0")&amp;" يوم",IF(I96&lt;=cfg_ALERT,"⚠ تنتهي خلال "&amp;TEXT(I96,"0")&amp;" يوم","✔ سارية"))))</f>
        <v/>
      </c>
      <c r="K96" s="174" t="str">
        <f aca="false">IF($B96="","",IF(الموظفون!$K96="","",الموظفون!$K96))</f>
        <v/>
      </c>
      <c r="L96" s="65" t="str">
        <f aca="false">IF(OR($B96="",K96=""),"",K96-cfg_TRACK)</f>
        <v/>
      </c>
      <c r="M96" s="114" t="str">
        <f aca="false">IF(OR($B96="",$F96="✖ منتهي الخدمة"),"",IF(K96="",IF($E96="غير سعودي","⚠ أدخل التاريخ","-"),IF(L96&lt;0,"✖ منتهية منذ "&amp;TEXT(-L96,"0")&amp;" يوم",IF(L96&lt;=cfg_ALERT,"⚠ تنتهي خلال "&amp;TEXT(L96,"0")&amp;" يوم","✔ سارية"))))</f>
        <v/>
      </c>
      <c r="N96" s="111" t="str">
        <f aca="false">IF($B96="","",IF(F96="✖ منتهي الخدمة",0,IF(الموظفون!$X96&lt;&gt;"",الموظفون!$X96,IF(الموظفون!$E96="غير سعودي",cfg_IQ,0))))</f>
        <v/>
      </c>
      <c r="O96" s="111" t="str">
        <f aca="false">IF($B96="","",IF(F96="✖ منتهي الخدمة",0,IF(الموظفون!$Y96&lt;&gt;"",الموظفون!$Y96,IF(الموظفون!$E96="غير سعودي",cfg_WP,0))))</f>
        <v/>
      </c>
      <c r="P96" s="111" t="str">
        <f aca="false">IF($B96="","",IF(F96="✖ منتهي الخدمة",0,IF(الموظفون!$Z96&lt;&gt;"",الموظفون!$Z96,cfg_MED)))</f>
        <v/>
      </c>
      <c r="Q96" s="111" t="str">
        <f aca="false">IF($B96="","",IF(F96="✖ منتهي الخدمة",0,N(الموظفون!$AA96)))</f>
        <v/>
      </c>
      <c r="R96" s="111" t="str">
        <f aca="false">IF($B96="","",SUM(N96:Q96))</f>
        <v/>
      </c>
      <c r="S96" s="111" t="str">
        <f aca="false">IF($B96="","",R96/12)</f>
        <v/>
      </c>
      <c r="T96" s="111" t="str">
        <f aca="false">IF($B96="","",IF(1&lt;=cfg_VAL_M,'مسير يناير'!AD96+'مسير يناير'!AE96+'مسير يناير'!AF96,0)+IF(2&lt;=cfg_VAL_M,'مسير فبراير'!AD96+'مسير فبراير'!AE96+'مسير فبراير'!AF96,0)+IF(3&lt;=cfg_VAL_M,'مسير مارس'!AD96+'مسير مارس'!AE96+'مسير مارس'!AF96,0)+IF(4&lt;=cfg_VAL_M,'مسير أبريل'!AD96+'مسير أبريل'!AE96+'مسير أبريل'!AF96,0)+IF(5&lt;=cfg_VAL_M,'مسير مايو'!AD96+'مسير مايو'!AE96+'مسير مايو'!AF96,0)+IF(6&lt;=cfg_VAL_M,'مسير يونيو'!AD96+'مسير يونيو'!AE96+'مسير يونيو'!AF96,0)+IF(7&lt;=cfg_VAL_M,'مسير يوليو'!AD96+'مسير يوليو'!AE96+'مسير يوليو'!AF96,0)+IF(8&lt;=cfg_VAL_M,'مسير أغسطس'!AD96+'مسير أغسطس'!AE96+'مسير أغسطس'!AF96,0)+IF(9&lt;=cfg_VAL_M,'مسير سبتمبر'!AD96+'مسير سبتمبر'!AE96+'مسير سبتمبر'!AF96,0)+IF(10&lt;=cfg_VAL_M,'مسير أكتوبر'!AD96+'مسير أكتوبر'!AE96+'مسير أكتوبر'!AF96,0)+IF(11&lt;=cfg_VAL_M,'مسير نوفمبر'!AD96+'مسير نوفمبر'!AE96+'مسير نوفمبر'!AF96,0)+IF(12&lt;=cfg_VAL_M,'مسير ديسمبر'!AD96+'مسير ديسمبر'!AE96+'مسير ديسمبر'!AF96,0))</f>
        <v/>
      </c>
      <c r="U96" s="111" t="str">
        <f aca="false">IF(OR($B96="",F96="✖ منتهي الخدمة"),"",IF(AND(ISNUMBER(I96),I96&lt;=cfg_ALERT),N96,0)+IF(AND(ISNUMBER(L96),L96&lt;=cfg_ALERT),O96,0))</f>
        <v/>
      </c>
    </row>
    <row r="97" customFormat="false" ht="15" hidden="false" customHeight="false" outlineLevel="0" collapsed="false">
      <c r="B97" s="117" t="str">
        <f aca="false">IF(الموظفون!$B97="","",الموظفون!$B97)</f>
        <v/>
      </c>
      <c r="C97" s="117" t="str">
        <f aca="false">IF($B97="","",الموظفون!$C97)</f>
        <v/>
      </c>
      <c r="D97" s="117" t="str">
        <f aca="false">IF($B97="","",الموظفون!$D97)</f>
        <v/>
      </c>
      <c r="E97" s="117" t="str">
        <f aca="false">IF($B97="","",الموظفون!$E97)</f>
        <v/>
      </c>
      <c r="F97" s="117" t="str">
        <f aca="false">IF($B97="","",الموظفون!$AG97)</f>
        <v/>
      </c>
      <c r="G97" s="117" t="str">
        <f aca="false">IF($B97="","",IF(الموظفون!$I97="","",الموظفون!$I97))</f>
        <v/>
      </c>
      <c r="H97" s="175" t="str">
        <f aca="false">IF($B97="","",IF(الموظفون!$J97="","",الموظفون!$J97))</f>
        <v/>
      </c>
      <c r="I97" s="133" t="str">
        <f aca="false">IF(OR($B97="",H97=""),"",H97-cfg_TRACK)</f>
        <v/>
      </c>
      <c r="J97" s="117" t="str">
        <f aca="false">IF(OR($B97="",$F97="✖ منتهي الخدمة"),"",IF(H97="",IF($E97="غير سعودي","⚠ أدخل التاريخ","-"),IF(I97&lt;0,"✖ منتهية منذ "&amp;TEXT(-I97,"0")&amp;" يوم",IF(I97&lt;=cfg_ALERT,"⚠ تنتهي خلال "&amp;TEXT(I97,"0")&amp;" يوم","✔ سارية"))))</f>
        <v/>
      </c>
      <c r="K97" s="175" t="str">
        <f aca="false">IF($B97="","",IF(الموظفون!$K97="","",الموظفون!$K97))</f>
        <v/>
      </c>
      <c r="L97" s="133" t="str">
        <f aca="false">IF(OR($B97="",K97=""),"",K97-cfg_TRACK)</f>
        <v/>
      </c>
      <c r="M97" s="117" t="str">
        <f aca="false">IF(OR($B97="",$F97="✖ منتهي الخدمة"),"",IF(K97="",IF($E97="غير سعودي","⚠ أدخل التاريخ","-"),IF(L97&lt;0,"✖ منتهية منذ "&amp;TEXT(-L97,"0")&amp;" يوم",IF(L97&lt;=cfg_ALERT,"⚠ تنتهي خلال "&amp;TEXT(L97,"0")&amp;" يوم","✔ سارية"))))</f>
        <v/>
      </c>
      <c r="N97" s="116" t="str">
        <f aca="false">IF($B97="","",IF(F97="✖ منتهي الخدمة",0,IF(الموظفون!$X97&lt;&gt;"",الموظفون!$X97,IF(الموظفون!$E97="غير سعودي",cfg_IQ,0))))</f>
        <v/>
      </c>
      <c r="O97" s="116" t="str">
        <f aca="false">IF($B97="","",IF(F97="✖ منتهي الخدمة",0,IF(الموظفون!$Y97&lt;&gt;"",الموظفون!$Y97,IF(الموظفون!$E97="غير سعودي",cfg_WP,0))))</f>
        <v/>
      </c>
      <c r="P97" s="116" t="str">
        <f aca="false">IF($B97="","",IF(F97="✖ منتهي الخدمة",0,IF(الموظفون!$Z97&lt;&gt;"",الموظفون!$Z97,cfg_MED)))</f>
        <v/>
      </c>
      <c r="Q97" s="116" t="str">
        <f aca="false">IF($B97="","",IF(F97="✖ منتهي الخدمة",0,N(الموظفون!$AA97)))</f>
        <v/>
      </c>
      <c r="R97" s="116" t="str">
        <f aca="false">IF($B97="","",SUM(N97:Q97))</f>
        <v/>
      </c>
      <c r="S97" s="116" t="str">
        <f aca="false">IF($B97="","",R97/12)</f>
        <v/>
      </c>
      <c r="T97" s="116" t="str">
        <f aca="false">IF($B97="","",IF(1&lt;=cfg_VAL_M,'مسير يناير'!AD97+'مسير يناير'!AE97+'مسير يناير'!AF97,0)+IF(2&lt;=cfg_VAL_M,'مسير فبراير'!AD97+'مسير فبراير'!AE97+'مسير فبراير'!AF97,0)+IF(3&lt;=cfg_VAL_M,'مسير مارس'!AD97+'مسير مارس'!AE97+'مسير مارس'!AF97,0)+IF(4&lt;=cfg_VAL_M,'مسير أبريل'!AD97+'مسير أبريل'!AE97+'مسير أبريل'!AF97,0)+IF(5&lt;=cfg_VAL_M,'مسير مايو'!AD97+'مسير مايو'!AE97+'مسير مايو'!AF97,0)+IF(6&lt;=cfg_VAL_M,'مسير يونيو'!AD97+'مسير يونيو'!AE97+'مسير يونيو'!AF97,0)+IF(7&lt;=cfg_VAL_M,'مسير يوليو'!AD97+'مسير يوليو'!AE97+'مسير يوليو'!AF97,0)+IF(8&lt;=cfg_VAL_M,'مسير أغسطس'!AD97+'مسير أغسطس'!AE97+'مسير أغسطس'!AF97,0)+IF(9&lt;=cfg_VAL_M,'مسير سبتمبر'!AD97+'مسير سبتمبر'!AE97+'مسير سبتمبر'!AF97,0)+IF(10&lt;=cfg_VAL_M,'مسير أكتوبر'!AD97+'مسير أكتوبر'!AE97+'مسير أكتوبر'!AF97,0)+IF(11&lt;=cfg_VAL_M,'مسير نوفمبر'!AD97+'مسير نوفمبر'!AE97+'مسير نوفمبر'!AF97,0)+IF(12&lt;=cfg_VAL_M,'مسير ديسمبر'!AD97+'مسير ديسمبر'!AE97+'مسير ديسمبر'!AF97,0))</f>
        <v/>
      </c>
      <c r="U97" s="116" t="str">
        <f aca="false">IF(OR($B97="",F97="✖ منتهي الخدمة"),"",IF(AND(ISNUMBER(I97),I97&lt;=cfg_ALERT),N97,0)+IF(AND(ISNUMBER(L97),L97&lt;=cfg_ALERT),O97,0))</f>
        <v/>
      </c>
    </row>
    <row r="98" customFormat="false" ht="15" hidden="false" customHeight="false" outlineLevel="0" collapsed="false">
      <c r="B98" s="114" t="str">
        <f aca="false">IF(الموظفون!$B98="","",الموظفون!$B98)</f>
        <v/>
      </c>
      <c r="C98" s="114" t="str">
        <f aca="false">IF($B98="","",الموظفون!$C98)</f>
        <v/>
      </c>
      <c r="D98" s="114" t="str">
        <f aca="false">IF($B98="","",الموظفون!$D98)</f>
        <v/>
      </c>
      <c r="E98" s="114" t="str">
        <f aca="false">IF($B98="","",الموظفون!$E98)</f>
        <v/>
      </c>
      <c r="F98" s="114" t="str">
        <f aca="false">IF($B98="","",الموظفون!$AG98)</f>
        <v/>
      </c>
      <c r="G98" s="114" t="str">
        <f aca="false">IF($B98="","",IF(الموظفون!$I98="","",الموظفون!$I98))</f>
        <v/>
      </c>
      <c r="H98" s="174" t="str">
        <f aca="false">IF($B98="","",IF(الموظفون!$J98="","",الموظفون!$J98))</f>
        <v/>
      </c>
      <c r="I98" s="65" t="str">
        <f aca="false">IF(OR($B98="",H98=""),"",H98-cfg_TRACK)</f>
        <v/>
      </c>
      <c r="J98" s="114" t="str">
        <f aca="false">IF(OR($B98="",$F98="✖ منتهي الخدمة"),"",IF(H98="",IF($E98="غير سعودي","⚠ أدخل التاريخ","-"),IF(I98&lt;0,"✖ منتهية منذ "&amp;TEXT(-I98,"0")&amp;" يوم",IF(I98&lt;=cfg_ALERT,"⚠ تنتهي خلال "&amp;TEXT(I98,"0")&amp;" يوم","✔ سارية"))))</f>
        <v/>
      </c>
      <c r="K98" s="174" t="str">
        <f aca="false">IF($B98="","",IF(الموظفون!$K98="","",الموظفون!$K98))</f>
        <v/>
      </c>
      <c r="L98" s="65" t="str">
        <f aca="false">IF(OR($B98="",K98=""),"",K98-cfg_TRACK)</f>
        <v/>
      </c>
      <c r="M98" s="114" t="str">
        <f aca="false">IF(OR($B98="",$F98="✖ منتهي الخدمة"),"",IF(K98="",IF($E98="غير سعودي","⚠ أدخل التاريخ","-"),IF(L98&lt;0,"✖ منتهية منذ "&amp;TEXT(-L98,"0")&amp;" يوم",IF(L98&lt;=cfg_ALERT,"⚠ تنتهي خلال "&amp;TEXT(L98,"0")&amp;" يوم","✔ سارية"))))</f>
        <v/>
      </c>
      <c r="N98" s="111" t="str">
        <f aca="false">IF($B98="","",IF(F98="✖ منتهي الخدمة",0,IF(الموظفون!$X98&lt;&gt;"",الموظفون!$X98,IF(الموظفون!$E98="غير سعودي",cfg_IQ,0))))</f>
        <v/>
      </c>
      <c r="O98" s="111" t="str">
        <f aca="false">IF($B98="","",IF(F98="✖ منتهي الخدمة",0,IF(الموظفون!$Y98&lt;&gt;"",الموظفون!$Y98,IF(الموظفون!$E98="غير سعودي",cfg_WP,0))))</f>
        <v/>
      </c>
      <c r="P98" s="111" t="str">
        <f aca="false">IF($B98="","",IF(F98="✖ منتهي الخدمة",0,IF(الموظفون!$Z98&lt;&gt;"",الموظفون!$Z98,cfg_MED)))</f>
        <v/>
      </c>
      <c r="Q98" s="111" t="str">
        <f aca="false">IF($B98="","",IF(F98="✖ منتهي الخدمة",0,N(الموظفون!$AA98)))</f>
        <v/>
      </c>
      <c r="R98" s="111" t="str">
        <f aca="false">IF($B98="","",SUM(N98:Q98))</f>
        <v/>
      </c>
      <c r="S98" s="111" t="str">
        <f aca="false">IF($B98="","",R98/12)</f>
        <v/>
      </c>
      <c r="T98" s="111" t="str">
        <f aca="false">IF($B98="","",IF(1&lt;=cfg_VAL_M,'مسير يناير'!AD98+'مسير يناير'!AE98+'مسير يناير'!AF98,0)+IF(2&lt;=cfg_VAL_M,'مسير فبراير'!AD98+'مسير فبراير'!AE98+'مسير فبراير'!AF98,0)+IF(3&lt;=cfg_VAL_M,'مسير مارس'!AD98+'مسير مارس'!AE98+'مسير مارس'!AF98,0)+IF(4&lt;=cfg_VAL_M,'مسير أبريل'!AD98+'مسير أبريل'!AE98+'مسير أبريل'!AF98,0)+IF(5&lt;=cfg_VAL_M,'مسير مايو'!AD98+'مسير مايو'!AE98+'مسير مايو'!AF98,0)+IF(6&lt;=cfg_VAL_M,'مسير يونيو'!AD98+'مسير يونيو'!AE98+'مسير يونيو'!AF98,0)+IF(7&lt;=cfg_VAL_M,'مسير يوليو'!AD98+'مسير يوليو'!AE98+'مسير يوليو'!AF98,0)+IF(8&lt;=cfg_VAL_M,'مسير أغسطس'!AD98+'مسير أغسطس'!AE98+'مسير أغسطس'!AF98,0)+IF(9&lt;=cfg_VAL_M,'مسير سبتمبر'!AD98+'مسير سبتمبر'!AE98+'مسير سبتمبر'!AF98,0)+IF(10&lt;=cfg_VAL_M,'مسير أكتوبر'!AD98+'مسير أكتوبر'!AE98+'مسير أكتوبر'!AF98,0)+IF(11&lt;=cfg_VAL_M,'مسير نوفمبر'!AD98+'مسير نوفمبر'!AE98+'مسير نوفمبر'!AF98,0)+IF(12&lt;=cfg_VAL_M,'مسير ديسمبر'!AD98+'مسير ديسمبر'!AE98+'مسير ديسمبر'!AF98,0))</f>
        <v/>
      </c>
      <c r="U98" s="111" t="str">
        <f aca="false">IF(OR($B98="",F98="✖ منتهي الخدمة"),"",IF(AND(ISNUMBER(I98),I98&lt;=cfg_ALERT),N98,0)+IF(AND(ISNUMBER(L98),L98&lt;=cfg_ALERT),O98,0))</f>
        <v/>
      </c>
    </row>
    <row r="99" customFormat="false" ht="15" hidden="false" customHeight="false" outlineLevel="0" collapsed="false">
      <c r="B99" s="117" t="str">
        <f aca="false">IF(الموظفون!$B99="","",الموظفون!$B99)</f>
        <v/>
      </c>
      <c r="C99" s="117" t="str">
        <f aca="false">IF($B99="","",الموظفون!$C99)</f>
        <v/>
      </c>
      <c r="D99" s="117" t="str">
        <f aca="false">IF($B99="","",الموظفون!$D99)</f>
        <v/>
      </c>
      <c r="E99" s="117" t="str">
        <f aca="false">IF($B99="","",الموظفون!$E99)</f>
        <v/>
      </c>
      <c r="F99" s="117" t="str">
        <f aca="false">IF($B99="","",الموظفون!$AG99)</f>
        <v/>
      </c>
      <c r="G99" s="117" t="str">
        <f aca="false">IF($B99="","",IF(الموظفون!$I99="","",الموظفون!$I99))</f>
        <v/>
      </c>
      <c r="H99" s="175" t="str">
        <f aca="false">IF($B99="","",IF(الموظفون!$J99="","",الموظفون!$J99))</f>
        <v/>
      </c>
      <c r="I99" s="133" t="str">
        <f aca="false">IF(OR($B99="",H99=""),"",H99-cfg_TRACK)</f>
        <v/>
      </c>
      <c r="J99" s="117" t="str">
        <f aca="false">IF(OR($B99="",$F99="✖ منتهي الخدمة"),"",IF(H99="",IF($E99="غير سعودي","⚠ أدخل التاريخ","-"),IF(I99&lt;0,"✖ منتهية منذ "&amp;TEXT(-I99,"0")&amp;" يوم",IF(I99&lt;=cfg_ALERT,"⚠ تنتهي خلال "&amp;TEXT(I99,"0")&amp;" يوم","✔ سارية"))))</f>
        <v/>
      </c>
      <c r="K99" s="175" t="str">
        <f aca="false">IF($B99="","",IF(الموظفون!$K99="","",الموظفون!$K99))</f>
        <v/>
      </c>
      <c r="L99" s="133" t="str">
        <f aca="false">IF(OR($B99="",K99=""),"",K99-cfg_TRACK)</f>
        <v/>
      </c>
      <c r="M99" s="117" t="str">
        <f aca="false">IF(OR($B99="",$F99="✖ منتهي الخدمة"),"",IF(K99="",IF($E99="غير سعودي","⚠ أدخل التاريخ","-"),IF(L99&lt;0,"✖ منتهية منذ "&amp;TEXT(-L99,"0")&amp;" يوم",IF(L99&lt;=cfg_ALERT,"⚠ تنتهي خلال "&amp;TEXT(L99,"0")&amp;" يوم","✔ سارية"))))</f>
        <v/>
      </c>
      <c r="N99" s="116" t="str">
        <f aca="false">IF($B99="","",IF(F99="✖ منتهي الخدمة",0,IF(الموظفون!$X99&lt;&gt;"",الموظفون!$X99,IF(الموظفون!$E99="غير سعودي",cfg_IQ,0))))</f>
        <v/>
      </c>
      <c r="O99" s="116" t="str">
        <f aca="false">IF($B99="","",IF(F99="✖ منتهي الخدمة",0,IF(الموظفون!$Y99&lt;&gt;"",الموظفون!$Y99,IF(الموظفون!$E99="غير سعودي",cfg_WP,0))))</f>
        <v/>
      </c>
      <c r="P99" s="116" t="str">
        <f aca="false">IF($B99="","",IF(F99="✖ منتهي الخدمة",0,IF(الموظفون!$Z99&lt;&gt;"",الموظفون!$Z99,cfg_MED)))</f>
        <v/>
      </c>
      <c r="Q99" s="116" t="str">
        <f aca="false">IF($B99="","",IF(F99="✖ منتهي الخدمة",0,N(الموظفون!$AA99)))</f>
        <v/>
      </c>
      <c r="R99" s="116" t="str">
        <f aca="false">IF($B99="","",SUM(N99:Q99))</f>
        <v/>
      </c>
      <c r="S99" s="116" t="str">
        <f aca="false">IF($B99="","",R99/12)</f>
        <v/>
      </c>
      <c r="T99" s="116" t="str">
        <f aca="false">IF($B99="","",IF(1&lt;=cfg_VAL_M,'مسير يناير'!AD99+'مسير يناير'!AE99+'مسير يناير'!AF99,0)+IF(2&lt;=cfg_VAL_M,'مسير فبراير'!AD99+'مسير فبراير'!AE99+'مسير فبراير'!AF99,0)+IF(3&lt;=cfg_VAL_M,'مسير مارس'!AD99+'مسير مارس'!AE99+'مسير مارس'!AF99,0)+IF(4&lt;=cfg_VAL_M,'مسير أبريل'!AD99+'مسير أبريل'!AE99+'مسير أبريل'!AF99,0)+IF(5&lt;=cfg_VAL_M,'مسير مايو'!AD99+'مسير مايو'!AE99+'مسير مايو'!AF99,0)+IF(6&lt;=cfg_VAL_M,'مسير يونيو'!AD99+'مسير يونيو'!AE99+'مسير يونيو'!AF99,0)+IF(7&lt;=cfg_VAL_M,'مسير يوليو'!AD99+'مسير يوليو'!AE99+'مسير يوليو'!AF99,0)+IF(8&lt;=cfg_VAL_M,'مسير أغسطس'!AD99+'مسير أغسطس'!AE99+'مسير أغسطس'!AF99,0)+IF(9&lt;=cfg_VAL_M,'مسير سبتمبر'!AD99+'مسير سبتمبر'!AE99+'مسير سبتمبر'!AF99,0)+IF(10&lt;=cfg_VAL_M,'مسير أكتوبر'!AD99+'مسير أكتوبر'!AE99+'مسير أكتوبر'!AF99,0)+IF(11&lt;=cfg_VAL_M,'مسير نوفمبر'!AD99+'مسير نوفمبر'!AE99+'مسير نوفمبر'!AF99,0)+IF(12&lt;=cfg_VAL_M,'مسير ديسمبر'!AD99+'مسير ديسمبر'!AE99+'مسير ديسمبر'!AF99,0))</f>
        <v/>
      </c>
      <c r="U99" s="116" t="str">
        <f aca="false">IF(OR($B99="",F99="✖ منتهي الخدمة"),"",IF(AND(ISNUMBER(I99),I99&lt;=cfg_ALERT),N99,0)+IF(AND(ISNUMBER(L99),L99&lt;=cfg_ALERT),O99,0))</f>
        <v/>
      </c>
    </row>
    <row r="100" customFormat="false" ht="15" hidden="false" customHeight="false" outlineLevel="0" collapsed="false">
      <c r="B100" s="114" t="str">
        <f aca="false">IF(الموظفون!$B100="","",الموظفون!$B100)</f>
        <v/>
      </c>
      <c r="C100" s="114" t="str">
        <f aca="false">IF($B100="","",الموظفون!$C100)</f>
        <v/>
      </c>
      <c r="D100" s="114" t="str">
        <f aca="false">IF($B100="","",الموظفون!$D100)</f>
        <v/>
      </c>
      <c r="E100" s="114" t="str">
        <f aca="false">IF($B100="","",الموظفون!$E100)</f>
        <v/>
      </c>
      <c r="F100" s="114" t="str">
        <f aca="false">IF($B100="","",الموظفون!$AG100)</f>
        <v/>
      </c>
      <c r="G100" s="114" t="str">
        <f aca="false">IF($B100="","",IF(الموظفون!$I100="","",الموظفون!$I100))</f>
        <v/>
      </c>
      <c r="H100" s="174" t="str">
        <f aca="false">IF($B100="","",IF(الموظفون!$J100="","",الموظفون!$J100))</f>
        <v/>
      </c>
      <c r="I100" s="65" t="str">
        <f aca="false">IF(OR($B100="",H100=""),"",H100-cfg_TRACK)</f>
        <v/>
      </c>
      <c r="J100" s="114" t="str">
        <f aca="false">IF(OR($B100="",$F100="✖ منتهي الخدمة"),"",IF(H100="",IF($E100="غير سعودي","⚠ أدخل التاريخ","-"),IF(I100&lt;0,"✖ منتهية منذ "&amp;TEXT(-I100,"0")&amp;" يوم",IF(I100&lt;=cfg_ALERT,"⚠ تنتهي خلال "&amp;TEXT(I100,"0")&amp;" يوم","✔ سارية"))))</f>
        <v/>
      </c>
      <c r="K100" s="174" t="str">
        <f aca="false">IF($B100="","",IF(الموظفون!$K100="","",الموظفون!$K100))</f>
        <v/>
      </c>
      <c r="L100" s="65" t="str">
        <f aca="false">IF(OR($B100="",K100=""),"",K100-cfg_TRACK)</f>
        <v/>
      </c>
      <c r="M100" s="114" t="str">
        <f aca="false">IF(OR($B100="",$F100="✖ منتهي الخدمة"),"",IF(K100="",IF($E100="غير سعودي","⚠ أدخل التاريخ","-"),IF(L100&lt;0,"✖ منتهية منذ "&amp;TEXT(-L100,"0")&amp;" يوم",IF(L100&lt;=cfg_ALERT,"⚠ تنتهي خلال "&amp;TEXT(L100,"0")&amp;" يوم","✔ سارية"))))</f>
        <v/>
      </c>
      <c r="N100" s="111" t="str">
        <f aca="false">IF($B100="","",IF(F100="✖ منتهي الخدمة",0,IF(الموظفون!$X100&lt;&gt;"",الموظفون!$X100,IF(الموظفون!$E100="غير سعودي",cfg_IQ,0))))</f>
        <v/>
      </c>
      <c r="O100" s="111" t="str">
        <f aca="false">IF($B100="","",IF(F100="✖ منتهي الخدمة",0,IF(الموظفون!$Y100&lt;&gt;"",الموظفون!$Y100,IF(الموظفون!$E100="غير سعودي",cfg_WP,0))))</f>
        <v/>
      </c>
      <c r="P100" s="111" t="str">
        <f aca="false">IF($B100="","",IF(F100="✖ منتهي الخدمة",0,IF(الموظفون!$Z100&lt;&gt;"",الموظفون!$Z100,cfg_MED)))</f>
        <v/>
      </c>
      <c r="Q100" s="111" t="str">
        <f aca="false">IF($B100="","",IF(F100="✖ منتهي الخدمة",0,N(الموظفون!$AA100)))</f>
        <v/>
      </c>
      <c r="R100" s="111" t="str">
        <f aca="false">IF($B100="","",SUM(N100:Q100))</f>
        <v/>
      </c>
      <c r="S100" s="111" t="str">
        <f aca="false">IF($B100="","",R100/12)</f>
        <v/>
      </c>
      <c r="T100" s="111" t="str">
        <f aca="false">IF($B100="","",IF(1&lt;=cfg_VAL_M,'مسير يناير'!AD100+'مسير يناير'!AE100+'مسير يناير'!AF100,0)+IF(2&lt;=cfg_VAL_M,'مسير فبراير'!AD100+'مسير فبراير'!AE100+'مسير فبراير'!AF100,0)+IF(3&lt;=cfg_VAL_M,'مسير مارس'!AD100+'مسير مارس'!AE100+'مسير مارس'!AF100,0)+IF(4&lt;=cfg_VAL_M,'مسير أبريل'!AD100+'مسير أبريل'!AE100+'مسير أبريل'!AF100,0)+IF(5&lt;=cfg_VAL_M,'مسير مايو'!AD100+'مسير مايو'!AE100+'مسير مايو'!AF100,0)+IF(6&lt;=cfg_VAL_M,'مسير يونيو'!AD100+'مسير يونيو'!AE100+'مسير يونيو'!AF100,0)+IF(7&lt;=cfg_VAL_M,'مسير يوليو'!AD100+'مسير يوليو'!AE100+'مسير يوليو'!AF100,0)+IF(8&lt;=cfg_VAL_M,'مسير أغسطس'!AD100+'مسير أغسطس'!AE100+'مسير أغسطس'!AF100,0)+IF(9&lt;=cfg_VAL_M,'مسير سبتمبر'!AD100+'مسير سبتمبر'!AE100+'مسير سبتمبر'!AF100,0)+IF(10&lt;=cfg_VAL_M,'مسير أكتوبر'!AD100+'مسير أكتوبر'!AE100+'مسير أكتوبر'!AF100,0)+IF(11&lt;=cfg_VAL_M,'مسير نوفمبر'!AD100+'مسير نوفمبر'!AE100+'مسير نوفمبر'!AF100,0)+IF(12&lt;=cfg_VAL_M,'مسير ديسمبر'!AD100+'مسير ديسمبر'!AE100+'مسير ديسمبر'!AF100,0))</f>
        <v/>
      </c>
      <c r="U100" s="111" t="str">
        <f aca="false">IF(OR($B100="",F100="✖ منتهي الخدمة"),"",IF(AND(ISNUMBER(I100),I100&lt;=cfg_ALERT),N100,0)+IF(AND(ISNUMBER(L100),L100&lt;=cfg_ALERT),O100,0))</f>
        <v/>
      </c>
    </row>
    <row r="101" customFormat="false" ht="15" hidden="false" customHeight="false" outlineLevel="0" collapsed="false">
      <c r="B101" s="117" t="str">
        <f aca="false">IF(الموظفون!$B101="","",الموظفون!$B101)</f>
        <v/>
      </c>
      <c r="C101" s="117" t="str">
        <f aca="false">IF($B101="","",الموظفون!$C101)</f>
        <v/>
      </c>
      <c r="D101" s="117" t="str">
        <f aca="false">IF($B101="","",الموظفون!$D101)</f>
        <v/>
      </c>
      <c r="E101" s="117" t="str">
        <f aca="false">IF($B101="","",الموظفون!$E101)</f>
        <v/>
      </c>
      <c r="F101" s="117" t="str">
        <f aca="false">IF($B101="","",الموظفون!$AG101)</f>
        <v/>
      </c>
      <c r="G101" s="117" t="str">
        <f aca="false">IF($B101="","",IF(الموظفون!$I101="","",الموظفون!$I101))</f>
        <v/>
      </c>
      <c r="H101" s="175" t="str">
        <f aca="false">IF($B101="","",IF(الموظفون!$J101="","",الموظفون!$J101))</f>
        <v/>
      </c>
      <c r="I101" s="133" t="str">
        <f aca="false">IF(OR($B101="",H101=""),"",H101-cfg_TRACK)</f>
        <v/>
      </c>
      <c r="J101" s="117" t="str">
        <f aca="false">IF(OR($B101="",$F101="✖ منتهي الخدمة"),"",IF(H101="",IF($E101="غير سعودي","⚠ أدخل التاريخ","-"),IF(I101&lt;0,"✖ منتهية منذ "&amp;TEXT(-I101,"0")&amp;" يوم",IF(I101&lt;=cfg_ALERT,"⚠ تنتهي خلال "&amp;TEXT(I101,"0")&amp;" يوم","✔ سارية"))))</f>
        <v/>
      </c>
      <c r="K101" s="175" t="str">
        <f aca="false">IF($B101="","",IF(الموظفون!$K101="","",الموظفون!$K101))</f>
        <v/>
      </c>
      <c r="L101" s="133" t="str">
        <f aca="false">IF(OR($B101="",K101=""),"",K101-cfg_TRACK)</f>
        <v/>
      </c>
      <c r="M101" s="117" t="str">
        <f aca="false">IF(OR($B101="",$F101="✖ منتهي الخدمة"),"",IF(K101="",IF($E101="غير سعودي","⚠ أدخل التاريخ","-"),IF(L101&lt;0,"✖ منتهية منذ "&amp;TEXT(-L101,"0")&amp;" يوم",IF(L101&lt;=cfg_ALERT,"⚠ تنتهي خلال "&amp;TEXT(L101,"0")&amp;" يوم","✔ سارية"))))</f>
        <v/>
      </c>
      <c r="N101" s="116" t="str">
        <f aca="false">IF($B101="","",IF(F101="✖ منتهي الخدمة",0,IF(الموظفون!$X101&lt;&gt;"",الموظفون!$X101,IF(الموظفون!$E101="غير سعودي",cfg_IQ,0))))</f>
        <v/>
      </c>
      <c r="O101" s="116" t="str">
        <f aca="false">IF($B101="","",IF(F101="✖ منتهي الخدمة",0,IF(الموظفون!$Y101&lt;&gt;"",الموظفون!$Y101,IF(الموظفون!$E101="غير سعودي",cfg_WP,0))))</f>
        <v/>
      </c>
      <c r="P101" s="116" t="str">
        <f aca="false">IF($B101="","",IF(F101="✖ منتهي الخدمة",0,IF(الموظفون!$Z101&lt;&gt;"",الموظفون!$Z101,cfg_MED)))</f>
        <v/>
      </c>
      <c r="Q101" s="116" t="str">
        <f aca="false">IF($B101="","",IF(F101="✖ منتهي الخدمة",0,N(الموظفون!$AA101)))</f>
        <v/>
      </c>
      <c r="R101" s="116" t="str">
        <f aca="false">IF($B101="","",SUM(N101:Q101))</f>
        <v/>
      </c>
      <c r="S101" s="116" t="str">
        <f aca="false">IF($B101="","",R101/12)</f>
        <v/>
      </c>
      <c r="T101" s="116" t="str">
        <f aca="false">IF($B101="","",IF(1&lt;=cfg_VAL_M,'مسير يناير'!AD101+'مسير يناير'!AE101+'مسير يناير'!AF101,0)+IF(2&lt;=cfg_VAL_M,'مسير فبراير'!AD101+'مسير فبراير'!AE101+'مسير فبراير'!AF101,0)+IF(3&lt;=cfg_VAL_M,'مسير مارس'!AD101+'مسير مارس'!AE101+'مسير مارس'!AF101,0)+IF(4&lt;=cfg_VAL_M,'مسير أبريل'!AD101+'مسير أبريل'!AE101+'مسير أبريل'!AF101,0)+IF(5&lt;=cfg_VAL_M,'مسير مايو'!AD101+'مسير مايو'!AE101+'مسير مايو'!AF101,0)+IF(6&lt;=cfg_VAL_M,'مسير يونيو'!AD101+'مسير يونيو'!AE101+'مسير يونيو'!AF101,0)+IF(7&lt;=cfg_VAL_M,'مسير يوليو'!AD101+'مسير يوليو'!AE101+'مسير يوليو'!AF101,0)+IF(8&lt;=cfg_VAL_M,'مسير أغسطس'!AD101+'مسير أغسطس'!AE101+'مسير أغسطس'!AF101,0)+IF(9&lt;=cfg_VAL_M,'مسير سبتمبر'!AD101+'مسير سبتمبر'!AE101+'مسير سبتمبر'!AF101,0)+IF(10&lt;=cfg_VAL_M,'مسير أكتوبر'!AD101+'مسير أكتوبر'!AE101+'مسير أكتوبر'!AF101,0)+IF(11&lt;=cfg_VAL_M,'مسير نوفمبر'!AD101+'مسير نوفمبر'!AE101+'مسير نوفمبر'!AF101,0)+IF(12&lt;=cfg_VAL_M,'مسير ديسمبر'!AD101+'مسير ديسمبر'!AE101+'مسير ديسمبر'!AF101,0))</f>
        <v/>
      </c>
      <c r="U101" s="116" t="str">
        <f aca="false">IF(OR($B101="",F101="✖ منتهي الخدمة"),"",IF(AND(ISNUMBER(I101),I101&lt;=cfg_ALERT),N101,0)+IF(AND(ISNUMBER(L101),L101&lt;=cfg_ALERT),O101,0))</f>
        <v/>
      </c>
    </row>
    <row r="102" customFormat="false" ht="15" hidden="false" customHeight="false" outlineLevel="0" collapsed="false">
      <c r="B102" s="114" t="str">
        <f aca="false">IF(الموظفون!$B102="","",الموظفون!$B102)</f>
        <v/>
      </c>
      <c r="C102" s="114" t="str">
        <f aca="false">IF($B102="","",الموظفون!$C102)</f>
        <v/>
      </c>
      <c r="D102" s="114" t="str">
        <f aca="false">IF($B102="","",الموظفون!$D102)</f>
        <v/>
      </c>
      <c r="E102" s="114" t="str">
        <f aca="false">IF($B102="","",الموظفون!$E102)</f>
        <v/>
      </c>
      <c r="F102" s="114" t="str">
        <f aca="false">IF($B102="","",الموظفون!$AG102)</f>
        <v/>
      </c>
      <c r="G102" s="114" t="str">
        <f aca="false">IF($B102="","",IF(الموظفون!$I102="","",الموظفون!$I102))</f>
        <v/>
      </c>
      <c r="H102" s="174" t="str">
        <f aca="false">IF($B102="","",IF(الموظفون!$J102="","",الموظفون!$J102))</f>
        <v/>
      </c>
      <c r="I102" s="65" t="str">
        <f aca="false">IF(OR($B102="",H102=""),"",H102-cfg_TRACK)</f>
        <v/>
      </c>
      <c r="J102" s="114" t="str">
        <f aca="false">IF(OR($B102="",$F102="✖ منتهي الخدمة"),"",IF(H102="",IF($E102="غير سعودي","⚠ أدخل التاريخ","-"),IF(I102&lt;0,"✖ منتهية منذ "&amp;TEXT(-I102,"0")&amp;" يوم",IF(I102&lt;=cfg_ALERT,"⚠ تنتهي خلال "&amp;TEXT(I102,"0")&amp;" يوم","✔ سارية"))))</f>
        <v/>
      </c>
      <c r="K102" s="174" t="str">
        <f aca="false">IF($B102="","",IF(الموظفون!$K102="","",الموظفون!$K102))</f>
        <v/>
      </c>
      <c r="L102" s="65" t="str">
        <f aca="false">IF(OR($B102="",K102=""),"",K102-cfg_TRACK)</f>
        <v/>
      </c>
      <c r="M102" s="114" t="str">
        <f aca="false">IF(OR($B102="",$F102="✖ منتهي الخدمة"),"",IF(K102="",IF($E102="غير سعودي","⚠ أدخل التاريخ","-"),IF(L102&lt;0,"✖ منتهية منذ "&amp;TEXT(-L102,"0")&amp;" يوم",IF(L102&lt;=cfg_ALERT,"⚠ تنتهي خلال "&amp;TEXT(L102,"0")&amp;" يوم","✔ سارية"))))</f>
        <v/>
      </c>
      <c r="N102" s="111" t="str">
        <f aca="false">IF($B102="","",IF(F102="✖ منتهي الخدمة",0,IF(الموظفون!$X102&lt;&gt;"",الموظفون!$X102,IF(الموظفون!$E102="غير سعودي",cfg_IQ,0))))</f>
        <v/>
      </c>
      <c r="O102" s="111" t="str">
        <f aca="false">IF($B102="","",IF(F102="✖ منتهي الخدمة",0,IF(الموظفون!$Y102&lt;&gt;"",الموظفون!$Y102,IF(الموظفون!$E102="غير سعودي",cfg_WP,0))))</f>
        <v/>
      </c>
      <c r="P102" s="111" t="str">
        <f aca="false">IF($B102="","",IF(F102="✖ منتهي الخدمة",0,IF(الموظفون!$Z102&lt;&gt;"",الموظفون!$Z102,cfg_MED)))</f>
        <v/>
      </c>
      <c r="Q102" s="111" t="str">
        <f aca="false">IF($B102="","",IF(F102="✖ منتهي الخدمة",0,N(الموظفون!$AA102)))</f>
        <v/>
      </c>
      <c r="R102" s="111" t="str">
        <f aca="false">IF($B102="","",SUM(N102:Q102))</f>
        <v/>
      </c>
      <c r="S102" s="111" t="str">
        <f aca="false">IF($B102="","",R102/12)</f>
        <v/>
      </c>
      <c r="T102" s="111" t="str">
        <f aca="false">IF($B102="","",IF(1&lt;=cfg_VAL_M,'مسير يناير'!AD102+'مسير يناير'!AE102+'مسير يناير'!AF102,0)+IF(2&lt;=cfg_VAL_M,'مسير فبراير'!AD102+'مسير فبراير'!AE102+'مسير فبراير'!AF102,0)+IF(3&lt;=cfg_VAL_M,'مسير مارس'!AD102+'مسير مارس'!AE102+'مسير مارس'!AF102,0)+IF(4&lt;=cfg_VAL_M,'مسير أبريل'!AD102+'مسير أبريل'!AE102+'مسير أبريل'!AF102,0)+IF(5&lt;=cfg_VAL_M,'مسير مايو'!AD102+'مسير مايو'!AE102+'مسير مايو'!AF102,0)+IF(6&lt;=cfg_VAL_M,'مسير يونيو'!AD102+'مسير يونيو'!AE102+'مسير يونيو'!AF102,0)+IF(7&lt;=cfg_VAL_M,'مسير يوليو'!AD102+'مسير يوليو'!AE102+'مسير يوليو'!AF102,0)+IF(8&lt;=cfg_VAL_M,'مسير أغسطس'!AD102+'مسير أغسطس'!AE102+'مسير أغسطس'!AF102,0)+IF(9&lt;=cfg_VAL_M,'مسير سبتمبر'!AD102+'مسير سبتمبر'!AE102+'مسير سبتمبر'!AF102,0)+IF(10&lt;=cfg_VAL_M,'مسير أكتوبر'!AD102+'مسير أكتوبر'!AE102+'مسير أكتوبر'!AF102,0)+IF(11&lt;=cfg_VAL_M,'مسير نوفمبر'!AD102+'مسير نوفمبر'!AE102+'مسير نوفمبر'!AF102,0)+IF(12&lt;=cfg_VAL_M,'مسير ديسمبر'!AD102+'مسير ديسمبر'!AE102+'مسير ديسمبر'!AF102,0))</f>
        <v/>
      </c>
      <c r="U102" s="111" t="str">
        <f aca="false">IF(OR($B102="",F102="✖ منتهي الخدمة"),"",IF(AND(ISNUMBER(I102),I102&lt;=cfg_ALERT),N102,0)+IF(AND(ISNUMBER(L102),L102&lt;=cfg_ALERT),O102,0))</f>
        <v/>
      </c>
    </row>
    <row r="103" customFormat="false" ht="15" hidden="false" customHeight="false" outlineLevel="0" collapsed="false">
      <c r="B103" s="117" t="str">
        <f aca="false">IF(الموظفون!$B103="","",الموظفون!$B103)</f>
        <v/>
      </c>
      <c r="C103" s="117" t="str">
        <f aca="false">IF($B103="","",الموظفون!$C103)</f>
        <v/>
      </c>
      <c r="D103" s="117" t="str">
        <f aca="false">IF($B103="","",الموظفون!$D103)</f>
        <v/>
      </c>
      <c r="E103" s="117" t="str">
        <f aca="false">IF($B103="","",الموظفون!$E103)</f>
        <v/>
      </c>
      <c r="F103" s="117" t="str">
        <f aca="false">IF($B103="","",الموظفون!$AG103)</f>
        <v/>
      </c>
      <c r="G103" s="117" t="str">
        <f aca="false">IF($B103="","",IF(الموظفون!$I103="","",الموظفون!$I103))</f>
        <v/>
      </c>
      <c r="H103" s="175" t="str">
        <f aca="false">IF($B103="","",IF(الموظفون!$J103="","",الموظفون!$J103))</f>
        <v/>
      </c>
      <c r="I103" s="133" t="str">
        <f aca="false">IF(OR($B103="",H103=""),"",H103-cfg_TRACK)</f>
        <v/>
      </c>
      <c r="J103" s="117" t="str">
        <f aca="false">IF(OR($B103="",$F103="✖ منتهي الخدمة"),"",IF(H103="",IF($E103="غير سعودي","⚠ أدخل التاريخ","-"),IF(I103&lt;0,"✖ منتهية منذ "&amp;TEXT(-I103,"0")&amp;" يوم",IF(I103&lt;=cfg_ALERT,"⚠ تنتهي خلال "&amp;TEXT(I103,"0")&amp;" يوم","✔ سارية"))))</f>
        <v/>
      </c>
      <c r="K103" s="175" t="str">
        <f aca="false">IF($B103="","",IF(الموظفون!$K103="","",الموظفون!$K103))</f>
        <v/>
      </c>
      <c r="L103" s="133" t="str">
        <f aca="false">IF(OR($B103="",K103=""),"",K103-cfg_TRACK)</f>
        <v/>
      </c>
      <c r="M103" s="117" t="str">
        <f aca="false">IF(OR($B103="",$F103="✖ منتهي الخدمة"),"",IF(K103="",IF($E103="غير سعودي","⚠ أدخل التاريخ","-"),IF(L103&lt;0,"✖ منتهية منذ "&amp;TEXT(-L103,"0")&amp;" يوم",IF(L103&lt;=cfg_ALERT,"⚠ تنتهي خلال "&amp;TEXT(L103,"0")&amp;" يوم","✔ سارية"))))</f>
        <v/>
      </c>
      <c r="N103" s="116" t="str">
        <f aca="false">IF($B103="","",IF(F103="✖ منتهي الخدمة",0,IF(الموظفون!$X103&lt;&gt;"",الموظفون!$X103,IF(الموظفون!$E103="غير سعودي",cfg_IQ,0))))</f>
        <v/>
      </c>
      <c r="O103" s="116" t="str">
        <f aca="false">IF($B103="","",IF(F103="✖ منتهي الخدمة",0,IF(الموظفون!$Y103&lt;&gt;"",الموظفون!$Y103,IF(الموظفون!$E103="غير سعودي",cfg_WP,0))))</f>
        <v/>
      </c>
      <c r="P103" s="116" t="str">
        <f aca="false">IF($B103="","",IF(F103="✖ منتهي الخدمة",0,IF(الموظفون!$Z103&lt;&gt;"",الموظفون!$Z103,cfg_MED)))</f>
        <v/>
      </c>
      <c r="Q103" s="116" t="str">
        <f aca="false">IF($B103="","",IF(F103="✖ منتهي الخدمة",0,N(الموظفون!$AA103)))</f>
        <v/>
      </c>
      <c r="R103" s="116" t="str">
        <f aca="false">IF($B103="","",SUM(N103:Q103))</f>
        <v/>
      </c>
      <c r="S103" s="116" t="str">
        <f aca="false">IF($B103="","",R103/12)</f>
        <v/>
      </c>
      <c r="T103" s="116" t="str">
        <f aca="false">IF($B103="","",IF(1&lt;=cfg_VAL_M,'مسير يناير'!AD103+'مسير يناير'!AE103+'مسير يناير'!AF103,0)+IF(2&lt;=cfg_VAL_M,'مسير فبراير'!AD103+'مسير فبراير'!AE103+'مسير فبراير'!AF103,0)+IF(3&lt;=cfg_VAL_M,'مسير مارس'!AD103+'مسير مارس'!AE103+'مسير مارس'!AF103,0)+IF(4&lt;=cfg_VAL_M,'مسير أبريل'!AD103+'مسير أبريل'!AE103+'مسير أبريل'!AF103,0)+IF(5&lt;=cfg_VAL_M,'مسير مايو'!AD103+'مسير مايو'!AE103+'مسير مايو'!AF103,0)+IF(6&lt;=cfg_VAL_M,'مسير يونيو'!AD103+'مسير يونيو'!AE103+'مسير يونيو'!AF103,0)+IF(7&lt;=cfg_VAL_M,'مسير يوليو'!AD103+'مسير يوليو'!AE103+'مسير يوليو'!AF103,0)+IF(8&lt;=cfg_VAL_M,'مسير أغسطس'!AD103+'مسير أغسطس'!AE103+'مسير أغسطس'!AF103,0)+IF(9&lt;=cfg_VAL_M,'مسير سبتمبر'!AD103+'مسير سبتمبر'!AE103+'مسير سبتمبر'!AF103,0)+IF(10&lt;=cfg_VAL_M,'مسير أكتوبر'!AD103+'مسير أكتوبر'!AE103+'مسير أكتوبر'!AF103,0)+IF(11&lt;=cfg_VAL_M,'مسير نوفمبر'!AD103+'مسير نوفمبر'!AE103+'مسير نوفمبر'!AF103,0)+IF(12&lt;=cfg_VAL_M,'مسير ديسمبر'!AD103+'مسير ديسمبر'!AE103+'مسير ديسمبر'!AF103,0))</f>
        <v/>
      </c>
      <c r="U103" s="116" t="str">
        <f aca="false">IF(OR($B103="",F103="✖ منتهي الخدمة"),"",IF(AND(ISNUMBER(I103),I103&lt;=cfg_ALERT),N103,0)+IF(AND(ISNUMBER(L103),L103&lt;=cfg_ALERT),O103,0))</f>
        <v/>
      </c>
    </row>
    <row r="104" customFormat="false" ht="15" hidden="false" customHeight="false" outlineLevel="0" collapsed="false">
      <c r="B104" s="114" t="str">
        <f aca="false">IF(الموظفون!$B104="","",الموظفون!$B104)</f>
        <v/>
      </c>
      <c r="C104" s="114" t="str">
        <f aca="false">IF($B104="","",الموظفون!$C104)</f>
        <v/>
      </c>
      <c r="D104" s="114" t="str">
        <f aca="false">IF($B104="","",الموظفون!$D104)</f>
        <v/>
      </c>
      <c r="E104" s="114" t="str">
        <f aca="false">IF($B104="","",الموظفون!$E104)</f>
        <v/>
      </c>
      <c r="F104" s="114" t="str">
        <f aca="false">IF($B104="","",الموظفون!$AG104)</f>
        <v/>
      </c>
      <c r="G104" s="114" t="str">
        <f aca="false">IF($B104="","",IF(الموظفون!$I104="","",الموظفون!$I104))</f>
        <v/>
      </c>
      <c r="H104" s="174" t="str">
        <f aca="false">IF($B104="","",IF(الموظفون!$J104="","",الموظفون!$J104))</f>
        <v/>
      </c>
      <c r="I104" s="65" t="str">
        <f aca="false">IF(OR($B104="",H104=""),"",H104-cfg_TRACK)</f>
        <v/>
      </c>
      <c r="J104" s="114" t="str">
        <f aca="false">IF(OR($B104="",$F104="✖ منتهي الخدمة"),"",IF(H104="",IF($E104="غير سعودي","⚠ أدخل التاريخ","-"),IF(I104&lt;0,"✖ منتهية منذ "&amp;TEXT(-I104,"0")&amp;" يوم",IF(I104&lt;=cfg_ALERT,"⚠ تنتهي خلال "&amp;TEXT(I104,"0")&amp;" يوم","✔ سارية"))))</f>
        <v/>
      </c>
      <c r="K104" s="174" t="str">
        <f aca="false">IF($B104="","",IF(الموظفون!$K104="","",الموظفون!$K104))</f>
        <v/>
      </c>
      <c r="L104" s="65" t="str">
        <f aca="false">IF(OR($B104="",K104=""),"",K104-cfg_TRACK)</f>
        <v/>
      </c>
      <c r="M104" s="114" t="str">
        <f aca="false">IF(OR($B104="",$F104="✖ منتهي الخدمة"),"",IF(K104="",IF($E104="غير سعودي","⚠ أدخل التاريخ","-"),IF(L104&lt;0,"✖ منتهية منذ "&amp;TEXT(-L104,"0")&amp;" يوم",IF(L104&lt;=cfg_ALERT,"⚠ تنتهي خلال "&amp;TEXT(L104,"0")&amp;" يوم","✔ سارية"))))</f>
        <v/>
      </c>
      <c r="N104" s="111" t="str">
        <f aca="false">IF($B104="","",IF(F104="✖ منتهي الخدمة",0,IF(الموظفون!$X104&lt;&gt;"",الموظفون!$X104,IF(الموظفون!$E104="غير سعودي",cfg_IQ,0))))</f>
        <v/>
      </c>
      <c r="O104" s="111" t="str">
        <f aca="false">IF($B104="","",IF(F104="✖ منتهي الخدمة",0,IF(الموظفون!$Y104&lt;&gt;"",الموظفون!$Y104,IF(الموظفون!$E104="غير سعودي",cfg_WP,0))))</f>
        <v/>
      </c>
      <c r="P104" s="111" t="str">
        <f aca="false">IF($B104="","",IF(F104="✖ منتهي الخدمة",0,IF(الموظفون!$Z104&lt;&gt;"",الموظفون!$Z104,cfg_MED)))</f>
        <v/>
      </c>
      <c r="Q104" s="111" t="str">
        <f aca="false">IF($B104="","",IF(F104="✖ منتهي الخدمة",0,N(الموظفون!$AA104)))</f>
        <v/>
      </c>
      <c r="R104" s="111" t="str">
        <f aca="false">IF($B104="","",SUM(N104:Q104))</f>
        <v/>
      </c>
      <c r="S104" s="111" t="str">
        <f aca="false">IF($B104="","",R104/12)</f>
        <v/>
      </c>
      <c r="T104" s="111" t="str">
        <f aca="false">IF($B104="","",IF(1&lt;=cfg_VAL_M,'مسير يناير'!AD104+'مسير يناير'!AE104+'مسير يناير'!AF104,0)+IF(2&lt;=cfg_VAL_M,'مسير فبراير'!AD104+'مسير فبراير'!AE104+'مسير فبراير'!AF104,0)+IF(3&lt;=cfg_VAL_M,'مسير مارس'!AD104+'مسير مارس'!AE104+'مسير مارس'!AF104,0)+IF(4&lt;=cfg_VAL_M,'مسير أبريل'!AD104+'مسير أبريل'!AE104+'مسير أبريل'!AF104,0)+IF(5&lt;=cfg_VAL_M,'مسير مايو'!AD104+'مسير مايو'!AE104+'مسير مايو'!AF104,0)+IF(6&lt;=cfg_VAL_M,'مسير يونيو'!AD104+'مسير يونيو'!AE104+'مسير يونيو'!AF104,0)+IF(7&lt;=cfg_VAL_M,'مسير يوليو'!AD104+'مسير يوليو'!AE104+'مسير يوليو'!AF104,0)+IF(8&lt;=cfg_VAL_M,'مسير أغسطس'!AD104+'مسير أغسطس'!AE104+'مسير أغسطس'!AF104,0)+IF(9&lt;=cfg_VAL_M,'مسير سبتمبر'!AD104+'مسير سبتمبر'!AE104+'مسير سبتمبر'!AF104,0)+IF(10&lt;=cfg_VAL_M,'مسير أكتوبر'!AD104+'مسير أكتوبر'!AE104+'مسير أكتوبر'!AF104,0)+IF(11&lt;=cfg_VAL_M,'مسير نوفمبر'!AD104+'مسير نوفمبر'!AE104+'مسير نوفمبر'!AF104,0)+IF(12&lt;=cfg_VAL_M,'مسير ديسمبر'!AD104+'مسير ديسمبر'!AE104+'مسير ديسمبر'!AF104,0))</f>
        <v/>
      </c>
      <c r="U104" s="111" t="str">
        <f aca="false">IF(OR($B104="",F104="✖ منتهي الخدمة"),"",IF(AND(ISNUMBER(I104),I104&lt;=cfg_ALERT),N104,0)+IF(AND(ISNUMBER(L104),L104&lt;=cfg_ALERT),O104,0))</f>
        <v/>
      </c>
    </row>
    <row r="105" customFormat="false" ht="15" hidden="false" customHeight="false" outlineLevel="0" collapsed="false">
      <c r="B105" s="117" t="str">
        <f aca="false">IF(الموظفون!$B105="","",الموظفون!$B105)</f>
        <v/>
      </c>
      <c r="C105" s="117" t="str">
        <f aca="false">IF($B105="","",الموظفون!$C105)</f>
        <v/>
      </c>
      <c r="D105" s="117" t="str">
        <f aca="false">IF($B105="","",الموظفون!$D105)</f>
        <v/>
      </c>
      <c r="E105" s="117" t="str">
        <f aca="false">IF($B105="","",الموظفون!$E105)</f>
        <v/>
      </c>
      <c r="F105" s="117" t="str">
        <f aca="false">IF($B105="","",الموظفون!$AG105)</f>
        <v/>
      </c>
      <c r="G105" s="117" t="str">
        <f aca="false">IF($B105="","",IF(الموظفون!$I105="","",الموظفون!$I105))</f>
        <v/>
      </c>
      <c r="H105" s="175" t="str">
        <f aca="false">IF($B105="","",IF(الموظفون!$J105="","",الموظفون!$J105))</f>
        <v/>
      </c>
      <c r="I105" s="133" t="str">
        <f aca="false">IF(OR($B105="",H105=""),"",H105-cfg_TRACK)</f>
        <v/>
      </c>
      <c r="J105" s="117" t="str">
        <f aca="false">IF(OR($B105="",$F105="✖ منتهي الخدمة"),"",IF(H105="",IF($E105="غير سعودي","⚠ أدخل التاريخ","-"),IF(I105&lt;0,"✖ منتهية منذ "&amp;TEXT(-I105,"0")&amp;" يوم",IF(I105&lt;=cfg_ALERT,"⚠ تنتهي خلال "&amp;TEXT(I105,"0")&amp;" يوم","✔ سارية"))))</f>
        <v/>
      </c>
      <c r="K105" s="175" t="str">
        <f aca="false">IF($B105="","",IF(الموظفون!$K105="","",الموظفون!$K105))</f>
        <v/>
      </c>
      <c r="L105" s="133" t="str">
        <f aca="false">IF(OR($B105="",K105=""),"",K105-cfg_TRACK)</f>
        <v/>
      </c>
      <c r="M105" s="117" t="str">
        <f aca="false">IF(OR($B105="",$F105="✖ منتهي الخدمة"),"",IF(K105="",IF($E105="غير سعودي","⚠ أدخل التاريخ","-"),IF(L105&lt;0,"✖ منتهية منذ "&amp;TEXT(-L105,"0")&amp;" يوم",IF(L105&lt;=cfg_ALERT,"⚠ تنتهي خلال "&amp;TEXT(L105,"0")&amp;" يوم","✔ سارية"))))</f>
        <v/>
      </c>
      <c r="N105" s="116" t="str">
        <f aca="false">IF($B105="","",IF(F105="✖ منتهي الخدمة",0,IF(الموظفون!$X105&lt;&gt;"",الموظفون!$X105,IF(الموظفون!$E105="غير سعودي",cfg_IQ,0))))</f>
        <v/>
      </c>
      <c r="O105" s="116" t="str">
        <f aca="false">IF($B105="","",IF(F105="✖ منتهي الخدمة",0,IF(الموظفون!$Y105&lt;&gt;"",الموظفون!$Y105,IF(الموظفون!$E105="غير سعودي",cfg_WP,0))))</f>
        <v/>
      </c>
      <c r="P105" s="116" t="str">
        <f aca="false">IF($B105="","",IF(F105="✖ منتهي الخدمة",0,IF(الموظفون!$Z105&lt;&gt;"",الموظفون!$Z105,cfg_MED)))</f>
        <v/>
      </c>
      <c r="Q105" s="116" t="str">
        <f aca="false">IF($B105="","",IF(F105="✖ منتهي الخدمة",0,N(الموظفون!$AA105)))</f>
        <v/>
      </c>
      <c r="R105" s="116" t="str">
        <f aca="false">IF($B105="","",SUM(N105:Q105))</f>
        <v/>
      </c>
      <c r="S105" s="116" t="str">
        <f aca="false">IF($B105="","",R105/12)</f>
        <v/>
      </c>
      <c r="T105" s="116" t="str">
        <f aca="false">IF($B105="","",IF(1&lt;=cfg_VAL_M,'مسير يناير'!AD105+'مسير يناير'!AE105+'مسير يناير'!AF105,0)+IF(2&lt;=cfg_VAL_M,'مسير فبراير'!AD105+'مسير فبراير'!AE105+'مسير فبراير'!AF105,0)+IF(3&lt;=cfg_VAL_M,'مسير مارس'!AD105+'مسير مارس'!AE105+'مسير مارس'!AF105,0)+IF(4&lt;=cfg_VAL_M,'مسير أبريل'!AD105+'مسير أبريل'!AE105+'مسير أبريل'!AF105,0)+IF(5&lt;=cfg_VAL_M,'مسير مايو'!AD105+'مسير مايو'!AE105+'مسير مايو'!AF105,0)+IF(6&lt;=cfg_VAL_M,'مسير يونيو'!AD105+'مسير يونيو'!AE105+'مسير يونيو'!AF105,0)+IF(7&lt;=cfg_VAL_M,'مسير يوليو'!AD105+'مسير يوليو'!AE105+'مسير يوليو'!AF105,0)+IF(8&lt;=cfg_VAL_M,'مسير أغسطس'!AD105+'مسير أغسطس'!AE105+'مسير أغسطس'!AF105,0)+IF(9&lt;=cfg_VAL_M,'مسير سبتمبر'!AD105+'مسير سبتمبر'!AE105+'مسير سبتمبر'!AF105,0)+IF(10&lt;=cfg_VAL_M,'مسير أكتوبر'!AD105+'مسير أكتوبر'!AE105+'مسير أكتوبر'!AF105,0)+IF(11&lt;=cfg_VAL_M,'مسير نوفمبر'!AD105+'مسير نوفمبر'!AE105+'مسير نوفمبر'!AF105,0)+IF(12&lt;=cfg_VAL_M,'مسير ديسمبر'!AD105+'مسير ديسمبر'!AE105+'مسير ديسمبر'!AF105,0))</f>
        <v/>
      </c>
      <c r="U105" s="116" t="str">
        <f aca="false">IF(OR($B105="",F105="✖ منتهي الخدمة"),"",IF(AND(ISNUMBER(I105),I105&lt;=cfg_ALERT),N105,0)+IF(AND(ISNUMBER(L105),L105&lt;=cfg_ALERT),O105,0))</f>
        <v/>
      </c>
    </row>
    <row r="106" customFormat="false" ht="24" hidden="false" customHeight="true" outlineLevel="0" collapsed="false">
      <c r="B106" s="124"/>
      <c r="C106" s="124" t="s">
        <v>161</v>
      </c>
      <c r="D106" s="124"/>
      <c r="E106" s="124"/>
      <c r="F106" s="124"/>
      <c r="G106" s="124"/>
      <c r="H106" s="124"/>
      <c r="I106" s="124"/>
      <c r="J106" s="124"/>
      <c r="K106" s="124"/>
      <c r="L106" s="124"/>
      <c r="M106" s="124"/>
      <c r="N106" s="125" t="n">
        <f aca="false">SUM(N6:N105)</f>
        <v>2600</v>
      </c>
      <c r="O106" s="125" t="n">
        <f aca="false">SUM(O6:O105)</f>
        <v>38400</v>
      </c>
      <c r="P106" s="125" t="n">
        <f aca="false">SUM(P6:P105)</f>
        <v>31800</v>
      </c>
      <c r="Q106" s="125" t="n">
        <f aca="false">SUM(Q6:Q105)</f>
        <v>4800</v>
      </c>
      <c r="R106" s="125" t="n">
        <f aca="false">SUM(R6:R105)</f>
        <v>77600</v>
      </c>
      <c r="S106" s="125" t="n">
        <f aca="false">SUM(S6:S105)</f>
        <v>6466.66666666667</v>
      </c>
      <c r="T106" s="125" t="n">
        <f aca="false">SUM(T6:T105)</f>
        <v>63531.6666666667</v>
      </c>
      <c r="U106" s="125" t="n">
        <f aca="false">SUM(U6:U105)</f>
        <v>20500</v>
      </c>
    </row>
    <row r="107" customFormat="false" ht="39.75" hidden="false" customHeight="true" outlineLevel="0" collapsed="false">
      <c r="B107" s="24" t="s">
        <v>542</v>
      </c>
      <c r="C107" s="24"/>
      <c r="D107" s="24"/>
      <c r="E107" s="24"/>
      <c r="F107" s="24"/>
      <c r="G107" s="24"/>
      <c r="H107" s="24"/>
      <c r="I107" s="24"/>
      <c r="J107" s="24"/>
      <c r="K107" s="24"/>
      <c r="L107" s="24"/>
      <c r="M107" s="24"/>
      <c r="N107" s="24"/>
      <c r="O107" s="24"/>
      <c r="P107" s="24"/>
      <c r="Q107" s="24"/>
      <c r="R107" s="24"/>
      <c r="S107" s="24"/>
      <c r="T107" s="24"/>
      <c r="U107" s="24"/>
    </row>
  </sheetData>
  <sheetProtection sheet="true" password="ffa5" objects="true" scenarios="true"/>
  <autoFilter ref="B5:U105"/>
  <mergeCells count="3">
    <mergeCell ref="B1:U1"/>
    <mergeCell ref="B2:U2"/>
    <mergeCell ref="B107:U107"/>
  </mergeCells>
  <conditionalFormatting sqref="J6:J105">
    <cfRule type="expression" priority="2" aboveAverage="0" equalAverage="0" bottom="0" percent="0" rank="0" text="" dxfId="0">
      <formula>ISNUMBER(SEARCH("✔",J6))</formula>
    </cfRule>
    <cfRule type="expression" priority="3" aboveAverage="0" equalAverage="0" bottom="0" percent="0" rank="0" text="" dxfId="1">
      <formula>ISNUMBER(SEARCH("✖",J6))</formula>
    </cfRule>
    <cfRule type="expression" priority="4" aboveAverage="0" equalAverage="0" bottom="0" percent="0" rank="0" text="" dxfId="2">
      <formula>ISNUMBER(SEARCH("⚠",J6))</formula>
    </cfRule>
    <cfRule type="expression" priority="5" aboveAverage="0" equalAverage="0" bottom="0" percent="0" rank="0" text="" dxfId="3">
      <formula>ISNUMBER(SEARCH("✈",J6))</formula>
    </cfRule>
    <cfRule type="expression" priority="6" aboveAverage="0" equalAverage="0" bottom="0" percent="0" rank="0" text="" dxfId="1">
      <formula>ISNUMBER(SEARCH("⛔",J6))</formula>
    </cfRule>
    <cfRule type="expression" priority="7" aboveAverage="0" equalAverage="0" bottom="0" percent="0" rank="0" text="" dxfId="0">
      <formula>ISNUMBER(SEARCH("🌴",J6))</formula>
    </cfRule>
    <cfRule type="expression" priority="8" aboveAverage="0" equalAverage="0" bottom="0" percent="0" rank="0" text="" dxfId="4">
      <formula>ISNUMBER(SEARCH("⏳",J6))</formula>
    </cfRule>
  </conditionalFormatting>
  <conditionalFormatting sqref="M6:M105">
    <cfRule type="expression" priority="9" aboveAverage="0" equalAverage="0" bottom="0" percent="0" rank="0" text="" dxfId="0">
      <formula>ISNUMBER(SEARCH("✔",M6))</formula>
    </cfRule>
    <cfRule type="expression" priority="10" aboveAverage="0" equalAverage="0" bottom="0" percent="0" rank="0" text="" dxfId="1">
      <formula>ISNUMBER(SEARCH("✖",M6))</formula>
    </cfRule>
    <cfRule type="expression" priority="11" aboveAverage="0" equalAverage="0" bottom="0" percent="0" rank="0" text="" dxfId="2">
      <formula>ISNUMBER(SEARCH("⚠",M6))</formula>
    </cfRule>
    <cfRule type="expression" priority="12" aboveAverage="0" equalAverage="0" bottom="0" percent="0" rank="0" text="" dxfId="3">
      <formula>ISNUMBER(SEARCH("✈",M6))</formula>
    </cfRule>
    <cfRule type="expression" priority="13" aboveAverage="0" equalAverage="0" bottom="0" percent="0" rank="0" text="" dxfId="1">
      <formula>ISNUMBER(SEARCH("⛔",M6))</formula>
    </cfRule>
    <cfRule type="expression" priority="14" aboveAverage="0" equalAverage="0" bottom="0" percent="0" rank="0" text="" dxfId="0">
      <formula>ISNUMBER(SEARCH("🌴",M6))</formula>
    </cfRule>
    <cfRule type="expression" priority="15" aboveAverage="0" equalAverage="0" bottom="0" percent="0" rank="0" text="" dxfId="4">
      <formula>ISNUMBER(SEARCH("⏳",M6))</formula>
    </cfRule>
  </conditionalFormatting>
  <conditionalFormatting sqref="F6:F105">
    <cfRule type="expression" priority="16" aboveAverage="0" equalAverage="0" bottom="0" percent="0" rank="0" text="" dxfId="0">
      <formula>ISNUMBER(SEARCH("✔",F6))</formula>
    </cfRule>
    <cfRule type="expression" priority="17" aboveAverage="0" equalAverage="0" bottom="0" percent="0" rank="0" text="" dxfId="1">
      <formula>ISNUMBER(SEARCH("✖",F6))</formula>
    </cfRule>
    <cfRule type="expression" priority="18" aboveAverage="0" equalAverage="0" bottom="0" percent="0" rank="0" text="" dxfId="2">
      <formula>ISNUMBER(SEARCH("⚠",F6))</formula>
    </cfRule>
    <cfRule type="expression" priority="19" aboveAverage="0" equalAverage="0" bottom="0" percent="0" rank="0" text="" dxfId="3">
      <formula>ISNUMBER(SEARCH("✈",F6))</formula>
    </cfRule>
    <cfRule type="expression" priority="20" aboveAverage="0" equalAverage="0" bottom="0" percent="0" rank="0" text="" dxfId="1">
      <formula>ISNUMBER(SEARCH("⛔",F6))</formula>
    </cfRule>
    <cfRule type="expression" priority="21" aboveAverage="0" equalAverage="0" bottom="0" percent="0" rank="0" text="" dxfId="0">
      <formula>ISNUMBER(SEARCH("🌴",F6))</formula>
    </cfRule>
    <cfRule type="expression" priority="22" aboveAverage="0" equalAverage="0" bottom="0" percent="0" rank="0" text="" dxfId="4">
      <formula>ISNUMBER(SEARCH("⏳",F6))</formula>
    </cfRule>
  </conditionalFormatting>
  <hyperlinks>
    <hyperlink ref="B2" r:id="rId1" display="https://accopro.net/"/>
    <hyperlink ref="B3" location="'الرئيسية'!A1" display="🏠 الرئيسية"/>
    <hyperlink ref="C3" location="'لوحة التحكم'!A1" display="📊 لوحة التحكم"/>
    <hyperlink ref="D3" location="'الإعدادات'!A1" display="⚙ الإعدادات"/>
    <hyperlink ref="E3" location="'الموظفون'!A1" display="👥 الموظفون"/>
    <hyperlink ref="F3" location="'سجل الإجازات والحالات'!A1" display="🌴 سجل الإجازات"/>
    <hyperlink ref="G3" location="'الحركات الشهرية'!A1" display="✍ الحركات"/>
    <hyperlink ref="H3" location="'الملخص الشهري'!A1" display="📅 الملخص الشهري"/>
    <hyperlink ref="I3" location="'قيود الرواتب'!A1" display="🧾 القيود"/>
    <hyperlink ref="J3" location="'قسيمة الراتب'!A1" display="💳 القسيمة"/>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&amp;Cنسخة تجريبية — النسخة الكاملة: accopro.net</oddHeader>
    <oddFooter>&amp;CAccoPro — https://accopro.net</oddFooter>
  </headerFooter>
  <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T107"/>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9"/>
    <col collapsed="false" customWidth="true" hidden="false" outlineLevel="0" max="3" min="3" style="0" width="24"/>
    <col collapsed="false" customWidth="true" hidden="false" outlineLevel="0" max="5" min="4" style="0" width="12"/>
    <col collapsed="false" customWidth="true" hidden="false" outlineLevel="0" max="6" min="6" style="0" width="22"/>
    <col collapsed="false" customWidth="true" hidden="false" outlineLevel="0" max="7" min="7" style="0" width="10"/>
    <col collapsed="false" customWidth="true" hidden="false" outlineLevel="0" max="8" min="8" style="0" width="9"/>
    <col collapsed="false" customWidth="true" hidden="false" outlineLevel="0" max="9" min="9" style="0" width="12"/>
    <col collapsed="false" customWidth="true" hidden="false" outlineLevel="0" max="11" min="10" style="0" width="13"/>
    <col collapsed="false" customWidth="true" hidden="false" outlineLevel="0" max="12" min="12" style="0" width="14"/>
    <col collapsed="false" customWidth="true" hidden="false" outlineLevel="0" max="13" min="13" style="0" width="17"/>
    <col collapsed="false" customWidth="true" hidden="false" outlineLevel="0" max="14" min="14" style="0" width="11"/>
    <col collapsed="false" customWidth="true" hidden="false" outlineLevel="0" max="15" min="15" style="0" width="15"/>
    <col collapsed="false" customWidth="true" hidden="false" outlineLevel="0" max="17" min="16" style="0" width="13"/>
    <col collapsed="false" customWidth="true" hidden="false" outlineLevel="0" max="18" min="18" style="0" width="12"/>
    <col collapsed="false" customWidth="true" hidden="false" outlineLevel="0" max="19" min="19" style="0" width="14"/>
    <col collapsed="false" customWidth="true" hidden="false" outlineLevel="0" max="20" min="20" style="0" width="18"/>
  </cols>
  <sheetData>
    <row r="1" customFormat="false" ht="37.5" hidden="false" customHeight="true" outlineLevel="0" collapsed="false">
      <c r="B1" s="136" t="str">
        <f aca="false">"🎁 مخصص مكافأة نهاية الخدمة كما في "&amp;TEXT(cfg_VAL_DATE,"yyyy/mm/dd")&amp;"   🔒 نسخة تجريبية"</f>
        <v>🎁 مخصص مكافأة نهاية الخدمة كما في 2026/09/30   🔒 نسخة تجريبية</v>
      </c>
      <c r="C1" s="136"/>
      <c r="D1" s="136"/>
      <c r="E1" s="136"/>
      <c r="F1" s="136"/>
      <c r="G1" s="136"/>
      <c r="H1" s="136"/>
      <c r="I1" s="136"/>
      <c r="J1" s="136"/>
      <c r="K1" s="136"/>
      <c r="L1" s="136"/>
      <c r="M1" s="136"/>
      <c r="N1" s="136"/>
      <c r="O1" s="136"/>
      <c r="P1" s="136"/>
      <c r="Q1" s="136"/>
      <c r="R1" s="136"/>
      <c r="S1" s="136"/>
      <c r="T1" s="136"/>
    </row>
    <row r="2" customFormat="false" ht="19.5" hidden="false" customHeight="true" outlineLevel="0" collapsed="false">
      <c r="B2" s="2" t="str">
        <f aca="false">"🛒 نسخة تجريبية — للنسخة الكاملة اضغط هنا ← accopro.net   |   "&amp;cfg_CO&amp;"   |   السنة المالية "&amp;cfg_FY&amp;"   |   شهر التقرير: "&amp;INDEX(L_MONTH,cfg_VAL_M)&amp;"   |   المبالغ بـ "&amp;cfg_CUR</f>
        <v>🛒 نسخة تجريبية — للنسخة الكاملة اضغط هنا ← accopro.net   |   شركة النخبة للتجارة والمقاولات   |   السنة المالية 2026   |   شهر التقرير: سبتمبر   |   المبالغ بـ ريال سعودي</v>
      </c>
      <c r="C2" s="2"/>
      <c r="D2" s="2"/>
      <c r="E2" s="2"/>
      <c r="F2" s="2"/>
      <c r="G2" s="2"/>
      <c r="H2" s="2"/>
      <c r="I2" s="2"/>
      <c r="J2" s="2"/>
      <c r="K2" s="2"/>
      <c r="L2" s="2"/>
      <c r="M2" s="2"/>
      <c r="N2" s="2"/>
      <c r="O2" s="2"/>
      <c r="P2" s="2"/>
      <c r="Q2" s="2"/>
      <c r="R2" s="2"/>
      <c r="S2" s="2"/>
      <c r="T2" s="2"/>
    </row>
    <row r="3" customFormat="false" ht="25.5" hidden="false" customHeight="true" outlineLevel="0" collapsed="false">
      <c r="B3" s="31" t="s">
        <v>114</v>
      </c>
      <c r="C3" s="12" t="s">
        <v>172</v>
      </c>
      <c r="D3" s="32" t="s">
        <v>115</v>
      </c>
      <c r="E3" s="32" t="s">
        <v>116</v>
      </c>
      <c r="F3" s="33" t="s">
        <v>117</v>
      </c>
      <c r="G3" s="32" t="s">
        <v>118</v>
      </c>
      <c r="H3" s="34" t="s">
        <v>119</v>
      </c>
      <c r="I3" s="32" t="s">
        <v>39</v>
      </c>
      <c r="J3" s="32" t="s">
        <v>173</v>
      </c>
    </row>
    <row r="4" customFormat="false" ht="7.5" hidden="false" customHeight="true" outlineLevel="0" collapsed="false"/>
    <row r="5" customFormat="false" ht="57.75" hidden="false" customHeight="true" outlineLevel="0" collapsed="false">
      <c r="B5" s="176" t="s">
        <v>524</v>
      </c>
      <c r="C5" s="176" t="s">
        <v>310</v>
      </c>
      <c r="D5" s="176" t="s">
        <v>313</v>
      </c>
      <c r="E5" s="176" t="s">
        <v>543</v>
      </c>
      <c r="F5" s="176" t="s">
        <v>544</v>
      </c>
      <c r="G5" s="176" t="s">
        <v>545</v>
      </c>
      <c r="H5" s="176" t="s">
        <v>546</v>
      </c>
      <c r="I5" s="176" t="s">
        <v>547</v>
      </c>
      <c r="J5" s="176" t="s">
        <v>548</v>
      </c>
      <c r="K5" s="176" t="s">
        <v>549</v>
      </c>
      <c r="L5" s="176" t="s">
        <v>550</v>
      </c>
      <c r="M5" s="176" t="s">
        <v>551</v>
      </c>
      <c r="N5" s="176" t="s">
        <v>552</v>
      </c>
      <c r="O5" s="176" t="s">
        <v>553</v>
      </c>
      <c r="P5" s="176" t="s">
        <v>554</v>
      </c>
      <c r="Q5" s="176" t="s">
        <v>555</v>
      </c>
      <c r="R5" s="176" t="s">
        <v>556</v>
      </c>
      <c r="S5" s="176" t="s">
        <v>557</v>
      </c>
      <c r="T5" s="176" t="s">
        <v>558</v>
      </c>
    </row>
    <row r="6" customFormat="false" ht="15" hidden="false" customHeight="false" outlineLevel="0" collapsed="false">
      <c r="B6" s="114" t="str">
        <f aca="false">IF(الموظفون!$B6="","",الموظفون!$B6)</f>
        <v>E001</v>
      </c>
      <c r="C6" s="114" t="str">
        <f aca="false">IF($B6="","",الموظفون!$C6)</f>
        <v>عبدالله محمد العتيبي</v>
      </c>
      <c r="D6" s="174" t="n">
        <f aca="false">IF($B6="","",الموظفون!$H6)</f>
        <v>40923</v>
      </c>
      <c r="E6" s="174" t="n">
        <f aca="false">IF($B6="","",IF(OR(الموظفون!$AE6="",الموظفون!$AE6&gt;cfg_VAL_DATE),cfg_VAL_DATE,الموظفون!$AE6))</f>
        <v>46295</v>
      </c>
      <c r="F6" s="114" t="str">
        <f aca="false">IF($B6="","",IF(E6&lt;D6,"لم يباشر",DATEDIF(D6,E6+1,"y")&amp;" سنة "&amp;DATEDIF(D6,E6+1,"ym")&amp;" شهر "&amp;DATEDIF(D6,E6+1,"md")&amp;" يوم"))</f>
        <v>14 سنة 8 شهر 16 يوم</v>
      </c>
      <c r="G6" s="65" t="n">
        <f aca="false">IF($B6="","",SUMIFS('سجل الإجازات والحالات'!$S$6:$S$505,'سجل الإجازات والحالات'!$B$6:$B$505,$B6))</f>
        <v>0</v>
      </c>
      <c r="H6" s="155" t="n">
        <f aca="false">IF($B6="","",MAX(0,E6-D6+1-G6)/cfg_DAYS_Y)</f>
        <v>14.7205479452055</v>
      </c>
      <c r="I6" s="111" t="n">
        <f aca="false">IF($B6="","",الموظفون!$Q6)</f>
        <v>37800</v>
      </c>
      <c r="J6" s="111" t="n">
        <f aca="false">IF($B6="","",I6*cfg_EOS_R1*MIN(H6,cfg_EOS_TH))</f>
        <v>94500</v>
      </c>
      <c r="K6" s="111" t="n">
        <f aca="false">IF($B6="","",I6*cfg_EOS_R2*MAX(H6-cfg_EOS_TH,0))</f>
        <v>367436.712328767</v>
      </c>
      <c r="L6" s="111" t="n">
        <f aca="false">IF($B6="","",J6+K6)</f>
        <v>461936.712328767</v>
      </c>
      <c r="M6" s="114" t="str">
        <f aca="false">IF($B6="","",IF(AND(الموظفون!$AE6&lt;&gt;"",الموظفون!$AE6&lt;=cfg_VAL_DATE),IF(الموظفون!$AF6="","⚠ حدد السبب",الموظفون!$AF6),"على رأس العمل"))</f>
        <v>على رأس العمل</v>
      </c>
      <c r="N6" s="66" t="n">
        <f aca="false">IF($B6="","",VLOOKUP(H6,cfg_RES,2,TRUE()))</f>
        <v>1</v>
      </c>
      <c r="O6" s="111" t="n">
        <f aca="false">IF($B6="","",IF(M6="استقالة",L6*N6,L6))</f>
        <v>461936.712328767</v>
      </c>
      <c r="P6" s="111" t="n">
        <f aca="false">IF($B6="","",I6*(cfg_EOS_R1*MIN((MAX(0,IF(OR(الموظفون!$AE6="",الموظفون!$AE6&gt;=cfg_Y_START),cfg_Y_START-1,الموظفون!$AE6)-D6+1-SUMIFS('سجل الإجازات والحالات'!$R$6:$R$505,'سجل الإجازات والحالات'!$B$6:$B$505,$B6))/cfg_DAYS_Y),cfg_EOS_TH)+cfg_EOS_R2*MAX((MAX(0,IF(OR(الموظفون!$AE6="",الموظفون!$AE6&gt;=cfg_Y_START),cfg_Y_START-1,الموظفون!$AE6)-D6+1-SUMIFS('سجل الإجازات والحالات'!$R$6:$R$505,'سجل الإجازات والحالات'!$B$6:$B$505,$B6))/cfg_DAYS_Y)-cfg_EOS_TH,0)))</f>
        <v>433664.383561644</v>
      </c>
      <c r="Q6" s="111" t="n">
        <f aca="false">IF($B6="","",O6-P6)</f>
        <v>28272.3287671232</v>
      </c>
      <c r="R6" s="111" t="n">
        <f aca="false">IF($B6="","",SUMIFS('الحركات الشهرية'!$N$6:$N$1005,'الحركات الشهرية'!$B$6:$B$1005,B6,'الحركات الشهرية'!$A$6:$A$1005,"&lt;="&amp;cfg_VAL_M))</f>
        <v>0</v>
      </c>
      <c r="S6" s="177" t="n">
        <f aca="false">IF($B6="","",P6+Q6-R6)</f>
        <v>461936.712328767</v>
      </c>
      <c r="T6" s="114" t="str">
        <f aca="false">IF($B6="","",IF(S6&lt;-0.01,"✖ صرف أكثر من المستحق",IF(AND(M6&lt;&gt;"على رأس العمل",S6&gt;0.01),"⚠ مستحق لم يُصرف","✔ سليم")))</f>
        <v>✔ سليم</v>
      </c>
    </row>
    <row r="7" customFormat="false" ht="15" hidden="false" customHeight="false" outlineLevel="0" collapsed="false">
      <c r="B7" s="117" t="str">
        <f aca="false">IF(الموظفون!$B7="","",الموظفون!$B7)</f>
        <v>E002</v>
      </c>
      <c r="C7" s="117" t="str">
        <f aca="false">IF($B7="","",الموظفون!$C7)</f>
        <v>أحمد سعيد القحطاني</v>
      </c>
      <c r="D7" s="175" t="n">
        <f aca="false">IF($B7="","",الموظفون!$H7)</f>
        <v>42522</v>
      </c>
      <c r="E7" s="175" t="n">
        <f aca="false">IF($B7="","",IF(OR(الموظفون!$AE7="",الموظفون!$AE7&gt;cfg_VAL_DATE),cfg_VAL_DATE,الموظفون!$AE7))</f>
        <v>46295</v>
      </c>
      <c r="F7" s="117" t="str">
        <f aca="false">IF($B7="","",IF(E7&lt;D7,"لم يباشر",DATEDIF(D7,E7+1,"y")&amp;" سنة "&amp;DATEDIF(D7,E7+1,"ym")&amp;" شهر "&amp;DATEDIF(D7,E7+1,"md")&amp;" يوم"))</f>
        <v>10 سنة 4 شهر 0 يوم</v>
      </c>
      <c r="G7" s="133" t="n">
        <f aca="false">IF($B7="","",SUMIFS('سجل الإجازات والحالات'!$S$6:$S$505,'سجل الإجازات والحالات'!$B$6:$B$505,$B7))</f>
        <v>0</v>
      </c>
      <c r="H7" s="160" t="n">
        <f aca="false">IF($B7="","",MAX(0,E7-D7+1-G7)/cfg_DAYS_Y)</f>
        <v>10.3397260273973</v>
      </c>
      <c r="I7" s="116" t="n">
        <f aca="false">IF($B7="","",الموظفون!$Q7)</f>
        <v>24300</v>
      </c>
      <c r="J7" s="116" t="n">
        <f aca="false">IF($B7="","",I7*cfg_EOS_R1*MIN(H7,cfg_EOS_TH))</f>
        <v>60750</v>
      </c>
      <c r="K7" s="116" t="n">
        <f aca="false">IF($B7="","",I7*cfg_EOS_R2*MAX(H7-cfg_EOS_TH,0))</f>
        <v>129755.342465753</v>
      </c>
      <c r="L7" s="116" t="n">
        <f aca="false">IF($B7="","",J7+K7)</f>
        <v>190505.342465753</v>
      </c>
      <c r="M7" s="117" t="str">
        <f aca="false">IF($B7="","",IF(AND(الموظفون!$AE7&lt;&gt;"",الموظفون!$AE7&lt;=cfg_VAL_DATE),IF(الموظفون!$AF7="","⚠ حدد السبب",الموظفون!$AF7),"على رأس العمل"))</f>
        <v>على رأس العمل</v>
      </c>
      <c r="N7" s="134" t="n">
        <f aca="false">IF($B7="","",VLOOKUP(H7,cfg_RES,2,TRUE()))</f>
        <v>1</v>
      </c>
      <c r="O7" s="116" t="n">
        <f aca="false">IF($B7="","",IF(M7="استقالة",L7*N7,L7))</f>
        <v>190505.342465753</v>
      </c>
      <c r="P7" s="116" t="n">
        <f aca="false">IF($B7="","",I7*(cfg_EOS_R1*MIN((MAX(0,IF(OR(الموظفون!$AE7="",الموظفون!$AE7&gt;=cfg_Y_START),cfg_Y_START-1,الموظفون!$AE7)-D7+1-SUMIFS('سجل الإجازات والحالات'!$R$6:$R$505,'سجل الإجازات والحالات'!$B$6:$B$505,$B7))/cfg_DAYS_Y),cfg_EOS_TH)+cfg_EOS_R2*MAX((MAX(0,IF(OR(الموظفون!$AE7="",الموظفون!$AE7&gt;=cfg_Y_START),cfg_Y_START-1,الموظفون!$AE7)-D7+1-SUMIFS('سجل الإجازات والحالات'!$R$6:$R$505,'سجل الإجازات والحالات'!$B$6:$B$505,$B7))/cfg_DAYS_Y)-cfg_EOS_TH,0)))</f>
        <v>172330.273972603</v>
      </c>
      <c r="Q7" s="116" t="n">
        <f aca="false">IF($B7="","",O7-P7)</f>
        <v>18175.0684931507</v>
      </c>
      <c r="R7" s="116" t="n">
        <f aca="false">IF($B7="","",SUMIFS('الحركات الشهرية'!$N$6:$N$1005,'الحركات الشهرية'!$B$6:$B$1005,B7,'الحركات الشهرية'!$A$6:$A$1005,"&lt;="&amp;cfg_VAL_M))</f>
        <v>0</v>
      </c>
      <c r="S7" s="178" t="n">
        <f aca="false">IF($B7="","",P7+Q7-R7)</f>
        <v>190505.342465753</v>
      </c>
      <c r="T7" s="117" t="str">
        <f aca="false">IF($B7="","",IF(S7&lt;-0.01,"✖ صرف أكثر من المستحق",IF(AND(M7&lt;&gt;"على رأس العمل",S7&gt;0.01),"⚠ مستحق لم يُصرف","✔ سليم")))</f>
        <v>✔ سليم</v>
      </c>
    </row>
    <row r="8" customFormat="false" ht="15" hidden="false" customHeight="false" outlineLevel="0" collapsed="false">
      <c r="B8" s="114" t="str">
        <f aca="false">IF(الموظفون!$B8="","",الموظفون!$B8)</f>
        <v>E003</v>
      </c>
      <c r="C8" s="114" t="str">
        <f aca="false">IF($B8="","",الموظفون!$C8)</f>
        <v>محمد علي حسن</v>
      </c>
      <c r="D8" s="174" t="n">
        <f aca="false">IF($B8="","",الموظفون!$H8)</f>
        <v>43353</v>
      </c>
      <c r="E8" s="174" t="n">
        <f aca="false">IF($B8="","",IF(OR(الموظفون!$AE8="",الموظفون!$AE8&gt;cfg_VAL_DATE),cfg_VAL_DATE,الموظفون!$AE8))</f>
        <v>46295</v>
      </c>
      <c r="F8" s="114" t="str">
        <f aca="false">IF($B8="","",IF(E8&lt;D8,"لم يباشر",DATEDIF(D8,E8+1,"y")&amp;" سنة "&amp;DATEDIF(D8,E8+1,"ym")&amp;" شهر "&amp;DATEDIF(D8,E8+1,"md")&amp;" يوم"))</f>
        <v>8 سنة 0 شهر 21 يوم</v>
      </c>
      <c r="G8" s="65" t="n">
        <f aca="false">IF($B8="","",SUMIFS('سجل الإجازات والحالات'!$S$6:$S$505,'سجل الإجازات والحالات'!$B$6:$B$505,$B8))</f>
        <v>0</v>
      </c>
      <c r="H8" s="155" t="n">
        <f aca="false">IF($B8="","",MAX(0,E8-D8+1-G8)/cfg_DAYS_Y)</f>
        <v>8.06301369863014</v>
      </c>
      <c r="I8" s="111" t="n">
        <f aca="false">IF($B8="","",الموظفون!$Q8)</f>
        <v>11475</v>
      </c>
      <c r="J8" s="111" t="n">
        <f aca="false">IF($B8="","",I8*cfg_EOS_R1*MIN(H8,cfg_EOS_TH))</f>
        <v>28687.5</v>
      </c>
      <c r="K8" s="111" t="n">
        <f aca="false">IF($B8="","",I8*cfg_EOS_R2*MAX(H8-cfg_EOS_TH,0))</f>
        <v>35148.0821917808</v>
      </c>
      <c r="L8" s="111" t="n">
        <f aca="false">IF($B8="","",J8+K8)</f>
        <v>63835.5821917808</v>
      </c>
      <c r="M8" s="114" t="str">
        <f aca="false">IF($B8="","",IF(AND(الموظفون!$AE8&lt;&gt;"",الموظفون!$AE8&lt;=cfg_VAL_DATE),IF(الموظفون!$AF8="","⚠ حدد السبب",الموظفون!$AF8),"على رأس العمل"))</f>
        <v>على رأس العمل</v>
      </c>
      <c r="N8" s="66" t="n">
        <f aca="false">IF($B8="","",VLOOKUP(H8,cfg_RES,2,TRUE()))</f>
        <v>0.666666666666667</v>
      </c>
      <c r="O8" s="111" t="n">
        <f aca="false">IF($B8="","",IF(M8="استقالة",L8*N8,L8))</f>
        <v>63835.5821917808</v>
      </c>
      <c r="P8" s="111" t="n">
        <f aca="false">IF($B8="","",I8*(cfg_EOS_R1*MIN((MAX(0,IF(OR(الموظفون!$AE8="",الموظفون!$AE8&gt;=cfg_Y_START),cfg_Y_START-1,الموظفون!$AE8)-D8+1-SUMIFS('سجل الإجازات والحالات'!$R$6:$R$505,'سجل الإجازات والحالات'!$B$6:$B$505,$B8))/cfg_DAYS_Y),cfg_EOS_TH)+cfg_EOS_R2*MAX((MAX(0,IF(OR(الموظفون!$AE8="",الموظفون!$AE8&gt;=cfg_Y_START),cfg_Y_START-1,الموظفون!$AE8)-D8+1-SUMIFS('سجل الإجازات والحالات'!$R$6:$R$505,'سجل الإجازات والحالات'!$B$6:$B$505,$B8))/cfg_DAYS_Y)-cfg_EOS_TH,0)))</f>
        <v>55252.9109589041</v>
      </c>
      <c r="Q8" s="111" t="n">
        <f aca="false">IF($B8="","",O8-P8)</f>
        <v>8582.67123287671</v>
      </c>
      <c r="R8" s="111" t="n">
        <f aca="false">IF($B8="","",SUMIFS('الحركات الشهرية'!$N$6:$N$1005,'الحركات الشهرية'!$B$6:$B$1005,B8,'الحركات الشهرية'!$A$6:$A$1005,"&lt;="&amp;cfg_VAL_M))</f>
        <v>0</v>
      </c>
      <c r="S8" s="177" t="n">
        <f aca="false">IF($B8="","",P8+Q8-R8)</f>
        <v>63835.5821917808</v>
      </c>
      <c r="T8" s="114" t="str">
        <f aca="false">IF($B8="","",IF(S8&lt;-0.01,"✖ صرف أكثر من المستحق",IF(AND(M8&lt;&gt;"على رأس العمل",S8&gt;0.01),"⚠ مستحق لم يُصرف","✔ سليم")))</f>
        <v>✔ سليم</v>
      </c>
    </row>
    <row r="9" customFormat="false" ht="15" hidden="false" customHeight="false" outlineLevel="0" collapsed="false">
      <c r="B9" s="117" t="str">
        <f aca="false">IF(الموظفون!$B9="","",الموظفون!$B9)</f>
        <v>E004</v>
      </c>
      <c r="C9" s="117" t="str">
        <f aca="false">IF($B9="","",الموظفون!$C9)</f>
        <v>نورة خالد الدوسري</v>
      </c>
      <c r="D9" s="175" t="n">
        <f aca="false">IF($B9="","",الموظفون!$H9)</f>
        <v>43497</v>
      </c>
      <c r="E9" s="175" t="n">
        <f aca="false">IF($B9="","",IF(OR(الموظفون!$AE9="",الموظفون!$AE9&gt;cfg_VAL_DATE),cfg_VAL_DATE,الموظفون!$AE9))</f>
        <v>46295</v>
      </c>
      <c r="F9" s="117" t="str">
        <f aca="false">IF($B9="","",IF(E9&lt;D9,"لم يباشر",DATEDIF(D9,E9+1,"y")&amp;" سنة "&amp;DATEDIF(D9,E9+1,"ym")&amp;" شهر "&amp;DATEDIF(D9,E9+1,"md")&amp;" يوم"))</f>
        <v>7 سنة 8 شهر 0 يوم</v>
      </c>
      <c r="G9" s="133" t="n">
        <f aca="false">IF($B9="","",SUMIFS('سجل الإجازات والحالات'!$S$6:$S$505,'سجل الإجازات والحالات'!$B$6:$B$505,$B9))</f>
        <v>0</v>
      </c>
      <c r="H9" s="160" t="n">
        <f aca="false">IF($B9="","",MAX(0,E9-D9+1-G9)/cfg_DAYS_Y)</f>
        <v>7.66849315068493</v>
      </c>
      <c r="I9" s="116" t="n">
        <f aca="false">IF($B9="","",الموظفون!$Q9)</f>
        <v>18900</v>
      </c>
      <c r="J9" s="116" t="n">
        <f aca="false">IF($B9="","",I9*cfg_EOS_R1*MIN(H9,cfg_EOS_TH))</f>
        <v>47250</v>
      </c>
      <c r="K9" s="116" t="n">
        <f aca="false">IF($B9="","",I9*cfg_EOS_R2*MAX(H9-cfg_EOS_TH,0))</f>
        <v>50434.5205479452</v>
      </c>
      <c r="L9" s="116" t="n">
        <f aca="false">IF($B9="","",J9+K9)</f>
        <v>97684.5205479452</v>
      </c>
      <c r="M9" s="117" t="str">
        <f aca="false">IF($B9="","",IF(AND(الموظفون!$AE9&lt;&gt;"",الموظفون!$AE9&lt;=cfg_VAL_DATE),IF(الموظفون!$AF9="","⚠ حدد السبب",الموظفون!$AF9),"على رأس العمل"))</f>
        <v>على رأس العمل</v>
      </c>
      <c r="N9" s="134" t="n">
        <f aca="false">IF($B9="","",VLOOKUP(H9,cfg_RES,2,TRUE()))</f>
        <v>0.666666666666667</v>
      </c>
      <c r="O9" s="116" t="n">
        <f aca="false">IF($B9="","",IF(M9="استقالة",L9*N9,L9))</f>
        <v>97684.5205479452</v>
      </c>
      <c r="P9" s="116" t="n">
        <f aca="false">IF($B9="","",I9*(cfg_EOS_R1*MIN((MAX(0,IF(OR(الموظفون!$AE9="",الموظفون!$AE9&gt;=cfg_Y_START),cfg_Y_START-1,الموظفون!$AE9)-D9+1-SUMIFS('سجل الإجازات والحالات'!$R$6:$R$505,'سجل الإجازات والحالات'!$B$6:$B$505,$B9))/cfg_DAYS_Y),cfg_EOS_TH)+cfg_EOS_R2*MAX((MAX(0,IF(OR(الموظفون!$AE9="",الموظفون!$AE9&gt;=cfg_Y_START),cfg_Y_START-1,الموظفون!$AE9)-D9+1-SUMIFS('سجل الإجازات والحالات'!$R$6:$R$505,'سجل الإجازات والحالات'!$B$6:$B$505,$B9))/cfg_DAYS_Y)-cfg_EOS_TH,0)))</f>
        <v>83548.3561643836</v>
      </c>
      <c r="Q9" s="116" t="n">
        <f aca="false">IF($B9="","",O9-P9)</f>
        <v>14136.1643835617</v>
      </c>
      <c r="R9" s="116" t="n">
        <f aca="false">IF($B9="","",SUMIFS('الحركات الشهرية'!$N$6:$N$1005,'الحركات الشهرية'!$B$6:$B$1005,B9,'الحركات الشهرية'!$A$6:$A$1005,"&lt;="&amp;cfg_VAL_M))</f>
        <v>0</v>
      </c>
      <c r="S9" s="178" t="n">
        <f aca="false">IF($B9="","",P9+Q9-R9)</f>
        <v>97684.5205479452</v>
      </c>
      <c r="T9" s="117" t="str">
        <f aca="false">IF($B9="","",IF(S9&lt;-0.01,"✖ صرف أكثر من المستحق",IF(AND(M9&lt;&gt;"على رأس العمل",S9&gt;0.01),"⚠ مستحق لم يُصرف","✔ سليم")))</f>
        <v>✔ سليم</v>
      </c>
    </row>
    <row r="10" customFormat="false" ht="15" hidden="false" customHeight="false" outlineLevel="0" collapsed="false">
      <c r="B10" s="114" t="str">
        <f aca="false">IF(الموظفون!$B10="","",الموظفون!$B10)</f>
        <v>E005</v>
      </c>
      <c r="C10" s="114" t="str">
        <f aca="false">IF($B10="","",الموظفون!$C10)</f>
        <v>راجيش كومار</v>
      </c>
      <c r="D10" s="174" t="n">
        <f aca="false">IF($B10="","",الموظفون!$H10)</f>
        <v>43933</v>
      </c>
      <c r="E10" s="174" t="n">
        <f aca="false">IF($B10="","",IF(OR(الموظفون!$AE10="",الموظفون!$AE10&gt;cfg_VAL_DATE),cfg_VAL_DATE,الموظفون!$AE10))</f>
        <v>46295</v>
      </c>
      <c r="F10" s="114" t="str">
        <f aca="false">IF($B10="","",IF(E10&lt;D10,"لم يباشر",DATEDIF(D10,E10+1,"y")&amp;" سنة "&amp;DATEDIF(D10,E10+1,"ym")&amp;" شهر "&amp;DATEDIF(D10,E10+1,"md")&amp;" يوم"))</f>
        <v>6 سنة 5 شهر 19 يوم</v>
      </c>
      <c r="G10" s="65" t="n">
        <f aca="false">IF($B10="","",SUMIFS('سجل الإجازات والحالات'!$S$6:$S$505,'سجل الإجازات والحالات'!$B$6:$B$505,$B10))</f>
        <v>0</v>
      </c>
      <c r="H10" s="155" t="n">
        <f aca="false">IF($B10="","",MAX(0,E10-D10+1-G10)/cfg_DAYS_Y)</f>
        <v>6.47397260273973</v>
      </c>
      <c r="I10" s="111" t="n">
        <f aca="false">IF($B10="","",الموظفون!$Q10)</f>
        <v>12150</v>
      </c>
      <c r="J10" s="111" t="n">
        <f aca="false">IF($B10="","",I10*cfg_EOS_R1*MIN(H10,cfg_EOS_TH))</f>
        <v>30375</v>
      </c>
      <c r="K10" s="111" t="n">
        <f aca="false">IF($B10="","",I10*cfg_EOS_R2*MAX(H10-cfg_EOS_TH,0))</f>
        <v>17908.7671232877</v>
      </c>
      <c r="L10" s="111" t="n">
        <f aca="false">IF($B10="","",J10+K10)</f>
        <v>48283.7671232877</v>
      </c>
      <c r="M10" s="114" t="str">
        <f aca="false">IF($B10="","",IF(AND(الموظفون!$AE10&lt;&gt;"",الموظفون!$AE10&lt;=cfg_VAL_DATE),IF(الموظفون!$AF10="","⚠ حدد السبب",الموظفون!$AF10),"على رأس العمل"))</f>
        <v>على رأس العمل</v>
      </c>
      <c r="N10" s="66" t="n">
        <f aca="false">IF($B10="","",VLOOKUP(H10,cfg_RES,2,TRUE()))</f>
        <v>0.666666666666667</v>
      </c>
      <c r="O10" s="111" t="n">
        <f aca="false">IF($B10="","",IF(M10="استقالة",L10*N10,L10))</f>
        <v>48283.7671232877</v>
      </c>
      <c r="P10" s="111" t="n">
        <f aca="false">IF($B10="","",I10*(cfg_EOS_R1*MIN((MAX(0,IF(OR(الموظفون!$AE10="",الموظفون!$AE10&gt;=cfg_Y_START),cfg_Y_START-1,الموظفون!$AE10)-D10+1-SUMIFS('سجل الإجازات والحالات'!$R$6:$R$505,'سجل الإجازات والحالات'!$B$6:$B$505,$B10))/cfg_DAYS_Y),cfg_EOS_TH)+cfg_EOS_R2*MAX((MAX(0,IF(OR(الموظفون!$AE10="",الموظفون!$AE10&gt;=cfg_Y_START),cfg_Y_START-1,الموظفون!$AE10)-D10+1-SUMIFS('سجل الإجازات والحالات'!$R$6:$R$505,'سجل الإجازات والحالات'!$B$6:$B$505,$B10))/cfg_DAYS_Y)-cfg_EOS_TH,0)))</f>
        <v>39196.2328767123</v>
      </c>
      <c r="Q10" s="111" t="n">
        <f aca="false">IF($B10="","",O10-P10)</f>
        <v>9087.53424657535</v>
      </c>
      <c r="R10" s="111" t="n">
        <f aca="false">IF($B10="","",SUMIFS('الحركات الشهرية'!$N$6:$N$1005,'الحركات الشهرية'!$B$6:$B$1005,B10,'الحركات الشهرية'!$A$6:$A$1005,"&lt;="&amp;cfg_VAL_M))</f>
        <v>0</v>
      </c>
      <c r="S10" s="177" t="n">
        <f aca="false">IF($B10="","",P10+Q10-R10)</f>
        <v>48283.7671232877</v>
      </c>
      <c r="T10" s="114" t="str">
        <f aca="false">IF($B10="","",IF(S10&lt;-0.01,"✖ صرف أكثر من المستحق",IF(AND(M10&lt;&gt;"على رأس العمل",S10&gt;0.01),"⚠ مستحق لم يُصرف","✔ سليم")))</f>
        <v>✔ سليم</v>
      </c>
    </row>
    <row r="11" customFormat="false" ht="15" hidden="false" customHeight="false" outlineLevel="0" collapsed="false">
      <c r="B11" s="117" t="str">
        <f aca="false">IF(الموظفون!$B11="","",الموظفون!$B11)</f>
        <v>E006</v>
      </c>
      <c r="C11" s="117" t="str">
        <f aca="false">IF($B11="","",الموظفون!$C11)</f>
        <v>فهد ناصر الشمري</v>
      </c>
      <c r="D11" s="175" t="n">
        <f aca="false">IF($B11="","",الموظفون!$H11)</f>
        <v>43044</v>
      </c>
      <c r="E11" s="175" t="n">
        <f aca="false">IF($B11="","",IF(OR(الموظفون!$AE11="",الموظفون!$AE11&gt;cfg_VAL_DATE),cfg_VAL_DATE,الموظفون!$AE11))</f>
        <v>46295</v>
      </c>
      <c r="F11" s="117" t="str">
        <f aca="false">IF($B11="","",IF(E11&lt;D11,"لم يباشر",DATEDIF(D11,E11+1,"y")&amp;" سنة "&amp;DATEDIF(D11,E11+1,"ym")&amp;" شهر "&amp;DATEDIF(D11,E11+1,"md")&amp;" يوم"))</f>
        <v>8 سنة 10 شهر 26 يوم</v>
      </c>
      <c r="G11" s="133" t="n">
        <f aca="false">IF($B11="","",SUMIFS('سجل الإجازات والحالات'!$S$6:$S$505,'سجل الإجازات والحالات'!$B$6:$B$505,$B11))</f>
        <v>11</v>
      </c>
      <c r="H11" s="160" t="n">
        <f aca="false">IF($B11="","",MAX(0,E11-D11+1-G11)/cfg_DAYS_Y)</f>
        <v>8.87945205479452</v>
      </c>
      <c r="I11" s="116" t="n">
        <f aca="false">IF($B11="","",الموظفون!$Q11)</f>
        <v>17550</v>
      </c>
      <c r="J11" s="116" t="n">
        <f aca="false">IF($B11="","",I11*cfg_EOS_R1*MIN(H11,cfg_EOS_TH))</f>
        <v>43875</v>
      </c>
      <c r="K11" s="116" t="n">
        <f aca="false">IF($B11="","",I11*cfg_EOS_R2*MAX(H11-cfg_EOS_TH,0))</f>
        <v>68084.3835616438</v>
      </c>
      <c r="L11" s="116" t="n">
        <f aca="false">IF($B11="","",J11+K11)</f>
        <v>111959.383561644</v>
      </c>
      <c r="M11" s="117" t="str">
        <f aca="false">IF($B11="","",IF(AND(الموظفون!$AE11&lt;&gt;"",الموظفون!$AE11&lt;=cfg_VAL_DATE),IF(الموظفون!$AF11="","⚠ حدد السبب",الموظفون!$AF11),"على رأس العمل"))</f>
        <v>على رأس العمل</v>
      </c>
      <c r="N11" s="134" t="n">
        <f aca="false">IF($B11="","",VLOOKUP(H11,cfg_RES,2,TRUE()))</f>
        <v>0.666666666666667</v>
      </c>
      <c r="O11" s="116" t="n">
        <f aca="false">IF($B11="","",IF(M11="استقالة",L11*N11,L11))</f>
        <v>111959.383561644</v>
      </c>
      <c r="P11" s="116" t="n">
        <f aca="false">IF($B11="","",I11*(cfg_EOS_R1*MIN((MAX(0,IF(OR(الموظفون!$AE11="",الموظفون!$AE11&gt;=cfg_Y_START),cfg_Y_START-1,الموظفون!$AE11)-D11+1-SUMIFS('سجل الإجازات والحالات'!$R$6:$R$505,'سجل الإجازات والحالات'!$B$6:$B$505,$B11))/cfg_DAYS_Y),cfg_EOS_TH)+cfg_EOS_R2*MAX((MAX(0,IF(OR(الموظفون!$AE11="",الموظفون!$AE11&gt;=cfg_Y_START),cfg_Y_START-1,الموظفون!$AE11)-D11+1-SUMIFS('سجل الإجازات والحالات'!$R$6:$R$505,'سجل الإجازات والحالات'!$B$6:$B$505,$B11))/cfg_DAYS_Y)-cfg_EOS_TH,0)))</f>
        <v>99361.8493150685</v>
      </c>
      <c r="Q11" s="116" t="n">
        <f aca="false">IF($B11="","",O11-P11)</f>
        <v>12597.5342465753</v>
      </c>
      <c r="R11" s="116" t="n">
        <f aca="false">IF($B11="","",SUMIFS('الحركات الشهرية'!$N$6:$N$1005,'الحركات الشهرية'!$B$6:$B$1005,B11,'الحركات الشهرية'!$A$6:$A$1005,"&lt;="&amp;cfg_VAL_M))</f>
        <v>0</v>
      </c>
      <c r="S11" s="178" t="n">
        <f aca="false">IF($B11="","",P11+Q11-R11)</f>
        <v>111959.383561644</v>
      </c>
      <c r="T11" s="117" t="str">
        <f aca="false">IF($B11="","",IF(S11&lt;-0.01,"✖ صرف أكثر من المستحق",IF(AND(M11&lt;&gt;"على رأس العمل",S11&gt;0.01),"⚠ مستحق لم يُصرف","✔ سليم")))</f>
        <v>✔ سليم</v>
      </c>
    </row>
    <row r="12" customFormat="false" ht="15" hidden="false" customHeight="false" outlineLevel="0" collapsed="false">
      <c r="B12" s="114" t="str">
        <f aca="false">IF(الموظفون!$B12="","",الموظفون!$B12)</f>
        <v>E007</v>
      </c>
      <c r="C12" s="114" t="str">
        <f aca="false">IF($B12="","",الموظفون!$C12)</f>
        <v>خالد يوسف الأحمد</v>
      </c>
      <c r="D12" s="174" t="n">
        <f aca="false">IF($B12="","",الموظفون!$H12)</f>
        <v>44216</v>
      </c>
      <c r="E12" s="174" t="n">
        <f aca="false">IF($B12="","",IF(OR(الموظفون!$AE12="",الموظفون!$AE12&gt;cfg_VAL_DATE),cfg_VAL_DATE,الموظفون!$AE12))</f>
        <v>46295</v>
      </c>
      <c r="F12" s="114" t="str">
        <f aca="false">IF($B12="","",IF(E12&lt;D12,"لم يباشر",DATEDIF(D12,E12+1,"y")&amp;" سنة "&amp;DATEDIF(D12,E12+1,"ym")&amp;" شهر "&amp;DATEDIF(D12,E12+1,"md")&amp;" يوم"))</f>
        <v>5 سنة 8 شهر 11 يوم</v>
      </c>
      <c r="G12" s="65" t="n">
        <f aca="false">IF($B12="","",SUMIFS('سجل الإجازات والحالات'!$S$6:$S$505,'سجل الإجازات والحالات'!$B$6:$B$505,$B12))</f>
        <v>0</v>
      </c>
      <c r="H12" s="155" t="n">
        <f aca="false">IF($B12="","",MAX(0,E12-D12+1-G12)/cfg_DAYS_Y)</f>
        <v>5.6986301369863</v>
      </c>
      <c r="I12" s="111" t="n">
        <f aca="false">IF($B12="","",الموظفون!$Q12)</f>
        <v>14850</v>
      </c>
      <c r="J12" s="111" t="n">
        <f aca="false">IF($B12="","",I12*cfg_EOS_R1*MIN(H12,cfg_EOS_TH))</f>
        <v>37125</v>
      </c>
      <c r="K12" s="111" t="n">
        <f aca="false">IF($B12="","",I12*cfg_EOS_R2*MAX(H12-cfg_EOS_TH,0))</f>
        <v>10374.6575342466</v>
      </c>
      <c r="L12" s="111" t="n">
        <f aca="false">IF($B12="","",J12+K12)</f>
        <v>47499.6575342466</v>
      </c>
      <c r="M12" s="114" t="str">
        <f aca="false">IF($B12="","",IF(AND(الموظفون!$AE12&lt;&gt;"",الموظفون!$AE12&lt;=cfg_VAL_DATE),IF(الموظفون!$AF12="","⚠ حدد السبب",الموظفون!$AF12),"على رأس العمل"))</f>
        <v>على رأس العمل</v>
      </c>
      <c r="N12" s="66" t="n">
        <f aca="false">IF($B12="","",VLOOKUP(H12,cfg_RES,2,TRUE()))</f>
        <v>0.666666666666667</v>
      </c>
      <c r="O12" s="111" t="n">
        <f aca="false">IF($B12="","",IF(M12="استقالة",L12*N12,L12))</f>
        <v>47499.6575342466</v>
      </c>
      <c r="P12" s="111" t="n">
        <f aca="false">IF($B12="","",I12*(cfg_EOS_R1*MIN((MAX(0,IF(OR(الموظفون!$AE12="",الموظفون!$AE12&gt;=cfg_Y_START),cfg_Y_START-1,الموظفون!$AE12)-D12+1-SUMIFS('سجل الإجازات والحالات'!$R$6:$R$505,'سجل الإجازات والحالات'!$B$6:$B$505,$B12))/cfg_DAYS_Y),cfg_EOS_TH)+cfg_EOS_R2*MAX((MAX(0,IF(OR(الموظفون!$AE12="",الموظفون!$AE12&gt;=cfg_Y_START),cfg_Y_START-1,الموظفون!$AE12)-D12+1-SUMIFS('سجل الإجازات والحالات'!$R$6:$R$505,'سجل الإجازات والحالات'!$B$6:$B$505,$B12))/cfg_DAYS_Y)-cfg_EOS_TH,0)))</f>
        <v>36758.8356164384</v>
      </c>
      <c r="Q12" s="111" t="n">
        <f aca="false">IF($B12="","",O12-P12)</f>
        <v>10740.8219178082</v>
      </c>
      <c r="R12" s="111" t="n">
        <f aca="false">IF($B12="","",SUMIFS('الحركات الشهرية'!$N$6:$N$1005,'الحركات الشهرية'!$B$6:$B$1005,B12,'الحركات الشهرية'!$A$6:$A$1005,"&lt;="&amp;cfg_VAL_M))</f>
        <v>0</v>
      </c>
      <c r="S12" s="177" t="n">
        <f aca="false">IF($B12="","",P12+Q12-R12)</f>
        <v>47499.6575342466</v>
      </c>
      <c r="T12" s="114" t="str">
        <f aca="false">IF($B12="","",IF(S12&lt;-0.01,"✖ صرف أكثر من المستحق",IF(AND(M12&lt;&gt;"على رأس العمل",S12&gt;0.01),"⚠ مستحق لم يُصرف","✔ سليم")))</f>
        <v>✔ سليم</v>
      </c>
    </row>
    <row r="13" customFormat="false" ht="15" hidden="false" customHeight="false" outlineLevel="0" collapsed="false">
      <c r="B13" s="117" t="str">
        <f aca="false">IF(الموظفون!$B13="","",الموظفون!$B13)</f>
        <v>E008</v>
      </c>
      <c r="C13" s="117" t="str">
        <f aca="false">IF($B13="","",الموظفون!$C13)</f>
        <v>سارة عبدالرحمن الزهراني</v>
      </c>
      <c r="D13" s="175" t="n">
        <f aca="false">IF($B13="","",الموظفون!$H13)</f>
        <v>44986</v>
      </c>
      <c r="E13" s="175" t="n">
        <f aca="false">IF($B13="","",IF(OR(الموظفون!$AE13="",الموظفون!$AE13&gt;cfg_VAL_DATE),cfg_VAL_DATE,الموظفون!$AE13))</f>
        <v>46295</v>
      </c>
      <c r="F13" s="117" t="str">
        <f aca="false">IF($B13="","",IF(E13&lt;D13,"لم يباشر",DATEDIF(D13,E13+1,"y")&amp;" سنة "&amp;DATEDIF(D13,E13+1,"ym")&amp;" شهر "&amp;DATEDIF(D13,E13+1,"md")&amp;" يوم"))</f>
        <v>3 سنة 7 شهر 0 يوم</v>
      </c>
      <c r="G13" s="133" t="n">
        <f aca="false">IF($B13="","",SUMIFS('سجل الإجازات والحالات'!$S$6:$S$505,'سجل الإجازات والحالات'!$B$6:$B$505,$B13))</f>
        <v>3</v>
      </c>
      <c r="H13" s="160" t="n">
        <f aca="false">IF($B13="","",MAX(0,E13-D13+1-G13)/cfg_DAYS_Y)</f>
        <v>3.58082191780822</v>
      </c>
      <c r="I13" s="116" t="n">
        <f aca="false">IF($B13="","",الموظفون!$Q13)</f>
        <v>10125</v>
      </c>
      <c r="J13" s="116" t="n">
        <f aca="false">IF($B13="","",I13*cfg_EOS_R1*MIN(H13,cfg_EOS_TH))</f>
        <v>18127.9109589041</v>
      </c>
      <c r="K13" s="116" t="n">
        <f aca="false">IF($B13="","",I13*cfg_EOS_R2*MAX(H13-cfg_EOS_TH,0))</f>
        <v>0</v>
      </c>
      <c r="L13" s="116" t="n">
        <f aca="false">IF($B13="","",J13+K13)</f>
        <v>18127.9109589041</v>
      </c>
      <c r="M13" s="117" t="str">
        <f aca="false">IF($B13="","",IF(AND(الموظفون!$AE13&lt;&gt;"",الموظفون!$AE13&lt;=cfg_VAL_DATE),IF(الموظفون!$AF13="","⚠ حدد السبب",الموظفون!$AF13),"على رأس العمل"))</f>
        <v>على رأس العمل</v>
      </c>
      <c r="N13" s="134" t="n">
        <f aca="false">IF($B13="","",VLOOKUP(H13,cfg_RES,2,TRUE()))</f>
        <v>0.333333333333333</v>
      </c>
      <c r="O13" s="116" t="n">
        <f aca="false">IF($B13="","",IF(M13="استقالة",L13*N13,L13))</f>
        <v>18127.9109589041</v>
      </c>
      <c r="P13" s="116" t="n">
        <f aca="false">IF($B13="","",I13*(cfg_EOS_R1*MIN((MAX(0,IF(OR(الموظفون!$AE13="",الموظفون!$AE13&gt;=cfg_Y_START),cfg_Y_START-1,الموظفون!$AE13)-D13+1-SUMIFS('سجل الإجازات والحالات'!$R$6:$R$505,'سجل الإجازات والحالات'!$B$6:$B$505,$B13))/cfg_DAYS_Y),cfg_EOS_TH)+cfg_EOS_R2*MAX((MAX(0,IF(OR(الموظفون!$AE13="",الموظفون!$AE13&gt;=cfg_Y_START),cfg_Y_START-1,الموظفون!$AE13)-D13+1-SUMIFS('سجل الإجازات والحالات'!$R$6:$R$505,'سجل الإجازات والحالات'!$B$6:$B$505,$B13))/cfg_DAYS_Y)-cfg_EOS_TH,0)))</f>
        <v>14383.0479452055</v>
      </c>
      <c r="Q13" s="116" t="n">
        <f aca="false">IF($B13="","",O13-P13)</f>
        <v>3744.86301369863</v>
      </c>
      <c r="R13" s="116" t="n">
        <f aca="false">IF($B13="","",SUMIFS('الحركات الشهرية'!$N$6:$N$1005,'الحركات الشهرية'!$B$6:$B$1005,B13,'الحركات الشهرية'!$A$6:$A$1005,"&lt;="&amp;cfg_VAL_M))</f>
        <v>0</v>
      </c>
      <c r="S13" s="178" t="n">
        <f aca="false">IF($B13="","",P13+Q13-R13)</f>
        <v>18127.9109589041</v>
      </c>
      <c r="T13" s="117" t="str">
        <f aca="false">IF($B13="","",IF(S13&lt;-0.01,"✖ صرف أكثر من المستحق",IF(AND(M13&lt;&gt;"على رأس العمل",S13&gt;0.01),"⚠ مستحق لم يُصرف","✔ سليم")))</f>
        <v>✔ سليم</v>
      </c>
    </row>
    <row r="14" customFormat="false" ht="15" hidden="false" customHeight="false" outlineLevel="0" collapsed="false">
      <c r="B14" s="114" t="str">
        <f aca="false">IF(الموظفون!$B14="","",الموظفون!$B14)</f>
        <v>E009</v>
      </c>
      <c r="C14" s="114" t="str">
        <f aca="false">IF($B14="","",الموظفون!$C14)</f>
        <v>محمد رفيق</v>
      </c>
      <c r="D14" s="174" t="n">
        <f aca="false">IF($B14="","",الموظفون!$H14)</f>
        <v>41869</v>
      </c>
      <c r="E14" s="174" t="n">
        <f aca="false">IF($B14="","",IF(OR(الموظفون!$AE14="",الموظفون!$AE14&gt;cfg_VAL_DATE),cfg_VAL_DATE,الموظفون!$AE14))</f>
        <v>46295</v>
      </c>
      <c r="F14" s="114" t="str">
        <f aca="false">IF($B14="","",IF(E14&lt;D14,"لم يباشر",DATEDIF(D14,E14+1,"y")&amp;" سنة "&amp;DATEDIF(D14,E14+1,"ym")&amp;" شهر "&amp;DATEDIF(D14,E14+1,"md")&amp;" يوم"))</f>
        <v>12 سنة 1 شهر 13 يوم</v>
      </c>
      <c r="G14" s="65" t="n">
        <f aca="false">IF($B14="","",SUMIFS('سجل الإجازات والحالات'!$S$6:$S$505,'سجل الإجازات والحالات'!$B$6:$B$505,$B14))</f>
        <v>0</v>
      </c>
      <c r="H14" s="155" t="n">
        <f aca="false">IF($B14="","",MAX(0,E14-D14+1-G14)/cfg_DAYS_Y)</f>
        <v>12.1287671232877</v>
      </c>
      <c r="I14" s="111" t="n">
        <f aca="false">IF($B14="","",الموظفون!$Q14)</f>
        <v>8775</v>
      </c>
      <c r="J14" s="111" t="n">
        <f aca="false">IF($B14="","",I14*cfg_EOS_R1*MIN(H14,cfg_EOS_TH))</f>
        <v>21937.5</v>
      </c>
      <c r="K14" s="111" t="n">
        <f aca="false">IF($B14="","",I14*cfg_EOS_R2*MAX(H14-cfg_EOS_TH,0))</f>
        <v>62554.9315068493</v>
      </c>
      <c r="L14" s="111" t="n">
        <f aca="false">IF($B14="","",J14+K14)</f>
        <v>84492.4315068493</v>
      </c>
      <c r="M14" s="114" t="str">
        <f aca="false">IF($B14="","",IF(AND(الموظفون!$AE14&lt;&gt;"",الموظفون!$AE14&lt;=cfg_VAL_DATE),IF(الموظفون!$AF14="","⚠ حدد السبب",الموظفون!$AF14),"على رأس العمل"))</f>
        <v>على رأس العمل</v>
      </c>
      <c r="N14" s="66" t="n">
        <f aca="false">IF($B14="","",VLOOKUP(H14,cfg_RES,2,TRUE()))</f>
        <v>1</v>
      </c>
      <c r="O14" s="111" t="n">
        <f aca="false">IF($B14="","",IF(M14="استقالة",L14*N14,L14))</f>
        <v>84492.4315068493</v>
      </c>
      <c r="P14" s="111" t="n">
        <f aca="false">IF($B14="","",I14*(cfg_EOS_R1*MIN((MAX(0,IF(OR(الموظفون!$AE14="",الموظفون!$AE14&gt;=cfg_Y_START),cfg_Y_START-1,الموظفون!$AE14)-D14+1-SUMIFS('سجل الإجازات والحالات'!$R$6:$R$505,'سجل الإجازات والحالات'!$B$6:$B$505,$B14))/cfg_DAYS_Y),cfg_EOS_TH)+cfg_EOS_R2*MAX((MAX(0,IF(OR(الموظفون!$AE14="",الموظفون!$AE14&gt;=cfg_Y_START),cfg_Y_START-1,الموظفون!$AE14)-D14+1-SUMIFS('سجل الإجازات والحالات'!$R$6:$R$505,'سجل الإجازات والحالات'!$B$6:$B$505,$B14))/cfg_DAYS_Y)-cfg_EOS_TH,0)))</f>
        <v>77929.2123287671</v>
      </c>
      <c r="Q14" s="111" t="n">
        <f aca="false">IF($B14="","",O14-P14)</f>
        <v>6563.21917808219</v>
      </c>
      <c r="R14" s="111" t="n">
        <f aca="false">IF($B14="","",SUMIFS('الحركات الشهرية'!$N$6:$N$1005,'الحركات الشهرية'!$B$6:$B$1005,B14,'الحركات الشهرية'!$A$6:$A$1005,"&lt;="&amp;cfg_VAL_M))</f>
        <v>0</v>
      </c>
      <c r="S14" s="177" t="n">
        <f aca="false">IF($B14="","",P14+Q14-R14)</f>
        <v>84492.4315068493</v>
      </c>
      <c r="T14" s="114" t="str">
        <f aca="false">IF($B14="","",IF(S14&lt;-0.01,"✖ صرف أكثر من المستحق",IF(AND(M14&lt;&gt;"على رأس العمل",S14&gt;0.01),"⚠ مستحق لم يُصرف","✔ سليم")))</f>
        <v>✔ سليم</v>
      </c>
    </row>
    <row r="15" customFormat="false" ht="15" hidden="false" customHeight="false" outlineLevel="0" collapsed="false">
      <c r="B15" s="117" t="str">
        <f aca="false">IF(الموظفون!$B15="","",الموظفون!$B15)</f>
        <v>E010</v>
      </c>
      <c r="C15" s="117" t="str">
        <f aca="false">IF($B15="","",الموظفون!$C15)</f>
        <v>ريم سلطان المطيري</v>
      </c>
      <c r="D15" s="175" t="n">
        <f aca="false">IF($B15="","",الموظفون!$H15)</f>
        <v>46127</v>
      </c>
      <c r="E15" s="175" t="n">
        <f aca="false">IF($B15="","",IF(OR(الموظفون!$AE15="",الموظفون!$AE15&gt;cfg_VAL_DATE),cfg_VAL_DATE,الموظفون!$AE15))</f>
        <v>46295</v>
      </c>
      <c r="F15" s="117" t="str">
        <f aca="false">IF($B15="","",IF(E15&lt;D15,"لم يباشر",DATEDIF(D15,E15+1,"y")&amp;" سنة "&amp;DATEDIF(D15,E15+1,"ym")&amp;" شهر "&amp;DATEDIF(D15,E15+1,"md")&amp;" يوم"))</f>
        <v>0 سنة 5 شهر 16 يوم</v>
      </c>
      <c r="G15" s="133" t="n">
        <f aca="false">IF($B15="","",SUMIFS('سجل الإجازات والحالات'!$S$6:$S$505,'سجل الإجازات والحالات'!$B$6:$B$505,$B15))</f>
        <v>0</v>
      </c>
      <c r="H15" s="160" t="n">
        <f aca="false">IF($B15="","",MAX(0,E15-D15+1-G15)/cfg_DAYS_Y)</f>
        <v>0.463013698630137</v>
      </c>
      <c r="I15" s="116" t="n">
        <f aca="false">IF($B15="","",الموظفون!$Q15)</f>
        <v>12150</v>
      </c>
      <c r="J15" s="116" t="n">
        <f aca="false">IF($B15="","",I15*cfg_EOS_R1*MIN(H15,cfg_EOS_TH))</f>
        <v>2812.80821917808</v>
      </c>
      <c r="K15" s="116" t="n">
        <f aca="false">IF($B15="","",I15*cfg_EOS_R2*MAX(H15-cfg_EOS_TH,0))</f>
        <v>0</v>
      </c>
      <c r="L15" s="116" t="n">
        <f aca="false">IF($B15="","",J15+K15)</f>
        <v>2812.80821917808</v>
      </c>
      <c r="M15" s="117" t="str">
        <f aca="false">IF($B15="","",IF(AND(الموظفون!$AE15&lt;&gt;"",الموظفون!$AE15&lt;=cfg_VAL_DATE),IF(الموظفون!$AF15="","⚠ حدد السبب",الموظفون!$AF15),"على رأس العمل"))</f>
        <v>على رأس العمل</v>
      </c>
      <c r="N15" s="134" t="n">
        <f aca="false">IF($B15="","",VLOOKUP(H15,cfg_RES,2,TRUE()))</f>
        <v>0</v>
      </c>
      <c r="O15" s="116" t="n">
        <f aca="false">IF($B15="","",IF(M15="استقالة",L15*N15,L15))</f>
        <v>2812.80821917808</v>
      </c>
      <c r="P15" s="116" t="n">
        <f aca="false">IF($B15="","",I15*(cfg_EOS_R1*MIN((MAX(0,IF(OR(الموظفون!$AE15="",الموظفون!$AE15&gt;=cfg_Y_START),cfg_Y_START-1,الموظفون!$AE15)-D15+1-SUMIFS('سجل الإجازات والحالات'!$R$6:$R$505,'سجل الإجازات والحالات'!$B$6:$B$505,$B15))/cfg_DAYS_Y),cfg_EOS_TH)+cfg_EOS_R2*MAX((MAX(0,IF(OR(الموظفون!$AE15="",الموظفون!$AE15&gt;=cfg_Y_START),cfg_Y_START-1,الموظفون!$AE15)-D15+1-SUMIFS('سجل الإجازات والحالات'!$R$6:$R$505,'سجل الإجازات والحالات'!$B$6:$B$505,$B15))/cfg_DAYS_Y)-cfg_EOS_TH,0)))</f>
        <v>0</v>
      </c>
      <c r="Q15" s="116" t="n">
        <f aca="false">IF($B15="","",O15-P15)</f>
        <v>2812.80821917808</v>
      </c>
      <c r="R15" s="116" t="n">
        <f aca="false">IF($B15="","",SUMIFS('الحركات الشهرية'!$N$6:$N$1005,'الحركات الشهرية'!$B$6:$B$1005,B15,'الحركات الشهرية'!$A$6:$A$1005,"&lt;="&amp;cfg_VAL_M))</f>
        <v>0</v>
      </c>
      <c r="S15" s="178" t="n">
        <f aca="false">IF($B15="","",P15+Q15-R15)</f>
        <v>2812.80821917808</v>
      </c>
      <c r="T15" s="117" t="str">
        <f aca="false">IF($B15="","",IF(S15&lt;-0.01,"✖ صرف أكثر من المستحق",IF(AND(M15&lt;&gt;"على رأس العمل",S15&gt;0.01),"⚠ مستحق لم يُصرف","✔ سليم")))</f>
        <v>✔ سليم</v>
      </c>
    </row>
    <row r="16" customFormat="false" ht="15" hidden="false" customHeight="false" outlineLevel="0" collapsed="false">
      <c r="B16" s="114" t="str">
        <f aca="false">IF(الموظفون!$B16="","",الموظفون!$B16)</f>
        <v>E011</v>
      </c>
      <c r="C16" s="114" t="str">
        <f aca="false">IF($B16="","",الموظفون!$C16)</f>
        <v>جون ماتيو</v>
      </c>
      <c r="D16" s="174" t="n">
        <f aca="false">IF($B16="","",الموظفون!$H16)</f>
        <v>43525</v>
      </c>
      <c r="E16" s="174" t="n">
        <f aca="false">IF($B16="","",IF(OR(الموظفون!$AE16="",الموظفون!$AE16&gt;cfg_VAL_DATE),cfg_VAL_DATE,الموظفون!$AE16))</f>
        <v>46203</v>
      </c>
      <c r="F16" s="114" t="str">
        <f aca="false">IF($B16="","",IF(E16&lt;D16,"لم يباشر",DATEDIF(D16,E16+1,"y")&amp;" سنة "&amp;DATEDIF(D16,E16+1,"ym")&amp;" شهر "&amp;DATEDIF(D16,E16+1,"md")&amp;" يوم"))</f>
        <v>7 سنة 4 شهر 0 يوم</v>
      </c>
      <c r="G16" s="65" t="n">
        <f aca="false">IF($B16="","",SUMIFS('سجل الإجازات والحالات'!$S$6:$S$505,'سجل الإجازات والحالات'!$B$6:$B$505,$B16))</f>
        <v>0</v>
      </c>
      <c r="H16" s="155" t="n">
        <f aca="false">IF($B16="","",MAX(0,E16-D16+1-G16)/cfg_DAYS_Y)</f>
        <v>7.33972602739726</v>
      </c>
      <c r="I16" s="111" t="n">
        <f aca="false">IF($B16="","",الموظفون!$Q16)</f>
        <v>6750</v>
      </c>
      <c r="J16" s="111" t="n">
        <f aca="false">IF($B16="","",I16*cfg_EOS_R1*MIN(H16,cfg_EOS_TH))</f>
        <v>16875</v>
      </c>
      <c r="K16" s="111" t="n">
        <f aca="false">IF($B16="","",I16*cfg_EOS_R2*MAX(H16-cfg_EOS_TH,0))</f>
        <v>15793.1506849315</v>
      </c>
      <c r="L16" s="111" t="n">
        <f aca="false">IF($B16="","",J16+K16)</f>
        <v>32668.1506849315</v>
      </c>
      <c r="M16" s="114" t="str">
        <f aca="false">IF($B16="","",IF(AND(الموظفون!$AE16&lt;&gt;"",الموظفون!$AE16&lt;=cfg_VAL_DATE),IF(الموظفون!$AF16="","⚠ حدد السبب",الموظفون!$AF16),"على رأس العمل"))</f>
        <v>استقالة</v>
      </c>
      <c r="N16" s="66" t="n">
        <f aca="false">IF($B16="","",VLOOKUP(H16,cfg_RES,2,TRUE()))</f>
        <v>0.666666666666667</v>
      </c>
      <c r="O16" s="111" t="n">
        <f aca="false">IF($B16="","",IF(M16="استقالة",L16*N16,L16))</f>
        <v>21778.7671232877</v>
      </c>
      <c r="P16" s="111" t="n">
        <f aca="false">IF($B16="","",I16*(cfg_EOS_R1*MIN((MAX(0,IF(OR(الموظفون!$AE16="",الموظفون!$AE16&gt;=cfg_Y_START),cfg_Y_START-1,الموظفون!$AE16)-D16+1-SUMIFS('سجل الإجازات والحالات'!$R$6:$R$505,'سجل الإجازات والحالات'!$B$6:$B$505,$B16))/cfg_DAYS_Y),cfg_EOS_TH)+cfg_EOS_R2*MAX((MAX(0,IF(OR(الموظفون!$AE16="",الموظفون!$AE16&gt;=cfg_Y_START),cfg_Y_START-1,الموظفون!$AE16)-D16+1-SUMIFS('سجل الإجازات والحالات'!$R$6:$R$505,'سجل الإجازات والحالات'!$B$6:$B$505,$B16))/cfg_DAYS_Y)-cfg_EOS_TH,0)))</f>
        <v>29320.8904109589</v>
      </c>
      <c r="Q16" s="111" t="n">
        <f aca="false">IF($B16="","",O16-P16)</f>
        <v>-7542.12328767124</v>
      </c>
      <c r="R16" s="111" t="n">
        <f aca="false">IF($B16="","",SUMIFS('الحركات الشهرية'!$N$6:$N$1005,'الحركات الشهرية'!$B$6:$B$1005,B16,'الحركات الشهرية'!$A$6:$A$1005,"&lt;="&amp;cfg_VAL_M))</f>
        <v>21778.7671232877</v>
      </c>
      <c r="S16" s="177" t="n">
        <f aca="false">IF($B16="","",P16+Q16-R16)</f>
        <v>0</v>
      </c>
      <c r="T16" s="114" t="str">
        <f aca="false">IF($B16="","",IF(S16&lt;-0.01,"✖ صرف أكثر من المستحق",IF(AND(M16&lt;&gt;"على رأس العمل",S16&gt;0.01),"⚠ مستحق لم يُصرف","✔ سليم")))</f>
        <v>✔ سليم</v>
      </c>
    </row>
    <row r="17" customFormat="false" ht="15" hidden="false" customHeight="false" outlineLevel="0" collapsed="false">
      <c r="B17" s="117" t="str">
        <f aca="false">IF(الموظفون!$B17="","",الموظفون!$B17)</f>
        <v>E012</v>
      </c>
      <c r="C17" s="117" t="str">
        <f aca="false">IF($B17="","",الموظفون!$C17)</f>
        <v>عمر حسين البيشي</v>
      </c>
      <c r="D17" s="175" t="n">
        <f aca="false">IF($B17="","",الموظفون!$H17)</f>
        <v>44752</v>
      </c>
      <c r="E17" s="175" t="n">
        <f aca="false">IF($B17="","",IF(OR(الموظفون!$AE17="",الموظفون!$AE17&gt;cfg_VAL_DATE),cfg_VAL_DATE,الموظفون!$AE17))</f>
        <v>46295</v>
      </c>
      <c r="F17" s="117" t="str">
        <f aca="false">IF($B17="","",IF(E17&lt;D17,"لم يباشر",DATEDIF(D17,E17+1,"y")&amp;" سنة "&amp;DATEDIF(D17,E17+1,"ym")&amp;" شهر "&amp;DATEDIF(D17,E17+1,"md")&amp;" يوم"))</f>
        <v>4 سنة 2 شهر 21 يوم</v>
      </c>
      <c r="G17" s="133" t="n">
        <f aca="false">IF($B17="","",SUMIFS('سجل الإجازات والحالات'!$S$6:$S$505,'سجل الإجازات والحالات'!$B$6:$B$505,$B17))</f>
        <v>0</v>
      </c>
      <c r="H17" s="160" t="n">
        <f aca="false">IF($B17="","",MAX(0,E17-D17+1-G17)/cfg_DAYS_Y)</f>
        <v>4.23013698630137</v>
      </c>
      <c r="I17" s="116" t="n">
        <f aca="false">IF($B17="","",الموظفون!$Q17)</f>
        <v>16200</v>
      </c>
      <c r="J17" s="116" t="n">
        <f aca="false">IF($B17="","",I17*cfg_EOS_R1*MIN(H17,cfg_EOS_TH))</f>
        <v>34264.1095890411</v>
      </c>
      <c r="K17" s="116" t="n">
        <f aca="false">IF($B17="","",I17*cfg_EOS_R2*MAX(H17-cfg_EOS_TH,0))</f>
        <v>0</v>
      </c>
      <c r="L17" s="116" t="n">
        <f aca="false">IF($B17="","",J17+K17)</f>
        <v>34264.1095890411</v>
      </c>
      <c r="M17" s="117" t="str">
        <f aca="false">IF($B17="","",IF(AND(الموظفون!$AE17&lt;&gt;"",الموظفون!$AE17&lt;=cfg_VAL_DATE),IF(الموظفون!$AF17="","⚠ حدد السبب",الموظفون!$AF17),"على رأس العمل"))</f>
        <v>على رأس العمل</v>
      </c>
      <c r="N17" s="134" t="n">
        <f aca="false">IF($B17="","",VLOOKUP(H17,cfg_RES,2,TRUE()))</f>
        <v>0.333333333333333</v>
      </c>
      <c r="O17" s="116" t="n">
        <f aca="false">IF($B17="","",IF(M17="استقالة",L17*N17,L17))</f>
        <v>34264.1095890411</v>
      </c>
      <c r="P17" s="116" t="n">
        <f aca="false">IF($B17="","",I17*(cfg_EOS_R1*MIN((MAX(0,IF(OR(الموظفون!$AE17="",الموظفون!$AE17&gt;=cfg_Y_START),cfg_Y_START-1,الموظفون!$AE17)-D17+1-SUMIFS('سجل الإجازات والحالات'!$R$6:$R$505,'سجل الإجازات والحالات'!$B$6:$B$505,$B17))/cfg_DAYS_Y),cfg_EOS_TH)+cfg_EOS_R2*MAX((MAX(0,IF(OR(الموظفون!$AE17="",الموظفون!$AE17&gt;=cfg_Y_START),cfg_Y_START-1,الموظفون!$AE17)-D17+1-SUMIFS('سجل الإجازات والحالات'!$R$6:$R$505,'سجل الإجازات والحالات'!$B$6:$B$505,$B17))/cfg_DAYS_Y)-cfg_EOS_TH,0)))</f>
        <v>28205.7534246575</v>
      </c>
      <c r="Q17" s="116" t="n">
        <f aca="false">IF($B17="","",O17-P17)</f>
        <v>6058.35616438357</v>
      </c>
      <c r="R17" s="116" t="n">
        <f aca="false">IF($B17="","",SUMIFS('الحركات الشهرية'!$N$6:$N$1005,'الحركات الشهرية'!$B$6:$B$1005,B17,'الحركات الشهرية'!$A$6:$A$1005,"&lt;="&amp;cfg_VAL_M))</f>
        <v>0</v>
      </c>
      <c r="S17" s="178" t="n">
        <f aca="false">IF($B17="","",P17+Q17-R17)</f>
        <v>34264.1095890411</v>
      </c>
      <c r="T17" s="117" t="str">
        <f aca="false">IF($B17="","",IF(S17&lt;-0.01,"✖ صرف أكثر من المستحق",IF(AND(M17&lt;&gt;"على رأس العمل",S17&gt;0.01),"⚠ مستحق لم يُصرف","✔ سليم")))</f>
        <v>✔ سليم</v>
      </c>
    </row>
    <row r="18" customFormat="false" ht="15" hidden="false" customHeight="false" outlineLevel="0" collapsed="false">
      <c r="B18" s="114" t="str">
        <f aca="false">IF(الموظفون!$B18="","",الموظفون!$B18)</f>
        <v/>
      </c>
      <c r="C18" s="114" t="str">
        <f aca="false">IF($B18="","",الموظفون!$C18)</f>
        <v/>
      </c>
      <c r="D18" s="174" t="str">
        <f aca="false">IF($B18="","",الموظفون!$H18)</f>
        <v/>
      </c>
      <c r="E18" s="174" t="str">
        <f aca="false">IF($B18="","",IF(OR(الموظفون!$AE18="",الموظفون!$AE18&gt;cfg_VAL_DATE),cfg_VAL_DATE,الموظفون!$AE18))</f>
        <v/>
      </c>
      <c r="F18" s="114" t="str">
        <f aca="false">IF($B18="","",IF(E18&lt;D18,"لم يباشر",DATEDIF(D18,E18+1,"y")&amp;" سنة "&amp;DATEDIF(D18,E18+1,"ym")&amp;" شهر "&amp;DATEDIF(D18,E18+1,"md")&amp;" يوم"))</f>
        <v/>
      </c>
      <c r="G18" s="65" t="str">
        <f aca="false">IF($B18="","",SUMIFS('سجل الإجازات والحالات'!$S$6:$S$505,'سجل الإجازات والحالات'!$B$6:$B$505,$B18))</f>
        <v/>
      </c>
      <c r="H18" s="155" t="str">
        <f aca="false">IF($B18="","",MAX(0,E18-D18+1-G18)/cfg_DAYS_Y)</f>
        <v/>
      </c>
      <c r="I18" s="111" t="str">
        <f aca="false">IF($B18="","",الموظفون!$Q18)</f>
        <v/>
      </c>
      <c r="J18" s="111" t="str">
        <f aca="false">IF($B18="","",I18*cfg_EOS_R1*MIN(H18,cfg_EOS_TH))</f>
        <v/>
      </c>
      <c r="K18" s="111" t="str">
        <f aca="false">IF($B18="","",I18*cfg_EOS_R2*MAX(H18-cfg_EOS_TH,0))</f>
        <v/>
      </c>
      <c r="L18" s="111" t="str">
        <f aca="false">IF($B18="","",J18+K18)</f>
        <v/>
      </c>
      <c r="M18" s="114" t="str">
        <f aca="false">IF($B18="","",IF(AND(الموظفون!$AE18&lt;&gt;"",الموظفون!$AE18&lt;=cfg_VAL_DATE),IF(الموظفون!$AF18="","⚠ حدد السبب",الموظفون!$AF18),"على رأس العمل"))</f>
        <v/>
      </c>
      <c r="N18" s="66" t="str">
        <f aca="false">IF($B18="","",VLOOKUP(H18,cfg_RES,2,TRUE()))</f>
        <v/>
      </c>
      <c r="O18" s="111" t="str">
        <f aca="false">IF($B18="","",IF(M18="استقالة",L18*N18,L18))</f>
        <v/>
      </c>
      <c r="P18" s="111" t="str">
        <f aca="false">IF($B18="","",I18*(cfg_EOS_R1*MIN((MAX(0,IF(OR(الموظفون!$AE18="",الموظفون!$AE18&gt;=cfg_Y_START),cfg_Y_START-1,الموظفون!$AE18)-D18+1-SUMIFS('سجل الإجازات والحالات'!$R$6:$R$505,'سجل الإجازات والحالات'!$B$6:$B$505,$B18))/cfg_DAYS_Y),cfg_EOS_TH)+cfg_EOS_R2*MAX((MAX(0,IF(OR(الموظفون!$AE18="",الموظفون!$AE18&gt;=cfg_Y_START),cfg_Y_START-1,الموظفون!$AE18)-D18+1-SUMIFS('سجل الإجازات والحالات'!$R$6:$R$505,'سجل الإجازات والحالات'!$B$6:$B$505,$B18))/cfg_DAYS_Y)-cfg_EOS_TH,0)))</f>
        <v/>
      </c>
      <c r="Q18" s="111" t="str">
        <f aca="false">IF($B18="","",O18-P18)</f>
        <v/>
      </c>
      <c r="R18" s="111" t="str">
        <f aca="false">IF($B18="","",SUMIFS('الحركات الشهرية'!$N$6:$N$1005,'الحركات الشهرية'!$B$6:$B$1005,B18,'الحركات الشهرية'!$A$6:$A$1005,"&lt;="&amp;cfg_VAL_M))</f>
        <v/>
      </c>
      <c r="S18" s="177" t="str">
        <f aca="false">IF($B18="","",P18+Q18-R18)</f>
        <v/>
      </c>
      <c r="T18" s="114" t="str">
        <f aca="false">IF($B18="","",IF(S18&lt;-0.01,"✖ صرف أكثر من المستحق",IF(AND(M18&lt;&gt;"على رأس العمل",S18&gt;0.01),"⚠ مستحق لم يُصرف","✔ سليم")))</f>
        <v/>
      </c>
    </row>
    <row r="19" customFormat="false" ht="15" hidden="false" customHeight="false" outlineLevel="0" collapsed="false">
      <c r="B19" s="117" t="str">
        <f aca="false">IF(الموظفون!$B19="","",الموظفون!$B19)</f>
        <v/>
      </c>
      <c r="C19" s="117" t="str">
        <f aca="false">IF($B19="","",الموظفون!$C19)</f>
        <v/>
      </c>
      <c r="D19" s="175" t="str">
        <f aca="false">IF($B19="","",الموظفون!$H19)</f>
        <v/>
      </c>
      <c r="E19" s="175" t="str">
        <f aca="false">IF($B19="","",IF(OR(الموظفون!$AE19="",الموظفون!$AE19&gt;cfg_VAL_DATE),cfg_VAL_DATE,الموظفون!$AE19))</f>
        <v/>
      </c>
      <c r="F19" s="117" t="str">
        <f aca="false">IF($B19="","",IF(E19&lt;D19,"لم يباشر",DATEDIF(D19,E19+1,"y")&amp;" سنة "&amp;DATEDIF(D19,E19+1,"ym")&amp;" شهر "&amp;DATEDIF(D19,E19+1,"md")&amp;" يوم"))</f>
        <v/>
      </c>
      <c r="G19" s="133" t="str">
        <f aca="false">IF($B19="","",SUMIFS('سجل الإجازات والحالات'!$S$6:$S$505,'سجل الإجازات والحالات'!$B$6:$B$505,$B19))</f>
        <v/>
      </c>
      <c r="H19" s="160" t="str">
        <f aca="false">IF($B19="","",MAX(0,E19-D19+1-G19)/cfg_DAYS_Y)</f>
        <v/>
      </c>
      <c r="I19" s="116" t="str">
        <f aca="false">IF($B19="","",الموظفون!$Q19)</f>
        <v/>
      </c>
      <c r="J19" s="116" t="str">
        <f aca="false">IF($B19="","",I19*cfg_EOS_R1*MIN(H19,cfg_EOS_TH))</f>
        <v/>
      </c>
      <c r="K19" s="116" t="str">
        <f aca="false">IF($B19="","",I19*cfg_EOS_R2*MAX(H19-cfg_EOS_TH,0))</f>
        <v/>
      </c>
      <c r="L19" s="116" t="str">
        <f aca="false">IF($B19="","",J19+K19)</f>
        <v/>
      </c>
      <c r="M19" s="117" t="str">
        <f aca="false">IF($B19="","",IF(AND(الموظفون!$AE19&lt;&gt;"",الموظفون!$AE19&lt;=cfg_VAL_DATE),IF(الموظفون!$AF19="","⚠ حدد السبب",الموظفون!$AF19),"على رأس العمل"))</f>
        <v/>
      </c>
      <c r="N19" s="134" t="str">
        <f aca="false">IF($B19="","",VLOOKUP(H19,cfg_RES,2,TRUE()))</f>
        <v/>
      </c>
      <c r="O19" s="116" t="str">
        <f aca="false">IF($B19="","",IF(M19="استقالة",L19*N19,L19))</f>
        <v/>
      </c>
      <c r="P19" s="116" t="str">
        <f aca="false">IF($B19="","",I19*(cfg_EOS_R1*MIN((MAX(0,IF(OR(الموظفون!$AE19="",الموظفون!$AE19&gt;=cfg_Y_START),cfg_Y_START-1,الموظفون!$AE19)-D19+1-SUMIFS('سجل الإجازات والحالات'!$R$6:$R$505,'سجل الإجازات والحالات'!$B$6:$B$505,$B19))/cfg_DAYS_Y),cfg_EOS_TH)+cfg_EOS_R2*MAX((MAX(0,IF(OR(الموظفون!$AE19="",الموظفون!$AE19&gt;=cfg_Y_START),cfg_Y_START-1,الموظفون!$AE19)-D19+1-SUMIFS('سجل الإجازات والحالات'!$R$6:$R$505,'سجل الإجازات والحالات'!$B$6:$B$505,$B19))/cfg_DAYS_Y)-cfg_EOS_TH,0)))</f>
        <v/>
      </c>
      <c r="Q19" s="116" t="str">
        <f aca="false">IF($B19="","",O19-P19)</f>
        <v/>
      </c>
      <c r="R19" s="116" t="str">
        <f aca="false">IF($B19="","",SUMIFS('الحركات الشهرية'!$N$6:$N$1005,'الحركات الشهرية'!$B$6:$B$1005,B19,'الحركات الشهرية'!$A$6:$A$1005,"&lt;="&amp;cfg_VAL_M))</f>
        <v/>
      </c>
      <c r="S19" s="178" t="str">
        <f aca="false">IF($B19="","",P19+Q19-R19)</f>
        <v/>
      </c>
      <c r="T19" s="117" t="str">
        <f aca="false">IF($B19="","",IF(S19&lt;-0.01,"✖ صرف أكثر من المستحق",IF(AND(M19&lt;&gt;"على رأس العمل",S19&gt;0.01),"⚠ مستحق لم يُصرف","✔ سليم")))</f>
        <v/>
      </c>
    </row>
    <row r="20" customFormat="false" ht="15" hidden="false" customHeight="false" outlineLevel="0" collapsed="false">
      <c r="B20" s="114" t="str">
        <f aca="false">IF(الموظفون!$B20="","",الموظفون!$B20)</f>
        <v/>
      </c>
      <c r="C20" s="114" t="str">
        <f aca="false">IF($B20="","",الموظفون!$C20)</f>
        <v/>
      </c>
      <c r="D20" s="174" t="str">
        <f aca="false">IF($B20="","",الموظفون!$H20)</f>
        <v/>
      </c>
      <c r="E20" s="174" t="str">
        <f aca="false">IF($B20="","",IF(OR(الموظفون!$AE20="",الموظفون!$AE20&gt;cfg_VAL_DATE),cfg_VAL_DATE,الموظفون!$AE20))</f>
        <v/>
      </c>
      <c r="F20" s="114" t="str">
        <f aca="false">IF($B20="","",IF(E20&lt;D20,"لم يباشر",DATEDIF(D20,E20+1,"y")&amp;" سنة "&amp;DATEDIF(D20,E20+1,"ym")&amp;" شهر "&amp;DATEDIF(D20,E20+1,"md")&amp;" يوم"))</f>
        <v/>
      </c>
      <c r="G20" s="65" t="str">
        <f aca="false">IF($B20="","",SUMIFS('سجل الإجازات والحالات'!$S$6:$S$505,'سجل الإجازات والحالات'!$B$6:$B$505,$B20))</f>
        <v/>
      </c>
      <c r="H20" s="155" t="str">
        <f aca="false">IF($B20="","",MAX(0,E20-D20+1-G20)/cfg_DAYS_Y)</f>
        <v/>
      </c>
      <c r="I20" s="111" t="str">
        <f aca="false">IF($B20="","",الموظفون!$Q20)</f>
        <v/>
      </c>
      <c r="J20" s="111" t="str">
        <f aca="false">IF($B20="","",I20*cfg_EOS_R1*MIN(H20,cfg_EOS_TH))</f>
        <v/>
      </c>
      <c r="K20" s="111" t="str">
        <f aca="false">IF($B20="","",I20*cfg_EOS_R2*MAX(H20-cfg_EOS_TH,0))</f>
        <v/>
      </c>
      <c r="L20" s="111" t="str">
        <f aca="false">IF($B20="","",J20+K20)</f>
        <v/>
      </c>
      <c r="M20" s="114" t="str">
        <f aca="false">IF($B20="","",IF(AND(الموظفون!$AE20&lt;&gt;"",الموظفون!$AE20&lt;=cfg_VAL_DATE),IF(الموظفون!$AF20="","⚠ حدد السبب",الموظفون!$AF20),"على رأس العمل"))</f>
        <v/>
      </c>
      <c r="N20" s="66" t="str">
        <f aca="false">IF($B20="","",VLOOKUP(H20,cfg_RES,2,TRUE()))</f>
        <v/>
      </c>
      <c r="O20" s="111" t="str">
        <f aca="false">IF($B20="","",IF(M20="استقالة",L20*N20,L20))</f>
        <v/>
      </c>
      <c r="P20" s="111" t="str">
        <f aca="false">IF($B20="","",I20*(cfg_EOS_R1*MIN((MAX(0,IF(OR(الموظفون!$AE20="",الموظفون!$AE20&gt;=cfg_Y_START),cfg_Y_START-1,الموظفون!$AE20)-D20+1-SUMIFS('سجل الإجازات والحالات'!$R$6:$R$505,'سجل الإجازات والحالات'!$B$6:$B$505,$B20))/cfg_DAYS_Y),cfg_EOS_TH)+cfg_EOS_R2*MAX((MAX(0,IF(OR(الموظفون!$AE20="",الموظفون!$AE20&gt;=cfg_Y_START),cfg_Y_START-1,الموظفون!$AE20)-D20+1-SUMIFS('سجل الإجازات والحالات'!$R$6:$R$505,'سجل الإجازات والحالات'!$B$6:$B$505,$B20))/cfg_DAYS_Y)-cfg_EOS_TH,0)))</f>
        <v/>
      </c>
      <c r="Q20" s="111" t="str">
        <f aca="false">IF($B20="","",O20-P20)</f>
        <v/>
      </c>
      <c r="R20" s="111" t="str">
        <f aca="false">IF($B20="","",SUMIFS('الحركات الشهرية'!$N$6:$N$1005,'الحركات الشهرية'!$B$6:$B$1005,B20,'الحركات الشهرية'!$A$6:$A$1005,"&lt;="&amp;cfg_VAL_M))</f>
        <v/>
      </c>
      <c r="S20" s="177" t="str">
        <f aca="false">IF($B20="","",P20+Q20-R20)</f>
        <v/>
      </c>
      <c r="T20" s="114" t="str">
        <f aca="false">IF($B20="","",IF(S20&lt;-0.01,"✖ صرف أكثر من المستحق",IF(AND(M20&lt;&gt;"على رأس العمل",S20&gt;0.01),"⚠ مستحق لم يُصرف","✔ سليم")))</f>
        <v/>
      </c>
    </row>
    <row r="21" customFormat="false" ht="15" hidden="false" customHeight="false" outlineLevel="0" collapsed="false">
      <c r="B21" s="117" t="str">
        <f aca="false">IF(الموظفون!$B21="","",الموظفون!$B21)</f>
        <v/>
      </c>
      <c r="C21" s="117" t="str">
        <f aca="false">IF($B21="","",الموظفون!$C21)</f>
        <v/>
      </c>
      <c r="D21" s="175" t="str">
        <f aca="false">IF($B21="","",الموظفون!$H21)</f>
        <v/>
      </c>
      <c r="E21" s="175" t="str">
        <f aca="false">IF($B21="","",IF(OR(الموظفون!$AE21="",الموظفون!$AE21&gt;cfg_VAL_DATE),cfg_VAL_DATE,الموظفون!$AE21))</f>
        <v/>
      </c>
      <c r="F21" s="117" t="str">
        <f aca="false">IF($B21="","",IF(E21&lt;D21,"لم يباشر",DATEDIF(D21,E21+1,"y")&amp;" سنة "&amp;DATEDIF(D21,E21+1,"ym")&amp;" شهر "&amp;DATEDIF(D21,E21+1,"md")&amp;" يوم"))</f>
        <v/>
      </c>
      <c r="G21" s="133" t="str">
        <f aca="false">IF($B21="","",SUMIFS('سجل الإجازات والحالات'!$S$6:$S$505,'سجل الإجازات والحالات'!$B$6:$B$505,$B21))</f>
        <v/>
      </c>
      <c r="H21" s="160" t="str">
        <f aca="false">IF($B21="","",MAX(0,E21-D21+1-G21)/cfg_DAYS_Y)</f>
        <v/>
      </c>
      <c r="I21" s="116" t="str">
        <f aca="false">IF($B21="","",الموظفون!$Q21)</f>
        <v/>
      </c>
      <c r="J21" s="116" t="str">
        <f aca="false">IF($B21="","",I21*cfg_EOS_R1*MIN(H21,cfg_EOS_TH))</f>
        <v/>
      </c>
      <c r="K21" s="116" t="str">
        <f aca="false">IF($B21="","",I21*cfg_EOS_R2*MAX(H21-cfg_EOS_TH,0))</f>
        <v/>
      </c>
      <c r="L21" s="116" t="str">
        <f aca="false">IF($B21="","",J21+K21)</f>
        <v/>
      </c>
      <c r="M21" s="117" t="str">
        <f aca="false">IF($B21="","",IF(AND(الموظفون!$AE21&lt;&gt;"",الموظفون!$AE21&lt;=cfg_VAL_DATE),IF(الموظفون!$AF21="","⚠ حدد السبب",الموظفون!$AF21),"على رأس العمل"))</f>
        <v/>
      </c>
      <c r="N21" s="134" t="str">
        <f aca="false">IF($B21="","",VLOOKUP(H21,cfg_RES,2,TRUE()))</f>
        <v/>
      </c>
      <c r="O21" s="116" t="str">
        <f aca="false">IF($B21="","",IF(M21="استقالة",L21*N21,L21))</f>
        <v/>
      </c>
      <c r="P21" s="116" t="str">
        <f aca="false">IF($B21="","",I21*(cfg_EOS_R1*MIN((MAX(0,IF(OR(الموظفون!$AE21="",الموظفون!$AE21&gt;=cfg_Y_START),cfg_Y_START-1,الموظفون!$AE21)-D21+1-SUMIFS('سجل الإجازات والحالات'!$R$6:$R$505,'سجل الإجازات والحالات'!$B$6:$B$505,$B21))/cfg_DAYS_Y),cfg_EOS_TH)+cfg_EOS_R2*MAX((MAX(0,IF(OR(الموظفون!$AE21="",الموظفون!$AE21&gt;=cfg_Y_START),cfg_Y_START-1,الموظفون!$AE21)-D21+1-SUMIFS('سجل الإجازات والحالات'!$R$6:$R$505,'سجل الإجازات والحالات'!$B$6:$B$505,$B21))/cfg_DAYS_Y)-cfg_EOS_TH,0)))</f>
        <v/>
      </c>
      <c r="Q21" s="116" t="str">
        <f aca="false">IF($B21="","",O21-P21)</f>
        <v/>
      </c>
      <c r="R21" s="116" t="str">
        <f aca="false">IF($B21="","",SUMIFS('الحركات الشهرية'!$N$6:$N$1005,'الحركات الشهرية'!$B$6:$B$1005,B21,'الحركات الشهرية'!$A$6:$A$1005,"&lt;="&amp;cfg_VAL_M))</f>
        <v/>
      </c>
      <c r="S21" s="178" t="str">
        <f aca="false">IF($B21="","",P21+Q21-R21)</f>
        <v/>
      </c>
      <c r="T21" s="117" t="str">
        <f aca="false">IF($B21="","",IF(S21&lt;-0.01,"✖ صرف أكثر من المستحق",IF(AND(M21&lt;&gt;"على رأس العمل",S21&gt;0.01),"⚠ مستحق لم يُصرف","✔ سليم")))</f>
        <v/>
      </c>
    </row>
    <row r="22" customFormat="false" ht="15" hidden="false" customHeight="false" outlineLevel="0" collapsed="false">
      <c r="B22" s="114" t="str">
        <f aca="false">IF(الموظفون!$B22="","",الموظفون!$B22)</f>
        <v/>
      </c>
      <c r="C22" s="114" t="str">
        <f aca="false">IF($B22="","",الموظفون!$C22)</f>
        <v/>
      </c>
      <c r="D22" s="174" t="str">
        <f aca="false">IF($B22="","",الموظفون!$H22)</f>
        <v/>
      </c>
      <c r="E22" s="174" t="str">
        <f aca="false">IF($B22="","",IF(OR(الموظفون!$AE22="",الموظفون!$AE22&gt;cfg_VAL_DATE),cfg_VAL_DATE,الموظفون!$AE22))</f>
        <v/>
      </c>
      <c r="F22" s="114" t="str">
        <f aca="false">IF($B22="","",IF(E22&lt;D22,"لم يباشر",DATEDIF(D22,E22+1,"y")&amp;" سنة "&amp;DATEDIF(D22,E22+1,"ym")&amp;" شهر "&amp;DATEDIF(D22,E22+1,"md")&amp;" يوم"))</f>
        <v/>
      </c>
      <c r="G22" s="65" t="str">
        <f aca="false">IF($B22="","",SUMIFS('سجل الإجازات والحالات'!$S$6:$S$505,'سجل الإجازات والحالات'!$B$6:$B$505,$B22))</f>
        <v/>
      </c>
      <c r="H22" s="155" t="str">
        <f aca="false">IF($B22="","",MAX(0,E22-D22+1-G22)/cfg_DAYS_Y)</f>
        <v/>
      </c>
      <c r="I22" s="111" t="str">
        <f aca="false">IF($B22="","",الموظفون!$Q22)</f>
        <v/>
      </c>
      <c r="J22" s="111" t="str">
        <f aca="false">IF($B22="","",I22*cfg_EOS_R1*MIN(H22,cfg_EOS_TH))</f>
        <v/>
      </c>
      <c r="K22" s="111" t="str">
        <f aca="false">IF($B22="","",I22*cfg_EOS_R2*MAX(H22-cfg_EOS_TH,0))</f>
        <v/>
      </c>
      <c r="L22" s="111" t="str">
        <f aca="false">IF($B22="","",J22+K22)</f>
        <v/>
      </c>
      <c r="M22" s="114" t="str">
        <f aca="false">IF($B22="","",IF(AND(الموظفون!$AE22&lt;&gt;"",الموظفون!$AE22&lt;=cfg_VAL_DATE),IF(الموظفون!$AF22="","⚠ حدد السبب",الموظفون!$AF22),"على رأس العمل"))</f>
        <v/>
      </c>
      <c r="N22" s="66" t="str">
        <f aca="false">IF($B22="","",VLOOKUP(H22,cfg_RES,2,TRUE()))</f>
        <v/>
      </c>
      <c r="O22" s="111" t="str">
        <f aca="false">IF($B22="","",IF(M22="استقالة",L22*N22,L22))</f>
        <v/>
      </c>
      <c r="P22" s="111" t="str">
        <f aca="false">IF($B22="","",I22*(cfg_EOS_R1*MIN((MAX(0,IF(OR(الموظفون!$AE22="",الموظفون!$AE22&gt;=cfg_Y_START),cfg_Y_START-1,الموظفون!$AE22)-D22+1-SUMIFS('سجل الإجازات والحالات'!$R$6:$R$505,'سجل الإجازات والحالات'!$B$6:$B$505,$B22))/cfg_DAYS_Y),cfg_EOS_TH)+cfg_EOS_R2*MAX((MAX(0,IF(OR(الموظفون!$AE22="",الموظفون!$AE22&gt;=cfg_Y_START),cfg_Y_START-1,الموظفون!$AE22)-D22+1-SUMIFS('سجل الإجازات والحالات'!$R$6:$R$505,'سجل الإجازات والحالات'!$B$6:$B$505,$B22))/cfg_DAYS_Y)-cfg_EOS_TH,0)))</f>
        <v/>
      </c>
      <c r="Q22" s="111" t="str">
        <f aca="false">IF($B22="","",O22-P22)</f>
        <v/>
      </c>
      <c r="R22" s="111" t="str">
        <f aca="false">IF($B22="","",SUMIFS('الحركات الشهرية'!$N$6:$N$1005,'الحركات الشهرية'!$B$6:$B$1005,B22,'الحركات الشهرية'!$A$6:$A$1005,"&lt;="&amp;cfg_VAL_M))</f>
        <v/>
      </c>
      <c r="S22" s="177" t="str">
        <f aca="false">IF($B22="","",P22+Q22-R22)</f>
        <v/>
      </c>
      <c r="T22" s="114" t="str">
        <f aca="false">IF($B22="","",IF(S22&lt;-0.01,"✖ صرف أكثر من المستحق",IF(AND(M22&lt;&gt;"على رأس العمل",S22&gt;0.01),"⚠ مستحق لم يُصرف","✔ سليم")))</f>
        <v/>
      </c>
    </row>
    <row r="23" customFormat="false" ht="15" hidden="false" customHeight="false" outlineLevel="0" collapsed="false">
      <c r="B23" s="117" t="str">
        <f aca="false">IF(الموظفون!$B23="","",الموظفون!$B23)</f>
        <v/>
      </c>
      <c r="C23" s="117" t="str">
        <f aca="false">IF($B23="","",الموظفون!$C23)</f>
        <v/>
      </c>
      <c r="D23" s="175" t="str">
        <f aca="false">IF($B23="","",الموظفون!$H23)</f>
        <v/>
      </c>
      <c r="E23" s="175" t="str">
        <f aca="false">IF($B23="","",IF(OR(الموظفون!$AE23="",الموظفون!$AE23&gt;cfg_VAL_DATE),cfg_VAL_DATE,الموظفون!$AE23))</f>
        <v/>
      </c>
      <c r="F23" s="117" t="str">
        <f aca="false">IF($B23="","",IF(E23&lt;D23,"لم يباشر",DATEDIF(D23,E23+1,"y")&amp;" سنة "&amp;DATEDIF(D23,E23+1,"ym")&amp;" شهر "&amp;DATEDIF(D23,E23+1,"md")&amp;" يوم"))</f>
        <v/>
      </c>
      <c r="G23" s="133" t="str">
        <f aca="false">IF($B23="","",SUMIFS('سجل الإجازات والحالات'!$S$6:$S$505,'سجل الإجازات والحالات'!$B$6:$B$505,$B23))</f>
        <v/>
      </c>
      <c r="H23" s="160" t="str">
        <f aca="false">IF($B23="","",MAX(0,E23-D23+1-G23)/cfg_DAYS_Y)</f>
        <v/>
      </c>
      <c r="I23" s="116" t="str">
        <f aca="false">IF($B23="","",الموظفون!$Q23)</f>
        <v/>
      </c>
      <c r="J23" s="116" t="str">
        <f aca="false">IF($B23="","",I23*cfg_EOS_R1*MIN(H23,cfg_EOS_TH))</f>
        <v/>
      </c>
      <c r="K23" s="116" t="str">
        <f aca="false">IF($B23="","",I23*cfg_EOS_R2*MAX(H23-cfg_EOS_TH,0))</f>
        <v/>
      </c>
      <c r="L23" s="116" t="str">
        <f aca="false">IF($B23="","",J23+K23)</f>
        <v/>
      </c>
      <c r="M23" s="117" t="str">
        <f aca="false">IF($B23="","",IF(AND(الموظفون!$AE23&lt;&gt;"",الموظفون!$AE23&lt;=cfg_VAL_DATE),IF(الموظفون!$AF23="","⚠ حدد السبب",الموظفون!$AF23),"على رأس العمل"))</f>
        <v/>
      </c>
      <c r="N23" s="134" t="str">
        <f aca="false">IF($B23="","",VLOOKUP(H23,cfg_RES,2,TRUE()))</f>
        <v/>
      </c>
      <c r="O23" s="116" t="str">
        <f aca="false">IF($B23="","",IF(M23="استقالة",L23*N23,L23))</f>
        <v/>
      </c>
      <c r="P23" s="116" t="str">
        <f aca="false">IF($B23="","",I23*(cfg_EOS_R1*MIN((MAX(0,IF(OR(الموظفون!$AE23="",الموظفون!$AE23&gt;=cfg_Y_START),cfg_Y_START-1,الموظفون!$AE23)-D23+1-SUMIFS('سجل الإجازات والحالات'!$R$6:$R$505,'سجل الإجازات والحالات'!$B$6:$B$505,$B23))/cfg_DAYS_Y),cfg_EOS_TH)+cfg_EOS_R2*MAX((MAX(0,IF(OR(الموظفون!$AE23="",الموظفون!$AE23&gt;=cfg_Y_START),cfg_Y_START-1,الموظفون!$AE23)-D23+1-SUMIFS('سجل الإجازات والحالات'!$R$6:$R$505,'سجل الإجازات والحالات'!$B$6:$B$505,$B23))/cfg_DAYS_Y)-cfg_EOS_TH,0)))</f>
        <v/>
      </c>
      <c r="Q23" s="116" t="str">
        <f aca="false">IF($B23="","",O23-P23)</f>
        <v/>
      </c>
      <c r="R23" s="116" t="str">
        <f aca="false">IF($B23="","",SUMIFS('الحركات الشهرية'!$N$6:$N$1005,'الحركات الشهرية'!$B$6:$B$1005,B23,'الحركات الشهرية'!$A$6:$A$1005,"&lt;="&amp;cfg_VAL_M))</f>
        <v/>
      </c>
      <c r="S23" s="178" t="str">
        <f aca="false">IF($B23="","",P23+Q23-R23)</f>
        <v/>
      </c>
      <c r="T23" s="117" t="str">
        <f aca="false">IF($B23="","",IF(S23&lt;-0.01,"✖ صرف أكثر من المستحق",IF(AND(M23&lt;&gt;"على رأس العمل",S23&gt;0.01),"⚠ مستحق لم يُصرف","✔ سليم")))</f>
        <v/>
      </c>
    </row>
    <row r="24" customFormat="false" ht="15" hidden="false" customHeight="false" outlineLevel="0" collapsed="false">
      <c r="B24" s="114" t="str">
        <f aca="false">IF(الموظفون!$B24="","",الموظفون!$B24)</f>
        <v/>
      </c>
      <c r="C24" s="114" t="str">
        <f aca="false">IF($B24="","",الموظفون!$C24)</f>
        <v/>
      </c>
      <c r="D24" s="174" t="str">
        <f aca="false">IF($B24="","",الموظفون!$H24)</f>
        <v/>
      </c>
      <c r="E24" s="174" t="str">
        <f aca="false">IF($B24="","",IF(OR(الموظفون!$AE24="",الموظفون!$AE24&gt;cfg_VAL_DATE),cfg_VAL_DATE,الموظفون!$AE24))</f>
        <v/>
      </c>
      <c r="F24" s="114" t="str">
        <f aca="false">IF($B24="","",IF(E24&lt;D24,"لم يباشر",DATEDIF(D24,E24+1,"y")&amp;" سنة "&amp;DATEDIF(D24,E24+1,"ym")&amp;" شهر "&amp;DATEDIF(D24,E24+1,"md")&amp;" يوم"))</f>
        <v/>
      </c>
      <c r="G24" s="65" t="str">
        <f aca="false">IF($B24="","",SUMIFS('سجل الإجازات والحالات'!$S$6:$S$505,'سجل الإجازات والحالات'!$B$6:$B$505,$B24))</f>
        <v/>
      </c>
      <c r="H24" s="155" t="str">
        <f aca="false">IF($B24="","",MAX(0,E24-D24+1-G24)/cfg_DAYS_Y)</f>
        <v/>
      </c>
      <c r="I24" s="111" t="str">
        <f aca="false">IF($B24="","",الموظفون!$Q24)</f>
        <v/>
      </c>
      <c r="J24" s="111" t="str">
        <f aca="false">IF($B24="","",I24*cfg_EOS_R1*MIN(H24,cfg_EOS_TH))</f>
        <v/>
      </c>
      <c r="K24" s="111" t="str">
        <f aca="false">IF($B24="","",I24*cfg_EOS_R2*MAX(H24-cfg_EOS_TH,0))</f>
        <v/>
      </c>
      <c r="L24" s="111" t="str">
        <f aca="false">IF($B24="","",J24+K24)</f>
        <v/>
      </c>
      <c r="M24" s="114" t="str">
        <f aca="false">IF($B24="","",IF(AND(الموظفون!$AE24&lt;&gt;"",الموظفون!$AE24&lt;=cfg_VAL_DATE),IF(الموظفون!$AF24="","⚠ حدد السبب",الموظفون!$AF24),"على رأس العمل"))</f>
        <v/>
      </c>
      <c r="N24" s="66" t="str">
        <f aca="false">IF($B24="","",VLOOKUP(H24,cfg_RES,2,TRUE()))</f>
        <v/>
      </c>
      <c r="O24" s="111" t="str">
        <f aca="false">IF($B24="","",IF(M24="استقالة",L24*N24,L24))</f>
        <v/>
      </c>
      <c r="P24" s="111" t="str">
        <f aca="false">IF($B24="","",I24*(cfg_EOS_R1*MIN((MAX(0,IF(OR(الموظفون!$AE24="",الموظفون!$AE24&gt;=cfg_Y_START),cfg_Y_START-1,الموظفون!$AE24)-D24+1-SUMIFS('سجل الإجازات والحالات'!$R$6:$R$505,'سجل الإجازات والحالات'!$B$6:$B$505,$B24))/cfg_DAYS_Y),cfg_EOS_TH)+cfg_EOS_R2*MAX((MAX(0,IF(OR(الموظفون!$AE24="",الموظفون!$AE24&gt;=cfg_Y_START),cfg_Y_START-1,الموظفون!$AE24)-D24+1-SUMIFS('سجل الإجازات والحالات'!$R$6:$R$505,'سجل الإجازات والحالات'!$B$6:$B$505,$B24))/cfg_DAYS_Y)-cfg_EOS_TH,0)))</f>
        <v/>
      </c>
      <c r="Q24" s="111" t="str">
        <f aca="false">IF($B24="","",O24-P24)</f>
        <v/>
      </c>
      <c r="R24" s="111" t="str">
        <f aca="false">IF($B24="","",SUMIFS('الحركات الشهرية'!$N$6:$N$1005,'الحركات الشهرية'!$B$6:$B$1005,B24,'الحركات الشهرية'!$A$6:$A$1005,"&lt;="&amp;cfg_VAL_M))</f>
        <v/>
      </c>
      <c r="S24" s="177" t="str">
        <f aca="false">IF($B24="","",P24+Q24-R24)</f>
        <v/>
      </c>
      <c r="T24" s="114" t="str">
        <f aca="false">IF($B24="","",IF(S24&lt;-0.01,"✖ صرف أكثر من المستحق",IF(AND(M24&lt;&gt;"على رأس العمل",S24&gt;0.01),"⚠ مستحق لم يُصرف","✔ سليم")))</f>
        <v/>
      </c>
    </row>
    <row r="25" customFormat="false" ht="15" hidden="false" customHeight="false" outlineLevel="0" collapsed="false">
      <c r="B25" s="117" t="str">
        <f aca="false">IF(الموظفون!$B25="","",الموظفون!$B25)</f>
        <v/>
      </c>
      <c r="C25" s="117" t="str">
        <f aca="false">IF($B25="","",الموظفون!$C25)</f>
        <v/>
      </c>
      <c r="D25" s="175" t="str">
        <f aca="false">IF($B25="","",الموظفون!$H25)</f>
        <v/>
      </c>
      <c r="E25" s="175" t="str">
        <f aca="false">IF($B25="","",IF(OR(الموظفون!$AE25="",الموظفون!$AE25&gt;cfg_VAL_DATE),cfg_VAL_DATE,الموظفون!$AE25))</f>
        <v/>
      </c>
      <c r="F25" s="117" t="str">
        <f aca="false">IF($B25="","",IF(E25&lt;D25,"لم يباشر",DATEDIF(D25,E25+1,"y")&amp;" سنة "&amp;DATEDIF(D25,E25+1,"ym")&amp;" شهر "&amp;DATEDIF(D25,E25+1,"md")&amp;" يوم"))</f>
        <v/>
      </c>
      <c r="G25" s="133" t="str">
        <f aca="false">IF($B25="","",SUMIFS('سجل الإجازات والحالات'!$S$6:$S$505,'سجل الإجازات والحالات'!$B$6:$B$505,$B25))</f>
        <v/>
      </c>
      <c r="H25" s="160" t="str">
        <f aca="false">IF($B25="","",MAX(0,E25-D25+1-G25)/cfg_DAYS_Y)</f>
        <v/>
      </c>
      <c r="I25" s="116" t="str">
        <f aca="false">IF($B25="","",الموظفون!$Q25)</f>
        <v/>
      </c>
      <c r="J25" s="116" t="str">
        <f aca="false">IF($B25="","",I25*cfg_EOS_R1*MIN(H25,cfg_EOS_TH))</f>
        <v/>
      </c>
      <c r="K25" s="116" t="str">
        <f aca="false">IF($B25="","",I25*cfg_EOS_R2*MAX(H25-cfg_EOS_TH,0))</f>
        <v/>
      </c>
      <c r="L25" s="116" t="str">
        <f aca="false">IF($B25="","",J25+K25)</f>
        <v/>
      </c>
      <c r="M25" s="117" t="str">
        <f aca="false">IF($B25="","",IF(AND(الموظفون!$AE25&lt;&gt;"",الموظفون!$AE25&lt;=cfg_VAL_DATE),IF(الموظفون!$AF25="","⚠ حدد السبب",الموظفون!$AF25),"على رأس العمل"))</f>
        <v/>
      </c>
      <c r="N25" s="134" t="str">
        <f aca="false">IF($B25="","",VLOOKUP(H25,cfg_RES,2,TRUE()))</f>
        <v/>
      </c>
      <c r="O25" s="116" t="str">
        <f aca="false">IF($B25="","",IF(M25="استقالة",L25*N25,L25))</f>
        <v/>
      </c>
      <c r="P25" s="116" t="str">
        <f aca="false">IF($B25="","",I25*(cfg_EOS_R1*MIN((MAX(0,IF(OR(الموظفون!$AE25="",الموظفون!$AE25&gt;=cfg_Y_START),cfg_Y_START-1,الموظفون!$AE25)-D25+1-SUMIFS('سجل الإجازات والحالات'!$R$6:$R$505,'سجل الإجازات والحالات'!$B$6:$B$505,$B25))/cfg_DAYS_Y),cfg_EOS_TH)+cfg_EOS_R2*MAX((MAX(0,IF(OR(الموظفون!$AE25="",الموظفون!$AE25&gt;=cfg_Y_START),cfg_Y_START-1,الموظفون!$AE25)-D25+1-SUMIFS('سجل الإجازات والحالات'!$R$6:$R$505,'سجل الإجازات والحالات'!$B$6:$B$505,$B25))/cfg_DAYS_Y)-cfg_EOS_TH,0)))</f>
        <v/>
      </c>
      <c r="Q25" s="116" t="str">
        <f aca="false">IF($B25="","",O25-P25)</f>
        <v/>
      </c>
      <c r="R25" s="116" t="str">
        <f aca="false">IF($B25="","",SUMIFS('الحركات الشهرية'!$N$6:$N$1005,'الحركات الشهرية'!$B$6:$B$1005,B25,'الحركات الشهرية'!$A$6:$A$1005,"&lt;="&amp;cfg_VAL_M))</f>
        <v/>
      </c>
      <c r="S25" s="178" t="str">
        <f aca="false">IF($B25="","",P25+Q25-R25)</f>
        <v/>
      </c>
      <c r="T25" s="117" t="str">
        <f aca="false">IF($B25="","",IF(S25&lt;-0.01,"✖ صرف أكثر من المستحق",IF(AND(M25&lt;&gt;"على رأس العمل",S25&gt;0.01),"⚠ مستحق لم يُصرف","✔ سليم")))</f>
        <v/>
      </c>
    </row>
    <row r="26" customFormat="false" ht="15" hidden="false" customHeight="false" outlineLevel="0" collapsed="false">
      <c r="B26" s="114" t="str">
        <f aca="false">IF(الموظفون!$B26="","",الموظفون!$B26)</f>
        <v/>
      </c>
      <c r="C26" s="114" t="str">
        <f aca="false">IF($B26="","",الموظفون!$C26)</f>
        <v/>
      </c>
      <c r="D26" s="174" t="str">
        <f aca="false">IF($B26="","",الموظفون!$H26)</f>
        <v/>
      </c>
      <c r="E26" s="174" t="str">
        <f aca="false">IF($B26="","",IF(OR(الموظفون!$AE26="",الموظفون!$AE26&gt;cfg_VAL_DATE),cfg_VAL_DATE,الموظفون!$AE26))</f>
        <v/>
      </c>
      <c r="F26" s="114" t="str">
        <f aca="false">IF($B26="","",IF(E26&lt;D26,"لم يباشر",DATEDIF(D26,E26+1,"y")&amp;" سنة "&amp;DATEDIF(D26,E26+1,"ym")&amp;" شهر "&amp;DATEDIF(D26,E26+1,"md")&amp;" يوم"))</f>
        <v/>
      </c>
      <c r="G26" s="65" t="str">
        <f aca="false">IF($B26="","",SUMIFS('سجل الإجازات والحالات'!$S$6:$S$505,'سجل الإجازات والحالات'!$B$6:$B$505,$B26))</f>
        <v/>
      </c>
      <c r="H26" s="155" t="str">
        <f aca="false">IF($B26="","",MAX(0,E26-D26+1-G26)/cfg_DAYS_Y)</f>
        <v/>
      </c>
      <c r="I26" s="111" t="str">
        <f aca="false">IF($B26="","",الموظفون!$Q26)</f>
        <v/>
      </c>
      <c r="J26" s="111" t="str">
        <f aca="false">IF($B26="","",I26*cfg_EOS_R1*MIN(H26,cfg_EOS_TH))</f>
        <v/>
      </c>
      <c r="K26" s="111" t="str">
        <f aca="false">IF($B26="","",I26*cfg_EOS_R2*MAX(H26-cfg_EOS_TH,0))</f>
        <v/>
      </c>
      <c r="L26" s="111" t="str">
        <f aca="false">IF($B26="","",J26+K26)</f>
        <v/>
      </c>
      <c r="M26" s="114" t="str">
        <f aca="false">IF($B26="","",IF(AND(الموظفون!$AE26&lt;&gt;"",الموظفون!$AE26&lt;=cfg_VAL_DATE),IF(الموظفون!$AF26="","⚠ حدد السبب",الموظفون!$AF26),"على رأس العمل"))</f>
        <v/>
      </c>
      <c r="N26" s="66" t="str">
        <f aca="false">IF($B26="","",VLOOKUP(H26,cfg_RES,2,TRUE()))</f>
        <v/>
      </c>
      <c r="O26" s="111" t="str">
        <f aca="false">IF($B26="","",IF(M26="استقالة",L26*N26,L26))</f>
        <v/>
      </c>
      <c r="P26" s="111" t="str">
        <f aca="false">IF($B26="","",I26*(cfg_EOS_R1*MIN((MAX(0,IF(OR(الموظفون!$AE26="",الموظفون!$AE26&gt;=cfg_Y_START),cfg_Y_START-1,الموظفون!$AE26)-D26+1-SUMIFS('سجل الإجازات والحالات'!$R$6:$R$505,'سجل الإجازات والحالات'!$B$6:$B$505,$B26))/cfg_DAYS_Y),cfg_EOS_TH)+cfg_EOS_R2*MAX((MAX(0,IF(OR(الموظفون!$AE26="",الموظفون!$AE26&gt;=cfg_Y_START),cfg_Y_START-1,الموظفون!$AE26)-D26+1-SUMIFS('سجل الإجازات والحالات'!$R$6:$R$505,'سجل الإجازات والحالات'!$B$6:$B$505,$B26))/cfg_DAYS_Y)-cfg_EOS_TH,0)))</f>
        <v/>
      </c>
      <c r="Q26" s="111" t="str">
        <f aca="false">IF($B26="","",O26-P26)</f>
        <v/>
      </c>
      <c r="R26" s="111" t="str">
        <f aca="false">IF($B26="","",SUMIFS('الحركات الشهرية'!$N$6:$N$1005,'الحركات الشهرية'!$B$6:$B$1005,B26,'الحركات الشهرية'!$A$6:$A$1005,"&lt;="&amp;cfg_VAL_M))</f>
        <v/>
      </c>
      <c r="S26" s="177" t="str">
        <f aca="false">IF($B26="","",P26+Q26-R26)</f>
        <v/>
      </c>
      <c r="T26" s="114" t="str">
        <f aca="false">IF($B26="","",IF(S26&lt;-0.01,"✖ صرف أكثر من المستحق",IF(AND(M26&lt;&gt;"على رأس العمل",S26&gt;0.01),"⚠ مستحق لم يُصرف","✔ سليم")))</f>
        <v/>
      </c>
    </row>
    <row r="27" customFormat="false" ht="15" hidden="false" customHeight="false" outlineLevel="0" collapsed="false">
      <c r="B27" s="117" t="str">
        <f aca="false">IF(الموظفون!$B27="","",الموظفون!$B27)</f>
        <v/>
      </c>
      <c r="C27" s="117" t="str">
        <f aca="false">IF($B27="","",الموظفون!$C27)</f>
        <v/>
      </c>
      <c r="D27" s="175" t="str">
        <f aca="false">IF($B27="","",الموظفون!$H27)</f>
        <v/>
      </c>
      <c r="E27" s="175" t="str">
        <f aca="false">IF($B27="","",IF(OR(الموظفون!$AE27="",الموظفون!$AE27&gt;cfg_VAL_DATE),cfg_VAL_DATE,الموظفون!$AE27))</f>
        <v/>
      </c>
      <c r="F27" s="117" t="str">
        <f aca="false">IF($B27="","",IF(E27&lt;D27,"لم يباشر",DATEDIF(D27,E27+1,"y")&amp;" سنة "&amp;DATEDIF(D27,E27+1,"ym")&amp;" شهر "&amp;DATEDIF(D27,E27+1,"md")&amp;" يوم"))</f>
        <v/>
      </c>
      <c r="G27" s="133" t="str">
        <f aca="false">IF($B27="","",SUMIFS('سجل الإجازات والحالات'!$S$6:$S$505,'سجل الإجازات والحالات'!$B$6:$B$505,$B27))</f>
        <v/>
      </c>
      <c r="H27" s="160" t="str">
        <f aca="false">IF($B27="","",MAX(0,E27-D27+1-G27)/cfg_DAYS_Y)</f>
        <v/>
      </c>
      <c r="I27" s="116" t="str">
        <f aca="false">IF($B27="","",الموظفون!$Q27)</f>
        <v/>
      </c>
      <c r="J27" s="116" t="str">
        <f aca="false">IF($B27="","",I27*cfg_EOS_R1*MIN(H27,cfg_EOS_TH))</f>
        <v/>
      </c>
      <c r="K27" s="116" t="str">
        <f aca="false">IF($B27="","",I27*cfg_EOS_R2*MAX(H27-cfg_EOS_TH,0))</f>
        <v/>
      </c>
      <c r="L27" s="116" t="str">
        <f aca="false">IF($B27="","",J27+K27)</f>
        <v/>
      </c>
      <c r="M27" s="117" t="str">
        <f aca="false">IF($B27="","",IF(AND(الموظفون!$AE27&lt;&gt;"",الموظفون!$AE27&lt;=cfg_VAL_DATE),IF(الموظفون!$AF27="","⚠ حدد السبب",الموظفون!$AF27),"على رأس العمل"))</f>
        <v/>
      </c>
      <c r="N27" s="134" t="str">
        <f aca="false">IF($B27="","",VLOOKUP(H27,cfg_RES,2,TRUE()))</f>
        <v/>
      </c>
      <c r="O27" s="116" t="str">
        <f aca="false">IF($B27="","",IF(M27="استقالة",L27*N27,L27))</f>
        <v/>
      </c>
      <c r="P27" s="116" t="str">
        <f aca="false">IF($B27="","",I27*(cfg_EOS_R1*MIN((MAX(0,IF(OR(الموظفون!$AE27="",الموظفون!$AE27&gt;=cfg_Y_START),cfg_Y_START-1,الموظفون!$AE27)-D27+1-SUMIFS('سجل الإجازات والحالات'!$R$6:$R$505,'سجل الإجازات والحالات'!$B$6:$B$505,$B27))/cfg_DAYS_Y),cfg_EOS_TH)+cfg_EOS_R2*MAX((MAX(0,IF(OR(الموظفون!$AE27="",الموظفون!$AE27&gt;=cfg_Y_START),cfg_Y_START-1,الموظفون!$AE27)-D27+1-SUMIFS('سجل الإجازات والحالات'!$R$6:$R$505,'سجل الإجازات والحالات'!$B$6:$B$505,$B27))/cfg_DAYS_Y)-cfg_EOS_TH,0)))</f>
        <v/>
      </c>
      <c r="Q27" s="116" t="str">
        <f aca="false">IF($B27="","",O27-P27)</f>
        <v/>
      </c>
      <c r="R27" s="116" t="str">
        <f aca="false">IF($B27="","",SUMIFS('الحركات الشهرية'!$N$6:$N$1005,'الحركات الشهرية'!$B$6:$B$1005,B27,'الحركات الشهرية'!$A$6:$A$1005,"&lt;="&amp;cfg_VAL_M))</f>
        <v/>
      </c>
      <c r="S27" s="178" t="str">
        <f aca="false">IF($B27="","",P27+Q27-R27)</f>
        <v/>
      </c>
      <c r="T27" s="117" t="str">
        <f aca="false">IF($B27="","",IF(S27&lt;-0.01,"✖ صرف أكثر من المستحق",IF(AND(M27&lt;&gt;"على رأس العمل",S27&gt;0.01),"⚠ مستحق لم يُصرف","✔ سليم")))</f>
        <v/>
      </c>
    </row>
    <row r="28" customFormat="false" ht="15" hidden="false" customHeight="false" outlineLevel="0" collapsed="false">
      <c r="B28" s="114" t="str">
        <f aca="false">IF(الموظفون!$B28="","",الموظفون!$B28)</f>
        <v/>
      </c>
      <c r="C28" s="114" t="str">
        <f aca="false">IF($B28="","",الموظفون!$C28)</f>
        <v/>
      </c>
      <c r="D28" s="174" t="str">
        <f aca="false">IF($B28="","",الموظفون!$H28)</f>
        <v/>
      </c>
      <c r="E28" s="174" t="str">
        <f aca="false">IF($B28="","",IF(OR(الموظفون!$AE28="",الموظفون!$AE28&gt;cfg_VAL_DATE),cfg_VAL_DATE,الموظفون!$AE28))</f>
        <v/>
      </c>
      <c r="F28" s="114" t="str">
        <f aca="false">IF($B28="","",IF(E28&lt;D28,"لم يباشر",DATEDIF(D28,E28+1,"y")&amp;" سنة "&amp;DATEDIF(D28,E28+1,"ym")&amp;" شهر "&amp;DATEDIF(D28,E28+1,"md")&amp;" يوم"))</f>
        <v/>
      </c>
      <c r="G28" s="65" t="str">
        <f aca="false">IF($B28="","",SUMIFS('سجل الإجازات والحالات'!$S$6:$S$505,'سجل الإجازات والحالات'!$B$6:$B$505,$B28))</f>
        <v/>
      </c>
      <c r="H28" s="155" t="str">
        <f aca="false">IF($B28="","",MAX(0,E28-D28+1-G28)/cfg_DAYS_Y)</f>
        <v/>
      </c>
      <c r="I28" s="111" t="str">
        <f aca="false">IF($B28="","",الموظفون!$Q28)</f>
        <v/>
      </c>
      <c r="J28" s="111" t="str">
        <f aca="false">IF($B28="","",I28*cfg_EOS_R1*MIN(H28,cfg_EOS_TH))</f>
        <v/>
      </c>
      <c r="K28" s="111" t="str">
        <f aca="false">IF($B28="","",I28*cfg_EOS_R2*MAX(H28-cfg_EOS_TH,0))</f>
        <v/>
      </c>
      <c r="L28" s="111" t="str">
        <f aca="false">IF($B28="","",J28+K28)</f>
        <v/>
      </c>
      <c r="M28" s="114" t="str">
        <f aca="false">IF($B28="","",IF(AND(الموظفون!$AE28&lt;&gt;"",الموظفون!$AE28&lt;=cfg_VAL_DATE),IF(الموظفون!$AF28="","⚠ حدد السبب",الموظفون!$AF28),"على رأس العمل"))</f>
        <v/>
      </c>
      <c r="N28" s="66" t="str">
        <f aca="false">IF($B28="","",VLOOKUP(H28,cfg_RES,2,TRUE()))</f>
        <v/>
      </c>
      <c r="O28" s="111" t="str">
        <f aca="false">IF($B28="","",IF(M28="استقالة",L28*N28,L28))</f>
        <v/>
      </c>
      <c r="P28" s="111" t="str">
        <f aca="false">IF($B28="","",I28*(cfg_EOS_R1*MIN((MAX(0,IF(OR(الموظفون!$AE28="",الموظفون!$AE28&gt;=cfg_Y_START),cfg_Y_START-1,الموظفون!$AE28)-D28+1-SUMIFS('سجل الإجازات والحالات'!$R$6:$R$505,'سجل الإجازات والحالات'!$B$6:$B$505,$B28))/cfg_DAYS_Y),cfg_EOS_TH)+cfg_EOS_R2*MAX((MAX(0,IF(OR(الموظفون!$AE28="",الموظفون!$AE28&gt;=cfg_Y_START),cfg_Y_START-1,الموظفون!$AE28)-D28+1-SUMIFS('سجل الإجازات والحالات'!$R$6:$R$505,'سجل الإجازات والحالات'!$B$6:$B$505,$B28))/cfg_DAYS_Y)-cfg_EOS_TH,0)))</f>
        <v/>
      </c>
      <c r="Q28" s="111" t="str">
        <f aca="false">IF($B28="","",O28-P28)</f>
        <v/>
      </c>
      <c r="R28" s="111" t="str">
        <f aca="false">IF($B28="","",SUMIFS('الحركات الشهرية'!$N$6:$N$1005,'الحركات الشهرية'!$B$6:$B$1005,B28,'الحركات الشهرية'!$A$6:$A$1005,"&lt;="&amp;cfg_VAL_M))</f>
        <v/>
      </c>
      <c r="S28" s="177" t="str">
        <f aca="false">IF($B28="","",P28+Q28-R28)</f>
        <v/>
      </c>
      <c r="T28" s="114" t="str">
        <f aca="false">IF($B28="","",IF(S28&lt;-0.01,"✖ صرف أكثر من المستحق",IF(AND(M28&lt;&gt;"على رأس العمل",S28&gt;0.01),"⚠ مستحق لم يُصرف","✔ سليم")))</f>
        <v/>
      </c>
    </row>
    <row r="29" customFormat="false" ht="15" hidden="false" customHeight="false" outlineLevel="0" collapsed="false">
      <c r="B29" s="117" t="str">
        <f aca="false">IF(الموظفون!$B29="","",الموظفون!$B29)</f>
        <v/>
      </c>
      <c r="C29" s="117" t="str">
        <f aca="false">IF($B29="","",الموظفون!$C29)</f>
        <v/>
      </c>
      <c r="D29" s="175" t="str">
        <f aca="false">IF($B29="","",الموظفون!$H29)</f>
        <v/>
      </c>
      <c r="E29" s="175" t="str">
        <f aca="false">IF($B29="","",IF(OR(الموظفون!$AE29="",الموظفون!$AE29&gt;cfg_VAL_DATE),cfg_VAL_DATE,الموظفون!$AE29))</f>
        <v/>
      </c>
      <c r="F29" s="117" t="str">
        <f aca="false">IF($B29="","",IF(E29&lt;D29,"لم يباشر",DATEDIF(D29,E29+1,"y")&amp;" سنة "&amp;DATEDIF(D29,E29+1,"ym")&amp;" شهر "&amp;DATEDIF(D29,E29+1,"md")&amp;" يوم"))</f>
        <v/>
      </c>
      <c r="G29" s="133" t="str">
        <f aca="false">IF($B29="","",SUMIFS('سجل الإجازات والحالات'!$S$6:$S$505,'سجل الإجازات والحالات'!$B$6:$B$505,$B29))</f>
        <v/>
      </c>
      <c r="H29" s="160" t="str">
        <f aca="false">IF($B29="","",MAX(0,E29-D29+1-G29)/cfg_DAYS_Y)</f>
        <v/>
      </c>
      <c r="I29" s="116" t="str">
        <f aca="false">IF($B29="","",الموظفون!$Q29)</f>
        <v/>
      </c>
      <c r="J29" s="116" t="str">
        <f aca="false">IF($B29="","",I29*cfg_EOS_R1*MIN(H29,cfg_EOS_TH))</f>
        <v/>
      </c>
      <c r="K29" s="116" t="str">
        <f aca="false">IF($B29="","",I29*cfg_EOS_R2*MAX(H29-cfg_EOS_TH,0))</f>
        <v/>
      </c>
      <c r="L29" s="116" t="str">
        <f aca="false">IF($B29="","",J29+K29)</f>
        <v/>
      </c>
      <c r="M29" s="117" t="str">
        <f aca="false">IF($B29="","",IF(AND(الموظفون!$AE29&lt;&gt;"",الموظفون!$AE29&lt;=cfg_VAL_DATE),IF(الموظفون!$AF29="","⚠ حدد السبب",الموظفون!$AF29),"على رأس العمل"))</f>
        <v/>
      </c>
      <c r="N29" s="134" t="str">
        <f aca="false">IF($B29="","",VLOOKUP(H29,cfg_RES,2,TRUE()))</f>
        <v/>
      </c>
      <c r="O29" s="116" t="str">
        <f aca="false">IF($B29="","",IF(M29="استقالة",L29*N29,L29))</f>
        <v/>
      </c>
      <c r="P29" s="116" t="str">
        <f aca="false">IF($B29="","",I29*(cfg_EOS_R1*MIN((MAX(0,IF(OR(الموظفون!$AE29="",الموظفون!$AE29&gt;=cfg_Y_START),cfg_Y_START-1,الموظفون!$AE29)-D29+1-SUMIFS('سجل الإجازات والحالات'!$R$6:$R$505,'سجل الإجازات والحالات'!$B$6:$B$505,$B29))/cfg_DAYS_Y),cfg_EOS_TH)+cfg_EOS_R2*MAX((MAX(0,IF(OR(الموظفون!$AE29="",الموظفون!$AE29&gt;=cfg_Y_START),cfg_Y_START-1,الموظفون!$AE29)-D29+1-SUMIFS('سجل الإجازات والحالات'!$R$6:$R$505,'سجل الإجازات والحالات'!$B$6:$B$505,$B29))/cfg_DAYS_Y)-cfg_EOS_TH,0)))</f>
        <v/>
      </c>
      <c r="Q29" s="116" t="str">
        <f aca="false">IF($B29="","",O29-P29)</f>
        <v/>
      </c>
      <c r="R29" s="116" t="str">
        <f aca="false">IF($B29="","",SUMIFS('الحركات الشهرية'!$N$6:$N$1005,'الحركات الشهرية'!$B$6:$B$1005,B29,'الحركات الشهرية'!$A$6:$A$1005,"&lt;="&amp;cfg_VAL_M))</f>
        <v/>
      </c>
      <c r="S29" s="178" t="str">
        <f aca="false">IF($B29="","",P29+Q29-R29)</f>
        <v/>
      </c>
      <c r="T29" s="117" t="str">
        <f aca="false">IF($B29="","",IF(S29&lt;-0.01,"✖ صرف أكثر من المستحق",IF(AND(M29&lt;&gt;"على رأس العمل",S29&gt;0.01),"⚠ مستحق لم يُصرف","✔ سليم")))</f>
        <v/>
      </c>
    </row>
    <row r="30" customFormat="false" ht="15" hidden="false" customHeight="false" outlineLevel="0" collapsed="false">
      <c r="B30" s="114" t="str">
        <f aca="false">IF(الموظفون!$B30="","",الموظفون!$B30)</f>
        <v/>
      </c>
      <c r="C30" s="114" t="str">
        <f aca="false">IF($B30="","",الموظفون!$C30)</f>
        <v/>
      </c>
      <c r="D30" s="174" t="str">
        <f aca="false">IF($B30="","",الموظفون!$H30)</f>
        <v/>
      </c>
      <c r="E30" s="174" t="str">
        <f aca="false">IF($B30="","",IF(OR(الموظفون!$AE30="",الموظفون!$AE30&gt;cfg_VAL_DATE),cfg_VAL_DATE,الموظفون!$AE30))</f>
        <v/>
      </c>
      <c r="F30" s="114" t="str">
        <f aca="false">IF($B30="","",IF(E30&lt;D30,"لم يباشر",DATEDIF(D30,E30+1,"y")&amp;" سنة "&amp;DATEDIF(D30,E30+1,"ym")&amp;" شهر "&amp;DATEDIF(D30,E30+1,"md")&amp;" يوم"))</f>
        <v/>
      </c>
      <c r="G30" s="65" t="str">
        <f aca="false">IF($B30="","",SUMIFS('سجل الإجازات والحالات'!$S$6:$S$505,'سجل الإجازات والحالات'!$B$6:$B$505,$B30))</f>
        <v/>
      </c>
      <c r="H30" s="155" t="str">
        <f aca="false">IF($B30="","",MAX(0,E30-D30+1-G30)/cfg_DAYS_Y)</f>
        <v/>
      </c>
      <c r="I30" s="111" t="str">
        <f aca="false">IF($B30="","",الموظفون!$Q30)</f>
        <v/>
      </c>
      <c r="J30" s="111" t="str">
        <f aca="false">IF($B30="","",I30*cfg_EOS_R1*MIN(H30,cfg_EOS_TH))</f>
        <v/>
      </c>
      <c r="K30" s="111" t="str">
        <f aca="false">IF($B30="","",I30*cfg_EOS_R2*MAX(H30-cfg_EOS_TH,0))</f>
        <v/>
      </c>
      <c r="L30" s="111" t="str">
        <f aca="false">IF($B30="","",J30+K30)</f>
        <v/>
      </c>
      <c r="M30" s="114" t="str">
        <f aca="false">IF($B30="","",IF(AND(الموظفون!$AE30&lt;&gt;"",الموظفون!$AE30&lt;=cfg_VAL_DATE),IF(الموظفون!$AF30="","⚠ حدد السبب",الموظفون!$AF30),"على رأس العمل"))</f>
        <v/>
      </c>
      <c r="N30" s="66" t="str">
        <f aca="false">IF($B30="","",VLOOKUP(H30,cfg_RES,2,TRUE()))</f>
        <v/>
      </c>
      <c r="O30" s="111" t="str">
        <f aca="false">IF($B30="","",IF(M30="استقالة",L30*N30,L30))</f>
        <v/>
      </c>
      <c r="P30" s="111" t="str">
        <f aca="false">IF($B30="","",I30*(cfg_EOS_R1*MIN((MAX(0,IF(OR(الموظفون!$AE30="",الموظفون!$AE30&gt;=cfg_Y_START),cfg_Y_START-1,الموظفون!$AE30)-D30+1-SUMIFS('سجل الإجازات والحالات'!$R$6:$R$505,'سجل الإجازات والحالات'!$B$6:$B$505,$B30))/cfg_DAYS_Y),cfg_EOS_TH)+cfg_EOS_R2*MAX((MAX(0,IF(OR(الموظفون!$AE30="",الموظفون!$AE30&gt;=cfg_Y_START),cfg_Y_START-1,الموظفون!$AE30)-D30+1-SUMIFS('سجل الإجازات والحالات'!$R$6:$R$505,'سجل الإجازات والحالات'!$B$6:$B$505,$B30))/cfg_DAYS_Y)-cfg_EOS_TH,0)))</f>
        <v/>
      </c>
      <c r="Q30" s="111" t="str">
        <f aca="false">IF($B30="","",O30-P30)</f>
        <v/>
      </c>
      <c r="R30" s="111" t="str">
        <f aca="false">IF($B30="","",SUMIFS('الحركات الشهرية'!$N$6:$N$1005,'الحركات الشهرية'!$B$6:$B$1005,B30,'الحركات الشهرية'!$A$6:$A$1005,"&lt;="&amp;cfg_VAL_M))</f>
        <v/>
      </c>
      <c r="S30" s="177" t="str">
        <f aca="false">IF($B30="","",P30+Q30-R30)</f>
        <v/>
      </c>
      <c r="T30" s="114" t="str">
        <f aca="false">IF($B30="","",IF(S30&lt;-0.01,"✖ صرف أكثر من المستحق",IF(AND(M30&lt;&gt;"على رأس العمل",S30&gt;0.01),"⚠ مستحق لم يُصرف","✔ سليم")))</f>
        <v/>
      </c>
    </row>
    <row r="31" customFormat="false" ht="15" hidden="false" customHeight="false" outlineLevel="0" collapsed="false">
      <c r="B31" s="117" t="str">
        <f aca="false">IF(الموظفون!$B31="","",الموظفون!$B31)</f>
        <v/>
      </c>
      <c r="C31" s="117" t="str">
        <f aca="false">IF($B31="","",الموظفون!$C31)</f>
        <v/>
      </c>
      <c r="D31" s="175" t="str">
        <f aca="false">IF($B31="","",الموظفون!$H31)</f>
        <v/>
      </c>
      <c r="E31" s="175" t="str">
        <f aca="false">IF($B31="","",IF(OR(الموظفون!$AE31="",الموظفون!$AE31&gt;cfg_VAL_DATE),cfg_VAL_DATE,الموظفون!$AE31))</f>
        <v/>
      </c>
      <c r="F31" s="117" t="str">
        <f aca="false">IF($B31="","",IF(E31&lt;D31,"لم يباشر",DATEDIF(D31,E31+1,"y")&amp;" سنة "&amp;DATEDIF(D31,E31+1,"ym")&amp;" شهر "&amp;DATEDIF(D31,E31+1,"md")&amp;" يوم"))</f>
        <v/>
      </c>
      <c r="G31" s="133" t="str">
        <f aca="false">IF($B31="","",SUMIFS('سجل الإجازات والحالات'!$S$6:$S$505,'سجل الإجازات والحالات'!$B$6:$B$505,$B31))</f>
        <v/>
      </c>
      <c r="H31" s="160" t="str">
        <f aca="false">IF($B31="","",MAX(0,E31-D31+1-G31)/cfg_DAYS_Y)</f>
        <v/>
      </c>
      <c r="I31" s="116" t="str">
        <f aca="false">IF($B31="","",الموظفون!$Q31)</f>
        <v/>
      </c>
      <c r="J31" s="116" t="str">
        <f aca="false">IF($B31="","",I31*cfg_EOS_R1*MIN(H31,cfg_EOS_TH))</f>
        <v/>
      </c>
      <c r="K31" s="116" t="str">
        <f aca="false">IF($B31="","",I31*cfg_EOS_R2*MAX(H31-cfg_EOS_TH,0))</f>
        <v/>
      </c>
      <c r="L31" s="116" t="str">
        <f aca="false">IF($B31="","",J31+K31)</f>
        <v/>
      </c>
      <c r="M31" s="117" t="str">
        <f aca="false">IF($B31="","",IF(AND(الموظفون!$AE31&lt;&gt;"",الموظفون!$AE31&lt;=cfg_VAL_DATE),IF(الموظفون!$AF31="","⚠ حدد السبب",الموظفون!$AF31),"على رأس العمل"))</f>
        <v/>
      </c>
      <c r="N31" s="134" t="str">
        <f aca="false">IF($B31="","",VLOOKUP(H31,cfg_RES,2,TRUE()))</f>
        <v/>
      </c>
      <c r="O31" s="116" t="str">
        <f aca="false">IF($B31="","",IF(M31="استقالة",L31*N31,L31))</f>
        <v/>
      </c>
      <c r="P31" s="116" t="str">
        <f aca="false">IF($B31="","",I31*(cfg_EOS_R1*MIN((MAX(0,IF(OR(الموظفون!$AE31="",الموظفون!$AE31&gt;=cfg_Y_START),cfg_Y_START-1,الموظفون!$AE31)-D31+1-SUMIFS('سجل الإجازات والحالات'!$R$6:$R$505,'سجل الإجازات والحالات'!$B$6:$B$505,$B31))/cfg_DAYS_Y),cfg_EOS_TH)+cfg_EOS_R2*MAX((MAX(0,IF(OR(الموظفون!$AE31="",الموظفون!$AE31&gt;=cfg_Y_START),cfg_Y_START-1,الموظفون!$AE31)-D31+1-SUMIFS('سجل الإجازات والحالات'!$R$6:$R$505,'سجل الإجازات والحالات'!$B$6:$B$505,$B31))/cfg_DAYS_Y)-cfg_EOS_TH,0)))</f>
        <v/>
      </c>
      <c r="Q31" s="116" t="str">
        <f aca="false">IF($B31="","",O31-P31)</f>
        <v/>
      </c>
      <c r="R31" s="116" t="str">
        <f aca="false">IF($B31="","",SUMIFS('الحركات الشهرية'!$N$6:$N$1005,'الحركات الشهرية'!$B$6:$B$1005,B31,'الحركات الشهرية'!$A$6:$A$1005,"&lt;="&amp;cfg_VAL_M))</f>
        <v/>
      </c>
      <c r="S31" s="178" t="str">
        <f aca="false">IF($B31="","",P31+Q31-R31)</f>
        <v/>
      </c>
      <c r="T31" s="117" t="str">
        <f aca="false">IF($B31="","",IF(S31&lt;-0.01,"✖ صرف أكثر من المستحق",IF(AND(M31&lt;&gt;"على رأس العمل",S31&gt;0.01),"⚠ مستحق لم يُصرف","✔ سليم")))</f>
        <v/>
      </c>
    </row>
    <row r="32" customFormat="false" ht="15" hidden="false" customHeight="false" outlineLevel="0" collapsed="false">
      <c r="B32" s="114" t="str">
        <f aca="false">IF(الموظفون!$B32="","",الموظفون!$B32)</f>
        <v/>
      </c>
      <c r="C32" s="114" t="str">
        <f aca="false">IF($B32="","",الموظفون!$C32)</f>
        <v/>
      </c>
      <c r="D32" s="174" t="str">
        <f aca="false">IF($B32="","",الموظفون!$H32)</f>
        <v/>
      </c>
      <c r="E32" s="174" t="str">
        <f aca="false">IF($B32="","",IF(OR(الموظفون!$AE32="",الموظفون!$AE32&gt;cfg_VAL_DATE),cfg_VAL_DATE,الموظفون!$AE32))</f>
        <v/>
      </c>
      <c r="F32" s="114" t="str">
        <f aca="false">IF($B32="","",IF(E32&lt;D32,"لم يباشر",DATEDIF(D32,E32+1,"y")&amp;" سنة "&amp;DATEDIF(D32,E32+1,"ym")&amp;" شهر "&amp;DATEDIF(D32,E32+1,"md")&amp;" يوم"))</f>
        <v/>
      </c>
      <c r="G32" s="65" t="str">
        <f aca="false">IF($B32="","",SUMIFS('سجل الإجازات والحالات'!$S$6:$S$505,'سجل الإجازات والحالات'!$B$6:$B$505,$B32))</f>
        <v/>
      </c>
      <c r="H32" s="155" t="str">
        <f aca="false">IF($B32="","",MAX(0,E32-D32+1-G32)/cfg_DAYS_Y)</f>
        <v/>
      </c>
      <c r="I32" s="111" t="str">
        <f aca="false">IF($B32="","",الموظفون!$Q32)</f>
        <v/>
      </c>
      <c r="J32" s="111" t="str">
        <f aca="false">IF($B32="","",I32*cfg_EOS_R1*MIN(H32,cfg_EOS_TH))</f>
        <v/>
      </c>
      <c r="K32" s="111" t="str">
        <f aca="false">IF($B32="","",I32*cfg_EOS_R2*MAX(H32-cfg_EOS_TH,0))</f>
        <v/>
      </c>
      <c r="L32" s="111" t="str">
        <f aca="false">IF($B32="","",J32+K32)</f>
        <v/>
      </c>
      <c r="M32" s="114" t="str">
        <f aca="false">IF($B32="","",IF(AND(الموظفون!$AE32&lt;&gt;"",الموظفون!$AE32&lt;=cfg_VAL_DATE),IF(الموظفون!$AF32="","⚠ حدد السبب",الموظفون!$AF32),"على رأس العمل"))</f>
        <v/>
      </c>
      <c r="N32" s="66" t="str">
        <f aca="false">IF($B32="","",VLOOKUP(H32,cfg_RES,2,TRUE()))</f>
        <v/>
      </c>
      <c r="O32" s="111" t="str">
        <f aca="false">IF($B32="","",IF(M32="استقالة",L32*N32,L32))</f>
        <v/>
      </c>
      <c r="P32" s="111" t="str">
        <f aca="false">IF($B32="","",I32*(cfg_EOS_R1*MIN((MAX(0,IF(OR(الموظفون!$AE32="",الموظفون!$AE32&gt;=cfg_Y_START),cfg_Y_START-1,الموظفون!$AE32)-D32+1-SUMIFS('سجل الإجازات والحالات'!$R$6:$R$505,'سجل الإجازات والحالات'!$B$6:$B$505,$B32))/cfg_DAYS_Y),cfg_EOS_TH)+cfg_EOS_R2*MAX((MAX(0,IF(OR(الموظفون!$AE32="",الموظفون!$AE32&gt;=cfg_Y_START),cfg_Y_START-1,الموظفون!$AE32)-D32+1-SUMIFS('سجل الإجازات والحالات'!$R$6:$R$505,'سجل الإجازات والحالات'!$B$6:$B$505,$B32))/cfg_DAYS_Y)-cfg_EOS_TH,0)))</f>
        <v/>
      </c>
      <c r="Q32" s="111" t="str">
        <f aca="false">IF($B32="","",O32-P32)</f>
        <v/>
      </c>
      <c r="R32" s="111" t="str">
        <f aca="false">IF($B32="","",SUMIFS('الحركات الشهرية'!$N$6:$N$1005,'الحركات الشهرية'!$B$6:$B$1005,B32,'الحركات الشهرية'!$A$6:$A$1005,"&lt;="&amp;cfg_VAL_M))</f>
        <v/>
      </c>
      <c r="S32" s="177" t="str">
        <f aca="false">IF($B32="","",P32+Q32-R32)</f>
        <v/>
      </c>
      <c r="T32" s="114" t="str">
        <f aca="false">IF($B32="","",IF(S32&lt;-0.01,"✖ صرف أكثر من المستحق",IF(AND(M32&lt;&gt;"على رأس العمل",S32&gt;0.01),"⚠ مستحق لم يُصرف","✔ سليم")))</f>
        <v/>
      </c>
    </row>
    <row r="33" customFormat="false" ht="15" hidden="false" customHeight="false" outlineLevel="0" collapsed="false">
      <c r="B33" s="117" t="str">
        <f aca="false">IF(الموظفون!$B33="","",الموظفون!$B33)</f>
        <v/>
      </c>
      <c r="C33" s="117" t="str">
        <f aca="false">IF($B33="","",الموظفون!$C33)</f>
        <v/>
      </c>
      <c r="D33" s="175" t="str">
        <f aca="false">IF($B33="","",الموظفون!$H33)</f>
        <v/>
      </c>
      <c r="E33" s="175" t="str">
        <f aca="false">IF($B33="","",IF(OR(الموظفون!$AE33="",الموظفون!$AE33&gt;cfg_VAL_DATE),cfg_VAL_DATE,الموظفون!$AE33))</f>
        <v/>
      </c>
      <c r="F33" s="117" t="str">
        <f aca="false">IF($B33="","",IF(E33&lt;D33,"لم يباشر",DATEDIF(D33,E33+1,"y")&amp;" سنة "&amp;DATEDIF(D33,E33+1,"ym")&amp;" شهر "&amp;DATEDIF(D33,E33+1,"md")&amp;" يوم"))</f>
        <v/>
      </c>
      <c r="G33" s="133" t="str">
        <f aca="false">IF($B33="","",SUMIFS('سجل الإجازات والحالات'!$S$6:$S$505,'سجل الإجازات والحالات'!$B$6:$B$505,$B33))</f>
        <v/>
      </c>
      <c r="H33" s="160" t="str">
        <f aca="false">IF($B33="","",MAX(0,E33-D33+1-G33)/cfg_DAYS_Y)</f>
        <v/>
      </c>
      <c r="I33" s="116" t="str">
        <f aca="false">IF($B33="","",الموظفون!$Q33)</f>
        <v/>
      </c>
      <c r="J33" s="116" t="str">
        <f aca="false">IF($B33="","",I33*cfg_EOS_R1*MIN(H33,cfg_EOS_TH))</f>
        <v/>
      </c>
      <c r="K33" s="116" t="str">
        <f aca="false">IF($B33="","",I33*cfg_EOS_R2*MAX(H33-cfg_EOS_TH,0))</f>
        <v/>
      </c>
      <c r="L33" s="116" t="str">
        <f aca="false">IF($B33="","",J33+K33)</f>
        <v/>
      </c>
      <c r="M33" s="117" t="str">
        <f aca="false">IF($B33="","",IF(AND(الموظفون!$AE33&lt;&gt;"",الموظفون!$AE33&lt;=cfg_VAL_DATE),IF(الموظفون!$AF33="","⚠ حدد السبب",الموظفون!$AF33),"على رأس العمل"))</f>
        <v/>
      </c>
      <c r="N33" s="134" t="str">
        <f aca="false">IF($B33="","",VLOOKUP(H33,cfg_RES,2,TRUE()))</f>
        <v/>
      </c>
      <c r="O33" s="116" t="str">
        <f aca="false">IF($B33="","",IF(M33="استقالة",L33*N33,L33))</f>
        <v/>
      </c>
      <c r="P33" s="116" t="str">
        <f aca="false">IF($B33="","",I33*(cfg_EOS_R1*MIN((MAX(0,IF(OR(الموظفون!$AE33="",الموظفون!$AE33&gt;=cfg_Y_START),cfg_Y_START-1,الموظفون!$AE33)-D33+1-SUMIFS('سجل الإجازات والحالات'!$R$6:$R$505,'سجل الإجازات والحالات'!$B$6:$B$505,$B33))/cfg_DAYS_Y),cfg_EOS_TH)+cfg_EOS_R2*MAX((MAX(0,IF(OR(الموظفون!$AE33="",الموظفون!$AE33&gt;=cfg_Y_START),cfg_Y_START-1,الموظفون!$AE33)-D33+1-SUMIFS('سجل الإجازات والحالات'!$R$6:$R$505,'سجل الإجازات والحالات'!$B$6:$B$505,$B33))/cfg_DAYS_Y)-cfg_EOS_TH,0)))</f>
        <v/>
      </c>
      <c r="Q33" s="116" t="str">
        <f aca="false">IF($B33="","",O33-P33)</f>
        <v/>
      </c>
      <c r="R33" s="116" t="str">
        <f aca="false">IF($B33="","",SUMIFS('الحركات الشهرية'!$N$6:$N$1005,'الحركات الشهرية'!$B$6:$B$1005,B33,'الحركات الشهرية'!$A$6:$A$1005,"&lt;="&amp;cfg_VAL_M))</f>
        <v/>
      </c>
      <c r="S33" s="178" t="str">
        <f aca="false">IF($B33="","",P33+Q33-R33)</f>
        <v/>
      </c>
      <c r="T33" s="117" t="str">
        <f aca="false">IF($B33="","",IF(S33&lt;-0.01,"✖ صرف أكثر من المستحق",IF(AND(M33&lt;&gt;"على رأس العمل",S33&gt;0.01),"⚠ مستحق لم يُصرف","✔ سليم")))</f>
        <v/>
      </c>
    </row>
    <row r="34" customFormat="false" ht="15" hidden="false" customHeight="false" outlineLevel="0" collapsed="false">
      <c r="B34" s="114" t="str">
        <f aca="false">IF(الموظفون!$B34="","",الموظفون!$B34)</f>
        <v/>
      </c>
      <c r="C34" s="114" t="str">
        <f aca="false">IF($B34="","",الموظفون!$C34)</f>
        <v/>
      </c>
      <c r="D34" s="174" t="str">
        <f aca="false">IF($B34="","",الموظفون!$H34)</f>
        <v/>
      </c>
      <c r="E34" s="174" t="str">
        <f aca="false">IF($B34="","",IF(OR(الموظفون!$AE34="",الموظفون!$AE34&gt;cfg_VAL_DATE),cfg_VAL_DATE,الموظفون!$AE34))</f>
        <v/>
      </c>
      <c r="F34" s="114" t="str">
        <f aca="false">IF($B34="","",IF(E34&lt;D34,"لم يباشر",DATEDIF(D34,E34+1,"y")&amp;" سنة "&amp;DATEDIF(D34,E34+1,"ym")&amp;" شهر "&amp;DATEDIF(D34,E34+1,"md")&amp;" يوم"))</f>
        <v/>
      </c>
      <c r="G34" s="65" t="str">
        <f aca="false">IF($B34="","",SUMIFS('سجل الإجازات والحالات'!$S$6:$S$505,'سجل الإجازات والحالات'!$B$6:$B$505,$B34))</f>
        <v/>
      </c>
      <c r="H34" s="155" t="str">
        <f aca="false">IF($B34="","",MAX(0,E34-D34+1-G34)/cfg_DAYS_Y)</f>
        <v/>
      </c>
      <c r="I34" s="111" t="str">
        <f aca="false">IF($B34="","",الموظفون!$Q34)</f>
        <v/>
      </c>
      <c r="J34" s="111" t="str">
        <f aca="false">IF($B34="","",I34*cfg_EOS_R1*MIN(H34,cfg_EOS_TH))</f>
        <v/>
      </c>
      <c r="K34" s="111" t="str">
        <f aca="false">IF($B34="","",I34*cfg_EOS_R2*MAX(H34-cfg_EOS_TH,0))</f>
        <v/>
      </c>
      <c r="L34" s="111" t="str">
        <f aca="false">IF($B34="","",J34+K34)</f>
        <v/>
      </c>
      <c r="M34" s="114" t="str">
        <f aca="false">IF($B34="","",IF(AND(الموظفون!$AE34&lt;&gt;"",الموظفون!$AE34&lt;=cfg_VAL_DATE),IF(الموظفون!$AF34="","⚠ حدد السبب",الموظفون!$AF34),"على رأس العمل"))</f>
        <v/>
      </c>
      <c r="N34" s="66" t="str">
        <f aca="false">IF($B34="","",VLOOKUP(H34,cfg_RES,2,TRUE()))</f>
        <v/>
      </c>
      <c r="O34" s="111" t="str">
        <f aca="false">IF($B34="","",IF(M34="استقالة",L34*N34,L34))</f>
        <v/>
      </c>
      <c r="P34" s="111" t="str">
        <f aca="false">IF($B34="","",I34*(cfg_EOS_R1*MIN((MAX(0,IF(OR(الموظفون!$AE34="",الموظفون!$AE34&gt;=cfg_Y_START),cfg_Y_START-1,الموظفون!$AE34)-D34+1-SUMIFS('سجل الإجازات والحالات'!$R$6:$R$505,'سجل الإجازات والحالات'!$B$6:$B$505,$B34))/cfg_DAYS_Y),cfg_EOS_TH)+cfg_EOS_R2*MAX((MAX(0,IF(OR(الموظفون!$AE34="",الموظفون!$AE34&gt;=cfg_Y_START),cfg_Y_START-1,الموظفون!$AE34)-D34+1-SUMIFS('سجل الإجازات والحالات'!$R$6:$R$505,'سجل الإجازات والحالات'!$B$6:$B$505,$B34))/cfg_DAYS_Y)-cfg_EOS_TH,0)))</f>
        <v/>
      </c>
      <c r="Q34" s="111" t="str">
        <f aca="false">IF($B34="","",O34-P34)</f>
        <v/>
      </c>
      <c r="R34" s="111" t="str">
        <f aca="false">IF($B34="","",SUMIFS('الحركات الشهرية'!$N$6:$N$1005,'الحركات الشهرية'!$B$6:$B$1005,B34,'الحركات الشهرية'!$A$6:$A$1005,"&lt;="&amp;cfg_VAL_M))</f>
        <v/>
      </c>
      <c r="S34" s="177" t="str">
        <f aca="false">IF($B34="","",P34+Q34-R34)</f>
        <v/>
      </c>
      <c r="T34" s="114" t="str">
        <f aca="false">IF($B34="","",IF(S34&lt;-0.01,"✖ صرف أكثر من المستحق",IF(AND(M34&lt;&gt;"على رأس العمل",S34&gt;0.01),"⚠ مستحق لم يُصرف","✔ سليم")))</f>
        <v/>
      </c>
    </row>
    <row r="35" customFormat="false" ht="15" hidden="false" customHeight="false" outlineLevel="0" collapsed="false">
      <c r="B35" s="117" t="str">
        <f aca="false">IF(الموظفون!$B35="","",الموظفون!$B35)</f>
        <v/>
      </c>
      <c r="C35" s="117" t="str">
        <f aca="false">IF($B35="","",الموظفون!$C35)</f>
        <v/>
      </c>
      <c r="D35" s="175" t="str">
        <f aca="false">IF($B35="","",الموظفون!$H35)</f>
        <v/>
      </c>
      <c r="E35" s="175" t="str">
        <f aca="false">IF($B35="","",IF(OR(الموظفون!$AE35="",الموظفون!$AE35&gt;cfg_VAL_DATE),cfg_VAL_DATE,الموظفون!$AE35))</f>
        <v/>
      </c>
      <c r="F35" s="117" t="str">
        <f aca="false">IF($B35="","",IF(E35&lt;D35,"لم يباشر",DATEDIF(D35,E35+1,"y")&amp;" سنة "&amp;DATEDIF(D35,E35+1,"ym")&amp;" شهر "&amp;DATEDIF(D35,E35+1,"md")&amp;" يوم"))</f>
        <v/>
      </c>
      <c r="G35" s="133" t="str">
        <f aca="false">IF($B35="","",SUMIFS('سجل الإجازات والحالات'!$S$6:$S$505,'سجل الإجازات والحالات'!$B$6:$B$505,$B35))</f>
        <v/>
      </c>
      <c r="H35" s="160" t="str">
        <f aca="false">IF($B35="","",MAX(0,E35-D35+1-G35)/cfg_DAYS_Y)</f>
        <v/>
      </c>
      <c r="I35" s="116" t="str">
        <f aca="false">IF($B35="","",الموظفون!$Q35)</f>
        <v/>
      </c>
      <c r="J35" s="116" t="str">
        <f aca="false">IF($B35="","",I35*cfg_EOS_R1*MIN(H35,cfg_EOS_TH))</f>
        <v/>
      </c>
      <c r="K35" s="116" t="str">
        <f aca="false">IF($B35="","",I35*cfg_EOS_R2*MAX(H35-cfg_EOS_TH,0))</f>
        <v/>
      </c>
      <c r="L35" s="116" t="str">
        <f aca="false">IF($B35="","",J35+K35)</f>
        <v/>
      </c>
      <c r="M35" s="117" t="str">
        <f aca="false">IF($B35="","",IF(AND(الموظفون!$AE35&lt;&gt;"",الموظفون!$AE35&lt;=cfg_VAL_DATE),IF(الموظفون!$AF35="","⚠ حدد السبب",الموظفون!$AF35),"على رأس العمل"))</f>
        <v/>
      </c>
      <c r="N35" s="134" t="str">
        <f aca="false">IF($B35="","",VLOOKUP(H35,cfg_RES,2,TRUE()))</f>
        <v/>
      </c>
      <c r="O35" s="116" t="str">
        <f aca="false">IF($B35="","",IF(M35="استقالة",L35*N35,L35))</f>
        <v/>
      </c>
      <c r="P35" s="116" t="str">
        <f aca="false">IF($B35="","",I35*(cfg_EOS_R1*MIN((MAX(0,IF(OR(الموظفون!$AE35="",الموظفون!$AE35&gt;=cfg_Y_START),cfg_Y_START-1,الموظفون!$AE35)-D35+1-SUMIFS('سجل الإجازات والحالات'!$R$6:$R$505,'سجل الإجازات والحالات'!$B$6:$B$505,$B35))/cfg_DAYS_Y),cfg_EOS_TH)+cfg_EOS_R2*MAX((MAX(0,IF(OR(الموظفون!$AE35="",الموظفون!$AE35&gt;=cfg_Y_START),cfg_Y_START-1,الموظفون!$AE35)-D35+1-SUMIFS('سجل الإجازات والحالات'!$R$6:$R$505,'سجل الإجازات والحالات'!$B$6:$B$505,$B35))/cfg_DAYS_Y)-cfg_EOS_TH,0)))</f>
        <v/>
      </c>
      <c r="Q35" s="116" t="str">
        <f aca="false">IF($B35="","",O35-P35)</f>
        <v/>
      </c>
      <c r="R35" s="116" t="str">
        <f aca="false">IF($B35="","",SUMIFS('الحركات الشهرية'!$N$6:$N$1005,'الحركات الشهرية'!$B$6:$B$1005,B35,'الحركات الشهرية'!$A$6:$A$1005,"&lt;="&amp;cfg_VAL_M))</f>
        <v/>
      </c>
      <c r="S35" s="178" t="str">
        <f aca="false">IF($B35="","",P35+Q35-R35)</f>
        <v/>
      </c>
      <c r="T35" s="117" t="str">
        <f aca="false">IF($B35="","",IF(S35&lt;-0.01,"✖ صرف أكثر من المستحق",IF(AND(M35&lt;&gt;"على رأس العمل",S35&gt;0.01),"⚠ مستحق لم يُصرف","✔ سليم")))</f>
        <v/>
      </c>
    </row>
    <row r="36" customFormat="false" ht="15" hidden="false" customHeight="false" outlineLevel="0" collapsed="false">
      <c r="B36" s="114" t="str">
        <f aca="false">IF(الموظفون!$B36="","",الموظفون!$B36)</f>
        <v/>
      </c>
      <c r="C36" s="114" t="str">
        <f aca="false">IF($B36="","",الموظفون!$C36)</f>
        <v/>
      </c>
      <c r="D36" s="174" t="str">
        <f aca="false">IF($B36="","",الموظفون!$H36)</f>
        <v/>
      </c>
      <c r="E36" s="174" t="str">
        <f aca="false">IF($B36="","",IF(OR(الموظفون!$AE36="",الموظفون!$AE36&gt;cfg_VAL_DATE),cfg_VAL_DATE,الموظفون!$AE36))</f>
        <v/>
      </c>
      <c r="F36" s="114" t="str">
        <f aca="false">IF($B36="","",IF(E36&lt;D36,"لم يباشر",DATEDIF(D36,E36+1,"y")&amp;" سنة "&amp;DATEDIF(D36,E36+1,"ym")&amp;" شهر "&amp;DATEDIF(D36,E36+1,"md")&amp;" يوم"))</f>
        <v/>
      </c>
      <c r="G36" s="65" t="str">
        <f aca="false">IF($B36="","",SUMIFS('سجل الإجازات والحالات'!$S$6:$S$505,'سجل الإجازات والحالات'!$B$6:$B$505,$B36))</f>
        <v/>
      </c>
      <c r="H36" s="155" t="str">
        <f aca="false">IF($B36="","",MAX(0,E36-D36+1-G36)/cfg_DAYS_Y)</f>
        <v/>
      </c>
      <c r="I36" s="111" t="str">
        <f aca="false">IF($B36="","",الموظفون!$Q36)</f>
        <v/>
      </c>
      <c r="J36" s="111" t="str">
        <f aca="false">IF($B36="","",I36*cfg_EOS_R1*MIN(H36,cfg_EOS_TH))</f>
        <v/>
      </c>
      <c r="K36" s="111" t="str">
        <f aca="false">IF($B36="","",I36*cfg_EOS_R2*MAX(H36-cfg_EOS_TH,0))</f>
        <v/>
      </c>
      <c r="L36" s="111" t="str">
        <f aca="false">IF($B36="","",J36+K36)</f>
        <v/>
      </c>
      <c r="M36" s="114" t="str">
        <f aca="false">IF($B36="","",IF(AND(الموظفون!$AE36&lt;&gt;"",الموظفون!$AE36&lt;=cfg_VAL_DATE),IF(الموظفون!$AF36="","⚠ حدد السبب",الموظفون!$AF36),"على رأس العمل"))</f>
        <v/>
      </c>
      <c r="N36" s="66" t="str">
        <f aca="false">IF($B36="","",VLOOKUP(H36,cfg_RES,2,TRUE()))</f>
        <v/>
      </c>
      <c r="O36" s="111" t="str">
        <f aca="false">IF($B36="","",IF(M36="استقالة",L36*N36,L36))</f>
        <v/>
      </c>
      <c r="P36" s="111" t="str">
        <f aca="false">IF($B36="","",I36*(cfg_EOS_R1*MIN((MAX(0,IF(OR(الموظفون!$AE36="",الموظفون!$AE36&gt;=cfg_Y_START),cfg_Y_START-1,الموظفون!$AE36)-D36+1-SUMIFS('سجل الإجازات والحالات'!$R$6:$R$505,'سجل الإجازات والحالات'!$B$6:$B$505,$B36))/cfg_DAYS_Y),cfg_EOS_TH)+cfg_EOS_R2*MAX((MAX(0,IF(OR(الموظفون!$AE36="",الموظفون!$AE36&gt;=cfg_Y_START),cfg_Y_START-1,الموظفون!$AE36)-D36+1-SUMIFS('سجل الإجازات والحالات'!$R$6:$R$505,'سجل الإجازات والحالات'!$B$6:$B$505,$B36))/cfg_DAYS_Y)-cfg_EOS_TH,0)))</f>
        <v/>
      </c>
      <c r="Q36" s="111" t="str">
        <f aca="false">IF($B36="","",O36-P36)</f>
        <v/>
      </c>
      <c r="R36" s="111" t="str">
        <f aca="false">IF($B36="","",SUMIFS('الحركات الشهرية'!$N$6:$N$1005,'الحركات الشهرية'!$B$6:$B$1005,B36,'الحركات الشهرية'!$A$6:$A$1005,"&lt;="&amp;cfg_VAL_M))</f>
        <v/>
      </c>
      <c r="S36" s="177" t="str">
        <f aca="false">IF($B36="","",P36+Q36-R36)</f>
        <v/>
      </c>
      <c r="T36" s="114" t="str">
        <f aca="false">IF($B36="","",IF(S36&lt;-0.01,"✖ صرف أكثر من المستحق",IF(AND(M36&lt;&gt;"على رأس العمل",S36&gt;0.01),"⚠ مستحق لم يُصرف","✔ سليم")))</f>
        <v/>
      </c>
    </row>
    <row r="37" customFormat="false" ht="15" hidden="false" customHeight="false" outlineLevel="0" collapsed="false">
      <c r="B37" s="117" t="str">
        <f aca="false">IF(الموظفون!$B37="","",الموظفون!$B37)</f>
        <v/>
      </c>
      <c r="C37" s="117" t="str">
        <f aca="false">IF($B37="","",الموظفون!$C37)</f>
        <v/>
      </c>
      <c r="D37" s="175" t="str">
        <f aca="false">IF($B37="","",الموظفون!$H37)</f>
        <v/>
      </c>
      <c r="E37" s="175" t="str">
        <f aca="false">IF($B37="","",IF(OR(الموظفون!$AE37="",الموظفون!$AE37&gt;cfg_VAL_DATE),cfg_VAL_DATE,الموظفون!$AE37))</f>
        <v/>
      </c>
      <c r="F37" s="117" t="str">
        <f aca="false">IF($B37="","",IF(E37&lt;D37,"لم يباشر",DATEDIF(D37,E37+1,"y")&amp;" سنة "&amp;DATEDIF(D37,E37+1,"ym")&amp;" شهر "&amp;DATEDIF(D37,E37+1,"md")&amp;" يوم"))</f>
        <v/>
      </c>
      <c r="G37" s="133" t="str">
        <f aca="false">IF($B37="","",SUMIFS('سجل الإجازات والحالات'!$S$6:$S$505,'سجل الإجازات والحالات'!$B$6:$B$505,$B37))</f>
        <v/>
      </c>
      <c r="H37" s="160" t="str">
        <f aca="false">IF($B37="","",MAX(0,E37-D37+1-G37)/cfg_DAYS_Y)</f>
        <v/>
      </c>
      <c r="I37" s="116" t="str">
        <f aca="false">IF($B37="","",الموظفون!$Q37)</f>
        <v/>
      </c>
      <c r="J37" s="116" t="str">
        <f aca="false">IF($B37="","",I37*cfg_EOS_R1*MIN(H37,cfg_EOS_TH))</f>
        <v/>
      </c>
      <c r="K37" s="116" t="str">
        <f aca="false">IF($B37="","",I37*cfg_EOS_R2*MAX(H37-cfg_EOS_TH,0))</f>
        <v/>
      </c>
      <c r="L37" s="116" t="str">
        <f aca="false">IF($B37="","",J37+K37)</f>
        <v/>
      </c>
      <c r="M37" s="117" t="str">
        <f aca="false">IF($B37="","",IF(AND(الموظفون!$AE37&lt;&gt;"",الموظفون!$AE37&lt;=cfg_VAL_DATE),IF(الموظفون!$AF37="","⚠ حدد السبب",الموظفون!$AF37),"على رأس العمل"))</f>
        <v/>
      </c>
      <c r="N37" s="134" t="str">
        <f aca="false">IF($B37="","",VLOOKUP(H37,cfg_RES,2,TRUE()))</f>
        <v/>
      </c>
      <c r="O37" s="116" t="str">
        <f aca="false">IF($B37="","",IF(M37="استقالة",L37*N37,L37))</f>
        <v/>
      </c>
      <c r="P37" s="116" t="str">
        <f aca="false">IF($B37="","",I37*(cfg_EOS_R1*MIN((MAX(0,IF(OR(الموظفون!$AE37="",الموظفون!$AE37&gt;=cfg_Y_START),cfg_Y_START-1,الموظفون!$AE37)-D37+1-SUMIFS('سجل الإجازات والحالات'!$R$6:$R$505,'سجل الإجازات والحالات'!$B$6:$B$505,$B37))/cfg_DAYS_Y),cfg_EOS_TH)+cfg_EOS_R2*MAX((MAX(0,IF(OR(الموظفون!$AE37="",الموظفون!$AE37&gt;=cfg_Y_START),cfg_Y_START-1,الموظفون!$AE37)-D37+1-SUMIFS('سجل الإجازات والحالات'!$R$6:$R$505,'سجل الإجازات والحالات'!$B$6:$B$505,$B37))/cfg_DAYS_Y)-cfg_EOS_TH,0)))</f>
        <v/>
      </c>
      <c r="Q37" s="116" t="str">
        <f aca="false">IF($B37="","",O37-P37)</f>
        <v/>
      </c>
      <c r="R37" s="116" t="str">
        <f aca="false">IF($B37="","",SUMIFS('الحركات الشهرية'!$N$6:$N$1005,'الحركات الشهرية'!$B$6:$B$1005,B37,'الحركات الشهرية'!$A$6:$A$1005,"&lt;="&amp;cfg_VAL_M))</f>
        <v/>
      </c>
      <c r="S37" s="178" t="str">
        <f aca="false">IF($B37="","",P37+Q37-R37)</f>
        <v/>
      </c>
      <c r="T37" s="117" t="str">
        <f aca="false">IF($B37="","",IF(S37&lt;-0.01,"✖ صرف أكثر من المستحق",IF(AND(M37&lt;&gt;"على رأس العمل",S37&gt;0.01),"⚠ مستحق لم يُصرف","✔ سليم")))</f>
        <v/>
      </c>
    </row>
    <row r="38" customFormat="false" ht="15" hidden="false" customHeight="false" outlineLevel="0" collapsed="false">
      <c r="B38" s="114" t="str">
        <f aca="false">IF(الموظفون!$B38="","",الموظفون!$B38)</f>
        <v/>
      </c>
      <c r="C38" s="114" t="str">
        <f aca="false">IF($B38="","",الموظفون!$C38)</f>
        <v/>
      </c>
      <c r="D38" s="174" t="str">
        <f aca="false">IF($B38="","",الموظفون!$H38)</f>
        <v/>
      </c>
      <c r="E38" s="174" t="str">
        <f aca="false">IF($B38="","",IF(OR(الموظفون!$AE38="",الموظفون!$AE38&gt;cfg_VAL_DATE),cfg_VAL_DATE,الموظفون!$AE38))</f>
        <v/>
      </c>
      <c r="F38" s="114" t="str">
        <f aca="false">IF($B38="","",IF(E38&lt;D38,"لم يباشر",DATEDIF(D38,E38+1,"y")&amp;" سنة "&amp;DATEDIF(D38,E38+1,"ym")&amp;" شهر "&amp;DATEDIF(D38,E38+1,"md")&amp;" يوم"))</f>
        <v/>
      </c>
      <c r="G38" s="65" t="str">
        <f aca="false">IF($B38="","",SUMIFS('سجل الإجازات والحالات'!$S$6:$S$505,'سجل الإجازات والحالات'!$B$6:$B$505,$B38))</f>
        <v/>
      </c>
      <c r="H38" s="155" t="str">
        <f aca="false">IF($B38="","",MAX(0,E38-D38+1-G38)/cfg_DAYS_Y)</f>
        <v/>
      </c>
      <c r="I38" s="111" t="str">
        <f aca="false">IF($B38="","",الموظفون!$Q38)</f>
        <v/>
      </c>
      <c r="J38" s="111" t="str">
        <f aca="false">IF($B38="","",I38*cfg_EOS_R1*MIN(H38,cfg_EOS_TH))</f>
        <v/>
      </c>
      <c r="K38" s="111" t="str">
        <f aca="false">IF($B38="","",I38*cfg_EOS_R2*MAX(H38-cfg_EOS_TH,0))</f>
        <v/>
      </c>
      <c r="L38" s="111" t="str">
        <f aca="false">IF($B38="","",J38+K38)</f>
        <v/>
      </c>
      <c r="M38" s="114" t="str">
        <f aca="false">IF($B38="","",IF(AND(الموظفون!$AE38&lt;&gt;"",الموظفون!$AE38&lt;=cfg_VAL_DATE),IF(الموظفون!$AF38="","⚠ حدد السبب",الموظفون!$AF38),"على رأس العمل"))</f>
        <v/>
      </c>
      <c r="N38" s="66" t="str">
        <f aca="false">IF($B38="","",VLOOKUP(H38,cfg_RES,2,TRUE()))</f>
        <v/>
      </c>
      <c r="O38" s="111" t="str">
        <f aca="false">IF($B38="","",IF(M38="استقالة",L38*N38,L38))</f>
        <v/>
      </c>
      <c r="P38" s="111" t="str">
        <f aca="false">IF($B38="","",I38*(cfg_EOS_R1*MIN((MAX(0,IF(OR(الموظفون!$AE38="",الموظفون!$AE38&gt;=cfg_Y_START),cfg_Y_START-1,الموظفون!$AE38)-D38+1-SUMIFS('سجل الإجازات والحالات'!$R$6:$R$505,'سجل الإجازات والحالات'!$B$6:$B$505,$B38))/cfg_DAYS_Y),cfg_EOS_TH)+cfg_EOS_R2*MAX((MAX(0,IF(OR(الموظفون!$AE38="",الموظفون!$AE38&gt;=cfg_Y_START),cfg_Y_START-1,الموظفون!$AE38)-D38+1-SUMIFS('سجل الإجازات والحالات'!$R$6:$R$505,'سجل الإجازات والحالات'!$B$6:$B$505,$B38))/cfg_DAYS_Y)-cfg_EOS_TH,0)))</f>
        <v/>
      </c>
      <c r="Q38" s="111" t="str">
        <f aca="false">IF($B38="","",O38-P38)</f>
        <v/>
      </c>
      <c r="R38" s="111" t="str">
        <f aca="false">IF($B38="","",SUMIFS('الحركات الشهرية'!$N$6:$N$1005,'الحركات الشهرية'!$B$6:$B$1005,B38,'الحركات الشهرية'!$A$6:$A$1005,"&lt;="&amp;cfg_VAL_M))</f>
        <v/>
      </c>
      <c r="S38" s="177" t="str">
        <f aca="false">IF($B38="","",P38+Q38-R38)</f>
        <v/>
      </c>
      <c r="T38" s="114" t="str">
        <f aca="false">IF($B38="","",IF(S38&lt;-0.01,"✖ صرف أكثر من المستحق",IF(AND(M38&lt;&gt;"على رأس العمل",S38&gt;0.01),"⚠ مستحق لم يُصرف","✔ سليم")))</f>
        <v/>
      </c>
    </row>
    <row r="39" customFormat="false" ht="15" hidden="false" customHeight="false" outlineLevel="0" collapsed="false">
      <c r="B39" s="117" t="str">
        <f aca="false">IF(الموظفون!$B39="","",الموظفون!$B39)</f>
        <v/>
      </c>
      <c r="C39" s="117" t="str">
        <f aca="false">IF($B39="","",الموظفون!$C39)</f>
        <v/>
      </c>
      <c r="D39" s="175" t="str">
        <f aca="false">IF($B39="","",الموظفون!$H39)</f>
        <v/>
      </c>
      <c r="E39" s="175" t="str">
        <f aca="false">IF($B39="","",IF(OR(الموظفون!$AE39="",الموظفون!$AE39&gt;cfg_VAL_DATE),cfg_VAL_DATE,الموظفون!$AE39))</f>
        <v/>
      </c>
      <c r="F39" s="117" t="str">
        <f aca="false">IF($B39="","",IF(E39&lt;D39,"لم يباشر",DATEDIF(D39,E39+1,"y")&amp;" سنة "&amp;DATEDIF(D39,E39+1,"ym")&amp;" شهر "&amp;DATEDIF(D39,E39+1,"md")&amp;" يوم"))</f>
        <v/>
      </c>
      <c r="G39" s="133" t="str">
        <f aca="false">IF($B39="","",SUMIFS('سجل الإجازات والحالات'!$S$6:$S$505,'سجل الإجازات والحالات'!$B$6:$B$505,$B39))</f>
        <v/>
      </c>
      <c r="H39" s="160" t="str">
        <f aca="false">IF($B39="","",MAX(0,E39-D39+1-G39)/cfg_DAYS_Y)</f>
        <v/>
      </c>
      <c r="I39" s="116" t="str">
        <f aca="false">IF($B39="","",الموظفون!$Q39)</f>
        <v/>
      </c>
      <c r="J39" s="116" t="str">
        <f aca="false">IF($B39="","",I39*cfg_EOS_R1*MIN(H39,cfg_EOS_TH))</f>
        <v/>
      </c>
      <c r="K39" s="116" t="str">
        <f aca="false">IF($B39="","",I39*cfg_EOS_R2*MAX(H39-cfg_EOS_TH,0))</f>
        <v/>
      </c>
      <c r="L39" s="116" t="str">
        <f aca="false">IF($B39="","",J39+K39)</f>
        <v/>
      </c>
      <c r="M39" s="117" t="str">
        <f aca="false">IF($B39="","",IF(AND(الموظفون!$AE39&lt;&gt;"",الموظفون!$AE39&lt;=cfg_VAL_DATE),IF(الموظفون!$AF39="","⚠ حدد السبب",الموظفون!$AF39),"على رأس العمل"))</f>
        <v/>
      </c>
      <c r="N39" s="134" t="str">
        <f aca="false">IF($B39="","",VLOOKUP(H39,cfg_RES,2,TRUE()))</f>
        <v/>
      </c>
      <c r="O39" s="116" t="str">
        <f aca="false">IF($B39="","",IF(M39="استقالة",L39*N39,L39))</f>
        <v/>
      </c>
      <c r="P39" s="116" t="str">
        <f aca="false">IF($B39="","",I39*(cfg_EOS_R1*MIN((MAX(0,IF(OR(الموظفون!$AE39="",الموظفون!$AE39&gt;=cfg_Y_START),cfg_Y_START-1,الموظفون!$AE39)-D39+1-SUMIFS('سجل الإجازات والحالات'!$R$6:$R$505,'سجل الإجازات والحالات'!$B$6:$B$505,$B39))/cfg_DAYS_Y),cfg_EOS_TH)+cfg_EOS_R2*MAX((MAX(0,IF(OR(الموظفون!$AE39="",الموظفون!$AE39&gt;=cfg_Y_START),cfg_Y_START-1,الموظفون!$AE39)-D39+1-SUMIFS('سجل الإجازات والحالات'!$R$6:$R$505,'سجل الإجازات والحالات'!$B$6:$B$505,$B39))/cfg_DAYS_Y)-cfg_EOS_TH,0)))</f>
        <v/>
      </c>
      <c r="Q39" s="116" t="str">
        <f aca="false">IF($B39="","",O39-P39)</f>
        <v/>
      </c>
      <c r="R39" s="116" t="str">
        <f aca="false">IF($B39="","",SUMIFS('الحركات الشهرية'!$N$6:$N$1005,'الحركات الشهرية'!$B$6:$B$1005,B39,'الحركات الشهرية'!$A$6:$A$1005,"&lt;="&amp;cfg_VAL_M))</f>
        <v/>
      </c>
      <c r="S39" s="178" t="str">
        <f aca="false">IF($B39="","",P39+Q39-R39)</f>
        <v/>
      </c>
      <c r="T39" s="117" t="str">
        <f aca="false">IF($B39="","",IF(S39&lt;-0.01,"✖ صرف أكثر من المستحق",IF(AND(M39&lt;&gt;"على رأس العمل",S39&gt;0.01),"⚠ مستحق لم يُصرف","✔ سليم")))</f>
        <v/>
      </c>
    </row>
    <row r="40" customFormat="false" ht="15" hidden="false" customHeight="false" outlineLevel="0" collapsed="false">
      <c r="B40" s="114" t="str">
        <f aca="false">IF(الموظفون!$B40="","",الموظفون!$B40)</f>
        <v/>
      </c>
      <c r="C40" s="114" t="str">
        <f aca="false">IF($B40="","",الموظفون!$C40)</f>
        <v/>
      </c>
      <c r="D40" s="174" t="str">
        <f aca="false">IF($B40="","",الموظفون!$H40)</f>
        <v/>
      </c>
      <c r="E40" s="174" t="str">
        <f aca="false">IF($B40="","",IF(OR(الموظفون!$AE40="",الموظفون!$AE40&gt;cfg_VAL_DATE),cfg_VAL_DATE,الموظفون!$AE40))</f>
        <v/>
      </c>
      <c r="F40" s="114" t="str">
        <f aca="false">IF($B40="","",IF(E40&lt;D40,"لم يباشر",DATEDIF(D40,E40+1,"y")&amp;" سنة "&amp;DATEDIF(D40,E40+1,"ym")&amp;" شهر "&amp;DATEDIF(D40,E40+1,"md")&amp;" يوم"))</f>
        <v/>
      </c>
      <c r="G40" s="65" t="str">
        <f aca="false">IF($B40="","",SUMIFS('سجل الإجازات والحالات'!$S$6:$S$505,'سجل الإجازات والحالات'!$B$6:$B$505,$B40))</f>
        <v/>
      </c>
      <c r="H40" s="155" t="str">
        <f aca="false">IF($B40="","",MAX(0,E40-D40+1-G40)/cfg_DAYS_Y)</f>
        <v/>
      </c>
      <c r="I40" s="111" t="str">
        <f aca="false">IF($B40="","",الموظفون!$Q40)</f>
        <v/>
      </c>
      <c r="J40" s="111" t="str">
        <f aca="false">IF($B40="","",I40*cfg_EOS_R1*MIN(H40,cfg_EOS_TH))</f>
        <v/>
      </c>
      <c r="K40" s="111" t="str">
        <f aca="false">IF($B40="","",I40*cfg_EOS_R2*MAX(H40-cfg_EOS_TH,0))</f>
        <v/>
      </c>
      <c r="L40" s="111" t="str">
        <f aca="false">IF($B40="","",J40+K40)</f>
        <v/>
      </c>
      <c r="M40" s="114" t="str">
        <f aca="false">IF($B40="","",IF(AND(الموظفون!$AE40&lt;&gt;"",الموظفون!$AE40&lt;=cfg_VAL_DATE),IF(الموظفون!$AF40="","⚠ حدد السبب",الموظفون!$AF40),"على رأس العمل"))</f>
        <v/>
      </c>
      <c r="N40" s="66" t="str">
        <f aca="false">IF($B40="","",VLOOKUP(H40,cfg_RES,2,TRUE()))</f>
        <v/>
      </c>
      <c r="O40" s="111" t="str">
        <f aca="false">IF($B40="","",IF(M40="استقالة",L40*N40,L40))</f>
        <v/>
      </c>
      <c r="P40" s="111" t="str">
        <f aca="false">IF($B40="","",I40*(cfg_EOS_R1*MIN((MAX(0,IF(OR(الموظفون!$AE40="",الموظفون!$AE40&gt;=cfg_Y_START),cfg_Y_START-1,الموظفون!$AE40)-D40+1-SUMIFS('سجل الإجازات والحالات'!$R$6:$R$505,'سجل الإجازات والحالات'!$B$6:$B$505,$B40))/cfg_DAYS_Y),cfg_EOS_TH)+cfg_EOS_R2*MAX((MAX(0,IF(OR(الموظفون!$AE40="",الموظفون!$AE40&gt;=cfg_Y_START),cfg_Y_START-1,الموظفون!$AE40)-D40+1-SUMIFS('سجل الإجازات والحالات'!$R$6:$R$505,'سجل الإجازات والحالات'!$B$6:$B$505,$B40))/cfg_DAYS_Y)-cfg_EOS_TH,0)))</f>
        <v/>
      </c>
      <c r="Q40" s="111" t="str">
        <f aca="false">IF($B40="","",O40-P40)</f>
        <v/>
      </c>
      <c r="R40" s="111" t="str">
        <f aca="false">IF($B40="","",SUMIFS('الحركات الشهرية'!$N$6:$N$1005,'الحركات الشهرية'!$B$6:$B$1005,B40,'الحركات الشهرية'!$A$6:$A$1005,"&lt;="&amp;cfg_VAL_M))</f>
        <v/>
      </c>
      <c r="S40" s="177" t="str">
        <f aca="false">IF($B40="","",P40+Q40-R40)</f>
        <v/>
      </c>
      <c r="T40" s="114" t="str">
        <f aca="false">IF($B40="","",IF(S40&lt;-0.01,"✖ صرف أكثر من المستحق",IF(AND(M40&lt;&gt;"على رأس العمل",S40&gt;0.01),"⚠ مستحق لم يُصرف","✔ سليم")))</f>
        <v/>
      </c>
    </row>
    <row r="41" customFormat="false" ht="15" hidden="false" customHeight="false" outlineLevel="0" collapsed="false">
      <c r="B41" s="117" t="str">
        <f aca="false">IF(الموظفون!$B41="","",الموظفون!$B41)</f>
        <v/>
      </c>
      <c r="C41" s="117" t="str">
        <f aca="false">IF($B41="","",الموظفون!$C41)</f>
        <v/>
      </c>
      <c r="D41" s="175" t="str">
        <f aca="false">IF($B41="","",الموظفون!$H41)</f>
        <v/>
      </c>
      <c r="E41" s="175" t="str">
        <f aca="false">IF($B41="","",IF(OR(الموظفون!$AE41="",الموظفون!$AE41&gt;cfg_VAL_DATE),cfg_VAL_DATE,الموظفون!$AE41))</f>
        <v/>
      </c>
      <c r="F41" s="117" t="str">
        <f aca="false">IF($B41="","",IF(E41&lt;D41,"لم يباشر",DATEDIF(D41,E41+1,"y")&amp;" سنة "&amp;DATEDIF(D41,E41+1,"ym")&amp;" شهر "&amp;DATEDIF(D41,E41+1,"md")&amp;" يوم"))</f>
        <v/>
      </c>
      <c r="G41" s="133" t="str">
        <f aca="false">IF($B41="","",SUMIFS('سجل الإجازات والحالات'!$S$6:$S$505,'سجل الإجازات والحالات'!$B$6:$B$505,$B41))</f>
        <v/>
      </c>
      <c r="H41" s="160" t="str">
        <f aca="false">IF($B41="","",MAX(0,E41-D41+1-G41)/cfg_DAYS_Y)</f>
        <v/>
      </c>
      <c r="I41" s="116" t="str">
        <f aca="false">IF($B41="","",الموظفون!$Q41)</f>
        <v/>
      </c>
      <c r="J41" s="116" t="str">
        <f aca="false">IF($B41="","",I41*cfg_EOS_R1*MIN(H41,cfg_EOS_TH))</f>
        <v/>
      </c>
      <c r="K41" s="116" t="str">
        <f aca="false">IF($B41="","",I41*cfg_EOS_R2*MAX(H41-cfg_EOS_TH,0))</f>
        <v/>
      </c>
      <c r="L41" s="116" t="str">
        <f aca="false">IF($B41="","",J41+K41)</f>
        <v/>
      </c>
      <c r="M41" s="117" t="str">
        <f aca="false">IF($B41="","",IF(AND(الموظفون!$AE41&lt;&gt;"",الموظفون!$AE41&lt;=cfg_VAL_DATE),IF(الموظفون!$AF41="","⚠ حدد السبب",الموظفون!$AF41),"على رأس العمل"))</f>
        <v/>
      </c>
      <c r="N41" s="134" t="str">
        <f aca="false">IF($B41="","",VLOOKUP(H41,cfg_RES,2,TRUE()))</f>
        <v/>
      </c>
      <c r="O41" s="116" t="str">
        <f aca="false">IF($B41="","",IF(M41="استقالة",L41*N41,L41))</f>
        <v/>
      </c>
      <c r="P41" s="116" t="str">
        <f aca="false">IF($B41="","",I41*(cfg_EOS_R1*MIN((MAX(0,IF(OR(الموظفون!$AE41="",الموظفون!$AE41&gt;=cfg_Y_START),cfg_Y_START-1,الموظفون!$AE41)-D41+1-SUMIFS('سجل الإجازات والحالات'!$R$6:$R$505,'سجل الإجازات والحالات'!$B$6:$B$505,$B41))/cfg_DAYS_Y),cfg_EOS_TH)+cfg_EOS_R2*MAX((MAX(0,IF(OR(الموظفون!$AE41="",الموظفون!$AE41&gt;=cfg_Y_START),cfg_Y_START-1,الموظفون!$AE41)-D41+1-SUMIFS('سجل الإجازات والحالات'!$R$6:$R$505,'سجل الإجازات والحالات'!$B$6:$B$505,$B41))/cfg_DAYS_Y)-cfg_EOS_TH,0)))</f>
        <v/>
      </c>
      <c r="Q41" s="116" t="str">
        <f aca="false">IF($B41="","",O41-P41)</f>
        <v/>
      </c>
      <c r="R41" s="116" t="str">
        <f aca="false">IF($B41="","",SUMIFS('الحركات الشهرية'!$N$6:$N$1005,'الحركات الشهرية'!$B$6:$B$1005,B41,'الحركات الشهرية'!$A$6:$A$1005,"&lt;="&amp;cfg_VAL_M))</f>
        <v/>
      </c>
      <c r="S41" s="178" t="str">
        <f aca="false">IF($B41="","",P41+Q41-R41)</f>
        <v/>
      </c>
      <c r="T41" s="117" t="str">
        <f aca="false">IF($B41="","",IF(S41&lt;-0.01,"✖ صرف أكثر من المستحق",IF(AND(M41&lt;&gt;"على رأس العمل",S41&gt;0.01),"⚠ مستحق لم يُصرف","✔ سليم")))</f>
        <v/>
      </c>
    </row>
    <row r="42" customFormat="false" ht="15" hidden="false" customHeight="false" outlineLevel="0" collapsed="false">
      <c r="B42" s="114" t="str">
        <f aca="false">IF(الموظفون!$B42="","",الموظفون!$B42)</f>
        <v/>
      </c>
      <c r="C42" s="114" t="str">
        <f aca="false">IF($B42="","",الموظفون!$C42)</f>
        <v/>
      </c>
      <c r="D42" s="174" t="str">
        <f aca="false">IF($B42="","",الموظفون!$H42)</f>
        <v/>
      </c>
      <c r="E42" s="174" t="str">
        <f aca="false">IF($B42="","",IF(OR(الموظفون!$AE42="",الموظفون!$AE42&gt;cfg_VAL_DATE),cfg_VAL_DATE,الموظفون!$AE42))</f>
        <v/>
      </c>
      <c r="F42" s="114" t="str">
        <f aca="false">IF($B42="","",IF(E42&lt;D42,"لم يباشر",DATEDIF(D42,E42+1,"y")&amp;" سنة "&amp;DATEDIF(D42,E42+1,"ym")&amp;" شهر "&amp;DATEDIF(D42,E42+1,"md")&amp;" يوم"))</f>
        <v/>
      </c>
      <c r="G42" s="65" t="str">
        <f aca="false">IF($B42="","",SUMIFS('سجل الإجازات والحالات'!$S$6:$S$505,'سجل الإجازات والحالات'!$B$6:$B$505,$B42))</f>
        <v/>
      </c>
      <c r="H42" s="155" t="str">
        <f aca="false">IF($B42="","",MAX(0,E42-D42+1-G42)/cfg_DAYS_Y)</f>
        <v/>
      </c>
      <c r="I42" s="111" t="str">
        <f aca="false">IF($B42="","",الموظفون!$Q42)</f>
        <v/>
      </c>
      <c r="J42" s="111" t="str">
        <f aca="false">IF($B42="","",I42*cfg_EOS_R1*MIN(H42,cfg_EOS_TH))</f>
        <v/>
      </c>
      <c r="K42" s="111" t="str">
        <f aca="false">IF($B42="","",I42*cfg_EOS_R2*MAX(H42-cfg_EOS_TH,0))</f>
        <v/>
      </c>
      <c r="L42" s="111" t="str">
        <f aca="false">IF($B42="","",J42+K42)</f>
        <v/>
      </c>
      <c r="M42" s="114" t="str">
        <f aca="false">IF($B42="","",IF(AND(الموظفون!$AE42&lt;&gt;"",الموظفون!$AE42&lt;=cfg_VAL_DATE),IF(الموظفون!$AF42="","⚠ حدد السبب",الموظفون!$AF42),"على رأس العمل"))</f>
        <v/>
      </c>
      <c r="N42" s="66" t="str">
        <f aca="false">IF($B42="","",VLOOKUP(H42,cfg_RES,2,TRUE()))</f>
        <v/>
      </c>
      <c r="O42" s="111" t="str">
        <f aca="false">IF($B42="","",IF(M42="استقالة",L42*N42,L42))</f>
        <v/>
      </c>
      <c r="P42" s="111" t="str">
        <f aca="false">IF($B42="","",I42*(cfg_EOS_R1*MIN((MAX(0,IF(OR(الموظفون!$AE42="",الموظفون!$AE42&gt;=cfg_Y_START),cfg_Y_START-1,الموظفون!$AE42)-D42+1-SUMIFS('سجل الإجازات والحالات'!$R$6:$R$505,'سجل الإجازات والحالات'!$B$6:$B$505,$B42))/cfg_DAYS_Y),cfg_EOS_TH)+cfg_EOS_R2*MAX((MAX(0,IF(OR(الموظفون!$AE42="",الموظفون!$AE42&gt;=cfg_Y_START),cfg_Y_START-1,الموظفون!$AE42)-D42+1-SUMIFS('سجل الإجازات والحالات'!$R$6:$R$505,'سجل الإجازات والحالات'!$B$6:$B$505,$B42))/cfg_DAYS_Y)-cfg_EOS_TH,0)))</f>
        <v/>
      </c>
      <c r="Q42" s="111" t="str">
        <f aca="false">IF($B42="","",O42-P42)</f>
        <v/>
      </c>
      <c r="R42" s="111" t="str">
        <f aca="false">IF($B42="","",SUMIFS('الحركات الشهرية'!$N$6:$N$1005,'الحركات الشهرية'!$B$6:$B$1005,B42,'الحركات الشهرية'!$A$6:$A$1005,"&lt;="&amp;cfg_VAL_M))</f>
        <v/>
      </c>
      <c r="S42" s="177" t="str">
        <f aca="false">IF($B42="","",P42+Q42-R42)</f>
        <v/>
      </c>
      <c r="T42" s="114" t="str">
        <f aca="false">IF($B42="","",IF(S42&lt;-0.01,"✖ صرف أكثر من المستحق",IF(AND(M42&lt;&gt;"على رأس العمل",S42&gt;0.01),"⚠ مستحق لم يُصرف","✔ سليم")))</f>
        <v/>
      </c>
    </row>
    <row r="43" customFormat="false" ht="15" hidden="false" customHeight="false" outlineLevel="0" collapsed="false">
      <c r="B43" s="117" t="str">
        <f aca="false">IF(الموظفون!$B43="","",الموظفون!$B43)</f>
        <v/>
      </c>
      <c r="C43" s="117" t="str">
        <f aca="false">IF($B43="","",الموظفون!$C43)</f>
        <v/>
      </c>
      <c r="D43" s="175" t="str">
        <f aca="false">IF($B43="","",الموظفون!$H43)</f>
        <v/>
      </c>
      <c r="E43" s="175" t="str">
        <f aca="false">IF($B43="","",IF(OR(الموظفون!$AE43="",الموظفون!$AE43&gt;cfg_VAL_DATE),cfg_VAL_DATE,الموظفون!$AE43))</f>
        <v/>
      </c>
      <c r="F43" s="117" t="str">
        <f aca="false">IF($B43="","",IF(E43&lt;D43,"لم يباشر",DATEDIF(D43,E43+1,"y")&amp;" سنة "&amp;DATEDIF(D43,E43+1,"ym")&amp;" شهر "&amp;DATEDIF(D43,E43+1,"md")&amp;" يوم"))</f>
        <v/>
      </c>
      <c r="G43" s="133" t="str">
        <f aca="false">IF($B43="","",SUMIFS('سجل الإجازات والحالات'!$S$6:$S$505,'سجل الإجازات والحالات'!$B$6:$B$505,$B43))</f>
        <v/>
      </c>
      <c r="H43" s="160" t="str">
        <f aca="false">IF($B43="","",MAX(0,E43-D43+1-G43)/cfg_DAYS_Y)</f>
        <v/>
      </c>
      <c r="I43" s="116" t="str">
        <f aca="false">IF($B43="","",الموظفون!$Q43)</f>
        <v/>
      </c>
      <c r="J43" s="116" t="str">
        <f aca="false">IF($B43="","",I43*cfg_EOS_R1*MIN(H43,cfg_EOS_TH))</f>
        <v/>
      </c>
      <c r="K43" s="116" t="str">
        <f aca="false">IF($B43="","",I43*cfg_EOS_R2*MAX(H43-cfg_EOS_TH,0))</f>
        <v/>
      </c>
      <c r="L43" s="116" t="str">
        <f aca="false">IF($B43="","",J43+K43)</f>
        <v/>
      </c>
      <c r="M43" s="117" t="str">
        <f aca="false">IF($B43="","",IF(AND(الموظفون!$AE43&lt;&gt;"",الموظفون!$AE43&lt;=cfg_VAL_DATE),IF(الموظفون!$AF43="","⚠ حدد السبب",الموظفون!$AF43),"على رأس العمل"))</f>
        <v/>
      </c>
      <c r="N43" s="134" t="str">
        <f aca="false">IF($B43="","",VLOOKUP(H43,cfg_RES,2,TRUE()))</f>
        <v/>
      </c>
      <c r="O43" s="116" t="str">
        <f aca="false">IF($B43="","",IF(M43="استقالة",L43*N43,L43))</f>
        <v/>
      </c>
      <c r="P43" s="116" t="str">
        <f aca="false">IF($B43="","",I43*(cfg_EOS_R1*MIN((MAX(0,IF(OR(الموظفون!$AE43="",الموظفون!$AE43&gt;=cfg_Y_START),cfg_Y_START-1,الموظفون!$AE43)-D43+1-SUMIFS('سجل الإجازات والحالات'!$R$6:$R$505,'سجل الإجازات والحالات'!$B$6:$B$505,$B43))/cfg_DAYS_Y),cfg_EOS_TH)+cfg_EOS_R2*MAX((MAX(0,IF(OR(الموظفون!$AE43="",الموظفون!$AE43&gt;=cfg_Y_START),cfg_Y_START-1,الموظفون!$AE43)-D43+1-SUMIFS('سجل الإجازات والحالات'!$R$6:$R$505,'سجل الإجازات والحالات'!$B$6:$B$505,$B43))/cfg_DAYS_Y)-cfg_EOS_TH,0)))</f>
        <v/>
      </c>
      <c r="Q43" s="116" t="str">
        <f aca="false">IF($B43="","",O43-P43)</f>
        <v/>
      </c>
      <c r="R43" s="116" t="str">
        <f aca="false">IF($B43="","",SUMIFS('الحركات الشهرية'!$N$6:$N$1005,'الحركات الشهرية'!$B$6:$B$1005,B43,'الحركات الشهرية'!$A$6:$A$1005,"&lt;="&amp;cfg_VAL_M))</f>
        <v/>
      </c>
      <c r="S43" s="178" t="str">
        <f aca="false">IF($B43="","",P43+Q43-R43)</f>
        <v/>
      </c>
      <c r="T43" s="117" t="str">
        <f aca="false">IF($B43="","",IF(S43&lt;-0.01,"✖ صرف أكثر من المستحق",IF(AND(M43&lt;&gt;"على رأس العمل",S43&gt;0.01),"⚠ مستحق لم يُصرف","✔ سليم")))</f>
        <v/>
      </c>
    </row>
    <row r="44" customFormat="false" ht="15" hidden="false" customHeight="false" outlineLevel="0" collapsed="false">
      <c r="B44" s="114" t="str">
        <f aca="false">IF(الموظفون!$B44="","",الموظفون!$B44)</f>
        <v/>
      </c>
      <c r="C44" s="114" t="str">
        <f aca="false">IF($B44="","",الموظفون!$C44)</f>
        <v/>
      </c>
      <c r="D44" s="174" t="str">
        <f aca="false">IF($B44="","",الموظفون!$H44)</f>
        <v/>
      </c>
      <c r="E44" s="174" t="str">
        <f aca="false">IF($B44="","",IF(OR(الموظفون!$AE44="",الموظفون!$AE44&gt;cfg_VAL_DATE),cfg_VAL_DATE,الموظفون!$AE44))</f>
        <v/>
      </c>
      <c r="F44" s="114" t="str">
        <f aca="false">IF($B44="","",IF(E44&lt;D44,"لم يباشر",DATEDIF(D44,E44+1,"y")&amp;" سنة "&amp;DATEDIF(D44,E44+1,"ym")&amp;" شهر "&amp;DATEDIF(D44,E44+1,"md")&amp;" يوم"))</f>
        <v/>
      </c>
      <c r="G44" s="65" t="str">
        <f aca="false">IF($B44="","",SUMIFS('سجل الإجازات والحالات'!$S$6:$S$505,'سجل الإجازات والحالات'!$B$6:$B$505,$B44))</f>
        <v/>
      </c>
      <c r="H44" s="155" t="str">
        <f aca="false">IF($B44="","",MAX(0,E44-D44+1-G44)/cfg_DAYS_Y)</f>
        <v/>
      </c>
      <c r="I44" s="111" t="str">
        <f aca="false">IF($B44="","",الموظفون!$Q44)</f>
        <v/>
      </c>
      <c r="J44" s="111" t="str">
        <f aca="false">IF($B44="","",I44*cfg_EOS_R1*MIN(H44,cfg_EOS_TH))</f>
        <v/>
      </c>
      <c r="K44" s="111" t="str">
        <f aca="false">IF($B44="","",I44*cfg_EOS_R2*MAX(H44-cfg_EOS_TH,0))</f>
        <v/>
      </c>
      <c r="L44" s="111" t="str">
        <f aca="false">IF($B44="","",J44+K44)</f>
        <v/>
      </c>
      <c r="M44" s="114" t="str">
        <f aca="false">IF($B44="","",IF(AND(الموظفون!$AE44&lt;&gt;"",الموظفون!$AE44&lt;=cfg_VAL_DATE),IF(الموظفون!$AF44="","⚠ حدد السبب",الموظفون!$AF44),"على رأس العمل"))</f>
        <v/>
      </c>
      <c r="N44" s="66" t="str">
        <f aca="false">IF($B44="","",VLOOKUP(H44,cfg_RES,2,TRUE()))</f>
        <v/>
      </c>
      <c r="O44" s="111" t="str">
        <f aca="false">IF($B44="","",IF(M44="استقالة",L44*N44,L44))</f>
        <v/>
      </c>
      <c r="P44" s="111" t="str">
        <f aca="false">IF($B44="","",I44*(cfg_EOS_R1*MIN((MAX(0,IF(OR(الموظفون!$AE44="",الموظفون!$AE44&gt;=cfg_Y_START),cfg_Y_START-1,الموظفون!$AE44)-D44+1-SUMIFS('سجل الإجازات والحالات'!$R$6:$R$505,'سجل الإجازات والحالات'!$B$6:$B$505,$B44))/cfg_DAYS_Y),cfg_EOS_TH)+cfg_EOS_R2*MAX((MAX(0,IF(OR(الموظفون!$AE44="",الموظفون!$AE44&gt;=cfg_Y_START),cfg_Y_START-1,الموظفون!$AE44)-D44+1-SUMIFS('سجل الإجازات والحالات'!$R$6:$R$505,'سجل الإجازات والحالات'!$B$6:$B$505,$B44))/cfg_DAYS_Y)-cfg_EOS_TH,0)))</f>
        <v/>
      </c>
      <c r="Q44" s="111" t="str">
        <f aca="false">IF($B44="","",O44-P44)</f>
        <v/>
      </c>
      <c r="R44" s="111" t="str">
        <f aca="false">IF($B44="","",SUMIFS('الحركات الشهرية'!$N$6:$N$1005,'الحركات الشهرية'!$B$6:$B$1005,B44,'الحركات الشهرية'!$A$6:$A$1005,"&lt;="&amp;cfg_VAL_M))</f>
        <v/>
      </c>
      <c r="S44" s="177" t="str">
        <f aca="false">IF($B44="","",P44+Q44-R44)</f>
        <v/>
      </c>
      <c r="T44" s="114" t="str">
        <f aca="false">IF($B44="","",IF(S44&lt;-0.01,"✖ صرف أكثر من المستحق",IF(AND(M44&lt;&gt;"على رأس العمل",S44&gt;0.01),"⚠ مستحق لم يُصرف","✔ سليم")))</f>
        <v/>
      </c>
    </row>
    <row r="45" customFormat="false" ht="15" hidden="false" customHeight="false" outlineLevel="0" collapsed="false">
      <c r="B45" s="117" t="str">
        <f aca="false">IF(الموظفون!$B45="","",الموظفون!$B45)</f>
        <v/>
      </c>
      <c r="C45" s="117" t="str">
        <f aca="false">IF($B45="","",الموظفون!$C45)</f>
        <v/>
      </c>
      <c r="D45" s="175" t="str">
        <f aca="false">IF($B45="","",الموظفون!$H45)</f>
        <v/>
      </c>
      <c r="E45" s="175" t="str">
        <f aca="false">IF($B45="","",IF(OR(الموظفون!$AE45="",الموظفون!$AE45&gt;cfg_VAL_DATE),cfg_VAL_DATE,الموظفون!$AE45))</f>
        <v/>
      </c>
      <c r="F45" s="117" t="str">
        <f aca="false">IF($B45="","",IF(E45&lt;D45,"لم يباشر",DATEDIF(D45,E45+1,"y")&amp;" سنة "&amp;DATEDIF(D45,E45+1,"ym")&amp;" شهر "&amp;DATEDIF(D45,E45+1,"md")&amp;" يوم"))</f>
        <v/>
      </c>
      <c r="G45" s="133" t="str">
        <f aca="false">IF($B45="","",SUMIFS('سجل الإجازات والحالات'!$S$6:$S$505,'سجل الإجازات والحالات'!$B$6:$B$505,$B45))</f>
        <v/>
      </c>
      <c r="H45" s="160" t="str">
        <f aca="false">IF($B45="","",MAX(0,E45-D45+1-G45)/cfg_DAYS_Y)</f>
        <v/>
      </c>
      <c r="I45" s="116" t="str">
        <f aca="false">IF($B45="","",الموظفون!$Q45)</f>
        <v/>
      </c>
      <c r="J45" s="116" t="str">
        <f aca="false">IF($B45="","",I45*cfg_EOS_R1*MIN(H45,cfg_EOS_TH))</f>
        <v/>
      </c>
      <c r="K45" s="116" t="str">
        <f aca="false">IF($B45="","",I45*cfg_EOS_R2*MAX(H45-cfg_EOS_TH,0))</f>
        <v/>
      </c>
      <c r="L45" s="116" t="str">
        <f aca="false">IF($B45="","",J45+K45)</f>
        <v/>
      </c>
      <c r="M45" s="117" t="str">
        <f aca="false">IF($B45="","",IF(AND(الموظفون!$AE45&lt;&gt;"",الموظفون!$AE45&lt;=cfg_VAL_DATE),IF(الموظفون!$AF45="","⚠ حدد السبب",الموظفون!$AF45),"على رأس العمل"))</f>
        <v/>
      </c>
      <c r="N45" s="134" t="str">
        <f aca="false">IF($B45="","",VLOOKUP(H45,cfg_RES,2,TRUE()))</f>
        <v/>
      </c>
      <c r="O45" s="116" t="str">
        <f aca="false">IF($B45="","",IF(M45="استقالة",L45*N45,L45))</f>
        <v/>
      </c>
      <c r="P45" s="116" t="str">
        <f aca="false">IF($B45="","",I45*(cfg_EOS_R1*MIN((MAX(0,IF(OR(الموظفون!$AE45="",الموظفون!$AE45&gt;=cfg_Y_START),cfg_Y_START-1,الموظفون!$AE45)-D45+1-SUMIFS('سجل الإجازات والحالات'!$R$6:$R$505,'سجل الإجازات والحالات'!$B$6:$B$505,$B45))/cfg_DAYS_Y),cfg_EOS_TH)+cfg_EOS_R2*MAX((MAX(0,IF(OR(الموظفون!$AE45="",الموظفون!$AE45&gt;=cfg_Y_START),cfg_Y_START-1,الموظفون!$AE45)-D45+1-SUMIFS('سجل الإجازات والحالات'!$R$6:$R$505,'سجل الإجازات والحالات'!$B$6:$B$505,$B45))/cfg_DAYS_Y)-cfg_EOS_TH,0)))</f>
        <v/>
      </c>
      <c r="Q45" s="116" t="str">
        <f aca="false">IF($B45="","",O45-P45)</f>
        <v/>
      </c>
      <c r="R45" s="116" t="str">
        <f aca="false">IF($B45="","",SUMIFS('الحركات الشهرية'!$N$6:$N$1005,'الحركات الشهرية'!$B$6:$B$1005,B45,'الحركات الشهرية'!$A$6:$A$1005,"&lt;="&amp;cfg_VAL_M))</f>
        <v/>
      </c>
      <c r="S45" s="178" t="str">
        <f aca="false">IF($B45="","",P45+Q45-R45)</f>
        <v/>
      </c>
      <c r="T45" s="117" t="str">
        <f aca="false">IF($B45="","",IF(S45&lt;-0.01,"✖ صرف أكثر من المستحق",IF(AND(M45&lt;&gt;"على رأس العمل",S45&gt;0.01),"⚠ مستحق لم يُصرف","✔ سليم")))</f>
        <v/>
      </c>
    </row>
    <row r="46" customFormat="false" ht="15" hidden="false" customHeight="false" outlineLevel="0" collapsed="false">
      <c r="B46" s="114" t="str">
        <f aca="false">IF(الموظفون!$B46="","",الموظفون!$B46)</f>
        <v/>
      </c>
      <c r="C46" s="114" t="str">
        <f aca="false">IF($B46="","",الموظفون!$C46)</f>
        <v/>
      </c>
      <c r="D46" s="174" t="str">
        <f aca="false">IF($B46="","",الموظفون!$H46)</f>
        <v/>
      </c>
      <c r="E46" s="174" t="str">
        <f aca="false">IF($B46="","",IF(OR(الموظفون!$AE46="",الموظفون!$AE46&gt;cfg_VAL_DATE),cfg_VAL_DATE,الموظفون!$AE46))</f>
        <v/>
      </c>
      <c r="F46" s="114" t="str">
        <f aca="false">IF($B46="","",IF(E46&lt;D46,"لم يباشر",DATEDIF(D46,E46+1,"y")&amp;" سنة "&amp;DATEDIF(D46,E46+1,"ym")&amp;" شهر "&amp;DATEDIF(D46,E46+1,"md")&amp;" يوم"))</f>
        <v/>
      </c>
      <c r="G46" s="65" t="str">
        <f aca="false">IF($B46="","",SUMIFS('سجل الإجازات والحالات'!$S$6:$S$505,'سجل الإجازات والحالات'!$B$6:$B$505,$B46))</f>
        <v/>
      </c>
      <c r="H46" s="155" t="str">
        <f aca="false">IF($B46="","",MAX(0,E46-D46+1-G46)/cfg_DAYS_Y)</f>
        <v/>
      </c>
      <c r="I46" s="111" t="str">
        <f aca="false">IF($B46="","",الموظفون!$Q46)</f>
        <v/>
      </c>
      <c r="J46" s="111" t="str">
        <f aca="false">IF($B46="","",I46*cfg_EOS_R1*MIN(H46,cfg_EOS_TH))</f>
        <v/>
      </c>
      <c r="K46" s="111" t="str">
        <f aca="false">IF($B46="","",I46*cfg_EOS_R2*MAX(H46-cfg_EOS_TH,0))</f>
        <v/>
      </c>
      <c r="L46" s="111" t="str">
        <f aca="false">IF($B46="","",J46+K46)</f>
        <v/>
      </c>
      <c r="M46" s="114" t="str">
        <f aca="false">IF($B46="","",IF(AND(الموظفون!$AE46&lt;&gt;"",الموظفون!$AE46&lt;=cfg_VAL_DATE),IF(الموظفون!$AF46="","⚠ حدد السبب",الموظفون!$AF46),"على رأس العمل"))</f>
        <v/>
      </c>
      <c r="N46" s="66" t="str">
        <f aca="false">IF($B46="","",VLOOKUP(H46,cfg_RES,2,TRUE()))</f>
        <v/>
      </c>
      <c r="O46" s="111" t="str">
        <f aca="false">IF($B46="","",IF(M46="استقالة",L46*N46,L46))</f>
        <v/>
      </c>
      <c r="P46" s="111" t="str">
        <f aca="false">IF($B46="","",I46*(cfg_EOS_R1*MIN((MAX(0,IF(OR(الموظفون!$AE46="",الموظفون!$AE46&gt;=cfg_Y_START),cfg_Y_START-1,الموظفون!$AE46)-D46+1-SUMIFS('سجل الإجازات والحالات'!$R$6:$R$505,'سجل الإجازات والحالات'!$B$6:$B$505,$B46))/cfg_DAYS_Y),cfg_EOS_TH)+cfg_EOS_R2*MAX((MAX(0,IF(OR(الموظفون!$AE46="",الموظفون!$AE46&gt;=cfg_Y_START),cfg_Y_START-1,الموظفون!$AE46)-D46+1-SUMIFS('سجل الإجازات والحالات'!$R$6:$R$505,'سجل الإجازات والحالات'!$B$6:$B$505,$B46))/cfg_DAYS_Y)-cfg_EOS_TH,0)))</f>
        <v/>
      </c>
      <c r="Q46" s="111" t="str">
        <f aca="false">IF($B46="","",O46-P46)</f>
        <v/>
      </c>
      <c r="R46" s="111" t="str">
        <f aca="false">IF($B46="","",SUMIFS('الحركات الشهرية'!$N$6:$N$1005,'الحركات الشهرية'!$B$6:$B$1005,B46,'الحركات الشهرية'!$A$6:$A$1005,"&lt;="&amp;cfg_VAL_M))</f>
        <v/>
      </c>
      <c r="S46" s="177" t="str">
        <f aca="false">IF($B46="","",P46+Q46-R46)</f>
        <v/>
      </c>
      <c r="T46" s="114" t="str">
        <f aca="false">IF($B46="","",IF(S46&lt;-0.01,"✖ صرف أكثر من المستحق",IF(AND(M46&lt;&gt;"على رأس العمل",S46&gt;0.01),"⚠ مستحق لم يُصرف","✔ سليم")))</f>
        <v/>
      </c>
    </row>
    <row r="47" customFormat="false" ht="15" hidden="false" customHeight="false" outlineLevel="0" collapsed="false">
      <c r="B47" s="117" t="str">
        <f aca="false">IF(الموظفون!$B47="","",الموظفون!$B47)</f>
        <v/>
      </c>
      <c r="C47" s="117" t="str">
        <f aca="false">IF($B47="","",الموظفون!$C47)</f>
        <v/>
      </c>
      <c r="D47" s="175" t="str">
        <f aca="false">IF($B47="","",الموظفون!$H47)</f>
        <v/>
      </c>
      <c r="E47" s="175" t="str">
        <f aca="false">IF($B47="","",IF(OR(الموظفون!$AE47="",الموظفون!$AE47&gt;cfg_VAL_DATE),cfg_VAL_DATE,الموظفون!$AE47))</f>
        <v/>
      </c>
      <c r="F47" s="117" t="str">
        <f aca="false">IF($B47="","",IF(E47&lt;D47,"لم يباشر",DATEDIF(D47,E47+1,"y")&amp;" سنة "&amp;DATEDIF(D47,E47+1,"ym")&amp;" شهر "&amp;DATEDIF(D47,E47+1,"md")&amp;" يوم"))</f>
        <v/>
      </c>
      <c r="G47" s="133" t="str">
        <f aca="false">IF($B47="","",SUMIFS('سجل الإجازات والحالات'!$S$6:$S$505,'سجل الإجازات والحالات'!$B$6:$B$505,$B47))</f>
        <v/>
      </c>
      <c r="H47" s="160" t="str">
        <f aca="false">IF($B47="","",MAX(0,E47-D47+1-G47)/cfg_DAYS_Y)</f>
        <v/>
      </c>
      <c r="I47" s="116" t="str">
        <f aca="false">IF($B47="","",الموظفون!$Q47)</f>
        <v/>
      </c>
      <c r="J47" s="116" t="str">
        <f aca="false">IF($B47="","",I47*cfg_EOS_R1*MIN(H47,cfg_EOS_TH))</f>
        <v/>
      </c>
      <c r="K47" s="116" t="str">
        <f aca="false">IF($B47="","",I47*cfg_EOS_R2*MAX(H47-cfg_EOS_TH,0))</f>
        <v/>
      </c>
      <c r="L47" s="116" t="str">
        <f aca="false">IF($B47="","",J47+K47)</f>
        <v/>
      </c>
      <c r="M47" s="117" t="str">
        <f aca="false">IF($B47="","",IF(AND(الموظفون!$AE47&lt;&gt;"",الموظفون!$AE47&lt;=cfg_VAL_DATE),IF(الموظفون!$AF47="","⚠ حدد السبب",الموظفون!$AF47),"على رأس العمل"))</f>
        <v/>
      </c>
      <c r="N47" s="134" t="str">
        <f aca="false">IF($B47="","",VLOOKUP(H47,cfg_RES,2,TRUE()))</f>
        <v/>
      </c>
      <c r="O47" s="116" t="str">
        <f aca="false">IF($B47="","",IF(M47="استقالة",L47*N47,L47))</f>
        <v/>
      </c>
      <c r="P47" s="116" t="str">
        <f aca="false">IF($B47="","",I47*(cfg_EOS_R1*MIN((MAX(0,IF(OR(الموظفون!$AE47="",الموظفون!$AE47&gt;=cfg_Y_START),cfg_Y_START-1,الموظفون!$AE47)-D47+1-SUMIFS('سجل الإجازات والحالات'!$R$6:$R$505,'سجل الإجازات والحالات'!$B$6:$B$505,$B47))/cfg_DAYS_Y),cfg_EOS_TH)+cfg_EOS_R2*MAX((MAX(0,IF(OR(الموظفون!$AE47="",الموظفون!$AE47&gt;=cfg_Y_START),cfg_Y_START-1,الموظفون!$AE47)-D47+1-SUMIFS('سجل الإجازات والحالات'!$R$6:$R$505,'سجل الإجازات والحالات'!$B$6:$B$505,$B47))/cfg_DAYS_Y)-cfg_EOS_TH,0)))</f>
        <v/>
      </c>
      <c r="Q47" s="116" t="str">
        <f aca="false">IF($B47="","",O47-P47)</f>
        <v/>
      </c>
      <c r="R47" s="116" t="str">
        <f aca="false">IF($B47="","",SUMIFS('الحركات الشهرية'!$N$6:$N$1005,'الحركات الشهرية'!$B$6:$B$1005,B47,'الحركات الشهرية'!$A$6:$A$1005,"&lt;="&amp;cfg_VAL_M))</f>
        <v/>
      </c>
      <c r="S47" s="178" t="str">
        <f aca="false">IF($B47="","",P47+Q47-R47)</f>
        <v/>
      </c>
      <c r="T47" s="117" t="str">
        <f aca="false">IF($B47="","",IF(S47&lt;-0.01,"✖ صرف أكثر من المستحق",IF(AND(M47&lt;&gt;"على رأس العمل",S47&gt;0.01),"⚠ مستحق لم يُصرف","✔ سليم")))</f>
        <v/>
      </c>
    </row>
    <row r="48" customFormat="false" ht="15" hidden="false" customHeight="false" outlineLevel="0" collapsed="false">
      <c r="B48" s="114" t="str">
        <f aca="false">IF(الموظفون!$B48="","",الموظفون!$B48)</f>
        <v/>
      </c>
      <c r="C48" s="114" t="str">
        <f aca="false">IF($B48="","",الموظفون!$C48)</f>
        <v/>
      </c>
      <c r="D48" s="174" t="str">
        <f aca="false">IF($B48="","",الموظفون!$H48)</f>
        <v/>
      </c>
      <c r="E48" s="174" t="str">
        <f aca="false">IF($B48="","",IF(OR(الموظفون!$AE48="",الموظفون!$AE48&gt;cfg_VAL_DATE),cfg_VAL_DATE,الموظفون!$AE48))</f>
        <v/>
      </c>
      <c r="F48" s="114" t="str">
        <f aca="false">IF($B48="","",IF(E48&lt;D48,"لم يباشر",DATEDIF(D48,E48+1,"y")&amp;" سنة "&amp;DATEDIF(D48,E48+1,"ym")&amp;" شهر "&amp;DATEDIF(D48,E48+1,"md")&amp;" يوم"))</f>
        <v/>
      </c>
      <c r="G48" s="65" t="str">
        <f aca="false">IF($B48="","",SUMIFS('سجل الإجازات والحالات'!$S$6:$S$505,'سجل الإجازات والحالات'!$B$6:$B$505,$B48))</f>
        <v/>
      </c>
      <c r="H48" s="155" t="str">
        <f aca="false">IF($B48="","",MAX(0,E48-D48+1-G48)/cfg_DAYS_Y)</f>
        <v/>
      </c>
      <c r="I48" s="111" t="str">
        <f aca="false">IF($B48="","",الموظفون!$Q48)</f>
        <v/>
      </c>
      <c r="J48" s="111" t="str">
        <f aca="false">IF($B48="","",I48*cfg_EOS_R1*MIN(H48,cfg_EOS_TH))</f>
        <v/>
      </c>
      <c r="K48" s="111" t="str">
        <f aca="false">IF($B48="","",I48*cfg_EOS_R2*MAX(H48-cfg_EOS_TH,0))</f>
        <v/>
      </c>
      <c r="L48" s="111" t="str">
        <f aca="false">IF($B48="","",J48+K48)</f>
        <v/>
      </c>
      <c r="M48" s="114" t="str">
        <f aca="false">IF($B48="","",IF(AND(الموظفون!$AE48&lt;&gt;"",الموظفون!$AE48&lt;=cfg_VAL_DATE),IF(الموظفون!$AF48="","⚠ حدد السبب",الموظفون!$AF48),"على رأس العمل"))</f>
        <v/>
      </c>
      <c r="N48" s="66" t="str">
        <f aca="false">IF($B48="","",VLOOKUP(H48,cfg_RES,2,TRUE()))</f>
        <v/>
      </c>
      <c r="O48" s="111" t="str">
        <f aca="false">IF($B48="","",IF(M48="استقالة",L48*N48,L48))</f>
        <v/>
      </c>
      <c r="P48" s="111" t="str">
        <f aca="false">IF($B48="","",I48*(cfg_EOS_R1*MIN((MAX(0,IF(OR(الموظفون!$AE48="",الموظفون!$AE48&gt;=cfg_Y_START),cfg_Y_START-1,الموظفون!$AE48)-D48+1-SUMIFS('سجل الإجازات والحالات'!$R$6:$R$505,'سجل الإجازات والحالات'!$B$6:$B$505,$B48))/cfg_DAYS_Y),cfg_EOS_TH)+cfg_EOS_R2*MAX((MAX(0,IF(OR(الموظفون!$AE48="",الموظفون!$AE48&gt;=cfg_Y_START),cfg_Y_START-1,الموظفون!$AE48)-D48+1-SUMIFS('سجل الإجازات والحالات'!$R$6:$R$505,'سجل الإجازات والحالات'!$B$6:$B$505,$B48))/cfg_DAYS_Y)-cfg_EOS_TH,0)))</f>
        <v/>
      </c>
      <c r="Q48" s="111" t="str">
        <f aca="false">IF($B48="","",O48-P48)</f>
        <v/>
      </c>
      <c r="R48" s="111" t="str">
        <f aca="false">IF($B48="","",SUMIFS('الحركات الشهرية'!$N$6:$N$1005,'الحركات الشهرية'!$B$6:$B$1005,B48,'الحركات الشهرية'!$A$6:$A$1005,"&lt;="&amp;cfg_VAL_M))</f>
        <v/>
      </c>
      <c r="S48" s="177" t="str">
        <f aca="false">IF($B48="","",P48+Q48-R48)</f>
        <v/>
      </c>
      <c r="T48" s="114" t="str">
        <f aca="false">IF($B48="","",IF(S48&lt;-0.01,"✖ صرف أكثر من المستحق",IF(AND(M48&lt;&gt;"على رأس العمل",S48&gt;0.01),"⚠ مستحق لم يُصرف","✔ سليم")))</f>
        <v/>
      </c>
    </row>
    <row r="49" customFormat="false" ht="15" hidden="false" customHeight="false" outlineLevel="0" collapsed="false">
      <c r="B49" s="117" t="str">
        <f aca="false">IF(الموظفون!$B49="","",الموظفون!$B49)</f>
        <v/>
      </c>
      <c r="C49" s="117" t="str">
        <f aca="false">IF($B49="","",الموظفون!$C49)</f>
        <v/>
      </c>
      <c r="D49" s="175" t="str">
        <f aca="false">IF($B49="","",الموظفون!$H49)</f>
        <v/>
      </c>
      <c r="E49" s="175" t="str">
        <f aca="false">IF($B49="","",IF(OR(الموظفون!$AE49="",الموظفون!$AE49&gt;cfg_VAL_DATE),cfg_VAL_DATE,الموظفون!$AE49))</f>
        <v/>
      </c>
      <c r="F49" s="117" t="str">
        <f aca="false">IF($B49="","",IF(E49&lt;D49,"لم يباشر",DATEDIF(D49,E49+1,"y")&amp;" سنة "&amp;DATEDIF(D49,E49+1,"ym")&amp;" شهر "&amp;DATEDIF(D49,E49+1,"md")&amp;" يوم"))</f>
        <v/>
      </c>
      <c r="G49" s="133" t="str">
        <f aca="false">IF($B49="","",SUMIFS('سجل الإجازات والحالات'!$S$6:$S$505,'سجل الإجازات والحالات'!$B$6:$B$505,$B49))</f>
        <v/>
      </c>
      <c r="H49" s="160" t="str">
        <f aca="false">IF($B49="","",MAX(0,E49-D49+1-G49)/cfg_DAYS_Y)</f>
        <v/>
      </c>
      <c r="I49" s="116" t="str">
        <f aca="false">IF($B49="","",الموظفون!$Q49)</f>
        <v/>
      </c>
      <c r="J49" s="116" t="str">
        <f aca="false">IF($B49="","",I49*cfg_EOS_R1*MIN(H49,cfg_EOS_TH))</f>
        <v/>
      </c>
      <c r="K49" s="116" t="str">
        <f aca="false">IF($B49="","",I49*cfg_EOS_R2*MAX(H49-cfg_EOS_TH,0))</f>
        <v/>
      </c>
      <c r="L49" s="116" t="str">
        <f aca="false">IF($B49="","",J49+K49)</f>
        <v/>
      </c>
      <c r="M49" s="117" t="str">
        <f aca="false">IF($B49="","",IF(AND(الموظفون!$AE49&lt;&gt;"",الموظفون!$AE49&lt;=cfg_VAL_DATE),IF(الموظفون!$AF49="","⚠ حدد السبب",الموظفون!$AF49),"على رأس العمل"))</f>
        <v/>
      </c>
      <c r="N49" s="134" t="str">
        <f aca="false">IF($B49="","",VLOOKUP(H49,cfg_RES,2,TRUE()))</f>
        <v/>
      </c>
      <c r="O49" s="116" t="str">
        <f aca="false">IF($B49="","",IF(M49="استقالة",L49*N49,L49))</f>
        <v/>
      </c>
      <c r="P49" s="116" t="str">
        <f aca="false">IF($B49="","",I49*(cfg_EOS_R1*MIN((MAX(0,IF(OR(الموظفون!$AE49="",الموظفون!$AE49&gt;=cfg_Y_START),cfg_Y_START-1,الموظفون!$AE49)-D49+1-SUMIFS('سجل الإجازات والحالات'!$R$6:$R$505,'سجل الإجازات والحالات'!$B$6:$B$505,$B49))/cfg_DAYS_Y),cfg_EOS_TH)+cfg_EOS_R2*MAX((MAX(0,IF(OR(الموظفون!$AE49="",الموظفون!$AE49&gt;=cfg_Y_START),cfg_Y_START-1,الموظفون!$AE49)-D49+1-SUMIFS('سجل الإجازات والحالات'!$R$6:$R$505,'سجل الإجازات والحالات'!$B$6:$B$505,$B49))/cfg_DAYS_Y)-cfg_EOS_TH,0)))</f>
        <v/>
      </c>
      <c r="Q49" s="116" t="str">
        <f aca="false">IF($B49="","",O49-P49)</f>
        <v/>
      </c>
      <c r="R49" s="116" t="str">
        <f aca="false">IF($B49="","",SUMIFS('الحركات الشهرية'!$N$6:$N$1005,'الحركات الشهرية'!$B$6:$B$1005,B49,'الحركات الشهرية'!$A$6:$A$1005,"&lt;="&amp;cfg_VAL_M))</f>
        <v/>
      </c>
      <c r="S49" s="178" t="str">
        <f aca="false">IF($B49="","",P49+Q49-R49)</f>
        <v/>
      </c>
      <c r="T49" s="117" t="str">
        <f aca="false">IF($B49="","",IF(S49&lt;-0.01,"✖ صرف أكثر من المستحق",IF(AND(M49&lt;&gt;"على رأس العمل",S49&gt;0.01),"⚠ مستحق لم يُصرف","✔ سليم")))</f>
        <v/>
      </c>
    </row>
    <row r="50" customFormat="false" ht="15" hidden="false" customHeight="false" outlineLevel="0" collapsed="false">
      <c r="B50" s="114" t="str">
        <f aca="false">IF(الموظفون!$B50="","",الموظفون!$B50)</f>
        <v/>
      </c>
      <c r="C50" s="114" t="str">
        <f aca="false">IF($B50="","",الموظفون!$C50)</f>
        <v/>
      </c>
      <c r="D50" s="174" t="str">
        <f aca="false">IF($B50="","",الموظفون!$H50)</f>
        <v/>
      </c>
      <c r="E50" s="174" t="str">
        <f aca="false">IF($B50="","",IF(OR(الموظفون!$AE50="",الموظفون!$AE50&gt;cfg_VAL_DATE),cfg_VAL_DATE,الموظفون!$AE50))</f>
        <v/>
      </c>
      <c r="F50" s="114" t="str">
        <f aca="false">IF($B50="","",IF(E50&lt;D50,"لم يباشر",DATEDIF(D50,E50+1,"y")&amp;" سنة "&amp;DATEDIF(D50,E50+1,"ym")&amp;" شهر "&amp;DATEDIF(D50,E50+1,"md")&amp;" يوم"))</f>
        <v/>
      </c>
      <c r="G50" s="65" t="str">
        <f aca="false">IF($B50="","",SUMIFS('سجل الإجازات والحالات'!$S$6:$S$505,'سجل الإجازات والحالات'!$B$6:$B$505,$B50))</f>
        <v/>
      </c>
      <c r="H50" s="155" t="str">
        <f aca="false">IF($B50="","",MAX(0,E50-D50+1-G50)/cfg_DAYS_Y)</f>
        <v/>
      </c>
      <c r="I50" s="111" t="str">
        <f aca="false">IF($B50="","",الموظفون!$Q50)</f>
        <v/>
      </c>
      <c r="J50" s="111" t="str">
        <f aca="false">IF($B50="","",I50*cfg_EOS_R1*MIN(H50,cfg_EOS_TH))</f>
        <v/>
      </c>
      <c r="K50" s="111" t="str">
        <f aca="false">IF($B50="","",I50*cfg_EOS_R2*MAX(H50-cfg_EOS_TH,0))</f>
        <v/>
      </c>
      <c r="L50" s="111" t="str">
        <f aca="false">IF($B50="","",J50+K50)</f>
        <v/>
      </c>
      <c r="M50" s="114" t="str">
        <f aca="false">IF($B50="","",IF(AND(الموظفون!$AE50&lt;&gt;"",الموظفون!$AE50&lt;=cfg_VAL_DATE),IF(الموظفون!$AF50="","⚠ حدد السبب",الموظفون!$AF50),"على رأس العمل"))</f>
        <v/>
      </c>
      <c r="N50" s="66" t="str">
        <f aca="false">IF($B50="","",VLOOKUP(H50,cfg_RES,2,TRUE()))</f>
        <v/>
      </c>
      <c r="O50" s="111" t="str">
        <f aca="false">IF($B50="","",IF(M50="استقالة",L50*N50,L50))</f>
        <v/>
      </c>
      <c r="P50" s="111" t="str">
        <f aca="false">IF($B50="","",I50*(cfg_EOS_R1*MIN((MAX(0,IF(OR(الموظفون!$AE50="",الموظفون!$AE50&gt;=cfg_Y_START),cfg_Y_START-1,الموظفون!$AE50)-D50+1-SUMIFS('سجل الإجازات والحالات'!$R$6:$R$505,'سجل الإجازات والحالات'!$B$6:$B$505,$B50))/cfg_DAYS_Y),cfg_EOS_TH)+cfg_EOS_R2*MAX((MAX(0,IF(OR(الموظفون!$AE50="",الموظفون!$AE50&gt;=cfg_Y_START),cfg_Y_START-1,الموظفون!$AE50)-D50+1-SUMIFS('سجل الإجازات والحالات'!$R$6:$R$505,'سجل الإجازات والحالات'!$B$6:$B$505,$B50))/cfg_DAYS_Y)-cfg_EOS_TH,0)))</f>
        <v/>
      </c>
      <c r="Q50" s="111" t="str">
        <f aca="false">IF($B50="","",O50-P50)</f>
        <v/>
      </c>
      <c r="R50" s="111" t="str">
        <f aca="false">IF($B50="","",SUMIFS('الحركات الشهرية'!$N$6:$N$1005,'الحركات الشهرية'!$B$6:$B$1005,B50,'الحركات الشهرية'!$A$6:$A$1005,"&lt;="&amp;cfg_VAL_M))</f>
        <v/>
      </c>
      <c r="S50" s="177" t="str">
        <f aca="false">IF($B50="","",P50+Q50-R50)</f>
        <v/>
      </c>
      <c r="T50" s="114" t="str">
        <f aca="false">IF($B50="","",IF(S50&lt;-0.01,"✖ صرف أكثر من المستحق",IF(AND(M50&lt;&gt;"على رأس العمل",S50&gt;0.01),"⚠ مستحق لم يُصرف","✔ سليم")))</f>
        <v/>
      </c>
    </row>
    <row r="51" customFormat="false" ht="15" hidden="false" customHeight="false" outlineLevel="0" collapsed="false">
      <c r="B51" s="117" t="str">
        <f aca="false">IF(الموظفون!$B51="","",الموظفون!$B51)</f>
        <v/>
      </c>
      <c r="C51" s="117" t="str">
        <f aca="false">IF($B51="","",الموظفون!$C51)</f>
        <v/>
      </c>
      <c r="D51" s="175" t="str">
        <f aca="false">IF($B51="","",الموظفون!$H51)</f>
        <v/>
      </c>
      <c r="E51" s="175" t="str">
        <f aca="false">IF($B51="","",IF(OR(الموظفون!$AE51="",الموظفون!$AE51&gt;cfg_VAL_DATE),cfg_VAL_DATE,الموظفون!$AE51))</f>
        <v/>
      </c>
      <c r="F51" s="117" t="str">
        <f aca="false">IF($B51="","",IF(E51&lt;D51,"لم يباشر",DATEDIF(D51,E51+1,"y")&amp;" سنة "&amp;DATEDIF(D51,E51+1,"ym")&amp;" شهر "&amp;DATEDIF(D51,E51+1,"md")&amp;" يوم"))</f>
        <v/>
      </c>
      <c r="G51" s="133" t="str">
        <f aca="false">IF($B51="","",SUMIFS('سجل الإجازات والحالات'!$S$6:$S$505,'سجل الإجازات والحالات'!$B$6:$B$505,$B51))</f>
        <v/>
      </c>
      <c r="H51" s="160" t="str">
        <f aca="false">IF($B51="","",MAX(0,E51-D51+1-G51)/cfg_DAYS_Y)</f>
        <v/>
      </c>
      <c r="I51" s="116" t="str">
        <f aca="false">IF($B51="","",الموظفون!$Q51)</f>
        <v/>
      </c>
      <c r="J51" s="116" t="str">
        <f aca="false">IF($B51="","",I51*cfg_EOS_R1*MIN(H51,cfg_EOS_TH))</f>
        <v/>
      </c>
      <c r="K51" s="116" t="str">
        <f aca="false">IF($B51="","",I51*cfg_EOS_R2*MAX(H51-cfg_EOS_TH,0))</f>
        <v/>
      </c>
      <c r="L51" s="116" t="str">
        <f aca="false">IF($B51="","",J51+K51)</f>
        <v/>
      </c>
      <c r="M51" s="117" t="str">
        <f aca="false">IF($B51="","",IF(AND(الموظفون!$AE51&lt;&gt;"",الموظفون!$AE51&lt;=cfg_VAL_DATE),IF(الموظفون!$AF51="","⚠ حدد السبب",الموظفون!$AF51),"على رأس العمل"))</f>
        <v/>
      </c>
      <c r="N51" s="134" t="str">
        <f aca="false">IF($B51="","",VLOOKUP(H51,cfg_RES,2,TRUE()))</f>
        <v/>
      </c>
      <c r="O51" s="116" t="str">
        <f aca="false">IF($B51="","",IF(M51="استقالة",L51*N51,L51))</f>
        <v/>
      </c>
      <c r="P51" s="116" t="str">
        <f aca="false">IF($B51="","",I51*(cfg_EOS_R1*MIN((MAX(0,IF(OR(الموظفون!$AE51="",الموظفون!$AE51&gt;=cfg_Y_START),cfg_Y_START-1,الموظفون!$AE51)-D51+1-SUMIFS('سجل الإجازات والحالات'!$R$6:$R$505,'سجل الإجازات والحالات'!$B$6:$B$505,$B51))/cfg_DAYS_Y),cfg_EOS_TH)+cfg_EOS_R2*MAX((MAX(0,IF(OR(الموظفون!$AE51="",الموظفون!$AE51&gt;=cfg_Y_START),cfg_Y_START-1,الموظفون!$AE51)-D51+1-SUMIFS('سجل الإجازات والحالات'!$R$6:$R$505,'سجل الإجازات والحالات'!$B$6:$B$505,$B51))/cfg_DAYS_Y)-cfg_EOS_TH,0)))</f>
        <v/>
      </c>
      <c r="Q51" s="116" t="str">
        <f aca="false">IF($B51="","",O51-P51)</f>
        <v/>
      </c>
      <c r="R51" s="116" t="str">
        <f aca="false">IF($B51="","",SUMIFS('الحركات الشهرية'!$N$6:$N$1005,'الحركات الشهرية'!$B$6:$B$1005,B51,'الحركات الشهرية'!$A$6:$A$1005,"&lt;="&amp;cfg_VAL_M))</f>
        <v/>
      </c>
      <c r="S51" s="178" t="str">
        <f aca="false">IF($B51="","",P51+Q51-R51)</f>
        <v/>
      </c>
      <c r="T51" s="117" t="str">
        <f aca="false">IF($B51="","",IF(S51&lt;-0.01,"✖ صرف أكثر من المستحق",IF(AND(M51&lt;&gt;"على رأس العمل",S51&gt;0.01),"⚠ مستحق لم يُصرف","✔ سليم")))</f>
        <v/>
      </c>
    </row>
    <row r="52" customFormat="false" ht="15" hidden="false" customHeight="false" outlineLevel="0" collapsed="false">
      <c r="B52" s="114" t="str">
        <f aca="false">IF(الموظفون!$B52="","",الموظفون!$B52)</f>
        <v/>
      </c>
      <c r="C52" s="114" t="str">
        <f aca="false">IF($B52="","",الموظفون!$C52)</f>
        <v/>
      </c>
      <c r="D52" s="174" t="str">
        <f aca="false">IF($B52="","",الموظفون!$H52)</f>
        <v/>
      </c>
      <c r="E52" s="174" t="str">
        <f aca="false">IF($B52="","",IF(OR(الموظفون!$AE52="",الموظفون!$AE52&gt;cfg_VAL_DATE),cfg_VAL_DATE,الموظفون!$AE52))</f>
        <v/>
      </c>
      <c r="F52" s="114" t="str">
        <f aca="false">IF($B52="","",IF(E52&lt;D52,"لم يباشر",DATEDIF(D52,E52+1,"y")&amp;" سنة "&amp;DATEDIF(D52,E52+1,"ym")&amp;" شهر "&amp;DATEDIF(D52,E52+1,"md")&amp;" يوم"))</f>
        <v/>
      </c>
      <c r="G52" s="65" t="str">
        <f aca="false">IF($B52="","",SUMIFS('سجل الإجازات والحالات'!$S$6:$S$505,'سجل الإجازات والحالات'!$B$6:$B$505,$B52))</f>
        <v/>
      </c>
      <c r="H52" s="155" t="str">
        <f aca="false">IF($B52="","",MAX(0,E52-D52+1-G52)/cfg_DAYS_Y)</f>
        <v/>
      </c>
      <c r="I52" s="111" t="str">
        <f aca="false">IF($B52="","",الموظفون!$Q52)</f>
        <v/>
      </c>
      <c r="J52" s="111" t="str">
        <f aca="false">IF($B52="","",I52*cfg_EOS_R1*MIN(H52,cfg_EOS_TH))</f>
        <v/>
      </c>
      <c r="K52" s="111" t="str">
        <f aca="false">IF($B52="","",I52*cfg_EOS_R2*MAX(H52-cfg_EOS_TH,0))</f>
        <v/>
      </c>
      <c r="L52" s="111" t="str">
        <f aca="false">IF($B52="","",J52+K52)</f>
        <v/>
      </c>
      <c r="M52" s="114" t="str">
        <f aca="false">IF($B52="","",IF(AND(الموظفون!$AE52&lt;&gt;"",الموظفون!$AE52&lt;=cfg_VAL_DATE),IF(الموظفون!$AF52="","⚠ حدد السبب",الموظفون!$AF52),"على رأس العمل"))</f>
        <v/>
      </c>
      <c r="N52" s="66" t="str">
        <f aca="false">IF($B52="","",VLOOKUP(H52,cfg_RES,2,TRUE()))</f>
        <v/>
      </c>
      <c r="O52" s="111" t="str">
        <f aca="false">IF($B52="","",IF(M52="استقالة",L52*N52,L52))</f>
        <v/>
      </c>
      <c r="P52" s="111" t="str">
        <f aca="false">IF($B52="","",I52*(cfg_EOS_R1*MIN((MAX(0,IF(OR(الموظفون!$AE52="",الموظفون!$AE52&gt;=cfg_Y_START),cfg_Y_START-1,الموظفون!$AE52)-D52+1-SUMIFS('سجل الإجازات والحالات'!$R$6:$R$505,'سجل الإجازات والحالات'!$B$6:$B$505,$B52))/cfg_DAYS_Y),cfg_EOS_TH)+cfg_EOS_R2*MAX((MAX(0,IF(OR(الموظفون!$AE52="",الموظفون!$AE52&gt;=cfg_Y_START),cfg_Y_START-1,الموظفون!$AE52)-D52+1-SUMIFS('سجل الإجازات والحالات'!$R$6:$R$505,'سجل الإجازات والحالات'!$B$6:$B$505,$B52))/cfg_DAYS_Y)-cfg_EOS_TH,0)))</f>
        <v/>
      </c>
      <c r="Q52" s="111" t="str">
        <f aca="false">IF($B52="","",O52-P52)</f>
        <v/>
      </c>
      <c r="R52" s="111" t="str">
        <f aca="false">IF($B52="","",SUMIFS('الحركات الشهرية'!$N$6:$N$1005,'الحركات الشهرية'!$B$6:$B$1005,B52,'الحركات الشهرية'!$A$6:$A$1005,"&lt;="&amp;cfg_VAL_M))</f>
        <v/>
      </c>
      <c r="S52" s="177" t="str">
        <f aca="false">IF($B52="","",P52+Q52-R52)</f>
        <v/>
      </c>
      <c r="T52" s="114" t="str">
        <f aca="false">IF($B52="","",IF(S52&lt;-0.01,"✖ صرف أكثر من المستحق",IF(AND(M52&lt;&gt;"على رأس العمل",S52&gt;0.01),"⚠ مستحق لم يُصرف","✔ سليم")))</f>
        <v/>
      </c>
    </row>
    <row r="53" customFormat="false" ht="15" hidden="false" customHeight="false" outlineLevel="0" collapsed="false">
      <c r="B53" s="117" t="str">
        <f aca="false">IF(الموظفون!$B53="","",الموظفون!$B53)</f>
        <v/>
      </c>
      <c r="C53" s="117" t="str">
        <f aca="false">IF($B53="","",الموظفون!$C53)</f>
        <v/>
      </c>
      <c r="D53" s="175" t="str">
        <f aca="false">IF($B53="","",الموظفون!$H53)</f>
        <v/>
      </c>
      <c r="E53" s="175" t="str">
        <f aca="false">IF($B53="","",IF(OR(الموظفون!$AE53="",الموظفون!$AE53&gt;cfg_VAL_DATE),cfg_VAL_DATE,الموظفون!$AE53))</f>
        <v/>
      </c>
      <c r="F53" s="117" t="str">
        <f aca="false">IF($B53="","",IF(E53&lt;D53,"لم يباشر",DATEDIF(D53,E53+1,"y")&amp;" سنة "&amp;DATEDIF(D53,E53+1,"ym")&amp;" شهر "&amp;DATEDIF(D53,E53+1,"md")&amp;" يوم"))</f>
        <v/>
      </c>
      <c r="G53" s="133" t="str">
        <f aca="false">IF($B53="","",SUMIFS('سجل الإجازات والحالات'!$S$6:$S$505,'سجل الإجازات والحالات'!$B$6:$B$505,$B53))</f>
        <v/>
      </c>
      <c r="H53" s="160" t="str">
        <f aca="false">IF($B53="","",MAX(0,E53-D53+1-G53)/cfg_DAYS_Y)</f>
        <v/>
      </c>
      <c r="I53" s="116" t="str">
        <f aca="false">IF($B53="","",الموظفون!$Q53)</f>
        <v/>
      </c>
      <c r="J53" s="116" t="str">
        <f aca="false">IF($B53="","",I53*cfg_EOS_R1*MIN(H53,cfg_EOS_TH))</f>
        <v/>
      </c>
      <c r="K53" s="116" t="str">
        <f aca="false">IF($B53="","",I53*cfg_EOS_R2*MAX(H53-cfg_EOS_TH,0))</f>
        <v/>
      </c>
      <c r="L53" s="116" t="str">
        <f aca="false">IF($B53="","",J53+K53)</f>
        <v/>
      </c>
      <c r="M53" s="117" t="str">
        <f aca="false">IF($B53="","",IF(AND(الموظفون!$AE53&lt;&gt;"",الموظفون!$AE53&lt;=cfg_VAL_DATE),IF(الموظفون!$AF53="","⚠ حدد السبب",الموظفون!$AF53),"على رأس العمل"))</f>
        <v/>
      </c>
      <c r="N53" s="134" t="str">
        <f aca="false">IF($B53="","",VLOOKUP(H53,cfg_RES,2,TRUE()))</f>
        <v/>
      </c>
      <c r="O53" s="116" t="str">
        <f aca="false">IF($B53="","",IF(M53="استقالة",L53*N53,L53))</f>
        <v/>
      </c>
      <c r="P53" s="116" t="str">
        <f aca="false">IF($B53="","",I53*(cfg_EOS_R1*MIN((MAX(0,IF(OR(الموظفون!$AE53="",الموظفون!$AE53&gt;=cfg_Y_START),cfg_Y_START-1,الموظفون!$AE53)-D53+1-SUMIFS('سجل الإجازات والحالات'!$R$6:$R$505,'سجل الإجازات والحالات'!$B$6:$B$505,$B53))/cfg_DAYS_Y),cfg_EOS_TH)+cfg_EOS_R2*MAX((MAX(0,IF(OR(الموظفون!$AE53="",الموظفون!$AE53&gt;=cfg_Y_START),cfg_Y_START-1,الموظفون!$AE53)-D53+1-SUMIFS('سجل الإجازات والحالات'!$R$6:$R$505,'سجل الإجازات والحالات'!$B$6:$B$505,$B53))/cfg_DAYS_Y)-cfg_EOS_TH,0)))</f>
        <v/>
      </c>
      <c r="Q53" s="116" t="str">
        <f aca="false">IF($B53="","",O53-P53)</f>
        <v/>
      </c>
      <c r="R53" s="116" t="str">
        <f aca="false">IF($B53="","",SUMIFS('الحركات الشهرية'!$N$6:$N$1005,'الحركات الشهرية'!$B$6:$B$1005,B53,'الحركات الشهرية'!$A$6:$A$1005,"&lt;="&amp;cfg_VAL_M))</f>
        <v/>
      </c>
      <c r="S53" s="178" t="str">
        <f aca="false">IF($B53="","",P53+Q53-R53)</f>
        <v/>
      </c>
      <c r="T53" s="117" t="str">
        <f aca="false">IF($B53="","",IF(S53&lt;-0.01,"✖ صرف أكثر من المستحق",IF(AND(M53&lt;&gt;"على رأس العمل",S53&gt;0.01),"⚠ مستحق لم يُصرف","✔ سليم")))</f>
        <v/>
      </c>
    </row>
    <row r="54" customFormat="false" ht="15" hidden="false" customHeight="false" outlineLevel="0" collapsed="false">
      <c r="B54" s="114" t="str">
        <f aca="false">IF(الموظفون!$B54="","",الموظفون!$B54)</f>
        <v/>
      </c>
      <c r="C54" s="114" t="str">
        <f aca="false">IF($B54="","",الموظفون!$C54)</f>
        <v/>
      </c>
      <c r="D54" s="174" t="str">
        <f aca="false">IF($B54="","",الموظفون!$H54)</f>
        <v/>
      </c>
      <c r="E54" s="174" t="str">
        <f aca="false">IF($B54="","",IF(OR(الموظفون!$AE54="",الموظفون!$AE54&gt;cfg_VAL_DATE),cfg_VAL_DATE,الموظفون!$AE54))</f>
        <v/>
      </c>
      <c r="F54" s="114" t="str">
        <f aca="false">IF($B54="","",IF(E54&lt;D54,"لم يباشر",DATEDIF(D54,E54+1,"y")&amp;" سنة "&amp;DATEDIF(D54,E54+1,"ym")&amp;" شهر "&amp;DATEDIF(D54,E54+1,"md")&amp;" يوم"))</f>
        <v/>
      </c>
      <c r="G54" s="65" t="str">
        <f aca="false">IF($B54="","",SUMIFS('سجل الإجازات والحالات'!$S$6:$S$505,'سجل الإجازات والحالات'!$B$6:$B$505,$B54))</f>
        <v/>
      </c>
      <c r="H54" s="155" t="str">
        <f aca="false">IF($B54="","",MAX(0,E54-D54+1-G54)/cfg_DAYS_Y)</f>
        <v/>
      </c>
      <c r="I54" s="111" t="str">
        <f aca="false">IF($B54="","",الموظفون!$Q54)</f>
        <v/>
      </c>
      <c r="J54" s="111" t="str">
        <f aca="false">IF($B54="","",I54*cfg_EOS_R1*MIN(H54,cfg_EOS_TH))</f>
        <v/>
      </c>
      <c r="K54" s="111" t="str">
        <f aca="false">IF($B54="","",I54*cfg_EOS_R2*MAX(H54-cfg_EOS_TH,0))</f>
        <v/>
      </c>
      <c r="L54" s="111" t="str">
        <f aca="false">IF($B54="","",J54+K54)</f>
        <v/>
      </c>
      <c r="M54" s="114" t="str">
        <f aca="false">IF($B54="","",IF(AND(الموظفون!$AE54&lt;&gt;"",الموظفون!$AE54&lt;=cfg_VAL_DATE),IF(الموظفون!$AF54="","⚠ حدد السبب",الموظفون!$AF54),"على رأس العمل"))</f>
        <v/>
      </c>
      <c r="N54" s="66" t="str">
        <f aca="false">IF($B54="","",VLOOKUP(H54,cfg_RES,2,TRUE()))</f>
        <v/>
      </c>
      <c r="O54" s="111" t="str">
        <f aca="false">IF($B54="","",IF(M54="استقالة",L54*N54,L54))</f>
        <v/>
      </c>
      <c r="P54" s="111" t="str">
        <f aca="false">IF($B54="","",I54*(cfg_EOS_R1*MIN((MAX(0,IF(OR(الموظفون!$AE54="",الموظفون!$AE54&gt;=cfg_Y_START),cfg_Y_START-1,الموظفون!$AE54)-D54+1-SUMIFS('سجل الإجازات والحالات'!$R$6:$R$505,'سجل الإجازات والحالات'!$B$6:$B$505,$B54))/cfg_DAYS_Y),cfg_EOS_TH)+cfg_EOS_R2*MAX((MAX(0,IF(OR(الموظفون!$AE54="",الموظفون!$AE54&gt;=cfg_Y_START),cfg_Y_START-1,الموظفون!$AE54)-D54+1-SUMIFS('سجل الإجازات والحالات'!$R$6:$R$505,'سجل الإجازات والحالات'!$B$6:$B$505,$B54))/cfg_DAYS_Y)-cfg_EOS_TH,0)))</f>
        <v/>
      </c>
      <c r="Q54" s="111" t="str">
        <f aca="false">IF($B54="","",O54-P54)</f>
        <v/>
      </c>
      <c r="R54" s="111" t="str">
        <f aca="false">IF($B54="","",SUMIFS('الحركات الشهرية'!$N$6:$N$1005,'الحركات الشهرية'!$B$6:$B$1005,B54,'الحركات الشهرية'!$A$6:$A$1005,"&lt;="&amp;cfg_VAL_M))</f>
        <v/>
      </c>
      <c r="S54" s="177" t="str">
        <f aca="false">IF($B54="","",P54+Q54-R54)</f>
        <v/>
      </c>
      <c r="T54" s="114" t="str">
        <f aca="false">IF($B54="","",IF(S54&lt;-0.01,"✖ صرف أكثر من المستحق",IF(AND(M54&lt;&gt;"على رأس العمل",S54&gt;0.01),"⚠ مستحق لم يُصرف","✔ سليم")))</f>
        <v/>
      </c>
    </row>
    <row r="55" customFormat="false" ht="15" hidden="false" customHeight="false" outlineLevel="0" collapsed="false">
      <c r="B55" s="117" t="str">
        <f aca="false">IF(الموظفون!$B55="","",الموظفون!$B55)</f>
        <v/>
      </c>
      <c r="C55" s="117" t="str">
        <f aca="false">IF($B55="","",الموظفون!$C55)</f>
        <v/>
      </c>
      <c r="D55" s="175" t="str">
        <f aca="false">IF($B55="","",الموظفون!$H55)</f>
        <v/>
      </c>
      <c r="E55" s="175" t="str">
        <f aca="false">IF($B55="","",IF(OR(الموظفون!$AE55="",الموظفون!$AE55&gt;cfg_VAL_DATE),cfg_VAL_DATE,الموظفون!$AE55))</f>
        <v/>
      </c>
      <c r="F55" s="117" t="str">
        <f aca="false">IF($B55="","",IF(E55&lt;D55,"لم يباشر",DATEDIF(D55,E55+1,"y")&amp;" سنة "&amp;DATEDIF(D55,E55+1,"ym")&amp;" شهر "&amp;DATEDIF(D55,E55+1,"md")&amp;" يوم"))</f>
        <v/>
      </c>
      <c r="G55" s="133" t="str">
        <f aca="false">IF($B55="","",SUMIFS('سجل الإجازات والحالات'!$S$6:$S$505,'سجل الإجازات والحالات'!$B$6:$B$505,$B55))</f>
        <v/>
      </c>
      <c r="H55" s="160" t="str">
        <f aca="false">IF($B55="","",MAX(0,E55-D55+1-G55)/cfg_DAYS_Y)</f>
        <v/>
      </c>
      <c r="I55" s="116" t="str">
        <f aca="false">IF($B55="","",الموظفون!$Q55)</f>
        <v/>
      </c>
      <c r="J55" s="116" t="str">
        <f aca="false">IF($B55="","",I55*cfg_EOS_R1*MIN(H55,cfg_EOS_TH))</f>
        <v/>
      </c>
      <c r="K55" s="116" t="str">
        <f aca="false">IF($B55="","",I55*cfg_EOS_R2*MAX(H55-cfg_EOS_TH,0))</f>
        <v/>
      </c>
      <c r="L55" s="116" t="str">
        <f aca="false">IF($B55="","",J55+K55)</f>
        <v/>
      </c>
      <c r="M55" s="117" t="str">
        <f aca="false">IF($B55="","",IF(AND(الموظفون!$AE55&lt;&gt;"",الموظفون!$AE55&lt;=cfg_VAL_DATE),IF(الموظفون!$AF55="","⚠ حدد السبب",الموظفون!$AF55),"على رأس العمل"))</f>
        <v/>
      </c>
      <c r="N55" s="134" t="str">
        <f aca="false">IF($B55="","",VLOOKUP(H55,cfg_RES,2,TRUE()))</f>
        <v/>
      </c>
      <c r="O55" s="116" t="str">
        <f aca="false">IF($B55="","",IF(M55="استقالة",L55*N55,L55))</f>
        <v/>
      </c>
      <c r="P55" s="116" t="str">
        <f aca="false">IF($B55="","",I55*(cfg_EOS_R1*MIN((MAX(0,IF(OR(الموظفون!$AE55="",الموظفون!$AE55&gt;=cfg_Y_START),cfg_Y_START-1,الموظفون!$AE55)-D55+1-SUMIFS('سجل الإجازات والحالات'!$R$6:$R$505,'سجل الإجازات والحالات'!$B$6:$B$505,$B55))/cfg_DAYS_Y),cfg_EOS_TH)+cfg_EOS_R2*MAX((MAX(0,IF(OR(الموظفون!$AE55="",الموظفون!$AE55&gt;=cfg_Y_START),cfg_Y_START-1,الموظفون!$AE55)-D55+1-SUMIFS('سجل الإجازات والحالات'!$R$6:$R$505,'سجل الإجازات والحالات'!$B$6:$B$505,$B55))/cfg_DAYS_Y)-cfg_EOS_TH,0)))</f>
        <v/>
      </c>
      <c r="Q55" s="116" t="str">
        <f aca="false">IF($B55="","",O55-P55)</f>
        <v/>
      </c>
      <c r="R55" s="116" t="str">
        <f aca="false">IF($B55="","",SUMIFS('الحركات الشهرية'!$N$6:$N$1005,'الحركات الشهرية'!$B$6:$B$1005,B55,'الحركات الشهرية'!$A$6:$A$1005,"&lt;="&amp;cfg_VAL_M))</f>
        <v/>
      </c>
      <c r="S55" s="178" t="str">
        <f aca="false">IF($B55="","",P55+Q55-R55)</f>
        <v/>
      </c>
      <c r="T55" s="117" t="str">
        <f aca="false">IF($B55="","",IF(S55&lt;-0.01,"✖ صرف أكثر من المستحق",IF(AND(M55&lt;&gt;"على رأس العمل",S55&gt;0.01),"⚠ مستحق لم يُصرف","✔ سليم")))</f>
        <v/>
      </c>
    </row>
    <row r="56" customFormat="false" ht="15" hidden="false" customHeight="false" outlineLevel="0" collapsed="false">
      <c r="B56" s="114" t="str">
        <f aca="false">IF(الموظفون!$B56="","",الموظفون!$B56)</f>
        <v/>
      </c>
      <c r="C56" s="114" t="str">
        <f aca="false">IF($B56="","",الموظفون!$C56)</f>
        <v/>
      </c>
      <c r="D56" s="174" t="str">
        <f aca="false">IF($B56="","",الموظفون!$H56)</f>
        <v/>
      </c>
      <c r="E56" s="174" t="str">
        <f aca="false">IF($B56="","",IF(OR(الموظفون!$AE56="",الموظفون!$AE56&gt;cfg_VAL_DATE),cfg_VAL_DATE,الموظفون!$AE56))</f>
        <v/>
      </c>
      <c r="F56" s="114" t="str">
        <f aca="false">IF($B56="","",IF(E56&lt;D56,"لم يباشر",DATEDIF(D56,E56+1,"y")&amp;" سنة "&amp;DATEDIF(D56,E56+1,"ym")&amp;" شهر "&amp;DATEDIF(D56,E56+1,"md")&amp;" يوم"))</f>
        <v/>
      </c>
      <c r="G56" s="65" t="str">
        <f aca="false">IF($B56="","",SUMIFS('سجل الإجازات والحالات'!$S$6:$S$505,'سجل الإجازات والحالات'!$B$6:$B$505,$B56))</f>
        <v/>
      </c>
      <c r="H56" s="155" t="str">
        <f aca="false">IF($B56="","",MAX(0,E56-D56+1-G56)/cfg_DAYS_Y)</f>
        <v/>
      </c>
      <c r="I56" s="111" t="str">
        <f aca="false">IF($B56="","",الموظفون!$Q56)</f>
        <v/>
      </c>
      <c r="J56" s="111" t="str">
        <f aca="false">IF($B56="","",I56*cfg_EOS_R1*MIN(H56,cfg_EOS_TH))</f>
        <v/>
      </c>
      <c r="K56" s="111" t="str">
        <f aca="false">IF($B56="","",I56*cfg_EOS_R2*MAX(H56-cfg_EOS_TH,0))</f>
        <v/>
      </c>
      <c r="L56" s="111" t="str">
        <f aca="false">IF($B56="","",J56+K56)</f>
        <v/>
      </c>
      <c r="M56" s="114" t="str">
        <f aca="false">IF($B56="","",IF(AND(الموظفون!$AE56&lt;&gt;"",الموظفون!$AE56&lt;=cfg_VAL_DATE),IF(الموظفون!$AF56="","⚠ حدد السبب",الموظفون!$AF56),"على رأس العمل"))</f>
        <v/>
      </c>
      <c r="N56" s="66" t="str">
        <f aca="false">IF($B56="","",VLOOKUP(H56,cfg_RES,2,TRUE()))</f>
        <v/>
      </c>
      <c r="O56" s="111" t="str">
        <f aca="false">IF($B56="","",IF(M56="استقالة",L56*N56,L56))</f>
        <v/>
      </c>
      <c r="P56" s="111" t="str">
        <f aca="false">IF($B56="","",I56*(cfg_EOS_R1*MIN((MAX(0,IF(OR(الموظفون!$AE56="",الموظفون!$AE56&gt;=cfg_Y_START),cfg_Y_START-1,الموظفون!$AE56)-D56+1-SUMIFS('سجل الإجازات والحالات'!$R$6:$R$505,'سجل الإجازات والحالات'!$B$6:$B$505,$B56))/cfg_DAYS_Y),cfg_EOS_TH)+cfg_EOS_R2*MAX((MAX(0,IF(OR(الموظفون!$AE56="",الموظفون!$AE56&gt;=cfg_Y_START),cfg_Y_START-1,الموظفون!$AE56)-D56+1-SUMIFS('سجل الإجازات والحالات'!$R$6:$R$505,'سجل الإجازات والحالات'!$B$6:$B$505,$B56))/cfg_DAYS_Y)-cfg_EOS_TH,0)))</f>
        <v/>
      </c>
      <c r="Q56" s="111" t="str">
        <f aca="false">IF($B56="","",O56-P56)</f>
        <v/>
      </c>
      <c r="R56" s="111" t="str">
        <f aca="false">IF($B56="","",SUMIFS('الحركات الشهرية'!$N$6:$N$1005,'الحركات الشهرية'!$B$6:$B$1005,B56,'الحركات الشهرية'!$A$6:$A$1005,"&lt;="&amp;cfg_VAL_M))</f>
        <v/>
      </c>
      <c r="S56" s="177" t="str">
        <f aca="false">IF($B56="","",P56+Q56-R56)</f>
        <v/>
      </c>
      <c r="T56" s="114" t="str">
        <f aca="false">IF($B56="","",IF(S56&lt;-0.01,"✖ صرف أكثر من المستحق",IF(AND(M56&lt;&gt;"على رأس العمل",S56&gt;0.01),"⚠ مستحق لم يُصرف","✔ سليم")))</f>
        <v/>
      </c>
    </row>
    <row r="57" customFormat="false" ht="15" hidden="false" customHeight="false" outlineLevel="0" collapsed="false">
      <c r="B57" s="117" t="str">
        <f aca="false">IF(الموظفون!$B57="","",الموظفون!$B57)</f>
        <v/>
      </c>
      <c r="C57" s="117" t="str">
        <f aca="false">IF($B57="","",الموظفون!$C57)</f>
        <v/>
      </c>
      <c r="D57" s="175" t="str">
        <f aca="false">IF($B57="","",الموظفون!$H57)</f>
        <v/>
      </c>
      <c r="E57" s="175" t="str">
        <f aca="false">IF($B57="","",IF(OR(الموظفون!$AE57="",الموظفون!$AE57&gt;cfg_VAL_DATE),cfg_VAL_DATE,الموظفون!$AE57))</f>
        <v/>
      </c>
      <c r="F57" s="117" t="str">
        <f aca="false">IF($B57="","",IF(E57&lt;D57,"لم يباشر",DATEDIF(D57,E57+1,"y")&amp;" سنة "&amp;DATEDIF(D57,E57+1,"ym")&amp;" شهر "&amp;DATEDIF(D57,E57+1,"md")&amp;" يوم"))</f>
        <v/>
      </c>
      <c r="G57" s="133" t="str">
        <f aca="false">IF($B57="","",SUMIFS('سجل الإجازات والحالات'!$S$6:$S$505,'سجل الإجازات والحالات'!$B$6:$B$505,$B57))</f>
        <v/>
      </c>
      <c r="H57" s="160" t="str">
        <f aca="false">IF($B57="","",MAX(0,E57-D57+1-G57)/cfg_DAYS_Y)</f>
        <v/>
      </c>
      <c r="I57" s="116" t="str">
        <f aca="false">IF($B57="","",الموظفون!$Q57)</f>
        <v/>
      </c>
      <c r="J57" s="116" t="str">
        <f aca="false">IF($B57="","",I57*cfg_EOS_R1*MIN(H57,cfg_EOS_TH))</f>
        <v/>
      </c>
      <c r="K57" s="116" t="str">
        <f aca="false">IF($B57="","",I57*cfg_EOS_R2*MAX(H57-cfg_EOS_TH,0))</f>
        <v/>
      </c>
      <c r="L57" s="116" t="str">
        <f aca="false">IF($B57="","",J57+K57)</f>
        <v/>
      </c>
      <c r="M57" s="117" t="str">
        <f aca="false">IF($B57="","",IF(AND(الموظفون!$AE57&lt;&gt;"",الموظفون!$AE57&lt;=cfg_VAL_DATE),IF(الموظفون!$AF57="","⚠ حدد السبب",الموظفون!$AF57),"على رأس العمل"))</f>
        <v/>
      </c>
      <c r="N57" s="134" t="str">
        <f aca="false">IF($B57="","",VLOOKUP(H57,cfg_RES,2,TRUE()))</f>
        <v/>
      </c>
      <c r="O57" s="116" t="str">
        <f aca="false">IF($B57="","",IF(M57="استقالة",L57*N57,L57))</f>
        <v/>
      </c>
      <c r="P57" s="116" t="str">
        <f aca="false">IF($B57="","",I57*(cfg_EOS_R1*MIN((MAX(0,IF(OR(الموظفون!$AE57="",الموظفون!$AE57&gt;=cfg_Y_START),cfg_Y_START-1,الموظفون!$AE57)-D57+1-SUMIFS('سجل الإجازات والحالات'!$R$6:$R$505,'سجل الإجازات والحالات'!$B$6:$B$505,$B57))/cfg_DAYS_Y),cfg_EOS_TH)+cfg_EOS_R2*MAX((MAX(0,IF(OR(الموظفون!$AE57="",الموظفون!$AE57&gt;=cfg_Y_START),cfg_Y_START-1,الموظفون!$AE57)-D57+1-SUMIFS('سجل الإجازات والحالات'!$R$6:$R$505,'سجل الإجازات والحالات'!$B$6:$B$505,$B57))/cfg_DAYS_Y)-cfg_EOS_TH,0)))</f>
        <v/>
      </c>
      <c r="Q57" s="116" t="str">
        <f aca="false">IF($B57="","",O57-P57)</f>
        <v/>
      </c>
      <c r="R57" s="116" t="str">
        <f aca="false">IF($B57="","",SUMIFS('الحركات الشهرية'!$N$6:$N$1005,'الحركات الشهرية'!$B$6:$B$1005,B57,'الحركات الشهرية'!$A$6:$A$1005,"&lt;="&amp;cfg_VAL_M))</f>
        <v/>
      </c>
      <c r="S57" s="178" t="str">
        <f aca="false">IF($B57="","",P57+Q57-R57)</f>
        <v/>
      </c>
      <c r="T57" s="117" t="str">
        <f aca="false">IF($B57="","",IF(S57&lt;-0.01,"✖ صرف أكثر من المستحق",IF(AND(M57&lt;&gt;"على رأس العمل",S57&gt;0.01),"⚠ مستحق لم يُصرف","✔ سليم")))</f>
        <v/>
      </c>
    </row>
    <row r="58" customFormat="false" ht="15" hidden="false" customHeight="false" outlineLevel="0" collapsed="false">
      <c r="B58" s="114" t="str">
        <f aca="false">IF(الموظفون!$B58="","",الموظفون!$B58)</f>
        <v/>
      </c>
      <c r="C58" s="114" t="str">
        <f aca="false">IF($B58="","",الموظفون!$C58)</f>
        <v/>
      </c>
      <c r="D58" s="174" t="str">
        <f aca="false">IF($B58="","",الموظفون!$H58)</f>
        <v/>
      </c>
      <c r="E58" s="174" t="str">
        <f aca="false">IF($B58="","",IF(OR(الموظفون!$AE58="",الموظفون!$AE58&gt;cfg_VAL_DATE),cfg_VAL_DATE,الموظفون!$AE58))</f>
        <v/>
      </c>
      <c r="F58" s="114" t="str">
        <f aca="false">IF($B58="","",IF(E58&lt;D58,"لم يباشر",DATEDIF(D58,E58+1,"y")&amp;" سنة "&amp;DATEDIF(D58,E58+1,"ym")&amp;" شهر "&amp;DATEDIF(D58,E58+1,"md")&amp;" يوم"))</f>
        <v/>
      </c>
      <c r="G58" s="65" t="str">
        <f aca="false">IF($B58="","",SUMIFS('سجل الإجازات والحالات'!$S$6:$S$505,'سجل الإجازات والحالات'!$B$6:$B$505,$B58))</f>
        <v/>
      </c>
      <c r="H58" s="155" t="str">
        <f aca="false">IF($B58="","",MAX(0,E58-D58+1-G58)/cfg_DAYS_Y)</f>
        <v/>
      </c>
      <c r="I58" s="111" t="str">
        <f aca="false">IF($B58="","",الموظفون!$Q58)</f>
        <v/>
      </c>
      <c r="J58" s="111" t="str">
        <f aca="false">IF($B58="","",I58*cfg_EOS_R1*MIN(H58,cfg_EOS_TH))</f>
        <v/>
      </c>
      <c r="K58" s="111" t="str">
        <f aca="false">IF($B58="","",I58*cfg_EOS_R2*MAX(H58-cfg_EOS_TH,0))</f>
        <v/>
      </c>
      <c r="L58" s="111" t="str">
        <f aca="false">IF($B58="","",J58+K58)</f>
        <v/>
      </c>
      <c r="M58" s="114" t="str">
        <f aca="false">IF($B58="","",IF(AND(الموظفون!$AE58&lt;&gt;"",الموظفون!$AE58&lt;=cfg_VAL_DATE),IF(الموظفون!$AF58="","⚠ حدد السبب",الموظفون!$AF58),"على رأس العمل"))</f>
        <v/>
      </c>
      <c r="N58" s="66" t="str">
        <f aca="false">IF($B58="","",VLOOKUP(H58,cfg_RES,2,TRUE()))</f>
        <v/>
      </c>
      <c r="O58" s="111" t="str">
        <f aca="false">IF($B58="","",IF(M58="استقالة",L58*N58,L58))</f>
        <v/>
      </c>
      <c r="P58" s="111" t="str">
        <f aca="false">IF($B58="","",I58*(cfg_EOS_R1*MIN((MAX(0,IF(OR(الموظفون!$AE58="",الموظفون!$AE58&gt;=cfg_Y_START),cfg_Y_START-1,الموظفون!$AE58)-D58+1-SUMIFS('سجل الإجازات والحالات'!$R$6:$R$505,'سجل الإجازات والحالات'!$B$6:$B$505,$B58))/cfg_DAYS_Y),cfg_EOS_TH)+cfg_EOS_R2*MAX((MAX(0,IF(OR(الموظفون!$AE58="",الموظفون!$AE58&gt;=cfg_Y_START),cfg_Y_START-1,الموظفون!$AE58)-D58+1-SUMIFS('سجل الإجازات والحالات'!$R$6:$R$505,'سجل الإجازات والحالات'!$B$6:$B$505,$B58))/cfg_DAYS_Y)-cfg_EOS_TH,0)))</f>
        <v/>
      </c>
      <c r="Q58" s="111" t="str">
        <f aca="false">IF($B58="","",O58-P58)</f>
        <v/>
      </c>
      <c r="R58" s="111" t="str">
        <f aca="false">IF($B58="","",SUMIFS('الحركات الشهرية'!$N$6:$N$1005,'الحركات الشهرية'!$B$6:$B$1005,B58,'الحركات الشهرية'!$A$6:$A$1005,"&lt;="&amp;cfg_VAL_M))</f>
        <v/>
      </c>
      <c r="S58" s="177" t="str">
        <f aca="false">IF($B58="","",P58+Q58-R58)</f>
        <v/>
      </c>
      <c r="T58" s="114" t="str">
        <f aca="false">IF($B58="","",IF(S58&lt;-0.01,"✖ صرف أكثر من المستحق",IF(AND(M58&lt;&gt;"على رأس العمل",S58&gt;0.01),"⚠ مستحق لم يُصرف","✔ سليم")))</f>
        <v/>
      </c>
    </row>
    <row r="59" customFormat="false" ht="15" hidden="false" customHeight="false" outlineLevel="0" collapsed="false">
      <c r="B59" s="117" t="str">
        <f aca="false">IF(الموظفون!$B59="","",الموظفون!$B59)</f>
        <v/>
      </c>
      <c r="C59" s="117" t="str">
        <f aca="false">IF($B59="","",الموظفون!$C59)</f>
        <v/>
      </c>
      <c r="D59" s="175" t="str">
        <f aca="false">IF($B59="","",الموظفون!$H59)</f>
        <v/>
      </c>
      <c r="E59" s="175" t="str">
        <f aca="false">IF($B59="","",IF(OR(الموظفون!$AE59="",الموظفون!$AE59&gt;cfg_VAL_DATE),cfg_VAL_DATE,الموظفون!$AE59))</f>
        <v/>
      </c>
      <c r="F59" s="117" t="str">
        <f aca="false">IF($B59="","",IF(E59&lt;D59,"لم يباشر",DATEDIF(D59,E59+1,"y")&amp;" سنة "&amp;DATEDIF(D59,E59+1,"ym")&amp;" شهر "&amp;DATEDIF(D59,E59+1,"md")&amp;" يوم"))</f>
        <v/>
      </c>
      <c r="G59" s="133" t="str">
        <f aca="false">IF($B59="","",SUMIFS('سجل الإجازات والحالات'!$S$6:$S$505,'سجل الإجازات والحالات'!$B$6:$B$505,$B59))</f>
        <v/>
      </c>
      <c r="H59" s="160" t="str">
        <f aca="false">IF($B59="","",MAX(0,E59-D59+1-G59)/cfg_DAYS_Y)</f>
        <v/>
      </c>
      <c r="I59" s="116" t="str">
        <f aca="false">IF($B59="","",الموظفون!$Q59)</f>
        <v/>
      </c>
      <c r="J59" s="116" t="str">
        <f aca="false">IF($B59="","",I59*cfg_EOS_R1*MIN(H59,cfg_EOS_TH))</f>
        <v/>
      </c>
      <c r="K59" s="116" t="str">
        <f aca="false">IF($B59="","",I59*cfg_EOS_R2*MAX(H59-cfg_EOS_TH,0))</f>
        <v/>
      </c>
      <c r="L59" s="116" t="str">
        <f aca="false">IF($B59="","",J59+K59)</f>
        <v/>
      </c>
      <c r="M59" s="117" t="str">
        <f aca="false">IF($B59="","",IF(AND(الموظفون!$AE59&lt;&gt;"",الموظفون!$AE59&lt;=cfg_VAL_DATE),IF(الموظفون!$AF59="","⚠ حدد السبب",الموظفون!$AF59),"على رأس العمل"))</f>
        <v/>
      </c>
      <c r="N59" s="134" t="str">
        <f aca="false">IF($B59="","",VLOOKUP(H59,cfg_RES,2,TRUE()))</f>
        <v/>
      </c>
      <c r="O59" s="116" t="str">
        <f aca="false">IF($B59="","",IF(M59="استقالة",L59*N59,L59))</f>
        <v/>
      </c>
      <c r="P59" s="116" t="str">
        <f aca="false">IF($B59="","",I59*(cfg_EOS_R1*MIN((MAX(0,IF(OR(الموظفون!$AE59="",الموظفون!$AE59&gt;=cfg_Y_START),cfg_Y_START-1,الموظفون!$AE59)-D59+1-SUMIFS('سجل الإجازات والحالات'!$R$6:$R$505,'سجل الإجازات والحالات'!$B$6:$B$505,$B59))/cfg_DAYS_Y),cfg_EOS_TH)+cfg_EOS_R2*MAX((MAX(0,IF(OR(الموظفون!$AE59="",الموظفون!$AE59&gt;=cfg_Y_START),cfg_Y_START-1,الموظفون!$AE59)-D59+1-SUMIFS('سجل الإجازات والحالات'!$R$6:$R$505,'سجل الإجازات والحالات'!$B$6:$B$505,$B59))/cfg_DAYS_Y)-cfg_EOS_TH,0)))</f>
        <v/>
      </c>
      <c r="Q59" s="116" t="str">
        <f aca="false">IF($B59="","",O59-P59)</f>
        <v/>
      </c>
      <c r="R59" s="116" t="str">
        <f aca="false">IF($B59="","",SUMIFS('الحركات الشهرية'!$N$6:$N$1005,'الحركات الشهرية'!$B$6:$B$1005,B59,'الحركات الشهرية'!$A$6:$A$1005,"&lt;="&amp;cfg_VAL_M))</f>
        <v/>
      </c>
      <c r="S59" s="178" t="str">
        <f aca="false">IF($B59="","",P59+Q59-R59)</f>
        <v/>
      </c>
      <c r="T59" s="117" t="str">
        <f aca="false">IF($B59="","",IF(S59&lt;-0.01,"✖ صرف أكثر من المستحق",IF(AND(M59&lt;&gt;"على رأس العمل",S59&gt;0.01),"⚠ مستحق لم يُصرف","✔ سليم")))</f>
        <v/>
      </c>
    </row>
    <row r="60" customFormat="false" ht="15" hidden="false" customHeight="false" outlineLevel="0" collapsed="false">
      <c r="B60" s="114" t="str">
        <f aca="false">IF(الموظفون!$B60="","",الموظفون!$B60)</f>
        <v/>
      </c>
      <c r="C60" s="114" t="str">
        <f aca="false">IF($B60="","",الموظفون!$C60)</f>
        <v/>
      </c>
      <c r="D60" s="174" t="str">
        <f aca="false">IF($B60="","",الموظفون!$H60)</f>
        <v/>
      </c>
      <c r="E60" s="174" t="str">
        <f aca="false">IF($B60="","",IF(OR(الموظفون!$AE60="",الموظفون!$AE60&gt;cfg_VAL_DATE),cfg_VAL_DATE,الموظفون!$AE60))</f>
        <v/>
      </c>
      <c r="F60" s="114" t="str">
        <f aca="false">IF($B60="","",IF(E60&lt;D60,"لم يباشر",DATEDIF(D60,E60+1,"y")&amp;" سنة "&amp;DATEDIF(D60,E60+1,"ym")&amp;" شهر "&amp;DATEDIF(D60,E60+1,"md")&amp;" يوم"))</f>
        <v/>
      </c>
      <c r="G60" s="65" t="str">
        <f aca="false">IF($B60="","",SUMIFS('سجل الإجازات والحالات'!$S$6:$S$505,'سجل الإجازات والحالات'!$B$6:$B$505,$B60))</f>
        <v/>
      </c>
      <c r="H60" s="155" t="str">
        <f aca="false">IF($B60="","",MAX(0,E60-D60+1-G60)/cfg_DAYS_Y)</f>
        <v/>
      </c>
      <c r="I60" s="111" t="str">
        <f aca="false">IF($B60="","",الموظفون!$Q60)</f>
        <v/>
      </c>
      <c r="J60" s="111" t="str">
        <f aca="false">IF($B60="","",I60*cfg_EOS_R1*MIN(H60,cfg_EOS_TH))</f>
        <v/>
      </c>
      <c r="K60" s="111" t="str">
        <f aca="false">IF($B60="","",I60*cfg_EOS_R2*MAX(H60-cfg_EOS_TH,0))</f>
        <v/>
      </c>
      <c r="L60" s="111" t="str">
        <f aca="false">IF($B60="","",J60+K60)</f>
        <v/>
      </c>
      <c r="M60" s="114" t="str">
        <f aca="false">IF($B60="","",IF(AND(الموظفون!$AE60&lt;&gt;"",الموظفون!$AE60&lt;=cfg_VAL_DATE),IF(الموظفون!$AF60="","⚠ حدد السبب",الموظفون!$AF60),"على رأس العمل"))</f>
        <v/>
      </c>
      <c r="N60" s="66" t="str">
        <f aca="false">IF($B60="","",VLOOKUP(H60,cfg_RES,2,TRUE()))</f>
        <v/>
      </c>
      <c r="O60" s="111" t="str">
        <f aca="false">IF($B60="","",IF(M60="استقالة",L60*N60,L60))</f>
        <v/>
      </c>
      <c r="P60" s="111" t="str">
        <f aca="false">IF($B60="","",I60*(cfg_EOS_R1*MIN((MAX(0,IF(OR(الموظفون!$AE60="",الموظفون!$AE60&gt;=cfg_Y_START),cfg_Y_START-1,الموظفون!$AE60)-D60+1-SUMIFS('سجل الإجازات والحالات'!$R$6:$R$505,'سجل الإجازات والحالات'!$B$6:$B$505,$B60))/cfg_DAYS_Y),cfg_EOS_TH)+cfg_EOS_R2*MAX((MAX(0,IF(OR(الموظفون!$AE60="",الموظفون!$AE60&gt;=cfg_Y_START),cfg_Y_START-1,الموظفون!$AE60)-D60+1-SUMIFS('سجل الإجازات والحالات'!$R$6:$R$505,'سجل الإجازات والحالات'!$B$6:$B$505,$B60))/cfg_DAYS_Y)-cfg_EOS_TH,0)))</f>
        <v/>
      </c>
      <c r="Q60" s="111" t="str">
        <f aca="false">IF($B60="","",O60-P60)</f>
        <v/>
      </c>
      <c r="R60" s="111" t="str">
        <f aca="false">IF($B60="","",SUMIFS('الحركات الشهرية'!$N$6:$N$1005,'الحركات الشهرية'!$B$6:$B$1005,B60,'الحركات الشهرية'!$A$6:$A$1005,"&lt;="&amp;cfg_VAL_M))</f>
        <v/>
      </c>
      <c r="S60" s="177" t="str">
        <f aca="false">IF($B60="","",P60+Q60-R60)</f>
        <v/>
      </c>
      <c r="T60" s="114" t="str">
        <f aca="false">IF($B60="","",IF(S60&lt;-0.01,"✖ صرف أكثر من المستحق",IF(AND(M60&lt;&gt;"على رأس العمل",S60&gt;0.01),"⚠ مستحق لم يُصرف","✔ سليم")))</f>
        <v/>
      </c>
    </row>
    <row r="61" customFormat="false" ht="15" hidden="false" customHeight="false" outlineLevel="0" collapsed="false">
      <c r="B61" s="117" t="str">
        <f aca="false">IF(الموظفون!$B61="","",الموظفون!$B61)</f>
        <v/>
      </c>
      <c r="C61" s="117" t="str">
        <f aca="false">IF($B61="","",الموظفون!$C61)</f>
        <v/>
      </c>
      <c r="D61" s="175" t="str">
        <f aca="false">IF($B61="","",الموظفون!$H61)</f>
        <v/>
      </c>
      <c r="E61" s="175" t="str">
        <f aca="false">IF($B61="","",IF(OR(الموظفون!$AE61="",الموظفون!$AE61&gt;cfg_VAL_DATE),cfg_VAL_DATE,الموظفون!$AE61))</f>
        <v/>
      </c>
      <c r="F61" s="117" t="str">
        <f aca="false">IF($B61="","",IF(E61&lt;D61,"لم يباشر",DATEDIF(D61,E61+1,"y")&amp;" سنة "&amp;DATEDIF(D61,E61+1,"ym")&amp;" شهر "&amp;DATEDIF(D61,E61+1,"md")&amp;" يوم"))</f>
        <v/>
      </c>
      <c r="G61" s="133" t="str">
        <f aca="false">IF($B61="","",SUMIFS('سجل الإجازات والحالات'!$S$6:$S$505,'سجل الإجازات والحالات'!$B$6:$B$505,$B61))</f>
        <v/>
      </c>
      <c r="H61" s="160" t="str">
        <f aca="false">IF($B61="","",MAX(0,E61-D61+1-G61)/cfg_DAYS_Y)</f>
        <v/>
      </c>
      <c r="I61" s="116" t="str">
        <f aca="false">IF($B61="","",الموظفون!$Q61)</f>
        <v/>
      </c>
      <c r="J61" s="116" t="str">
        <f aca="false">IF($B61="","",I61*cfg_EOS_R1*MIN(H61,cfg_EOS_TH))</f>
        <v/>
      </c>
      <c r="K61" s="116" t="str">
        <f aca="false">IF($B61="","",I61*cfg_EOS_R2*MAX(H61-cfg_EOS_TH,0))</f>
        <v/>
      </c>
      <c r="L61" s="116" t="str">
        <f aca="false">IF($B61="","",J61+K61)</f>
        <v/>
      </c>
      <c r="M61" s="117" t="str">
        <f aca="false">IF($B61="","",IF(AND(الموظفون!$AE61&lt;&gt;"",الموظفون!$AE61&lt;=cfg_VAL_DATE),IF(الموظفون!$AF61="","⚠ حدد السبب",الموظفون!$AF61),"على رأس العمل"))</f>
        <v/>
      </c>
      <c r="N61" s="134" t="str">
        <f aca="false">IF($B61="","",VLOOKUP(H61,cfg_RES,2,TRUE()))</f>
        <v/>
      </c>
      <c r="O61" s="116" t="str">
        <f aca="false">IF($B61="","",IF(M61="استقالة",L61*N61,L61))</f>
        <v/>
      </c>
      <c r="P61" s="116" t="str">
        <f aca="false">IF($B61="","",I61*(cfg_EOS_R1*MIN((MAX(0,IF(OR(الموظفون!$AE61="",الموظفون!$AE61&gt;=cfg_Y_START),cfg_Y_START-1,الموظفون!$AE61)-D61+1-SUMIFS('سجل الإجازات والحالات'!$R$6:$R$505,'سجل الإجازات والحالات'!$B$6:$B$505,$B61))/cfg_DAYS_Y),cfg_EOS_TH)+cfg_EOS_R2*MAX((MAX(0,IF(OR(الموظفون!$AE61="",الموظفون!$AE61&gt;=cfg_Y_START),cfg_Y_START-1,الموظفون!$AE61)-D61+1-SUMIFS('سجل الإجازات والحالات'!$R$6:$R$505,'سجل الإجازات والحالات'!$B$6:$B$505,$B61))/cfg_DAYS_Y)-cfg_EOS_TH,0)))</f>
        <v/>
      </c>
      <c r="Q61" s="116" t="str">
        <f aca="false">IF($B61="","",O61-P61)</f>
        <v/>
      </c>
      <c r="R61" s="116" t="str">
        <f aca="false">IF($B61="","",SUMIFS('الحركات الشهرية'!$N$6:$N$1005,'الحركات الشهرية'!$B$6:$B$1005,B61,'الحركات الشهرية'!$A$6:$A$1005,"&lt;="&amp;cfg_VAL_M))</f>
        <v/>
      </c>
      <c r="S61" s="178" t="str">
        <f aca="false">IF($B61="","",P61+Q61-R61)</f>
        <v/>
      </c>
      <c r="T61" s="117" t="str">
        <f aca="false">IF($B61="","",IF(S61&lt;-0.01,"✖ صرف أكثر من المستحق",IF(AND(M61&lt;&gt;"على رأس العمل",S61&gt;0.01),"⚠ مستحق لم يُصرف","✔ سليم")))</f>
        <v/>
      </c>
    </row>
    <row r="62" customFormat="false" ht="15" hidden="false" customHeight="false" outlineLevel="0" collapsed="false">
      <c r="B62" s="114" t="str">
        <f aca="false">IF(الموظفون!$B62="","",الموظفون!$B62)</f>
        <v/>
      </c>
      <c r="C62" s="114" t="str">
        <f aca="false">IF($B62="","",الموظفون!$C62)</f>
        <v/>
      </c>
      <c r="D62" s="174" t="str">
        <f aca="false">IF($B62="","",الموظفون!$H62)</f>
        <v/>
      </c>
      <c r="E62" s="174" t="str">
        <f aca="false">IF($B62="","",IF(OR(الموظفون!$AE62="",الموظفون!$AE62&gt;cfg_VAL_DATE),cfg_VAL_DATE,الموظفون!$AE62))</f>
        <v/>
      </c>
      <c r="F62" s="114" t="str">
        <f aca="false">IF($B62="","",IF(E62&lt;D62,"لم يباشر",DATEDIF(D62,E62+1,"y")&amp;" سنة "&amp;DATEDIF(D62,E62+1,"ym")&amp;" شهر "&amp;DATEDIF(D62,E62+1,"md")&amp;" يوم"))</f>
        <v/>
      </c>
      <c r="G62" s="65" t="str">
        <f aca="false">IF($B62="","",SUMIFS('سجل الإجازات والحالات'!$S$6:$S$505,'سجل الإجازات والحالات'!$B$6:$B$505,$B62))</f>
        <v/>
      </c>
      <c r="H62" s="155" t="str">
        <f aca="false">IF($B62="","",MAX(0,E62-D62+1-G62)/cfg_DAYS_Y)</f>
        <v/>
      </c>
      <c r="I62" s="111" t="str">
        <f aca="false">IF($B62="","",الموظفون!$Q62)</f>
        <v/>
      </c>
      <c r="J62" s="111" t="str">
        <f aca="false">IF($B62="","",I62*cfg_EOS_R1*MIN(H62,cfg_EOS_TH))</f>
        <v/>
      </c>
      <c r="K62" s="111" t="str">
        <f aca="false">IF($B62="","",I62*cfg_EOS_R2*MAX(H62-cfg_EOS_TH,0))</f>
        <v/>
      </c>
      <c r="L62" s="111" t="str">
        <f aca="false">IF($B62="","",J62+K62)</f>
        <v/>
      </c>
      <c r="M62" s="114" t="str">
        <f aca="false">IF($B62="","",IF(AND(الموظفون!$AE62&lt;&gt;"",الموظفون!$AE62&lt;=cfg_VAL_DATE),IF(الموظفون!$AF62="","⚠ حدد السبب",الموظفون!$AF62),"على رأس العمل"))</f>
        <v/>
      </c>
      <c r="N62" s="66" t="str">
        <f aca="false">IF($B62="","",VLOOKUP(H62,cfg_RES,2,TRUE()))</f>
        <v/>
      </c>
      <c r="O62" s="111" t="str">
        <f aca="false">IF($B62="","",IF(M62="استقالة",L62*N62,L62))</f>
        <v/>
      </c>
      <c r="P62" s="111" t="str">
        <f aca="false">IF($B62="","",I62*(cfg_EOS_R1*MIN((MAX(0,IF(OR(الموظفون!$AE62="",الموظفون!$AE62&gt;=cfg_Y_START),cfg_Y_START-1,الموظفون!$AE62)-D62+1-SUMIFS('سجل الإجازات والحالات'!$R$6:$R$505,'سجل الإجازات والحالات'!$B$6:$B$505,$B62))/cfg_DAYS_Y),cfg_EOS_TH)+cfg_EOS_R2*MAX((MAX(0,IF(OR(الموظفون!$AE62="",الموظفون!$AE62&gt;=cfg_Y_START),cfg_Y_START-1,الموظفون!$AE62)-D62+1-SUMIFS('سجل الإجازات والحالات'!$R$6:$R$505,'سجل الإجازات والحالات'!$B$6:$B$505,$B62))/cfg_DAYS_Y)-cfg_EOS_TH,0)))</f>
        <v/>
      </c>
      <c r="Q62" s="111" t="str">
        <f aca="false">IF($B62="","",O62-P62)</f>
        <v/>
      </c>
      <c r="R62" s="111" t="str">
        <f aca="false">IF($B62="","",SUMIFS('الحركات الشهرية'!$N$6:$N$1005,'الحركات الشهرية'!$B$6:$B$1005,B62,'الحركات الشهرية'!$A$6:$A$1005,"&lt;="&amp;cfg_VAL_M))</f>
        <v/>
      </c>
      <c r="S62" s="177" t="str">
        <f aca="false">IF($B62="","",P62+Q62-R62)</f>
        <v/>
      </c>
      <c r="T62" s="114" t="str">
        <f aca="false">IF($B62="","",IF(S62&lt;-0.01,"✖ صرف أكثر من المستحق",IF(AND(M62&lt;&gt;"على رأس العمل",S62&gt;0.01),"⚠ مستحق لم يُصرف","✔ سليم")))</f>
        <v/>
      </c>
    </row>
    <row r="63" customFormat="false" ht="15" hidden="false" customHeight="false" outlineLevel="0" collapsed="false">
      <c r="B63" s="117" t="str">
        <f aca="false">IF(الموظفون!$B63="","",الموظفون!$B63)</f>
        <v/>
      </c>
      <c r="C63" s="117" t="str">
        <f aca="false">IF($B63="","",الموظفون!$C63)</f>
        <v/>
      </c>
      <c r="D63" s="175" t="str">
        <f aca="false">IF($B63="","",الموظفون!$H63)</f>
        <v/>
      </c>
      <c r="E63" s="175" t="str">
        <f aca="false">IF($B63="","",IF(OR(الموظفون!$AE63="",الموظفون!$AE63&gt;cfg_VAL_DATE),cfg_VAL_DATE,الموظفون!$AE63))</f>
        <v/>
      </c>
      <c r="F63" s="117" t="str">
        <f aca="false">IF($B63="","",IF(E63&lt;D63,"لم يباشر",DATEDIF(D63,E63+1,"y")&amp;" سنة "&amp;DATEDIF(D63,E63+1,"ym")&amp;" شهر "&amp;DATEDIF(D63,E63+1,"md")&amp;" يوم"))</f>
        <v/>
      </c>
      <c r="G63" s="133" t="str">
        <f aca="false">IF($B63="","",SUMIFS('سجل الإجازات والحالات'!$S$6:$S$505,'سجل الإجازات والحالات'!$B$6:$B$505,$B63))</f>
        <v/>
      </c>
      <c r="H63" s="160" t="str">
        <f aca="false">IF($B63="","",MAX(0,E63-D63+1-G63)/cfg_DAYS_Y)</f>
        <v/>
      </c>
      <c r="I63" s="116" t="str">
        <f aca="false">IF($B63="","",الموظفون!$Q63)</f>
        <v/>
      </c>
      <c r="J63" s="116" t="str">
        <f aca="false">IF($B63="","",I63*cfg_EOS_R1*MIN(H63,cfg_EOS_TH))</f>
        <v/>
      </c>
      <c r="K63" s="116" t="str">
        <f aca="false">IF($B63="","",I63*cfg_EOS_R2*MAX(H63-cfg_EOS_TH,0))</f>
        <v/>
      </c>
      <c r="L63" s="116" t="str">
        <f aca="false">IF($B63="","",J63+K63)</f>
        <v/>
      </c>
      <c r="M63" s="117" t="str">
        <f aca="false">IF($B63="","",IF(AND(الموظفون!$AE63&lt;&gt;"",الموظفون!$AE63&lt;=cfg_VAL_DATE),IF(الموظفون!$AF63="","⚠ حدد السبب",الموظفون!$AF63),"على رأس العمل"))</f>
        <v/>
      </c>
      <c r="N63" s="134" t="str">
        <f aca="false">IF($B63="","",VLOOKUP(H63,cfg_RES,2,TRUE()))</f>
        <v/>
      </c>
      <c r="O63" s="116" t="str">
        <f aca="false">IF($B63="","",IF(M63="استقالة",L63*N63,L63))</f>
        <v/>
      </c>
      <c r="P63" s="116" t="str">
        <f aca="false">IF($B63="","",I63*(cfg_EOS_R1*MIN((MAX(0,IF(OR(الموظفون!$AE63="",الموظفون!$AE63&gt;=cfg_Y_START),cfg_Y_START-1,الموظفون!$AE63)-D63+1-SUMIFS('سجل الإجازات والحالات'!$R$6:$R$505,'سجل الإجازات والحالات'!$B$6:$B$505,$B63))/cfg_DAYS_Y),cfg_EOS_TH)+cfg_EOS_R2*MAX((MAX(0,IF(OR(الموظفون!$AE63="",الموظفون!$AE63&gt;=cfg_Y_START),cfg_Y_START-1,الموظفون!$AE63)-D63+1-SUMIFS('سجل الإجازات والحالات'!$R$6:$R$505,'سجل الإجازات والحالات'!$B$6:$B$505,$B63))/cfg_DAYS_Y)-cfg_EOS_TH,0)))</f>
        <v/>
      </c>
      <c r="Q63" s="116" t="str">
        <f aca="false">IF($B63="","",O63-P63)</f>
        <v/>
      </c>
      <c r="R63" s="116" t="str">
        <f aca="false">IF($B63="","",SUMIFS('الحركات الشهرية'!$N$6:$N$1005,'الحركات الشهرية'!$B$6:$B$1005,B63,'الحركات الشهرية'!$A$6:$A$1005,"&lt;="&amp;cfg_VAL_M))</f>
        <v/>
      </c>
      <c r="S63" s="178" t="str">
        <f aca="false">IF($B63="","",P63+Q63-R63)</f>
        <v/>
      </c>
      <c r="T63" s="117" t="str">
        <f aca="false">IF($B63="","",IF(S63&lt;-0.01,"✖ صرف أكثر من المستحق",IF(AND(M63&lt;&gt;"على رأس العمل",S63&gt;0.01),"⚠ مستحق لم يُصرف","✔ سليم")))</f>
        <v/>
      </c>
    </row>
    <row r="64" customFormat="false" ht="15" hidden="false" customHeight="false" outlineLevel="0" collapsed="false">
      <c r="B64" s="114" t="str">
        <f aca="false">IF(الموظفون!$B64="","",الموظفون!$B64)</f>
        <v/>
      </c>
      <c r="C64" s="114" t="str">
        <f aca="false">IF($B64="","",الموظفون!$C64)</f>
        <v/>
      </c>
      <c r="D64" s="174" t="str">
        <f aca="false">IF($B64="","",الموظفون!$H64)</f>
        <v/>
      </c>
      <c r="E64" s="174" t="str">
        <f aca="false">IF($B64="","",IF(OR(الموظفون!$AE64="",الموظفون!$AE64&gt;cfg_VAL_DATE),cfg_VAL_DATE,الموظفون!$AE64))</f>
        <v/>
      </c>
      <c r="F64" s="114" t="str">
        <f aca="false">IF($B64="","",IF(E64&lt;D64,"لم يباشر",DATEDIF(D64,E64+1,"y")&amp;" سنة "&amp;DATEDIF(D64,E64+1,"ym")&amp;" شهر "&amp;DATEDIF(D64,E64+1,"md")&amp;" يوم"))</f>
        <v/>
      </c>
      <c r="G64" s="65" t="str">
        <f aca="false">IF($B64="","",SUMIFS('سجل الإجازات والحالات'!$S$6:$S$505,'سجل الإجازات والحالات'!$B$6:$B$505,$B64))</f>
        <v/>
      </c>
      <c r="H64" s="155" t="str">
        <f aca="false">IF($B64="","",MAX(0,E64-D64+1-G64)/cfg_DAYS_Y)</f>
        <v/>
      </c>
      <c r="I64" s="111" t="str">
        <f aca="false">IF($B64="","",الموظفون!$Q64)</f>
        <v/>
      </c>
      <c r="J64" s="111" t="str">
        <f aca="false">IF($B64="","",I64*cfg_EOS_R1*MIN(H64,cfg_EOS_TH))</f>
        <v/>
      </c>
      <c r="K64" s="111" t="str">
        <f aca="false">IF($B64="","",I64*cfg_EOS_R2*MAX(H64-cfg_EOS_TH,0))</f>
        <v/>
      </c>
      <c r="L64" s="111" t="str">
        <f aca="false">IF($B64="","",J64+K64)</f>
        <v/>
      </c>
      <c r="M64" s="114" t="str">
        <f aca="false">IF($B64="","",IF(AND(الموظفون!$AE64&lt;&gt;"",الموظفون!$AE64&lt;=cfg_VAL_DATE),IF(الموظفون!$AF64="","⚠ حدد السبب",الموظفون!$AF64),"على رأس العمل"))</f>
        <v/>
      </c>
      <c r="N64" s="66" t="str">
        <f aca="false">IF($B64="","",VLOOKUP(H64,cfg_RES,2,TRUE()))</f>
        <v/>
      </c>
      <c r="O64" s="111" t="str">
        <f aca="false">IF($B64="","",IF(M64="استقالة",L64*N64,L64))</f>
        <v/>
      </c>
      <c r="P64" s="111" t="str">
        <f aca="false">IF($B64="","",I64*(cfg_EOS_R1*MIN((MAX(0,IF(OR(الموظفون!$AE64="",الموظفون!$AE64&gt;=cfg_Y_START),cfg_Y_START-1,الموظفون!$AE64)-D64+1-SUMIFS('سجل الإجازات والحالات'!$R$6:$R$505,'سجل الإجازات والحالات'!$B$6:$B$505,$B64))/cfg_DAYS_Y),cfg_EOS_TH)+cfg_EOS_R2*MAX((MAX(0,IF(OR(الموظفون!$AE64="",الموظفون!$AE64&gt;=cfg_Y_START),cfg_Y_START-1,الموظفون!$AE64)-D64+1-SUMIFS('سجل الإجازات والحالات'!$R$6:$R$505,'سجل الإجازات والحالات'!$B$6:$B$505,$B64))/cfg_DAYS_Y)-cfg_EOS_TH,0)))</f>
        <v/>
      </c>
      <c r="Q64" s="111" t="str">
        <f aca="false">IF($B64="","",O64-P64)</f>
        <v/>
      </c>
      <c r="R64" s="111" t="str">
        <f aca="false">IF($B64="","",SUMIFS('الحركات الشهرية'!$N$6:$N$1005,'الحركات الشهرية'!$B$6:$B$1005,B64,'الحركات الشهرية'!$A$6:$A$1005,"&lt;="&amp;cfg_VAL_M))</f>
        <v/>
      </c>
      <c r="S64" s="177" t="str">
        <f aca="false">IF($B64="","",P64+Q64-R64)</f>
        <v/>
      </c>
      <c r="T64" s="114" t="str">
        <f aca="false">IF($B64="","",IF(S64&lt;-0.01,"✖ صرف أكثر من المستحق",IF(AND(M64&lt;&gt;"على رأس العمل",S64&gt;0.01),"⚠ مستحق لم يُصرف","✔ سليم")))</f>
        <v/>
      </c>
    </row>
    <row r="65" customFormat="false" ht="15" hidden="false" customHeight="false" outlineLevel="0" collapsed="false">
      <c r="B65" s="117" t="str">
        <f aca="false">IF(الموظفون!$B65="","",الموظفون!$B65)</f>
        <v/>
      </c>
      <c r="C65" s="117" t="str">
        <f aca="false">IF($B65="","",الموظفون!$C65)</f>
        <v/>
      </c>
      <c r="D65" s="175" t="str">
        <f aca="false">IF($B65="","",الموظفون!$H65)</f>
        <v/>
      </c>
      <c r="E65" s="175" t="str">
        <f aca="false">IF($B65="","",IF(OR(الموظفون!$AE65="",الموظفون!$AE65&gt;cfg_VAL_DATE),cfg_VAL_DATE,الموظفون!$AE65))</f>
        <v/>
      </c>
      <c r="F65" s="117" t="str">
        <f aca="false">IF($B65="","",IF(E65&lt;D65,"لم يباشر",DATEDIF(D65,E65+1,"y")&amp;" سنة "&amp;DATEDIF(D65,E65+1,"ym")&amp;" شهر "&amp;DATEDIF(D65,E65+1,"md")&amp;" يوم"))</f>
        <v/>
      </c>
      <c r="G65" s="133" t="str">
        <f aca="false">IF($B65="","",SUMIFS('سجل الإجازات والحالات'!$S$6:$S$505,'سجل الإجازات والحالات'!$B$6:$B$505,$B65))</f>
        <v/>
      </c>
      <c r="H65" s="160" t="str">
        <f aca="false">IF($B65="","",MAX(0,E65-D65+1-G65)/cfg_DAYS_Y)</f>
        <v/>
      </c>
      <c r="I65" s="116" t="str">
        <f aca="false">IF($B65="","",الموظفون!$Q65)</f>
        <v/>
      </c>
      <c r="J65" s="116" t="str">
        <f aca="false">IF($B65="","",I65*cfg_EOS_R1*MIN(H65,cfg_EOS_TH))</f>
        <v/>
      </c>
      <c r="K65" s="116" t="str">
        <f aca="false">IF($B65="","",I65*cfg_EOS_R2*MAX(H65-cfg_EOS_TH,0))</f>
        <v/>
      </c>
      <c r="L65" s="116" t="str">
        <f aca="false">IF($B65="","",J65+K65)</f>
        <v/>
      </c>
      <c r="M65" s="117" t="str">
        <f aca="false">IF($B65="","",IF(AND(الموظفون!$AE65&lt;&gt;"",الموظفون!$AE65&lt;=cfg_VAL_DATE),IF(الموظفون!$AF65="","⚠ حدد السبب",الموظفون!$AF65),"على رأس العمل"))</f>
        <v/>
      </c>
      <c r="N65" s="134" t="str">
        <f aca="false">IF($B65="","",VLOOKUP(H65,cfg_RES,2,TRUE()))</f>
        <v/>
      </c>
      <c r="O65" s="116" t="str">
        <f aca="false">IF($B65="","",IF(M65="استقالة",L65*N65,L65))</f>
        <v/>
      </c>
      <c r="P65" s="116" t="str">
        <f aca="false">IF($B65="","",I65*(cfg_EOS_R1*MIN((MAX(0,IF(OR(الموظفون!$AE65="",الموظفون!$AE65&gt;=cfg_Y_START),cfg_Y_START-1,الموظفون!$AE65)-D65+1-SUMIFS('سجل الإجازات والحالات'!$R$6:$R$505,'سجل الإجازات والحالات'!$B$6:$B$505,$B65))/cfg_DAYS_Y),cfg_EOS_TH)+cfg_EOS_R2*MAX((MAX(0,IF(OR(الموظفون!$AE65="",الموظفون!$AE65&gt;=cfg_Y_START),cfg_Y_START-1,الموظفون!$AE65)-D65+1-SUMIFS('سجل الإجازات والحالات'!$R$6:$R$505,'سجل الإجازات والحالات'!$B$6:$B$505,$B65))/cfg_DAYS_Y)-cfg_EOS_TH,0)))</f>
        <v/>
      </c>
      <c r="Q65" s="116" t="str">
        <f aca="false">IF($B65="","",O65-P65)</f>
        <v/>
      </c>
      <c r="R65" s="116" t="str">
        <f aca="false">IF($B65="","",SUMIFS('الحركات الشهرية'!$N$6:$N$1005,'الحركات الشهرية'!$B$6:$B$1005,B65,'الحركات الشهرية'!$A$6:$A$1005,"&lt;="&amp;cfg_VAL_M))</f>
        <v/>
      </c>
      <c r="S65" s="178" t="str">
        <f aca="false">IF($B65="","",P65+Q65-R65)</f>
        <v/>
      </c>
      <c r="T65" s="117" t="str">
        <f aca="false">IF($B65="","",IF(S65&lt;-0.01,"✖ صرف أكثر من المستحق",IF(AND(M65&lt;&gt;"على رأس العمل",S65&gt;0.01),"⚠ مستحق لم يُصرف","✔ سليم")))</f>
        <v/>
      </c>
    </row>
    <row r="66" customFormat="false" ht="15" hidden="false" customHeight="false" outlineLevel="0" collapsed="false">
      <c r="B66" s="114" t="str">
        <f aca="false">IF(الموظفون!$B66="","",الموظفون!$B66)</f>
        <v/>
      </c>
      <c r="C66" s="114" t="str">
        <f aca="false">IF($B66="","",الموظفون!$C66)</f>
        <v/>
      </c>
      <c r="D66" s="174" t="str">
        <f aca="false">IF($B66="","",الموظفون!$H66)</f>
        <v/>
      </c>
      <c r="E66" s="174" t="str">
        <f aca="false">IF($B66="","",IF(OR(الموظفون!$AE66="",الموظفون!$AE66&gt;cfg_VAL_DATE),cfg_VAL_DATE,الموظفون!$AE66))</f>
        <v/>
      </c>
      <c r="F66" s="114" t="str">
        <f aca="false">IF($B66="","",IF(E66&lt;D66,"لم يباشر",DATEDIF(D66,E66+1,"y")&amp;" سنة "&amp;DATEDIF(D66,E66+1,"ym")&amp;" شهر "&amp;DATEDIF(D66,E66+1,"md")&amp;" يوم"))</f>
        <v/>
      </c>
      <c r="G66" s="65" t="str">
        <f aca="false">IF($B66="","",SUMIFS('سجل الإجازات والحالات'!$S$6:$S$505,'سجل الإجازات والحالات'!$B$6:$B$505,$B66))</f>
        <v/>
      </c>
      <c r="H66" s="155" t="str">
        <f aca="false">IF($B66="","",MAX(0,E66-D66+1-G66)/cfg_DAYS_Y)</f>
        <v/>
      </c>
      <c r="I66" s="111" t="str">
        <f aca="false">IF($B66="","",الموظفون!$Q66)</f>
        <v/>
      </c>
      <c r="J66" s="111" t="str">
        <f aca="false">IF($B66="","",I66*cfg_EOS_R1*MIN(H66,cfg_EOS_TH))</f>
        <v/>
      </c>
      <c r="K66" s="111" t="str">
        <f aca="false">IF($B66="","",I66*cfg_EOS_R2*MAX(H66-cfg_EOS_TH,0))</f>
        <v/>
      </c>
      <c r="L66" s="111" t="str">
        <f aca="false">IF($B66="","",J66+K66)</f>
        <v/>
      </c>
      <c r="M66" s="114" t="str">
        <f aca="false">IF($B66="","",IF(AND(الموظفون!$AE66&lt;&gt;"",الموظفون!$AE66&lt;=cfg_VAL_DATE),IF(الموظفون!$AF66="","⚠ حدد السبب",الموظفون!$AF66),"على رأس العمل"))</f>
        <v/>
      </c>
      <c r="N66" s="66" t="str">
        <f aca="false">IF($B66="","",VLOOKUP(H66,cfg_RES,2,TRUE()))</f>
        <v/>
      </c>
      <c r="O66" s="111" t="str">
        <f aca="false">IF($B66="","",IF(M66="استقالة",L66*N66,L66))</f>
        <v/>
      </c>
      <c r="P66" s="111" t="str">
        <f aca="false">IF($B66="","",I66*(cfg_EOS_R1*MIN((MAX(0,IF(OR(الموظفون!$AE66="",الموظفون!$AE66&gt;=cfg_Y_START),cfg_Y_START-1,الموظفون!$AE66)-D66+1-SUMIFS('سجل الإجازات والحالات'!$R$6:$R$505,'سجل الإجازات والحالات'!$B$6:$B$505,$B66))/cfg_DAYS_Y),cfg_EOS_TH)+cfg_EOS_R2*MAX((MAX(0,IF(OR(الموظفون!$AE66="",الموظفون!$AE66&gt;=cfg_Y_START),cfg_Y_START-1,الموظفون!$AE66)-D66+1-SUMIFS('سجل الإجازات والحالات'!$R$6:$R$505,'سجل الإجازات والحالات'!$B$6:$B$505,$B66))/cfg_DAYS_Y)-cfg_EOS_TH,0)))</f>
        <v/>
      </c>
      <c r="Q66" s="111" t="str">
        <f aca="false">IF($B66="","",O66-P66)</f>
        <v/>
      </c>
      <c r="R66" s="111" t="str">
        <f aca="false">IF($B66="","",SUMIFS('الحركات الشهرية'!$N$6:$N$1005,'الحركات الشهرية'!$B$6:$B$1005,B66,'الحركات الشهرية'!$A$6:$A$1005,"&lt;="&amp;cfg_VAL_M))</f>
        <v/>
      </c>
      <c r="S66" s="177" t="str">
        <f aca="false">IF($B66="","",P66+Q66-R66)</f>
        <v/>
      </c>
      <c r="T66" s="114" t="str">
        <f aca="false">IF($B66="","",IF(S66&lt;-0.01,"✖ صرف أكثر من المستحق",IF(AND(M66&lt;&gt;"على رأس العمل",S66&gt;0.01),"⚠ مستحق لم يُصرف","✔ سليم")))</f>
        <v/>
      </c>
    </row>
    <row r="67" customFormat="false" ht="15" hidden="false" customHeight="false" outlineLevel="0" collapsed="false">
      <c r="B67" s="117" t="str">
        <f aca="false">IF(الموظفون!$B67="","",الموظفون!$B67)</f>
        <v/>
      </c>
      <c r="C67" s="117" t="str">
        <f aca="false">IF($B67="","",الموظفون!$C67)</f>
        <v/>
      </c>
      <c r="D67" s="175" t="str">
        <f aca="false">IF($B67="","",الموظفون!$H67)</f>
        <v/>
      </c>
      <c r="E67" s="175" t="str">
        <f aca="false">IF($B67="","",IF(OR(الموظفون!$AE67="",الموظفون!$AE67&gt;cfg_VAL_DATE),cfg_VAL_DATE,الموظفون!$AE67))</f>
        <v/>
      </c>
      <c r="F67" s="117" t="str">
        <f aca="false">IF($B67="","",IF(E67&lt;D67,"لم يباشر",DATEDIF(D67,E67+1,"y")&amp;" سنة "&amp;DATEDIF(D67,E67+1,"ym")&amp;" شهر "&amp;DATEDIF(D67,E67+1,"md")&amp;" يوم"))</f>
        <v/>
      </c>
      <c r="G67" s="133" t="str">
        <f aca="false">IF($B67="","",SUMIFS('سجل الإجازات والحالات'!$S$6:$S$505,'سجل الإجازات والحالات'!$B$6:$B$505,$B67))</f>
        <v/>
      </c>
      <c r="H67" s="160" t="str">
        <f aca="false">IF($B67="","",MAX(0,E67-D67+1-G67)/cfg_DAYS_Y)</f>
        <v/>
      </c>
      <c r="I67" s="116" t="str">
        <f aca="false">IF($B67="","",الموظفون!$Q67)</f>
        <v/>
      </c>
      <c r="J67" s="116" t="str">
        <f aca="false">IF($B67="","",I67*cfg_EOS_R1*MIN(H67,cfg_EOS_TH))</f>
        <v/>
      </c>
      <c r="K67" s="116" t="str">
        <f aca="false">IF($B67="","",I67*cfg_EOS_R2*MAX(H67-cfg_EOS_TH,0))</f>
        <v/>
      </c>
      <c r="L67" s="116" t="str">
        <f aca="false">IF($B67="","",J67+K67)</f>
        <v/>
      </c>
      <c r="M67" s="117" t="str">
        <f aca="false">IF($B67="","",IF(AND(الموظفون!$AE67&lt;&gt;"",الموظفون!$AE67&lt;=cfg_VAL_DATE),IF(الموظفون!$AF67="","⚠ حدد السبب",الموظفون!$AF67),"على رأس العمل"))</f>
        <v/>
      </c>
      <c r="N67" s="134" t="str">
        <f aca="false">IF($B67="","",VLOOKUP(H67,cfg_RES,2,TRUE()))</f>
        <v/>
      </c>
      <c r="O67" s="116" t="str">
        <f aca="false">IF($B67="","",IF(M67="استقالة",L67*N67,L67))</f>
        <v/>
      </c>
      <c r="P67" s="116" t="str">
        <f aca="false">IF($B67="","",I67*(cfg_EOS_R1*MIN((MAX(0,IF(OR(الموظفون!$AE67="",الموظفون!$AE67&gt;=cfg_Y_START),cfg_Y_START-1,الموظفون!$AE67)-D67+1-SUMIFS('سجل الإجازات والحالات'!$R$6:$R$505,'سجل الإجازات والحالات'!$B$6:$B$505,$B67))/cfg_DAYS_Y),cfg_EOS_TH)+cfg_EOS_R2*MAX((MAX(0,IF(OR(الموظفون!$AE67="",الموظفون!$AE67&gt;=cfg_Y_START),cfg_Y_START-1,الموظفون!$AE67)-D67+1-SUMIFS('سجل الإجازات والحالات'!$R$6:$R$505,'سجل الإجازات والحالات'!$B$6:$B$505,$B67))/cfg_DAYS_Y)-cfg_EOS_TH,0)))</f>
        <v/>
      </c>
      <c r="Q67" s="116" t="str">
        <f aca="false">IF($B67="","",O67-P67)</f>
        <v/>
      </c>
      <c r="R67" s="116" t="str">
        <f aca="false">IF($B67="","",SUMIFS('الحركات الشهرية'!$N$6:$N$1005,'الحركات الشهرية'!$B$6:$B$1005,B67,'الحركات الشهرية'!$A$6:$A$1005,"&lt;="&amp;cfg_VAL_M))</f>
        <v/>
      </c>
      <c r="S67" s="178" t="str">
        <f aca="false">IF($B67="","",P67+Q67-R67)</f>
        <v/>
      </c>
      <c r="T67" s="117" t="str">
        <f aca="false">IF($B67="","",IF(S67&lt;-0.01,"✖ صرف أكثر من المستحق",IF(AND(M67&lt;&gt;"على رأس العمل",S67&gt;0.01),"⚠ مستحق لم يُصرف","✔ سليم")))</f>
        <v/>
      </c>
    </row>
    <row r="68" customFormat="false" ht="15" hidden="false" customHeight="false" outlineLevel="0" collapsed="false">
      <c r="B68" s="114" t="str">
        <f aca="false">IF(الموظفون!$B68="","",الموظفون!$B68)</f>
        <v/>
      </c>
      <c r="C68" s="114" t="str">
        <f aca="false">IF($B68="","",الموظفون!$C68)</f>
        <v/>
      </c>
      <c r="D68" s="174" t="str">
        <f aca="false">IF($B68="","",الموظفون!$H68)</f>
        <v/>
      </c>
      <c r="E68" s="174" t="str">
        <f aca="false">IF($B68="","",IF(OR(الموظفون!$AE68="",الموظفون!$AE68&gt;cfg_VAL_DATE),cfg_VAL_DATE,الموظفون!$AE68))</f>
        <v/>
      </c>
      <c r="F68" s="114" t="str">
        <f aca="false">IF($B68="","",IF(E68&lt;D68,"لم يباشر",DATEDIF(D68,E68+1,"y")&amp;" سنة "&amp;DATEDIF(D68,E68+1,"ym")&amp;" شهر "&amp;DATEDIF(D68,E68+1,"md")&amp;" يوم"))</f>
        <v/>
      </c>
      <c r="G68" s="65" t="str">
        <f aca="false">IF($B68="","",SUMIFS('سجل الإجازات والحالات'!$S$6:$S$505,'سجل الإجازات والحالات'!$B$6:$B$505,$B68))</f>
        <v/>
      </c>
      <c r="H68" s="155" t="str">
        <f aca="false">IF($B68="","",MAX(0,E68-D68+1-G68)/cfg_DAYS_Y)</f>
        <v/>
      </c>
      <c r="I68" s="111" t="str">
        <f aca="false">IF($B68="","",الموظفون!$Q68)</f>
        <v/>
      </c>
      <c r="J68" s="111" t="str">
        <f aca="false">IF($B68="","",I68*cfg_EOS_R1*MIN(H68,cfg_EOS_TH))</f>
        <v/>
      </c>
      <c r="K68" s="111" t="str">
        <f aca="false">IF($B68="","",I68*cfg_EOS_R2*MAX(H68-cfg_EOS_TH,0))</f>
        <v/>
      </c>
      <c r="L68" s="111" t="str">
        <f aca="false">IF($B68="","",J68+K68)</f>
        <v/>
      </c>
      <c r="M68" s="114" t="str">
        <f aca="false">IF($B68="","",IF(AND(الموظفون!$AE68&lt;&gt;"",الموظفون!$AE68&lt;=cfg_VAL_DATE),IF(الموظفون!$AF68="","⚠ حدد السبب",الموظفون!$AF68),"على رأس العمل"))</f>
        <v/>
      </c>
      <c r="N68" s="66" t="str">
        <f aca="false">IF($B68="","",VLOOKUP(H68,cfg_RES,2,TRUE()))</f>
        <v/>
      </c>
      <c r="O68" s="111" t="str">
        <f aca="false">IF($B68="","",IF(M68="استقالة",L68*N68,L68))</f>
        <v/>
      </c>
      <c r="P68" s="111" t="str">
        <f aca="false">IF($B68="","",I68*(cfg_EOS_R1*MIN((MAX(0,IF(OR(الموظفون!$AE68="",الموظفون!$AE68&gt;=cfg_Y_START),cfg_Y_START-1,الموظفون!$AE68)-D68+1-SUMIFS('سجل الإجازات والحالات'!$R$6:$R$505,'سجل الإجازات والحالات'!$B$6:$B$505,$B68))/cfg_DAYS_Y),cfg_EOS_TH)+cfg_EOS_R2*MAX((MAX(0,IF(OR(الموظفون!$AE68="",الموظفون!$AE68&gt;=cfg_Y_START),cfg_Y_START-1,الموظفون!$AE68)-D68+1-SUMIFS('سجل الإجازات والحالات'!$R$6:$R$505,'سجل الإجازات والحالات'!$B$6:$B$505,$B68))/cfg_DAYS_Y)-cfg_EOS_TH,0)))</f>
        <v/>
      </c>
      <c r="Q68" s="111" t="str">
        <f aca="false">IF($B68="","",O68-P68)</f>
        <v/>
      </c>
      <c r="R68" s="111" t="str">
        <f aca="false">IF($B68="","",SUMIFS('الحركات الشهرية'!$N$6:$N$1005,'الحركات الشهرية'!$B$6:$B$1005,B68,'الحركات الشهرية'!$A$6:$A$1005,"&lt;="&amp;cfg_VAL_M))</f>
        <v/>
      </c>
      <c r="S68" s="177" t="str">
        <f aca="false">IF($B68="","",P68+Q68-R68)</f>
        <v/>
      </c>
      <c r="T68" s="114" t="str">
        <f aca="false">IF($B68="","",IF(S68&lt;-0.01,"✖ صرف أكثر من المستحق",IF(AND(M68&lt;&gt;"على رأس العمل",S68&gt;0.01),"⚠ مستحق لم يُصرف","✔ سليم")))</f>
        <v/>
      </c>
    </row>
    <row r="69" customFormat="false" ht="15" hidden="false" customHeight="false" outlineLevel="0" collapsed="false">
      <c r="B69" s="117" t="str">
        <f aca="false">IF(الموظفون!$B69="","",الموظفون!$B69)</f>
        <v/>
      </c>
      <c r="C69" s="117" t="str">
        <f aca="false">IF($B69="","",الموظفون!$C69)</f>
        <v/>
      </c>
      <c r="D69" s="175" t="str">
        <f aca="false">IF($B69="","",الموظفون!$H69)</f>
        <v/>
      </c>
      <c r="E69" s="175" t="str">
        <f aca="false">IF($B69="","",IF(OR(الموظفون!$AE69="",الموظفون!$AE69&gt;cfg_VAL_DATE),cfg_VAL_DATE,الموظفون!$AE69))</f>
        <v/>
      </c>
      <c r="F69" s="117" t="str">
        <f aca="false">IF($B69="","",IF(E69&lt;D69,"لم يباشر",DATEDIF(D69,E69+1,"y")&amp;" سنة "&amp;DATEDIF(D69,E69+1,"ym")&amp;" شهر "&amp;DATEDIF(D69,E69+1,"md")&amp;" يوم"))</f>
        <v/>
      </c>
      <c r="G69" s="133" t="str">
        <f aca="false">IF($B69="","",SUMIFS('سجل الإجازات والحالات'!$S$6:$S$505,'سجل الإجازات والحالات'!$B$6:$B$505,$B69))</f>
        <v/>
      </c>
      <c r="H69" s="160" t="str">
        <f aca="false">IF($B69="","",MAX(0,E69-D69+1-G69)/cfg_DAYS_Y)</f>
        <v/>
      </c>
      <c r="I69" s="116" t="str">
        <f aca="false">IF($B69="","",الموظفون!$Q69)</f>
        <v/>
      </c>
      <c r="J69" s="116" t="str">
        <f aca="false">IF($B69="","",I69*cfg_EOS_R1*MIN(H69,cfg_EOS_TH))</f>
        <v/>
      </c>
      <c r="K69" s="116" t="str">
        <f aca="false">IF($B69="","",I69*cfg_EOS_R2*MAX(H69-cfg_EOS_TH,0))</f>
        <v/>
      </c>
      <c r="L69" s="116" t="str">
        <f aca="false">IF($B69="","",J69+K69)</f>
        <v/>
      </c>
      <c r="M69" s="117" t="str">
        <f aca="false">IF($B69="","",IF(AND(الموظفون!$AE69&lt;&gt;"",الموظفون!$AE69&lt;=cfg_VAL_DATE),IF(الموظفون!$AF69="","⚠ حدد السبب",الموظفون!$AF69),"على رأس العمل"))</f>
        <v/>
      </c>
      <c r="N69" s="134" t="str">
        <f aca="false">IF($B69="","",VLOOKUP(H69,cfg_RES,2,TRUE()))</f>
        <v/>
      </c>
      <c r="O69" s="116" t="str">
        <f aca="false">IF($B69="","",IF(M69="استقالة",L69*N69,L69))</f>
        <v/>
      </c>
      <c r="P69" s="116" t="str">
        <f aca="false">IF($B69="","",I69*(cfg_EOS_R1*MIN((MAX(0,IF(OR(الموظفون!$AE69="",الموظفون!$AE69&gt;=cfg_Y_START),cfg_Y_START-1,الموظفون!$AE69)-D69+1-SUMIFS('سجل الإجازات والحالات'!$R$6:$R$505,'سجل الإجازات والحالات'!$B$6:$B$505,$B69))/cfg_DAYS_Y),cfg_EOS_TH)+cfg_EOS_R2*MAX((MAX(0,IF(OR(الموظفون!$AE69="",الموظفون!$AE69&gt;=cfg_Y_START),cfg_Y_START-1,الموظفون!$AE69)-D69+1-SUMIFS('سجل الإجازات والحالات'!$R$6:$R$505,'سجل الإجازات والحالات'!$B$6:$B$505,$B69))/cfg_DAYS_Y)-cfg_EOS_TH,0)))</f>
        <v/>
      </c>
      <c r="Q69" s="116" t="str">
        <f aca="false">IF($B69="","",O69-P69)</f>
        <v/>
      </c>
      <c r="R69" s="116" t="str">
        <f aca="false">IF($B69="","",SUMIFS('الحركات الشهرية'!$N$6:$N$1005,'الحركات الشهرية'!$B$6:$B$1005,B69,'الحركات الشهرية'!$A$6:$A$1005,"&lt;="&amp;cfg_VAL_M))</f>
        <v/>
      </c>
      <c r="S69" s="178" t="str">
        <f aca="false">IF($B69="","",P69+Q69-R69)</f>
        <v/>
      </c>
      <c r="T69" s="117" t="str">
        <f aca="false">IF($B69="","",IF(S69&lt;-0.01,"✖ صرف أكثر من المستحق",IF(AND(M69&lt;&gt;"على رأس العمل",S69&gt;0.01),"⚠ مستحق لم يُصرف","✔ سليم")))</f>
        <v/>
      </c>
    </row>
    <row r="70" customFormat="false" ht="15" hidden="false" customHeight="false" outlineLevel="0" collapsed="false">
      <c r="B70" s="114" t="str">
        <f aca="false">IF(الموظفون!$B70="","",الموظفون!$B70)</f>
        <v/>
      </c>
      <c r="C70" s="114" t="str">
        <f aca="false">IF($B70="","",الموظفون!$C70)</f>
        <v/>
      </c>
      <c r="D70" s="174" t="str">
        <f aca="false">IF($B70="","",الموظفون!$H70)</f>
        <v/>
      </c>
      <c r="E70" s="174" t="str">
        <f aca="false">IF($B70="","",IF(OR(الموظفون!$AE70="",الموظفون!$AE70&gt;cfg_VAL_DATE),cfg_VAL_DATE,الموظفون!$AE70))</f>
        <v/>
      </c>
      <c r="F70" s="114" t="str">
        <f aca="false">IF($B70="","",IF(E70&lt;D70,"لم يباشر",DATEDIF(D70,E70+1,"y")&amp;" سنة "&amp;DATEDIF(D70,E70+1,"ym")&amp;" شهر "&amp;DATEDIF(D70,E70+1,"md")&amp;" يوم"))</f>
        <v/>
      </c>
      <c r="G70" s="65" t="str">
        <f aca="false">IF($B70="","",SUMIFS('سجل الإجازات والحالات'!$S$6:$S$505,'سجل الإجازات والحالات'!$B$6:$B$505,$B70))</f>
        <v/>
      </c>
      <c r="H70" s="155" t="str">
        <f aca="false">IF($B70="","",MAX(0,E70-D70+1-G70)/cfg_DAYS_Y)</f>
        <v/>
      </c>
      <c r="I70" s="111" t="str">
        <f aca="false">IF($B70="","",الموظفون!$Q70)</f>
        <v/>
      </c>
      <c r="J70" s="111" t="str">
        <f aca="false">IF($B70="","",I70*cfg_EOS_R1*MIN(H70,cfg_EOS_TH))</f>
        <v/>
      </c>
      <c r="K70" s="111" t="str">
        <f aca="false">IF($B70="","",I70*cfg_EOS_R2*MAX(H70-cfg_EOS_TH,0))</f>
        <v/>
      </c>
      <c r="L70" s="111" t="str">
        <f aca="false">IF($B70="","",J70+K70)</f>
        <v/>
      </c>
      <c r="M70" s="114" t="str">
        <f aca="false">IF($B70="","",IF(AND(الموظفون!$AE70&lt;&gt;"",الموظفون!$AE70&lt;=cfg_VAL_DATE),IF(الموظفون!$AF70="","⚠ حدد السبب",الموظفون!$AF70),"على رأس العمل"))</f>
        <v/>
      </c>
      <c r="N70" s="66" t="str">
        <f aca="false">IF($B70="","",VLOOKUP(H70,cfg_RES,2,TRUE()))</f>
        <v/>
      </c>
      <c r="O70" s="111" t="str">
        <f aca="false">IF($B70="","",IF(M70="استقالة",L70*N70,L70))</f>
        <v/>
      </c>
      <c r="P70" s="111" t="str">
        <f aca="false">IF($B70="","",I70*(cfg_EOS_R1*MIN((MAX(0,IF(OR(الموظفون!$AE70="",الموظفون!$AE70&gt;=cfg_Y_START),cfg_Y_START-1,الموظفون!$AE70)-D70+1-SUMIFS('سجل الإجازات والحالات'!$R$6:$R$505,'سجل الإجازات والحالات'!$B$6:$B$505,$B70))/cfg_DAYS_Y),cfg_EOS_TH)+cfg_EOS_R2*MAX((MAX(0,IF(OR(الموظفون!$AE70="",الموظفون!$AE70&gt;=cfg_Y_START),cfg_Y_START-1,الموظفون!$AE70)-D70+1-SUMIFS('سجل الإجازات والحالات'!$R$6:$R$505,'سجل الإجازات والحالات'!$B$6:$B$505,$B70))/cfg_DAYS_Y)-cfg_EOS_TH,0)))</f>
        <v/>
      </c>
      <c r="Q70" s="111" t="str">
        <f aca="false">IF($B70="","",O70-P70)</f>
        <v/>
      </c>
      <c r="R70" s="111" t="str">
        <f aca="false">IF($B70="","",SUMIFS('الحركات الشهرية'!$N$6:$N$1005,'الحركات الشهرية'!$B$6:$B$1005,B70,'الحركات الشهرية'!$A$6:$A$1005,"&lt;="&amp;cfg_VAL_M))</f>
        <v/>
      </c>
      <c r="S70" s="177" t="str">
        <f aca="false">IF($B70="","",P70+Q70-R70)</f>
        <v/>
      </c>
      <c r="T70" s="114" t="str">
        <f aca="false">IF($B70="","",IF(S70&lt;-0.01,"✖ صرف أكثر من المستحق",IF(AND(M70&lt;&gt;"على رأس العمل",S70&gt;0.01),"⚠ مستحق لم يُصرف","✔ سليم")))</f>
        <v/>
      </c>
    </row>
    <row r="71" customFormat="false" ht="15" hidden="false" customHeight="false" outlineLevel="0" collapsed="false">
      <c r="B71" s="117" t="str">
        <f aca="false">IF(الموظفون!$B71="","",الموظفون!$B71)</f>
        <v/>
      </c>
      <c r="C71" s="117" t="str">
        <f aca="false">IF($B71="","",الموظفون!$C71)</f>
        <v/>
      </c>
      <c r="D71" s="175" t="str">
        <f aca="false">IF($B71="","",الموظفون!$H71)</f>
        <v/>
      </c>
      <c r="E71" s="175" t="str">
        <f aca="false">IF($B71="","",IF(OR(الموظفون!$AE71="",الموظفون!$AE71&gt;cfg_VAL_DATE),cfg_VAL_DATE,الموظفون!$AE71))</f>
        <v/>
      </c>
      <c r="F71" s="117" t="str">
        <f aca="false">IF($B71="","",IF(E71&lt;D71,"لم يباشر",DATEDIF(D71,E71+1,"y")&amp;" سنة "&amp;DATEDIF(D71,E71+1,"ym")&amp;" شهر "&amp;DATEDIF(D71,E71+1,"md")&amp;" يوم"))</f>
        <v/>
      </c>
      <c r="G71" s="133" t="str">
        <f aca="false">IF($B71="","",SUMIFS('سجل الإجازات والحالات'!$S$6:$S$505,'سجل الإجازات والحالات'!$B$6:$B$505,$B71))</f>
        <v/>
      </c>
      <c r="H71" s="160" t="str">
        <f aca="false">IF($B71="","",MAX(0,E71-D71+1-G71)/cfg_DAYS_Y)</f>
        <v/>
      </c>
      <c r="I71" s="116" t="str">
        <f aca="false">IF($B71="","",الموظفون!$Q71)</f>
        <v/>
      </c>
      <c r="J71" s="116" t="str">
        <f aca="false">IF($B71="","",I71*cfg_EOS_R1*MIN(H71,cfg_EOS_TH))</f>
        <v/>
      </c>
      <c r="K71" s="116" t="str">
        <f aca="false">IF($B71="","",I71*cfg_EOS_R2*MAX(H71-cfg_EOS_TH,0))</f>
        <v/>
      </c>
      <c r="L71" s="116" t="str">
        <f aca="false">IF($B71="","",J71+K71)</f>
        <v/>
      </c>
      <c r="M71" s="117" t="str">
        <f aca="false">IF($B71="","",IF(AND(الموظفون!$AE71&lt;&gt;"",الموظفون!$AE71&lt;=cfg_VAL_DATE),IF(الموظفون!$AF71="","⚠ حدد السبب",الموظفون!$AF71),"على رأس العمل"))</f>
        <v/>
      </c>
      <c r="N71" s="134" t="str">
        <f aca="false">IF($B71="","",VLOOKUP(H71,cfg_RES,2,TRUE()))</f>
        <v/>
      </c>
      <c r="O71" s="116" t="str">
        <f aca="false">IF($B71="","",IF(M71="استقالة",L71*N71,L71))</f>
        <v/>
      </c>
      <c r="P71" s="116" t="str">
        <f aca="false">IF($B71="","",I71*(cfg_EOS_R1*MIN((MAX(0,IF(OR(الموظفون!$AE71="",الموظفون!$AE71&gt;=cfg_Y_START),cfg_Y_START-1,الموظفون!$AE71)-D71+1-SUMIFS('سجل الإجازات والحالات'!$R$6:$R$505,'سجل الإجازات والحالات'!$B$6:$B$505,$B71))/cfg_DAYS_Y),cfg_EOS_TH)+cfg_EOS_R2*MAX((MAX(0,IF(OR(الموظفون!$AE71="",الموظفون!$AE71&gt;=cfg_Y_START),cfg_Y_START-1,الموظفون!$AE71)-D71+1-SUMIFS('سجل الإجازات والحالات'!$R$6:$R$505,'سجل الإجازات والحالات'!$B$6:$B$505,$B71))/cfg_DAYS_Y)-cfg_EOS_TH,0)))</f>
        <v/>
      </c>
      <c r="Q71" s="116" t="str">
        <f aca="false">IF($B71="","",O71-P71)</f>
        <v/>
      </c>
      <c r="R71" s="116" t="str">
        <f aca="false">IF($B71="","",SUMIFS('الحركات الشهرية'!$N$6:$N$1005,'الحركات الشهرية'!$B$6:$B$1005,B71,'الحركات الشهرية'!$A$6:$A$1005,"&lt;="&amp;cfg_VAL_M))</f>
        <v/>
      </c>
      <c r="S71" s="178" t="str">
        <f aca="false">IF($B71="","",P71+Q71-R71)</f>
        <v/>
      </c>
      <c r="T71" s="117" t="str">
        <f aca="false">IF($B71="","",IF(S71&lt;-0.01,"✖ صرف أكثر من المستحق",IF(AND(M71&lt;&gt;"على رأس العمل",S71&gt;0.01),"⚠ مستحق لم يُصرف","✔ سليم")))</f>
        <v/>
      </c>
    </row>
    <row r="72" customFormat="false" ht="15" hidden="false" customHeight="false" outlineLevel="0" collapsed="false">
      <c r="B72" s="114" t="str">
        <f aca="false">IF(الموظفون!$B72="","",الموظفون!$B72)</f>
        <v/>
      </c>
      <c r="C72" s="114" t="str">
        <f aca="false">IF($B72="","",الموظفون!$C72)</f>
        <v/>
      </c>
      <c r="D72" s="174" t="str">
        <f aca="false">IF($B72="","",الموظفون!$H72)</f>
        <v/>
      </c>
      <c r="E72" s="174" t="str">
        <f aca="false">IF($B72="","",IF(OR(الموظفون!$AE72="",الموظفون!$AE72&gt;cfg_VAL_DATE),cfg_VAL_DATE,الموظفون!$AE72))</f>
        <v/>
      </c>
      <c r="F72" s="114" t="str">
        <f aca="false">IF($B72="","",IF(E72&lt;D72,"لم يباشر",DATEDIF(D72,E72+1,"y")&amp;" سنة "&amp;DATEDIF(D72,E72+1,"ym")&amp;" شهر "&amp;DATEDIF(D72,E72+1,"md")&amp;" يوم"))</f>
        <v/>
      </c>
      <c r="G72" s="65" t="str">
        <f aca="false">IF($B72="","",SUMIFS('سجل الإجازات والحالات'!$S$6:$S$505,'سجل الإجازات والحالات'!$B$6:$B$505,$B72))</f>
        <v/>
      </c>
      <c r="H72" s="155" t="str">
        <f aca="false">IF($B72="","",MAX(0,E72-D72+1-G72)/cfg_DAYS_Y)</f>
        <v/>
      </c>
      <c r="I72" s="111" t="str">
        <f aca="false">IF($B72="","",الموظفون!$Q72)</f>
        <v/>
      </c>
      <c r="J72" s="111" t="str">
        <f aca="false">IF($B72="","",I72*cfg_EOS_R1*MIN(H72,cfg_EOS_TH))</f>
        <v/>
      </c>
      <c r="K72" s="111" t="str">
        <f aca="false">IF($B72="","",I72*cfg_EOS_R2*MAX(H72-cfg_EOS_TH,0))</f>
        <v/>
      </c>
      <c r="L72" s="111" t="str">
        <f aca="false">IF($B72="","",J72+K72)</f>
        <v/>
      </c>
      <c r="M72" s="114" t="str">
        <f aca="false">IF($B72="","",IF(AND(الموظفون!$AE72&lt;&gt;"",الموظفون!$AE72&lt;=cfg_VAL_DATE),IF(الموظفون!$AF72="","⚠ حدد السبب",الموظفون!$AF72),"على رأس العمل"))</f>
        <v/>
      </c>
      <c r="N72" s="66" t="str">
        <f aca="false">IF($B72="","",VLOOKUP(H72,cfg_RES,2,TRUE()))</f>
        <v/>
      </c>
      <c r="O72" s="111" t="str">
        <f aca="false">IF($B72="","",IF(M72="استقالة",L72*N72,L72))</f>
        <v/>
      </c>
      <c r="P72" s="111" t="str">
        <f aca="false">IF($B72="","",I72*(cfg_EOS_R1*MIN((MAX(0,IF(OR(الموظفون!$AE72="",الموظفون!$AE72&gt;=cfg_Y_START),cfg_Y_START-1,الموظفون!$AE72)-D72+1-SUMIFS('سجل الإجازات والحالات'!$R$6:$R$505,'سجل الإجازات والحالات'!$B$6:$B$505,$B72))/cfg_DAYS_Y),cfg_EOS_TH)+cfg_EOS_R2*MAX((MAX(0,IF(OR(الموظفون!$AE72="",الموظفون!$AE72&gt;=cfg_Y_START),cfg_Y_START-1,الموظفون!$AE72)-D72+1-SUMIFS('سجل الإجازات والحالات'!$R$6:$R$505,'سجل الإجازات والحالات'!$B$6:$B$505,$B72))/cfg_DAYS_Y)-cfg_EOS_TH,0)))</f>
        <v/>
      </c>
      <c r="Q72" s="111" t="str">
        <f aca="false">IF($B72="","",O72-P72)</f>
        <v/>
      </c>
      <c r="R72" s="111" t="str">
        <f aca="false">IF($B72="","",SUMIFS('الحركات الشهرية'!$N$6:$N$1005,'الحركات الشهرية'!$B$6:$B$1005,B72,'الحركات الشهرية'!$A$6:$A$1005,"&lt;="&amp;cfg_VAL_M))</f>
        <v/>
      </c>
      <c r="S72" s="177" t="str">
        <f aca="false">IF($B72="","",P72+Q72-R72)</f>
        <v/>
      </c>
      <c r="T72" s="114" t="str">
        <f aca="false">IF($B72="","",IF(S72&lt;-0.01,"✖ صرف أكثر من المستحق",IF(AND(M72&lt;&gt;"على رأس العمل",S72&gt;0.01),"⚠ مستحق لم يُصرف","✔ سليم")))</f>
        <v/>
      </c>
    </row>
    <row r="73" customFormat="false" ht="15" hidden="false" customHeight="false" outlineLevel="0" collapsed="false">
      <c r="B73" s="117" t="str">
        <f aca="false">IF(الموظفون!$B73="","",الموظفون!$B73)</f>
        <v/>
      </c>
      <c r="C73" s="117" t="str">
        <f aca="false">IF($B73="","",الموظفون!$C73)</f>
        <v/>
      </c>
      <c r="D73" s="175" t="str">
        <f aca="false">IF($B73="","",الموظفون!$H73)</f>
        <v/>
      </c>
      <c r="E73" s="175" t="str">
        <f aca="false">IF($B73="","",IF(OR(الموظفون!$AE73="",الموظفون!$AE73&gt;cfg_VAL_DATE),cfg_VAL_DATE,الموظفون!$AE73))</f>
        <v/>
      </c>
      <c r="F73" s="117" t="str">
        <f aca="false">IF($B73="","",IF(E73&lt;D73,"لم يباشر",DATEDIF(D73,E73+1,"y")&amp;" سنة "&amp;DATEDIF(D73,E73+1,"ym")&amp;" شهر "&amp;DATEDIF(D73,E73+1,"md")&amp;" يوم"))</f>
        <v/>
      </c>
      <c r="G73" s="133" t="str">
        <f aca="false">IF($B73="","",SUMIFS('سجل الإجازات والحالات'!$S$6:$S$505,'سجل الإجازات والحالات'!$B$6:$B$505,$B73))</f>
        <v/>
      </c>
      <c r="H73" s="160" t="str">
        <f aca="false">IF($B73="","",MAX(0,E73-D73+1-G73)/cfg_DAYS_Y)</f>
        <v/>
      </c>
      <c r="I73" s="116" t="str">
        <f aca="false">IF($B73="","",الموظفون!$Q73)</f>
        <v/>
      </c>
      <c r="J73" s="116" t="str">
        <f aca="false">IF($B73="","",I73*cfg_EOS_R1*MIN(H73,cfg_EOS_TH))</f>
        <v/>
      </c>
      <c r="K73" s="116" t="str">
        <f aca="false">IF($B73="","",I73*cfg_EOS_R2*MAX(H73-cfg_EOS_TH,0))</f>
        <v/>
      </c>
      <c r="L73" s="116" t="str">
        <f aca="false">IF($B73="","",J73+K73)</f>
        <v/>
      </c>
      <c r="M73" s="117" t="str">
        <f aca="false">IF($B73="","",IF(AND(الموظفون!$AE73&lt;&gt;"",الموظفون!$AE73&lt;=cfg_VAL_DATE),IF(الموظفون!$AF73="","⚠ حدد السبب",الموظفون!$AF73),"على رأس العمل"))</f>
        <v/>
      </c>
      <c r="N73" s="134" t="str">
        <f aca="false">IF($B73="","",VLOOKUP(H73,cfg_RES,2,TRUE()))</f>
        <v/>
      </c>
      <c r="O73" s="116" t="str">
        <f aca="false">IF($B73="","",IF(M73="استقالة",L73*N73,L73))</f>
        <v/>
      </c>
      <c r="P73" s="116" t="str">
        <f aca="false">IF($B73="","",I73*(cfg_EOS_R1*MIN((MAX(0,IF(OR(الموظفون!$AE73="",الموظفون!$AE73&gt;=cfg_Y_START),cfg_Y_START-1,الموظفون!$AE73)-D73+1-SUMIFS('سجل الإجازات والحالات'!$R$6:$R$505,'سجل الإجازات والحالات'!$B$6:$B$505,$B73))/cfg_DAYS_Y),cfg_EOS_TH)+cfg_EOS_R2*MAX((MAX(0,IF(OR(الموظفون!$AE73="",الموظفون!$AE73&gt;=cfg_Y_START),cfg_Y_START-1,الموظفون!$AE73)-D73+1-SUMIFS('سجل الإجازات والحالات'!$R$6:$R$505,'سجل الإجازات والحالات'!$B$6:$B$505,$B73))/cfg_DAYS_Y)-cfg_EOS_TH,0)))</f>
        <v/>
      </c>
      <c r="Q73" s="116" t="str">
        <f aca="false">IF($B73="","",O73-P73)</f>
        <v/>
      </c>
      <c r="R73" s="116" t="str">
        <f aca="false">IF($B73="","",SUMIFS('الحركات الشهرية'!$N$6:$N$1005,'الحركات الشهرية'!$B$6:$B$1005,B73,'الحركات الشهرية'!$A$6:$A$1005,"&lt;="&amp;cfg_VAL_M))</f>
        <v/>
      </c>
      <c r="S73" s="178" t="str">
        <f aca="false">IF($B73="","",P73+Q73-R73)</f>
        <v/>
      </c>
      <c r="T73" s="117" t="str">
        <f aca="false">IF($B73="","",IF(S73&lt;-0.01,"✖ صرف أكثر من المستحق",IF(AND(M73&lt;&gt;"على رأس العمل",S73&gt;0.01),"⚠ مستحق لم يُصرف","✔ سليم")))</f>
        <v/>
      </c>
    </row>
    <row r="74" customFormat="false" ht="15" hidden="false" customHeight="false" outlineLevel="0" collapsed="false">
      <c r="B74" s="114" t="str">
        <f aca="false">IF(الموظفون!$B74="","",الموظفون!$B74)</f>
        <v/>
      </c>
      <c r="C74" s="114" t="str">
        <f aca="false">IF($B74="","",الموظفون!$C74)</f>
        <v/>
      </c>
      <c r="D74" s="174" t="str">
        <f aca="false">IF($B74="","",الموظفون!$H74)</f>
        <v/>
      </c>
      <c r="E74" s="174" t="str">
        <f aca="false">IF($B74="","",IF(OR(الموظفون!$AE74="",الموظفون!$AE74&gt;cfg_VAL_DATE),cfg_VAL_DATE,الموظفون!$AE74))</f>
        <v/>
      </c>
      <c r="F74" s="114" t="str">
        <f aca="false">IF($B74="","",IF(E74&lt;D74,"لم يباشر",DATEDIF(D74,E74+1,"y")&amp;" سنة "&amp;DATEDIF(D74,E74+1,"ym")&amp;" شهر "&amp;DATEDIF(D74,E74+1,"md")&amp;" يوم"))</f>
        <v/>
      </c>
      <c r="G74" s="65" t="str">
        <f aca="false">IF($B74="","",SUMIFS('سجل الإجازات والحالات'!$S$6:$S$505,'سجل الإجازات والحالات'!$B$6:$B$505,$B74))</f>
        <v/>
      </c>
      <c r="H74" s="155" t="str">
        <f aca="false">IF($B74="","",MAX(0,E74-D74+1-G74)/cfg_DAYS_Y)</f>
        <v/>
      </c>
      <c r="I74" s="111" t="str">
        <f aca="false">IF($B74="","",الموظفون!$Q74)</f>
        <v/>
      </c>
      <c r="J74" s="111" t="str">
        <f aca="false">IF($B74="","",I74*cfg_EOS_R1*MIN(H74,cfg_EOS_TH))</f>
        <v/>
      </c>
      <c r="K74" s="111" t="str">
        <f aca="false">IF($B74="","",I74*cfg_EOS_R2*MAX(H74-cfg_EOS_TH,0))</f>
        <v/>
      </c>
      <c r="L74" s="111" t="str">
        <f aca="false">IF($B74="","",J74+K74)</f>
        <v/>
      </c>
      <c r="M74" s="114" t="str">
        <f aca="false">IF($B74="","",IF(AND(الموظفون!$AE74&lt;&gt;"",الموظفون!$AE74&lt;=cfg_VAL_DATE),IF(الموظفون!$AF74="","⚠ حدد السبب",الموظفون!$AF74),"على رأس العمل"))</f>
        <v/>
      </c>
      <c r="N74" s="66" t="str">
        <f aca="false">IF($B74="","",VLOOKUP(H74,cfg_RES,2,TRUE()))</f>
        <v/>
      </c>
      <c r="O74" s="111" t="str">
        <f aca="false">IF($B74="","",IF(M74="استقالة",L74*N74,L74))</f>
        <v/>
      </c>
      <c r="P74" s="111" t="str">
        <f aca="false">IF($B74="","",I74*(cfg_EOS_R1*MIN((MAX(0,IF(OR(الموظفون!$AE74="",الموظفون!$AE74&gt;=cfg_Y_START),cfg_Y_START-1,الموظفون!$AE74)-D74+1-SUMIFS('سجل الإجازات والحالات'!$R$6:$R$505,'سجل الإجازات والحالات'!$B$6:$B$505,$B74))/cfg_DAYS_Y),cfg_EOS_TH)+cfg_EOS_R2*MAX((MAX(0,IF(OR(الموظفون!$AE74="",الموظفون!$AE74&gt;=cfg_Y_START),cfg_Y_START-1,الموظفون!$AE74)-D74+1-SUMIFS('سجل الإجازات والحالات'!$R$6:$R$505,'سجل الإجازات والحالات'!$B$6:$B$505,$B74))/cfg_DAYS_Y)-cfg_EOS_TH,0)))</f>
        <v/>
      </c>
      <c r="Q74" s="111" t="str">
        <f aca="false">IF($B74="","",O74-P74)</f>
        <v/>
      </c>
      <c r="R74" s="111" t="str">
        <f aca="false">IF($B74="","",SUMIFS('الحركات الشهرية'!$N$6:$N$1005,'الحركات الشهرية'!$B$6:$B$1005,B74,'الحركات الشهرية'!$A$6:$A$1005,"&lt;="&amp;cfg_VAL_M))</f>
        <v/>
      </c>
      <c r="S74" s="177" t="str">
        <f aca="false">IF($B74="","",P74+Q74-R74)</f>
        <v/>
      </c>
      <c r="T74" s="114" t="str">
        <f aca="false">IF($B74="","",IF(S74&lt;-0.01,"✖ صرف أكثر من المستحق",IF(AND(M74&lt;&gt;"على رأس العمل",S74&gt;0.01),"⚠ مستحق لم يُصرف","✔ سليم")))</f>
        <v/>
      </c>
    </row>
    <row r="75" customFormat="false" ht="15" hidden="false" customHeight="false" outlineLevel="0" collapsed="false">
      <c r="B75" s="117" t="str">
        <f aca="false">IF(الموظفون!$B75="","",الموظفون!$B75)</f>
        <v/>
      </c>
      <c r="C75" s="117" t="str">
        <f aca="false">IF($B75="","",الموظفون!$C75)</f>
        <v/>
      </c>
      <c r="D75" s="175" t="str">
        <f aca="false">IF($B75="","",الموظفون!$H75)</f>
        <v/>
      </c>
      <c r="E75" s="175" t="str">
        <f aca="false">IF($B75="","",IF(OR(الموظفون!$AE75="",الموظفون!$AE75&gt;cfg_VAL_DATE),cfg_VAL_DATE,الموظفون!$AE75))</f>
        <v/>
      </c>
      <c r="F75" s="117" t="str">
        <f aca="false">IF($B75="","",IF(E75&lt;D75,"لم يباشر",DATEDIF(D75,E75+1,"y")&amp;" سنة "&amp;DATEDIF(D75,E75+1,"ym")&amp;" شهر "&amp;DATEDIF(D75,E75+1,"md")&amp;" يوم"))</f>
        <v/>
      </c>
      <c r="G75" s="133" t="str">
        <f aca="false">IF($B75="","",SUMIFS('سجل الإجازات والحالات'!$S$6:$S$505,'سجل الإجازات والحالات'!$B$6:$B$505,$B75))</f>
        <v/>
      </c>
      <c r="H75" s="160" t="str">
        <f aca="false">IF($B75="","",MAX(0,E75-D75+1-G75)/cfg_DAYS_Y)</f>
        <v/>
      </c>
      <c r="I75" s="116" t="str">
        <f aca="false">IF($B75="","",الموظفون!$Q75)</f>
        <v/>
      </c>
      <c r="J75" s="116" t="str">
        <f aca="false">IF($B75="","",I75*cfg_EOS_R1*MIN(H75,cfg_EOS_TH))</f>
        <v/>
      </c>
      <c r="K75" s="116" t="str">
        <f aca="false">IF($B75="","",I75*cfg_EOS_R2*MAX(H75-cfg_EOS_TH,0))</f>
        <v/>
      </c>
      <c r="L75" s="116" t="str">
        <f aca="false">IF($B75="","",J75+K75)</f>
        <v/>
      </c>
      <c r="M75" s="117" t="str">
        <f aca="false">IF($B75="","",IF(AND(الموظفون!$AE75&lt;&gt;"",الموظفون!$AE75&lt;=cfg_VAL_DATE),IF(الموظفون!$AF75="","⚠ حدد السبب",الموظفون!$AF75),"على رأس العمل"))</f>
        <v/>
      </c>
      <c r="N75" s="134" t="str">
        <f aca="false">IF($B75="","",VLOOKUP(H75,cfg_RES,2,TRUE()))</f>
        <v/>
      </c>
      <c r="O75" s="116" t="str">
        <f aca="false">IF($B75="","",IF(M75="استقالة",L75*N75,L75))</f>
        <v/>
      </c>
      <c r="P75" s="116" t="str">
        <f aca="false">IF($B75="","",I75*(cfg_EOS_R1*MIN((MAX(0,IF(OR(الموظفون!$AE75="",الموظفون!$AE75&gt;=cfg_Y_START),cfg_Y_START-1,الموظفون!$AE75)-D75+1-SUMIFS('سجل الإجازات والحالات'!$R$6:$R$505,'سجل الإجازات والحالات'!$B$6:$B$505,$B75))/cfg_DAYS_Y),cfg_EOS_TH)+cfg_EOS_R2*MAX((MAX(0,IF(OR(الموظفون!$AE75="",الموظفون!$AE75&gt;=cfg_Y_START),cfg_Y_START-1,الموظفون!$AE75)-D75+1-SUMIFS('سجل الإجازات والحالات'!$R$6:$R$505,'سجل الإجازات والحالات'!$B$6:$B$505,$B75))/cfg_DAYS_Y)-cfg_EOS_TH,0)))</f>
        <v/>
      </c>
      <c r="Q75" s="116" t="str">
        <f aca="false">IF($B75="","",O75-P75)</f>
        <v/>
      </c>
      <c r="R75" s="116" t="str">
        <f aca="false">IF($B75="","",SUMIFS('الحركات الشهرية'!$N$6:$N$1005,'الحركات الشهرية'!$B$6:$B$1005,B75,'الحركات الشهرية'!$A$6:$A$1005,"&lt;="&amp;cfg_VAL_M))</f>
        <v/>
      </c>
      <c r="S75" s="178" t="str">
        <f aca="false">IF($B75="","",P75+Q75-R75)</f>
        <v/>
      </c>
      <c r="T75" s="117" t="str">
        <f aca="false">IF($B75="","",IF(S75&lt;-0.01,"✖ صرف أكثر من المستحق",IF(AND(M75&lt;&gt;"على رأس العمل",S75&gt;0.01),"⚠ مستحق لم يُصرف","✔ سليم")))</f>
        <v/>
      </c>
    </row>
    <row r="76" customFormat="false" ht="15" hidden="false" customHeight="false" outlineLevel="0" collapsed="false">
      <c r="B76" s="114" t="str">
        <f aca="false">IF(الموظفون!$B76="","",الموظفون!$B76)</f>
        <v/>
      </c>
      <c r="C76" s="114" t="str">
        <f aca="false">IF($B76="","",الموظفون!$C76)</f>
        <v/>
      </c>
      <c r="D76" s="174" t="str">
        <f aca="false">IF($B76="","",الموظفون!$H76)</f>
        <v/>
      </c>
      <c r="E76" s="174" t="str">
        <f aca="false">IF($B76="","",IF(OR(الموظفون!$AE76="",الموظفون!$AE76&gt;cfg_VAL_DATE),cfg_VAL_DATE,الموظفون!$AE76))</f>
        <v/>
      </c>
      <c r="F76" s="114" t="str">
        <f aca="false">IF($B76="","",IF(E76&lt;D76,"لم يباشر",DATEDIF(D76,E76+1,"y")&amp;" سنة "&amp;DATEDIF(D76,E76+1,"ym")&amp;" شهر "&amp;DATEDIF(D76,E76+1,"md")&amp;" يوم"))</f>
        <v/>
      </c>
      <c r="G76" s="65" t="str">
        <f aca="false">IF($B76="","",SUMIFS('سجل الإجازات والحالات'!$S$6:$S$505,'سجل الإجازات والحالات'!$B$6:$B$505,$B76))</f>
        <v/>
      </c>
      <c r="H76" s="155" t="str">
        <f aca="false">IF($B76="","",MAX(0,E76-D76+1-G76)/cfg_DAYS_Y)</f>
        <v/>
      </c>
      <c r="I76" s="111" t="str">
        <f aca="false">IF($B76="","",الموظفون!$Q76)</f>
        <v/>
      </c>
      <c r="J76" s="111" t="str">
        <f aca="false">IF($B76="","",I76*cfg_EOS_R1*MIN(H76,cfg_EOS_TH))</f>
        <v/>
      </c>
      <c r="K76" s="111" t="str">
        <f aca="false">IF($B76="","",I76*cfg_EOS_R2*MAX(H76-cfg_EOS_TH,0))</f>
        <v/>
      </c>
      <c r="L76" s="111" t="str">
        <f aca="false">IF($B76="","",J76+K76)</f>
        <v/>
      </c>
      <c r="M76" s="114" t="str">
        <f aca="false">IF($B76="","",IF(AND(الموظفون!$AE76&lt;&gt;"",الموظفون!$AE76&lt;=cfg_VAL_DATE),IF(الموظفون!$AF76="","⚠ حدد السبب",الموظفون!$AF76),"على رأس العمل"))</f>
        <v/>
      </c>
      <c r="N76" s="66" t="str">
        <f aca="false">IF($B76="","",VLOOKUP(H76,cfg_RES,2,TRUE()))</f>
        <v/>
      </c>
      <c r="O76" s="111" t="str">
        <f aca="false">IF($B76="","",IF(M76="استقالة",L76*N76,L76))</f>
        <v/>
      </c>
      <c r="P76" s="111" t="str">
        <f aca="false">IF($B76="","",I76*(cfg_EOS_R1*MIN((MAX(0,IF(OR(الموظفون!$AE76="",الموظفون!$AE76&gt;=cfg_Y_START),cfg_Y_START-1,الموظفون!$AE76)-D76+1-SUMIFS('سجل الإجازات والحالات'!$R$6:$R$505,'سجل الإجازات والحالات'!$B$6:$B$505,$B76))/cfg_DAYS_Y),cfg_EOS_TH)+cfg_EOS_R2*MAX((MAX(0,IF(OR(الموظفون!$AE76="",الموظفون!$AE76&gt;=cfg_Y_START),cfg_Y_START-1,الموظفون!$AE76)-D76+1-SUMIFS('سجل الإجازات والحالات'!$R$6:$R$505,'سجل الإجازات والحالات'!$B$6:$B$505,$B76))/cfg_DAYS_Y)-cfg_EOS_TH,0)))</f>
        <v/>
      </c>
      <c r="Q76" s="111" t="str">
        <f aca="false">IF($B76="","",O76-P76)</f>
        <v/>
      </c>
      <c r="R76" s="111" t="str">
        <f aca="false">IF($B76="","",SUMIFS('الحركات الشهرية'!$N$6:$N$1005,'الحركات الشهرية'!$B$6:$B$1005,B76,'الحركات الشهرية'!$A$6:$A$1005,"&lt;="&amp;cfg_VAL_M))</f>
        <v/>
      </c>
      <c r="S76" s="177" t="str">
        <f aca="false">IF($B76="","",P76+Q76-R76)</f>
        <v/>
      </c>
      <c r="T76" s="114" t="str">
        <f aca="false">IF($B76="","",IF(S76&lt;-0.01,"✖ صرف أكثر من المستحق",IF(AND(M76&lt;&gt;"على رأس العمل",S76&gt;0.01),"⚠ مستحق لم يُصرف","✔ سليم")))</f>
        <v/>
      </c>
    </row>
    <row r="77" customFormat="false" ht="15" hidden="false" customHeight="false" outlineLevel="0" collapsed="false">
      <c r="B77" s="117" t="str">
        <f aca="false">IF(الموظفون!$B77="","",الموظفون!$B77)</f>
        <v/>
      </c>
      <c r="C77" s="117" t="str">
        <f aca="false">IF($B77="","",الموظفون!$C77)</f>
        <v/>
      </c>
      <c r="D77" s="175" t="str">
        <f aca="false">IF($B77="","",الموظفون!$H77)</f>
        <v/>
      </c>
      <c r="E77" s="175" t="str">
        <f aca="false">IF($B77="","",IF(OR(الموظفون!$AE77="",الموظفون!$AE77&gt;cfg_VAL_DATE),cfg_VAL_DATE,الموظفون!$AE77))</f>
        <v/>
      </c>
      <c r="F77" s="117" t="str">
        <f aca="false">IF($B77="","",IF(E77&lt;D77,"لم يباشر",DATEDIF(D77,E77+1,"y")&amp;" سنة "&amp;DATEDIF(D77,E77+1,"ym")&amp;" شهر "&amp;DATEDIF(D77,E77+1,"md")&amp;" يوم"))</f>
        <v/>
      </c>
      <c r="G77" s="133" t="str">
        <f aca="false">IF($B77="","",SUMIFS('سجل الإجازات والحالات'!$S$6:$S$505,'سجل الإجازات والحالات'!$B$6:$B$505,$B77))</f>
        <v/>
      </c>
      <c r="H77" s="160" t="str">
        <f aca="false">IF($B77="","",MAX(0,E77-D77+1-G77)/cfg_DAYS_Y)</f>
        <v/>
      </c>
      <c r="I77" s="116" t="str">
        <f aca="false">IF($B77="","",الموظفون!$Q77)</f>
        <v/>
      </c>
      <c r="J77" s="116" t="str">
        <f aca="false">IF($B77="","",I77*cfg_EOS_R1*MIN(H77,cfg_EOS_TH))</f>
        <v/>
      </c>
      <c r="K77" s="116" t="str">
        <f aca="false">IF($B77="","",I77*cfg_EOS_R2*MAX(H77-cfg_EOS_TH,0))</f>
        <v/>
      </c>
      <c r="L77" s="116" t="str">
        <f aca="false">IF($B77="","",J77+K77)</f>
        <v/>
      </c>
      <c r="M77" s="117" t="str">
        <f aca="false">IF($B77="","",IF(AND(الموظفون!$AE77&lt;&gt;"",الموظفون!$AE77&lt;=cfg_VAL_DATE),IF(الموظفون!$AF77="","⚠ حدد السبب",الموظفون!$AF77),"على رأس العمل"))</f>
        <v/>
      </c>
      <c r="N77" s="134" t="str">
        <f aca="false">IF($B77="","",VLOOKUP(H77,cfg_RES,2,TRUE()))</f>
        <v/>
      </c>
      <c r="O77" s="116" t="str">
        <f aca="false">IF($B77="","",IF(M77="استقالة",L77*N77,L77))</f>
        <v/>
      </c>
      <c r="P77" s="116" t="str">
        <f aca="false">IF($B77="","",I77*(cfg_EOS_R1*MIN((MAX(0,IF(OR(الموظفون!$AE77="",الموظفون!$AE77&gt;=cfg_Y_START),cfg_Y_START-1,الموظفون!$AE77)-D77+1-SUMIFS('سجل الإجازات والحالات'!$R$6:$R$505,'سجل الإجازات والحالات'!$B$6:$B$505,$B77))/cfg_DAYS_Y),cfg_EOS_TH)+cfg_EOS_R2*MAX((MAX(0,IF(OR(الموظفون!$AE77="",الموظفون!$AE77&gt;=cfg_Y_START),cfg_Y_START-1,الموظفون!$AE77)-D77+1-SUMIFS('سجل الإجازات والحالات'!$R$6:$R$505,'سجل الإجازات والحالات'!$B$6:$B$505,$B77))/cfg_DAYS_Y)-cfg_EOS_TH,0)))</f>
        <v/>
      </c>
      <c r="Q77" s="116" t="str">
        <f aca="false">IF($B77="","",O77-P77)</f>
        <v/>
      </c>
      <c r="R77" s="116" t="str">
        <f aca="false">IF($B77="","",SUMIFS('الحركات الشهرية'!$N$6:$N$1005,'الحركات الشهرية'!$B$6:$B$1005,B77,'الحركات الشهرية'!$A$6:$A$1005,"&lt;="&amp;cfg_VAL_M))</f>
        <v/>
      </c>
      <c r="S77" s="178" t="str">
        <f aca="false">IF($B77="","",P77+Q77-R77)</f>
        <v/>
      </c>
      <c r="T77" s="117" t="str">
        <f aca="false">IF($B77="","",IF(S77&lt;-0.01,"✖ صرف أكثر من المستحق",IF(AND(M77&lt;&gt;"على رأس العمل",S77&gt;0.01),"⚠ مستحق لم يُصرف","✔ سليم")))</f>
        <v/>
      </c>
    </row>
    <row r="78" customFormat="false" ht="15" hidden="false" customHeight="false" outlineLevel="0" collapsed="false">
      <c r="B78" s="114" t="str">
        <f aca="false">IF(الموظفون!$B78="","",الموظفون!$B78)</f>
        <v/>
      </c>
      <c r="C78" s="114" t="str">
        <f aca="false">IF($B78="","",الموظفون!$C78)</f>
        <v/>
      </c>
      <c r="D78" s="174" t="str">
        <f aca="false">IF($B78="","",الموظفون!$H78)</f>
        <v/>
      </c>
      <c r="E78" s="174" t="str">
        <f aca="false">IF($B78="","",IF(OR(الموظفون!$AE78="",الموظفون!$AE78&gt;cfg_VAL_DATE),cfg_VAL_DATE,الموظفون!$AE78))</f>
        <v/>
      </c>
      <c r="F78" s="114" t="str">
        <f aca="false">IF($B78="","",IF(E78&lt;D78,"لم يباشر",DATEDIF(D78,E78+1,"y")&amp;" سنة "&amp;DATEDIF(D78,E78+1,"ym")&amp;" شهر "&amp;DATEDIF(D78,E78+1,"md")&amp;" يوم"))</f>
        <v/>
      </c>
      <c r="G78" s="65" t="str">
        <f aca="false">IF($B78="","",SUMIFS('سجل الإجازات والحالات'!$S$6:$S$505,'سجل الإجازات والحالات'!$B$6:$B$505,$B78))</f>
        <v/>
      </c>
      <c r="H78" s="155" t="str">
        <f aca="false">IF($B78="","",MAX(0,E78-D78+1-G78)/cfg_DAYS_Y)</f>
        <v/>
      </c>
      <c r="I78" s="111" t="str">
        <f aca="false">IF($B78="","",الموظفون!$Q78)</f>
        <v/>
      </c>
      <c r="J78" s="111" t="str">
        <f aca="false">IF($B78="","",I78*cfg_EOS_R1*MIN(H78,cfg_EOS_TH))</f>
        <v/>
      </c>
      <c r="K78" s="111" t="str">
        <f aca="false">IF($B78="","",I78*cfg_EOS_R2*MAX(H78-cfg_EOS_TH,0))</f>
        <v/>
      </c>
      <c r="L78" s="111" t="str">
        <f aca="false">IF($B78="","",J78+K78)</f>
        <v/>
      </c>
      <c r="M78" s="114" t="str">
        <f aca="false">IF($B78="","",IF(AND(الموظفون!$AE78&lt;&gt;"",الموظفون!$AE78&lt;=cfg_VAL_DATE),IF(الموظفون!$AF78="","⚠ حدد السبب",الموظفون!$AF78),"على رأس العمل"))</f>
        <v/>
      </c>
      <c r="N78" s="66" t="str">
        <f aca="false">IF($B78="","",VLOOKUP(H78,cfg_RES,2,TRUE()))</f>
        <v/>
      </c>
      <c r="O78" s="111" t="str">
        <f aca="false">IF($B78="","",IF(M78="استقالة",L78*N78,L78))</f>
        <v/>
      </c>
      <c r="P78" s="111" t="str">
        <f aca="false">IF($B78="","",I78*(cfg_EOS_R1*MIN((MAX(0,IF(OR(الموظفون!$AE78="",الموظفون!$AE78&gt;=cfg_Y_START),cfg_Y_START-1,الموظفون!$AE78)-D78+1-SUMIFS('سجل الإجازات والحالات'!$R$6:$R$505,'سجل الإجازات والحالات'!$B$6:$B$505,$B78))/cfg_DAYS_Y),cfg_EOS_TH)+cfg_EOS_R2*MAX((MAX(0,IF(OR(الموظفون!$AE78="",الموظفون!$AE78&gt;=cfg_Y_START),cfg_Y_START-1,الموظفون!$AE78)-D78+1-SUMIFS('سجل الإجازات والحالات'!$R$6:$R$505,'سجل الإجازات والحالات'!$B$6:$B$505,$B78))/cfg_DAYS_Y)-cfg_EOS_TH,0)))</f>
        <v/>
      </c>
      <c r="Q78" s="111" t="str">
        <f aca="false">IF($B78="","",O78-P78)</f>
        <v/>
      </c>
      <c r="R78" s="111" t="str">
        <f aca="false">IF($B78="","",SUMIFS('الحركات الشهرية'!$N$6:$N$1005,'الحركات الشهرية'!$B$6:$B$1005,B78,'الحركات الشهرية'!$A$6:$A$1005,"&lt;="&amp;cfg_VAL_M))</f>
        <v/>
      </c>
      <c r="S78" s="177" t="str">
        <f aca="false">IF($B78="","",P78+Q78-R78)</f>
        <v/>
      </c>
      <c r="T78" s="114" t="str">
        <f aca="false">IF($B78="","",IF(S78&lt;-0.01,"✖ صرف أكثر من المستحق",IF(AND(M78&lt;&gt;"على رأس العمل",S78&gt;0.01),"⚠ مستحق لم يُصرف","✔ سليم")))</f>
        <v/>
      </c>
    </row>
    <row r="79" customFormat="false" ht="15" hidden="false" customHeight="false" outlineLevel="0" collapsed="false">
      <c r="B79" s="117" t="str">
        <f aca="false">IF(الموظفون!$B79="","",الموظفون!$B79)</f>
        <v/>
      </c>
      <c r="C79" s="117" t="str">
        <f aca="false">IF($B79="","",الموظفون!$C79)</f>
        <v/>
      </c>
      <c r="D79" s="175" t="str">
        <f aca="false">IF($B79="","",الموظفون!$H79)</f>
        <v/>
      </c>
      <c r="E79" s="175" t="str">
        <f aca="false">IF($B79="","",IF(OR(الموظفون!$AE79="",الموظفون!$AE79&gt;cfg_VAL_DATE),cfg_VAL_DATE,الموظفون!$AE79))</f>
        <v/>
      </c>
      <c r="F79" s="117" t="str">
        <f aca="false">IF($B79="","",IF(E79&lt;D79,"لم يباشر",DATEDIF(D79,E79+1,"y")&amp;" سنة "&amp;DATEDIF(D79,E79+1,"ym")&amp;" شهر "&amp;DATEDIF(D79,E79+1,"md")&amp;" يوم"))</f>
        <v/>
      </c>
      <c r="G79" s="133" t="str">
        <f aca="false">IF($B79="","",SUMIFS('سجل الإجازات والحالات'!$S$6:$S$505,'سجل الإجازات والحالات'!$B$6:$B$505,$B79))</f>
        <v/>
      </c>
      <c r="H79" s="160" t="str">
        <f aca="false">IF($B79="","",MAX(0,E79-D79+1-G79)/cfg_DAYS_Y)</f>
        <v/>
      </c>
      <c r="I79" s="116" t="str">
        <f aca="false">IF($B79="","",الموظفون!$Q79)</f>
        <v/>
      </c>
      <c r="J79" s="116" t="str">
        <f aca="false">IF($B79="","",I79*cfg_EOS_R1*MIN(H79,cfg_EOS_TH))</f>
        <v/>
      </c>
      <c r="K79" s="116" t="str">
        <f aca="false">IF($B79="","",I79*cfg_EOS_R2*MAX(H79-cfg_EOS_TH,0))</f>
        <v/>
      </c>
      <c r="L79" s="116" t="str">
        <f aca="false">IF($B79="","",J79+K79)</f>
        <v/>
      </c>
      <c r="M79" s="117" t="str">
        <f aca="false">IF($B79="","",IF(AND(الموظفون!$AE79&lt;&gt;"",الموظفون!$AE79&lt;=cfg_VAL_DATE),IF(الموظفون!$AF79="","⚠ حدد السبب",الموظفون!$AF79),"على رأس العمل"))</f>
        <v/>
      </c>
      <c r="N79" s="134" t="str">
        <f aca="false">IF($B79="","",VLOOKUP(H79,cfg_RES,2,TRUE()))</f>
        <v/>
      </c>
      <c r="O79" s="116" t="str">
        <f aca="false">IF($B79="","",IF(M79="استقالة",L79*N79,L79))</f>
        <v/>
      </c>
      <c r="P79" s="116" t="str">
        <f aca="false">IF($B79="","",I79*(cfg_EOS_R1*MIN((MAX(0,IF(OR(الموظفون!$AE79="",الموظفون!$AE79&gt;=cfg_Y_START),cfg_Y_START-1,الموظفون!$AE79)-D79+1-SUMIFS('سجل الإجازات والحالات'!$R$6:$R$505,'سجل الإجازات والحالات'!$B$6:$B$505,$B79))/cfg_DAYS_Y),cfg_EOS_TH)+cfg_EOS_R2*MAX((MAX(0,IF(OR(الموظفون!$AE79="",الموظفون!$AE79&gt;=cfg_Y_START),cfg_Y_START-1,الموظفون!$AE79)-D79+1-SUMIFS('سجل الإجازات والحالات'!$R$6:$R$505,'سجل الإجازات والحالات'!$B$6:$B$505,$B79))/cfg_DAYS_Y)-cfg_EOS_TH,0)))</f>
        <v/>
      </c>
      <c r="Q79" s="116" t="str">
        <f aca="false">IF($B79="","",O79-P79)</f>
        <v/>
      </c>
      <c r="R79" s="116" t="str">
        <f aca="false">IF($B79="","",SUMIFS('الحركات الشهرية'!$N$6:$N$1005,'الحركات الشهرية'!$B$6:$B$1005,B79,'الحركات الشهرية'!$A$6:$A$1005,"&lt;="&amp;cfg_VAL_M))</f>
        <v/>
      </c>
      <c r="S79" s="178" t="str">
        <f aca="false">IF($B79="","",P79+Q79-R79)</f>
        <v/>
      </c>
      <c r="T79" s="117" t="str">
        <f aca="false">IF($B79="","",IF(S79&lt;-0.01,"✖ صرف أكثر من المستحق",IF(AND(M79&lt;&gt;"على رأس العمل",S79&gt;0.01),"⚠ مستحق لم يُصرف","✔ سليم")))</f>
        <v/>
      </c>
    </row>
    <row r="80" customFormat="false" ht="15" hidden="false" customHeight="false" outlineLevel="0" collapsed="false">
      <c r="B80" s="114" t="str">
        <f aca="false">IF(الموظفون!$B80="","",الموظفون!$B80)</f>
        <v/>
      </c>
      <c r="C80" s="114" t="str">
        <f aca="false">IF($B80="","",الموظفون!$C80)</f>
        <v/>
      </c>
      <c r="D80" s="174" t="str">
        <f aca="false">IF($B80="","",الموظفون!$H80)</f>
        <v/>
      </c>
      <c r="E80" s="174" t="str">
        <f aca="false">IF($B80="","",IF(OR(الموظفون!$AE80="",الموظفون!$AE80&gt;cfg_VAL_DATE),cfg_VAL_DATE,الموظفون!$AE80))</f>
        <v/>
      </c>
      <c r="F80" s="114" t="str">
        <f aca="false">IF($B80="","",IF(E80&lt;D80,"لم يباشر",DATEDIF(D80,E80+1,"y")&amp;" سنة "&amp;DATEDIF(D80,E80+1,"ym")&amp;" شهر "&amp;DATEDIF(D80,E80+1,"md")&amp;" يوم"))</f>
        <v/>
      </c>
      <c r="G80" s="65" t="str">
        <f aca="false">IF($B80="","",SUMIFS('سجل الإجازات والحالات'!$S$6:$S$505,'سجل الإجازات والحالات'!$B$6:$B$505,$B80))</f>
        <v/>
      </c>
      <c r="H80" s="155" t="str">
        <f aca="false">IF($B80="","",MAX(0,E80-D80+1-G80)/cfg_DAYS_Y)</f>
        <v/>
      </c>
      <c r="I80" s="111" t="str">
        <f aca="false">IF($B80="","",الموظفون!$Q80)</f>
        <v/>
      </c>
      <c r="J80" s="111" t="str">
        <f aca="false">IF($B80="","",I80*cfg_EOS_R1*MIN(H80,cfg_EOS_TH))</f>
        <v/>
      </c>
      <c r="K80" s="111" t="str">
        <f aca="false">IF($B80="","",I80*cfg_EOS_R2*MAX(H80-cfg_EOS_TH,0))</f>
        <v/>
      </c>
      <c r="L80" s="111" t="str">
        <f aca="false">IF($B80="","",J80+K80)</f>
        <v/>
      </c>
      <c r="M80" s="114" t="str">
        <f aca="false">IF($B80="","",IF(AND(الموظفون!$AE80&lt;&gt;"",الموظفون!$AE80&lt;=cfg_VAL_DATE),IF(الموظفون!$AF80="","⚠ حدد السبب",الموظفون!$AF80),"على رأس العمل"))</f>
        <v/>
      </c>
      <c r="N80" s="66" t="str">
        <f aca="false">IF($B80="","",VLOOKUP(H80,cfg_RES,2,TRUE()))</f>
        <v/>
      </c>
      <c r="O80" s="111" t="str">
        <f aca="false">IF($B80="","",IF(M80="استقالة",L80*N80,L80))</f>
        <v/>
      </c>
      <c r="P80" s="111" t="str">
        <f aca="false">IF($B80="","",I80*(cfg_EOS_R1*MIN((MAX(0,IF(OR(الموظفون!$AE80="",الموظفون!$AE80&gt;=cfg_Y_START),cfg_Y_START-1,الموظفون!$AE80)-D80+1-SUMIFS('سجل الإجازات والحالات'!$R$6:$R$505,'سجل الإجازات والحالات'!$B$6:$B$505,$B80))/cfg_DAYS_Y),cfg_EOS_TH)+cfg_EOS_R2*MAX((MAX(0,IF(OR(الموظفون!$AE80="",الموظفون!$AE80&gt;=cfg_Y_START),cfg_Y_START-1,الموظفون!$AE80)-D80+1-SUMIFS('سجل الإجازات والحالات'!$R$6:$R$505,'سجل الإجازات والحالات'!$B$6:$B$505,$B80))/cfg_DAYS_Y)-cfg_EOS_TH,0)))</f>
        <v/>
      </c>
      <c r="Q80" s="111" t="str">
        <f aca="false">IF($B80="","",O80-P80)</f>
        <v/>
      </c>
      <c r="R80" s="111" t="str">
        <f aca="false">IF($B80="","",SUMIFS('الحركات الشهرية'!$N$6:$N$1005,'الحركات الشهرية'!$B$6:$B$1005,B80,'الحركات الشهرية'!$A$6:$A$1005,"&lt;="&amp;cfg_VAL_M))</f>
        <v/>
      </c>
      <c r="S80" s="177" t="str">
        <f aca="false">IF($B80="","",P80+Q80-R80)</f>
        <v/>
      </c>
      <c r="T80" s="114" t="str">
        <f aca="false">IF($B80="","",IF(S80&lt;-0.01,"✖ صرف أكثر من المستحق",IF(AND(M80&lt;&gt;"على رأس العمل",S80&gt;0.01),"⚠ مستحق لم يُصرف","✔ سليم")))</f>
        <v/>
      </c>
    </row>
    <row r="81" customFormat="false" ht="15" hidden="false" customHeight="false" outlineLevel="0" collapsed="false">
      <c r="B81" s="117" t="str">
        <f aca="false">IF(الموظفون!$B81="","",الموظفون!$B81)</f>
        <v/>
      </c>
      <c r="C81" s="117" t="str">
        <f aca="false">IF($B81="","",الموظفون!$C81)</f>
        <v/>
      </c>
      <c r="D81" s="175" t="str">
        <f aca="false">IF($B81="","",الموظفون!$H81)</f>
        <v/>
      </c>
      <c r="E81" s="175" t="str">
        <f aca="false">IF($B81="","",IF(OR(الموظفون!$AE81="",الموظفون!$AE81&gt;cfg_VAL_DATE),cfg_VAL_DATE,الموظفون!$AE81))</f>
        <v/>
      </c>
      <c r="F81" s="117" t="str">
        <f aca="false">IF($B81="","",IF(E81&lt;D81,"لم يباشر",DATEDIF(D81,E81+1,"y")&amp;" سنة "&amp;DATEDIF(D81,E81+1,"ym")&amp;" شهر "&amp;DATEDIF(D81,E81+1,"md")&amp;" يوم"))</f>
        <v/>
      </c>
      <c r="G81" s="133" t="str">
        <f aca="false">IF($B81="","",SUMIFS('سجل الإجازات والحالات'!$S$6:$S$505,'سجل الإجازات والحالات'!$B$6:$B$505,$B81))</f>
        <v/>
      </c>
      <c r="H81" s="160" t="str">
        <f aca="false">IF($B81="","",MAX(0,E81-D81+1-G81)/cfg_DAYS_Y)</f>
        <v/>
      </c>
      <c r="I81" s="116" t="str">
        <f aca="false">IF($B81="","",الموظفون!$Q81)</f>
        <v/>
      </c>
      <c r="J81" s="116" t="str">
        <f aca="false">IF($B81="","",I81*cfg_EOS_R1*MIN(H81,cfg_EOS_TH))</f>
        <v/>
      </c>
      <c r="K81" s="116" t="str">
        <f aca="false">IF($B81="","",I81*cfg_EOS_R2*MAX(H81-cfg_EOS_TH,0))</f>
        <v/>
      </c>
      <c r="L81" s="116" t="str">
        <f aca="false">IF($B81="","",J81+K81)</f>
        <v/>
      </c>
      <c r="M81" s="117" t="str">
        <f aca="false">IF($B81="","",IF(AND(الموظفون!$AE81&lt;&gt;"",الموظفون!$AE81&lt;=cfg_VAL_DATE),IF(الموظفون!$AF81="","⚠ حدد السبب",الموظفون!$AF81),"على رأس العمل"))</f>
        <v/>
      </c>
      <c r="N81" s="134" t="str">
        <f aca="false">IF($B81="","",VLOOKUP(H81,cfg_RES,2,TRUE()))</f>
        <v/>
      </c>
      <c r="O81" s="116" t="str">
        <f aca="false">IF($B81="","",IF(M81="استقالة",L81*N81,L81))</f>
        <v/>
      </c>
      <c r="P81" s="116" t="str">
        <f aca="false">IF($B81="","",I81*(cfg_EOS_R1*MIN((MAX(0,IF(OR(الموظفون!$AE81="",الموظفون!$AE81&gt;=cfg_Y_START),cfg_Y_START-1,الموظفون!$AE81)-D81+1-SUMIFS('سجل الإجازات والحالات'!$R$6:$R$505,'سجل الإجازات والحالات'!$B$6:$B$505,$B81))/cfg_DAYS_Y),cfg_EOS_TH)+cfg_EOS_R2*MAX((MAX(0,IF(OR(الموظفون!$AE81="",الموظفون!$AE81&gt;=cfg_Y_START),cfg_Y_START-1,الموظفون!$AE81)-D81+1-SUMIFS('سجل الإجازات والحالات'!$R$6:$R$505,'سجل الإجازات والحالات'!$B$6:$B$505,$B81))/cfg_DAYS_Y)-cfg_EOS_TH,0)))</f>
        <v/>
      </c>
      <c r="Q81" s="116" t="str">
        <f aca="false">IF($B81="","",O81-P81)</f>
        <v/>
      </c>
      <c r="R81" s="116" t="str">
        <f aca="false">IF($B81="","",SUMIFS('الحركات الشهرية'!$N$6:$N$1005,'الحركات الشهرية'!$B$6:$B$1005,B81,'الحركات الشهرية'!$A$6:$A$1005,"&lt;="&amp;cfg_VAL_M))</f>
        <v/>
      </c>
      <c r="S81" s="178" t="str">
        <f aca="false">IF($B81="","",P81+Q81-R81)</f>
        <v/>
      </c>
      <c r="T81" s="117" t="str">
        <f aca="false">IF($B81="","",IF(S81&lt;-0.01,"✖ صرف أكثر من المستحق",IF(AND(M81&lt;&gt;"على رأس العمل",S81&gt;0.01),"⚠ مستحق لم يُصرف","✔ سليم")))</f>
        <v/>
      </c>
    </row>
    <row r="82" customFormat="false" ht="15" hidden="false" customHeight="false" outlineLevel="0" collapsed="false">
      <c r="B82" s="114" t="str">
        <f aca="false">IF(الموظفون!$B82="","",الموظفون!$B82)</f>
        <v/>
      </c>
      <c r="C82" s="114" t="str">
        <f aca="false">IF($B82="","",الموظفون!$C82)</f>
        <v/>
      </c>
      <c r="D82" s="174" t="str">
        <f aca="false">IF($B82="","",الموظفون!$H82)</f>
        <v/>
      </c>
      <c r="E82" s="174" t="str">
        <f aca="false">IF($B82="","",IF(OR(الموظفون!$AE82="",الموظفون!$AE82&gt;cfg_VAL_DATE),cfg_VAL_DATE,الموظفون!$AE82))</f>
        <v/>
      </c>
      <c r="F82" s="114" t="str">
        <f aca="false">IF($B82="","",IF(E82&lt;D82,"لم يباشر",DATEDIF(D82,E82+1,"y")&amp;" سنة "&amp;DATEDIF(D82,E82+1,"ym")&amp;" شهر "&amp;DATEDIF(D82,E82+1,"md")&amp;" يوم"))</f>
        <v/>
      </c>
      <c r="G82" s="65" t="str">
        <f aca="false">IF($B82="","",SUMIFS('سجل الإجازات والحالات'!$S$6:$S$505,'سجل الإجازات والحالات'!$B$6:$B$505,$B82))</f>
        <v/>
      </c>
      <c r="H82" s="155" t="str">
        <f aca="false">IF($B82="","",MAX(0,E82-D82+1-G82)/cfg_DAYS_Y)</f>
        <v/>
      </c>
      <c r="I82" s="111" t="str">
        <f aca="false">IF($B82="","",الموظفون!$Q82)</f>
        <v/>
      </c>
      <c r="J82" s="111" t="str">
        <f aca="false">IF($B82="","",I82*cfg_EOS_R1*MIN(H82,cfg_EOS_TH))</f>
        <v/>
      </c>
      <c r="K82" s="111" t="str">
        <f aca="false">IF($B82="","",I82*cfg_EOS_R2*MAX(H82-cfg_EOS_TH,0))</f>
        <v/>
      </c>
      <c r="L82" s="111" t="str">
        <f aca="false">IF($B82="","",J82+K82)</f>
        <v/>
      </c>
      <c r="M82" s="114" t="str">
        <f aca="false">IF($B82="","",IF(AND(الموظفون!$AE82&lt;&gt;"",الموظفون!$AE82&lt;=cfg_VAL_DATE),IF(الموظفون!$AF82="","⚠ حدد السبب",الموظفون!$AF82),"على رأس العمل"))</f>
        <v/>
      </c>
      <c r="N82" s="66" t="str">
        <f aca="false">IF($B82="","",VLOOKUP(H82,cfg_RES,2,TRUE()))</f>
        <v/>
      </c>
      <c r="O82" s="111" t="str">
        <f aca="false">IF($B82="","",IF(M82="استقالة",L82*N82,L82))</f>
        <v/>
      </c>
      <c r="P82" s="111" t="str">
        <f aca="false">IF($B82="","",I82*(cfg_EOS_R1*MIN((MAX(0,IF(OR(الموظفون!$AE82="",الموظفون!$AE82&gt;=cfg_Y_START),cfg_Y_START-1,الموظفون!$AE82)-D82+1-SUMIFS('سجل الإجازات والحالات'!$R$6:$R$505,'سجل الإجازات والحالات'!$B$6:$B$505,$B82))/cfg_DAYS_Y),cfg_EOS_TH)+cfg_EOS_R2*MAX((MAX(0,IF(OR(الموظفون!$AE82="",الموظفون!$AE82&gt;=cfg_Y_START),cfg_Y_START-1,الموظفون!$AE82)-D82+1-SUMIFS('سجل الإجازات والحالات'!$R$6:$R$505,'سجل الإجازات والحالات'!$B$6:$B$505,$B82))/cfg_DAYS_Y)-cfg_EOS_TH,0)))</f>
        <v/>
      </c>
      <c r="Q82" s="111" t="str">
        <f aca="false">IF($B82="","",O82-P82)</f>
        <v/>
      </c>
      <c r="R82" s="111" t="str">
        <f aca="false">IF($B82="","",SUMIFS('الحركات الشهرية'!$N$6:$N$1005,'الحركات الشهرية'!$B$6:$B$1005,B82,'الحركات الشهرية'!$A$6:$A$1005,"&lt;="&amp;cfg_VAL_M))</f>
        <v/>
      </c>
      <c r="S82" s="177" t="str">
        <f aca="false">IF($B82="","",P82+Q82-R82)</f>
        <v/>
      </c>
      <c r="T82" s="114" t="str">
        <f aca="false">IF($B82="","",IF(S82&lt;-0.01,"✖ صرف أكثر من المستحق",IF(AND(M82&lt;&gt;"على رأس العمل",S82&gt;0.01),"⚠ مستحق لم يُصرف","✔ سليم")))</f>
        <v/>
      </c>
    </row>
    <row r="83" customFormat="false" ht="15" hidden="false" customHeight="false" outlineLevel="0" collapsed="false">
      <c r="B83" s="117" t="str">
        <f aca="false">IF(الموظفون!$B83="","",الموظفون!$B83)</f>
        <v/>
      </c>
      <c r="C83" s="117" t="str">
        <f aca="false">IF($B83="","",الموظفون!$C83)</f>
        <v/>
      </c>
      <c r="D83" s="175" t="str">
        <f aca="false">IF($B83="","",الموظفون!$H83)</f>
        <v/>
      </c>
      <c r="E83" s="175" t="str">
        <f aca="false">IF($B83="","",IF(OR(الموظفون!$AE83="",الموظفون!$AE83&gt;cfg_VAL_DATE),cfg_VAL_DATE,الموظفون!$AE83))</f>
        <v/>
      </c>
      <c r="F83" s="117" t="str">
        <f aca="false">IF($B83="","",IF(E83&lt;D83,"لم يباشر",DATEDIF(D83,E83+1,"y")&amp;" سنة "&amp;DATEDIF(D83,E83+1,"ym")&amp;" شهر "&amp;DATEDIF(D83,E83+1,"md")&amp;" يوم"))</f>
        <v/>
      </c>
      <c r="G83" s="133" t="str">
        <f aca="false">IF($B83="","",SUMIFS('سجل الإجازات والحالات'!$S$6:$S$505,'سجل الإجازات والحالات'!$B$6:$B$505,$B83))</f>
        <v/>
      </c>
      <c r="H83" s="160" t="str">
        <f aca="false">IF($B83="","",MAX(0,E83-D83+1-G83)/cfg_DAYS_Y)</f>
        <v/>
      </c>
      <c r="I83" s="116" t="str">
        <f aca="false">IF($B83="","",الموظفون!$Q83)</f>
        <v/>
      </c>
      <c r="J83" s="116" t="str">
        <f aca="false">IF($B83="","",I83*cfg_EOS_R1*MIN(H83,cfg_EOS_TH))</f>
        <v/>
      </c>
      <c r="K83" s="116" t="str">
        <f aca="false">IF($B83="","",I83*cfg_EOS_R2*MAX(H83-cfg_EOS_TH,0))</f>
        <v/>
      </c>
      <c r="L83" s="116" t="str">
        <f aca="false">IF($B83="","",J83+K83)</f>
        <v/>
      </c>
      <c r="M83" s="117" t="str">
        <f aca="false">IF($B83="","",IF(AND(الموظفون!$AE83&lt;&gt;"",الموظفون!$AE83&lt;=cfg_VAL_DATE),IF(الموظفون!$AF83="","⚠ حدد السبب",الموظفون!$AF83),"على رأس العمل"))</f>
        <v/>
      </c>
      <c r="N83" s="134" t="str">
        <f aca="false">IF($B83="","",VLOOKUP(H83,cfg_RES,2,TRUE()))</f>
        <v/>
      </c>
      <c r="O83" s="116" t="str">
        <f aca="false">IF($B83="","",IF(M83="استقالة",L83*N83,L83))</f>
        <v/>
      </c>
      <c r="P83" s="116" t="str">
        <f aca="false">IF($B83="","",I83*(cfg_EOS_R1*MIN((MAX(0,IF(OR(الموظفون!$AE83="",الموظفون!$AE83&gt;=cfg_Y_START),cfg_Y_START-1,الموظفون!$AE83)-D83+1-SUMIFS('سجل الإجازات والحالات'!$R$6:$R$505,'سجل الإجازات والحالات'!$B$6:$B$505,$B83))/cfg_DAYS_Y),cfg_EOS_TH)+cfg_EOS_R2*MAX((MAX(0,IF(OR(الموظفون!$AE83="",الموظفون!$AE83&gt;=cfg_Y_START),cfg_Y_START-1,الموظفون!$AE83)-D83+1-SUMIFS('سجل الإجازات والحالات'!$R$6:$R$505,'سجل الإجازات والحالات'!$B$6:$B$505,$B83))/cfg_DAYS_Y)-cfg_EOS_TH,0)))</f>
        <v/>
      </c>
      <c r="Q83" s="116" t="str">
        <f aca="false">IF($B83="","",O83-P83)</f>
        <v/>
      </c>
      <c r="R83" s="116" t="str">
        <f aca="false">IF($B83="","",SUMIFS('الحركات الشهرية'!$N$6:$N$1005,'الحركات الشهرية'!$B$6:$B$1005,B83,'الحركات الشهرية'!$A$6:$A$1005,"&lt;="&amp;cfg_VAL_M))</f>
        <v/>
      </c>
      <c r="S83" s="178" t="str">
        <f aca="false">IF($B83="","",P83+Q83-R83)</f>
        <v/>
      </c>
      <c r="T83" s="117" t="str">
        <f aca="false">IF($B83="","",IF(S83&lt;-0.01,"✖ صرف أكثر من المستحق",IF(AND(M83&lt;&gt;"على رأس العمل",S83&gt;0.01),"⚠ مستحق لم يُصرف","✔ سليم")))</f>
        <v/>
      </c>
    </row>
    <row r="84" customFormat="false" ht="15" hidden="false" customHeight="false" outlineLevel="0" collapsed="false">
      <c r="B84" s="114" t="str">
        <f aca="false">IF(الموظفون!$B84="","",الموظفون!$B84)</f>
        <v/>
      </c>
      <c r="C84" s="114" t="str">
        <f aca="false">IF($B84="","",الموظفون!$C84)</f>
        <v/>
      </c>
      <c r="D84" s="174" t="str">
        <f aca="false">IF($B84="","",الموظفون!$H84)</f>
        <v/>
      </c>
      <c r="E84" s="174" t="str">
        <f aca="false">IF($B84="","",IF(OR(الموظفون!$AE84="",الموظفون!$AE84&gt;cfg_VAL_DATE),cfg_VAL_DATE,الموظفون!$AE84))</f>
        <v/>
      </c>
      <c r="F84" s="114" t="str">
        <f aca="false">IF($B84="","",IF(E84&lt;D84,"لم يباشر",DATEDIF(D84,E84+1,"y")&amp;" سنة "&amp;DATEDIF(D84,E84+1,"ym")&amp;" شهر "&amp;DATEDIF(D84,E84+1,"md")&amp;" يوم"))</f>
        <v/>
      </c>
      <c r="G84" s="65" t="str">
        <f aca="false">IF($B84="","",SUMIFS('سجل الإجازات والحالات'!$S$6:$S$505,'سجل الإجازات والحالات'!$B$6:$B$505,$B84))</f>
        <v/>
      </c>
      <c r="H84" s="155" t="str">
        <f aca="false">IF($B84="","",MAX(0,E84-D84+1-G84)/cfg_DAYS_Y)</f>
        <v/>
      </c>
      <c r="I84" s="111" t="str">
        <f aca="false">IF($B84="","",الموظفون!$Q84)</f>
        <v/>
      </c>
      <c r="J84" s="111" t="str">
        <f aca="false">IF($B84="","",I84*cfg_EOS_R1*MIN(H84,cfg_EOS_TH))</f>
        <v/>
      </c>
      <c r="K84" s="111" t="str">
        <f aca="false">IF($B84="","",I84*cfg_EOS_R2*MAX(H84-cfg_EOS_TH,0))</f>
        <v/>
      </c>
      <c r="L84" s="111" t="str">
        <f aca="false">IF($B84="","",J84+K84)</f>
        <v/>
      </c>
      <c r="M84" s="114" t="str">
        <f aca="false">IF($B84="","",IF(AND(الموظفون!$AE84&lt;&gt;"",الموظفون!$AE84&lt;=cfg_VAL_DATE),IF(الموظفون!$AF84="","⚠ حدد السبب",الموظفون!$AF84),"على رأس العمل"))</f>
        <v/>
      </c>
      <c r="N84" s="66" t="str">
        <f aca="false">IF($B84="","",VLOOKUP(H84,cfg_RES,2,TRUE()))</f>
        <v/>
      </c>
      <c r="O84" s="111" t="str">
        <f aca="false">IF($B84="","",IF(M84="استقالة",L84*N84,L84))</f>
        <v/>
      </c>
      <c r="P84" s="111" t="str">
        <f aca="false">IF($B84="","",I84*(cfg_EOS_R1*MIN((MAX(0,IF(OR(الموظفون!$AE84="",الموظفون!$AE84&gt;=cfg_Y_START),cfg_Y_START-1,الموظفون!$AE84)-D84+1-SUMIFS('سجل الإجازات والحالات'!$R$6:$R$505,'سجل الإجازات والحالات'!$B$6:$B$505,$B84))/cfg_DAYS_Y),cfg_EOS_TH)+cfg_EOS_R2*MAX((MAX(0,IF(OR(الموظفون!$AE84="",الموظفون!$AE84&gt;=cfg_Y_START),cfg_Y_START-1,الموظفون!$AE84)-D84+1-SUMIFS('سجل الإجازات والحالات'!$R$6:$R$505,'سجل الإجازات والحالات'!$B$6:$B$505,$B84))/cfg_DAYS_Y)-cfg_EOS_TH,0)))</f>
        <v/>
      </c>
      <c r="Q84" s="111" t="str">
        <f aca="false">IF($B84="","",O84-P84)</f>
        <v/>
      </c>
      <c r="R84" s="111" t="str">
        <f aca="false">IF($B84="","",SUMIFS('الحركات الشهرية'!$N$6:$N$1005,'الحركات الشهرية'!$B$6:$B$1005,B84,'الحركات الشهرية'!$A$6:$A$1005,"&lt;="&amp;cfg_VAL_M))</f>
        <v/>
      </c>
      <c r="S84" s="177" t="str">
        <f aca="false">IF($B84="","",P84+Q84-R84)</f>
        <v/>
      </c>
      <c r="T84" s="114" t="str">
        <f aca="false">IF($B84="","",IF(S84&lt;-0.01,"✖ صرف أكثر من المستحق",IF(AND(M84&lt;&gt;"على رأس العمل",S84&gt;0.01),"⚠ مستحق لم يُصرف","✔ سليم")))</f>
        <v/>
      </c>
    </row>
    <row r="85" customFormat="false" ht="15" hidden="false" customHeight="false" outlineLevel="0" collapsed="false">
      <c r="B85" s="117" t="str">
        <f aca="false">IF(الموظفون!$B85="","",الموظفون!$B85)</f>
        <v/>
      </c>
      <c r="C85" s="117" t="str">
        <f aca="false">IF($B85="","",الموظفون!$C85)</f>
        <v/>
      </c>
      <c r="D85" s="175" t="str">
        <f aca="false">IF($B85="","",الموظفون!$H85)</f>
        <v/>
      </c>
      <c r="E85" s="175" t="str">
        <f aca="false">IF($B85="","",IF(OR(الموظفون!$AE85="",الموظفون!$AE85&gt;cfg_VAL_DATE),cfg_VAL_DATE,الموظفون!$AE85))</f>
        <v/>
      </c>
      <c r="F85" s="117" t="str">
        <f aca="false">IF($B85="","",IF(E85&lt;D85,"لم يباشر",DATEDIF(D85,E85+1,"y")&amp;" سنة "&amp;DATEDIF(D85,E85+1,"ym")&amp;" شهر "&amp;DATEDIF(D85,E85+1,"md")&amp;" يوم"))</f>
        <v/>
      </c>
      <c r="G85" s="133" t="str">
        <f aca="false">IF($B85="","",SUMIFS('سجل الإجازات والحالات'!$S$6:$S$505,'سجل الإجازات والحالات'!$B$6:$B$505,$B85))</f>
        <v/>
      </c>
      <c r="H85" s="160" t="str">
        <f aca="false">IF($B85="","",MAX(0,E85-D85+1-G85)/cfg_DAYS_Y)</f>
        <v/>
      </c>
      <c r="I85" s="116" t="str">
        <f aca="false">IF($B85="","",الموظفون!$Q85)</f>
        <v/>
      </c>
      <c r="J85" s="116" t="str">
        <f aca="false">IF($B85="","",I85*cfg_EOS_R1*MIN(H85,cfg_EOS_TH))</f>
        <v/>
      </c>
      <c r="K85" s="116" t="str">
        <f aca="false">IF($B85="","",I85*cfg_EOS_R2*MAX(H85-cfg_EOS_TH,0))</f>
        <v/>
      </c>
      <c r="L85" s="116" t="str">
        <f aca="false">IF($B85="","",J85+K85)</f>
        <v/>
      </c>
      <c r="M85" s="117" t="str">
        <f aca="false">IF($B85="","",IF(AND(الموظفون!$AE85&lt;&gt;"",الموظفون!$AE85&lt;=cfg_VAL_DATE),IF(الموظفون!$AF85="","⚠ حدد السبب",الموظفون!$AF85),"على رأس العمل"))</f>
        <v/>
      </c>
      <c r="N85" s="134" t="str">
        <f aca="false">IF($B85="","",VLOOKUP(H85,cfg_RES,2,TRUE()))</f>
        <v/>
      </c>
      <c r="O85" s="116" t="str">
        <f aca="false">IF($B85="","",IF(M85="استقالة",L85*N85,L85))</f>
        <v/>
      </c>
      <c r="P85" s="116" t="str">
        <f aca="false">IF($B85="","",I85*(cfg_EOS_R1*MIN((MAX(0,IF(OR(الموظفون!$AE85="",الموظفون!$AE85&gt;=cfg_Y_START),cfg_Y_START-1,الموظفون!$AE85)-D85+1-SUMIFS('سجل الإجازات والحالات'!$R$6:$R$505,'سجل الإجازات والحالات'!$B$6:$B$505,$B85))/cfg_DAYS_Y),cfg_EOS_TH)+cfg_EOS_R2*MAX((MAX(0,IF(OR(الموظفون!$AE85="",الموظفون!$AE85&gt;=cfg_Y_START),cfg_Y_START-1,الموظفون!$AE85)-D85+1-SUMIFS('سجل الإجازات والحالات'!$R$6:$R$505,'سجل الإجازات والحالات'!$B$6:$B$505,$B85))/cfg_DAYS_Y)-cfg_EOS_TH,0)))</f>
        <v/>
      </c>
      <c r="Q85" s="116" t="str">
        <f aca="false">IF($B85="","",O85-P85)</f>
        <v/>
      </c>
      <c r="R85" s="116" t="str">
        <f aca="false">IF($B85="","",SUMIFS('الحركات الشهرية'!$N$6:$N$1005,'الحركات الشهرية'!$B$6:$B$1005,B85,'الحركات الشهرية'!$A$6:$A$1005,"&lt;="&amp;cfg_VAL_M))</f>
        <v/>
      </c>
      <c r="S85" s="178" t="str">
        <f aca="false">IF($B85="","",P85+Q85-R85)</f>
        <v/>
      </c>
      <c r="T85" s="117" t="str">
        <f aca="false">IF($B85="","",IF(S85&lt;-0.01,"✖ صرف أكثر من المستحق",IF(AND(M85&lt;&gt;"على رأس العمل",S85&gt;0.01),"⚠ مستحق لم يُصرف","✔ سليم")))</f>
        <v/>
      </c>
    </row>
    <row r="86" customFormat="false" ht="15" hidden="false" customHeight="false" outlineLevel="0" collapsed="false">
      <c r="B86" s="114" t="str">
        <f aca="false">IF(الموظفون!$B86="","",الموظفون!$B86)</f>
        <v/>
      </c>
      <c r="C86" s="114" t="str">
        <f aca="false">IF($B86="","",الموظفون!$C86)</f>
        <v/>
      </c>
      <c r="D86" s="174" t="str">
        <f aca="false">IF($B86="","",الموظفون!$H86)</f>
        <v/>
      </c>
      <c r="E86" s="174" t="str">
        <f aca="false">IF($B86="","",IF(OR(الموظفون!$AE86="",الموظفون!$AE86&gt;cfg_VAL_DATE),cfg_VAL_DATE,الموظفون!$AE86))</f>
        <v/>
      </c>
      <c r="F86" s="114" t="str">
        <f aca="false">IF($B86="","",IF(E86&lt;D86,"لم يباشر",DATEDIF(D86,E86+1,"y")&amp;" سنة "&amp;DATEDIF(D86,E86+1,"ym")&amp;" شهر "&amp;DATEDIF(D86,E86+1,"md")&amp;" يوم"))</f>
        <v/>
      </c>
      <c r="G86" s="65" t="str">
        <f aca="false">IF($B86="","",SUMIFS('سجل الإجازات والحالات'!$S$6:$S$505,'سجل الإجازات والحالات'!$B$6:$B$505,$B86))</f>
        <v/>
      </c>
      <c r="H86" s="155" t="str">
        <f aca="false">IF($B86="","",MAX(0,E86-D86+1-G86)/cfg_DAYS_Y)</f>
        <v/>
      </c>
      <c r="I86" s="111" t="str">
        <f aca="false">IF($B86="","",الموظفون!$Q86)</f>
        <v/>
      </c>
      <c r="J86" s="111" t="str">
        <f aca="false">IF($B86="","",I86*cfg_EOS_R1*MIN(H86,cfg_EOS_TH))</f>
        <v/>
      </c>
      <c r="K86" s="111" t="str">
        <f aca="false">IF($B86="","",I86*cfg_EOS_R2*MAX(H86-cfg_EOS_TH,0))</f>
        <v/>
      </c>
      <c r="L86" s="111" t="str">
        <f aca="false">IF($B86="","",J86+K86)</f>
        <v/>
      </c>
      <c r="M86" s="114" t="str">
        <f aca="false">IF($B86="","",IF(AND(الموظفون!$AE86&lt;&gt;"",الموظفون!$AE86&lt;=cfg_VAL_DATE),IF(الموظفون!$AF86="","⚠ حدد السبب",الموظفون!$AF86),"على رأس العمل"))</f>
        <v/>
      </c>
      <c r="N86" s="66" t="str">
        <f aca="false">IF($B86="","",VLOOKUP(H86,cfg_RES,2,TRUE()))</f>
        <v/>
      </c>
      <c r="O86" s="111" t="str">
        <f aca="false">IF($B86="","",IF(M86="استقالة",L86*N86,L86))</f>
        <v/>
      </c>
      <c r="P86" s="111" t="str">
        <f aca="false">IF($B86="","",I86*(cfg_EOS_R1*MIN((MAX(0,IF(OR(الموظفون!$AE86="",الموظفون!$AE86&gt;=cfg_Y_START),cfg_Y_START-1,الموظفون!$AE86)-D86+1-SUMIFS('سجل الإجازات والحالات'!$R$6:$R$505,'سجل الإجازات والحالات'!$B$6:$B$505,$B86))/cfg_DAYS_Y),cfg_EOS_TH)+cfg_EOS_R2*MAX((MAX(0,IF(OR(الموظفون!$AE86="",الموظفون!$AE86&gt;=cfg_Y_START),cfg_Y_START-1,الموظفون!$AE86)-D86+1-SUMIFS('سجل الإجازات والحالات'!$R$6:$R$505,'سجل الإجازات والحالات'!$B$6:$B$505,$B86))/cfg_DAYS_Y)-cfg_EOS_TH,0)))</f>
        <v/>
      </c>
      <c r="Q86" s="111" t="str">
        <f aca="false">IF($B86="","",O86-P86)</f>
        <v/>
      </c>
      <c r="R86" s="111" t="str">
        <f aca="false">IF($B86="","",SUMIFS('الحركات الشهرية'!$N$6:$N$1005,'الحركات الشهرية'!$B$6:$B$1005,B86,'الحركات الشهرية'!$A$6:$A$1005,"&lt;="&amp;cfg_VAL_M))</f>
        <v/>
      </c>
      <c r="S86" s="177" t="str">
        <f aca="false">IF($B86="","",P86+Q86-R86)</f>
        <v/>
      </c>
      <c r="T86" s="114" t="str">
        <f aca="false">IF($B86="","",IF(S86&lt;-0.01,"✖ صرف أكثر من المستحق",IF(AND(M86&lt;&gt;"على رأس العمل",S86&gt;0.01),"⚠ مستحق لم يُصرف","✔ سليم")))</f>
        <v/>
      </c>
    </row>
    <row r="87" customFormat="false" ht="15" hidden="false" customHeight="false" outlineLevel="0" collapsed="false">
      <c r="B87" s="117" t="str">
        <f aca="false">IF(الموظفون!$B87="","",الموظفون!$B87)</f>
        <v/>
      </c>
      <c r="C87" s="117" t="str">
        <f aca="false">IF($B87="","",الموظفون!$C87)</f>
        <v/>
      </c>
      <c r="D87" s="175" t="str">
        <f aca="false">IF($B87="","",الموظفون!$H87)</f>
        <v/>
      </c>
      <c r="E87" s="175" t="str">
        <f aca="false">IF($B87="","",IF(OR(الموظفون!$AE87="",الموظفون!$AE87&gt;cfg_VAL_DATE),cfg_VAL_DATE,الموظفون!$AE87))</f>
        <v/>
      </c>
      <c r="F87" s="117" t="str">
        <f aca="false">IF($B87="","",IF(E87&lt;D87,"لم يباشر",DATEDIF(D87,E87+1,"y")&amp;" سنة "&amp;DATEDIF(D87,E87+1,"ym")&amp;" شهر "&amp;DATEDIF(D87,E87+1,"md")&amp;" يوم"))</f>
        <v/>
      </c>
      <c r="G87" s="133" t="str">
        <f aca="false">IF($B87="","",SUMIFS('سجل الإجازات والحالات'!$S$6:$S$505,'سجل الإجازات والحالات'!$B$6:$B$505,$B87))</f>
        <v/>
      </c>
      <c r="H87" s="160" t="str">
        <f aca="false">IF($B87="","",MAX(0,E87-D87+1-G87)/cfg_DAYS_Y)</f>
        <v/>
      </c>
      <c r="I87" s="116" t="str">
        <f aca="false">IF($B87="","",الموظفون!$Q87)</f>
        <v/>
      </c>
      <c r="J87" s="116" t="str">
        <f aca="false">IF($B87="","",I87*cfg_EOS_R1*MIN(H87,cfg_EOS_TH))</f>
        <v/>
      </c>
      <c r="K87" s="116" t="str">
        <f aca="false">IF($B87="","",I87*cfg_EOS_R2*MAX(H87-cfg_EOS_TH,0))</f>
        <v/>
      </c>
      <c r="L87" s="116" t="str">
        <f aca="false">IF($B87="","",J87+K87)</f>
        <v/>
      </c>
      <c r="M87" s="117" t="str">
        <f aca="false">IF($B87="","",IF(AND(الموظفون!$AE87&lt;&gt;"",الموظفون!$AE87&lt;=cfg_VAL_DATE),IF(الموظفون!$AF87="","⚠ حدد السبب",الموظفون!$AF87),"على رأس العمل"))</f>
        <v/>
      </c>
      <c r="N87" s="134" t="str">
        <f aca="false">IF($B87="","",VLOOKUP(H87,cfg_RES,2,TRUE()))</f>
        <v/>
      </c>
      <c r="O87" s="116" t="str">
        <f aca="false">IF($B87="","",IF(M87="استقالة",L87*N87,L87))</f>
        <v/>
      </c>
      <c r="P87" s="116" t="str">
        <f aca="false">IF($B87="","",I87*(cfg_EOS_R1*MIN((MAX(0,IF(OR(الموظفون!$AE87="",الموظفون!$AE87&gt;=cfg_Y_START),cfg_Y_START-1,الموظفون!$AE87)-D87+1-SUMIFS('سجل الإجازات والحالات'!$R$6:$R$505,'سجل الإجازات والحالات'!$B$6:$B$505,$B87))/cfg_DAYS_Y),cfg_EOS_TH)+cfg_EOS_R2*MAX((MAX(0,IF(OR(الموظفون!$AE87="",الموظفون!$AE87&gt;=cfg_Y_START),cfg_Y_START-1,الموظفون!$AE87)-D87+1-SUMIFS('سجل الإجازات والحالات'!$R$6:$R$505,'سجل الإجازات والحالات'!$B$6:$B$505,$B87))/cfg_DAYS_Y)-cfg_EOS_TH,0)))</f>
        <v/>
      </c>
      <c r="Q87" s="116" t="str">
        <f aca="false">IF($B87="","",O87-P87)</f>
        <v/>
      </c>
      <c r="R87" s="116" t="str">
        <f aca="false">IF($B87="","",SUMIFS('الحركات الشهرية'!$N$6:$N$1005,'الحركات الشهرية'!$B$6:$B$1005,B87,'الحركات الشهرية'!$A$6:$A$1005,"&lt;="&amp;cfg_VAL_M))</f>
        <v/>
      </c>
      <c r="S87" s="178" t="str">
        <f aca="false">IF($B87="","",P87+Q87-R87)</f>
        <v/>
      </c>
      <c r="T87" s="117" t="str">
        <f aca="false">IF($B87="","",IF(S87&lt;-0.01,"✖ صرف أكثر من المستحق",IF(AND(M87&lt;&gt;"على رأس العمل",S87&gt;0.01),"⚠ مستحق لم يُصرف","✔ سليم")))</f>
        <v/>
      </c>
    </row>
    <row r="88" customFormat="false" ht="15" hidden="false" customHeight="false" outlineLevel="0" collapsed="false">
      <c r="B88" s="114" t="str">
        <f aca="false">IF(الموظفون!$B88="","",الموظفون!$B88)</f>
        <v/>
      </c>
      <c r="C88" s="114" t="str">
        <f aca="false">IF($B88="","",الموظفون!$C88)</f>
        <v/>
      </c>
      <c r="D88" s="174" t="str">
        <f aca="false">IF($B88="","",الموظفون!$H88)</f>
        <v/>
      </c>
      <c r="E88" s="174" t="str">
        <f aca="false">IF($B88="","",IF(OR(الموظفون!$AE88="",الموظفون!$AE88&gt;cfg_VAL_DATE),cfg_VAL_DATE,الموظفون!$AE88))</f>
        <v/>
      </c>
      <c r="F88" s="114" t="str">
        <f aca="false">IF($B88="","",IF(E88&lt;D88,"لم يباشر",DATEDIF(D88,E88+1,"y")&amp;" سنة "&amp;DATEDIF(D88,E88+1,"ym")&amp;" شهر "&amp;DATEDIF(D88,E88+1,"md")&amp;" يوم"))</f>
        <v/>
      </c>
      <c r="G88" s="65" t="str">
        <f aca="false">IF($B88="","",SUMIFS('سجل الإجازات والحالات'!$S$6:$S$505,'سجل الإجازات والحالات'!$B$6:$B$505,$B88))</f>
        <v/>
      </c>
      <c r="H88" s="155" t="str">
        <f aca="false">IF($B88="","",MAX(0,E88-D88+1-G88)/cfg_DAYS_Y)</f>
        <v/>
      </c>
      <c r="I88" s="111" t="str">
        <f aca="false">IF($B88="","",الموظفون!$Q88)</f>
        <v/>
      </c>
      <c r="J88" s="111" t="str">
        <f aca="false">IF($B88="","",I88*cfg_EOS_R1*MIN(H88,cfg_EOS_TH))</f>
        <v/>
      </c>
      <c r="K88" s="111" t="str">
        <f aca="false">IF($B88="","",I88*cfg_EOS_R2*MAX(H88-cfg_EOS_TH,0))</f>
        <v/>
      </c>
      <c r="L88" s="111" t="str">
        <f aca="false">IF($B88="","",J88+K88)</f>
        <v/>
      </c>
      <c r="M88" s="114" t="str">
        <f aca="false">IF($B88="","",IF(AND(الموظفون!$AE88&lt;&gt;"",الموظفون!$AE88&lt;=cfg_VAL_DATE),IF(الموظفون!$AF88="","⚠ حدد السبب",الموظفون!$AF88),"على رأس العمل"))</f>
        <v/>
      </c>
      <c r="N88" s="66" t="str">
        <f aca="false">IF($B88="","",VLOOKUP(H88,cfg_RES,2,TRUE()))</f>
        <v/>
      </c>
      <c r="O88" s="111" t="str">
        <f aca="false">IF($B88="","",IF(M88="استقالة",L88*N88,L88))</f>
        <v/>
      </c>
      <c r="P88" s="111" t="str">
        <f aca="false">IF($B88="","",I88*(cfg_EOS_R1*MIN((MAX(0,IF(OR(الموظفون!$AE88="",الموظفون!$AE88&gt;=cfg_Y_START),cfg_Y_START-1,الموظفون!$AE88)-D88+1-SUMIFS('سجل الإجازات والحالات'!$R$6:$R$505,'سجل الإجازات والحالات'!$B$6:$B$505,$B88))/cfg_DAYS_Y),cfg_EOS_TH)+cfg_EOS_R2*MAX((MAX(0,IF(OR(الموظفون!$AE88="",الموظفون!$AE88&gt;=cfg_Y_START),cfg_Y_START-1,الموظفون!$AE88)-D88+1-SUMIFS('سجل الإجازات والحالات'!$R$6:$R$505,'سجل الإجازات والحالات'!$B$6:$B$505,$B88))/cfg_DAYS_Y)-cfg_EOS_TH,0)))</f>
        <v/>
      </c>
      <c r="Q88" s="111" t="str">
        <f aca="false">IF($B88="","",O88-P88)</f>
        <v/>
      </c>
      <c r="R88" s="111" t="str">
        <f aca="false">IF($B88="","",SUMIFS('الحركات الشهرية'!$N$6:$N$1005,'الحركات الشهرية'!$B$6:$B$1005,B88,'الحركات الشهرية'!$A$6:$A$1005,"&lt;="&amp;cfg_VAL_M))</f>
        <v/>
      </c>
      <c r="S88" s="177" t="str">
        <f aca="false">IF($B88="","",P88+Q88-R88)</f>
        <v/>
      </c>
      <c r="T88" s="114" t="str">
        <f aca="false">IF($B88="","",IF(S88&lt;-0.01,"✖ صرف أكثر من المستحق",IF(AND(M88&lt;&gt;"على رأس العمل",S88&gt;0.01),"⚠ مستحق لم يُصرف","✔ سليم")))</f>
        <v/>
      </c>
    </row>
    <row r="89" customFormat="false" ht="15" hidden="false" customHeight="false" outlineLevel="0" collapsed="false">
      <c r="B89" s="117" t="str">
        <f aca="false">IF(الموظفون!$B89="","",الموظفون!$B89)</f>
        <v/>
      </c>
      <c r="C89" s="117" t="str">
        <f aca="false">IF($B89="","",الموظفون!$C89)</f>
        <v/>
      </c>
      <c r="D89" s="175" t="str">
        <f aca="false">IF($B89="","",الموظفون!$H89)</f>
        <v/>
      </c>
      <c r="E89" s="175" t="str">
        <f aca="false">IF($B89="","",IF(OR(الموظفون!$AE89="",الموظفون!$AE89&gt;cfg_VAL_DATE),cfg_VAL_DATE,الموظفون!$AE89))</f>
        <v/>
      </c>
      <c r="F89" s="117" t="str">
        <f aca="false">IF($B89="","",IF(E89&lt;D89,"لم يباشر",DATEDIF(D89,E89+1,"y")&amp;" سنة "&amp;DATEDIF(D89,E89+1,"ym")&amp;" شهر "&amp;DATEDIF(D89,E89+1,"md")&amp;" يوم"))</f>
        <v/>
      </c>
      <c r="G89" s="133" t="str">
        <f aca="false">IF($B89="","",SUMIFS('سجل الإجازات والحالات'!$S$6:$S$505,'سجل الإجازات والحالات'!$B$6:$B$505,$B89))</f>
        <v/>
      </c>
      <c r="H89" s="160" t="str">
        <f aca="false">IF($B89="","",MAX(0,E89-D89+1-G89)/cfg_DAYS_Y)</f>
        <v/>
      </c>
      <c r="I89" s="116" t="str">
        <f aca="false">IF($B89="","",الموظفون!$Q89)</f>
        <v/>
      </c>
      <c r="J89" s="116" t="str">
        <f aca="false">IF($B89="","",I89*cfg_EOS_R1*MIN(H89,cfg_EOS_TH))</f>
        <v/>
      </c>
      <c r="K89" s="116" t="str">
        <f aca="false">IF($B89="","",I89*cfg_EOS_R2*MAX(H89-cfg_EOS_TH,0))</f>
        <v/>
      </c>
      <c r="L89" s="116" t="str">
        <f aca="false">IF($B89="","",J89+K89)</f>
        <v/>
      </c>
      <c r="M89" s="117" t="str">
        <f aca="false">IF($B89="","",IF(AND(الموظفون!$AE89&lt;&gt;"",الموظفون!$AE89&lt;=cfg_VAL_DATE),IF(الموظفون!$AF89="","⚠ حدد السبب",الموظفون!$AF89),"على رأس العمل"))</f>
        <v/>
      </c>
      <c r="N89" s="134" t="str">
        <f aca="false">IF($B89="","",VLOOKUP(H89,cfg_RES,2,TRUE()))</f>
        <v/>
      </c>
      <c r="O89" s="116" t="str">
        <f aca="false">IF($B89="","",IF(M89="استقالة",L89*N89,L89))</f>
        <v/>
      </c>
      <c r="P89" s="116" t="str">
        <f aca="false">IF($B89="","",I89*(cfg_EOS_R1*MIN((MAX(0,IF(OR(الموظفون!$AE89="",الموظفون!$AE89&gt;=cfg_Y_START),cfg_Y_START-1,الموظفون!$AE89)-D89+1-SUMIFS('سجل الإجازات والحالات'!$R$6:$R$505,'سجل الإجازات والحالات'!$B$6:$B$505,$B89))/cfg_DAYS_Y),cfg_EOS_TH)+cfg_EOS_R2*MAX((MAX(0,IF(OR(الموظفون!$AE89="",الموظفون!$AE89&gt;=cfg_Y_START),cfg_Y_START-1,الموظفون!$AE89)-D89+1-SUMIFS('سجل الإجازات والحالات'!$R$6:$R$505,'سجل الإجازات والحالات'!$B$6:$B$505,$B89))/cfg_DAYS_Y)-cfg_EOS_TH,0)))</f>
        <v/>
      </c>
      <c r="Q89" s="116" t="str">
        <f aca="false">IF($B89="","",O89-P89)</f>
        <v/>
      </c>
      <c r="R89" s="116" t="str">
        <f aca="false">IF($B89="","",SUMIFS('الحركات الشهرية'!$N$6:$N$1005,'الحركات الشهرية'!$B$6:$B$1005,B89,'الحركات الشهرية'!$A$6:$A$1005,"&lt;="&amp;cfg_VAL_M))</f>
        <v/>
      </c>
      <c r="S89" s="178" t="str">
        <f aca="false">IF($B89="","",P89+Q89-R89)</f>
        <v/>
      </c>
      <c r="T89" s="117" t="str">
        <f aca="false">IF($B89="","",IF(S89&lt;-0.01,"✖ صرف أكثر من المستحق",IF(AND(M89&lt;&gt;"على رأس العمل",S89&gt;0.01),"⚠ مستحق لم يُصرف","✔ سليم")))</f>
        <v/>
      </c>
    </row>
    <row r="90" customFormat="false" ht="15" hidden="false" customHeight="false" outlineLevel="0" collapsed="false">
      <c r="B90" s="114" t="str">
        <f aca="false">IF(الموظفون!$B90="","",الموظفون!$B90)</f>
        <v/>
      </c>
      <c r="C90" s="114" t="str">
        <f aca="false">IF($B90="","",الموظفون!$C90)</f>
        <v/>
      </c>
      <c r="D90" s="174" t="str">
        <f aca="false">IF($B90="","",الموظفون!$H90)</f>
        <v/>
      </c>
      <c r="E90" s="174" t="str">
        <f aca="false">IF($B90="","",IF(OR(الموظفون!$AE90="",الموظفون!$AE90&gt;cfg_VAL_DATE),cfg_VAL_DATE,الموظفون!$AE90))</f>
        <v/>
      </c>
      <c r="F90" s="114" t="str">
        <f aca="false">IF($B90="","",IF(E90&lt;D90,"لم يباشر",DATEDIF(D90,E90+1,"y")&amp;" سنة "&amp;DATEDIF(D90,E90+1,"ym")&amp;" شهر "&amp;DATEDIF(D90,E90+1,"md")&amp;" يوم"))</f>
        <v/>
      </c>
      <c r="G90" s="65" t="str">
        <f aca="false">IF($B90="","",SUMIFS('سجل الإجازات والحالات'!$S$6:$S$505,'سجل الإجازات والحالات'!$B$6:$B$505,$B90))</f>
        <v/>
      </c>
      <c r="H90" s="155" t="str">
        <f aca="false">IF($B90="","",MAX(0,E90-D90+1-G90)/cfg_DAYS_Y)</f>
        <v/>
      </c>
      <c r="I90" s="111" t="str">
        <f aca="false">IF($B90="","",الموظفون!$Q90)</f>
        <v/>
      </c>
      <c r="J90" s="111" t="str">
        <f aca="false">IF($B90="","",I90*cfg_EOS_R1*MIN(H90,cfg_EOS_TH))</f>
        <v/>
      </c>
      <c r="K90" s="111" t="str">
        <f aca="false">IF($B90="","",I90*cfg_EOS_R2*MAX(H90-cfg_EOS_TH,0))</f>
        <v/>
      </c>
      <c r="L90" s="111" t="str">
        <f aca="false">IF($B90="","",J90+K90)</f>
        <v/>
      </c>
      <c r="M90" s="114" t="str">
        <f aca="false">IF($B90="","",IF(AND(الموظفون!$AE90&lt;&gt;"",الموظفون!$AE90&lt;=cfg_VAL_DATE),IF(الموظفون!$AF90="","⚠ حدد السبب",الموظفون!$AF90),"على رأس العمل"))</f>
        <v/>
      </c>
      <c r="N90" s="66" t="str">
        <f aca="false">IF($B90="","",VLOOKUP(H90,cfg_RES,2,TRUE()))</f>
        <v/>
      </c>
      <c r="O90" s="111" t="str">
        <f aca="false">IF($B90="","",IF(M90="استقالة",L90*N90,L90))</f>
        <v/>
      </c>
      <c r="P90" s="111" t="str">
        <f aca="false">IF($B90="","",I90*(cfg_EOS_R1*MIN((MAX(0,IF(OR(الموظفون!$AE90="",الموظفون!$AE90&gt;=cfg_Y_START),cfg_Y_START-1,الموظفون!$AE90)-D90+1-SUMIFS('سجل الإجازات والحالات'!$R$6:$R$505,'سجل الإجازات والحالات'!$B$6:$B$505,$B90))/cfg_DAYS_Y),cfg_EOS_TH)+cfg_EOS_R2*MAX((MAX(0,IF(OR(الموظفون!$AE90="",الموظفون!$AE90&gt;=cfg_Y_START),cfg_Y_START-1,الموظفون!$AE90)-D90+1-SUMIFS('سجل الإجازات والحالات'!$R$6:$R$505,'سجل الإجازات والحالات'!$B$6:$B$505,$B90))/cfg_DAYS_Y)-cfg_EOS_TH,0)))</f>
        <v/>
      </c>
      <c r="Q90" s="111" t="str">
        <f aca="false">IF($B90="","",O90-P90)</f>
        <v/>
      </c>
      <c r="R90" s="111" t="str">
        <f aca="false">IF($B90="","",SUMIFS('الحركات الشهرية'!$N$6:$N$1005,'الحركات الشهرية'!$B$6:$B$1005,B90,'الحركات الشهرية'!$A$6:$A$1005,"&lt;="&amp;cfg_VAL_M))</f>
        <v/>
      </c>
      <c r="S90" s="177" t="str">
        <f aca="false">IF($B90="","",P90+Q90-R90)</f>
        <v/>
      </c>
      <c r="T90" s="114" t="str">
        <f aca="false">IF($B90="","",IF(S90&lt;-0.01,"✖ صرف أكثر من المستحق",IF(AND(M90&lt;&gt;"على رأس العمل",S90&gt;0.01),"⚠ مستحق لم يُصرف","✔ سليم")))</f>
        <v/>
      </c>
    </row>
    <row r="91" customFormat="false" ht="15" hidden="false" customHeight="false" outlineLevel="0" collapsed="false">
      <c r="B91" s="117" t="str">
        <f aca="false">IF(الموظفون!$B91="","",الموظفون!$B91)</f>
        <v/>
      </c>
      <c r="C91" s="117" t="str">
        <f aca="false">IF($B91="","",الموظفون!$C91)</f>
        <v/>
      </c>
      <c r="D91" s="175" t="str">
        <f aca="false">IF($B91="","",الموظفون!$H91)</f>
        <v/>
      </c>
      <c r="E91" s="175" t="str">
        <f aca="false">IF($B91="","",IF(OR(الموظفون!$AE91="",الموظفون!$AE91&gt;cfg_VAL_DATE),cfg_VAL_DATE,الموظفون!$AE91))</f>
        <v/>
      </c>
      <c r="F91" s="117" t="str">
        <f aca="false">IF($B91="","",IF(E91&lt;D91,"لم يباشر",DATEDIF(D91,E91+1,"y")&amp;" سنة "&amp;DATEDIF(D91,E91+1,"ym")&amp;" شهر "&amp;DATEDIF(D91,E91+1,"md")&amp;" يوم"))</f>
        <v/>
      </c>
      <c r="G91" s="133" t="str">
        <f aca="false">IF($B91="","",SUMIFS('سجل الإجازات والحالات'!$S$6:$S$505,'سجل الإجازات والحالات'!$B$6:$B$505,$B91))</f>
        <v/>
      </c>
      <c r="H91" s="160" t="str">
        <f aca="false">IF($B91="","",MAX(0,E91-D91+1-G91)/cfg_DAYS_Y)</f>
        <v/>
      </c>
      <c r="I91" s="116" t="str">
        <f aca="false">IF($B91="","",الموظفون!$Q91)</f>
        <v/>
      </c>
      <c r="J91" s="116" t="str">
        <f aca="false">IF($B91="","",I91*cfg_EOS_R1*MIN(H91,cfg_EOS_TH))</f>
        <v/>
      </c>
      <c r="K91" s="116" t="str">
        <f aca="false">IF($B91="","",I91*cfg_EOS_R2*MAX(H91-cfg_EOS_TH,0))</f>
        <v/>
      </c>
      <c r="L91" s="116" t="str">
        <f aca="false">IF($B91="","",J91+K91)</f>
        <v/>
      </c>
      <c r="M91" s="117" t="str">
        <f aca="false">IF($B91="","",IF(AND(الموظفون!$AE91&lt;&gt;"",الموظفون!$AE91&lt;=cfg_VAL_DATE),IF(الموظفون!$AF91="","⚠ حدد السبب",الموظفون!$AF91),"على رأس العمل"))</f>
        <v/>
      </c>
      <c r="N91" s="134" t="str">
        <f aca="false">IF($B91="","",VLOOKUP(H91,cfg_RES,2,TRUE()))</f>
        <v/>
      </c>
      <c r="O91" s="116" t="str">
        <f aca="false">IF($B91="","",IF(M91="استقالة",L91*N91,L91))</f>
        <v/>
      </c>
      <c r="P91" s="116" t="str">
        <f aca="false">IF($B91="","",I91*(cfg_EOS_R1*MIN((MAX(0,IF(OR(الموظفون!$AE91="",الموظفون!$AE91&gt;=cfg_Y_START),cfg_Y_START-1,الموظفون!$AE91)-D91+1-SUMIFS('سجل الإجازات والحالات'!$R$6:$R$505,'سجل الإجازات والحالات'!$B$6:$B$505,$B91))/cfg_DAYS_Y),cfg_EOS_TH)+cfg_EOS_R2*MAX((MAX(0,IF(OR(الموظفون!$AE91="",الموظفون!$AE91&gt;=cfg_Y_START),cfg_Y_START-1,الموظفون!$AE91)-D91+1-SUMIFS('سجل الإجازات والحالات'!$R$6:$R$505,'سجل الإجازات والحالات'!$B$6:$B$505,$B91))/cfg_DAYS_Y)-cfg_EOS_TH,0)))</f>
        <v/>
      </c>
      <c r="Q91" s="116" t="str">
        <f aca="false">IF($B91="","",O91-P91)</f>
        <v/>
      </c>
      <c r="R91" s="116" t="str">
        <f aca="false">IF($B91="","",SUMIFS('الحركات الشهرية'!$N$6:$N$1005,'الحركات الشهرية'!$B$6:$B$1005,B91,'الحركات الشهرية'!$A$6:$A$1005,"&lt;="&amp;cfg_VAL_M))</f>
        <v/>
      </c>
      <c r="S91" s="178" t="str">
        <f aca="false">IF($B91="","",P91+Q91-R91)</f>
        <v/>
      </c>
      <c r="T91" s="117" t="str">
        <f aca="false">IF($B91="","",IF(S91&lt;-0.01,"✖ صرف أكثر من المستحق",IF(AND(M91&lt;&gt;"على رأس العمل",S91&gt;0.01),"⚠ مستحق لم يُصرف","✔ سليم")))</f>
        <v/>
      </c>
    </row>
    <row r="92" customFormat="false" ht="15" hidden="false" customHeight="false" outlineLevel="0" collapsed="false">
      <c r="B92" s="114" t="str">
        <f aca="false">IF(الموظفون!$B92="","",الموظفون!$B92)</f>
        <v/>
      </c>
      <c r="C92" s="114" t="str">
        <f aca="false">IF($B92="","",الموظفون!$C92)</f>
        <v/>
      </c>
      <c r="D92" s="174" t="str">
        <f aca="false">IF($B92="","",الموظفون!$H92)</f>
        <v/>
      </c>
      <c r="E92" s="174" t="str">
        <f aca="false">IF($B92="","",IF(OR(الموظفون!$AE92="",الموظفون!$AE92&gt;cfg_VAL_DATE),cfg_VAL_DATE,الموظفون!$AE92))</f>
        <v/>
      </c>
      <c r="F92" s="114" t="str">
        <f aca="false">IF($B92="","",IF(E92&lt;D92,"لم يباشر",DATEDIF(D92,E92+1,"y")&amp;" سنة "&amp;DATEDIF(D92,E92+1,"ym")&amp;" شهر "&amp;DATEDIF(D92,E92+1,"md")&amp;" يوم"))</f>
        <v/>
      </c>
      <c r="G92" s="65" t="str">
        <f aca="false">IF($B92="","",SUMIFS('سجل الإجازات والحالات'!$S$6:$S$505,'سجل الإجازات والحالات'!$B$6:$B$505,$B92))</f>
        <v/>
      </c>
      <c r="H92" s="155" t="str">
        <f aca="false">IF($B92="","",MAX(0,E92-D92+1-G92)/cfg_DAYS_Y)</f>
        <v/>
      </c>
      <c r="I92" s="111" t="str">
        <f aca="false">IF($B92="","",الموظفون!$Q92)</f>
        <v/>
      </c>
      <c r="J92" s="111" t="str">
        <f aca="false">IF($B92="","",I92*cfg_EOS_R1*MIN(H92,cfg_EOS_TH))</f>
        <v/>
      </c>
      <c r="K92" s="111" t="str">
        <f aca="false">IF($B92="","",I92*cfg_EOS_R2*MAX(H92-cfg_EOS_TH,0))</f>
        <v/>
      </c>
      <c r="L92" s="111" t="str">
        <f aca="false">IF($B92="","",J92+K92)</f>
        <v/>
      </c>
      <c r="M92" s="114" t="str">
        <f aca="false">IF($B92="","",IF(AND(الموظفون!$AE92&lt;&gt;"",الموظفون!$AE92&lt;=cfg_VAL_DATE),IF(الموظفون!$AF92="","⚠ حدد السبب",الموظفون!$AF92),"على رأس العمل"))</f>
        <v/>
      </c>
      <c r="N92" s="66" t="str">
        <f aca="false">IF($B92="","",VLOOKUP(H92,cfg_RES,2,TRUE()))</f>
        <v/>
      </c>
      <c r="O92" s="111" t="str">
        <f aca="false">IF($B92="","",IF(M92="استقالة",L92*N92,L92))</f>
        <v/>
      </c>
      <c r="P92" s="111" t="str">
        <f aca="false">IF($B92="","",I92*(cfg_EOS_R1*MIN((MAX(0,IF(OR(الموظفون!$AE92="",الموظفون!$AE92&gt;=cfg_Y_START),cfg_Y_START-1,الموظفون!$AE92)-D92+1-SUMIFS('سجل الإجازات والحالات'!$R$6:$R$505,'سجل الإجازات والحالات'!$B$6:$B$505,$B92))/cfg_DAYS_Y),cfg_EOS_TH)+cfg_EOS_R2*MAX((MAX(0,IF(OR(الموظفون!$AE92="",الموظفون!$AE92&gt;=cfg_Y_START),cfg_Y_START-1,الموظفون!$AE92)-D92+1-SUMIFS('سجل الإجازات والحالات'!$R$6:$R$505,'سجل الإجازات والحالات'!$B$6:$B$505,$B92))/cfg_DAYS_Y)-cfg_EOS_TH,0)))</f>
        <v/>
      </c>
      <c r="Q92" s="111" t="str">
        <f aca="false">IF($B92="","",O92-P92)</f>
        <v/>
      </c>
      <c r="R92" s="111" t="str">
        <f aca="false">IF($B92="","",SUMIFS('الحركات الشهرية'!$N$6:$N$1005,'الحركات الشهرية'!$B$6:$B$1005,B92,'الحركات الشهرية'!$A$6:$A$1005,"&lt;="&amp;cfg_VAL_M))</f>
        <v/>
      </c>
      <c r="S92" s="177" t="str">
        <f aca="false">IF($B92="","",P92+Q92-R92)</f>
        <v/>
      </c>
      <c r="T92" s="114" t="str">
        <f aca="false">IF($B92="","",IF(S92&lt;-0.01,"✖ صرف أكثر من المستحق",IF(AND(M92&lt;&gt;"على رأس العمل",S92&gt;0.01),"⚠ مستحق لم يُصرف","✔ سليم")))</f>
        <v/>
      </c>
    </row>
    <row r="93" customFormat="false" ht="15" hidden="false" customHeight="false" outlineLevel="0" collapsed="false">
      <c r="B93" s="117" t="str">
        <f aca="false">IF(الموظفون!$B93="","",الموظفون!$B93)</f>
        <v/>
      </c>
      <c r="C93" s="117" t="str">
        <f aca="false">IF($B93="","",الموظفون!$C93)</f>
        <v/>
      </c>
      <c r="D93" s="175" t="str">
        <f aca="false">IF($B93="","",الموظفون!$H93)</f>
        <v/>
      </c>
      <c r="E93" s="175" t="str">
        <f aca="false">IF($B93="","",IF(OR(الموظفون!$AE93="",الموظفون!$AE93&gt;cfg_VAL_DATE),cfg_VAL_DATE,الموظفون!$AE93))</f>
        <v/>
      </c>
      <c r="F93" s="117" t="str">
        <f aca="false">IF($B93="","",IF(E93&lt;D93,"لم يباشر",DATEDIF(D93,E93+1,"y")&amp;" سنة "&amp;DATEDIF(D93,E93+1,"ym")&amp;" شهر "&amp;DATEDIF(D93,E93+1,"md")&amp;" يوم"))</f>
        <v/>
      </c>
      <c r="G93" s="133" t="str">
        <f aca="false">IF($B93="","",SUMIFS('سجل الإجازات والحالات'!$S$6:$S$505,'سجل الإجازات والحالات'!$B$6:$B$505,$B93))</f>
        <v/>
      </c>
      <c r="H93" s="160" t="str">
        <f aca="false">IF($B93="","",MAX(0,E93-D93+1-G93)/cfg_DAYS_Y)</f>
        <v/>
      </c>
      <c r="I93" s="116" t="str">
        <f aca="false">IF($B93="","",الموظفون!$Q93)</f>
        <v/>
      </c>
      <c r="J93" s="116" t="str">
        <f aca="false">IF($B93="","",I93*cfg_EOS_R1*MIN(H93,cfg_EOS_TH))</f>
        <v/>
      </c>
      <c r="K93" s="116" t="str">
        <f aca="false">IF($B93="","",I93*cfg_EOS_R2*MAX(H93-cfg_EOS_TH,0))</f>
        <v/>
      </c>
      <c r="L93" s="116" t="str">
        <f aca="false">IF($B93="","",J93+K93)</f>
        <v/>
      </c>
      <c r="M93" s="117" t="str">
        <f aca="false">IF($B93="","",IF(AND(الموظفون!$AE93&lt;&gt;"",الموظفون!$AE93&lt;=cfg_VAL_DATE),IF(الموظفون!$AF93="","⚠ حدد السبب",الموظفون!$AF93),"على رأس العمل"))</f>
        <v/>
      </c>
      <c r="N93" s="134" t="str">
        <f aca="false">IF($B93="","",VLOOKUP(H93,cfg_RES,2,TRUE()))</f>
        <v/>
      </c>
      <c r="O93" s="116" t="str">
        <f aca="false">IF($B93="","",IF(M93="استقالة",L93*N93,L93))</f>
        <v/>
      </c>
      <c r="P93" s="116" t="str">
        <f aca="false">IF($B93="","",I93*(cfg_EOS_R1*MIN((MAX(0,IF(OR(الموظفون!$AE93="",الموظفون!$AE93&gt;=cfg_Y_START),cfg_Y_START-1,الموظفون!$AE93)-D93+1-SUMIFS('سجل الإجازات والحالات'!$R$6:$R$505,'سجل الإجازات والحالات'!$B$6:$B$505,$B93))/cfg_DAYS_Y),cfg_EOS_TH)+cfg_EOS_R2*MAX((MAX(0,IF(OR(الموظفون!$AE93="",الموظفون!$AE93&gt;=cfg_Y_START),cfg_Y_START-1,الموظفون!$AE93)-D93+1-SUMIFS('سجل الإجازات والحالات'!$R$6:$R$505,'سجل الإجازات والحالات'!$B$6:$B$505,$B93))/cfg_DAYS_Y)-cfg_EOS_TH,0)))</f>
        <v/>
      </c>
      <c r="Q93" s="116" t="str">
        <f aca="false">IF($B93="","",O93-P93)</f>
        <v/>
      </c>
      <c r="R93" s="116" t="str">
        <f aca="false">IF($B93="","",SUMIFS('الحركات الشهرية'!$N$6:$N$1005,'الحركات الشهرية'!$B$6:$B$1005,B93,'الحركات الشهرية'!$A$6:$A$1005,"&lt;="&amp;cfg_VAL_M))</f>
        <v/>
      </c>
      <c r="S93" s="178" t="str">
        <f aca="false">IF($B93="","",P93+Q93-R93)</f>
        <v/>
      </c>
      <c r="T93" s="117" t="str">
        <f aca="false">IF($B93="","",IF(S93&lt;-0.01,"✖ صرف أكثر من المستحق",IF(AND(M93&lt;&gt;"على رأس العمل",S93&gt;0.01),"⚠ مستحق لم يُصرف","✔ سليم")))</f>
        <v/>
      </c>
    </row>
    <row r="94" customFormat="false" ht="15" hidden="false" customHeight="false" outlineLevel="0" collapsed="false">
      <c r="B94" s="114" t="str">
        <f aca="false">IF(الموظفون!$B94="","",الموظفون!$B94)</f>
        <v/>
      </c>
      <c r="C94" s="114" t="str">
        <f aca="false">IF($B94="","",الموظفون!$C94)</f>
        <v/>
      </c>
      <c r="D94" s="174" t="str">
        <f aca="false">IF($B94="","",الموظفون!$H94)</f>
        <v/>
      </c>
      <c r="E94" s="174" t="str">
        <f aca="false">IF($B94="","",IF(OR(الموظفون!$AE94="",الموظفون!$AE94&gt;cfg_VAL_DATE),cfg_VAL_DATE,الموظفون!$AE94))</f>
        <v/>
      </c>
      <c r="F94" s="114" t="str">
        <f aca="false">IF($B94="","",IF(E94&lt;D94,"لم يباشر",DATEDIF(D94,E94+1,"y")&amp;" سنة "&amp;DATEDIF(D94,E94+1,"ym")&amp;" شهر "&amp;DATEDIF(D94,E94+1,"md")&amp;" يوم"))</f>
        <v/>
      </c>
      <c r="G94" s="65" t="str">
        <f aca="false">IF($B94="","",SUMIFS('سجل الإجازات والحالات'!$S$6:$S$505,'سجل الإجازات والحالات'!$B$6:$B$505,$B94))</f>
        <v/>
      </c>
      <c r="H94" s="155" t="str">
        <f aca="false">IF($B94="","",MAX(0,E94-D94+1-G94)/cfg_DAYS_Y)</f>
        <v/>
      </c>
      <c r="I94" s="111" t="str">
        <f aca="false">IF($B94="","",الموظفون!$Q94)</f>
        <v/>
      </c>
      <c r="J94" s="111" t="str">
        <f aca="false">IF($B94="","",I94*cfg_EOS_R1*MIN(H94,cfg_EOS_TH))</f>
        <v/>
      </c>
      <c r="K94" s="111" t="str">
        <f aca="false">IF($B94="","",I94*cfg_EOS_R2*MAX(H94-cfg_EOS_TH,0))</f>
        <v/>
      </c>
      <c r="L94" s="111" t="str">
        <f aca="false">IF($B94="","",J94+K94)</f>
        <v/>
      </c>
      <c r="M94" s="114" t="str">
        <f aca="false">IF($B94="","",IF(AND(الموظفون!$AE94&lt;&gt;"",الموظفون!$AE94&lt;=cfg_VAL_DATE),IF(الموظفون!$AF94="","⚠ حدد السبب",الموظفون!$AF94),"على رأس العمل"))</f>
        <v/>
      </c>
      <c r="N94" s="66" t="str">
        <f aca="false">IF($B94="","",VLOOKUP(H94,cfg_RES,2,TRUE()))</f>
        <v/>
      </c>
      <c r="O94" s="111" t="str">
        <f aca="false">IF($B94="","",IF(M94="استقالة",L94*N94,L94))</f>
        <v/>
      </c>
      <c r="P94" s="111" t="str">
        <f aca="false">IF($B94="","",I94*(cfg_EOS_R1*MIN((MAX(0,IF(OR(الموظفون!$AE94="",الموظفون!$AE94&gt;=cfg_Y_START),cfg_Y_START-1,الموظفون!$AE94)-D94+1-SUMIFS('سجل الإجازات والحالات'!$R$6:$R$505,'سجل الإجازات والحالات'!$B$6:$B$505,$B94))/cfg_DAYS_Y),cfg_EOS_TH)+cfg_EOS_R2*MAX((MAX(0,IF(OR(الموظفون!$AE94="",الموظفون!$AE94&gt;=cfg_Y_START),cfg_Y_START-1,الموظفون!$AE94)-D94+1-SUMIFS('سجل الإجازات والحالات'!$R$6:$R$505,'سجل الإجازات والحالات'!$B$6:$B$505,$B94))/cfg_DAYS_Y)-cfg_EOS_TH,0)))</f>
        <v/>
      </c>
      <c r="Q94" s="111" t="str">
        <f aca="false">IF($B94="","",O94-P94)</f>
        <v/>
      </c>
      <c r="R94" s="111" t="str">
        <f aca="false">IF($B94="","",SUMIFS('الحركات الشهرية'!$N$6:$N$1005,'الحركات الشهرية'!$B$6:$B$1005,B94,'الحركات الشهرية'!$A$6:$A$1005,"&lt;="&amp;cfg_VAL_M))</f>
        <v/>
      </c>
      <c r="S94" s="177" t="str">
        <f aca="false">IF($B94="","",P94+Q94-R94)</f>
        <v/>
      </c>
      <c r="T94" s="114" t="str">
        <f aca="false">IF($B94="","",IF(S94&lt;-0.01,"✖ صرف أكثر من المستحق",IF(AND(M94&lt;&gt;"على رأس العمل",S94&gt;0.01),"⚠ مستحق لم يُصرف","✔ سليم")))</f>
        <v/>
      </c>
    </row>
    <row r="95" customFormat="false" ht="15" hidden="false" customHeight="false" outlineLevel="0" collapsed="false">
      <c r="B95" s="117" t="str">
        <f aca="false">IF(الموظفون!$B95="","",الموظفون!$B95)</f>
        <v/>
      </c>
      <c r="C95" s="117" t="str">
        <f aca="false">IF($B95="","",الموظفون!$C95)</f>
        <v/>
      </c>
      <c r="D95" s="175" t="str">
        <f aca="false">IF($B95="","",الموظفون!$H95)</f>
        <v/>
      </c>
      <c r="E95" s="175" t="str">
        <f aca="false">IF($B95="","",IF(OR(الموظفون!$AE95="",الموظفون!$AE95&gt;cfg_VAL_DATE),cfg_VAL_DATE,الموظفون!$AE95))</f>
        <v/>
      </c>
      <c r="F95" s="117" t="str">
        <f aca="false">IF($B95="","",IF(E95&lt;D95,"لم يباشر",DATEDIF(D95,E95+1,"y")&amp;" سنة "&amp;DATEDIF(D95,E95+1,"ym")&amp;" شهر "&amp;DATEDIF(D95,E95+1,"md")&amp;" يوم"))</f>
        <v/>
      </c>
      <c r="G95" s="133" t="str">
        <f aca="false">IF($B95="","",SUMIFS('سجل الإجازات والحالات'!$S$6:$S$505,'سجل الإجازات والحالات'!$B$6:$B$505,$B95))</f>
        <v/>
      </c>
      <c r="H95" s="160" t="str">
        <f aca="false">IF($B95="","",MAX(0,E95-D95+1-G95)/cfg_DAYS_Y)</f>
        <v/>
      </c>
      <c r="I95" s="116" t="str">
        <f aca="false">IF($B95="","",الموظفون!$Q95)</f>
        <v/>
      </c>
      <c r="J95" s="116" t="str">
        <f aca="false">IF($B95="","",I95*cfg_EOS_R1*MIN(H95,cfg_EOS_TH))</f>
        <v/>
      </c>
      <c r="K95" s="116" t="str">
        <f aca="false">IF($B95="","",I95*cfg_EOS_R2*MAX(H95-cfg_EOS_TH,0))</f>
        <v/>
      </c>
      <c r="L95" s="116" t="str">
        <f aca="false">IF($B95="","",J95+K95)</f>
        <v/>
      </c>
      <c r="M95" s="117" t="str">
        <f aca="false">IF($B95="","",IF(AND(الموظفون!$AE95&lt;&gt;"",الموظفون!$AE95&lt;=cfg_VAL_DATE),IF(الموظفون!$AF95="","⚠ حدد السبب",الموظفون!$AF95),"على رأس العمل"))</f>
        <v/>
      </c>
      <c r="N95" s="134" t="str">
        <f aca="false">IF($B95="","",VLOOKUP(H95,cfg_RES,2,TRUE()))</f>
        <v/>
      </c>
      <c r="O95" s="116" t="str">
        <f aca="false">IF($B95="","",IF(M95="استقالة",L95*N95,L95))</f>
        <v/>
      </c>
      <c r="P95" s="116" t="str">
        <f aca="false">IF($B95="","",I95*(cfg_EOS_R1*MIN((MAX(0,IF(OR(الموظفون!$AE95="",الموظفون!$AE95&gt;=cfg_Y_START),cfg_Y_START-1,الموظفون!$AE95)-D95+1-SUMIFS('سجل الإجازات والحالات'!$R$6:$R$505,'سجل الإجازات والحالات'!$B$6:$B$505,$B95))/cfg_DAYS_Y),cfg_EOS_TH)+cfg_EOS_R2*MAX((MAX(0,IF(OR(الموظفون!$AE95="",الموظفون!$AE95&gt;=cfg_Y_START),cfg_Y_START-1,الموظفون!$AE95)-D95+1-SUMIFS('سجل الإجازات والحالات'!$R$6:$R$505,'سجل الإجازات والحالات'!$B$6:$B$505,$B95))/cfg_DAYS_Y)-cfg_EOS_TH,0)))</f>
        <v/>
      </c>
      <c r="Q95" s="116" t="str">
        <f aca="false">IF($B95="","",O95-P95)</f>
        <v/>
      </c>
      <c r="R95" s="116" t="str">
        <f aca="false">IF($B95="","",SUMIFS('الحركات الشهرية'!$N$6:$N$1005,'الحركات الشهرية'!$B$6:$B$1005,B95,'الحركات الشهرية'!$A$6:$A$1005,"&lt;="&amp;cfg_VAL_M))</f>
        <v/>
      </c>
      <c r="S95" s="178" t="str">
        <f aca="false">IF($B95="","",P95+Q95-R95)</f>
        <v/>
      </c>
      <c r="T95" s="117" t="str">
        <f aca="false">IF($B95="","",IF(S95&lt;-0.01,"✖ صرف أكثر من المستحق",IF(AND(M95&lt;&gt;"على رأس العمل",S95&gt;0.01),"⚠ مستحق لم يُصرف","✔ سليم")))</f>
        <v/>
      </c>
    </row>
    <row r="96" customFormat="false" ht="15" hidden="false" customHeight="false" outlineLevel="0" collapsed="false">
      <c r="B96" s="114" t="str">
        <f aca="false">IF(الموظفون!$B96="","",الموظفون!$B96)</f>
        <v/>
      </c>
      <c r="C96" s="114" t="str">
        <f aca="false">IF($B96="","",الموظفون!$C96)</f>
        <v/>
      </c>
      <c r="D96" s="174" t="str">
        <f aca="false">IF($B96="","",الموظفون!$H96)</f>
        <v/>
      </c>
      <c r="E96" s="174" t="str">
        <f aca="false">IF($B96="","",IF(OR(الموظفون!$AE96="",الموظفون!$AE96&gt;cfg_VAL_DATE),cfg_VAL_DATE,الموظفون!$AE96))</f>
        <v/>
      </c>
      <c r="F96" s="114" t="str">
        <f aca="false">IF($B96="","",IF(E96&lt;D96,"لم يباشر",DATEDIF(D96,E96+1,"y")&amp;" سنة "&amp;DATEDIF(D96,E96+1,"ym")&amp;" شهر "&amp;DATEDIF(D96,E96+1,"md")&amp;" يوم"))</f>
        <v/>
      </c>
      <c r="G96" s="65" t="str">
        <f aca="false">IF($B96="","",SUMIFS('سجل الإجازات والحالات'!$S$6:$S$505,'سجل الإجازات والحالات'!$B$6:$B$505,$B96))</f>
        <v/>
      </c>
      <c r="H96" s="155" t="str">
        <f aca="false">IF($B96="","",MAX(0,E96-D96+1-G96)/cfg_DAYS_Y)</f>
        <v/>
      </c>
      <c r="I96" s="111" t="str">
        <f aca="false">IF($B96="","",الموظفون!$Q96)</f>
        <v/>
      </c>
      <c r="J96" s="111" t="str">
        <f aca="false">IF($B96="","",I96*cfg_EOS_R1*MIN(H96,cfg_EOS_TH))</f>
        <v/>
      </c>
      <c r="K96" s="111" t="str">
        <f aca="false">IF($B96="","",I96*cfg_EOS_R2*MAX(H96-cfg_EOS_TH,0))</f>
        <v/>
      </c>
      <c r="L96" s="111" t="str">
        <f aca="false">IF($B96="","",J96+K96)</f>
        <v/>
      </c>
      <c r="M96" s="114" t="str">
        <f aca="false">IF($B96="","",IF(AND(الموظفون!$AE96&lt;&gt;"",الموظفون!$AE96&lt;=cfg_VAL_DATE),IF(الموظفون!$AF96="","⚠ حدد السبب",الموظفون!$AF96),"على رأس العمل"))</f>
        <v/>
      </c>
      <c r="N96" s="66" t="str">
        <f aca="false">IF($B96="","",VLOOKUP(H96,cfg_RES,2,TRUE()))</f>
        <v/>
      </c>
      <c r="O96" s="111" t="str">
        <f aca="false">IF($B96="","",IF(M96="استقالة",L96*N96,L96))</f>
        <v/>
      </c>
      <c r="P96" s="111" t="str">
        <f aca="false">IF($B96="","",I96*(cfg_EOS_R1*MIN((MAX(0,IF(OR(الموظفون!$AE96="",الموظفون!$AE96&gt;=cfg_Y_START),cfg_Y_START-1,الموظفون!$AE96)-D96+1-SUMIFS('سجل الإجازات والحالات'!$R$6:$R$505,'سجل الإجازات والحالات'!$B$6:$B$505,$B96))/cfg_DAYS_Y),cfg_EOS_TH)+cfg_EOS_R2*MAX((MAX(0,IF(OR(الموظفون!$AE96="",الموظفون!$AE96&gt;=cfg_Y_START),cfg_Y_START-1,الموظفون!$AE96)-D96+1-SUMIFS('سجل الإجازات والحالات'!$R$6:$R$505,'سجل الإجازات والحالات'!$B$6:$B$505,$B96))/cfg_DAYS_Y)-cfg_EOS_TH,0)))</f>
        <v/>
      </c>
      <c r="Q96" s="111" t="str">
        <f aca="false">IF($B96="","",O96-P96)</f>
        <v/>
      </c>
      <c r="R96" s="111" t="str">
        <f aca="false">IF($B96="","",SUMIFS('الحركات الشهرية'!$N$6:$N$1005,'الحركات الشهرية'!$B$6:$B$1005,B96,'الحركات الشهرية'!$A$6:$A$1005,"&lt;="&amp;cfg_VAL_M))</f>
        <v/>
      </c>
      <c r="S96" s="177" t="str">
        <f aca="false">IF($B96="","",P96+Q96-R96)</f>
        <v/>
      </c>
      <c r="T96" s="114" t="str">
        <f aca="false">IF($B96="","",IF(S96&lt;-0.01,"✖ صرف أكثر من المستحق",IF(AND(M96&lt;&gt;"على رأس العمل",S96&gt;0.01),"⚠ مستحق لم يُصرف","✔ سليم")))</f>
        <v/>
      </c>
    </row>
    <row r="97" customFormat="false" ht="15" hidden="false" customHeight="false" outlineLevel="0" collapsed="false">
      <c r="B97" s="117" t="str">
        <f aca="false">IF(الموظفون!$B97="","",الموظفون!$B97)</f>
        <v/>
      </c>
      <c r="C97" s="117" t="str">
        <f aca="false">IF($B97="","",الموظفون!$C97)</f>
        <v/>
      </c>
      <c r="D97" s="175" t="str">
        <f aca="false">IF($B97="","",الموظفون!$H97)</f>
        <v/>
      </c>
      <c r="E97" s="175" t="str">
        <f aca="false">IF($B97="","",IF(OR(الموظفون!$AE97="",الموظفون!$AE97&gt;cfg_VAL_DATE),cfg_VAL_DATE,الموظفون!$AE97))</f>
        <v/>
      </c>
      <c r="F97" s="117" t="str">
        <f aca="false">IF($B97="","",IF(E97&lt;D97,"لم يباشر",DATEDIF(D97,E97+1,"y")&amp;" سنة "&amp;DATEDIF(D97,E97+1,"ym")&amp;" شهر "&amp;DATEDIF(D97,E97+1,"md")&amp;" يوم"))</f>
        <v/>
      </c>
      <c r="G97" s="133" t="str">
        <f aca="false">IF($B97="","",SUMIFS('سجل الإجازات والحالات'!$S$6:$S$505,'سجل الإجازات والحالات'!$B$6:$B$505,$B97))</f>
        <v/>
      </c>
      <c r="H97" s="160" t="str">
        <f aca="false">IF($B97="","",MAX(0,E97-D97+1-G97)/cfg_DAYS_Y)</f>
        <v/>
      </c>
      <c r="I97" s="116" t="str">
        <f aca="false">IF($B97="","",الموظفون!$Q97)</f>
        <v/>
      </c>
      <c r="J97" s="116" t="str">
        <f aca="false">IF($B97="","",I97*cfg_EOS_R1*MIN(H97,cfg_EOS_TH))</f>
        <v/>
      </c>
      <c r="K97" s="116" t="str">
        <f aca="false">IF($B97="","",I97*cfg_EOS_R2*MAX(H97-cfg_EOS_TH,0))</f>
        <v/>
      </c>
      <c r="L97" s="116" t="str">
        <f aca="false">IF($B97="","",J97+K97)</f>
        <v/>
      </c>
      <c r="M97" s="117" t="str">
        <f aca="false">IF($B97="","",IF(AND(الموظفون!$AE97&lt;&gt;"",الموظفون!$AE97&lt;=cfg_VAL_DATE),IF(الموظفون!$AF97="","⚠ حدد السبب",الموظفون!$AF97),"على رأس العمل"))</f>
        <v/>
      </c>
      <c r="N97" s="134" t="str">
        <f aca="false">IF($B97="","",VLOOKUP(H97,cfg_RES,2,TRUE()))</f>
        <v/>
      </c>
      <c r="O97" s="116" t="str">
        <f aca="false">IF($B97="","",IF(M97="استقالة",L97*N97,L97))</f>
        <v/>
      </c>
      <c r="P97" s="116" t="str">
        <f aca="false">IF($B97="","",I97*(cfg_EOS_R1*MIN((MAX(0,IF(OR(الموظفون!$AE97="",الموظفون!$AE97&gt;=cfg_Y_START),cfg_Y_START-1,الموظفون!$AE97)-D97+1-SUMIFS('سجل الإجازات والحالات'!$R$6:$R$505,'سجل الإجازات والحالات'!$B$6:$B$505,$B97))/cfg_DAYS_Y),cfg_EOS_TH)+cfg_EOS_R2*MAX((MAX(0,IF(OR(الموظفون!$AE97="",الموظفون!$AE97&gt;=cfg_Y_START),cfg_Y_START-1,الموظفون!$AE97)-D97+1-SUMIFS('سجل الإجازات والحالات'!$R$6:$R$505,'سجل الإجازات والحالات'!$B$6:$B$505,$B97))/cfg_DAYS_Y)-cfg_EOS_TH,0)))</f>
        <v/>
      </c>
      <c r="Q97" s="116" t="str">
        <f aca="false">IF($B97="","",O97-P97)</f>
        <v/>
      </c>
      <c r="R97" s="116" t="str">
        <f aca="false">IF($B97="","",SUMIFS('الحركات الشهرية'!$N$6:$N$1005,'الحركات الشهرية'!$B$6:$B$1005,B97,'الحركات الشهرية'!$A$6:$A$1005,"&lt;="&amp;cfg_VAL_M))</f>
        <v/>
      </c>
      <c r="S97" s="178" t="str">
        <f aca="false">IF($B97="","",P97+Q97-R97)</f>
        <v/>
      </c>
      <c r="T97" s="117" t="str">
        <f aca="false">IF($B97="","",IF(S97&lt;-0.01,"✖ صرف أكثر من المستحق",IF(AND(M97&lt;&gt;"على رأس العمل",S97&gt;0.01),"⚠ مستحق لم يُصرف","✔ سليم")))</f>
        <v/>
      </c>
    </row>
    <row r="98" customFormat="false" ht="15" hidden="false" customHeight="false" outlineLevel="0" collapsed="false">
      <c r="B98" s="114" t="str">
        <f aca="false">IF(الموظفون!$B98="","",الموظفون!$B98)</f>
        <v/>
      </c>
      <c r="C98" s="114" t="str">
        <f aca="false">IF($B98="","",الموظفون!$C98)</f>
        <v/>
      </c>
      <c r="D98" s="174" t="str">
        <f aca="false">IF($B98="","",الموظفون!$H98)</f>
        <v/>
      </c>
      <c r="E98" s="174" t="str">
        <f aca="false">IF($B98="","",IF(OR(الموظفون!$AE98="",الموظفون!$AE98&gt;cfg_VAL_DATE),cfg_VAL_DATE,الموظفون!$AE98))</f>
        <v/>
      </c>
      <c r="F98" s="114" t="str">
        <f aca="false">IF($B98="","",IF(E98&lt;D98,"لم يباشر",DATEDIF(D98,E98+1,"y")&amp;" سنة "&amp;DATEDIF(D98,E98+1,"ym")&amp;" شهر "&amp;DATEDIF(D98,E98+1,"md")&amp;" يوم"))</f>
        <v/>
      </c>
      <c r="G98" s="65" t="str">
        <f aca="false">IF($B98="","",SUMIFS('سجل الإجازات والحالات'!$S$6:$S$505,'سجل الإجازات والحالات'!$B$6:$B$505,$B98))</f>
        <v/>
      </c>
      <c r="H98" s="155" t="str">
        <f aca="false">IF($B98="","",MAX(0,E98-D98+1-G98)/cfg_DAYS_Y)</f>
        <v/>
      </c>
      <c r="I98" s="111" t="str">
        <f aca="false">IF($B98="","",الموظفون!$Q98)</f>
        <v/>
      </c>
      <c r="J98" s="111" t="str">
        <f aca="false">IF($B98="","",I98*cfg_EOS_R1*MIN(H98,cfg_EOS_TH))</f>
        <v/>
      </c>
      <c r="K98" s="111" t="str">
        <f aca="false">IF($B98="","",I98*cfg_EOS_R2*MAX(H98-cfg_EOS_TH,0))</f>
        <v/>
      </c>
      <c r="L98" s="111" t="str">
        <f aca="false">IF($B98="","",J98+K98)</f>
        <v/>
      </c>
      <c r="M98" s="114" t="str">
        <f aca="false">IF($B98="","",IF(AND(الموظفون!$AE98&lt;&gt;"",الموظفون!$AE98&lt;=cfg_VAL_DATE),IF(الموظفون!$AF98="","⚠ حدد السبب",الموظفون!$AF98),"على رأس العمل"))</f>
        <v/>
      </c>
      <c r="N98" s="66" t="str">
        <f aca="false">IF($B98="","",VLOOKUP(H98,cfg_RES,2,TRUE()))</f>
        <v/>
      </c>
      <c r="O98" s="111" t="str">
        <f aca="false">IF($B98="","",IF(M98="استقالة",L98*N98,L98))</f>
        <v/>
      </c>
      <c r="P98" s="111" t="str">
        <f aca="false">IF($B98="","",I98*(cfg_EOS_R1*MIN((MAX(0,IF(OR(الموظفون!$AE98="",الموظفون!$AE98&gt;=cfg_Y_START),cfg_Y_START-1,الموظفون!$AE98)-D98+1-SUMIFS('سجل الإجازات والحالات'!$R$6:$R$505,'سجل الإجازات والحالات'!$B$6:$B$505,$B98))/cfg_DAYS_Y),cfg_EOS_TH)+cfg_EOS_R2*MAX((MAX(0,IF(OR(الموظفون!$AE98="",الموظفون!$AE98&gt;=cfg_Y_START),cfg_Y_START-1,الموظفون!$AE98)-D98+1-SUMIFS('سجل الإجازات والحالات'!$R$6:$R$505,'سجل الإجازات والحالات'!$B$6:$B$505,$B98))/cfg_DAYS_Y)-cfg_EOS_TH,0)))</f>
        <v/>
      </c>
      <c r="Q98" s="111" t="str">
        <f aca="false">IF($B98="","",O98-P98)</f>
        <v/>
      </c>
      <c r="R98" s="111" t="str">
        <f aca="false">IF($B98="","",SUMIFS('الحركات الشهرية'!$N$6:$N$1005,'الحركات الشهرية'!$B$6:$B$1005,B98,'الحركات الشهرية'!$A$6:$A$1005,"&lt;="&amp;cfg_VAL_M))</f>
        <v/>
      </c>
      <c r="S98" s="177" t="str">
        <f aca="false">IF($B98="","",P98+Q98-R98)</f>
        <v/>
      </c>
      <c r="T98" s="114" t="str">
        <f aca="false">IF($B98="","",IF(S98&lt;-0.01,"✖ صرف أكثر من المستحق",IF(AND(M98&lt;&gt;"على رأس العمل",S98&gt;0.01),"⚠ مستحق لم يُصرف","✔ سليم")))</f>
        <v/>
      </c>
    </row>
    <row r="99" customFormat="false" ht="15" hidden="false" customHeight="false" outlineLevel="0" collapsed="false">
      <c r="B99" s="117" t="str">
        <f aca="false">IF(الموظفون!$B99="","",الموظفون!$B99)</f>
        <v/>
      </c>
      <c r="C99" s="117" t="str">
        <f aca="false">IF($B99="","",الموظفون!$C99)</f>
        <v/>
      </c>
      <c r="D99" s="175" t="str">
        <f aca="false">IF($B99="","",الموظفون!$H99)</f>
        <v/>
      </c>
      <c r="E99" s="175" t="str">
        <f aca="false">IF($B99="","",IF(OR(الموظفون!$AE99="",الموظفون!$AE99&gt;cfg_VAL_DATE),cfg_VAL_DATE,الموظفون!$AE99))</f>
        <v/>
      </c>
      <c r="F99" s="117" t="str">
        <f aca="false">IF($B99="","",IF(E99&lt;D99,"لم يباشر",DATEDIF(D99,E99+1,"y")&amp;" سنة "&amp;DATEDIF(D99,E99+1,"ym")&amp;" شهر "&amp;DATEDIF(D99,E99+1,"md")&amp;" يوم"))</f>
        <v/>
      </c>
      <c r="G99" s="133" t="str">
        <f aca="false">IF($B99="","",SUMIFS('سجل الإجازات والحالات'!$S$6:$S$505,'سجل الإجازات والحالات'!$B$6:$B$505,$B99))</f>
        <v/>
      </c>
      <c r="H99" s="160" t="str">
        <f aca="false">IF($B99="","",MAX(0,E99-D99+1-G99)/cfg_DAYS_Y)</f>
        <v/>
      </c>
      <c r="I99" s="116" t="str">
        <f aca="false">IF($B99="","",الموظفون!$Q99)</f>
        <v/>
      </c>
      <c r="J99" s="116" t="str">
        <f aca="false">IF($B99="","",I99*cfg_EOS_R1*MIN(H99,cfg_EOS_TH))</f>
        <v/>
      </c>
      <c r="K99" s="116" t="str">
        <f aca="false">IF($B99="","",I99*cfg_EOS_R2*MAX(H99-cfg_EOS_TH,0))</f>
        <v/>
      </c>
      <c r="L99" s="116" t="str">
        <f aca="false">IF($B99="","",J99+K99)</f>
        <v/>
      </c>
      <c r="M99" s="117" t="str">
        <f aca="false">IF($B99="","",IF(AND(الموظفون!$AE99&lt;&gt;"",الموظفون!$AE99&lt;=cfg_VAL_DATE),IF(الموظفون!$AF99="","⚠ حدد السبب",الموظفون!$AF99),"على رأس العمل"))</f>
        <v/>
      </c>
      <c r="N99" s="134" t="str">
        <f aca="false">IF($B99="","",VLOOKUP(H99,cfg_RES,2,TRUE()))</f>
        <v/>
      </c>
      <c r="O99" s="116" t="str">
        <f aca="false">IF($B99="","",IF(M99="استقالة",L99*N99,L99))</f>
        <v/>
      </c>
      <c r="P99" s="116" t="str">
        <f aca="false">IF($B99="","",I99*(cfg_EOS_R1*MIN((MAX(0,IF(OR(الموظفون!$AE99="",الموظفون!$AE99&gt;=cfg_Y_START),cfg_Y_START-1,الموظفون!$AE99)-D99+1-SUMIFS('سجل الإجازات والحالات'!$R$6:$R$505,'سجل الإجازات والحالات'!$B$6:$B$505,$B99))/cfg_DAYS_Y),cfg_EOS_TH)+cfg_EOS_R2*MAX((MAX(0,IF(OR(الموظفون!$AE99="",الموظفون!$AE99&gt;=cfg_Y_START),cfg_Y_START-1,الموظفون!$AE99)-D99+1-SUMIFS('سجل الإجازات والحالات'!$R$6:$R$505,'سجل الإجازات والحالات'!$B$6:$B$505,$B99))/cfg_DAYS_Y)-cfg_EOS_TH,0)))</f>
        <v/>
      </c>
      <c r="Q99" s="116" t="str">
        <f aca="false">IF($B99="","",O99-P99)</f>
        <v/>
      </c>
      <c r="R99" s="116" t="str">
        <f aca="false">IF($B99="","",SUMIFS('الحركات الشهرية'!$N$6:$N$1005,'الحركات الشهرية'!$B$6:$B$1005,B99,'الحركات الشهرية'!$A$6:$A$1005,"&lt;="&amp;cfg_VAL_M))</f>
        <v/>
      </c>
      <c r="S99" s="178" t="str">
        <f aca="false">IF($B99="","",P99+Q99-R99)</f>
        <v/>
      </c>
      <c r="T99" s="117" t="str">
        <f aca="false">IF($B99="","",IF(S99&lt;-0.01,"✖ صرف أكثر من المستحق",IF(AND(M99&lt;&gt;"على رأس العمل",S99&gt;0.01),"⚠ مستحق لم يُصرف","✔ سليم")))</f>
        <v/>
      </c>
    </row>
    <row r="100" customFormat="false" ht="15" hidden="false" customHeight="false" outlineLevel="0" collapsed="false">
      <c r="B100" s="114" t="str">
        <f aca="false">IF(الموظفون!$B100="","",الموظفون!$B100)</f>
        <v/>
      </c>
      <c r="C100" s="114" t="str">
        <f aca="false">IF($B100="","",الموظفون!$C100)</f>
        <v/>
      </c>
      <c r="D100" s="174" t="str">
        <f aca="false">IF($B100="","",الموظفون!$H100)</f>
        <v/>
      </c>
      <c r="E100" s="174" t="str">
        <f aca="false">IF($B100="","",IF(OR(الموظفون!$AE100="",الموظفون!$AE100&gt;cfg_VAL_DATE),cfg_VAL_DATE,الموظفون!$AE100))</f>
        <v/>
      </c>
      <c r="F100" s="114" t="str">
        <f aca="false">IF($B100="","",IF(E100&lt;D100,"لم يباشر",DATEDIF(D100,E100+1,"y")&amp;" سنة "&amp;DATEDIF(D100,E100+1,"ym")&amp;" شهر "&amp;DATEDIF(D100,E100+1,"md")&amp;" يوم"))</f>
        <v/>
      </c>
      <c r="G100" s="65" t="str">
        <f aca="false">IF($B100="","",SUMIFS('سجل الإجازات والحالات'!$S$6:$S$505,'سجل الإجازات والحالات'!$B$6:$B$505,$B100))</f>
        <v/>
      </c>
      <c r="H100" s="155" t="str">
        <f aca="false">IF($B100="","",MAX(0,E100-D100+1-G100)/cfg_DAYS_Y)</f>
        <v/>
      </c>
      <c r="I100" s="111" t="str">
        <f aca="false">IF($B100="","",الموظفون!$Q100)</f>
        <v/>
      </c>
      <c r="J100" s="111" t="str">
        <f aca="false">IF($B100="","",I100*cfg_EOS_R1*MIN(H100,cfg_EOS_TH))</f>
        <v/>
      </c>
      <c r="K100" s="111" t="str">
        <f aca="false">IF($B100="","",I100*cfg_EOS_R2*MAX(H100-cfg_EOS_TH,0))</f>
        <v/>
      </c>
      <c r="L100" s="111" t="str">
        <f aca="false">IF($B100="","",J100+K100)</f>
        <v/>
      </c>
      <c r="M100" s="114" t="str">
        <f aca="false">IF($B100="","",IF(AND(الموظفون!$AE100&lt;&gt;"",الموظفون!$AE100&lt;=cfg_VAL_DATE),IF(الموظفون!$AF100="","⚠ حدد السبب",الموظفون!$AF100),"على رأس العمل"))</f>
        <v/>
      </c>
      <c r="N100" s="66" t="str">
        <f aca="false">IF($B100="","",VLOOKUP(H100,cfg_RES,2,TRUE()))</f>
        <v/>
      </c>
      <c r="O100" s="111" t="str">
        <f aca="false">IF($B100="","",IF(M100="استقالة",L100*N100,L100))</f>
        <v/>
      </c>
      <c r="P100" s="111" t="str">
        <f aca="false">IF($B100="","",I100*(cfg_EOS_R1*MIN((MAX(0,IF(OR(الموظفون!$AE100="",الموظفون!$AE100&gt;=cfg_Y_START),cfg_Y_START-1,الموظفون!$AE100)-D100+1-SUMIFS('سجل الإجازات والحالات'!$R$6:$R$505,'سجل الإجازات والحالات'!$B$6:$B$505,$B100))/cfg_DAYS_Y),cfg_EOS_TH)+cfg_EOS_R2*MAX((MAX(0,IF(OR(الموظفون!$AE100="",الموظفون!$AE100&gt;=cfg_Y_START),cfg_Y_START-1,الموظفون!$AE100)-D100+1-SUMIFS('سجل الإجازات والحالات'!$R$6:$R$505,'سجل الإجازات والحالات'!$B$6:$B$505,$B100))/cfg_DAYS_Y)-cfg_EOS_TH,0)))</f>
        <v/>
      </c>
      <c r="Q100" s="111" t="str">
        <f aca="false">IF($B100="","",O100-P100)</f>
        <v/>
      </c>
      <c r="R100" s="111" t="str">
        <f aca="false">IF($B100="","",SUMIFS('الحركات الشهرية'!$N$6:$N$1005,'الحركات الشهرية'!$B$6:$B$1005,B100,'الحركات الشهرية'!$A$6:$A$1005,"&lt;="&amp;cfg_VAL_M))</f>
        <v/>
      </c>
      <c r="S100" s="177" t="str">
        <f aca="false">IF($B100="","",P100+Q100-R100)</f>
        <v/>
      </c>
      <c r="T100" s="114" t="str">
        <f aca="false">IF($B100="","",IF(S100&lt;-0.01,"✖ صرف أكثر من المستحق",IF(AND(M100&lt;&gt;"على رأس العمل",S100&gt;0.01),"⚠ مستحق لم يُصرف","✔ سليم")))</f>
        <v/>
      </c>
    </row>
    <row r="101" customFormat="false" ht="15" hidden="false" customHeight="false" outlineLevel="0" collapsed="false">
      <c r="B101" s="117" t="str">
        <f aca="false">IF(الموظفون!$B101="","",الموظفون!$B101)</f>
        <v/>
      </c>
      <c r="C101" s="117" t="str">
        <f aca="false">IF($B101="","",الموظفون!$C101)</f>
        <v/>
      </c>
      <c r="D101" s="175" t="str">
        <f aca="false">IF($B101="","",الموظفون!$H101)</f>
        <v/>
      </c>
      <c r="E101" s="175" t="str">
        <f aca="false">IF($B101="","",IF(OR(الموظفون!$AE101="",الموظفون!$AE101&gt;cfg_VAL_DATE),cfg_VAL_DATE,الموظفون!$AE101))</f>
        <v/>
      </c>
      <c r="F101" s="117" t="str">
        <f aca="false">IF($B101="","",IF(E101&lt;D101,"لم يباشر",DATEDIF(D101,E101+1,"y")&amp;" سنة "&amp;DATEDIF(D101,E101+1,"ym")&amp;" شهر "&amp;DATEDIF(D101,E101+1,"md")&amp;" يوم"))</f>
        <v/>
      </c>
      <c r="G101" s="133" t="str">
        <f aca="false">IF($B101="","",SUMIFS('سجل الإجازات والحالات'!$S$6:$S$505,'سجل الإجازات والحالات'!$B$6:$B$505,$B101))</f>
        <v/>
      </c>
      <c r="H101" s="160" t="str">
        <f aca="false">IF($B101="","",MAX(0,E101-D101+1-G101)/cfg_DAYS_Y)</f>
        <v/>
      </c>
      <c r="I101" s="116" t="str">
        <f aca="false">IF($B101="","",الموظفون!$Q101)</f>
        <v/>
      </c>
      <c r="J101" s="116" t="str">
        <f aca="false">IF($B101="","",I101*cfg_EOS_R1*MIN(H101,cfg_EOS_TH))</f>
        <v/>
      </c>
      <c r="K101" s="116" t="str">
        <f aca="false">IF($B101="","",I101*cfg_EOS_R2*MAX(H101-cfg_EOS_TH,0))</f>
        <v/>
      </c>
      <c r="L101" s="116" t="str">
        <f aca="false">IF($B101="","",J101+K101)</f>
        <v/>
      </c>
      <c r="M101" s="117" t="str">
        <f aca="false">IF($B101="","",IF(AND(الموظفون!$AE101&lt;&gt;"",الموظفون!$AE101&lt;=cfg_VAL_DATE),IF(الموظفون!$AF101="","⚠ حدد السبب",الموظفون!$AF101),"على رأس العمل"))</f>
        <v/>
      </c>
      <c r="N101" s="134" t="str">
        <f aca="false">IF($B101="","",VLOOKUP(H101,cfg_RES,2,TRUE()))</f>
        <v/>
      </c>
      <c r="O101" s="116" t="str">
        <f aca="false">IF($B101="","",IF(M101="استقالة",L101*N101,L101))</f>
        <v/>
      </c>
      <c r="P101" s="116" t="str">
        <f aca="false">IF($B101="","",I101*(cfg_EOS_R1*MIN((MAX(0,IF(OR(الموظفون!$AE101="",الموظفون!$AE101&gt;=cfg_Y_START),cfg_Y_START-1,الموظفون!$AE101)-D101+1-SUMIFS('سجل الإجازات والحالات'!$R$6:$R$505,'سجل الإجازات والحالات'!$B$6:$B$505,$B101))/cfg_DAYS_Y),cfg_EOS_TH)+cfg_EOS_R2*MAX((MAX(0,IF(OR(الموظفون!$AE101="",الموظفون!$AE101&gt;=cfg_Y_START),cfg_Y_START-1,الموظفون!$AE101)-D101+1-SUMIFS('سجل الإجازات والحالات'!$R$6:$R$505,'سجل الإجازات والحالات'!$B$6:$B$505,$B101))/cfg_DAYS_Y)-cfg_EOS_TH,0)))</f>
        <v/>
      </c>
      <c r="Q101" s="116" t="str">
        <f aca="false">IF($B101="","",O101-P101)</f>
        <v/>
      </c>
      <c r="R101" s="116" t="str">
        <f aca="false">IF($B101="","",SUMIFS('الحركات الشهرية'!$N$6:$N$1005,'الحركات الشهرية'!$B$6:$B$1005,B101,'الحركات الشهرية'!$A$6:$A$1005,"&lt;="&amp;cfg_VAL_M))</f>
        <v/>
      </c>
      <c r="S101" s="178" t="str">
        <f aca="false">IF($B101="","",P101+Q101-R101)</f>
        <v/>
      </c>
      <c r="T101" s="117" t="str">
        <f aca="false">IF($B101="","",IF(S101&lt;-0.01,"✖ صرف أكثر من المستحق",IF(AND(M101&lt;&gt;"على رأس العمل",S101&gt;0.01),"⚠ مستحق لم يُصرف","✔ سليم")))</f>
        <v/>
      </c>
    </row>
    <row r="102" customFormat="false" ht="15" hidden="false" customHeight="false" outlineLevel="0" collapsed="false">
      <c r="B102" s="114" t="str">
        <f aca="false">IF(الموظفون!$B102="","",الموظفون!$B102)</f>
        <v/>
      </c>
      <c r="C102" s="114" t="str">
        <f aca="false">IF($B102="","",الموظفون!$C102)</f>
        <v/>
      </c>
      <c r="D102" s="174" t="str">
        <f aca="false">IF($B102="","",الموظفون!$H102)</f>
        <v/>
      </c>
      <c r="E102" s="174" t="str">
        <f aca="false">IF($B102="","",IF(OR(الموظفون!$AE102="",الموظفون!$AE102&gt;cfg_VAL_DATE),cfg_VAL_DATE,الموظفون!$AE102))</f>
        <v/>
      </c>
      <c r="F102" s="114" t="str">
        <f aca="false">IF($B102="","",IF(E102&lt;D102,"لم يباشر",DATEDIF(D102,E102+1,"y")&amp;" سنة "&amp;DATEDIF(D102,E102+1,"ym")&amp;" شهر "&amp;DATEDIF(D102,E102+1,"md")&amp;" يوم"))</f>
        <v/>
      </c>
      <c r="G102" s="65" t="str">
        <f aca="false">IF($B102="","",SUMIFS('سجل الإجازات والحالات'!$S$6:$S$505,'سجل الإجازات والحالات'!$B$6:$B$505,$B102))</f>
        <v/>
      </c>
      <c r="H102" s="155" t="str">
        <f aca="false">IF($B102="","",MAX(0,E102-D102+1-G102)/cfg_DAYS_Y)</f>
        <v/>
      </c>
      <c r="I102" s="111" t="str">
        <f aca="false">IF($B102="","",الموظفون!$Q102)</f>
        <v/>
      </c>
      <c r="J102" s="111" t="str">
        <f aca="false">IF($B102="","",I102*cfg_EOS_R1*MIN(H102,cfg_EOS_TH))</f>
        <v/>
      </c>
      <c r="K102" s="111" t="str">
        <f aca="false">IF($B102="","",I102*cfg_EOS_R2*MAX(H102-cfg_EOS_TH,0))</f>
        <v/>
      </c>
      <c r="L102" s="111" t="str">
        <f aca="false">IF($B102="","",J102+K102)</f>
        <v/>
      </c>
      <c r="M102" s="114" t="str">
        <f aca="false">IF($B102="","",IF(AND(الموظفون!$AE102&lt;&gt;"",الموظفون!$AE102&lt;=cfg_VAL_DATE),IF(الموظفون!$AF102="","⚠ حدد السبب",الموظفون!$AF102),"على رأس العمل"))</f>
        <v/>
      </c>
      <c r="N102" s="66" t="str">
        <f aca="false">IF($B102="","",VLOOKUP(H102,cfg_RES,2,TRUE()))</f>
        <v/>
      </c>
      <c r="O102" s="111" t="str">
        <f aca="false">IF($B102="","",IF(M102="استقالة",L102*N102,L102))</f>
        <v/>
      </c>
      <c r="P102" s="111" t="str">
        <f aca="false">IF($B102="","",I102*(cfg_EOS_R1*MIN((MAX(0,IF(OR(الموظفون!$AE102="",الموظفون!$AE102&gt;=cfg_Y_START),cfg_Y_START-1,الموظفون!$AE102)-D102+1-SUMIFS('سجل الإجازات والحالات'!$R$6:$R$505,'سجل الإجازات والحالات'!$B$6:$B$505,$B102))/cfg_DAYS_Y),cfg_EOS_TH)+cfg_EOS_R2*MAX((MAX(0,IF(OR(الموظفون!$AE102="",الموظفون!$AE102&gt;=cfg_Y_START),cfg_Y_START-1,الموظفون!$AE102)-D102+1-SUMIFS('سجل الإجازات والحالات'!$R$6:$R$505,'سجل الإجازات والحالات'!$B$6:$B$505,$B102))/cfg_DAYS_Y)-cfg_EOS_TH,0)))</f>
        <v/>
      </c>
      <c r="Q102" s="111" t="str">
        <f aca="false">IF($B102="","",O102-P102)</f>
        <v/>
      </c>
      <c r="R102" s="111" t="str">
        <f aca="false">IF($B102="","",SUMIFS('الحركات الشهرية'!$N$6:$N$1005,'الحركات الشهرية'!$B$6:$B$1005,B102,'الحركات الشهرية'!$A$6:$A$1005,"&lt;="&amp;cfg_VAL_M))</f>
        <v/>
      </c>
      <c r="S102" s="177" t="str">
        <f aca="false">IF($B102="","",P102+Q102-R102)</f>
        <v/>
      </c>
      <c r="T102" s="114" t="str">
        <f aca="false">IF($B102="","",IF(S102&lt;-0.01,"✖ صرف أكثر من المستحق",IF(AND(M102&lt;&gt;"على رأس العمل",S102&gt;0.01),"⚠ مستحق لم يُصرف","✔ سليم")))</f>
        <v/>
      </c>
    </row>
    <row r="103" customFormat="false" ht="15" hidden="false" customHeight="false" outlineLevel="0" collapsed="false">
      <c r="B103" s="117" t="str">
        <f aca="false">IF(الموظفون!$B103="","",الموظفون!$B103)</f>
        <v/>
      </c>
      <c r="C103" s="117" t="str">
        <f aca="false">IF($B103="","",الموظفون!$C103)</f>
        <v/>
      </c>
      <c r="D103" s="175" t="str">
        <f aca="false">IF($B103="","",الموظفون!$H103)</f>
        <v/>
      </c>
      <c r="E103" s="175" t="str">
        <f aca="false">IF($B103="","",IF(OR(الموظفون!$AE103="",الموظفون!$AE103&gt;cfg_VAL_DATE),cfg_VAL_DATE,الموظفون!$AE103))</f>
        <v/>
      </c>
      <c r="F103" s="117" t="str">
        <f aca="false">IF($B103="","",IF(E103&lt;D103,"لم يباشر",DATEDIF(D103,E103+1,"y")&amp;" سنة "&amp;DATEDIF(D103,E103+1,"ym")&amp;" شهر "&amp;DATEDIF(D103,E103+1,"md")&amp;" يوم"))</f>
        <v/>
      </c>
      <c r="G103" s="133" t="str">
        <f aca="false">IF($B103="","",SUMIFS('سجل الإجازات والحالات'!$S$6:$S$505,'سجل الإجازات والحالات'!$B$6:$B$505,$B103))</f>
        <v/>
      </c>
      <c r="H103" s="160" t="str">
        <f aca="false">IF($B103="","",MAX(0,E103-D103+1-G103)/cfg_DAYS_Y)</f>
        <v/>
      </c>
      <c r="I103" s="116" t="str">
        <f aca="false">IF($B103="","",الموظفون!$Q103)</f>
        <v/>
      </c>
      <c r="J103" s="116" t="str">
        <f aca="false">IF($B103="","",I103*cfg_EOS_R1*MIN(H103,cfg_EOS_TH))</f>
        <v/>
      </c>
      <c r="K103" s="116" t="str">
        <f aca="false">IF($B103="","",I103*cfg_EOS_R2*MAX(H103-cfg_EOS_TH,0))</f>
        <v/>
      </c>
      <c r="L103" s="116" t="str">
        <f aca="false">IF($B103="","",J103+K103)</f>
        <v/>
      </c>
      <c r="M103" s="117" t="str">
        <f aca="false">IF($B103="","",IF(AND(الموظفون!$AE103&lt;&gt;"",الموظفون!$AE103&lt;=cfg_VAL_DATE),IF(الموظفون!$AF103="","⚠ حدد السبب",الموظفون!$AF103),"على رأس العمل"))</f>
        <v/>
      </c>
      <c r="N103" s="134" t="str">
        <f aca="false">IF($B103="","",VLOOKUP(H103,cfg_RES,2,TRUE()))</f>
        <v/>
      </c>
      <c r="O103" s="116" t="str">
        <f aca="false">IF($B103="","",IF(M103="استقالة",L103*N103,L103))</f>
        <v/>
      </c>
      <c r="P103" s="116" t="str">
        <f aca="false">IF($B103="","",I103*(cfg_EOS_R1*MIN((MAX(0,IF(OR(الموظفون!$AE103="",الموظفون!$AE103&gt;=cfg_Y_START),cfg_Y_START-1,الموظفون!$AE103)-D103+1-SUMIFS('سجل الإجازات والحالات'!$R$6:$R$505,'سجل الإجازات والحالات'!$B$6:$B$505,$B103))/cfg_DAYS_Y),cfg_EOS_TH)+cfg_EOS_R2*MAX((MAX(0,IF(OR(الموظفون!$AE103="",الموظفون!$AE103&gt;=cfg_Y_START),cfg_Y_START-1,الموظفون!$AE103)-D103+1-SUMIFS('سجل الإجازات والحالات'!$R$6:$R$505,'سجل الإجازات والحالات'!$B$6:$B$505,$B103))/cfg_DAYS_Y)-cfg_EOS_TH,0)))</f>
        <v/>
      </c>
      <c r="Q103" s="116" t="str">
        <f aca="false">IF($B103="","",O103-P103)</f>
        <v/>
      </c>
      <c r="R103" s="116" t="str">
        <f aca="false">IF($B103="","",SUMIFS('الحركات الشهرية'!$N$6:$N$1005,'الحركات الشهرية'!$B$6:$B$1005,B103,'الحركات الشهرية'!$A$6:$A$1005,"&lt;="&amp;cfg_VAL_M))</f>
        <v/>
      </c>
      <c r="S103" s="178" t="str">
        <f aca="false">IF($B103="","",P103+Q103-R103)</f>
        <v/>
      </c>
      <c r="T103" s="117" t="str">
        <f aca="false">IF($B103="","",IF(S103&lt;-0.01,"✖ صرف أكثر من المستحق",IF(AND(M103&lt;&gt;"على رأس العمل",S103&gt;0.01),"⚠ مستحق لم يُصرف","✔ سليم")))</f>
        <v/>
      </c>
    </row>
    <row r="104" customFormat="false" ht="15" hidden="false" customHeight="false" outlineLevel="0" collapsed="false">
      <c r="B104" s="114" t="str">
        <f aca="false">IF(الموظفون!$B104="","",الموظفون!$B104)</f>
        <v/>
      </c>
      <c r="C104" s="114" t="str">
        <f aca="false">IF($B104="","",الموظفون!$C104)</f>
        <v/>
      </c>
      <c r="D104" s="174" t="str">
        <f aca="false">IF($B104="","",الموظفون!$H104)</f>
        <v/>
      </c>
      <c r="E104" s="174" t="str">
        <f aca="false">IF($B104="","",IF(OR(الموظفون!$AE104="",الموظفون!$AE104&gt;cfg_VAL_DATE),cfg_VAL_DATE,الموظفون!$AE104))</f>
        <v/>
      </c>
      <c r="F104" s="114" t="str">
        <f aca="false">IF($B104="","",IF(E104&lt;D104,"لم يباشر",DATEDIF(D104,E104+1,"y")&amp;" سنة "&amp;DATEDIF(D104,E104+1,"ym")&amp;" شهر "&amp;DATEDIF(D104,E104+1,"md")&amp;" يوم"))</f>
        <v/>
      </c>
      <c r="G104" s="65" t="str">
        <f aca="false">IF($B104="","",SUMIFS('سجل الإجازات والحالات'!$S$6:$S$505,'سجل الإجازات والحالات'!$B$6:$B$505,$B104))</f>
        <v/>
      </c>
      <c r="H104" s="155" t="str">
        <f aca="false">IF($B104="","",MAX(0,E104-D104+1-G104)/cfg_DAYS_Y)</f>
        <v/>
      </c>
      <c r="I104" s="111" t="str">
        <f aca="false">IF($B104="","",الموظفون!$Q104)</f>
        <v/>
      </c>
      <c r="J104" s="111" t="str">
        <f aca="false">IF($B104="","",I104*cfg_EOS_R1*MIN(H104,cfg_EOS_TH))</f>
        <v/>
      </c>
      <c r="K104" s="111" t="str">
        <f aca="false">IF($B104="","",I104*cfg_EOS_R2*MAX(H104-cfg_EOS_TH,0))</f>
        <v/>
      </c>
      <c r="L104" s="111" t="str">
        <f aca="false">IF($B104="","",J104+K104)</f>
        <v/>
      </c>
      <c r="M104" s="114" t="str">
        <f aca="false">IF($B104="","",IF(AND(الموظفون!$AE104&lt;&gt;"",الموظفون!$AE104&lt;=cfg_VAL_DATE),IF(الموظفون!$AF104="","⚠ حدد السبب",الموظفون!$AF104),"على رأس العمل"))</f>
        <v/>
      </c>
      <c r="N104" s="66" t="str">
        <f aca="false">IF($B104="","",VLOOKUP(H104,cfg_RES,2,TRUE()))</f>
        <v/>
      </c>
      <c r="O104" s="111" t="str">
        <f aca="false">IF($B104="","",IF(M104="استقالة",L104*N104,L104))</f>
        <v/>
      </c>
      <c r="P104" s="111" t="str">
        <f aca="false">IF($B104="","",I104*(cfg_EOS_R1*MIN((MAX(0,IF(OR(الموظفون!$AE104="",الموظفون!$AE104&gt;=cfg_Y_START),cfg_Y_START-1,الموظفون!$AE104)-D104+1-SUMIFS('سجل الإجازات والحالات'!$R$6:$R$505,'سجل الإجازات والحالات'!$B$6:$B$505,$B104))/cfg_DAYS_Y),cfg_EOS_TH)+cfg_EOS_R2*MAX((MAX(0,IF(OR(الموظفون!$AE104="",الموظفون!$AE104&gt;=cfg_Y_START),cfg_Y_START-1,الموظفون!$AE104)-D104+1-SUMIFS('سجل الإجازات والحالات'!$R$6:$R$505,'سجل الإجازات والحالات'!$B$6:$B$505,$B104))/cfg_DAYS_Y)-cfg_EOS_TH,0)))</f>
        <v/>
      </c>
      <c r="Q104" s="111" t="str">
        <f aca="false">IF($B104="","",O104-P104)</f>
        <v/>
      </c>
      <c r="R104" s="111" t="str">
        <f aca="false">IF($B104="","",SUMIFS('الحركات الشهرية'!$N$6:$N$1005,'الحركات الشهرية'!$B$6:$B$1005,B104,'الحركات الشهرية'!$A$6:$A$1005,"&lt;="&amp;cfg_VAL_M))</f>
        <v/>
      </c>
      <c r="S104" s="177" t="str">
        <f aca="false">IF($B104="","",P104+Q104-R104)</f>
        <v/>
      </c>
      <c r="T104" s="114" t="str">
        <f aca="false">IF($B104="","",IF(S104&lt;-0.01,"✖ صرف أكثر من المستحق",IF(AND(M104&lt;&gt;"على رأس العمل",S104&gt;0.01),"⚠ مستحق لم يُصرف","✔ سليم")))</f>
        <v/>
      </c>
    </row>
    <row r="105" customFormat="false" ht="15" hidden="false" customHeight="false" outlineLevel="0" collapsed="false">
      <c r="B105" s="117" t="str">
        <f aca="false">IF(الموظفون!$B105="","",الموظفون!$B105)</f>
        <v/>
      </c>
      <c r="C105" s="117" t="str">
        <f aca="false">IF($B105="","",الموظفون!$C105)</f>
        <v/>
      </c>
      <c r="D105" s="175" t="str">
        <f aca="false">IF($B105="","",الموظفون!$H105)</f>
        <v/>
      </c>
      <c r="E105" s="175" t="str">
        <f aca="false">IF($B105="","",IF(OR(الموظفون!$AE105="",الموظفون!$AE105&gt;cfg_VAL_DATE),cfg_VAL_DATE,الموظفون!$AE105))</f>
        <v/>
      </c>
      <c r="F105" s="117" t="str">
        <f aca="false">IF($B105="","",IF(E105&lt;D105,"لم يباشر",DATEDIF(D105,E105+1,"y")&amp;" سنة "&amp;DATEDIF(D105,E105+1,"ym")&amp;" شهر "&amp;DATEDIF(D105,E105+1,"md")&amp;" يوم"))</f>
        <v/>
      </c>
      <c r="G105" s="133" t="str">
        <f aca="false">IF($B105="","",SUMIFS('سجل الإجازات والحالات'!$S$6:$S$505,'سجل الإجازات والحالات'!$B$6:$B$505,$B105))</f>
        <v/>
      </c>
      <c r="H105" s="160" t="str">
        <f aca="false">IF($B105="","",MAX(0,E105-D105+1-G105)/cfg_DAYS_Y)</f>
        <v/>
      </c>
      <c r="I105" s="116" t="str">
        <f aca="false">IF($B105="","",الموظفون!$Q105)</f>
        <v/>
      </c>
      <c r="J105" s="116" t="str">
        <f aca="false">IF($B105="","",I105*cfg_EOS_R1*MIN(H105,cfg_EOS_TH))</f>
        <v/>
      </c>
      <c r="K105" s="116" t="str">
        <f aca="false">IF($B105="","",I105*cfg_EOS_R2*MAX(H105-cfg_EOS_TH,0))</f>
        <v/>
      </c>
      <c r="L105" s="116" t="str">
        <f aca="false">IF($B105="","",J105+K105)</f>
        <v/>
      </c>
      <c r="M105" s="117" t="str">
        <f aca="false">IF($B105="","",IF(AND(الموظفون!$AE105&lt;&gt;"",الموظفون!$AE105&lt;=cfg_VAL_DATE),IF(الموظفون!$AF105="","⚠ حدد السبب",الموظفون!$AF105),"على رأس العمل"))</f>
        <v/>
      </c>
      <c r="N105" s="134" t="str">
        <f aca="false">IF($B105="","",VLOOKUP(H105,cfg_RES,2,TRUE()))</f>
        <v/>
      </c>
      <c r="O105" s="116" t="str">
        <f aca="false">IF($B105="","",IF(M105="استقالة",L105*N105,L105))</f>
        <v/>
      </c>
      <c r="P105" s="116" t="str">
        <f aca="false">IF($B105="","",I105*(cfg_EOS_R1*MIN((MAX(0,IF(OR(الموظفون!$AE105="",الموظفون!$AE105&gt;=cfg_Y_START),cfg_Y_START-1,الموظفون!$AE105)-D105+1-SUMIFS('سجل الإجازات والحالات'!$R$6:$R$505,'سجل الإجازات والحالات'!$B$6:$B$505,$B105))/cfg_DAYS_Y),cfg_EOS_TH)+cfg_EOS_R2*MAX((MAX(0,IF(OR(الموظفون!$AE105="",الموظفون!$AE105&gt;=cfg_Y_START),cfg_Y_START-1,الموظفون!$AE105)-D105+1-SUMIFS('سجل الإجازات والحالات'!$R$6:$R$505,'سجل الإجازات والحالات'!$B$6:$B$505,$B105))/cfg_DAYS_Y)-cfg_EOS_TH,0)))</f>
        <v/>
      </c>
      <c r="Q105" s="116" t="str">
        <f aca="false">IF($B105="","",O105-P105)</f>
        <v/>
      </c>
      <c r="R105" s="116" t="str">
        <f aca="false">IF($B105="","",SUMIFS('الحركات الشهرية'!$N$6:$N$1005,'الحركات الشهرية'!$B$6:$B$1005,B105,'الحركات الشهرية'!$A$6:$A$1005,"&lt;="&amp;cfg_VAL_M))</f>
        <v/>
      </c>
      <c r="S105" s="178" t="str">
        <f aca="false">IF($B105="","",P105+Q105-R105)</f>
        <v/>
      </c>
      <c r="T105" s="117" t="str">
        <f aca="false">IF($B105="","",IF(S105&lt;-0.01,"✖ صرف أكثر من المستحق",IF(AND(M105&lt;&gt;"على رأس العمل",S105&gt;0.01),"⚠ مستحق لم يُصرف","✔ سليم")))</f>
        <v/>
      </c>
    </row>
    <row r="106" customFormat="false" ht="24" hidden="false" customHeight="true" outlineLevel="0" collapsed="false">
      <c r="B106" s="124"/>
      <c r="C106" s="124" t="s">
        <v>161</v>
      </c>
      <c r="D106" s="124"/>
      <c r="E106" s="124"/>
      <c r="F106" s="124"/>
      <c r="G106" s="124"/>
      <c r="H106" s="124"/>
      <c r="I106" s="124"/>
      <c r="J106" s="125" t="n">
        <f aca="false">SUM(J6:J105)</f>
        <v>436579.828767123</v>
      </c>
      <c r="K106" s="125" t="n">
        <f aca="false">SUM(K6:K105)</f>
        <v>757490.547945206</v>
      </c>
      <c r="L106" s="125" t="n">
        <f aca="false">SUM(L6:L105)</f>
        <v>1194070.37671233</v>
      </c>
      <c r="M106" s="124"/>
      <c r="N106" s="124"/>
      <c r="O106" s="125" t="n">
        <f aca="false">SUM(O6:O105)</f>
        <v>1183180.99315069</v>
      </c>
      <c r="P106" s="125" t="n">
        <f aca="false">SUM(P6:P105)</f>
        <v>1069951.74657534</v>
      </c>
      <c r="Q106" s="125" t="n">
        <f aca="false">SUM(Q6:Q105)</f>
        <v>113229.246575342</v>
      </c>
      <c r="R106" s="125" t="n">
        <f aca="false">SUM(R6:R105)</f>
        <v>21778.7671232877</v>
      </c>
      <c r="S106" s="125" t="n">
        <f aca="false">SUM(S6:S105)</f>
        <v>1161402.2260274</v>
      </c>
      <c r="T106" s="124"/>
    </row>
    <row r="107" customFormat="false" ht="43.5" hidden="false" customHeight="true" outlineLevel="0" collapsed="false">
      <c r="B107" s="24" t="s">
        <v>559</v>
      </c>
      <c r="C107" s="24"/>
      <c r="D107" s="24"/>
      <c r="E107" s="24"/>
      <c r="F107" s="24"/>
      <c r="G107" s="24"/>
      <c r="H107" s="24"/>
      <c r="I107" s="24"/>
      <c r="J107" s="24"/>
      <c r="K107" s="24"/>
      <c r="L107" s="24"/>
      <c r="M107" s="24"/>
      <c r="N107" s="24"/>
      <c r="O107" s="24"/>
      <c r="P107" s="24"/>
      <c r="Q107" s="24"/>
      <c r="R107" s="24"/>
      <c r="S107" s="24"/>
      <c r="T107" s="24"/>
    </row>
  </sheetData>
  <sheetProtection sheet="true" password="ffa5" objects="true" scenarios="true"/>
  <mergeCells count="3">
    <mergeCell ref="B1:T1"/>
    <mergeCell ref="B2:T2"/>
    <mergeCell ref="B107:T107"/>
  </mergeCells>
  <conditionalFormatting sqref="T6:T105">
    <cfRule type="expression" priority="2" aboveAverage="0" equalAverage="0" bottom="0" percent="0" rank="0" text="" dxfId="0">
      <formula>ISNUMBER(SEARCH("✔",T6))</formula>
    </cfRule>
    <cfRule type="expression" priority="3" aboveAverage="0" equalAverage="0" bottom="0" percent="0" rank="0" text="" dxfId="1">
      <formula>ISNUMBER(SEARCH("✖",T6))</formula>
    </cfRule>
    <cfRule type="expression" priority="4" aboveAverage="0" equalAverage="0" bottom="0" percent="0" rank="0" text="" dxfId="2">
      <formula>ISNUMBER(SEARCH("⚠",T6))</formula>
    </cfRule>
    <cfRule type="expression" priority="5" aboveAverage="0" equalAverage="0" bottom="0" percent="0" rank="0" text="" dxfId="3">
      <formula>ISNUMBER(SEARCH("✈",T6))</formula>
    </cfRule>
    <cfRule type="expression" priority="6" aboveAverage="0" equalAverage="0" bottom="0" percent="0" rank="0" text="" dxfId="1">
      <formula>ISNUMBER(SEARCH("⛔",T6))</formula>
    </cfRule>
    <cfRule type="expression" priority="7" aboveAverage="0" equalAverage="0" bottom="0" percent="0" rank="0" text="" dxfId="0">
      <formula>ISNUMBER(SEARCH("🌴",T6))</formula>
    </cfRule>
    <cfRule type="expression" priority="8" aboveAverage="0" equalAverage="0" bottom="0" percent="0" rank="0" text="" dxfId="4">
      <formula>ISNUMBER(SEARCH("⏳",T6))</formula>
    </cfRule>
  </conditionalFormatting>
  <hyperlinks>
    <hyperlink ref="B2" r:id="rId1" display="https://accopro.net/"/>
    <hyperlink ref="B3" location="'الرئيسية'!A1" display="🏠 الرئيسية"/>
    <hyperlink ref="C3" location="'لوحة التحكم'!A1" display="📊 لوحة التحكم"/>
    <hyperlink ref="D3" location="'الإعدادات'!A1" display="⚙ الإعدادات"/>
    <hyperlink ref="E3" location="'الموظفون'!A1" display="👥 الموظفون"/>
    <hyperlink ref="F3" location="'سجل الإجازات والحالات'!A1" display="🌴 سجل الإجازات"/>
    <hyperlink ref="G3" location="'الحركات الشهرية'!A1" display="✍ الحركات"/>
    <hyperlink ref="H3" location="'الإقامات ورخص العمل'!A1" display="🪪 الإقامات"/>
    <hyperlink ref="I3" location="'الملخص الشهري'!A1" display="📅 الملخص الشهري"/>
    <hyperlink ref="J3" location="'قيود الرواتب'!A1" display="🧾 القيود"/>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&amp;Cنسخة تجريبية — النسخة الكاملة: accopro.net</oddHeader>
    <oddFooter>&amp;CAccoPro — https://accopro.net</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S107"/>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9"/>
    <col collapsed="false" customWidth="true" hidden="false" outlineLevel="0" max="3" min="3" style="0" width="24"/>
    <col collapsed="false" customWidth="true" hidden="false" outlineLevel="0" max="4" min="4" style="0" width="12"/>
    <col collapsed="false" customWidth="true" hidden="false" outlineLevel="0" max="5" min="5" style="0" width="9"/>
    <col collapsed="false" customWidth="true" hidden="false" outlineLevel="0" max="6" min="6" style="0" width="10"/>
    <col collapsed="false" customWidth="true" hidden="false" outlineLevel="0" max="7" min="7" style="0" width="11"/>
    <col collapsed="false" customWidth="true" hidden="false" outlineLevel="0" max="8" min="8" style="0" width="10"/>
    <col collapsed="false" customWidth="true" hidden="false" outlineLevel="0" max="10" min="9" style="0" width="12"/>
    <col collapsed="false" customWidth="true" hidden="false" outlineLevel="0" max="14" min="11" style="0" width="10"/>
    <col collapsed="false" customWidth="true" hidden="false" outlineLevel="0" max="15" min="15" style="0" width="11"/>
    <col collapsed="false" customWidth="true" hidden="false" outlineLevel="0" max="16" min="16" style="0" width="14"/>
    <col collapsed="false" customWidth="true" hidden="false" outlineLevel="0" max="18" min="17" style="0" width="13"/>
    <col collapsed="false" customWidth="true" hidden="false" outlineLevel="0" max="19" min="19" style="0" width="18"/>
  </cols>
  <sheetData>
    <row r="1" customFormat="false" ht="37.5" hidden="false" customHeight="true" outlineLevel="0" collapsed="false">
      <c r="B1" s="136" t="str">
        <f aca="false">"🌴 مخصص الإجازات السنوية كما في "&amp;TEXT(cfg_VAL_DATE,"yyyy/mm/dd")&amp;"   🔒 نسخة تجريبية"</f>
        <v>🌴 مخصص الإجازات السنوية كما في 2026/09/30   🔒 نسخة تجريبية</v>
      </c>
      <c r="C1" s="136"/>
      <c r="D1" s="136"/>
      <c r="E1" s="136"/>
      <c r="F1" s="136"/>
      <c r="G1" s="136"/>
      <c r="H1" s="136"/>
      <c r="I1" s="136"/>
      <c r="J1" s="136"/>
      <c r="K1" s="136"/>
      <c r="L1" s="136"/>
      <c r="M1" s="136"/>
      <c r="N1" s="136"/>
      <c r="O1" s="136"/>
      <c r="P1" s="136"/>
      <c r="Q1" s="136"/>
      <c r="R1" s="136"/>
      <c r="S1" s="136"/>
    </row>
    <row r="2" customFormat="false" ht="19.5" hidden="false" customHeight="true" outlineLevel="0" collapsed="false">
      <c r="B2" s="2" t="str">
        <f aca="false">"🛒 نسخة تجريبية — للنسخة الكاملة اضغط هنا ← accopro.net   |   "&amp;cfg_CO&amp;"   |   السنة المالية "&amp;cfg_FY&amp;"   |   شهر التقرير: "&amp;INDEX(L_MONTH,cfg_VAL_M)&amp;"   |   المبالغ بـ "&amp;cfg_CUR</f>
        <v>🛒 نسخة تجريبية — للنسخة الكاملة اضغط هنا ← accopro.net   |   شركة النخبة للتجارة والمقاولات   |   السنة المالية 2026   |   شهر التقرير: سبتمبر   |   المبالغ بـ ريال سعودي</v>
      </c>
      <c r="C2" s="2"/>
      <c r="D2" s="2"/>
      <c r="E2" s="2"/>
      <c r="F2" s="2"/>
      <c r="G2" s="2"/>
      <c r="H2" s="2"/>
      <c r="I2" s="2"/>
      <c r="J2" s="2"/>
      <c r="K2" s="2"/>
      <c r="L2" s="2"/>
      <c r="M2" s="2"/>
      <c r="N2" s="2"/>
      <c r="O2" s="2"/>
      <c r="P2" s="2"/>
      <c r="Q2" s="2"/>
      <c r="R2" s="2"/>
      <c r="S2" s="2"/>
    </row>
    <row r="3" customFormat="false" ht="25.5" hidden="false" customHeight="true" outlineLevel="0" collapsed="false">
      <c r="B3" s="31" t="s">
        <v>114</v>
      </c>
      <c r="C3" s="12" t="s">
        <v>172</v>
      </c>
      <c r="D3" s="32" t="s">
        <v>115</v>
      </c>
      <c r="E3" s="32" t="s">
        <v>116</v>
      </c>
      <c r="F3" s="33" t="s">
        <v>117</v>
      </c>
      <c r="G3" s="32" t="s">
        <v>118</v>
      </c>
      <c r="H3" s="34" t="s">
        <v>119</v>
      </c>
      <c r="I3" s="32" t="s">
        <v>39</v>
      </c>
      <c r="J3" s="32" t="s">
        <v>173</v>
      </c>
    </row>
    <row r="4" customFormat="false" ht="7.5" hidden="false" customHeight="true" outlineLevel="0" collapsed="false"/>
    <row r="5" customFormat="false" ht="51.75" hidden="false" customHeight="true" outlineLevel="0" collapsed="false">
      <c r="B5" s="63" t="s">
        <v>524</v>
      </c>
      <c r="C5" s="63" t="s">
        <v>310</v>
      </c>
      <c r="D5" s="63" t="s">
        <v>313</v>
      </c>
      <c r="E5" s="63" t="s">
        <v>560</v>
      </c>
      <c r="F5" s="63" t="s">
        <v>561</v>
      </c>
      <c r="G5" s="63" t="s">
        <v>562</v>
      </c>
      <c r="H5" s="63" t="s">
        <v>563</v>
      </c>
      <c r="I5" s="63" t="s">
        <v>564</v>
      </c>
      <c r="J5" s="63" t="s">
        <v>565</v>
      </c>
      <c r="K5" s="63" t="s">
        <v>566</v>
      </c>
      <c r="L5" s="63" t="s">
        <v>567</v>
      </c>
      <c r="M5" s="63" t="s">
        <v>568</v>
      </c>
      <c r="N5" s="63" t="s">
        <v>569</v>
      </c>
      <c r="O5" s="63" t="s">
        <v>570</v>
      </c>
      <c r="P5" s="63" t="s">
        <v>571</v>
      </c>
      <c r="Q5" s="63" t="s">
        <v>572</v>
      </c>
      <c r="R5" s="63" t="s">
        <v>573</v>
      </c>
      <c r="S5" s="63" t="s">
        <v>558</v>
      </c>
    </row>
    <row r="6" customFormat="false" ht="15" hidden="false" customHeight="false" outlineLevel="0" collapsed="false">
      <c r="B6" s="114" t="str">
        <f aca="false">IF(الموظفون!$B6="","",الموظفون!$B6)</f>
        <v>E001</v>
      </c>
      <c r="C6" s="114" t="str">
        <f aca="false">IF($B6="","",الموظفون!$C6)</f>
        <v>عبدالله محمد العتيبي</v>
      </c>
      <c r="D6" s="174" t="n">
        <f aca="false">IF($B6="","",الموظفون!$H6)</f>
        <v>40923</v>
      </c>
      <c r="E6" s="179" t="n">
        <f aca="false">IF($B6="","",MAX(0,J6-D6+1-SUMIFS('سجل الإجازات والحالات'!$S$6:$S$505,'سجل الإجازات والحالات'!$B$6:$B$505,$B6))/cfg_DAYS_Y)</f>
        <v>14.7205479452055</v>
      </c>
      <c r="F6" s="65" t="n">
        <f aca="false">IF($B6="","",IF(الموظفون!$T6&lt;&gt;"",الموظفون!$T6,IF(E6&gt;=cfg_LV_TH,cfg_LV_D2,cfg_LV_D1)))</f>
        <v>30</v>
      </c>
      <c r="G6" s="111" t="n">
        <f aca="false">IF($B6="","",الموظفون!$R6/cfg_DAYS_M)</f>
        <v>1260</v>
      </c>
      <c r="H6" s="151" t="n">
        <f aca="false">IF($B6="","",N(الموظفون!$AC6))</f>
        <v>18</v>
      </c>
      <c r="I6" s="174" t="n">
        <f aca="false">IF($B6="","",MAX(cfg_Y_START,D6))</f>
        <v>46023</v>
      </c>
      <c r="J6" s="174" t="n">
        <f aca="false">IF($B6="","",IF(OR(الموظفون!$AE6="",الموظفون!$AE6&gt;cfg_VAL_DATE),cfg_VAL_DATE,الموظفون!$AE6))</f>
        <v>46295</v>
      </c>
      <c r="K6" s="65" t="n">
        <f aca="false">IF($B6="","",MAX(0,MAX(0,J6-I6+1)-(SUMIFS('سجل الإجازات والحالات'!$S$6:$S$505,'سجل الإجازات والحالات'!$B$6:$B$505,$B6)-SUMIFS('سجل الإجازات والحالات'!$R$6:$R$505,'سجل الإجازات والحالات'!$B$6:$B$505,$B6))))</f>
        <v>273</v>
      </c>
      <c r="L6" s="151" t="n">
        <f aca="false">IF($B6="","",F6/cfg_DAYS_Y*K6)</f>
        <v>22.4383561643836</v>
      </c>
      <c r="M6" s="151" t="n">
        <f aca="false">IF($B6="","",SUMIFS('سجل الإجازات والحالات'!$T$6:$T$505,'سجل الإجازات والحالات'!$B$6:$B$505,$B6)+SUMIFS('الحركات الشهرية'!$K$6:$K$1005,'الحركات الشهرية'!$B$6:$B$1005,B6,'الحركات الشهرية'!$A$6:$A$1005,"&lt;="&amp;cfg_VAL_M))</f>
        <v>10</v>
      </c>
      <c r="N6" s="151" t="n">
        <f aca="false">IF($B6="","",SUMIFS('الحركات الشهرية'!$L$6:$L$1005,'الحركات الشهرية'!$B$6:$B$1005,B6,'الحركات الشهرية'!$A$6:$A$1005,"&lt;="&amp;cfg_VAL_M))</f>
        <v>0</v>
      </c>
      <c r="O6" s="151" t="n">
        <f aca="false">IF($B6="","",H6+L6-M6-N6)</f>
        <v>30.4383561643836</v>
      </c>
      <c r="P6" s="153" t="n">
        <f aca="false">IF($B6="","",O6*G6)</f>
        <v>38352.3287671233</v>
      </c>
      <c r="Q6" s="111" t="n">
        <f aca="false">IF($B6="","",H6*G6)</f>
        <v>22680</v>
      </c>
      <c r="R6" s="111" t="n">
        <f aca="false">IF($B6="","",(M6+N6)*G6)</f>
        <v>12600</v>
      </c>
      <c r="S6" s="114" t="str">
        <f aca="false">IF($B6="","",IF(O6&lt;-0.01,"✖ رصيد سالب",IF(O6&gt;F6*2,"⚠ رصيد مرتفع (أكثر من سنتين)",IF(AND(الموظفون!$AE6&lt;&gt;"",الموظفون!$AE6&lt;=cfg_VAL_DATE,O6&gt;0.01),"⚠ منتهي الخدمة برصيد","✔ سليم"))))</f>
        <v>✔ سليم</v>
      </c>
    </row>
    <row r="7" customFormat="false" ht="15" hidden="false" customHeight="false" outlineLevel="0" collapsed="false">
      <c r="B7" s="117" t="str">
        <f aca="false">IF(الموظفون!$B7="","",الموظفون!$B7)</f>
        <v>E002</v>
      </c>
      <c r="C7" s="117" t="str">
        <f aca="false">IF($B7="","",الموظفون!$C7)</f>
        <v>أحمد سعيد القحطاني</v>
      </c>
      <c r="D7" s="175" t="n">
        <f aca="false">IF($B7="","",الموظفون!$H7)</f>
        <v>42522</v>
      </c>
      <c r="E7" s="180" t="n">
        <f aca="false">IF($B7="","",MAX(0,J7-D7+1-SUMIFS('سجل الإجازات والحالات'!$S$6:$S$505,'سجل الإجازات والحالات'!$B$6:$B$505,$B7))/cfg_DAYS_Y)</f>
        <v>10.3397260273973</v>
      </c>
      <c r="F7" s="133" t="n">
        <f aca="false">IF($B7="","",IF(الموظفون!$T7&lt;&gt;"",الموظفون!$T7,IF(E7&gt;=cfg_LV_TH,cfg_LV_D2,cfg_LV_D1)))</f>
        <v>30</v>
      </c>
      <c r="G7" s="116" t="n">
        <f aca="false">IF($B7="","",الموظفون!$R7/cfg_DAYS_M)</f>
        <v>810</v>
      </c>
      <c r="H7" s="156" t="n">
        <f aca="false">IF($B7="","",N(الموظفون!$AC7))</f>
        <v>12</v>
      </c>
      <c r="I7" s="175" t="n">
        <f aca="false">IF($B7="","",MAX(cfg_Y_START,D7))</f>
        <v>46023</v>
      </c>
      <c r="J7" s="175" t="n">
        <f aca="false">IF($B7="","",IF(OR(الموظفون!$AE7="",الموظفون!$AE7&gt;cfg_VAL_DATE),cfg_VAL_DATE,الموظفون!$AE7))</f>
        <v>46295</v>
      </c>
      <c r="K7" s="133" t="n">
        <f aca="false">IF($B7="","",MAX(0,MAX(0,J7-I7+1)-(SUMIFS('سجل الإجازات والحالات'!$S$6:$S$505,'سجل الإجازات والحالات'!$B$6:$B$505,$B7)-SUMIFS('سجل الإجازات والحالات'!$R$6:$R$505,'سجل الإجازات والحالات'!$B$6:$B$505,$B7))))</f>
        <v>273</v>
      </c>
      <c r="L7" s="156" t="n">
        <f aca="false">IF($B7="","",F7/cfg_DAYS_Y*K7)</f>
        <v>22.4383561643836</v>
      </c>
      <c r="M7" s="156" t="n">
        <f aca="false">IF($B7="","",SUMIFS('سجل الإجازات والحالات'!$T$6:$T$505,'سجل الإجازات والحالات'!$B$6:$B$505,$B7)+SUMIFS('الحركات الشهرية'!$K$6:$K$1005,'الحركات الشهرية'!$B$6:$B$1005,B7,'الحركات الشهرية'!$A$6:$A$1005,"&lt;="&amp;cfg_VAL_M))</f>
        <v>20</v>
      </c>
      <c r="N7" s="156" t="n">
        <f aca="false">IF($B7="","",SUMIFS('الحركات الشهرية'!$L$6:$L$1005,'الحركات الشهرية'!$B$6:$B$1005,B7,'الحركات الشهرية'!$A$6:$A$1005,"&lt;="&amp;cfg_VAL_M))</f>
        <v>0</v>
      </c>
      <c r="O7" s="156" t="n">
        <f aca="false">IF($B7="","",H7+L7-M7-N7)</f>
        <v>14.4383561643836</v>
      </c>
      <c r="P7" s="158" t="n">
        <f aca="false">IF($B7="","",O7*G7)</f>
        <v>11695.0684931507</v>
      </c>
      <c r="Q7" s="116" t="n">
        <f aca="false">IF($B7="","",H7*G7)</f>
        <v>9720</v>
      </c>
      <c r="R7" s="116" t="n">
        <f aca="false">IF($B7="","",(M7+N7)*G7)</f>
        <v>16200</v>
      </c>
      <c r="S7" s="117" t="str">
        <f aca="false">IF($B7="","",IF(O7&lt;-0.01,"✖ رصيد سالب",IF(O7&gt;F7*2,"⚠ رصيد مرتفع (أكثر من سنتين)",IF(AND(الموظفون!$AE7&lt;&gt;"",الموظفون!$AE7&lt;=cfg_VAL_DATE,O7&gt;0.01),"⚠ منتهي الخدمة برصيد","✔ سليم"))))</f>
        <v>✔ سليم</v>
      </c>
    </row>
    <row r="8" customFormat="false" ht="15" hidden="false" customHeight="false" outlineLevel="0" collapsed="false">
      <c r="B8" s="114" t="str">
        <f aca="false">IF(الموظفون!$B8="","",الموظفون!$B8)</f>
        <v>E003</v>
      </c>
      <c r="C8" s="114" t="str">
        <f aca="false">IF($B8="","",الموظفون!$C8)</f>
        <v>محمد علي حسن</v>
      </c>
      <c r="D8" s="174" t="n">
        <f aca="false">IF($B8="","",الموظفون!$H8)</f>
        <v>43353</v>
      </c>
      <c r="E8" s="179" t="n">
        <f aca="false">IF($B8="","",MAX(0,J8-D8+1-SUMIFS('سجل الإجازات والحالات'!$S$6:$S$505,'سجل الإجازات والحالات'!$B$6:$B$505,$B8))/cfg_DAYS_Y)</f>
        <v>8.06301369863014</v>
      </c>
      <c r="F8" s="65" t="n">
        <f aca="false">IF($B8="","",IF(الموظفون!$T8&lt;&gt;"",الموظفون!$T8,IF(E8&gt;=cfg_LV_TH,cfg_LV_D2,cfg_LV_D1)))</f>
        <v>30</v>
      </c>
      <c r="G8" s="111" t="n">
        <f aca="false">IF($B8="","",الموظفون!$R8/cfg_DAYS_M)</f>
        <v>382.5</v>
      </c>
      <c r="H8" s="151" t="n">
        <f aca="false">IF($B8="","",N(الموظفون!$AC8))</f>
        <v>20</v>
      </c>
      <c r="I8" s="174" t="n">
        <f aca="false">IF($B8="","",MAX(cfg_Y_START,D8))</f>
        <v>46023</v>
      </c>
      <c r="J8" s="174" t="n">
        <f aca="false">IF($B8="","",IF(OR(الموظفون!$AE8="",الموظفون!$AE8&gt;cfg_VAL_DATE),cfg_VAL_DATE,الموظفون!$AE8))</f>
        <v>46295</v>
      </c>
      <c r="K8" s="65" t="n">
        <f aca="false">IF($B8="","",MAX(0,MAX(0,J8-I8+1)-(SUMIFS('سجل الإجازات والحالات'!$S$6:$S$505,'سجل الإجازات والحالات'!$B$6:$B$505,$B8)-SUMIFS('سجل الإجازات والحالات'!$R$6:$R$505,'سجل الإجازات والحالات'!$B$6:$B$505,$B8))))</f>
        <v>273</v>
      </c>
      <c r="L8" s="151" t="n">
        <f aca="false">IF($B8="","",F8/cfg_DAYS_Y*K8)</f>
        <v>22.4383561643836</v>
      </c>
      <c r="M8" s="151" t="n">
        <f aca="false">IF($B8="","",SUMIFS('سجل الإجازات والحالات'!$T$6:$T$505,'سجل الإجازات والحالات'!$B$6:$B$505,$B8)+SUMIFS('الحركات الشهرية'!$K$6:$K$1005,'الحركات الشهرية'!$B$6:$B$1005,B8,'الحركات الشهرية'!$A$6:$A$1005,"&lt;="&amp;cfg_VAL_M))</f>
        <v>0</v>
      </c>
      <c r="N8" s="151" t="n">
        <f aca="false">IF($B8="","",SUMIFS('الحركات الشهرية'!$L$6:$L$1005,'الحركات الشهرية'!$B$6:$B$1005,B8,'الحركات الشهرية'!$A$6:$A$1005,"&lt;="&amp;cfg_VAL_M))</f>
        <v>0</v>
      </c>
      <c r="O8" s="151" t="n">
        <f aca="false">IF($B8="","",H8+L8-M8-N8)</f>
        <v>42.4383561643836</v>
      </c>
      <c r="P8" s="153" t="n">
        <f aca="false">IF($B8="","",O8*G8)</f>
        <v>16232.6712328767</v>
      </c>
      <c r="Q8" s="111" t="n">
        <f aca="false">IF($B8="","",H8*G8)</f>
        <v>7650</v>
      </c>
      <c r="R8" s="111" t="n">
        <f aca="false">IF($B8="","",(M8+N8)*G8)</f>
        <v>0</v>
      </c>
      <c r="S8" s="114" t="str">
        <f aca="false">IF($B8="","",IF(O8&lt;-0.01,"✖ رصيد سالب",IF(O8&gt;F8*2,"⚠ رصيد مرتفع (أكثر من سنتين)",IF(AND(الموظفون!$AE8&lt;&gt;"",الموظفون!$AE8&lt;=cfg_VAL_DATE,O8&gt;0.01),"⚠ منتهي الخدمة برصيد","✔ سليم"))))</f>
        <v>✔ سليم</v>
      </c>
    </row>
    <row r="9" customFormat="false" ht="15" hidden="false" customHeight="false" outlineLevel="0" collapsed="false">
      <c r="B9" s="117" t="str">
        <f aca="false">IF(الموظفون!$B9="","",الموظفون!$B9)</f>
        <v>E004</v>
      </c>
      <c r="C9" s="117" t="str">
        <f aca="false">IF($B9="","",الموظفون!$C9)</f>
        <v>نورة خالد الدوسري</v>
      </c>
      <c r="D9" s="175" t="n">
        <f aca="false">IF($B9="","",الموظفون!$H9)</f>
        <v>43497</v>
      </c>
      <c r="E9" s="180" t="n">
        <f aca="false">IF($B9="","",MAX(0,J9-D9+1-SUMIFS('سجل الإجازات والحالات'!$S$6:$S$505,'سجل الإجازات والحالات'!$B$6:$B$505,$B9))/cfg_DAYS_Y)</f>
        <v>7.66849315068493</v>
      </c>
      <c r="F9" s="133" t="n">
        <f aca="false">IF($B9="","",IF(الموظفون!$T9&lt;&gt;"",الموظفون!$T9,IF(E9&gt;=cfg_LV_TH,cfg_LV_D2,cfg_LV_D1)))</f>
        <v>30</v>
      </c>
      <c r="G9" s="116" t="n">
        <f aca="false">IF($B9="","",الموظفون!$R9/cfg_DAYS_M)</f>
        <v>630</v>
      </c>
      <c r="H9" s="156" t="n">
        <f aca="false">IF($B9="","",N(الموظفون!$AC9))</f>
        <v>9</v>
      </c>
      <c r="I9" s="175" t="n">
        <f aca="false">IF($B9="","",MAX(cfg_Y_START,D9))</f>
        <v>46023</v>
      </c>
      <c r="J9" s="175" t="n">
        <f aca="false">IF($B9="","",IF(OR(الموظفون!$AE9="",الموظفون!$AE9&gt;cfg_VAL_DATE),cfg_VAL_DATE,الموظفون!$AE9))</f>
        <v>46295</v>
      </c>
      <c r="K9" s="133" t="n">
        <f aca="false">IF($B9="","",MAX(0,MAX(0,J9-I9+1)-(SUMIFS('سجل الإجازات والحالات'!$S$6:$S$505,'سجل الإجازات والحالات'!$B$6:$B$505,$B9)-SUMIFS('سجل الإجازات والحالات'!$R$6:$R$505,'سجل الإجازات والحالات'!$B$6:$B$505,$B9))))</f>
        <v>273</v>
      </c>
      <c r="L9" s="156" t="n">
        <f aca="false">IF($B9="","",F9/cfg_DAYS_Y*K9)</f>
        <v>22.4383561643836</v>
      </c>
      <c r="M9" s="156" t="n">
        <f aca="false">IF($B9="","",SUMIFS('سجل الإجازات والحالات'!$T$6:$T$505,'سجل الإجازات والحالات'!$B$6:$B$505,$B9)+SUMIFS('الحركات الشهرية'!$K$6:$K$1005,'الحركات الشهرية'!$B$6:$B$1005,B9,'الحركات الشهرية'!$A$6:$A$1005,"&lt;="&amp;cfg_VAL_M))</f>
        <v>15</v>
      </c>
      <c r="N9" s="156" t="n">
        <f aca="false">IF($B9="","",SUMIFS('الحركات الشهرية'!$L$6:$L$1005,'الحركات الشهرية'!$B$6:$B$1005,B9,'الحركات الشهرية'!$A$6:$A$1005,"&lt;="&amp;cfg_VAL_M))</f>
        <v>0</v>
      </c>
      <c r="O9" s="156" t="n">
        <f aca="false">IF($B9="","",H9+L9-M9-N9)</f>
        <v>16.4383561643836</v>
      </c>
      <c r="P9" s="158" t="n">
        <f aca="false">IF($B9="","",O9*G9)</f>
        <v>10356.1643835616</v>
      </c>
      <c r="Q9" s="116" t="n">
        <f aca="false">IF($B9="","",H9*G9)</f>
        <v>5670</v>
      </c>
      <c r="R9" s="116" t="n">
        <f aca="false">IF($B9="","",(M9+N9)*G9)</f>
        <v>9450</v>
      </c>
      <c r="S9" s="117" t="str">
        <f aca="false">IF($B9="","",IF(O9&lt;-0.01,"✖ رصيد سالب",IF(O9&gt;F9*2,"⚠ رصيد مرتفع (أكثر من سنتين)",IF(AND(الموظفون!$AE9&lt;&gt;"",الموظفون!$AE9&lt;=cfg_VAL_DATE,O9&gt;0.01),"⚠ منتهي الخدمة برصيد","✔ سليم"))))</f>
        <v>✔ سليم</v>
      </c>
    </row>
    <row r="10" customFormat="false" ht="15" hidden="false" customHeight="false" outlineLevel="0" collapsed="false">
      <c r="B10" s="114" t="str">
        <f aca="false">IF(الموظفون!$B10="","",الموظفون!$B10)</f>
        <v>E005</v>
      </c>
      <c r="C10" s="114" t="str">
        <f aca="false">IF($B10="","",الموظفون!$C10)</f>
        <v>راجيش كومار</v>
      </c>
      <c r="D10" s="174" t="n">
        <f aca="false">IF($B10="","",الموظفون!$H10)</f>
        <v>43933</v>
      </c>
      <c r="E10" s="179" t="n">
        <f aca="false">IF($B10="","",MAX(0,J10-D10+1-SUMIFS('سجل الإجازات والحالات'!$S$6:$S$505,'سجل الإجازات والحالات'!$B$6:$B$505,$B10))/cfg_DAYS_Y)</f>
        <v>6.47397260273973</v>
      </c>
      <c r="F10" s="65" t="n">
        <f aca="false">IF($B10="","",IF(الموظفون!$T10&lt;&gt;"",الموظفون!$T10,IF(E10&gt;=cfg_LV_TH,cfg_LV_D2,cfg_LV_D1)))</f>
        <v>30</v>
      </c>
      <c r="G10" s="111" t="n">
        <f aca="false">IF($B10="","",الموظفون!$R10/cfg_DAYS_M)</f>
        <v>405</v>
      </c>
      <c r="H10" s="151" t="n">
        <f aca="false">IF($B10="","",N(الموظفون!$AC10))</f>
        <v>14</v>
      </c>
      <c r="I10" s="174" t="n">
        <f aca="false">IF($B10="","",MAX(cfg_Y_START,D10))</f>
        <v>46023</v>
      </c>
      <c r="J10" s="174" t="n">
        <f aca="false">IF($B10="","",IF(OR(الموظفون!$AE10="",الموظفون!$AE10&gt;cfg_VAL_DATE),cfg_VAL_DATE,الموظفون!$AE10))</f>
        <v>46295</v>
      </c>
      <c r="K10" s="65" t="n">
        <f aca="false">IF($B10="","",MAX(0,MAX(0,J10-I10+1)-(SUMIFS('سجل الإجازات والحالات'!$S$6:$S$505,'سجل الإجازات والحالات'!$B$6:$B$505,$B10)-SUMIFS('سجل الإجازات والحالات'!$R$6:$R$505,'سجل الإجازات والحالات'!$B$6:$B$505,$B10))))</f>
        <v>273</v>
      </c>
      <c r="L10" s="151" t="n">
        <f aca="false">IF($B10="","",F10/cfg_DAYS_Y*K10)</f>
        <v>22.4383561643836</v>
      </c>
      <c r="M10" s="151" t="n">
        <f aca="false">IF($B10="","",SUMIFS('سجل الإجازات والحالات'!$T$6:$T$505,'سجل الإجازات والحالات'!$B$6:$B$505,$B10)+SUMIFS('الحركات الشهرية'!$K$6:$K$1005,'الحركات الشهرية'!$B$6:$B$1005,B10,'الحركات الشهرية'!$A$6:$A$1005,"&lt;="&amp;cfg_VAL_M))</f>
        <v>21</v>
      </c>
      <c r="N10" s="151" t="n">
        <f aca="false">IF($B10="","",SUMIFS('الحركات الشهرية'!$L$6:$L$1005,'الحركات الشهرية'!$B$6:$B$1005,B10,'الحركات الشهرية'!$A$6:$A$1005,"&lt;="&amp;cfg_VAL_M))</f>
        <v>0</v>
      </c>
      <c r="O10" s="151" t="n">
        <f aca="false">IF($B10="","",H10+L10-M10-N10)</f>
        <v>15.4383561643836</v>
      </c>
      <c r="P10" s="153" t="n">
        <f aca="false">IF($B10="","",O10*G10)</f>
        <v>6252.53424657534</v>
      </c>
      <c r="Q10" s="111" t="n">
        <f aca="false">IF($B10="","",H10*G10)</f>
        <v>5670</v>
      </c>
      <c r="R10" s="111" t="n">
        <f aca="false">IF($B10="","",(M10+N10)*G10)</f>
        <v>8505</v>
      </c>
      <c r="S10" s="114" t="str">
        <f aca="false">IF($B10="","",IF(O10&lt;-0.01,"✖ رصيد سالب",IF(O10&gt;F10*2,"⚠ رصيد مرتفع (أكثر من سنتين)",IF(AND(الموظفون!$AE10&lt;&gt;"",الموظفون!$AE10&lt;=cfg_VAL_DATE,O10&gt;0.01),"⚠ منتهي الخدمة برصيد","✔ سليم"))))</f>
        <v>✔ سليم</v>
      </c>
    </row>
    <row r="11" customFormat="false" ht="15" hidden="false" customHeight="false" outlineLevel="0" collapsed="false">
      <c r="B11" s="117" t="str">
        <f aca="false">IF(الموظفون!$B11="","",الموظفون!$B11)</f>
        <v>E006</v>
      </c>
      <c r="C11" s="117" t="str">
        <f aca="false">IF($B11="","",الموظفون!$C11)</f>
        <v>فهد ناصر الشمري</v>
      </c>
      <c r="D11" s="175" t="n">
        <f aca="false">IF($B11="","",الموظفون!$H11)</f>
        <v>43044</v>
      </c>
      <c r="E11" s="180" t="n">
        <f aca="false">IF($B11="","",MAX(0,J11-D11+1-SUMIFS('سجل الإجازات والحالات'!$S$6:$S$505,'سجل الإجازات والحالات'!$B$6:$B$505,$B11))/cfg_DAYS_Y)</f>
        <v>8.87945205479452</v>
      </c>
      <c r="F11" s="133" t="n">
        <f aca="false">IF($B11="","",IF(الموظفون!$T11&lt;&gt;"",الموظفون!$T11,IF(E11&gt;=cfg_LV_TH,cfg_LV_D2,cfg_LV_D1)))</f>
        <v>30</v>
      </c>
      <c r="G11" s="116" t="n">
        <f aca="false">IF($B11="","",الموظفون!$R11/cfg_DAYS_M)</f>
        <v>585</v>
      </c>
      <c r="H11" s="156" t="n">
        <f aca="false">IF($B11="","",N(الموظفون!$AC11))</f>
        <v>25</v>
      </c>
      <c r="I11" s="175" t="n">
        <f aca="false">IF($B11="","",MAX(cfg_Y_START,D11))</f>
        <v>46023</v>
      </c>
      <c r="J11" s="175" t="n">
        <f aca="false">IF($B11="","",IF(OR(الموظفون!$AE11="",الموظفون!$AE11&gt;cfg_VAL_DATE),cfg_VAL_DATE,الموظفون!$AE11))</f>
        <v>46295</v>
      </c>
      <c r="K11" s="133" t="n">
        <f aca="false">IF($B11="","",MAX(0,MAX(0,J11-I11+1)-(SUMIFS('سجل الإجازات والحالات'!$S$6:$S$505,'سجل الإجازات والحالات'!$B$6:$B$505,$B11)-SUMIFS('سجل الإجازات والحالات'!$R$6:$R$505,'سجل الإجازات والحالات'!$B$6:$B$505,$B11))))</f>
        <v>262</v>
      </c>
      <c r="L11" s="156" t="n">
        <f aca="false">IF($B11="","",F11/cfg_DAYS_Y*K11)</f>
        <v>21.5342465753425</v>
      </c>
      <c r="M11" s="156" t="n">
        <f aca="false">IF($B11="","",SUMIFS('سجل الإجازات والحالات'!$T$6:$T$505,'سجل الإجازات والحالات'!$B$6:$B$505,$B11)+SUMIFS('الحركات الشهرية'!$K$6:$K$1005,'الحركات الشهرية'!$B$6:$B$1005,B11,'الحركات الشهرية'!$A$6:$A$1005,"&lt;="&amp;cfg_VAL_M))</f>
        <v>0</v>
      </c>
      <c r="N11" s="156" t="n">
        <f aca="false">IF($B11="","",SUMIFS('الحركات الشهرية'!$L$6:$L$1005,'الحركات الشهرية'!$B$6:$B$1005,B11,'الحركات الشهرية'!$A$6:$A$1005,"&lt;="&amp;cfg_VAL_M))</f>
        <v>0</v>
      </c>
      <c r="O11" s="156" t="n">
        <f aca="false">IF($B11="","",H11+L11-M11-N11)</f>
        <v>46.5342465753425</v>
      </c>
      <c r="P11" s="158" t="n">
        <f aca="false">IF($B11="","",O11*G11)</f>
        <v>27222.5342465753</v>
      </c>
      <c r="Q11" s="116" t="n">
        <f aca="false">IF($B11="","",H11*G11)</f>
        <v>14625</v>
      </c>
      <c r="R11" s="116" t="n">
        <f aca="false">IF($B11="","",(M11+N11)*G11)</f>
        <v>0</v>
      </c>
      <c r="S11" s="117" t="str">
        <f aca="false">IF($B11="","",IF(O11&lt;-0.01,"✖ رصيد سالب",IF(O11&gt;F11*2,"⚠ رصيد مرتفع (أكثر من سنتين)",IF(AND(الموظفون!$AE11&lt;&gt;"",الموظفون!$AE11&lt;=cfg_VAL_DATE,O11&gt;0.01),"⚠ منتهي الخدمة برصيد","✔ سليم"))))</f>
        <v>✔ سليم</v>
      </c>
    </row>
    <row r="12" customFormat="false" ht="15" hidden="false" customHeight="false" outlineLevel="0" collapsed="false">
      <c r="B12" s="114" t="str">
        <f aca="false">IF(الموظفون!$B12="","",الموظفون!$B12)</f>
        <v>E007</v>
      </c>
      <c r="C12" s="114" t="str">
        <f aca="false">IF($B12="","",الموظفون!$C12)</f>
        <v>خالد يوسف الأحمد</v>
      </c>
      <c r="D12" s="174" t="n">
        <f aca="false">IF($B12="","",الموظفون!$H12)</f>
        <v>44216</v>
      </c>
      <c r="E12" s="179" t="n">
        <f aca="false">IF($B12="","",MAX(0,J12-D12+1-SUMIFS('سجل الإجازات والحالات'!$S$6:$S$505,'سجل الإجازات والحالات'!$B$6:$B$505,$B12))/cfg_DAYS_Y)</f>
        <v>5.6986301369863</v>
      </c>
      <c r="F12" s="65" t="n">
        <f aca="false">IF($B12="","",IF(الموظفون!$T12&lt;&gt;"",الموظفون!$T12,IF(E12&gt;=cfg_LV_TH,cfg_LV_D2,cfg_LV_D1)))</f>
        <v>30</v>
      </c>
      <c r="G12" s="111" t="n">
        <f aca="false">IF($B12="","",الموظفون!$R12/cfg_DAYS_M)</f>
        <v>495</v>
      </c>
      <c r="H12" s="151" t="n">
        <f aca="false">IF($B12="","",N(الموظفون!$AC12))</f>
        <v>16</v>
      </c>
      <c r="I12" s="174" t="n">
        <f aca="false">IF($B12="","",MAX(cfg_Y_START,D12))</f>
        <v>46023</v>
      </c>
      <c r="J12" s="174" t="n">
        <f aca="false">IF($B12="","",IF(OR(الموظفون!$AE12="",الموظفون!$AE12&gt;cfg_VAL_DATE),cfg_VAL_DATE,الموظفون!$AE12))</f>
        <v>46295</v>
      </c>
      <c r="K12" s="65" t="n">
        <f aca="false">IF($B12="","",MAX(0,MAX(0,J12-I12+1)-(SUMIFS('سجل الإجازات والحالات'!$S$6:$S$505,'سجل الإجازات والحالات'!$B$6:$B$505,$B12)-SUMIFS('سجل الإجازات والحالات'!$R$6:$R$505,'سجل الإجازات والحالات'!$B$6:$B$505,$B12))))</f>
        <v>273</v>
      </c>
      <c r="L12" s="151" t="n">
        <f aca="false">IF($B12="","",F12/cfg_DAYS_Y*K12)</f>
        <v>22.4383561643836</v>
      </c>
      <c r="M12" s="151" t="n">
        <f aca="false">IF($B12="","",SUMIFS('سجل الإجازات والحالات'!$T$6:$T$505,'سجل الإجازات والحالات'!$B$6:$B$505,$B12)+SUMIFS('الحركات الشهرية'!$K$6:$K$1005,'الحركات الشهرية'!$B$6:$B$1005,B12,'الحركات الشهرية'!$A$6:$A$1005,"&lt;="&amp;cfg_VAL_M))</f>
        <v>21</v>
      </c>
      <c r="N12" s="151" t="n">
        <f aca="false">IF($B12="","",SUMIFS('الحركات الشهرية'!$L$6:$L$1005,'الحركات الشهرية'!$B$6:$B$1005,B12,'الحركات الشهرية'!$A$6:$A$1005,"&lt;="&amp;cfg_VAL_M))</f>
        <v>0</v>
      </c>
      <c r="O12" s="151" t="n">
        <f aca="false">IF($B12="","",H12+L12-M12-N12)</f>
        <v>17.4383561643836</v>
      </c>
      <c r="P12" s="153" t="n">
        <f aca="false">IF($B12="","",O12*G12)</f>
        <v>8631.98630136986</v>
      </c>
      <c r="Q12" s="111" t="n">
        <f aca="false">IF($B12="","",H12*G12)</f>
        <v>7920</v>
      </c>
      <c r="R12" s="111" t="n">
        <f aca="false">IF($B12="","",(M12+N12)*G12)</f>
        <v>10395</v>
      </c>
      <c r="S12" s="114" t="str">
        <f aca="false">IF($B12="","",IF(O12&lt;-0.01,"✖ رصيد سالب",IF(O12&gt;F12*2,"⚠ رصيد مرتفع (أكثر من سنتين)",IF(AND(الموظفون!$AE12&lt;&gt;"",الموظفون!$AE12&lt;=cfg_VAL_DATE,O12&gt;0.01),"⚠ منتهي الخدمة برصيد","✔ سليم"))))</f>
        <v>✔ سليم</v>
      </c>
    </row>
    <row r="13" customFormat="false" ht="15" hidden="false" customHeight="false" outlineLevel="0" collapsed="false">
      <c r="B13" s="117" t="str">
        <f aca="false">IF(الموظفون!$B13="","",الموظفون!$B13)</f>
        <v>E008</v>
      </c>
      <c r="C13" s="117" t="str">
        <f aca="false">IF($B13="","",الموظفون!$C13)</f>
        <v>سارة عبدالرحمن الزهراني</v>
      </c>
      <c r="D13" s="175" t="n">
        <f aca="false">IF($B13="","",الموظفون!$H13)</f>
        <v>44986</v>
      </c>
      <c r="E13" s="180" t="n">
        <f aca="false">IF($B13="","",MAX(0,J13-D13+1-SUMIFS('سجل الإجازات والحالات'!$S$6:$S$505,'سجل الإجازات والحالات'!$B$6:$B$505,$B13))/cfg_DAYS_Y)</f>
        <v>3.58082191780822</v>
      </c>
      <c r="F13" s="133" t="n">
        <f aca="false">IF($B13="","",IF(الموظفون!$T13&lt;&gt;"",الموظفون!$T13,IF(E13&gt;=cfg_LV_TH,cfg_LV_D2,cfg_LV_D1)))</f>
        <v>21</v>
      </c>
      <c r="G13" s="116" t="n">
        <f aca="false">IF($B13="","",الموظفون!$R13/cfg_DAYS_M)</f>
        <v>337.5</v>
      </c>
      <c r="H13" s="156" t="n">
        <f aca="false">IF($B13="","",N(الموظفون!$AC13))</f>
        <v>6</v>
      </c>
      <c r="I13" s="175" t="n">
        <f aca="false">IF($B13="","",MAX(cfg_Y_START,D13))</f>
        <v>46023</v>
      </c>
      <c r="J13" s="175" t="n">
        <f aca="false">IF($B13="","",IF(OR(الموظفون!$AE13="",الموظفون!$AE13&gt;cfg_VAL_DATE),cfg_VAL_DATE,الموظفون!$AE13))</f>
        <v>46295</v>
      </c>
      <c r="K13" s="133" t="n">
        <f aca="false">IF($B13="","",MAX(0,MAX(0,J13-I13+1)-(SUMIFS('سجل الإجازات والحالات'!$S$6:$S$505,'سجل الإجازات والحالات'!$B$6:$B$505,$B13)-SUMIFS('سجل الإجازات والحالات'!$R$6:$R$505,'سجل الإجازات والحالات'!$B$6:$B$505,$B13))))</f>
        <v>270</v>
      </c>
      <c r="L13" s="156" t="n">
        <f aca="false">IF($B13="","",F13/cfg_DAYS_Y*K13)</f>
        <v>15.5342465753425</v>
      </c>
      <c r="M13" s="156" t="n">
        <f aca="false">IF($B13="","",SUMIFS('سجل الإجازات والحالات'!$T$6:$T$505,'سجل الإجازات والحالات'!$B$6:$B$505,$B13)+SUMIFS('الحركات الشهرية'!$K$6:$K$1005,'الحركات الشهرية'!$B$6:$B$1005,B13,'الحركات الشهرية'!$A$6:$A$1005,"&lt;="&amp;cfg_VAL_M))</f>
        <v>0</v>
      </c>
      <c r="N13" s="156" t="n">
        <f aca="false">IF($B13="","",SUMIFS('الحركات الشهرية'!$L$6:$L$1005,'الحركات الشهرية'!$B$6:$B$1005,B13,'الحركات الشهرية'!$A$6:$A$1005,"&lt;="&amp;cfg_VAL_M))</f>
        <v>0</v>
      </c>
      <c r="O13" s="156" t="n">
        <f aca="false">IF($B13="","",H13+L13-M13-N13)</f>
        <v>21.5342465753425</v>
      </c>
      <c r="P13" s="158" t="n">
        <f aca="false">IF($B13="","",O13*G13)</f>
        <v>7267.80821917808</v>
      </c>
      <c r="Q13" s="116" t="n">
        <f aca="false">IF($B13="","",H13*G13)</f>
        <v>2025</v>
      </c>
      <c r="R13" s="116" t="n">
        <f aca="false">IF($B13="","",(M13+N13)*G13)</f>
        <v>0</v>
      </c>
      <c r="S13" s="117" t="str">
        <f aca="false">IF($B13="","",IF(O13&lt;-0.01,"✖ رصيد سالب",IF(O13&gt;F13*2,"⚠ رصيد مرتفع (أكثر من سنتين)",IF(AND(الموظفون!$AE13&lt;&gt;"",الموظفون!$AE13&lt;=cfg_VAL_DATE,O13&gt;0.01),"⚠ منتهي الخدمة برصيد","✔ سليم"))))</f>
        <v>✔ سليم</v>
      </c>
    </row>
    <row r="14" customFormat="false" ht="15" hidden="false" customHeight="false" outlineLevel="0" collapsed="false">
      <c r="B14" s="114" t="str">
        <f aca="false">IF(الموظفون!$B14="","",الموظفون!$B14)</f>
        <v>E009</v>
      </c>
      <c r="C14" s="114" t="str">
        <f aca="false">IF($B14="","",الموظفون!$C14)</f>
        <v>محمد رفيق</v>
      </c>
      <c r="D14" s="174" t="n">
        <f aca="false">IF($B14="","",الموظفون!$H14)</f>
        <v>41869</v>
      </c>
      <c r="E14" s="179" t="n">
        <f aca="false">IF($B14="","",MAX(0,J14-D14+1-SUMIFS('سجل الإجازات والحالات'!$S$6:$S$505,'سجل الإجازات والحالات'!$B$6:$B$505,$B14))/cfg_DAYS_Y)</f>
        <v>12.1287671232877</v>
      </c>
      <c r="F14" s="65" t="n">
        <f aca="false">IF($B14="","",IF(الموظفون!$T14&lt;&gt;"",الموظفون!$T14,IF(E14&gt;=cfg_LV_TH,cfg_LV_D2,cfg_LV_D1)))</f>
        <v>30</v>
      </c>
      <c r="G14" s="111" t="n">
        <f aca="false">IF($B14="","",الموظفون!$R14/cfg_DAYS_M)</f>
        <v>292.5</v>
      </c>
      <c r="H14" s="151" t="n">
        <f aca="false">IF($B14="","",N(الموظفون!$AC14))</f>
        <v>35</v>
      </c>
      <c r="I14" s="174" t="n">
        <f aca="false">IF($B14="","",MAX(cfg_Y_START,D14))</f>
        <v>46023</v>
      </c>
      <c r="J14" s="174" t="n">
        <f aca="false">IF($B14="","",IF(OR(الموظفون!$AE14="",الموظفون!$AE14&gt;cfg_VAL_DATE),cfg_VAL_DATE,الموظفون!$AE14))</f>
        <v>46295</v>
      </c>
      <c r="K14" s="65" t="n">
        <f aca="false">IF($B14="","",MAX(0,MAX(0,J14-I14+1)-(SUMIFS('سجل الإجازات والحالات'!$S$6:$S$505,'سجل الإجازات والحالات'!$B$6:$B$505,$B14)-SUMIFS('سجل الإجازات والحالات'!$R$6:$R$505,'سجل الإجازات والحالات'!$B$6:$B$505,$B14))))</f>
        <v>273</v>
      </c>
      <c r="L14" s="151" t="n">
        <f aca="false">IF($B14="","",F14/cfg_DAYS_Y*K14)</f>
        <v>22.4383561643836</v>
      </c>
      <c r="M14" s="151" t="n">
        <f aca="false">IF($B14="","",SUMIFS('سجل الإجازات والحالات'!$T$6:$T$505,'سجل الإجازات والحالات'!$B$6:$B$505,$B14)+SUMIFS('الحركات الشهرية'!$K$6:$K$1005,'الحركات الشهرية'!$B$6:$B$1005,B14,'الحركات الشهرية'!$A$6:$A$1005,"&lt;="&amp;cfg_VAL_M))</f>
        <v>30</v>
      </c>
      <c r="N14" s="151" t="n">
        <f aca="false">IF($B14="","",SUMIFS('الحركات الشهرية'!$L$6:$L$1005,'الحركات الشهرية'!$B$6:$B$1005,B14,'الحركات الشهرية'!$A$6:$A$1005,"&lt;="&amp;cfg_VAL_M))</f>
        <v>0</v>
      </c>
      <c r="O14" s="151" t="n">
        <f aca="false">IF($B14="","",H14+L14-M14-N14)</f>
        <v>27.4383561643836</v>
      </c>
      <c r="P14" s="153" t="n">
        <f aca="false">IF($B14="","",O14*G14)</f>
        <v>8025.71917808219</v>
      </c>
      <c r="Q14" s="111" t="n">
        <f aca="false">IF($B14="","",H14*G14)</f>
        <v>10237.5</v>
      </c>
      <c r="R14" s="111" t="n">
        <f aca="false">IF($B14="","",(M14+N14)*G14)</f>
        <v>8775</v>
      </c>
      <c r="S14" s="114" t="str">
        <f aca="false">IF($B14="","",IF(O14&lt;-0.01,"✖ رصيد سالب",IF(O14&gt;F14*2,"⚠ رصيد مرتفع (أكثر من سنتين)",IF(AND(الموظفون!$AE14&lt;&gt;"",الموظفون!$AE14&lt;=cfg_VAL_DATE,O14&gt;0.01),"⚠ منتهي الخدمة برصيد","✔ سليم"))))</f>
        <v>✔ سليم</v>
      </c>
    </row>
    <row r="15" customFormat="false" ht="15" hidden="false" customHeight="false" outlineLevel="0" collapsed="false">
      <c r="B15" s="117" t="str">
        <f aca="false">IF(الموظفون!$B15="","",الموظفون!$B15)</f>
        <v>E010</v>
      </c>
      <c r="C15" s="117" t="str">
        <f aca="false">IF($B15="","",الموظفون!$C15)</f>
        <v>ريم سلطان المطيري</v>
      </c>
      <c r="D15" s="175" t="n">
        <f aca="false">IF($B15="","",الموظفون!$H15)</f>
        <v>46127</v>
      </c>
      <c r="E15" s="180" t="n">
        <f aca="false">IF($B15="","",MAX(0,J15-D15+1-SUMIFS('سجل الإجازات والحالات'!$S$6:$S$505,'سجل الإجازات والحالات'!$B$6:$B$505,$B15))/cfg_DAYS_Y)</f>
        <v>0.463013698630137</v>
      </c>
      <c r="F15" s="133" t="n">
        <f aca="false">IF($B15="","",IF(الموظفون!$T15&lt;&gt;"",الموظفون!$T15,IF(E15&gt;=cfg_LV_TH,cfg_LV_D2,cfg_LV_D1)))</f>
        <v>21</v>
      </c>
      <c r="G15" s="116" t="n">
        <f aca="false">IF($B15="","",الموظفون!$R15/cfg_DAYS_M)</f>
        <v>405</v>
      </c>
      <c r="H15" s="156" t="n">
        <f aca="false">IF($B15="","",N(الموظفون!$AC15))</f>
        <v>0</v>
      </c>
      <c r="I15" s="175" t="n">
        <f aca="false">IF($B15="","",MAX(cfg_Y_START,D15))</f>
        <v>46127</v>
      </c>
      <c r="J15" s="175" t="n">
        <f aca="false">IF($B15="","",IF(OR(الموظفون!$AE15="",الموظفون!$AE15&gt;cfg_VAL_DATE),cfg_VAL_DATE,الموظفون!$AE15))</f>
        <v>46295</v>
      </c>
      <c r="K15" s="133" t="n">
        <f aca="false">IF($B15="","",MAX(0,MAX(0,J15-I15+1)-(SUMIFS('سجل الإجازات والحالات'!$S$6:$S$505,'سجل الإجازات والحالات'!$B$6:$B$505,$B15)-SUMIFS('سجل الإجازات والحالات'!$R$6:$R$505,'سجل الإجازات والحالات'!$B$6:$B$505,$B15))))</f>
        <v>169</v>
      </c>
      <c r="L15" s="156" t="n">
        <f aca="false">IF($B15="","",F15/cfg_DAYS_Y*K15)</f>
        <v>9.72328767123288</v>
      </c>
      <c r="M15" s="156" t="n">
        <f aca="false">IF($B15="","",SUMIFS('سجل الإجازات والحالات'!$T$6:$T$505,'سجل الإجازات والحالات'!$B$6:$B$505,$B15)+SUMIFS('الحركات الشهرية'!$K$6:$K$1005,'الحركات الشهرية'!$B$6:$B$1005,B15,'الحركات الشهرية'!$A$6:$A$1005,"&lt;="&amp;cfg_VAL_M))</f>
        <v>0</v>
      </c>
      <c r="N15" s="156" t="n">
        <f aca="false">IF($B15="","",SUMIFS('الحركات الشهرية'!$L$6:$L$1005,'الحركات الشهرية'!$B$6:$B$1005,B15,'الحركات الشهرية'!$A$6:$A$1005,"&lt;="&amp;cfg_VAL_M))</f>
        <v>0</v>
      </c>
      <c r="O15" s="156" t="n">
        <f aca="false">IF($B15="","",H15+L15-M15-N15)</f>
        <v>9.72328767123288</v>
      </c>
      <c r="P15" s="158" t="n">
        <f aca="false">IF($B15="","",O15*G15)</f>
        <v>3937.93150684932</v>
      </c>
      <c r="Q15" s="116" t="n">
        <f aca="false">IF($B15="","",H15*G15)</f>
        <v>0</v>
      </c>
      <c r="R15" s="116" t="n">
        <f aca="false">IF($B15="","",(M15+N15)*G15)</f>
        <v>0</v>
      </c>
      <c r="S15" s="117" t="str">
        <f aca="false">IF($B15="","",IF(O15&lt;-0.01,"✖ رصيد سالب",IF(O15&gt;F15*2,"⚠ رصيد مرتفع (أكثر من سنتين)",IF(AND(الموظفون!$AE15&lt;&gt;"",الموظفون!$AE15&lt;=cfg_VAL_DATE,O15&gt;0.01),"⚠ منتهي الخدمة برصيد","✔ سليم"))))</f>
        <v>✔ سليم</v>
      </c>
    </row>
    <row r="16" customFormat="false" ht="15" hidden="false" customHeight="false" outlineLevel="0" collapsed="false">
      <c r="B16" s="114" t="str">
        <f aca="false">IF(الموظفون!$B16="","",الموظفون!$B16)</f>
        <v>E011</v>
      </c>
      <c r="C16" s="114" t="str">
        <f aca="false">IF($B16="","",الموظفون!$C16)</f>
        <v>جون ماتيو</v>
      </c>
      <c r="D16" s="174" t="n">
        <f aca="false">IF($B16="","",الموظفون!$H16)</f>
        <v>43525</v>
      </c>
      <c r="E16" s="179" t="n">
        <f aca="false">IF($B16="","",MAX(0,J16-D16+1-SUMIFS('سجل الإجازات والحالات'!$S$6:$S$505,'سجل الإجازات والحالات'!$B$6:$B$505,$B16))/cfg_DAYS_Y)</f>
        <v>7.33972602739726</v>
      </c>
      <c r="F16" s="65" t="n">
        <f aca="false">IF($B16="","",IF(الموظفون!$T16&lt;&gt;"",الموظفون!$T16,IF(E16&gt;=cfg_LV_TH,cfg_LV_D2,cfg_LV_D1)))</f>
        <v>30</v>
      </c>
      <c r="G16" s="111" t="n">
        <f aca="false">IF($B16="","",الموظفون!$R16/cfg_DAYS_M)</f>
        <v>225</v>
      </c>
      <c r="H16" s="151" t="n">
        <f aca="false">IF($B16="","",N(الموظفون!$AC16))</f>
        <v>22</v>
      </c>
      <c r="I16" s="174" t="n">
        <f aca="false">IF($B16="","",MAX(cfg_Y_START,D16))</f>
        <v>46023</v>
      </c>
      <c r="J16" s="174" t="n">
        <f aca="false">IF($B16="","",IF(OR(الموظفون!$AE16="",الموظفون!$AE16&gt;cfg_VAL_DATE),cfg_VAL_DATE,الموظفون!$AE16))</f>
        <v>46203</v>
      </c>
      <c r="K16" s="65" t="n">
        <f aca="false">IF($B16="","",MAX(0,MAX(0,J16-I16+1)-(SUMIFS('سجل الإجازات والحالات'!$S$6:$S$505,'سجل الإجازات والحالات'!$B$6:$B$505,$B16)-SUMIFS('سجل الإجازات والحالات'!$R$6:$R$505,'سجل الإجازات والحالات'!$B$6:$B$505,$B16))))</f>
        <v>181</v>
      </c>
      <c r="L16" s="151" t="n">
        <f aca="false">IF($B16="","",F16/cfg_DAYS_Y*K16)</f>
        <v>14.8767123287671</v>
      </c>
      <c r="M16" s="151" t="n">
        <f aca="false">IF($B16="","",SUMIFS('سجل الإجازات والحالات'!$T$6:$T$505,'سجل الإجازات والحالات'!$B$6:$B$505,$B16)+SUMIFS('الحركات الشهرية'!$K$6:$K$1005,'الحركات الشهرية'!$B$6:$B$1005,B16,'الحركات الشهرية'!$A$6:$A$1005,"&lt;="&amp;cfg_VAL_M))</f>
        <v>0</v>
      </c>
      <c r="N16" s="151" t="n">
        <f aca="false">IF($B16="","",SUMIFS('الحركات الشهرية'!$L$6:$L$1005,'الحركات الشهرية'!$B$6:$B$1005,B16,'الحركات الشهرية'!$A$6:$A$1005,"&lt;="&amp;cfg_VAL_M))</f>
        <v>36.8767123287671</v>
      </c>
      <c r="O16" s="151" t="n">
        <f aca="false">IF($B16="","",H16+L16-M16-N16)</f>
        <v>0</v>
      </c>
      <c r="P16" s="153" t="n">
        <f aca="false">IF($B16="","",O16*G16)</f>
        <v>0</v>
      </c>
      <c r="Q16" s="111" t="n">
        <f aca="false">IF($B16="","",H16*G16)</f>
        <v>4950</v>
      </c>
      <c r="R16" s="111" t="n">
        <f aca="false">IF($B16="","",(M16+N16)*G16)</f>
        <v>8297.2602739726</v>
      </c>
      <c r="S16" s="114" t="str">
        <f aca="false">IF($B16="","",IF(O16&lt;-0.01,"✖ رصيد سالب",IF(O16&gt;F16*2,"⚠ رصيد مرتفع (أكثر من سنتين)",IF(AND(الموظفون!$AE16&lt;&gt;"",الموظفون!$AE16&lt;=cfg_VAL_DATE,O16&gt;0.01),"⚠ منتهي الخدمة برصيد","✔ سليم"))))</f>
        <v>✔ سليم</v>
      </c>
    </row>
    <row r="17" customFormat="false" ht="15" hidden="false" customHeight="false" outlineLevel="0" collapsed="false">
      <c r="B17" s="117" t="str">
        <f aca="false">IF(الموظفون!$B17="","",الموظفون!$B17)</f>
        <v>E012</v>
      </c>
      <c r="C17" s="117" t="str">
        <f aca="false">IF($B17="","",الموظفون!$C17)</f>
        <v>عمر حسين البيشي</v>
      </c>
      <c r="D17" s="175" t="n">
        <f aca="false">IF($B17="","",الموظفون!$H17)</f>
        <v>44752</v>
      </c>
      <c r="E17" s="180" t="n">
        <f aca="false">IF($B17="","",MAX(0,J17-D17+1-SUMIFS('سجل الإجازات والحالات'!$S$6:$S$505,'سجل الإجازات والحالات'!$B$6:$B$505,$B17))/cfg_DAYS_Y)</f>
        <v>4.23013698630137</v>
      </c>
      <c r="F17" s="133" t="n">
        <f aca="false">IF($B17="","",IF(الموظفون!$T17&lt;&gt;"",الموظفون!$T17,IF(E17&gt;=cfg_LV_TH,cfg_LV_D2,cfg_LV_D1)))</f>
        <v>21</v>
      </c>
      <c r="G17" s="116" t="n">
        <f aca="false">IF($B17="","",الموظفون!$R17/cfg_DAYS_M)</f>
        <v>540</v>
      </c>
      <c r="H17" s="156" t="n">
        <f aca="false">IF($B17="","",N(الموظفون!$AC17))</f>
        <v>10</v>
      </c>
      <c r="I17" s="175" t="n">
        <f aca="false">IF($B17="","",MAX(cfg_Y_START,D17))</f>
        <v>46023</v>
      </c>
      <c r="J17" s="175" t="n">
        <f aca="false">IF($B17="","",IF(OR(الموظفون!$AE17="",الموظفون!$AE17&gt;cfg_VAL_DATE),cfg_VAL_DATE,الموظفون!$AE17))</f>
        <v>46295</v>
      </c>
      <c r="K17" s="133" t="n">
        <f aca="false">IF($B17="","",MAX(0,MAX(0,J17-I17+1)-(SUMIFS('سجل الإجازات والحالات'!$S$6:$S$505,'سجل الإجازات والحالات'!$B$6:$B$505,$B17)-SUMIFS('سجل الإجازات والحالات'!$R$6:$R$505,'سجل الإجازات والحالات'!$B$6:$B$505,$B17))))</f>
        <v>273</v>
      </c>
      <c r="L17" s="156" t="n">
        <f aca="false">IF($B17="","",F17/cfg_DAYS_Y*K17)</f>
        <v>15.7068493150685</v>
      </c>
      <c r="M17" s="156" t="n">
        <f aca="false">IF($B17="","",SUMIFS('سجل الإجازات والحالات'!$T$6:$T$505,'سجل الإجازات والحالات'!$B$6:$B$505,$B17)+SUMIFS('الحركات الشهرية'!$K$6:$K$1005,'الحركات الشهرية'!$B$6:$B$1005,B17,'الحركات الشهرية'!$A$6:$A$1005,"&lt;="&amp;cfg_VAL_M))</f>
        <v>0</v>
      </c>
      <c r="N17" s="156" t="n">
        <f aca="false">IF($B17="","",SUMIFS('الحركات الشهرية'!$L$6:$L$1005,'الحركات الشهرية'!$B$6:$B$1005,B17,'الحركات الشهرية'!$A$6:$A$1005,"&lt;="&amp;cfg_VAL_M))</f>
        <v>0</v>
      </c>
      <c r="O17" s="156" t="n">
        <f aca="false">IF($B17="","",H17+L17-M17-N17)</f>
        <v>25.7068493150685</v>
      </c>
      <c r="P17" s="158" t="n">
        <f aca="false">IF($B17="","",O17*G17)</f>
        <v>13881.698630137</v>
      </c>
      <c r="Q17" s="116" t="n">
        <f aca="false">IF($B17="","",H17*G17)</f>
        <v>5400</v>
      </c>
      <c r="R17" s="116" t="n">
        <f aca="false">IF($B17="","",(M17+N17)*G17)</f>
        <v>0</v>
      </c>
      <c r="S17" s="117" t="str">
        <f aca="false">IF($B17="","",IF(O17&lt;-0.01,"✖ رصيد سالب",IF(O17&gt;F17*2,"⚠ رصيد مرتفع (أكثر من سنتين)",IF(AND(الموظفون!$AE17&lt;&gt;"",الموظفون!$AE17&lt;=cfg_VAL_DATE,O17&gt;0.01),"⚠ منتهي الخدمة برصيد","✔ سليم"))))</f>
        <v>✔ سليم</v>
      </c>
    </row>
    <row r="18" customFormat="false" ht="15" hidden="false" customHeight="false" outlineLevel="0" collapsed="false">
      <c r="B18" s="114" t="str">
        <f aca="false">IF(الموظفون!$B18="","",الموظفون!$B18)</f>
        <v/>
      </c>
      <c r="C18" s="114" t="str">
        <f aca="false">IF($B18="","",الموظفون!$C18)</f>
        <v/>
      </c>
      <c r="D18" s="174" t="str">
        <f aca="false">IF($B18="","",الموظفون!$H18)</f>
        <v/>
      </c>
      <c r="E18" s="179" t="str">
        <f aca="false">IF($B18="","",MAX(0,J18-D18+1-SUMIFS('سجل الإجازات والحالات'!$S$6:$S$505,'سجل الإجازات والحالات'!$B$6:$B$505,$B18))/cfg_DAYS_Y)</f>
        <v/>
      </c>
      <c r="F18" s="65" t="str">
        <f aca="false">IF($B18="","",IF(الموظفون!$T18&lt;&gt;"",الموظفون!$T18,IF(E18&gt;=cfg_LV_TH,cfg_LV_D2,cfg_LV_D1)))</f>
        <v/>
      </c>
      <c r="G18" s="111" t="str">
        <f aca="false">IF($B18="","",الموظفون!$R18/cfg_DAYS_M)</f>
        <v/>
      </c>
      <c r="H18" s="151" t="str">
        <f aca="false">IF($B18="","",N(الموظفون!$AC18))</f>
        <v/>
      </c>
      <c r="I18" s="174" t="str">
        <f aca="false">IF($B18="","",MAX(cfg_Y_START,D18))</f>
        <v/>
      </c>
      <c r="J18" s="174" t="str">
        <f aca="false">IF($B18="","",IF(OR(الموظفون!$AE18="",الموظفون!$AE18&gt;cfg_VAL_DATE),cfg_VAL_DATE,الموظفون!$AE18))</f>
        <v/>
      </c>
      <c r="K18" s="65" t="str">
        <f aca="false">IF($B18="","",MAX(0,MAX(0,J18-I18+1)-(SUMIFS('سجل الإجازات والحالات'!$S$6:$S$505,'سجل الإجازات والحالات'!$B$6:$B$505,$B18)-SUMIFS('سجل الإجازات والحالات'!$R$6:$R$505,'سجل الإجازات والحالات'!$B$6:$B$505,$B18))))</f>
        <v/>
      </c>
      <c r="L18" s="151" t="str">
        <f aca="false">IF($B18="","",F18/cfg_DAYS_Y*K18)</f>
        <v/>
      </c>
      <c r="M18" s="151" t="str">
        <f aca="false">IF($B18="","",SUMIFS('سجل الإجازات والحالات'!$T$6:$T$505,'سجل الإجازات والحالات'!$B$6:$B$505,$B18)+SUMIFS('الحركات الشهرية'!$K$6:$K$1005,'الحركات الشهرية'!$B$6:$B$1005,B18,'الحركات الشهرية'!$A$6:$A$1005,"&lt;="&amp;cfg_VAL_M))</f>
        <v/>
      </c>
      <c r="N18" s="151" t="str">
        <f aca="false">IF($B18="","",SUMIFS('الحركات الشهرية'!$L$6:$L$1005,'الحركات الشهرية'!$B$6:$B$1005,B18,'الحركات الشهرية'!$A$6:$A$1005,"&lt;="&amp;cfg_VAL_M))</f>
        <v/>
      </c>
      <c r="O18" s="151" t="str">
        <f aca="false">IF($B18="","",H18+L18-M18-N18)</f>
        <v/>
      </c>
      <c r="P18" s="153" t="str">
        <f aca="false">IF($B18="","",O18*G18)</f>
        <v/>
      </c>
      <c r="Q18" s="111" t="str">
        <f aca="false">IF($B18="","",H18*G18)</f>
        <v/>
      </c>
      <c r="R18" s="111" t="str">
        <f aca="false">IF($B18="","",(M18+N18)*G18)</f>
        <v/>
      </c>
      <c r="S18" s="114" t="str">
        <f aca="false">IF($B18="","",IF(O18&lt;-0.01,"✖ رصيد سالب",IF(O18&gt;F18*2,"⚠ رصيد مرتفع (أكثر من سنتين)",IF(AND(الموظفون!$AE18&lt;&gt;"",الموظفون!$AE18&lt;=cfg_VAL_DATE,O18&gt;0.01),"⚠ منتهي الخدمة برصيد","✔ سليم"))))</f>
        <v/>
      </c>
    </row>
    <row r="19" customFormat="false" ht="15" hidden="false" customHeight="false" outlineLevel="0" collapsed="false">
      <c r="B19" s="117" t="str">
        <f aca="false">IF(الموظفون!$B19="","",الموظفون!$B19)</f>
        <v/>
      </c>
      <c r="C19" s="117" t="str">
        <f aca="false">IF($B19="","",الموظفون!$C19)</f>
        <v/>
      </c>
      <c r="D19" s="175" t="str">
        <f aca="false">IF($B19="","",الموظفون!$H19)</f>
        <v/>
      </c>
      <c r="E19" s="180" t="str">
        <f aca="false">IF($B19="","",MAX(0,J19-D19+1-SUMIFS('سجل الإجازات والحالات'!$S$6:$S$505,'سجل الإجازات والحالات'!$B$6:$B$505,$B19))/cfg_DAYS_Y)</f>
        <v/>
      </c>
      <c r="F19" s="133" t="str">
        <f aca="false">IF($B19="","",IF(الموظفون!$T19&lt;&gt;"",الموظفون!$T19,IF(E19&gt;=cfg_LV_TH,cfg_LV_D2,cfg_LV_D1)))</f>
        <v/>
      </c>
      <c r="G19" s="116" t="str">
        <f aca="false">IF($B19="","",الموظفون!$R19/cfg_DAYS_M)</f>
        <v/>
      </c>
      <c r="H19" s="156" t="str">
        <f aca="false">IF($B19="","",N(الموظفون!$AC19))</f>
        <v/>
      </c>
      <c r="I19" s="175" t="str">
        <f aca="false">IF($B19="","",MAX(cfg_Y_START,D19))</f>
        <v/>
      </c>
      <c r="J19" s="175" t="str">
        <f aca="false">IF($B19="","",IF(OR(الموظفون!$AE19="",الموظفون!$AE19&gt;cfg_VAL_DATE),cfg_VAL_DATE,الموظفون!$AE19))</f>
        <v/>
      </c>
      <c r="K19" s="133" t="str">
        <f aca="false">IF($B19="","",MAX(0,MAX(0,J19-I19+1)-(SUMIFS('سجل الإجازات والحالات'!$S$6:$S$505,'سجل الإجازات والحالات'!$B$6:$B$505,$B19)-SUMIFS('سجل الإجازات والحالات'!$R$6:$R$505,'سجل الإجازات والحالات'!$B$6:$B$505,$B19))))</f>
        <v/>
      </c>
      <c r="L19" s="156" t="str">
        <f aca="false">IF($B19="","",F19/cfg_DAYS_Y*K19)</f>
        <v/>
      </c>
      <c r="M19" s="156" t="str">
        <f aca="false">IF($B19="","",SUMIFS('سجل الإجازات والحالات'!$T$6:$T$505,'سجل الإجازات والحالات'!$B$6:$B$505,$B19)+SUMIFS('الحركات الشهرية'!$K$6:$K$1005,'الحركات الشهرية'!$B$6:$B$1005,B19,'الحركات الشهرية'!$A$6:$A$1005,"&lt;="&amp;cfg_VAL_M))</f>
        <v/>
      </c>
      <c r="N19" s="156" t="str">
        <f aca="false">IF($B19="","",SUMIFS('الحركات الشهرية'!$L$6:$L$1005,'الحركات الشهرية'!$B$6:$B$1005,B19,'الحركات الشهرية'!$A$6:$A$1005,"&lt;="&amp;cfg_VAL_M))</f>
        <v/>
      </c>
      <c r="O19" s="156" t="str">
        <f aca="false">IF($B19="","",H19+L19-M19-N19)</f>
        <v/>
      </c>
      <c r="P19" s="158" t="str">
        <f aca="false">IF($B19="","",O19*G19)</f>
        <v/>
      </c>
      <c r="Q19" s="116" t="str">
        <f aca="false">IF($B19="","",H19*G19)</f>
        <v/>
      </c>
      <c r="R19" s="116" t="str">
        <f aca="false">IF($B19="","",(M19+N19)*G19)</f>
        <v/>
      </c>
      <c r="S19" s="117" t="str">
        <f aca="false">IF($B19="","",IF(O19&lt;-0.01,"✖ رصيد سالب",IF(O19&gt;F19*2,"⚠ رصيد مرتفع (أكثر من سنتين)",IF(AND(الموظفون!$AE19&lt;&gt;"",الموظفون!$AE19&lt;=cfg_VAL_DATE,O19&gt;0.01),"⚠ منتهي الخدمة برصيد","✔ سليم"))))</f>
        <v/>
      </c>
    </row>
    <row r="20" customFormat="false" ht="15" hidden="false" customHeight="false" outlineLevel="0" collapsed="false">
      <c r="B20" s="114" t="str">
        <f aca="false">IF(الموظفون!$B20="","",الموظفون!$B20)</f>
        <v/>
      </c>
      <c r="C20" s="114" t="str">
        <f aca="false">IF($B20="","",الموظفون!$C20)</f>
        <v/>
      </c>
      <c r="D20" s="174" t="str">
        <f aca="false">IF($B20="","",الموظفون!$H20)</f>
        <v/>
      </c>
      <c r="E20" s="179" t="str">
        <f aca="false">IF($B20="","",MAX(0,J20-D20+1-SUMIFS('سجل الإجازات والحالات'!$S$6:$S$505,'سجل الإجازات والحالات'!$B$6:$B$505,$B20))/cfg_DAYS_Y)</f>
        <v/>
      </c>
      <c r="F20" s="65" t="str">
        <f aca="false">IF($B20="","",IF(الموظفون!$T20&lt;&gt;"",الموظفون!$T20,IF(E20&gt;=cfg_LV_TH,cfg_LV_D2,cfg_LV_D1)))</f>
        <v/>
      </c>
      <c r="G20" s="111" t="str">
        <f aca="false">IF($B20="","",الموظفون!$R20/cfg_DAYS_M)</f>
        <v/>
      </c>
      <c r="H20" s="151" t="str">
        <f aca="false">IF($B20="","",N(الموظفون!$AC20))</f>
        <v/>
      </c>
      <c r="I20" s="174" t="str">
        <f aca="false">IF($B20="","",MAX(cfg_Y_START,D20))</f>
        <v/>
      </c>
      <c r="J20" s="174" t="str">
        <f aca="false">IF($B20="","",IF(OR(الموظفون!$AE20="",الموظفون!$AE20&gt;cfg_VAL_DATE),cfg_VAL_DATE,الموظفون!$AE20))</f>
        <v/>
      </c>
      <c r="K20" s="65" t="str">
        <f aca="false">IF($B20="","",MAX(0,MAX(0,J20-I20+1)-(SUMIFS('سجل الإجازات والحالات'!$S$6:$S$505,'سجل الإجازات والحالات'!$B$6:$B$505,$B20)-SUMIFS('سجل الإجازات والحالات'!$R$6:$R$505,'سجل الإجازات والحالات'!$B$6:$B$505,$B20))))</f>
        <v/>
      </c>
      <c r="L20" s="151" t="str">
        <f aca="false">IF($B20="","",F20/cfg_DAYS_Y*K20)</f>
        <v/>
      </c>
      <c r="M20" s="151" t="str">
        <f aca="false">IF($B20="","",SUMIFS('سجل الإجازات والحالات'!$T$6:$T$505,'سجل الإجازات والحالات'!$B$6:$B$505,$B20)+SUMIFS('الحركات الشهرية'!$K$6:$K$1005,'الحركات الشهرية'!$B$6:$B$1005,B20,'الحركات الشهرية'!$A$6:$A$1005,"&lt;="&amp;cfg_VAL_M))</f>
        <v/>
      </c>
      <c r="N20" s="151" t="str">
        <f aca="false">IF($B20="","",SUMIFS('الحركات الشهرية'!$L$6:$L$1005,'الحركات الشهرية'!$B$6:$B$1005,B20,'الحركات الشهرية'!$A$6:$A$1005,"&lt;="&amp;cfg_VAL_M))</f>
        <v/>
      </c>
      <c r="O20" s="151" t="str">
        <f aca="false">IF($B20="","",H20+L20-M20-N20)</f>
        <v/>
      </c>
      <c r="P20" s="153" t="str">
        <f aca="false">IF($B20="","",O20*G20)</f>
        <v/>
      </c>
      <c r="Q20" s="111" t="str">
        <f aca="false">IF($B20="","",H20*G20)</f>
        <v/>
      </c>
      <c r="R20" s="111" t="str">
        <f aca="false">IF($B20="","",(M20+N20)*G20)</f>
        <v/>
      </c>
      <c r="S20" s="114" t="str">
        <f aca="false">IF($B20="","",IF(O20&lt;-0.01,"✖ رصيد سالب",IF(O20&gt;F20*2,"⚠ رصيد مرتفع (أكثر من سنتين)",IF(AND(الموظفون!$AE20&lt;&gt;"",الموظفون!$AE20&lt;=cfg_VAL_DATE,O20&gt;0.01),"⚠ منتهي الخدمة برصيد","✔ سليم"))))</f>
        <v/>
      </c>
    </row>
    <row r="21" customFormat="false" ht="15" hidden="false" customHeight="false" outlineLevel="0" collapsed="false">
      <c r="B21" s="117" t="str">
        <f aca="false">IF(الموظفون!$B21="","",الموظفون!$B21)</f>
        <v/>
      </c>
      <c r="C21" s="117" t="str">
        <f aca="false">IF($B21="","",الموظفون!$C21)</f>
        <v/>
      </c>
      <c r="D21" s="175" t="str">
        <f aca="false">IF($B21="","",الموظفون!$H21)</f>
        <v/>
      </c>
      <c r="E21" s="180" t="str">
        <f aca="false">IF($B21="","",MAX(0,J21-D21+1-SUMIFS('سجل الإجازات والحالات'!$S$6:$S$505,'سجل الإجازات والحالات'!$B$6:$B$505,$B21))/cfg_DAYS_Y)</f>
        <v/>
      </c>
      <c r="F21" s="133" t="str">
        <f aca="false">IF($B21="","",IF(الموظفون!$T21&lt;&gt;"",الموظفون!$T21,IF(E21&gt;=cfg_LV_TH,cfg_LV_D2,cfg_LV_D1)))</f>
        <v/>
      </c>
      <c r="G21" s="116" t="str">
        <f aca="false">IF($B21="","",الموظفون!$R21/cfg_DAYS_M)</f>
        <v/>
      </c>
      <c r="H21" s="156" t="str">
        <f aca="false">IF($B21="","",N(الموظفون!$AC21))</f>
        <v/>
      </c>
      <c r="I21" s="175" t="str">
        <f aca="false">IF($B21="","",MAX(cfg_Y_START,D21))</f>
        <v/>
      </c>
      <c r="J21" s="175" t="str">
        <f aca="false">IF($B21="","",IF(OR(الموظفون!$AE21="",الموظفون!$AE21&gt;cfg_VAL_DATE),cfg_VAL_DATE,الموظفون!$AE21))</f>
        <v/>
      </c>
      <c r="K21" s="133" t="str">
        <f aca="false">IF($B21="","",MAX(0,MAX(0,J21-I21+1)-(SUMIFS('سجل الإجازات والحالات'!$S$6:$S$505,'سجل الإجازات والحالات'!$B$6:$B$505,$B21)-SUMIFS('سجل الإجازات والحالات'!$R$6:$R$505,'سجل الإجازات والحالات'!$B$6:$B$505,$B21))))</f>
        <v/>
      </c>
      <c r="L21" s="156" t="str">
        <f aca="false">IF($B21="","",F21/cfg_DAYS_Y*K21)</f>
        <v/>
      </c>
      <c r="M21" s="156" t="str">
        <f aca="false">IF($B21="","",SUMIFS('سجل الإجازات والحالات'!$T$6:$T$505,'سجل الإجازات والحالات'!$B$6:$B$505,$B21)+SUMIFS('الحركات الشهرية'!$K$6:$K$1005,'الحركات الشهرية'!$B$6:$B$1005,B21,'الحركات الشهرية'!$A$6:$A$1005,"&lt;="&amp;cfg_VAL_M))</f>
        <v/>
      </c>
      <c r="N21" s="156" t="str">
        <f aca="false">IF($B21="","",SUMIFS('الحركات الشهرية'!$L$6:$L$1005,'الحركات الشهرية'!$B$6:$B$1005,B21,'الحركات الشهرية'!$A$6:$A$1005,"&lt;="&amp;cfg_VAL_M))</f>
        <v/>
      </c>
      <c r="O21" s="156" t="str">
        <f aca="false">IF($B21="","",H21+L21-M21-N21)</f>
        <v/>
      </c>
      <c r="P21" s="158" t="str">
        <f aca="false">IF($B21="","",O21*G21)</f>
        <v/>
      </c>
      <c r="Q21" s="116" t="str">
        <f aca="false">IF($B21="","",H21*G21)</f>
        <v/>
      </c>
      <c r="R21" s="116" t="str">
        <f aca="false">IF($B21="","",(M21+N21)*G21)</f>
        <v/>
      </c>
      <c r="S21" s="117" t="str">
        <f aca="false">IF($B21="","",IF(O21&lt;-0.01,"✖ رصيد سالب",IF(O21&gt;F21*2,"⚠ رصيد مرتفع (أكثر من سنتين)",IF(AND(الموظفون!$AE21&lt;&gt;"",الموظفون!$AE21&lt;=cfg_VAL_DATE,O21&gt;0.01),"⚠ منتهي الخدمة برصيد","✔ سليم"))))</f>
        <v/>
      </c>
    </row>
    <row r="22" customFormat="false" ht="15" hidden="false" customHeight="false" outlineLevel="0" collapsed="false">
      <c r="B22" s="114" t="str">
        <f aca="false">IF(الموظفون!$B22="","",الموظفون!$B22)</f>
        <v/>
      </c>
      <c r="C22" s="114" t="str">
        <f aca="false">IF($B22="","",الموظفون!$C22)</f>
        <v/>
      </c>
      <c r="D22" s="174" t="str">
        <f aca="false">IF($B22="","",الموظفون!$H22)</f>
        <v/>
      </c>
      <c r="E22" s="179" t="str">
        <f aca="false">IF($B22="","",MAX(0,J22-D22+1-SUMIFS('سجل الإجازات والحالات'!$S$6:$S$505,'سجل الإجازات والحالات'!$B$6:$B$505,$B22))/cfg_DAYS_Y)</f>
        <v/>
      </c>
      <c r="F22" s="65" t="str">
        <f aca="false">IF($B22="","",IF(الموظفون!$T22&lt;&gt;"",الموظفون!$T22,IF(E22&gt;=cfg_LV_TH,cfg_LV_D2,cfg_LV_D1)))</f>
        <v/>
      </c>
      <c r="G22" s="111" t="str">
        <f aca="false">IF($B22="","",الموظفون!$R22/cfg_DAYS_M)</f>
        <v/>
      </c>
      <c r="H22" s="151" t="str">
        <f aca="false">IF($B22="","",N(الموظفون!$AC22))</f>
        <v/>
      </c>
      <c r="I22" s="174" t="str">
        <f aca="false">IF($B22="","",MAX(cfg_Y_START,D22))</f>
        <v/>
      </c>
      <c r="J22" s="174" t="str">
        <f aca="false">IF($B22="","",IF(OR(الموظفون!$AE22="",الموظفون!$AE22&gt;cfg_VAL_DATE),cfg_VAL_DATE,الموظفون!$AE22))</f>
        <v/>
      </c>
      <c r="K22" s="65" t="str">
        <f aca="false">IF($B22="","",MAX(0,MAX(0,J22-I22+1)-(SUMIFS('سجل الإجازات والحالات'!$S$6:$S$505,'سجل الإجازات والحالات'!$B$6:$B$505,$B22)-SUMIFS('سجل الإجازات والحالات'!$R$6:$R$505,'سجل الإجازات والحالات'!$B$6:$B$505,$B22))))</f>
        <v/>
      </c>
      <c r="L22" s="151" t="str">
        <f aca="false">IF($B22="","",F22/cfg_DAYS_Y*K22)</f>
        <v/>
      </c>
      <c r="M22" s="151" t="str">
        <f aca="false">IF($B22="","",SUMIFS('سجل الإجازات والحالات'!$T$6:$T$505,'سجل الإجازات والحالات'!$B$6:$B$505,$B22)+SUMIFS('الحركات الشهرية'!$K$6:$K$1005,'الحركات الشهرية'!$B$6:$B$1005,B22,'الحركات الشهرية'!$A$6:$A$1005,"&lt;="&amp;cfg_VAL_M))</f>
        <v/>
      </c>
      <c r="N22" s="151" t="str">
        <f aca="false">IF($B22="","",SUMIFS('الحركات الشهرية'!$L$6:$L$1005,'الحركات الشهرية'!$B$6:$B$1005,B22,'الحركات الشهرية'!$A$6:$A$1005,"&lt;="&amp;cfg_VAL_M))</f>
        <v/>
      </c>
      <c r="O22" s="151" t="str">
        <f aca="false">IF($B22="","",H22+L22-M22-N22)</f>
        <v/>
      </c>
      <c r="P22" s="153" t="str">
        <f aca="false">IF($B22="","",O22*G22)</f>
        <v/>
      </c>
      <c r="Q22" s="111" t="str">
        <f aca="false">IF($B22="","",H22*G22)</f>
        <v/>
      </c>
      <c r="R22" s="111" t="str">
        <f aca="false">IF($B22="","",(M22+N22)*G22)</f>
        <v/>
      </c>
      <c r="S22" s="114" t="str">
        <f aca="false">IF($B22="","",IF(O22&lt;-0.01,"✖ رصيد سالب",IF(O22&gt;F22*2,"⚠ رصيد مرتفع (أكثر من سنتين)",IF(AND(الموظفون!$AE22&lt;&gt;"",الموظفون!$AE22&lt;=cfg_VAL_DATE,O22&gt;0.01),"⚠ منتهي الخدمة برصيد","✔ سليم"))))</f>
        <v/>
      </c>
    </row>
    <row r="23" customFormat="false" ht="15" hidden="false" customHeight="false" outlineLevel="0" collapsed="false">
      <c r="B23" s="117" t="str">
        <f aca="false">IF(الموظفون!$B23="","",الموظفون!$B23)</f>
        <v/>
      </c>
      <c r="C23" s="117" t="str">
        <f aca="false">IF($B23="","",الموظفون!$C23)</f>
        <v/>
      </c>
      <c r="D23" s="175" t="str">
        <f aca="false">IF($B23="","",الموظفون!$H23)</f>
        <v/>
      </c>
      <c r="E23" s="180" t="str">
        <f aca="false">IF($B23="","",MAX(0,J23-D23+1-SUMIFS('سجل الإجازات والحالات'!$S$6:$S$505,'سجل الإجازات والحالات'!$B$6:$B$505,$B23))/cfg_DAYS_Y)</f>
        <v/>
      </c>
      <c r="F23" s="133" t="str">
        <f aca="false">IF($B23="","",IF(الموظفون!$T23&lt;&gt;"",الموظفون!$T23,IF(E23&gt;=cfg_LV_TH,cfg_LV_D2,cfg_LV_D1)))</f>
        <v/>
      </c>
      <c r="G23" s="116" t="str">
        <f aca="false">IF($B23="","",الموظفون!$R23/cfg_DAYS_M)</f>
        <v/>
      </c>
      <c r="H23" s="156" t="str">
        <f aca="false">IF($B23="","",N(الموظفون!$AC23))</f>
        <v/>
      </c>
      <c r="I23" s="175" t="str">
        <f aca="false">IF($B23="","",MAX(cfg_Y_START,D23))</f>
        <v/>
      </c>
      <c r="J23" s="175" t="str">
        <f aca="false">IF($B23="","",IF(OR(الموظفون!$AE23="",الموظفون!$AE23&gt;cfg_VAL_DATE),cfg_VAL_DATE,الموظفون!$AE23))</f>
        <v/>
      </c>
      <c r="K23" s="133" t="str">
        <f aca="false">IF($B23="","",MAX(0,MAX(0,J23-I23+1)-(SUMIFS('سجل الإجازات والحالات'!$S$6:$S$505,'سجل الإجازات والحالات'!$B$6:$B$505,$B23)-SUMIFS('سجل الإجازات والحالات'!$R$6:$R$505,'سجل الإجازات والحالات'!$B$6:$B$505,$B23))))</f>
        <v/>
      </c>
      <c r="L23" s="156" t="str">
        <f aca="false">IF($B23="","",F23/cfg_DAYS_Y*K23)</f>
        <v/>
      </c>
      <c r="M23" s="156" t="str">
        <f aca="false">IF($B23="","",SUMIFS('سجل الإجازات والحالات'!$T$6:$T$505,'سجل الإجازات والحالات'!$B$6:$B$505,$B23)+SUMIFS('الحركات الشهرية'!$K$6:$K$1005,'الحركات الشهرية'!$B$6:$B$1005,B23,'الحركات الشهرية'!$A$6:$A$1005,"&lt;="&amp;cfg_VAL_M))</f>
        <v/>
      </c>
      <c r="N23" s="156" t="str">
        <f aca="false">IF($B23="","",SUMIFS('الحركات الشهرية'!$L$6:$L$1005,'الحركات الشهرية'!$B$6:$B$1005,B23,'الحركات الشهرية'!$A$6:$A$1005,"&lt;="&amp;cfg_VAL_M))</f>
        <v/>
      </c>
      <c r="O23" s="156" t="str">
        <f aca="false">IF($B23="","",H23+L23-M23-N23)</f>
        <v/>
      </c>
      <c r="P23" s="158" t="str">
        <f aca="false">IF($B23="","",O23*G23)</f>
        <v/>
      </c>
      <c r="Q23" s="116" t="str">
        <f aca="false">IF($B23="","",H23*G23)</f>
        <v/>
      </c>
      <c r="R23" s="116" t="str">
        <f aca="false">IF($B23="","",(M23+N23)*G23)</f>
        <v/>
      </c>
      <c r="S23" s="117" t="str">
        <f aca="false">IF($B23="","",IF(O23&lt;-0.01,"✖ رصيد سالب",IF(O23&gt;F23*2,"⚠ رصيد مرتفع (أكثر من سنتين)",IF(AND(الموظفون!$AE23&lt;&gt;"",الموظفون!$AE23&lt;=cfg_VAL_DATE,O23&gt;0.01),"⚠ منتهي الخدمة برصيد","✔ سليم"))))</f>
        <v/>
      </c>
    </row>
    <row r="24" customFormat="false" ht="15" hidden="false" customHeight="false" outlineLevel="0" collapsed="false">
      <c r="B24" s="114" t="str">
        <f aca="false">IF(الموظفون!$B24="","",الموظفون!$B24)</f>
        <v/>
      </c>
      <c r="C24" s="114" t="str">
        <f aca="false">IF($B24="","",الموظفون!$C24)</f>
        <v/>
      </c>
      <c r="D24" s="174" t="str">
        <f aca="false">IF($B24="","",الموظفون!$H24)</f>
        <v/>
      </c>
      <c r="E24" s="179" t="str">
        <f aca="false">IF($B24="","",MAX(0,J24-D24+1-SUMIFS('سجل الإجازات والحالات'!$S$6:$S$505,'سجل الإجازات والحالات'!$B$6:$B$505,$B24))/cfg_DAYS_Y)</f>
        <v/>
      </c>
      <c r="F24" s="65" t="str">
        <f aca="false">IF($B24="","",IF(الموظفون!$T24&lt;&gt;"",الموظفون!$T24,IF(E24&gt;=cfg_LV_TH,cfg_LV_D2,cfg_LV_D1)))</f>
        <v/>
      </c>
      <c r="G24" s="111" t="str">
        <f aca="false">IF($B24="","",الموظفون!$R24/cfg_DAYS_M)</f>
        <v/>
      </c>
      <c r="H24" s="151" t="str">
        <f aca="false">IF($B24="","",N(الموظفون!$AC24))</f>
        <v/>
      </c>
      <c r="I24" s="174" t="str">
        <f aca="false">IF($B24="","",MAX(cfg_Y_START,D24))</f>
        <v/>
      </c>
      <c r="J24" s="174" t="str">
        <f aca="false">IF($B24="","",IF(OR(الموظفون!$AE24="",الموظفون!$AE24&gt;cfg_VAL_DATE),cfg_VAL_DATE,الموظفون!$AE24))</f>
        <v/>
      </c>
      <c r="K24" s="65" t="str">
        <f aca="false">IF($B24="","",MAX(0,MAX(0,J24-I24+1)-(SUMIFS('سجل الإجازات والحالات'!$S$6:$S$505,'سجل الإجازات والحالات'!$B$6:$B$505,$B24)-SUMIFS('سجل الإجازات والحالات'!$R$6:$R$505,'سجل الإجازات والحالات'!$B$6:$B$505,$B24))))</f>
        <v/>
      </c>
      <c r="L24" s="151" t="str">
        <f aca="false">IF($B24="","",F24/cfg_DAYS_Y*K24)</f>
        <v/>
      </c>
      <c r="M24" s="151" t="str">
        <f aca="false">IF($B24="","",SUMIFS('سجل الإجازات والحالات'!$T$6:$T$505,'سجل الإجازات والحالات'!$B$6:$B$505,$B24)+SUMIFS('الحركات الشهرية'!$K$6:$K$1005,'الحركات الشهرية'!$B$6:$B$1005,B24,'الحركات الشهرية'!$A$6:$A$1005,"&lt;="&amp;cfg_VAL_M))</f>
        <v/>
      </c>
      <c r="N24" s="151" t="str">
        <f aca="false">IF($B24="","",SUMIFS('الحركات الشهرية'!$L$6:$L$1005,'الحركات الشهرية'!$B$6:$B$1005,B24,'الحركات الشهرية'!$A$6:$A$1005,"&lt;="&amp;cfg_VAL_M))</f>
        <v/>
      </c>
      <c r="O24" s="151" t="str">
        <f aca="false">IF($B24="","",H24+L24-M24-N24)</f>
        <v/>
      </c>
      <c r="P24" s="153" t="str">
        <f aca="false">IF($B24="","",O24*G24)</f>
        <v/>
      </c>
      <c r="Q24" s="111" t="str">
        <f aca="false">IF($B24="","",H24*G24)</f>
        <v/>
      </c>
      <c r="R24" s="111" t="str">
        <f aca="false">IF($B24="","",(M24+N24)*G24)</f>
        <v/>
      </c>
      <c r="S24" s="114" t="str">
        <f aca="false">IF($B24="","",IF(O24&lt;-0.01,"✖ رصيد سالب",IF(O24&gt;F24*2,"⚠ رصيد مرتفع (أكثر من سنتين)",IF(AND(الموظفون!$AE24&lt;&gt;"",الموظفون!$AE24&lt;=cfg_VAL_DATE,O24&gt;0.01),"⚠ منتهي الخدمة برصيد","✔ سليم"))))</f>
        <v/>
      </c>
    </row>
    <row r="25" customFormat="false" ht="15" hidden="false" customHeight="false" outlineLevel="0" collapsed="false">
      <c r="B25" s="117" t="str">
        <f aca="false">IF(الموظفون!$B25="","",الموظفون!$B25)</f>
        <v/>
      </c>
      <c r="C25" s="117" t="str">
        <f aca="false">IF($B25="","",الموظفون!$C25)</f>
        <v/>
      </c>
      <c r="D25" s="175" t="str">
        <f aca="false">IF($B25="","",الموظفون!$H25)</f>
        <v/>
      </c>
      <c r="E25" s="180" t="str">
        <f aca="false">IF($B25="","",MAX(0,J25-D25+1-SUMIFS('سجل الإجازات والحالات'!$S$6:$S$505,'سجل الإجازات والحالات'!$B$6:$B$505,$B25))/cfg_DAYS_Y)</f>
        <v/>
      </c>
      <c r="F25" s="133" t="str">
        <f aca="false">IF($B25="","",IF(الموظفون!$T25&lt;&gt;"",الموظفون!$T25,IF(E25&gt;=cfg_LV_TH,cfg_LV_D2,cfg_LV_D1)))</f>
        <v/>
      </c>
      <c r="G25" s="116" t="str">
        <f aca="false">IF($B25="","",الموظفون!$R25/cfg_DAYS_M)</f>
        <v/>
      </c>
      <c r="H25" s="156" t="str">
        <f aca="false">IF($B25="","",N(الموظفون!$AC25))</f>
        <v/>
      </c>
      <c r="I25" s="175" t="str">
        <f aca="false">IF($B25="","",MAX(cfg_Y_START,D25))</f>
        <v/>
      </c>
      <c r="J25" s="175" t="str">
        <f aca="false">IF($B25="","",IF(OR(الموظفون!$AE25="",الموظفون!$AE25&gt;cfg_VAL_DATE),cfg_VAL_DATE,الموظفون!$AE25))</f>
        <v/>
      </c>
      <c r="K25" s="133" t="str">
        <f aca="false">IF($B25="","",MAX(0,MAX(0,J25-I25+1)-(SUMIFS('سجل الإجازات والحالات'!$S$6:$S$505,'سجل الإجازات والحالات'!$B$6:$B$505,$B25)-SUMIFS('سجل الإجازات والحالات'!$R$6:$R$505,'سجل الإجازات والحالات'!$B$6:$B$505,$B25))))</f>
        <v/>
      </c>
      <c r="L25" s="156" t="str">
        <f aca="false">IF($B25="","",F25/cfg_DAYS_Y*K25)</f>
        <v/>
      </c>
      <c r="M25" s="156" t="str">
        <f aca="false">IF($B25="","",SUMIFS('سجل الإجازات والحالات'!$T$6:$T$505,'سجل الإجازات والحالات'!$B$6:$B$505,$B25)+SUMIFS('الحركات الشهرية'!$K$6:$K$1005,'الحركات الشهرية'!$B$6:$B$1005,B25,'الحركات الشهرية'!$A$6:$A$1005,"&lt;="&amp;cfg_VAL_M))</f>
        <v/>
      </c>
      <c r="N25" s="156" t="str">
        <f aca="false">IF($B25="","",SUMIFS('الحركات الشهرية'!$L$6:$L$1005,'الحركات الشهرية'!$B$6:$B$1005,B25,'الحركات الشهرية'!$A$6:$A$1005,"&lt;="&amp;cfg_VAL_M))</f>
        <v/>
      </c>
      <c r="O25" s="156" t="str">
        <f aca="false">IF($B25="","",H25+L25-M25-N25)</f>
        <v/>
      </c>
      <c r="P25" s="158" t="str">
        <f aca="false">IF($B25="","",O25*G25)</f>
        <v/>
      </c>
      <c r="Q25" s="116" t="str">
        <f aca="false">IF($B25="","",H25*G25)</f>
        <v/>
      </c>
      <c r="R25" s="116" t="str">
        <f aca="false">IF($B25="","",(M25+N25)*G25)</f>
        <v/>
      </c>
      <c r="S25" s="117" t="str">
        <f aca="false">IF($B25="","",IF(O25&lt;-0.01,"✖ رصيد سالب",IF(O25&gt;F25*2,"⚠ رصيد مرتفع (أكثر من سنتين)",IF(AND(الموظفون!$AE25&lt;&gt;"",الموظفون!$AE25&lt;=cfg_VAL_DATE,O25&gt;0.01),"⚠ منتهي الخدمة برصيد","✔ سليم"))))</f>
        <v/>
      </c>
    </row>
    <row r="26" customFormat="false" ht="15" hidden="false" customHeight="false" outlineLevel="0" collapsed="false">
      <c r="B26" s="114" t="str">
        <f aca="false">IF(الموظفون!$B26="","",الموظفون!$B26)</f>
        <v/>
      </c>
      <c r="C26" s="114" t="str">
        <f aca="false">IF($B26="","",الموظفون!$C26)</f>
        <v/>
      </c>
      <c r="D26" s="174" t="str">
        <f aca="false">IF($B26="","",الموظفون!$H26)</f>
        <v/>
      </c>
      <c r="E26" s="179" t="str">
        <f aca="false">IF($B26="","",MAX(0,J26-D26+1-SUMIFS('سجل الإجازات والحالات'!$S$6:$S$505,'سجل الإجازات والحالات'!$B$6:$B$505,$B26))/cfg_DAYS_Y)</f>
        <v/>
      </c>
      <c r="F26" s="65" t="str">
        <f aca="false">IF($B26="","",IF(الموظفون!$T26&lt;&gt;"",الموظفون!$T26,IF(E26&gt;=cfg_LV_TH,cfg_LV_D2,cfg_LV_D1)))</f>
        <v/>
      </c>
      <c r="G26" s="111" t="str">
        <f aca="false">IF($B26="","",الموظفون!$R26/cfg_DAYS_M)</f>
        <v/>
      </c>
      <c r="H26" s="151" t="str">
        <f aca="false">IF($B26="","",N(الموظفون!$AC26))</f>
        <v/>
      </c>
      <c r="I26" s="174" t="str">
        <f aca="false">IF($B26="","",MAX(cfg_Y_START,D26))</f>
        <v/>
      </c>
      <c r="J26" s="174" t="str">
        <f aca="false">IF($B26="","",IF(OR(الموظفون!$AE26="",الموظفون!$AE26&gt;cfg_VAL_DATE),cfg_VAL_DATE,الموظفون!$AE26))</f>
        <v/>
      </c>
      <c r="K26" s="65" t="str">
        <f aca="false">IF($B26="","",MAX(0,MAX(0,J26-I26+1)-(SUMIFS('سجل الإجازات والحالات'!$S$6:$S$505,'سجل الإجازات والحالات'!$B$6:$B$505,$B26)-SUMIFS('سجل الإجازات والحالات'!$R$6:$R$505,'سجل الإجازات والحالات'!$B$6:$B$505,$B26))))</f>
        <v/>
      </c>
      <c r="L26" s="151" t="str">
        <f aca="false">IF($B26="","",F26/cfg_DAYS_Y*K26)</f>
        <v/>
      </c>
      <c r="M26" s="151" t="str">
        <f aca="false">IF($B26="","",SUMIFS('سجل الإجازات والحالات'!$T$6:$T$505,'سجل الإجازات والحالات'!$B$6:$B$505,$B26)+SUMIFS('الحركات الشهرية'!$K$6:$K$1005,'الحركات الشهرية'!$B$6:$B$1005,B26,'الحركات الشهرية'!$A$6:$A$1005,"&lt;="&amp;cfg_VAL_M))</f>
        <v/>
      </c>
      <c r="N26" s="151" t="str">
        <f aca="false">IF($B26="","",SUMIFS('الحركات الشهرية'!$L$6:$L$1005,'الحركات الشهرية'!$B$6:$B$1005,B26,'الحركات الشهرية'!$A$6:$A$1005,"&lt;="&amp;cfg_VAL_M))</f>
        <v/>
      </c>
      <c r="O26" s="151" t="str">
        <f aca="false">IF($B26="","",H26+L26-M26-N26)</f>
        <v/>
      </c>
      <c r="P26" s="153" t="str">
        <f aca="false">IF($B26="","",O26*G26)</f>
        <v/>
      </c>
      <c r="Q26" s="111" t="str">
        <f aca="false">IF($B26="","",H26*G26)</f>
        <v/>
      </c>
      <c r="R26" s="111" t="str">
        <f aca="false">IF($B26="","",(M26+N26)*G26)</f>
        <v/>
      </c>
      <c r="S26" s="114" t="str">
        <f aca="false">IF($B26="","",IF(O26&lt;-0.01,"✖ رصيد سالب",IF(O26&gt;F26*2,"⚠ رصيد مرتفع (أكثر من سنتين)",IF(AND(الموظفون!$AE26&lt;&gt;"",الموظفون!$AE26&lt;=cfg_VAL_DATE,O26&gt;0.01),"⚠ منتهي الخدمة برصيد","✔ سليم"))))</f>
        <v/>
      </c>
    </row>
    <row r="27" customFormat="false" ht="15" hidden="false" customHeight="false" outlineLevel="0" collapsed="false">
      <c r="B27" s="117" t="str">
        <f aca="false">IF(الموظفون!$B27="","",الموظفون!$B27)</f>
        <v/>
      </c>
      <c r="C27" s="117" t="str">
        <f aca="false">IF($B27="","",الموظفون!$C27)</f>
        <v/>
      </c>
      <c r="D27" s="175" t="str">
        <f aca="false">IF($B27="","",الموظفون!$H27)</f>
        <v/>
      </c>
      <c r="E27" s="180" t="str">
        <f aca="false">IF($B27="","",MAX(0,J27-D27+1-SUMIFS('سجل الإجازات والحالات'!$S$6:$S$505,'سجل الإجازات والحالات'!$B$6:$B$505,$B27))/cfg_DAYS_Y)</f>
        <v/>
      </c>
      <c r="F27" s="133" t="str">
        <f aca="false">IF($B27="","",IF(الموظفون!$T27&lt;&gt;"",الموظفون!$T27,IF(E27&gt;=cfg_LV_TH,cfg_LV_D2,cfg_LV_D1)))</f>
        <v/>
      </c>
      <c r="G27" s="116" t="str">
        <f aca="false">IF($B27="","",الموظفون!$R27/cfg_DAYS_M)</f>
        <v/>
      </c>
      <c r="H27" s="156" t="str">
        <f aca="false">IF($B27="","",N(الموظفون!$AC27))</f>
        <v/>
      </c>
      <c r="I27" s="175" t="str">
        <f aca="false">IF($B27="","",MAX(cfg_Y_START,D27))</f>
        <v/>
      </c>
      <c r="J27" s="175" t="str">
        <f aca="false">IF($B27="","",IF(OR(الموظفون!$AE27="",الموظفون!$AE27&gt;cfg_VAL_DATE),cfg_VAL_DATE,الموظفون!$AE27))</f>
        <v/>
      </c>
      <c r="K27" s="133" t="str">
        <f aca="false">IF($B27="","",MAX(0,MAX(0,J27-I27+1)-(SUMIFS('سجل الإجازات والحالات'!$S$6:$S$505,'سجل الإجازات والحالات'!$B$6:$B$505,$B27)-SUMIFS('سجل الإجازات والحالات'!$R$6:$R$505,'سجل الإجازات والحالات'!$B$6:$B$505,$B27))))</f>
        <v/>
      </c>
      <c r="L27" s="156" t="str">
        <f aca="false">IF($B27="","",F27/cfg_DAYS_Y*K27)</f>
        <v/>
      </c>
      <c r="M27" s="156" t="str">
        <f aca="false">IF($B27="","",SUMIFS('سجل الإجازات والحالات'!$T$6:$T$505,'سجل الإجازات والحالات'!$B$6:$B$505,$B27)+SUMIFS('الحركات الشهرية'!$K$6:$K$1005,'الحركات الشهرية'!$B$6:$B$1005,B27,'الحركات الشهرية'!$A$6:$A$1005,"&lt;="&amp;cfg_VAL_M))</f>
        <v/>
      </c>
      <c r="N27" s="156" t="str">
        <f aca="false">IF($B27="","",SUMIFS('الحركات الشهرية'!$L$6:$L$1005,'الحركات الشهرية'!$B$6:$B$1005,B27,'الحركات الشهرية'!$A$6:$A$1005,"&lt;="&amp;cfg_VAL_M))</f>
        <v/>
      </c>
      <c r="O27" s="156" t="str">
        <f aca="false">IF($B27="","",H27+L27-M27-N27)</f>
        <v/>
      </c>
      <c r="P27" s="158" t="str">
        <f aca="false">IF($B27="","",O27*G27)</f>
        <v/>
      </c>
      <c r="Q27" s="116" t="str">
        <f aca="false">IF($B27="","",H27*G27)</f>
        <v/>
      </c>
      <c r="R27" s="116" t="str">
        <f aca="false">IF($B27="","",(M27+N27)*G27)</f>
        <v/>
      </c>
      <c r="S27" s="117" t="str">
        <f aca="false">IF($B27="","",IF(O27&lt;-0.01,"✖ رصيد سالب",IF(O27&gt;F27*2,"⚠ رصيد مرتفع (أكثر من سنتين)",IF(AND(الموظفون!$AE27&lt;&gt;"",الموظفون!$AE27&lt;=cfg_VAL_DATE,O27&gt;0.01),"⚠ منتهي الخدمة برصيد","✔ سليم"))))</f>
        <v/>
      </c>
    </row>
    <row r="28" customFormat="false" ht="15" hidden="false" customHeight="false" outlineLevel="0" collapsed="false">
      <c r="B28" s="114" t="str">
        <f aca="false">IF(الموظفون!$B28="","",الموظفون!$B28)</f>
        <v/>
      </c>
      <c r="C28" s="114" t="str">
        <f aca="false">IF($B28="","",الموظفون!$C28)</f>
        <v/>
      </c>
      <c r="D28" s="174" t="str">
        <f aca="false">IF($B28="","",الموظفون!$H28)</f>
        <v/>
      </c>
      <c r="E28" s="179" t="str">
        <f aca="false">IF($B28="","",MAX(0,J28-D28+1-SUMIFS('سجل الإجازات والحالات'!$S$6:$S$505,'سجل الإجازات والحالات'!$B$6:$B$505,$B28))/cfg_DAYS_Y)</f>
        <v/>
      </c>
      <c r="F28" s="65" t="str">
        <f aca="false">IF($B28="","",IF(الموظفون!$T28&lt;&gt;"",الموظفون!$T28,IF(E28&gt;=cfg_LV_TH,cfg_LV_D2,cfg_LV_D1)))</f>
        <v/>
      </c>
      <c r="G28" s="111" t="str">
        <f aca="false">IF($B28="","",الموظفون!$R28/cfg_DAYS_M)</f>
        <v/>
      </c>
      <c r="H28" s="151" t="str">
        <f aca="false">IF($B28="","",N(الموظفون!$AC28))</f>
        <v/>
      </c>
      <c r="I28" s="174" t="str">
        <f aca="false">IF($B28="","",MAX(cfg_Y_START,D28))</f>
        <v/>
      </c>
      <c r="J28" s="174" t="str">
        <f aca="false">IF($B28="","",IF(OR(الموظفون!$AE28="",الموظفون!$AE28&gt;cfg_VAL_DATE),cfg_VAL_DATE,الموظفون!$AE28))</f>
        <v/>
      </c>
      <c r="K28" s="65" t="str">
        <f aca="false">IF($B28="","",MAX(0,MAX(0,J28-I28+1)-(SUMIFS('سجل الإجازات والحالات'!$S$6:$S$505,'سجل الإجازات والحالات'!$B$6:$B$505,$B28)-SUMIFS('سجل الإجازات والحالات'!$R$6:$R$505,'سجل الإجازات والحالات'!$B$6:$B$505,$B28))))</f>
        <v/>
      </c>
      <c r="L28" s="151" t="str">
        <f aca="false">IF($B28="","",F28/cfg_DAYS_Y*K28)</f>
        <v/>
      </c>
      <c r="M28" s="151" t="str">
        <f aca="false">IF($B28="","",SUMIFS('سجل الإجازات والحالات'!$T$6:$T$505,'سجل الإجازات والحالات'!$B$6:$B$505,$B28)+SUMIFS('الحركات الشهرية'!$K$6:$K$1005,'الحركات الشهرية'!$B$6:$B$1005,B28,'الحركات الشهرية'!$A$6:$A$1005,"&lt;="&amp;cfg_VAL_M))</f>
        <v/>
      </c>
      <c r="N28" s="151" t="str">
        <f aca="false">IF($B28="","",SUMIFS('الحركات الشهرية'!$L$6:$L$1005,'الحركات الشهرية'!$B$6:$B$1005,B28,'الحركات الشهرية'!$A$6:$A$1005,"&lt;="&amp;cfg_VAL_M))</f>
        <v/>
      </c>
      <c r="O28" s="151" t="str">
        <f aca="false">IF($B28="","",H28+L28-M28-N28)</f>
        <v/>
      </c>
      <c r="P28" s="153" t="str">
        <f aca="false">IF($B28="","",O28*G28)</f>
        <v/>
      </c>
      <c r="Q28" s="111" t="str">
        <f aca="false">IF($B28="","",H28*G28)</f>
        <v/>
      </c>
      <c r="R28" s="111" t="str">
        <f aca="false">IF($B28="","",(M28+N28)*G28)</f>
        <v/>
      </c>
      <c r="S28" s="114" t="str">
        <f aca="false">IF($B28="","",IF(O28&lt;-0.01,"✖ رصيد سالب",IF(O28&gt;F28*2,"⚠ رصيد مرتفع (أكثر من سنتين)",IF(AND(الموظفون!$AE28&lt;&gt;"",الموظفون!$AE28&lt;=cfg_VAL_DATE,O28&gt;0.01),"⚠ منتهي الخدمة برصيد","✔ سليم"))))</f>
        <v/>
      </c>
    </row>
    <row r="29" customFormat="false" ht="15" hidden="false" customHeight="false" outlineLevel="0" collapsed="false">
      <c r="B29" s="117" t="str">
        <f aca="false">IF(الموظفون!$B29="","",الموظفون!$B29)</f>
        <v/>
      </c>
      <c r="C29" s="117" t="str">
        <f aca="false">IF($B29="","",الموظفون!$C29)</f>
        <v/>
      </c>
      <c r="D29" s="175" t="str">
        <f aca="false">IF($B29="","",الموظفون!$H29)</f>
        <v/>
      </c>
      <c r="E29" s="180" t="str">
        <f aca="false">IF($B29="","",MAX(0,J29-D29+1-SUMIFS('سجل الإجازات والحالات'!$S$6:$S$505,'سجل الإجازات والحالات'!$B$6:$B$505,$B29))/cfg_DAYS_Y)</f>
        <v/>
      </c>
      <c r="F29" s="133" t="str">
        <f aca="false">IF($B29="","",IF(الموظفون!$T29&lt;&gt;"",الموظفون!$T29,IF(E29&gt;=cfg_LV_TH,cfg_LV_D2,cfg_LV_D1)))</f>
        <v/>
      </c>
      <c r="G29" s="116" t="str">
        <f aca="false">IF($B29="","",الموظفون!$R29/cfg_DAYS_M)</f>
        <v/>
      </c>
      <c r="H29" s="156" t="str">
        <f aca="false">IF($B29="","",N(الموظفون!$AC29))</f>
        <v/>
      </c>
      <c r="I29" s="175" t="str">
        <f aca="false">IF($B29="","",MAX(cfg_Y_START,D29))</f>
        <v/>
      </c>
      <c r="J29" s="175" t="str">
        <f aca="false">IF($B29="","",IF(OR(الموظفون!$AE29="",الموظفون!$AE29&gt;cfg_VAL_DATE),cfg_VAL_DATE,الموظفون!$AE29))</f>
        <v/>
      </c>
      <c r="K29" s="133" t="str">
        <f aca="false">IF($B29="","",MAX(0,MAX(0,J29-I29+1)-(SUMIFS('سجل الإجازات والحالات'!$S$6:$S$505,'سجل الإجازات والحالات'!$B$6:$B$505,$B29)-SUMIFS('سجل الإجازات والحالات'!$R$6:$R$505,'سجل الإجازات والحالات'!$B$6:$B$505,$B29))))</f>
        <v/>
      </c>
      <c r="L29" s="156" t="str">
        <f aca="false">IF($B29="","",F29/cfg_DAYS_Y*K29)</f>
        <v/>
      </c>
      <c r="M29" s="156" t="str">
        <f aca="false">IF($B29="","",SUMIFS('سجل الإجازات والحالات'!$T$6:$T$505,'سجل الإجازات والحالات'!$B$6:$B$505,$B29)+SUMIFS('الحركات الشهرية'!$K$6:$K$1005,'الحركات الشهرية'!$B$6:$B$1005,B29,'الحركات الشهرية'!$A$6:$A$1005,"&lt;="&amp;cfg_VAL_M))</f>
        <v/>
      </c>
      <c r="N29" s="156" t="str">
        <f aca="false">IF($B29="","",SUMIFS('الحركات الشهرية'!$L$6:$L$1005,'الحركات الشهرية'!$B$6:$B$1005,B29,'الحركات الشهرية'!$A$6:$A$1005,"&lt;="&amp;cfg_VAL_M))</f>
        <v/>
      </c>
      <c r="O29" s="156" t="str">
        <f aca="false">IF($B29="","",H29+L29-M29-N29)</f>
        <v/>
      </c>
      <c r="P29" s="158" t="str">
        <f aca="false">IF($B29="","",O29*G29)</f>
        <v/>
      </c>
      <c r="Q29" s="116" t="str">
        <f aca="false">IF($B29="","",H29*G29)</f>
        <v/>
      </c>
      <c r="R29" s="116" t="str">
        <f aca="false">IF($B29="","",(M29+N29)*G29)</f>
        <v/>
      </c>
      <c r="S29" s="117" t="str">
        <f aca="false">IF($B29="","",IF(O29&lt;-0.01,"✖ رصيد سالب",IF(O29&gt;F29*2,"⚠ رصيد مرتفع (أكثر من سنتين)",IF(AND(الموظفون!$AE29&lt;&gt;"",الموظفون!$AE29&lt;=cfg_VAL_DATE,O29&gt;0.01),"⚠ منتهي الخدمة برصيد","✔ سليم"))))</f>
        <v/>
      </c>
    </row>
    <row r="30" customFormat="false" ht="15" hidden="false" customHeight="false" outlineLevel="0" collapsed="false">
      <c r="B30" s="114" t="str">
        <f aca="false">IF(الموظفون!$B30="","",الموظفون!$B30)</f>
        <v/>
      </c>
      <c r="C30" s="114" t="str">
        <f aca="false">IF($B30="","",الموظفون!$C30)</f>
        <v/>
      </c>
      <c r="D30" s="174" t="str">
        <f aca="false">IF($B30="","",الموظفون!$H30)</f>
        <v/>
      </c>
      <c r="E30" s="179" t="str">
        <f aca="false">IF($B30="","",MAX(0,J30-D30+1-SUMIFS('سجل الإجازات والحالات'!$S$6:$S$505,'سجل الإجازات والحالات'!$B$6:$B$505,$B30))/cfg_DAYS_Y)</f>
        <v/>
      </c>
      <c r="F30" s="65" t="str">
        <f aca="false">IF($B30="","",IF(الموظفون!$T30&lt;&gt;"",الموظفون!$T30,IF(E30&gt;=cfg_LV_TH,cfg_LV_D2,cfg_LV_D1)))</f>
        <v/>
      </c>
      <c r="G30" s="111" t="str">
        <f aca="false">IF($B30="","",الموظفون!$R30/cfg_DAYS_M)</f>
        <v/>
      </c>
      <c r="H30" s="151" t="str">
        <f aca="false">IF($B30="","",N(الموظفون!$AC30))</f>
        <v/>
      </c>
      <c r="I30" s="174" t="str">
        <f aca="false">IF($B30="","",MAX(cfg_Y_START,D30))</f>
        <v/>
      </c>
      <c r="J30" s="174" t="str">
        <f aca="false">IF($B30="","",IF(OR(الموظفون!$AE30="",الموظفون!$AE30&gt;cfg_VAL_DATE),cfg_VAL_DATE,الموظفون!$AE30))</f>
        <v/>
      </c>
      <c r="K30" s="65" t="str">
        <f aca="false">IF($B30="","",MAX(0,MAX(0,J30-I30+1)-(SUMIFS('سجل الإجازات والحالات'!$S$6:$S$505,'سجل الإجازات والحالات'!$B$6:$B$505,$B30)-SUMIFS('سجل الإجازات والحالات'!$R$6:$R$505,'سجل الإجازات والحالات'!$B$6:$B$505,$B30))))</f>
        <v/>
      </c>
      <c r="L30" s="151" t="str">
        <f aca="false">IF($B30="","",F30/cfg_DAYS_Y*K30)</f>
        <v/>
      </c>
      <c r="M30" s="151" t="str">
        <f aca="false">IF($B30="","",SUMIFS('سجل الإجازات والحالات'!$T$6:$T$505,'سجل الإجازات والحالات'!$B$6:$B$505,$B30)+SUMIFS('الحركات الشهرية'!$K$6:$K$1005,'الحركات الشهرية'!$B$6:$B$1005,B30,'الحركات الشهرية'!$A$6:$A$1005,"&lt;="&amp;cfg_VAL_M))</f>
        <v/>
      </c>
      <c r="N30" s="151" t="str">
        <f aca="false">IF($B30="","",SUMIFS('الحركات الشهرية'!$L$6:$L$1005,'الحركات الشهرية'!$B$6:$B$1005,B30,'الحركات الشهرية'!$A$6:$A$1005,"&lt;="&amp;cfg_VAL_M))</f>
        <v/>
      </c>
      <c r="O30" s="151" t="str">
        <f aca="false">IF($B30="","",H30+L30-M30-N30)</f>
        <v/>
      </c>
      <c r="P30" s="153" t="str">
        <f aca="false">IF($B30="","",O30*G30)</f>
        <v/>
      </c>
      <c r="Q30" s="111" t="str">
        <f aca="false">IF($B30="","",H30*G30)</f>
        <v/>
      </c>
      <c r="R30" s="111" t="str">
        <f aca="false">IF($B30="","",(M30+N30)*G30)</f>
        <v/>
      </c>
      <c r="S30" s="114" t="str">
        <f aca="false">IF($B30="","",IF(O30&lt;-0.01,"✖ رصيد سالب",IF(O30&gt;F30*2,"⚠ رصيد مرتفع (أكثر من سنتين)",IF(AND(الموظفون!$AE30&lt;&gt;"",الموظفون!$AE30&lt;=cfg_VAL_DATE,O30&gt;0.01),"⚠ منتهي الخدمة برصيد","✔ سليم"))))</f>
        <v/>
      </c>
    </row>
    <row r="31" customFormat="false" ht="15" hidden="false" customHeight="false" outlineLevel="0" collapsed="false">
      <c r="B31" s="117" t="str">
        <f aca="false">IF(الموظفون!$B31="","",الموظفون!$B31)</f>
        <v/>
      </c>
      <c r="C31" s="117" t="str">
        <f aca="false">IF($B31="","",الموظفون!$C31)</f>
        <v/>
      </c>
      <c r="D31" s="175" t="str">
        <f aca="false">IF($B31="","",الموظفون!$H31)</f>
        <v/>
      </c>
      <c r="E31" s="180" t="str">
        <f aca="false">IF($B31="","",MAX(0,J31-D31+1-SUMIFS('سجل الإجازات والحالات'!$S$6:$S$505,'سجل الإجازات والحالات'!$B$6:$B$505,$B31))/cfg_DAYS_Y)</f>
        <v/>
      </c>
      <c r="F31" s="133" t="str">
        <f aca="false">IF($B31="","",IF(الموظفون!$T31&lt;&gt;"",الموظفون!$T31,IF(E31&gt;=cfg_LV_TH,cfg_LV_D2,cfg_LV_D1)))</f>
        <v/>
      </c>
      <c r="G31" s="116" t="str">
        <f aca="false">IF($B31="","",الموظفون!$R31/cfg_DAYS_M)</f>
        <v/>
      </c>
      <c r="H31" s="156" t="str">
        <f aca="false">IF($B31="","",N(الموظفون!$AC31))</f>
        <v/>
      </c>
      <c r="I31" s="175" t="str">
        <f aca="false">IF($B31="","",MAX(cfg_Y_START,D31))</f>
        <v/>
      </c>
      <c r="J31" s="175" t="str">
        <f aca="false">IF($B31="","",IF(OR(الموظفون!$AE31="",الموظفون!$AE31&gt;cfg_VAL_DATE),cfg_VAL_DATE,الموظفون!$AE31))</f>
        <v/>
      </c>
      <c r="K31" s="133" t="str">
        <f aca="false">IF($B31="","",MAX(0,MAX(0,J31-I31+1)-(SUMIFS('سجل الإجازات والحالات'!$S$6:$S$505,'سجل الإجازات والحالات'!$B$6:$B$505,$B31)-SUMIFS('سجل الإجازات والحالات'!$R$6:$R$505,'سجل الإجازات والحالات'!$B$6:$B$505,$B31))))</f>
        <v/>
      </c>
      <c r="L31" s="156" t="str">
        <f aca="false">IF($B31="","",F31/cfg_DAYS_Y*K31)</f>
        <v/>
      </c>
      <c r="M31" s="156" t="str">
        <f aca="false">IF($B31="","",SUMIFS('سجل الإجازات والحالات'!$T$6:$T$505,'سجل الإجازات والحالات'!$B$6:$B$505,$B31)+SUMIFS('الحركات الشهرية'!$K$6:$K$1005,'الحركات الشهرية'!$B$6:$B$1005,B31,'الحركات الشهرية'!$A$6:$A$1005,"&lt;="&amp;cfg_VAL_M))</f>
        <v/>
      </c>
      <c r="N31" s="156" t="str">
        <f aca="false">IF($B31="","",SUMIFS('الحركات الشهرية'!$L$6:$L$1005,'الحركات الشهرية'!$B$6:$B$1005,B31,'الحركات الشهرية'!$A$6:$A$1005,"&lt;="&amp;cfg_VAL_M))</f>
        <v/>
      </c>
      <c r="O31" s="156" t="str">
        <f aca="false">IF($B31="","",H31+L31-M31-N31)</f>
        <v/>
      </c>
      <c r="P31" s="158" t="str">
        <f aca="false">IF($B31="","",O31*G31)</f>
        <v/>
      </c>
      <c r="Q31" s="116" t="str">
        <f aca="false">IF($B31="","",H31*G31)</f>
        <v/>
      </c>
      <c r="R31" s="116" t="str">
        <f aca="false">IF($B31="","",(M31+N31)*G31)</f>
        <v/>
      </c>
      <c r="S31" s="117" t="str">
        <f aca="false">IF($B31="","",IF(O31&lt;-0.01,"✖ رصيد سالب",IF(O31&gt;F31*2,"⚠ رصيد مرتفع (أكثر من سنتين)",IF(AND(الموظفون!$AE31&lt;&gt;"",الموظفون!$AE31&lt;=cfg_VAL_DATE,O31&gt;0.01),"⚠ منتهي الخدمة برصيد","✔ سليم"))))</f>
        <v/>
      </c>
    </row>
    <row r="32" customFormat="false" ht="15" hidden="false" customHeight="false" outlineLevel="0" collapsed="false">
      <c r="B32" s="114" t="str">
        <f aca="false">IF(الموظفون!$B32="","",الموظفون!$B32)</f>
        <v/>
      </c>
      <c r="C32" s="114" t="str">
        <f aca="false">IF($B32="","",الموظفون!$C32)</f>
        <v/>
      </c>
      <c r="D32" s="174" t="str">
        <f aca="false">IF($B32="","",الموظفون!$H32)</f>
        <v/>
      </c>
      <c r="E32" s="179" t="str">
        <f aca="false">IF($B32="","",MAX(0,J32-D32+1-SUMIFS('سجل الإجازات والحالات'!$S$6:$S$505,'سجل الإجازات والحالات'!$B$6:$B$505,$B32))/cfg_DAYS_Y)</f>
        <v/>
      </c>
      <c r="F32" s="65" t="str">
        <f aca="false">IF($B32="","",IF(الموظفون!$T32&lt;&gt;"",الموظفون!$T32,IF(E32&gt;=cfg_LV_TH,cfg_LV_D2,cfg_LV_D1)))</f>
        <v/>
      </c>
      <c r="G32" s="111" t="str">
        <f aca="false">IF($B32="","",الموظفون!$R32/cfg_DAYS_M)</f>
        <v/>
      </c>
      <c r="H32" s="151" t="str">
        <f aca="false">IF($B32="","",N(الموظفون!$AC32))</f>
        <v/>
      </c>
      <c r="I32" s="174" t="str">
        <f aca="false">IF($B32="","",MAX(cfg_Y_START,D32))</f>
        <v/>
      </c>
      <c r="J32" s="174" t="str">
        <f aca="false">IF($B32="","",IF(OR(الموظفون!$AE32="",الموظفون!$AE32&gt;cfg_VAL_DATE),cfg_VAL_DATE,الموظفون!$AE32))</f>
        <v/>
      </c>
      <c r="K32" s="65" t="str">
        <f aca="false">IF($B32="","",MAX(0,MAX(0,J32-I32+1)-(SUMIFS('سجل الإجازات والحالات'!$S$6:$S$505,'سجل الإجازات والحالات'!$B$6:$B$505,$B32)-SUMIFS('سجل الإجازات والحالات'!$R$6:$R$505,'سجل الإجازات والحالات'!$B$6:$B$505,$B32))))</f>
        <v/>
      </c>
      <c r="L32" s="151" t="str">
        <f aca="false">IF($B32="","",F32/cfg_DAYS_Y*K32)</f>
        <v/>
      </c>
      <c r="M32" s="151" t="str">
        <f aca="false">IF($B32="","",SUMIFS('سجل الإجازات والحالات'!$T$6:$T$505,'سجل الإجازات والحالات'!$B$6:$B$505,$B32)+SUMIFS('الحركات الشهرية'!$K$6:$K$1005,'الحركات الشهرية'!$B$6:$B$1005,B32,'الحركات الشهرية'!$A$6:$A$1005,"&lt;="&amp;cfg_VAL_M))</f>
        <v/>
      </c>
      <c r="N32" s="151" t="str">
        <f aca="false">IF($B32="","",SUMIFS('الحركات الشهرية'!$L$6:$L$1005,'الحركات الشهرية'!$B$6:$B$1005,B32,'الحركات الشهرية'!$A$6:$A$1005,"&lt;="&amp;cfg_VAL_M))</f>
        <v/>
      </c>
      <c r="O32" s="151" t="str">
        <f aca="false">IF($B32="","",H32+L32-M32-N32)</f>
        <v/>
      </c>
      <c r="P32" s="153" t="str">
        <f aca="false">IF($B32="","",O32*G32)</f>
        <v/>
      </c>
      <c r="Q32" s="111" t="str">
        <f aca="false">IF($B32="","",H32*G32)</f>
        <v/>
      </c>
      <c r="R32" s="111" t="str">
        <f aca="false">IF($B32="","",(M32+N32)*G32)</f>
        <v/>
      </c>
      <c r="S32" s="114" t="str">
        <f aca="false">IF($B32="","",IF(O32&lt;-0.01,"✖ رصيد سالب",IF(O32&gt;F32*2,"⚠ رصيد مرتفع (أكثر من سنتين)",IF(AND(الموظفون!$AE32&lt;&gt;"",الموظفون!$AE32&lt;=cfg_VAL_DATE,O32&gt;0.01),"⚠ منتهي الخدمة برصيد","✔ سليم"))))</f>
        <v/>
      </c>
    </row>
    <row r="33" customFormat="false" ht="15" hidden="false" customHeight="false" outlineLevel="0" collapsed="false">
      <c r="B33" s="117" t="str">
        <f aca="false">IF(الموظفون!$B33="","",الموظفون!$B33)</f>
        <v/>
      </c>
      <c r="C33" s="117" t="str">
        <f aca="false">IF($B33="","",الموظفون!$C33)</f>
        <v/>
      </c>
      <c r="D33" s="175" t="str">
        <f aca="false">IF($B33="","",الموظفون!$H33)</f>
        <v/>
      </c>
      <c r="E33" s="180" t="str">
        <f aca="false">IF($B33="","",MAX(0,J33-D33+1-SUMIFS('سجل الإجازات والحالات'!$S$6:$S$505,'سجل الإجازات والحالات'!$B$6:$B$505,$B33))/cfg_DAYS_Y)</f>
        <v/>
      </c>
      <c r="F33" s="133" t="str">
        <f aca="false">IF($B33="","",IF(الموظفون!$T33&lt;&gt;"",الموظفون!$T33,IF(E33&gt;=cfg_LV_TH,cfg_LV_D2,cfg_LV_D1)))</f>
        <v/>
      </c>
      <c r="G33" s="116" t="str">
        <f aca="false">IF($B33="","",الموظفون!$R33/cfg_DAYS_M)</f>
        <v/>
      </c>
      <c r="H33" s="156" t="str">
        <f aca="false">IF($B33="","",N(الموظفون!$AC33))</f>
        <v/>
      </c>
      <c r="I33" s="175" t="str">
        <f aca="false">IF($B33="","",MAX(cfg_Y_START,D33))</f>
        <v/>
      </c>
      <c r="J33" s="175" t="str">
        <f aca="false">IF($B33="","",IF(OR(الموظفون!$AE33="",الموظفون!$AE33&gt;cfg_VAL_DATE),cfg_VAL_DATE,الموظفون!$AE33))</f>
        <v/>
      </c>
      <c r="K33" s="133" t="str">
        <f aca="false">IF($B33="","",MAX(0,MAX(0,J33-I33+1)-(SUMIFS('سجل الإجازات والحالات'!$S$6:$S$505,'سجل الإجازات والحالات'!$B$6:$B$505,$B33)-SUMIFS('سجل الإجازات والحالات'!$R$6:$R$505,'سجل الإجازات والحالات'!$B$6:$B$505,$B33))))</f>
        <v/>
      </c>
      <c r="L33" s="156" t="str">
        <f aca="false">IF($B33="","",F33/cfg_DAYS_Y*K33)</f>
        <v/>
      </c>
      <c r="M33" s="156" t="str">
        <f aca="false">IF($B33="","",SUMIFS('سجل الإجازات والحالات'!$T$6:$T$505,'سجل الإجازات والحالات'!$B$6:$B$505,$B33)+SUMIFS('الحركات الشهرية'!$K$6:$K$1005,'الحركات الشهرية'!$B$6:$B$1005,B33,'الحركات الشهرية'!$A$6:$A$1005,"&lt;="&amp;cfg_VAL_M))</f>
        <v/>
      </c>
      <c r="N33" s="156" t="str">
        <f aca="false">IF($B33="","",SUMIFS('الحركات الشهرية'!$L$6:$L$1005,'الحركات الشهرية'!$B$6:$B$1005,B33,'الحركات الشهرية'!$A$6:$A$1005,"&lt;="&amp;cfg_VAL_M))</f>
        <v/>
      </c>
      <c r="O33" s="156" t="str">
        <f aca="false">IF($B33="","",H33+L33-M33-N33)</f>
        <v/>
      </c>
      <c r="P33" s="158" t="str">
        <f aca="false">IF($B33="","",O33*G33)</f>
        <v/>
      </c>
      <c r="Q33" s="116" t="str">
        <f aca="false">IF($B33="","",H33*G33)</f>
        <v/>
      </c>
      <c r="R33" s="116" t="str">
        <f aca="false">IF($B33="","",(M33+N33)*G33)</f>
        <v/>
      </c>
      <c r="S33" s="117" t="str">
        <f aca="false">IF($B33="","",IF(O33&lt;-0.01,"✖ رصيد سالب",IF(O33&gt;F33*2,"⚠ رصيد مرتفع (أكثر من سنتين)",IF(AND(الموظفون!$AE33&lt;&gt;"",الموظفون!$AE33&lt;=cfg_VAL_DATE,O33&gt;0.01),"⚠ منتهي الخدمة برصيد","✔ سليم"))))</f>
        <v/>
      </c>
    </row>
    <row r="34" customFormat="false" ht="15" hidden="false" customHeight="false" outlineLevel="0" collapsed="false">
      <c r="B34" s="114" t="str">
        <f aca="false">IF(الموظفون!$B34="","",الموظفون!$B34)</f>
        <v/>
      </c>
      <c r="C34" s="114" t="str">
        <f aca="false">IF($B34="","",الموظفون!$C34)</f>
        <v/>
      </c>
      <c r="D34" s="174" t="str">
        <f aca="false">IF($B34="","",الموظفون!$H34)</f>
        <v/>
      </c>
      <c r="E34" s="179" t="str">
        <f aca="false">IF($B34="","",MAX(0,J34-D34+1-SUMIFS('سجل الإجازات والحالات'!$S$6:$S$505,'سجل الإجازات والحالات'!$B$6:$B$505,$B34))/cfg_DAYS_Y)</f>
        <v/>
      </c>
      <c r="F34" s="65" t="str">
        <f aca="false">IF($B34="","",IF(الموظفون!$T34&lt;&gt;"",الموظفون!$T34,IF(E34&gt;=cfg_LV_TH,cfg_LV_D2,cfg_LV_D1)))</f>
        <v/>
      </c>
      <c r="G34" s="111" t="str">
        <f aca="false">IF($B34="","",الموظفون!$R34/cfg_DAYS_M)</f>
        <v/>
      </c>
      <c r="H34" s="151" t="str">
        <f aca="false">IF($B34="","",N(الموظفون!$AC34))</f>
        <v/>
      </c>
      <c r="I34" s="174" t="str">
        <f aca="false">IF($B34="","",MAX(cfg_Y_START,D34))</f>
        <v/>
      </c>
      <c r="J34" s="174" t="str">
        <f aca="false">IF($B34="","",IF(OR(الموظفون!$AE34="",الموظفون!$AE34&gt;cfg_VAL_DATE),cfg_VAL_DATE,الموظفون!$AE34))</f>
        <v/>
      </c>
      <c r="K34" s="65" t="str">
        <f aca="false">IF($B34="","",MAX(0,MAX(0,J34-I34+1)-(SUMIFS('سجل الإجازات والحالات'!$S$6:$S$505,'سجل الإجازات والحالات'!$B$6:$B$505,$B34)-SUMIFS('سجل الإجازات والحالات'!$R$6:$R$505,'سجل الإجازات والحالات'!$B$6:$B$505,$B34))))</f>
        <v/>
      </c>
      <c r="L34" s="151" t="str">
        <f aca="false">IF($B34="","",F34/cfg_DAYS_Y*K34)</f>
        <v/>
      </c>
      <c r="M34" s="151" t="str">
        <f aca="false">IF($B34="","",SUMIFS('سجل الإجازات والحالات'!$T$6:$T$505,'سجل الإجازات والحالات'!$B$6:$B$505,$B34)+SUMIFS('الحركات الشهرية'!$K$6:$K$1005,'الحركات الشهرية'!$B$6:$B$1005,B34,'الحركات الشهرية'!$A$6:$A$1005,"&lt;="&amp;cfg_VAL_M))</f>
        <v/>
      </c>
      <c r="N34" s="151" t="str">
        <f aca="false">IF($B34="","",SUMIFS('الحركات الشهرية'!$L$6:$L$1005,'الحركات الشهرية'!$B$6:$B$1005,B34,'الحركات الشهرية'!$A$6:$A$1005,"&lt;="&amp;cfg_VAL_M))</f>
        <v/>
      </c>
      <c r="O34" s="151" t="str">
        <f aca="false">IF($B34="","",H34+L34-M34-N34)</f>
        <v/>
      </c>
      <c r="P34" s="153" t="str">
        <f aca="false">IF($B34="","",O34*G34)</f>
        <v/>
      </c>
      <c r="Q34" s="111" t="str">
        <f aca="false">IF($B34="","",H34*G34)</f>
        <v/>
      </c>
      <c r="R34" s="111" t="str">
        <f aca="false">IF($B34="","",(M34+N34)*G34)</f>
        <v/>
      </c>
      <c r="S34" s="114" t="str">
        <f aca="false">IF($B34="","",IF(O34&lt;-0.01,"✖ رصيد سالب",IF(O34&gt;F34*2,"⚠ رصيد مرتفع (أكثر من سنتين)",IF(AND(الموظفون!$AE34&lt;&gt;"",الموظفون!$AE34&lt;=cfg_VAL_DATE,O34&gt;0.01),"⚠ منتهي الخدمة برصيد","✔ سليم"))))</f>
        <v/>
      </c>
    </row>
    <row r="35" customFormat="false" ht="15" hidden="false" customHeight="false" outlineLevel="0" collapsed="false">
      <c r="B35" s="117" t="str">
        <f aca="false">IF(الموظفون!$B35="","",الموظفون!$B35)</f>
        <v/>
      </c>
      <c r="C35" s="117" t="str">
        <f aca="false">IF($B35="","",الموظفون!$C35)</f>
        <v/>
      </c>
      <c r="D35" s="175" t="str">
        <f aca="false">IF($B35="","",الموظفون!$H35)</f>
        <v/>
      </c>
      <c r="E35" s="180" t="str">
        <f aca="false">IF($B35="","",MAX(0,J35-D35+1-SUMIFS('سجل الإجازات والحالات'!$S$6:$S$505,'سجل الإجازات والحالات'!$B$6:$B$505,$B35))/cfg_DAYS_Y)</f>
        <v/>
      </c>
      <c r="F35" s="133" t="str">
        <f aca="false">IF($B35="","",IF(الموظفون!$T35&lt;&gt;"",الموظفون!$T35,IF(E35&gt;=cfg_LV_TH,cfg_LV_D2,cfg_LV_D1)))</f>
        <v/>
      </c>
      <c r="G35" s="116" t="str">
        <f aca="false">IF($B35="","",الموظفون!$R35/cfg_DAYS_M)</f>
        <v/>
      </c>
      <c r="H35" s="156" t="str">
        <f aca="false">IF($B35="","",N(الموظفون!$AC35))</f>
        <v/>
      </c>
      <c r="I35" s="175" t="str">
        <f aca="false">IF($B35="","",MAX(cfg_Y_START,D35))</f>
        <v/>
      </c>
      <c r="J35" s="175" t="str">
        <f aca="false">IF($B35="","",IF(OR(الموظفون!$AE35="",الموظفون!$AE35&gt;cfg_VAL_DATE),cfg_VAL_DATE,الموظفون!$AE35))</f>
        <v/>
      </c>
      <c r="K35" s="133" t="str">
        <f aca="false">IF($B35="","",MAX(0,MAX(0,J35-I35+1)-(SUMIFS('سجل الإجازات والحالات'!$S$6:$S$505,'سجل الإجازات والحالات'!$B$6:$B$505,$B35)-SUMIFS('سجل الإجازات والحالات'!$R$6:$R$505,'سجل الإجازات والحالات'!$B$6:$B$505,$B35))))</f>
        <v/>
      </c>
      <c r="L35" s="156" t="str">
        <f aca="false">IF($B35="","",F35/cfg_DAYS_Y*K35)</f>
        <v/>
      </c>
      <c r="M35" s="156" t="str">
        <f aca="false">IF($B35="","",SUMIFS('سجل الإجازات والحالات'!$T$6:$T$505,'سجل الإجازات والحالات'!$B$6:$B$505,$B35)+SUMIFS('الحركات الشهرية'!$K$6:$K$1005,'الحركات الشهرية'!$B$6:$B$1005,B35,'الحركات الشهرية'!$A$6:$A$1005,"&lt;="&amp;cfg_VAL_M))</f>
        <v/>
      </c>
      <c r="N35" s="156" t="str">
        <f aca="false">IF($B35="","",SUMIFS('الحركات الشهرية'!$L$6:$L$1005,'الحركات الشهرية'!$B$6:$B$1005,B35,'الحركات الشهرية'!$A$6:$A$1005,"&lt;="&amp;cfg_VAL_M))</f>
        <v/>
      </c>
      <c r="O35" s="156" t="str">
        <f aca="false">IF($B35="","",H35+L35-M35-N35)</f>
        <v/>
      </c>
      <c r="P35" s="158" t="str">
        <f aca="false">IF($B35="","",O35*G35)</f>
        <v/>
      </c>
      <c r="Q35" s="116" t="str">
        <f aca="false">IF($B35="","",H35*G35)</f>
        <v/>
      </c>
      <c r="R35" s="116" t="str">
        <f aca="false">IF($B35="","",(M35+N35)*G35)</f>
        <v/>
      </c>
      <c r="S35" s="117" t="str">
        <f aca="false">IF($B35="","",IF(O35&lt;-0.01,"✖ رصيد سالب",IF(O35&gt;F35*2,"⚠ رصيد مرتفع (أكثر من سنتين)",IF(AND(الموظفون!$AE35&lt;&gt;"",الموظفون!$AE35&lt;=cfg_VAL_DATE,O35&gt;0.01),"⚠ منتهي الخدمة برصيد","✔ سليم"))))</f>
        <v/>
      </c>
    </row>
    <row r="36" customFormat="false" ht="15" hidden="false" customHeight="false" outlineLevel="0" collapsed="false">
      <c r="B36" s="114" t="str">
        <f aca="false">IF(الموظفون!$B36="","",الموظفون!$B36)</f>
        <v/>
      </c>
      <c r="C36" s="114" t="str">
        <f aca="false">IF($B36="","",الموظفون!$C36)</f>
        <v/>
      </c>
      <c r="D36" s="174" t="str">
        <f aca="false">IF($B36="","",الموظفون!$H36)</f>
        <v/>
      </c>
      <c r="E36" s="179" t="str">
        <f aca="false">IF($B36="","",MAX(0,J36-D36+1-SUMIFS('سجل الإجازات والحالات'!$S$6:$S$505,'سجل الإجازات والحالات'!$B$6:$B$505,$B36))/cfg_DAYS_Y)</f>
        <v/>
      </c>
      <c r="F36" s="65" t="str">
        <f aca="false">IF($B36="","",IF(الموظفون!$T36&lt;&gt;"",الموظفون!$T36,IF(E36&gt;=cfg_LV_TH,cfg_LV_D2,cfg_LV_D1)))</f>
        <v/>
      </c>
      <c r="G36" s="111" t="str">
        <f aca="false">IF($B36="","",الموظفون!$R36/cfg_DAYS_M)</f>
        <v/>
      </c>
      <c r="H36" s="151" t="str">
        <f aca="false">IF($B36="","",N(الموظفون!$AC36))</f>
        <v/>
      </c>
      <c r="I36" s="174" t="str">
        <f aca="false">IF($B36="","",MAX(cfg_Y_START,D36))</f>
        <v/>
      </c>
      <c r="J36" s="174" t="str">
        <f aca="false">IF($B36="","",IF(OR(الموظفون!$AE36="",الموظفون!$AE36&gt;cfg_VAL_DATE),cfg_VAL_DATE,الموظفون!$AE36))</f>
        <v/>
      </c>
      <c r="K36" s="65" t="str">
        <f aca="false">IF($B36="","",MAX(0,MAX(0,J36-I36+1)-(SUMIFS('سجل الإجازات والحالات'!$S$6:$S$505,'سجل الإجازات والحالات'!$B$6:$B$505,$B36)-SUMIFS('سجل الإجازات والحالات'!$R$6:$R$505,'سجل الإجازات والحالات'!$B$6:$B$505,$B36))))</f>
        <v/>
      </c>
      <c r="L36" s="151" t="str">
        <f aca="false">IF($B36="","",F36/cfg_DAYS_Y*K36)</f>
        <v/>
      </c>
      <c r="M36" s="151" t="str">
        <f aca="false">IF($B36="","",SUMIFS('سجل الإجازات والحالات'!$T$6:$T$505,'سجل الإجازات والحالات'!$B$6:$B$505,$B36)+SUMIFS('الحركات الشهرية'!$K$6:$K$1005,'الحركات الشهرية'!$B$6:$B$1005,B36,'الحركات الشهرية'!$A$6:$A$1005,"&lt;="&amp;cfg_VAL_M))</f>
        <v/>
      </c>
      <c r="N36" s="151" t="str">
        <f aca="false">IF($B36="","",SUMIFS('الحركات الشهرية'!$L$6:$L$1005,'الحركات الشهرية'!$B$6:$B$1005,B36,'الحركات الشهرية'!$A$6:$A$1005,"&lt;="&amp;cfg_VAL_M))</f>
        <v/>
      </c>
      <c r="O36" s="151" t="str">
        <f aca="false">IF($B36="","",H36+L36-M36-N36)</f>
        <v/>
      </c>
      <c r="P36" s="153" t="str">
        <f aca="false">IF($B36="","",O36*G36)</f>
        <v/>
      </c>
      <c r="Q36" s="111" t="str">
        <f aca="false">IF($B36="","",H36*G36)</f>
        <v/>
      </c>
      <c r="R36" s="111" t="str">
        <f aca="false">IF($B36="","",(M36+N36)*G36)</f>
        <v/>
      </c>
      <c r="S36" s="114" t="str">
        <f aca="false">IF($B36="","",IF(O36&lt;-0.01,"✖ رصيد سالب",IF(O36&gt;F36*2,"⚠ رصيد مرتفع (أكثر من سنتين)",IF(AND(الموظفون!$AE36&lt;&gt;"",الموظفون!$AE36&lt;=cfg_VAL_DATE,O36&gt;0.01),"⚠ منتهي الخدمة برصيد","✔ سليم"))))</f>
        <v/>
      </c>
    </row>
    <row r="37" customFormat="false" ht="15" hidden="false" customHeight="false" outlineLevel="0" collapsed="false">
      <c r="B37" s="117" t="str">
        <f aca="false">IF(الموظفون!$B37="","",الموظفون!$B37)</f>
        <v/>
      </c>
      <c r="C37" s="117" t="str">
        <f aca="false">IF($B37="","",الموظفون!$C37)</f>
        <v/>
      </c>
      <c r="D37" s="175" t="str">
        <f aca="false">IF($B37="","",الموظفون!$H37)</f>
        <v/>
      </c>
      <c r="E37" s="180" t="str">
        <f aca="false">IF($B37="","",MAX(0,J37-D37+1-SUMIFS('سجل الإجازات والحالات'!$S$6:$S$505,'سجل الإجازات والحالات'!$B$6:$B$505,$B37))/cfg_DAYS_Y)</f>
        <v/>
      </c>
      <c r="F37" s="133" t="str">
        <f aca="false">IF($B37="","",IF(الموظفون!$T37&lt;&gt;"",الموظفون!$T37,IF(E37&gt;=cfg_LV_TH,cfg_LV_D2,cfg_LV_D1)))</f>
        <v/>
      </c>
      <c r="G37" s="116" t="str">
        <f aca="false">IF($B37="","",الموظفون!$R37/cfg_DAYS_M)</f>
        <v/>
      </c>
      <c r="H37" s="156" t="str">
        <f aca="false">IF($B37="","",N(الموظفون!$AC37))</f>
        <v/>
      </c>
      <c r="I37" s="175" t="str">
        <f aca="false">IF($B37="","",MAX(cfg_Y_START,D37))</f>
        <v/>
      </c>
      <c r="J37" s="175" t="str">
        <f aca="false">IF($B37="","",IF(OR(الموظفون!$AE37="",الموظفون!$AE37&gt;cfg_VAL_DATE),cfg_VAL_DATE,الموظفون!$AE37))</f>
        <v/>
      </c>
      <c r="K37" s="133" t="str">
        <f aca="false">IF($B37="","",MAX(0,MAX(0,J37-I37+1)-(SUMIFS('سجل الإجازات والحالات'!$S$6:$S$505,'سجل الإجازات والحالات'!$B$6:$B$505,$B37)-SUMIFS('سجل الإجازات والحالات'!$R$6:$R$505,'سجل الإجازات والحالات'!$B$6:$B$505,$B37))))</f>
        <v/>
      </c>
      <c r="L37" s="156" t="str">
        <f aca="false">IF($B37="","",F37/cfg_DAYS_Y*K37)</f>
        <v/>
      </c>
      <c r="M37" s="156" t="str">
        <f aca="false">IF($B37="","",SUMIFS('سجل الإجازات والحالات'!$T$6:$T$505,'سجل الإجازات والحالات'!$B$6:$B$505,$B37)+SUMIFS('الحركات الشهرية'!$K$6:$K$1005,'الحركات الشهرية'!$B$6:$B$1005,B37,'الحركات الشهرية'!$A$6:$A$1005,"&lt;="&amp;cfg_VAL_M))</f>
        <v/>
      </c>
      <c r="N37" s="156" t="str">
        <f aca="false">IF($B37="","",SUMIFS('الحركات الشهرية'!$L$6:$L$1005,'الحركات الشهرية'!$B$6:$B$1005,B37,'الحركات الشهرية'!$A$6:$A$1005,"&lt;="&amp;cfg_VAL_M))</f>
        <v/>
      </c>
      <c r="O37" s="156" t="str">
        <f aca="false">IF($B37="","",H37+L37-M37-N37)</f>
        <v/>
      </c>
      <c r="P37" s="158" t="str">
        <f aca="false">IF($B37="","",O37*G37)</f>
        <v/>
      </c>
      <c r="Q37" s="116" t="str">
        <f aca="false">IF($B37="","",H37*G37)</f>
        <v/>
      </c>
      <c r="R37" s="116" t="str">
        <f aca="false">IF($B37="","",(M37+N37)*G37)</f>
        <v/>
      </c>
      <c r="S37" s="117" t="str">
        <f aca="false">IF($B37="","",IF(O37&lt;-0.01,"✖ رصيد سالب",IF(O37&gt;F37*2,"⚠ رصيد مرتفع (أكثر من سنتين)",IF(AND(الموظفون!$AE37&lt;&gt;"",الموظفون!$AE37&lt;=cfg_VAL_DATE,O37&gt;0.01),"⚠ منتهي الخدمة برصيد","✔ سليم"))))</f>
        <v/>
      </c>
    </row>
    <row r="38" customFormat="false" ht="15" hidden="false" customHeight="false" outlineLevel="0" collapsed="false">
      <c r="B38" s="114" t="str">
        <f aca="false">IF(الموظفون!$B38="","",الموظفون!$B38)</f>
        <v/>
      </c>
      <c r="C38" s="114" t="str">
        <f aca="false">IF($B38="","",الموظفون!$C38)</f>
        <v/>
      </c>
      <c r="D38" s="174" t="str">
        <f aca="false">IF($B38="","",الموظفون!$H38)</f>
        <v/>
      </c>
      <c r="E38" s="179" t="str">
        <f aca="false">IF($B38="","",MAX(0,J38-D38+1-SUMIFS('سجل الإجازات والحالات'!$S$6:$S$505,'سجل الإجازات والحالات'!$B$6:$B$505,$B38))/cfg_DAYS_Y)</f>
        <v/>
      </c>
      <c r="F38" s="65" t="str">
        <f aca="false">IF($B38="","",IF(الموظفون!$T38&lt;&gt;"",الموظفون!$T38,IF(E38&gt;=cfg_LV_TH,cfg_LV_D2,cfg_LV_D1)))</f>
        <v/>
      </c>
      <c r="G38" s="111" t="str">
        <f aca="false">IF($B38="","",الموظفون!$R38/cfg_DAYS_M)</f>
        <v/>
      </c>
      <c r="H38" s="151" t="str">
        <f aca="false">IF($B38="","",N(الموظفون!$AC38))</f>
        <v/>
      </c>
      <c r="I38" s="174" t="str">
        <f aca="false">IF($B38="","",MAX(cfg_Y_START,D38))</f>
        <v/>
      </c>
      <c r="J38" s="174" t="str">
        <f aca="false">IF($B38="","",IF(OR(الموظفون!$AE38="",الموظفون!$AE38&gt;cfg_VAL_DATE),cfg_VAL_DATE,الموظفون!$AE38))</f>
        <v/>
      </c>
      <c r="K38" s="65" t="str">
        <f aca="false">IF($B38="","",MAX(0,MAX(0,J38-I38+1)-(SUMIFS('سجل الإجازات والحالات'!$S$6:$S$505,'سجل الإجازات والحالات'!$B$6:$B$505,$B38)-SUMIFS('سجل الإجازات والحالات'!$R$6:$R$505,'سجل الإجازات والحالات'!$B$6:$B$505,$B38))))</f>
        <v/>
      </c>
      <c r="L38" s="151" t="str">
        <f aca="false">IF($B38="","",F38/cfg_DAYS_Y*K38)</f>
        <v/>
      </c>
      <c r="M38" s="151" t="str">
        <f aca="false">IF($B38="","",SUMIFS('سجل الإجازات والحالات'!$T$6:$T$505,'سجل الإجازات والحالات'!$B$6:$B$505,$B38)+SUMIFS('الحركات الشهرية'!$K$6:$K$1005,'الحركات الشهرية'!$B$6:$B$1005,B38,'الحركات الشهرية'!$A$6:$A$1005,"&lt;="&amp;cfg_VAL_M))</f>
        <v/>
      </c>
      <c r="N38" s="151" t="str">
        <f aca="false">IF($B38="","",SUMIFS('الحركات الشهرية'!$L$6:$L$1005,'الحركات الشهرية'!$B$6:$B$1005,B38,'الحركات الشهرية'!$A$6:$A$1005,"&lt;="&amp;cfg_VAL_M))</f>
        <v/>
      </c>
      <c r="O38" s="151" t="str">
        <f aca="false">IF($B38="","",H38+L38-M38-N38)</f>
        <v/>
      </c>
      <c r="P38" s="153" t="str">
        <f aca="false">IF($B38="","",O38*G38)</f>
        <v/>
      </c>
      <c r="Q38" s="111" t="str">
        <f aca="false">IF($B38="","",H38*G38)</f>
        <v/>
      </c>
      <c r="R38" s="111" t="str">
        <f aca="false">IF($B38="","",(M38+N38)*G38)</f>
        <v/>
      </c>
      <c r="S38" s="114" t="str">
        <f aca="false">IF($B38="","",IF(O38&lt;-0.01,"✖ رصيد سالب",IF(O38&gt;F38*2,"⚠ رصيد مرتفع (أكثر من سنتين)",IF(AND(الموظفون!$AE38&lt;&gt;"",الموظفون!$AE38&lt;=cfg_VAL_DATE,O38&gt;0.01),"⚠ منتهي الخدمة برصيد","✔ سليم"))))</f>
        <v/>
      </c>
    </row>
    <row r="39" customFormat="false" ht="15" hidden="false" customHeight="false" outlineLevel="0" collapsed="false">
      <c r="B39" s="117" t="str">
        <f aca="false">IF(الموظفون!$B39="","",الموظفون!$B39)</f>
        <v/>
      </c>
      <c r="C39" s="117" t="str">
        <f aca="false">IF($B39="","",الموظفون!$C39)</f>
        <v/>
      </c>
      <c r="D39" s="175" t="str">
        <f aca="false">IF($B39="","",الموظفون!$H39)</f>
        <v/>
      </c>
      <c r="E39" s="180" t="str">
        <f aca="false">IF($B39="","",MAX(0,J39-D39+1-SUMIFS('سجل الإجازات والحالات'!$S$6:$S$505,'سجل الإجازات والحالات'!$B$6:$B$505,$B39))/cfg_DAYS_Y)</f>
        <v/>
      </c>
      <c r="F39" s="133" t="str">
        <f aca="false">IF($B39="","",IF(الموظفون!$T39&lt;&gt;"",الموظفون!$T39,IF(E39&gt;=cfg_LV_TH,cfg_LV_D2,cfg_LV_D1)))</f>
        <v/>
      </c>
      <c r="G39" s="116" t="str">
        <f aca="false">IF($B39="","",الموظفون!$R39/cfg_DAYS_M)</f>
        <v/>
      </c>
      <c r="H39" s="156" t="str">
        <f aca="false">IF($B39="","",N(الموظفون!$AC39))</f>
        <v/>
      </c>
      <c r="I39" s="175" t="str">
        <f aca="false">IF($B39="","",MAX(cfg_Y_START,D39))</f>
        <v/>
      </c>
      <c r="J39" s="175" t="str">
        <f aca="false">IF($B39="","",IF(OR(الموظفون!$AE39="",الموظفون!$AE39&gt;cfg_VAL_DATE),cfg_VAL_DATE,الموظفون!$AE39))</f>
        <v/>
      </c>
      <c r="K39" s="133" t="str">
        <f aca="false">IF($B39="","",MAX(0,MAX(0,J39-I39+1)-(SUMIFS('سجل الإجازات والحالات'!$S$6:$S$505,'سجل الإجازات والحالات'!$B$6:$B$505,$B39)-SUMIFS('سجل الإجازات والحالات'!$R$6:$R$505,'سجل الإجازات والحالات'!$B$6:$B$505,$B39))))</f>
        <v/>
      </c>
      <c r="L39" s="156" t="str">
        <f aca="false">IF($B39="","",F39/cfg_DAYS_Y*K39)</f>
        <v/>
      </c>
      <c r="M39" s="156" t="str">
        <f aca="false">IF($B39="","",SUMIFS('سجل الإجازات والحالات'!$T$6:$T$505,'سجل الإجازات والحالات'!$B$6:$B$505,$B39)+SUMIFS('الحركات الشهرية'!$K$6:$K$1005,'الحركات الشهرية'!$B$6:$B$1005,B39,'الحركات الشهرية'!$A$6:$A$1005,"&lt;="&amp;cfg_VAL_M))</f>
        <v/>
      </c>
      <c r="N39" s="156" t="str">
        <f aca="false">IF($B39="","",SUMIFS('الحركات الشهرية'!$L$6:$L$1005,'الحركات الشهرية'!$B$6:$B$1005,B39,'الحركات الشهرية'!$A$6:$A$1005,"&lt;="&amp;cfg_VAL_M))</f>
        <v/>
      </c>
      <c r="O39" s="156" t="str">
        <f aca="false">IF($B39="","",H39+L39-M39-N39)</f>
        <v/>
      </c>
      <c r="P39" s="158" t="str">
        <f aca="false">IF($B39="","",O39*G39)</f>
        <v/>
      </c>
      <c r="Q39" s="116" t="str">
        <f aca="false">IF($B39="","",H39*G39)</f>
        <v/>
      </c>
      <c r="R39" s="116" t="str">
        <f aca="false">IF($B39="","",(M39+N39)*G39)</f>
        <v/>
      </c>
      <c r="S39" s="117" t="str">
        <f aca="false">IF($B39="","",IF(O39&lt;-0.01,"✖ رصيد سالب",IF(O39&gt;F39*2,"⚠ رصيد مرتفع (أكثر من سنتين)",IF(AND(الموظفون!$AE39&lt;&gt;"",الموظفون!$AE39&lt;=cfg_VAL_DATE,O39&gt;0.01),"⚠ منتهي الخدمة برصيد","✔ سليم"))))</f>
        <v/>
      </c>
    </row>
    <row r="40" customFormat="false" ht="15" hidden="false" customHeight="false" outlineLevel="0" collapsed="false">
      <c r="B40" s="114" t="str">
        <f aca="false">IF(الموظفون!$B40="","",الموظفون!$B40)</f>
        <v/>
      </c>
      <c r="C40" s="114" t="str">
        <f aca="false">IF($B40="","",الموظفون!$C40)</f>
        <v/>
      </c>
      <c r="D40" s="174" t="str">
        <f aca="false">IF($B40="","",الموظفون!$H40)</f>
        <v/>
      </c>
      <c r="E40" s="179" t="str">
        <f aca="false">IF($B40="","",MAX(0,J40-D40+1-SUMIFS('سجل الإجازات والحالات'!$S$6:$S$505,'سجل الإجازات والحالات'!$B$6:$B$505,$B40))/cfg_DAYS_Y)</f>
        <v/>
      </c>
      <c r="F40" s="65" t="str">
        <f aca="false">IF($B40="","",IF(الموظفون!$T40&lt;&gt;"",الموظفون!$T40,IF(E40&gt;=cfg_LV_TH,cfg_LV_D2,cfg_LV_D1)))</f>
        <v/>
      </c>
      <c r="G40" s="111" t="str">
        <f aca="false">IF($B40="","",الموظفون!$R40/cfg_DAYS_M)</f>
        <v/>
      </c>
      <c r="H40" s="151" t="str">
        <f aca="false">IF($B40="","",N(الموظفون!$AC40))</f>
        <v/>
      </c>
      <c r="I40" s="174" t="str">
        <f aca="false">IF($B40="","",MAX(cfg_Y_START,D40))</f>
        <v/>
      </c>
      <c r="J40" s="174" t="str">
        <f aca="false">IF($B40="","",IF(OR(الموظفون!$AE40="",الموظفون!$AE40&gt;cfg_VAL_DATE),cfg_VAL_DATE,الموظفون!$AE40))</f>
        <v/>
      </c>
      <c r="K40" s="65" t="str">
        <f aca="false">IF($B40="","",MAX(0,MAX(0,J40-I40+1)-(SUMIFS('سجل الإجازات والحالات'!$S$6:$S$505,'سجل الإجازات والحالات'!$B$6:$B$505,$B40)-SUMIFS('سجل الإجازات والحالات'!$R$6:$R$505,'سجل الإجازات والحالات'!$B$6:$B$505,$B40))))</f>
        <v/>
      </c>
      <c r="L40" s="151" t="str">
        <f aca="false">IF($B40="","",F40/cfg_DAYS_Y*K40)</f>
        <v/>
      </c>
      <c r="M40" s="151" t="str">
        <f aca="false">IF($B40="","",SUMIFS('سجل الإجازات والحالات'!$T$6:$T$505,'سجل الإجازات والحالات'!$B$6:$B$505,$B40)+SUMIFS('الحركات الشهرية'!$K$6:$K$1005,'الحركات الشهرية'!$B$6:$B$1005,B40,'الحركات الشهرية'!$A$6:$A$1005,"&lt;="&amp;cfg_VAL_M))</f>
        <v/>
      </c>
      <c r="N40" s="151" t="str">
        <f aca="false">IF($B40="","",SUMIFS('الحركات الشهرية'!$L$6:$L$1005,'الحركات الشهرية'!$B$6:$B$1005,B40,'الحركات الشهرية'!$A$6:$A$1005,"&lt;="&amp;cfg_VAL_M))</f>
        <v/>
      </c>
      <c r="O40" s="151" t="str">
        <f aca="false">IF($B40="","",H40+L40-M40-N40)</f>
        <v/>
      </c>
      <c r="P40" s="153" t="str">
        <f aca="false">IF($B40="","",O40*G40)</f>
        <v/>
      </c>
      <c r="Q40" s="111" t="str">
        <f aca="false">IF($B40="","",H40*G40)</f>
        <v/>
      </c>
      <c r="R40" s="111" t="str">
        <f aca="false">IF($B40="","",(M40+N40)*G40)</f>
        <v/>
      </c>
      <c r="S40" s="114" t="str">
        <f aca="false">IF($B40="","",IF(O40&lt;-0.01,"✖ رصيد سالب",IF(O40&gt;F40*2,"⚠ رصيد مرتفع (أكثر من سنتين)",IF(AND(الموظفون!$AE40&lt;&gt;"",الموظفون!$AE40&lt;=cfg_VAL_DATE,O40&gt;0.01),"⚠ منتهي الخدمة برصيد","✔ سليم"))))</f>
        <v/>
      </c>
    </row>
    <row r="41" customFormat="false" ht="15" hidden="false" customHeight="false" outlineLevel="0" collapsed="false">
      <c r="B41" s="117" t="str">
        <f aca="false">IF(الموظفون!$B41="","",الموظفون!$B41)</f>
        <v/>
      </c>
      <c r="C41" s="117" t="str">
        <f aca="false">IF($B41="","",الموظفون!$C41)</f>
        <v/>
      </c>
      <c r="D41" s="175" t="str">
        <f aca="false">IF($B41="","",الموظفون!$H41)</f>
        <v/>
      </c>
      <c r="E41" s="180" t="str">
        <f aca="false">IF($B41="","",MAX(0,J41-D41+1-SUMIFS('سجل الإجازات والحالات'!$S$6:$S$505,'سجل الإجازات والحالات'!$B$6:$B$505,$B41))/cfg_DAYS_Y)</f>
        <v/>
      </c>
      <c r="F41" s="133" t="str">
        <f aca="false">IF($B41="","",IF(الموظفون!$T41&lt;&gt;"",الموظفون!$T41,IF(E41&gt;=cfg_LV_TH,cfg_LV_D2,cfg_LV_D1)))</f>
        <v/>
      </c>
      <c r="G41" s="116" t="str">
        <f aca="false">IF($B41="","",الموظفون!$R41/cfg_DAYS_M)</f>
        <v/>
      </c>
      <c r="H41" s="156" t="str">
        <f aca="false">IF($B41="","",N(الموظفون!$AC41))</f>
        <v/>
      </c>
      <c r="I41" s="175" t="str">
        <f aca="false">IF($B41="","",MAX(cfg_Y_START,D41))</f>
        <v/>
      </c>
      <c r="J41" s="175" t="str">
        <f aca="false">IF($B41="","",IF(OR(الموظفون!$AE41="",الموظفون!$AE41&gt;cfg_VAL_DATE),cfg_VAL_DATE,الموظفون!$AE41))</f>
        <v/>
      </c>
      <c r="K41" s="133" t="str">
        <f aca="false">IF($B41="","",MAX(0,MAX(0,J41-I41+1)-(SUMIFS('سجل الإجازات والحالات'!$S$6:$S$505,'سجل الإجازات والحالات'!$B$6:$B$505,$B41)-SUMIFS('سجل الإجازات والحالات'!$R$6:$R$505,'سجل الإجازات والحالات'!$B$6:$B$505,$B41))))</f>
        <v/>
      </c>
      <c r="L41" s="156" t="str">
        <f aca="false">IF($B41="","",F41/cfg_DAYS_Y*K41)</f>
        <v/>
      </c>
      <c r="M41" s="156" t="str">
        <f aca="false">IF($B41="","",SUMIFS('سجل الإجازات والحالات'!$T$6:$T$505,'سجل الإجازات والحالات'!$B$6:$B$505,$B41)+SUMIFS('الحركات الشهرية'!$K$6:$K$1005,'الحركات الشهرية'!$B$6:$B$1005,B41,'الحركات الشهرية'!$A$6:$A$1005,"&lt;="&amp;cfg_VAL_M))</f>
        <v/>
      </c>
      <c r="N41" s="156" t="str">
        <f aca="false">IF($B41="","",SUMIFS('الحركات الشهرية'!$L$6:$L$1005,'الحركات الشهرية'!$B$6:$B$1005,B41,'الحركات الشهرية'!$A$6:$A$1005,"&lt;="&amp;cfg_VAL_M))</f>
        <v/>
      </c>
      <c r="O41" s="156" t="str">
        <f aca="false">IF($B41="","",H41+L41-M41-N41)</f>
        <v/>
      </c>
      <c r="P41" s="158" t="str">
        <f aca="false">IF($B41="","",O41*G41)</f>
        <v/>
      </c>
      <c r="Q41" s="116" t="str">
        <f aca="false">IF($B41="","",H41*G41)</f>
        <v/>
      </c>
      <c r="R41" s="116" t="str">
        <f aca="false">IF($B41="","",(M41+N41)*G41)</f>
        <v/>
      </c>
      <c r="S41" s="117" t="str">
        <f aca="false">IF($B41="","",IF(O41&lt;-0.01,"✖ رصيد سالب",IF(O41&gt;F41*2,"⚠ رصيد مرتفع (أكثر من سنتين)",IF(AND(الموظفون!$AE41&lt;&gt;"",الموظفون!$AE41&lt;=cfg_VAL_DATE,O41&gt;0.01),"⚠ منتهي الخدمة برصيد","✔ سليم"))))</f>
        <v/>
      </c>
    </row>
    <row r="42" customFormat="false" ht="15" hidden="false" customHeight="false" outlineLevel="0" collapsed="false">
      <c r="B42" s="114" t="str">
        <f aca="false">IF(الموظفون!$B42="","",الموظفون!$B42)</f>
        <v/>
      </c>
      <c r="C42" s="114" t="str">
        <f aca="false">IF($B42="","",الموظفون!$C42)</f>
        <v/>
      </c>
      <c r="D42" s="174" t="str">
        <f aca="false">IF($B42="","",الموظفون!$H42)</f>
        <v/>
      </c>
      <c r="E42" s="179" t="str">
        <f aca="false">IF($B42="","",MAX(0,J42-D42+1-SUMIFS('سجل الإجازات والحالات'!$S$6:$S$505,'سجل الإجازات والحالات'!$B$6:$B$505,$B42))/cfg_DAYS_Y)</f>
        <v/>
      </c>
      <c r="F42" s="65" t="str">
        <f aca="false">IF($B42="","",IF(الموظفون!$T42&lt;&gt;"",الموظفون!$T42,IF(E42&gt;=cfg_LV_TH,cfg_LV_D2,cfg_LV_D1)))</f>
        <v/>
      </c>
      <c r="G42" s="111" t="str">
        <f aca="false">IF($B42="","",الموظفون!$R42/cfg_DAYS_M)</f>
        <v/>
      </c>
      <c r="H42" s="151" t="str">
        <f aca="false">IF($B42="","",N(الموظفون!$AC42))</f>
        <v/>
      </c>
      <c r="I42" s="174" t="str">
        <f aca="false">IF($B42="","",MAX(cfg_Y_START,D42))</f>
        <v/>
      </c>
      <c r="J42" s="174" t="str">
        <f aca="false">IF($B42="","",IF(OR(الموظفون!$AE42="",الموظفون!$AE42&gt;cfg_VAL_DATE),cfg_VAL_DATE,الموظفون!$AE42))</f>
        <v/>
      </c>
      <c r="K42" s="65" t="str">
        <f aca="false">IF($B42="","",MAX(0,MAX(0,J42-I42+1)-(SUMIFS('سجل الإجازات والحالات'!$S$6:$S$505,'سجل الإجازات والحالات'!$B$6:$B$505,$B42)-SUMIFS('سجل الإجازات والحالات'!$R$6:$R$505,'سجل الإجازات والحالات'!$B$6:$B$505,$B42))))</f>
        <v/>
      </c>
      <c r="L42" s="151" t="str">
        <f aca="false">IF($B42="","",F42/cfg_DAYS_Y*K42)</f>
        <v/>
      </c>
      <c r="M42" s="151" t="str">
        <f aca="false">IF($B42="","",SUMIFS('سجل الإجازات والحالات'!$T$6:$T$505,'سجل الإجازات والحالات'!$B$6:$B$505,$B42)+SUMIFS('الحركات الشهرية'!$K$6:$K$1005,'الحركات الشهرية'!$B$6:$B$1005,B42,'الحركات الشهرية'!$A$6:$A$1005,"&lt;="&amp;cfg_VAL_M))</f>
        <v/>
      </c>
      <c r="N42" s="151" t="str">
        <f aca="false">IF($B42="","",SUMIFS('الحركات الشهرية'!$L$6:$L$1005,'الحركات الشهرية'!$B$6:$B$1005,B42,'الحركات الشهرية'!$A$6:$A$1005,"&lt;="&amp;cfg_VAL_M))</f>
        <v/>
      </c>
      <c r="O42" s="151" t="str">
        <f aca="false">IF($B42="","",H42+L42-M42-N42)</f>
        <v/>
      </c>
      <c r="P42" s="153" t="str">
        <f aca="false">IF($B42="","",O42*G42)</f>
        <v/>
      </c>
      <c r="Q42" s="111" t="str">
        <f aca="false">IF($B42="","",H42*G42)</f>
        <v/>
      </c>
      <c r="R42" s="111" t="str">
        <f aca="false">IF($B42="","",(M42+N42)*G42)</f>
        <v/>
      </c>
      <c r="S42" s="114" t="str">
        <f aca="false">IF($B42="","",IF(O42&lt;-0.01,"✖ رصيد سالب",IF(O42&gt;F42*2,"⚠ رصيد مرتفع (أكثر من سنتين)",IF(AND(الموظفون!$AE42&lt;&gt;"",الموظفون!$AE42&lt;=cfg_VAL_DATE,O42&gt;0.01),"⚠ منتهي الخدمة برصيد","✔ سليم"))))</f>
        <v/>
      </c>
    </row>
    <row r="43" customFormat="false" ht="15" hidden="false" customHeight="false" outlineLevel="0" collapsed="false">
      <c r="B43" s="117" t="str">
        <f aca="false">IF(الموظفون!$B43="","",الموظفون!$B43)</f>
        <v/>
      </c>
      <c r="C43" s="117" t="str">
        <f aca="false">IF($B43="","",الموظفون!$C43)</f>
        <v/>
      </c>
      <c r="D43" s="175" t="str">
        <f aca="false">IF($B43="","",الموظفون!$H43)</f>
        <v/>
      </c>
      <c r="E43" s="180" t="str">
        <f aca="false">IF($B43="","",MAX(0,J43-D43+1-SUMIFS('سجل الإجازات والحالات'!$S$6:$S$505,'سجل الإجازات والحالات'!$B$6:$B$505,$B43))/cfg_DAYS_Y)</f>
        <v/>
      </c>
      <c r="F43" s="133" t="str">
        <f aca="false">IF($B43="","",IF(الموظفون!$T43&lt;&gt;"",الموظفون!$T43,IF(E43&gt;=cfg_LV_TH,cfg_LV_D2,cfg_LV_D1)))</f>
        <v/>
      </c>
      <c r="G43" s="116" t="str">
        <f aca="false">IF($B43="","",الموظفون!$R43/cfg_DAYS_M)</f>
        <v/>
      </c>
      <c r="H43" s="156" t="str">
        <f aca="false">IF($B43="","",N(الموظفون!$AC43))</f>
        <v/>
      </c>
      <c r="I43" s="175" t="str">
        <f aca="false">IF($B43="","",MAX(cfg_Y_START,D43))</f>
        <v/>
      </c>
      <c r="J43" s="175" t="str">
        <f aca="false">IF($B43="","",IF(OR(الموظفون!$AE43="",الموظفون!$AE43&gt;cfg_VAL_DATE),cfg_VAL_DATE,الموظفون!$AE43))</f>
        <v/>
      </c>
      <c r="K43" s="133" t="str">
        <f aca="false">IF($B43="","",MAX(0,MAX(0,J43-I43+1)-(SUMIFS('سجل الإجازات والحالات'!$S$6:$S$505,'سجل الإجازات والحالات'!$B$6:$B$505,$B43)-SUMIFS('سجل الإجازات والحالات'!$R$6:$R$505,'سجل الإجازات والحالات'!$B$6:$B$505,$B43))))</f>
        <v/>
      </c>
      <c r="L43" s="156" t="str">
        <f aca="false">IF($B43="","",F43/cfg_DAYS_Y*K43)</f>
        <v/>
      </c>
      <c r="M43" s="156" t="str">
        <f aca="false">IF($B43="","",SUMIFS('سجل الإجازات والحالات'!$T$6:$T$505,'سجل الإجازات والحالات'!$B$6:$B$505,$B43)+SUMIFS('الحركات الشهرية'!$K$6:$K$1005,'الحركات الشهرية'!$B$6:$B$1005,B43,'الحركات الشهرية'!$A$6:$A$1005,"&lt;="&amp;cfg_VAL_M))</f>
        <v/>
      </c>
      <c r="N43" s="156" t="str">
        <f aca="false">IF($B43="","",SUMIFS('الحركات الشهرية'!$L$6:$L$1005,'الحركات الشهرية'!$B$6:$B$1005,B43,'الحركات الشهرية'!$A$6:$A$1005,"&lt;="&amp;cfg_VAL_M))</f>
        <v/>
      </c>
      <c r="O43" s="156" t="str">
        <f aca="false">IF($B43="","",H43+L43-M43-N43)</f>
        <v/>
      </c>
      <c r="P43" s="158" t="str">
        <f aca="false">IF($B43="","",O43*G43)</f>
        <v/>
      </c>
      <c r="Q43" s="116" t="str">
        <f aca="false">IF($B43="","",H43*G43)</f>
        <v/>
      </c>
      <c r="R43" s="116" t="str">
        <f aca="false">IF($B43="","",(M43+N43)*G43)</f>
        <v/>
      </c>
      <c r="S43" s="117" t="str">
        <f aca="false">IF($B43="","",IF(O43&lt;-0.01,"✖ رصيد سالب",IF(O43&gt;F43*2,"⚠ رصيد مرتفع (أكثر من سنتين)",IF(AND(الموظفون!$AE43&lt;&gt;"",الموظفون!$AE43&lt;=cfg_VAL_DATE,O43&gt;0.01),"⚠ منتهي الخدمة برصيد","✔ سليم"))))</f>
        <v/>
      </c>
    </row>
    <row r="44" customFormat="false" ht="15" hidden="false" customHeight="false" outlineLevel="0" collapsed="false">
      <c r="B44" s="114" t="str">
        <f aca="false">IF(الموظفون!$B44="","",الموظفون!$B44)</f>
        <v/>
      </c>
      <c r="C44" s="114" t="str">
        <f aca="false">IF($B44="","",الموظفون!$C44)</f>
        <v/>
      </c>
      <c r="D44" s="174" t="str">
        <f aca="false">IF($B44="","",الموظفون!$H44)</f>
        <v/>
      </c>
      <c r="E44" s="179" t="str">
        <f aca="false">IF($B44="","",MAX(0,J44-D44+1-SUMIFS('سجل الإجازات والحالات'!$S$6:$S$505,'سجل الإجازات والحالات'!$B$6:$B$505,$B44))/cfg_DAYS_Y)</f>
        <v/>
      </c>
      <c r="F44" s="65" t="str">
        <f aca="false">IF($B44="","",IF(الموظفون!$T44&lt;&gt;"",الموظفون!$T44,IF(E44&gt;=cfg_LV_TH,cfg_LV_D2,cfg_LV_D1)))</f>
        <v/>
      </c>
      <c r="G44" s="111" t="str">
        <f aca="false">IF($B44="","",الموظفون!$R44/cfg_DAYS_M)</f>
        <v/>
      </c>
      <c r="H44" s="151" t="str">
        <f aca="false">IF($B44="","",N(الموظفون!$AC44))</f>
        <v/>
      </c>
      <c r="I44" s="174" t="str">
        <f aca="false">IF($B44="","",MAX(cfg_Y_START,D44))</f>
        <v/>
      </c>
      <c r="J44" s="174" t="str">
        <f aca="false">IF($B44="","",IF(OR(الموظفون!$AE44="",الموظفون!$AE44&gt;cfg_VAL_DATE),cfg_VAL_DATE,الموظفون!$AE44))</f>
        <v/>
      </c>
      <c r="K44" s="65" t="str">
        <f aca="false">IF($B44="","",MAX(0,MAX(0,J44-I44+1)-(SUMIFS('سجل الإجازات والحالات'!$S$6:$S$505,'سجل الإجازات والحالات'!$B$6:$B$505,$B44)-SUMIFS('سجل الإجازات والحالات'!$R$6:$R$505,'سجل الإجازات والحالات'!$B$6:$B$505,$B44))))</f>
        <v/>
      </c>
      <c r="L44" s="151" t="str">
        <f aca="false">IF($B44="","",F44/cfg_DAYS_Y*K44)</f>
        <v/>
      </c>
      <c r="M44" s="151" t="str">
        <f aca="false">IF($B44="","",SUMIFS('سجل الإجازات والحالات'!$T$6:$T$505,'سجل الإجازات والحالات'!$B$6:$B$505,$B44)+SUMIFS('الحركات الشهرية'!$K$6:$K$1005,'الحركات الشهرية'!$B$6:$B$1005,B44,'الحركات الشهرية'!$A$6:$A$1005,"&lt;="&amp;cfg_VAL_M))</f>
        <v/>
      </c>
      <c r="N44" s="151" t="str">
        <f aca="false">IF($B44="","",SUMIFS('الحركات الشهرية'!$L$6:$L$1005,'الحركات الشهرية'!$B$6:$B$1005,B44,'الحركات الشهرية'!$A$6:$A$1005,"&lt;="&amp;cfg_VAL_M))</f>
        <v/>
      </c>
      <c r="O44" s="151" t="str">
        <f aca="false">IF($B44="","",H44+L44-M44-N44)</f>
        <v/>
      </c>
      <c r="P44" s="153" t="str">
        <f aca="false">IF($B44="","",O44*G44)</f>
        <v/>
      </c>
      <c r="Q44" s="111" t="str">
        <f aca="false">IF($B44="","",H44*G44)</f>
        <v/>
      </c>
      <c r="R44" s="111" t="str">
        <f aca="false">IF($B44="","",(M44+N44)*G44)</f>
        <v/>
      </c>
      <c r="S44" s="114" t="str">
        <f aca="false">IF($B44="","",IF(O44&lt;-0.01,"✖ رصيد سالب",IF(O44&gt;F44*2,"⚠ رصيد مرتفع (أكثر من سنتين)",IF(AND(الموظفون!$AE44&lt;&gt;"",الموظفون!$AE44&lt;=cfg_VAL_DATE,O44&gt;0.01),"⚠ منتهي الخدمة برصيد","✔ سليم"))))</f>
        <v/>
      </c>
    </row>
    <row r="45" customFormat="false" ht="15" hidden="false" customHeight="false" outlineLevel="0" collapsed="false">
      <c r="B45" s="117" t="str">
        <f aca="false">IF(الموظفون!$B45="","",الموظفون!$B45)</f>
        <v/>
      </c>
      <c r="C45" s="117" t="str">
        <f aca="false">IF($B45="","",الموظفون!$C45)</f>
        <v/>
      </c>
      <c r="D45" s="175" t="str">
        <f aca="false">IF($B45="","",الموظفون!$H45)</f>
        <v/>
      </c>
      <c r="E45" s="180" t="str">
        <f aca="false">IF($B45="","",MAX(0,J45-D45+1-SUMIFS('سجل الإجازات والحالات'!$S$6:$S$505,'سجل الإجازات والحالات'!$B$6:$B$505,$B45))/cfg_DAYS_Y)</f>
        <v/>
      </c>
      <c r="F45" s="133" t="str">
        <f aca="false">IF($B45="","",IF(الموظفون!$T45&lt;&gt;"",الموظفون!$T45,IF(E45&gt;=cfg_LV_TH,cfg_LV_D2,cfg_LV_D1)))</f>
        <v/>
      </c>
      <c r="G45" s="116" t="str">
        <f aca="false">IF($B45="","",الموظفون!$R45/cfg_DAYS_M)</f>
        <v/>
      </c>
      <c r="H45" s="156" t="str">
        <f aca="false">IF($B45="","",N(الموظفون!$AC45))</f>
        <v/>
      </c>
      <c r="I45" s="175" t="str">
        <f aca="false">IF($B45="","",MAX(cfg_Y_START,D45))</f>
        <v/>
      </c>
      <c r="J45" s="175" t="str">
        <f aca="false">IF($B45="","",IF(OR(الموظفون!$AE45="",الموظفون!$AE45&gt;cfg_VAL_DATE),cfg_VAL_DATE,الموظفون!$AE45))</f>
        <v/>
      </c>
      <c r="K45" s="133" t="str">
        <f aca="false">IF($B45="","",MAX(0,MAX(0,J45-I45+1)-(SUMIFS('سجل الإجازات والحالات'!$S$6:$S$505,'سجل الإجازات والحالات'!$B$6:$B$505,$B45)-SUMIFS('سجل الإجازات والحالات'!$R$6:$R$505,'سجل الإجازات والحالات'!$B$6:$B$505,$B45))))</f>
        <v/>
      </c>
      <c r="L45" s="156" t="str">
        <f aca="false">IF($B45="","",F45/cfg_DAYS_Y*K45)</f>
        <v/>
      </c>
      <c r="M45" s="156" t="str">
        <f aca="false">IF($B45="","",SUMIFS('سجل الإجازات والحالات'!$T$6:$T$505,'سجل الإجازات والحالات'!$B$6:$B$505,$B45)+SUMIFS('الحركات الشهرية'!$K$6:$K$1005,'الحركات الشهرية'!$B$6:$B$1005,B45,'الحركات الشهرية'!$A$6:$A$1005,"&lt;="&amp;cfg_VAL_M))</f>
        <v/>
      </c>
      <c r="N45" s="156" t="str">
        <f aca="false">IF($B45="","",SUMIFS('الحركات الشهرية'!$L$6:$L$1005,'الحركات الشهرية'!$B$6:$B$1005,B45,'الحركات الشهرية'!$A$6:$A$1005,"&lt;="&amp;cfg_VAL_M))</f>
        <v/>
      </c>
      <c r="O45" s="156" t="str">
        <f aca="false">IF($B45="","",H45+L45-M45-N45)</f>
        <v/>
      </c>
      <c r="P45" s="158" t="str">
        <f aca="false">IF($B45="","",O45*G45)</f>
        <v/>
      </c>
      <c r="Q45" s="116" t="str">
        <f aca="false">IF($B45="","",H45*G45)</f>
        <v/>
      </c>
      <c r="R45" s="116" t="str">
        <f aca="false">IF($B45="","",(M45+N45)*G45)</f>
        <v/>
      </c>
      <c r="S45" s="117" t="str">
        <f aca="false">IF($B45="","",IF(O45&lt;-0.01,"✖ رصيد سالب",IF(O45&gt;F45*2,"⚠ رصيد مرتفع (أكثر من سنتين)",IF(AND(الموظفون!$AE45&lt;&gt;"",الموظفون!$AE45&lt;=cfg_VAL_DATE,O45&gt;0.01),"⚠ منتهي الخدمة برصيد","✔ سليم"))))</f>
        <v/>
      </c>
    </row>
    <row r="46" customFormat="false" ht="15" hidden="false" customHeight="false" outlineLevel="0" collapsed="false">
      <c r="B46" s="114" t="str">
        <f aca="false">IF(الموظفون!$B46="","",الموظفون!$B46)</f>
        <v/>
      </c>
      <c r="C46" s="114" t="str">
        <f aca="false">IF($B46="","",الموظفون!$C46)</f>
        <v/>
      </c>
      <c r="D46" s="174" t="str">
        <f aca="false">IF($B46="","",الموظفون!$H46)</f>
        <v/>
      </c>
      <c r="E46" s="179" t="str">
        <f aca="false">IF($B46="","",MAX(0,J46-D46+1-SUMIFS('سجل الإجازات والحالات'!$S$6:$S$505,'سجل الإجازات والحالات'!$B$6:$B$505,$B46))/cfg_DAYS_Y)</f>
        <v/>
      </c>
      <c r="F46" s="65" t="str">
        <f aca="false">IF($B46="","",IF(الموظفون!$T46&lt;&gt;"",الموظفون!$T46,IF(E46&gt;=cfg_LV_TH,cfg_LV_D2,cfg_LV_D1)))</f>
        <v/>
      </c>
      <c r="G46" s="111" t="str">
        <f aca="false">IF($B46="","",الموظفون!$R46/cfg_DAYS_M)</f>
        <v/>
      </c>
      <c r="H46" s="151" t="str">
        <f aca="false">IF($B46="","",N(الموظفون!$AC46))</f>
        <v/>
      </c>
      <c r="I46" s="174" t="str">
        <f aca="false">IF($B46="","",MAX(cfg_Y_START,D46))</f>
        <v/>
      </c>
      <c r="J46" s="174" t="str">
        <f aca="false">IF($B46="","",IF(OR(الموظفون!$AE46="",الموظفون!$AE46&gt;cfg_VAL_DATE),cfg_VAL_DATE,الموظفون!$AE46))</f>
        <v/>
      </c>
      <c r="K46" s="65" t="str">
        <f aca="false">IF($B46="","",MAX(0,MAX(0,J46-I46+1)-(SUMIFS('سجل الإجازات والحالات'!$S$6:$S$505,'سجل الإجازات والحالات'!$B$6:$B$505,$B46)-SUMIFS('سجل الإجازات والحالات'!$R$6:$R$505,'سجل الإجازات والحالات'!$B$6:$B$505,$B46))))</f>
        <v/>
      </c>
      <c r="L46" s="151" t="str">
        <f aca="false">IF($B46="","",F46/cfg_DAYS_Y*K46)</f>
        <v/>
      </c>
      <c r="M46" s="151" t="str">
        <f aca="false">IF($B46="","",SUMIFS('سجل الإجازات والحالات'!$T$6:$T$505,'سجل الإجازات والحالات'!$B$6:$B$505,$B46)+SUMIFS('الحركات الشهرية'!$K$6:$K$1005,'الحركات الشهرية'!$B$6:$B$1005,B46,'الحركات الشهرية'!$A$6:$A$1005,"&lt;="&amp;cfg_VAL_M))</f>
        <v/>
      </c>
      <c r="N46" s="151" t="str">
        <f aca="false">IF($B46="","",SUMIFS('الحركات الشهرية'!$L$6:$L$1005,'الحركات الشهرية'!$B$6:$B$1005,B46,'الحركات الشهرية'!$A$6:$A$1005,"&lt;="&amp;cfg_VAL_M))</f>
        <v/>
      </c>
      <c r="O46" s="151" t="str">
        <f aca="false">IF($B46="","",H46+L46-M46-N46)</f>
        <v/>
      </c>
      <c r="P46" s="153" t="str">
        <f aca="false">IF($B46="","",O46*G46)</f>
        <v/>
      </c>
      <c r="Q46" s="111" t="str">
        <f aca="false">IF($B46="","",H46*G46)</f>
        <v/>
      </c>
      <c r="R46" s="111" t="str">
        <f aca="false">IF($B46="","",(M46+N46)*G46)</f>
        <v/>
      </c>
      <c r="S46" s="114" t="str">
        <f aca="false">IF($B46="","",IF(O46&lt;-0.01,"✖ رصيد سالب",IF(O46&gt;F46*2,"⚠ رصيد مرتفع (أكثر من سنتين)",IF(AND(الموظفون!$AE46&lt;&gt;"",الموظفون!$AE46&lt;=cfg_VAL_DATE,O46&gt;0.01),"⚠ منتهي الخدمة برصيد","✔ سليم"))))</f>
        <v/>
      </c>
    </row>
    <row r="47" customFormat="false" ht="15" hidden="false" customHeight="false" outlineLevel="0" collapsed="false">
      <c r="B47" s="117" t="str">
        <f aca="false">IF(الموظفون!$B47="","",الموظفون!$B47)</f>
        <v/>
      </c>
      <c r="C47" s="117" t="str">
        <f aca="false">IF($B47="","",الموظفون!$C47)</f>
        <v/>
      </c>
      <c r="D47" s="175" t="str">
        <f aca="false">IF($B47="","",الموظفون!$H47)</f>
        <v/>
      </c>
      <c r="E47" s="180" t="str">
        <f aca="false">IF($B47="","",MAX(0,J47-D47+1-SUMIFS('سجل الإجازات والحالات'!$S$6:$S$505,'سجل الإجازات والحالات'!$B$6:$B$505,$B47))/cfg_DAYS_Y)</f>
        <v/>
      </c>
      <c r="F47" s="133" t="str">
        <f aca="false">IF($B47="","",IF(الموظفون!$T47&lt;&gt;"",الموظفون!$T47,IF(E47&gt;=cfg_LV_TH,cfg_LV_D2,cfg_LV_D1)))</f>
        <v/>
      </c>
      <c r="G47" s="116" t="str">
        <f aca="false">IF($B47="","",الموظفون!$R47/cfg_DAYS_M)</f>
        <v/>
      </c>
      <c r="H47" s="156" t="str">
        <f aca="false">IF($B47="","",N(الموظفون!$AC47))</f>
        <v/>
      </c>
      <c r="I47" s="175" t="str">
        <f aca="false">IF($B47="","",MAX(cfg_Y_START,D47))</f>
        <v/>
      </c>
      <c r="J47" s="175" t="str">
        <f aca="false">IF($B47="","",IF(OR(الموظفون!$AE47="",الموظفون!$AE47&gt;cfg_VAL_DATE),cfg_VAL_DATE,الموظفون!$AE47))</f>
        <v/>
      </c>
      <c r="K47" s="133" t="str">
        <f aca="false">IF($B47="","",MAX(0,MAX(0,J47-I47+1)-(SUMIFS('سجل الإجازات والحالات'!$S$6:$S$505,'سجل الإجازات والحالات'!$B$6:$B$505,$B47)-SUMIFS('سجل الإجازات والحالات'!$R$6:$R$505,'سجل الإجازات والحالات'!$B$6:$B$505,$B47))))</f>
        <v/>
      </c>
      <c r="L47" s="156" t="str">
        <f aca="false">IF($B47="","",F47/cfg_DAYS_Y*K47)</f>
        <v/>
      </c>
      <c r="M47" s="156" t="str">
        <f aca="false">IF($B47="","",SUMIFS('سجل الإجازات والحالات'!$T$6:$T$505,'سجل الإجازات والحالات'!$B$6:$B$505,$B47)+SUMIFS('الحركات الشهرية'!$K$6:$K$1005,'الحركات الشهرية'!$B$6:$B$1005,B47,'الحركات الشهرية'!$A$6:$A$1005,"&lt;="&amp;cfg_VAL_M))</f>
        <v/>
      </c>
      <c r="N47" s="156" t="str">
        <f aca="false">IF($B47="","",SUMIFS('الحركات الشهرية'!$L$6:$L$1005,'الحركات الشهرية'!$B$6:$B$1005,B47,'الحركات الشهرية'!$A$6:$A$1005,"&lt;="&amp;cfg_VAL_M))</f>
        <v/>
      </c>
      <c r="O47" s="156" t="str">
        <f aca="false">IF($B47="","",H47+L47-M47-N47)</f>
        <v/>
      </c>
      <c r="P47" s="158" t="str">
        <f aca="false">IF($B47="","",O47*G47)</f>
        <v/>
      </c>
      <c r="Q47" s="116" t="str">
        <f aca="false">IF($B47="","",H47*G47)</f>
        <v/>
      </c>
      <c r="R47" s="116" t="str">
        <f aca="false">IF($B47="","",(M47+N47)*G47)</f>
        <v/>
      </c>
      <c r="S47" s="117" t="str">
        <f aca="false">IF($B47="","",IF(O47&lt;-0.01,"✖ رصيد سالب",IF(O47&gt;F47*2,"⚠ رصيد مرتفع (أكثر من سنتين)",IF(AND(الموظفون!$AE47&lt;&gt;"",الموظفون!$AE47&lt;=cfg_VAL_DATE,O47&gt;0.01),"⚠ منتهي الخدمة برصيد","✔ سليم"))))</f>
        <v/>
      </c>
    </row>
    <row r="48" customFormat="false" ht="15" hidden="false" customHeight="false" outlineLevel="0" collapsed="false">
      <c r="B48" s="114" t="str">
        <f aca="false">IF(الموظفون!$B48="","",الموظفون!$B48)</f>
        <v/>
      </c>
      <c r="C48" s="114" t="str">
        <f aca="false">IF($B48="","",الموظفون!$C48)</f>
        <v/>
      </c>
      <c r="D48" s="174" t="str">
        <f aca="false">IF($B48="","",الموظفون!$H48)</f>
        <v/>
      </c>
      <c r="E48" s="179" t="str">
        <f aca="false">IF($B48="","",MAX(0,J48-D48+1-SUMIFS('سجل الإجازات والحالات'!$S$6:$S$505,'سجل الإجازات والحالات'!$B$6:$B$505,$B48))/cfg_DAYS_Y)</f>
        <v/>
      </c>
      <c r="F48" s="65" t="str">
        <f aca="false">IF($B48="","",IF(الموظفون!$T48&lt;&gt;"",الموظفون!$T48,IF(E48&gt;=cfg_LV_TH,cfg_LV_D2,cfg_LV_D1)))</f>
        <v/>
      </c>
      <c r="G48" s="111" t="str">
        <f aca="false">IF($B48="","",الموظفون!$R48/cfg_DAYS_M)</f>
        <v/>
      </c>
      <c r="H48" s="151" t="str">
        <f aca="false">IF($B48="","",N(الموظفون!$AC48))</f>
        <v/>
      </c>
      <c r="I48" s="174" t="str">
        <f aca="false">IF($B48="","",MAX(cfg_Y_START,D48))</f>
        <v/>
      </c>
      <c r="J48" s="174" t="str">
        <f aca="false">IF($B48="","",IF(OR(الموظفون!$AE48="",الموظفون!$AE48&gt;cfg_VAL_DATE),cfg_VAL_DATE,الموظفون!$AE48))</f>
        <v/>
      </c>
      <c r="K48" s="65" t="str">
        <f aca="false">IF($B48="","",MAX(0,MAX(0,J48-I48+1)-(SUMIFS('سجل الإجازات والحالات'!$S$6:$S$505,'سجل الإجازات والحالات'!$B$6:$B$505,$B48)-SUMIFS('سجل الإجازات والحالات'!$R$6:$R$505,'سجل الإجازات والحالات'!$B$6:$B$505,$B48))))</f>
        <v/>
      </c>
      <c r="L48" s="151" t="str">
        <f aca="false">IF($B48="","",F48/cfg_DAYS_Y*K48)</f>
        <v/>
      </c>
      <c r="M48" s="151" t="str">
        <f aca="false">IF($B48="","",SUMIFS('سجل الإجازات والحالات'!$T$6:$T$505,'سجل الإجازات والحالات'!$B$6:$B$505,$B48)+SUMIFS('الحركات الشهرية'!$K$6:$K$1005,'الحركات الشهرية'!$B$6:$B$1005,B48,'الحركات الشهرية'!$A$6:$A$1005,"&lt;="&amp;cfg_VAL_M))</f>
        <v/>
      </c>
      <c r="N48" s="151" t="str">
        <f aca="false">IF($B48="","",SUMIFS('الحركات الشهرية'!$L$6:$L$1005,'الحركات الشهرية'!$B$6:$B$1005,B48,'الحركات الشهرية'!$A$6:$A$1005,"&lt;="&amp;cfg_VAL_M))</f>
        <v/>
      </c>
      <c r="O48" s="151" t="str">
        <f aca="false">IF($B48="","",H48+L48-M48-N48)</f>
        <v/>
      </c>
      <c r="P48" s="153" t="str">
        <f aca="false">IF($B48="","",O48*G48)</f>
        <v/>
      </c>
      <c r="Q48" s="111" t="str">
        <f aca="false">IF($B48="","",H48*G48)</f>
        <v/>
      </c>
      <c r="R48" s="111" t="str">
        <f aca="false">IF($B48="","",(M48+N48)*G48)</f>
        <v/>
      </c>
      <c r="S48" s="114" t="str">
        <f aca="false">IF($B48="","",IF(O48&lt;-0.01,"✖ رصيد سالب",IF(O48&gt;F48*2,"⚠ رصيد مرتفع (أكثر من سنتين)",IF(AND(الموظفون!$AE48&lt;&gt;"",الموظفون!$AE48&lt;=cfg_VAL_DATE,O48&gt;0.01),"⚠ منتهي الخدمة برصيد","✔ سليم"))))</f>
        <v/>
      </c>
    </row>
    <row r="49" customFormat="false" ht="15" hidden="false" customHeight="false" outlineLevel="0" collapsed="false">
      <c r="B49" s="117" t="str">
        <f aca="false">IF(الموظفون!$B49="","",الموظفون!$B49)</f>
        <v/>
      </c>
      <c r="C49" s="117" t="str">
        <f aca="false">IF($B49="","",الموظفون!$C49)</f>
        <v/>
      </c>
      <c r="D49" s="175" t="str">
        <f aca="false">IF($B49="","",الموظفون!$H49)</f>
        <v/>
      </c>
      <c r="E49" s="180" t="str">
        <f aca="false">IF($B49="","",MAX(0,J49-D49+1-SUMIFS('سجل الإجازات والحالات'!$S$6:$S$505,'سجل الإجازات والحالات'!$B$6:$B$505,$B49))/cfg_DAYS_Y)</f>
        <v/>
      </c>
      <c r="F49" s="133" t="str">
        <f aca="false">IF($B49="","",IF(الموظفون!$T49&lt;&gt;"",الموظفون!$T49,IF(E49&gt;=cfg_LV_TH,cfg_LV_D2,cfg_LV_D1)))</f>
        <v/>
      </c>
      <c r="G49" s="116" t="str">
        <f aca="false">IF($B49="","",الموظفون!$R49/cfg_DAYS_M)</f>
        <v/>
      </c>
      <c r="H49" s="156" t="str">
        <f aca="false">IF($B49="","",N(الموظفون!$AC49))</f>
        <v/>
      </c>
      <c r="I49" s="175" t="str">
        <f aca="false">IF($B49="","",MAX(cfg_Y_START,D49))</f>
        <v/>
      </c>
      <c r="J49" s="175" t="str">
        <f aca="false">IF($B49="","",IF(OR(الموظفون!$AE49="",الموظفون!$AE49&gt;cfg_VAL_DATE),cfg_VAL_DATE,الموظفون!$AE49))</f>
        <v/>
      </c>
      <c r="K49" s="133" t="str">
        <f aca="false">IF($B49="","",MAX(0,MAX(0,J49-I49+1)-(SUMIFS('سجل الإجازات والحالات'!$S$6:$S$505,'سجل الإجازات والحالات'!$B$6:$B$505,$B49)-SUMIFS('سجل الإجازات والحالات'!$R$6:$R$505,'سجل الإجازات والحالات'!$B$6:$B$505,$B49))))</f>
        <v/>
      </c>
      <c r="L49" s="156" t="str">
        <f aca="false">IF($B49="","",F49/cfg_DAYS_Y*K49)</f>
        <v/>
      </c>
      <c r="M49" s="156" t="str">
        <f aca="false">IF($B49="","",SUMIFS('سجل الإجازات والحالات'!$T$6:$T$505,'سجل الإجازات والحالات'!$B$6:$B$505,$B49)+SUMIFS('الحركات الشهرية'!$K$6:$K$1005,'الحركات الشهرية'!$B$6:$B$1005,B49,'الحركات الشهرية'!$A$6:$A$1005,"&lt;="&amp;cfg_VAL_M))</f>
        <v/>
      </c>
      <c r="N49" s="156" t="str">
        <f aca="false">IF($B49="","",SUMIFS('الحركات الشهرية'!$L$6:$L$1005,'الحركات الشهرية'!$B$6:$B$1005,B49,'الحركات الشهرية'!$A$6:$A$1005,"&lt;="&amp;cfg_VAL_M))</f>
        <v/>
      </c>
      <c r="O49" s="156" t="str">
        <f aca="false">IF($B49="","",H49+L49-M49-N49)</f>
        <v/>
      </c>
      <c r="P49" s="158" t="str">
        <f aca="false">IF($B49="","",O49*G49)</f>
        <v/>
      </c>
      <c r="Q49" s="116" t="str">
        <f aca="false">IF($B49="","",H49*G49)</f>
        <v/>
      </c>
      <c r="R49" s="116" t="str">
        <f aca="false">IF($B49="","",(M49+N49)*G49)</f>
        <v/>
      </c>
      <c r="S49" s="117" t="str">
        <f aca="false">IF($B49="","",IF(O49&lt;-0.01,"✖ رصيد سالب",IF(O49&gt;F49*2,"⚠ رصيد مرتفع (أكثر من سنتين)",IF(AND(الموظفون!$AE49&lt;&gt;"",الموظفون!$AE49&lt;=cfg_VAL_DATE,O49&gt;0.01),"⚠ منتهي الخدمة برصيد","✔ سليم"))))</f>
        <v/>
      </c>
    </row>
    <row r="50" customFormat="false" ht="15" hidden="false" customHeight="false" outlineLevel="0" collapsed="false">
      <c r="B50" s="114" t="str">
        <f aca="false">IF(الموظفون!$B50="","",الموظفون!$B50)</f>
        <v/>
      </c>
      <c r="C50" s="114" t="str">
        <f aca="false">IF($B50="","",الموظفون!$C50)</f>
        <v/>
      </c>
      <c r="D50" s="174" t="str">
        <f aca="false">IF($B50="","",الموظفون!$H50)</f>
        <v/>
      </c>
      <c r="E50" s="179" t="str">
        <f aca="false">IF($B50="","",MAX(0,J50-D50+1-SUMIFS('سجل الإجازات والحالات'!$S$6:$S$505,'سجل الإجازات والحالات'!$B$6:$B$505,$B50))/cfg_DAYS_Y)</f>
        <v/>
      </c>
      <c r="F50" s="65" t="str">
        <f aca="false">IF($B50="","",IF(الموظفون!$T50&lt;&gt;"",الموظفون!$T50,IF(E50&gt;=cfg_LV_TH,cfg_LV_D2,cfg_LV_D1)))</f>
        <v/>
      </c>
      <c r="G50" s="111" t="str">
        <f aca="false">IF($B50="","",الموظفون!$R50/cfg_DAYS_M)</f>
        <v/>
      </c>
      <c r="H50" s="151" t="str">
        <f aca="false">IF($B50="","",N(الموظفون!$AC50))</f>
        <v/>
      </c>
      <c r="I50" s="174" t="str">
        <f aca="false">IF($B50="","",MAX(cfg_Y_START,D50))</f>
        <v/>
      </c>
      <c r="J50" s="174" t="str">
        <f aca="false">IF($B50="","",IF(OR(الموظفون!$AE50="",الموظفون!$AE50&gt;cfg_VAL_DATE),cfg_VAL_DATE,الموظفون!$AE50))</f>
        <v/>
      </c>
      <c r="K50" s="65" t="str">
        <f aca="false">IF($B50="","",MAX(0,MAX(0,J50-I50+1)-(SUMIFS('سجل الإجازات والحالات'!$S$6:$S$505,'سجل الإجازات والحالات'!$B$6:$B$505,$B50)-SUMIFS('سجل الإجازات والحالات'!$R$6:$R$505,'سجل الإجازات والحالات'!$B$6:$B$505,$B50))))</f>
        <v/>
      </c>
      <c r="L50" s="151" t="str">
        <f aca="false">IF($B50="","",F50/cfg_DAYS_Y*K50)</f>
        <v/>
      </c>
      <c r="M50" s="151" t="str">
        <f aca="false">IF($B50="","",SUMIFS('سجل الإجازات والحالات'!$T$6:$T$505,'سجل الإجازات والحالات'!$B$6:$B$505,$B50)+SUMIFS('الحركات الشهرية'!$K$6:$K$1005,'الحركات الشهرية'!$B$6:$B$1005,B50,'الحركات الشهرية'!$A$6:$A$1005,"&lt;="&amp;cfg_VAL_M))</f>
        <v/>
      </c>
      <c r="N50" s="151" t="str">
        <f aca="false">IF($B50="","",SUMIFS('الحركات الشهرية'!$L$6:$L$1005,'الحركات الشهرية'!$B$6:$B$1005,B50,'الحركات الشهرية'!$A$6:$A$1005,"&lt;="&amp;cfg_VAL_M))</f>
        <v/>
      </c>
      <c r="O50" s="151" t="str">
        <f aca="false">IF($B50="","",H50+L50-M50-N50)</f>
        <v/>
      </c>
      <c r="P50" s="153" t="str">
        <f aca="false">IF($B50="","",O50*G50)</f>
        <v/>
      </c>
      <c r="Q50" s="111" t="str">
        <f aca="false">IF($B50="","",H50*G50)</f>
        <v/>
      </c>
      <c r="R50" s="111" t="str">
        <f aca="false">IF($B50="","",(M50+N50)*G50)</f>
        <v/>
      </c>
      <c r="S50" s="114" t="str">
        <f aca="false">IF($B50="","",IF(O50&lt;-0.01,"✖ رصيد سالب",IF(O50&gt;F50*2,"⚠ رصيد مرتفع (أكثر من سنتين)",IF(AND(الموظفون!$AE50&lt;&gt;"",الموظفون!$AE50&lt;=cfg_VAL_DATE,O50&gt;0.01),"⚠ منتهي الخدمة برصيد","✔ سليم"))))</f>
        <v/>
      </c>
    </row>
    <row r="51" customFormat="false" ht="15" hidden="false" customHeight="false" outlineLevel="0" collapsed="false">
      <c r="B51" s="117" t="str">
        <f aca="false">IF(الموظفون!$B51="","",الموظفون!$B51)</f>
        <v/>
      </c>
      <c r="C51" s="117" t="str">
        <f aca="false">IF($B51="","",الموظفون!$C51)</f>
        <v/>
      </c>
      <c r="D51" s="175" t="str">
        <f aca="false">IF($B51="","",الموظفون!$H51)</f>
        <v/>
      </c>
      <c r="E51" s="180" t="str">
        <f aca="false">IF($B51="","",MAX(0,J51-D51+1-SUMIFS('سجل الإجازات والحالات'!$S$6:$S$505,'سجل الإجازات والحالات'!$B$6:$B$505,$B51))/cfg_DAYS_Y)</f>
        <v/>
      </c>
      <c r="F51" s="133" t="str">
        <f aca="false">IF($B51="","",IF(الموظفون!$T51&lt;&gt;"",الموظفون!$T51,IF(E51&gt;=cfg_LV_TH,cfg_LV_D2,cfg_LV_D1)))</f>
        <v/>
      </c>
      <c r="G51" s="116" t="str">
        <f aca="false">IF($B51="","",الموظفون!$R51/cfg_DAYS_M)</f>
        <v/>
      </c>
      <c r="H51" s="156" t="str">
        <f aca="false">IF($B51="","",N(الموظفون!$AC51))</f>
        <v/>
      </c>
      <c r="I51" s="175" t="str">
        <f aca="false">IF($B51="","",MAX(cfg_Y_START,D51))</f>
        <v/>
      </c>
      <c r="J51" s="175" t="str">
        <f aca="false">IF($B51="","",IF(OR(الموظفون!$AE51="",الموظفون!$AE51&gt;cfg_VAL_DATE),cfg_VAL_DATE,الموظفون!$AE51))</f>
        <v/>
      </c>
      <c r="K51" s="133" t="str">
        <f aca="false">IF($B51="","",MAX(0,MAX(0,J51-I51+1)-(SUMIFS('سجل الإجازات والحالات'!$S$6:$S$505,'سجل الإجازات والحالات'!$B$6:$B$505,$B51)-SUMIFS('سجل الإجازات والحالات'!$R$6:$R$505,'سجل الإجازات والحالات'!$B$6:$B$505,$B51))))</f>
        <v/>
      </c>
      <c r="L51" s="156" t="str">
        <f aca="false">IF($B51="","",F51/cfg_DAYS_Y*K51)</f>
        <v/>
      </c>
      <c r="M51" s="156" t="str">
        <f aca="false">IF($B51="","",SUMIFS('سجل الإجازات والحالات'!$T$6:$T$505,'سجل الإجازات والحالات'!$B$6:$B$505,$B51)+SUMIFS('الحركات الشهرية'!$K$6:$K$1005,'الحركات الشهرية'!$B$6:$B$1005,B51,'الحركات الشهرية'!$A$6:$A$1005,"&lt;="&amp;cfg_VAL_M))</f>
        <v/>
      </c>
      <c r="N51" s="156" t="str">
        <f aca="false">IF($B51="","",SUMIFS('الحركات الشهرية'!$L$6:$L$1005,'الحركات الشهرية'!$B$6:$B$1005,B51,'الحركات الشهرية'!$A$6:$A$1005,"&lt;="&amp;cfg_VAL_M))</f>
        <v/>
      </c>
      <c r="O51" s="156" t="str">
        <f aca="false">IF($B51="","",H51+L51-M51-N51)</f>
        <v/>
      </c>
      <c r="P51" s="158" t="str">
        <f aca="false">IF($B51="","",O51*G51)</f>
        <v/>
      </c>
      <c r="Q51" s="116" t="str">
        <f aca="false">IF($B51="","",H51*G51)</f>
        <v/>
      </c>
      <c r="R51" s="116" t="str">
        <f aca="false">IF($B51="","",(M51+N51)*G51)</f>
        <v/>
      </c>
      <c r="S51" s="117" t="str">
        <f aca="false">IF($B51="","",IF(O51&lt;-0.01,"✖ رصيد سالب",IF(O51&gt;F51*2,"⚠ رصيد مرتفع (أكثر من سنتين)",IF(AND(الموظفون!$AE51&lt;&gt;"",الموظفون!$AE51&lt;=cfg_VAL_DATE,O51&gt;0.01),"⚠ منتهي الخدمة برصيد","✔ سليم"))))</f>
        <v/>
      </c>
    </row>
    <row r="52" customFormat="false" ht="15" hidden="false" customHeight="false" outlineLevel="0" collapsed="false">
      <c r="B52" s="114" t="str">
        <f aca="false">IF(الموظفون!$B52="","",الموظفون!$B52)</f>
        <v/>
      </c>
      <c r="C52" s="114" t="str">
        <f aca="false">IF($B52="","",الموظفون!$C52)</f>
        <v/>
      </c>
      <c r="D52" s="174" t="str">
        <f aca="false">IF($B52="","",الموظفون!$H52)</f>
        <v/>
      </c>
      <c r="E52" s="179" t="str">
        <f aca="false">IF($B52="","",MAX(0,J52-D52+1-SUMIFS('سجل الإجازات والحالات'!$S$6:$S$505,'سجل الإجازات والحالات'!$B$6:$B$505,$B52))/cfg_DAYS_Y)</f>
        <v/>
      </c>
      <c r="F52" s="65" t="str">
        <f aca="false">IF($B52="","",IF(الموظفون!$T52&lt;&gt;"",الموظفون!$T52,IF(E52&gt;=cfg_LV_TH,cfg_LV_D2,cfg_LV_D1)))</f>
        <v/>
      </c>
      <c r="G52" s="111" t="str">
        <f aca="false">IF($B52="","",الموظفون!$R52/cfg_DAYS_M)</f>
        <v/>
      </c>
      <c r="H52" s="151" t="str">
        <f aca="false">IF($B52="","",N(الموظفون!$AC52))</f>
        <v/>
      </c>
      <c r="I52" s="174" t="str">
        <f aca="false">IF($B52="","",MAX(cfg_Y_START,D52))</f>
        <v/>
      </c>
      <c r="J52" s="174" t="str">
        <f aca="false">IF($B52="","",IF(OR(الموظفون!$AE52="",الموظفون!$AE52&gt;cfg_VAL_DATE),cfg_VAL_DATE,الموظفون!$AE52))</f>
        <v/>
      </c>
      <c r="K52" s="65" t="str">
        <f aca="false">IF($B52="","",MAX(0,MAX(0,J52-I52+1)-(SUMIFS('سجل الإجازات والحالات'!$S$6:$S$505,'سجل الإجازات والحالات'!$B$6:$B$505,$B52)-SUMIFS('سجل الإجازات والحالات'!$R$6:$R$505,'سجل الإجازات والحالات'!$B$6:$B$505,$B52))))</f>
        <v/>
      </c>
      <c r="L52" s="151" t="str">
        <f aca="false">IF($B52="","",F52/cfg_DAYS_Y*K52)</f>
        <v/>
      </c>
      <c r="M52" s="151" t="str">
        <f aca="false">IF($B52="","",SUMIFS('سجل الإجازات والحالات'!$T$6:$T$505,'سجل الإجازات والحالات'!$B$6:$B$505,$B52)+SUMIFS('الحركات الشهرية'!$K$6:$K$1005,'الحركات الشهرية'!$B$6:$B$1005,B52,'الحركات الشهرية'!$A$6:$A$1005,"&lt;="&amp;cfg_VAL_M))</f>
        <v/>
      </c>
      <c r="N52" s="151" t="str">
        <f aca="false">IF($B52="","",SUMIFS('الحركات الشهرية'!$L$6:$L$1005,'الحركات الشهرية'!$B$6:$B$1005,B52,'الحركات الشهرية'!$A$6:$A$1005,"&lt;="&amp;cfg_VAL_M))</f>
        <v/>
      </c>
      <c r="O52" s="151" t="str">
        <f aca="false">IF($B52="","",H52+L52-M52-N52)</f>
        <v/>
      </c>
      <c r="P52" s="153" t="str">
        <f aca="false">IF($B52="","",O52*G52)</f>
        <v/>
      </c>
      <c r="Q52" s="111" t="str">
        <f aca="false">IF($B52="","",H52*G52)</f>
        <v/>
      </c>
      <c r="R52" s="111" t="str">
        <f aca="false">IF($B52="","",(M52+N52)*G52)</f>
        <v/>
      </c>
      <c r="S52" s="114" t="str">
        <f aca="false">IF($B52="","",IF(O52&lt;-0.01,"✖ رصيد سالب",IF(O52&gt;F52*2,"⚠ رصيد مرتفع (أكثر من سنتين)",IF(AND(الموظفون!$AE52&lt;&gt;"",الموظفون!$AE52&lt;=cfg_VAL_DATE,O52&gt;0.01),"⚠ منتهي الخدمة برصيد","✔ سليم"))))</f>
        <v/>
      </c>
    </row>
    <row r="53" customFormat="false" ht="15" hidden="false" customHeight="false" outlineLevel="0" collapsed="false">
      <c r="B53" s="117" t="str">
        <f aca="false">IF(الموظفون!$B53="","",الموظفون!$B53)</f>
        <v/>
      </c>
      <c r="C53" s="117" t="str">
        <f aca="false">IF($B53="","",الموظفون!$C53)</f>
        <v/>
      </c>
      <c r="D53" s="175" t="str">
        <f aca="false">IF($B53="","",الموظفون!$H53)</f>
        <v/>
      </c>
      <c r="E53" s="180" t="str">
        <f aca="false">IF($B53="","",MAX(0,J53-D53+1-SUMIFS('سجل الإجازات والحالات'!$S$6:$S$505,'سجل الإجازات والحالات'!$B$6:$B$505,$B53))/cfg_DAYS_Y)</f>
        <v/>
      </c>
      <c r="F53" s="133" t="str">
        <f aca="false">IF($B53="","",IF(الموظفون!$T53&lt;&gt;"",الموظفون!$T53,IF(E53&gt;=cfg_LV_TH,cfg_LV_D2,cfg_LV_D1)))</f>
        <v/>
      </c>
      <c r="G53" s="116" t="str">
        <f aca="false">IF($B53="","",الموظفون!$R53/cfg_DAYS_M)</f>
        <v/>
      </c>
      <c r="H53" s="156" t="str">
        <f aca="false">IF($B53="","",N(الموظفون!$AC53))</f>
        <v/>
      </c>
      <c r="I53" s="175" t="str">
        <f aca="false">IF($B53="","",MAX(cfg_Y_START,D53))</f>
        <v/>
      </c>
      <c r="J53" s="175" t="str">
        <f aca="false">IF($B53="","",IF(OR(الموظفون!$AE53="",الموظفون!$AE53&gt;cfg_VAL_DATE),cfg_VAL_DATE,الموظفون!$AE53))</f>
        <v/>
      </c>
      <c r="K53" s="133" t="str">
        <f aca="false">IF($B53="","",MAX(0,MAX(0,J53-I53+1)-(SUMIFS('سجل الإجازات والحالات'!$S$6:$S$505,'سجل الإجازات والحالات'!$B$6:$B$505,$B53)-SUMIFS('سجل الإجازات والحالات'!$R$6:$R$505,'سجل الإجازات والحالات'!$B$6:$B$505,$B53))))</f>
        <v/>
      </c>
      <c r="L53" s="156" t="str">
        <f aca="false">IF($B53="","",F53/cfg_DAYS_Y*K53)</f>
        <v/>
      </c>
      <c r="M53" s="156" t="str">
        <f aca="false">IF($B53="","",SUMIFS('سجل الإجازات والحالات'!$T$6:$T$505,'سجل الإجازات والحالات'!$B$6:$B$505,$B53)+SUMIFS('الحركات الشهرية'!$K$6:$K$1005,'الحركات الشهرية'!$B$6:$B$1005,B53,'الحركات الشهرية'!$A$6:$A$1005,"&lt;="&amp;cfg_VAL_M))</f>
        <v/>
      </c>
      <c r="N53" s="156" t="str">
        <f aca="false">IF($B53="","",SUMIFS('الحركات الشهرية'!$L$6:$L$1005,'الحركات الشهرية'!$B$6:$B$1005,B53,'الحركات الشهرية'!$A$6:$A$1005,"&lt;="&amp;cfg_VAL_M))</f>
        <v/>
      </c>
      <c r="O53" s="156" t="str">
        <f aca="false">IF($B53="","",H53+L53-M53-N53)</f>
        <v/>
      </c>
      <c r="P53" s="158" t="str">
        <f aca="false">IF($B53="","",O53*G53)</f>
        <v/>
      </c>
      <c r="Q53" s="116" t="str">
        <f aca="false">IF($B53="","",H53*G53)</f>
        <v/>
      </c>
      <c r="R53" s="116" t="str">
        <f aca="false">IF($B53="","",(M53+N53)*G53)</f>
        <v/>
      </c>
      <c r="S53" s="117" t="str">
        <f aca="false">IF($B53="","",IF(O53&lt;-0.01,"✖ رصيد سالب",IF(O53&gt;F53*2,"⚠ رصيد مرتفع (أكثر من سنتين)",IF(AND(الموظفون!$AE53&lt;&gt;"",الموظفون!$AE53&lt;=cfg_VAL_DATE,O53&gt;0.01),"⚠ منتهي الخدمة برصيد","✔ سليم"))))</f>
        <v/>
      </c>
    </row>
    <row r="54" customFormat="false" ht="15" hidden="false" customHeight="false" outlineLevel="0" collapsed="false">
      <c r="B54" s="114" t="str">
        <f aca="false">IF(الموظفون!$B54="","",الموظفون!$B54)</f>
        <v/>
      </c>
      <c r="C54" s="114" t="str">
        <f aca="false">IF($B54="","",الموظفون!$C54)</f>
        <v/>
      </c>
      <c r="D54" s="174" t="str">
        <f aca="false">IF($B54="","",الموظفون!$H54)</f>
        <v/>
      </c>
      <c r="E54" s="179" t="str">
        <f aca="false">IF($B54="","",MAX(0,J54-D54+1-SUMIFS('سجل الإجازات والحالات'!$S$6:$S$505,'سجل الإجازات والحالات'!$B$6:$B$505,$B54))/cfg_DAYS_Y)</f>
        <v/>
      </c>
      <c r="F54" s="65" t="str">
        <f aca="false">IF($B54="","",IF(الموظفون!$T54&lt;&gt;"",الموظفون!$T54,IF(E54&gt;=cfg_LV_TH,cfg_LV_D2,cfg_LV_D1)))</f>
        <v/>
      </c>
      <c r="G54" s="111" t="str">
        <f aca="false">IF($B54="","",الموظفون!$R54/cfg_DAYS_M)</f>
        <v/>
      </c>
      <c r="H54" s="151" t="str">
        <f aca="false">IF($B54="","",N(الموظفون!$AC54))</f>
        <v/>
      </c>
      <c r="I54" s="174" t="str">
        <f aca="false">IF($B54="","",MAX(cfg_Y_START,D54))</f>
        <v/>
      </c>
      <c r="J54" s="174" t="str">
        <f aca="false">IF($B54="","",IF(OR(الموظفون!$AE54="",الموظفون!$AE54&gt;cfg_VAL_DATE),cfg_VAL_DATE,الموظفون!$AE54))</f>
        <v/>
      </c>
      <c r="K54" s="65" t="str">
        <f aca="false">IF($B54="","",MAX(0,MAX(0,J54-I54+1)-(SUMIFS('سجل الإجازات والحالات'!$S$6:$S$505,'سجل الإجازات والحالات'!$B$6:$B$505,$B54)-SUMIFS('سجل الإجازات والحالات'!$R$6:$R$505,'سجل الإجازات والحالات'!$B$6:$B$505,$B54))))</f>
        <v/>
      </c>
      <c r="L54" s="151" t="str">
        <f aca="false">IF($B54="","",F54/cfg_DAYS_Y*K54)</f>
        <v/>
      </c>
      <c r="M54" s="151" t="str">
        <f aca="false">IF($B54="","",SUMIFS('سجل الإجازات والحالات'!$T$6:$T$505,'سجل الإجازات والحالات'!$B$6:$B$505,$B54)+SUMIFS('الحركات الشهرية'!$K$6:$K$1005,'الحركات الشهرية'!$B$6:$B$1005,B54,'الحركات الشهرية'!$A$6:$A$1005,"&lt;="&amp;cfg_VAL_M))</f>
        <v/>
      </c>
      <c r="N54" s="151" t="str">
        <f aca="false">IF($B54="","",SUMIFS('الحركات الشهرية'!$L$6:$L$1005,'الحركات الشهرية'!$B$6:$B$1005,B54,'الحركات الشهرية'!$A$6:$A$1005,"&lt;="&amp;cfg_VAL_M))</f>
        <v/>
      </c>
      <c r="O54" s="151" t="str">
        <f aca="false">IF($B54="","",H54+L54-M54-N54)</f>
        <v/>
      </c>
      <c r="P54" s="153" t="str">
        <f aca="false">IF($B54="","",O54*G54)</f>
        <v/>
      </c>
      <c r="Q54" s="111" t="str">
        <f aca="false">IF($B54="","",H54*G54)</f>
        <v/>
      </c>
      <c r="R54" s="111" t="str">
        <f aca="false">IF($B54="","",(M54+N54)*G54)</f>
        <v/>
      </c>
      <c r="S54" s="114" t="str">
        <f aca="false">IF($B54="","",IF(O54&lt;-0.01,"✖ رصيد سالب",IF(O54&gt;F54*2,"⚠ رصيد مرتفع (أكثر من سنتين)",IF(AND(الموظفون!$AE54&lt;&gt;"",الموظفون!$AE54&lt;=cfg_VAL_DATE,O54&gt;0.01),"⚠ منتهي الخدمة برصيد","✔ سليم"))))</f>
        <v/>
      </c>
    </row>
    <row r="55" customFormat="false" ht="15" hidden="false" customHeight="false" outlineLevel="0" collapsed="false">
      <c r="B55" s="117" t="str">
        <f aca="false">IF(الموظفون!$B55="","",الموظفون!$B55)</f>
        <v/>
      </c>
      <c r="C55" s="117" t="str">
        <f aca="false">IF($B55="","",الموظفون!$C55)</f>
        <v/>
      </c>
      <c r="D55" s="175" t="str">
        <f aca="false">IF($B55="","",الموظفون!$H55)</f>
        <v/>
      </c>
      <c r="E55" s="180" t="str">
        <f aca="false">IF($B55="","",MAX(0,J55-D55+1-SUMIFS('سجل الإجازات والحالات'!$S$6:$S$505,'سجل الإجازات والحالات'!$B$6:$B$505,$B55))/cfg_DAYS_Y)</f>
        <v/>
      </c>
      <c r="F55" s="133" t="str">
        <f aca="false">IF($B55="","",IF(الموظفون!$T55&lt;&gt;"",الموظفون!$T55,IF(E55&gt;=cfg_LV_TH,cfg_LV_D2,cfg_LV_D1)))</f>
        <v/>
      </c>
      <c r="G55" s="116" t="str">
        <f aca="false">IF($B55="","",الموظفون!$R55/cfg_DAYS_M)</f>
        <v/>
      </c>
      <c r="H55" s="156" t="str">
        <f aca="false">IF($B55="","",N(الموظفون!$AC55))</f>
        <v/>
      </c>
      <c r="I55" s="175" t="str">
        <f aca="false">IF($B55="","",MAX(cfg_Y_START,D55))</f>
        <v/>
      </c>
      <c r="J55" s="175" t="str">
        <f aca="false">IF($B55="","",IF(OR(الموظفون!$AE55="",الموظفون!$AE55&gt;cfg_VAL_DATE),cfg_VAL_DATE,الموظفون!$AE55))</f>
        <v/>
      </c>
      <c r="K55" s="133" t="str">
        <f aca="false">IF($B55="","",MAX(0,MAX(0,J55-I55+1)-(SUMIFS('سجل الإجازات والحالات'!$S$6:$S$505,'سجل الإجازات والحالات'!$B$6:$B$505,$B55)-SUMIFS('سجل الإجازات والحالات'!$R$6:$R$505,'سجل الإجازات والحالات'!$B$6:$B$505,$B55))))</f>
        <v/>
      </c>
      <c r="L55" s="156" t="str">
        <f aca="false">IF($B55="","",F55/cfg_DAYS_Y*K55)</f>
        <v/>
      </c>
      <c r="M55" s="156" t="str">
        <f aca="false">IF($B55="","",SUMIFS('سجل الإجازات والحالات'!$T$6:$T$505,'سجل الإجازات والحالات'!$B$6:$B$505,$B55)+SUMIFS('الحركات الشهرية'!$K$6:$K$1005,'الحركات الشهرية'!$B$6:$B$1005,B55,'الحركات الشهرية'!$A$6:$A$1005,"&lt;="&amp;cfg_VAL_M))</f>
        <v/>
      </c>
      <c r="N55" s="156" t="str">
        <f aca="false">IF($B55="","",SUMIFS('الحركات الشهرية'!$L$6:$L$1005,'الحركات الشهرية'!$B$6:$B$1005,B55,'الحركات الشهرية'!$A$6:$A$1005,"&lt;="&amp;cfg_VAL_M))</f>
        <v/>
      </c>
      <c r="O55" s="156" t="str">
        <f aca="false">IF($B55="","",H55+L55-M55-N55)</f>
        <v/>
      </c>
      <c r="P55" s="158" t="str">
        <f aca="false">IF($B55="","",O55*G55)</f>
        <v/>
      </c>
      <c r="Q55" s="116" t="str">
        <f aca="false">IF($B55="","",H55*G55)</f>
        <v/>
      </c>
      <c r="R55" s="116" t="str">
        <f aca="false">IF($B55="","",(M55+N55)*G55)</f>
        <v/>
      </c>
      <c r="S55" s="117" t="str">
        <f aca="false">IF($B55="","",IF(O55&lt;-0.01,"✖ رصيد سالب",IF(O55&gt;F55*2,"⚠ رصيد مرتفع (أكثر من سنتين)",IF(AND(الموظفون!$AE55&lt;&gt;"",الموظفون!$AE55&lt;=cfg_VAL_DATE,O55&gt;0.01),"⚠ منتهي الخدمة برصيد","✔ سليم"))))</f>
        <v/>
      </c>
    </row>
    <row r="56" customFormat="false" ht="15" hidden="false" customHeight="false" outlineLevel="0" collapsed="false">
      <c r="B56" s="114" t="str">
        <f aca="false">IF(الموظفون!$B56="","",الموظفون!$B56)</f>
        <v/>
      </c>
      <c r="C56" s="114" t="str">
        <f aca="false">IF($B56="","",الموظفون!$C56)</f>
        <v/>
      </c>
      <c r="D56" s="174" t="str">
        <f aca="false">IF($B56="","",الموظفون!$H56)</f>
        <v/>
      </c>
      <c r="E56" s="179" t="str">
        <f aca="false">IF($B56="","",MAX(0,J56-D56+1-SUMIFS('سجل الإجازات والحالات'!$S$6:$S$505,'سجل الإجازات والحالات'!$B$6:$B$505,$B56))/cfg_DAYS_Y)</f>
        <v/>
      </c>
      <c r="F56" s="65" t="str">
        <f aca="false">IF($B56="","",IF(الموظفون!$T56&lt;&gt;"",الموظفون!$T56,IF(E56&gt;=cfg_LV_TH,cfg_LV_D2,cfg_LV_D1)))</f>
        <v/>
      </c>
      <c r="G56" s="111" t="str">
        <f aca="false">IF($B56="","",الموظفون!$R56/cfg_DAYS_M)</f>
        <v/>
      </c>
      <c r="H56" s="151" t="str">
        <f aca="false">IF($B56="","",N(الموظفون!$AC56))</f>
        <v/>
      </c>
      <c r="I56" s="174" t="str">
        <f aca="false">IF($B56="","",MAX(cfg_Y_START,D56))</f>
        <v/>
      </c>
      <c r="J56" s="174" t="str">
        <f aca="false">IF($B56="","",IF(OR(الموظفون!$AE56="",الموظفون!$AE56&gt;cfg_VAL_DATE),cfg_VAL_DATE,الموظفون!$AE56))</f>
        <v/>
      </c>
      <c r="K56" s="65" t="str">
        <f aca="false">IF($B56="","",MAX(0,MAX(0,J56-I56+1)-(SUMIFS('سجل الإجازات والحالات'!$S$6:$S$505,'سجل الإجازات والحالات'!$B$6:$B$505,$B56)-SUMIFS('سجل الإجازات والحالات'!$R$6:$R$505,'سجل الإجازات والحالات'!$B$6:$B$505,$B56))))</f>
        <v/>
      </c>
      <c r="L56" s="151" t="str">
        <f aca="false">IF($B56="","",F56/cfg_DAYS_Y*K56)</f>
        <v/>
      </c>
      <c r="M56" s="151" t="str">
        <f aca="false">IF($B56="","",SUMIFS('سجل الإجازات والحالات'!$T$6:$T$505,'سجل الإجازات والحالات'!$B$6:$B$505,$B56)+SUMIFS('الحركات الشهرية'!$K$6:$K$1005,'الحركات الشهرية'!$B$6:$B$1005,B56,'الحركات الشهرية'!$A$6:$A$1005,"&lt;="&amp;cfg_VAL_M))</f>
        <v/>
      </c>
      <c r="N56" s="151" t="str">
        <f aca="false">IF($B56="","",SUMIFS('الحركات الشهرية'!$L$6:$L$1005,'الحركات الشهرية'!$B$6:$B$1005,B56,'الحركات الشهرية'!$A$6:$A$1005,"&lt;="&amp;cfg_VAL_M))</f>
        <v/>
      </c>
      <c r="O56" s="151" t="str">
        <f aca="false">IF($B56="","",H56+L56-M56-N56)</f>
        <v/>
      </c>
      <c r="P56" s="153" t="str">
        <f aca="false">IF($B56="","",O56*G56)</f>
        <v/>
      </c>
      <c r="Q56" s="111" t="str">
        <f aca="false">IF($B56="","",H56*G56)</f>
        <v/>
      </c>
      <c r="R56" s="111" t="str">
        <f aca="false">IF($B56="","",(M56+N56)*G56)</f>
        <v/>
      </c>
      <c r="S56" s="114" t="str">
        <f aca="false">IF($B56="","",IF(O56&lt;-0.01,"✖ رصيد سالب",IF(O56&gt;F56*2,"⚠ رصيد مرتفع (أكثر من سنتين)",IF(AND(الموظفون!$AE56&lt;&gt;"",الموظفون!$AE56&lt;=cfg_VAL_DATE,O56&gt;0.01),"⚠ منتهي الخدمة برصيد","✔ سليم"))))</f>
        <v/>
      </c>
    </row>
    <row r="57" customFormat="false" ht="15" hidden="false" customHeight="false" outlineLevel="0" collapsed="false">
      <c r="B57" s="117" t="str">
        <f aca="false">IF(الموظفون!$B57="","",الموظفون!$B57)</f>
        <v/>
      </c>
      <c r="C57" s="117" t="str">
        <f aca="false">IF($B57="","",الموظفون!$C57)</f>
        <v/>
      </c>
      <c r="D57" s="175" t="str">
        <f aca="false">IF($B57="","",الموظفون!$H57)</f>
        <v/>
      </c>
      <c r="E57" s="180" t="str">
        <f aca="false">IF($B57="","",MAX(0,J57-D57+1-SUMIFS('سجل الإجازات والحالات'!$S$6:$S$505,'سجل الإجازات والحالات'!$B$6:$B$505,$B57))/cfg_DAYS_Y)</f>
        <v/>
      </c>
      <c r="F57" s="133" t="str">
        <f aca="false">IF($B57="","",IF(الموظفون!$T57&lt;&gt;"",الموظفون!$T57,IF(E57&gt;=cfg_LV_TH,cfg_LV_D2,cfg_LV_D1)))</f>
        <v/>
      </c>
      <c r="G57" s="116" t="str">
        <f aca="false">IF($B57="","",الموظفون!$R57/cfg_DAYS_M)</f>
        <v/>
      </c>
      <c r="H57" s="156" t="str">
        <f aca="false">IF($B57="","",N(الموظفون!$AC57))</f>
        <v/>
      </c>
      <c r="I57" s="175" t="str">
        <f aca="false">IF($B57="","",MAX(cfg_Y_START,D57))</f>
        <v/>
      </c>
      <c r="J57" s="175" t="str">
        <f aca="false">IF($B57="","",IF(OR(الموظفون!$AE57="",الموظفون!$AE57&gt;cfg_VAL_DATE),cfg_VAL_DATE,الموظفون!$AE57))</f>
        <v/>
      </c>
      <c r="K57" s="133" t="str">
        <f aca="false">IF($B57="","",MAX(0,MAX(0,J57-I57+1)-(SUMIFS('سجل الإجازات والحالات'!$S$6:$S$505,'سجل الإجازات والحالات'!$B$6:$B$505,$B57)-SUMIFS('سجل الإجازات والحالات'!$R$6:$R$505,'سجل الإجازات والحالات'!$B$6:$B$505,$B57))))</f>
        <v/>
      </c>
      <c r="L57" s="156" t="str">
        <f aca="false">IF($B57="","",F57/cfg_DAYS_Y*K57)</f>
        <v/>
      </c>
      <c r="M57" s="156" t="str">
        <f aca="false">IF($B57="","",SUMIFS('سجل الإجازات والحالات'!$T$6:$T$505,'سجل الإجازات والحالات'!$B$6:$B$505,$B57)+SUMIFS('الحركات الشهرية'!$K$6:$K$1005,'الحركات الشهرية'!$B$6:$B$1005,B57,'الحركات الشهرية'!$A$6:$A$1005,"&lt;="&amp;cfg_VAL_M))</f>
        <v/>
      </c>
      <c r="N57" s="156" t="str">
        <f aca="false">IF($B57="","",SUMIFS('الحركات الشهرية'!$L$6:$L$1005,'الحركات الشهرية'!$B$6:$B$1005,B57,'الحركات الشهرية'!$A$6:$A$1005,"&lt;="&amp;cfg_VAL_M))</f>
        <v/>
      </c>
      <c r="O57" s="156" t="str">
        <f aca="false">IF($B57="","",H57+L57-M57-N57)</f>
        <v/>
      </c>
      <c r="P57" s="158" t="str">
        <f aca="false">IF($B57="","",O57*G57)</f>
        <v/>
      </c>
      <c r="Q57" s="116" t="str">
        <f aca="false">IF($B57="","",H57*G57)</f>
        <v/>
      </c>
      <c r="R57" s="116" t="str">
        <f aca="false">IF($B57="","",(M57+N57)*G57)</f>
        <v/>
      </c>
      <c r="S57" s="117" t="str">
        <f aca="false">IF($B57="","",IF(O57&lt;-0.01,"✖ رصيد سالب",IF(O57&gt;F57*2,"⚠ رصيد مرتفع (أكثر من سنتين)",IF(AND(الموظفون!$AE57&lt;&gt;"",الموظفون!$AE57&lt;=cfg_VAL_DATE,O57&gt;0.01),"⚠ منتهي الخدمة برصيد","✔ سليم"))))</f>
        <v/>
      </c>
    </row>
    <row r="58" customFormat="false" ht="15" hidden="false" customHeight="false" outlineLevel="0" collapsed="false">
      <c r="B58" s="114" t="str">
        <f aca="false">IF(الموظفون!$B58="","",الموظفون!$B58)</f>
        <v/>
      </c>
      <c r="C58" s="114" t="str">
        <f aca="false">IF($B58="","",الموظفون!$C58)</f>
        <v/>
      </c>
      <c r="D58" s="174" t="str">
        <f aca="false">IF($B58="","",الموظفون!$H58)</f>
        <v/>
      </c>
      <c r="E58" s="179" t="str">
        <f aca="false">IF($B58="","",MAX(0,J58-D58+1-SUMIFS('سجل الإجازات والحالات'!$S$6:$S$505,'سجل الإجازات والحالات'!$B$6:$B$505,$B58))/cfg_DAYS_Y)</f>
        <v/>
      </c>
      <c r="F58" s="65" t="str">
        <f aca="false">IF($B58="","",IF(الموظفون!$T58&lt;&gt;"",الموظفون!$T58,IF(E58&gt;=cfg_LV_TH,cfg_LV_D2,cfg_LV_D1)))</f>
        <v/>
      </c>
      <c r="G58" s="111" t="str">
        <f aca="false">IF($B58="","",الموظفون!$R58/cfg_DAYS_M)</f>
        <v/>
      </c>
      <c r="H58" s="151" t="str">
        <f aca="false">IF($B58="","",N(الموظفون!$AC58))</f>
        <v/>
      </c>
      <c r="I58" s="174" t="str">
        <f aca="false">IF($B58="","",MAX(cfg_Y_START,D58))</f>
        <v/>
      </c>
      <c r="J58" s="174" t="str">
        <f aca="false">IF($B58="","",IF(OR(الموظفون!$AE58="",الموظفون!$AE58&gt;cfg_VAL_DATE),cfg_VAL_DATE,الموظفون!$AE58))</f>
        <v/>
      </c>
      <c r="K58" s="65" t="str">
        <f aca="false">IF($B58="","",MAX(0,MAX(0,J58-I58+1)-(SUMIFS('سجل الإجازات والحالات'!$S$6:$S$505,'سجل الإجازات والحالات'!$B$6:$B$505,$B58)-SUMIFS('سجل الإجازات والحالات'!$R$6:$R$505,'سجل الإجازات والحالات'!$B$6:$B$505,$B58))))</f>
        <v/>
      </c>
      <c r="L58" s="151" t="str">
        <f aca="false">IF($B58="","",F58/cfg_DAYS_Y*K58)</f>
        <v/>
      </c>
      <c r="M58" s="151" t="str">
        <f aca="false">IF($B58="","",SUMIFS('سجل الإجازات والحالات'!$T$6:$T$505,'سجل الإجازات والحالات'!$B$6:$B$505,$B58)+SUMIFS('الحركات الشهرية'!$K$6:$K$1005,'الحركات الشهرية'!$B$6:$B$1005,B58,'الحركات الشهرية'!$A$6:$A$1005,"&lt;="&amp;cfg_VAL_M))</f>
        <v/>
      </c>
      <c r="N58" s="151" t="str">
        <f aca="false">IF($B58="","",SUMIFS('الحركات الشهرية'!$L$6:$L$1005,'الحركات الشهرية'!$B$6:$B$1005,B58,'الحركات الشهرية'!$A$6:$A$1005,"&lt;="&amp;cfg_VAL_M))</f>
        <v/>
      </c>
      <c r="O58" s="151" t="str">
        <f aca="false">IF($B58="","",H58+L58-M58-N58)</f>
        <v/>
      </c>
      <c r="P58" s="153" t="str">
        <f aca="false">IF($B58="","",O58*G58)</f>
        <v/>
      </c>
      <c r="Q58" s="111" t="str">
        <f aca="false">IF($B58="","",H58*G58)</f>
        <v/>
      </c>
      <c r="R58" s="111" t="str">
        <f aca="false">IF($B58="","",(M58+N58)*G58)</f>
        <v/>
      </c>
      <c r="S58" s="114" t="str">
        <f aca="false">IF($B58="","",IF(O58&lt;-0.01,"✖ رصيد سالب",IF(O58&gt;F58*2,"⚠ رصيد مرتفع (أكثر من سنتين)",IF(AND(الموظفون!$AE58&lt;&gt;"",الموظفون!$AE58&lt;=cfg_VAL_DATE,O58&gt;0.01),"⚠ منتهي الخدمة برصيد","✔ سليم"))))</f>
        <v/>
      </c>
    </row>
    <row r="59" customFormat="false" ht="15" hidden="false" customHeight="false" outlineLevel="0" collapsed="false">
      <c r="B59" s="117" t="str">
        <f aca="false">IF(الموظفون!$B59="","",الموظفون!$B59)</f>
        <v/>
      </c>
      <c r="C59" s="117" t="str">
        <f aca="false">IF($B59="","",الموظفون!$C59)</f>
        <v/>
      </c>
      <c r="D59" s="175" t="str">
        <f aca="false">IF($B59="","",الموظفون!$H59)</f>
        <v/>
      </c>
      <c r="E59" s="180" t="str">
        <f aca="false">IF($B59="","",MAX(0,J59-D59+1-SUMIFS('سجل الإجازات والحالات'!$S$6:$S$505,'سجل الإجازات والحالات'!$B$6:$B$505,$B59))/cfg_DAYS_Y)</f>
        <v/>
      </c>
      <c r="F59" s="133" t="str">
        <f aca="false">IF($B59="","",IF(الموظفون!$T59&lt;&gt;"",الموظفون!$T59,IF(E59&gt;=cfg_LV_TH,cfg_LV_D2,cfg_LV_D1)))</f>
        <v/>
      </c>
      <c r="G59" s="116" t="str">
        <f aca="false">IF($B59="","",الموظفون!$R59/cfg_DAYS_M)</f>
        <v/>
      </c>
      <c r="H59" s="156" t="str">
        <f aca="false">IF($B59="","",N(الموظفون!$AC59))</f>
        <v/>
      </c>
      <c r="I59" s="175" t="str">
        <f aca="false">IF($B59="","",MAX(cfg_Y_START,D59))</f>
        <v/>
      </c>
      <c r="J59" s="175" t="str">
        <f aca="false">IF($B59="","",IF(OR(الموظفون!$AE59="",الموظفون!$AE59&gt;cfg_VAL_DATE),cfg_VAL_DATE,الموظفون!$AE59))</f>
        <v/>
      </c>
      <c r="K59" s="133" t="str">
        <f aca="false">IF($B59="","",MAX(0,MAX(0,J59-I59+1)-(SUMIFS('سجل الإجازات والحالات'!$S$6:$S$505,'سجل الإجازات والحالات'!$B$6:$B$505,$B59)-SUMIFS('سجل الإجازات والحالات'!$R$6:$R$505,'سجل الإجازات والحالات'!$B$6:$B$505,$B59))))</f>
        <v/>
      </c>
      <c r="L59" s="156" t="str">
        <f aca="false">IF($B59="","",F59/cfg_DAYS_Y*K59)</f>
        <v/>
      </c>
      <c r="M59" s="156" t="str">
        <f aca="false">IF($B59="","",SUMIFS('سجل الإجازات والحالات'!$T$6:$T$505,'سجل الإجازات والحالات'!$B$6:$B$505,$B59)+SUMIFS('الحركات الشهرية'!$K$6:$K$1005,'الحركات الشهرية'!$B$6:$B$1005,B59,'الحركات الشهرية'!$A$6:$A$1005,"&lt;="&amp;cfg_VAL_M))</f>
        <v/>
      </c>
      <c r="N59" s="156" t="str">
        <f aca="false">IF($B59="","",SUMIFS('الحركات الشهرية'!$L$6:$L$1005,'الحركات الشهرية'!$B$6:$B$1005,B59,'الحركات الشهرية'!$A$6:$A$1005,"&lt;="&amp;cfg_VAL_M))</f>
        <v/>
      </c>
      <c r="O59" s="156" t="str">
        <f aca="false">IF($B59="","",H59+L59-M59-N59)</f>
        <v/>
      </c>
      <c r="P59" s="158" t="str">
        <f aca="false">IF($B59="","",O59*G59)</f>
        <v/>
      </c>
      <c r="Q59" s="116" t="str">
        <f aca="false">IF($B59="","",H59*G59)</f>
        <v/>
      </c>
      <c r="R59" s="116" t="str">
        <f aca="false">IF($B59="","",(M59+N59)*G59)</f>
        <v/>
      </c>
      <c r="S59" s="117" t="str">
        <f aca="false">IF($B59="","",IF(O59&lt;-0.01,"✖ رصيد سالب",IF(O59&gt;F59*2,"⚠ رصيد مرتفع (أكثر من سنتين)",IF(AND(الموظفون!$AE59&lt;&gt;"",الموظفون!$AE59&lt;=cfg_VAL_DATE,O59&gt;0.01),"⚠ منتهي الخدمة برصيد","✔ سليم"))))</f>
        <v/>
      </c>
    </row>
    <row r="60" customFormat="false" ht="15" hidden="false" customHeight="false" outlineLevel="0" collapsed="false">
      <c r="B60" s="114" t="str">
        <f aca="false">IF(الموظفون!$B60="","",الموظفون!$B60)</f>
        <v/>
      </c>
      <c r="C60" s="114" t="str">
        <f aca="false">IF($B60="","",الموظفون!$C60)</f>
        <v/>
      </c>
      <c r="D60" s="174" t="str">
        <f aca="false">IF($B60="","",الموظفون!$H60)</f>
        <v/>
      </c>
      <c r="E60" s="179" t="str">
        <f aca="false">IF($B60="","",MAX(0,J60-D60+1-SUMIFS('سجل الإجازات والحالات'!$S$6:$S$505,'سجل الإجازات والحالات'!$B$6:$B$505,$B60))/cfg_DAYS_Y)</f>
        <v/>
      </c>
      <c r="F60" s="65" t="str">
        <f aca="false">IF($B60="","",IF(الموظفون!$T60&lt;&gt;"",الموظفون!$T60,IF(E60&gt;=cfg_LV_TH,cfg_LV_D2,cfg_LV_D1)))</f>
        <v/>
      </c>
      <c r="G60" s="111" t="str">
        <f aca="false">IF($B60="","",الموظفون!$R60/cfg_DAYS_M)</f>
        <v/>
      </c>
      <c r="H60" s="151" t="str">
        <f aca="false">IF($B60="","",N(الموظفون!$AC60))</f>
        <v/>
      </c>
      <c r="I60" s="174" t="str">
        <f aca="false">IF($B60="","",MAX(cfg_Y_START,D60))</f>
        <v/>
      </c>
      <c r="J60" s="174" t="str">
        <f aca="false">IF($B60="","",IF(OR(الموظفون!$AE60="",الموظفون!$AE60&gt;cfg_VAL_DATE),cfg_VAL_DATE,الموظفون!$AE60))</f>
        <v/>
      </c>
      <c r="K60" s="65" t="str">
        <f aca="false">IF($B60="","",MAX(0,MAX(0,J60-I60+1)-(SUMIFS('سجل الإجازات والحالات'!$S$6:$S$505,'سجل الإجازات والحالات'!$B$6:$B$505,$B60)-SUMIFS('سجل الإجازات والحالات'!$R$6:$R$505,'سجل الإجازات والحالات'!$B$6:$B$505,$B60))))</f>
        <v/>
      </c>
      <c r="L60" s="151" t="str">
        <f aca="false">IF($B60="","",F60/cfg_DAYS_Y*K60)</f>
        <v/>
      </c>
      <c r="M60" s="151" t="str">
        <f aca="false">IF($B60="","",SUMIFS('سجل الإجازات والحالات'!$T$6:$T$505,'سجل الإجازات والحالات'!$B$6:$B$505,$B60)+SUMIFS('الحركات الشهرية'!$K$6:$K$1005,'الحركات الشهرية'!$B$6:$B$1005,B60,'الحركات الشهرية'!$A$6:$A$1005,"&lt;="&amp;cfg_VAL_M))</f>
        <v/>
      </c>
      <c r="N60" s="151" t="str">
        <f aca="false">IF($B60="","",SUMIFS('الحركات الشهرية'!$L$6:$L$1005,'الحركات الشهرية'!$B$6:$B$1005,B60,'الحركات الشهرية'!$A$6:$A$1005,"&lt;="&amp;cfg_VAL_M))</f>
        <v/>
      </c>
      <c r="O60" s="151" t="str">
        <f aca="false">IF($B60="","",H60+L60-M60-N60)</f>
        <v/>
      </c>
      <c r="P60" s="153" t="str">
        <f aca="false">IF($B60="","",O60*G60)</f>
        <v/>
      </c>
      <c r="Q60" s="111" t="str">
        <f aca="false">IF($B60="","",H60*G60)</f>
        <v/>
      </c>
      <c r="R60" s="111" t="str">
        <f aca="false">IF($B60="","",(M60+N60)*G60)</f>
        <v/>
      </c>
      <c r="S60" s="114" t="str">
        <f aca="false">IF($B60="","",IF(O60&lt;-0.01,"✖ رصيد سالب",IF(O60&gt;F60*2,"⚠ رصيد مرتفع (أكثر من سنتين)",IF(AND(الموظفون!$AE60&lt;&gt;"",الموظفون!$AE60&lt;=cfg_VAL_DATE,O60&gt;0.01),"⚠ منتهي الخدمة برصيد","✔ سليم"))))</f>
        <v/>
      </c>
    </row>
    <row r="61" customFormat="false" ht="15" hidden="false" customHeight="false" outlineLevel="0" collapsed="false">
      <c r="B61" s="117" t="str">
        <f aca="false">IF(الموظفون!$B61="","",الموظفون!$B61)</f>
        <v/>
      </c>
      <c r="C61" s="117" t="str">
        <f aca="false">IF($B61="","",الموظفون!$C61)</f>
        <v/>
      </c>
      <c r="D61" s="175" t="str">
        <f aca="false">IF($B61="","",الموظفون!$H61)</f>
        <v/>
      </c>
      <c r="E61" s="180" t="str">
        <f aca="false">IF($B61="","",MAX(0,J61-D61+1-SUMIFS('سجل الإجازات والحالات'!$S$6:$S$505,'سجل الإجازات والحالات'!$B$6:$B$505,$B61))/cfg_DAYS_Y)</f>
        <v/>
      </c>
      <c r="F61" s="133" t="str">
        <f aca="false">IF($B61="","",IF(الموظفون!$T61&lt;&gt;"",الموظفون!$T61,IF(E61&gt;=cfg_LV_TH,cfg_LV_D2,cfg_LV_D1)))</f>
        <v/>
      </c>
      <c r="G61" s="116" t="str">
        <f aca="false">IF($B61="","",الموظفون!$R61/cfg_DAYS_M)</f>
        <v/>
      </c>
      <c r="H61" s="156" t="str">
        <f aca="false">IF($B61="","",N(الموظفون!$AC61))</f>
        <v/>
      </c>
      <c r="I61" s="175" t="str">
        <f aca="false">IF($B61="","",MAX(cfg_Y_START,D61))</f>
        <v/>
      </c>
      <c r="J61" s="175" t="str">
        <f aca="false">IF($B61="","",IF(OR(الموظفون!$AE61="",الموظفون!$AE61&gt;cfg_VAL_DATE),cfg_VAL_DATE,الموظفون!$AE61))</f>
        <v/>
      </c>
      <c r="K61" s="133" t="str">
        <f aca="false">IF($B61="","",MAX(0,MAX(0,J61-I61+1)-(SUMIFS('سجل الإجازات والحالات'!$S$6:$S$505,'سجل الإجازات والحالات'!$B$6:$B$505,$B61)-SUMIFS('سجل الإجازات والحالات'!$R$6:$R$505,'سجل الإجازات والحالات'!$B$6:$B$505,$B61))))</f>
        <v/>
      </c>
      <c r="L61" s="156" t="str">
        <f aca="false">IF($B61="","",F61/cfg_DAYS_Y*K61)</f>
        <v/>
      </c>
      <c r="M61" s="156" t="str">
        <f aca="false">IF($B61="","",SUMIFS('سجل الإجازات والحالات'!$T$6:$T$505,'سجل الإجازات والحالات'!$B$6:$B$505,$B61)+SUMIFS('الحركات الشهرية'!$K$6:$K$1005,'الحركات الشهرية'!$B$6:$B$1005,B61,'الحركات الشهرية'!$A$6:$A$1005,"&lt;="&amp;cfg_VAL_M))</f>
        <v/>
      </c>
      <c r="N61" s="156" t="str">
        <f aca="false">IF($B61="","",SUMIFS('الحركات الشهرية'!$L$6:$L$1005,'الحركات الشهرية'!$B$6:$B$1005,B61,'الحركات الشهرية'!$A$6:$A$1005,"&lt;="&amp;cfg_VAL_M))</f>
        <v/>
      </c>
      <c r="O61" s="156" t="str">
        <f aca="false">IF($B61="","",H61+L61-M61-N61)</f>
        <v/>
      </c>
      <c r="P61" s="158" t="str">
        <f aca="false">IF($B61="","",O61*G61)</f>
        <v/>
      </c>
      <c r="Q61" s="116" t="str">
        <f aca="false">IF($B61="","",H61*G61)</f>
        <v/>
      </c>
      <c r="R61" s="116" t="str">
        <f aca="false">IF($B61="","",(M61+N61)*G61)</f>
        <v/>
      </c>
      <c r="S61" s="117" t="str">
        <f aca="false">IF($B61="","",IF(O61&lt;-0.01,"✖ رصيد سالب",IF(O61&gt;F61*2,"⚠ رصيد مرتفع (أكثر من سنتين)",IF(AND(الموظفون!$AE61&lt;&gt;"",الموظفون!$AE61&lt;=cfg_VAL_DATE,O61&gt;0.01),"⚠ منتهي الخدمة برصيد","✔ سليم"))))</f>
        <v/>
      </c>
    </row>
    <row r="62" customFormat="false" ht="15" hidden="false" customHeight="false" outlineLevel="0" collapsed="false">
      <c r="B62" s="114" t="str">
        <f aca="false">IF(الموظفون!$B62="","",الموظفون!$B62)</f>
        <v/>
      </c>
      <c r="C62" s="114" t="str">
        <f aca="false">IF($B62="","",الموظفون!$C62)</f>
        <v/>
      </c>
      <c r="D62" s="174" t="str">
        <f aca="false">IF($B62="","",الموظفون!$H62)</f>
        <v/>
      </c>
      <c r="E62" s="179" t="str">
        <f aca="false">IF($B62="","",MAX(0,J62-D62+1-SUMIFS('سجل الإجازات والحالات'!$S$6:$S$505,'سجل الإجازات والحالات'!$B$6:$B$505,$B62))/cfg_DAYS_Y)</f>
        <v/>
      </c>
      <c r="F62" s="65" t="str">
        <f aca="false">IF($B62="","",IF(الموظفون!$T62&lt;&gt;"",الموظفون!$T62,IF(E62&gt;=cfg_LV_TH,cfg_LV_D2,cfg_LV_D1)))</f>
        <v/>
      </c>
      <c r="G62" s="111" t="str">
        <f aca="false">IF($B62="","",الموظفون!$R62/cfg_DAYS_M)</f>
        <v/>
      </c>
      <c r="H62" s="151" t="str">
        <f aca="false">IF($B62="","",N(الموظفون!$AC62))</f>
        <v/>
      </c>
      <c r="I62" s="174" t="str">
        <f aca="false">IF($B62="","",MAX(cfg_Y_START,D62))</f>
        <v/>
      </c>
      <c r="J62" s="174" t="str">
        <f aca="false">IF($B62="","",IF(OR(الموظفون!$AE62="",الموظفون!$AE62&gt;cfg_VAL_DATE),cfg_VAL_DATE,الموظفون!$AE62))</f>
        <v/>
      </c>
      <c r="K62" s="65" t="str">
        <f aca="false">IF($B62="","",MAX(0,MAX(0,J62-I62+1)-(SUMIFS('سجل الإجازات والحالات'!$S$6:$S$505,'سجل الإجازات والحالات'!$B$6:$B$505,$B62)-SUMIFS('سجل الإجازات والحالات'!$R$6:$R$505,'سجل الإجازات والحالات'!$B$6:$B$505,$B62))))</f>
        <v/>
      </c>
      <c r="L62" s="151" t="str">
        <f aca="false">IF($B62="","",F62/cfg_DAYS_Y*K62)</f>
        <v/>
      </c>
      <c r="M62" s="151" t="str">
        <f aca="false">IF($B62="","",SUMIFS('سجل الإجازات والحالات'!$T$6:$T$505,'سجل الإجازات والحالات'!$B$6:$B$505,$B62)+SUMIFS('الحركات الشهرية'!$K$6:$K$1005,'الحركات الشهرية'!$B$6:$B$1005,B62,'الحركات الشهرية'!$A$6:$A$1005,"&lt;="&amp;cfg_VAL_M))</f>
        <v/>
      </c>
      <c r="N62" s="151" t="str">
        <f aca="false">IF($B62="","",SUMIFS('الحركات الشهرية'!$L$6:$L$1005,'الحركات الشهرية'!$B$6:$B$1005,B62,'الحركات الشهرية'!$A$6:$A$1005,"&lt;="&amp;cfg_VAL_M))</f>
        <v/>
      </c>
      <c r="O62" s="151" t="str">
        <f aca="false">IF($B62="","",H62+L62-M62-N62)</f>
        <v/>
      </c>
      <c r="P62" s="153" t="str">
        <f aca="false">IF($B62="","",O62*G62)</f>
        <v/>
      </c>
      <c r="Q62" s="111" t="str">
        <f aca="false">IF($B62="","",H62*G62)</f>
        <v/>
      </c>
      <c r="R62" s="111" t="str">
        <f aca="false">IF($B62="","",(M62+N62)*G62)</f>
        <v/>
      </c>
      <c r="S62" s="114" t="str">
        <f aca="false">IF($B62="","",IF(O62&lt;-0.01,"✖ رصيد سالب",IF(O62&gt;F62*2,"⚠ رصيد مرتفع (أكثر من سنتين)",IF(AND(الموظفون!$AE62&lt;&gt;"",الموظفون!$AE62&lt;=cfg_VAL_DATE,O62&gt;0.01),"⚠ منتهي الخدمة برصيد","✔ سليم"))))</f>
        <v/>
      </c>
    </row>
    <row r="63" customFormat="false" ht="15" hidden="false" customHeight="false" outlineLevel="0" collapsed="false">
      <c r="B63" s="117" t="str">
        <f aca="false">IF(الموظفون!$B63="","",الموظفون!$B63)</f>
        <v/>
      </c>
      <c r="C63" s="117" t="str">
        <f aca="false">IF($B63="","",الموظفون!$C63)</f>
        <v/>
      </c>
      <c r="D63" s="175" t="str">
        <f aca="false">IF($B63="","",الموظفون!$H63)</f>
        <v/>
      </c>
      <c r="E63" s="180" t="str">
        <f aca="false">IF($B63="","",MAX(0,J63-D63+1-SUMIFS('سجل الإجازات والحالات'!$S$6:$S$505,'سجل الإجازات والحالات'!$B$6:$B$505,$B63))/cfg_DAYS_Y)</f>
        <v/>
      </c>
      <c r="F63" s="133" t="str">
        <f aca="false">IF($B63="","",IF(الموظفون!$T63&lt;&gt;"",الموظفون!$T63,IF(E63&gt;=cfg_LV_TH,cfg_LV_D2,cfg_LV_D1)))</f>
        <v/>
      </c>
      <c r="G63" s="116" t="str">
        <f aca="false">IF($B63="","",الموظفون!$R63/cfg_DAYS_M)</f>
        <v/>
      </c>
      <c r="H63" s="156" t="str">
        <f aca="false">IF($B63="","",N(الموظفون!$AC63))</f>
        <v/>
      </c>
      <c r="I63" s="175" t="str">
        <f aca="false">IF($B63="","",MAX(cfg_Y_START,D63))</f>
        <v/>
      </c>
      <c r="J63" s="175" t="str">
        <f aca="false">IF($B63="","",IF(OR(الموظفون!$AE63="",الموظفون!$AE63&gt;cfg_VAL_DATE),cfg_VAL_DATE,الموظفون!$AE63))</f>
        <v/>
      </c>
      <c r="K63" s="133" t="str">
        <f aca="false">IF($B63="","",MAX(0,MAX(0,J63-I63+1)-(SUMIFS('سجل الإجازات والحالات'!$S$6:$S$505,'سجل الإجازات والحالات'!$B$6:$B$505,$B63)-SUMIFS('سجل الإجازات والحالات'!$R$6:$R$505,'سجل الإجازات والحالات'!$B$6:$B$505,$B63))))</f>
        <v/>
      </c>
      <c r="L63" s="156" t="str">
        <f aca="false">IF($B63="","",F63/cfg_DAYS_Y*K63)</f>
        <v/>
      </c>
      <c r="M63" s="156" t="str">
        <f aca="false">IF($B63="","",SUMIFS('سجل الإجازات والحالات'!$T$6:$T$505,'سجل الإجازات والحالات'!$B$6:$B$505,$B63)+SUMIFS('الحركات الشهرية'!$K$6:$K$1005,'الحركات الشهرية'!$B$6:$B$1005,B63,'الحركات الشهرية'!$A$6:$A$1005,"&lt;="&amp;cfg_VAL_M))</f>
        <v/>
      </c>
      <c r="N63" s="156" t="str">
        <f aca="false">IF($B63="","",SUMIFS('الحركات الشهرية'!$L$6:$L$1005,'الحركات الشهرية'!$B$6:$B$1005,B63,'الحركات الشهرية'!$A$6:$A$1005,"&lt;="&amp;cfg_VAL_M))</f>
        <v/>
      </c>
      <c r="O63" s="156" t="str">
        <f aca="false">IF($B63="","",H63+L63-M63-N63)</f>
        <v/>
      </c>
      <c r="P63" s="158" t="str">
        <f aca="false">IF($B63="","",O63*G63)</f>
        <v/>
      </c>
      <c r="Q63" s="116" t="str">
        <f aca="false">IF($B63="","",H63*G63)</f>
        <v/>
      </c>
      <c r="R63" s="116" t="str">
        <f aca="false">IF($B63="","",(M63+N63)*G63)</f>
        <v/>
      </c>
      <c r="S63" s="117" t="str">
        <f aca="false">IF($B63="","",IF(O63&lt;-0.01,"✖ رصيد سالب",IF(O63&gt;F63*2,"⚠ رصيد مرتفع (أكثر من سنتين)",IF(AND(الموظفون!$AE63&lt;&gt;"",الموظفون!$AE63&lt;=cfg_VAL_DATE,O63&gt;0.01),"⚠ منتهي الخدمة برصيد","✔ سليم"))))</f>
        <v/>
      </c>
    </row>
    <row r="64" customFormat="false" ht="15" hidden="false" customHeight="false" outlineLevel="0" collapsed="false">
      <c r="B64" s="114" t="str">
        <f aca="false">IF(الموظفون!$B64="","",الموظفون!$B64)</f>
        <v/>
      </c>
      <c r="C64" s="114" t="str">
        <f aca="false">IF($B64="","",الموظفون!$C64)</f>
        <v/>
      </c>
      <c r="D64" s="174" t="str">
        <f aca="false">IF($B64="","",الموظفون!$H64)</f>
        <v/>
      </c>
      <c r="E64" s="179" t="str">
        <f aca="false">IF($B64="","",MAX(0,J64-D64+1-SUMIFS('سجل الإجازات والحالات'!$S$6:$S$505,'سجل الإجازات والحالات'!$B$6:$B$505,$B64))/cfg_DAYS_Y)</f>
        <v/>
      </c>
      <c r="F64" s="65" t="str">
        <f aca="false">IF($B64="","",IF(الموظفون!$T64&lt;&gt;"",الموظفون!$T64,IF(E64&gt;=cfg_LV_TH,cfg_LV_D2,cfg_LV_D1)))</f>
        <v/>
      </c>
      <c r="G64" s="111" t="str">
        <f aca="false">IF($B64="","",الموظفون!$R64/cfg_DAYS_M)</f>
        <v/>
      </c>
      <c r="H64" s="151" t="str">
        <f aca="false">IF($B64="","",N(الموظفون!$AC64))</f>
        <v/>
      </c>
      <c r="I64" s="174" t="str">
        <f aca="false">IF($B64="","",MAX(cfg_Y_START,D64))</f>
        <v/>
      </c>
      <c r="J64" s="174" t="str">
        <f aca="false">IF($B64="","",IF(OR(الموظفون!$AE64="",الموظفون!$AE64&gt;cfg_VAL_DATE),cfg_VAL_DATE,الموظفون!$AE64))</f>
        <v/>
      </c>
      <c r="K64" s="65" t="str">
        <f aca="false">IF($B64="","",MAX(0,MAX(0,J64-I64+1)-(SUMIFS('سجل الإجازات والحالات'!$S$6:$S$505,'سجل الإجازات والحالات'!$B$6:$B$505,$B64)-SUMIFS('سجل الإجازات والحالات'!$R$6:$R$505,'سجل الإجازات والحالات'!$B$6:$B$505,$B64))))</f>
        <v/>
      </c>
      <c r="L64" s="151" t="str">
        <f aca="false">IF($B64="","",F64/cfg_DAYS_Y*K64)</f>
        <v/>
      </c>
      <c r="M64" s="151" t="str">
        <f aca="false">IF($B64="","",SUMIFS('سجل الإجازات والحالات'!$T$6:$T$505,'سجل الإجازات والحالات'!$B$6:$B$505,$B64)+SUMIFS('الحركات الشهرية'!$K$6:$K$1005,'الحركات الشهرية'!$B$6:$B$1005,B64,'الحركات الشهرية'!$A$6:$A$1005,"&lt;="&amp;cfg_VAL_M))</f>
        <v/>
      </c>
      <c r="N64" s="151" t="str">
        <f aca="false">IF($B64="","",SUMIFS('الحركات الشهرية'!$L$6:$L$1005,'الحركات الشهرية'!$B$6:$B$1005,B64,'الحركات الشهرية'!$A$6:$A$1005,"&lt;="&amp;cfg_VAL_M))</f>
        <v/>
      </c>
      <c r="O64" s="151" t="str">
        <f aca="false">IF($B64="","",H64+L64-M64-N64)</f>
        <v/>
      </c>
      <c r="P64" s="153" t="str">
        <f aca="false">IF($B64="","",O64*G64)</f>
        <v/>
      </c>
      <c r="Q64" s="111" t="str">
        <f aca="false">IF($B64="","",H64*G64)</f>
        <v/>
      </c>
      <c r="R64" s="111" t="str">
        <f aca="false">IF($B64="","",(M64+N64)*G64)</f>
        <v/>
      </c>
      <c r="S64" s="114" t="str">
        <f aca="false">IF($B64="","",IF(O64&lt;-0.01,"✖ رصيد سالب",IF(O64&gt;F64*2,"⚠ رصيد مرتفع (أكثر من سنتين)",IF(AND(الموظفون!$AE64&lt;&gt;"",الموظفون!$AE64&lt;=cfg_VAL_DATE,O64&gt;0.01),"⚠ منتهي الخدمة برصيد","✔ سليم"))))</f>
        <v/>
      </c>
    </row>
    <row r="65" customFormat="false" ht="15" hidden="false" customHeight="false" outlineLevel="0" collapsed="false">
      <c r="B65" s="117" t="str">
        <f aca="false">IF(الموظفون!$B65="","",الموظفون!$B65)</f>
        <v/>
      </c>
      <c r="C65" s="117" t="str">
        <f aca="false">IF($B65="","",الموظفون!$C65)</f>
        <v/>
      </c>
      <c r="D65" s="175" t="str">
        <f aca="false">IF($B65="","",الموظفون!$H65)</f>
        <v/>
      </c>
      <c r="E65" s="180" t="str">
        <f aca="false">IF($B65="","",MAX(0,J65-D65+1-SUMIFS('سجل الإجازات والحالات'!$S$6:$S$505,'سجل الإجازات والحالات'!$B$6:$B$505,$B65))/cfg_DAYS_Y)</f>
        <v/>
      </c>
      <c r="F65" s="133" t="str">
        <f aca="false">IF($B65="","",IF(الموظفون!$T65&lt;&gt;"",الموظفون!$T65,IF(E65&gt;=cfg_LV_TH,cfg_LV_D2,cfg_LV_D1)))</f>
        <v/>
      </c>
      <c r="G65" s="116" t="str">
        <f aca="false">IF($B65="","",الموظفون!$R65/cfg_DAYS_M)</f>
        <v/>
      </c>
      <c r="H65" s="156" t="str">
        <f aca="false">IF($B65="","",N(الموظفون!$AC65))</f>
        <v/>
      </c>
      <c r="I65" s="175" t="str">
        <f aca="false">IF($B65="","",MAX(cfg_Y_START,D65))</f>
        <v/>
      </c>
      <c r="J65" s="175" t="str">
        <f aca="false">IF($B65="","",IF(OR(الموظفون!$AE65="",الموظفون!$AE65&gt;cfg_VAL_DATE),cfg_VAL_DATE,الموظفون!$AE65))</f>
        <v/>
      </c>
      <c r="K65" s="133" t="str">
        <f aca="false">IF($B65="","",MAX(0,MAX(0,J65-I65+1)-(SUMIFS('سجل الإجازات والحالات'!$S$6:$S$505,'سجل الإجازات والحالات'!$B$6:$B$505,$B65)-SUMIFS('سجل الإجازات والحالات'!$R$6:$R$505,'سجل الإجازات والحالات'!$B$6:$B$505,$B65))))</f>
        <v/>
      </c>
      <c r="L65" s="156" t="str">
        <f aca="false">IF($B65="","",F65/cfg_DAYS_Y*K65)</f>
        <v/>
      </c>
      <c r="M65" s="156" t="str">
        <f aca="false">IF($B65="","",SUMIFS('سجل الإجازات والحالات'!$T$6:$T$505,'سجل الإجازات والحالات'!$B$6:$B$505,$B65)+SUMIFS('الحركات الشهرية'!$K$6:$K$1005,'الحركات الشهرية'!$B$6:$B$1005,B65,'الحركات الشهرية'!$A$6:$A$1005,"&lt;="&amp;cfg_VAL_M))</f>
        <v/>
      </c>
      <c r="N65" s="156" t="str">
        <f aca="false">IF($B65="","",SUMIFS('الحركات الشهرية'!$L$6:$L$1005,'الحركات الشهرية'!$B$6:$B$1005,B65,'الحركات الشهرية'!$A$6:$A$1005,"&lt;="&amp;cfg_VAL_M))</f>
        <v/>
      </c>
      <c r="O65" s="156" t="str">
        <f aca="false">IF($B65="","",H65+L65-M65-N65)</f>
        <v/>
      </c>
      <c r="P65" s="158" t="str">
        <f aca="false">IF($B65="","",O65*G65)</f>
        <v/>
      </c>
      <c r="Q65" s="116" t="str">
        <f aca="false">IF($B65="","",H65*G65)</f>
        <v/>
      </c>
      <c r="R65" s="116" t="str">
        <f aca="false">IF($B65="","",(M65+N65)*G65)</f>
        <v/>
      </c>
      <c r="S65" s="117" t="str">
        <f aca="false">IF($B65="","",IF(O65&lt;-0.01,"✖ رصيد سالب",IF(O65&gt;F65*2,"⚠ رصيد مرتفع (أكثر من سنتين)",IF(AND(الموظفون!$AE65&lt;&gt;"",الموظفون!$AE65&lt;=cfg_VAL_DATE,O65&gt;0.01),"⚠ منتهي الخدمة برصيد","✔ سليم"))))</f>
        <v/>
      </c>
    </row>
    <row r="66" customFormat="false" ht="15" hidden="false" customHeight="false" outlineLevel="0" collapsed="false">
      <c r="B66" s="114" t="str">
        <f aca="false">IF(الموظفون!$B66="","",الموظفون!$B66)</f>
        <v/>
      </c>
      <c r="C66" s="114" t="str">
        <f aca="false">IF($B66="","",الموظفون!$C66)</f>
        <v/>
      </c>
      <c r="D66" s="174" t="str">
        <f aca="false">IF($B66="","",الموظفون!$H66)</f>
        <v/>
      </c>
      <c r="E66" s="179" t="str">
        <f aca="false">IF($B66="","",MAX(0,J66-D66+1-SUMIFS('سجل الإجازات والحالات'!$S$6:$S$505,'سجل الإجازات والحالات'!$B$6:$B$505,$B66))/cfg_DAYS_Y)</f>
        <v/>
      </c>
      <c r="F66" s="65" t="str">
        <f aca="false">IF($B66="","",IF(الموظفون!$T66&lt;&gt;"",الموظفون!$T66,IF(E66&gt;=cfg_LV_TH,cfg_LV_D2,cfg_LV_D1)))</f>
        <v/>
      </c>
      <c r="G66" s="111" t="str">
        <f aca="false">IF($B66="","",الموظفون!$R66/cfg_DAYS_M)</f>
        <v/>
      </c>
      <c r="H66" s="151" t="str">
        <f aca="false">IF($B66="","",N(الموظفون!$AC66))</f>
        <v/>
      </c>
      <c r="I66" s="174" t="str">
        <f aca="false">IF($B66="","",MAX(cfg_Y_START,D66))</f>
        <v/>
      </c>
      <c r="J66" s="174" t="str">
        <f aca="false">IF($B66="","",IF(OR(الموظفون!$AE66="",الموظفون!$AE66&gt;cfg_VAL_DATE),cfg_VAL_DATE,الموظفون!$AE66))</f>
        <v/>
      </c>
      <c r="K66" s="65" t="str">
        <f aca="false">IF($B66="","",MAX(0,MAX(0,J66-I66+1)-(SUMIFS('سجل الإجازات والحالات'!$S$6:$S$505,'سجل الإجازات والحالات'!$B$6:$B$505,$B66)-SUMIFS('سجل الإجازات والحالات'!$R$6:$R$505,'سجل الإجازات والحالات'!$B$6:$B$505,$B66))))</f>
        <v/>
      </c>
      <c r="L66" s="151" t="str">
        <f aca="false">IF($B66="","",F66/cfg_DAYS_Y*K66)</f>
        <v/>
      </c>
      <c r="M66" s="151" t="str">
        <f aca="false">IF($B66="","",SUMIFS('سجل الإجازات والحالات'!$T$6:$T$505,'سجل الإجازات والحالات'!$B$6:$B$505,$B66)+SUMIFS('الحركات الشهرية'!$K$6:$K$1005,'الحركات الشهرية'!$B$6:$B$1005,B66,'الحركات الشهرية'!$A$6:$A$1005,"&lt;="&amp;cfg_VAL_M))</f>
        <v/>
      </c>
      <c r="N66" s="151" t="str">
        <f aca="false">IF($B66="","",SUMIFS('الحركات الشهرية'!$L$6:$L$1005,'الحركات الشهرية'!$B$6:$B$1005,B66,'الحركات الشهرية'!$A$6:$A$1005,"&lt;="&amp;cfg_VAL_M))</f>
        <v/>
      </c>
      <c r="O66" s="151" t="str">
        <f aca="false">IF($B66="","",H66+L66-M66-N66)</f>
        <v/>
      </c>
      <c r="P66" s="153" t="str">
        <f aca="false">IF($B66="","",O66*G66)</f>
        <v/>
      </c>
      <c r="Q66" s="111" t="str">
        <f aca="false">IF($B66="","",H66*G66)</f>
        <v/>
      </c>
      <c r="R66" s="111" t="str">
        <f aca="false">IF($B66="","",(M66+N66)*G66)</f>
        <v/>
      </c>
      <c r="S66" s="114" t="str">
        <f aca="false">IF($B66="","",IF(O66&lt;-0.01,"✖ رصيد سالب",IF(O66&gt;F66*2,"⚠ رصيد مرتفع (أكثر من سنتين)",IF(AND(الموظفون!$AE66&lt;&gt;"",الموظفون!$AE66&lt;=cfg_VAL_DATE,O66&gt;0.01),"⚠ منتهي الخدمة برصيد","✔ سليم"))))</f>
        <v/>
      </c>
    </row>
    <row r="67" customFormat="false" ht="15" hidden="false" customHeight="false" outlineLevel="0" collapsed="false">
      <c r="B67" s="117" t="str">
        <f aca="false">IF(الموظفون!$B67="","",الموظفون!$B67)</f>
        <v/>
      </c>
      <c r="C67" s="117" t="str">
        <f aca="false">IF($B67="","",الموظفون!$C67)</f>
        <v/>
      </c>
      <c r="D67" s="175" t="str">
        <f aca="false">IF($B67="","",الموظفون!$H67)</f>
        <v/>
      </c>
      <c r="E67" s="180" t="str">
        <f aca="false">IF($B67="","",MAX(0,J67-D67+1-SUMIFS('سجل الإجازات والحالات'!$S$6:$S$505,'سجل الإجازات والحالات'!$B$6:$B$505,$B67))/cfg_DAYS_Y)</f>
        <v/>
      </c>
      <c r="F67" s="133" t="str">
        <f aca="false">IF($B67="","",IF(الموظفون!$T67&lt;&gt;"",الموظفون!$T67,IF(E67&gt;=cfg_LV_TH,cfg_LV_D2,cfg_LV_D1)))</f>
        <v/>
      </c>
      <c r="G67" s="116" t="str">
        <f aca="false">IF($B67="","",الموظفون!$R67/cfg_DAYS_M)</f>
        <v/>
      </c>
      <c r="H67" s="156" t="str">
        <f aca="false">IF($B67="","",N(الموظفون!$AC67))</f>
        <v/>
      </c>
      <c r="I67" s="175" t="str">
        <f aca="false">IF($B67="","",MAX(cfg_Y_START,D67))</f>
        <v/>
      </c>
      <c r="J67" s="175" t="str">
        <f aca="false">IF($B67="","",IF(OR(الموظفون!$AE67="",الموظفون!$AE67&gt;cfg_VAL_DATE),cfg_VAL_DATE,الموظفون!$AE67))</f>
        <v/>
      </c>
      <c r="K67" s="133" t="str">
        <f aca="false">IF($B67="","",MAX(0,MAX(0,J67-I67+1)-(SUMIFS('سجل الإجازات والحالات'!$S$6:$S$505,'سجل الإجازات والحالات'!$B$6:$B$505,$B67)-SUMIFS('سجل الإجازات والحالات'!$R$6:$R$505,'سجل الإجازات والحالات'!$B$6:$B$505,$B67))))</f>
        <v/>
      </c>
      <c r="L67" s="156" t="str">
        <f aca="false">IF($B67="","",F67/cfg_DAYS_Y*K67)</f>
        <v/>
      </c>
      <c r="M67" s="156" t="str">
        <f aca="false">IF($B67="","",SUMIFS('سجل الإجازات والحالات'!$T$6:$T$505,'سجل الإجازات والحالات'!$B$6:$B$505,$B67)+SUMIFS('الحركات الشهرية'!$K$6:$K$1005,'الحركات الشهرية'!$B$6:$B$1005,B67,'الحركات الشهرية'!$A$6:$A$1005,"&lt;="&amp;cfg_VAL_M))</f>
        <v/>
      </c>
      <c r="N67" s="156" t="str">
        <f aca="false">IF($B67="","",SUMIFS('الحركات الشهرية'!$L$6:$L$1005,'الحركات الشهرية'!$B$6:$B$1005,B67,'الحركات الشهرية'!$A$6:$A$1005,"&lt;="&amp;cfg_VAL_M))</f>
        <v/>
      </c>
      <c r="O67" s="156" t="str">
        <f aca="false">IF($B67="","",H67+L67-M67-N67)</f>
        <v/>
      </c>
      <c r="P67" s="158" t="str">
        <f aca="false">IF($B67="","",O67*G67)</f>
        <v/>
      </c>
      <c r="Q67" s="116" t="str">
        <f aca="false">IF($B67="","",H67*G67)</f>
        <v/>
      </c>
      <c r="R67" s="116" t="str">
        <f aca="false">IF($B67="","",(M67+N67)*G67)</f>
        <v/>
      </c>
      <c r="S67" s="117" t="str">
        <f aca="false">IF($B67="","",IF(O67&lt;-0.01,"✖ رصيد سالب",IF(O67&gt;F67*2,"⚠ رصيد مرتفع (أكثر من سنتين)",IF(AND(الموظفون!$AE67&lt;&gt;"",الموظفون!$AE67&lt;=cfg_VAL_DATE,O67&gt;0.01),"⚠ منتهي الخدمة برصيد","✔ سليم"))))</f>
        <v/>
      </c>
    </row>
    <row r="68" customFormat="false" ht="15" hidden="false" customHeight="false" outlineLevel="0" collapsed="false">
      <c r="B68" s="114" t="str">
        <f aca="false">IF(الموظفون!$B68="","",الموظفون!$B68)</f>
        <v/>
      </c>
      <c r="C68" s="114" t="str">
        <f aca="false">IF($B68="","",الموظفون!$C68)</f>
        <v/>
      </c>
      <c r="D68" s="174" t="str">
        <f aca="false">IF($B68="","",الموظفون!$H68)</f>
        <v/>
      </c>
      <c r="E68" s="179" t="str">
        <f aca="false">IF($B68="","",MAX(0,J68-D68+1-SUMIFS('سجل الإجازات والحالات'!$S$6:$S$505,'سجل الإجازات والحالات'!$B$6:$B$505,$B68))/cfg_DAYS_Y)</f>
        <v/>
      </c>
      <c r="F68" s="65" t="str">
        <f aca="false">IF($B68="","",IF(الموظفون!$T68&lt;&gt;"",الموظفون!$T68,IF(E68&gt;=cfg_LV_TH,cfg_LV_D2,cfg_LV_D1)))</f>
        <v/>
      </c>
      <c r="G68" s="111" t="str">
        <f aca="false">IF($B68="","",الموظفون!$R68/cfg_DAYS_M)</f>
        <v/>
      </c>
      <c r="H68" s="151" t="str">
        <f aca="false">IF($B68="","",N(الموظفون!$AC68))</f>
        <v/>
      </c>
      <c r="I68" s="174" t="str">
        <f aca="false">IF($B68="","",MAX(cfg_Y_START,D68))</f>
        <v/>
      </c>
      <c r="J68" s="174" t="str">
        <f aca="false">IF($B68="","",IF(OR(الموظفون!$AE68="",الموظفون!$AE68&gt;cfg_VAL_DATE),cfg_VAL_DATE,الموظفون!$AE68))</f>
        <v/>
      </c>
      <c r="K68" s="65" t="str">
        <f aca="false">IF($B68="","",MAX(0,MAX(0,J68-I68+1)-(SUMIFS('سجل الإجازات والحالات'!$S$6:$S$505,'سجل الإجازات والحالات'!$B$6:$B$505,$B68)-SUMIFS('سجل الإجازات والحالات'!$R$6:$R$505,'سجل الإجازات والحالات'!$B$6:$B$505,$B68))))</f>
        <v/>
      </c>
      <c r="L68" s="151" t="str">
        <f aca="false">IF($B68="","",F68/cfg_DAYS_Y*K68)</f>
        <v/>
      </c>
      <c r="M68" s="151" t="str">
        <f aca="false">IF($B68="","",SUMIFS('سجل الإجازات والحالات'!$T$6:$T$505,'سجل الإجازات والحالات'!$B$6:$B$505,$B68)+SUMIFS('الحركات الشهرية'!$K$6:$K$1005,'الحركات الشهرية'!$B$6:$B$1005,B68,'الحركات الشهرية'!$A$6:$A$1005,"&lt;="&amp;cfg_VAL_M))</f>
        <v/>
      </c>
      <c r="N68" s="151" t="str">
        <f aca="false">IF($B68="","",SUMIFS('الحركات الشهرية'!$L$6:$L$1005,'الحركات الشهرية'!$B$6:$B$1005,B68,'الحركات الشهرية'!$A$6:$A$1005,"&lt;="&amp;cfg_VAL_M))</f>
        <v/>
      </c>
      <c r="O68" s="151" t="str">
        <f aca="false">IF($B68="","",H68+L68-M68-N68)</f>
        <v/>
      </c>
      <c r="P68" s="153" t="str">
        <f aca="false">IF($B68="","",O68*G68)</f>
        <v/>
      </c>
      <c r="Q68" s="111" t="str">
        <f aca="false">IF($B68="","",H68*G68)</f>
        <v/>
      </c>
      <c r="R68" s="111" t="str">
        <f aca="false">IF($B68="","",(M68+N68)*G68)</f>
        <v/>
      </c>
      <c r="S68" s="114" t="str">
        <f aca="false">IF($B68="","",IF(O68&lt;-0.01,"✖ رصيد سالب",IF(O68&gt;F68*2,"⚠ رصيد مرتفع (أكثر من سنتين)",IF(AND(الموظفون!$AE68&lt;&gt;"",الموظفون!$AE68&lt;=cfg_VAL_DATE,O68&gt;0.01),"⚠ منتهي الخدمة برصيد","✔ سليم"))))</f>
        <v/>
      </c>
    </row>
    <row r="69" customFormat="false" ht="15" hidden="false" customHeight="false" outlineLevel="0" collapsed="false">
      <c r="B69" s="117" t="str">
        <f aca="false">IF(الموظفون!$B69="","",الموظفون!$B69)</f>
        <v/>
      </c>
      <c r="C69" s="117" t="str">
        <f aca="false">IF($B69="","",الموظفون!$C69)</f>
        <v/>
      </c>
      <c r="D69" s="175" t="str">
        <f aca="false">IF($B69="","",الموظفون!$H69)</f>
        <v/>
      </c>
      <c r="E69" s="180" t="str">
        <f aca="false">IF($B69="","",MAX(0,J69-D69+1-SUMIFS('سجل الإجازات والحالات'!$S$6:$S$505,'سجل الإجازات والحالات'!$B$6:$B$505,$B69))/cfg_DAYS_Y)</f>
        <v/>
      </c>
      <c r="F69" s="133" t="str">
        <f aca="false">IF($B69="","",IF(الموظفون!$T69&lt;&gt;"",الموظفون!$T69,IF(E69&gt;=cfg_LV_TH,cfg_LV_D2,cfg_LV_D1)))</f>
        <v/>
      </c>
      <c r="G69" s="116" t="str">
        <f aca="false">IF($B69="","",الموظفون!$R69/cfg_DAYS_M)</f>
        <v/>
      </c>
      <c r="H69" s="156" t="str">
        <f aca="false">IF($B69="","",N(الموظفون!$AC69))</f>
        <v/>
      </c>
      <c r="I69" s="175" t="str">
        <f aca="false">IF($B69="","",MAX(cfg_Y_START,D69))</f>
        <v/>
      </c>
      <c r="J69" s="175" t="str">
        <f aca="false">IF($B69="","",IF(OR(الموظفون!$AE69="",الموظفون!$AE69&gt;cfg_VAL_DATE),cfg_VAL_DATE,الموظفون!$AE69))</f>
        <v/>
      </c>
      <c r="K69" s="133" t="str">
        <f aca="false">IF($B69="","",MAX(0,MAX(0,J69-I69+1)-(SUMIFS('سجل الإجازات والحالات'!$S$6:$S$505,'سجل الإجازات والحالات'!$B$6:$B$505,$B69)-SUMIFS('سجل الإجازات والحالات'!$R$6:$R$505,'سجل الإجازات والحالات'!$B$6:$B$505,$B69))))</f>
        <v/>
      </c>
      <c r="L69" s="156" t="str">
        <f aca="false">IF($B69="","",F69/cfg_DAYS_Y*K69)</f>
        <v/>
      </c>
      <c r="M69" s="156" t="str">
        <f aca="false">IF($B69="","",SUMIFS('سجل الإجازات والحالات'!$T$6:$T$505,'سجل الإجازات والحالات'!$B$6:$B$505,$B69)+SUMIFS('الحركات الشهرية'!$K$6:$K$1005,'الحركات الشهرية'!$B$6:$B$1005,B69,'الحركات الشهرية'!$A$6:$A$1005,"&lt;="&amp;cfg_VAL_M))</f>
        <v/>
      </c>
      <c r="N69" s="156" t="str">
        <f aca="false">IF($B69="","",SUMIFS('الحركات الشهرية'!$L$6:$L$1005,'الحركات الشهرية'!$B$6:$B$1005,B69,'الحركات الشهرية'!$A$6:$A$1005,"&lt;="&amp;cfg_VAL_M))</f>
        <v/>
      </c>
      <c r="O69" s="156" t="str">
        <f aca="false">IF($B69="","",H69+L69-M69-N69)</f>
        <v/>
      </c>
      <c r="P69" s="158" t="str">
        <f aca="false">IF($B69="","",O69*G69)</f>
        <v/>
      </c>
      <c r="Q69" s="116" t="str">
        <f aca="false">IF($B69="","",H69*G69)</f>
        <v/>
      </c>
      <c r="R69" s="116" t="str">
        <f aca="false">IF($B69="","",(M69+N69)*G69)</f>
        <v/>
      </c>
      <c r="S69" s="117" t="str">
        <f aca="false">IF($B69="","",IF(O69&lt;-0.01,"✖ رصيد سالب",IF(O69&gt;F69*2,"⚠ رصيد مرتفع (أكثر من سنتين)",IF(AND(الموظفون!$AE69&lt;&gt;"",الموظفون!$AE69&lt;=cfg_VAL_DATE,O69&gt;0.01),"⚠ منتهي الخدمة برصيد","✔ سليم"))))</f>
        <v/>
      </c>
    </row>
    <row r="70" customFormat="false" ht="15" hidden="false" customHeight="false" outlineLevel="0" collapsed="false">
      <c r="B70" s="114" t="str">
        <f aca="false">IF(الموظفون!$B70="","",الموظفون!$B70)</f>
        <v/>
      </c>
      <c r="C70" s="114" t="str">
        <f aca="false">IF($B70="","",الموظفون!$C70)</f>
        <v/>
      </c>
      <c r="D70" s="174" t="str">
        <f aca="false">IF($B70="","",الموظفون!$H70)</f>
        <v/>
      </c>
      <c r="E70" s="179" t="str">
        <f aca="false">IF($B70="","",MAX(0,J70-D70+1-SUMIFS('سجل الإجازات والحالات'!$S$6:$S$505,'سجل الإجازات والحالات'!$B$6:$B$505,$B70))/cfg_DAYS_Y)</f>
        <v/>
      </c>
      <c r="F70" s="65" t="str">
        <f aca="false">IF($B70="","",IF(الموظفون!$T70&lt;&gt;"",الموظفون!$T70,IF(E70&gt;=cfg_LV_TH,cfg_LV_D2,cfg_LV_D1)))</f>
        <v/>
      </c>
      <c r="G70" s="111" t="str">
        <f aca="false">IF($B70="","",الموظفون!$R70/cfg_DAYS_M)</f>
        <v/>
      </c>
      <c r="H70" s="151" t="str">
        <f aca="false">IF($B70="","",N(الموظفون!$AC70))</f>
        <v/>
      </c>
      <c r="I70" s="174" t="str">
        <f aca="false">IF($B70="","",MAX(cfg_Y_START,D70))</f>
        <v/>
      </c>
      <c r="J70" s="174" t="str">
        <f aca="false">IF($B70="","",IF(OR(الموظفون!$AE70="",الموظفون!$AE70&gt;cfg_VAL_DATE),cfg_VAL_DATE,الموظفون!$AE70))</f>
        <v/>
      </c>
      <c r="K70" s="65" t="str">
        <f aca="false">IF($B70="","",MAX(0,MAX(0,J70-I70+1)-(SUMIFS('سجل الإجازات والحالات'!$S$6:$S$505,'سجل الإجازات والحالات'!$B$6:$B$505,$B70)-SUMIFS('سجل الإجازات والحالات'!$R$6:$R$505,'سجل الإجازات والحالات'!$B$6:$B$505,$B70))))</f>
        <v/>
      </c>
      <c r="L70" s="151" t="str">
        <f aca="false">IF($B70="","",F70/cfg_DAYS_Y*K70)</f>
        <v/>
      </c>
      <c r="M70" s="151" t="str">
        <f aca="false">IF($B70="","",SUMIFS('سجل الإجازات والحالات'!$T$6:$T$505,'سجل الإجازات والحالات'!$B$6:$B$505,$B70)+SUMIFS('الحركات الشهرية'!$K$6:$K$1005,'الحركات الشهرية'!$B$6:$B$1005,B70,'الحركات الشهرية'!$A$6:$A$1005,"&lt;="&amp;cfg_VAL_M))</f>
        <v/>
      </c>
      <c r="N70" s="151" t="str">
        <f aca="false">IF($B70="","",SUMIFS('الحركات الشهرية'!$L$6:$L$1005,'الحركات الشهرية'!$B$6:$B$1005,B70,'الحركات الشهرية'!$A$6:$A$1005,"&lt;="&amp;cfg_VAL_M))</f>
        <v/>
      </c>
      <c r="O70" s="151" t="str">
        <f aca="false">IF($B70="","",H70+L70-M70-N70)</f>
        <v/>
      </c>
      <c r="P70" s="153" t="str">
        <f aca="false">IF($B70="","",O70*G70)</f>
        <v/>
      </c>
      <c r="Q70" s="111" t="str">
        <f aca="false">IF($B70="","",H70*G70)</f>
        <v/>
      </c>
      <c r="R70" s="111" t="str">
        <f aca="false">IF($B70="","",(M70+N70)*G70)</f>
        <v/>
      </c>
      <c r="S70" s="114" t="str">
        <f aca="false">IF($B70="","",IF(O70&lt;-0.01,"✖ رصيد سالب",IF(O70&gt;F70*2,"⚠ رصيد مرتفع (أكثر من سنتين)",IF(AND(الموظفون!$AE70&lt;&gt;"",الموظفون!$AE70&lt;=cfg_VAL_DATE,O70&gt;0.01),"⚠ منتهي الخدمة برصيد","✔ سليم"))))</f>
        <v/>
      </c>
    </row>
    <row r="71" customFormat="false" ht="15" hidden="false" customHeight="false" outlineLevel="0" collapsed="false">
      <c r="B71" s="117" t="str">
        <f aca="false">IF(الموظفون!$B71="","",الموظفون!$B71)</f>
        <v/>
      </c>
      <c r="C71" s="117" t="str">
        <f aca="false">IF($B71="","",الموظفون!$C71)</f>
        <v/>
      </c>
      <c r="D71" s="175" t="str">
        <f aca="false">IF($B71="","",الموظفون!$H71)</f>
        <v/>
      </c>
      <c r="E71" s="180" t="str">
        <f aca="false">IF($B71="","",MAX(0,J71-D71+1-SUMIFS('سجل الإجازات والحالات'!$S$6:$S$505,'سجل الإجازات والحالات'!$B$6:$B$505,$B71))/cfg_DAYS_Y)</f>
        <v/>
      </c>
      <c r="F71" s="133" t="str">
        <f aca="false">IF($B71="","",IF(الموظفون!$T71&lt;&gt;"",الموظفون!$T71,IF(E71&gt;=cfg_LV_TH,cfg_LV_D2,cfg_LV_D1)))</f>
        <v/>
      </c>
      <c r="G71" s="116" t="str">
        <f aca="false">IF($B71="","",الموظفون!$R71/cfg_DAYS_M)</f>
        <v/>
      </c>
      <c r="H71" s="156" t="str">
        <f aca="false">IF($B71="","",N(الموظفون!$AC71))</f>
        <v/>
      </c>
      <c r="I71" s="175" t="str">
        <f aca="false">IF($B71="","",MAX(cfg_Y_START,D71))</f>
        <v/>
      </c>
      <c r="J71" s="175" t="str">
        <f aca="false">IF($B71="","",IF(OR(الموظفون!$AE71="",الموظفون!$AE71&gt;cfg_VAL_DATE),cfg_VAL_DATE,الموظفون!$AE71))</f>
        <v/>
      </c>
      <c r="K71" s="133" t="str">
        <f aca="false">IF($B71="","",MAX(0,MAX(0,J71-I71+1)-(SUMIFS('سجل الإجازات والحالات'!$S$6:$S$505,'سجل الإجازات والحالات'!$B$6:$B$505,$B71)-SUMIFS('سجل الإجازات والحالات'!$R$6:$R$505,'سجل الإجازات والحالات'!$B$6:$B$505,$B71))))</f>
        <v/>
      </c>
      <c r="L71" s="156" t="str">
        <f aca="false">IF($B71="","",F71/cfg_DAYS_Y*K71)</f>
        <v/>
      </c>
      <c r="M71" s="156" t="str">
        <f aca="false">IF($B71="","",SUMIFS('سجل الإجازات والحالات'!$T$6:$T$505,'سجل الإجازات والحالات'!$B$6:$B$505,$B71)+SUMIFS('الحركات الشهرية'!$K$6:$K$1005,'الحركات الشهرية'!$B$6:$B$1005,B71,'الحركات الشهرية'!$A$6:$A$1005,"&lt;="&amp;cfg_VAL_M))</f>
        <v/>
      </c>
      <c r="N71" s="156" t="str">
        <f aca="false">IF($B71="","",SUMIFS('الحركات الشهرية'!$L$6:$L$1005,'الحركات الشهرية'!$B$6:$B$1005,B71,'الحركات الشهرية'!$A$6:$A$1005,"&lt;="&amp;cfg_VAL_M))</f>
        <v/>
      </c>
      <c r="O71" s="156" t="str">
        <f aca="false">IF($B71="","",H71+L71-M71-N71)</f>
        <v/>
      </c>
      <c r="P71" s="158" t="str">
        <f aca="false">IF($B71="","",O71*G71)</f>
        <v/>
      </c>
      <c r="Q71" s="116" t="str">
        <f aca="false">IF($B71="","",H71*G71)</f>
        <v/>
      </c>
      <c r="R71" s="116" t="str">
        <f aca="false">IF($B71="","",(M71+N71)*G71)</f>
        <v/>
      </c>
      <c r="S71" s="117" t="str">
        <f aca="false">IF($B71="","",IF(O71&lt;-0.01,"✖ رصيد سالب",IF(O71&gt;F71*2,"⚠ رصيد مرتفع (أكثر من سنتين)",IF(AND(الموظفون!$AE71&lt;&gt;"",الموظفون!$AE71&lt;=cfg_VAL_DATE,O71&gt;0.01),"⚠ منتهي الخدمة برصيد","✔ سليم"))))</f>
        <v/>
      </c>
    </row>
    <row r="72" customFormat="false" ht="15" hidden="false" customHeight="false" outlineLevel="0" collapsed="false">
      <c r="B72" s="114" t="str">
        <f aca="false">IF(الموظفون!$B72="","",الموظفون!$B72)</f>
        <v/>
      </c>
      <c r="C72" s="114" t="str">
        <f aca="false">IF($B72="","",الموظفون!$C72)</f>
        <v/>
      </c>
      <c r="D72" s="174" t="str">
        <f aca="false">IF($B72="","",الموظفون!$H72)</f>
        <v/>
      </c>
      <c r="E72" s="179" t="str">
        <f aca="false">IF($B72="","",MAX(0,J72-D72+1-SUMIFS('سجل الإجازات والحالات'!$S$6:$S$505,'سجل الإجازات والحالات'!$B$6:$B$505,$B72))/cfg_DAYS_Y)</f>
        <v/>
      </c>
      <c r="F72" s="65" t="str">
        <f aca="false">IF($B72="","",IF(الموظفون!$T72&lt;&gt;"",الموظفون!$T72,IF(E72&gt;=cfg_LV_TH,cfg_LV_D2,cfg_LV_D1)))</f>
        <v/>
      </c>
      <c r="G72" s="111" t="str">
        <f aca="false">IF($B72="","",الموظفون!$R72/cfg_DAYS_M)</f>
        <v/>
      </c>
      <c r="H72" s="151" t="str">
        <f aca="false">IF($B72="","",N(الموظفون!$AC72))</f>
        <v/>
      </c>
      <c r="I72" s="174" t="str">
        <f aca="false">IF($B72="","",MAX(cfg_Y_START,D72))</f>
        <v/>
      </c>
      <c r="J72" s="174" t="str">
        <f aca="false">IF($B72="","",IF(OR(الموظفون!$AE72="",الموظفون!$AE72&gt;cfg_VAL_DATE),cfg_VAL_DATE,الموظفون!$AE72))</f>
        <v/>
      </c>
      <c r="K72" s="65" t="str">
        <f aca="false">IF($B72="","",MAX(0,MAX(0,J72-I72+1)-(SUMIFS('سجل الإجازات والحالات'!$S$6:$S$505,'سجل الإجازات والحالات'!$B$6:$B$505,$B72)-SUMIFS('سجل الإجازات والحالات'!$R$6:$R$505,'سجل الإجازات والحالات'!$B$6:$B$505,$B72))))</f>
        <v/>
      </c>
      <c r="L72" s="151" t="str">
        <f aca="false">IF($B72="","",F72/cfg_DAYS_Y*K72)</f>
        <v/>
      </c>
      <c r="M72" s="151" t="str">
        <f aca="false">IF($B72="","",SUMIFS('سجل الإجازات والحالات'!$T$6:$T$505,'سجل الإجازات والحالات'!$B$6:$B$505,$B72)+SUMIFS('الحركات الشهرية'!$K$6:$K$1005,'الحركات الشهرية'!$B$6:$B$1005,B72,'الحركات الشهرية'!$A$6:$A$1005,"&lt;="&amp;cfg_VAL_M))</f>
        <v/>
      </c>
      <c r="N72" s="151" t="str">
        <f aca="false">IF($B72="","",SUMIFS('الحركات الشهرية'!$L$6:$L$1005,'الحركات الشهرية'!$B$6:$B$1005,B72,'الحركات الشهرية'!$A$6:$A$1005,"&lt;="&amp;cfg_VAL_M))</f>
        <v/>
      </c>
      <c r="O72" s="151" t="str">
        <f aca="false">IF($B72="","",H72+L72-M72-N72)</f>
        <v/>
      </c>
      <c r="P72" s="153" t="str">
        <f aca="false">IF($B72="","",O72*G72)</f>
        <v/>
      </c>
      <c r="Q72" s="111" t="str">
        <f aca="false">IF($B72="","",H72*G72)</f>
        <v/>
      </c>
      <c r="R72" s="111" t="str">
        <f aca="false">IF($B72="","",(M72+N72)*G72)</f>
        <v/>
      </c>
      <c r="S72" s="114" t="str">
        <f aca="false">IF($B72="","",IF(O72&lt;-0.01,"✖ رصيد سالب",IF(O72&gt;F72*2,"⚠ رصيد مرتفع (أكثر من سنتين)",IF(AND(الموظفون!$AE72&lt;&gt;"",الموظفون!$AE72&lt;=cfg_VAL_DATE,O72&gt;0.01),"⚠ منتهي الخدمة برصيد","✔ سليم"))))</f>
        <v/>
      </c>
    </row>
    <row r="73" customFormat="false" ht="15" hidden="false" customHeight="false" outlineLevel="0" collapsed="false">
      <c r="B73" s="117" t="str">
        <f aca="false">IF(الموظفون!$B73="","",الموظفون!$B73)</f>
        <v/>
      </c>
      <c r="C73" s="117" t="str">
        <f aca="false">IF($B73="","",الموظفون!$C73)</f>
        <v/>
      </c>
      <c r="D73" s="175" t="str">
        <f aca="false">IF($B73="","",الموظفون!$H73)</f>
        <v/>
      </c>
      <c r="E73" s="180" t="str">
        <f aca="false">IF($B73="","",MAX(0,J73-D73+1-SUMIFS('سجل الإجازات والحالات'!$S$6:$S$505,'سجل الإجازات والحالات'!$B$6:$B$505,$B73))/cfg_DAYS_Y)</f>
        <v/>
      </c>
      <c r="F73" s="133" t="str">
        <f aca="false">IF($B73="","",IF(الموظفون!$T73&lt;&gt;"",الموظفون!$T73,IF(E73&gt;=cfg_LV_TH,cfg_LV_D2,cfg_LV_D1)))</f>
        <v/>
      </c>
      <c r="G73" s="116" t="str">
        <f aca="false">IF($B73="","",الموظفون!$R73/cfg_DAYS_M)</f>
        <v/>
      </c>
      <c r="H73" s="156" t="str">
        <f aca="false">IF($B73="","",N(الموظفون!$AC73))</f>
        <v/>
      </c>
      <c r="I73" s="175" t="str">
        <f aca="false">IF($B73="","",MAX(cfg_Y_START,D73))</f>
        <v/>
      </c>
      <c r="J73" s="175" t="str">
        <f aca="false">IF($B73="","",IF(OR(الموظفون!$AE73="",الموظفون!$AE73&gt;cfg_VAL_DATE),cfg_VAL_DATE,الموظفون!$AE73))</f>
        <v/>
      </c>
      <c r="K73" s="133" t="str">
        <f aca="false">IF($B73="","",MAX(0,MAX(0,J73-I73+1)-(SUMIFS('سجل الإجازات والحالات'!$S$6:$S$505,'سجل الإجازات والحالات'!$B$6:$B$505,$B73)-SUMIFS('سجل الإجازات والحالات'!$R$6:$R$505,'سجل الإجازات والحالات'!$B$6:$B$505,$B73))))</f>
        <v/>
      </c>
      <c r="L73" s="156" t="str">
        <f aca="false">IF($B73="","",F73/cfg_DAYS_Y*K73)</f>
        <v/>
      </c>
      <c r="M73" s="156" t="str">
        <f aca="false">IF($B73="","",SUMIFS('سجل الإجازات والحالات'!$T$6:$T$505,'سجل الإجازات والحالات'!$B$6:$B$505,$B73)+SUMIFS('الحركات الشهرية'!$K$6:$K$1005,'الحركات الشهرية'!$B$6:$B$1005,B73,'الحركات الشهرية'!$A$6:$A$1005,"&lt;="&amp;cfg_VAL_M))</f>
        <v/>
      </c>
      <c r="N73" s="156" t="str">
        <f aca="false">IF($B73="","",SUMIFS('الحركات الشهرية'!$L$6:$L$1005,'الحركات الشهرية'!$B$6:$B$1005,B73,'الحركات الشهرية'!$A$6:$A$1005,"&lt;="&amp;cfg_VAL_M))</f>
        <v/>
      </c>
      <c r="O73" s="156" t="str">
        <f aca="false">IF($B73="","",H73+L73-M73-N73)</f>
        <v/>
      </c>
      <c r="P73" s="158" t="str">
        <f aca="false">IF($B73="","",O73*G73)</f>
        <v/>
      </c>
      <c r="Q73" s="116" t="str">
        <f aca="false">IF($B73="","",H73*G73)</f>
        <v/>
      </c>
      <c r="R73" s="116" t="str">
        <f aca="false">IF($B73="","",(M73+N73)*G73)</f>
        <v/>
      </c>
      <c r="S73" s="117" t="str">
        <f aca="false">IF($B73="","",IF(O73&lt;-0.01,"✖ رصيد سالب",IF(O73&gt;F73*2,"⚠ رصيد مرتفع (أكثر من سنتين)",IF(AND(الموظفون!$AE73&lt;&gt;"",الموظفون!$AE73&lt;=cfg_VAL_DATE,O73&gt;0.01),"⚠ منتهي الخدمة برصيد","✔ سليم"))))</f>
        <v/>
      </c>
    </row>
    <row r="74" customFormat="false" ht="15" hidden="false" customHeight="false" outlineLevel="0" collapsed="false">
      <c r="B74" s="114" t="str">
        <f aca="false">IF(الموظفون!$B74="","",الموظفون!$B74)</f>
        <v/>
      </c>
      <c r="C74" s="114" t="str">
        <f aca="false">IF($B74="","",الموظفون!$C74)</f>
        <v/>
      </c>
      <c r="D74" s="174" t="str">
        <f aca="false">IF($B74="","",الموظفون!$H74)</f>
        <v/>
      </c>
      <c r="E74" s="179" t="str">
        <f aca="false">IF($B74="","",MAX(0,J74-D74+1-SUMIFS('سجل الإجازات والحالات'!$S$6:$S$505,'سجل الإجازات والحالات'!$B$6:$B$505,$B74))/cfg_DAYS_Y)</f>
        <v/>
      </c>
      <c r="F74" s="65" t="str">
        <f aca="false">IF($B74="","",IF(الموظفون!$T74&lt;&gt;"",الموظفون!$T74,IF(E74&gt;=cfg_LV_TH,cfg_LV_D2,cfg_LV_D1)))</f>
        <v/>
      </c>
      <c r="G74" s="111" t="str">
        <f aca="false">IF($B74="","",الموظفون!$R74/cfg_DAYS_M)</f>
        <v/>
      </c>
      <c r="H74" s="151" t="str">
        <f aca="false">IF($B74="","",N(الموظفون!$AC74))</f>
        <v/>
      </c>
      <c r="I74" s="174" t="str">
        <f aca="false">IF($B74="","",MAX(cfg_Y_START,D74))</f>
        <v/>
      </c>
      <c r="J74" s="174" t="str">
        <f aca="false">IF($B74="","",IF(OR(الموظفون!$AE74="",الموظفون!$AE74&gt;cfg_VAL_DATE),cfg_VAL_DATE,الموظفون!$AE74))</f>
        <v/>
      </c>
      <c r="K74" s="65" t="str">
        <f aca="false">IF($B74="","",MAX(0,MAX(0,J74-I74+1)-(SUMIFS('سجل الإجازات والحالات'!$S$6:$S$505,'سجل الإجازات والحالات'!$B$6:$B$505,$B74)-SUMIFS('سجل الإجازات والحالات'!$R$6:$R$505,'سجل الإجازات والحالات'!$B$6:$B$505,$B74))))</f>
        <v/>
      </c>
      <c r="L74" s="151" t="str">
        <f aca="false">IF($B74="","",F74/cfg_DAYS_Y*K74)</f>
        <v/>
      </c>
      <c r="M74" s="151" t="str">
        <f aca="false">IF($B74="","",SUMIFS('سجل الإجازات والحالات'!$T$6:$T$505,'سجل الإجازات والحالات'!$B$6:$B$505,$B74)+SUMIFS('الحركات الشهرية'!$K$6:$K$1005,'الحركات الشهرية'!$B$6:$B$1005,B74,'الحركات الشهرية'!$A$6:$A$1005,"&lt;="&amp;cfg_VAL_M))</f>
        <v/>
      </c>
      <c r="N74" s="151" t="str">
        <f aca="false">IF($B74="","",SUMIFS('الحركات الشهرية'!$L$6:$L$1005,'الحركات الشهرية'!$B$6:$B$1005,B74,'الحركات الشهرية'!$A$6:$A$1005,"&lt;="&amp;cfg_VAL_M))</f>
        <v/>
      </c>
      <c r="O74" s="151" t="str">
        <f aca="false">IF($B74="","",H74+L74-M74-N74)</f>
        <v/>
      </c>
      <c r="P74" s="153" t="str">
        <f aca="false">IF($B74="","",O74*G74)</f>
        <v/>
      </c>
      <c r="Q74" s="111" t="str">
        <f aca="false">IF($B74="","",H74*G74)</f>
        <v/>
      </c>
      <c r="R74" s="111" t="str">
        <f aca="false">IF($B74="","",(M74+N74)*G74)</f>
        <v/>
      </c>
      <c r="S74" s="114" t="str">
        <f aca="false">IF($B74="","",IF(O74&lt;-0.01,"✖ رصيد سالب",IF(O74&gt;F74*2,"⚠ رصيد مرتفع (أكثر من سنتين)",IF(AND(الموظفون!$AE74&lt;&gt;"",الموظفون!$AE74&lt;=cfg_VAL_DATE,O74&gt;0.01),"⚠ منتهي الخدمة برصيد","✔ سليم"))))</f>
        <v/>
      </c>
    </row>
    <row r="75" customFormat="false" ht="15" hidden="false" customHeight="false" outlineLevel="0" collapsed="false">
      <c r="B75" s="117" t="str">
        <f aca="false">IF(الموظفون!$B75="","",الموظفون!$B75)</f>
        <v/>
      </c>
      <c r="C75" s="117" t="str">
        <f aca="false">IF($B75="","",الموظفون!$C75)</f>
        <v/>
      </c>
      <c r="D75" s="175" t="str">
        <f aca="false">IF($B75="","",الموظفون!$H75)</f>
        <v/>
      </c>
      <c r="E75" s="180" t="str">
        <f aca="false">IF($B75="","",MAX(0,J75-D75+1-SUMIFS('سجل الإجازات والحالات'!$S$6:$S$505,'سجل الإجازات والحالات'!$B$6:$B$505,$B75))/cfg_DAYS_Y)</f>
        <v/>
      </c>
      <c r="F75" s="133" t="str">
        <f aca="false">IF($B75="","",IF(الموظفون!$T75&lt;&gt;"",الموظفون!$T75,IF(E75&gt;=cfg_LV_TH,cfg_LV_D2,cfg_LV_D1)))</f>
        <v/>
      </c>
      <c r="G75" s="116" t="str">
        <f aca="false">IF($B75="","",الموظفون!$R75/cfg_DAYS_M)</f>
        <v/>
      </c>
      <c r="H75" s="156" t="str">
        <f aca="false">IF($B75="","",N(الموظفون!$AC75))</f>
        <v/>
      </c>
      <c r="I75" s="175" t="str">
        <f aca="false">IF($B75="","",MAX(cfg_Y_START,D75))</f>
        <v/>
      </c>
      <c r="J75" s="175" t="str">
        <f aca="false">IF($B75="","",IF(OR(الموظفون!$AE75="",الموظفون!$AE75&gt;cfg_VAL_DATE),cfg_VAL_DATE,الموظفون!$AE75))</f>
        <v/>
      </c>
      <c r="K75" s="133" t="str">
        <f aca="false">IF($B75="","",MAX(0,MAX(0,J75-I75+1)-(SUMIFS('سجل الإجازات والحالات'!$S$6:$S$505,'سجل الإجازات والحالات'!$B$6:$B$505,$B75)-SUMIFS('سجل الإجازات والحالات'!$R$6:$R$505,'سجل الإجازات والحالات'!$B$6:$B$505,$B75))))</f>
        <v/>
      </c>
      <c r="L75" s="156" t="str">
        <f aca="false">IF($B75="","",F75/cfg_DAYS_Y*K75)</f>
        <v/>
      </c>
      <c r="M75" s="156" t="str">
        <f aca="false">IF($B75="","",SUMIFS('سجل الإجازات والحالات'!$T$6:$T$505,'سجل الإجازات والحالات'!$B$6:$B$505,$B75)+SUMIFS('الحركات الشهرية'!$K$6:$K$1005,'الحركات الشهرية'!$B$6:$B$1005,B75,'الحركات الشهرية'!$A$6:$A$1005,"&lt;="&amp;cfg_VAL_M))</f>
        <v/>
      </c>
      <c r="N75" s="156" t="str">
        <f aca="false">IF($B75="","",SUMIFS('الحركات الشهرية'!$L$6:$L$1005,'الحركات الشهرية'!$B$6:$B$1005,B75,'الحركات الشهرية'!$A$6:$A$1005,"&lt;="&amp;cfg_VAL_M))</f>
        <v/>
      </c>
      <c r="O75" s="156" t="str">
        <f aca="false">IF($B75="","",H75+L75-M75-N75)</f>
        <v/>
      </c>
      <c r="P75" s="158" t="str">
        <f aca="false">IF($B75="","",O75*G75)</f>
        <v/>
      </c>
      <c r="Q75" s="116" t="str">
        <f aca="false">IF($B75="","",H75*G75)</f>
        <v/>
      </c>
      <c r="R75" s="116" t="str">
        <f aca="false">IF($B75="","",(M75+N75)*G75)</f>
        <v/>
      </c>
      <c r="S75" s="117" t="str">
        <f aca="false">IF($B75="","",IF(O75&lt;-0.01,"✖ رصيد سالب",IF(O75&gt;F75*2,"⚠ رصيد مرتفع (أكثر من سنتين)",IF(AND(الموظفون!$AE75&lt;&gt;"",الموظفون!$AE75&lt;=cfg_VAL_DATE,O75&gt;0.01),"⚠ منتهي الخدمة برصيد","✔ سليم"))))</f>
        <v/>
      </c>
    </row>
    <row r="76" customFormat="false" ht="15" hidden="false" customHeight="false" outlineLevel="0" collapsed="false">
      <c r="B76" s="114" t="str">
        <f aca="false">IF(الموظفون!$B76="","",الموظفون!$B76)</f>
        <v/>
      </c>
      <c r="C76" s="114" t="str">
        <f aca="false">IF($B76="","",الموظفون!$C76)</f>
        <v/>
      </c>
      <c r="D76" s="174" t="str">
        <f aca="false">IF($B76="","",الموظفون!$H76)</f>
        <v/>
      </c>
      <c r="E76" s="179" t="str">
        <f aca="false">IF($B76="","",MAX(0,J76-D76+1-SUMIFS('سجل الإجازات والحالات'!$S$6:$S$505,'سجل الإجازات والحالات'!$B$6:$B$505,$B76))/cfg_DAYS_Y)</f>
        <v/>
      </c>
      <c r="F76" s="65" t="str">
        <f aca="false">IF($B76="","",IF(الموظفون!$T76&lt;&gt;"",الموظفون!$T76,IF(E76&gt;=cfg_LV_TH,cfg_LV_D2,cfg_LV_D1)))</f>
        <v/>
      </c>
      <c r="G76" s="111" t="str">
        <f aca="false">IF($B76="","",الموظفون!$R76/cfg_DAYS_M)</f>
        <v/>
      </c>
      <c r="H76" s="151" t="str">
        <f aca="false">IF($B76="","",N(الموظفون!$AC76))</f>
        <v/>
      </c>
      <c r="I76" s="174" t="str">
        <f aca="false">IF($B76="","",MAX(cfg_Y_START,D76))</f>
        <v/>
      </c>
      <c r="J76" s="174" t="str">
        <f aca="false">IF($B76="","",IF(OR(الموظفون!$AE76="",الموظفون!$AE76&gt;cfg_VAL_DATE),cfg_VAL_DATE,الموظفون!$AE76))</f>
        <v/>
      </c>
      <c r="K76" s="65" t="str">
        <f aca="false">IF($B76="","",MAX(0,MAX(0,J76-I76+1)-(SUMIFS('سجل الإجازات والحالات'!$S$6:$S$505,'سجل الإجازات والحالات'!$B$6:$B$505,$B76)-SUMIFS('سجل الإجازات والحالات'!$R$6:$R$505,'سجل الإجازات والحالات'!$B$6:$B$505,$B76))))</f>
        <v/>
      </c>
      <c r="L76" s="151" t="str">
        <f aca="false">IF($B76="","",F76/cfg_DAYS_Y*K76)</f>
        <v/>
      </c>
      <c r="M76" s="151" t="str">
        <f aca="false">IF($B76="","",SUMIFS('سجل الإجازات والحالات'!$T$6:$T$505,'سجل الإجازات والحالات'!$B$6:$B$505,$B76)+SUMIFS('الحركات الشهرية'!$K$6:$K$1005,'الحركات الشهرية'!$B$6:$B$1005,B76,'الحركات الشهرية'!$A$6:$A$1005,"&lt;="&amp;cfg_VAL_M))</f>
        <v/>
      </c>
      <c r="N76" s="151" t="str">
        <f aca="false">IF($B76="","",SUMIFS('الحركات الشهرية'!$L$6:$L$1005,'الحركات الشهرية'!$B$6:$B$1005,B76,'الحركات الشهرية'!$A$6:$A$1005,"&lt;="&amp;cfg_VAL_M))</f>
        <v/>
      </c>
      <c r="O76" s="151" t="str">
        <f aca="false">IF($B76="","",H76+L76-M76-N76)</f>
        <v/>
      </c>
      <c r="P76" s="153" t="str">
        <f aca="false">IF($B76="","",O76*G76)</f>
        <v/>
      </c>
      <c r="Q76" s="111" t="str">
        <f aca="false">IF($B76="","",H76*G76)</f>
        <v/>
      </c>
      <c r="R76" s="111" t="str">
        <f aca="false">IF($B76="","",(M76+N76)*G76)</f>
        <v/>
      </c>
      <c r="S76" s="114" t="str">
        <f aca="false">IF($B76="","",IF(O76&lt;-0.01,"✖ رصيد سالب",IF(O76&gt;F76*2,"⚠ رصيد مرتفع (أكثر من سنتين)",IF(AND(الموظفون!$AE76&lt;&gt;"",الموظفون!$AE76&lt;=cfg_VAL_DATE,O76&gt;0.01),"⚠ منتهي الخدمة برصيد","✔ سليم"))))</f>
        <v/>
      </c>
    </row>
    <row r="77" customFormat="false" ht="15" hidden="false" customHeight="false" outlineLevel="0" collapsed="false">
      <c r="B77" s="117" t="str">
        <f aca="false">IF(الموظفون!$B77="","",الموظفون!$B77)</f>
        <v/>
      </c>
      <c r="C77" s="117" t="str">
        <f aca="false">IF($B77="","",الموظفون!$C77)</f>
        <v/>
      </c>
      <c r="D77" s="175" t="str">
        <f aca="false">IF($B77="","",الموظفون!$H77)</f>
        <v/>
      </c>
      <c r="E77" s="180" t="str">
        <f aca="false">IF($B77="","",MAX(0,J77-D77+1-SUMIFS('سجل الإجازات والحالات'!$S$6:$S$505,'سجل الإجازات والحالات'!$B$6:$B$505,$B77))/cfg_DAYS_Y)</f>
        <v/>
      </c>
      <c r="F77" s="133" t="str">
        <f aca="false">IF($B77="","",IF(الموظفون!$T77&lt;&gt;"",الموظفون!$T77,IF(E77&gt;=cfg_LV_TH,cfg_LV_D2,cfg_LV_D1)))</f>
        <v/>
      </c>
      <c r="G77" s="116" t="str">
        <f aca="false">IF($B77="","",الموظفون!$R77/cfg_DAYS_M)</f>
        <v/>
      </c>
      <c r="H77" s="156" t="str">
        <f aca="false">IF($B77="","",N(الموظفون!$AC77))</f>
        <v/>
      </c>
      <c r="I77" s="175" t="str">
        <f aca="false">IF($B77="","",MAX(cfg_Y_START,D77))</f>
        <v/>
      </c>
      <c r="J77" s="175" t="str">
        <f aca="false">IF($B77="","",IF(OR(الموظفون!$AE77="",الموظفون!$AE77&gt;cfg_VAL_DATE),cfg_VAL_DATE,الموظفون!$AE77))</f>
        <v/>
      </c>
      <c r="K77" s="133" t="str">
        <f aca="false">IF($B77="","",MAX(0,MAX(0,J77-I77+1)-(SUMIFS('سجل الإجازات والحالات'!$S$6:$S$505,'سجل الإجازات والحالات'!$B$6:$B$505,$B77)-SUMIFS('سجل الإجازات والحالات'!$R$6:$R$505,'سجل الإجازات والحالات'!$B$6:$B$505,$B77))))</f>
        <v/>
      </c>
      <c r="L77" s="156" t="str">
        <f aca="false">IF($B77="","",F77/cfg_DAYS_Y*K77)</f>
        <v/>
      </c>
      <c r="M77" s="156" t="str">
        <f aca="false">IF($B77="","",SUMIFS('سجل الإجازات والحالات'!$T$6:$T$505,'سجل الإجازات والحالات'!$B$6:$B$505,$B77)+SUMIFS('الحركات الشهرية'!$K$6:$K$1005,'الحركات الشهرية'!$B$6:$B$1005,B77,'الحركات الشهرية'!$A$6:$A$1005,"&lt;="&amp;cfg_VAL_M))</f>
        <v/>
      </c>
      <c r="N77" s="156" t="str">
        <f aca="false">IF($B77="","",SUMIFS('الحركات الشهرية'!$L$6:$L$1005,'الحركات الشهرية'!$B$6:$B$1005,B77,'الحركات الشهرية'!$A$6:$A$1005,"&lt;="&amp;cfg_VAL_M))</f>
        <v/>
      </c>
      <c r="O77" s="156" t="str">
        <f aca="false">IF($B77="","",H77+L77-M77-N77)</f>
        <v/>
      </c>
      <c r="P77" s="158" t="str">
        <f aca="false">IF($B77="","",O77*G77)</f>
        <v/>
      </c>
      <c r="Q77" s="116" t="str">
        <f aca="false">IF($B77="","",H77*G77)</f>
        <v/>
      </c>
      <c r="R77" s="116" t="str">
        <f aca="false">IF($B77="","",(M77+N77)*G77)</f>
        <v/>
      </c>
      <c r="S77" s="117" t="str">
        <f aca="false">IF($B77="","",IF(O77&lt;-0.01,"✖ رصيد سالب",IF(O77&gt;F77*2,"⚠ رصيد مرتفع (أكثر من سنتين)",IF(AND(الموظفون!$AE77&lt;&gt;"",الموظفون!$AE77&lt;=cfg_VAL_DATE,O77&gt;0.01),"⚠ منتهي الخدمة برصيد","✔ سليم"))))</f>
        <v/>
      </c>
    </row>
    <row r="78" customFormat="false" ht="15" hidden="false" customHeight="false" outlineLevel="0" collapsed="false">
      <c r="B78" s="114" t="str">
        <f aca="false">IF(الموظفون!$B78="","",الموظفون!$B78)</f>
        <v/>
      </c>
      <c r="C78" s="114" t="str">
        <f aca="false">IF($B78="","",الموظفون!$C78)</f>
        <v/>
      </c>
      <c r="D78" s="174" t="str">
        <f aca="false">IF($B78="","",الموظفون!$H78)</f>
        <v/>
      </c>
      <c r="E78" s="179" t="str">
        <f aca="false">IF($B78="","",MAX(0,J78-D78+1-SUMIFS('سجل الإجازات والحالات'!$S$6:$S$505,'سجل الإجازات والحالات'!$B$6:$B$505,$B78))/cfg_DAYS_Y)</f>
        <v/>
      </c>
      <c r="F78" s="65" t="str">
        <f aca="false">IF($B78="","",IF(الموظفون!$T78&lt;&gt;"",الموظفون!$T78,IF(E78&gt;=cfg_LV_TH,cfg_LV_D2,cfg_LV_D1)))</f>
        <v/>
      </c>
      <c r="G78" s="111" t="str">
        <f aca="false">IF($B78="","",الموظفون!$R78/cfg_DAYS_M)</f>
        <v/>
      </c>
      <c r="H78" s="151" t="str">
        <f aca="false">IF($B78="","",N(الموظفون!$AC78))</f>
        <v/>
      </c>
      <c r="I78" s="174" t="str">
        <f aca="false">IF($B78="","",MAX(cfg_Y_START,D78))</f>
        <v/>
      </c>
      <c r="J78" s="174" t="str">
        <f aca="false">IF($B78="","",IF(OR(الموظفون!$AE78="",الموظفون!$AE78&gt;cfg_VAL_DATE),cfg_VAL_DATE,الموظفون!$AE78))</f>
        <v/>
      </c>
      <c r="K78" s="65" t="str">
        <f aca="false">IF($B78="","",MAX(0,MAX(0,J78-I78+1)-(SUMIFS('سجل الإجازات والحالات'!$S$6:$S$505,'سجل الإجازات والحالات'!$B$6:$B$505,$B78)-SUMIFS('سجل الإجازات والحالات'!$R$6:$R$505,'سجل الإجازات والحالات'!$B$6:$B$505,$B78))))</f>
        <v/>
      </c>
      <c r="L78" s="151" t="str">
        <f aca="false">IF($B78="","",F78/cfg_DAYS_Y*K78)</f>
        <v/>
      </c>
      <c r="M78" s="151" t="str">
        <f aca="false">IF($B78="","",SUMIFS('سجل الإجازات والحالات'!$T$6:$T$505,'سجل الإجازات والحالات'!$B$6:$B$505,$B78)+SUMIFS('الحركات الشهرية'!$K$6:$K$1005,'الحركات الشهرية'!$B$6:$B$1005,B78,'الحركات الشهرية'!$A$6:$A$1005,"&lt;="&amp;cfg_VAL_M))</f>
        <v/>
      </c>
      <c r="N78" s="151" t="str">
        <f aca="false">IF($B78="","",SUMIFS('الحركات الشهرية'!$L$6:$L$1005,'الحركات الشهرية'!$B$6:$B$1005,B78,'الحركات الشهرية'!$A$6:$A$1005,"&lt;="&amp;cfg_VAL_M))</f>
        <v/>
      </c>
      <c r="O78" s="151" t="str">
        <f aca="false">IF($B78="","",H78+L78-M78-N78)</f>
        <v/>
      </c>
      <c r="P78" s="153" t="str">
        <f aca="false">IF($B78="","",O78*G78)</f>
        <v/>
      </c>
      <c r="Q78" s="111" t="str">
        <f aca="false">IF($B78="","",H78*G78)</f>
        <v/>
      </c>
      <c r="R78" s="111" t="str">
        <f aca="false">IF($B78="","",(M78+N78)*G78)</f>
        <v/>
      </c>
      <c r="S78" s="114" t="str">
        <f aca="false">IF($B78="","",IF(O78&lt;-0.01,"✖ رصيد سالب",IF(O78&gt;F78*2,"⚠ رصيد مرتفع (أكثر من سنتين)",IF(AND(الموظفون!$AE78&lt;&gt;"",الموظفون!$AE78&lt;=cfg_VAL_DATE,O78&gt;0.01),"⚠ منتهي الخدمة برصيد","✔ سليم"))))</f>
        <v/>
      </c>
    </row>
    <row r="79" customFormat="false" ht="15" hidden="false" customHeight="false" outlineLevel="0" collapsed="false">
      <c r="B79" s="117" t="str">
        <f aca="false">IF(الموظفون!$B79="","",الموظفون!$B79)</f>
        <v/>
      </c>
      <c r="C79" s="117" t="str">
        <f aca="false">IF($B79="","",الموظفون!$C79)</f>
        <v/>
      </c>
      <c r="D79" s="175" t="str">
        <f aca="false">IF($B79="","",الموظفون!$H79)</f>
        <v/>
      </c>
      <c r="E79" s="180" t="str">
        <f aca="false">IF($B79="","",MAX(0,J79-D79+1-SUMIFS('سجل الإجازات والحالات'!$S$6:$S$505,'سجل الإجازات والحالات'!$B$6:$B$505,$B79))/cfg_DAYS_Y)</f>
        <v/>
      </c>
      <c r="F79" s="133" t="str">
        <f aca="false">IF($B79="","",IF(الموظفون!$T79&lt;&gt;"",الموظفون!$T79,IF(E79&gt;=cfg_LV_TH,cfg_LV_D2,cfg_LV_D1)))</f>
        <v/>
      </c>
      <c r="G79" s="116" t="str">
        <f aca="false">IF($B79="","",الموظفون!$R79/cfg_DAYS_M)</f>
        <v/>
      </c>
      <c r="H79" s="156" t="str">
        <f aca="false">IF($B79="","",N(الموظفون!$AC79))</f>
        <v/>
      </c>
      <c r="I79" s="175" t="str">
        <f aca="false">IF($B79="","",MAX(cfg_Y_START,D79))</f>
        <v/>
      </c>
      <c r="J79" s="175" t="str">
        <f aca="false">IF($B79="","",IF(OR(الموظفون!$AE79="",الموظفون!$AE79&gt;cfg_VAL_DATE),cfg_VAL_DATE,الموظفون!$AE79))</f>
        <v/>
      </c>
      <c r="K79" s="133" t="str">
        <f aca="false">IF($B79="","",MAX(0,MAX(0,J79-I79+1)-(SUMIFS('سجل الإجازات والحالات'!$S$6:$S$505,'سجل الإجازات والحالات'!$B$6:$B$505,$B79)-SUMIFS('سجل الإجازات والحالات'!$R$6:$R$505,'سجل الإجازات والحالات'!$B$6:$B$505,$B79))))</f>
        <v/>
      </c>
      <c r="L79" s="156" t="str">
        <f aca="false">IF($B79="","",F79/cfg_DAYS_Y*K79)</f>
        <v/>
      </c>
      <c r="M79" s="156" t="str">
        <f aca="false">IF($B79="","",SUMIFS('سجل الإجازات والحالات'!$T$6:$T$505,'سجل الإجازات والحالات'!$B$6:$B$505,$B79)+SUMIFS('الحركات الشهرية'!$K$6:$K$1005,'الحركات الشهرية'!$B$6:$B$1005,B79,'الحركات الشهرية'!$A$6:$A$1005,"&lt;="&amp;cfg_VAL_M))</f>
        <v/>
      </c>
      <c r="N79" s="156" t="str">
        <f aca="false">IF($B79="","",SUMIFS('الحركات الشهرية'!$L$6:$L$1005,'الحركات الشهرية'!$B$6:$B$1005,B79,'الحركات الشهرية'!$A$6:$A$1005,"&lt;="&amp;cfg_VAL_M))</f>
        <v/>
      </c>
      <c r="O79" s="156" t="str">
        <f aca="false">IF($B79="","",H79+L79-M79-N79)</f>
        <v/>
      </c>
      <c r="P79" s="158" t="str">
        <f aca="false">IF($B79="","",O79*G79)</f>
        <v/>
      </c>
      <c r="Q79" s="116" t="str">
        <f aca="false">IF($B79="","",H79*G79)</f>
        <v/>
      </c>
      <c r="R79" s="116" t="str">
        <f aca="false">IF($B79="","",(M79+N79)*G79)</f>
        <v/>
      </c>
      <c r="S79" s="117" t="str">
        <f aca="false">IF($B79="","",IF(O79&lt;-0.01,"✖ رصيد سالب",IF(O79&gt;F79*2,"⚠ رصيد مرتفع (أكثر من سنتين)",IF(AND(الموظفون!$AE79&lt;&gt;"",الموظفون!$AE79&lt;=cfg_VAL_DATE,O79&gt;0.01),"⚠ منتهي الخدمة برصيد","✔ سليم"))))</f>
        <v/>
      </c>
    </row>
    <row r="80" customFormat="false" ht="15" hidden="false" customHeight="false" outlineLevel="0" collapsed="false">
      <c r="B80" s="114" t="str">
        <f aca="false">IF(الموظفون!$B80="","",الموظفون!$B80)</f>
        <v/>
      </c>
      <c r="C80" s="114" t="str">
        <f aca="false">IF($B80="","",الموظفون!$C80)</f>
        <v/>
      </c>
      <c r="D80" s="174" t="str">
        <f aca="false">IF($B80="","",الموظفون!$H80)</f>
        <v/>
      </c>
      <c r="E80" s="179" t="str">
        <f aca="false">IF($B80="","",MAX(0,J80-D80+1-SUMIFS('سجل الإجازات والحالات'!$S$6:$S$505,'سجل الإجازات والحالات'!$B$6:$B$505,$B80))/cfg_DAYS_Y)</f>
        <v/>
      </c>
      <c r="F80" s="65" t="str">
        <f aca="false">IF($B80="","",IF(الموظفون!$T80&lt;&gt;"",الموظفون!$T80,IF(E80&gt;=cfg_LV_TH,cfg_LV_D2,cfg_LV_D1)))</f>
        <v/>
      </c>
      <c r="G80" s="111" t="str">
        <f aca="false">IF($B80="","",الموظفون!$R80/cfg_DAYS_M)</f>
        <v/>
      </c>
      <c r="H80" s="151" t="str">
        <f aca="false">IF($B80="","",N(الموظفون!$AC80))</f>
        <v/>
      </c>
      <c r="I80" s="174" t="str">
        <f aca="false">IF($B80="","",MAX(cfg_Y_START,D80))</f>
        <v/>
      </c>
      <c r="J80" s="174" t="str">
        <f aca="false">IF($B80="","",IF(OR(الموظفون!$AE80="",الموظفون!$AE80&gt;cfg_VAL_DATE),cfg_VAL_DATE,الموظفون!$AE80))</f>
        <v/>
      </c>
      <c r="K80" s="65" t="str">
        <f aca="false">IF($B80="","",MAX(0,MAX(0,J80-I80+1)-(SUMIFS('سجل الإجازات والحالات'!$S$6:$S$505,'سجل الإجازات والحالات'!$B$6:$B$505,$B80)-SUMIFS('سجل الإجازات والحالات'!$R$6:$R$505,'سجل الإجازات والحالات'!$B$6:$B$505,$B80))))</f>
        <v/>
      </c>
      <c r="L80" s="151" t="str">
        <f aca="false">IF($B80="","",F80/cfg_DAYS_Y*K80)</f>
        <v/>
      </c>
      <c r="M80" s="151" t="str">
        <f aca="false">IF($B80="","",SUMIFS('سجل الإجازات والحالات'!$T$6:$T$505,'سجل الإجازات والحالات'!$B$6:$B$505,$B80)+SUMIFS('الحركات الشهرية'!$K$6:$K$1005,'الحركات الشهرية'!$B$6:$B$1005,B80,'الحركات الشهرية'!$A$6:$A$1005,"&lt;="&amp;cfg_VAL_M))</f>
        <v/>
      </c>
      <c r="N80" s="151" t="str">
        <f aca="false">IF($B80="","",SUMIFS('الحركات الشهرية'!$L$6:$L$1005,'الحركات الشهرية'!$B$6:$B$1005,B80,'الحركات الشهرية'!$A$6:$A$1005,"&lt;="&amp;cfg_VAL_M))</f>
        <v/>
      </c>
      <c r="O80" s="151" t="str">
        <f aca="false">IF($B80="","",H80+L80-M80-N80)</f>
        <v/>
      </c>
      <c r="P80" s="153" t="str">
        <f aca="false">IF($B80="","",O80*G80)</f>
        <v/>
      </c>
      <c r="Q80" s="111" t="str">
        <f aca="false">IF($B80="","",H80*G80)</f>
        <v/>
      </c>
      <c r="R80" s="111" t="str">
        <f aca="false">IF($B80="","",(M80+N80)*G80)</f>
        <v/>
      </c>
      <c r="S80" s="114" t="str">
        <f aca="false">IF($B80="","",IF(O80&lt;-0.01,"✖ رصيد سالب",IF(O80&gt;F80*2,"⚠ رصيد مرتفع (أكثر من سنتين)",IF(AND(الموظفون!$AE80&lt;&gt;"",الموظفون!$AE80&lt;=cfg_VAL_DATE,O80&gt;0.01),"⚠ منتهي الخدمة برصيد","✔ سليم"))))</f>
        <v/>
      </c>
    </row>
    <row r="81" customFormat="false" ht="15" hidden="false" customHeight="false" outlineLevel="0" collapsed="false">
      <c r="B81" s="117" t="str">
        <f aca="false">IF(الموظفون!$B81="","",الموظفون!$B81)</f>
        <v/>
      </c>
      <c r="C81" s="117" t="str">
        <f aca="false">IF($B81="","",الموظفون!$C81)</f>
        <v/>
      </c>
      <c r="D81" s="175" t="str">
        <f aca="false">IF($B81="","",الموظفون!$H81)</f>
        <v/>
      </c>
      <c r="E81" s="180" t="str">
        <f aca="false">IF($B81="","",MAX(0,J81-D81+1-SUMIFS('سجل الإجازات والحالات'!$S$6:$S$505,'سجل الإجازات والحالات'!$B$6:$B$505,$B81))/cfg_DAYS_Y)</f>
        <v/>
      </c>
      <c r="F81" s="133" t="str">
        <f aca="false">IF($B81="","",IF(الموظفون!$T81&lt;&gt;"",الموظفون!$T81,IF(E81&gt;=cfg_LV_TH,cfg_LV_D2,cfg_LV_D1)))</f>
        <v/>
      </c>
      <c r="G81" s="116" t="str">
        <f aca="false">IF($B81="","",الموظفون!$R81/cfg_DAYS_M)</f>
        <v/>
      </c>
      <c r="H81" s="156" t="str">
        <f aca="false">IF($B81="","",N(الموظفون!$AC81))</f>
        <v/>
      </c>
      <c r="I81" s="175" t="str">
        <f aca="false">IF($B81="","",MAX(cfg_Y_START,D81))</f>
        <v/>
      </c>
      <c r="J81" s="175" t="str">
        <f aca="false">IF($B81="","",IF(OR(الموظفون!$AE81="",الموظفون!$AE81&gt;cfg_VAL_DATE),cfg_VAL_DATE,الموظفون!$AE81))</f>
        <v/>
      </c>
      <c r="K81" s="133" t="str">
        <f aca="false">IF($B81="","",MAX(0,MAX(0,J81-I81+1)-(SUMIFS('سجل الإجازات والحالات'!$S$6:$S$505,'سجل الإجازات والحالات'!$B$6:$B$505,$B81)-SUMIFS('سجل الإجازات والحالات'!$R$6:$R$505,'سجل الإجازات والحالات'!$B$6:$B$505,$B81))))</f>
        <v/>
      </c>
      <c r="L81" s="156" t="str">
        <f aca="false">IF($B81="","",F81/cfg_DAYS_Y*K81)</f>
        <v/>
      </c>
      <c r="M81" s="156" t="str">
        <f aca="false">IF($B81="","",SUMIFS('سجل الإجازات والحالات'!$T$6:$T$505,'سجل الإجازات والحالات'!$B$6:$B$505,$B81)+SUMIFS('الحركات الشهرية'!$K$6:$K$1005,'الحركات الشهرية'!$B$6:$B$1005,B81,'الحركات الشهرية'!$A$6:$A$1005,"&lt;="&amp;cfg_VAL_M))</f>
        <v/>
      </c>
      <c r="N81" s="156" t="str">
        <f aca="false">IF($B81="","",SUMIFS('الحركات الشهرية'!$L$6:$L$1005,'الحركات الشهرية'!$B$6:$B$1005,B81,'الحركات الشهرية'!$A$6:$A$1005,"&lt;="&amp;cfg_VAL_M))</f>
        <v/>
      </c>
      <c r="O81" s="156" t="str">
        <f aca="false">IF($B81="","",H81+L81-M81-N81)</f>
        <v/>
      </c>
      <c r="P81" s="158" t="str">
        <f aca="false">IF($B81="","",O81*G81)</f>
        <v/>
      </c>
      <c r="Q81" s="116" t="str">
        <f aca="false">IF($B81="","",H81*G81)</f>
        <v/>
      </c>
      <c r="R81" s="116" t="str">
        <f aca="false">IF($B81="","",(M81+N81)*G81)</f>
        <v/>
      </c>
      <c r="S81" s="117" t="str">
        <f aca="false">IF($B81="","",IF(O81&lt;-0.01,"✖ رصيد سالب",IF(O81&gt;F81*2,"⚠ رصيد مرتفع (أكثر من سنتين)",IF(AND(الموظفون!$AE81&lt;&gt;"",الموظفون!$AE81&lt;=cfg_VAL_DATE,O81&gt;0.01),"⚠ منتهي الخدمة برصيد","✔ سليم"))))</f>
        <v/>
      </c>
    </row>
    <row r="82" customFormat="false" ht="15" hidden="false" customHeight="false" outlineLevel="0" collapsed="false">
      <c r="B82" s="114" t="str">
        <f aca="false">IF(الموظفون!$B82="","",الموظفون!$B82)</f>
        <v/>
      </c>
      <c r="C82" s="114" t="str">
        <f aca="false">IF($B82="","",الموظفون!$C82)</f>
        <v/>
      </c>
      <c r="D82" s="174" t="str">
        <f aca="false">IF($B82="","",الموظفون!$H82)</f>
        <v/>
      </c>
      <c r="E82" s="179" t="str">
        <f aca="false">IF($B82="","",MAX(0,J82-D82+1-SUMIFS('سجل الإجازات والحالات'!$S$6:$S$505,'سجل الإجازات والحالات'!$B$6:$B$505,$B82))/cfg_DAYS_Y)</f>
        <v/>
      </c>
      <c r="F82" s="65" t="str">
        <f aca="false">IF($B82="","",IF(الموظفون!$T82&lt;&gt;"",الموظفون!$T82,IF(E82&gt;=cfg_LV_TH,cfg_LV_D2,cfg_LV_D1)))</f>
        <v/>
      </c>
      <c r="G82" s="111" t="str">
        <f aca="false">IF($B82="","",الموظفون!$R82/cfg_DAYS_M)</f>
        <v/>
      </c>
      <c r="H82" s="151" t="str">
        <f aca="false">IF($B82="","",N(الموظفون!$AC82))</f>
        <v/>
      </c>
      <c r="I82" s="174" t="str">
        <f aca="false">IF($B82="","",MAX(cfg_Y_START,D82))</f>
        <v/>
      </c>
      <c r="J82" s="174" t="str">
        <f aca="false">IF($B82="","",IF(OR(الموظفون!$AE82="",الموظفون!$AE82&gt;cfg_VAL_DATE),cfg_VAL_DATE,الموظفون!$AE82))</f>
        <v/>
      </c>
      <c r="K82" s="65" t="str">
        <f aca="false">IF($B82="","",MAX(0,MAX(0,J82-I82+1)-(SUMIFS('سجل الإجازات والحالات'!$S$6:$S$505,'سجل الإجازات والحالات'!$B$6:$B$505,$B82)-SUMIFS('سجل الإجازات والحالات'!$R$6:$R$505,'سجل الإجازات والحالات'!$B$6:$B$505,$B82))))</f>
        <v/>
      </c>
      <c r="L82" s="151" t="str">
        <f aca="false">IF($B82="","",F82/cfg_DAYS_Y*K82)</f>
        <v/>
      </c>
      <c r="M82" s="151" t="str">
        <f aca="false">IF($B82="","",SUMIFS('سجل الإجازات والحالات'!$T$6:$T$505,'سجل الإجازات والحالات'!$B$6:$B$505,$B82)+SUMIFS('الحركات الشهرية'!$K$6:$K$1005,'الحركات الشهرية'!$B$6:$B$1005,B82,'الحركات الشهرية'!$A$6:$A$1005,"&lt;="&amp;cfg_VAL_M))</f>
        <v/>
      </c>
      <c r="N82" s="151" t="str">
        <f aca="false">IF($B82="","",SUMIFS('الحركات الشهرية'!$L$6:$L$1005,'الحركات الشهرية'!$B$6:$B$1005,B82,'الحركات الشهرية'!$A$6:$A$1005,"&lt;="&amp;cfg_VAL_M))</f>
        <v/>
      </c>
      <c r="O82" s="151" t="str">
        <f aca="false">IF($B82="","",H82+L82-M82-N82)</f>
        <v/>
      </c>
      <c r="P82" s="153" t="str">
        <f aca="false">IF($B82="","",O82*G82)</f>
        <v/>
      </c>
      <c r="Q82" s="111" t="str">
        <f aca="false">IF($B82="","",H82*G82)</f>
        <v/>
      </c>
      <c r="R82" s="111" t="str">
        <f aca="false">IF($B82="","",(M82+N82)*G82)</f>
        <v/>
      </c>
      <c r="S82" s="114" t="str">
        <f aca="false">IF($B82="","",IF(O82&lt;-0.01,"✖ رصيد سالب",IF(O82&gt;F82*2,"⚠ رصيد مرتفع (أكثر من سنتين)",IF(AND(الموظفون!$AE82&lt;&gt;"",الموظفون!$AE82&lt;=cfg_VAL_DATE,O82&gt;0.01),"⚠ منتهي الخدمة برصيد","✔ سليم"))))</f>
        <v/>
      </c>
    </row>
    <row r="83" customFormat="false" ht="15" hidden="false" customHeight="false" outlineLevel="0" collapsed="false">
      <c r="B83" s="117" t="str">
        <f aca="false">IF(الموظفون!$B83="","",الموظفون!$B83)</f>
        <v/>
      </c>
      <c r="C83" s="117" t="str">
        <f aca="false">IF($B83="","",الموظفون!$C83)</f>
        <v/>
      </c>
      <c r="D83" s="175" t="str">
        <f aca="false">IF($B83="","",الموظفون!$H83)</f>
        <v/>
      </c>
      <c r="E83" s="180" t="str">
        <f aca="false">IF($B83="","",MAX(0,J83-D83+1-SUMIFS('سجل الإجازات والحالات'!$S$6:$S$505,'سجل الإجازات والحالات'!$B$6:$B$505,$B83))/cfg_DAYS_Y)</f>
        <v/>
      </c>
      <c r="F83" s="133" t="str">
        <f aca="false">IF($B83="","",IF(الموظفون!$T83&lt;&gt;"",الموظفون!$T83,IF(E83&gt;=cfg_LV_TH,cfg_LV_D2,cfg_LV_D1)))</f>
        <v/>
      </c>
      <c r="G83" s="116" t="str">
        <f aca="false">IF($B83="","",الموظفون!$R83/cfg_DAYS_M)</f>
        <v/>
      </c>
      <c r="H83" s="156" t="str">
        <f aca="false">IF($B83="","",N(الموظفون!$AC83))</f>
        <v/>
      </c>
      <c r="I83" s="175" t="str">
        <f aca="false">IF($B83="","",MAX(cfg_Y_START,D83))</f>
        <v/>
      </c>
      <c r="J83" s="175" t="str">
        <f aca="false">IF($B83="","",IF(OR(الموظفون!$AE83="",الموظفون!$AE83&gt;cfg_VAL_DATE),cfg_VAL_DATE,الموظفون!$AE83))</f>
        <v/>
      </c>
      <c r="K83" s="133" t="str">
        <f aca="false">IF($B83="","",MAX(0,MAX(0,J83-I83+1)-(SUMIFS('سجل الإجازات والحالات'!$S$6:$S$505,'سجل الإجازات والحالات'!$B$6:$B$505,$B83)-SUMIFS('سجل الإجازات والحالات'!$R$6:$R$505,'سجل الإجازات والحالات'!$B$6:$B$505,$B83))))</f>
        <v/>
      </c>
      <c r="L83" s="156" t="str">
        <f aca="false">IF($B83="","",F83/cfg_DAYS_Y*K83)</f>
        <v/>
      </c>
      <c r="M83" s="156" t="str">
        <f aca="false">IF($B83="","",SUMIFS('سجل الإجازات والحالات'!$T$6:$T$505,'سجل الإجازات والحالات'!$B$6:$B$505,$B83)+SUMIFS('الحركات الشهرية'!$K$6:$K$1005,'الحركات الشهرية'!$B$6:$B$1005,B83,'الحركات الشهرية'!$A$6:$A$1005,"&lt;="&amp;cfg_VAL_M))</f>
        <v/>
      </c>
      <c r="N83" s="156" t="str">
        <f aca="false">IF($B83="","",SUMIFS('الحركات الشهرية'!$L$6:$L$1005,'الحركات الشهرية'!$B$6:$B$1005,B83,'الحركات الشهرية'!$A$6:$A$1005,"&lt;="&amp;cfg_VAL_M))</f>
        <v/>
      </c>
      <c r="O83" s="156" t="str">
        <f aca="false">IF($B83="","",H83+L83-M83-N83)</f>
        <v/>
      </c>
      <c r="P83" s="158" t="str">
        <f aca="false">IF($B83="","",O83*G83)</f>
        <v/>
      </c>
      <c r="Q83" s="116" t="str">
        <f aca="false">IF($B83="","",H83*G83)</f>
        <v/>
      </c>
      <c r="R83" s="116" t="str">
        <f aca="false">IF($B83="","",(M83+N83)*G83)</f>
        <v/>
      </c>
      <c r="S83" s="117" t="str">
        <f aca="false">IF($B83="","",IF(O83&lt;-0.01,"✖ رصيد سالب",IF(O83&gt;F83*2,"⚠ رصيد مرتفع (أكثر من سنتين)",IF(AND(الموظفون!$AE83&lt;&gt;"",الموظفون!$AE83&lt;=cfg_VAL_DATE,O83&gt;0.01),"⚠ منتهي الخدمة برصيد","✔ سليم"))))</f>
        <v/>
      </c>
    </row>
    <row r="84" customFormat="false" ht="15" hidden="false" customHeight="false" outlineLevel="0" collapsed="false">
      <c r="B84" s="114" t="str">
        <f aca="false">IF(الموظفون!$B84="","",الموظفون!$B84)</f>
        <v/>
      </c>
      <c r="C84" s="114" t="str">
        <f aca="false">IF($B84="","",الموظفون!$C84)</f>
        <v/>
      </c>
      <c r="D84" s="174" t="str">
        <f aca="false">IF($B84="","",الموظفون!$H84)</f>
        <v/>
      </c>
      <c r="E84" s="179" t="str">
        <f aca="false">IF($B84="","",MAX(0,J84-D84+1-SUMIFS('سجل الإجازات والحالات'!$S$6:$S$505,'سجل الإجازات والحالات'!$B$6:$B$505,$B84))/cfg_DAYS_Y)</f>
        <v/>
      </c>
      <c r="F84" s="65" t="str">
        <f aca="false">IF($B84="","",IF(الموظفون!$T84&lt;&gt;"",الموظفون!$T84,IF(E84&gt;=cfg_LV_TH,cfg_LV_D2,cfg_LV_D1)))</f>
        <v/>
      </c>
      <c r="G84" s="111" t="str">
        <f aca="false">IF($B84="","",الموظفون!$R84/cfg_DAYS_M)</f>
        <v/>
      </c>
      <c r="H84" s="151" t="str">
        <f aca="false">IF($B84="","",N(الموظفون!$AC84))</f>
        <v/>
      </c>
      <c r="I84" s="174" t="str">
        <f aca="false">IF($B84="","",MAX(cfg_Y_START,D84))</f>
        <v/>
      </c>
      <c r="J84" s="174" t="str">
        <f aca="false">IF($B84="","",IF(OR(الموظفون!$AE84="",الموظفون!$AE84&gt;cfg_VAL_DATE),cfg_VAL_DATE,الموظفون!$AE84))</f>
        <v/>
      </c>
      <c r="K84" s="65" t="str">
        <f aca="false">IF($B84="","",MAX(0,MAX(0,J84-I84+1)-(SUMIFS('سجل الإجازات والحالات'!$S$6:$S$505,'سجل الإجازات والحالات'!$B$6:$B$505,$B84)-SUMIFS('سجل الإجازات والحالات'!$R$6:$R$505,'سجل الإجازات والحالات'!$B$6:$B$505,$B84))))</f>
        <v/>
      </c>
      <c r="L84" s="151" t="str">
        <f aca="false">IF($B84="","",F84/cfg_DAYS_Y*K84)</f>
        <v/>
      </c>
      <c r="M84" s="151" t="str">
        <f aca="false">IF($B84="","",SUMIFS('سجل الإجازات والحالات'!$T$6:$T$505,'سجل الإجازات والحالات'!$B$6:$B$505,$B84)+SUMIFS('الحركات الشهرية'!$K$6:$K$1005,'الحركات الشهرية'!$B$6:$B$1005,B84,'الحركات الشهرية'!$A$6:$A$1005,"&lt;="&amp;cfg_VAL_M))</f>
        <v/>
      </c>
      <c r="N84" s="151" t="str">
        <f aca="false">IF($B84="","",SUMIFS('الحركات الشهرية'!$L$6:$L$1005,'الحركات الشهرية'!$B$6:$B$1005,B84,'الحركات الشهرية'!$A$6:$A$1005,"&lt;="&amp;cfg_VAL_M))</f>
        <v/>
      </c>
      <c r="O84" s="151" t="str">
        <f aca="false">IF($B84="","",H84+L84-M84-N84)</f>
        <v/>
      </c>
      <c r="P84" s="153" t="str">
        <f aca="false">IF($B84="","",O84*G84)</f>
        <v/>
      </c>
      <c r="Q84" s="111" t="str">
        <f aca="false">IF($B84="","",H84*G84)</f>
        <v/>
      </c>
      <c r="R84" s="111" t="str">
        <f aca="false">IF($B84="","",(M84+N84)*G84)</f>
        <v/>
      </c>
      <c r="S84" s="114" t="str">
        <f aca="false">IF($B84="","",IF(O84&lt;-0.01,"✖ رصيد سالب",IF(O84&gt;F84*2,"⚠ رصيد مرتفع (أكثر من سنتين)",IF(AND(الموظفون!$AE84&lt;&gt;"",الموظفون!$AE84&lt;=cfg_VAL_DATE,O84&gt;0.01),"⚠ منتهي الخدمة برصيد","✔ سليم"))))</f>
        <v/>
      </c>
    </row>
    <row r="85" customFormat="false" ht="15" hidden="false" customHeight="false" outlineLevel="0" collapsed="false">
      <c r="B85" s="117" t="str">
        <f aca="false">IF(الموظفون!$B85="","",الموظفون!$B85)</f>
        <v/>
      </c>
      <c r="C85" s="117" t="str">
        <f aca="false">IF($B85="","",الموظفون!$C85)</f>
        <v/>
      </c>
      <c r="D85" s="175" t="str">
        <f aca="false">IF($B85="","",الموظفون!$H85)</f>
        <v/>
      </c>
      <c r="E85" s="180" t="str">
        <f aca="false">IF($B85="","",MAX(0,J85-D85+1-SUMIFS('سجل الإجازات والحالات'!$S$6:$S$505,'سجل الإجازات والحالات'!$B$6:$B$505,$B85))/cfg_DAYS_Y)</f>
        <v/>
      </c>
      <c r="F85" s="133" t="str">
        <f aca="false">IF($B85="","",IF(الموظفون!$T85&lt;&gt;"",الموظفون!$T85,IF(E85&gt;=cfg_LV_TH,cfg_LV_D2,cfg_LV_D1)))</f>
        <v/>
      </c>
      <c r="G85" s="116" t="str">
        <f aca="false">IF($B85="","",الموظفون!$R85/cfg_DAYS_M)</f>
        <v/>
      </c>
      <c r="H85" s="156" t="str">
        <f aca="false">IF($B85="","",N(الموظفون!$AC85))</f>
        <v/>
      </c>
      <c r="I85" s="175" t="str">
        <f aca="false">IF($B85="","",MAX(cfg_Y_START,D85))</f>
        <v/>
      </c>
      <c r="J85" s="175" t="str">
        <f aca="false">IF($B85="","",IF(OR(الموظفون!$AE85="",الموظفون!$AE85&gt;cfg_VAL_DATE),cfg_VAL_DATE,الموظفون!$AE85))</f>
        <v/>
      </c>
      <c r="K85" s="133" t="str">
        <f aca="false">IF($B85="","",MAX(0,MAX(0,J85-I85+1)-(SUMIFS('سجل الإجازات والحالات'!$S$6:$S$505,'سجل الإجازات والحالات'!$B$6:$B$505,$B85)-SUMIFS('سجل الإجازات والحالات'!$R$6:$R$505,'سجل الإجازات والحالات'!$B$6:$B$505,$B85))))</f>
        <v/>
      </c>
      <c r="L85" s="156" t="str">
        <f aca="false">IF($B85="","",F85/cfg_DAYS_Y*K85)</f>
        <v/>
      </c>
      <c r="M85" s="156" t="str">
        <f aca="false">IF($B85="","",SUMIFS('سجل الإجازات والحالات'!$T$6:$T$505,'سجل الإجازات والحالات'!$B$6:$B$505,$B85)+SUMIFS('الحركات الشهرية'!$K$6:$K$1005,'الحركات الشهرية'!$B$6:$B$1005,B85,'الحركات الشهرية'!$A$6:$A$1005,"&lt;="&amp;cfg_VAL_M))</f>
        <v/>
      </c>
      <c r="N85" s="156" t="str">
        <f aca="false">IF($B85="","",SUMIFS('الحركات الشهرية'!$L$6:$L$1005,'الحركات الشهرية'!$B$6:$B$1005,B85,'الحركات الشهرية'!$A$6:$A$1005,"&lt;="&amp;cfg_VAL_M))</f>
        <v/>
      </c>
      <c r="O85" s="156" t="str">
        <f aca="false">IF($B85="","",H85+L85-M85-N85)</f>
        <v/>
      </c>
      <c r="P85" s="158" t="str">
        <f aca="false">IF($B85="","",O85*G85)</f>
        <v/>
      </c>
      <c r="Q85" s="116" t="str">
        <f aca="false">IF($B85="","",H85*G85)</f>
        <v/>
      </c>
      <c r="R85" s="116" t="str">
        <f aca="false">IF($B85="","",(M85+N85)*G85)</f>
        <v/>
      </c>
      <c r="S85" s="117" t="str">
        <f aca="false">IF($B85="","",IF(O85&lt;-0.01,"✖ رصيد سالب",IF(O85&gt;F85*2,"⚠ رصيد مرتفع (أكثر من سنتين)",IF(AND(الموظفون!$AE85&lt;&gt;"",الموظفون!$AE85&lt;=cfg_VAL_DATE,O85&gt;0.01),"⚠ منتهي الخدمة برصيد","✔ سليم"))))</f>
        <v/>
      </c>
    </row>
    <row r="86" customFormat="false" ht="15" hidden="false" customHeight="false" outlineLevel="0" collapsed="false">
      <c r="B86" s="114" t="str">
        <f aca="false">IF(الموظفون!$B86="","",الموظفون!$B86)</f>
        <v/>
      </c>
      <c r="C86" s="114" t="str">
        <f aca="false">IF($B86="","",الموظفون!$C86)</f>
        <v/>
      </c>
      <c r="D86" s="174" t="str">
        <f aca="false">IF($B86="","",الموظفون!$H86)</f>
        <v/>
      </c>
      <c r="E86" s="179" t="str">
        <f aca="false">IF($B86="","",MAX(0,J86-D86+1-SUMIFS('سجل الإجازات والحالات'!$S$6:$S$505,'سجل الإجازات والحالات'!$B$6:$B$505,$B86))/cfg_DAYS_Y)</f>
        <v/>
      </c>
      <c r="F86" s="65" t="str">
        <f aca="false">IF($B86="","",IF(الموظفون!$T86&lt;&gt;"",الموظفون!$T86,IF(E86&gt;=cfg_LV_TH,cfg_LV_D2,cfg_LV_D1)))</f>
        <v/>
      </c>
      <c r="G86" s="111" t="str">
        <f aca="false">IF($B86="","",الموظفون!$R86/cfg_DAYS_M)</f>
        <v/>
      </c>
      <c r="H86" s="151" t="str">
        <f aca="false">IF($B86="","",N(الموظفون!$AC86))</f>
        <v/>
      </c>
      <c r="I86" s="174" t="str">
        <f aca="false">IF($B86="","",MAX(cfg_Y_START,D86))</f>
        <v/>
      </c>
      <c r="J86" s="174" t="str">
        <f aca="false">IF($B86="","",IF(OR(الموظفون!$AE86="",الموظفون!$AE86&gt;cfg_VAL_DATE),cfg_VAL_DATE,الموظفون!$AE86))</f>
        <v/>
      </c>
      <c r="K86" s="65" t="str">
        <f aca="false">IF($B86="","",MAX(0,MAX(0,J86-I86+1)-(SUMIFS('سجل الإجازات والحالات'!$S$6:$S$505,'سجل الإجازات والحالات'!$B$6:$B$505,$B86)-SUMIFS('سجل الإجازات والحالات'!$R$6:$R$505,'سجل الإجازات والحالات'!$B$6:$B$505,$B86))))</f>
        <v/>
      </c>
      <c r="L86" s="151" t="str">
        <f aca="false">IF($B86="","",F86/cfg_DAYS_Y*K86)</f>
        <v/>
      </c>
      <c r="M86" s="151" t="str">
        <f aca="false">IF($B86="","",SUMIFS('سجل الإجازات والحالات'!$T$6:$T$505,'سجل الإجازات والحالات'!$B$6:$B$505,$B86)+SUMIFS('الحركات الشهرية'!$K$6:$K$1005,'الحركات الشهرية'!$B$6:$B$1005,B86,'الحركات الشهرية'!$A$6:$A$1005,"&lt;="&amp;cfg_VAL_M))</f>
        <v/>
      </c>
      <c r="N86" s="151" t="str">
        <f aca="false">IF($B86="","",SUMIFS('الحركات الشهرية'!$L$6:$L$1005,'الحركات الشهرية'!$B$6:$B$1005,B86,'الحركات الشهرية'!$A$6:$A$1005,"&lt;="&amp;cfg_VAL_M))</f>
        <v/>
      </c>
      <c r="O86" s="151" t="str">
        <f aca="false">IF($B86="","",H86+L86-M86-N86)</f>
        <v/>
      </c>
      <c r="P86" s="153" t="str">
        <f aca="false">IF($B86="","",O86*G86)</f>
        <v/>
      </c>
      <c r="Q86" s="111" t="str">
        <f aca="false">IF($B86="","",H86*G86)</f>
        <v/>
      </c>
      <c r="R86" s="111" t="str">
        <f aca="false">IF($B86="","",(M86+N86)*G86)</f>
        <v/>
      </c>
      <c r="S86" s="114" t="str">
        <f aca="false">IF($B86="","",IF(O86&lt;-0.01,"✖ رصيد سالب",IF(O86&gt;F86*2,"⚠ رصيد مرتفع (أكثر من سنتين)",IF(AND(الموظفون!$AE86&lt;&gt;"",الموظفون!$AE86&lt;=cfg_VAL_DATE,O86&gt;0.01),"⚠ منتهي الخدمة برصيد","✔ سليم"))))</f>
        <v/>
      </c>
    </row>
    <row r="87" customFormat="false" ht="15" hidden="false" customHeight="false" outlineLevel="0" collapsed="false">
      <c r="B87" s="117" t="str">
        <f aca="false">IF(الموظفون!$B87="","",الموظفون!$B87)</f>
        <v/>
      </c>
      <c r="C87" s="117" t="str">
        <f aca="false">IF($B87="","",الموظفون!$C87)</f>
        <v/>
      </c>
      <c r="D87" s="175" t="str">
        <f aca="false">IF($B87="","",الموظفون!$H87)</f>
        <v/>
      </c>
      <c r="E87" s="180" t="str">
        <f aca="false">IF($B87="","",MAX(0,J87-D87+1-SUMIFS('سجل الإجازات والحالات'!$S$6:$S$505,'سجل الإجازات والحالات'!$B$6:$B$505,$B87))/cfg_DAYS_Y)</f>
        <v/>
      </c>
      <c r="F87" s="133" t="str">
        <f aca="false">IF($B87="","",IF(الموظفون!$T87&lt;&gt;"",الموظفون!$T87,IF(E87&gt;=cfg_LV_TH,cfg_LV_D2,cfg_LV_D1)))</f>
        <v/>
      </c>
      <c r="G87" s="116" t="str">
        <f aca="false">IF($B87="","",الموظفون!$R87/cfg_DAYS_M)</f>
        <v/>
      </c>
      <c r="H87" s="156" t="str">
        <f aca="false">IF($B87="","",N(الموظفون!$AC87))</f>
        <v/>
      </c>
      <c r="I87" s="175" t="str">
        <f aca="false">IF($B87="","",MAX(cfg_Y_START,D87))</f>
        <v/>
      </c>
      <c r="J87" s="175" t="str">
        <f aca="false">IF($B87="","",IF(OR(الموظفون!$AE87="",الموظفون!$AE87&gt;cfg_VAL_DATE),cfg_VAL_DATE,الموظفون!$AE87))</f>
        <v/>
      </c>
      <c r="K87" s="133" t="str">
        <f aca="false">IF($B87="","",MAX(0,MAX(0,J87-I87+1)-(SUMIFS('سجل الإجازات والحالات'!$S$6:$S$505,'سجل الإجازات والحالات'!$B$6:$B$505,$B87)-SUMIFS('سجل الإجازات والحالات'!$R$6:$R$505,'سجل الإجازات والحالات'!$B$6:$B$505,$B87))))</f>
        <v/>
      </c>
      <c r="L87" s="156" t="str">
        <f aca="false">IF($B87="","",F87/cfg_DAYS_Y*K87)</f>
        <v/>
      </c>
      <c r="M87" s="156" t="str">
        <f aca="false">IF($B87="","",SUMIFS('سجل الإجازات والحالات'!$T$6:$T$505,'سجل الإجازات والحالات'!$B$6:$B$505,$B87)+SUMIFS('الحركات الشهرية'!$K$6:$K$1005,'الحركات الشهرية'!$B$6:$B$1005,B87,'الحركات الشهرية'!$A$6:$A$1005,"&lt;="&amp;cfg_VAL_M))</f>
        <v/>
      </c>
      <c r="N87" s="156" t="str">
        <f aca="false">IF($B87="","",SUMIFS('الحركات الشهرية'!$L$6:$L$1005,'الحركات الشهرية'!$B$6:$B$1005,B87,'الحركات الشهرية'!$A$6:$A$1005,"&lt;="&amp;cfg_VAL_M))</f>
        <v/>
      </c>
      <c r="O87" s="156" t="str">
        <f aca="false">IF($B87="","",H87+L87-M87-N87)</f>
        <v/>
      </c>
      <c r="P87" s="158" t="str">
        <f aca="false">IF($B87="","",O87*G87)</f>
        <v/>
      </c>
      <c r="Q87" s="116" t="str">
        <f aca="false">IF($B87="","",H87*G87)</f>
        <v/>
      </c>
      <c r="R87" s="116" t="str">
        <f aca="false">IF($B87="","",(M87+N87)*G87)</f>
        <v/>
      </c>
      <c r="S87" s="117" t="str">
        <f aca="false">IF($B87="","",IF(O87&lt;-0.01,"✖ رصيد سالب",IF(O87&gt;F87*2,"⚠ رصيد مرتفع (أكثر من سنتين)",IF(AND(الموظفون!$AE87&lt;&gt;"",الموظفون!$AE87&lt;=cfg_VAL_DATE,O87&gt;0.01),"⚠ منتهي الخدمة برصيد","✔ سليم"))))</f>
        <v/>
      </c>
    </row>
    <row r="88" customFormat="false" ht="15" hidden="false" customHeight="false" outlineLevel="0" collapsed="false">
      <c r="B88" s="114" t="str">
        <f aca="false">IF(الموظفون!$B88="","",الموظفون!$B88)</f>
        <v/>
      </c>
      <c r="C88" s="114" t="str">
        <f aca="false">IF($B88="","",الموظفون!$C88)</f>
        <v/>
      </c>
      <c r="D88" s="174" t="str">
        <f aca="false">IF($B88="","",الموظفون!$H88)</f>
        <v/>
      </c>
      <c r="E88" s="179" t="str">
        <f aca="false">IF($B88="","",MAX(0,J88-D88+1-SUMIFS('سجل الإجازات والحالات'!$S$6:$S$505,'سجل الإجازات والحالات'!$B$6:$B$505,$B88))/cfg_DAYS_Y)</f>
        <v/>
      </c>
      <c r="F88" s="65" t="str">
        <f aca="false">IF($B88="","",IF(الموظفون!$T88&lt;&gt;"",الموظفون!$T88,IF(E88&gt;=cfg_LV_TH,cfg_LV_D2,cfg_LV_D1)))</f>
        <v/>
      </c>
      <c r="G88" s="111" t="str">
        <f aca="false">IF($B88="","",الموظفون!$R88/cfg_DAYS_M)</f>
        <v/>
      </c>
      <c r="H88" s="151" t="str">
        <f aca="false">IF($B88="","",N(الموظفون!$AC88))</f>
        <v/>
      </c>
      <c r="I88" s="174" t="str">
        <f aca="false">IF($B88="","",MAX(cfg_Y_START,D88))</f>
        <v/>
      </c>
      <c r="J88" s="174" t="str">
        <f aca="false">IF($B88="","",IF(OR(الموظفون!$AE88="",الموظفون!$AE88&gt;cfg_VAL_DATE),cfg_VAL_DATE,الموظفون!$AE88))</f>
        <v/>
      </c>
      <c r="K88" s="65" t="str">
        <f aca="false">IF($B88="","",MAX(0,MAX(0,J88-I88+1)-(SUMIFS('سجل الإجازات والحالات'!$S$6:$S$505,'سجل الإجازات والحالات'!$B$6:$B$505,$B88)-SUMIFS('سجل الإجازات والحالات'!$R$6:$R$505,'سجل الإجازات والحالات'!$B$6:$B$505,$B88))))</f>
        <v/>
      </c>
      <c r="L88" s="151" t="str">
        <f aca="false">IF($B88="","",F88/cfg_DAYS_Y*K88)</f>
        <v/>
      </c>
      <c r="M88" s="151" t="str">
        <f aca="false">IF($B88="","",SUMIFS('سجل الإجازات والحالات'!$T$6:$T$505,'سجل الإجازات والحالات'!$B$6:$B$505,$B88)+SUMIFS('الحركات الشهرية'!$K$6:$K$1005,'الحركات الشهرية'!$B$6:$B$1005,B88,'الحركات الشهرية'!$A$6:$A$1005,"&lt;="&amp;cfg_VAL_M))</f>
        <v/>
      </c>
      <c r="N88" s="151" t="str">
        <f aca="false">IF($B88="","",SUMIFS('الحركات الشهرية'!$L$6:$L$1005,'الحركات الشهرية'!$B$6:$B$1005,B88,'الحركات الشهرية'!$A$6:$A$1005,"&lt;="&amp;cfg_VAL_M))</f>
        <v/>
      </c>
      <c r="O88" s="151" t="str">
        <f aca="false">IF($B88="","",H88+L88-M88-N88)</f>
        <v/>
      </c>
      <c r="P88" s="153" t="str">
        <f aca="false">IF($B88="","",O88*G88)</f>
        <v/>
      </c>
      <c r="Q88" s="111" t="str">
        <f aca="false">IF($B88="","",H88*G88)</f>
        <v/>
      </c>
      <c r="R88" s="111" t="str">
        <f aca="false">IF($B88="","",(M88+N88)*G88)</f>
        <v/>
      </c>
      <c r="S88" s="114" t="str">
        <f aca="false">IF($B88="","",IF(O88&lt;-0.01,"✖ رصيد سالب",IF(O88&gt;F88*2,"⚠ رصيد مرتفع (أكثر من سنتين)",IF(AND(الموظفون!$AE88&lt;&gt;"",الموظفون!$AE88&lt;=cfg_VAL_DATE,O88&gt;0.01),"⚠ منتهي الخدمة برصيد","✔ سليم"))))</f>
        <v/>
      </c>
    </row>
    <row r="89" customFormat="false" ht="15" hidden="false" customHeight="false" outlineLevel="0" collapsed="false">
      <c r="B89" s="117" t="str">
        <f aca="false">IF(الموظفون!$B89="","",الموظفون!$B89)</f>
        <v/>
      </c>
      <c r="C89" s="117" t="str">
        <f aca="false">IF($B89="","",الموظفون!$C89)</f>
        <v/>
      </c>
      <c r="D89" s="175" t="str">
        <f aca="false">IF($B89="","",الموظفون!$H89)</f>
        <v/>
      </c>
      <c r="E89" s="180" t="str">
        <f aca="false">IF($B89="","",MAX(0,J89-D89+1-SUMIFS('سجل الإجازات والحالات'!$S$6:$S$505,'سجل الإجازات والحالات'!$B$6:$B$505,$B89))/cfg_DAYS_Y)</f>
        <v/>
      </c>
      <c r="F89" s="133" t="str">
        <f aca="false">IF($B89="","",IF(الموظفون!$T89&lt;&gt;"",الموظفون!$T89,IF(E89&gt;=cfg_LV_TH,cfg_LV_D2,cfg_LV_D1)))</f>
        <v/>
      </c>
      <c r="G89" s="116" t="str">
        <f aca="false">IF($B89="","",الموظفون!$R89/cfg_DAYS_M)</f>
        <v/>
      </c>
      <c r="H89" s="156" t="str">
        <f aca="false">IF($B89="","",N(الموظفون!$AC89))</f>
        <v/>
      </c>
      <c r="I89" s="175" t="str">
        <f aca="false">IF($B89="","",MAX(cfg_Y_START,D89))</f>
        <v/>
      </c>
      <c r="J89" s="175" t="str">
        <f aca="false">IF($B89="","",IF(OR(الموظفون!$AE89="",الموظفون!$AE89&gt;cfg_VAL_DATE),cfg_VAL_DATE,الموظفون!$AE89))</f>
        <v/>
      </c>
      <c r="K89" s="133" t="str">
        <f aca="false">IF($B89="","",MAX(0,MAX(0,J89-I89+1)-(SUMIFS('سجل الإجازات والحالات'!$S$6:$S$505,'سجل الإجازات والحالات'!$B$6:$B$505,$B89)-SUMIFS('سجل الإجازات والحالات'!$R$6:$R$505,'سجل الإجازات والحالات'!$B$6:$B$505,$B89))))</f>
        <v/>
      </c>
      <c r="L89" s="156" t="str">
        <f aca="false">IF($B89="","",F89/cfg_DAYS_Y*K89)</f>
        <v/>
      </c>
      <c r="M89" s="156" t="str">
        <f aca="false">IF($B89="","",SUMIFS('سجل الإجازات والحالات'!$T$6:$T$505,'سجل الإجازات والحالات'!$B$6:$B$505,$B89)+SUMIFS('الحركات الشهرية'!$K$6:$K$1005,'الحركات الشهرية'!$B$6:$B$1005,B89,'الحركات الشهرية'!$A$6:$A$1005,"&lt;="&amp;cfg_VAL_M))</f>
        <v/>
      </c>
      <c r="N89" s="156" t="str">
        <f aca="false">IF($B89="","",SUMIFS('الحركات الشهرية'!$L$6:$L$1005,'الحركات الشهرية'!$B$6:$B$1005,B89,'الحركات الشهرية'!$A$6:$A$1005,"&lt;="&amp;cfg_VAL_M))</f>
        <v/>
      </c>
      <c r="O89" s="156" t="str">
        <f aca="false">IF($B89="","",H89+L89-M89-N89)</f>
        <v/>
      </c>
      <c r="P89" s="158" t="str">
        <f aca="false">IF($B89="","",O89*G89)</f>
        <v/>
      </c>
      <c r="Q89" s="116" t="str">
        <f aca="false">IF($B89="","",H89*G89)</f>
        <v/>
      </c>
      <c r="R89" s="116" t="str">
        <f aca="false">IF($B89="","",(M89+N89)*G89)</f>
        <v/>
      </c>
      <c r="S89" s="117" t="str">
        <f aca="false">IF($B89="","",IF(O89&lt;-0.01,"✖ رصيد سالب",IF(O89&gt;F89*2,"⚠ رصيد مرتفع (أكثر من سنتين)",IF(AND(الموظفون!$AE89&lt;&gt;"",الموظفون!$AE89&lt;=cfg_VAL_DATE,O89&gt;0.01),"⚠ منتهي الخدمة برصيد","✔ سليم"))))</f>
        <v/>
      </c>
    </row>
    <row r="90" customFormat="false" ht="15" hidden="false" customHeight="false" outlineLevel="0" collapsed="false">
      <c r="B90" s="114" t="str">
        <f aca="false">IF(الموظفون!$B90="","",الموظفون!$B90)</f>
        <v/>
      </c>
      <c r="C90" s="114" t="str">
        <f aca="false">IF($B90="","",الموظفون!$C90)</f>
        <v/>
      </c>
      <c r="D90" s="174" t="str">
        <f aca="false">IF($B90="","",الموظفون!$H90)</f>
        <v/>
      </c>
      <c r="E90" s="179" t="str">
        <f aca="false">IF($B90="","",MAX(0,J90-D90+1-SUMIFS('سجل الإجازات والحالات'!$S$6:$S$505,'سجل الإجازات والحالات'!$B$6:$B$505,$B90))/cfg_DAYS_Y)</f>
        <v/>
      </c>
      <c r="F90" s="65" t="str">
        <f aca="false">IF($B90="","",IF(الموظفون!$T90&lt;&gt;"",الموظفون!$T90,IF(E90&gt;=cfg_LV_TH,cfg_LV_D2,cfg_LV_D1)))</f>
        <v/>
      </c>
      <c r="G90" s="111" t="str">
        <f aca="false">IF($B90="","",الموظفون!$R90/cfg_DAYS_M)</f>
        <v/>
      </c>
      <c r="H90" s="151" t="str">
        <f aca="false">IF($B90="","",N(الموظفون!$AC90))</f>
        <v/>
      </c>
      <c r="I90" s="174" t="str">
        <f aca="false">IF($B90="","",MAX(cfg_Y_START,D90))</f>
        <v/>
      </c>
      <c r="J90" s="174" t="str">
        <f aca="false">IF($B90="","",IF(OR(الموظفون!$AE90="",الموظفون!$AE90&gt;cfg_VAL_DATE),cfg_VAL_DATE,الموظفون!$AE90))</f>
        <v/>
      </c>
      <c r="K90" s="65" t="str">
        <f aca="false">IF($B90="","",MAX(0,MAX(0,J90-I90+1)-(SUMIFS('سجل الإجازات والحالات'!$S$6:$S$505,'سجل الإجازات والحالات'!$B$6:$B$505,$B90)-SUMIFS('سجل الإجازات والحالات'!$R$6:$R$505,'سجل الإجازات والحالات'!$B$6:$B$505,$B90))))</f>
        <v/>
      </c>
      <c r="L90" s="151" t="str">
        <f aca="false">IF($B90="","",F90/cfg_DAYS_Y*K90)</f>
        <v/>
      </c>
      <c r="M90" s="151" t="str">
        <f aca="false">IF($B90="","",SUMIFS('سجل الإجازات والحالات'!$T$6:$T$505,'سجل الإجازات والحالات'!$B$6:$B$505,$B90)+SUMIFS('الحركات الشهرية'!$K$6:$K$1005,'الحركات الشهرية'!$B$6:$B$1005,B90,'الحركات الشهرية'!$A$6:$A$1005,"&lt;="&amp;cfg_VAL_M))</f>
        <v/>
      </c>
      <c r="N90" s="151" t="str">
        <f aca="false">IF($B90="","",SUMIFS('الحركات الشهرية'!$L$6:$L$1005,'الحركات الشهرية'!$B$6:$B$1005,B90,'الحركات الشهرية'!$A$6:$A$1005,"&lt;="&amp;cfg_VAL_M))</f>
        <v/>
      </c>
      <c r="O90" s="151" t="str">
        <f aca="false">IF($B90="","",H90+L90-M90-N90)</f>
        <v/>
      </c>
      <c r="P90" s="153" t="str">
        <f aca="false">IF($B90="","",O90*G90)</f>
        <v/>
      </c>
      <c r="Q90" s="111" t="str">
        <f aca="false">IF($B90="","",H90*G90)</f>
        <v/>
      </c>
      <c r="R90" s="111" t="str">
        <f aca="false">IF($B90="","",(M90+N90)*G90)</f>
        <v/>
      </c>
      <c r="S90" s="114" t="str">
        <f aca="false">IF($B90="","",IF(O90&lt;-0.01,"✖ رصيد سالب",IF(O90&gt;F90*2,"⚠ رصيد مرتفع (أكثر من سنتين)",IF(AND(الموظفون!$AE90&lt;&gt;"",الموظفون!$AE90&lt;=cfg_VAL_DATE,O90&gt;0.01),"⚠ منتهي الخدمة برصيد","✔ سليم"))))</f>
        <v/>
      </c>
    </row>
    <row r="91" customFormat="false" ht="15" hidden="false" customHeight="false" outlineLevel="0" collapsed="false">
      <c r="B91" s="117" t="str">
        <f aca="false">IF(الموظفون!$B91="","",الموظفون!$B91)</f>
        <v/>
      </c>
      <c r="C91" s="117" t="str">
        <f aca="false">IF($B91="","",الموظفون!$C91)</f>
        <v/>
      </c>
      <c r="D91" s="175" t="str">
        <f aca="false">IF($B91="","",الموظفون!$H91)</f>
        <v/>
      </c>
      <c r="E91" s="180" t="str">
        <f aca="false">IF($B91="","",MAX(0,J91-D91+1-SUMIFS('سجل الإجازات والحالات'!$S$6:$S$505,'سجل الإجازات والحالات'!$B$6:$B$505,$B91))/cfg_DAYS_Y)</f>
        <v/>
      </c>
      <c r="F91" s="133" t="str">
        <f aca="false">IF($B91="","",IF(الموظفون!$T91&lt;&gt;"",الموظفون!$T91,IF(E91&gt;=cfg_LV_TH,cfg_LV_D2,cfg_LV_D1)))</f>
        <v/>
      </c>
      <c r="G91" s="116" t="str">
        <f aca="false">IF($B91="","",الموظفون!$R91/cfg_DAYS_M)</f>
        <v/>
      </c>
      <c r="H91" s="156" t="str">
        <f aca="false">IF($B91="","",N(الموظفون!$AC91))</f>
        <v/>
      </c>
      <c r="I91" s="175" t="str">
        <f aca="false">IF($B91="","",MAX(cfg_Y_START,D91))</f>
        <v/>
      </c>
      <c r="J91" s="175" t="str">
        <f aca="false">IF($B91="","",IF(OR(الموظفون!$AE91="",الموظفون!$AE91&gt;cfg_VAL_DATE),cfg_VAL_DATE,الموظفون!$AE91))</f>
        <v/>
      </c>
      <c r="K91" s="133" t="str">
        <f aca="false">IF($B91="","",MAX(0,MAX(0,J91-I91+1)-(SUMIFS('سجل الإجازات والحالات'!$S$6:$S$505,'سجل الإجازات والحالات'!$B$6:$B$505,$B91)-SUMIFS('سجل الإجازات والحالات'!$R$6:$R$505,'سجل الإجازات والحالات'!$B$6:$B$505,$B91))))</f>
        <v/>
      </c>
      <c r="L91" s="156" t="str">
        <f aca="false">IF($B91="","",F91/cfg_DAYS_Y*K91)</f>
        <v/>
      </c>
      <c r="M91" s="156" t="str">
        <f aca="false">IF($B91="","",SUMIFS('سجل الإجازات والحالات'!$T$6:$T$505,'سجل الإجازات والحالات'!$B$6:$B$505,$B91)+SUMIFS('الحركات الشهرية'!$K$6:$K$1005,'الحركات الشهرية'!$B$6:$B$1005,B91,'الحركات الشهرية'!$A$6:$A$1005,"&lt;="&amp;cfg_VAL_M))</f>
        <v/>
      </c>
      <c r="N91" s="156" t="str">
        <f aca="false">IF($B91="","",SUMIFS('الحركات الشهرية'!$L$6:$L$1005,'الحركات الشهرية'!$B$6:$B$1005,B91,'الحركات الشهرية'!$A$6:$A$1005,"&lt;="&amp;cfg_VAL_M))</f>
        <v/>
      </c>
      <c r="O91" s="156" t="str">
        <f aca="false">IF($B91="","",H91+L91-M91-N91)</f>
        <v/>
      </c>
      <c r="P91" s="158" t="str">
        <f aca="false">IF($B91="","",O91*G91)</f>
        <v/>
      </c>
      <c r="Q91" s="116" t="str">
        <f aca="false">IF($B91="","",H91*G91)</f>
        <v/>
      </c>
      <c r="R91" s="116" t="str">
        <f aca="false">IF($B91="","",(M91+N91)*G91)</f>
        <v/>
      </c>
      <c r="S91" s="117" t="str">
        <f aca="false">IF($B91="","",IF(O91&lt;-0.01,"✖ رصيد سالب",IF(O91&gt;F91*2,"⚠ رصيد مرتفع (أكثر من سنتين)",IF(AND(الموظفون!$AE91&lt;&gt;"",الموظفون!$AE91&lt;=cfg_VAL_DATE,O91&gt;0.01),"⚠ منتهي الخدمة برصيد","✔ سليم"))))</f>
        <v/>
      </c>
    </row>
    <row r="92" customFormat="false" ht="15" hidden="false" customHeight="false" outlineLevel="0" collapsed="false">
      <c r="B92" s="114" t="str">
        <f aca="false">IF(الموظفون!$B92="","",الموظفون!$B92)</f>
        <v/>
      </c>
      <c r="C92" s="114" t="str">
        <f aca="false">IF($B92="","",الموظفون!$C92)</f>
        <v/>
      </c>
      <c r="D92" s="174" t="str">
        <f aca="false">IF($B92="","",الموظفون!$H92)</f>
        <v/>
      </c>
      <c r="E92" s="179" t="str">
        <f aca="false">IF($B92="","",MAX(0,J92-D92+1-SUMIFS('سجل الإجازات والحالات'!$S$6:$S$505,'سجل الإجازات والحالات'!$B$6:$B$505,$B92))/cfg_DAYS_Y)</f>
        <v/>
      </c>
      <c r="F92" s="65" t="str">
        <f aca="false">IF($B92="","",IF(الموظفون!$T92&lt;&gt;"",الموظفون!$T92,IF(E92&gt;=cfg_LV_TH,cfg_LV_D2,cfg_LV_D1)))</f>
        <v/>
      </c>
      <c r="G92" s="111" t="str">
        <f aca="false">IF($B92="","",الموظفون!$R92/cfg_DAYS_M)</f>
        <v/>
      </c>
      <c r="H92" s="151" t="str">
        <f aca="false">IF($B92="","",N(الموظفون!$AC92))</f>
        <v/>
      </c>
      <c r="I92" s="174" t="str">
        <f aca="false">IF($B92="","",MAX(cfg_Y_START,D92))</f>
        <v/>
      </c>
      <c r="J92" s="174" t="str">
        <f aca="false">IF($B92="","",IF(OR(الموظفون!$AE92="",الموظفون!$AE92&gt;cfg_VAL_DATE),cfg_VAL_DATE,الموظفون!$AE92))</f>
        <v/>
      </c>
      <c r="K92" s="65" t="str">
        <f aca="false">IF($B92="","",MAX(0,MAX(0,J92-I92+1)-(SUMIFS('سجل الإجازات والحالات'!$S$6:$S$505,'سجل الإجازات والحالات'!$B$6:$B$505,$B92)-SUMIFS('سجل الإجازات والحالات'!$R$6:$R$505,'سجل الإجازات والحالات'!$B$6:$B$505,$B92))))</f>
        <v/>
      </c>
      <c r="L92" s="151" t="str">
        <f aca="false">IF($B92="","",F92/cfg_DAYS_Y*K92)</f>
        <v/>
      </c>
      <c r="M92" s="151" t="str">
        <f aca="false">IF($B92="","",SUMIFS('سجل الإجازات والحالات'!$T$6:$T$505,'سجل الإجازات والحالات'!$B$6:$B$505,$B92)+SUMIFS('الحركات الشهرية'!$K$6:$K$1005,'الحركات الشهرية'!$B$6:$B$1005,B92,'الحركات الشهرية'!$A$6:$A$1005,"&lt;="&amp;cfg_VAL_M))</f>
        <v/>
      </c>
      <c r="N92" s="151" t="str">
        <f aca="false">IF($B92="","",SUMIFS('الحركات الشهرية'!$L$6:$L$1005,'الحركات الشهرية'!$B$6:$B$1005,B92,'الحركات الشهرية'!$A$6:$A$1005,"&lt;="&amp;cfg_VAL_M))</f>
        <v/>
      </c>
      <c r="O92" s="151" t="str">
        <f aca="false">IF($B92="","",H92+L92-M92-N92)</f>
        <v/>
      </c>
      <c r="P92" s="153" t="str">
        <f aca="false">IF($B92="","",O92*G92)</f>
        <v/>
      </c>
      <c r="Q92" s="111" t="str">
        <f aca="false">IF($B92="","",H92*G92)</f>
        <v/>
      </c>
      <c r="R92" s="111" t="str">
        <f aca="false">IF($B92="","",(M92+N92)*G92)</f>
        <v/>
      </c>
      <c r="S92" s="114" t="str">
        <f aca="false">IF($B92="","",IF(O92&lt;-0.01,"✖ رصيد سالب",IF(O92&gt;F92*2,"⚠ رصيد مرتفع (أكثر من سنتين)",IF(AND(الموظفون!$AE92&lt;&gt;"",الموظفون!$AE92&lt;=cfg_VAL_DATE,O92&gt;0.01),"⚠ منتهي الخدمة برصيد","✔ سليم"))))</f>
        <v/>
      </c>
    </row>
    <row r="93" customFormat="false" ht="15" hidden="false" customHeight="false" outlineLevel="0" collapsed="false">
      <c r="B93" s="117" t="str">
        <f aca="false">IF(الموظفون!$B93="","",الموظفون!$B93)</f>
        <v/>
      </c>
      <c r="C93" s="117" t="str">
        <f aca="false">IF($B93="","",الموظفون!$C93)</f>
        <v/>
      </c>
      <c r="D93" s="175" t="str">
        <f aca="false">IF($B93="","",الموظفون!$H93)</f>
        <v/>
      </c>
      <c r="E93" s="180" t="str">
        <f aca="false">IF($B93="","",MAX(0,J93-D93+1-SUMIFS('سجل الإجازات والحالات'!$S$6:$S$505,'سجل الإجازات والحالات'!$B$6:$B$505,$B93))/cfg_DAYS_Y)</f>
        <v/>
      </c>
      <c r="F93" s="133" t="str">
        <f aca="false">IF($B93="","",IF(الموظفون!$T93&lt;&gt;"",الموظفون!$T93,IF(E93&gt;=cfg_LV_TH,cfg_LV_D2,cfg_LV_D1)))</f>
        <v/>
      </c>
      <c r="G93" s="116" t="str">
        <f aca="false">IF($B93="","",الموظفون!$R93/cfg_DAYS_M)</f>
        <v/>
      </c>
      <c r="H93" s="156" t="str">
        <f aca="false">IF($B93="","",N(الموظفون!$AC93))</f>
        <v/>
      </c>
      <c r="I93" s="175" t="str">
        <f aca="false">IF($B93="","",MAX(cfg_Y_START,D93))</f>
        <v/>
      </c>
      <c r="J93" s="175" t="str">
        <f aca="false">IF($B93="","",IF(OR(الموظفون!$AE93="",الموظفون!$AE93&gt;cfg_VAL_DATE),cfg_VAL_DATE,الموظفون!$AE93))</f>
        <v/>
      </c>
      <c r="K93" s="133" t="str">
        <f aca="false">IF($B93="","",MAX(0,MAX(0,J93-I93+1)-(SUMIFS('سجل الإجازات والحالات'!$S$6:$S$505,'سجل الإجازات والحالات'!$B$6:$B$505,$B93)-SUMIFS('سجل الإجازات والحالات'!$R$6:$R$505,'سجل الإجازات والحالات'!$B$6:$B$505,$B93))))</f>
        <v/>
      </c>
      <c r="L93" s="156" t="str">
        <f aca="false">IF($B93="","",F93/cfg_DAYS_Y*K93)</f>
        <v/>
      </c>
      <c r="M93" s="156" t="str">
        <f aca="false">IF($B93="","",SUMIFS('سجل الإجازات والحالات'!$T$6:$T$505,'سجل الإجازات والحالات'!$B$6:$B$505,$B93)+SUMIFS('الحركات الشهرية'!$K$6:$K$1005,'الحركات الشهرية'!$B$6:$B$1005,B93,'الحركات الشهرية'!$A$6:$A$1005,"&lt;="&amp;cfg_VAL_M))</f>
        <v/>
      </c>
      <c r="N93" s="156" t="str">
        <f aca="false">IF($B93="","",SUMIFS('الحركات الشهرية'!$L$6:$L$1005,'الحركات الشهرية'!$B$6:$B$1005,B93,'الحركات الشهرية'!$A$6:$A$1005,"&lt;="&amp;cfg_VAL_M))</f>
        <v/>
      </c>
      <c r="O93" s="156" t="str">
        <f aca="false">IF($B93="","",H93+L93-M93-N93)</f>
        <v/>
      </c>
      <c r="P93" s="158" t="str">
        <f aca="false">IF($B93="","",O93*G93)</f>
        <v/>
      </c>
      <c r="Q93" s="116" t="str">
        <f aca="false">IF($B93="","",H93*G93)</f>
        <v/>
      </c>
      <c r="R93" s="116" t="str">
        <f aca="false">IF($B93="","",(M93+N93)*G93)</f>
        <v/>
      </c>
      <c r="S93" s="117" t="str">
        <f aca="false">IF($B93="","",IF(O93&lt;-0.01,"✖ رصيد سالب",IF(O93&gt;F93*2,"⚠ رصيد مرتفع (أكثر من سنتين)",IF(AND(الموظفون!$AE93&lt;&gt;"",الموظفون!$AE93&lt;=cfg_VAL_DATE,O93&gt;0.01),"⚠ منتهي الخدمة برصيد","✔ سليم"))))</f>
        <v/>
      </c>
    </row>
    <row r="94" customFormat="false" ht="15" hidden="false" customHeight="false" outlineLevel="0" collapsed="false">
      <c r="B94" s="114" t="str">
        <f aca="false">IF(الموظفون!$B94="","",الموظفون!$B94)</f>
        <v/>
      </c>
      <c r="C94" s="114" t="str">
        <f aca="false">IF($B94="","",الموظفون!$C94)</f>
        <v/>
      </c>
      <c r="D94" s="174" t="str">
        <f aca="false">IF($B94="","",الموظفون!$H94)</f>
        <v/>
      </c>
      <c r="E94" s="179" t="str">
        <f aca="false">IF($B94="","",MAX(0,J94-D94+1-SUMIFS('سجل الإجازات والحالات'!$S$6:$S$505,'سجل الإجازات والحالات'!$B$6:$B$505,$B94))/cfg_DAYS_Y)</f>
        <v/>
      </c>
      <c r="F94" s="65" t="str">
        <f aca="false">IF($B94="","",IF(الموظفون!$T94&lt;&gt;"",الموظفون!$T94,IF(E94&gt;=cfg_LV_TH,cfg_LV_D2,cfg_LV_D1)))</f>
        <v/>
      </c>
      <c r="G94" s="111" t="str">
        <f aca="false">IF($B94="","",الموظفون!$R94/cfg_DAYS_M)</f>
        <v/>
      </c>
      <c r="H94" s="151" t="str">
        <f aca="false">IF($B94="","",N(الموظفون!$AC94))</f>
        <v/>
      </c>
      <c r="I94" s="174" t="str">
        <f aca="false">IF($B94="","",MAX(cfg_Y_START,D94))</f>
        <v/>
      </c>
      <c r="J94" s="174" t="str">
        <f aca="false">IF($B94="","",IF(OR(الموظفون!$AE94="",الموظفون!$AE94&gt;cfg_VAL_DATE),cfg_VAL_DATE,الموظفون!$AE94))</f>
        <v/>
      </c>
      <c r="K94" s="65" t="str">
        <f aca="false">IF($B94="","",MAX(0,MAX(0,J94-I94+1)-(SUMIFS('سجل الإجازات والحالات'!$S$6:$S$505,'سجل الإجازات والحالات'!$B$6:$B$505,$B94)-SUMIFS('سجل الإجازات والحالات'!$R$6:$R$505,'سجل الإجازات والحالات'!$B$6:$B$505,$B94))))</f>
        <v/>
      </c>
      <c r="L94" s="151" t="str">
        <f aca="false">IF($B94="","",F94/cfg_DAYS_Y*K94)</f>
        <v/>
      </c>
      <c r="M94" s="151" t="str">
        <f aca="false">IF($B94="","",SUMIFS('سجل الإجازات والحالات'!$T$6:$T$505,'سجل الإجازات والحالات'!$B$6:$B$505,$B94)+SUMIFS('الحركات الشهرية'!$K$6:$K$1005,'الحركات الشهرية'!$B$6:$B$1005,B94,'الحركات الشهرية'!$A$6:$A$1005,"&lt;="&amp;cfg_VAL_M))</f>
        <v/>
      </c>
      <c r="N94" s="151" t="str">
        <f aca="false">IF($B94="","",SUMIFS('الحركات الشهرية'!$L$6:$L$1005,'الحركات الشهرية'!$B$6:$B$1005,B94,'الحركات الشهرية'!$A$6:$A$1005,"&lt;="&amp;cfg_VAL_M))</f>
        <v/>
      </c>
      <c r="O94" s="151" t="str">
        <f aca="false">IF($B94="","",H94+L94-M94-N94)</f>
        <v/>
      </c>
      <c r="P94" s="153" t="str">
        <f aca="false">IF($B94="","",O94*G94)</f>
        <v/>
      </c>
      <c r="Q94" s="111" t="str">
        <f aca="false">IF($B94="","",H94*G94)</f>
        <v/>
      </c>
      <c r="R94" s="111" t="str">
        <f aca="false">IF($B94="","",(M94+N94)*G94)</f>
        <v/>
      </c>
      <c r="S94" s="114" t="str">
        <f aca="false">IF($B94="","",IF(O94&lt;-0.01,"✖ رصيد سالب",IF(O94&gt;F94*2,"⚠ رصيد مرتفع (أكثر من سنتين)",IF(AND(الموظفون!$AE94&lt;&gt;"",الموظفون!$AE94&lt;=cfg_VAL_DATE,O94&gt;0.01),"⚠ منتهي الخدمة برصيد","✔ سليم"))))</f>
        <v/>
      </c>
    </row>
    <row r="95" customFormat="false" ht="15" hidden="false" customHeight="false" outlineLevel="0" collapsed="false">
      <c r="B95" s="117" t="str">
        <f aca="false">IF(الموظفون!$B95="","",الموظفون!$B95)</f>
        <v/>
      </c>
      <c r="C95" s="117" t="str">
        <f aca="false">IF($B95="","",الموظفون!$C95)</f>
        <v/>
      </c>
      <c r="D95" s="175" t="str">
        <f aca="false">IF($B95="","",الموظفون!$H95)</f>
        <v/>
      </c>
      <c r="E95" s="180" t="str">
        <f aca="false">IF($B95="","",MAX(0,J95-D95+1-SUMIFS('سجل الإجازات والحالات'!$S$6:$S$505,'سجل الإجازات والحالات'!$B$6:$B$505,$B95))/cfg_DAYS_Y)</f>
        <v/>
      </c>
      <c r="F95" s="133" t="str">
        <f aca="false">IF($B95="","",IF(الموظفون!$T95&lt;&gt;"",الموظفون!$T95,IF(E95&gt;=cfg_LV_TH,cfg_LV_D2,cfg_LV_D1)))</f>
        <v/>
      </c>
      <c r="G95" s="116" t="str">
        <f aca="false">IF($B95="","",الموظفون!$R95/cfg_DAYS_M)</f>
        <v/>
      </c>
      <c r="H95" s="156" t="str">
        <f aca="false">IF($B95="","",N(الموظفون!$AC95))</f>
        <v/>
      </c>
      <c r="I95" s="175" t="str">
        <f aca="false">IF($B95="","",MAX(cfg_Y_START,D95))</f>
        <v/>
      </c>
      <c r="J95" s="175" t="str">
        <f aca="false">IF($B95="","",IF(OR(الموظفون!$AE95="",الموظفون!$AE95&gt;cfg_VAL_DATE),cfg_VAL_DATE,الموظفون!$AE95))</f>
        <v/>
      </c>
      <c r="K95" s="133" t="str">
        <f aca="false">IF($B95="","",MAX(0,MAX(0,J95-I95+1)-(SUMIFS('سجل الإجازات والحالات'!$S$6:$S$505,'سجل الإجازات والحالات'!$B$6:$B$505,$B95)-SUMIFS('سجل الإجازات والحالات'!$R$6:$R$505,'سجل الإجازات والحالات'!$B$6:$B$505,$B95))))</f>
        <v/>
      </c>
      <c r="L95" s="156" t="str">
        <f aca="false">IF($B95="","",F95/cfg_DAYS_Y*K95)</f>
        <v/>
      </c>
      <c r="M95" s="156" t="str">
        <f aca="false">IF($B95="","",SUMIFS('سجل الإجازات والحالات'!$T$6:$T$505,'سجل الإجازات والحالات'!$B$6:$B$505,$B95)+SUMIFS('الحركات الشهرية'!$K$6:$K$1005,'الحركات الشهرية'!$B$6:$B$1005,B95,'الحركات الشهرية'!$A$6:$A$1005,"&lt;="&amp;cfg_VAL_M))</f>
        <v/>
      </c>
      <c r="N95" s="156" t="str">
        <f aca="false">IF($B95="","",SUMIFS('الحركات الشهرية'!$L$6:$L$1005,'الحركات الشهرية'!$B$6:$B$1005,B95,'الحركات الشهرية'!$A$6:$A$1005,"&lt;="&amp;cfg_VAL_M))</f>
        <v/>
      </c>
      <c r="O95" s="156" t="str">
        <f aca="false">IF($B95="","",H95+L95-M95-N95)</f>
        <v/>
      </c>
      <c r="P95" s="158" t="str">
        <f aca="false">IF($B95="","",O95*G95)</f>
        <v/>
      </c>
      <c r="Q95" s="116" t="str">
        <f aca="false">IF($B95="","",H95*G95)</f>
        <v/>
      </c>
      <c r="R95" s="116" t="str">
        <f aca="false">IF($B95="","",(M95+N95)*G95)</f>
        <v/>
      </c>
      <c r="S95" s="117" t="str">
        <f aca="false">IF($B95="","",IF(O95&lt;-0.01,"✖ رصيد سالب",IF(O95&gt;F95*2,"⚠ رصيد مرتفع (أكثر من سنتين)",IF(AND(الموظفون!$AE95&lt;&gt;"",الموظفون!$AE95&lt;=cfg_VAL_DATE,O95&gt;0.01),"⚠ منتهي الخدمة برصيد","✔ سليم"))))</f>
        <v/>
      </c>
    </row>
    <row r="96" customFormat="false" ht="15" hidden="false" customHeight="false" outlineLevel="0" collapsed="false">
      <c r="B96" s="114" t="str">
        <f aca="false">IF(الموظفون!$B96="","",الموظفون!$B96)</f>
        <v/>
      </c>
      <c r="C96" s="114" t="str">
        <f aca="false">IF($B96="","",الموظفون!$C96)</f>
        <v/>
      </c>
      <c r="D96" s="174" t="str">
        <f aca="false">IF($B96="","",الموظفون!$H96)</f>
        <v/>
      </c>
      <c r="E96" s="179" t="str">
        <f aca="false">IF($B96="","",MAX(0,J96-D96+1-SUMIFS('سجل الإجازات والحالات'!$S$6:$S$505,'سجل الإجازات والحالات'!$B$6:$B$505,$B96))/cfg_DAYS_Y)</f>
        <v/>
      </c>
      <c r="F96" s="65" t="str">
        <f aca="false">IF($B96="","",IF(الموظفون!$T96&lt;&gt;"",الموظفون!$T96,IF(E96&gt;=cfg_LV_TH,cfg_LV_D2,cfg_LV_D1)))</f>
        <v/>
      </c>
      <c r="G96" s="111" t="str">
        <f aca="false">IF($B96="","",الموظفون!$R96/cfg_DAYS_M)</f>
        <v/>
      </c>
      <c r="H96" s="151" t="str">
        <f aca="false">IF($B96="","",N(الموظفون!$AC96))</f>
        <v/>
      </c>
      <c r="I96" s="174" t="str">
        <f aca="false">IF($B96="","",MAX(cfg_Y_START,D96))</f>
        <v/>
      </c>
      <c r="J96" s="174" t="str">
        <f aca="false">IF($B96="","",IF(OR(الموظفون!$AE96="",الموظفون!$AE96&gt;cfg_VAL_DATE),cfg_VAL_DATE,الموظفون!$AE96))</f>
        <v/>
      </c>
      <c r="K96" s="65" t="str">
        <f aca="false">IF($B96="","",MAX(0,MAX(0,J96-I96+1)-(SUMIFS('سجل الإجازات والحالات'!$S$6:$S$505,'سجل الإجازات والحالات'!$B$6:$B$505,$B96)-SUMIFS('سجل الإجازات والحالات'!$R$6:$R$505,'سجل الإجازات والحالات'!$B$6:$B$505,$B96))))</f>
        <v/>
      </c>
      <c r="L96" s="151" t="str">
        <f aca="false">IF($B96="","",F96/cfg_DAYS_Y*K96)</f>
        <v/>
      </c>
      <c r="M96" s="151" t="str">
        <f aca="false">IF($B96="","",SUMIFS('سجل الإجازات والحالات'!$T$6:$T$505,'سجل الإجازات والحالات'!$B$6:$B$505,$B96)+SUMIFS('الحركات الشهرية'!$K$6:$K$1005,'الحركات الشهرية'!$B$6:$B$1005,B96,'الحركات الشهرية'!$A$6:$A$1005,"&lt;="&amp;cfg_VAL_M))</f>
        <v/>
      </c>
      <c r="N96" s="151" t="str">
        <f aca="false">IF($B96="","",SUMIFS('الحركات الشهرية'!$L$6:$L$1005,'الحركات الشهرية'!$B$6:$B$1005,B96,'الحركات الشهرية'!$A$6:$A$1005,"&lt;="&amp;cfg_VAL_M))</f>
        <v/>
      </c>
      <c r="O96" s="151" t="str">
        <f aca="false">IF($B96="","",H96+L96-M96-N96)</f>
        <v/>
      </c>
      <c r="P96" s="153" t="str">
        <f aca="false">IF($B96="","",O96*G96)</f>
        <v/>
      </c>
      <c r="Q96" s="111" t="str">
        <f aca="false">IF($B96="","",H96*G96)</f>
        <v/>
      </c>
      <c r="R96" s="111" t="str">
        <f aca="false">IF($B96="","",(M96+N96)*G96)</f>
        <v/>
      </c>
      <c r="S96" s="114" t="str">
        <f aca="false">IF($B96="","",IF(O96&lt;-0.01,"✖ رصيد سالب",IF(O96&gt;F96*2,"⚠ رصيد مرتفع (أكثر من سنتين)",IF(AND(الموظفون!$AE96&lt;&gt;"",الموظفون!$AE96&lt;=cfg_VAL_DATE,O96&gt;0.01),"⚠ منتهي الخدمة برصيد","✔ سليم"))))</f>
        <v/>
      </c>
    </row>
    <row r="97" customFormat="false" ht="15" hidden="false" customHeight="false" outlineLevel="0" collapsed="false">
      <c r="B97" s="117" t="str">
        <f aca="false">IF(الموظفون!$B97="","",الموظفون!$B97)</f>
        <v/>
      </c>
      <c r="C97" s="117" t="str">
        <f aca="false">IF($B97="","",الموظفون!$C97)</f>
        <v/>
      </c>
      <c r="D97" s="175" t="str">
        <f aca="false">IF($B97="","",الموظفون!$H97)</f>
        <v/>
      </c>
      <c r="E97" s="180" t="str">
        <f aca="false">IF($B97="","",MAX(0,J97-D97+1-SUMIFS('سجل الإجازات والحالات'!$S$6:$S$505,'سجل الإجازات والحالات'!$B$6:$B$505,$B97))/cfg_DAYS_Y)</f>
        <v/>
      </c>
      <c r="F97" s="133" t="str">
        <f aca="false">IF($B97="","",IF(الموظفون!$T97&lt;&gt;"",الموظفون!$T97,IF(E97&gt;=cfg_LV_TH,cfg_LV_D2,cfg_LV_D1)))</f>
        <v/>
      </c>
      <c r="G97" s="116" t="str">
        <f aca="false">IF($B97="","",الموظفون!$R97/cfg_DAYS_M)</f>
        <v/>
      </c>
      <c r="H97" s="156" t="str">
        <f aca="false">IF($B97="","",N(الموظفون!$AC97))</f>
        <v/>
      </c>
      <c r="I97" s="175" t="str">
        <f aca="false">IF($B97="","",MAX(cfg_Y_START,D97))</f>
        <v/>
      </c>
      <c r="J97" s="175" t="str">
        <f aca="false">IF($B97="","",IF(OR(الموظفون!$AE97="",الموظفون!$AE97&gt;cfg_VAL_DATE),cfg_VAL_DATE,الموظفون!$AE97))</f>
        <v/>
      </c>
      <c r="K97" s="133" t="str">
        <f aca="false">IF($B97="","",MAX(0,MAX(0,J97-I97+1)-(SUMIFS('سجل الإجازات والحالات'!$S$6:$S$505,'سجل الإجازات والحالات'!$B$6:$B$505,$B97)-SUMIFS('سجل الإجازات والحالات'!$R$6:$R$505,'سجل الإجازات والحالات'!$B$6:$B$505,$B97))))</f>
        <v/>
      </c>
      <c r="L97" s="156" t="str">
        <f aca="false">IF($B97="","",F97/cfg_DAYS_Y*K97)</f>
        <v/>
      </c>
      <c r="M97" s="156" t="str">
        <f aca="false">IF($B97="","",SUMIFS('سجل الإجازات والحالات'!$T$6:$T$505,'سجل الإجازات والحالات'!$B$6:$B$505,$B97)+SUMIFS('الحركات الشهرية'!$K$6:$K$1005,'الحركات الشهرية'!$B$6:$B$1005,B97,'الحركات الشهرية'!$A$6:$A$1005,"&lt;="&amp;cfg_VAL_M))</f>
        <v/>
      </c>
      <c r="N97" s="156" t="str">
        <f aca="false">IF($B97="","",SUMIFS('الحركات الشهرية'!$L$6:$L$1005,'الحركات الشهرية'!$B$6:$B$1005,B97,'الحركات الشهرية'!$A$6:$A$1005,"&lt;="&amp;cfg_VAL_M))</f>
        <v/>
      </c>
      <c r="O97" s="156" t="str">
        <f aca="false">IF($B97="","",H97+L97-M97-N97)</f>
        <v/>
      </c>
      <c r="P97" s="158" t="str">
        <f aca="false">IF($B97="","",O97*G97)</f>
        <v/>
      </c>
      <c r="Q97" s="116" t="str">
        <f aca="false">IF($B97="","",H97*G97)</f>
        <v/>
      </c>
      <c r="R97" s="116" t="str">
        <f aca="false">IF($B97="","",(M97+N97)*G97)</f>
        <v/>
      </c>
      <c r="S97" s="117" t="str">
        <f aca="false">IF($B97="","",IF(O97&lt;-0.01,"✖ رصيد سالب",IF(O97&gt;F97*2,"⚠ رصيد مرتفع (أكثر من سنتين)",IF(AND(الموظفون!$AE97&lt;&gt;"",الموظفون!$AE97&lt;=cfg_VAL_DATE,O97&gt;0.01),"⚠ منتهي الخدمة برصيد","✔ سليم"))))</f>
        <v/>
      </c>
    </row>
    <row r="98" customFormat="false" ht="15" hidden="false" customHeight="false" outlineLevel="0" collapsed="false">
      <c r="B98" s="114" t="str">
        <f aca="false">IF(الموظفون!$B98="","",الموظفون!$B98)</f>
        <v/>
      </c>
      <c r="C98" s="114" t="str">
        <f aca="false">IF($B98="","",الموظفون!$C98)</f>
        <v/>
      </c>
      <c r="D98" s="174" t="str">
        <f aca="false">IF($B98="","",الموظفون!$H98)</f>
        <v/>
      </c>
      <c r="E98" s="179" t="str">
        <f aca="false">IF($B98="","",MAX(0,J98-D98+1-SUMIFS('سجل الإجازات والحالات'!$S$6:$S$505,'سجل الإجازات والحالات'!$B$6:$B$505,$B98))/cfg_DAYS_Y)</f>
        <v/>
      </c>
      <c r="F98" s="65" t="str">
        <f aca="false">IF($B98="","",IF(الموظفون!$T98&lt;&gt;"",الموظفون!$T98,IF(E98&gt;=cfg_LV_TH,cfg_LV_D2,cfg_LV_D1)))</f>
        <v/>
      </c>
      <c r="G98" s="111" t="str">
        <f aca="false">IF($B98="","",الموظفون!$R98/cfg_DAYS_M)</f>
        <v/>
      </c>
      <c r="H98" s="151" t="str">
        <f aca="false">IF($B98="","",N(الموظفون!$AC98))</f>
        <v/>
      </c>
      <c r="I98" s="174" t="str">
        <f aca="false">IF($B98="","",MAX(cfg_Y_START,D98))</f>
        <v/>
      </c>
      <c r="J98" s="174" t="str">
        <f aca="false">IF($B98="","",IF(OR(الموظفون!$AE98="",الموظفون!$AE98&gt;cfg_VAL_DATE),cfg_VAL_DATE,الموظفون!$AE98))</f>
        <v/>
      </c>
      <c r="K98" s="65" t="str">
        <f aca="false">IF($B98="","",MAX(0,MAX(0,J98-I98+1)-(SUMIFS('سجل الإجازات والحالات'!$S$6:$S$505,'سجل الإجازات والحالات'!$B$6:$B$505,$B98)-SUMIFS('سجل الإجازات والحالات'!$R$6:$R$505,'سجل الإجازات والحالات'!$B$6:$B$505,$B98))))</f>
        <v/>
      </c>
      <c r="L98" s="151" t="str">
        <f aca="false">IF($B98="","",F98/cfg_DAYS_Y*K98)</f>
        <v/>
      </c>
      <c r="M98" s="151" t="str">
        <f aca="false">IF($B98="","",SUMIFS('سجل الإجازات والحالات'!$T$6:$T$505,'سجل الإجازات والحالات'!$B$6:$B$505,$B98)+SUMIFS('الحركات الشهرية'!$K$6:$K$1005,'الحركات الشهرية'!$B$6:$B$1005,B98,'الحركات الشهرية'!$A$6:$A$1005,"&lt;="&amp;cfg_VAL_M))</f>
        <v/>
      </c>
      <c r="N98" s="151" t="str">
        <f aca="false">IF($B98="","",SUMIFS('الحركات الشهرية'!$L$6:$L$1005,'الحركات الشهرية'!$B$6:$B$1005,B98,'الحركات الشهرية'!$A$6:$A$1005,"&lt;="&amp;cfg_VAL_M))</f>
        <v/>
      </c>
      <c r="O98" s="151" t="str">
        <f aca="false">IF($B98="","",H98+L98-M98-N98)</f>
        <v/>
      </c>
      <c r="P98" s="153" t="str">
        <f aca="false">IF($B98="","",O98*G98)</f>
        <v/>
      </c>
      <c r="Q98" s="111" t="str">
        <f aca="false">IF($B98="","",H98*G98)</f>
        <v/>
      </c>
      <c r="R98" s="111" t="str">
        <f aca="false">IF($B98="","",(M98+N98)*G98)</f>
        <v/>
      </c>
      <c r="S98" s="114" t="str">
        <f aca="false">IF($B98="","",IF(O98&lt;-0.01,"✖ رصيد سالب",IF(O98&gt;F98*2,"⚠ رصيد مرتفع (أكثر من سنتين)",IF(AND(الموظفون!$AE98&lt;&gt;"",الموظفون!$AE98&lt;=cfg_VAL_DATE,O98&gt;0.01),"⚠ منتهي الخدمة برصيد","✔ سليم"))))</f>
        <v/>
      </c>
    </row>
    <row r="99" customFormat="false" ht="15" hidden="false" customHeight="false" outlineLevel="0" collapsed="false">
      <c r="B99" s="117" t="str">
        <f aca="false">IF(الموظفون!$B99="","",الموظفون!$B99)</f>
        <v/>
      </c>
      <c r="C99" s="117" t="str">
        <f aca="false">IF($B99="","",الموظفون!$C99)</f>
        <v/>
      </c>
      <c r="D99" s="175" t="str">
        <f aca="false">IF($B99="","",الموظفون!$H99)</f>
        <v/>
      </c>
      <c r="E99" s="180" t="str">
        <f aca="false">IF($B99="","",MAX(0,J99-D99+1-SUMIFS('سجل الإجازات والحالات'!$S$6:$S$505,'سجل الإجازات والحالات'!$B$6:$B$505,$B99))/cfg_DAYS_Y)</f>
        <v/>
      </c>
      <c r="F99" s="133" t="str">
        <f aca="false">IF($B99="","",IF(الموظفون!$T99&lt;&gt;"",الموظفون!$T99,IF(E99&gt;=cfg_LV_TH,cfg_LV_D2,cfg_LV_D1)))</f>
        <v/>
      </c>
      <c r="G99" s="116" t="str">
        <f aca="false">IF($B99="","",الموظفون!$R99/cfg_DAYS_M)</f>
        <v/>
      </c>
      <c r="H99" s="156" t="str">
        <f aca="false">IF($B99="","",N(الموظفون!$AC99))</f>
        <v/>
      </c>
      <c r="I99" s="175" t="str">
        <f aca="false">IF($B99="","",MAX(cfg_Y_START,D99))</f>
        <v/>
      </c>
      <c r="J99" s="175" t="str">
        <f aca="false">IF($B99="","",IF(OR(الموظفون!$AE99="",الموظفون!$AE99&gt;cfg_VAL_DATE),cfg_VAL_DATE,الموظفون!$AE99))</f>
        <v/>
      </c>
      <c r="K99" s="133" t="str">
        <f aca="false">IF($B99="","",MAX(0,MAX(0,J99-I99+1)-(SUMIFS('سجل الإجازات والحالات'!$S$6:$S$505,'سجل الإجازات والحالات'!$B$6:$B$505,$B99)-SUMIFS('سجل الإجازات والحالات'!$R$6:$R$505,'سجل الإجازات والحالات'!$B$6:$B$505,$B99))))</f>
        <v/>
      </c>
      <c r="L99" s="156" t="str">
        <f aca="false">IF($B99="","",F99/cfg_DAYS_Y*K99)</f>
        <v/>
      </c>
      <c r="M99" s="156" t="str">
        <f aca="false">IF($B99="","",SUMIFS('سجل الإجازات والحالات'!$T$6:$T$505,'سجل الإجازات والحالات'!$B$6:$B$505,$B99)+SUMIFS('الحركات الشهرية'!$K$6:$K$1005,'الحركات الشهرية'!$B$6:$B$1005,B99,'الحركات الشهرية'!$A$6:$A$1005,"&lt;="&amp;cfg_VAL_M))</f>
        <v/>
      </c>
      <c r="N99" s="156" t="str">
        <f aca="false">IF($B99="","",SUMIFS('الحركات الشهرية'!$L$6:$L$1005,'الحركات الشهرية'!$B$6:$B$1005,B99,'الحركات الشهرية'!$A$6:$A$1005,"&lt;="&amp;cfg_VAL_M))</f>
        <v/>
      </c>
      <c r="O99" s="156" t="str">
        <f aca="false">IF($B99="","",H99+L99-M99-N99)</f>
        <v/>
      </c>
      <c r="P99" s="158" t="str">
        <f aca="false">IF($B99="","",O99*G99)</f>
        <v/>
      </c>
      <c r="Q99" s="116" t="str">
        <f aca="false">IF($B99="","",H99*G99)</f>
        <v/>
      </c>
      <c r="R99" s="116" t="str">
        <f aca="false">IF($B99="","",(M99+N99)*G99)</f>
        <v/>
      </c>
      <c r="S99" s="117" t="str">
        <f aca="false">IF($B99="","",IF(O99&lt;-0.01,"✖ رصيد سالب",IF(O99&gt;F99*2,"⚠ رصيد مرتفع (أكثر من سنتين)",IF(AND(الموظفون!$AE99&lt;&gt;"",الموظفون!$AE99&lt;=cfg_VAL_DATE,O99&gt;0.01),"⚠ منتهي الخدمة برصيد","✔ سليم"))))</f>
        <v/>
      </c>
    </row>
    <row r="100" customFormat="false" ht="15" hidden="false" customHeight="false" outlineLevel="0" collapsed="false">
      <c r="B100" s="114" t="str">
        <f aca="false">IF(الموظفون!$B100="","",الموظفون!$B100)</f>
        <v/>
      </c>
      <c r="C100" s="114" t="str">
        <f aca="false">IF($B100="","",الموظفون!$C100)</f>
        <v/>
      </c>
      <c r="D100" s="174" t="str">
        <f aca="false">IF($B100="","",الموظفون!$H100)</f>
        <v/>
      </c>
      <c r="E100" s="179" t="str">
        <f aca="false">IF($B100="","",MAX(0,J100-D100+1-SUMIFS('سجل الإجازات والحالات'!$S$6:$S$505,'سجل الإجازات والحالات'!$B$6:$B$505,$B100))/cfg_DAYS_Y)</f>
        <v/>
      </c>
      <c r="F100" s="65" t="str">
        <f aca="false">IF($B100="","",IF(الموظفون!$T100&lt;&gt;"",الموظفون!$T100,IF(E100&gt;=cfg_LV_TH,cfg_LV_D2,cfg_LV_D1)))</f>
        <v/>
      </c>
      <c r="G100" s="111" t="str">
        <f aca="false">IF($B100="","",الموظفون!$R100/cfg_DAYS_M)</f>
        <v/>
      </c>
      <c r="H100" s="151" t="str">
        <f aca="false">IF($B100="","",N(الموظفون!$AC100))</f>
        <v/>
      </c>
      <c r="I100" s="174" t="str">
        <f aca="false">IF($B100="","",MAX(cfg_Y_START,D100))</f>
        <v/>
      </c>
      <c r="J100" s="174" t="str">
        <f aca="false">IF($B100="","",IF(OR(الموظفون!$AE100="",الموظفون!$AE100&gt;cfg_VAL_DATE),cfg_VAL_DATE,الموظفون!$AE100))</f>
        <v/>
      </c>
      <c r="K100" s="65" t="str">
        <f aca="false">IF($B100="","",MAX(0,MAX(0,J100-I100+1)-(SUMIFS('سجل الإجازات والحالات'!$S$6:$S$505,'سجل الإجازات والحالات'!$B$6:$B$505,$B100)-SUMIFS('سجل الإجازات والحالات'!$R$6:$R$505,'سجل الإجازات والحالات'!$B$6:$B$505,$B100))))</f>
        <v/>
      </c>
      <c r="L100" s="151" t="str">
        <f aca="false">IF($B100="","",F100/cfg_DAYS_Y*K100)</f>
        <v/>
      </c>
      <c r="M100" s="151" t="str">
        <f aca="false">IF($B100="","",SUMIFS('سجل الإجازات والحالات'!$T$6:$T$505,'سجل الإجازات والحالات'!$B$6:$B$505,$B100)+SUMIFS('الحركات الشهرية'!$K$6:$K$1005,'الحركات الشهرية'!$B$6:$B$1005,B100,'الحركات الشهرية'!$A$6:$A$1005,"&lt;="&amp;cfg_VAL_M))</f>
        <v/>
      </c>
      <c r="N100" s="151" t="str">
        <f aca="false">IF($B100="","",SUMIFS('الحركات الشهرية'!$L$6:$L$1005,'الحركات الشهرية'!$B$6:$B$1005,B100,'الحركات الشهرية'!$A$6:$A$1005,"&lt;="&amp;cfg_VAL_M))</f>
        <v/>
      </c>
      <c r="O100" s="151" t="str">
        <f aca="false">IF($B100="","",H100+L100-M100-N100)</f>
        <v/>
      </c>
      <c r="P100" s="153" t="str">
        <f aca="false">IF($B100="","",O100*G100)</f>
        <v/>
      </c>
      <c r="Q100" s="111" t="str">
        <f aca="false">IF($B100="","",H100*G100)</f>
        <v/>
      </c>
      <c r="R100" s="111" t="str">
        <f aca="false">IF($B100="","",(M100+N100)*G100)</f>
        <v/>
      </c>
      <c r="S100" s="114" t="str">
        <f aca="false">IF($B100="","",IF(O100&lt;-0.01,"✖ رصيد سالب",IF(O100&gt;F100*2,"⚠ رصيد مرتفع (أكثر من سنتين)",IF(AND(الموظفون!$AE100&lt;&gt;"",الموظفون!$AE100&lt;=cfg_VAL_DATE,O100&gt;0.01),"⚠ منتهي الخدمة برصيد","✔ سليم"))))</f>
        <v/>
      </c>
    </row>
    <row r="101" customFormat="false" ht="15" hidden="false" customHeight="false" outlineLevel="0" collapsed="false">
      <c r="B101" s="117" t="str">
        <f aca="false">IF(الموظفون!$B101="","",الموظفون!$B101)</f>
        <v/>
      </c>
      <c r="C101" s="117" t="str">
        <f aca="false">IF($B101="","",الموظفون!$C101)</f>
        <v/>
      </c>
      <c r="D101" s="175" t="str">
        <f aca="false">IF($B101="","",الموظفون!$H101)</f>
        <v/>
      </c>
      <c r="E101" s="180" t="str">
        <f aca="false">IF($B101="","",MAX(0,J101-D101+1-SUMIFS('سجل الإجازات والحالات'!$S$6:$S$505,'سجل الإجازات والحالات'!$B$6:$B$505,$B101))/cfg_DAYS_Y)</f>
        <v/>
      </c>
      <c r="F101" s="133" t="str">
        <f aca="false">IF($B101="","",IF(الموظفون!$T101&lt;&gt;"",الموظفون!$T101,IF(E101&gt;=cfg_LV_TH,cfg_LV_D2,cfg_LV_D1)))</f>
        <v/>
      </c>
      <c r="G101" s="116" t="str">
        <f aca="false">IF($B101="","",الموظفون!$R101/cfg_DAYS_M)</f>
        <v/>
      </c>
      <c r="H101" s="156" t="str">
        <f aca="false">IF($B101="","",N(الموظفون!$AC101))</f>
        <v/>
      </c>
      <c r="I101" s="175" t="str">
        <f aca="false">IF($B101="","",MAX(cfg_Y_START,D101))</f>
        <v/>
      </c>
      <c r="J101" s="175" t="str">
        <f aca="false">IF($B101="","",IF(OR(الموظفون!$AE101="",الموظفون!$AE101&gt;cfg_VAL_DATE),cfg_VAL_DATE,الموظفون!$AE101))</f>
        <v/>
      </c>
      <c r="K101" s="133" t="str">
        <f aca="false">IF($B101="","",MAX(0,MAX(0,J101-I101+1)-(SUMIFS('سجل الإجازات والحالات'!$S$6:$S$505,'سجل الإجازات والحالات'!$B$6:$B$505,$B101)-SUMIFS('سجل الإجازات والحالات'!$R$6:$R$505,'سجل الإجازات والحالات'!$B$6:$B$505,$B101))))</f>
        <v/>
      </c>
      <c r="L101" s="156" t="str">
        <f aca="false">IF($B101="","",F101/cfg_DAYS_Y*K101)</f>
        <v/>
      </c>
      <c r="M101" s="156" t="str">
        <f aca="false">IF($B101="","",SUMIFS('سجل الإجازات والحالات'!$T$6:$T$505,'سجل الإجازات والحالات'!$B$6:$B$505,$B101)+SUMIFS('الحركات الشهرية'!$K$6:$K$1005,'الحركات الشهرية'!$B$6:$B$1005,B101,'الحركات الشهرية'!$A$6:$A$1005,"&lt;="&amp;cfg_VAL_M))</f>
        <v/>
      </c>
      <c r="N101" s="156" t="str">
        <f aca="false">IF($B101="","",SUMIFS('الحركات الشهرية'!$L$6:$L$1005,'الحركات الشهرية'!$B$6:$B$1005,B101,'الحركات الشهرية'!$A$6:$A$1005,"&lt;="&amp;cfg_VAL_M))</f>
        <v/>
      </c>
      <c r="O101" s="156" t="str">
        <f aca="false">IF($B101="","",H101+L101-M101-N101)</f>
        <v/>
      </c>
      <c r="P101" s="158" t="str">
        <f aca="false">IF($B101="","",O101*G101)</f>
        <v/>
      </c>
      <c r="Q101" s="116" t="str">
        <f aca="false">IF($B101="","",H101*G101)</f>
        <v/>
      </c>
      <c r="R101" s="116" t="str">
        <f aca="false">IF($B101="","",(M101+N101)*G101)</f>
        <v/>
      </c>
      <c r="S101" s="117" t="str">
        <f aca="false">IF($B101="","",IF(O101&lt;-0.01,"✖ رصيد سالب",IF(O101&gt;F101*2,"⚠ رصيد مرتفع (أكثر من سنتين)",IF(AND(الموظفون!$AE101&lt;&gt;"",الموظفون!$AE101&lt;=cfg_VAL_DATE,O101&gt;0.01),"⚠ منتهي الخدمة برصيد","✔ سليم"))))</f>
        <v/>
      </c>
    </row>
    <row r="102" customFormat="false" ht="15" hidden="false" customHeight="false" outlineLevel="0" collapsed="false">
      <c r="B102" s="114" t="str">
        <f aca="false">IF(الموظفون!$B102="","",الموظفون!$B102)</f>
        <v/>
      </c>
      <c r="C102" s="114" t="str">
        <f aca="false">IF($B102="","",الموظفون!$C102)</f>
        <v/>
      </c>
      <c r="D102" s="174" t="str">
        <f aca="false">IF($B102="","",الموظفون!$H102)</f>
        <v/>
      </c>
      <c r="E102" s="179" t="str">
        <f aca="false">IF($B102="","",MAX(0,J102-D102+1-SUMIFS('سجل الإجازات والحالات'!$S$6:$S$505,'سجل الإجازات والحالات'!$B$6:$B$505,$B102))/cfg_DAYS_Y)</f>
        <v/>
      </c>
      <c r="F102" s="65" t="str">
        <f aca="false">IF($B102="","",IF(الموظفون!$T102&lt;&gt;"",الموظفون!$T102,IF(E102&gt;=cfg_LV_TH,cfg_LV_D2,cfg_LV_D1)))</f>
        <v/>
      </c>
      <c r="G102" s="111" t="str">
        <f aca="false">IF($B102="","",الموظفون!$R102/cfg_DAYS_M)</f>
        <v/>
      </c>
      <c r="H102" s="151" t="str">
        <f aca="false">IF($B102="","",N(الموظفون!$AC102))</f>
        <v/>
      </c>
      <c r="I102" s="174" t="str">
        <f aca="false">IF($B102="","",MAX(cfg_Y_START,D102))</f>
        <v/>
      </c>
      <c r="J102" s="174" t="str">
        <f aca="false">IF($B102="","",IF(OR(الموظفون!$AE102="",الموظفون!$AE102&gt;cfg_VAL_DATE),cfg_VAL_DATE,الموظفون!$AE102))</f>
        <v/>
      </c>
      <c r="K102" s="65" t="str">
        <f aca="false">IF($B102="","",MAX(0,MAX(0,J102-I102+1)-(SUMIFS('سجل الإجازات والحالات'!$S$6:$S$505,'سجل الإجازات والحالات'!$B$6:$B$505,$B102)-SUMIFS('سجل الإجازات والحالات'!$R$6:$R$505,'سجل الإجازات والحالات'!$B$6:$B$505,$B102))))</f>
        <v/>
      </c>
      <c r="L102" s="151" t="str">
        <f aca="false">IF($B102="","",F102/cfg_DAYS_Y*K102)</f>
        <v/>
      </c>
      <c r="M102" s="151" t="str">
        <f aca="false">IF($B102="","",SUMIFS('سجل الإجازات والحالات'!$T$6:$T$505,'سجل الإجازات والحالات'!$B$6:$B$505,$B102)+SUMIFS('الحركات الشهرية'!$K$6:$K$1005,'الحركات الشهرية'!$B$6:$B$1005,B102,'الحركات الشهرية'!$A$6:$A$1005,"&lt;="&amp;cfg_VAL_M))</f>
        <v/>
      </c>
      <c r="N102" s="151" t="str">
        <f aca="false">IF($B102="","",SUMIFS('الحركات الشهرية'!$L$6:$L$1005,'الحركات الشهرية'!$B$6:$B$1005,B102,'الحركات الشهرية'!$A$6:$A$1005,"&lt;="&amp;cfg_VAL_M))</f>
        <v/>
      </c>
      <c r="O102" s="151" t="str">
        <f aca="false">IF($B102="","",H102+L102-M102-N102)</f>
        <v/>
      </c>
      <c r="P102" s="153" t="str">
        <f aca="false">IF($B102="","",O102*G102)</f>
        <v/>
      </c>
      <c r="Q102" s="111" t="str">
        <f aca="false">IF($B102="","",H102*G102)</f>
        <v/>
      </c>
      <c r="R102" s="111" t="str">
        <f aca="false">IF($B102="","",(M102+N102)*G102)</f>
        <v/>
      </c>
      <c r="S102" s="114" t="str">
        <f aca="false">IF($B102="","",IF(O102&lt;-0.01,"✖ رصيد سالب",IF(O102&gt;F102*2,"⚠ رصيد مرتفع (أكثر من سنتين)",IF(AND(الموظفون!$AE102&lt;&gt;"",الموظفون!$AE102&lt;=cfg_VAL_DATE,O102&gt;0.01),"⚠ منتهي الخدمة برصيد","✔ سليم"))))</f>
        <v/>
      </c>
    </row>
    <row r="103" customFormat="false" ht="15" hidden="false" customHeight="false" outlineLevel="0" collapsed="false">
      <c r="B103" s="117" t="str">
        <f aca="false">IF(الموظفون!$B103="","",الموظفون!$B103)</f>
        <v/>
      </c>
      <c r="C103" s="117" t="str">
        <f aca="false">IF($B103="","",الموظفون!$C103)</f>
        <v/>
      </c>
      <c r="D103" s="175" t="str">
        <f aca="false">IF($B103="","",الموظفون!$H103)</f>
        <v/>
      </c>
      <c r="E103" s="180" t="str">
        <f aca="false">IF($B103="","",MAX(0,J103-D103+1-SUMIFS('سجل الإجازات والحالات'!$S$6:$S$505,'سجل الإجازات والحالات'!$B$6:$B$505,$B103))/cfg_DAYS_Y)</f>
        <v/>
      </c>
      <c r="F103" s="133" t="str">
        <f aca="false">IF($B103="","",IF(الموظفون!$T103&lt;&gt;"",الموظفون!$T103,IF(E103&gt;=cfg_LV_TH,cfg_LV_D2,cfg_LV_D1)))</f>
        <v/>
      </c>
      <c r="G103" s="116" t="str">
        <f aca="false">IF($B103="","",الموظفون!$R103/cfg_DAYS_M)</f>
        <v/>
      </c>
      <c r="H103" s="156" t="str">
        <f aca="false">IF($B103="","",N(الموظفون!$AC103))</f>
        <v/>
      </c>
      <c r="I103" s="175" t="str">
        <f aca="false">IF($B103="","",MAX(cfg_Y_START,D103))</f>
        <v/>
      </c>
      <c r="J103" s="175" t="str">
        <f aca="false">IF($B103="","",IF(OR(الموظفون!$AE103="",الموظفون!$AE103&gt;cfg_VAL_DATE),cfg_VAL_DATE,الموظفون!$AE103))</f>
        <v/>
      </c>
      <c r="K103" s="133" t="str">
        <f aca="false">IF($B103="","",MAX(0,MAX(0,J103-I103+1)-(SUMIFS('سجل الإجازات والحالات'!$S$6:$S$505,'سجل الإجازات والحالات'!$B$6:$B$505,$B103)-SUMIFS('سجل الإجازات والحالات'!$R$6:$R$505,'سجل الإجازات والحالات'!$B$6:$B$505,$B103))))</f>
        <v/>
      </c>
      <c r="L103" s="156" t="str">
        <f aca="false">IF($B103="","",F103/cfg_DAYS_Y*K103)</f>
        <v/>
      </c>
      <c r="M103" s="156" t="str">
        <f aca="false">IF($B103="","",SUMIFS('سجل الإجازات والحالات'!$T$6:$T$505,'سجل الإجازات والحالات'!$B$6:$B$505,$B103)+SUMIFS('الحركات الشهرية'!$K$6:$K$1005,'الحركات الشهرية'!$B$6:$B$1005,B103,'الحركات الشهرية'!$A$6:$A$1005,"&lt;="&amp;cfg_VAL_M))</f>
        <v/>
      </c>
      <c r="N103" s="156" t="str">
        <f aca="false">IF($B103="","",SUMIFS('الحركات الشهرية'!$L$6:$L$1005,'الحركات الشهرية'!$B$6:$B$1005,B103,'الحركات الشهرية'!$A$6:$A$1005,"&lt;="&amp;cfg_VAL_M))</f>
        <v/>
      </c>
      <c r="O103" s="156" t="str">
        <f aca="false">IF($B103="","",H103+L103-M103-N103)</f>
        <v/>
      </c>
      <c r="P103" s="158" t="str">
        <f aca="false">IF($B103="","",O103*G103)</f>
        <v/>
      </c>
      <c r="Q103" s="116" t="str">
        <f aca="false">IF($B103="","",H103*G103)</f>
        <v/>
      </c>
      <c r="R103" s="116" t="str">
        <f aca="false">IF($B103="","",(M103+N103)*G103)</f>
        <v/>
      </c>
      <c r="S103" s="117" t="str">
        <f aca="false">IF($B103="","",IF(O103&lt;-0.01,"✖ رصيد سالب",IF(O103&gt;F103*2,"⚠ رصيد مرتفع (أكثر من سنتين)",IF(AND(الموظفون!$AE103&lt;&gt;"",الموظفون!$AE103&lt;=cfg_VAL_DATE,O103&gt;0.01),"⚠ منتهي الخدمة برصيد","✔ سليم"))))</f>
        <v/>
      </c>
    </row>
    <row r="104" customFormat="false" ht="15" hidden="false" customHeight="false" outlineLevel="0" collapsed="false">
      <c r="B104" s="114" t="str">
        <f aca="false">IF(الموظفون!$B104="","",الموظفون!$B104)</f>
        <v/>
      </c>
      <c r="C104" s="114" t="str">
        <f aca="false">IF($B104="","",الموظفون!$C104)</f>
        <v/>
      </c>
      <c r="D104" s="174" t="str">
        <f aca="false">IF($B104="","",الموظفون!$H104)</f>
        <v/>
      </c>
      <c r="E104" s="179" t="str">
        <f aca="false">IF($B104="","",MAX(0,J104-D104+1-SUMIFS('سجل الإجازات والحالات'!$S$6:$S$505,'سجل الإجازات والحالات'!$B$6:$B$505,$B104))/cfg_DAYS_Y)</f>
        <v/>
      </c>
      <c r="F104" s="65" t="str">
        <f aca="false">IF($B104="","",IF(الموظفون!$T104&lt;&gt;"",الموظفون!$T104,IF(E104&gt;=cfg_LV_TH,cfg_LV_D2,cfg_LV_D1)))</f>
        <v/>
      </c>
      <c r="G104" s="111" t="str">
        <f aca="false">IF($B104="","",الموظفون!$R104/cfg_DAYS_M)</f>
        <v/>
      </c>
      <c r="H104" s="151" t="str">
        <f aca="false">IF($B104="","",N(الموظفون!$AC104))</f>
        <v/>
      </c>
      <c r="I104" s="174" t="str">
        <f aca="false">IF($B104="","",MAX(cfg_Y_START,D104))</f>
        <v/>
      </c>
      <c r="J104" s="174" t="str">
        <f aca="false">IF($B104="","",IF(OR(الموظفون!$AE104="",الموظفون!$AE104&gt;cfg_VAL_DATE),cfg_VAL_DATE,الموظفون!$AE104))</f>
        <v/>
      </c>
      <c r="K104" s="65" t="str">
        <f aca="false">IF($B104="","",MAX(0,MAX(0,J104-I104+1)-(SUMIFS('سجل الإجازات والحالات'!$S$6:$S$505,'سجل الإجازات والحالات'!$B$6:$B$505,$B104)-SUMIFS('سجل الإجازات والحالات'!$R$6:$R$505,'سجل الإجازات والحالات'!$B$6:$B$505,$B104))))</f>
        <v/>
      </c>
      <c r="L104" s="151" t="str">
        <f aca="false">IF($B104="","",F104/cfg_DAYS_Y*K104)</f>
        <v/>
      </c>
      <c r="M104" s="151" t="str">
        <f aca="false">IF($B104="","",SUMIFS('سجل الإجازات والحالات'!$T$6:$T$505,'سجل الإجازات والحالات'!$B$6:$B$505,$B104)+SUMIFS('الحركات الشهرية'!$K$6:$K$1005,'الحركات الشهرية'!$B$6:$B$1005,B104,'الحركات الشهرية'!$A$6:$A$1005,"&lt;="&amp;cfg_VAL_M))</f>
        <v/>
      </c>
      <c r="N104" s="151" t="str">
        <f aca="false">IF($B104="","",SUMIFS('الحركات الشهرية'!$L$6:$L$1005,'الحركات الشهرية'!$B$6:$B$1005,B104,'الحركات الشهرية'!$A$6:$A$1005,"&lt;="&amp;cfg_VAL_M))</f>
        <v/>
      </c>
      <c r="O104" s="151" t="str">
        <f aca="false">IF($B104="","",H104+L104-M104-N104)</f>
        <v/>
      </c>
      <c r="P104" s="153" t="str">
        <f aca="false">IF($B104="","",O104*G104)</f>
        <v/>
      </c>
      <c r="Q104" s="111" t="str">
        <f aca="false">IF($B104="","",H104*G104)</f>
        <v/>
      </c>
      <c r="R104" s="111" t="str">
        <f aca="false">IF($B104="","",(M104+N104)*G104)</f>
        <v/>
      </c>
      <c r="S104" s="114" t="str">
        <f aca="false">IF($B104="","",IF(O104&lt;-0.01,"✖ رصيد سالب",IF(O104&gt;F104*2,"⚠ رصيد مرتفع (أكثر من سنتين)",IF(AND(الموظفون!$AE104&lt;&gt;"",الموظفون!$AE104&lt;=cfg_VAL_DATE,O104&gt;0.01),"⚠ منتهي الخدمة برصيد","✔ سليم"))))</f>
        <v/>
      </c>
    </row>
    <row r="105" customFormat="false" ht="15" hidden="false" customHeight="false" outlineLevel="0" collapsed="false">
      <c r="B105" s="117" t="str">
        <f aca="false">IF(الموظفون!$B105="","",الموظفون!$B105)</f>
        <v/>
      </c>
      <c r="C105" s="117" t="str">
        <f aca="false">IF($B105="","",الموظفون!$C105)</f>
        <v/>
      </c>
      <c r="D105" s="175" t="str">
        <f aca="false">IF($B105="","",الموظفون!$H105)</f>
        <v/>
      </c>
      <c r="E105" s="180" t="str">
        <f aca="false">IF($B105="","",MAX(0,J105-D105+1-SUMIFS('سجل الإجازات والحالات'!$S$6:$S$505,'سجل الإجازات والحالات'!$B$6:$B$505,$B105))/cfg_DAYS_Y)</f>
        <v/>
      </c>
      <c r="F105" s="133" t="str">
        <f aca="false">IF($B105="","",IF(الموظفون!$T105&lt;&gt;"",الموظفون!$T105,IF(E105&gt;=cfg_LV_TH,cfg_LV_D2,cfg_LV_D1)))</f>
        <v/>
      </c>
      <c r="G105" s="116" t="str">
        <f aca="false">IF($B105="","",الموظفون!$R105/cfg_DAYS_M)</f>
        <v/>
      </c>
      <c r="H105" s="156" t="str">
        <f aca="false">IF($B105="","",N(الموظفون!$AC105))</f>
        <v/>
      </c>
      <c r="I105" s="175" t="str">
        <f aca="false">IF($B105="","",MAX(cfg_Y_START,D105))</f>
        <v/>
      </c>
      <c r="J105" s="175" t="str">
        <f aca="false">IF($B105="","",IF(OR(الموظفون!$AE105="",الموظفون!$AE105&gt;cfg_VAL_DATE),cfg_VAL_DATE,الموظفون!$AE105))</f>
        <v/>
      </c>
      <c r="K105" s="133" t="str">
        <f aca="false">IF($B105="","",MAX(0,MAX(0,J105-I105+1)-(SUMIFS('سجل الإجازات والحالات'!$S$6:$S$505,'سجل الإجازات والحالات'!$B$6:$B$505,$B105)-SUMIFS('سجل الإجازات والحالات'!$R$6:$R$505,'سجل الإجازات والحالات'!$B$6:$B$505,$B105))))</f>
        <v/>
      </c>
      <c r="L105" s="156" t="str">
        <f aca="false">IF($B105="","",F105/cfg_DAYS_Y*K105)</f>
        <v/>
      </c>
      <c r="M105" s="156" t="str">
        <f aca="false">IF($B105="","",SUMIFS('سجل الإجازات والحالات'!$T$6:$T$505,'سجل الإجازات والحالات'!$B$6:$B$505,$B105)+SUMIFS('الحركات الشهرية'!$K$6:$K$1005,'الحركات الشهرية'!$B$6:$B$1005,B105,'الحركات الشهرية'!$A$6:$A$1005,"&lt;="&amp;cfg_VAL_M))</f>
        <v/>
      </c>
      <c r="N105" s="156" t="str">
        <f aca="false">IF($B105="","",SUMIFS('الحركات الشهرية'!$L$6:$L$1005,'الحركات الشهرية'!$B$6:$B$1005,B105,'الحركات الشهرية'!$A$6:$A$1005,"&lt;="&amp;cfg_VAL_M))</f>
        <v/>
      </c>
      <c r="O105" s="156" t="str">
        <f aca="false">IF($B105="","",H105+L105-M105-N105)</f>
        <v/>
      </c>
      <c r="P105" s="158" t="str">
        <f aca="false">IF($B105="","",O105*G105)</f>
        <v/>
      </c>
      <c r="Q105" s="116" t="str">
        <f aca="false">IF($B105="","",H105*G105)</f>
        <v/>
      </c>
      <c r="R105" s="116" t="str">
        <f aca="false">IF($B105="","",(M105+N105)*G105)</f>
        <v/>
      </c>
      <c r="S105" s="117" t="str">
        <f aca="false">IF($B105="","",IF(O105&lt;-0.01,"✖ رصيد سالب",IF(O105&gt;F105*2,"⚠ رصيد مرتفع (أكثر من سنتين)",IF(AND(الموظفون!$AE105&lt;&gt;"",الموظفون!$AE105&lt;=cfg_VAL_DATE,O105&gt;0.01),"⚠ منتهي الخدمة برصيد","✔ سليم"))))</f>
        <v/>
      </c>
    </row>
    <row r="106" customFormat="false" ht="24" hidden="false" customHeight="true" outlineLevel="0" collapsed="false">
      <c r="B106" s="124"/>
      <c r="C106" s="124" t="s">
        <v>161</v>
      </c>
      <c r="D106" s="124"/>
      <c r="E106" s="124"/>
      <c r="F106" s="124"/>
      <c r="G106" s="124"/>
      <c r="H106" s="161" t="n">
        <f aca="false">SUM(H6:H105)</f>
        <v>187</v>
      </c>
      <c r="I106" s="124"/>
      <c r="J106" s="124"/>
      <c r="K106" s="124"/>
      <c r="L106" s="161" t="n">
        <f aca="false">SUM(L6:L105)</f>
        <v>234.443835616438</v>
      </c>
      <c r="M106" s="161" t="n">
        <f aca="false">SUM(M6:M105)</f>
        <v>117</v>
      </c>
      <c r="N106" s="161" t="n">
        <f aca="false">SUM(N6:N105)</f>
        <v>36.8767123287671</v>
      </c>
      <c r="O106" s="161" t="n">
        <f aca="false">SUM(O6:O105)</f>
        <v>267.567123287671</v>
      </c>
      <c r="P106" s="125" t="n">
        <f aca="false">SUM(P6:P105)</f>
        <v>151856.445205479</v>
      </c>
      <c r="Q106" s="125" t="n">
        <f aca="false">SUM(Q6:Q105)</f>
        <v>96547.5</v>
      </c>
      <c r="R106" s="125" t="n">
        <f aca="false">SUM(R6:R105)</f>
        <v>74222.2602739726</v>
      </c>
      <c r="S106" s="124"/>
    </row>
    <row r="107" customFormat="false" ht="39.75" hidden="false" customHeight="true" outlineLevel="0" collapsed="false">
      <c r="B107" s="24" t="s">
        <v>574</v>
      </c>
      <c r="C107" s="24"/>
      <c r="D107" s="24"/>
      <c r="E107" s="24"/>
      <c r="F107" s="24"/>
      <c r="G107" s="24"/>
      <c r="H107" s="24"/>
      <c r="I107" s="24"/>
      <c r="J107" s="24"/>
      <c r="K107" s="24"/>
      <c r="L107" s="24"/>
      <c r="M107" s="24"/>
      <c r="N107" s="24"/>
      <c r="O107" s="24"/>
      <c r="P107" s="24"/>
      <c r="Q107" s="24"/>
      <c r="R107" s="24"/>
      <c r="S107" s="24"/>
    </row>
  </sheetData>
  <sheetProtection sheet="true" password="ffa5" objects="true" scenarios="true"/>
  <mergeCells count="3">
    <mergeCell ref="B1:S1"/>
    <mergeCell ref="B2:S2"/>
    <mergeCell ref="B107:S107"/>
  </mergeCells>
  <conditionalFormatting sqref="S6:S105">
    <cfRule type="expression" priority="2" aboveAverage="0" equalAverage="0" bottom="0" percent="0" rank="0" text="" dxfId="0">
      <formula>ISNUMBER(SEARCH("✔",S6))</formula>
    </cfRule>
    <cfRule type="expression" priority="3" aboveAverage="0" equalAverage="0" bottom="0" percent="0" rank="0" text="" dxfId="1">
      <formula>ISNUMBER(SEARCH("✖",S6))</formula>
    </cfRule>
    <cfRule type="expression" priority="4" aboveAverage="0" equalAverage="0" bottom="0" percent="0" rank="0" text="" dxfId="2">
      <formula>ISNUMBER(SEARCH("⚠",S6))</formula>
    </cfRule>
    <cfRule type="expression" priority="5" aboveAverage="0" equalAverage="0" bottom="0" percent="0" rank="0" text="" dxfId="3">
      <formula>ISNUMBER(SEARCH("✈",S6))</formula>
    </cfRule>
    <cfRule type="expression" priority="6" aboveAverage="0" equalAverage="0" bottom="0" percent="0" rank="0" text="" dxfId="1">
      <formula>ISNUMBER(SEARCH("⛔",S6))</formula>
    </cfRule>
    <cfRule type="expression" priority="7" aboveAverage="0" equalAverage="0" bottom="0" percent="0" rank="0" text="" dxfId="0">
      <formula>ISNUMBER(SEARCH("🌴",S6))</formula>
    </cfRule>
    <cfRule type="expression" priority="8" aboveAverage="0" equalAverage="0" bottom="0" percent="0" rank="0" text="" dxfId="4">
      <formula>ISNUMBER(SEARCH("⏳",S6))</formula>
    </cfRule>
  </conditionalFormatting>
  <hyperlinks>
    <hyperlink ref="B2" r:id="rId1" display="https://accopro.net/"/>
    <hyperlink ref="B3" location="'الرئيسية'!A1" display="🏠 الرئيسية"/>
    <hyperlink ref="C3" location="'لوحة التحكم'!A1" display="📊 لوحة التحكم"/>
    <hyperlink ref="D3" location="'الإعدادات'!A1" display="⚙ الإعدادات"/>
    <hyperlink ref="E3" location="'الموظفون'!A1" display="👥 الموظفون"/>
    <hyperlink ref="F3" location="'سجل الإجازات والحالات'!A1" display="🌴 سجل الإجازات"/>
    <hyperlink ref="G3" location="'الحركات الشهرية'!A1" display="✍ الحركات"/>
    <hyperlink ref="H3" location="'الإقامات ورخص العمل'!A1" display="🪪 الإقامات"/>
    <hyperlink ref="I3" location="'الملخص الشهري'!A1" display="📅 الملخص الشهري"/>
    <hyperlink ref="J3" location="'قيود الرواتب'!A1" display="🧾 القيود"/>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&amp;Cنسخة تجريبية — النسخة الكاملة: accopro.net</oddHeader>
    <oddFooter>&amp;CAccoPro — https://accopro.net</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P107"/>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9"/>
    <col collapsed="false" customWidth="true" hidden="false" outlineLevel="0" max="3" min="3" style="0" width="24"/>
    <col collapsed="false" customWidth="true" hidden="false" outlineLevel="0" max="4" min="4" style="0" width="9"/>
    <col collapsed="false" customWidth="true" hidden="false" outlineLevel="0" max="5" min="5" style="0" width="12"/>
    <col collapsed="false" customWidth="true" hidden="false" outlineLevel="0" max="6" min="6" style="0" width="9"/>
    <col collapsed="false" customWidth="true" hidden="false" outlineLevel="0" max="7" min="7" style="0" width="11"/>
    <col collapsed="false" customWidth="true" hidden="false" outlineLevel="0" max="9" min="8" style="0" width="12"/>
    <col collapsed="false" customWidth="true" hidden="false" outlineLevel="0" max="10" min="10" style="0" width="9"/>
    <col collapsed="false" customWidth="true" hidden="false" outlineLevel="0" max="13" min="11" style="0" width="13"/>
    <col collapsed="false" customWidth="true" hidden="false" outlineLevel="0" max="14" min="14" style="0" width="14"/>
    <col collapsed="false" customWidth="true" hidden="false" outlineLevel="0" max="15" min="15" style="0" width="10"/>
    <col collapsed="false" customWidth="true" hidden="false" outlineLevel="0" max="16" min="16" style="0" width="22"/>
  </cols>
  <sheetData>
    <row r="1" customFormat="false" ht="37.5" hidden="false" customHeight="true" outlineLevel="0" collapsed="false">
      <c r="B1" s="136" t="str">
        <f aca="false">"✈ مخصص تذاكر السفر كما في "&amp;TEXT(cfg_VAL_DATE,"yyyy/mm/dd")&amp;"   🔒 نسخة تجريبية"</f>
        <v>✈ مخصص تذاكر السفر كما في 2026/09/30   🔒 نسخة تجريبية</v>
      </c>
      <c r="C1" s="136"/>
      <c r="D1" s="136"/>
      <c r="E1" s="136"/>
      <c r="F1" s="136"/>
      <c r="G1" s="136"/>
      <c r="H1" s="136"/>
      <c r="I1" s="136"/>
      <c r="J1" s="136"/>
      <c r="K1" s="136"/>
      <c r="L1" s="136"/>
      <c r="M1" s="136"/>
      <c r="N1" s="136"/>
      <c r="O1" s="136"/>
      <c r="P1" s="136"/>
    </row>
    <row r="2" customFormat="false" ht="19.5" hidden="false" customHeight="true" outlineLevel="0" collapsed="false">
      <c r="B2" s="2" t="str">
        <f aca="false">"🛒 نسخة تجريبية — للنسخة الكاملة اضغط هنا ← accopro.net   |   "&amp;cfg_CO&amp;"   |   السنة المالية "&amp;cfg_FY&amp;"   |   شهر التقرير: "&amp;INDEX(L_MONTH,cfg_VAL_M)&amp;"   |   المبالغ بـ "&amp;cfg_CUR</f>
        <v>🛒 نسخة تجريبية — للنسخة الكاملة اضغط هنا ← accopro.net   |   شركة النخبة للتجارة والمقاولات   |   السنة المالية 2026   |   شهر التقرير: سبتمبر   |   المبالغ بـ ريال سعودي</v>
      </c>
      <c r="C2" s="2"/>
      <c r="D2" s="2"/>
      <c r="E2" s="2"/>
      <c r="F2" s="2"/>
      <c r="G2" s="2"/>
      <c r="H2" s="2"/>
      <c r="I2" s="2"/>
      <c r="J2" s="2"/>
      <c r="K2" s="2"/>
      <c r="L2" s="2"/>
      <c r="M2" s="2"/>
      <c r="N2" s="2"/>
      <c r="O2" s="2"/>
      <c r="P2" s="2"/>
    </row>
    <row r="3" customFormat="false" ht="25.5" hidden="false" customHeight="true" outlineLevel="0" collapsed="false">
      <c r="B3" s="31" t="s">
        <v>114</v>
      </c>
      <c r="C3" s="12" t="s">
        <v>172</v>
      </c>
      <c r="D3" s="32" t="s">
        <v>115</v>
      </c>
      <c r="E3" s="32" t="s">
        <v>116</v>
      </c>
      <c r="F3" s="33" t="s">
        <v>117</v>
      </c>
      <c r="G3" s="32" t="s">
        <v>118</v>
      </c>
      <c r="H3" s="34" t="s">
        <v>119</v>
      </c>
      <c r="I3" s="32" t="s">
        <v>39</v>
      </c>
      <c r="J3" s="32" t="s">
        <v>173</v>
      </c>
    </row>
    <row r="4" customFormat="false" ht="7.5" hidden="false" customHeight="true" outlineLevel="0" collapsed="false"/>
    <row r="5" customFormat="false" ht="51.75" hidden="false" customHeight="true" outlineLevel="0" collapsed="false">
      <c r="B5" s="181" t="s">
        <v>524</v>
      </c>
      <c r="C5" s="181" t="s">
        <v>310</v>
      </c>
      <c r="D5" s="181" t="s">
        <v>575</v>
      </c>
      <c r="E5" s="181" t="s">
        <v>576</v>
      </c>
      <c r="F5" s="181" t="s">
        <v>577</v>
      </c>
      <c r="G5" s="181" t="s">
        <v>539</v>
      </c>
      <c r="H5" s="181" t="s">
        <v>564</v>
      </c>
      <c r="I5" s="181" t="s">
        <v>565</v>
      </c>
      <c r="J5" s="181" t="s">
        <v>566</v>
      </c>
      <c r="K5" s="181" t="s">
        <v>555</v>
      </c>
      <c r="L5" s="181" t="s">
        <v>578</v>
      </c>
      <c r="M5" s="181" t="s">
        <v>579</v>
      </c>
      <c r="N5" s="181" t="s">
        <v>557</v>
      </c>
      <c r="O5" s="181" t="s">
        <v>580</v>
      </c>
      <c r="P5" s="181" t="s">
        <v>558</v>
      </c>
    </row>
    <row r="6" customFormat="false" ht="15" hidden="false" customHeight="false" outlineLevel="0" collapsed="false">
      <c r="B6" s="114" t="str">
        <f aca="false">IF(الموظفون!$B6="","",الموظفون!$B6)</f>
        <v>E001</v>
      </c>
      <c r="C6" s="114" t="str">
        <f aca="false">IF($B6="","",الموظفون!$C6)</f>
        <v>عبدالله محمد العتيبي</v>
      </c>
      <c r="D6" s="114" t="str">
        <f aca="false">IF($B6="","",IF(الموظفون!$U6="نعم","نعم","لا"))</f>
        <v>لا</v>
      </c>
      <c r="E6" s="111" t="n">
        <f aca="false">IF($B6="","",N(الموظفون!$V6))</f>
        <v>0</v>
      </c>
      <c r="F6" s="65" t="n">
        <f aca="false">IF($B6="","",N(الموظفون!$W6))</f>
        <v>12</v>
      </c>
      <c r="G6" s="111" t="n">
        <f aca="false">IF($B6="","",IF(AND(D6="نعم",F6&gt;0),E6/F6,0))</f>
        <v>0</v>
      </c>
      <c r="H6" s="174" t="n">
        <f aca="false">IF($B6="","",MAX(cfg_Y_START,الموظفون!$H6))</f>
        <v>46023</v>
      </c>
      <c r="I6" s="174" t="n">
        <f aca="false">IF($B6="","",IF(OR(الموظفون!$AE6="",الموظفون!$AE6&gt;cfg_VAL_DATE),cfg_VAL_DATE,الموظفون!$AE6))</f>
        <v>46295</v>
      </c>
      <c r="J6" s="65" t="n">
        <f aca="false">IF($B6="","",MAX(0,MAX(0,I6-H6+1)-(SUMIFS('سجل الإجازات والحالات'!$S$6:$S$505,'سجل الإجازات والحالات'!$B$6:$B$505,$B6)-SUMIFS('سجل الإجازات والحالات'!$R$6:$R$505,'سجل الإجازات والحالات'!$B$6:$B$505,$B6))))</f>
        <v>273</v>
      </c>
      <c r="K6" s="111" t="n">
        <f aca="false">IF($B6="","",G6*12/cfg_DAYS_Y*J6)</f>
        <v>0</v>
      </c>
      <c r="L6" s="111" t="n">
        <f aca="false">IF($B6="","",N(الموظفون!$AD6))</f>
        <v>0</v>
      </c>
      <c r="M6" s="111" t="n">
        <f aca="false">IF($B6="","",SUMIFS('الحركات الشهرية'!$M$6:$M$1005,'الحركات الشهرية'!$B$6:$B$1005,B6,'الحركات الشهرية'!$A$6:$A$1005,"&lt;="&amp;cfg_VAL_M))</f>
        <v>0</v>
      </c>
      <c r="N6" s="182" t="n">
        <f aca="false">IF($B6="","",L6+K6-M6)</f>
        <v>0</v>
      </c>
      <c r="O6" s="179" t="n">
        <f aca="false">IF($B6="","",IF(E6&gt;0,N6/E6,0))</f>
        <v>0</v>
      </c>
      <c r="P6" s="114" t="str">
        <f aca="false">IF($B6="","",IF(AND(D6="لا",N6&lt;&gt;0),"⚠ غير مستحق وله رصيد",IF(N6&lt;-0.01,"✖ استخدام أكثر من المكوّن",IF(AND(D6="نعم",O6&gt;=1),"⚠ تذكرة مستحقة للصرف","✔ سليم"))))</f>
        <v>✔ سليم</v>
      </c>
    </row>
    <row r="7" customFormat="false" ht="15" hidden="false" customHeight="false" outlineLevel="0" collapsed="false">
      <c r="B7" s="117" t="str">
        <f aca="false">IF(الموظفون!$B7="","",الموظفون!$B7)</f>
        <v>E002</v>
      </c>
      <c r="C7" s="117" t="str">
        <f aca="false">IF($B7="","",الموظفون!$C7)</f>
        <v>أحمد سعيد القحطاني</v>
      </c>
      <c r="D7" s="117" t="str">
        <f aca="false">IF($B7="","",IF(الموظفون!$U7="نعم","نعم","لا"))</f>
        <v>لا</v>
      </c>
      <c r="E7" s="116" t="n">
        <f aca="false">IF($B7="","",N(الموظفون!$V7))</f>
        <v>0</v>
      </c>
      <c r="F7" s="133" t="n">
        <f aca="false">IF($B7="","",N(الموظفون!$W7))</f>
        <v>12</v>
      </c>
      <c r="G7" s="116" t="n">
        <f aca="false">IF($B7="","",IF(AND(D7="نعم",F7&gt;0),E7/F7,0))</f>
        <v>0</v>
      </c>
      <c r="H7" s="175" t="n">
        <f aca="false">IF($B7="","",MAX(cfg_Y_START,الموظفون!$H7))</f>
        <v>46023</v>
      </c>
      <c r="I7" s="175" t="n">
        <f aca="false">IF($B7="","",IF(OR(الموظفون!$AE7="",الموظفون!$AE7&gt;cfg_VAL_DATE),cfg_VAL_DATE,الموظفون!$AE7))</f>
        <v>46295</v>
      </c>
      <c r="J7" s="133" t="n">
        <f aca="false">IF($B7="","",MAX(0,MAX(0,I7-H7+1)-(SUMIFS('سجل الإجازات والحالات'!$S$6:$S$505,'سجل الإجازات والحالات'!$B$6:$B$505,$B7)-SUMIFS('سجل الإجازات والحالات'!$R$6:$R$505,'سجل الإجازات والحالات'!$B$6:$B$505,$B7))))</f>
        <v>273</v>
      </c>
      <c r="K7" s="116" t="n">
        <f aca="false">IF($B7="","",G7*12/cfg_DAYS_Y*J7)</f>
        <v>0</v>
      </c>
      <c r="L7" s="116" t="n">
        <f aca="false">IF($B7="","",N(الموظفون!$AD7))</f>
        <v>0</v>
      </c>
      <c r="M7" s="116" t="n">
        <f aca="false">IF($B7="","",SUMIFS('الحركات الشهرية'!$M$6:$M$1005,'الحركات الشهرية'!$B$6:$B$1005,B7,'الحركات الشهرية'!$A$6:$A$1005,"&lt;="&amp;cfg_VAL_M))</f>
        <v>0</v>
      </c>
      <c r="N7" s="183" t="n">
        <f aca="false">IF($B7="","",L7+K7-M7)</f>
        <v>0</v>
      </c>
      <c r="O7" s="180" t="n">
        <f aca="false">IF($B7="","",IF(E7&gt;0,N7/E7,0))</f>
        <v>0</v>
      </c>
      <c r="P7" s="117" t="str">
        <f aca="false">IF($B7="","",IF(AND(D7="لا",N7&lt;&gt;0),"⚠ غير مستحق وله رصيد",IF(N7&lt;-0.01,"✖ استخدام أكثر من المكوّن",IF(AND(D7="نعم",O7&gt;=1),"⚠ تذكرة مستحقة للصرف","✔ سليم"))))</f>
        <v>✔ سليم</v>
      </c>
    </row>
    <row r="8" customFormat="false" ht="15" hidden="false" customHeight="false" outlineLevel="0" collapsed="false">
      <c r="B8" s="114" t="str">
        <f aca="false">IF(الموظفون!$B8="","",الموظفون!$B8)</f>
        <v>E003</v>
      </c>
      <c r="C8" s="114" t="str">
        <f aca="false">IF($B8="","",الموظفون!$C8)</f>
        <v>محمد علي حسن</v>
      </c>
      <c r="D8" s="114" t="str">
        <f aca="false">IF($B8="","",IF(الموظفون!$U8="نعم","نعم","لا"))</f>
        <v>نعم</v>
      </c>
      <c r="E8" s="111" t="n">
        <f aca="false">IF($B8="","",N(الموظفون!$V8))</f>
        <v>3200</v>
      </c>
      <c r="F8" s="65" t="n">
        <f aca="false">IF($B8="","",N(الموظفون!$W8))</f>
        <v>24</v>
      </c>
      <c r="G8" s="111" t="n">
        <f aca="false">IF($B8="","",IF(AND(D8="نعم",F8&gt;0),E8/F8,0))</f>
        <v>133.333333333333</v>
      </c>
      <c r="H8" s="174" t="n">
        <f aca="false">IF($B8="","",MAX(cfg_Y_START,الموظفون!$H8))</f>
        <v>46023</v>
      </c>
      <c r="I8" s="174" t="n">
        <f aca="false">IF($B8="","",IF(OR(الموظفون!$AE8="",الموظفون!$AE8&gt;cfg_VAL_DATE),cfg_VAL_DATE,الموظفون!$AE8))</f>
        <v>46295</v>
      </c>
      <c r="J8" s="65" t="n">
        <f aca="false">IF($B8="","",MAX(0,MAX(0,I8-H8+1)-(SUMIFS('سجل الإجازات والحالات'!$S$6:$S$505,'سجل الإجازات والحالات'!$B$6:$B$505,$B8)-SUMIFS('سجل الإجازات والحالات'!$R$6:$R$505,'سجل الإجازات والحالات'!$B$6:$B$505,$B8))))</f>
        <v>273</v>
      </c>
      <c r="K8" s="111" t="n">
        <f aca="false">IF($B8="","",G8*12/cfg_DAYS_Y*J8)</f>
        <v>1196.71232876712</v>
      </c>
      <c r="L8" s="111" t="n">
        <f aca="false">IF($B8="","",N(الموظفون!$AD8))</f>
        <v>1600</v>
      </c>
      <c r="M8" s="111" t="n">
        <f aca="false">IF($B8="","",SUMIFS('الحركات الشهرية'!$M$6:$M$1005,'الحركات الشهرية'!$B$6:$B$1005,B8,'الحركات الشهرية'!$A$6:$A$1005,"&lt;="&amp;cfg_VAL_M))</f>
        <v>0</v>
      </c>
      <c r="N8" s="182" t="n">
        <f aca="false">IF($B8="","",L8+K8-M8)</f>
        <v>2796.71232876712</v>
      </c>
      <c r="O8" s="179" t="n">
        <f aca="false">IF($B8="","",IF(E8&gt;0,N8/E8,0))</f>
        <v>0.873972602739726</v>
      </c>
      <c r="P8" s="114" t="str">
        <f aca="false">IF($B8="","",IF(AND(D8="لا",N8&lt;&gt;0),"⚠ غير مستحق وله رصيد",IF(N8&lt;-0.01,"✖ استخدام أكثر من المكوّن",IF(AND(D8="نعم",O8&gt;=1),"⚠ تذكرة مستحقة للصرف","✔ سليم"))))</f>
        <v>✔ سليم</v>
      </c>
    </row>
    <row r="9" customFormat="false" ht="15" hidden="false" customHeight="false" outlineLevel="0" collapsed="false">
      <c r="B9" s="117" t="str">
        <f aca="false">IF(الموظفون!$B9="","",الموظفون!$B9)</f>
        <v>E004</v>
      </c>
      <c r="C9" s="117" t="str">
        <f aca="false">IF($B9="","",الموظفون!$C9)</f>
        <v>نورة خالد الدوسري</v>
      </c>
      <c r="D9" s="117" t="str">
        <f aca="false">IF($B9="","",IF(الموظفون!$U9="نعم","نعم","لا"))</f>
        <v>لا</v>
      </c>
      <c r="E9" s="116" t="n">
        <f aca="false">IF($B9="","",N(الموظفون!$V9))</f>
        <v>0</v>
      </c>
      <c r="F9" s="133" t="n">
        <f aca="false">IF($B9="","",N(الموظفون!$W9))</f>
        <v>12</v>
      </c>
      <c r="G9" s="116" t="n">
        <f aca="false">IF($B9="","",IF(AND(D9="نعم",F9&gt;0),E9/F9,0))</f>
        <v>0</v>
      </c>
      <c r="H9" s="175" t="n">
        <f aca="false">IF($B9="","",MAX(cfg_Y_START,الموظفون!$H9))</f>
        <v>46023</v>
      </c>
      <c r="I9" s="175" t="n">
        <f aca="false">IF($B9="","",IF(OR(الموظفون!$AE9="",الموظفون!$AE9&gt;cfg_VAL_DATE),cfg_VAL_DATE,الموظفون!$AE9))</f>
        <v>46295</v>
      </c>
      <c r="J9" s="133" t="n">
        <f aca="false">IF($B9="","",MAX(0,MAX(0,I9-H9+1)-(SUMIFS('سجل الإجازات والحالات'!$S$6:$S$505,'سجل الإجازات والحالات'!$B$6:$B$505,$B9)-SUMIFS('سجل الإجازات والحالات'!$R$6:$R$505,'سجل الإجازات والحالات'!$B$6:$B$505,$B9))))</f>
        <v>273</v>
      </c>
      <c r="K9" s="116" t="n">
        <f aca="false">IF($B9="","",G9*12/cfg_DAYS_Y*J9)</f>
        <v>0</v>
      </c>
      <c r="L9" s="116" t="n">
        <f aca="false">IF($B9="","",N(الموظفون!$AD9))</f>
        <v>0</v>
      </c>
      <c r="M9" s="116" t="n">
        <f aca="false">IF($B9="","",SUMIFS('الحركات الشهرية'!$M$6:$M$1005,'الحركات الشهرية'!$B$6:$B$1005,B9,'الحركات الشهرية'!$A$6:$A$1005,"&lt;="&amp;cfg_VAL_M))</f>
        <v>0</v>
      </c>
      <c r="N9" s="183" t="n">
        <f aca="false">IF($B9="","",L9+K9-M9)</f>
        <v>0</v>
      </c>
      <c r="O9" s="180" t="n">
        <f aca="false">IF($B9="","",IF(E9&gt;0,N9/E9,0))</f>
        <v>0</v>
      </c>
      <c r="P9" s="117" t="str">
        <f aca="false">IF($B9="","",IF(AND(D9="لا",N9&lt;&gt;0),"⚠ غير مستحق وله رصيد",IF(N9&lt;-0.01,"✖ استخدام أكثر من المكوّن",IF(AND(D9="نعم",O9&gt;=1),"⚠ تذكرة مستحقة للصرف","✔ سليم"))))</f>
        <v>✔ سليم</v>
      </c>
    </row>
    <row r="10" customFormat="false" ht="15" hidden="false" customHeight="false" outlineLevel="0" collapsed="false">
      <c r="B10" s="114" t="str">
        <f aca="false">IF(الموظفون!$B10="","",الموظفون!$B10)</f>
        <v>E005</v>
      </c>
      <c r="C10" s="114" t="str">
        <f aca="false">IF($B10="","",الموظفون!$C10)</f>
        <v>راجيش كومار</v>
      </c>
      <c r="D10" s="114" t="str">
        <f aca="false">IF($B10="","",IF(الموظفون!$U10="نعم","نعم","لا"))</f>
        <v>نعم</v>
      </c>
      <c r="E10" s="111" t="n">
        <f aca="false">IF($B10="","",N(الموظفون!$V10))</f>
        <v>2800</v>
      </c>
      <c r="F10" s="65" t="n">
        <f aca="false">IF($B10="","",N(الموظفون!$W10))</f>
        <v>12</v>
      </c>
      <c r="G10" s="111" t="n">
        <f aca="false">IF($B10="","",IF(AND(D10="نعم",F10&gt;0),E10/F10,0))</f>
        <v>233.333333333333</v>
      </c>
      <c r="H10" s="174" t="n">
        <f aca="false">IF($B10="","",MAX(cfg_Y_START,الموظفون!$H10))</f>
        <v>46023</v>
      </c>
      <c r="I10" s="174" t="n">
        <f aca="false">IF($B10="","",IF(OR(الموظفون!$AE10="",الموظفون!$AE10&gt;cfg_VAL_DATE),cfg_VAL_DATE,الموظفون!$AE10))</f>
        <v>46295</v>
      </c>
      <c r="J10" s="65" t="n">
        <f aca="false">IF($B10="","",MAX(0,MAX(0,I10-H10+1)-(SUMIFS('سجل الإجازات والحالات'!$S$6:$S$505,'سجل الإجازات والحالات'!$B$6:$B$505,$B10)-SUMIFS('سجل الإجازات والحالات'!$R$6:$R$505,'سجل الإجازات والحالات'!$B$6:$B$505,$B10))))</f>
        <v>273</v>
      </c>
      <c r="K10" s="111" t="n">
        <f aca="false">IF($B10="","",G10*12/cfg_DAYS_Y*J10)</f>
        <v>2094.24657534247</v>
      </c>
      <c r="L10" s="111" t="n">
        <f aca="false">IF($B10="","",N(الموظفون!$AD10))</f>
        <v>900</v>
      </c>
      <c r="M10" s="111" t="n">
        <f aca="false">IF($B10="","",SUMIFS('الحركات الشهرية'!$M$6:$M$1005,'الحركات الشهرية'!$B$6:$B$1005,B10,'الحركات الشهرية'!$A$6:$A$1005,"&lt;="&amp;cfg_VAL_M))</f>
        <v>2800</v>
      </c>
      <c r="N10" s="182" t="n">
        <f aca="false">IF($B10="","",L10+K10-M10)</f>
        <v>194.246575342466</v>
      </c>
      <c r="O10" s="179" t="n">
        <f aca="false">IF($B10="","",IF(E10&gt;0,N10/E10,0))</f>
        <v>0.0693737769080235</v>
      </c>
      <c r="P10" s="114" t="str">
        <f aca="false">IF($B10="","",IF(AND(D10="لا",N10&lt;&gt;0),"⚠ غير مستحق وله رصيد",IF(N10&lt;-0.01,"✖ استخدام أكثر من المكوّن",IF(AND(D10="نعم",O10&gt;=1),"⚠ تذكرة مستحقة للصرف","✔ سليم"))))</f>
        <v>✔ سليم</v>
      </c>
    </row>
    <row r="11" customFormat="false" ht="15" hidden="false" customHeight="false" outlineLevel="0" collapsed="false">
      <c r="B11" s="117" t="str">
        <f aca="false">IF(الموظفون!$B11="","",الموظفون!$B11)</f>
        <v>E006</v>
      </c>
      <c r="C11" s="117" t="str">
        <f aca="false">IF($B11="","",الموظفون!$C11)</f>
        <v>فهد ناصر الشمري</v>
      </c>
      <c r="D11" s="117" t="str">
        <f aca="false">IF($B11="","",IF(الموظفون!$U11="نعم","نعم","لا"))</f>
        <v>لا</v>
      </c>
      <c r="E11" s="116" t="n">
        <f aca="false">IF($B11="","",N(الموظفون!$V11))</f>
        <v>0</v>
      </c>
      <c r="F11" s="133" t="n">
        <f aca="false">IF($B11="","",N(الموظفون!$W11))</f>
        <v>12</v>
      </c>
      <c r="G11" s="116" t="n">
        <f aca="false">IF($B11="","",IF(AND(D11="نعم",F11&gt;0),E11/F11,0))</f>
        <v>0</v>
      </c>
      <c r="H11" s="175" t="n">
        <f aca="false">IF($B11="","",MAX(cfg_Y_START,الموظفون!$H11))</f>
        <v>46023</v>
      </c>
      <c r="I11" s="175" t="n">
        <f aca="false">IF($B11="","",IF(OR(الموظفون!$AE11="",الموظفون!$AE11&gt;cfg_VAL_DATE),cfg_VAL_DATE,الموظفون!$AE11))</f>
        <v>46295</v>
      </c>
      <c r="J11" s="133" t="n">
        <f aca="false">IF($B11="","",MAX(0,MAX(0,I11-H11+1)-(SUMIFS('سجل الإجازات والحالات'!$S$6:$S$505,'سجل الإجازات والحالات'!$B$6:$B$505,$B11)-SUMIFS('سجل الإجازات والحالات'!$R$6:$R$505,'سجل الإجازات والحالات'!$B$6:$B$505,$B11))))</f>
        <v>262</v>
      </c>
      <c r="K11" s="116" t="n">
        <f aca="false">IF($B11="","",G11*12/cfg_DAYS_Y*J11)</f>
        <v>0</v>
      </c>
      <c r="L11" s="116" t="n">
        <f aca="false">IF($B11="","",N(الموظفون!$AD11))</f>
        <v>0</v>
      </c>
      <c r="M11" s="116" t="n">
        <f aca="false">IF($B11="","",SUMIFS('الحركات الشهرية'!$M$6:$M$1005,'الحركات الشهرية'!$B$6:$B$1005,B11,'الحركات الشهرية'!$A$6:$A$1005,"&lt;="&amp;cfg_VAL_M))</f>
        <v>0</v>
      </c>
      <c r="N11" s="183" t="n">
        <f aca="false">IF($B11="","",L11+K11-M11)</f>
        <v>0</v>
      </c>
      <c r="O11" s="180" t="n">
        <f aca="false">IF($B11="","",IF(E11&gt;0,N11/E11,0))</f>
        <v>0</v>
      </c>
      <c r="P11" s="117" t="str">
        <f aca="false">IF($B11="","",IF(AND(D11="لا",N11&lt;&gt;0),"⚠ غير مستحق وله رصيد",IF(N11&lt;-0.01,"✖ استخدام أكثر من المكوّن",IF(AND(D11="نعم",O11&gt;=1),"⚠ تذكرة مستحقة للصرف","✔ سليم"))))</f>
        <v>✔ سليم</v>
      </c>
    </row>
    <row r="12" customFormat="false" ht="15" hidden="false" customHeight="false" outlineLevel="0" collapsed="false">
      <c r="B12" s="114" t="str">
        <f aca="false">IF(الموظفون!$B12="","",الموظفون!$B12)</f>
        <v>E007</v>
      </c>
      <c r="C12" s="114" t="str">
        <f aca="false">IF($B12="","",الموظفون!$C12)</f>
        <v>خالد يوسف الأحمد</v>
      </c>
      <c r="D12" s="114" t="str">
        <f aca="false">IF($B12="","",IF(الموظفون!$U12="نعم","نعم","لا"))</f>
        <v>نعم</v>
      </c>
      <c r="E12" s="111" t="n">
        <f aca="false">IF($B12="","",N(الموظفون!$V12))</f>
        <v>4500</v>
      </c>
      <c r="F12" s="65" t="n">
        <f aca="false">IF($B12="","",N(الموظفون!$W12))</f>
        <v>12</v>
      </c>
      <c r="G12" s="111" t="n">
        <f aca="false">IF($B12="","",IF(AND(D12="نعم",F12&gt;0),E12/F12,0))</f>
        <v>375</v>
      </c>
      <c r="H12" s="174" t="n">
        <f aca="false">IF($B12="","",MAX(cfg_Y_START,الموظفون!$H12))</f>
        <v>46023</v>
      </c>
      <c r="I12" s="174" t="n">
        <f aca="false">IF($B12="","",IF(OR(الموظفون!$AE12="",الموظفون!$AE12&gt;cfg_VAL_DATE),cfg_VAL_DATE,الموظفون!$AE12))</f>
        <v>46295</v>
      </c>
      <c r="J12" s="65" t="n">
        <f aca="false">IF($B12="","",MAX(0,MAX(0,I12-H12+1)-(SUMIFS('سجل الإجازات والحالات'!$S$6:$S$505,'سجل الإجازات والحالات'!$B$6:$B$505,$B12)-SUMIFS('سجل الإجازات والحالات'!$R$6:$R$505,'سجل الإجازات والحالات'!$B$6:$B$505,$B12))))</f>
        <v>273</v>
      </c>
      <c r="K12" s="111" t="n">
        <f aca="false">IF($B12="","",G12*12/cfg_DAYS_Y*J12)</f>
        <v>3365.75342465753</v>
      </c>
      <c r="L12" s="111" t="n">
        <f aca="false">IF($B12="","",N(الموظفون!$AD12))</f>
        <v>2400</v>
      </c>
      <c r="M12" s="111" t="n">
        <f aca="false">IF($B12="","",SUMIFS('الحركات الشهرية'!$M$6:$M$1005,'الحركات الشهرية'!$B$6:$B$1005,B12,'الحركات الشهرية'!$A$6:$A$1005,"&lt;="&amp;cfg_VAL_M))</f>
        <v>4500</v>
      </c>
      <c r="N12" s="182" t="n">
        <f aca="false">IF($B12="","",L12+K12-M12)</f>
        <v>1265.75342465753</v>
      </c>
      <c r="O12" s="179" t="n">
        <f aca="false">IF($B12="","",IF(E12&gt;0,N12/E12,0))</f>
        <v>0.281278538812785</v>
      </c>
      <c r="P12" s="114" t="str">
        <f aca="false">IF($B12="","",IF(AND(D12="لا",N12&lt;&gt;0),"⚠ غير مستحق وله رصيد",IF(N12&lt;-0.01,"✖ استخدام أكثر من المكوّن",IF(AND(D12="نعم",O12&gt;=1),"⚠ تذكرة مستحقة للصرف","✔ سليم"))))</f>
        <v>✔ سليم</v>
      </c>
    </row>
    <row r="13" customFormat="false" ht="15" hidden="false" customHeight="false" outlineLevel="0" collapsed="false">
      <c r="B13" s="117" t="str">
        <f aca="false">IF(الموظفون!$B13="","",الموظفون!$B13)</f>
        <v>E008</v>
      </c>
      <c r="C13" s="117" t="str">
        <f aca="false">IF($B13="","",الموظفون!$C13)</f>
        <v>سارة عبدالرحمن الزهراني</v>
      </c>
      <c r="D13" s="117" t="str">
        <f aca="false">IF($B13="","",IF(الموظفون!$U13="نعم","نعم","لا"))</f>
        <v>لا</v>
      </c>
      <c r="E13" s="116" t="n">
        <f aca="false">IF($B13="","",N(الموظفون!$V13))</f>
        <v>0</v>
      </c>
      <c r="F13" s="133" t="n">
        <f aca="false">IF($B13="","",N(الموظفون!$W13))</f>
        <v>12</v>
      </c>
      <c r="G13" s="116" t="n">
        <f aca="false">IF($B13="","",IF(AND(D13="نعم",F13&gt;0),E13/F13,0))</f>
        <v>0</v>
      </c>
      <c r="H13" s="175" t="n">
        <f aca="false">IF($B13="","",MAX(cfg_Y_START,الموظفون!$H13))</f>
        <v>46023</v>
      </c>
      <c r="I13" s="175" t="n">
        <f aca="false">IF($B13="","",IF(OR(الموظفون!$AE13="",الموظفون!$AE13&gt;cfg_VAL_DATE),cfg_VAL_DATE,الموظفون!$AE13))</f>
        <v>46295</v>
      </c>
      <c r="J13" s="133" t="n">
        <f aca="false">IF($B13="","",MAX(0,MAX(0,I13-H13+1)-(SUMIFS('سجل الإجازات والحالات'!$S$6:$S$505,'سجل الإجازات والحالات'!$B$6:$B$505,$B13)-SUMIFS('سجل الإجازات والحالات'!$R$6:$R$505,'سجل الإجازات والحالات'!$B$6:$B$505,$B13))))</f>
        <v>270</v>
      </c>
      <c r="K13" s="116" t="n">
        <f aca="false">IF($B13="","",G13*12/cfg_DAYS_Y*J13)</f>
        <v>0</v>
      </c>
      <c r="L13" s="116" t="n">
        <f aca="false">IF($B13="","",N(الموظفون!$AD13))</f>
        <v>0</v>
      </c>
      <c r="M13" s="116" t="n">
        <f aca="false">IF($B13="","",SUMIFS('الحركات الشهرية'!$M$6:$M$1005,'الحركات الشهرية'!$B$6:$B$1005,B13,'الحركات الشهرية'!$A$6:$A$1005,"&lt;="&amp;cfg_VAL_M))</f>
        <v>0</v>
      </c>
      <c r="N13" s="183" t="n">
        <f aca="false">IF($B13="","",L13+K13-M13)</f>
        <v>0</v>
      </c>
      <c r="O13" s="180" t="n">
        <f aca="false">IF($B13="","",IF(E13&gt;0,N13/E13,0))</f>
        <v>0</v>
      </c>
      <c r="P13" s="117" t="str">
        <f aca="false">IF($B13="","",IF(AND(D13="لا",N13&lt;&gt;0),"⚠ غير مستحق وله رصيد",IF(N13&lt;-0.01,"✖ استخدام أكثر من المكوّن",IF(AND(D13="نعم",O13&gt;=1),"⚠ تذكرة مستحقة للصرف","✔ سليم"))))</f>
        <v>✔ سليم</v>
      </c>
    </row>
    <row r="14" customFormat="false" ht="15" hidden="false" customHeight="false" outlineLevel="0" collapsed="false">
      <c r="B14" s="114" t="str">
        <f aca="false">IF(الموظفون!$B14="","",الموظفون!$B14)</f>
        <v>E009</v>
      </c>
      <c r="C14" s="114" t="str">
        <f aca="false">IF($B14="","",الموظفون!$C14)</f>
        <v>محمد رفيق</v>
      </c>
      <c r="D14" s="114" t="str">
        <f aca="false">IF($B14="","",IF(الموظفون!$U14="نعم","نعم","لا"))</f>
        <v>نعم</v>
      </c>
      <c r="E14" s="111" t="n">
        <f aca="false">IF($B14="","",N(الموظفون!$V14))</f>
        <v>2200</v>
      </c>
      <c r="F14" s="65" t="n">
        <f aca="false">IF($B14="","",N(الموظفون!$W14))</f>
        <v>24</v>
      </c>
      <c r="G14" s="111" t="n">
        <f aca="false">IF($B14="","",IF(AND(D14="نعم",F14&gt;0),E14/F14,0))</f>
        <v>91.6666666666667</v>
      </c>
      <c r="H14" s="174" t="n">
        <f aca="false">IF($B14="","",MAX(cfg_Y_START,الموظفون!$H14))</f>
        <v>46023</v>
      </c>
      <c r="I14" s="174" t="n">
        <f aca="false">IF($B14="","",IF(OR(الموظفون!$AE14="",الموظفون!$AE14&gt;cfg_VAL_DATE),cfg_VAL_DATE,الموظفون!$AE14))</f>
        <v>46295</v>
      </c>
      <c r="J14" s="65" t="n">
        <f aca="false">IF($B14="","",MAX(0,MAX(0,I14-H14+1)-(SUMIFS('سجل الإجازات والحالات'!$S$6:$S$505,'سجل الإجازات والحالات'!$B$6:$B$505,$B14)-SUMIFS('سجل الإجازات والحالات'!$R$6:$R$505,'سجل الإجازات والحالات'!$B$6:$B$505,$B14))))</f>
        <v>273</v>
      </c>
      <c r="K14" s="111" t="n">
        <f aca="false">IF($B14="","",G14*12/cfg_DAYS_Y*J14)</f>
        <v>822.739726027397</v>
      </c>
      <c r="L14" s="111" t="n">
        <f aca="false">IF($B14="","",N(الموظفون!$AD14))</f>
        <v>2000</v>
      </c>
      <c r="M14" s="111" t="n">
        <f aca="false">IF($B14="","",SUMIFS('الحركات الشهرية'!$M$6:$M$1005,'الحركات الشهرية'!$B$6:$B$1005,B14,'الحركات الشهرية'!$A$6:$A$1005,"&lt;="&amp;cfg_VAL_M))</f>
        <v>2200</v>
      </c>
      <c r="N14" s="182" t="n">
        <f aca="false">IF($B14="","",L14+K14-M14)</f>
        <v>622.739726027397</v>
      </c>
      <c r="O14" s="179" t="n">
        <f aca="false">IF($B14="","",IF(E14&gt;0,N14/E14,0))</f>
        <v>0.283063511830635</v>
      </c>
      <c r="P14" s="114" t="str">
        <f aca="false">IF($B14="","",IF(AND(D14="لا",N14&lt;&gt;0),"⚠ غير مستحق وله رصيد",IF(N14&lt;-0.01,"✖ استخدام أكثر من المكوّن",IF(AND(D14="نعم",O14&gt;=1),"⚠ تذكرة مستحقة للصرف","✔ سليم"))))</f>
        <v>✔ سليم</v>
      </c>
    </row>
    <row r="15" customFormat="false" ht="15" hidden="false" customHeight="false" outlineLevel="0" collapsed="false">
      <c r="B15" s="117" t="str">
        <f aca="false">IF(الموظفون!$B15="","",الموظفون!$B15)</f>
        <v>E010</v>
      </c>
      <c r="C15" s="117" t="str">
        <f aca="false">IF($B15="","",الموظفون!$C15)</f>
        <v>ريم سلطان المطيري</v>
      </c>
      <c r="D15" s="117" t="str">
        <f aca="false">IF($B15="","",IF(الموظفون!$U15="نعم","نعم","لا"))</f>
        <v>لا</v>
      </c>
      <c r="E15" s="116" t="n">
        <f aca="false">IF($B15="","",N(الموظفون!$V15))</f>
        <v>0</v>
      </c>
      <c r="F15" s="133" t="n">
        <f aca="false">IF($B15="","",N(الموظفون!$W15))</f>
        <v>12</v>
      </c>
      <c r="G15" s="116" t="n">
        <f aca="false">IF($B15="","",IF(AND(D15="نعم",F15&gt;0),E15/F15,0))</f>
        <v>0</v>
      </c>
      <c r="H15" s="175" t="n">
        <f aca="false">IF($B15="","",MAX(cfg_Y_START,الموظفون!$H15))</f>
        <v>46127</v>
      </c>
      <c r="I15" s="175" t="n">
        <f aca="false">IF($B15="","",IF(OR(الموظفون!$AE15="",الموظفون!$AE15&gt;cfg_VAL_DATE),cfg_VAL_DATE,الموظفون!$AE15))</f>
        <v>46295</v>
      </c>
      <c r="J15" s="133" t="n">
        <f aca="false">IF($B15="","",MAX(0,MAX(0,I15-H15+1)-(SUMIFS('سجل الإجازات والحالات'!$S$6:$S$505,'سجل الإجازات والحالات'!$B$6:$B$505,$B15)-SUMIFS('سجل الإجازات والحالات'!$R$6:$R$505,'سجل الإجازات والحالات'!$B$6:$B$505,$B15))))</f>
        <v>169</v>
      </c>
      <c r="K15" s="116" t="n">
        <f aca="false">IF($B15="","",G15*12/cfg_DAYS_Y*J15)</f>
        <v>0</v>
      </c>
      <c r="L15" s="116" t="n">
        <f aca="false">IF($B15="","",N(الموظفون!$AD15))</f>
        <v>0</v>
      </c>
      <c r="M15" s="116" t="n">
        <f aca="false">IF($B15="","",SUMIFS('الحركات الشهرية'!$M$6:$M$1005,'الحركات الشهرية'!$B$6:$B$1005,B15,'الحركات الشهرية'!$A$6:$A$1005,"&lt;="&amp;cfg_VAL_M))</f>
        <v>0</v>
      </c>
      <c r="N15" s="183" t="n">
        <f aca="false">IF($B15="","",L15+K15-M15)</f>
        <v>0</v>
      </c>
      <c r="O15" s="180" t="n">
        <f aca="false">IF($B15="","",IF(E15&gt;0,N15/E15,0))</f>
        <v>0</v>
      </c>
      <c r="P15" s="117" t="str">
        <f aca="false">IF($B15="","",IF(AND(D15="لا",N15&lt;&gt;0),"⚠ غير مستحق وله رصيد",IF(N15&lt;-0.01,"✖ استخدام أكثر من المكوّن",IF(AND(D15="نعم",O15&gt;=1),"⚠ تذكرة مستحقة للصرف","✔ سليم"))))</f>
        <v>✔ سليم</v>
      </c>
    </row>
    <row r="16" customFormat="false" ht="15" hidden="false" customHeight="false" outlineLevel="0" collapsed="false">
      <c r="B16" s="114" t="str">
        <f aca="false">IF(الموظفون!$B16="","",الموظفون!$B16)</f>
        <v>E011</v>
      </c>
      <c r="C16" s="114" t="str">
        <f aca="false">IF($B16="","",الموظفون!$C16)</f>
        <v>جون ماتيو</v>
      </c>
      <c r="D16" s="114" t="str">
        <f aca="false">IF($B16="","",IF(الموظفون!$U16="نعم","نعم","لا"))</f>
        <v>نعم</v>
      </c>
      <c r="E16" s="111" t="n">
        <f aca="false">IF($B16="","",N(الموظفون!$V16))</f>
        <v>2600</v>
      </c>
      <c r="F16" s="65" t="n">
        <f aca="false">IF($B16="","",N(الموظفون!$W16))</f>
        <v>24</v>
      </c>
      <c r="G16" s="111" t="n">
        <f aca="false">IF($B16="","",IF(AND(D16="نعم",F16&gt;0),E16/F16,0))</f>
        <v>108.333333333333</v>
      </c>
      <c r="H16" s="174" t="n">
        <f aca="false">IF($B16="","",MAX(cfg_Y_START,الموظفون!$H16))</f>
        <v>46023</v>
      </c>
      <c r="I16" s="174" t="n">
        <f aca="false">IF($B16="","",IF(OR(الموظفون!$AE16="",الموظفون!$AE16&gt;cfg_VAL_DATE),cfg_VAL_DATE,الموظفون!$AE16))</f>
        <v>46203</v>
      </c>
      <c r="J16" s="65" t="n">
        <f aca="false">IF($B16="","",MAX(0,MAX(0,I16-H16+1)-(SUMIFS('سجل الإجازات والحالات'!$S$6:$S$505,'سجل الإجازات والحالات'!$B$6:$B$505,$B16)-SUMIFS('سجل الإجازات والحالات'!$R$6:$R$505,'سجل الإجازات والحالات'!$B$6:$B$505,$B16))))</f>
        <v>181</v>
      </c>
      <c r="K16" s="111" t="n">
        <f aca="false">IF($B16="","",G16*12/cfg_DAYS_Y*J16)</f>
        <v>644.657534246575</v>
      </c>
      <c r="L16" s="111" t="n">
        <f aca="false">IF($B16="","",N(الموظفون!$AD16))</f>
        <v>1800</v>
      </c>
      <c r="M16" s="111" t="n">
        <f aca="false">IF($B16="","",SUMIFS('الحركات الشهرية'!$M$6:$M$1005,'الحركات الشهرية'!$B$6:$B$1005,B16,'الحركات الشهرية'!$A$6:$A$1005,"&lt;="&amp;cfg_VAL_M))</f>
        <v>0</v>
      </c>
      <c r="N16" s="182" t="n">
        <f aca="false">IF($B16="","",L16+K16-M16)</f>
        <v>2444.65753424658</v>
      </c>
      <c r="O16" s="179" t="n">
        <f aca="false">IF($B16="","",IF(E16&gt;0,N16/E16,0))</f>
        <v>0.940252897787144</v>
      </c>
      <c r="P16" s="114" t="str">
        <f aca="false">IF($B16="","",IF(AND(D16="لا",N16&lt;&gt;0),"⚠ غير مستحق وله رصيد",IF(N16&lt;-0.01,"✖ استخدام أكثر من المكوّن",IF(AND(D16="نعم",O16&gt;=1),"⚠ تذكرة مستحقة للصرف","✔ سليم"))))</f>
        <v>✔ سليم</v>
      </c>
    </row>
    <row r="17" customFormat="false" ht="15" hidden="false" customHeight="false" outlineLevel="0" collapsed="false">
      <c r="B17" s="117" t="str">
        <f aca="false">IF(الموظفون!$B17="","",الموظفون!$B17)</f>
        <v>E012</v>
      </c>
      <c r="C17" s="117" t="str">
        <f aca="false">IF($B17="","",الموظفون!$C17)</f>
        <v>عمر حسين البيشي</v>
      </c>
      <c r="D17" s="117" t="str">
        <f aca="false">IF($B17="","",IF(الموظفون!$U17="نعم","نعم","لا"))</f>
        <v>لا</v>
      </c>
      <c r="E17" s="116" t="n">
        <f aca="false">IF($B17="","",N(الموظفون!$V17))</f>
        <v>0</v>
      </c>
      <c r="F17" s="133" t="n">
        <f aca="false">IF($B17="","",N(الموظفون!$W17))</f>
        <v>12</v>
      </c>
      <c r="G17" s="116" t="n">
        <f aca="false">IF($B17="","",IF(AND(D17="نعم",F17&gt;0),E17/F17,0))</f>
        <v>0</v>
      </c>
      <c r="H17" s="175" t="n">
        <f aca="false">IF($B17="","",MAX(cfg_Y_START,الموظفون!$H17))</f>
        <v>46023</v>
      </c>
      <c r="I17" s="175" t="n">
        <f aca="false">IF($B17="","",IF(OR(الموظفون!$AE17="",الموظفون!$AE17&gt;cfg_VAL_DATE),cfg_VAL_DATE,الموظفون!$AE17))</f>
        <v>46295</v>
      </c>
      <c r="J17" s="133" t="n">
        <f aca="false">IF($B17="","",MAX(0,MAX(0,I17-H17+1)-(SUMIFS('سجل الإجازات والحالات'!$S$6:$S$505,'سجل الإجازات والحالات'!$B$6:$B$505,$B17)-SUMIFS('سجل الإجازات والحالات'!$R$6:$R$505,'سجل الإجازات والحالات'!$B$6:$B$505,$B17))))</f>
        <v>273</v>
      </c>
      <c r="K17" s="116" t="n">
        <f aca="false">IF($B17="","",G17*12/cfg_DAYS_Y*J17)</f>
        <v>0</v>
      </c>
      <c r="L17" s="116" t="n">
        <f aca="false">IF($B17="","",N(الموظفون!$AD17))</f>
        <v>0</v>
      </c>
      <c r="M17" s="116" t="n">
        <f aca="false">IF($B17="","",SUMIFS('الحركات الشهرية'!$M$6:$M$1005,'الحركات الشهرية'!$B$6:$B$1005,B17,'الحركات الشهرية'!$A$6:$A$1005,"&lt;="&amp;cfg_VAL_M))</f>
        <v>0</v>
      </c>
      <c r="N17" s="183" t="n">
        <f aca="false">IF($B17="","",L17+K17-M17)</f>
        <v>0</v>
      </c>
      <c r="O17" s="180" t="n">
        <f aca="false">IF($B17="","",IF(E17&gt;0,N17/E17,0))</f>
        <v>0</v>
      </c>
      <c r="P17" s="117" t="str">
        <f aca="false">IF($B17="","",IF(AND(D17="لا",N17&lt;&gt;0),"⚠ غير مستحق وله رصيد",IF(N17&lt;-0.01,"✖ استخدام أكثر من المكوّن",IF(AND(D17="نعم",O17&gt;=1),"⚠ تذكرة مستحقة للصرف","✔ سليم"))))</f>
        <v>✔ سليم</v>
      </c>
    </row>
    <row r="18" customFormat="false" ht="15" hidden="false" customHeight="false" outlineLevel="0" collapsed="false">
      <c r="B18" s="114" t="str">
        <f aca="false">IF(الموظفون!$B18="","",الموظفون!$B18)</f>
        <v/>
      </c>
      <c r="C18" s="114" t="str">
        <f aca="false">IF($B18="","",الموظفون!$C18)</f>
        <v/>
      </c>
      <c r="D18" s="114" t="str">
        <f aca="false">IF($B18="","",IF(الموظفون!$U18="نعم","نعم","لا"))</f>
        <v/>
      </c>
      <c r="E18" s="111" t="str">
        <f aca="false">IF($B18="","",N(الموظفون!$V18))</f>
        <v/>
      </c>
      <c r="F18" s="65" t="str">
        <f aca="false">IF($B18="","",N(الموظفون!$W18))</f>
        <v/>
      </c>
      <c r="G18" s="111" t="str">
        <f aca="false">IF($B18="","",IF(AND(D18="نعم",F18&gt;0),E18/F18,0))</f>
        <v/>
      </c>
      <c r="H18" s="174" t="str">
        <f aca="false">IF($B18="","",MAX(cfg_Y_START,الموظفون!$H18))</f>
        <v/>
      </c>
      <c r="I18" s="174" t="str">
        <f aca="false">IF($B18="","",IF(OR(الموظفون!$AE18="",الموظفون!$AE18&gt;cfg_VAL_DATE),cfg_VAL_DATE,الموظفون!$AE18))</f>
        <v/>
      </c>
      <c r="J18" s="65" t="str">
        <f aca="false">IF($B18="","",MAX(0,MAX(0,I18-H18+1)-(SUMIFS('سجل الإجازات والحالات'!$S$6:$S$505,'سجل الإجازات والحالات'!$B$6:$B$505,$B18)-SUMIFS('سجل الإجازات والحالات'!$R$6:$R$505,'سجل الإجازات والحالات'!$B$6:$B$505,$B18))))</f>
        <v/>
      </c>
      <c r="K18" s="111" t="str">
        <f aca="false">IF($B18="","",G18*12/cfg_DAYS_Y*J18)</f>
        <v/>
      </c>
      <c r="L18" s="111" t="str">
        <f aca="false">IF($B18="","",N(الموظفون!$AD18))</f>
        <v/>
      </c>
      <c r="M18" s="111" t="str">
        <f aca="false">IF($B18="","",SUMIFS('الحركات الشهرية'!$M$6:$M$1005,'الحركات الشهرية'!$B$6:$B$1005,B18,'الحركات الشهرية'!$A$6:$A$1005,"&lt;="&amp;cfg_VAL_M))</f>
        <v/>
      </c>
      <c r="N18" s="182" t="str">
        <f aca="false">IF($B18="","",L18+K18-M18)</f>
        <v/>
      </c>
      <c r="O18" s="179" t="str">
        <f aca="false">IF($B18="","",IF(E18&gt;0,N18/E18,0))</f>
        <v/>
      </c>
      <c r="P18" s="114" t="str">
        <f aca="false">IF($B18="","",IF(AND(D18="لا",N18&lt;&gt;0),"⚠ غير مستحق وله رصيد",IF(N18&lt;-0.01,"✖ استخدام أكثر من المكوّن",IF(AND(D18="نعم",O18&gt;=1),"⚠ تذكرة مستحقة للصرف","✔ سليم"))))</f>
        <v/>
      </c>
    </row>
    <row r="19" customFormat="false" ht="15" hidden="false" customHeight="false" outlineLevel="0" collapsed="false">
      <c r="B19" s="117" t="str">
        <f aca="false">IF(الموظفون!$B19="","",الموظفون!$B19)</f>
        <v/>
      </c>
      <c r="C19" s="117" t="str">
        <f aca="false">IF($B19="","",الموظفون!$C19)</f>
        <v/>
      </c>
      <c r="D19" s="117" t="str">
        <f aca="false">IF($B19="","",IF(الموظفون!$U19="نعم","نعم","لا"))</f>
        <v/>
      </c>
      <c r="E19" s="116" t="str">
        <f aca="false">IF($B19="","",N(الموظفون!$V19))</f>
        <v/>
      </c>
      <c r="F19" s="133" t="str">
        <f aca="false">IF($B19="","",N(الموظفون!$W19))</f>
        <v/>
      </c>
      <c r="G19" s="116" t="str">
        <f aca="false">IF($B19="","",IF(AND(D19="نعم",F19&gt;0),E19/F19,0))</f>
        <v/>
      </c>
      <c r="H19" s="175" t="str">
        <f aca="false">IF($B19="","",MAX(cfg_Y_START,الموظفون!$H19))</f>
        <v/>
      </c>
      <c r="I19" s="175" t="str">
        <f aca="false">IF($B19="","",IF(OR(الموظفون!$AE19="",الموظفون!$AE19&gt;cfg_VAL_DATE),cfg_VAL_DATE,الموظفون!$AE19))</f>
        <v/>
      </c>
      <c r="J19" s="133" t="str">
        <f aca="false">IF($B19="","",MAX(0,MAX(0,I19-H19+1)-(SUMIFS('سجل الإجازات والحالات'!$S$6:$S$505,'سجل الإجازات والحالات'!$B$6:$B$505,$B19)-SUMIFS('سجل الإجازات والحالات'!$R$6:$R$505,'سجل الإجازات والحالات'!$B$6:$B$505,$B19))))</f>
        <v/>
      </c>
      <c r="K19" s="116" t="str">
        <f aca="false">IF($B19="","",G19*12/cfg_DAYS_Y*J19)</f>
        <v/>
      </c>
      <c r="L19" s="116" t="str">
        <f aca="false">IF($B19="","",N(الموظفون!$AD19))</f>
        <v/>
      </c>
      <c r="M19" s="116" t="str">
        <f aca="false">IF($B19="","",SUMIFS('الحركات الشهرية'!$M$6:$M$1005,'الحركات الشهرية'!$B$6:$B$1005,B19,'الحركات الشهرية'!$A$6:$A$1005,"&lt;="&amp;cfg_VAL_M))</f>
        <v/>
      </c>
      <c r="N19" s="183" t="str">
        <f aca="false">IF($B19="","",L19+K19-M19)</f>
        <v/>
      </c>
      <c r="O19" s="180" t="str">
        <f aca="false">IF($B19="","",IF(E19&gt;0,N19/E19,0))</f>
        <v/>
      </c>
      <c r="P19" s="117" t="str">
        <f aca="false">IF($B19="","",IF(AND(D19="لا",N19&lt;&gt;0),"⚠ غير مستحق وله رصيد",IF(N19&lt;-0.01,"✖ استخدام أكثر من المكوّن",IF(AND(D19="نعم",O19&gt;=1),"⚠ تذكرة مستحقة للصرف","✔ سليم"))))</f>
        <v/>
      </c>
    </row>
    <row r="20" customFormat="false" ht="15" hidden="false" customHeight="false" outlineLevel="0" collapsed="false">
      <c r="B20" s="114" t="str">
        <f aca="false">IF(الموظفون!$B20="","",الموظفون!$B20)</f>
        <v/>
      </c>
      <c r="C20" s="114" t="str">
        <f aca="false">IF($B20="","",الموظفون!$C20)</f>
        <v/>
      </c>
      <c r="D20" s="114" t="str">
        <f aca="false">IF($B20="","",IF(الموظفون!$U20="نعم","نعم","لا"))</f>
        <v/>
      </c>
      <c r="E20" s="111" t="str">
        <f aca="false">IF($B20="","",N(الموظفون!$V20))</f>
        <v/>
      </c>
      <c r="F20" s="65" t="str">
        <f aca="false">IF($B20="","",N(الموظفون!$W20))</f>
        <v/>
      </c>
      <c r="G20" s="111" t="str">
        <f aca="false">IF($B20="","",IF(AND(D20="نعم",F20&gt;0),E20/F20,0))</f>
        <v/>
      </c>
      <c r="H20" s="174" t="str">
        <f aca="false">IF($B20="","",MAX(cfg_Y_START,الموظفون!$H20))</f>
        <v/>
      </c>
      <c r="I20" s="174" t="str">
        <f aca="false">IF($B20="","",IF(OR(الموظفون!$AE20="",الموظفون!$AE20&gt;cfg_VAL_DATE),cfg_VAL_DATE,الموظفون!$AE20))</f>
        <v/>
      </c>
      <c r="J20" s="65" t="str">
        <f aca="false">IF($B20="","",MAX(0,MAX(0,I20-H20+1)-(SUMIFS('سجل الإجازات والحالات'!$S$6:$S$505,'سجل الإجازات والحالات'!$B$6:$B$505,$B20)-SUMIFS('سجل الإجازات والحالات'!$R$6:$R$505,'سجل الإجازات والحالات'!$B$6:$B$505,$B20))))</f>
        <v/>
      </c>
      <c r="K20" s="111" t="str">
        <f aca="false">IF($B20="","",G20*12/cfg_DAYS_Y*J20)</f>
        <v/>
      </c>
      <c r="L20" s="111" t="str">
        <f aca="false">IF($B20="","",N(الموظفون!$AD20))</f>
        <v/>
      </c>
      <c r="M20" s="111" t="str">
        <f aca="false">IF($B20="","",SUMIFS('الحركات الشهرية'!$M$6:$M$1005,'الحركات الشهرية'!$B$6:$B$1005,B20,'الحركات الشهرية'!$A$6:$A$1005,"&lt;="&amp;cfg_VAL_M))</f>
        <v/>
      </c>
      <c r="N20" s="182" t="str">
        <f aca="false">IF($B20="","",L20+K20-M20)</f>
        <v/>
      </c>
      <c r="O20" s="179" t="str">
        <f aca="false">IF($B20="","",IF(E20&gt;0,N20/E20,0))</f>
        <v/>
      </c>
      <c r="P20" s="114" t="str">
        <f aca="false">IF($B20="","",IF(AND(D20="لا",N20&lt;&gt;0),"⚠ غير مستحق وله رصيد",IF(N20&lt;-0.01,"✖ استخدام أكثر من المكوّن",IF(AND(D20="نعم",O20&gt;=1),"⚠ تذكرة مستحقة للصرف","✔ سليم"))))</f>
        <v/>
      </c>
    </row>
    <row r="21" customFormat="false" ht="15" hidden="false" customHeight="false" outlineLevel="0" collapsed="false">
      <c r="B21" s="117" t="str">
        <f aca="false">IF(الموظفون!$B21="","",الموظفون!$B21)</f>
        <v/>
      </c>
      <c r="C21" s="117" t="str">
        <f aca="false">IF($B21="","",الموظفون!$C21)</f>
        <v/>
      </c>
      <c r="D21" s="117" t="str">
        <f aca="false">IF($B21="","",IF(الموظفون!$U21="نعم","نعم","لا"))</f>
        <v/>
      </c>
      <c r="E21" s="116" t="str">
        <f aca="false">IF($B21="","",N(الموظفون!$V21))</f>
        <v/>
      </c>
      <c r="F21" s="133" t="str">
        <f aca="false">IF($B21="","",N(الموظفون!$W21))</f>
        <v/>
      </c>
      <c r="G21" s="116" t="str">
        <f aca="false">IF($B21="","",IF(AND(D21="نعم",F21&gt;0),E21/F21,0))</f>
        <v/>
      </c>
      <c r="H21" s="175" t="str">
        <f aca="false">IF($B21="","",MAX(cfg_Y_START,الموظفون!$H21))</f>
        <v/>
      </c>
      <c r="I21" s="175" t="str">
        <f aca="false">IF($B21="","",IF(OR(الموظفون!$AE21="",الموظفون!$AE21&gt;cfg_VAL_DATE),cfg_VAL_DATE,الموظفون!$AE21))</f>
        <v/>
      </c>
      <c r="J21" s="133" t="str">
        <f aca="false">IF($B21="","",MAX(0,MAX(0,I21-H21+1)-(SUMIFS('سجل الإجازات والحالات'!$S$6:$S$505,'سجل الإجازات والحالات'!$B$6:$B$505,$B21)-SUMIFS('سجل الإجازات والحالات'!$R$6:$R$505,'سجل الإجازات والحالات'!$B$6:$B$505,$B21))))</f>
        <v/>
      </c>
      <c r="K21" s="116" t="str">
        <f aca="false">IF($B21="","",G21*12/cfg_DAYS_Y*J21)</f>
        <v/>
      </c>
      <c r="L21" s="116" t="str">
        <f aca="false">IF($B21="","",N(الموظفون!$AD21))</f>
        <v/>
      </c>
      <c r="M21" s="116" t="str">
        <f aca="false">IF($B21="","",SUMIFS('الحركات الشهرية'!$M$6:$M$1005,'الحركات الشهرية'!$B$6:$B$1005,B21,'الحركات الشهرية'!$A$6:$A$1005,"&lt;="&amp;cfg_VAL_M))</f>
        <v/>
      </c>
      <c r="N21" s="183" t="str">
        <f aca="false">IF($B21="","",L21+K21-M21)</f>
        <v/>
      </c>
      <c r="O21" s="180" t="str">
        <f aca="false">IF($B21="","",IF(E21&gt;0,N21/E21,0))</f>
        <v/>
      </c>
      <c r="P21" s="117" t="str">
        <f aca="false">IF($B21="","",IF(AND(D21="لا",N21&lt;&gt;0),"⚠ غير مستحق وله رصيد",IF(N21&lt;-0.01,"✖ استخدام أكثر من المكوّن",IF(AND(D21="نعم",O21&gt;=1),"⚠ تذكرة مستحقة للصرف","✔ سليم"))))</f>
        <v/>
      </c>
    </row>
    <row r="22" customFormat="false" ht="15" hidden="false" customHeight="false" outlineLevel="0" collapsed="false">
      <c r="B22" s="114" t="str">
        <f aca="false">IF(الموظفون!$B22="","",الموظفون!$B22)</f>
        <v/>
      </c>
      <c r="C22" s="114" t="str">
        <f aca="false">IF($B22="","",الموظفون!$C22)</f>
        <v/>
      </c>
      <c r="D22" s="114" t="str">
        <f aca="false">IF($B22="","",IF(الموظفون!$U22="نعم","نعم","لا"))</f>
        <v/>
      </c>
      <c r="E22" s="111" t="str">
        <f aca="false">IF($B22="","",N(الموظفون!$V22))</f>
        <v/>
      </c>
      <c r="F22" s="65" t="str">
        <f aca="false">IF($B22="","",N(الموظفون!$W22))</f>
        <v/>
      </c>
      <c r="G22" s="111" t="str">
        <f aca="false">IF($B22="","",IF(AND(D22="نعم",F22&gt;0),E22/F22,0))</f>
        <v/>
      </c>
      <c r="H22" s="174" t="str">
        <f aca="false">IF($B22="","",MAX(cfg_Y_START,الموظفون!$H22))</f>
        <v/>
      </c>
      <c r="I22" s="174" t="str">
        <f aca="false">IF($B22="","",IF(OR(الموظفون!$AE22="",الموظفون!$AE22&gt;cfg_VAL_DATE),cfg_VAL_DATE,الموظفون!$AE22))</f>
        <v/>
      </c>
      <c r="J22" s="65" t="str">
        <f aca="false">IF($B22="","",MAX(0,MAX(0,I22-H22+1)-(SUMIFS('سجل الإجازات والحالات'!$S$6:$S$505,'سجل الإجازات والحالات'!$B$6:$B$505,$B22)-SUMIFS('سجل الإجازات والحالات'!$R$6:$R$505,'سجل الإجازات والحالات'!$B$6:$B$505,$B22))))</f>
        <v/>
      </c>
      <c r="K22" s="111" t="str">
        <f aca="false">IF($B22="","",G22*12/cfg_DAYS_Y*J22)</f>
        <v/>
      </c>
      <c r="L22" s="111" t="str">
        <f aca="false">IF($B22="","",N(الموظفون!$AD22))</f>
        <v/>
      </c>
      <c r="M22" s="111" t="str">
        <f aca="false">IF($B22="","",SUMIFS('الحركات الشهرية'!$M$6:$M$1005,'الحركات الشهرية'!$B$6:$B$1005,B22,'الحركات الشهرية'!$A$6:$A$1005,"&lt;="&amp;cfg_VAL_M))</f>
        <v/>
      </c>
      <c r="N22" s="182" t="str">
        <f aca="false">IF($B22="","",L22+K22-M22)</f>
        <v/>
      </c>
      <c r="O22" s="179" t="str">
        <f aca="false">IF($B22="","",IF(E22&gt;0,N22/E22,0))</f>
        <v/>
      </c>
      <c r="P22" s="114" t="str">
        <f aca="false">IF($B22="","",IF(AND(D22="لا",N22&lt;&gt;0),"⚠ غير مستحق وله رصيد",IF(N22&lt;-0.01,"✖ استخدام أكثر من المكوّن",IF(AND(D22="نعم",O22&gt;=1),"⚠ تذكرة مستحقة للصرف","✔ سليم"))))</f>
        <v/>
      </c>
    </row>
    <row r="23" customFormat="false" ht="15" hidden="false" customHeight="false" outlineLevel="0" collapsed="false">
      <c r="B23" s="117" t="str">
        <f aca="false">IF(الموظفون!$B23="","",الموظفون!$B23)</f>
        <v/>
      </c>
      <c r="C23" s="117" t="str">
        <f aca="false">IF($B23="","",الموظفون!$C23)</f>
        <v/>
      </c>
      <c r="D23" s="117" t="str">
        <f aca="false">IF($B23="","",IF(الموظفون!$U23="نعم","نعم","لا"))</f>
        <v/>
      </c>
      <c r="E23" s="116" t="str">
        <f aca="false">IF($B23="","",N(الموظفون!$V23))</f>
        <v/>
      </c>
      <c r="F23" s="133" t="str">
        <f aca="false">IF($B23="","",N(الموظفون!$W23))</f>
        <v/>
      </c>
      <c r="G23" s="116" t="str">
        <f aca="false">IF($B23="","",IF(AND(D23="نعم",F23&gt;0),E23/F23,0))</f>
        <v/>
      </c>
      <c r="H23" s="175" t="str">
        <f aca="false">IF($B23="","",MAX(cfg_Y_START,الموظفون!$H23))</f>
        <v/>
      </c>
      <c r="I23" s="175" t="str">
        <f aca="false">IF($B23="","",IF(OR(الموظفون!$AE23="",الموظفون!$AE23&gt;cfg_VAL_DATE),cfg_VAL_DATE,الموظفون!$AE23))</f>
        <v/>
      </c>
      <c r="J23" s="133" t="str">
        <f aca="false">IF($B23="","",MAX(0,MAX(0,I23-H23+1)-(SUMIFS('سجل الإجازات والحالات'!$S$6:$S$505,'سجل الإجازات والحالات'!$B$6:$B$505,$B23)-SUMIFS('سجل الإجازات والحالات'!$R$6:$R$505,'سجل الإجازات والحالات'!$B$6:$B$505,$B23))))</f>
        <v/>
      </c>
      <c r="K23" s="116" t="str">
        <f aca="false">IF($B23="","",G23*12/cfg_DAYS_Y*J23)</f>
        <v/>
      </c>
      <c r="L23" s="116" t="str">
        <f aca="false">IF($B23="","",N(الموظفون!$AD23))</f>
        <v/>
      </c>
      <c r="M23" s="116" t="str">
        <f aca="false">IF($B23="","",SUMIFS('الحركات الشهرية'!$M$6:$M$1005,'الحركات الشهرية'!$B$6:$B$1005,B23,'الحركات الشهرية'!$A$6:$A$1005,"&lt;="&amp;cfg_VAL_M))</f>
        <v/>
      </c>
      <c r="N23" s="183" t="str">
        <f aca="false">IF($B23="","",L23+K23-M23)</f>
        <v/>
      </c>
      <c r="O23" s="180" t="str">
        <f aca="false">IF($B23="","",IF(E23&gt;0,N23/E23,0))</f>
        <v/>
      </c>
      <c r="P23" s="117" t="str">
        <f aca="false">IF($B23="","",IF(AND(D23="لا",N23&lt;&gt;0),"⚠ غير مستحق وله رصيد",IF(N23&lt;-0.01,"✖ استخدام أكثر من المكوّن",IF(AND(D23="نعم",O23&gt;=1),"⚠ تذكرة مستحقة للصرف","✔ سليم"))))</f>
        <v/>
      </c>
    </row>
    <row r="24" customFormat="false" ht="15" hidden="false" customHeight="false" outlineLevel="0" collapsed="false">
      <c r="B24" s="114" t="str">
        <f aca="false">IF(الموظفون!$B24="","",الموظفون!$B24)</f>
        <v/>
      </c>
      <c r="C24" s="114" t="str">
        <f aca="false">IF($B24="","",الموظفون!$C24)</f>
        <v/>
      </c>
      <c r="D24" s="114" t="str">
        <f aca="false">IF($B24="","",IF(الموظفون!$U24="نعم","نعم","لا"))</f>
        <v/>
      </c>
      <c r="E24" s="111" t="str">
        <f aca="false">IF($B24="","",N(الموظفون!$V24))</f>
        <v/>
      </c>
      <c r="F24" s="65" t="str">
        <f aca="false">IF($B24="","",N(الموظفون!$W24))</f>
        <v/>
      </c>
      <c r="G24" s="111" t="str">
        <f aca="false">IF($B24="","",IF(AND(D24="نعم",F24&gt;0),E24/F24,0))</f>
        <v/>
      </c>
      <c r="H24" s="174" t="str">
        <f aca="false">IF($B24="","",MAX(cfg_Y_START,الموظفون!$H24))</f>
        <v/>
      </c>
      <c r="I24" s="174" t="str">
        <f aca="false">IF($B24="","",IF(OR(الموظفون!$AE24="",الموظفون!$AE24&gt;cfg_VAL_DATE),cfg_VAL_DATE,الموظفون!$AE24))</f>
        <v/>
      </c>
      <c r="J24" s="65" t="str">
        <f aca="false">IF($B24="","",MAX(0,MAX(0,I24-H24+1)-(SUMIFS('سجل الإجازات والحالات'!$S$6:$S$505,'سجل الإجازات والحالات'!$B$6:$B$505,$B24)-SUMIFS('سجل الإجازات والحالات'!$R$6:$R$505,'سجل الإجازات والحالات'!$B$6:$B$505,$B24))))</f>
        <v/>
      </c>
      <c r="K24" s="111" t="str">
        <f aca="false">IF($B24="","",G24*12/cfg_DAYS_Y*J24)</f>
        <v/>
      </c>
      <c r="L24" s="111" t="str">
        <f aca="false">IF($B24="","",N(الموظفون!$AD24))</f>
        <v/>
      </c>
      <c r="M24" s="111" t="str">
        <f aca="false">IF($B24="","",SUMIFS('الحركات الشهرية'!$M$6:$M$1005,'الحركات الشهرية'!$B$6:$B$1005,B24,'الحركات الشهرية'!$A$6:$A$1005,"&lt;="&amp;cfg_VAL_M))</f>
        <v/>
      </c>
      <c r="N24" s="182" t="str">
        <f aca="false">IF($B24="","",L24+K24-M24)</f>
        <v/>
      </c>
      <c r="O24" s="179" t="str">
        <f aca="false">IF($B24="","",IF(E24&gt;0,N24/E24,0))</f>
        <v/>
      </c>
      <c r="P24" s="114" t="str">
        <f aca="false">IF($B24="","",IF(AND(D24="لا",N24&lt;&gt;0),"⚠ غير مستحق وله رصيد",IF(N24&lt;-0.01,"✖ استخدام أكثر من المكوّن",IF(AND(D24="نعم",O24&gt;=1),"⚠ تذكرة مستحقة للصرف","✔ سليم"))))</f>
        <v/>
      </c>
    </row>
    <row r="25" customFormat="false" ht="15" hidden="false" customHeight="false" outlineLevel="0" collapsed="false">
      <c r="B25" s="117" t="str">
        <f aca="false">IF(الموظفون!$B25="","",الموظفون!$B25)</f>
        <v/>
      </c>
      <c r="C25" s="117" t="str">
        <f aca="false">IF($B25="","",الموظفون!$C25)</f>
        <v/>
      </c>
      <c r="D25" s="117" t="str">
        <f aca="false">IF($B25="","",IF(الموظفون!$U25="نعم","نعم","لا"))</f>
        <v/>
      </c>
      <c r="E25" s="116" t="str">
        <f aca="false">IF($B25="","",N(الموظفون!$V25))</f>
        <v/>
      </c>
      <c r="F25" s="133" t="str">
        <f aca="false">IF($B25="","",N(الموظفون!$W25))</f>
        <v/>
      </c>
      <c r="G25" s="116" t="str">
        <f aca="false">IF($B25="","",IF(AND(D25="نعم",F25&gt;0),E25/F25,0))</f>
        <v/>
      </c>
      <c r="H25" s="175" t="str">
        <f aca="false">IF($B25="","",MAX(cfg_Y_START,الموظفون!$H25))</f>
        <v/>
      </c>
      <c r="I25" s="175" t="str">
        <f aca="false">IF($B25="","",IF(OR(الموظفون!$AE25="",الموظفون!$AE25&gt;cfg_VAL_DATE),cfg_VAL_DATE,الموظفون!$AE25))</f>
        <v/>
      </c>
      <c r="J25" s="133" t="str">
        <f aca="false">IF($B25="","",MAX(0,MAX(0,I25-H25+1)-(SUMIFS('سجل الإجازات والحالات'!$S$6:$S$505,'سجل الإجازات والحالات'!$B$6:$B$505,$B25)-SUMIFS('سجل الإجازات والحالات'!$R$6:$R$505,'سجل الإجازات والحالات'!$B$6:$B$505,$B25))))</f>
        <v/>
      </c>
      <c r="K25" s="116" t="str">
        <f aca="false">IF($B25="","",G25*12/cfg_DAYS_Y*J25)</f>
        <v/>
      </c>
      <c r="L25" s="116" t="str">
        <f aca="false">IF($B25="","",N(الموظفون!$AD25))</f>
        <v/>
      </c>
      <c r="M25" s="116" t="str">
        <f aca="false">IF($B25="","",SUMIFS('الحركات الشهرية'!$M$6:$M$1005,'الحركات الشهرية'!$B$6:$B$1005,B25,'الحركات الشهرية'!$A$6:$A$1005,"&lt;="&amp;cfg_VAL_M))</f>
        <v/>
      </c>
      <c r="N25" s="183" t="str">
        <f aca="false">IF($B25="","",L25+K25-M25)</f>
        <v/>
      </c>
      <c r="O25" s="180" t="str">
        <f aca="false">IF($B25="","",IF(E25&gt;0,N25/E25,0))</f>
        <v/>
      </c>
      <c r="P25" s="117" t="str">
        <f aca="false">IF($B25="","",IF(AND(D25="لا",N25&lt;&gt;0),"⚠ غير مستحق وله رصيد",IF(N25&lt;-0.01,"✖ استخدام أكثر من المكوّن",IF(AND(D25="نعم",O25&gt;=1),"⚠ تذكرة مستحقة للصرف","✔ سليم"))))</f>
        <v/>
      </c>
    </row>
    <row r="26" customFormat="false" ht="15" hidden="false" customHeight="false" outlineLevel="0" collapsed="false">
      <c r="B26" s="114" t="str">
        <f aca="false">IF(الموظفون!$B26="","",الموظفون!$B26)</f>
        <v/>
      </c>
      <c r="C26" s="114" t="str">
        <f aca="false">IF($B26="","",الموظفون!$C26)</f>
        <v/>
      </c>
      <c r="D26" s="114" t="str">
        <f aca="false">IF($B26="","",IF(الموظفون!$U26="نعم","نعم","لا"))</f>
        <v/>
      </c>
      <c r="E26" s="111" t="str">
        <f aca="false">IF($B26="","",N(الموظفون!$V26))</f>
        <v/>
      </c>
      <c r="F26" s="65" t="str">
        <f aca="false">IF($B26="","",N(الموظفون!$W26))</f>
        <v/>
      </c>
      <c r="G26" s="111" t="str">
        <f aca="false">IF($B26="","",IF(AND(D26="نعم",F26&gt;0),E26/F26,0))</f>
        <v/>
      </c>
      <c r="H26" s="174" t="str">
        <f aca="false">IF($B26="","",MAX(cfg_Y_START,الموظفون!$H26))</f>
        <v/>
      </c>
      <c r="I26" s="174" t="str">
        <f aca="false">IF($B26="","",IF(OR(الموظفون!$AE26="",الموظفون!$AE26&gt;cfg_VAL_DATE),cfg_VAL_DATE,الموظفون!$AE26))</f>
        <v/>
      </c>
      <c r="J26" s="65" t="str">
        <f aca="false">IF($B26="","",MAX(0,MAX(0,I26-H26+1)-(SUMIFS('سجل الإجازات والحالات'!$S$6:$S$505,'سجل الإجازات والحالات'!$B$6:$B$505,$B26)-SUMIFS('سجل الإجازات والحالات'!$R$6:$R$505,'سجل الإجازات والحالات'!$B$6:$B$505,$B26))))</f>
        <v/>
      </c>
      <c r="K26" s="111" t="str">
        <f aca="false">IF($B26="","",G26*12/cfg_DAYS_Y*J26)</f>
        <v/>
      </c>
      <c r="L26" s="111" t="str">
        <f aca="false">IF($B26="","",N(الموظفون!$AD26))</f>
        <v/>
      </c>
      <c r="M26" s="111" t="str">
        <f aca="false">IF($B26="","",SUMIFS('الحركات الشهرية'!$M$6:$M$1005,'الحركات الشهرية'!$B$6:$B$1005,B26,'الحركات الشهرية'!$A$6:$A$1005,"&lt;="&amp;cfg_VAL_M))</f>
        <v/>
      </c>
      <c r="N26" s="182" t="str">
        <f aca="false">IF($B26="","",L26+K26-M26)</f>
        <v/>
      </c>
      <c r="O26" s="179" t="str">
        <f aca="false">IF($B26="","",IF(E26&gt;0,N26/E26,0))</f>
        <v/>
      </c>
      <c r="P26" s="114" t="str">
        <f aca="false">IF($B26="","",IF(AND(D26="لا",N26&lt;&gt;0),"⚠ غير مستحق وله رصيد",IF(N26&lt;-0.01,"✖ استخدام أكثر من المكوّن",IF(AND(D26="نعم",O26&gt;=1),"⚠ تذكرة مستحقة للصرف","✔ سليم"))))</f>
        <v/>
      </c>
    </row>
    <row r="27" customFormat="false" ht="15" hidden="false" customHeight="false" outlineLevel="0" collapsed="false">
      <c r="B27" s="117" t="str">
        <f aca="false">IF(الموظفون!$B27="","",الموظفون!$B27)</f>
        <v/>
      </c>
      <c r="C27" s="117" t="str">
        <f aca="false">IF($B27="","",الموظفون!$C27)</f>
        <v/>
      </c>
      <c r="D27" s="117" t="str">
        <f aca="false">IF($B27="","",IF(الموظفون!$U27="نعم","نعم","لا"))</f>
        <v/>
      </c>
      <c r="E27" s="116" t="str">
        <f aca="false">IF($B27="","",N(الموظفون!$V27))</f>
        <v/>
      </c>
      <c r="F27" s="133" t="str">
        <f aca="false">IF($B27="","",N(الموظفون!$W27))</f>
        <v/>
      </c>
      <c r="G27" s="116" t="str">
        <f aca="false">IF($B27="","",IF(AND(D27="نعم",F27&gt;0),E27/F27,0))</f>
        <v/>
      </c>
      <c r="H27" s="175" t="str">
        <f aca="false">IF($B27="","",MAX(cfg_Y_START,الموظفون!$H27))</f>
        <v/>
      </c>
      <c r="I27" s="175" t="str">
        <f aca="false">IF($B27="","",IF(OR(الموظفون!$AE27="",الموظفون!$AE27&gt;cfg_VAL_DATE),cfg_VAL_DATE,الموظفون!$AE27))</f>
        <v/>
      </c>
      <c r="J27" s="133" t="str">
        <f aca="false">IF($B27="","",MAX(0,MAX(0,I27-H27+1)-(SUMIFS('سجل الإجازات والحالات'!$S$6:$S$505,'سجل الإجازات والحالات'!$B$6:$B$505,$B27)-SUMIFS('سجل الإجازات والحالات'!$R$6:$R$505,'سجل الإجازات والحالات'!$B$6:$B$505,$B27))))</f>
        <v/>
      </c>
      <c r="K27" s="116" t="str">
        <f aca="false">IF($B27="","",G27*12/cfg_DAYS_Y*J27)</f>
        <v/>
      </c>
      <c r="L27" s="116" t="str">
        <f aca="false">IF($B27="","",N(الموظفون!$AD27))</f>
        <v/>
      </c>
      <c r="M27" s="116" t="str">
        <f aca="false">IF($B27="","",SUMIFS('الحركات الشهرية'!$M$6:$M$1005,'الحركات الشهرية'!$B$6:$B$1005,B27,'الحركات الشهرية'!$A$6:$A$1005,"&lt;="&amp;cfg_VAL_M))</f>
        <v/>
      </c>
      <c r="N27" s="183" t="str">
        <f aca="false">IF($B27="","",L27+K27-M27)</f>
        <v/>
      </c>
      <c r="O27" s="180" t="str">
        <f aca="false">IF($B27="","",IF(E27&gt;0,N27/E27,0))</f>
        <v/>
      </c>
      <c r="P27" s="117" t="str">
        <f aca="false">IF($B27="","",IF(AND(D27="لا",N27&lt;&gt;0),"⚠ غير مستحق وله رصيد",IF(N27&lt;-0.01,"✖ استخدام أكثر من المكوّن",IF(AND(D27="نعم",O27&gt;=1),"⚠ تذكرة مستحقة للصرف","✔ سليم"))))</f>
        <v/>
      </c>
    </row>
    <row r="28" customFormat="false" ht="15" hidden="false" customHeight="false" outlineLevel="0" collapsed="false">
      <c r="B28" s="114" t="str">
        <f aca="false">IF(الموظفون!$B28="","",الموظفون!$B28)</f>
        <v/>
      </c>
      <c r="C28" s="114" t="str">
        <f aca="false">IF($B28="","",الموظفون!$C28)</f>
        <v/>
      </c>
      <c r="D28" s="114" t="str">
        <f aca="false">IF($B28="","",IF(الموظفون!$U28="نعم","نعم","لا"))</f>
        <v/>
      </c>
      <c r="E28" s="111" t="str">
        <f aca="false">IF($B28="","",N(الموظفون!$V28))</f>
        <v/>
      </c>
      <c r="F28" s="65" t="str">
        <f aca="false">IF($B28="","",N(الموظفون!$W28))</f>
        <v/>
      </c>
      <c r="G28" s="111" t="str">
        <f aca="false">IF($B28="","",IF(AND(D28="نعم",F28&gt;0),E28/F28,0))</f>
        <v/>
      </c>
      <c r="H28" s="174" t="str">
        <f aca="false">IF($B28="","",MAX(cfg_Y_START,الموظفون!$H28))</f>
        <v/>
      </c>
      <c r="I28" s="174" t="str">
        <f aca="false">IF($B28="","",IF(OR(الموظفون!$AE28="",الموظفون!$AE28&gt;cfg_VAL_DATE),cfg_VAL_DATE,الموظفون!$AE28))</f>
        <v/>
      </c>
      <c r="J28" s="65" t="str">
        <f aca="false">IF($B28="","",MAX(0,MAX(0,I28-H28+1)-(SUMIFS('سجل الإجازات والحالات'!$S$6:$S$505,'سجل الإجازات والحالات'!$B$6:$B$505,$B28)-SUMIFS('سجل الإجازات والحالات'!$R$6:$R$505,'سجل الإجازات والحالات'!$B$6:$B$505,$B28))))</f>
        <v/>
      </c>
      <c r="K28" s="111" t="str">
        <f aca="false">IF($B28="","",G28*12/cfg_DAYS_Y*J28)</f>
        <v/>
      </c>
      <c r="L28" s="111" t="str">
        <f aca="false">IF($B28="","",N(الموظفون!$AD28))</f>
        <v/>
      </c>
      <c r="M28" s="111" t="str">
        <f aca="false">IF($B28="","",SUMIFS('الحركات الشهرية'!$M$6:$M$1005,'الحركات الشهرية'!$B$6:$B$1005,B28,'الحركات الشهرية'!$A$6:$A$1005,"&lt;="&amp;cfg_VAL_M))</f>
        <v/>
      </c>
      <c r="N28" s="182" t="str">
        <f aca="false">IF($B28="","",L28+K28-M28)</f>
        <v/>
      </c>
      <c r="O28" s="179" t="str">
        <f aca="false">IF($B28="","",IF(E28&gt;0,N28/E28,0))</f>
        <v/>
      </c>
      <c r="P28" s="114" t="str">
        <f aca="false">IF($B28="","",IF(AND(D28="لا",N28&lt;&gt;0),"⚠ غير مستحق وله رصيد",IF(N28&lt;-0.01,"✖ استخدام أكثر من المكوّن",IF(AND(D28="نعم",O28&gt;=1),"⚠ تذكرة مستحقة للصرف","✔ سليم"))))</f>
        <v/>
      </c>
    </row>
    <row r="29" customFormat="false" ht="15" hidden="false" customHeight="false" outlineLevel="0" collapsed="false">
      <c r="B29" s="117" t="str">
        <f aca="false">IF(الموظفون!$B29="","",الموظفون!$B29)</f>
        <v/>
      </c>
      <c r="C29" s="117" t="str">
        <f aca="false">IF($B29="","",الموظفون!$C29)</f>
        <v/>
      </c>
      <c r="D29" s="117" t="str">
        <f aca="false">IF($B29="","",IF(الموظفون!$U29="نعم","نعم","لا"))</f>
        <v/>
      </c>
      <c r="E29" s="116" t="str">
        <f aca="false">IF($B29="","",N(الموظفون!$V29))</f>
        <v/>
      </c>
      <c r="F29" s="133" t="str">
        <f aca="false">IF($B29="","",N(الموظفون!$W29))</f>
        <v/>
      </c>
      <c r="G29" s="116" t="str">
        <f aca="false">IF($B29="","",IF(AND(D29="نعم",F29&gt;0),E29/F29,0))</f>
        <v/>
      </c>
      <c r="H29" s="175" t="str">
        <f aca="false">IF($B29="","",MAX(cfg_Y_START,الموظفون!$H29))</f>
        <v/>
      </c>
      <c r="I29" s="175" t="str">
        <f aca="false">IF($B29="","",IF(OR(الموظفون!$AE29="",الموظفون!$AE29&gt;cfg_VAL_DATE),cfg_VAL_DATE,الموظفون!$AE29))</f>
        <v/>
      </c>
      <c r="J29" s="133" t="str">
        <f aca="false">IF($B29="","",MAX(0,MAX(0,I29-H29+1)-(SUMIFS('سجل الإجازات والحالات'!$S$6:$S$505,'سجل الإجازات والحالات'!$B$6:$B$505,$B29)-SUMIFS('سجل الإجازات والحالات'!$R$6:$R$505,'سجل الإجازات والحالات'!$B$6:$B$505,$B29))))</f>
        <v/>
      </c>
      <c r="K29" s="116" t="str">
        <f aca="false">IF($B29="","",G29*12/cfg_DAYS_Y*J29)</f>
        <v/>
      </c>
      <c r="L29" s="116" t="str">
        <f aca="false">IF($B29="","",N(الموظفون!$AD29))</f>
        <v/>
      </c>
      <c r="M29" s="116" t="str">
        <f aca="false">IF($B29="","",SUMIFS('الحركات الشهرية'!$M$6:$M$1005,'الحركات الشهرية'!$B$6:$B$1005,B29,'الحركات الشهرية'!$A$6:$A$1005,"&lt;="&amp;cfg_VAL_M))</f>
        <v/>
      </c>
      <c r="N29" s="183" t="str">
        <f aca="false">IF($B29="","",L29+K29-M29)</f>
        <v/>
      </c>
      <c r="O29" s="180" t="str">
        <f aca="false">IF($B29="","",IF(E29&gt;0,N29/E29,0))</f>
        <v/>
      </c>
      <c r="P29" s="117" t="str">
        <f aca="false">IF($B29="","",IF(AND(D29="لا",N29&lt;&gt;0),"⚠ غير مستحق وله رصيد",IF(N29&lt;-0.01,"✖ استخدام أكثر من المكوّن",IF(AND(D29="نعم",O29&gt;=1),"⚠ تذكرة مستحقة للصرف","✔ سليم"))))</f>
        <v/>
      </c>
    </row>
    <row r="30" customFormat="false" ht="15" hidden="false" customHeight="false" outlineLevel="0" collapsed="false">
      <c r="B30" s="114" t="str">
        <f aca="false">IF(الموظفون!$B30="","",الموظفون!$B30)</f>
        <v/>
      </c>
      <c r="C30" s="114" t="str">
        <f aca="false">IF($B30="","",الموظفون!$C30)</f>
        <v/>
      </c>
      <c r="D30" s="114" t="str">
        <f aca="false">IF($B30="","",IF(الموظفون!$U30="نعم","نعم","لا"))</f>
        <v/>
      </c>
      <c r="E30" s="111" t="str">
        <f aca="false">IF($B30="","",N(الموظفون!$V30))</f>
        <v/>
      </c>
      <c r="F30" s="65" t="str">
        <f aca="false">IF($B30="","",N(الموظفون!$W30))</f>
        <v/>
      </c>
      <c r="G30" s="111" t="str">
        <f aca="false">IF($B30="","",IF(AND(D30="نعم",F30&gt;0),E30/F30,0))</f>
        <v/>
      </c>
      <c r="H30" s="174" t="str">
        <f aca="false">IF($B30="","",MAX(cfg_Y_START,الموظفون!$H30))</f>
        <v/>
      </c>
      <c r="I30" s="174" t="str">
        <f aca="false">IF($B30="","",IF(OR(الموظفون!$AE30="",الموظفون!$AE30&gt;cfg_VAL_DATE),cfg_VAL_DATE,الموظفون!$AE30))</f>
        <v/>
      </c>
      <c r="J30" s="65" t="str">
        <f aca="false">IF($B30="","",MAX(0,MAX(0,I30-H30+1)-(SUMIFS('سجل الإجازات والحالات'!$S$6:$S$505,'سجل الإجازات والحالات'!$B$6:$B$505,$B30)-SUMIFS('سجل الإجازات والحالات'!$R$6:$R$505,'سجل الإجازات والحالات'!$B$6:$B$505,$B30))))</f>
        <v/>
      </c>
      <c r="K30" s="111" t="str">
        <f aca="false">IF($B30="","",G30*12/cfg_DAYS_Y*J30)</f>
        <v/>
      </c>
      <c r="L30" s="111" t="str">
        <f aca="false">IF($B30="","",N(الموظفون!$AD30))</f>
        <v/>
      </c>
      <c r="M30" s="111" t="str">
        <f aca="false">IF($B30="","",SUMIFS('الحركات الشهرية'!$M$6:$M$1005,'الحركات الشهرية'!$B$6:$B$1005,B30,'الحركات الشهرية'!$A$6:$A$1005,"&lt;="&amp;cfg_VAL_M))</f>
        <v/>
      </c>
      <c r="N30" s="182" t="str">
        <f aca="false">IF($B30="","",L30+K30-M30)</f>
        <v/>
      </c>
      <c r="O30" s="179" t="str">
        <f aca="false">IF($B30="","",IF(E30&gt;0,N30/E30,0))</f>
        <v/>
      </c>
      <c r="P30" s="114" t="str">
        <f aca="false">IF($B30="","",IF(AND(D30="لا",N30&lt;&gt;0),"⚠ غير مستحق وله رصيد",IF(N30&lt;-0.01,"✖ استخدام أكثر من المكوّن",IF(AND(D30="نعم",O30&gt;=1),"⚠ تذكرة مستحقة للصرف","✔ سليم"))))</f>
        <v/>
      </c>
    </row>
    <row r="31" customFormat="false" ht="15" hidden="false" customHeight="false" outlineLevel="0" collapsed="false">
      <c r="B31" s="117" t="str">
        <f aca="false">IF(الموظفون!$B31="","",الموظفون!$B31)</f>
        <v/>
      </c>
      <c r="C31" s="117" t="str">
        <f aca="false">IF($B31="","",الموظفون!$C31)</f>
        <v/>
      </c>
      <c r="D31" s="117" t="str">
        <f aca="false">IF($B31="","",IF(الموظفون!$U31="نعم","نعم","لا"))</f>
        <v/>
      </c>
      <c r="E31" s="116" t="str">
        <f aca="false">IF($B31="","",N(الموظفون!$V31))</f>
        <v/>
      </c>
      <c r="F31" s="133" t="str">
        <f aca="false">IF($B31="","",N(الموظفون!$W31))</f>
        <v/>
      </c>
      <c r="G31" s="116" t="str">
        <f aca="false">IF($B31="","",IF(AND(D31="نعم",F31&gt;0),E31/F31,0))</f>
        <v/>
      </c>
      <c r="H31" s="175" t="str">
        <f aca="false">IF($B31="","",MAX(cfg_Y_START,الموظفون!$H31))</f>
        <v/>
      </c>
      <c r="I31" s="175" t="str">
        <f aca="false">IF($B31="","",IF(OR(الموظفون!$AE31="",الموظفون!$AE31&gt;cfg_VAL_DATE),cfg_VAL_DATE,الموظفون!$AE31))</f>
        <v/>
      </c>
      <c r="J31" s="133" t="str">
        <f aca="false">IF($B31="","",MAX(0,MAX(0,I31-H31+1)-(SUMIFS('سجل الإجازات والحالات'!$S$6:$S$505,'سجل الإجازات والحالات'!$B$6:$B$505,$B31)-SUMIFS('سجل الإجازات والحالات'!$R$6:$R$505,'سجل الإجازات والحالات'!$B$6:$B$505,$B31))))</f>
        <v/>
      </c>
      <c r="K31" s="116" t="str">
        <f aca="false">IF($B31="","",G31*12/cfg_DAYS_Y*J31)</f>
        <v/>
      </c>
      <c r="L31" s="116" t="str">
        <f aca="false">IF($B31="","",N(الموظفون!$AD31))</f>
        <v/>
      </c>
      <c r="M31" s="116" t="str">
        <f aca="false">IF($B31="","",SUMIFS('الحركات الشهرية'!$M$6:$M$1005,'الحركات الشهرية'!$B$6:$B$1005,B31,'الحركات الشهرية'!$A$6:$A$1005,"&lt;="&amp;cfg_VAL_M))</f>
        <v/>
      </c>
      <c r="N31" s="183" t="str">
        <f aca="false">IF($B31="","",L31+K31-M31)</f>
        <v/>
      </c>
      <c r="O31" s="180" t="str">
        <f aca="false">IF($B31="","",IF(E31&gt;0,N31/E31,0))</f>
        <v/>
      </c>
      <c r="P31" s="117" t="str">
        <f aca="false">IF($B31="","",IF(AND(D31="لا",N31&lt;&gt;0),"⚠ غير مستحق وله رصيد",IF(N31&lt;-0.01,"✖ استخدام أكثر من المكوّن",IF(AND(D31="نعم",O31&gt;=1),"⚠ تذكرة مستحقة للصرف","✔ سليم"))))</f>
        <v/>
      </c>
    </row>
    <row r="32" customFormat="false" ht="15" hidden="false" customHeight="false" outlineLevel="0" collapsed="false">
      <c r="B32" s="114" t="str">
        <f aca="false">IF(الموظفون!$B32="","",الموظفون!$B32)</f>
        <v/>
      </c>
      <c r="C32" s="114" t="str">
        <f aca="false">IF($B32="","",الموظفون!$C32)</f>
        <v/>
      </c>
      <c r="D32" s="114" t="str">
        <f aca="false">IF($B32="","",IF(الموظفون!$U32="نعم","نعم","لا"))</f>
        <v/>
      </c>
      <c r="E32" s="111" t="str">
        <f aca="false">IF($B32="","",N(الموظفون!$V32))</f>
        <v/>
      </c>
      <c r="F32" s="65" t="str">
        <f aca="false">IF($B32="","",N(الموظفون!$W32))</f>
        <v/>
      </c>
      <c r="G32" s="111" t="str">
        <f aca="false">IF($B32="","",IF(AND(D32="نعم",F32&gt;0),E32/F32,0))</f>
        <v/>
      </c>
      <c r="H32" s="174" t="str">
        <f aca="false">IF($B32="","",MAX(cfg_Y_START,الموظفون!$H32))</f>
        <v/>
      </c>
      <c r="I32" s="174" t="str">
        <f aca="false">IF($B32="","",IF(OR(الموظفون!$AE32="",الموظفون!$AE32&gt;cfg_VAL_DATE),cfg_VAL_DATE,الموظفون!$AE32))</f>
        <v/>
      </c>
      <c r="J32" s="65" t="str">
        <f aca="false">IF($B32="","",MAX(0,MAX(0,I32-H32+1)-(SUMIFS('سجل الإجازات والحالات'!$S$6:$S$505,'سجل الإجازات والحالات'!$B$6:$B$505,$B32)-SUMIFS('سجل الإجازات والحالات'!$R$6:$R$505,'سجل الإجازات والحالات'!$B$6:$B$505,$B32))))</f>
        <v/>
      </c>
      <c r="K32" s="111" t="str">
        <f aca="false">IF($B32="","",G32*12/cfg_DAYS_Y*J32)</f>
        <v/>
      </c>
      <c r="L32" s="111" t="str">
        <f aca="false">IF($B32="","",N(الموظفون!$AD32))</f>
        <v/>
      </c>
      <c r="M32" s="111" t="str">
        <f aca="false">IF($B32="","",SUMIFS('الحركات الشهرية'!$M$6:$M$1005,'الحركات الشهرية'!$B$6:$B$1005,B32,'الحركات الشهرية'!$A$6:$A$1005,"&lt;="&amp;cfg_VAL_M))</f>
        <v/>
      </c>
      <c r="N32" s="182" t="str">
        <f aca="false">IF($B32="","",L32+K32-M32)</f>
        <v/>
      </c>
      <c r="O32" s="179" t="str">
        <f aca="false">IF($B32="","",IF(E32&gt;0,N32/E32,0))</f>
        <v/>
      </c>
      <c r="P32" s="114" t="str">
        <f aca="false">IF($B32="","",IF(AND(D32="لا",N32&lt;&gt;0),"⚠ غير مستحق وله رصيد",IF(N32&lt;-0.01,"✖ استخدام أكثر من المكوّن",IF(AND(D32="نعم",O32&gt;=1),"⚠ تذكرة مستحقة للصرف","✔ سليم"))))</f>
        <v/>
      </c>
    </row>
    <row r="33" customFormat="false" ht="15" hidden="false" customHeight="false" outlineLevel="0" collapsed="false">
      <c r="B33" s="117" t="str">
        <f aca="false">IF(الموظفون!$B33="","",الموظفون!$B33)</f>
        <v/>
      </c>
      <c r="C33" s="117" t="str">
        <f aca="false">IF($B33="","",الموظفون!$C33)</f>
        <v/>
      </c>
      <c r="D33" s="117" t="str">
        <f aca="false">IF($B33="","",IF(الموظفون!$U33="نعم","نعم","لا"))</f>
        <v/>
      </c>
      <c r="E33" s="116" t="str">
        <f aca="false">IF($B33="","",N(الموظفون!$V33))</f>
        <v/>
      </c>
      <c r="F33" s="133" t="str">
        <f aca="false">IF($B33="","",N(الموظفون!$W33))</f>
        <v/>
      </c>
      <c r="G33" s="116" t="str">
        <f aca="false">IF($B33="","",IF(AND(D33="نعم",F33&gt;0),E33/F33,0))</f>
        <v/>
      </c>
      <c r="H33" s="175" t="str">
        <f aca="false">IF($B33="","",MAX(cfg_Y_START,الموظفون!$H33))</f>
        <v/>
      </c>
      <c r="I33" s="175" t="str">
        <f aca="false">IF($B33="","",IF(OR(الموظفون!$AE33="",الموظفون!$AE33&gt;cfg_VAL_DATE),cfg_VAL_DATE,الموظفون!$AE33))</f>
        <v/>
      </c>
      <c r="J33" s="133" t="str">
        <f aca="false">IF($B33="","",MAX(0,MAX(0,I33-H33+1)-(SUMIFS('سجل الإجازات والحالات'!$S$6:$S$505,'سجل الإجازات والحالات'!$B$6:$B$505,$B33)-SUMIFS('سجل الإجازات والحالات'!$R$6:$R$505,'سجل الإجازات والحالات'!$B$6:$B$505,$B33))))</f>
        <v/>
      </c>
      <c r="K33" s="116" t="str">
        <f aca="false">IF($B33="","",G33*12/cfg_DAYS_Y*J33)</f>
        <v/>
      </c>
      <c r="L33" s="116" t="str">
        <f aca="false">IF($B33="","",N(الموظفون!$AD33))</f>
        <v/>
      </c>
      <c r="M33" s="116" t="str">
        <f aca="false">IF($B33="","",SUMIFS('الحركات الشهرية'!$M$6:$M$1005,'الحركات الشهرية'!$B$6:$B$1005,B33,'الحركات الشهرية'!$A$6:$A$1005,"&lt;="&amp;cfg_VAL_M))</f>
        <v/>
      </c>
      <c r="N33" s="183" t="str">
        <f aca="false">IF($B33="","",L33+K33-M33)</f>
        <v/>
      </c>
      <c r="O33" s="180" t="str">
        <f aca="false">IF($B33="","",IF(E33&gt;0,N33/E33,0))</f>
        <v/>
      </c>
      <c r="P33" s="117" t="str">
        <f aca="false">IF($B33="","",IF(AND(D33="لا",N33&lt;&gt;0),"⚠ غير مستحق وله رصيد",IF(N33&lt;-0.01,"✖ استخدام أكثر من المكوّن",IF(AND(D33="نعم",O33&gt;=1),"⚠ تذكرة مستحقة للصرف","✔ سليم"))))</f>
        <v/>
      </c>
    </row>
    <row r="34" customFormat="false" ht="15" hidden="false" customHeight="false" outlineLevel="0" collapsed="false">
      <c r="B34" s="114" t="str">
        <f aca="false">IF(الموظفون!$B34="","",الموظفون!$B34)</f>
        <v/>
      </c>
      <c r="C34" s="114" t="str">
        <f aca="false">IF($B34="","",الموظفون!$C34)</f>
        <v/>
      </c>
      <c r="D34" s="114" t="str">
        <f aca="false">IF($B34="","",IF(الموظفون!$U34="نعم","نعم","لا"))</f>
        <v/>
      </c>
      <c r="E34" s="111" t="str">
        <f aca="false">IF($B34="","",N(الموظفون!$V34))</f>
        <v/>
      </c>
      <c r="F34" s="65" t="str">
        <f aca="false">IF($B34="","",N(الموظفون!$W34))</f>
        <v/>
      </c>
      <c r="G34" s="111" t="str">
        <f aca="false">IF($B34="","",IF(AND(D34="نعم",F34&gt;0),E34/F34,0))</f>
        <v/>
      </c>
      <c r="H34" s="174" t="str">
        <f aca="false">IF($B34="","",MAX(cfg_Y_START,الموظفون!$H34))</f>
        <v/>
      </c>
      <c r="I34" s="174" t="str">
        <f aca="false">IF($B34="","",IF(OR(الموظفون!$AE34="",الموظفون!$AE34&gt;cfg_VAL_DATE),cfg_VAL_DATE,الموظفون!$AE34))</f>
        <v/>
      </c>
      <c r="J34" s="65" t="str">
        <f aca="false">IF($B34="","",MAX(0,MAX(0,I34-H34+1)-(SUMIFS('سجل الإجازات والحالات'!$S$6:$S$505,'سجل الإجازات والحالات'!$B$6:$B$505,$B34)-SUMIFS('سجل الإجازات والحالات'!$R$6:$R$505,'سجل الإجازات والحالات'!$B$6:$B$505,$B34))))</f>
        <v/>
      </c>
      <c r="K34" s="111" t="str">
        <f aca="false">IF($B34="","",G34*12/cfg_DAYS_Y*J34)</f>
        <v/>
      </c>
      <c r="L34" s="111" t="str">
        <f aca="false">IF($B34="","",N(الموظفون!$AD34))</f>
        <v/>
      </c>
      <c r="M34" s="111" t="str">
        <f aca="false">IF($B34="","",SUMIFS('الحركات الشهرية'!$M$6:$M$1005,'الحركات الشهرية'!$B$6:$B$1005,B34,'الحركات الشهرية'!$A$6:$A$1005,"&lt;="&amp;cfg_VAL_M))</f>
        <v/>
      </c>
      <c r="N34" s="182" t="str">
        <f aca="false">IF($B34="","",L34+K34-M34)</f>
        <v/>
      </c>
      <c r="O34" s="179" t="str">
        <f aca="false">IF($B34="","",IF(E34&gt;0,N34/E34,0))</f>
        <v/>
      </c>
      <c r="P34" s="114" t="str">
        <f aca="false">IF($B34="","",IF(AND(D34="لا",N34&lt;&gt;0),"⚠ غير مستحق وله رصيد",IF(N34&lt;-0.01,"✖ استخدام أكثر من المكوّن",IF(AND(D34="نعم",O34&gt;=1),"⚠ تذكرة مستحقة للصرف","✔ سليم"))))</f>
        <v/>
      </c>
    </row>
    <row r="35" customFormat="false" ht="15" hidden="false" customHeight="false" outlineLevel="0" collapsed="false">
      <c r="B35" s="117" t="str">
        <f aca="false">IF(الموظفون!$B35="","",الموظفون!$B35)</f>
        <v/>
      </c>
      <c r="C35" s="117" t="str">
        <f aca="false">IF($B35="","",الموظفون!$C35)</f>
        <v/>
      </c>
      <c r="D35" s="117" t="str">
        <f aca="false">IF($B35="","",IF(الموظفون!$U35="نعم","نعم","لا"))</f>
        <v/>
      </c>
      <c r="E35" s="116" t="str">
        <f aca="false">IF($B35="","",N(الموظفون!$V35))</f>
        <v/>
      </c>
      <c r="F35" s="133" t="str">
        <f aca="false">IF($B35="","",N(الموظفون!$W35))</f>
        <v/>
      </c>
      <c r="G35" s="116" t="str">
        <f aca="false">IF($B35="","",IF(AND(D35="نعم",F35&gt;0),E35/F35,0))</f>
        <v/>
      </c>
      <c r="H35" s="175" t="str">
        <f aca="false">IF($B35="","",MAX(cfg_Y_START,الموظفون!$H35))</f>
        <v/>
      </c>
      <c r="I35" s="175" t="str">
        <f aca="false">IF($B35="","",IF(OR(الموظفون!$AE35="",الموظفون!$AE35&gt;cfg_VAL_DATE),cfg_VAL_DATE,الموظفون!$AE35))</f>
        <v/>
      </c>
      <c r="J35" s="133" t="str">
        <f aca="false">IF($B35="","",MAX(0,MAX(0,I35-H35+1)-(SUMIFS('سجل الإجازات والحالات'!$S$6:$S$505,'سجل الإجازات والحالات'!$B$6:$B$505,$B35)-SUMIFS('سجل الإجازات والحالات'!$R$6:$R$505,'سجل الإجازات والحالات'!$B$6:$B$505,$B35))))</f>
        <v/>
      </c>
      <c r="K35" s="116" t="str">
        <f aca="false">IF($B35="","",G35*12/cfg_DAYS_Y*J35)</f>
        <v/>
      </c>
      <c r="L35" s="116" t="str">
        <f aca="false">IF($B35="","",N(الموظفون!$AD35))</f>
        <v/>
      </c>
      <c r="M35" s="116" t="str">
        <f aca="false">IF($B35="","",SUMIFS('الحركات الشهرية'!$M$6:$M$1005,'الحركات الشهرية'!$B$6:$B$1005,B35,'الحركات الشهرية'!$A$6:$A$1005,"&lt;="&amp;cfg_VAL_M))</f>
        <v/>
      </c>
      <c r="N35" s="183" t="str">
        <f aca="false">IF($B35="","",L35+K35-M35)</f>
        <v/>
      </c>
      <c r="O35" s="180" t="str">
        <f aca="false">IF($B35="","",IF(E35&gt;0,N35/E35,0))</f>
        <v/>
      </c>
      <c r="P35" s="117" t="str">
        <f aca="false">IF($B35="","",IF(AND(D35="لا",N35&lt;&gt;0),"⚠ غير مستحق وله رصيد",IF(N35&lt;-0.01,"✖ استخدام أكثر من المكوّن",IF(AND(D35="نعم",O35&gt;=1),"⚠ تذكرة مستحقة للصرف","✔ سليم"))))</f>
        <v/>
      </c>
    </row>
    <row r="36" customFormat="false" ht="15" hidden="false" customHeight="false" outlineLevel="0" collapsed="false">
      <c r="B36" s="114" t="str">
        <f aca="false">IF(الموظفون!$B36="","",الموظفون!$B36)</f>
        <v/>
      </c>
      <c r="C36" s="114" t="str">
        <f aca="false">IF($B36="","",الموظفون!$C36)</f>
        <v/>
      </c>
      <c r="D36" s="114" t="str">
        <f aca="false">IF($B36="","",IF(الموظفون!$U36="نعم","نعم","لا"))</f>
        <v/>
      </c>
      <c r="E36" s="111" t="str">
        <f aca="false">IF($B36="","",N(الموظفون!$V36))</f>
        <v/>
      </c>
      <c r="F36" s="65" t="str">
        <f aca="false">IF($B36="","",N(الموظفون!$W36))</f>
        <v/>
      </c>
      <c r="G36" s="111" t="str">
        <f aca="false">IF($B36="","",IF(AND(D36="نعم",F36&gt;0),E36/F36,0))</f>
        <v/>
      </c>
      <c r="H36" s="174" t="str">
        <f aca="false">IF($B36="","",MAX(cfg_Y_START,الموظفون!$H36))</f>
        <v/>
      </c>
      <c r="I36" s="174" t="str">
        <f aca="false">IF($B36="","",IF(OR(الموظفون!$AE36="",الموظفون!$AE36&gt;cfg_VAL_DATE),cfg_VAL_DATE,الموظفون!$AE36))</f>
        <v/>
      </c>
      <c r="J36" s="65" t="str">
        <f aca="false">IF($B36="","",MAX(0,MAX(0,I36-H36+1)-(SUMIFS('سجل الإجازات والحالات'!$S$6:$S$505,'سجل الإجازات والحالات'!$B$6:$B$505,$B36)-SUMIFS('سجل الإجازات والحالات'!$R$6:$R$505,'سجل الإجازات والحالات'!$B$6:$B$505,$B36))))</f>
        <v/>
      </c>
      <c r="K36" s="111" t="str">
        <f aca="false">IF($B36="","",G36*12/cfg_DAYS_Y*J36)</f>
        <v/>
      </c>
      <c r="L36" s="111" t="str">
        <f aca="false">IF($B36="","",N(الموظفون!$AD36))</f>
        <v/>
      </c>
      <c r="M36" s="111" t="str">
        <f aca="false">IF($B36="","",SUMIFS('الحركات الشهرية'!$M$6:$M$1005,'الحركات الشهرية'!$B$6:$B$1005,B36,'الحركات الشهرية'!$A$6:$A$1005,"&lt;="&amp;cfg_VAL_M))</f>
        <v/>
      </c>
      <c r="N36" s="182" t="str">
        <f aca="false">IF($B36="","",L36+K36-M36)</f>
        <v/>
      </c>
      <c r="O36" s="179" t="str">
        <f aca="false">IF($B36="","",IF(E36&gt;0,N36/E36,0))</f>
        <v/>
      </c>
      <c r="P36" s="114" t="str">
        <f aca="false">IF($B36="","",IF(AND(D36="لا",N36&lt;&gt;0),"⚠ غير مستحق وله رصيد",IF(N36&lt;-0.01,"✖ استخدام أكثر من المكوّن",IF(AND(D36="نعم",O36&gt;=1),"⚠ تذكرة مستحقة للصرف","✔ سليم"))))</f>
        <v/>
      </c>
    </row>
    <row r="37" customFormat="false" ht="15" hidden="false" customHeight="false" outlineLevel="0" collapsed="false">
      <c r="B37" s="117" t="str">
        <f aca="false">IF(الموظفون!$B37="","",الموظفون!$B37)</f>
        <v/>
      </c>
      <c r="C37" s="117" t="str">
        <f aca="false">IF($B37="","",الموظفون!$C37)</f>
        <v/>
      </c>
      <c r="D37" s="117" t="str">
        <f aca="false">IF($B37="","",IF(الموظفون!$U37="نعم","نعم","لا"))</f>
        <v/>
      </c>
      <c r="E37" s="116" t="str">
        <f aca="false">IF($B37="","",N(الموظفون!$V37))</f>
        <v/>
      </c>
      <c r="F37" s="133" t="str">
        <f aca="false">IF($B37="","",N(الموظفون!$W37))</f>
        <v/>
      </c>
      <c r="G37" s="116" t="str">
        <f aca="false">IF($B37="","",IF(AND(D37="نعم",F37&gt;0),E37/F37,0))</f>
        <v/>
      </c>
      <c r="H37" s="175" t="str">
        <f aca="false">IF($B37="","",MAX(cfg_Y_START,الموظفون!$H37))</f>
        <v/>
      </c>
      <c r="I37" s="175" t="str">
        <f aca="false">IF($B37="","",IF(OR(الموظفون!$AE37="",الموظفون!$AE37&gt;cfg_VAL_DATE),cfg_VAL_DATE,الموظفون!$AE37))</f>
        <v/>
      </c>
      <c r="J37" s="133" t="str">
        <f aca="false">IF($B37="","",MAX(0,MAX(0,I37-H37+1)-(SUMIFS('سجل الإجازات والحالات'!$S$6:$S$505,'سجل الإجازات والحالات'!$B$6:$B$505,$B37)-SUMIFS('سجل الإجازات والحالات'!$R$6:$R$505,'سجل الإجازات والحالات'!$B$6:$B$505,$B37))))</f>
        <v/>
      </c>
      <c r="K37" s="116" t="str">
        <f aca="false">IF($B37="","",G37*12/cfg_DAYS_Y*J37)</f>
        <v/>
      </c>
      <c r="L37" s="116" t="str">
        <f aca="false">IF($B37="","",N(الموظفون!$AD37))</f>
        <v/>
      </c>
      <c r="M37" s="116" t="str">
        <f aca="false">IF($B37="","",SUMIFS('الحركات الشهرية'!$M$6:$M$1005,'الحركات الشهرية'!$B$6:$B$1005,B37,'الحركات الشهرية'!$A$6:$A$1005,"&lt;="&amp;cfg_VAL_M))</f>
        <v/>
      </c>
      <c r="N37" s="183" t="str">
        <f aca="false">IF($B37="","",L37+K37-M37)</f>
        <v/>
      </c>
      <c r="O37" s="180" t="str">
        <f aca="false">IF($B37="","",IF(E37&gt;0,N37/E37,0))</f>
        <v/>
      </c>
      <c r="P37" s="117" t="str">
        <f aca="false">IF($B37="","",IF(AND(D37="لا",N37&lt;&gt;0),"⚠ غير مستحق وله رصيد",IF(N37&lt;-0.01,"✖ استخدام أكثر من المكوّن",IF(AND(D37="نعم",O37&gt;=1),"⚠ تذكرة مستحقة للصرف","✔ سليم"))))</f>
        <v/>
      </c>
    </row>
    <row r="38" customFormat="false" ht="15" hidden="false" customHeight="false" outlineLevel="0" collapsed="false">
      <c r="B38" s="114" t="str">
        <f aca="false">IF(الموظفون!$B38="","",الموظفون!$B38)</f>
        <v/>
      </c>
      <c r="C38" s="114" t="str">
        <f aca="false">IF($B38="","",الموظفون!$C38)</f>
        <v/>
      </c>
      <c r="D38" s="114" t="str">
        <f aca="false">IF($B38="","",IF(الموظفون!$U38="نعم","نعم","لا"))</f>
        <v/>
      </c>
      <c r="E38" s="111" t="str">
        <f aca="false">IF($B38="","",N(الموظفون!$V38))</f>
        <v/>
      </c>
      <c r="F38" s="65" t="str">
        <f aca="false">IF($B38="","",N(الموظفون!$W38))</f>
        <v/>
      </c>
      <c r="G38" s="111" t="str">
        <f aca="false">IF($B38="","",IF(AND(D38="نعم",F38&gt;0),E38/F38,0))</f>
        <v/>
      </c>
      <c r="H38" s="174" t="str">
        <f aca="false">IF($B38="","",MAX(cfg_Y_START,الموظفون!$H38))</f>
        <v/>
      </c>
      <c r="I38" s="174" t="str">
        <f aca="false">IF($B38="","",IF(OR(الموظفون!$AE38="",الموظفون!$AE38&gt;cfg_VAL_DATE),cfg_VAL_DATE,الموظفون!$AE38))</f>
        <v/>
      </c>
      <c r="J38" s="65" t="str">
        <f aca="false">IF($B38="","",MAX(0,MAX(0,I38-H38+1)-(SUMIFS('سجل الإجازات والحالات'!$S$6:$S$505,'سجل الإجازات والحالات'!$B$6:$B$505,$B38)-SUMIFS('سجل الإجازات والحالات'!$R$6:$R$505,'سجل الإجازات والحالات'!$B$6:$B$505,$B38))))</f>
        <v/>
      </c>
      <c r="K38" s="111" t="str">
        <f aca="false">IF($B38="","",G38*12/cfg_DAYS_Y*J38)</f>
        <v/>
      </c>
      <c r="L38" s="111" t="str">
        <f aca="false">IF($B38="","",N(الموظفون!$AD38))</f>
        <v/>
      </c>
      <c r="M38" s="111" t="str">
        <f aca="false">IF($B38="","",SUMIFS('الحركات الشهرية'!$M$6:$M$1005,'الحركات الشهرية'!$B$6:$B$1005,B38,'الحركات الشهرية'!$A$6:$A$1005,"&lt;="&amp;cfg_VAL_M))</f>
        <v/>
      </c>
      <c r="N38" s="182" t="str">
        <f aca="false">IF($B38="","",L38+K38-M38)</f>
        <v/>
      </c>
      <c r="O38" s="179" t="str">
        <f aca="false">IF($B38="","",IF(E38&gt;0,N38/E38,0))</f>
        <v/>
      </c>
      <c r="P38" s="114" t="str">
        <f aca="false">IF($B38="","",IF(AND(D38="لا",N38&lt;&gt;0),"⚠ غير مستحق وله رصيد",IF(N38&lt;-0.01,"✖ استخدام أكثر من المكوّن",IF(AND(D38="نعم",O38&gt;=1),"⚠ تذكرة مستحقة للصرف","✔ سليم"))))</f>
        <v/>
      </c>
    </row>
    <row r="39" customFormat="false" ht="15" hidden="false" customHeight="false" outlineLevel="0" collapsed="false">
      <c r="B39" s="117" t="str">
        <f aca="false">IF(الموظفون!$B39="","",الموظفون!$B39)</f>
        <v/>
      </c>
      <c r="C39" s="117" t="str">
        <f aca="false">IF($B39="","",الموظفون!$C39)</f>
        <v/>
      </c>
      <c r="D39" s="117" t="str">
        <f aca="false">IF($B39="","",IF(الموظفون!$U39="نعم","نعم","لا"))</f>
        <v/>
      </c>
      <c r="E39" s="116" t="str">
        <f aca="false">IF($B39="","",N(الموظفون!$V39))</f>
        <v/>
      </c>
      <c r="F39" s="133" t="str">
        <f aca="false">IF($B39="","",N(الموظفون!$W39))</f>
        <v/>
      </c>
      <c r="G39" s="116" t="str">
        <f aca="false">IF($B39="","",IF(AND(D39="نعم",F39&gt;0),E39/F39,0))</f>
        <v/>
      </c>
      <c r="H39" s="175" t="str">
        <f aca="false">IF($B39="","",MAX(cfg_Y_START,الموظفون!$H39))</f>
        <v/>
      </c>
      <c r="I39" s="175" t="str">
        <f aca="false">IF($B39="","",IF(OR(الموظفون!$AE39="",الموظفون!$AE39&gt;cfg_VAL_DATE),cfg_VAL_DATE,الموظفون!$AE39))</f>
        <v/>
      </c>
      <c r="J39" s="133" t="str">
        <f aca="false">IF($B39="","",MAX(0,MAX(0,I39-H39+1)-(SUMIFS('سجل الإجازات والحالات'!$S$6:$S$505,'سجل الإجازات والحالات'!$B$6:$B$505,$B39)-SUMIFS('سجل الإجازات والحالات'!$R$6:$R$505,'سجل الإجازات والحالات'!$B$6:$B$505,$B39))))</f>
        <v/>
      </c>
      <c r="K39" s="116" t="str">
        <f aca="false">IF($B39="","",G39*12/cfg_DAYS_Y*J39)</f>
        <v/>
      </c>
      <c r="L39" s="116" t="str">
        <f aca="false">IF($B39="","",N(الموظفون!$AD39))</f>
        <v/>
      </c>
      <c r="M39" s="116" t="str">
        <f aca="false">IF($B39="","",SUMIFS('الحركات الشهرية'!$M$6:$M$1005,'الحركات الشهرية'!$B$6:$B$1005,B39,'الحركات الشهرية'!$A$6:$A$1005,"&lt;="&amp;cfg_VAL_M))</f>
        <v/>
      </c>
      <c r="N39" s="183" t="str">
        <f aca="false">IF($B39="","",L39+K39-M39)</f>
        <v/>
      </c>
      <c r="O39" s="180" t="str">
        <f aca="false">IF($B39="","",IF(E39&gt;0,N39/E39,0))</f>
        <v/>
      </c>
      <c r="P39" s="117" t="str">
        <f aca="false">IF($B39="","",IF(AND(D39="لا",N39&lt;&gt;0),"⚠ غير مستحق وله رصيد",IF(N39&lt;-0.01,"✖ استخدام أكثر من المكوّن",IF(AND(D39="نعم",O39&gt;=1),"⚠ تذكرة مستحقة للصرف","✔ سليم"))))</f>
        <v/>
      </c>
    </row>
    <row r="40" customFormat="false" ht="15" hidden="false" customHeight="false" outlineLevel="0" collapsed="false">
      <c r="B40" s="114" t="str">
        <f aca="false">IF(الموظفون!$B40="","",الموظفون!$B40)</f>
        <v/>
      </c>
      <c r="C40" s="114" t="str">
        <f aca="false">IF($B40="","",الموظفون!$C40)</f>
        <v/>
      </c>
      <c r="D40" s="114" t="str">
        <f aca="false">IF($B40="","",IF(الموظفون!$U40="نعم","نعم","لا"))</f>
        <v/>
      </c>
      <c r="E40" s="111" t="str">
        <f aca="false">IF($B40="","",N(الموظفون!$V40))</f>
        <v/>
      </c>
      <c r="F40" s="65" t="str">
        <f aca="false">IF($B40="","",N(الموظفون!$W40))</f>
        <v/>
      </c>
      <c r="G40" s="111" t="str">
        <f aca="false">IF($B40="","",IF(AND(D40="نعم",F40&gt;0),E40/F40,0))</f>
        <v/>
      </c>
      <c r="H40" s="174" t="str">
        <f aca="false">IF($B40="","",MAX(cfg_Y_START,الموظفون!$H40))</f>
        <v/>
      </c>
      <c r="I40" s="174" t="str">
        <f aca="false">IF($B40="","",IF(OR(الموظفون!$AE40="",الموظفون!$AE40&gt;cfg_VAL_DATE),cfg_VAL_DATE,الموظفون!$AE40))</f>
        <v/>
      </c>
      <c r="J40" s="65" t="str">
        <f aca="false">IF($B40="","",MAX(0,MAX(0,I40-H40+1)-(SUMIFS('سجل الإجازات والحالات'!$S$6:$S$505,'سجل الإجازات والحالات'!$B$6:$B$505,$B40)-SUMIFS('سجل الإجازات والحالات'!$R$6:$R$505,'سجل الإجازات والحالات'!$B$6:$B$505,$B40))))</f>
        <v/>
      </c>
      <c r="K40" s="111" t="str">
        <f aca="false">IF($B40="","",G40*12/cfg_DAYS_Y*J40)</f>
        <v/>
      </c>
      <c r="L40" s="111" t="str">
        <f aca="false">IF($B40="","",N(الموظفون!$AD40))</f>
        <v/>
      </c>
      <c r="M40" s="111" t="str">
        <f aca="false">IF($B40="","",SUMIFS('الحركات الشهرية'!$M$6:$M$1005,'الحركات الشهرية'!$B$6:$B$1005,B40,'الحركات الشهرية'!$A$6:$A$1005,"&lt;="&amp;cfg_VAL_M))</f>
        <v/>
      </c>
      <c r="N40" s="182" t="str">
        <f aca="false">IF($B40="","",L40+K40-M40)</f>
        <v/>
      </c>
      <c r="O40" s="179" t="str">
        <f aca="false">IF($B40="","",IF(E40&gt;0,N40/E40,0))</f>
        <v/>
      </c>
      <c r="P40" s="114" t="str">
        <f aca="false">IF($B40="","",IF(AND(D40="لا",N40&lt;&gt;0),"⚠ غير مستحق وله رصيد",IF(N40&lt;-0.01,"✖ استخدام أكثر من المكوّن",IF(AND(D40="نعم",O40&gt;=1),"⚠ تذكرة مستحقة للصرف","✔ سليم"))))</f>
        <v/>
      </c>
    </row>
    <row r="41" customFormat="false" ht="15" hidden="false" customHeight="false" outlineLevel="0" collapsed="false">
      <c r="B41" s="117" t="str">
        <f aca="false">IF(الموظفون!$B41="","",الموظفون!$B41)</f>
        <v/>
      </c>
      <c r="C41" s="117" t="str">
        <f aca="false">IF($B41="","",الموظفون!$C41)</f>
        <v/>
      </c>
      <c r="D41" s="117" t="str">
        <f aca="false">IF($B41="","",IF(الموظفون!$U41="نعم","نعم","لا"))</f>
        <v/>
      </c>
      <c r="E41" s="116" t="str">
        <f aca="false">IF($B41="","",N(الموظفون!$V41))</f>
        <v/>
      </c>
      <c r="F41" s="133" t="str">
        <f aca="false">IF($B41="","",N(الموظفون!$W41))</f>
        <v/>
      </c>
      <c r="G41" s="116" t="str">
        <f aca="false">IF($B41="","",IF(AND(D41="نعم",F41&gt;0),E41/F41,0))</f>
        <v/>
      </c>
      <c r="H41" s="175" t="str">
        <f aca="false">IF($B41="","",MAX(cfg_Y_START,الموظفون!$H41))</f>
        <v/>
      </c>
      <c r="I41" s="175" t="str">
        <f aca="false">IF($B41="","",IF(OR(الموظفون!$AE41="",الموظفون!$AE41&gt;cfg_VAL_DATE),cfg_VAL_DATE,الموظفون!$AE41))</f>
        <v/>
      </c>
      <c r="J41" s="133" t="str">
        <f aca="false">IF($B41="","",MAX(0,MAX(0,I41-H41+1)-(SUMIFS('سجل الإجازات والحالات'!$S$6:$S$505,'سجل الإجازات والحالات'!$B$6:$B$505,$B41)-SUMIFS('سجل الإجازات والحالات'!$R$6:$R$505,'سجل الإجازات والحالات'!$B$6:$B$505,$B41))))</f>
        <v/>
      </c>
      <c r="K41" s="116" t="str">
        <f aca="false">IF($B41="","",G41*12/cfg_DAYS_Y*J41)</f>
        <v/>
      </c>
      <c r="L41" s="116" t="str">
        <f aca="false">IF($B41="","",N(الموظفون!$AD41))</f>
        <v/>
      </c>
      <c r="M41" s="116" t="str">
        <f aca="false">IF($B41="","",SUMIFS('الحركات الشهرية'!$M$6:$M$1005,'الحركات الشهرية'!$B$6:$B$1005,B41,'الحركات الشهرية'!$A$6:$A$1005,"&lt;="&amp;cfg_VAL_M))</f>
        <v/>
      </c>
      <c r="N41" s="183" t="str">
        <f aca="false">IF($B41="","",L41+K41-M41)</f>
        <v/>
      </c>
      <c r="O41" s="180" t="str">
        <f aca="false">IF($B41="","",IF(E41&gt;0,N41/E41,0))</f>
        <v/>
      </c>
      <c r="P41" s="117" t="str">
        <f aca="false">IF($B41="","",IF(AND(D41="لا",N41&lt;&gt;0),"⚠ غير مستحق وله رصيد",IF(N41&lt;-0.01,"✖ استخدام أكثر من المكوّن",IF(AND(D41="نعم",O41&gt;=1),"⚠ تذكرة مستحقة للصرف","✔ سليم"))))</f>
        <v/>
      </c>
    </row>
    <row r="42" customFormat="false" ht="15" hidden="false" customHeight="false" outlineLevel="0" collapsed="false">
      <c r="B42" s="114" t="str">
        <f aca="false">IF(الموظفون!$B42="","",الموظفون!$B42)</f>
        <v/>
      </c>
      <c r="C42" s="114" t="str">
        <f aca="false">IF($B42="","",الموظفون!$C42)</f>
        <v/>
      </c>
      <c r="D42" s="114" t="str">
        <f aca="false">IF($B42="","",IF(الموظفون!$U42="نعم","نعم","لا"))</f>
        <v/>
      </c>
      <c r="E42" s="111" t="str">
        <f aca="false">IF($B42="","",N(الموظفون!$V42))</f>
        <v/>
      </c>
      <c r="F42" s="65" t="str">
        <f aca="false">IF($B42="","",N(الموظفون!$W42))</f>
        <v/>
      </c>
      <c r="G42" s="111" t="str">
        <f aca="false">IF($B42="","",IF(AND(D42="نعم",F42&gt;0),E42/F42,0))</f>
        <v/>
      </c>
      <c r="H42" s="174" t="str">
        <f aca="false">IF($B42="","",MAX(cfg_Y_START,الموظفون!$H42))</f>
        <v/>
      </c>
      <c r="I42" s="174" t="str">
        <f aca="false">IF($B42="","",IF(OR(الموظفون!$AE42="",الموظفون!$AE42&gt;cfg_VAL_DATE),cfg_VAL_DATE,الموظفون!$AE42))</f>
        <v/>
      </c>
      <c r="J42" s="65" t="str">
        <f aca="false">IF($B42="","",MAX(0,MAX(0,I42-H42+1)-(SUMIFS('سجل الإجازات والحالات'!$S$6:$S$505,'سجل الإجازات والحالات'!$B$6:$B$505,$B42)-SUMIFS('سجل الإجازات والحالات'!$R$6:$R$505,'سجل الإجازات والحالات'!$B$6:$B$505,$B42))))</f>
        <v/>
      </c>
      <c r="K42" s="111" t="str">
        <f aca="false">IF($B42="","",G42*12/cfg_DAYS_Y*J42)</f>
        <v/>
      </c>
      <c r="L42" s="111" t="str">
        <f aca="false">IF($B42="","",N(الموظفون!$AD42))</f>
        <v/>
      </c>
      <c r="M42" s="111" t="str">
        <f aca="false">IF($B42="","",SUMIFS('الحركات الشهرية'!$M$6:$M$1005,'الحركات الشهرية'!$B$6:$B$1005,B42,'الحركات الشهرية'!$A$6:$A$1005,"&lt;="&amp;cfg_VAL_M))</f>
        <v/>
      </c>
      <c r="N42" s="182" t="str">
        <f aca="false">IF($B42="","",L42+K42-M42)</f>
        <v/>
      </c>
      <c r="O42" s="179" t="str">
        <f aca="false">IF($B42="","",IF(E42&gt;0,N42/E42,0))</f>
        <v/>
      </c>
      <c r="P42" s="114" t="str">
        <f aca="false">IF($B42="","",IF(AND(D42="لا",N42&lt;&gt;0),"⚠ غير مستحق وله رصيد",IF(N42&lt;-0.01,"✖ استخدام أكثر من المكوّن",IF(AND(D42="نعم",O42&gt;=1),"⚠ تذكرة مستحقة للصرف","✔ سليم"))))</f>
        <v/>
      </c>
    </row>
    <row r="43" customFormat="false" ht="15" hidden="false" customHeight="false" outlineLevel="0" collapsed="false">
      <c r="B43" s="117" t="str">
        <f aca="false">IF(الموظفون!$B43="","",الموظفون!$B43)</f>
        <v/>
      </c>
      <c r="C43" s="117" t="str">
        <f aca="false">IF($B43="","",الموظفون!$C43)</f>
        <v/>
      </c>
      <c r="D43" s="117" t="str">
        <f aca="false">IF($B43="","",IF(الموظفون!$U43="نعم","نعم","لا"))</f>
        <v/>
      </c>
      <c r="E43" s="116" t="str">
        <f aca="false">IF($B43="","",N(الموظفون!$V43))</f>
        <v/>
      </c>
      <c r="F43" s="133" t="str">
        <f aca="false">IF($B43="","",N(الموظفون!$W43))</f>
        <v/>
      </c>
      <c r="G43" s="116" t="str">
        <f aca="false">IF($B43="","",IF(AND(D43="نعم",F43&gt;0),E43/F43,0))</f>
        <v/>
      </c>
      <c r="H43" s="175" t="str">
        <f aca="false">IF($B43="","",MAX(cfg_Y_START,الموظفون!$H43))</f>
        <v/>
      </c>
      <c r="I43" s="175" t="str">
        <f aca="false">IF($B43="","",IF(OR(الموظفون!$AE43="",الموظفون!$AE43&gt;cfg_VAL_DATE),cfg_VAL_DATE,الموظفون!$AE43))</f>
        <v/>
      </c>
      <c r="J43" s="133" t="str">
        <f aca="false">IF($B43="","",MAX(0,MAX(0,I43-H43+1)-(SUMIFS('سجل الإجازات والحالات'!$S$6:$S$505,'سجل الإجازات والحالات'!$B$6:$B$505,$B43)-SUMIFS('سجل الإجازات والحالات'!$R$6:$R$505,'سجل الإجازات والحالات'!$B$6:$B$505,$B43))))</f>
        <v/>
      </c>
      <c r="K43" s="116" t="str">
        <f aca="false">IF($B43="","",G43*12/cfg_DAYS_Y*J43)</f>
        <v/>
      </c>
      <c r="L43" s="116" t="str">
        <f aca="false">IF($B43="","",N(الموظفون!$AD43))</f>
        <v/>
      </c>
      <c r="M43" s="116" t="str">
        <f aca="false">IF($B43="","",SUMIFS('الحركات الشهرية'!$M$6:$M$1005,'الحركات الشهرية'!$B$6:$B$1005,B43,'الحركات الشهرية'!$A$6:$A$1005,"&lt;="&amp;cfg_VAL_M))</f>
        <v/>
      </c>
      <c r="N43" s="183" t="str">
        <f aca="false">IF($B43="","",L43+K43-M43)</f>
        <v/>
      </c>
      <c r="O43" s="180" t="str">
        <f aca="false">IF($B43="","",IF(E43&gt;0,N43/E43,0))</f>
        <v/>
      </c>
      <c r="P43" s="117" t="str">
        <f aca="false">IF($B43="","",IF(AND(D43="لا",N43&lt;&gt;0),"⚠ غير مستحق وله رصيد",IF(N43&lt;-0.01,"✖ استخدام أكثر من المكوّن",IF(AND(D43="نعم",O43&gt;=1),"⚠ تذكرة مستحقة للصرف","✔ سليم"))))</f>
        <v/>
      </c>
    </row>
    <row r="44" customFormat="false" ht="15" hidden="false" customHeight="false" outlineLevel="0" collapsed="false">
      <c r="B44" s="114" t="str">
        <f aca="false">IF(الموظفون!$B44="","",الموظفون!$B44)</f>
        <v/>
      </c>
      <c r="C44" s="114" t="str">
        <f aca="false">IF($B44="","",الموظفون!$C44)</f>
        <v/>
      </c>
      <c r="D44" s="114" t="str">
        <f aca="false">IF($B44="","",IF(الموظفون!$U44="نعم","نعم","لا"))</f>
        <v/>
      </c>
      <c r="E44" s="111" t="str">
        <f aca="false">IF($B44="","",N(الموظفون!$V44))</f>
        <v/>
      </c>
      <c r="F44" s="65" t="str">
        <f aca="false">IF($B44="","",N(الموظفون!$W44))</f>
        <v/>
      </c>
      <c r="G44" s="111" t="str">
        <f aca="false">IF($B44="","",IF(AND(D44="نعم",F44&gt;0),E44/F44,0))</f>
        <v/>
      </c>
      <c r="H44" s="174" t="str">
        <f aca="false">IF($B44="","",MAX(cfg_Y_START,الموظفون!$H44))</f>
        <v/>
      </c>
      <c r="I44" s="174" t="str">
        <f aca="false">IF($B44="","",IF(OR(الموظفون!$AE44="",الموظفون!$AE44&gt;cfg_VAL_DATE),cfg_VAL_DATE,الموظفون!$AE44))</f>
        <v/>
      </c>
      <c r="J44" s="65" t="str">
        <f aca="false">IF($B44="","",MAX(0,MAX(0,I44-H44+1)-(SUMIFS('سجل الإجازات والحالات'!$S$6:$S$505,'سجل الإجازات والحالات'!$B$6:$B$505,$B44)-SUMIFS('سجل الإجازات والحالات'!$R$6:$R$505,'سجل الإجازات والحالات'!$B$6:$B$505,$B44))))</f>
        <v/>
      </c>
      <c r="K44" s="111" t="str">
        <f aca="false">IF($B44="","",G44*12/cfg_DAYS_Y*J44)</f>
        <v/>
      </c>
      <c r="L44" s="111" t="str">
        <f aca="false">IF($B44="","",N(الموظفون!$AD44))</f>
        <v/>
      </c>
      <c r="M44" s="111" t="str">
        <f aca="false">IF($B44="","",SUMIFS('الحركات الشهرية'!$M$6:$M$1005,'الحركات الشهرية'!$B$6:$B$1005,B44,'الحركات الشهرية'!$A$6:$A$1005,"&lt;="&amp;cfg_VAL_M))</f>
        <v/>
      </c>
      <c r="N44" s="182" t="str">
        <f aca="false">IF($B44="","",L44+K44-M44)</f>
        <v/>
      </c>
      <c r="O44" s="179" t="str">
        <f aca="false">IF($B44="","",IF(E44&gt;0,N44/E44,0))</f>
        <v/>
      </c>
      <c r="P44" s="114" t="str">
        <f aca="false">IF($B44="","",IF(AND(D44="لا",N44&lt;&gt;0),"⚠ غير مستحق وله رصيد",IF(N44&lt;-0.01,"✖ استخدام أكثر من المكوّن",IF(AND(D44="نعم",O44&gt;=1),"⚠ تذكرة مستحقة للصرف","✔ سليم"))))</f>
        <v/>
      </c>
    </row>
    <row r="45" customFormat="false" ht="15" hidden="false" customHeight="false" outlineLevel="0" collapsed="false">
      <c r="B45" s="117" t="str">
        <f aca="false">IF(الموظفون!$B45="","",الموظفون!$B45)</f>
        <v/>
      </c>
      <c r="C45" s="117" t="str">
        <f aca="false">IF($B45="","",الموظفون!$C45)</f>
        <v/>
      </c>
      <c r="D45" s="117" t="str">
        <f aca="false">IF($B45="","",IF(الموظفون!$U45="نعم","نعم","لا"))</f>
        <v/>
      </c>
      <c r="E45" s="116" t="str">
        <f aca="false">IF($B45="","",N(الموظفون!$V45))</f>
        <v/>
      </c>
      <c r="F45" s="133" t="str">
        <f aca="false">IF($B45="","",N(الموظفون!$W45))</f>
        <v/>
      </c>
      <c r="G45" s="116" t="str">
        <f aca="false">IF($B45="","",IF(AND(D45="نعم",F45&gt;0),E45/F45,0))</f>
        <v/>
      </c>
      <c r="H45" s="175" t="str">
        <f aca="false">IF($B45="","",MAX(cfg_Y_START,الموظفون!$H45))</f>
        <v/>
      </c>
      <c r="I45" s="175" t="str">
        <f aca="false">IF($B45="","",IF(OR(الموظفون!$AE45="",الموظفون!$AE45&gt;cfg_VAL_DATE),cfg_VAL_DATE,الموظفون!$AE45))</f>
        <v/>
      </c>
      <c r="J45" s="133" t="str">
        <f aca="false">IF($B45="","",MAX(0,MAX(0,I45-H45+1)-(SUMIFS('سجل الإجازات والحالات'!$S$6:$S$505,'سجل الإجازات والحالات'!$B$6:$B$505,$B45)-SUMIFS('سجل الإجازات والحالات'!$R$6:$R$505,'سجل الإجازات والحالات'!$B$6:$B$505,$B45))))</f>
        <v/>
      </c>
      <c r="K45" s="116" t="str">
        <f aca="false">IF($B45="","",G45*12/cfg_DAYS_Y*J45)</f>
        <v/>
      </c>
      <c r="L45" s="116" t="str">
        <f aca="false">IF($B45="","",N(الموظفون!$AD45))</f>
        <v/>
      </c>
      <c r="M45" s="116" t="str">
        <f aca="false">IF($B45="","",SUMIFS('الحركات الشهرية'!$M$6:$M$1005,'الحركات الشهرية'!$B$6:$B$1005,B45,'الحركات الشهرية'!$A$6:$A$1005,"&lt;="&amp;cfg_VAL_M))</f>
        <v/>
      </c>
      <c r="N45" s="183" t="str">
        <f aca="false">IF($B45="","",L45+K45-M45)</f>
        <v/>
      </c>
      <c r="O45" s="180" t="str">
        <f aca="false">IF($B45="","",IF(E45&gt;0,N45/E45,0))</f>
        <v/>
      </c>
      <c r="P45" s="117" t="str">
        <f aca="false">IF($B45="","",IF(AND(D45="لا",N45&lt;&gt;0),"⚠ غير مستحق وله رصيد",IF(N45&lt;-0.01,"✖ استخدام أكثر من المكوّن",IF(AND(D45="نعم",O45&gt;=1),"⚠ تذكرة مستحقة للصرف","✔ سليم"))))</f>
        <v/>
      </c>
    </row>
    <row r="46" customFormat="false" ht="15" hidden="false" customHeight="false" outlineLevel="0" collapsed="false">
      <c r="B46" s="114" t="str">
        <f aca="false">IF(الموظفون!$B46="","",الموظفون!$B46)</f>
        <v/>
      </c>
      <c r="C46" s="114" t="str">
        <f aca="false">IF($B46="","",الموظفون!$C46)</f>
        <v/>
      </c>
      <c r="D46" s="114" t="str">
        <f aca="false">IF($B46="","",IF(الموظفون!$U46="نعم","نعم","لا"))</f>
        <v/>
      </c>
      <c r="E46" s="111" t="str">
        <f aca="false">IF($B46="","",N(الموظفون!$V46))</f>
        <v/>
      </c>
      <c r="F46" s="65" t="str">
        <f aca="false">IF($B46="","",N(الموظفون!$W46))</f>
        <v/>
      </c>
      <c r="G46" s="111" t="str">
        <f aca="false">IF($B46="","",IF(AND(D46="نعم",F46&gt;0),E46/F46,0))</f>
        <v/>
      </c>
      <c r="H46" s="174" t="str">
        <f aca="false">IF($B46="","",MAX(cfg_Y_START,الموظفون!$H46))</f>
        <v/>
      </c>
      <c r="I46" s="174" t="str">
        <f aca="false">IF($B46="","",IF(OR(الموظفون!$AE46="",الموظفون!$AE46&gt;cfg_VAL_DATE),cfg_VAL_DATE,الموظفون!$AE46))</f>
        <v/>
      </c>
      <c r="J46" s="65" t="str">
        <f aca="false">IF($B46="","",MAX(0,MAX(0,I46-H46+1)-(SUMIFS('سجل الإجازات والحالات'!$S$6:$S$505,'سجل الإجازات والحالات'!$B$6:$B$505,$B46)-SUMIFS('سجل الإجازات والحالات'!$R$6:$R$505,'سجل الإجازات والحالات'!$B$6:$B$505,$B46))))</f>
        <v/>
      </c>
      <c r="K46" s="111" t="str">
        <f aca="false">IF($B46="","",G46*12/cfg_DAYS_Y*J46)</f>
        <v/>
      </c>
      <c r="L46" s="111" t="str">
        <f aca="false">IF($B46="","",N(الموظفون!$AD46))</f>
        <v/>
      </c>
      <c r="M46" s="111" t="str">
        <f aca="false">IF($B46="","",SUMIFS('الحركات الشهرية'!$M$6:$M$1005,'الحركات الشهرية'!$B$6:$B$1005,B46,'الحركات الشهرية'!$A$6:$A$1005,"&lt;="&amp;cfg_VAL_M))</f>
        <v/>
      </c>
      <c r="N46" s="182" t="str">
        <f aca="false">IF($B46="","",L46+K46-M46)</f>
        <v/>
      </c>
      <c r="O46" s="179" t="str">
        <f aca="false">IF($B46="","",IF(E46&gt;0,N46/E46,0))</f>
        <v/>
      </c>
      <c r="P46" s="114" t="str">
        <f aca="false">IF($B46="","",IF(AND(D46="لا",N46&lt;&gt;0),"⚠ غير مستحق وله رصيد",IF(N46&lt;-0.01,"✖ استخدام أكثر من المكوّن",IF(AND(D46="نعم",O46&gt;=1),"⚠ تذكرة مستحقة للصرف","✔ سليم"))))</f>
        <v/>
      </c>
    </row>
    <row r="47" customFormat="false" ht="15" hidden="false" customHeight="false" outlineLevel="0" collapsed="false">
      <c r="B47" s="117" t="str">
        <f aca="false">IF(الموظفون!$B47="","",الموظفون!$B47)</f>
        <v/>
      </c>
      <c r="C47" s="117" t="str">
        <f aca="false">IF($B47="","",الموظفون!$C47)</f>
        <v/>
      </c>
      <c r="D47" s="117" t="str">
        <f aca="false">IF($B47="","",IF(الموظفون!$U47="نعم","نعم","لا"))</f>
        <v/>
      </c>
      <c r="E47" s="116" t="str">
        <f aca="false">IF($B47="","",N(الموظفون!$V47))</f>
        <v/>
      </c>
      <c r="F47" s="133" t="str">
        <f aca="false">IF($B47="","",N(الموظفون!$W47))</f>
        <v/>
      </c>
      <c r="G47" s="116" t="str">
        <f aca="false">IF($B47="","",IF(AND(D47="نعم",F47&gt;0),E47/F47,0))</f>
        <v/>
      </c>
      <c r="H47" s="175" t="str">
        <f aca="false">IF($B47="","",MAX(cfg_Y_START,الموظفون!$H47))</f>
        <v/>
      </c>
      <c r="I47" s="175" t="str">
        <f aca="false">IF($B47="","",IF(OR(الموظفون!$AE47="",الموظفون!$AE47&gt;cfg_VAL_DATE),cfg_VAL_DATE,الموظفون!$AE47))</f>
        <v/>
      </c>
      <c r="J47" s="133" t="str">
        <f aca="false">IF($B47="","",MAX(0,MAX(0,I47-H47+1)-(SUMIFS('سجل الإجازات والحالات'!$S$6:$S$505,'سجل الإجازات والحالات'!$B$6:$B$505,$B47)-SUMIFS('سجل الإجازات والحالات'!$R$6:$R$505,'سجل الإجازات والحالات'!$B$6:$B$505,$B47))))</f>
        <v/>
      </c>
      <c r="K47" s="116" t="str">
        <f aca="false">IF($B47="","",G47*12/cfg_DAYS_Y*J47)</f>
        <v/>
      </c>
      <c r="L47" s="116" t="str">
        <f aca="false">IF($B47="","",N(الموظفون!$AD47))</f>
        <v/>
      </c>
      <c r="M47" s="116" t="str">
        <f aca="false">IF($B47="","",SUMIFS('الحركات الشهرية'!$M$6:$M$1005,'الحركات الشهرية'!$B$6:$B$1005,B47,'الحركات الشهرية'!$A$6:$A$1005,"&lt;="&amp;cfg_VAL_M))</f>
        <v/>
      </c>
      <c r="N47" s="183" t="str">
        <f aca="false">IF($B47="","",L47+K47-M47)</f>
        <v/>
      </c>
      <c r="O47" s="180" t="str">
        <f aca="false">IF($B47="","",IF(E47&gt;0,N47/E47,0))</f>
        <v/>
      </c>
      <c r="P47" s="117" t="str">
        <f aca="false">IF($B47="","",IF(AND(D47="لا",N47&lt;&gt;0),"⚠ غير مستحق وله رصيد",IF(N47&lt;-0.01,"✖ استخدام أكثر من المكوّن",IF(AND(D47="نعم",O47&gt;=1),"⚠ تذكرة مستحقة للصرف","✔ سليم"))))</f>
        <v/>
      </c>
    </row>
    <row r="48" customFormat="false" ht="15" hidden="false" customHeight="false" outlineLevel="0" collapsed="false">
      <c r="B48" s="114" t="str">
        <f aca="false">IF(الموظفون!$B48="","",الموظفون!$B48)</f>
        <v/>
      </c>
      <c r="C48" s="114" t="str">
        <f aca="false">IF($B48="","",الموظفون!$C48)</f>
        <v/>
      </c>
      <c r="D48" s="114" t="str">
        <f aca="false">IF($B48="","",IF(الموظفون!$U48="نعم","نعم","لا"))</f>
        <v/>
      </c>
      <c r="E48" s="111" t="str">
        <f aca="false">IF($B48="","",N(الموظفون!$V48))</f>
        <v/>
      </c>
      <c r="F48" s="65" t="str">
        <f aca="false">IF($B48="","",N(الموظفون!$W48))</f>
        <v/>
      </c>
      <c r="G48" s="111" t="str">
        <f aca="false">IF($B48="","",IF(AND(D48="نعم",F48&gt;0),E48/F48,0))</f>
        <v/>
      </c>
      <c r="H48" s="174" t="str">
        <f aca="false">IF($B48="","",MAX(cfg_Y_START,الموظفون!$H48))</f>
        <v/>
      </c>
      <c r="I48" s="174" t="str">
        <f aca="false">IF($B48="","",IF(OR(الموظفون!$AE48="",الموظفون!$AE48&gt;cfg_VAL_DATE),cfg_VAL_DATE,الموظفون!$AE48))</f>
        <v/>
      </c>
      <c r="J48" s="65" t="str">
        <f aca="false">IF($B48="","",MAX(0,MAX(0,I48-H48+1)-(SUMIFS('سجل الإجازات والحالات'!$S$6:$S$505,'سجل الإجازات والحالات'!$B$6:$B$505,$B48)-SUMIFS('سجل الإجازات والحالات'!$R$6:$R$505,'سجل الإجازات والحالات'!$B$6:$B$505,$B48))))</f>
        <v/>
      </c>
      <c r="K48" s="111" t="str">
        <f aca="false">IF($B48="","",G48*12/cfg_DAYS_Y*J48)</f>
        <v/>
      </c>
      <c r="L48" s="111" t="str">
        <f aca="false">IF($B48="","",N(الموظفون!$AD48))</f>
        <v/>
      </c>
      <c r="M48" s="111" t="str">
        <f aca="false">IF($B48="","",SUMIFS('الحركات الشهرية'!$M$6:$M$1005,'الحركات الشهرية'!$B$6:$B$1005,B48,'الحركات الشهرية'!$A$6:$A$1005,"&lt;="&amp;cfg_VAL_M))</f>
        <v/>
      </c>
      <c r="N48" s="182" t="str">
        <f aca="false">IF($B48="","",L48+K48-M48)</f>
        <v/>
      </c>
      <c r="O48" s="179" t="str">
        <f aca="false">IF($B48="","",IF(E48&gt;0,N48/E48,0))</f>
        <v/>
      </c>
      <c r="P48" s="114" t="str">
        <f aca="false">IF($B48="","",IF(AND(D48="لا",N48&lt;&gt;0),"⚠ غير مستحق وله رصيد",IF(N48&lt;-0.01,"✖ استخدام أكثر من المكوّن",IF(AND(D48="نعم",O48&gt;=1),"⚠ تذكرة مستحقة للصرف","✔ سليم"))))</f>
        <v/>
      </c>
    </row>
    <row r="49" customFormat="false" ht="15" hidden="false" customHeight="false" outlineLevel="0" collapsed="false">
      <c r="B49" s="117" t="str">
        <f aca="false">IF(الموظفون!$B49="","",الموظفون!$B49)</f>
        <v/>
      </c>
      <c r="C49" s="117" t="str">
        <f aca="false">IF($B49="","",الموظفون!$C49)</f>
        <v/>
      </c>
      <c r="D49" s="117" t="str">
        <f aca="false">IF($B49="","",IF(الموظفون!$U49="نعم","نعم","لا"))</f>
        <v/>
      </c>
      <c r="E49" s="116" t="str">
        <f aca="false">IF($B49="","",N(الموظفون!$V49))</f>
        <v/>
      </c>
      <c r="F49" s="133" t="str">
        <f aca="false">IF($B49="","",N(الموظفون!$W49))</f>
        <v/>
      </c>
      <c r="G49" s="116" t="str">
        <f aca="false">IF($B49="","",IF(AND(D49="نعم",F49&gt;0),E49/F49,0))</f>
        <v/>
      </c>
      <c r="H49" s="175" t="str">
        <f aca="false">IF($B49="","",MAX(cfg_Y_START,الموظفون!$H49))</f>
        <v/>
      </c>
      <c r="I49" s="175" t="str">
        <f aca="false">IF($B49="","",IF(OR(الموظفون!$AE49="",الموظفون!$AE49&gt;cfg_VAL_DATE),cfg_VAL_DATE,الموظفون!$AE49))</f>
        <v/>
      </c>
      <c r="J49" s="133" t="str">
        <f aca="false">IF($B49="","",MAX(0,MAX(0,I49-H49+1)-(SUMIFS('سجل الإجازات والحالات'!$S$6:$S$505,'سجل الإجازات والحالات'!$B$6:$B$505,$B49)-SUMIFS('سجل الإجازات والحالات'!$R$6:$R$505,'سجل الإجازات والحالات'!$B$6:$B$505,$B49))))</f>
        <v/>
      </c>
      <c r="K49" s="116" t="str">
        <f aca="false">IF($B49="","",G49*12/cfg_DAYS_Y*J49)</f>
        <v/>
      </c>
      <c r="L49" s="116" t="str">
        <f aca="false">IF($B49="","",N(الموظفون!$AD49))</f>
        <v/>
      </c>
      <c r="M49" s="116" t="str">
        <f aca="false">IF($B49="","",SUMIFS('الحركات الشهرية'!$M$6:$M$1005,'الحركات الشهرية'!$B$6:$B$1005,B49,'الحركات الشهرية'!$A$6:$A$1005,"&lt;="&amp;cfg_VAL_M))</f>
        <v/>
      </c>
      <c r="N49" s="183" t="str">
        <f aca="false">IF($B49="","",L49+K49-M49)</f>
        <v/>
      </c>
      <c r="O49" s="180" t="str">
        <f aca="false">IF($B49="","",IF(E49&gt;0,N49/E49,0))</f>
        <v/>
      </c>
      <c r="P49" s="117" t="str">
        <f aca="false">IF($B49="","",IF(AND(D49="لا",N49&lt;&gt;0),"⚠ غير مستحق وله رصيد",IF(N49&lt;-0.01,"✖ استخدام أكثر من المكوّن",IF(AND(D49="نعم",O49&gt;=1),"⚠ تذكرة مستحقة للصرف","✔ سليم"))))</f>
        <v/>
      </c>
    </row>
    <row r="50" customFormat="false" ht="15" hidden="false" customHeight="false" outlineLevel="0" collapsed="false">
      <c r="B50" s="114" t="str">
        <f aca="false">IF(الموظفون!$B50="","",الموظفون!$B50)</f>
        <v/>
      </c>
      <c r="C50" s="114" t="str">
        <f aca="false">IF($B50="","",الموظفون!$C50)</f>
        <v/>
      </c>
      <c r="D50" s="114" t="str">
        <f aca="false">IF($B50="","",IF(الموظفون!$U50="نعم","نعم","لا"))</f>
        <v/>
      </c>
      <c r="E50" s="111" t="str">
        <f aca="false">IF($B50="","",N(الموظفون!$V50))</f>
        <v/>
      </c>
      <c r="F50" s="65" t="str">
        <f aca="false">IF($B50="","",N(الموظفون!$W50))</f>
        <v/>
      </c>
      <c r="G50" s="111" t="str">
        <f aca="false">IF($B50="","",IF(AND(D50="نعم",F50&gt;0),E50/F50,0))</f>
        <v/>
      </c>
      <c r="H50" s="174" t="str">
        <f aca="false">IF($B50="","",MAX(cfg_Y_START,الموظفون!$H50))</f>
        <v/>
      </c>
      <c r="I50" s="174" t="str">
        <f aca="false">IF($B50="","",IF(OR(الموظفون!$AE50="",الموظفون!$AE50&gt;cfg_VAL_DATE),cfg_VAL_DATE,الموظفون!$AE50))</f>
        <v/>
      </c>
      <c r="J50" s="65" t="str">
        <f aca="false">IF($B50="","",MAX(0,MAX(0,I50-H50+1)-(SUMIFS('سجل الإجازات والحالات'!$S$6:$S$505,'سجل الإجازات والحالات'!$B$6:$B$505,$B50)-SUMIFS('سجل الإجازات والحالات'!$R$6:$R$505,'سجل الإجازات والحالات'!$B$6:$B$505,$B50))))</f>
        <v/>
      </c>
      <c r="K50" s="111" t="str">
        <f aca="false">IF($B50="","",G50*12/cfg_DAYS_Y*J50)</f>
        <v/>
      </c>
      <c r="L50" s="111" t="str">
        <f aca="false">IF($B50="","",N(الموظفون!$AD50))</f>
        <v/>
      </c>
      <c r="M50" s="111" t="str">
        <f aca="false">IF($B50="","",SUMIFS('الحركات الشهرية'!$M$6:$M$1005,'الحركات الشهرية'!$B$6:$B$1005,B50,'الحركات الشهرية'!$A$6:$A$1005,"&lt;="&amp;cfg_VAL_M))</f>
        <v/>
      </c>
      <c r="N50" s="182" t="str">
        <f aca="false">IF($B50="","",L50+K50-M50)</f>
        <v/>
      </c>
      <c r="O50" s="179" t="str">
        <f aca="false">IF($B50="","",IF(E50&gt;0,N50/E50,0))</f>
        <v/>
      </c>
      <c r="P50" s="114" t="str">
        <f aca="false">IF($B50="","",IF(AND(D50="لا",N50&lt;&gt;0),"⚠ غير مستحق وله رصيد",IF(N50&lt;-0.01,"✖ استخدام أكثر من المكوّن",IF(AND(D50="نعم",O50&gt;=1),"⚠ تذكرة مستحقة للصرف","✔ سليم"))))</f>
        <v/>
      </c>
    </row>
    <row r="51" customFormat="false" ht="15" hidden="false" customHeight="false" outlineLevel="0" collapsed="false">
      <c r="B51" s="117" t="str">
        <f aca="false">IF(الموظفون!$B51="","",الموظفون!$B51)</f>
        <v/>
      </c>
      <c r="C51" s="117" t="str">
        <f aca="false">IF($B51="","",الموظفون!$C51)</f>
        <v/>
      </c>
      <c r="D51" s="117" t="str">
        <f aca="false">IF($B51="","",IF(الموظفون!$U51="نعم","نعم","لا"))</f>
        <v/>
      </c>
      <c r="E51" s="116" t="str">
        <f aca="false">IF($B51="","",N(الموظفون!$V51))</f>
        <v/>
      </c>
      <c r="F51" s="133" t="str">
        <f aca="false">IF($B51="","",N(الموظفون!$W51))</f>
        <v/>
      </c>
      <c r="G51" s="116" t="str">
        <f aca="false">IF($B51="","",IF(AND(D51="نعم",F51&gt;0),E51/F51,0))</f>
        <v/>
      </c>
      <c r="H51" s="175" t="str">
        <f aca="false">IF($B51="","",MAX(cfg_Y_START,الموظفون!$H51))</f>
        <v/>
      </c>
      <c r="I51" s="175" t="str">
        <f aca="false">IF($B51="","",IF(OR(الموظفون!$AE51="",الموظفون!$AE51&gt;cfg_VAL_DATE),cfg_VAL_DATE,الموظفون!$AE51))</f>
        <v/>
      </c>
      <c r="J51" s="133" t="str">
        <f aca="false">IF($B51="","",MAX(0,MAX(0,I51-H51+1)-(SUMIFS('سجل الإجازات والحالات'!$S$6:$S$505,'سجل الإجازات والحالات'!$B$6:$B$505,$B51)-SUMIFS('سجل الإجازات والحالات'!$R$6:$R$505,'سجل الإجازات والحالات'!$B$6:$B$505,$B51))))</f>
        <v/>
      </c>
      <c r="K51" s="116" t="str">
        <f aca="false">IF($B51="","",G51*12/cfg_DAYS_Y*J51)</f>
        <v/>
      </c>
      <c r="L51" s="116" t="str">
        <f aca="false">IF($B51="","",N(الموظفون!$AD51))</f>
        <v/>
      </c>
      <c r="M51" s="116" t="str">
        <f aca="false">IF($B51="","",SUMIFS('الحركات الشهرية'!$M$6:$M$1005,'الحركات الشهرية'!$B$6:$B$1005,B51,'الحركات الشهرية'!$A$6:$A$1005,"&lt;="&amp;cfg_VAL_M))</f>
        <v/>
      </c>
      <c r="N51" s="183" t="str">
        <f aca="false">IF($B51="","",L51+K51-M51)</f>
        <v/>
      </c>
      <c r="O51" s="180" t="str">
        <f aca="false">IF($B51="","",IF(E51&gt;0,N51/E51,0))</f>
        <v/>
      </c>
      <c r="P51" s="117" t="str">
        <f aca="false">IF($B51="","",IF(AND(D51="لا",N51&lt;&gt;0),"⚠ غير مستحق وله رصيد",IF(N51&lt;-0.01,"✖ استخدام أكثر من المكوّن",IF(AND(D51="نعم",O51&gt;=1),"⚠ تذكرة مستحقة للصرف","✔ سليم"))))</f>
        <v/>
      </c>
    </row>
    <row r="52" customFormat="false" ht="15" hidden="false" customHeight="false" outlineLevel="0" collapsed="false">
      <c r="B52" s="114" t="str">
        <f aca="false">IF(الموظفون!$B52="","",الموظفون!$B52)</f>
        <v/>
      </c>
      <c r="C52" s="114" t="str">
        <f aca="false">IF($B52="","",الموظفون!$C52)</f>
        <v/>
      </c>
      <c r="D52" s="114" t="str">
        <f aca="false">IF($B52="","",IF(الموظفون!$U52="نعم","نعم","لا"))</f>
        <v/>
      </c>
      <c r="E52" s="111" t="str">
        <f aca="false">IF($B52="","",N(الموظفون!$V52))</f>
        <v/>
      </c>
      <c r="F52" s="65" t="str">
        <f aca="false">IF($B52="","",N(الموظفون!$W52))</f>
        <v/>
      </c>
      <c r="G52" s="111" t="str">
        <f aca="false">IF($B52="","",IF(AND(D52="نعم",F52&gt;0),E52/F52,0))</f>
        <v/>
      </c>
      <c r="H52" s="174" t="str">
        <f aca="false">IF($B52="","",MAX(cfg_Y_START,الموظفون!$H52))</f>
        <v/>
      </c>
      <c r="I52" s="174" t="str">
        <f aca="false">IF($B52="","",IF(OR(الموظفون!$AE52="",الموظفون!$AE52&gt;cfg_VAL_DATE),cfg_VAL_DATE,الموظفون!$AE52))</f>
        <v/>
      </c>
      <c r="J52" s="65" t="str">
        <f aca="false">IF($B52="","",MAX(0,MAX(0,I52-H52+1)-(SUMIFS('سجل الإجازات والحالات'!$S$6:$S$505,'سجل الإجازات والحالات'!$B$6:$B$505,$B52)-SUMIFS('سجل الإجازات والحالات'!$R$6:$R$505,'سجل الإجازات والحالات'!$B$6:$B$505,$B52))))</f>
        <v/>
      </c>
      <c r="K52" s="111" t="str">
        <f aca="false">IF($B52="","",G52*12/cfg_DAYS_Y*J52)</f>
        <v/>
      </c>
      <c r="L52" s="111" t="str">
        <f aca="false">IF($B52="","",N(الموظفون!$AD52))</f>
        <v/>
      </c>
      <c r="M52" s="111" t="str">
        <f aca="false">IF($B52="","",SUMIFS('الحركات الشهرية'!$M$6:$M$1005,'الحركات الشهرية'!$B$6:$B$1005,B52,'الحركات الشهرية'!$A$6:$A$1005,"&lt;="&amp;cfg_VAL_M))</f>
        <v/>
      </c>
      <c r="N52" s="182" t="str">
        <f aca="false">IF($B52="","",L52+K52-M52)</f>
        <v/>
      </c>
      <c r="O52" s="179" t="str">
        <f aca="false">IF($B52="","",IF(E52&gt;0,N52/E52,0))</f>
        <v/>
      </c>
      <c r="P52" s="114" t="str">
        <f aca="false">IF($B52="","",IF(AND(D52="لا",N52&lt;&gt;0),"⚠ غير مستحق وله رصيد",IF(N52&lt;-0.01,"✖ استخدام أكثر من المكوّن",IF(AND(D52="نعم",O52&gt;=1),"⚠ تذكرة مستحقة للصرف","✔ سليم"))))</f>
        <v/>
      </c>
    </row>
    <row r="53" customFormat="false" ht="15" hidden="false" customHeight="false" outlineLevel="0" collapsed="false">
      <c r="B53" s="117" t="str">
        <f aca="false">IF(الموظفون!$B53="","",الموظفون!$B53)</f>
        <v/>
      </c>
      <c r="C53" s="117" t="str">
        <f aca="false">IF($B53="","",الموظفون!$C53)</f>
        <v/>
      </c>
      <c r="D53" s="117" t="str">
        <f aca="false">IF($B53="","",IF(الموظفون!$U53="نعم","نعم","لا"))</f>
        <v/>
      </c>
      <c r="E53" s="116" t="str">
        <f aca="false">IF($B53="","",N(الموظفون!$V53))</f>
        <v/>
      </c>
      <c r="F53" s="133" t="str">
        <f aca="false">IF($B53="","",N(الموظفون!$W53))</f>
        <v/>
      </c>
      <c r="G53" s="116" t="str">
        <f aca="false">IF($B53="","",IF(AND(D53="نعم",F53&gt;0),E53/F53,0))</f>
        <v/>
      </c>
      <c r="H53" s="175" t="str">
        <f aca="false">IF($B53="","",MAX(cfg_Y_START,الموظفون!$H53))</f>
        <v/>
      </c>
      <c r="I53" s="175" t="str">
        <f aca="false">IF($B53="","",IF(OR(الموظفون!$AE53="",الموظفون!$AE53&gt;cfg_VAL_DATE),cfg_VAL_DATE,الموظفون!$AE53))</f>
        <v/>
      </c>
      <c r="J53" s="133" t="str">
        <f aca="false">IF($B53="","",MAX(0,MAX(0,I53-H53+1)-(SUMIFS('سجل الإجازات والحالات'!$S$6:$S$505,'سجل الإجازات والحالات'!$B$6:$B$505,$B53)-SUMIFS('سجل الإجازات والحالات'!$R$6:$R$505,'سجل الإجازات والحالات'!$B$6:$B$505,$B53))))</f>
        <v/>
      </c>
      <c r="K53" s="116" t="str">
        <f aca="false">IF($B53="","",G53*12/cfg_DAYS_Y*J53)</f>
        <v/>
      </c>
      <c r="L53" s="116" t="str">
        <f aca="false">IF($B53="","",N(الموظفون!$AD53))</f>
        <v/>
      </c>
      <c r="M53" s="116" t="str">
        <f aca="false">IF($B53="","",SUMIFS('الحركات الشهرية'!$M$6:$M$1005,'الحركات الشهرية'!$B$6:$B$1005,B53,'الحركات الشهرية'!$A$6:$A$1005,"&lt;="&amp;cfg_VAL_M))</f>
        <v/>
      </c>
      <c r="N53" s="183" t="str">
        <f aca="false">IF($B53="","",L53+K53-M53)</f>
        <v/>
      </c>
      <c r="O53" s="180" t="str">
        <f aca="false">IF($B53="","",IF(E53&gt;0,N53/E53,0))</f>
        <v/>
      </c>
      <c r="P53" s="117" t="str">
        <f aca="false">IF($B53="","",IF(AND(D53="لا",N53&lt;&gt;0),"⚠ غير مستحق وله رصيد",IF(N53&lt;-0.01,"✖ استخدام أكثر من المكوّن",IF(AND(D53="نعم",O53&gt;=1),"⚠ تذكرة مستحقة للصرف","✔ سليم"))))</f>
        <v/>
      </c>
    </row>
    <row r="54" customFormat="false" ht="15" hidden="false" customHeight="false" outlineLevel="0" collapsed="false">
      <c r="B54" s="114" t="str">
        <f aca="false">IF(الموظفون!$B54="","",الموظفون!$B54)</f>
        <v/>
      </c>
      <c r="C54" s="114" t="str">
        <f aca="false">IF($B54="","",الموظفون!$C54)</f>
        <v/>
      </c>
      <c r="D54" s="114" t="str">
        <f aca="false">IF($B54="","",IF(الموظفون!$U54="نعم","نعم","لا"))</f>
        <v/>
      </c>
      <c r="E54" s="111" t="str">
        <f aca="false">IF($B54="","",N(الموظفون!$V54))</f>
        <v/>
      </c>
      <c r="F54" s="65" t="str">
        <f aca="false">IF($B54="","",N(الموظفون!$W54))</f>
        <v/>
      </c>
      <c r="G54" s="111" t="str">
        <f aca="false">IF($B54="","",IF(AND(D54="نعم",F54&gt;0),E54/F54,0))</f>
        <v/>
      </c>
      <c r="H54" s="174" t="str">
        <f aca="false">IF($B54="","",MAX(cfg_Y_START,الموظفون!$H54))</f>
        <v/>
      </c>
      <c r="I54" s="174" t="str">
        <f aca="false">IF($B54="","",IF(OR(الموظفون!$AE54="",الموظفون!$AE54&gt;cfg_VAL_DATE),cfg_VAL_DATE,الموظفون!$AE54))</f>
        <v/>
      </c>
      <c r="J54" s="65" t="str">
        <f aca="false">IF($B54="","",MAX(0,MAX(0,I54-H54+1)-(SUMIFS('سجل الإجازات والحالات'!$S$6:$S$505,'سجل الإجازات والحالات'!$B$6:$B$505,$B54)-SUMIFS('سجل الإجازات والحالات'!$R$6:$R$505,'سجل الإجازات والحالات'!$B$6:$B$505,$B54))))</f>
        <v/>
      </c>
      <c r="K54" s="111" t="str">
        <f aca="false">IF($B54="","",G54*12/cfg_DAYS_Y*J54)</f>
        <v/>
      </c>
      <c r="L54" s="111" t="str">
        <f aca="false">IF($B54="","",N(الموظفون!$AD54))</f>
        <v/>
      </c>
      <c r="M54" s="111" t="str">
        <f aca="false">IF($B54="","",SUMIFS('الحركات الشهرية'!$M$6:$M$1005,'الحركات الشهرية'!$B$6:$B$1005,B54,'الحركات الشهرية'!$A$6:$A$1005,"&lt;="&amp;cfg_VAL_M))</f>
        <v/>
      </c>
      <c r="N54" s="182" t="str">
        <f aca="false">IF($B54="","",L54+K54-M54)</f>
        <v/>
      </c>
      <c r="O54" s="179" t="str">
        <f aca="false">IF($B54="","",IF(E54&gt;0,N54/E54,0))</f>
        <v/>
      </c>
      <c r="P54" s="114" t="str">
        <f aca="false">IF($B54="","",IF(AND(D54="لا",N54&lt;&gt;0),"⚠ غير مستحق وله رصيد",IF(N54&lt;-0.01,"✖ استخدام أكثر من المكوّن",IF(AND(D54="نعم",O54&gt;=1),"⚠ تذكرة مستحقة للصرف","✔ سليم"))))</f>
        <v/>
      </c>
    </row>
    <row r="55" customFormat="false" ht="15" hidden="false" customHeight="false" outlineLevel="0" collapsed="false">
      <c r="B55" s="117" t="str">
        <f aca="false">IF(الموظفون!$B55="","",الموظفون!$B55)</f>
        <v/>
      </c>
      <c r="C55" s="117" t="str">
        <f aca="false">IF($B55="","",الموظفون!$C55)</f>
        <v/>
      </c>
      <c r="D55" s="117" t="str">
        <f aca="false">IF($B55="","",IF(الموظفون!$U55="نعم","نعم","لا"))</f>
        <v/>
      </c>
      <c r="E55" s="116" t="str">
        <f aca="false">IF($B55="","",N(الموظفون!$V55))</f>
        <v/>
      </c>
      <c r="F55" s="133" t="str">
        <f aca="false">IF($B55="","",N(الموظفون!$W55))</f>
        <v/>
      </c>
      <c r="G55" s="116" t="str">
        <f aca="false">IF($B55="","",IF(AND(D55="نعم",F55&gt;0),E55/F55,0))</f>
        <v/>
      </c>
      <c r="H55" s="175" t="str">
        <f aca="false">IF($B55="","",MAX(cfg_Y_START,الموظفون!$H55))</f>
        <v/>
      </c>
      <c r="I55" s="175" t="str">
        <f aca="false">IF($B55="","",IF(OR(الموظفون!$AE55="",الموظفون!$AE55&gt;cfg_VAL_DATE),cfg_VAL_DATE,الموظفون!$AE55))</f>
        <v/>
      </c>
      <c r="J55" s="133" t="str">
        <f aca="false">IF($B55="","",MAX(0,MAX(0,I55-H55+1)-(SUMIFS('سجل الإجازات والحالات'!$S$6:$S$505,'سجل الإجازات والحالات'!$B$6:$B$505,$B55)-SUMIFS('سجل الإجازات والحالات'!$R$6:$R$505,'سجل الإجازات والحالات'!$B$6:$B$505,$B55))))</f>
        <v/>
      </c>
      <c r="K55" s="116" t="str">
        <f aca="false">IF($B55="","",G55*12/cfg_DAYS_Y*J55)</f>
        <v/>
      </c>
      <c r="L55" s="116" t="str">
        <f aca="false">IF($B55="","",N(الموظفون!$AD55))</f>
        <v/>
      </c>
      <c r="M55" s="116" t="str">
        <f aca="false">IF($B55="","",SUMIFS('الحركات الشهرية'!$M$6:$M$1005,'الحركات الشهرية'!$B$6:$B$1005,B55,'الحركات الشهرية'!$A$6:$A$1005,"&lt;="&amp;cfg_VAL_M))</f>
        <v/>
      </c>
      <c r="N55" s="183" t="str">
        <f aca="false">IF($B55="","",L55+K55-M55)</f>
        <v/>
      </c>
      <c r="O55" s="180" t="str">
        <f aca="false">IF($B55="","",IF(E55&gt;0,N55/E55,0))</f>
        <v/>
      </c>
      <c r="P55" s="117" t="str">
        <f aca="false">IF($B55="","",IF(AND(D55="لا",N55&lt;&gt;0),"⚠ غير مستحق وله رصيد",IF(N55&lt;-0.01,"✖ استخدام أكثر من المكوّن",IF(AND(D55="نعم",O55&gt;=1),"⚠ تذكرة مستحقة للصرف","✔ سليم"))))</f>
        <v/>
      </c>
    </row>
    <row r="56" customFormat="false" ht="15" hidden="false" customHeight="false" outlineLevel="0" collapsed="false">
      <c r="B56" s="114" t="str">
        <f aca="false">IF(الموظفون!$B56="","",الموظفون!$B56)</f>
        <v/>
      </c>
      <c r="C56" s="114" t="str">
        <f aca="false">IF($B56="","",الموظفون!$C56)</f>
        <v/>
      </c>
      <c r="D56" s="114" t="str">
        <f aca="false">IF($B56="","",IF(الموظفون!$U56="نعم","نعم","لا"))</f>
        <v/>
      </c>
      <c r="E56" s="111" t="str">
        <f aca="false">IF($B56="","",N(الموظفون!$V56))</f>
        <v/>
      </c>
      <c r="F56" s="65" t="str">
        <f aca="false">IF($B56="","",N(الموظفون!$W56))</f>
        <v/>
      </c>
      <c r="G56" s="111" t="str">
        <f aca="false">IF($B56="","",IF(AND(D56="نعم",F56&gt;0),E56/F56,0))</f>
        <v/>
      </c>
      <c r="H56" s="174" t="str">
        <f aca="false">IF($B56="","",MAX(cfg_Y_START,الموظفون!$H56))</f>
        <v/>
      </c>
      <c r="I56" s="174" t="str">
        <f aca="false">IF($B56="","",IF(OR(الموظفون!$AE56="",الموظفون!$AE56&gt;cfg_VAL_DATE),cfg_VAL_DATE,الموظفون!$AE56))</f>
        <v/>
      </c>
      <c r="J56" s="65" t="str">
        <f aca="false">IF($B56="","",MAX(0,MAX(0,I56-H56+1)-(SUMIFS('سجل الإجازات والحالات'!$S$6:$S$505,'سجل الإجازات والحالات'!$B$6:$B$505,$B56)-SUMIFS('سجل الإجازات والحالات'!$R$6:$R$505,'سجل الإجازات والحالات'!$B$6:$B$505,$B56))))</f>
        <v/>
      </c>
      <c r="K56" s="111" t="str">
        <f aca="false">IF($B56="","",G56*12/cfg_DAYS_Y*J56)</f>
        <v/>
      </c>
      <c r="L56" s="111" t="str">
        <f aca="false">IF($B56="","",N(الموظفون!$AD56))</f>
        <v/>
      </c>
      <c r="M56" s="111" t="str">
        <f aca="false">IF($B56="","",SUMIFS('الحركات الشهرية'!$M$6:$M$1005,'الحركات الشهرية'!$B$6:$B$1005,B56,'الحركات الشهرية'!$A$6:$A$1005,"&lt;="&amp;cfg_VAL_M))</f>
        <v/>
      </c>
      <c r="N56" s="182" t="str">
        <f aca="false">IF($B56="","",L56+K56-M56)</f>
        <v/>
      </c>
      <c r="O56" s="179" t="str">
        <f aca="false">IF($B56="","",IF(E56&gt;0,N56/E56,0))</f>
        <v/>
      </c>
      <c r="P56" s="114" t="str">
        <f aca="false">IF($B56="","",IF(AND(D56="لا",N56&lt;&gt;0),"⚠ غير مستحق وله رصيد",IF(N56&lt;-0.01,"✖ استخدام أكثر من المكوّن",IF(AND(D56="نعم",O56&gt;=1),"⚠ تذكرة مستحقة للصرف","✔ سليم"))))</f>
        <v/>
      </c>
    </row>
    <row r="57" customFormat="false" ht="15" hidden="false" customHeight="false" outlineLevel="0" collapsed="false">
      <c r="B57" s="117" t="str">
        <f aca="false">IF(الموظفون!$B57="","",الموظفون!$B57)</f>
        <v/>
      </c>
      <c r="C57" s="117" t="str">
        <f aca="false">IF($B57="","",الموظفون!$C57)</f>
        <v/>
      </c>
      <c r="D57" s="117" t="str">
        <f aca="false">IF($B57="","",IF(الموظفون!$U57="نعم","نعم","لا"))</f>
        <v/>
      </c>
      <c r="E57" s="116" t="str">
        <f aca="false">IF($B57="","",N(الموظفون!$V57))</f>
        <v/>
      </c>
      <c r="F57" s="133" t="str">
        <f aca="false">IF($B57="","",N(الموظفون!$W57))</f>
        <v/>
      </c>
      <c r="G57" s="116" t="str">
        <f aca="false">IF($B57="","",IF(AND(D57="نعم",F57&gt;0),E57/F57,0))</f>
        <v/>
      </c>
      <c r="H57" s="175" t="str">
        <f aca="false">IF($B57="","",MAX(cfg_Y_START,الموظفون!$H57))</f>
        <v/>
      </c>
      <c r="I57" s="175" t="str">
        <f aca="false">IF($B57="","",IF(OR(الموظفون!$AE57="",الموظفون!$AE57&gt;cfg_VAL_DATE),cfg_VAL_DATE,الموظفون!$AE57))</f>
        <v/>
      </c>
      <c r="J57" s="133" t="str">
        <f aca="false">IF($B57="","",MAX(0,MAX(0,I57-H57+1)-(SUMIFS('سجل الإجازات والحالات'!$S$6:$S$505,'سجل الإجازات والحالات'!$B$6:$B$505,$B57)-SUMIFS('سجل الإجازات والحالات'!$R$6:$R$505,'سجل الإجازات والحالات'!$B$6:$B$505,$B57))))</f>
        <v/>
      </c>
      <c r="K57" s="116" t="str">
        <f aca="false">IF($B57="","",G57*12/cfg_DAYS_Y*J57)</f>
        <v/>
      </c>
      <c r="L57" s="116" t="str">
        <f aca="false">IF($B57="","",N(الموظفون!$AD57))</f>
        <v/>
      </c>
      <c r="M57" s="116" t="str">
        <f aca="false">IF($B57="","",SUMIFS('الحركات الشهرية'!$M$6:$M$1005,'الحركات الشهرية'!$B$6:$B$1005,B57,'الحركات الشهرية'!$A$6:$A$1005,"&lt;="&amp;cfg_VAL_M))</f>
        <v/>
      </c>
      <c r="N57" s="183" t="str">
        <f aca="false">IF($B57="","",L57+K57-M57)</f>
        <v/>
      </c>
      <c r="O57" s="180" t="str">
        <f aca="false">IF($B57="","",IF(E57&gt;0,N57/E57,0))</f>
        <v/>
      </c>
      <c r="P57" s="117" t="str">
        <f aca="false">IF($B57="","",IF(AND(D57="لا",N57&lt;&gt;0),"⚠ غير مستحق وله رصيد",IF(N57&lt;-0.01,"✖ استخدام أكثر من المكوّن",IF(AND(D57="نعم",O57&gt;=1),"⚠ تذكرة مستحقة للصرف","✔ سليم"))))</f>
        <v/>
      </c>
    </row>
    <row r="58" customFormat="false" ht="15" hidden="false" customHeight="false" outlineLevel="0" collapsed="false">
      <c r="B58" s="114" t="str">
        <f aca="false">IF(الموظفون!$B58="","",الموظفون!$B58)</f>
        <v/>
      </c>
      <c r="C58" s="114" t="str">
        <f aca="false">IF($B58="","",الموظفون!$C58)</f>
        <v/>
      </c>
      <c r="D58" s="114" t="str">
        <f aca="false">IF($B58="","",IF(الموظفون!$U58="نعم","نعم","لا"))</f>
        <v/>
      </c>
      <c r="E58" s="111" t="str">
        <f aca="false">IF($B58="","",N(الموظفون!$V58))</f>
        <v/>
      </c>
      <c r="F58" s="65" t="str">
        <f aca="false">IF($B58="","",N(الموظفون!$W58))</f>
        <v/>
      </c>
      <c r="G58" s="111" t="str">
        <f aca="false">IF($B58="","",IF(AND(D58="نعم",F58&gt;0),E58/F58,0))</f>
        <v/>
      </c>
      <c r="H58" s="174" t="str">
        <f aca="false">IF($B58="","",MAX(cfg_Y_START,الموظفون!$H58))</f>
        <v/>
      </c>
      <c r="I58" s="174" t="str">
        <f aca="false">IF($B58="","",IF(OR(الموظفون!$AE58="",الموظفون!$AE58&gt;cfg_VAL_DATE),cfg_VAL_DATE,الموظفون!$AE58))</f>
        <v/>
      </c>
      <c r="J58" s="65" t="str">
        <f aca="false">IF($B58="","",MAX(0,MAX(0,I58-H58+1)-(SUMIFS('سجل الإجازات والحالات'!$S$6:$S$505,'سجل الإجازات والحالات'!$B$6:$B$505,$B58)-SUMIFS('سجل الإجازات والحالات'!$R$6:$R$505,'سجل الإجازات والحالات'!$B$6:$B$505,$B58))))</f>
        <v/>
      </c>
      <c r="K58" s="111" t="str">
        <f aca="false">IF($B58="","",G58*12/cfg_DAYS_Y*J58)</f>
        <v/>
      </c>
      <c r="L58" s="111" t="str">
        <f aca="false">IF($B58="","",N(الموظفون!$AD58))</f>
        <v/>
      </c>
      <c r="M58" s="111" t="str">
        <f aca="false">IF($B58="","",SUMIFS('الحركات الشهرية'!$M$6:$M$1005,'الحركات الشهرية'!$B$6:$B$1005,B58,'الحركات الشهرية'!$A$6:$A$1005,"&lt;="&amp;cfg_VAL_M))</f>
        <v/>
      </c>
      <c r="N58" s="182" t="str">
        <f aca="false">IF($B58="","",L58+K58-M58)</f>
        <v/>
      </c>
      <c r="O58" s="179" t="str">
        <f aca="false">IF($B58="","",IF(E58&gt;0,N58/E58,0))</f>
        <v/>
      </c>
      <c r="P58" s="114" t="str">
        <f aca="false">IF($B58="","",IF(AND(D58="لا",N58&lt;&gt;0),"⚠ غير مستحق وله رصيد",IF(N58&lt;-0.01,"✖ استخدام أكثر من المكوّن",IF(AND(D58="نعم",O58&gt;=1),"⚠ تذكرة مستحقة للصرف","✔ سليم"))))</f>
        <v/>
      </c>
    </row>
    <row r="59" customFormat="false" ht="15" hidden="false" customHeight="false" outlineLevel="0" collapsed="false">
      <c r="B59" s="117" t="str">
        <f aca="false">IF(الموظفون!$B59="","",الموظفون!$B59)</f>
        <v/>
      </c>
      <c r="C59" s="117" t="str">
        <f aca="false">IF($B59="","",الموظفون!$C59)</f>
        <v/>
      </c>
      <c r="D59" s="117" t="str">
        <f aca="false">IF($B59="","",IF(الموظفون!$U59="نعم","نعم","لا"))</f>
        <v/>
      </c>
      <c r="E59" s="116" t="str">
        <f aca="false">IF($B59="","",N(الموظفون!$V59))</f>
        <v/>
      </c>
      <c r="F59" s="133" t="str">
        <f aca="false">IF($B59="","",N(الموظفون!$W59))</f>
        <v/>
      </c>
      <c r="G59" s="116" t="str">
        <f aca="false">IF($B59="","",IF(AND(D59="نعم",F59&gt;0),E59/F59,0))</f>
        <v/>
      </c>
      <c r="H59" s="175" t="str">
        <f aca="false">IF($B59="","",MAX(cfg_Y_START,الموظفون!$H59))</f>
        <v/>
      </c>
      <c r="I59" s="175" t="str">
        <f aca="false">IF($B59="","",IF(OR(الموظفون!$AE59="",الموظفون!$AE59&gt;cfg_VAL_DATE),cfg_VAL_DATE,الموظفون!$AE59))</f>
        <v/>
      </c>
      <c r="J59" s="133" t="str">
        <f aca="false">IF($B59="","",MAX(0,MAX(0,I59-H59+1)-(SUMIFS('سجل الإجازات والحالات'!$S$6:$S$505,'سجل الإجازات والحالات'!$B$6:$B$505,$B59)-SUMIFS('سجل الإجازات والحالات'!$R$6:$R$505,'سجل الإجازات والحالات'!$B$6:$B$505,$B59))))</f>
        <v/>
      </c>
      <c r="K59" s="116" t="str">
        <f aca="false">IF($B59="","",G59*12/cfg_DAYS_Y*J59)</f>
        <v/>
      </c>
      <c r="L59" s="116" t="str">
        <f aca="false">IF($B59="","",N(الموظفون!$AD59))</f>
        <v/>
      </c>
      <c r="M59" s="116" t="str">
        <f aca="false">IF($B59="","",SUMIFS('الحركات الشهرية'!$M$6:$M$1005,'الحركات الشهرية'!$B$6:$B$1005,B59,'الحركات الشهرية'!$A$6:$A$1005,"&lt;="&amp;cfg_VAL_M))</f>
        <v/>
      </c>
      <c r="N59" s="183" t="str">
        <f aca="false">IF($B59="","",L59+K59-M59)</f>
        <v/>
      </c>
      <c r="O59" s="180" t="str">
        <f aca="false">IF($B59="","",IF(E59&gt;0,N59/E59,0))</f>
        <v/>
      </c>
      <c r="P59" s="117" t="str">
        <f aca="false">IF($B59="","",IF(AND(D59="لا",N59&lt;&gt;0),"⚠ غير مستحق وله رصيد",IF(N59&lt;-0.01,"✖ استخدام أكثر من المكوّن",IF(AND(D59="نعم",O59&gt;=1),"⚠ تذكرة مستحقة للصرف","✔ سليم"))))</f>
        <v/>
      </c>
    </row>
    <row r="60" customFormat="false" ht="15" hidden="false" customHeight="false" outlineLevel="0" collapsed="false">
      <c r="B60" s="114" t="str">
        <f aca="false">IF(الموظفون!$B60="","",الموظفون!$B60)</f>
        <v/>
      </c>
      <c r="C60" s="114" t="str">
        <f aca="false">IF($B60="","",الموظفون!$C60)</f>
        <v/>
      </c>
      <c r="D60" s="114" t="str">
        <f aca="false">IF($B60="","",IF(الموظفون!$U60="نعم","نعم","لا"))</f>
        <v/>
      </c>
      <c r="E60" s="111" t="str">
        <f aca="false">IF($B60="","",N(الموظفون!$V60))</f>
        <v/>
      </c>
      <c r="F60" s="65" t="str">
        <f aca="false">IF($B60="","",N(الموظفون!$W60))</f>
        <v/>
      </c>
      <c r="G60" s="111" t="str">
        <f aca="false">IF($B60="","",IF(AND(D60="نعم",F60&gt;0),E60/F60,0))</f>
        <v/>
      </c>
      <c r="H60" s="174" t="str">
        <f aca="false">IF($B60="","",MAX(cfg_Y_START,الموظفون!$H60))</f>
        <v/>
      </c>
      <c r="I60" s="174" t="str">
        <f aca="false">IF($B60="","",IF(OR(الموظفون!$AE60="",الموظفون!$AE60&gt;cfg_VAL_DATE),cfg_VAL_DATE,الموظفون!$AE60))</f>
        <v/>
      </c>
      <c r="J60" s="65" t="str">
        <f aca="false">IF($B60="","",MAX(0,MAX(0,I60-H60+1)-(SUMIFS('سجل الإجازات والحالات'!$S$6:$S$505,'سجل الإجازات والحالات'!$B$6:$B$505,$B60)-SUMIFS('سجل الإجازات والحالات'!$R$6:$R$505,'سجل الإجازات والحالات'!$B$6:$B$505,$B60))))</f>
        <v/>
      </c>
      <c r="K60" s="111" t="str">
        <f aca="false">IF($B60="","",G60*12/cfg_DAYS_Y*J60)</f>
        <v/>
      </c>
      <c r="L60" s="111" t="str">
        <f aca="false">IF($B60="","",N(الموظفون!$AD60))</f>
        <v/>
      </c>
      <c r="M60" s="111" t="str">
        <f aca="false">IF($B60="","",SUMIFS('الحركات الشهرية'!$M$6:$M$1005,'الحركات الشهرية'!$B$6:$B$1005,B60,'الحركات الشهرية'!$A$6:$A$1005,"&lt;="&amp;cfg_VAL_M))</f>
        <v/>
      </c>
      <c r="N60" s="182" t="str">
        <f aca="false">IF($B60="","",L60+K60-M60)</f>
        <v/>
      </c>
      <c r="O60" s="179" t="str">
        <f aca="false">IF($B60="","",IF(E60&gt;0,N60/E60,0))</f>
        <v/>
      </c>
      <c r="P60" s="114" t="str">
        <f aca="false">IF($B60="","",IF(AND(D60="لا",N60&lt;&gt;0),"⚠ غير مستحق وله رصيد",IF(N60&lt;-0.01,"✖ استخدام أكثر من المكوّن",IF(AND(D60="نعم",O60&gt;=1),"⚠ تذكرة مستحقة للصرف","✔ سليم"))))</f>
        <v/>
      </c>
    </row>
    <row r="61" customFormat="false" ht="15" hidden="false" customHeight="false" outlineLevel="0" collapsed="false">
      <c r="B61" s="117" t="str">
        <f aca="false">IF(الموظفون!$B61="","",الموظفون!$B61)</f>
        <v/>
      </c>
      <c r="C61" s="117" t="str">
        <f aca="false">IF($B61="","",الموظفون!$C61)</f>
        <v/>
      </c>
      <c r="D61" s="117" t="str">
        <f aca="false">IF($B61="","",IF(الموظفون!$U61="نعم","نعم","لا"))</f>
        <v/>
      </c>
      <c r="E61" s="116" t="str">
        <f aca="false">IF($B61="","",N(الموظفون!$V61))</f>
        <v/>
      </c>
      <c r="F61" s="133" t="str">
        <f aca="false">IF($B61="","",N(الموظفون!$W61))</f>
        <v/>
      </c>
      <c r="G61" s="116" t="str">
        <f aca="false">IF($B61="","",IF(AND(D61="نعم",F61&gt;0),E61/F61,0))</f>
        <v/>
      </c>
      <c r="H61" s="175" t="str">
        <f aca="false">IF($B61="","",MAX(cfg_Y_START,الموظفون!$H61))</f>
        <v/>
      </c>
      <c r="I61" s="175" t="str">
        <f aca="false">IF($B61="","",IF(OR(الموظفون!$AE61="",الموظفون!$AE61&gt;cfg_VAL_DATE),cfg_VAL_DATE,الموظفون!$AE61))</f>
        <v/>
      </c>
      <c r="J61" s="133" t="str">
        <f aca="false">IF($B61="","",MAX(0,MAX(0,I61-H61+1)-(SUMIFS('سجل الإجازات والحالات'!$S$6:$S$505,'سجل الإجازات والحالات'!$B$6:$B$505,$B61)-SUMIFS('سجل الإجازات والحالات'!$R$6:$R$505,'سجل الإجازات والحالات'!$B$6:$B$505,$B61))))</f>
        <v/>
      </c>
      <c r="K61" s="116" t="str">
        <f aca="false">IF($B61="","",G61*12/cfg_DAYS_Y*J61)</f>
        <v/>
      </c>
      <c r="L61" s="116" t="str">
        <f aca="false">IF($B61="","",N(الموظفون!$AD61))</f>
        <v/>
      </c>
      <c r="M61" s="116" t="str">
        <f aca="false">IF($B61="","",SUMIFS('الحركات الشهرية'!$M$6:$M$1005,'الحركات الشهرية'!$B$6:$B$1005,B61,'الحركات الشهرية'!$A$6:$A$1005,"&lt;="&amp;cfg_VAL_M))</f>
        <v/>
      </c>
      <c r="N61" s="183" t="str">
        <f aca="false">IF($B61="","",L61+K61-M61)</f>
        <v/>
      </c>
      <c r="O61" s="180" t="str">
        <f aca="false">IF($B61="","",IF(E61&gt;0,N61/E61,0))</f>
        <v/>
      </c>
      <c r="P61" s="117" t="str">
        <f aca="false">IF($B61="","",IF(AND(D61="لا",N61&lt;&gt;0),"⚠ غير مستحق وله رصيد",IF(N61&lt;-0.01,"✖ استخدام أكثر من المكوّن",IF(AND(D61="نعم",O61&gt;=1),"⚠ تذكرة مستحقة للصرف","✔ سليم"))))</f>
        <v/>
      </c>
    </row>
    <row r="62" customFormat="false" ht="15" hidden="false" customHeight="false" outlineLevel="0" collapsed="false">
      <c r="B62" s="114" t="str">
        <f aca="false">IF(الموظفون!$B62="","",الموظفون!$B62)</f>
        <v/>
      </c>
      <c r="C62" s="114" t="str">
        <f aca="false">IF($B62="","",الموظفون!$C62)</f>
        <v/>
      </c>
      <c r="D62" s="114" t="str">
        <f aca="false">IF($B62="","",IF(الموظفون!$U62="نعم","نعم","لا"))</f>
        <v/>
      </c>
      <c r="E62" s="111" t="str">
        <f aca="false">IF($B62="","",N(الموظفون!$V62))</f>
        <v/>
      </c>
      <c r="F62" s="65" t="str">
        <f aca="false">IF($B62="","",N(الموظفون!$W62))</f>
        <v/>
      </c>
      <c r="G62" s="111" t="str">
        <f aca="false">IF($B62="","",IF(AND(D62="نعم",F62&gt;0),E62/F62,0))</f>
        <v/>
      </c>
      <c r="H62" s="174" t="str">
        <f aca="false">IF($B62="","",MAX(cfg_Y_START,الموظفون!$H62))</f>
        <v/>
      </c>
      <c r="I62" s="174" t="str">
        <f aca="false">IF($B62="","",IF(OR(الموظفون!$AE62="",الموظفون!$AE62&gt;cfg_VAL_DATE),cfg_VAL_DATE,الموظفون!$AE62))</f>
        <v/>
      </c>
      <c r="J62" s="65" t="str">
        <f aca="false">IF($B62="","",MAX(0,MAX(0,I62-H62+1)-(SUMIFS('سجل الإجازات والحالات'!$S$6:$S$505,'سجل الإجازات والحالات'!$B$6:$B$505,$B62)-SUMIFS('سجل الإجازات والحالات'!$R$6:$R$505,'سجل الإجازات والحالات'!$B$6:$B$505,$B62))))</f>
        <v/>
      </c>
      <c r="K62" s="111" t="str">
        <f aca="false">IF($B62="","",G62*12/cfg_DAYS_Y*J62)</f>
        <v/>
      </c>
      <c r="L62" s="111" t="str">
        <f aca="false">IF($B62="","",N(الموظفون!$AD62))</f>
        <v/>
      </c>
      <c r="M62" s="111" t="str">
        <f aca="false">IF($B62="","",SUMIFS('الحركات الشهرية'!$M$6:$M$1005,'الحركات الشهرية'!$B$6:$B$1005,B62,'الحركات الشهرية'!$A$6:$A$1005,"&lt;="&amp;cfg_VAL_M))</f>
        <v/>
      </c>
      <c r="N62" s="182" t="str">
        <f aca="false">IF($B62="","",L62+K62-M62)</f>
        <v/>
      </c>
      <c r="O62" s="179" t="str">
        <f aca="false">IF($B62="","",IF(E62&gt;0,N62/E62,0))</f>
        <v/>
      </c>
      <c r="P62" s="114" t="str">
        <f aca="false">IF($B62="","",IF(AND(D62="لا",N62&lt;&gt;0),"⚠ غير مستحق وله رصيد",IF(N62&lt;-0.01,"✖ استخدام أكثر من المكوّن",IF(AND(D62="نعم",O62&gt;=1),"⚠ تذكرة مستحقة للصرف","✔ سليم"))))</f>
        <v/>
      </c>
    </row>
    <row r="63" customFormat="false" ht="15" hidden="false" customHeight="false" outlineLevel="0" collapsed="false">
      <c r="B63" s="117" t="str">
        <f aca="false">IF(الموظفون!$B63="","",الموظفون!$B63)</f>
        <v/>
      </c>
      <c r="C63" s="117" t="str">
        <f aca="false">IF($B63="","",الموظفون!$C63)</f>
        <v/>
      </c>
      <c r="D63" s="117" t="str">
        <f aca="false">IF($B63="","",IF(الموظفون!$U63="نعم","نعم","لا"))</f>
        <v/>
      </c>
      <c r="E63" s="116" t="str">
        <f aca="false">IF($B63="","",N(الموظفون!$V63))</f>
        <v/>
      </c>
      <c r="F63" s="133" t="str">
        <f aca="false">IF($B63="","",N(الموظفون!$W63))</f>
        <v/>
      </c>
      <c r="G63" s="116" t="str">
        <f aca="false">IF($B63="","",IF(AND(D63="نعم",F63&gt;0),E63/F63,0))</f>
        <v/>
      </c>
      <c r="H63" s="175" t="str">
        <f aca="false">IF($B63="","",MAX(cfg_Y_START,الموظفون!$H63))</f>
        <v/>
      </c>
      <c r="I63" s="175" t="str">
        <f aca="false">IF($B63="","",IF(OR(الموظفون!$AE63="",الموظفون!$AE63&gt;cfg_VAL_DATE),cfg_VAL_DATE,الموظفون!$AE63))</f>
        <v/>
      </c>
      <c r="J63" s="133" t="str">
        <f aca="false">IF($B63="","",MAX(0,MAX(0,I63-H63+1)-(SUMIFS('سجل الإجازات والحالات'!$S$6:$S$505,'سجل الإجازات والحالات'!$B$6:$B$505,$B63)-SUMIFS('سجل الإجازات والحالات'!$R$6:$R$505,'سجل الإجازات والحالات'!$B$6:$B$505,$B63))))</f>
        <v/>
      </c>
      <c r="K63" s="116" t="str">
        <f aca="false">IF($B63="","",G63*12/cfg_DAYS_Y*J63)</f>
        <v/>
      </c>
      <c r="L63" s="116" t="str">
        <f aca="false">IF($B63="","",N(الموظفون!$AD63))</f>
        <v/>
      </c>
      <c r="M63" s="116" t="str">
        <f aca="false">IF($B63="","",SUMIFS('الحركات الشهرية'!$M$6:$M$1005,'الحركات الشهرية'!$B$6:$B$1005,B63,'الحركات الشهرية'!$A$6:$A$1005,"&lt;="&amp;cfg_VAL_M))</f>
        <v/>
      </c>
      <c r="N63" s="183" t="str">
        <f aca="false">IF($B63="","",L63+K63-M63)</f>
        <v/>
      </c>
      <c r="O63" s="180" t="str">
        <f aca="false">IF($B63="","",IF(E63&gt;0,N63/E63,0))</f>
        <v/>
      </c>
      <c r="P63" s="117" t="str">
        <f aca="false">IF($B63="","",IF(AND(D63="لا",N63&lt;&gt;0),"⚠ غير مستحق وله رصيد",IF(N63&lt;-0.01,"✖ استخدام أكثر من المكوّن",IF(AND(D63="نعم",O63&gt;=1),"⚠ تذكرة مستحقة للصرف","✔ سليم"))))</f>
        <v/>
      </c>
    </row>
    <row r="64" customFormat="false" ht="15" hidden="false" customHeight="false" outlineLevel="0" collapsed="false">
      <c r="B64" s="114" t="str">
        <f aca="false">IF(الموظفون!$B64="","",الموظفون!$B64)</f>
        <v/>
      </c>
      <c r="C64" s="114" t="str">
        <f aca="false">IF($B64="","",الموظفون!$C64)</f>
        <v/>
      </c>
      <c r="D64" s="114" t="str">
        <f aca="false">IF($B64="","",IF(الموظفون!$U64="نعم","نعم","لا"))</f>
        <v/>
      </c>
      <c r="E64" s="111" t="str">
        <f aca="false">IF($B64="","",N(الموظفون!$V64))</f>
        <v/>
      </c>
      <c r="F64" s="65" t="str">
        <f aca="false">IF($B64="","",N(الموظفون!$W64))</f>
        <v/>
      </c>
      <c r="G64" s="111" t="str">
        <f aca="false">IF($B64="","",IF(AND(D64="نعم",F64&gt;0),E64/F64,0))</f>
        <v/>
      </c>
      <c r="H64" s="174" t="str">
        <f aca="false">IF($B64="","",MAX(cfg_Y_START,الموظفون!$H64))</f>
        <v/>
      </c>
      <c r="I64" s="174" t="str">
        <f aca="false">IF($B64="","",IF(OR(الموظفون!$AE64="",الموظفون!$AE64&gt;cfg_VAL_DATE),cfg_VAL_DATE,الموظفون!$AE64))</f>
        <v/>
      </c>
      <c r="J64" s="65" t="str">
        <f aca="false">IF($B64="","",MAX(0,MAX(0,I64-H64+1)-(SUMIFS('سجل الإجازات والحالات'!$S$6:$S$505,'سجل الإجازات والحالات'!$B$6:$B$505,$B64)-SUMIFS('سجل الإجازات والحالات'!$R$6:$R$505,'سجل الإجازات والحالات'!$B$6:$B$505,$B64))))</f>
        <v/>
      </c>
      <c r="K64" s="111" t="str">
        <f aca="false">IF($B64="","",G64*12/cfg_DAYS_Y*J64)</f>
        <v/>
      </c>
      <c r="L64" s="111" t="str">
        <f aca="false">IF($B64="","",N(الموظفون!$AD64))</f>
        <v/>
      </c>
      <c r="M64" s="111" t="str">
        <f aca="false">IF($B64="","",SUMIFS('الحركات الشهرية'!$M$6:$M$1005,'الحركات الشهرية'!$B$6:$B$1005,B64,'الحركات الشهرية'!$A$6:$A$1005,"&lt;="&amp;cfg_VAL_M))</f>
        <v/>
      </c>
      <c r="N64" s="182" t="str">
        <f aca="false">IF($B64="","",L64+K64-M64)</f>
        <v/>
      </c>
      <c r="O64" s="179" t="str">
        <f aca="false">IF($B64="","",IF(E64&gt;0,N64/E64,0))</f>
        <v/>
      </c>
      <c r="P64" s="114" t="str">
        <f aca="false">IF($B64="","",IF(AND(D64="لا",N64&lt;&gt;0),"⚠ غير مستحق وله رصيد",IF(N64&lt;-0.01,"✖ استخدام أكثر من المكوّن",IF(AND(D64="نعم",O64&gt;=1),"⚠ تذكرة مستحقة للصرف","✔ سليم"))))</f>
        <v/>
      </c>
    </row>
    <row r="65" customFormat="false" ht="15" hidden="false" customHeight="false" outlineLevel="0" collapsed="false">
      <c r="B65" s="117" t="str">
        <f aca="false">IF(الموظفون!$B65="","",الموظفون!$B65)</f>
        <v/>
      </c>
      <c r="C65" s="117" t="str">
        <f aca="false">IF($B65="","",الموظفون!$C65)</f>
        <v/>
      </c>
      <c r="D65" s="117" t="str">
        <f aca="false">IF($B65="","",IF(الموظفون!$U65="نعم","نعم","لا"))</f>
        <v/>
      </c>
      <c r="E65" s="116" t="str">
        <f aca="false">IF($B65="","",N(الموظفون!$V65))</f>
        <v/>
      </c>
      <c r="F65" s="133" t="str">
        <f aca="false">IF($B65="","",N(الموظفون!$W65))</f>
        <v/>
      </c>
      <c r="G65" s="116" t="str">
        <f aca="false">IF($B65="","",IF(AND(D65="نعم",F65&gt;0),E65/F65,0))</f>
        <v/>
      </c>
      <c r="H65" s="175" t="str">
        <f aca="false">IF($B65="","",MAX(cfg_Y_START,الموظفون!$H65))</f>
        <v/>
      </c>
      <c r="I65" s="175" t="str">
        <f aca="false">IF($B65="","",IF(OR(الموظفون!$AE65="",الموظفون!$AE65&gt;cfg_VAL_DATE),cfg_VAL_DATE,الموظفون!$AE65))</f>
        <v/>
      </c>
      <c r="J65" s="133" t="str">
        <f aca="false">IF($B65="","",MAX(0,MAX(0,I65-H65+1)-(SUMIFS('سجل الإجازات والحالات'!$S$6:$S$505,'سجل الإجازات والحالات'!$B$6:$B$505,$B65)-SUMIFS('سجل الإجازات والحالات'!$R$6:$R$505,'سجل الإجازات والحالات'!$B$6:$B$505,$B65))))</f>
        <v/>
      </c>
      <c r="K65" s="116" t="str">
        <f aca="false">IF($B65="","",G65*12/cfg_DAYS_Y*J65)</f>
        <v/>
      </c>
      <c r="L65" s="116" t="str">
        <f aca="false">IF($B65="","",N(الموظفون!$AD65))</f>
        <v/>
      </c>
      <c r="M65" s="116" t="str">
        <f aca="false">IF($B65="","",SUMIFS('الحركات الشهرية'!$M$6:$M$1005,'الحركات الشهرية'!$B$6:$B$1005,B65,'الحركات الشهرية'!$A$6:$A$1005,"&lt;="&amp;cfg_VAL_M))</f>
        <v/>
      </c>
      <c r="N65" s="183" t="str">
        <f aca="false">IF($B65="","",L65+K65-M65)</f>
        <v/>
      </c>
      <c r="O65" s="180" t="str">
        <f aca="false">IF($B65="","",IF(E65&gt;0,N65/E65,0))</f>
        <v/>
      </c>
      <c r="P65" s="117" t="str">
        <f aca="false">IF($B65="","",IF(AND(D65="لا",N65&lt;&gt;0),"⚠ غير مستحق وله رصيد",IF(N65&lt;-0.01,"✖ استخدام أكثر من المكوّن",IF(AND(D65="نعم",O65&gt;=1),"⚠ تذكرة مستحقة للصرف","✔ سليم"))))</f>
        <v/>
      </c>
    </row>
    <row r="66" customFormat="false" ht="15" hidden="false" customHeight="false" outlineLevel="0" collapsed="false">
      <c r="B66" s="114" t="str">
        <f aca="false">IF(الموظفون!$B66="","",الموظفون!$B66)</f>
        <v/>
      </c>
      <c r="C66" s="114" t="str">
        <f aca="false">IF($B66="","",الموظفون!$C66)</f>
        <v/>
      </c>
      <c r="D66" s="114" t="str">
        <f aca="false">IF($B66="","",IF(الموظفون!$U66="نعم","نعم","لا"))</f>
        <v/>
      </c>
      <c r="E66" s="111" t="str">
        <f aca="false">IF($B66="","",N(الموظفون!$V66))</f>
        <v/>
      </c>
      <c r="F66" s="65" t="str">
        <f aca="false">IF($B66="","",N(الموظفون!$W66))</f>
        <v/>
      </c>
      <c r="G66" s="111" t="str">
        <f aca="false">IF($B66="","",IF(AND(D66="نعم",F66&gt;0),E66/F66,0))</f>
        <v/>
      </c>
      <c r="H66" s="174" t="str">
        <f aca="false">IF($B66="","",MAX(cfg_Y_START,الموظفون!$H66))</f>
        <v/>
      </c>
      <c r="I66" s="174" t="str">
        <f aca="false">IF($B66="","",IF(OR(الموظفون!$AE66="",الموظفون!$AE66&gt;cfg_VAL_DATE),cfg_VAL_DATE,الموظفون!$AE66))</f>
        <v/>
      </c>
      <c r="J66" s="65" t="str">
        <f aca="false">IF($B66="","",MAX(0,MAX(0,I66-H66+1)-(SUMIFS('سجل الإجازات والحالات'!$S$6:$S$505,'سجل الإجازات والحالات'!$B$6:$B$505,$B66)-SUMIFS('سجل الإجازات والحالات'!$R$6:$R$505,'سجل الإجازات والحالات'!$B$6:$B$505,$B66))))</f>
        <v/>
      </c>
      <c r="K66" s="111" t="str">
        <f aca="false">IF($B66="","",G66*12/cfg_DAYS_Y*J66)</f>
        <v/>
      </c>
      <c r="L66" s="111" t="str">
        <f aca="false">IF($B66="","",N(الموظفون!$AD66))</f>
        <v/>
      </c>
      <c r="M66" s="111" t="str">
        <f aca="false">IF($B66="","",SUMIFS('الحركات الشهرية'!$M$6:$M$1005,'الحركات الشهرية'!$B$6:$B$1005,B66,'الحركات الشهرية'!$A$6:$A$1005,"&lt;="&amp;cfg_VAL_M))</f>
        <v/>
      </c>
      <c r="N66" s="182" t="str">
        <f aca="false">IF($B66="","",L66+K66-M66)</f>
        <v/>
      </c>
      <c r="O66" s="179" t="str">
        <f aca="false">IF($B66="","",IF(E66&gt;0,N66/E66,0))</f>
        <v/>
      </c>
      <c r="P66" s="114" t="str">
        <f aca="false">IF($B66="","",IF(AND(D66="لا",N66&lt;&gt;0),"⚠ غير مستحق وله رصيد",IF(N66&lt;-0.01,"✖ استخدام أكثر من المكوّن",IF(AND(D66="نعم",O66&gt;=1),"⚠ تذكرة مستحقة للصرف","✔ سليم"))))</f>
        <v/>
      </c>
    </row>
    <row r="67" customFormat="false" ht="15" hidden="false" customHeight="false" outlineLevel="0" collapsed="false">
      <c r="B67" s="117" t="str">
        <f aca="false">IF(الموظفون!$B67="","",الموظفون!$B67)</f>
        <v/>
      </c>
      <c r="C67" s="117" t="str">
        <f aca="false">IF($B67="","",الموظفون!$C67)</f>
        <v/>
      </c>
      <c r="D67" s="117" t="str">
        <f aca="false">IF($B67="","",IF(الموظفون!$U67="نعم","نعم","لا"))</f>
        <v/>
      </c>
      <c r="E67" s="116" t="str">
        <f aca="false">IF($B67="","",N(الموظفون!$V67))</f>
        <v/>
      </c>
      <c r="F67" s="133" t="str">
        <f aca="false">IF($B67="","",N(الموظفون!$W67))</f>
        <v/>
      </c>
      <c r="G67" s="116" t="str">
        <f aca="false">IF($B67="","",IF(AND(D67="نعم",F67&gt;0),E67/F67,0))</f>
        <v/>
      </c>
      <c r="H67" s="175" t="str">
        <f aca="false">IF($B67="","",MAX(cfg_Y_START,الموظفون!$H67))</f>
        <v/>
      </c>
      <c r="I67" s="175" t="str">
        <f aca="false">IF($B67="","",IF(OR(الموظفون!$AE67="",الموظفون!$AE67&gt;cfg_VAL_DATE),cfg_VAL_DATE,الموظفون!$AE67))</f>
        <v/>
      </c>
      <c r="J67" s="133" t="str">
        <f aca="false">IF($B67="","",MAX(0,MAX(0,I67-H67+1)-(SUMIFS('سجل الإجازات والحالات'!$S$6:$S$505,'سجل الإجازات والحالات'!$B$6:$B$505,$B67)-SUMIFS('سجل الإجازات والحالات'!$R$6:$R$505,'سجل الإجازات والحالات'!$B$6:$B$505,$B67))))</f>
        <v/>
      </c>
      <c r="K67" s="116" t="str">
        <f aca="false">IF($B67="","",G67*12/cfg_DAYS_Y*J67)</f>
        <v/>
      </c>
      <c r="L67" s="116" t="str">
        <f aca="false">IF($B67="","",N(الموظفون!$AD67))</f>
        <v/>
      </c>
      <c r="M67" s="116" t="str">
        <f aca="false">IF($B67="","",SUMIFS('الحركات الشهرية'!$M$6:$M$1005,'الحركات الشهرية'!$B$6:$B$1005,B67,'الحركات الشهرية'!$A$6:$A$1005,"&lt;="&amp;cfg_VAL_M))</f>
        <v/>
      </c>
      <c r="N67" s="183" t="str">
        <f aca="false">IF($B67="","",L67+K67-M67)</f>
        <v/>
      </c>
      <c r="O67" s="180" t="str">
        <f aca="false">IF($B67="","",IF(E67&gt;0,N67/E67,0))</f>
        <v/>
      </c>
      <c r="P67" s="117" t="str">
        <f aca="false">IF($B67="","",IF(AND(D67="لا",N67&lt;&gt;0),"⚠ غير مستحق وله رصيد",IF(N67&lt;-0.01,"✖ استخدام أكثر من المكوّن",IF(AND(D67="نعم",O67&gt;=1),"⚠ تذكرة مستحقة للصرف","✔ سليم"))))</f>
        <v/>
      </c>
    </row>
    <row r="68" customFormat="false" ht="15" hidden="false" customHeight="false" outlineLevel="0" collapsed="false">
      <c r="B68" s="114" t="str">
        <f aca="false">IF(الموظفون!$B68="","",الموظفون!$B68)</f>
        <v/>
      </c>
      <c r="C68" s="114" t="str">
        <f aca="false">IF($B68="","",الموظفون!$C68)</f>
        <v/>
      </c>
      <c r="D68" s="114" t="str">
        <f aca="false">IF($B68="","",IF(الموظفون!$U68="نعم","نعم","لا"))</f>
        <v/>
      </c>
      <c r="E68" s="111" t="str">
        <f aca="false">IF($B68="","",N(الموظفون!$V68))</f>
        <v/>
      </c>
      <c r="F68" s="65" t="str">
        <f aca="false">IF($B68="","",N(الموظفون!$W68))</f>
        <v/>
      </c>
      <c r="G68" s="111" t="str">
        <f aca="false">IF($B68="","",IF(AND(D68="نعم",F68&gt;0),E68/F68,0))</f>
        <v/>
      </c>
      <c r="H68" s="174" t="str">
        <f aca="false">IF($B68="","",MAX(cfg_Y_START,الموظفون!$H68))</f>
        <v/>
      </c>
      <c r="I68" s="174" t="str">
        <f aca="false">IF($B68="","",IF(OR(الموظفون!$AE68="",الموظفون!$AE68&gt;cfg_VAL_DATE),cfg_VAL_DATE,الموظفون!$AE68))</f>
        <v/>
      </c>
      <c r="J68" s="65" t="str">
        <f aca="false">IF($B68="","",MAX(0,MAX(0,I68-H68+1)-(SUMIFS('سجل الإجازات والحالات'!$S$6:$S$505,'سجل الإجازات والحالات'!$B$6:$B$505,$B68)-SUMIFS('سجل الإجازات والحالات'!$R$6:$R$505,'سجل الإجازات والحالات'!$B$6:$B$505,$B68))))</f>
        <v/>
      </c>
      <c r="K68" s="111" t="str">
        <f aca="false">IF($B68="","",G68*12/cfg_DAYS_Y*J68)</f>
        <v/>
      </c>
      <c r="L68" s="111" t="str">
        <f aca="false">IF($B68="","",N(الموظفون!$AD68))</f>
        <v/>
      </c>
      <c r="M68" s="111" t="str">
        <f aca="false">IF($B68="","",SUMIFS('الحركات الشهرية'!$M$6:$M$1005,'الحركات الشهرية'!$B$6:$B$1005,B68,'الحركات الشهرية'!$A$6:$A$1005,"&lt;="&amp;cfg_VAL_M))</f>
        <v/>
      </c>
      <c r="N68" s="182" t="str">
        <f aca="false">IF($B68="","",L68+K68-M68)</f>
        <v/>
      </c>
      <c r="O68" s="179" t="str">
        <f aca="false">IF($B68="","",IF(E68&gt;0,N68/E68,0))</f>
        <v/>
      </c>
      <c r="P68" s="114" t="str">
        <f aca="false">IF($B68="","",IF(AND(D68="لا",N68&lt;&gt;0),"⚠ غير مستحق وله رصيد",IF(N68&lt;-0.01,"✖ استخدام أكثر من المكوّن",IF(AND(D68="نعم",O68&gt;=1),"⚠ تذكرة مستحقة للصرف","✔ سليم"))))</f>
        <v/>
      </c>
    </row>
    <row r="69" customFormat="false" ht="15" hidden="false" customHeight="false" outlineLevel="0" collapsed="false">
      <c r="B69" s="117" t="str">
        <f aca="false">IF(الموظفون!$B69="","",الموظفون!$B69)</f>
        <v/>
      </c>
      <c r="C69" s="117" t="str">
        <f aca="false">IF($B69="","",الموظفون!$C69)</f>
        <v/>
      </c>
      <c r="D69" s="117" t="str">
        <f aca="false">IF($B69="","",IF(الموظفون!$U69="نعم","نعم","لا"))</f>
        <v/>
      </c>
      <c r="E69" s="116" t="str">
        <f aca="false">IF($B69="","",N(الموظفون!$V69))</f>
        <v/>
      </c>
      <c r="F69" s="133" t="str">
        <f aca="false">IF($B69="","",N(الموظفون!$W69))</f>
        <v/>
      </c>
      <c r="G69" s="116" t="str">
        <f aca="false">IF($B69="","",IF(AND(D69="نعم",F69&gt;0),E69/F69,0))</f>
        <v/>
      </c>
      <c r="H69" s="175" t="str">
        <f aca="false">IF($B69="","",MAX(cfg_Y_START,الموظفون!$H69))</f>
        <v/>
      </c>
      <c r="I69" s="175" t="str">
        <f aca="false">IF($B69="","",IF(OR(الموظفون!$AE69="",الموظفون!$AE69&gt;cfg_VAL_DATE),cfg_VAL_DATE,الموظفون!$AE69))</f>
        <v/>
      </c>
      <c r="J69" s="133" t="str">
        <f aca="false">IF($B69="","",MAX(0,MAX(0,I69-H69+1)-(SUMIFS('سجل الإجازات والحالات'!$S$6:$S$505,'سجل الإجازات والحالات'!$B$6:$B$505,$B69)-SUMIFS('سجل الإجازات والحالات'!$R$6:$R$505,'سجل الإجازات والحالات'!$B$6:$B$505,$B69))))</f>
        <v/>
      </c>
      <c r="K69" s="116" t="str">
        <f aca="false">IF($B69="","",G69*12/cfg_DAYS_Y*J69)</f>
        <v/>
      </c>
      <c r="L69" s="116" t="str">
        <f aca="false">IF($B69="","",N(الموظفون!$AD69))</f>
        <v/>
      </c>
      <c r="M69" s="116" t="str">
        <f aca="false">IF($B69="","",SUMIFS('الحركات الشهرية'!$M$6:$M$1005,'الحركات الشهرية'!$B$6:$B$1005,B69,'الحركات الشهرية'!$A$6:$A$1005,"&lt;="&amp;cfg_VAL_M))</f>
        <v/>
      </c>
      <c r="N69" s="183" t="str">
        <f aca="false">IF($B69="","",L69+K69-M69)</f>
        <v/>
      </c>
      <c r="O69" s="180" t="str">
        <f aca="false">IF($B69="","",IF(E69&gt;0,N69/E69,0))</f>
        <v/>
      </c>
      <c r="P69" s="117" t="str">
        <f aca="false">IF($B69="","",IF(AND(D69="لا",N69&lt;&gt;0),"⚠ غير مستحق وله رصيد",IF(N69&lt;-0.01,"✖ استخدام أكثر من المكوّن",IF(AND(D69="نعم",O69&gt;=1),"⚠ تذكرة مستحقة للصرف","✔ سليم"))))</f>
        <v/>
      </c>
    </row>
    <row r="70" customFormat="false" ht="15" hidden="false" customHeight="false" outlineLevel="0" collapsed="false">
      <c r="B70" s="114" t="str">
        <f aca="false">IF(الموظفون!$B70="","",الموظفون!$B70)</f>
        <v/>
      </c>
      <c r="C70" s="114" t="str">
        <f aca="false">IF($B70="","",الموظفون!$C70)</f>
        <v/>
      </c>
      <c r="D70" s="114" t="str">
        <f aca="false">IF($B70="","",IF(الموظفون!$U70="نعم","نعم","لا"))</f>
        <v/>
      </c>
      <c r="E70" s="111" t="str">
        <f aca="false">IF($B70="","",N(الموظفون!$V70))</f>
        <v/>
      </c>
      <c r="F70" s="65" t="str">
        <f aca="false">IF($B70="","",N(الموظفون!$W70))</f>
        <v/>
      </c>
      <c r="G70" s="111" t="str">
        <f aca="false">IF($B70="","",IF(AND(D70="نعم",F70&gt;0),E70/F70,0))</f>
        <v/>
      </c>
      <c r="H70" s="174" t="str">
        <f aca="false">IF($B70="","",MAX(cfg_Y_START,الموظفون!$H70))</f>
        <v/>
      </c>
      <c r="I70" s="174" t="str">
        <f aca="false">IF($B70="","",IF(OR(الموظفون!$AE70="",الموظفون!$AE70&gt;cfg_VAL_DATE),cfg_VAL_DATE,الموظفون!$AE70))</f>
        <v/>
      </c>
      <c r="J70" s="65" t="str">
        <f aca="false">IF($B70="","",MAX(0,MAX(0,I70-H70+1)-(SUMIFS('سجل الإجازات والحالات'!$S$6:$S$505,'سجل الإجازات والحالات'!$B$6:$B$505,$B70)-SUMIFS('سجل الإجازات والحالات'!$R$6:$R$505,'سجل الإجازات والحالات'!$B$6:$B$505,$B70))))</f>
        <v/>
      </c>
      <c r="K70" s="111" t="str">
        <f aca="false">IF($B70="","",G70*12/cfg_DAYS_Y*J70)</f>
        <v/>
      </c>
      <c r="L70" s="111" t="str">
        <f aca="false">IF($B70="","",N(الموظفون!$AD70))</f>
        <v/>
      </c>
      <c r="M70" s="111" t="str">
        <f aca="false">IF($B70="","",SUMIFS('الحركات الشهرية'!$M$6:$M$1005,'الحركات الشهرية'!$B$6:$B$1005,B70,'الحركات الشهرية'!$A$6:$A$1005,"&lt;="&amp;cfg_VAL_M))</f>
        <v/>
      </c>
      <c r="N70" s="182" t="str">
        <f aca="false">IF($B70="","",L70+K70-M70)</f>
        <v/>
      </c>
      <c r="O70" s="179" t="str">
        <f aca="false">IF($B70="","",IF(E70&gt;0,N70/E70,0))</f>
        <v/>
      </c>
      <c r="P70" s="114" t="str">
        <f aca="false">IF($B70="","",IF(AND(D70="لا",N70&lt;&gt;0),"⚠ غير مستحق وله رصيد",IF(N70&lt;-0.01,"✖ استخدام أكثر من المكوّن",IF(AND(D70="نعم",O70&gt;=1),"⚠ تذكرة مستحقة للصرف","✔ سليم"))))</f>
        <v/>
      </c>
    </row>
    <row r="71" customFormat="false" ht="15" hidden="false" customHeight="false" outlineLevel="0" collapsed="false">
      <c r="B71" s="117" t="str">
        <f aca="false">IF(الموظفون!$B71="","",الموظفون!$B71)</f>
        <v/>
      </c>
      <c r="C71" s="117" t="str">
        <f aca="false">IF($B71="","",الموظفون!$C71)</f>
        <v/>
      </c>
      <c r="D71" s="117" t="str">
        <f aca="false">IF($B71="","",IF(الموظفون!$U71="نعم","نعم","لا"))</f>
        <v/>
      </c>
      <c r="E71" s="116" t="str">
        <f aca="false">IF($B71="","",N(الموظفون!$V71))</f>
        <v/>
      </c>
      <c r="F71" s="133" t="str">
        <f aca="false">IF($B71="","",N(الموظفون!$W71))</f>
        <v/>
      </c>
      <c r="G71" s="116" t="str">
        <f aca="false">IF($B71="","",IF(AND(D71="نعم",F71&gt;0),E71/F71,0))</f>
        <v/>
      </c>
      <c r="H71" s="175" t="str">
        <f aca="false">IF($B71="","",MAX(cfg_Y_START,الموظفون!$H71))</f>
        <v/>
      </c>
      <c r="I71" s="175" t="str">
        <f aca="false">IF($B71="","",IF(OR(الموظفون!$AE71="",الموظفون!$AE71&gt;cfg_VAL_DATE),cfg_VAL_DATE,الموظفون!$AE71))</f>
        <v/>
      </c>
      <c r="J71" s="133" t="str">
        <f aca="false">IF($B71="","",MAX(0,MAX(0,I71-H71+1)-(SUMIFS('سجل الإجازات والحالات'!$S$6:$S$505,'سجل الإجازات والحالات'!$B$6:$B$505,$B71)-SUMIFS('سجل الإجازات والحالات'!$R$6:$R$505,'سجل الإجازات والحالات'!$B$6:$B$505,$B71))))</f>
        <v/>
      </c>
      <c r="K71" s="116" t="str">
        <f aca="false">IF($B71="","",G71*12/cfg_DAYS_Y*J71)</f>
        <v/>
      </c>
      <c r="L71" s="116" t="str">
        <f aca="false">IF($B71="","",N(الموظفون!$AD71))</f>
        <v/>
      </c>
      <c r="M71" s="116" t="str">
        <f aca="false">IF($B71="","",SUMIFS('الحركات الشهرية'!$M$6:$M$1005,'الحركات الشهرية'!$B$6:$B$1005,B71,'الحركات الشهرية'!$A$6:$A$1005,"&lt;="&amp;cfg_VAL_M))</f>
        <v/>
      </c>
      <c r="N71" s="183" t="str">
        <f aca="false">IF($B71="","",L71+K71-M71)</f>
        <v/>
      </c>
      <c r="O71" s="180" t="str">
        <f aca="false">IF($B71="","",IF(E71&gt;0,N71/E71,0))</f>
        <v/>
      </c>
      <c r="P71" s="117" t="str">
        <f aca="false">IF($B71="","",IF(AND(D71="لا",N71&lt;&gt;0),"⚠ غير مستحق وله رصيد",IF(N71&lt;-0.01,"✖ استخدام أكثر من المكوّن",IF(AND(D71="نعم",O71&gt;=1),"⚠ تذكرة مستحقة للصرف","✔ سليم"))))</f>
        <v/>
      </c>
    </row>
    <row r="72" customFormat="false" ht="15" hidden="false" customHeight="false" outlineLevel="0" collapsed="false">
      <c r="B72" s="114" t="str">
        <f aca="false">IF(الموظفون!$B72="","",الموظفون!$B72)</f>
        <v/>
      </c>
      <c r="C72" s="114" t="str">
        <f aca="false">IF($B72="","",الموظفون!$C72)</f>
        <v/>
      </c>
      <c r="D72" s="114" t="str">
        <f aca="false">IF($B72="","",IF(الموظفون!$U72="نعم","نعم","لا"))</f>
        <v/>
      </c>
      <c r="E72" s="111" t="str">
        <f aca="false">IF($B72="","",N(الموظفون!$V72))</f>
        <v/>
      </c>
      <c r="F72" s="65" t="str">
        <f aca="false">IF($B72="","",N(الموظفون!$W72))</f>
        <v/>
      </c>
      <c r="G72" s="111" t="str">
        <f aca="false">IF($B72="","",IF(AND(D72="نعم",F72&gt;0),E72/F72,0))</f>
        <v/>
      </c>
      <c r="H72" s="174" t="str">
        <f aca="false">IF($B72="","",MAX(cfg_Y_START,الموظفون!$H72))</f>
        <v/>
      </c>
      <c r="I72" s="174" t="str">
        <f aca="false">IF($B72="","",IF(OR(الموظفون!$AE72="",الموظفون!$AE72&gt;cfg_VAL_DATE),cfg_VAL_DATE,الموظفون!$AE72))</f>
        <v/>
      </c>
      <c r="J72" s="65" t="str">
        <f aca="false">IF($B72="","",MAX(0,MAX(0,I72-H72+1)-(SUMIFS('سجل الإجازات والحالات'!$S$6:$S$505,'سجل الإجازات والحالات'!$B$6:$B$505,$B72)-SUMIFS('سجل الإجازات والحالات'!$R$6:$R$505,'سجل الإجازات والحالات'!$B$6:$B$505,$B72))))</f>
        <v/>
      </c>
      <c r="K72" s="111" t="str">
        <f aca="false">IF($B72="","",G72*12/cfg_DAYS_Y*J72)</f>
        <v/>
      </c>
      <c r="L72" s="111" t="str">
        <f aca="false">IF($B72="","",N(الموظفون!$AD72))</f>
        <v/>
      </c>
      <c r="M72" s="111" t="str">
        <f aca="false">IF($B72="","",SUMIFS('الحركات الشهرية'!$M$6:$M$1005,'الحركات الشهرية'!$B$6:$B$1005,B72,'الحركات الشهرية'!$A$6:$A$1005,"&lt;="&amp;cfg_VAL_M))</f>
        <v/>
      </c>
      <c r="N72" s="182" t="str">
        <f aca="false">IF($B72="","",L72+K72-M72)</f>
        <v/>
      </c>
      <c r="O72" s="179" t="str">
        <f aca="false">IF($B72="","",IF(E72&gt;0,N72/E72,0))</f>
        <v/>
      </c>
      <c r="P72" s="114" t="str">
        <f aca="false">IF($B72="","",IF(AND(D72="لا",N72&lt;&gt;0),"⚠ غير مستحق وله رصيد",IF(N72&lt;-0.01,"✖ استخدام أكثر من المكوّن",IF(AND(D72="نعم",O72&gt;=1),"⚠ تذكرة مستحقة للصرف","✔ سليم"))))</f>
        <v/>
      </c>
    </row>
    <row r="73" customFormat="false" ht="15" hidden="false" customHeight="false" outlineLevel="0" collapsed="false">
      <c r="B73" s="117" t="str">
        <f aca="false">IF(الموظفون!$B73="","",الموظفون!$B73)</f>
        <v/>
      </c>
      <c r="C73" s="117" t="str">
        <f aca="false">IF($B73="","",الموظفون!$C73)</f>
        <v/>
      </c>
      <c r="D73" s="117" t="str">
        <f aca="false">IF($B73="","",IF(الموظفون!$U73="نعم","نعم","لا"))</f>
        <v/>
      </c>
      <c r="E73" s="116" t="str">
        <f aca="false">IF($B73="","",N(الموظفون!$V73))</f>
        <v/>
      </c>
      <c r="F73" s="133" t="str">
        <f aca="false">IF($B73="","",N(الموظفون!$W73))</f>
        <v/>
      </c>
      <c r="G73" s="116" t="str">
        <f aca="false">IF($B73="","",IF(AND(D73="نعم",F73&gt;0),E73/F73,0))</f>
        <v/>
      </c>
      <c r="H73" s="175" t="str">
        <f aca="false">IF($B73="","",MAX(cfg_Y_START,الموظفون!$H73))</f>
        <v/>
      </c>
      <c r="I73" s="175" t="str">
        <f aca="false">IF($B73="","",IF(OR(الموظفون!$AE73="",الموظفون!$AE73&gt;cfg_VAL_DATE),cfg_VAL_DATE,الموظفون!$AE73))</f>
        <v/>
      </c>
      <c r="J73" s="133" t="str">
        <f aca="false">IF($B73="","",MAX(0,MAX(0,I73-H73+1)-(SUMIFS('سجل الإجازات والحالات'!$S$6:$S$505,'سجل الإجازات والحالات'!$B$6:$B$505,$B73)-SUMIFS('سجل الإجازات والحالات'!$R$6:$R$505,'سجل الإجازات والحالات'!$B$6:$B$505,$B73))))</f>
        <v/>
      </c>
      <c r="K73" s="116" t="str">
        <f aca="false">IF($B73="","",G73*12/cfg_DAYS_Y*J73)</f>
        <v/>
      </c>
      <c r="L73" s="116" t="str">
        <f aca="false">IF($B73="","",N(الموظفون!$AD73))</f>
        <v/>
      </c>
      <c r="M73" s="116" t="str">
        <f aca="false">IF($B73="","",SUMIFS('الحركات الشهرية'!$M$6:$M$1005,'الحركات الشهرية'!$B$6:$B$1005,B73,'الحركات الشهرية'!$A$6:$A$1005,"&lt;="&amp;cfg_VAL_M))</f>
        <v/>
      </c>
      <c r="N73" s="183" t="str">
        <f aca="false">IF($B73="","",L73+K73-M73)</f>
        <v/>
      </c>
      <c r="O73" s="180" t="str">
        <f aca="false">IF($B73="","",IF(E73&gt;0,N73/E73,0))</f>
        <v/>
      </c>
      <c r="P73" s="117" t="str">
        <f aca="false">IF($B73="","",IF(AND(D73="لا",N73&lt;&gt;0),"⚠ غير مستحق وله رصيد",IF(N73&lt;-0.01,"✖ استخدام أكثر من المكوّن",IF(AND(D73="نعم",O73&gt;=1),"⚠ تذكرة مستحقة للصرف","✔ سليم"))))</f>
        <v/>
      </c>
    </row>
    <row r="74" customFormat="false" ht="15" hidden="false" customHeight="false" outlineLevel="0" collapsed="false">
      <c r="B74" s="114" t="str">
        <f aca="false">IF(الموظفون!$B74="","",الموظفون!$B74)</f>
        <v/>
      </c>
      <c r="C74" s="114" t="str">
        <f aca="false">IF($B74="","",الموظفون!$C74)</f>
        <v/>
      </c>
      <c r="D74" s="114" t="str">
        <f aca="false">IF($B74="","",IF(الموظفون!$U74="نعم","نعم","لا"))</f>
        <v/>
      </c>
      <c r="E74" s="111" t="str">
        <f aca="false">IF($B74="","",N(الموظفون!$V74))</f>
        <v/>
      </c>
      <c r="F74" s="65" t="str">
        <f aca="false">IF($B74="","",N(الموظفون!$W74))</f>
        <v/>
      </c>
      <c r="G74" s="111" t="str">
        <f aca="false">IF($B74="","",IF(AND(D74="نعم",F74&gt;0),E74/F74,0))</f>
        <v/>
      </c>
      <c r="H74" s="174" t="str">
        <f aca="false">IF($B74="","",MAX(cfg_Y_START,الموظفون!$H74))</f>
        <v/>
      </c>
      <c r="I74" s="174" t="str">
        <f aca="false">IF($B74="","",IF(OR(الموظفون!$AE74="",الموظفون!$AE74&gt;cfg_VAL_DATE),cfg_VAL_DATE,الموظفون!$AE74))</f>
        <v/>
      </c>
      <c r="J74" s="65" t="str">
        <f aca="false">IF($B74="","",MAX(0,MAX(0,I74-H74+1)-(SUMIFS('سجل الإجازات والحالات'!$S$6:$S$505,'سجل الإجازات والحالات'!$B$6:$B$505,$B74)-SUMIFS('سجل الإجازات والحالات'!$R$6:$R$505,'سجل الإجازات والحالات'!$B$6:$B$505,$B74))))</f>
        <v/>
      </c>
      <c r="K74" s="111" t="str">
        <f aca="false">IF($B74="","",G74*12/cfg_DAYS_Y*J74)</f>
        <v/>
      </c>
      <c r="L74" s="111" t="str">
        <f aca="false">IF($B74="","",N(الموظفون!$AD74))</f>
        <v/>
      </c>
      <c r="M74" s="111" t="str">
        <f aca="false">IF($B74="","",SUMIFS('الحركات الشهرية'!$M$6:$M$1005,'الحركات الشهرية'!$B$6:$B$1005,B74,'الحركات الشهرية'!$A$6:$A$1005,"&lt;="&amp;cfg_VAL_M))</f>
        <v/>
      </c>
      <c r="N74" s="182" t="str">
        <f aca="false">IF($B74="","",L74+K74-M74)</f>
        <v/>
      </c>
      <c r="O74" s="179" t="str">
        <f aca="false">IF($B74="","",IF(E74&gt;0,N74/E74,0))</f>
        <v/>
      </c>
      <c r="P74" s="114" t="str">
        <f aca="false">IF($B74="","",IF(AND(D74="لا",N74&lt;&gt;0),"⚠ غير مستحق وله رصيد",IF(N74&lt;-0.01,"✖ استخدام أكثر من المكوّن",IF(AND(D74="نعم",O74&gt;=1),"⚠ تذكرة مستحقة للصرف","✔ سليم"))))</f>
        <v/>
      </c>
    </row>
    <row r="75" customFormat="false" ht="15" hidden="false" customHeight="false" outlineLevel="0" collapsed="false">
      <c r="B75" s="117" t="str">
        <f aca="false">IF(الموظفون!$B75="","",الموظفون!$B75)</f>
        <v/>
      </c>
      <c r="C75" s="117" t="str">
        <f aca="false">IF($B75="","",الموظفون!$C75)</f>
        <v/>
      </c>
      <c r="D75" s="117" t="str">
        <f aca="false">IF($B75="","",IF(الموظفون!$U75="نعم","نعم","لا"))</f>
        <v/>
      </c>
      <c r="E75" s="116" t="str">
        <f aca="false">IF($B75="","",N(الموظفون!$V75))</f>
        <v/>
      </c>
      <c r="F75" s="133" t="str">
        <f aca="false">IF($B75="","",N(الموظفون!$W75))</f>
        <v/>
      </c>
      <c r="G75" s="116" t="str">
        <f aca="false">IF($B75="","",IF(AND(D75="نعم",F75&gt;0),E75/F75,0))</f>
        <v/>
      </c>
      <c r="H75" s="175" t="str">
        <f aca="false">IF($B75="","",MAX(cfg_Y_START,الموظفون!$H75))</f>
        <v/>
      </c>
      <c r="I75" s="175" t="str">
        <f aca="false">IF($B75="","",IF(OR(الموظفون!$AE75="",الموظفون!$AE75&gt;cfg_VAL_DATE),cfg_VAL_DATE,الموظفون!$AE75))</f>
        <v/>
      </c>
      <c r="J75" s="133" t="str">
        <f aca="false">IF($B75="","",MAX(0,MAX(0,I75-H75+1)-(SUMIFS('سجل الإجازات والحالات'!$S$6:$S$505,'سجل الإجازات والحالات'!$B$6:$B$505,$B75)-SUMIFS('سجل الإجازات والحالات'!$R$6:$R$505,'سجل الإجازات والحالات'!$B$6:$B$505,$B75))))</f>
        <v/>
      </c>
      <c r="K75" s="116" t="str">
        <f aca="false">IF($B75="","",G75*12/cfg_DAYS_Y*J75)</f>
        <v/>
      </c>
      <c r="L75" s="116" t="str">
        <f aca="false">IF($B75="","",N(الموظفون!$AD75))</f>
        <v/>
      </c>
      <c r="M75" s="116" t="str">
        <f aca="false">IF($B75="","",SUMIFS('الحركات الشهرية'!$M$6:$M$1005,'الحركات الشهرية'!$B$6:$B$1005,B75,'الحركات الشهرية'!$A$6:$A$1005,"&lt;="&amp;cfg_VAL_M))</f>
        <v/>
      </c>
      <c r="N75" s="183" t="str">
        <f aca="false">IF($B75="","",L75+K75-M75)</f>
        <v/>
      </c>
      <c r="O75" s="180" t="str">
        <f aca="false">IF($B75="","",IF(E75&gt;0,N75/E75,0))</f>
        <v/>
      </c>
      <c r="P75" s="117" t="str">
        <f aca="false">IF($B75="","",IF(AND(D75="لا",N75&lt;&gt;0),"⚠ غير مستحق وله رصيد",IF(N75&lt;-0.01,"✖ استخدام أكثر من المكوّن",IF(AND(D75="نعم",O75&gt;=1),"⚠ تذكرة مستحقة للصرف","✔ سليم"))))</f>
        <v/>
      </c>
    </row>
    <row r="76" customFormat="false" ht="15" hidden="false" customHeight="false" outlineLevel="0" collapsed="false">
      <c r="B76" s="114" t="str">
        <f aca="false">IF(الموظفون!$B76="","",الموظفون!$B76)</f>
        <v/>
      </c>
      <c r="C76" s="114" t="str">
        <f aca="false">IF($B76="","",الموظفون!$C76)</f>
        <v/>
      </c>
      <c r="D76" s="114" t="str">
        <f aca="false">IF($B76="","",IF(الموظفون!$U76="نعم","نعم","لا"))</f>
        <v/>
      </c>
      <c r="E76" s="111" t="str">
        <f aca="false">IF($B76="","",N(الموظفون!$V76))</f>
        <v/>
      </c>
      <c r="F76" s="65" t="str">
        <f aca="false">IF($B76="","",N(الموظفون!$W76))</f>
        <v/>
      </c>
      <c r="G76" s="111" t="str">
        <f aca="false">IF($B76="","",IF(AND(D76="نعم",F76&gt;0),E76/F76,0))</f>
        <v/>
      </c>
      <c r="H76" s="174" t="str">
        <f aca="false">IF($B76="","",MAX(cfg_Y_START,الموظفون!$H76))</f>
        <v/>
      </c>
      <c r="I76" s="174" t="str">
        <f aca="false">IF($B76="","",IF(OR(الموظفون!$AE76="",الموظفون!$AE76&gt;cfg_VAL_DATE),cfg_VAL_DATE,الموظفون!$AE76))</f>
        <v/>
      </c>
      <c r="J76" s="65" t="str">
        <f aca="false">IF($B76="","",MAX(0,MAX(0,I76-H76+1)-(SUMIFS('سجل الإجازات والحالات'!$S$6:$S$505,'سجل الإجازات والحالات'!$B$6:$B$505,$B76)-SUMIFS('سجل الإجازات والحالات'!$R$6:$R$505,'سجل الإجازات والحالات'!$B$6:$B$505,$B76))))</f>
        <v/>
      </c>
      <c r="K76" s="111" t="str">
        <f aca="false">IF($B76="","",G76*12/cfg_DAYS_Y*J76)</f>
        <v/>
      </c>
      <c r="L76" s="111" t="str">
        <f aca="false">IF($B76="","",N(الموظفون!$AD76))</f>
        <v/>
      </c>
      <c r="M76" s="111" t="str">
        <f aca="false">IF($B76="","",SUMIFS('الحركات الشهرية'!$M$6:$M$1005,'الحركات الشهرية'!$B$6:$B$1005,B76,'الحركات الشهرية'!$A$6:$A$1005,"&lt;="&amp;cfg_VAL_M))</f>
        <v/>
      </c>
      <c r="N76" s="182" t="str">
        <f aca="false">IF($B76="","",L76+K76-M76)</f>
        <v/>
      </c>
      <c r="O76" s="179" t="str">
        <f aca="false">IF($B76="","",IF(E76&gt;0,N76/E76,0))</f>
        <v/>
      </c>
      <c r="P76" s="114" t="str">
        <f aca="false">IF($B76="","",IF(AND(D76="لا",N76&lt;&gt;0),"⚠ غير مستحق وله رصيد",IF(N76&lt;-0.01,"✖ استخدام أكثر من المكوّن",IF(AND(D76="نعم",O76&gt;=1),"⚠ تذكرة مستحقة للصرف","✔ سليم"))))</f>
        <v/>
      </c>
    </row>
    <row r="77" customFormat="false" ht="15" hidden="false" customHeight="false" outlineLevel="0" collapsed="false">
      <c r="B77" s="117" t="str">
        <f aca="false">IF(الموظفون!$B77="","",الموظفون!$B77)</f>
        <v/>
      </c>
      <c r="C77" s="117" t="str">
        <f aca="false">IF($B77="","",الموظفون!$C77)</f>
        <v/>
      </c>
      <c r="D77" s="117" t="str">
        <f aca="false">IF($B77="","",IF(الموظفون!$U77="نعم","نعم","لا"))</f>
        <v/>
      </c>
      <c r="E77" s="116" t="str">
        <f aca="false">IF($B77="","",N(الموظفون!$V77))</f>
        <v/>
      </c>
      <c r="F77" s="133" t="str">
        <f aca="false">IF($B77="","",N(الموظفون!$W77))</f>
        <v/>
      </c>
      <c r="G77" s="116" t="str">
        <f aca="false">IF($B77="","",IF(AND(D77="نعم",F77&gt;0),E77/F77,0))</f>
        <v/>
      </c>
      <c r="H77" s="175" t="str">
        <f aca="false">IF($B77="","",MAX(cfg_Y_START,الموظفون!$H77))</f>
        <v/>
      </c>
      <c r="I77" s="175" t="str">
        <f aca="false">IF($B77="","",IF(OR(الموظفون!$AE77="",الموظفون!$AE77&gt;cfg_VAL_DATE),cfg_VAL_DATE,الموظفون!$AE77))</f>
        <v/>
      </c>
      <c r="J77" s="133" t="str">
        <f aca="false">IF($B77="","",MAX(0,MAX(0,I77-H77+1)-(SUMIFS('سجل الإجازات والحالات'!$S$6:$S$505,'سجل الإجازات والحالات'!$B$6:$B$505,$B77)-SUMIFS('سجل الإجازات والحالات'!$R$6:$R$505,'سجل الإجازات والحالات'!$B$6:$B$505,$B77))))</f>
        <v/>
      </c>
      <c r="K77" s="116" t="str">
        <f aca="false">IF($B77="","",G77*12/cfg_DAYS_Y*J77)</f>
        <v/>
      </c>
      <c r="L77" s="116" t="str">
        <f aca="false">IF($B77="","",N(الموظفون!$AD77))</f>
        <v/>
      </c>
      <c r="M77" s="116" t="str">
        <f aca="false">IF($B77="","",SUMIFS('الحركات الشهرية'!$M$6:$M$1005,'الحركات الشهرية'!$B$6:$B$1005,B77,'الحركات الشهرية'!$A$6:$A$1005,"&lt;="&amp;cfg_VAL_M))</f>
        <v/>
      </c>
      <c r="N77" s="183" t="str">
        <f aca="false">IF($B77="","",L77+K77-M77)</f>
        <v/>
      </c>
      <c r="O77" s="180" t="str">
        <f aca="false">IF($B77="","",IF(E77&gt;0,N77/E77,0))</f>
        <v/>
      </c>
      <c r="P77" s="117" t="str">
        <f aca="false">IF($B77="","",IF(AND(D77="لا",N77&lt;&gt;0),"⚠ غير مستحق وله رصيد",IF(N77&lt;-0.01,"✖ استخدام أكثر من المكوّن",IF(AND(D77="نعم",O77&gt;=1),"⚠ تذكرة مستحقة للصرف","✔ سليم"))))</f>
        <v/>
      </c>
    </row>
    <row r="78" customFormat="false" ht="15" hidden="false" customHeight="false" outlineLevel="0" collapsed="false">
      <c r="B78" s="114" t="str">
        <f aca="false">IF(الموظفون!$B78="","",الموظفون!$B78)</f>
        <v/>
      </c>
      <c r="C78" s="114" t="str">
        <f aca="false">IF($B78="","",الموظفون!$C78)</f>
        <v/>
      </c>
      <c r="D78" s="114" t="str">
        <f aca="false">IF($B78="","",IF(الموظفون!$U78="نعم","نعم","لا"))</f>
        <v/>
      </c>
      <c r="E78" s="111" t="str">
        <f aca="false">IF($B78="","",N(الموظفون!$V78))</f>
        <v/>
      </c>
      <c r="F78" s="65" t="str">
        <f aca="false">IF($B78="","",N(الموظفون!$W78))</f>
        <v/>
      </c>
      <c r="G78" s="111" t="str">
        <f aca="false">IF($B78="","",IF(AND(D78="نعم",F78&gt;0),E78/F78,0))</f>
        <v/>
      </c>
      <c r="H78" s="174" t="str">
        <f aca="false">IF($B78="","",MAX(cfg_Y_START,الموظفون!$H78))</f>
        <v/>
      </c>
      <c r="I78" s="174" t="str">
        <f aca="false">IF($B78="","",IF(OR(الموظفون!$AE78="",الموظفون!$AE78&gt;cfg_VAL_DATE),cfg_VAL_DATE,الموظفون!$AE78))</f>
        <v/>
      </c>
      <c r="J78" s="65" t="str">
        <f aca="false">IF($B78="","",MAX(0,MAX(0,I78-H78+1)-(SUMIFS('سجل الإجازات والحالات'!$S$6:$S$505,'سجل الإجازات والحالات'!$B$6:$B$505,$B78)-SUMIFS('سجل الإجازات والحالات'!$R$6:$R$505,'سجل الإجازات والحالات'!$B$6:$B$505,$B78))))</f>
        <v/>
      </c>
      <c r="K78" s="111" t="str">
        <f aca="false">IF($B78="","",G78*12/cfg_DAYS_Y*J78)</f>
        <v/>
      </c>
      <c r="L78" s="111" t="str">
        <f aca="false">IF($B78="","",N(الموظفون!$AD78))</f>
        <v/>
      </c>
      <c r="M78" s="111" t="str">
        <f aca="false">IF($B78="","",SUMIFS('الحركات الشهرية'!$M$6:$M$1005,'الحركات الشهرية'!$B$6:$B$1005,B78,'الحركات الشهرية'!$A$6:$A$1005,"&lt;="&amp;cfg_VAL_M))</f>
        <v/>
      </c>
      <c r="N78" s="182" t="str">
        <f aca="false">IF($B78="","",L78+K78-M78)</f>
        <v/>
      </c>
      <c r="O78" s="179" t="str">
        <f aca="false">IF($B78="","",IF(E78&gt;0,N78/E78,0))</f>
        <v/>
      </c>
      <c r="P78" s="114" t="str">
        <f aca="false">IF($B78="","",IF(AND(D78="لا",N78&lt;&gt;0),"⚠ غير مستحق وله رصيد",IF(N78&lt;-0.01,"✖ استخدام أكثر من المكوّن",IF(AND(D78="نعم",O78&gt;=1),"⚠ تذكرة مستحقة للصرف","✔ سليم"))))</f>
        <v/>
      </c>
    </row>
    <row r="79" customFormat="false" ht="15" hidden="false" customHeight="false" outlineLevel="0" collapsed="false">
      <c r="B79" s="117" t="str">
        <f aca="false">IF(الموظفون!$B79="","",الموظفون!$B79)</f>
        <v/>
      </c>
      <c r="C79" s="117" t="str">
        <f aca="false">IF($B79="","",الموظفون!$C79)</f>
        <v/>
      </c>
      <c r="D79" s="117" t="str">
        <f aca="false">IF($B79="","",IF(الموظفون!$U79="نعم","نعم","لا"))</f>
        <v/>
      </c>
      <c r="E79" s="116" t="str">
        <f aca="false">IF($B79="","",N(الموظفون!$V79))</f>
        <v/>
      </c>
      <c r="F79" s="133" t="str">
        <f aca="false">IF($B79="","",N(الموظفون!$W79))</f>
        <v/>
      </c>
      <c r="G79" s="116" t="str">
        <f aca="false">IF($B79="","",IF(AND(D79="نعم",F79&gt;0),E79/F79,0))</f>
        <v/>
      </c>
      <c r="H79" s="175" t="str">
        <f aca="false">IF($B79="","",MAX(cfg_Y_START,الموظفون!$H79))</f>
        <v/>
      </c>
      <c r="I79" s="175" t="str">
        <f aca="false">IF($B79="","",IF(OR(الموظفون!$AE79="",الموظفون!$AE79&gt;cfg_VAL_DATE),cfg_VAL_DATE,الموظفون!$AE79))</f>
        <v/>
      </c>
      <c r="J79" s="133" t="str">
        <f aca="false">IF($B79="","",MAX(0,MAX(0,I79-H79+1)-(SUMIFS('سجل الإجازات والحالات'!$S$6:$S$505,'سجل الإجازات والحالات'!$B$6:$B$505,$B79)-SUMIFS('سجل الإجازات والحالات'!$R$6:$R$505,'سجل الإجازات والحالات'!$B$6:$B$505,$B79))))</f>
        <v/>
      </c>
      <c r="K79" s="116" t="str">
        <f aca="false">IF($B79="","",G79*12/cfg_DAYS_Y*J79)</f>
        <v/>
      </c>
      <c r="L79" s="116" t="str">
        <f aca="false">IF($B79="","",N(الموظفون!$AD79))</f>
        <v/>
      </c>
      <c r="M79" s="116" t="str">
        <f aca="false">IF($B79="","",SUMIFS('الحركات الشهرية'!$M$6:$M$1005,'الحركات الشهرية'!$B$6:$B$1005,B79,'الحركات الشهرية'!$A$6:$A$1005,"&lt;="&amp;cfg_VAL_M))</f>
        <v/>
      </c>
      <c r="N79" s="183" t="str">
        <f aca="false">IF($B79="","",L79+K79-M79)</f>
        <v/>
      </c>
      <c r="O79" s="180" t="str">
        <f aca="false">IF($B79="","",IF(E79&gt;0,N79/E79,0))</f>
        <v/>
      </c>
      <c r="P79" s="117" t="str">
        <f aca="false">IF($B79="","",IF(AND(D79="لا",N79&lt;&gt;0),"⚠ غير مستحق وله رصيد",IF(N79&lt;-0.01,"✖ استخدام أكثر من المكوّن",IF(AND(D79="نعم",O79&gt;=1),"⚠ تذكرة مستحقة للصرف","✔ سليم"))))</f>
        <v/>
      </c>
    </row>
    <row r="80" customFormat="false" ht="15" hidden="false" customHeight="false" outlineLevel="0" collapsed="false">
      <c r="B80" s="114" t="str">
        <f aca="false">IF(الموظفون!$B80="","",الموظفون!$B80)</f>
        <v/>
      </c>
      <c r="C80" s="114" t="str">
        <f aca="false">IF($B80="","",الموظفون!$C80)</f>
        <v/>
      </c>
      <c r="D80" s="114" t="str">
        <f aca="false">IF($B80="","",IF(الموظفون!$U80="نعم","نعم","لا"))</f>
        <v/>
      </c>
      <c r="E80" s="111" t="str">
        <f aca="false">IF($B80="","",N(الموظفون!$V80))</f>
        <v/>
      </c>
      <c r="F80" s="65" t="str">
        <f aca="false">IF($B80="","",N(الموظفون!$W80))</f>
        <v/>
      </c>
      <c r="G80" s="111" t="str">
        <f aca="false">IF($B80="","",IF(AND(D80="نعم",F80&gt;0),E80/F80,0))</f>
        <v/>
      </c>
      <c r="H80" s="174" t="str">
        <f aca="false">IF($B80="","",MAX(cfg_Y_START,الموظفون!$H80))</f>
        <v/>
      </c>
      <c r="I80" s="174" t="str">
        <f aca="false">IF($B80="","",IF(OR(الموظفون!$AE80="",الموظفون!$AE80&gt;cfg_VAL_DATE),cfg_VAL_DATE,الموظفون!$AE80))</f>
        <v/>
      </c>
      <c r="J80" s="65" t="str">
        <f aca="false">IF($B80="","",MAX(0,MAX(0,I80-H80+1)-(SUMIFS('سجل الإجازات والحالات'!$S$6:$S$505,'سجل الإجازات والحالات'!$B$6:$B$505,$B80)-SUMIFS('سجل الإجازات والحالات'!$R$6:$R$505,'سجل الإجازات والحالات'!$B$6:$B$505,$B80))))</f>
        <v/>
      </c>
      <c r="K80" s="111" t="str">
        <f aca="false">IF($B80="","",G80*12/cfg_DAYS_Y*J80)</f>
        <v/>
      </c>
      <c r="L80" s="111" t="str">
        <f aca="false">IF($B80="","",N(الموظفون!$AD80))</f>
        <v/>
      </c>
      <c r="M80" s="111" t="str">
        <f aca="false">IF($B80="","",SUMIFS('الحركات الشهرية'!$M$6:$M$1005,'الحركات الشهرية'!$B$6:$B$1005,B80,'الحركات الشهرية'!$A$6:$A$1005,"&lt;="&amp;cfg_VAL_M))</f>
        <v/>
      </c>
      <c r="N80" s="182" t="str">
        <f aca="false">IF($B80="","",L80+K80-M80)</f>
        <v/>
      </c>
      <c r="O80" s="179" t="str">
        <f aca="false">IF($B80="","",IF(E80&gt;0,N80/E80,0))</f>
        <v/>
      </c>
      <c r="P80" s="114" t="str">
        <f aca="false">IF($B80="","",IF(AND(D80="لا",N80&lt;&gt;0),"⚠ غير مستحق وله رصيد",IF(N80&lt;-0.01,"✖ استخدام أكثر من المكوّن",IF(AND(D80="نعم",O80&gt;=1),"⚠ تذكرة مستحقة للصرف","✔ سليم"))))</f>
        <v/>
      </c>
    </row>
    <row r="81" customFormat="false" ht="15" hidden="false" customHeight="false" outlineLevel="0" collapsed="false">
      <c r="B81" s="117" t="str">
        <f aca="false">IF(الموظفون!$B81="","",الموظفون!$B81)</f>
        <v/>
      </c>
      <c r="C81" s="117" t="str">
        <f aca="false">IF($B81="","",الموظفون!$C81)</f>
        <v/>
      </c>
      <c r="D81" s="117" t="str">
        <f aca="false">IF($B81="","",IF(الموظفون!$U81="نعم","نعم","لا"))</f>
        <v/>
      </c>
      <c r="E81" s="116" t="str">
        <f aca="false">IF($B81="","",N(الموظفون!$V81))</f>
        <v/>
      </c>
      <c r="F81" s="133" t="str">
        <f aca="false">IF($B81="","",N(الموظفون!$W81))</f>
        <v/>
      </c>
      <c r="G81" s="116" t="str">
        <f aca="false">IF($B81="","",IF(AND(D81="نعم",F81&gt;0),E81/F81,0))</f>
        <v/>
      </c>
      <c r="H81" s="175" t="str">
        <f aca="false">IF($B81="","",MAX(cfg_Y_START,الموظفون!$H81))</f>
        <v/>
      </c>
      <c r="I81" s="175" t="str">
        <f aca="false">IF($B81="","",IF(OR(الموظفون!$AE81="",الموظفون!$AE81&gt;cfg_VAL_DATE),cfg_VAL_DATE,الموظفون!$AE81))</f>
        <v/>
      </c>
      <c r="J81" s="133" t="str">
        <f aca="false">IF($B81="","",MAX(0,MAX(0,I81-H81+1)-(SUMIFS('سجل الإجازات والحالات'!$S$6:$S$505,'سجل الإجازات والحالات'!$B$6:$B$505,$B81)-SUMIFS('سجل الإجازات والحالات'!$R$6:$R$505,'سجل الإجازات والحالات'!$B$6:$B$505,$B81))))</f>
        <v/>
      </c>
      <c r="K81" s="116" t="str">
        <f aca="false">IF($B81="","",G81*12/cfg_DAYS_Y*J81)</f>
        <v/>
      </c>
      <c r="L81" s="116" t="str">
        <f aca="false">IF($B81="","",N(الموظفون!$AD81))</f>
        <v/>
      </c>
      <c r="M81" s="116" t="str">
        <f aca="false">IF($B81="","",SUMIFS('الحركات الشهرية'!$M$6:$M$1005,'الحركات الشهرية'!$B$6:$B$1005,B81,'الحركات الشهرية'!$A$6:$A$1005,"&lt;="&amp;cfg_VAL_M))</f>
        <v/>
      </c>
      <c r="N81" s="183" t="str">
        <f aca="false">IF($B81="","",L81+K81-M81)</f>
        <v/>
      </c>
      <c r="O81" s="180" t="str">
        <f aca="false">IF($B81="","",IF(E81&gt;0,N81/E81,0))</f>
        <v/>
      </c>
      <c r="P81" s="117" t="str">
        <f aca="false">IF($B81="","",IF(AND(D81="لا",N81&lt;&gt;0),"⚠ غير مستحق وله رصيد",IF(N81&lt;-0.01,"✖ استخدام أكثر من المكوّن",IF(AND(D81="نعم",O81&gt;=1),"⚠ تذكرة مستحقة للصرف","✔ سليم"))))</f>
        <v/>
      </c>
    </row>
    <row r="82" customFormat="false" ht="15" hidden="false" customHeight="false" outlineLevel="0" collapsed="false">
      <c r="B82" s="114" t="str">
        <f aca="false">IF(الموظفون!$B82="","",الموظفون!$B82)</f>
        <v/>
      </c>
      <c r="C82" s="114" t="str">
        <f aca="false">IF($B82="","",الموظفون!$C82)</f>
        <v/>
      </c>
      <c r="D82" s="114" t="str">
        <f aca="false">IF($B82="","",IF(الموظفون!$U82="نعم","نعم","لا"))</f>
        <v/>
      </c>
      <c r="E82" s="111" t="str">
        <f aca="false">IF($B82="","",N(الموظفون!$V82))</f>
        <v/>
      </c>
      <c r="F82" s="65" t="str">
        <f aca="false">IF($B82="","",N(الموظفون!$W82))</f>
        <v/>
      </c>
      <c r="G82" s="111" t="str">
        <f aca="false">IF($B82="","",IF(AND(D82="نعم",F82&gt;0),E82/F82,0))</f>
        <v/>
      </c>
      <c r="H82" s="174" t="str">
        <f aca="false">IF($B82="","",MAX(cfg_Y_START,الموظفون!$H82))</f>
        <v/>
      </c>
      <c r="I82" s="174" t="str">
        <f aca="false">IF($B82="","",IF(OR(الموظفون!$AE82="",الموظفون!$AE82&gt;cfg_VAL_DATE),cfg_VAL_DATE,الموظفون!$AE82))</f>
        <v/>
      </c>
      <c r="J82" s="65" t="str">
        <f aca="false">IF($B82="","",MAX(0,MAX(0,I82-H82+1)-(SUMIFS('سجل الإجازات والحالات'!$S$6:$S$505,'سجل الإجازات والحالات'!$B$6:$B$505,$B82)-SUMIFS('سجل الإجازات والحالات'!$R$6:$R$505,'سجل الإجازات والحالات'!$B$6:$B$505,$B82))))</f>
        <v/>
      </c>
      <c r="K82" s="111" t="str">
        <f aca="false">IF($B82="","",G82*12/cfg_DAYS_Y*J82)</f>
        <v/>
      </c>
      <c r="L82" s="111" t="str">
        <f aca="false">IF($B82="","",N(الموظفون!$AD82))</f>
        <v/>
      </c>
      <c r="M82" s="111" t="str">
        <f aca="false">IF($B82="","",SUMIFS('الحركات الشهرية'!$M$6:$M$1005,'الحركات الشهرية'!$B$6:$B$1005,B82,'الحركات الشهرية'!$A$6:$A$1005,"&lt;="&amp;cfg_VAL_M))</f>
        <v/>
      </c>
      <c r="N82" s="182" t="str">
        <f aca="false">IF($B82="","",L82+K82-M82)</f>
        <v/>
      </c>
      <c r="O82" s="179" t="str">
        <f aca="false">IF($B82="","",IF(E82&gt;0,N82/E82,0))</f>
        <v/>
      </c>
      <c r="P82" s="114" t="str">
        <f aca="false">IF($B82="","",IF(AND(D82="لا",N82&lt;&gt;0),"⚠ غير مستحق وله رصيد",IF(N82&lt;-0.01,"✖ استخدام أكثر من المكوّن",IF(AND(D82="نعم",O82&gt;=1),"⚠ تذكرة مستحقة للصرف","✔ سليم"))))</f>
        <v/>
      </c>
    </row>
    <row r="83" customFormat="false" ht="15" hidden="false" customHeight="false" outlineLevel="0" collapsed="false">
      <c r="B83" s="117" t="str">
        <f aca="false">IF(الموظفون!$B83="","",الموظفون!$B83)</f>
        <v/>
      </c>
      <c r="C83" s="117" t="str">
        <f aca="false">IF($B83="","",الموظفون!$C83)</f>
        <v/>
      </c>
      <c r="D83" s="117" t="str">
        <f aca="false">IF($B83="","",IF(الموظفون!$U83="نعم","نعم","لا"))</f>
        <v/>
      </c>
      <c r="E83" s="116" t="str">
        <f aca="false">IF($B83="","",N(الموظفون!$V83))</f>
        <v/>
      </c>
      <c r="F83" s="133" t="str">
        <f aca="false">IF($B83="","",N(الموظفون!$W83))</f>
        <v/>
      </c>
      <c r="G83" s="116" t="str">
        <f aca="false">IF($B83="","",IF(AND(D83="نعم",F83&gt;0),E83/F83,0))</f>
        <v/>
      </c>
      <c r="H83" s="175" t="str">
        <f aca="false">IF($B83="","",MAX(cfg_Y_START,الموظفون!$H83))</f>
        <v/>
      </c>
      <c r="I83" s="175" t="str">
        <f aca="false">IF($B83="","",IF(OR(الموظفون!$AE83="",الموظفون!$AE83&gt;cfg_VAL_DATE),cfg_VAL_DATE,الموظفون!$AE83))</f>
        <v/>
      </c>
      <c r="J83" s="133" t="str">
        <f aca="false">IF($B83="","",MAX(0,MAX(0,I83-H83+1)-(SUMIFS('سجل الإجازات والحالات'!$S$6:$S$505,'سجل الإجازات والحالات'!$B$6:$B$505,$B83)-SUMIFS('سجل الإجازات والحالات'!$R$6:$R$505,'سجل الإجازات والحالات'!$B$6:$B$505,$B83))))</f>
        <v/>
      </c>
      <c r="K83" s="116" t="str">
        <f aca="false">IF($B83="","",G83*12/cfg_DAYS_Y*J83)</f>
        <v/>
      </c>
      <c r="L83" s="116" t="str">
        <f aca="false">IF($B83="","",N(الموظفون!$AD83))</f>
        <v/>
      </c>
      <c r="M83" s="116" t="str">
        <f aca="false">IF($B83="","",SUMIFS('الحركات الشهرية'!$M$6:$M$1005,'الحركات الشهرية'!$B$6:$B$1005,B83,'الحركات الشهرية'!$A$6:$A$1005,"&lt;="&amp;cfg_VAL_M))</f>
        <v/>
      </c>
      <c r="N83" s="183" t="str">
        <f aca="false">IF($B83="","",L83+K83-M83)</f>
        <v/>
      </c>
      <c r="O83" s="180" t="str">
        <f aca="false">IF($B83="","",IF(E83&gt;0,N83/E83,0))</f>
        <v/>
      </c>
      <c r="P83" s="117" t="str">
        <f aca="false">IF($B83="","",IF(AND(D83="لا",N83&lt;&gt;0),"⚠ غير مستحق وله رصيد",IF(N83&lt;-0.01,"✖ استخدام أكثر من المكوّن",IF(AND(D83="نعم",O83&gt;=1),"⚠ تذكرة مستحقة للصرف","✔ سليم"))))</f>
        <v/>
      </c>
    </row>
    <row r="84" customFormat="false" ht="15" hidden="false" customHeight="false" outlineLevel="0" collapsed="false">
      <c r="B84" s="114" t="str">
        <f aca="false">IF(الموظفون!$B84="","",الموظفون!$B84)</f>
        <v/>
      </c>
      <c r="C84" s="114" t="str">
        <f aca="false">IF($B84="","",الموظفون!$C84)</f>
        <v/>
      </c>
      <c r="D84" s="114" t="str">
        <f aca="false">IF($B84="","",IF(الموظفون!$U84="نعم","نعم","لا"))</f>
        <v/>
      </c>
      <c r="E84" s="111" t="str">
        <f aca="false">IF($B84="","",N(الموظفون!$V84))</f>
        <v/>
      </c>
      <c r="F84" s="65" t="str">
        <f aca="false">IF($B84="","",N(الموظفون!$W84))</f>
        <v/>
      </c>
      <c r="G84" s="111" t="str">
        <f aca="false">IF($B84="","",IF(AND(D84="نعم",F84&gt;0),E84/F84,0))</f>
        <v/>
      </c>
      <c r="H84" s="174" t="str">
        <f aca="false">IF($B84="","",MAX(cfg_Y_START,الموظفون!$H84))</f>
        <v/>
      </c>
      <c r="I84" s="174" t="str">
        <f aca="false">IF($B84="","",IF(OR(الموظفون!$AE84="",الموظفون!$AE84&gt;cfg_VAL_DATE),cfg_VAL_DATE,الموظفون!$AE84))</f>
        <v/>
      </c>
      <c r="J84" s="65" t="str">
        <f aca="false">IF($B84="","",MAX(0,MAX(0,I84-H84+1)-(SUMIFS('سجل الإجازات والحالات'!$S$6:$S$505,'سجل الإجازات والحالات'!$B$6:$B$505,$B84)-SUMIFS('سجل الإجازات والحالات'!$R$6:$R$505,'سجل الإجازات والحالات'!$B$6:$B$505,$B84))))</f>
        <v/>
      </c>
      <c r="K84" s="111" t="str">
        <f aca="false">IF($B84="","",G84*12/cfg_DAYS_Y*J84)</f>
        <v/>
      </c>
      <c r="L84" s="111" t="str">
        <f aca="false">IF($B84="","",N(الموظفون!$AD84))</f>
        <v/>
      </c>
      <c r="M84" s="111" t="str">
        <f aca="false">IF($B84="","",SUMIFS('الحركات الشهرية'!$M$6:$M$1005,'الحركات الشهرية'!$B$6:$B$1005,B84,'الحركات الشهرية'!$A$6:$A$1005,"&lt;="&amp;cfg_VAL_M))</f>
        <v/>
      </c>
      <c r="N84" s="182" t="str">
        <f aca="false">IF($B84="","",L84+K84-M84)</f>
        <v/>
      </c>
      <c r="O84" s="179" t="str">
        <f aca="false">IF($B84="","",IF(E84&gt;0,N84/E84,0))</f>
        <v/>
      </c>
      <c r="P84" s="114" t="str">
        <f aca="false">IF($B84="","",IF(AND(D84="لا",N84&lt;&gt;0),"⚠ غير مستحق وله رصيد",IF(N84&lt;-0.01,"✖ استخدام أكثر من المكوّن",IF(AND(D84="نعم",O84&gt;=1),"⚠ تذكرة مستحقة للصرف","✔ سليم"))))</f>
        <v/>
      </c>
    </row>
    <row r="85" customFormat="false" ht="15" hidden="false" customHeight="false" outlineLevel="0" collapsed="false">
      <c r="B85" s="117" t="str">
        <f aca="false">IF(الموظفون!$B85="","",الموظفون!$B85)</f>
        <v/>
      </c>
      <c r="C85" s="117" t="str">
        <f aca="false">IF($B85="","",الموظفون!$C85)</f>
        <v/>
      </c>
      <c r="D85" s="117" t="str">
        <f aca="false">IF($B85="","",IF(الموظفون!$U85="نعم","نعم","لا"))</f>
        <v/>
      </c>
      <c r="E85" s="116" t="str">
        <f aca="false">IF($B85="","",N(الموظفون!$V85))</f>
        <v/>
      </c>
      <c r="F85" s="133" t="str">
        <f aca="false">IF($B85="","",N(الموظفون!$W85))</f>
        <v/>
      </c>
      <c r="G85" s="116" t="str">
        <f aca="false">IF($B85="","",IF(AND(D85="نعم",F85&gt;0),E85/F85,0))</f>
        <v/>
      </c>
      <c r="H85" s="175" t="str">
        <f aca="false">IF($B85="","",MAX(cfg_Y_START,الموظفون!$H85))</f>
        <v/>
      </c>
      <c r="I85" s="175" t="str">
        <f aca="false">IF($B85="","",IF(OR(الموظفون!$AE85="",الموظفون!$AE85&gt;cfg_VAL_DATE),cfg_VAL_DATE,الموظفون!$AE85))</f>
        <v/>
      </c>
      <c r="J85" s="133" t="str">
        <f aca="false">IF($B85="","",MAX(0,MAX(0,I85-H85+1)-(SUMIFS('سجل الإجازات والحالات'!$S$6:$S$505,'سجل الإجازات والحالات'!$B$6:$B$505,$B85)-SUMIFS('سجل الإجازات والحالات'!$R$6:$R$505,'سجل الإجازات والحالات'!$B$6:$B$505,$B85))))</f>
        <v/>
      </c>
      <c r="K85" s="116" t="str">
        <f aca="false">IF($B85="","",G85*12/cfg_DAYS_Y*J85)</f>
        <v/>
      </c>
      <c r="L85" s="116" t="str">
        <f aca="false">IF($B85="","",N(الموظفون!$AD85))</f>
        <v/>
      </c>
      <c r="M85" s="116" t="str">
        <f aca="false">IF($B85="","",SUMIFS('الحركات الشهرية'!$M$6:$M$1005,'الحركات الشهرية'!$B$6:$B$1005,B85,'الحركات الشهرية'!$A$6:$A$1005,"&lt;="&amp;cfg_VAL_M))</f>
        <v/>
      </c>
      <c r="N85" s="183" t="str">
        <f aca="false">IF($B85="","",L85+K85-M85)</f>
        <v/>
      </c>
      <c r="O85" s="180" t="str">
        <f aca="false">IF($B85="","",IF(E85&gt;0,N85/E85,0))</f>
        <v/>
      </c>
      <c r="P85" s="117" t="str">
        <f aca="false">IF($B85="","",IF(AND(D85="لا",N85&lt;&gt;0),"⚠ غير مستحق وله رصيد",IF(N85&lt;-0.01,"✖ استخدام أكثر من المكوّن",IF(AND(D85="نعم",O85&gt;=1),"⚠ تذكرة مستحقة للصرف","✔ سليم"))))</f>
        <v/>
      </c>
    </row>
    <row r="86" customFormat="false" ht="15" hidden="false" customHeight="false" outlineLevel="0" collapsed="false">
      <c r="B86" s="114" t="str">
        <f aca="false">IF(الموظفون!$B86="","",الموظفون!$B86)</f>
        <v/>
      </c>
      <c r="C86" s="114" t="str">
        <f aca="false">IF($B86="","",الموظفون!$C86)</f>
        <v/>
      </c>
      <c r="D86" s="114" t="str">
        <f aca="false">IF($B86="","",IF(الموظفون!$U86="نعم","نعم","لا"))</f>
        <v/>
      </c>
      <c r="E86" s="111" t="str">
        <f aca="false">IF($B86="","",N(الموظفون!$V86))</f>
        <v/>
      </c>
      <c r="F86" s="65" t="str">
        <f aca="false">IF($B86="","",N(الموظفون!$W86))</f>
        <v/>
      </c>
      <c r="G86" s="111" t="str">
        <f aca="false">IF($B86="","",IF(AND(D86="نعم",F86&gt;0),E86/F86,0))</f>
        <v/>
      </c>
      <c r="H86" s="174" t="str">
        <f aca="false">IF($B86="","",MAX(cfg_Y_START,الموظفون!$H86))</f>
        <v/>
      </c>
      <c r="I86" s="174" t="str">
        <f aca="false">IF($B86="","",IF(OR(الموظفون!$AE86="",الموظفون!$AE86&gt;cfg_VAL_DATE),cfg_VAL_DATE,الموظفون!$AE86))</f>
        <v/>
      </c>
      <c r="J86" s="65" t="str">
        <f aca="false">IF($B86="","",MAX(0,MAX(0,I86-H86+1)-(SUMIFS('سجل الإجازات والحالات'!$S$6:$S$505,'سجل الإجازات والحالات'!$B$6:$B$505,$B86)-SUMIFS('سجل الإجازات والحالات'!$R$6:$R$505,'سجل الإجازات والحالات'!$B$6:$B$505,$B86))))</f>
        <v/>
      </c>
      <c r="K86" s="111" t="str">
        <f aca="false">IF($B86="","",G86*12/cfg_DAYS_Y*J86)</f>
        <v/>
      </c>
      <c r="L86" s="111" t="str">
        <f aca="false">IF($B86="","",N(الموظفون!$AD86))</f>
        <v/>
      </c>
      <c r="M86" s="111" t="str">
        <f aca="false">IF($B86="","",SUMIFS('الحركات الشهرية'!$M$6:$M$1005,'الحركات الشهرية'!$B$6:$B$1005,B86,'الحركات الشهرية'!$A$6:$A$1005,"&lt;="&amp;cfg_VAL_M))</f>
        <v/>
      </c>
      <c r="N86" s="182" t="str">
        <f aca="false">IF($B86="","",L86+K86-M86)</f>
        <v/>
      </c>
      <c r="O86" s="179" t="str">
        <f aca="false">IF($B86="","",IF(E86&gt;0,N86/E86,0))</f>
        <v/>
      </c>
      <c r="P86" s="114" t="str">
        <f aca="false">IF($B86="","",IF(AND(D86="لا",N86&lt;&gt;0),"⚠ غير مستحق وله رصيد",IF(N86&lt;-0.01,"✖ استخدام أكثر من المكوّن",IF(AND(D86="نعم",O86&gt;=1),"⚠ تذكرة مستحقة للصرف","✔ سليم"))))</f>
        <v/>
      </c>
    </row>
    <row r="87" customFormat="false" ht="15" hidden="false" customHeight="false" outlineLevel="0" collapsed="false">
      <c r="B87" s="117" t="str">
        <f aca="false">IF(الموظفون!$B87="","",الموظفون!$B87)</f>
        <v/>
      </c>
      <c r="C87" s="117" t="str">
        <f aca="false">IF($B87="","",الموظفون!$C87)</f>
        <v/>
      </c>
      <c r="D87" s="117" t="str">
        <f aca="false">IF($B87="","",IF(الموظفون!$U87="نعم","نعم","لا"))</f>
        <v/>
      </c>
      <c r="E87" s="116" t="str">
        <f aca="false">IF($B87="","",N(الموظفون!$V87))</f>
        <v/>
      </c>
      <c r="F87" s="133" t="str">
        <f aca="false">IF($B87="","",N(الموظفون!$W87))</f>
        <v/>
      </c>
      <c r="G87" s="116" t="str">
        <f aca="false">IF($B87="","",IF(AND(D87="نعم",F87&gt;0),E87/F87,0))</f>
        <v/>
      </c>
      <c r="H87" s="175" t="str">
        <f aca="false">IF($B87="","",MAX(cfg_Y_START,الموظفون!$H87))</f>
        <v/>
      </c>
      <c r="I87" s="175" t="str">
        <f aca="false">IF($B87="","",IF(OR(الموظفون!$AE87="",الموظفون!$AE87&gt;cfg_VAL_DATE),cfg_VAL_DATE,الموظفون!$AE87))</f>
        <v/>
      </c>
      <c r="J87" s="133" t="str">
        <f aca="false">IF($B87="","",MAX(0,MAX(0,I87-H87+1)-(SUMIFS('سجل الإجازات والحالات'!$S$6:$S$505,'سجل الإجازات والحالات'!$B$6:$B$505,$B87)-SUMIFS('سجل الإجازات والحالات'!$R$6:$R$505,'سجل الإجازات والحالات'!$B$6:$B$505,$B87))))</f>
        <v/>
      </c>
      <c r="K87" s="116" t="str">
        <f aca="false">IF($B87="","",G87*12/cfg_DAYS_Y*J87)</f>
        <v/>
      </c>
      <c r="L87" s="116" t="str">
        <f aca="false">IF($B87="","",N(الموظفون!$AD87))</f>
        <v/>
      </c>
      <c r="M87" s="116" t="str">
        <f aca="false">IF($B87="","",SUMIFS('الحركات الشهرية'!$M$6:$M$1005,'الحركات الشهرية'!$B$6:$B$1005,B87,'الحركات الشهرية'!$A$6:$A$1005,"&lt;="&amp;cfg_VAL_M))</f>
        <v/>
      </c>
      <c r="N87" s="183" t="str">
        <f aca="false">IF($B87="","",L87+K87-M87)</f>
        <v/>
      </c>
      <c r="O87" s="180" t="str">
        <f aca="false">IF($B87="","",IF(E87&gt;0,N87/E87,0))</f>
        <v/>
      </c>
      <c r="P87" s="117" t="str">
        <f aca="false">IF($B87="","",IF(AND(D87="لا",N87&lt;&gt;0),"⚠ غير مستحق وله رصيد",IF(N87&lt;-0.01,"✖ استخدام أكثر من المكوّن",IF(AND(D87="نعم",O87&gt;=1),"⚠ تذكرة مستحقة للصرف","✔ سليم"))))</f>
        <v/>
      </c>
    </row>
    <row r="88" customFormat="false" ht="15" hidden="false" customHeight="false" outlineLevel="0" collapsed="false">
      <c r="B88" s="114" t="str">
        <f aca="false">IF(الموظفون!$B88="","",الموظفون!$B88)</f>
        <v/>
      </c>
      <c r="C88" s="114" t="str">
        <f aca="false">IF($B88="","",الموظفون!$C88)</f>
        <v/>
      </c>
      <c r="D88" s="114" t="str">
        <f aca="false">IF($B88="","",IF(الموظفون!$U88="نعم","نعم","لا"))</f>
        <v/>
      </c>
      <c r="E88" s="111" t="str">
        <f aca="false">IF($B88="","",N(الموظفون!$V88))</f>
        <v/>
      </c>
      <c r="F88" s="65" t="str">
        <f aca="false">IF($B88="","",N(الموظفون!$W88))</f>
        <v/>
      </c>
      <c r="G88" s="111" t="str">
        <f aca="false">IF($B88="","",IF(AND(D88="نعم",F88&gt;0),E88/F88,0))</f>
        <v/>
      </c>
      <c r="H88" s="174" t="str">
        <f aca="false">IF($B88="","",MAX(cfg_Y_START,الموظفون!$H88))</f>
        <v/>
      </c>
      <c r="I88" s="174" t="str">
        <f aca="false">IF($B88="","",IF(OR(الموظفون!$AE88="",الموظفون!$AE88&gt;cfg_VAL_DATE),cfg_VAL_DATE,الموظفون!$AE88))</f>
        <v/>
      </c>
      <c r="J88" s="65" t="str">
        <f aca="false">IF($B88="","",MAX(0,MAX(0,I88-H88+1)-(SUMIFS('سجل الإجازات والحالات'!$S$6:$S$505,'سجل الإجازات والحالات'!$B$6:$B$505,$B88)-SUMIFS('سجل الإجازات والحالات'!$R$6:$R$505,'سجل الإجازات والحالات'!$B$6:$B$505,$B88))))</f>
        <v/>
      </c>
      <c r="K88" s="111" t="str">
        <f aca="false">IF($B88="","",G88*12/cfg_DAYS_Y*J88)</f>
        <v/>
      </c>
      <c r="L88" s="111" t="str">
        <f aca="false">IF($B88="","",N(الموظفون!$AD88))</f>
        <v/>
      </c>
      <c r="M88" s="111" t="str">
        <f aca="false">IF($B88="","",SUMIFS('الحركات الشهرية'!$M$6:$M$1005,'الحركات الشهرية'!$B$6:$B$1005,B88,'الحركات الشهرية'!$A$6:$A$1005,"&lt;="&amp;cfg_VAL_M))</f>
        <v/>
      </c>
      <c r="N88" s="182" t="str">
        <f aca="false">IF($B88="","",L88+K88-M88)</f>
        <v/>
      </c>
      <c r="O88" s="179" t="str">
        <f aca="false">IF($B88="","",IF(E88&gt;0,N88/E88,0))</f>
        <v/>
      </c>
      <c r="P88" s="114" t="str">
        <f aca="false">IF($B88="","",IF(AND(D88="لا",N88&lt;&gt;0),"⚠ غير مستحق وله رصيد",IF(N88&lt;-0.01,"✖ استخدام أكثر من المكوّن",IF(AND(D88="نعم",O88&gt;=1),"⚠ تذكرة مستحقة للصرف","✔ سليم"))))</f>
        <v/>
      </c>
    </row>
    <row r="89" customFormat="false" ht="15" hidden="false" customHeight="false" outlineLevel="0" collapsed="false">
      <c r="B89" s="117" t="str">
        <f aca="false">IF(الموظفون!$B89="","",الموظفون!$B89)</f>
        <v/>
      </c>
      <c r="C89" s="117" t="str">
        <f aca="false">IF($B89="","",الموظفون!$C89)</f>
        <v/>
      </c>
      <c r="D89" s="117" t="str">
        <f aca="false">IF($B89="","",IF(الموظفون!$U89="نعم","نعم","لا"))</f>
        <v/>
      </c>
      <c r="E89" s="116" t="str">
        <f aca="false">IF($B89="","",N(الموظفون!$V89))</f>
        <v/>
      </c>
      <c r="F89" s="133" t="str">
        <f aca="false">IF($B89="","",N(الموظفون!$W89))</f>
        <v/>
      </c>
      <c r="G89" s="116" t="str">
        <f aca="false">IF($B89="","",IF(AND(D89="نعم",F89&gt;0),E89/F89,0))</f>
        <v/>
      </c>
      <c r="H89" s="175" t="str">
        <f aca="false">IF($B89="","",MAX(cfg_Y_START,الموظفون!$H89))</f>
        <v/>
      </c>
      <c r="I89" s="175" t="str">
        <f aca="false">IF($B89="","",IF(OR(الموظفون!$AE89="",الموظفون!$AE89&gt;cfg_VAL_DATE),cfg_VAL_DATE,الموظفون!$AE89))</f>
        <v/>
      </c>
      <c r="J89" s="133" t="str">
        <f aca="false">IF($B89="","",MAX(0,MAX(0,I89-H89+1)-(SUMIFS('سجل الإجازات والحالات'!$S$6:$S$505,'سجل الإجازات والحالات'!$B$6:$B$505,$B89)-SUMIFS('سجل الإجازات والحالات'!$R$6:$R$505,'سجل الإجازات والحالات'!$B$6:$B$505,$B89))))</f>
        <v/>
      </c>
      <c r="K89" s="116" t="str">
        <f aca="false">IF($B89="","",G89*12/cfg_DAYS_Y*J89)</f>
        <v/>
      </c>
      <c r="L89" s="116" t="str">
        <f aca="false">IF($B89="","",N(الموظفون!$AD89))</f>
        <v/>
      </c>
      <c r="M89" s="116" t="str">
        <f aca="false">IF($B89="","",SUMIFS('الحركات الشهرية'!$M$6:$M$1005,'الحركات الشهرية'!$B$6:$B$1005,B89,'الحركات الشهرية'!$A$6:$A$1005,"&lt;="&amp;cfg_VAL_M))</f>
        <v/>
      </c>
      <c r="N89" s="183" t="str">
        <f aca="false">IF($B89="","",L89+K89-M89)</f>
        <v/>
      </c>
      <c r="O89" s="180" t="str">
        <f aca="false">IF($B89="","",IF(E89&gt;0,N89/E89,0))</f>
        <v/>
      </c>
      <c r="P89" s="117" t="str">
        <f aca="false">IF($B89="","",IF(AND(D89="لا",N89&lt;&gt;0),"⚠ غير مستحق وله رصيد",IF(N89&lt;-0.01,"✖ استخدام أكثر من المكوّن",IF(AND(D89="نعم",O89&gt;=1),"⚠ تذكرة مستحقة للصرف","✔ سليم"))))</f>
        <v/>
      </c>
    </row>
    <row r="90" customFormat="false" ht="15" hidden="false" customHeight="false" outlineLevel="0" collapsed="false">
      <c r="B90" s="114" t="str">
        <f aca="false">IF(الموظفون!$B90="","",الموظفون!$B90)</f>
        <v/>
      </c>
      <c r="C90" s="114" t="str">
        <f aca="false">IF($B90="","",الموظفون!$C90)</f>
        <v/>
      </c>
      <c r="D90" s="114" t="str">
        <f aca="false">IF($B90="","",IF(الموظفون!$U90="نعم","نعم","لا"))</f>
        <v/>
      </c>
      <c r="E90" s="111" t="str">
        <f aca="false">IF($B90="","",N(الموظفون!$V90))</f>
        <v/>
      </c>
      <c r="F90" s="65" t="str">
        <f aca="false">IF($B90="","",N(الموظفون!$W90))</f>
        <v/>
      </c>
      <c r="G90" s="111" t="str">
        <f aca="false">IF($B90="","",IF(AND(D90="نعم",F90&gt;0),E90/F90,0))</f>
        <v/>
      </c>
      <c r="H90" s="174" t="str">
        <f aca="false">IF($B90="","",MAX(cfg_Y_START,الموظفون!$H90))</f>
        <v/>
      </c>
      <c r="I90" s="174" t="str">
        <f aca="false">IF($B90="","",IF(OR(الموظفون!$AE90="",الموظفون!$AE90&gt;cfg_VAL_DATE),cfg_VAL_DATE,الموظفون!$AE90))</f>
        <v/>
      </c>
      <c r="J90" s="65" t="str">
        <f aca="false">IF($B90="","",MAX(0,MAX(0,I90-H90+1)-(SUMIFS('سجل الإجازات والحالات'!$S$6:$S$505,'سجل الإجازات والحالات'!$B$6:$B$505,$B90)-SUMIFS('سجل الإجازات والحالات'!$R$6:$R$505,'سجل الإجازات والحالات'!$B$6:$B$505,$B90))))</f>
        <v/>
      </c>
      <c r="K90" s="111" t="str">
        <f aca="false">IF($B90="","",G90*12/cfg_DAYS_Y*J90)</f>
        <v/>
      </c>
      <c r="L90" s="111" t="str">
        <f aca="false">IF($B90="","",N(الموظفون!$AD90))</f>
        <v/>
      </c>
      <c r="M90" s="111" t="str">
        <f aca="false">IF($B90="","",SUMIFS('الحركات الشهرية'!$M$6:$M$1005,'الحركات الشهرية'!$B$6:$B$1005,B90,'الحركات الشهرية'!$A$6:$A$1005,"&lt;="&amp;cfg_VAL_M))</f>
        <v/>
      </c>
      <c r="N90" s="182" t="str">
        <f aca="false">IF($B90="","",L90+K90-M90)</f>
        <v/>
      </c>
      <c r="O90" s="179" t="str">
        <f aca="false">IF($B90="","",IF(E90&gt;0,N90/E90,0))</f>
        <v/>
      </c>
      <c r="P90" s="114" t="str">
        <f aca="false">IF($B90="","",IF(AND(D90="لا",N90&lt;&gt;0),"⚠ غير مستحق وله رصيد",IF(N90&lt;-0.01,"✖ استخدام أكثر من المكوّن",IF(AND(D90="نعم",O90&gt;=1),"⚠ تذكرة مستحقة للصرف","✔ سليم"))))</f>
        <v/>
      </c>
    </row>
    <row r="91" customFormat="false" ht="15" hidden="false" customHeight="false" outlineLevel="0" collapsed="false">
      <c r="B91" s="117" t="str">
        <f aca="false">IF(الموظفون!$B91="","",الموظفون!$B91)</f>
        <v/>
      </c>
      <c r="C91" s="117" t="str">
        <f aca="false">IF($B91="","",الموظفون!$C91)</f>
        <v/>
      </c>
      <c r="D91" s="117" t="str">
        <f aca="false">IF($B91="","",IF(الموظفون!$U91="نعم","نعم","لا"))</f>
        <v/>
      </c>
      <c r="E91" s="116" t="str">
        <f aca="false">IF($B91="","",N(الموظفون!$V91))</f>
        <v/>
      </c>
      <c r="F91" s="133" t="str">
        <f aca="false">IF($B91="","",N(الموظفون!$W91))</f>
        <v/>
      </c>
      <c r="G91" s="116" t="str">
        <f aca="false">IF($B91="","",IF(AND(D91="نعم",F91&gt;0),E91/F91,0))</f>
        <v/>
      </c>
      <c r="H91" s="175" t="str">
        <f aca="false">IF($B91="","",MAX(cfg_Y_START,الموظفون!$H91))</f>
        <v/>
      </c>
      <c r="I91" s="175" t="str">
        <f aca="false">IF($B91="","",IF(OR(الموظفون!$AE91="",الموظفون!$AE91&gt;cfg_VAL_DATE),cfg_VAL_DATE,الموظفون!$AE91))</f>
        <v/>
      </c>
      <c r="J91" s="133" t="str">
        <f aca="false">IF($B91="","",MAX(0,MAX(0,I91-H91+1)-(SUMIFS('سجل الإجازات والحالات'!$S$6:$S$505,'سجل الإجازات والحالات'!$B$6:$B$505,$B91)-SUMIFS('سجل الإجازات والحالات'!$R$6:$R$505,'سجل الإجازات والحالات'!$B$6:$B$505,$B91))))</f>
        <v/>
      </c>
      <c r="K91" s="116" t="str">
        <f aca="false">IF($B91="","",G91*12/cfg_DAYS_Y*J91)</f>
        <v/>
      </c>
      <c r="L91" s="116" t="str">
        <f aca="false">IF($B91="","",N(الموظفون!$AD91))</f>
        <v/>
      </c>
      <c r="M91" s="116" t="str">
        <f aca="false">IF($B91="","",SUMIFS('الحركات الشهرية'!$M$6:$M$1005,'الحركات الشهرية'!$B$6:$B$1005,B91,'الحركات الشهرية'!$A$6:$A$1005,"&lt;="&amp;cfg_VAL_M))</f>
        <v/>
      </c>
      <c r="N91" s="183" t="str">
        <f aca="false">IF($B91="","",L91+K91-M91)</f>
        <v/>
      </c>
      <c r="O91" s="180" t="str">
        <f aca="false">IF($B91="","",IF(E91&gt;0,N91/E91,0))</f>
        <v/>
      </c>
      <c r="P91" s="117" t="str">
        <f aca="false">IF($B91="","",IF(AND(D91="لا",N91&lt;&gt;0),"⚠ غير مستحق وله رصيد",IF(N91&lt;-0.01,"✖ استخدام أكثر من المكوّن",IF(AND(D91="نعم",O91&gt;=1),"⚠ تذكرة مستحقة للصرف","✔ سليم"))))</f>
        <v/>
      </c>
    </row>
    <row r="92" customFormat="false" ht="15" hidden="false" customHeight="false" outlineLevel="0" collapsed="false">
      <c r="B92" s="114" t="str">
        <f aca="false">IF(الموظفون!$B92="","",الموظفون!$B92)</f>
        <v/>
      </c>
      <c r="C92" s="114" t="str">
        <f aca="false">IF($B92="","",الموظفون!$C92)</f>
        <v/>
      </c>
      <c r="D92" s="114" t="str">
        <f aca="false">IF($B92="","",IF(الموظفون!$U92="نعم","نعم","لا"))</f>
        <v/>
      </c>
      <c r="E92" s="111" t="str">
        <f aca="false">IF($B92="","",N(الموظفون!$V92))</f>
        <v/>
      </c>
      <c r="F92" s="65" t="str">
        <f aca="false">IF($B92="","",N(الموظفون!$W92))</f>
        <v/>
      </c>
      <c r="G92" s="111" t="str">
        <f aca="false">IF($B92="","",IF(AND(D92="نعم",F92&gt;0),E92/F92,0))</f>
        <v/>
      </c>
      <c r="H92" s="174" t="str">
        <f aca="false">IF($B92="","",MAX(cfg_Y_START,الموظفون!$H92))</f>
        <v/>
      </c>
      <c r="I92" s="174" t="str">
        <f aca="false">IF($B92="","",IF(OR(الموظفون!$AE92="",الموظفون!$AE92&gt;cfg_VAL_DATE),cfg_VAL_DATE,الموظفون!$AE92))</f>
        <v/>
      </c>
      <c r="J92" s="65" t="str">
        <f aca="false">IF($B92="","",MAX(0,MAX(0,I92-H92+1)-(SUMIFS('سجل الإجازات والحالات'!$S$6:$S$505,'سجل الإجازات والحالات'!$B$6:$B$505,$B92)-SUMIFS('سجل الإجازات والحالات'!$R$6:$R$505,'سجل الإجازات والحالات'!$B$6:$B$505,$B92))))</f>
        <v/>
      </c>
      <c r="K92" s="111" t="str">
        <f aca="false">IF($B92="","",G92*12/cfg_DAYS_Y*J92)</f>
        <v/>
      </c>
      <c r="L92" s="111" t="str">
        <f aca="false">IF($B92="","",N(الموظفون!$AD92))</f>
        <v/>
      </c>
      <c r="M92" s="111" t="str">
        <f aca="false">IF($B92="","",SUMIFS('الحركات الشهرية'!$M$6:$M$1005,'الحركات الشهرية'!$B$6:$B$1005,B92,'الحركات الشهرية'!$A$6:$A$1005,"&lt;="&amp;cfg_VAL_M))</f>
        <v/>
      </c>
      <c r="N92" s="182" t="str">
        <f aca="false">IF($B92="","",L92+K92-M92)</f>
        <v/>
      </c>
      <c r="O92" s="179" t="str">
        <f aca="false">IF($B92="","",IF(E92&gt;0,N92/E92,0))</f>
        <v/>
      </c>
      <c r="P92" s="114" t="str">
        <f aca="false">IF($B92="","",IF(AND(D92="لا",N92&lt;&gt;0),"⚠ غير مستحق وله رصيد",IF(N92&lt;-0.01,"✖ استخدام أكثر من المكوّن",IF(AND(D92="نعم",O92&gt;=1),"⚠ تذكرة مستحقة للصرف","✔ سليم"))))</f>
        <v/>
      </c>
    </row>
    <row r="93" customFormat="false" ht="15" hidden="false" customHeight="false" outlineLevel="0" collapsed="false">
      <c r="B93" s="117" t="str">
        <f aca="false">IF(الموظفون!$B93="","",الموظفون!$B93)</f>
        <v/>
      </c>
      <c r="C93" s="117" t="str">
        <f aca="false">IF($B93="","",الموظفون!$C93)</f>
        <v/>
      </c>
      <c r="D93" s="117" t="str">
        <f aca="false">IF($B93="","",IF(الموظفون!$U93="نعم","نعم","لا"))</f>
        <v/>
      </c>
      <c r="E93" s="116" t="str">
        <f aca="false">IF($B93="","",N(الموظفون!$V93))</f>
        <v/>
      </c>
      <c r="F93" s="133" t="str">
        <f aca="false">IF($B93="","",N(الموظفون!$W93))</f>
        <v/>
      </c>
      <c r="G93" s="116" t="str">
        <f aca="false">IF($B93="","",IF(AND(D93="نعم",F93&gt;0),E93/F93,0))</f>
        <v/>
      </c>
      <c r="H93" s="175" t="str">
        <f aca="false">IF($B93="","",MAX(cfg_Y_START,الموظفون!$H93))</f>
        <v/>
      </c>
      <c r="I93" s="175" t="str">
        <f aca="false">IF($B93="","",IF(OR(الموظفون!$AE93="",الموظفون!$AE93&gt;cfg_VAL_DATE),cfg_VAL_DATE,الموظفون!$AE93))</f>
        <v/>
      </c>
      <c r="J93" s="133" t="str">
        <f aca="false">IF($B93="","",MAX(0,MAX(0,I93-H93+1)-(SUMIFS('سجل الإجازات والحالات'!$S$6:$S$505,'سجل الإجازات والحالات'!$B$6:$B$505,$B93)-SUMIFS('سجل الإجازات والحالات'!$R$6:$R$505,'سجل الإجازات والحالات'!$B$6:$B$505,$B93))))</f>
        <v/>
      </c>
      <c r="K93" s="116" t="str">
        <f aca="false">IF($B93="","",G93*12/cfg_DAYS_Y*J93)</f>
        <v/>
      </c>
      <c r="L93" s="116" t="str">
        <f aca="false">IF($B93="","",N(الموظفون!$AD93))</f>
        <v/>
      </c>
      <c r="M93" s="116" t="str">
        <f aca="false">IF($B93="","",SUMIFS('الحركات الشهرية'!$M$6:$M$1005,'الحركات الشهرية'!$B$6:$B$1005,B93,'الحركات الشهرية'!$A$6:$A$1005,"&lt;="&amp;cfg_VAL_M))</f>
        <v/>
      </c>
      <c r="N93" s="183" t="str">
        <f aca="false">IF($B93="","",L93+K93-M93)</f>
        <v/>
      </c>
      <c r="O93" s="180" t="str">
        <f aca="false">IF($B93="","",IF(E93&gt;0,N93/E93,0))</f>
        <v/>
      </c>
      <c r="P93" s="117" t="str">
        <f aca="false">IF($B93="","",IF(AND(D93="لا",N93&lt;&gt;0),"⚠ غير مستحق وله رصيد",IF(N93&lt;-0.01,"✖ استخدام أكثر من المكوّن",IF(AND(D93="نعم",O93&gt;=1),"⚠ تذكرة مستحقة للصرف","✔ سليم"))))</f>
        <v/>
      </c>
    </row>
    <row r="94" customFormat="false" ht="15" hidden="false" customHeight="false" outlineLevel="0" collapsed="false">
      <c r="B94" s="114" t="str">
        <f aca="false">IF(الموظفون!$B94="","",الموظفون!$B94)</f>
        <v/>
      </c>
      <c r="C94" s="114" t="str">
        <f aca="false">IF($B94="","",الموظفون!$C94)</f>
        <v/>
      </c>
      <c r="D94" s="114" t="str">
        <f aca="false">IF($B94="","",IF(الموظفون!$U94="نعم","نعم","لا"))</f>
        <v/>
      </c>
      <c r="E94" s="111" t="str">
        <f aca="false">IF($B94="","",N(الموظفون!$V94))</f>
        <v/>
      </c>
      <c r="F94" s="65" t="str">
        <f aca="false">IF($B94="","",N(الموظفون!$W94))</f>
        <v/>
      </c>
      <c r="G94" s="111" t="str">
        <f aca="false">IF($B94="","",IF(AND(D94="نعم",F94&gt;0),E94/F94,0))</f>
        <v/>
      </c>
      <c r="H94" s="174" t="str">
        <f aca="false">IF($B94="","",MAX(cfg_Y_START,الموظفون!$H94))</f>
        <v/>
      </c>
      <c r="I94" s="174" t="str">
        <f aca="false">IF($B94="","",IF(OR(الموظفون!$AE94="",الموظفون!$AE94&gt;cfg_VAL_DATE),cfg_VAL_DATE,الموظفون!$AE94))</f>
        <v/>
      </c>
      <c r="J94" s="65" t="str">
        <f aca="false">IF($B94="","",MAX(0,MAX(0,I94-H94+1)-(SUMIFS('سجل الإجازات والحالات'!$S$6:$S$505,'سجل الإجازات والحالات'!$B$6:$B$505,$B94)-SUMIFS('سجل الإجازات والحالات'!$R$6:$R$505,'سجل الإجازات والحالات'!$B$6:$B$505,$B94))))</f>
        <v/>
      </c>
      <c r="K94" s="111" t="str">
        <f aca="false">IF($B94="","",G94*12/cfg_DAYS_Y*J94)</f>
        <v/>
      </c>
      <c r="L94" s="111" t="str">
        <f aca="false">IF($B94="","",N(الموظفون!$AD94))</f>
        <v/>
      </c>
      <c r="M94" s="111" t="str">
        <f aca="false">IF($B94="","",SUMIFS('الحركات الشهرية'!$M$6:$M$1005,'الحركات الشهرية'!$B$6:$B$1005,B94,'الحركات الشهرية'!$A$6:$A$1005,"&lt;="&amp;cfg_VAL_M))</f>
        <v/>
      </c>
      <c r="N94" s="182" t="str">
        <f aca="false">IF($B94="","",L94+K94-M94)</f>
        <v/>
      </c>
      <c r="O94" s="179" t="str">
        <f aca="false">IF($B94="","",IF(E94&gt;0,N94/E94,0))</f>
        <v/>
      </c>
      <c r="P94" s="114" t="str">
        <f aca="false">IF($B94="","",IF(AND(D94="لا",N94&lt;&gt;0),"⚠ غير مستحق وله رصيد",IF(N94&lt;-0.01,"✖ استخدام أكثر من المكوّن",IF(AND(D94="نعم",O94&gt;=1),"⚠ تذكرة مستحقة للصرف","✔ سليم"))))</f>
        <v/>
      </c>
    </row>
    <row r="95" customFormat="false" ht="15" hidden="false" customHeight="false" outlineLevel="0" collapsed="false">
      <c r="B95" s="117" t="str">
        <f aca="false">IF(الموظفون!$B95="","",الموظفون!$B95)</f>
        <v/>
      </c>
      <c r="C95" s="117" t="str">
        <f aca="false">IF($B95="","",الموظفون!$C95)</f>
        <v/>
      </c>
      <c r="D95" s="117" t="str">
        <f aca="false">IF($B95="","",IF(الموظفون!$U95="نعم","نعم","لا"))</f>
        <v/>
      </c>
      <c r="E95" s="116" t="str">
        <f aca="false">IF($B95="","",N(الموظفون!$V95))</f>
        <v/>
      </c>
      <c r="F95" s="133" t="str">
        <f aca="false">IF($B95="","",N(الموظفون!$W95))</f>
        <v/>
      </c>
      <c r="G95" s="116" t="str">
        <f aca="false">IF($B95="","",IF(AND(D95="نعم",F95&gt;0),E95/F95,0))</f>
        <v/>
      </c>
      <c r="H95" s="175" t="str">
        <f aca="false">IF($B95="","",MAX(cfg_Y_START,الموظفون!$H95))</f>
        <v/>
      </c>
      <c r="I95" s="175" t="str">
        <f aca="false">IF($B95="","",IF(OR(الموظفون!$AE95="",الموظفون!$AE95&gt;cfg_VAL_DATE),cfg_VAL_DATE,الموظفون!$AE95))</f>
        <v/>
      </c>
      <c r="J95" s="133" t="str">
        <f aca="false">IF($B95="","",MAX(0,MAX(0,I95-H95+1)-(SUMIFS('سجل الإجازات والحالات'!$S$6:$S$505,'سجل الإجازات والحالات'!$B$6:$B$505,$B95)-SUMIFS('سجل الإجازات والحالات'!$R$6:$R$505,'سجل الإجازات والحالات'!$B$6:$B$505,$B95))))</f>
        <v/>
      </c>
      <c r="K95" s="116" t="str">
        <f aca="false">IF($B95="","",G95*12/cfg_DAYS_Y*J95)</f>
        <v/>
      </c>
      <c r="L95" s="116" t="str">
        <f aca="false">IF($B95="","",N(الموظفون!$AD95))</f>
        <v/>
      </c>
      <c r="M95" s="116" t="str">
        <f aca="false">IF($B95="","",SUMIFS('الحركات الشهرية'!$M$6:$M$1005,'الحركات الشهرية'!$B$6:$B$1005,B95,'الحركات الشهرية'!$A$6:$A$1005,"&lt;="&amp;cfg_VAL_M))</f>
        <v/>
      </c>
      <c r="N95" s="183" t="str">
        <f aca="false">IF($B95="","",L95+K95-M95)</f>
        <v/>
      </c>
      <c r="O95" s="180" t="str">
        <f aca="false">IF($B95="","",IF(E95&gt;0,N95/E95,0))</f>
        <v/>
      </c>
      <c r="P95" s="117" t="str">
        <f aca="false">IF($B95="","",IF(AND(D95="لا",N95&lt;&gt;0),"⚠ غير مستحق وله رصيد",IF(N95&lt;-0.01,"✖ استخدام أكثر من المكوّن",IF(AND(D95="نعم",O95&gt;=1),"⚠ تذكرة مستحقة للصرف","✔ سليم"))))</f>
        <v/>
      </c>
    </row>
    <row r="96" customFormat="false" ht="15" hidden="false" customHeight="false" outlineLevel="0" collapsed="false">
      <c r="B96" s="114" t="str">
        <f aca="false">IF(الموظفون!$B96="","",الموظفون!$B96)</f>
        <v/>
      </c>
      <c r="C96" s="114" t="str">
        <f aca="false">IF($B96="","",الموظفون!$C96)</f>
        <v/>
      </c>
      <c r="D96" s="114" t="str">
        <f aca="false">IF($B96="","",IF(الموظفون!$U96="نعم","نعم","لا"))</f>
        <v/>
      </c>
      <c r="E96" s="111" t="str">
        <f aca="false">IF($B96="","",N(الموظفون!$V96))</f>
        <v/>
      </c>
      <c r="F96" s="65" t="str">
        <f aca="false">IF($B96="","",N(الموظفون!$W96))</f>
        <v/>
      </c>
      <c r="G96" s="111" t="str">
        <f aca="false">IF($B96="","",IF(AND(D96="نعم",F96&gt;0),E96/F96,0))</f>
        <v/>
      </c>
      <c r="H96" s="174" t="str">
        <f aca="false">IF($B96="","",MAX(cfg_Y_START,الموظفون!$H96))</f>
        <v/>
      </c>
      <c r="I96" s="174" t="str">
        <f aca="false">IF($B96="","",IF(OR(الموظفون!$AE96="",الموظفون!$AE96&gt;cfg_VAL_DATE),cfg_VAL_DATE,الموظفون!$AE96))</f>
        <v/>
      </c>
      <c r="J96" s="65" t="str">
        <f aca="false">IF($B96="","",MAX(0,MAX(0,I96-H96+1)-(SUMIFS('سجل الإجازات والحالات'!$S$6:$S$505,'سجل الإجازات والحالات'!$B$6:$B$505,$B96)-SUMIFS('سجل الإجازات والحالات'!$R$6:$R$505,'سجل الإجازات والحالات'!$B$6:$B$505,$B96))))</f>
        <v/>
      </c>
      <c r="K96" s="111" t="str">
        <f aca="false">IF($B96="","",G96*12/cfg_DAYS_Y*J96)</f>
        <v/>
      </c>
      <c r="L96" s="111" t="str">
        <f aca="false">IF($B96="","",N(الموظفون!$AD96))</f>
        <v/>
      </c>
      <c r="M96" s="111" t="str">
        <f aca="false">IF($B96="","",SUMIFS('الحركات الشهرية'!$M$6:$M$1005,'الحركات الشهرية'!$B$6:$B$1005,B96,'الحركات الشهرية'!$A$6:$A$1005,"&lt;="&amp;cfg_VAL_M))</f>
        <v/>
      </c>
      <c r="N96" s="182" t="str">
        <f aca="false">IF($B96="","",L96+K96-M96)</f>
        <v/>
      </c>
      <c r="O96" s="179" t="str">
        <f aca="false">IF($B96="","",IF(E96&gt;0,N96/E96,0))</f>
        <v/>
      </c>
      <c r="P96" s="114" t="str">
        <f aca="false">IF($B96="","",IF(AND(D96="لا",N96&lt;&gt;0),"⚠ غير مستحق وله رصيد",IF(N96&lt;-0.01,"✖ استخدام أكثر من المكوّن",IF(AND(D96="نعم",O96&gt;=1),"⚠ تذكرة مستحقة للصرف","✔ سليم"))))</f>
        <v/>
      </c>
    </row>
    <row r="97" customFormat="false" ht="15" hidden="false" customHeight="false" outlineLevel="0" collapsed="false">
      <c r="B97" s="117" t="str">
        <f aca="false">IF(الموظفون!$B97="","",الموظفون!$B97)</f>
        <v/>
      </c>
      <c r="C97" s="117" t="str">
        <f aca="false">IF($B97="","",الموظفون!$C97)</f>
        <v/>
      </c>
      <c r="D97" s="117" t="str">
        <f aca="false">IF($B97="","",IF(الموظفون!$U97="نعم","نعم","لا"))</f>
        <v/>
      </c>
      <c r="E97" s="116" t="str">
        <f aca="false">IF($B97="","",N(الموظفون!$V97))</f>
        <v/>
      </c>
      <c r="F97" s="133" t="str">
        <f aca="false">IF($B97="","",N(الموظفون!$W97))</f>
        <v/>
      </c>
      <c r="G97" s="116" t="str">
        <f aca="false">IF($B97="","",IF(AND(D97="نعم",F97&gt;0),E97/F97,0))</f>
        <v/>
      </c>
      <c r="H97" s="175" t="str">
        <f aca="false">IF($B97="","",MAX(cfg_Y_START,الموظفون!$H97))</f>
        <v/>
      </c>
      <c r="I97" s="175" t="str">
        <f aca="false">IF($B97="","",IF(OR(الموظفون!$AE97="",الموظفون!$AE97&gt;cfg_VAL_DATE),cfg_VAL_DATE,الموظفون!$AE97))</f>
        <v/>
      </c>
      <c r="J97" s="133" t="str">
        <f aca="false">IF($B97="","",MAX(0,MAX(0,I97-H97+1)-(SUMIFS('سجل الإجازات والحالات'!$S$6:$S$505,'سجل الإجازات والحالات'!$B$6:$B$505,$B97)-SUMIFS('سجل الإجازات والحالات'!$R$6:$R$505,'سجل الإجازات والحالات'!$B$6:$B$505,$B97))))</f>
        <v/>
      </c>
      <c r="K97" s="116" t="str">
        <f aca="false">IF($B97="","",G97*12/cfg_DAYS_Y*J97)</f>
        <v/>
      </c>
      <c r="L97" s="116" t="str">
        <f aca="false">IF($B97="","",N(الموظفون!$AD97))</f>
        <v/>
      </c>
      <c r="M97" s="116" t="str">
        <f aca="false">IF($B97="","",SUMIFS('الحركات الشهرية'!$M$6:$M$1005,'الحركات الشهرية'!$B$6:$B$1005,B97,'الحركات الشهرية'!$A$6:$A$1005,"&lt;="&amp;cfg_VAL_M))</f>
        <v/>
      </c>
      <c r="N97" s="183" t="str">
        <f aca="false">IF($B97="","",L97+K97-M97)</f>
        <v/>
      </c>
      <c r="O97" s="180" t="str">
        <f aca="false">IF($B97="","",IF(E97&gt;0,N97/E97,0))</f>
        <v/>
      </c>
      <c r="P97" s="117" t="str">
        <f aca="false">IF($B97="","",IF(AND(D97="لا",N97&lt;&gt;0),"⚠ غير مستحق وله رصيد",IF(N97&lt;-0.01,"✖ استخدام أكثر من المكوّن",IF(AND(D97="نعم",O97&gt;=1),"⚠ تذكرة مستحقة للصرف","✔ سليم"))))</f>
        <v/>
      </c>
    </row>
    <row r="98" customFormat="false" ht="15" hidden="false" customHeight="false" outlineLevel="0" collapsed="false">
      <c r="B98" s="114" t="str">
        <f aca="false">IF(الموظفون!$B98="","",الموظفون!$B98)</f>
        <v/>
      </c>
      <c r="C98" s="114" t="str">
        <f aca="false">IF($B98="","",الموظفون!$C98)</f>
        <v/>
      </c>
      <c r="D98" s="114" t="str">
        <f aca="false">IF($B98="","",IF(الموظفون!$U98="نعم","نعم","لا"))</f>
        <v/>
      </c>
      <c r="E98" s="111" t="str">
        <f aca="false">IF($B98="","",N(الموظفون!$V98))</f>
        <v/>
      </c>
      <c r="F98" s="65" t="str">
        <f aca="false">IF($B98="","",N(الموظفون!$W98))</f>
        <v/>
      </c>
      <c r="G98" s="111" t="str">
        <f aca="false">IF($B98="","",IF(AND(D98="نعم",F98&gt;0),E98/F98,0))</f>
        <v/>
      </c>
      <c r="H98" s="174" t="str">
        <f aca="false">IF($B98="","",MAX(cfg_Y_START,الموظفون!$H98))</f>
        <v/>
      </c>
      <c r="I98" s="174" t="str">
        <f aca="false">IF($B98="","",IF(OR(الموظفون!$AE98="",الموظفون!$AE98&gt;cfg_VAL_DATE),cfg_VAL_DATE,الموظفون!$AE98))</f>
        <v/>
      </c>
      <c r="J98" s="65" t="str">
        <f aca="false">IF($B98="","",MAX(0,MAX(0,I98-H98+1)-(SUMIFS('سجل الإجازات والحالات'!$S$6:$S$505,'سجل الإجازات والحالات'!$B$6:$B$505,$B98)-SUMIFS('سجل الإجازات والحالات'!$R$6:$R$505,'سجل الإجازات والحالات'!$B$6:$B$505,$B98))))</f>
        <v/>
      </c>
      <c r="K98" s="111" t="str">
        <f aca="false">IF($B98="","",G98*12/cfg_DAYS_Y*J98)</f>
        <v/>
      </c>
      <c r="L98" s="111" t="str">
        <f aca="false">IF($B98="","",N(الموظفون!$AD98))</f>
        <v/>
      </c>
      <c r="M98" s="111" t="str">
        <f aca="false">IF($B98="","",SUMIFS('الحركات الشهرية'!$M$6:$M$1005,'الحركات الشهرية'!$B$6:$B$1005,B98,'الحركات الشهرية'!$A$6:$A$1005,"&lt;="&amp;cfg_VAL_M))</f>
        <v/>
      </c>
      <c r="N98" s="182" t="str">
        <f aca="false">IF($B98="","",L98+K98-M98)</f>
        <v/>
      </c>
      <c r="O98" s="179" t="str">
        <f aca="false">IF($B98="","",IF(E98&gt;0,N98/E98,0))</f>
        <v/>
      </c>
      <c r="P98" s="114" t="str">
        <f aca="false">IF($B98="","",IF(AND(D98="لا",N98&lt;&gt;0),"⚠ غير مستحق وله رصيد",IF(N98&lt;-0.01,"✖ استخدام أكثر من المكوّن",IF(AND(D98="نعم",O98&gt;=1),"⚠ تذكرة مستحقة للصرف","✔ سليم"))))</f>
        <v/>
      </c>
    </row>
    <row r="99" customFormat="false" ht="15" hidden="false" customHeight="false" outlineLevel="0" collapsed="false">
      <c r="B99" s="117" t="str">
        <f aca="false">IF(الموظفون!$B99="","",الموظفون!$B99)</f>
        <v/>
      </c>
      <c r="C99" s="117" t="str">
        <f aca="false">IF($B99="","",الموظفون!$C99)</f>
        <v/>
      </c>
      <c r="D99" s="117" t="str">
        <f aca="false">IF($B99="","",IF(الموظفون!$U99="نعم","نعم","لا"))</f>
        <v/>
      </c>
      <c r="E99" s="116" t="str">
        <f aca="false">IF($B99="","",N(الموظفون!$V99))</f>
        <v/>
      </c>
      <c r="F99" s="133" t="str">
        <f aca="false">IF($B99="","",N(الموظفون!$W99))</f>
        <v/>
      </c>
      <c r="G99" s="116" t="str">
        <f aca="false">IF($B99="","",IF(AND(D99="نعم",F99&gt;0),E99/F99,0))</f>
        <v/>
      </c>
      <c r="H99" s="175" t="str">
        <f aca="false">IF($B99="","",MAX(cfg_Y_START,الموظفون!$H99))</f>
        <v/>
      </c>
      <c r="I99" s="175" t="str">
        <f aca="false">IF($B99="","",IF(OR(الموظفون!$AE99="",الموظفون!$AE99&gt;cfg_VAL_DATE),cfg_VAL_DATE,الموظفون!$AE99))</f>
        <v/>
      </c>
      <c r="J99" s="133" t="str">
        <f aca="false">IF($B99="","",MAX(0,MAX(0,I99-H99+1)-(SUMIFS('سجل الإجازات والحالات'!$S$6:$S$505,'سجل الإجازات والحالات'!$B$6:$B$505,$B99)-SUMIFS('سجل الإجازات والحالات'!$R$6:$R$505,'سجل الإجازات والحالات'!$B$6:$B$505,$B99))))</f>
        <v/>
      </c>
      <c r="K99" s="116" t="str">
        <f aca="false">IF($B99="","",G99*12/cfg_DAYS_Y*J99)</f>
        <v/>
      </c>
      <c r="L99" s="116" t="str">
        <f aca="false">IF($B99="","",N(الموظفون!$AD99))</f>
        <v/>
      </c>
      <c r="M99" s="116" t="str">
        <f aca="false">IF($B99="","",SUMIFS('الحركات الشهرية'!$M$6:$M$1005,'الحركات الشهرية'!$B$6:$B$1005,B99,'الحركات الشهرية'!$A$6:$A$1005,"&lt;="&amp;cfg_VAL_M))</f>
        <v/>
      </c>
      <c r="N99" s="183" t="str">
        <f aca="false">IF($B99="","",L99+K99-M99)</f>
        <v/>
      </c>
      <c r="O99" s="180" t="str">
        <f aca="false">IF($B99="","",IF(E99&gt;0,N99/E99,0))</f>
        <v/>
      </c>
      <c r="P99" s="117" t="str">
        <f aca="false">IF($B99="","",IF(AND(D99="لا",N99&lt;&gt;0),"⚠ غير مستحق وله رصيد",IF(N99&lt;-0.01,"✖ استخدام أكثر من المكوّن",IF(AND(D99="نعم",O99&gt;=1),"⚠ تذكرة مستحقة للصرف","✔ سليم"))))</f>
        <v/>
      </c>
    </row>
    <row r="100" customFormat="false" ht="15" hidden="false" customHeight="false" outlineLevel="0" collapsed="false">
      <c r="B100" s="114" t="str">
        <f aca="false">IF(الموظفون!$B100="","",الموظفون!$B100)</f>
        <v/>
      </c>
      <c r="C100" s="114" t="str">
        <f aca="false">IF($B100="","",الموظفون!$C100)</f>
        <v/>
      </c>
      <c r="D100" s="114" t="str">
        <f aca="false">IF($B100="","",IF(الموظفون!$U100="نعم","نعم","لا"))</f>
        <v/>
      </c>
      <c r="E100" s="111" t="str">
        <f aca="false">IF($B100="","",N(الموظفون!$V100))</f>
        <v/>
      </c>
      <c r="F100" s="65" t="str">
        <f aca="false">IF($B100="","",N(الموظفون!$W100))</f>
        <v/>
      </c>
      <c r="G100" s="111" t="str">
        <f aca="false">IF($B100="","",IF(AND(D100="نعم",F100&gt;0),E100/F100,0))</f>
        <v/>
      </c>
      <c r="H100" s="174" t="str">
        <f aca="false">IF($B100="","",MAX(cfg_Y_START,الموظفون!$H100))</f>
        <v/>
      </c>
      <c r="I100" s="174" t="str">
        <f aca="false">IF($B100="","",IF(OR(الموظفون!$AE100="",الموظفون!$AE100&gt;cfg_VAL_DATE),cfg_VAL_DATE,الموظفون!$AE100))</f>
        <v/>
      </c>
      <c r="J100" s="65" t="str">
        <f aca="false">IF($B100="","",MAX(0,MAX(0,I100-H100+1)-(SUMIFS('سجل الإجازات والحالات'!$S$6:$S$505,'سجل الإجازات والحالات'!$B$6:$B$505,$B100)-SUMIFS('سجل الإجازات والحالات'!$R$6:$R$505,'سجل الإجازات والحالات'!$B$6:$B$505,$B100))))</f>
        <v/>
      </c>
      <c r="K100" s="111" t="str">
        <f aca="false">IF($B100="","",G100*12/cfg_DAYS_Y*J100)</f>
        <v/>
      </c>
      <c r="L100" s="111" t="str">
        <f aca="false">IF($B100="","",N(الموظفون!$AD100))</f>
        <v/>
      </c>
      <c r="M100" s="111" t="str">
        <f aca="false">IF($B100="","",SUMIFS('الحركات الشهرية'!$M$6:$M$1005,'الحركات الشهرية'!$B$6:$B$1005,B100,'الحركات الشهرية'!$A$6:$A$1005,"&lt;="&amp;cfg_VAL_M))</f>
        <v/>
      </c>
      <c r="N100" s="182" t="str">
        <f aca="false">IF($B100="","",L100+K100-M100)</f>
        <v/>
      </c>
      <c r="O100" s="179" t="str">
        <f aca="false">IF($B100="","",IF(E100&gt;0,N100/E100,0))</f>
        <v/>
      </c>
      <c r="P100" s="114" t="str">
        <f aca="false">IF($B100="","",IF(AND(D100="لا",N100&lt;&gt;0),"⚠ غير مستحق وله رصيد",IF(N100&lt;-0.01,"✖ استخدام أكثر من المكوّن",IF(AND(D100="نعم",O100&gt;=1),"⚠ تذكرة مستحقة للصرف","✔ سليم"))))</f>
        <v/>
      </c>
    </row>
    <row r="101" customFormat="false" ht="15" hidden="false" customHeight="false" outlineLevel="0" collapsed="false">
      <c r="B101" s="117" t="str">
        <f aca="false">IF(الموظفون!$B101="","",الموظفون!$B101)</f>
        <v/>
      </c>
      <c r="C101" s="117" t="str">
        <f aca="false">IF($B101="","",الموظفون!$C101)</f>
        <v/>
      </c>
      <c r="D101" s="117" t="str">
        <f aca="false">IF($B101="","",IF(الموظفون!$U101="نعم","نعم","لا"))</f>
        <v/>
      </c>
      <c r="E101" s="116" t="str">
        <f aca="false">IF($B101="","",N(الموظفون!$V101))</f>
        <v/>
      </c>
      <c r="F101" s="133" t="str">
        <f aca="false">IF($B101="","",N(الموظفون!$W101))</f>
        <v/>
      </c>
      <c r="G101" s="116" t="str">
        <f aca="false">IF($B101="","",IF(AND(D101="نعم",F101&gt;0),E101/F101,0))</f>
        <v/>
      </c>
      <c r="H101" s="175" t="str">
        <f aca="false">IF($B101="","",MAX(cfg_Y_START,الموظفون!$H101))</f>
        <v/>
      </c>
      <c r="I101" s="175" t="str">
        <f aca="false">IF($B101="","",IF(OR(الموظفون!$AE101="",الموظفون!$AE101&gt;cfg_VAL_DATE),cfg_VAL_DATE,الموظفون!$AE101))</f>
        <v/>
      </c>
      <c r="J101" s="133" t="str">
        <f aca="false">IF($B101="","",MAX(0,MAX(0,I101-H101+1)-(SUMIFS('سجل الإجازات والحالات'!$S$6:$S$505,'سجل الإجازات والحالات'!$B$6:$B$505,$B101)-SUMIFS('سجل الإجازات والحالات'!$R$6:$R$505,'سجل الإجازات والحالات'!$B$6:$B$505,$B101))))</f>
        <v/>
      </c>
      <c r="K101" s="116" t="str">
        <f aca="false">IF($B101="","",G101*12/cfg_DAYS_Y*J101)</f>
        <v/>
      </c>
      <c r="L101" s="116" t="str">
        <f aca="false">IF($B101="","",N(الموظفون!$AD101))</f>
        <v/>
      </c>
      <c r="M101" s="116" t="str">
        <f aca="false">IF($B101="","",SUMIFS('الحركات الشهرية'!$M$6:$M$1005,'الحركات الشهرية'!$B$6:$B$1005,B101,'الحركات الشهرية'!$A$6:$A$1005,"&lt;="&amp;cfg_VAL_M))</f>
        <v/>
      </c>
      <c r="N101" s="183" t="str">
        <f aca="false">IF($B101="","",L101+K101-M101)</f>
        <v/>
      </c>
      <c r="O101" s="180" t="str">
        <f aca="false">IF($B101="","",IF(E101&gt;0,N101/E101,0))</f>
        <v/>
      </c>
      <c r="P101" s="117" t="str">
        <f aca="false">IF($B101="","",IF(AND(D101="لا",N101&lt;&gt;0),"⚠ غير مستحق وله رصيد",IF(N101&lt;-0.01,"✖ استخدام أكثر من المكوّن",IF(AND(D101="نعم",O101&gt;=1),"⚠ تذكرة مستحقة للصرف","✔ سليم"))))</f>
        <v/>
      </c>
    </row>
    <row r="102" customFormat="false" ht="15" hidden="false" customHeight="false" outlineLevel="0" collapsed="false">
      <c r="B102" s="114" t="str">
        <f aca="false">IF(الموظفون!$B102="","",الموظفون!$B102)</f>
        <v/>
      </c>
      <c r="C102" s="114" t="str">
        <f aca="false">IF($B102="","",الموظفون!$C102)</f>
        <v/>
      </c>
      <c r="D102" s="114" t="str">
        <f aca="false">IF($B102="","",IF(الموظفون!$U102="نعم","نعم","لا"))</f>
        <v/>
      </c>
      <c r="E102" s="111" t="str">
        <f aca="false">IF($B102="","",N(الموظفون!$V102))</f>
        <v/>
      </c>
      <c r="F102" s="65" t="str">
        <f aca="false">IF($B102="","",N(الموظفون!$W102))</f>
        <v/>
      </c>
      <c r="G102" s="111" t="str">
        <f aca="false">IF($B102="","",IF(AND(D102="نعم",F102&gt;0),E102/F102,0))</f>
        <v/>
      </c>
      <c r="H102" s="174" t="str">
        <f aca="false">IF($B102="","",MAX(cfg_Y_START,الموظفون!$H102))</f>
        <v/>
      </c>
      <c r="I102" s="174" t="str">
        <f aca="false">IF($B102="","",IF(OR(الموظفون!$AE102="",الموظفون!$AE102&gt;cfg_VAL_DATE),cfg_VAL_DATE,الموظفون!$AE102))</f>
        <v/>
      </c>
      <c r="J102" s="65" t="str">
        <f aca="false">IF($B102="","",MAX(0,MAX(0,I102-H102+1)-(SUMIFS('سجل الإجازات والحالات'!$S$6:$S$505,'سجل الإجازات والحالات'!$B$6:$B$505,$B102)-SUMIFS('سجل الإجازات والحالات'!$R$6:$R$505,'سجل الإجازات والحالات'!$B$6:$B$505,$B102))))</f>
        <v/>
      </c>
      <c r="K102" s="111" t="str">
        <f aca="false">IF($B102="","",G102*12/cfg_DAYS_Y*J102)</f>
        <v/>
      </c>
      <c r="L102" s="111" t="str">
        <f aca="false">IF($B102="","",N(الموظفون!$AD102))</f>
        <v/>
      </c>
      <c r="M102" s="111" t="str">
        <f aca="false">IF($B102="","",SUMIFS('الحركات الشهرية'!$M$6:$M$1005,'الحركات الشهرية'!$B$6:$B$1005,B102,'الحركات الشهرية'!$A$6:$A$1005,"&lt;="&amp;cfg_VAL_M))</f>
        <v/>
      </c>
      <c r="N102" s="182" t="str">
        <f aca="false">IF($B102="","",L102+K102-M102)</f>
        <v/>
      </c>
      <c r="O102" s="179" t="str">
        <f aca="false">IF($B102="","",IF(E102&gt;0,N102/E102,0))</f>
        <v/>
      </c>
      <c r="P102" s="114" t="str">
        <f aca="false">IF($B102="","",IF(AND(D102="لا",N102&lt;&gt;0),"⚠ غير مستحق وله رصيد",IF(N102&lt;-0.01,"✖ استخدام أكثر من المكوّن",IF(AND(D102="نعم",O102&gt;=1),"⚠ تذكرة مستحقة للصرف","✔ سليم"))))</f>
        <v/>
      </c>
    </row>
    <row r="103" customFormat="false" ht="15" hidden="false" customHeight="false" outlineLevel="0" collapsed="false">
      <c r="B103" s="117" t="str">
        <f aca="false">IF(الموظفون!$B103="","",الموظفون!$B103)</f>
        <v/>
      </c>
      <c r="C103" s="117" t="str">
        <f aca="false">IF($B103="","",الموظفون!$C103)</f>
        <v/>
      </c>
      <c r="D103" s="117" t="str">
        <f aca="false">IF($B103="","",IF(الموظفون!$U103="نعم","نعم","لا"))</f>
        <v/>
      </c>
      <c r="E103" s="116" t="str">
        <f aca="false">IF($B103="","",N(الموظفون!$V103))</f>
        <v/>
      </c>
      <c r="F103" s="133" t="str">
        <f aca="false">IF($B103="","",N(الموظفون!$W103))</f>
        <v/>
      </c>
      <c r="G103" s="116" t="str">
        <f aca="false">IF($B103="","",IF(AND(D103="نعم",F103&gt;0),E103/F103,0))</f>
        <v/>
      </c>
      <c r="H103" s="175" t="str">
        <f aca="false">IF($B103="","",MAX(cfg_Y_START,الموظفون!$H103))</f>
        <v/>
      </c>
      <c r="I103" s="175" t="str">
        <f aca="false">IF($B103="","",IF(OR(الموظفون!$AE103="",الموظفون!$AE103&gt;cfg_VAL_DATE),cfg_VAL_DATE,الموظفون!$AE103))</f>
        <v/>
      </c>
      <c r="J103" s="133" t="str">
        <f aca="false">IF($B103="","",MAX(0,MAX(0,I103-H103+1)-(SUMIFS('سجل الإجازات والحالات'!$S$6:$S$505,'سجل الإجازات والحالات'!$B$6:$B$505,$B103)-SUMIFS('سجل الإجازات والحالات'!$R$6:$R$505,'سجل الإجازات والحالات'!$B$6:$B$505,$B103))))</f>
        <v/>
      </c>
      <c r="K103" s="116" t="str">
        <f aca="false">IF($B103="","",G103*12/cfg_DAYS_Y*J103)</f>
        <v/>
      </c>
      <c r="L103" s="116" t="str">
        <f aca="false">IF($B103="","",N(الموظفون!$AD103))</f>
        <v/>
      </c>
      <c r="M103" s="116" t="str">
        <f aca="false">IF($B103="","",SUMIFS('الحركات الشهرية'!$M$6:$M$1005,'الحركات الشهرية'!$B$6:$B$1005,B103,'الحركات الشهرية'!$A$6:$A$1005,"&lt;="&amp;cfg_VAL_M))</f>
        <v/>
      </c>
      <c r="N103" s="183" t="str">
        <f aca="false">IF($B103="","",L103+K103-M103)</f>
        <v/>
      </c>
      <c r="O103" s="180" t="str">
        <f aca="false">IF($B103="","",IF(E103&gt;0,N103/E103,0))</f>
        <v/>
      </c>
      <c r="P103" s="117" t="str">
        <f aca="false">IF($B103="","",IF(AND(D103="لا",N103&lt;&gt;0),"⚠ غير مستحق وله رصيد",IF(N103&lt;-0.01,"✖ استخدام أكثر من المكوّن",IF(AND(D103="نعم",O103&gt;=1),"⚠ تذكرة مستحقة للصرف","✔ سليم"))))</f>
        <v/>
      </c>
    </row>
    <row r="104" customFormat="false" ht="15" hidden="false" customHeight="false" outlineLevel="0" collapsed="false">
      <c r="B104" s="114" t="str">
        <f aca="false">IF(الموظفون!$B104="","",الموظفون!$B104)</f>
        <v/>
      </c>
      <c r="C104" s="114" t="str">
        <f aca="false">IF($B104="","",الموظفون!$C104)</f>
        <v/>
      </c>
      <c r="D104" s="114" t="str">
        <f aca="false">IF($B104="","",IF(الموظفون!$U104="نعم","نعم","لا"))</f>
        <v/>
      </c>
      <c r="E104" s="111" t="str">
        <f aca="false">IF($B104="","",N(الموظفون!$V104))</f>
        <v/>
      </c>
      <c r="F104" s="65" t="str">
        <f aca="false">IF($B104="","",N(الموظفون!$W104))</f>
        <v/>
      </c>
      <c r="G104" s="111" t="str">
        <f aca="false">IF($B104="","",IF(AND(D104="نعم",F104&gt;0),E104/F104,0))</f>
        <v/>
      </c>
      <c r="H104" s="174" t="str">
        <f aca="false">IF($B104="","",MAX(cfg_Y_START,الموظفون!$H104))</f>
        <v/>
      </c>
      <c r="I104" s="174" t="str">
        <f aca="false">IF($B104="","",IF(OR(الموظفون!$AE104="",الموظفون!$AE104&gt;cfg_VAL_DATE),cfg_VAL_DATE,الموظفون!$AE104))</f>
        <v/>
      </c>
      <c r="J104" s="65" t="str">
        <f aca="false">IF($B104="","",MAX(0,MAX(0,I104-H104+1)-(SUMIFS('سجل الإجازات والحالات'!$S$6:$S$505,'سجل الإجازات والحالات'!$B$6:$B$505,$B104)-SUMIFS('سجل الإجازات والحالات'!$R$6:$R$505,'سجل الإجازات والحالات'!$B$6:$B$505,$B104))))</f>
        <v/>
      </c>
      <c r="K104" s="111" t="str">
        <f aca="false">IF($B104="","",G104*12/cfg_DAYS_Y*J104)</f>
        <v/>
      </c>
      <c r="L104" s="111" t="str">
        <f aca="false">IF($B104="","",N(الموظفون!$AD104))</f>
        <v/>
      </c>
      <c r="M104" s="111" t="str">
        <f aca="false">IF($B104="","",SUMIFS('الحركات الشهرية'!$M$6:$M$1005,'الحركات الشهرية'!$B$6:$B$1005,B104,'الحركات الشهرية'!$A$6:$A$1005,"&lt;="&amp;cfg_VAL_M))</f>
        <v/>
      </c>
      <c r="N104" s="182" t="str">
        <f aca="false">IF($B104="","",L104+K104-M104)</f>
        <v/>
      </c>
      <c r="O104" s="179" t="str">
        <f aca="false">IF($B104="","",IF(E104&gt;0,N104/E104,0))</f>
        <v/>
      </c>
      <c r="P104" s="114" t="str">
        <f aca="false">IF($B104="","",IF(AND(D104="لا",N104&lt;&gt;0),"⚠ غير مستحق وله رصيد",IF(N104&lt;-0.01,"✖ استخدام أكثر من المكوّن",IF(AND(D104="نعم",O104&gt;=1),"⚠ تذكرة مستحقة للصرف","✔ سليم"))))</f>
        <v/>
      </c>
    </row>
    <row r="105" customFormat="false" ht="15" hidden="false" customHeight="false" outlineLevel="0" collapsed="false">
      <c r="B105" s="117" t="str">
        <f aca="false">IF(الموظفون!$B105="","",الموظفون!$B105)</f>
        <v/>
      </c>
      <c r="C105" s="117" t="str">
        <f aca="false">IF($B105="","",الموظفون!$C105)</f>
        <v/>
      </c>
      <c r="D105" s="117" t="str">
        <f aca="false">IF($B105="","",IF(الموظفون!$U105="نعم","نعم","لا"))</f>
        <v/>
      </c>
      <c r="E105" s="116" t="str">
        <f aca="false">IF($B105="","",N(الموظفون!$V105))</f>
        <v/>
      </c>
      <c r="F105" s="133" t="str">
        <f aca="false">IF($B105="","",N(الموظفون!$W105))</f>
        <v/>
      </c>
      <c r="G105" s="116" t="str">
        <f aca="false">IF($B105="","",IF(AND(D105="نعم",F105&gt;0),E105/F105,0))</f>
        <v/>
      </c>
      <c r="H105" s="175" t="str">
        <f aca="false">IF($B105="","",MAX(cfg_Y_START,الموظفون!$H105))</f>
        <v/>
      </c>
      <c r="I105" s="175" t="str">
        <f aca="false">IF($B105="","",IF(OR(الموظفون!$AE105="",الموظفون!$AE105&gt;cfg_VAL_DATE),cfg_VAL_DATE,الموظفون!$AE105))</f>
        <v/>
      </c>
      <c r="J105" s="133" t="str">
        <f aca="false">IF($B105="","",MAX(0,MAX(0,I105-H105+1)-(SUMIFS('سجل الإجازات والحالات'!$S$6:$S$505,'سجل الإجازات والحالات'!$B$6:$B$505,$B105)-SUMIFS('سجل الإجازات والحالات'!$R$6:$R$505,'سجل الإجازات والحالات'!$B$6:$B$505,$B105))))</f>
        <v/>
      </c>
      <c r="K105" s="116" t="str">
        <f aca="false">IF($B105="","",G105*12/cfg_DAYS_Y*J105)</f>
        <v/>
      </c>
      <c r="L105" s="116" t="str">
        <f aca="false">IF($B105="","",N(الموظفون!$AD105))</f>
        <v/>
      </c>
      <c r="M105" s="116" t="str">
        <f aca="false">IF($B105="","",SUMIFS('الحركات الشهرية'!$M$6:$M$1005,'الحركات الشهرية'!$B$6:$B$1005,B105,'الحركات الشهرية'!$A$6:$A$1005,"&lt;="&amp;cfg_VAL_M))</f>
        <v/>
      </c>
      <c r="N105" s="183" t="str">
        <f aca="false">IF($B105="","",L105+K105-M105)</f>
        <v/>
      </c>
      <c r="O105" s="180" t="str">
        <f aca="false">IF($B105="","",IF(E105&gt;0,N105/E105,0))</f>
        <v/>
      </c>
      <c r="P105" s="117" t="str">
        <f aca="false">IF($B105="","",IF(AND(D105="لا",N105&lt;&gt;0),"⚠ غير مستحق وله رصيد",IF(N105&lt;-0.01,"✖ استخدام أكثر من المكوّن",IF(AND(D105="نعم",O105&gt;=1),"⚠ تذكرة مستحقة للصرف","✔ سليم"))))</f>
        <v/>
      </c>
    </row>
    <row r="106" customFormat="false" ht="24" hidden="false" customHeight="true" outlineLevel="0" collapsed="false">
      <c r="B106" s="124"/>
      <c r="C106" s="124" t="s">
        <v>161</v>
      </c>
      <c r="D106" s="124"/>
      <c r="E106" s="124"/>
      <c r="F106" s="124"/>
      <c r="G106" s="125" t="n">
        <f aca="false">SUM(G6:G105)</f>
        <v>941.666666666667</v>
      </c>
      <c r="H106" s="124"/>
      <c r="I106" s="124"/>
      <c r="J106" s="124"/>
      <c r="K106" s="125" t="n">
        <f aca="false">SUM(K6:K105)</f>
        <v>8124.1095890411</v>
      </c>
      <c r="L106" s="125" t="n">
        <f aca="false">SUM(L6:L105)</f>
        <v>8700</v>
      </c>
      <c r="M106" s="125" t="n">
        <f aca="false">SUM(M6:M105)</f>
        <v>9500</v>
      </c>
      <c r="N106" s="125" t="n">
        <f aca="false">SUM(N6:N105)</f>
        <v>7324.1095890411</v>
      </c>
      <c r="O106" s="124"/>
      <c r="P106" s="124"/>
    </row>
    <row r="107" customFormat="false" ht="33.75" hidden="false" customHeight="true" outlineLevel="0" collapsed="false">
      <c r="B107" s="24" t="s">
        <v>581</v>
      </c>
      <c r="C107" s="24"/>
      <c r="D107" s="24"/>
      <c r="E107" s="24"/>
      <c r="F107" s="24"/>
      <c r="G107" s="24"/>
      <c r="H107" s="24"/>
      <c r="I107" s="24"/>
      <c r="J107" s="24"/>
      <c r="K107" s="24"/>
      <c r="L107" s="24"/>
      <c r="M107" s="24"/>
      <c r="N107" s="24"/>
      <c r="O107" s="24"/>
      <c r="P107" s="24"/>
    </row>
  </sheetData>
  <sheetProtection sheet="true" password="ffa5" objects="true" scenarios="true"/>
  <mergeCells count="3">
    <mergeCell ref="B1:P1"/>
    <mergeCell ref="B2:P2"/>
    <mergeCell ref="B107:P107"/>
  </mergeCells>
  <conditionalFormatting sqref="P6:P105">
    <cfRule type="expression" priority="2" aboveAverage="0" equalAverage="0" bottom="0" percent="0" rank="0" text="" dxfId="0">
      <formula>ISNUMBER(SEARCH("✔",P6))</formula>
    </cfRule>
    <cfRule type="expression" priority="3" aboveAverage="0" equalAverage="0" bottom="0" percent="0" rank="0" text="" dxfId="1">
      <formula>ISNUMBER(SEARCH("✖",P6))</formula>
    </cfRule>
    <cfRule type="expression" priority="4" aboveAverage="0" equalAverage="0" bottom="0" percent="0" rank="0" text="" dxfId="2">
      <formula>ISNUMBER(SEARCH("⚠",P6))</formula>
    </cfRule>
    <cfRule type="expression" priority="5" aboveAverage="0" equalAverage="0" bottom="0" percent="0" rank="0" text="" dxfId="3">
      <formula>ISNUMBER(SEARCH("✈",P6))</formula>
    </cfRule>
    <cfRule type="expression" priority="6" aboveAverage="0" equalAverage="0" bottom="0" percent="0" rank="0" text="" dxfId="1">
      <formula>ISNUMBER(SEARCH("⛔",P6))</formula>
    </cfRule>
    <cfRule type="expression" priority="7" aboveAverage="0" equalAverage="0" bottom="0" percent="0" rank="0" text="" dxfId="0">
      <formula>ISNUMBER(SEARCH("🌴",P6))</formula>
    </cfRule>
    <cfRule type="expression" priority="8" aboveAverage="0" equalAverage="0" bottom="0" percent="0" rank="0" text="" dxfId="4">
      <formula>ISNUMBER(SEARCH("⏳",P6))</formula>
    </cfRule>
  </conditionalFormatting>
  <hyperlinks>
    <hyperlink ref="B2" r:id="rId1" display="https://accopro.net/"/>
    <hyperlink ref="B3" location="'الرئيسية'!A1" display="🏠 الرئيسية"/>
    <hyperlink ref="C3" location="'لوحة التحكم'!A1" display="📊 لوحة التحكم"/>
    <hyperlink ref="D3" location="'الإعدادات'!A1" display="⚙ الإعدادات"/>
    <hyperlink ref="E3" location="'الموظفون'!A1" display="👥 الموظفون"/>
    <hyperlink ref="F3" location="'سجل الإجازات والحالات'!A1" display="🌴 سجل الإجازات"/>
    <hyperlink ref="G3" location="'الحركات الشهرية'!A1" display="✍ الحركات"/>
    <hyperlink ref="H3" location="'الإقامات ورخص العمل'!A1" display="🪪 الإقامات"/>
    <hyperlink ref="I3" location="'الملخص الشهري'!A1" display="📅 الملخص الشهري"/>
    <hyperlink ref="J3" location="'قيود الرواتب'!A1" display="🧾 القيود"/>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&amp;Cنسخة تجريبية — النسخة الكاملة: accopro.net</oddHeader>
    <oddFooter>&amp;CAccoPro — https://accopro.net</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R44"/>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8"/>
    <col collapsed="false" customWidth="true" hidden="false" outlineLevel="0" max="3" min="3" style="0" width="40"/>
    <col collapsed="false" customWidth="true" hidden="false" outlineLevel="0" max="4" min="4" style="0" width="7"/>
    <col collapsed="false" customWidth="true" hidden="false" outlineLevel="0" max="16" min="5" style="0" width="12.5"/>
    <col collapsed="false" customWidth="true" hidden="false" outlineLevel="0" max="18" min="17" style="0" width="15"/>
  </cols>
  <sheetData>
    <row r="1" customFormat="false" ht="37.5" hidden="false" customHeight="true" outlineLevel="0" collapsed="false">
      <c r="B1" s="1" t="s">
        <v>582</v>
      </c>
      <c r="C1" s="1"/>
      <c r="D1" s="1"/>
      <c r="E1" s="1"/>
      <c r="F1" s="1"/>
      <c r="G1" s="1"/>
      <c r="H1" s="1"/>
      <c r="I1" s="1"/>
      <c r="J1" s="1"/>
      <c r="K1" s="1"/>
      <c r="L1" s="1"/>
      <c r="M1" s="1"/>
      <c r="N1" s="1"/>
      <c r="O1" s="1"/>
      <c r="P1" s="1"/>
      <c r="Q1" s="1"/>
      <c r="R1" s="1"/>
    </row>
    <row r="2" customFormat="false" ht="19.5" hidden="false" customHeight="true" outlineLevel="0" collapsed="false">
      <c r="B2" s="2" t="str">
        <f aca="false">"🛒 نسخة تجريبية — للنسخة الكاملة اضغط هنا ← accopro.net   |   "&amp;cfg_CO&amp;"   |   السنة المالية "&amp;cfg_FY&amp;"   |   شهر التقرير: "&amp;INDEX(L_MONTH,cfg_VAL_M)&amp;"   |   المبالغ بـ "&amp;cfg_CUR</f>
        <v>🛒 نسخة تجريبية — للنسخة الكاملة اضغط هنا ← accopro.net   |   شركة النخبة للتجارة والمقاولات   |   السنة المالية 2026   |   شهر التقرير: سبتمبر   |   المبالغ بـ ريال سعودي</v>
      </c>
      <c r="C2" s="2"/>
      <c r="D2" s="2"/>
      <c r="E2" s="2"/>
      <c r="F2" s="2"/>
      <c r="G2" s="2"/>
      <c r="H2" s="2"/>
      <c r="I2" s="2"/>
      <c r="J2" s="2"/>
      <c r="K2" s="2"/>
      <c r="L2" s="2"/>
      <c r="M2" s="2"/>
      <c r="N2" s="2"/>
      <c r="O2" s="2"/>
      <c r="P2" s="2"/>
      <c r="Q2" s="2"/>
      <c r="R2" s="2"/>
    </row>
    <row r="3" customFormat="false" ht="25.5" hidden="false" customHeight="true" outlineLevel="0" collapsed="false">
      <c r="B3" s="31" t="s">
        <v>114</v>
      </c>
      <c r="C3" s="12" t="s">
        <v>172</v>
      </c>
      <c r="D3" s="32" t="s">
        <v>115</v>
      </c>
      <c r="E3" s="32" t="s">
        <v>116</v>
      </c>
      <c r="F3" s="33" t="s">
        <v>117</v>
      </c>
      <c r="G3" s="32" t="s">
        <v>118</v>
      </c>
      <c r="H3" s="34" t="s">
        <v>119</v>
      </c>
      <c r="I3" s="32" t="s">
        <v>39</v>
      </c>
      <c r="J3" s="32" t="s">
        <v>174</v>
      </c>
    </row>
    <row r="4" customFormat="false" ht="13.5" hidden="false" customHeight="true" outlineLevel="0" collapsed="false">
      <c r="C4" s="184" t="s">
        <v>583</v>
      </c>
      <c r="E4" s="185" t="n">
        <v>1</v>
      </c>
      <c r="F4" s="185" t="n">
        <v>2</v>
      </c>
      <c r="G4" s="185" t="n">
        <v>3</v>
      </c>
      <c r="H4" s="185" t="n">
        <v>4</v>
      </c>
      <c r="I4" s="185" t="n">
        <v>5</v>
      </c>
      <c r="J4" s="185" t="n">
        <v>6</v>
      </c>
      <c r="K4" s="185" t="n">
        <v>7</v>
      </c>
      <c r="L4" s="185" t="n">
        <v>8</v>
      </c>
      <c r="M4" s="185" t="n">
        <v>9</v>
      </c>
      <c r="N4" s="185" t="n">
        <v>10</v>
      </c>
      <c r="O4" s="185" t="n">
        <v>11</v>
      </c>
      <c r="P4" s="185" t="n">
        <v>12</v>
      </c>
    </row>
    <row r="5" customFormat="false" ht="30" hidden="false" customHeight="true" outlineLevel="0" collapsed="false">
      <c r="B5" s="6" t="s">
        <v>584</v>
      </c>
      <c r="C5" s="6" t="s">
        <v>585</v>
      </c>
      <c r="D5" s="6" t="s">
        <v>586</v>
      </c>
      <c r="E5" s="6" t="s">
        <v>196</v>
      </c>
      <c r="F5" s="6" t="s">
        <v>204</v>
      </c>
      <c r="G5" s="6" t="s">
        <v>211</v>
      </c>
      <c r="H5" s="6" t="s">
        <v>219</v>
      </c>
      <c r="I5" s="6" t="s">
        <v>226</v>
      </c>
      <c r="J5" s="6" t="s">
        <v>231</v>
      </c>
      <c r="K5" s="6" t="s">
        <v>236</v>
      </c>
      <c r="L5" s="6" t="s">
        <v>241</v>
      </c>
      <c r="M5" s="6" t="s">
        <v>246</v>
      </c>
      <c r="N5" s="6" t="s">
        <v>251</v>
      </c>
      <c r="O5" s="6" t="s">
        <v>255</v>
      </c>
      <c r="P5" s="6" t="s">
        <v>258</v>
      </c>
      <c r="Q5" s="6" t="s">
        <v>169</v>
      </c>
      <c r="R5" s="6" t="s">
        <v>587</v>
      </c>
    </row>
    <row r="6" customFormat="false" ht="21.75" hidden="false" customHeight="true" outlineLevel="0" collapsed="false">
      <c r="B6" s="186" t="s">
        <v>588</v>
      </c>
      <c r="C6" s="186"/>
      <c r="D6" s="186"/>
      <c r="E6" s="186"/>
      <c r="F6" s="186"/>
      <c r="G6" s="186"/>
      <c r="H6" s="186"/>
      <c r="I6" s="186"/>
      <c r="J6" s="186"/>
      <c r="K6" s="186"/>
      <c r="L6" s="186"/>
      <c r="M6" s="186"/>
      <c r="N6" s="186"/>
      <c r="O6" s="186"/>
      <c r="P6" s="186"/>
      <c r="Q6" s="186"/>
      <c r="R6" s="186"/>
    </row>
    <row r="7" customFormat="false" ht="15" hidden="false" customHeight="false" outlineLevel="0" collapsed="false">
      <c r="B7" s="64" t="s">
        <v>589</v>
      </c>
      <c r="C7" s="86" t="s">
        <v>590</v>
      </c>
      <c r="D7" s="187" t="s">
        <v>591</v>
      </c>
      <c r="E7" s="111" t="n">
        <f aca="false">'مسير يناير'!K106</f>
        <v>132283.333333333</v>
      </c>
      <c r="F7" s="111" t="n">
        <f aca="false">'مسير فبراير'!K106</f>
        <v>132500</v>
      </c>
      <c r="G7" s="111" t="n">
        <f aca="false">'مسير مارس'!K106</f>
        <v>132500</v>
      </c>
      <c r="H7" s="111" t="n">
        <f aca="false">'مسير أبريل'!K106</f>
        <v>136500</v>
      </c>
      <c r="I7" s="111" t="n">
        <f aca="false">'مسير مايو'!K106</f>
        <v>141500</v>
      </c>
      <c r="J7" s="111" t="n">
        <f aca="false">'مسير يونيو'!K106</f>
        <v>135000</v>
      </c>
      <c r="K7" s="111" t="n">
        <f aca="false">'مسير يوليو'!K106</f>
        <v>136500</v>
      </c>
      <c r="L7" s="111" t="n">
        <f aca="false">'مسير أغسطس'!K106</f>
        <v>129450</v>
      </c>
      <c r="M7" s="111" t="n">
        <f aca="false">'مسير سبتمبر'!K106</f>
        <v>130733.333333333</v>
      </c>
      <c r="N7" s="111" t="n">
        <f aca="false">'مسير أكتوبر'!K106</f>
        <v>128266.666666667</v>
      </c>
      <c r="O7" s="111" t="n">
        <f aca="false">'مسير نوفمبر'!K106</f>
        <v>136500</v>
      </c>
      <c r="P7" s="111" t="n">
        <f aca="false">'مسير ديسمبر'!K106</f>
        <v>128000</v>
      </c>
      <c r="Q7" s="188" t="n">
        <f aca="false">SUM(E7:P7)</f>
        <v>1599733.33333333</v>
      </c>
      <c r="R7" s="189" t="n">
        <f aca="false">SUMPRODUCT(($E$4:$P$4&lt;=cfg_VAL_M)*E7:P7)</f>
        <v>1206966.66666667</v>
      </c>
    </row>
    <row r="8" customFormat="false" ht="15" hidden="false" customHeight="false" outlineLevel="0" collapsed="false">
      <c r="B8" s="64" t="s">
        <v>592</v>
      </c>
      <c r="C8" s="86" t="s">
        <v>593</v>
      </c>
      <c r="D8" s="187" t="s">
        <v>591</v>
      </c>
      <c r="E8" s="111" t="n">
        <f aca="false">'مسير يناير'!L106</f>
        <v>33070.8333333333</v>
      </c>
      <c r="F8" s="111" t="n">
        <f aca="false">'مسير فبراير'!L106</f>
        <v>33125</v>
      </c>
      <c r="G8" s="111" t="n">
        <f aca="false">'مسير مارس'!L106</f>
        <v>33125</v>
      </c>
      <c r="H8" s="111" t="n">
        <f aca="false">'مسير أبريل'!L106</f>
        <v>34125</v>
      </c>
      <c r="I8" s="111" t="n">
        <f aca="false">'مسير مايو'!L106</f>
        <v>35375</v>
      </c>
      <c r="J8" s="111" t="n">
        <f aca="false">'مسير يونيو'!L106</f>
        <v>33750</v>
      </c>
      <c r="K8" s="111" t="n">
        <f aca="false">'مسير يوليو'!L106</f>
        <v>34125</v>
      </c>
      <c r="L8" s="111" t="n">
        <f aca="false">'مسير أغسطس'!L106</f>
        <v>32362.5</v>
      </c>
      <c r="M8" s="111" t="n">
        <f aca="false">'مسير سبتمبر'!L106</f>
        <v>32683.3333333333</v>
      </c>
      <c r="N8" s="111" t="n">
        <f aca="false">'مسير أكتوبر'!L106</f>
        <v>32066.6666666667</v>
      </c>
      <c r="O8" s="111" t="n">
        <f aca="false">'مسير نوفمبر'!L106</f>
        <v>34125</v>
      </c>
      <c r="P8" s="111" t="n">
        <f aca="false">'مسير ديسمبر'!L106</f>
        <v>32000</v>
      </c>
      <c r="Q8" s="188" t="n">
        <f aca="false">SUM(E8:P8)</f>
        <v>399933.333333333</v>
      </c>
      <c r="R8" s="189" t="n">
        <f aca="false">SUMPRODUCT(($E$4:$P$4&lt;=cfg_VAL_M)*E8:P8)</f>
        <v>301741.666666667</v>
      </c>
    </row>
    <row r="9" customFormat="false" ht="15" hidden="false" customHeight="false" outlineLevel="0" collapsed="false">
      <c r="B9" s="64" t="s">
        <v>594</v>
      </c>
      <c r="C9" s="86" t="s">
        <v>595</v>
      </c>
      <c r="D9" s="187" t="s">
        <v>591</v>
      </c>
      <c r="E9" s="111" t="n">
        <f aca="false">'مسير يناير'!M106</f>
        <v>13228.3333333333</v>
      </c>
      <c r="F9" s="111" t="n">
        <f aca="false">'مسير فبراير'!M106</f>
        <v>13250</v>
      </c>
      <c r="G9" s="111" t="n">
        <f aca="false">'مسير مارس'!M106</f>
        <v>13250</v>
      </c>
      <c r="H9" s="111" t="n">
        <f aca="false">'مسير أبريل'!M106</f>
        <v>13650</v>
      </c>
      <c r="I9" s="111" t="n">
        <f aca="false">'مسير مايو'!M106</f>
        <v>14150</v>
      </c>
      <c r="J9" s="111" t="n">
        <f aca="false">'مسير يونيو'!M106</f>
        <v>13500</v>
      </c>
      <c r="K9" s="111" t="n">
        <f aca="false">'مسير يوليو'!M106</f>
        <v>13650</v>
      </c>
      <c r="L9" s="111" t="n">
        <f aca="false">'مسير أغسطس'!M106</f>
        <v>12945</v>
      </c>
      <c r="M9" s="111" t="n">
        <f aca="false">'مسير سبتمبر'!M106</f>
        <v>13073.3333333333</v>
      </c>
      <c r="N9" s="111" t="n">
        <f aca="false">'مسير أكتوبر'!M106</f>
        <v>12826.6666666667</v>
      </c>
      <c r="O9" s="111" t="n">
        <f aca="false">'مسير نوفمبر'!M106</f>
        <v>13650</v>
      </c>
      <c r="P9" s="111" t="n">
        <f aca="false">'مسير ديسمبر'!M106</f>
        <v>12800</v>
      </c>
      <c r="Q9" s="188" t="n">
        <f aca="false">SUM(E9:P9)</f>
        <v>159973.333333333</v>
      </c>
      <c r="R9" s="189" t="n">
        <f aca="false">SUMPRODUCT(($E$4:$P$4&lt;=cfg_VAL_M)*E9:P9)</f>
        <v>120696.666666667</v>
      </c>
    </row>
    <row r="10" customFormat="false" ht="15" hidden="false" customHeight="false" outlineLevel="0" collapsed="false">
      <c r="B10" s="64" t="s">
        <v>596</v>
      </c>
      <c r="C10" s="86" t="s">
        <v>597</v>
      </c>
      <c r="D10" s="187" t="s">
        <v>591</v>
      </c>
      <c r="E10" s="111" t="n">
        <f aca="false">'مسير يناير'!N106</f>
        <v>10290</v>
      </c>
      <c r="F10" s="111" t="n">
        <f aca="false">'مسير فبراير'!N106</f>
        <v>10300</v>
      </c>
      <c r="G10" s="111" t="n">
        <f aca="false">'مسير مارس'!N106</f>
        <v>10300</v>
      </c>
      <c r="H10" s="111" t="n">
        <f aca="false">'مسير أبريل'!N106</f>
        <v>10200</v>
      </c>
      <c r="I10" s="111" t="n">
        <f aca="false">'مسير مايو'!N106</f>
        <v>10300</v>
      </c>
      <c r="J10" s="111" t="n">
        <f aca="false">'مسير يونيو'!N106</f>
        <v>10000</v>
      </c>
      <c r="K10" s="111" t="n">
        <f aca="false">'مسير يوليو'!N106</f>
        <v>10300</v>
      </c>
      <c r="L10" s="111" t="n">
        <f aca="false">'مسير أغسطس'!N106</f>
        <v>9810</v>
      </c>
      <c r="M10" s="111" t="n">
        <f aca="false">'مسير سبتمبر'!N106</f>
        <v>9258.33333333333</v>
      </c>
      <c r="N10" s="111" t="n">
        <f aca="false">'مسير أكتوبر'!N106</f>
        <v>8716.66666666667</v>
      </c>
      <c r="O10" s="111" t="n">
        <f aca="false">'مسير نوفمبر'!N106</f>
        <v>10300</v>
      </c>
      <c r="P10" s="111" t="n">
        <f aca="false">'مسير ديسمبر'!N106</f>
        <v>9800</v>
      </c>
      <c r="Q10" s="188" t="n">
        <f aca="false">SUM(E10:P10)</f>
        <v>119575</v>
      </c>
      <c r="R10" s="189" t="n">
        <f aca="false">SUMPRODUCT(($E$4:$P$4&lt;=cfg_VAL_M)*E10:P10)</f>
        <v>90758.3333333333</v>
      </c>
    </row>
    <row r="11" customFormat="false" ht="15" hidden="false" customHeight="false" outlineLevel="0" collapsed="false">
      <c r="B11" s="64" t="s">
        <v>598</v>
      </c>
      <c r="C11" s="86" t="s">
        <v>599</v>
      </c>
      <c r="D11" s="187" t="s">
        <v>591</v>
      </c>
      <c r="E11" s="111" t="n">
        <f aca="false">'مسير يناير'!P106</f>
        <v>1838.33333333333</v>
      </c>
      <c r="F11" s="111" t="n">
        <f aca="false">'مسير فبراير'!P106</f>
        <v>540.833333333333</v>
      </c>
      <c r="G11" s="111" t="n">
        <f aca="false">'مسير مارس'!P106</f>
        <v>881.25</v>
      </c>
      <c r="H11" s="111" t="n">
        <f aca="false">'مسير أبريل'!P106</f>
        <v>0</v>
      </c>
      <c r="I11" s="111" t="n">
        <f aca="false">'مسير مايو'!P106</f>
        <v>1156.66666666667</v>
      </c>
      <c r="J11" s="111" t="n">
        <f aca="false">'مسير يونيو'!P106</f>
        <v>0</v>
      </c>
      <c r="K11" s="111" t="n">
        <f aca="false">'مسير يوليو'!P106</f>
        <v>0</v>
      </c>
      <c r="L11" s="111" t="n">
        <f aca="false">'مسير أغسطس'!P106</f>
        <v>0</v>
      </c>
      <c r="M11" s="111" t="n">
        <f aca="false">'مسير سبتمبر'!P106</f>
        <v>416.25</v>
      </c>
      <c r="N11" s="111" t="n">
        <f aca="false">'مسير أكتوبر'!P106</f>
        <v>0</v>
      </c>
      <c r="O11" s="111" t="n">
        <f aca="false">'مسير نوفمبر'!P106</f>
        <v>0</v>
      </c>
      <c r="P11" s="111" t="n">
        <f aca="false">'مسير ديسمبر'!P106</f>
        <v>0</v>
      </c>
      <c r="Q11" s="188" t="n">
        <f aca="false">SUM(E11:P11)</f>
        <v>4833.33333333333</v>
      </c>
      <c r="R11" s="189" t="n">
        <f aca="false">SUMPRODUCT(($E$4:$P$4&lt;=cfg_VAL_M)*E11:P11)</f>
        <v>4833.33333333333</v>
      </c>
    </row>
    <row r="12" customFormat="false" ht="15" hidden="false" customHeight="false" outlineLevel="0" collapsed="false">
      <c r="B12" s="64" t="s">
        <v>600</v>
      </c>
      <c r="C12" s="86" t="s">
        <v>601</v>
      </c>
      <c r="D12" s="187" t="s">
        <v>591</v>
      </c>
      <c r="E12" s="111" t="n">
        <f aca="false">'مسير يناير'!Q106+'مسير يناير'!R106</f>
        <v>0</v>
      </c>
      <c r="F12" s="111" t="n">
        <f aca="false">'مسير فبراير'!Q106+'مسير فبراير'!R106</f>
        <v>5000</v>
      </c>
      <c r="G12" s="111" t="n">
        <f aca="false">'مسير مارس'!Q106+'مسير مارس'!R106</f>
        <v>0</v>
      </c>
      <c r="H12" s="111" t="n">
        <f aca="false">'مسير أبريل'!Q106+'مسير أبريل'!R106</f>
        <v>0</v>
      </c>
      <c r="I12" s="111" t="n">
        <f aca="false">'مسير مايو'!Q106+'مسير مايو'!R106</f>
        <v>0</v>
      </c>
      <c r="J12" s="111" t="n">
        <f aca="false">'مسير يونيو'!Q106+'مسير يونيو'!R106</f>
        <v>6500</v>
      </c>
      <c r="K12" s="111" t="n">
        <f aca="false">'مسير يوليو'!Q106+'مسير يوليو'!R106</f>
        <v>8297.2602739726</v>
      </c>
      <c r="L12" s="111" t="n">
        <f aca="false">'مسير أغسطس'!Q106+'مسير أغسطس'!R106</f>
        <v>0</v>
      </c>
      <c r="M12" s="111" t="n">
        <f aca="false">'مسير سبتمبر'!Q106+'مسير سبتمبر'!R106</f>
        <v>1500</v>
      </c>
      <c r="N12" s="111" t="n">
        <f aca="false">'مسير أكتوبر'!Q106+'مسير أكتوبر'!R106</f>
        <v>0</v>
      </c>
      <c r="O12" s="111" t="n">
        <f aca="false">'مسير نوفمبر'!Q106+'مسير نوفمبر'!R106</f>
        <v>0</v>
      </c>
      <c r="P12" s="111" t="n">
        <f aca="false">'مسير ديسمبر'!Q106+'مسير ديسمبر'!R106</f>
        <v>0</v>
      </c>
      <c r="Q12" s="188" t="n">
        <f aca="false">SUM(E12:P12)</f>
        <v>21297.2602739726</v>
      </c>
      <c r="R12" s="189" t="n">
        <f aca="false">SUMPRODUCT(($E$4:$P$4&lt;=cfg_VAL_M)*E12:P12)</f>
        <v>21297.2602739726</v>
      </c>
    </row>
    <row r="13" customFormat="false" ht="15" hidden="false" customHeight="false" outlineLevel="0" collapsed="false">
      <c r="B13" s="64" t="s">
        <v>602</v>
      </c>
      <c r="C13" s="86" t="s">
        <v>603</v>
      </c>
      <c r="D13" s="187" t="s">
        <v>591</v>
      </c>
      <c r="E13" s="111" t="n">
        <f aca="false">'مسير يناير'!S106</f>
        <v>0</v>
      </c>
      <c r="F13" s="111" t="n">
        <f aca="false">'مسير فبراير'!S106</f>
        <v>0</v>
      </c>
      <c r="G13" s="111" t="n">
        <f aca="false">'مسير مارس'!S106</f>
        <v>0</v>
      </c>
      <c r="H13" s="111" t="n">
        <f aca="false">'مسير أبريل'!S106</f>
        <v>0</v>
      </c>
      <c r="I13" s="111" t="n">
        <f aca="false">'مسير مايو'!S106</f>
        <v>0</v>
      </c>
      <c r="J13" s="111" t="n">
        <f aca="false">'مسير يونيو'!S106</f>
        <v>8775</v>
      </c>
      <c r="K13" s="111" t="n">
        <f aca="false">'مسير يوليو'!S106</f>
        <v>0</v>
      </c>
      <c r="L13" s="111" t="n">
        <f aca="false">'مسير أغسطس'!S106</f>
        <v>8505</v>
      </c>
      <c r="M13" s="111" t="n">
        <f aca="false">'مسير سبتمبر'!S106</f>
        <v>0</v>
      </c>
      <c r="N13" s="111" t="n">
        <f aca="false">'مسير أكتوبر'!S106</f>
        <v>0</v>
      </c>
      <c r="O13" s="111" t="n">
        <f aca="false">'مسير نوفمبر'!S106</f>
        <v>0</v>
      </c>
      <c r="P13" s="111" t="n">
        <f aca="false">'مسير ديسمبر'!S106</f>
        <v>11475</v>
      </c>
      <c r="Q13" s="188" t="n">
        <f aca="false">SUM(E13:P13)</f>
        <v>28755</v>
      </c>
      <c r="R13" s="189" t="n">
        <f aca="false">SUMPRODUCT(($E$4:$P$4&lt;=cfg_VAL_M)*E13:P13)</f>
        <v>17280</v>
      </c>
    </row>
    <row r="14" customFormat="false" ht="15" hidden="false" customHeight="false" outlineLevel="0" collapsed="false">
      <c r="B14" s="64" t="s">
        <v>604</v>
      </c>
      <c r="C14" s="86" t="s">
        <v>605</v>
      </c>
      <c r="D14" s="187" t="s">
        <v>591</v>
      </c>
      <c r="E14" s="111" t="n">
        <f aca="false">'مسير يناير'!Z106</f>
        <v>14585.9375</v>
      </c>
      <c r="F14" s="111" t="n">
        <f aca="false">'مسير فبراير'!Z106</f>
        <v>14585.9375</v>
      </c>
      <c r="G14" s="111" t="n">
        <f aca="false">'مسير مارس'!Z106</f>
        <v>14585.9375</v>
      </c>
      <c r="H14" s="111" t="n">
        <f aca="false">'مسير أبريل'!Z106</f>
        <v>15290.9375</v>
      </c>
      <c r="I14" s="111" t="n">
        <f aca="false">'مسير مايو'!Z106</f>
        <v>15907.8125</v>
      </c>
      <c r="J14" s="111" t="n">
        <f aca="false">'مسير يونيو'!Z106</f>
        <v>15907.8125</v>
      </c>
      <c r="K14" s="111" t="n">
        <f aca="false">'مسير يوليو'!Z106</f>
        <v>15782.8125</v>
      </c>
      <c r="L14" s="111" t="n">
        <f aca="false">'مسير أغسطس'!Z106</f>
        <v>15782.8125</v>
      </c>
      <c r="M14" s="111" t="n">
        <f aca="false">'مسير سبتمبر'!Z106</f>
        <v>15782.8125</v>
      </c>
      <c r="N14" s="111" t="n">
        <f aca="false">'مسير أكتوبر'!Z106</f>
        <v>15782.8125</v>
      </c>
      <c r="O14" s="111" t="n">
        <f aca="false">'مسير نوفمبر'!Z106</f>
        <v>15782.8125</v>
      </c>
      <c r="P14" s="111" t="n">
        <f aca="false">'مسير ديسمبر'!Z106</f>
        <v>15782.8125</v>
      </c>
      <c r="Q14" s="188" t="n">
        <f aca="false">SUM(E14:P14)</f>
        <v>185561.25</v>
      </c>
      <c r="R14" s="189" t="n">
        <f aca="false">SUMPRODUCT(($E$4:$P$4&lt;=cfg_VAL_M)*E14:P14)</f>
        <v>138212.8125</v>
      </c>
    </row>
    <row r="15" customFormat="false" ht="15" hidden="false" customHeight="false" outlineLevel="0" collapsed="false">
      <c r="B15" s="64" t="s">
        <v>606</v>
      </c>
      <c r="C15" s="190" t="s">
        <v>607</v>
      </c>
      <c r="D15" s="191" t="s">
        <v>608</v>
      </c>
      <c r="E15" s="111" t="n">
        <f aca="false">'مسير يناير'!U106+'مسير يناير'!Z106</f>
        <v>25859.375</v>
      </c>
      <c r="F15" s="111" t="n">
        <f aca="false">'مسير فبراير'!U106+'مسير فبراير'!Z106</f>
        <v>25859.375</v>
      </c>
      <c r="G15" s="111" t="n">
        <f aca="false">'مسير مارس'!U106+'مسير مارس'!Z106</f>
        <v>25859.375</v>
      </c>
      <c r="H15" s="111" t="n">
        <f aca="false">'مسير أبريل'!U106+'مسير أبريل'!Z106</f>
        <v>27149.375</v>
      </c>
      <c r="I15" s="111" t="n">
        <f aca="false">'مسير مايو'!U106+'مسير مايو'!Z106</f>
        <v>28278.125</v>
      </c>
      <c r="J15" s="111" t="n">
        <f aca="false">'مسير يونيو'!U106+'مسير يونيو'!Z106</f>
        <v>28278.125</v>
      </c>
      <c r="K15" s="111" t="n">
        <f aca="false">'مسير يوليو'!U106+'مسير يوليو'!Z106</f>
        <v>28153.125</v>
      </c>
      <c r="L15" s="111" t="n">
        <f aca="false">'مسير أغسطس'!U106+'مسير أغسطس'!Z106</f>
        <v>28153.125</v>
      </c>
      <c r="M15" s="111" t="n">
        <f aca="false">'مسير سبتمبر'!U106+'مسير سبتمبر'!Z106</f>
        <v>28153.125</v>
      </c>
      <c r="N15" s="111" t="n">
        <f aca="false">'مسير أكتوبر'!U106+'مسير أكتوبر'!Z106</f>
        <v>28153.125</v>
      </c>
      <c r="O15" s="111" t="n">
        <f aca="false">'مسير نوفمبر'!U106+'مسير نوفمبر'!Z106</f>
        <v>28153.125</v>
      </c>
      <c r="P15" s="111" t="n">
        <f aca="false">'مسير ديسمبر'!U106+'مسير ديسمبر'!Z106</f>
        <v>28153.125</v>
      </c>
      <c r="Q15" s="188" t="n">
        <f aca="false">SUM(E15:P15)</f>
        <v>330202.5</v>
      </c>
      <c r="R15" s="189" t="n">
        <f aca="false">SUMPRODUCT(($E$4:$P$4&lt;=cfg_VAL_M)*E15:P15)</f>
        <v>245743.125</v>
      </c>
    </row>
    <row r="16" customFormat="false" ht="15" hidden="false" customHeight="false" outlineLevel="0" collapsed="false">
      <c r="B16" s="64" t="s">
        <v>609</v>
      </c>
      <c r="C16" s="190" t="s">
        <v>610</v>
      </c>
      <c r="D16" s="191" t="s">
        <v>608</v>
      </c>
      <c r="E16" s="111" t="n">
        <f aca="false">'مسير يناير'!V106</f>
        <v>1000</v>
      </c>
      <c r="F16" s="111" t="n">
        <f aca="false">'مسير فبراير'!V106</f>
        <v>1000</v>
      </c>
      <c r="G16" s="111" t="n">
        <f aca="false">'مسير مارس'!V106</f>
        <v>1000</v>
      </c>
      <c r="H16" s="111" t="n">
        <f aca="false">'مسير أبريل'!V106</f>
        <v>1000</v>
      </c>
      <c r="I16" s="111" t="n">
        <f aca="false">'مسير مايو'!V106</f>
        <v>1000</v>
      </c>
      <c r="J16" s="111" t="n">
        <f aca="false">'مسير يونيو'!V106</f>
        <v>0</v>
      </c>
      <c r="K16" s="111" t="n">
        <f aca="false">'مسير يوليو'!V106</f>
        <v>0</v>
      </c>
      <c r="L16" s="111" t="n">
        <f aca="false">'مسير أغسطس'!V106</f>
        <v>0</v>
      </c>
      <c r="M16" s="111" t="n">
        <f aca="false">'مسير سبتمبر'!V106</f>
        <v>0</v>
      </c>
      <c r="N16" s="111" t="n">
        <f aca="false">'مسير أكتوبر'!V106</f>
        <v>0</v>
      </c>
      <c r="O16" s="111" t="n">
        <f aca="false">'مسير نوفمبر'!V106</f>
        <v>0</v>
      </c>
      <c r="P16" s="111" t="n">
        <f aca="false">'مسير ديسمبر'!V106</f>
        <v>0</v>
      </c>
      <c r="Q16" s="188" t="n">
        <f aca="false">SUM(E16:P16)</f>
        <v>5000</v>
      </c>
      <c r="R16" s="189" t="n">
        <f aca="false">SUMPRODUCT(($E$4:$P$4&lt;=cfg_VAL_M)*E16:P16)</f>
        <v>5000</v>
      </c>
    </row>
    <row r="17" customFormat="false" ht="15" hidden="false" customHeight="false" outlineLevel="0" collapsed="false">
      <c r="B17" s="64" t="s">
        <v>611</v>
      </c>
      <c r="C17" s="190" t="s">
        <v>612</v>
      </c>
      <c r="D17" s="191" t="s">
        <v>608</v>
      </c>
      <c r="E17" s="111" t="n">
        <f aca="false">'مسير يناير'!W106</f>
        <v>100</v>
      </c>
      <c r="F17" s="111" t="n">
        <f aca="false">'مسير فبراير'!W106</f>
        <v>0</v>
      </c>
      <c r="G17" s="111" t="n">
        <f aca="false">'مسير مارس'!W106</f>
        <v>0</v>
      </c>
      <c r="H17" s="111" t="n">
        <f aca="false">'مسير أبريل'!W106</f>
        <v>0</v>
      </c>
      <c r="I17" s="111" t="n">
        <f aca="false">'مسير مايو'!W106</f>
        <v>0</v>
      </c>
      <c r="J17" s="111" t="n">
        <f aca="false">'مسير يونيو'!W106</f>
        <v>0</v>
      </c>
      <c r="K17" s="111" t="n">
        <f aca="false">'مسير يوليو'!W106</f>
        <v>0</v>
      </c>
      <c r="L17" s="111" t="n">
        <f aca="false">'مسير أغسطس'!W106</f>
        <v>0</v>
      </c>
      <c r="M17" s="111" t="n">
        <f aca="false">'مسير سبتمبر'!W106</f>
        <v>250</v>
      </c>
      <c r="N17" s="111" t="n">
        <f aca="false">'مسير أكتوبر'!W106</f>
        <v>0</v>
      </c>
      <c r="O17" s="111" t="n">
        <f aca="false">'مسير نوفمبر'!W106</f>
        <v>0</v>
      </c>
      <c r="P17" s="111" t="n">
        <f aca="false">'مسير ديسمبر'!W106</f>
        <v>0</v>
      </c>
      <c r="Q17" s="188" t="n">
        <f aca="false">SUM(E17:P17)</f>
        <v>350</v>
      </c>
      <c r="R17" s="189" t="n">
        <f aca="false">SUMPRODUCT(($E$4:$P$4&lt;=cfg_VAL_M)*E17:P17)</f>
        <v>350</v>
      </c>
    </row>
    <row r="18" customFormat="false" ht="15" hidden="false" customHeight="false" outlineLevel="0" collapsed="false">
      <c r="B18" s="64" t="s">
        <v>613</v>
      </c>
      <c r="C18" s="190" t="s">
        <v>614</v>
      </c>
      <c r="D18" s="191" t="s">
        <v>608</v>
      </c>
      <c r="E18" s="111" t="n">
        <f aca="false">'مسير يناير'!Y106</f>
        <v>178337.395833333</v>
      </c>
      <c r="F18" s="111" t="n">
        <f aca="false">'مسير فبراير'!Y106</f>
        <v>182442.395833333</v>
      </c>
      <c r="G18" s="111" t="n">
        <f aca="false">'مسير مارس'!Y106</f>
        <v>177782.8125</v>
      </c>
      <c r="H18" s="111" t="n">
        <f aca="false">'مسير أبريل'!Y106</f>
        <v>181616.5625</v>
      </c>
      <c r="I18" s="111" t="n">
        <f aca="false">'مسير مايو'!Y106</f>
        <v>189111.354166667</v>
      </c>
      <c r="J18" s="111" t="n">
        <f aca="false">'مسير يونيو'!Y106</f>
        <v>195154.6875</v>
      </c>
      <c r="K18" s="111" t="n">
        <f aca="false">'مسير يوليو'!Y106</f>
        <v>190501.947773973</v>
      </c>
      <c r="L18" s="111" t="n">
        <f aca="false">'مسير أغسطس'!Y106</f>
        <v>180702.1875</v>
      </c>
      <c r="M18" s="111" t="n">
        <f aca="false">'مسير سبتمبر'!Y106</f>
        <v>175044.270833333</v>
      </c>
      <c r="N18" s="111" t="n">
        <f aca="false">'مسير أكتوبر'!Y106</f>
        <v>169506.354166667</v>
      </c>
      <c r="O18" s="111" t="n">
        <f aca="false">'مسير نوفمبر'!Y106</f>
        <v>182204.6875</v>
      </c>
      <c r="P18" s="111" t="n">
        <f aca="false">'مسير ديسمبر'!Y106</f>
        <v>181704.6875</v>
      </c>
      <c r="Q18" s="188" t="n">
        <f aca="false">SUM(E18:P18)</f>
        <v>2184109.34360731</v>
      </c>
      <c r="R18" s="189" t="n">
        <f aca="false">SUMPRODUCT(($E$4:$P$4&lt;=cfg_VAL_M)*E18:P18)</f>
        <v>1650693.61444064</v>
      </c>
    </row>
    <row r="19" customFormat="false" ht="21.75" hidden="false" customHeight="true" outlineLevel="0" collapsed="false">
      <c r="B19" s="186" t="s">
        <v>615</v>
      </c>
      <c r="C19" s="186"/>
      <c r="D19" s="186"/>
      <c r="E19" s="186"/>
      <c r="F19" s="186"/>
      <c r="G19" s="186"/>
      <c r="H19" s="186"/>
      <c r="I19" s="186"/>
      <c r="J19" s="186"/>
      <c r="K19" s="186"/>
      <c r="L19" s="186"/>
      <c r="M19" s="186"/>
      <c r="N19" s="186"/>
      <c r="O19" s="186"/>
      <c r="P19" s="186"/>
      <c r="Q19" s="186"/>
      <c r="R19" s="186"/>
    </row>
    <row r="20" customFormat="false" ht="15" hidden="false" customHeight="false" outlineLevel="0" collapsed="false">
      <c r="B20" s="64" t="s">
        <v>616</v>
      </c>
      <c r="C20" s="86" t="s">
        <v>617</v>
      </c>
      <c r="D20" s="187" t="s">
        <v>591</v>
      </c>
      <c r="E20" s="111" t="n">
        <f aca="false">'مسير يناير'!AA106</f>
        <v>13708.0479452055</v>
      </c>
      <c r="F20" s="111" t="n">
        <f aca="false">'مسير فبراير'!AA106</f>
        <v>12712.1917808219</v>
      </c>
      <c r="G20" s="111" t="n">
        <f aca="false">'مسير مارس'!AA106</f>
        <v>14074.2123287672</v>
      </c>
      <c r="H20" s="111" t="n">
        <f aca="false">'مسير أبريل'!AA106</f>
        <v>13886.506849315</v>
      </c>
      <c r="I20" s="111" t="n">
        <f aca="false">'مسير مايو'!AA106</f>
        <v>14590.1712328767</v>
      </c>
      <c r="J20" s="111" t="n">
        <f aca="false">'مسير يونيو'!AA106</f>
        <v>14119.5205479452</v>
      </c>
      <c r="K20" s="111" t="n">
        <f aca="false">'مسير يوليو'!AA106</f>
        <v>14016.8835616438</v>
      </c>
      <c r="L20" s="111" t="n">
        <f aca="false">'مسير أغسطس'!AA106</f>
        <v>13975.2739726027</v>
      </c>
      <c r="M20" s="111" t="n">
        <f aca="false">'مسير سبتمبر'!AA106</f>
        <v>13035.8219178082</v>
      </c>
      <c r="N20" s="111" t="n">
        <f aca="false">'مسير أكتوبر'!AA106</f>
        <v>13103.3219178082</v>
      </c>
      <c r="O20" s="111" t="n">
        <f aca="false">'مسير نوفمبر'!AA106</f>
        <v>13564.7260273973</v>
      </c>
      <c r="P20" s="111" t="n">
        <f aca="false">'مسير ديسمبر'!AA106</f>
        <v>14016.8835616439</v>
      </c>
      <c r="Q20" s="188" t="n">
        <f aca="false">SUM(E20:P20)</f>
        <v>164803.561643836</v>
      </c>
      <c r="R20" s="189" t="n">
        <f aca="false">SUMPRODUCT(($E$4:$P$4&lt;=cfg_VAL_M)*E20:P20)</f>
        <v>124118.630136986</v>
      </c>
    </row>
    <row r="21" customFormat="false" ht="15" hidden="false" customHeight="false" outlineLevel="0" collapsed="false">
      <c r="B21" s="64" t="s">
        <v>618</v>
      </c>
      <c r="C21" s="190" t="s">
        <v>619</v>
      </c>
      <c r="D21" s="191" t="s">
        <v>608</v>
      </c>
      <c r="E21" s="111" t="n">
        <f aca="false">'مسير يناير'!AA106</f>
        <v>13708.0479452055</v>
      </c>
      <c r="F21" s="111" t="n">
        <f aca="false">'مسير فبراير'!AA106</f>
        <v>12712.1917808219</v>
      </c>
      <c r="G21" s="111" t="n">
        <f aca="false">'مسير مارس'!AA106</f>
        <v>14074.2123287672</v>
      </c>
      <c r="H21" s="111" t="n">
        <f aca="false">'مسير أبريل'!AA106</f>
        <v>13886.506849315</v>
      </c>
      <c r="I21" s="111" t="n">
        <f aca="false">'مسير مايو'!AA106</f>
        <v>14590.1712328767</v>
      </c>
      <c r="J21" s="111" t="n">
        <f aca="false">'مسير يونيو'!AA106</f>
        <v>14119.5205479452</v>
      </c>
      <c r="K21" s="111" t="n">
        <f aca="false">'مسير يوليو'!AA106</f>
        <v>14016.8835616438</v>
      </c>
      <c r="L21" s="111" t="n">
        <f aca="false">'مسير أغسطس'!AA106</f>
        <v>13975.2739726027</v>
      </c>
      <c r="M21" s="111" t="n">
        <f aca="false">'مسير سبتمبر'!AA106</f>
        <v>13035.8219178082</v>
      </c>
      <c r="N21" s="111" t="n">
        <f aca="false">'مسير أكتوبر'!AA106</f>
        <v>13103.3219178082</v>
      </c>
      <c r="O21" s="111" t="n">
        <f aca="false">'مسير نوفمبر'!AA106</f>
        <v>13564.7260273973</v>
      </c>
      <c r="P21" s="111" t="n">
        <f aca="false">'مسير ديسمبر'!AA106</f>
        <v>14016.8835616439</v>
      </c>
      <c r="Q21" s="188" t="n">
        <f aca="false">SUM(E21:P21)</f>
        <v>164803.561643836</v>
      </c>
      <c r="R21" s="189" t="n">
        <f aca="false">SUMPRODUCT(($E$4:$P$4&lt;=cfg_VAL_M)*E21:P21)</f>
        <v>124118.630136986</v>
      </c>
    </row>
    <row r="22" customFormat="false" ht="15" hidden="false" customHeight="false" outlineLevel="0" collapsed="false">
      <c r="B22" s="64" t="s">
        <v>620</v>
      </c>
      <c r="C22" s="86" t="s">
        <v>621</v>
      </c>
      <c r="D22" s="187" t="s">
        <v>591</v>
      </c>
      <c r="E22" s="111" t="n">
        <f aca="false">'مسير يناير'!AB106</f>
        <v>14521.3767123288</v>
      </c>
      <c r="F22" s="111" t="n">
        <f aca="false">'مسير فبراير'!AB106</f>
        <v>13116.0821917808</v>
      </c>
      <c r="G22" s="111" t="n">
        <f aca="false">'مسير مارس'!AB106</f>
        <v>14521.3767123288</v>
      </c>
      <c r="H22" s="111" t="n">
        <f aca="false">'مسير أبريل'!AB106</f>
        <v>14425.7671232877</v>
      </c>
      <c r="I22" s="111" t="n">
        <f aca="false">'مسير مايو'!AB106</f>
        <v>15243.7191780822</v>
      </c>
      <c r="J22" s="111" t="n">
        <f aca="false">'مسير يونيو'!AB106</f>
        <v>14751.9863013699</v>
      </c>
      <c r="K22" s="111" t="n">
        <f aca="false">'مسير يوليو'!AB106</f>
        <v>14670.4315068493</v>
      </c>
      <c r="L22" s="111" t="n">
        <f aca="false">'مسير أغسطس'!AB106</f>
        <v>14612.1780821918</v>
      </c>
      <c r="M22" s="111" t="n">
        <f aca="false">'مسير سبتمبر'!AB106</f>
        <v>13668.2876712329</v>
      </c>
      <c r="N22" s="111" t="n">
        <f aca="false">'مسير أكتوبر'!AB106</f>
        <v>13756.8698630137</v>
      </c>
      <c r="O22" s="111" t="n">
        <f aca="false">'مسير نوفمبر'!AB106</f>
        <v>14197.1917808219</v>
      </c>
      <c r="P22" s="111" t="n">
        <f aca="false">'مسير ديسمبر'!AB106</f>
        <v>14670.4315068493</v>
      </c>
      <c r="Q22" s="188" t="n">
        <f aca="false">SUM(E22:P22)</f>
        <v>172155.698630137</v>
      </c>
      <c r="R22" s="189" t="n">
        <f aca="false">SUMPRODUCT(($E$4:$P$4&lt;=cfg_VAL_M)*E22:P22)</f>
        <v>129531.205479452</v>
      </c>
    </row>
    <row r="23" customFormat="false" ht="15" hidden="false" customHeight="false" outlineLevel="0" collapsed="false">
      <c r="B23" s="64" t="s">
        <v>622</v>
      </c>
      <c r="C23" s="190" t="s">
        <v>623</v>
      </c>
      <c r="D23" s="191" t="s">
        <v>608</v>
      </c>
      <c r="E23" s="111" t="n">
        <f aca="false">'مسير يناير'!AB106</f>
        <v>14521.3767123288</v>
      </c>
      <c r="F23" s="111" t="n">
        <f aca="false">'مسير فبراير'!AB106</f>
        <v>13116.0821917808</v>
      </c>
      <c r="G23" s="111" t="n">
        <f aca="false">'مسير مارس'!AB106</f>
        <v>14521.3767123288</v>
      </c>
      <c r="H23" s="111" t="n">
        <f aca="false">'مسير أبريل'!AB106</f>
        <v>14425.7671232877</v>
      </c>
      <c r="I23" s="111" t="n">
        <f aca="false">'مسير مايو'!AB106</f>
        <v>15243.7191780822</v>
      </c>
      <c r="J23" s="111" t="n">
        <f aca="false">'مسير يونيو'!AB106</f>
        <v>14751.9863013699</v>
      </c>
      <c r="K23" s="111" t="n">
        <f aca="false">'مسير يوليو'!AB106</f>
        <v>14670.4315068493</v>
      </c>
      <c r="L23" s="111" t="n">
        <f aca="false">'مسير أغسطس'!AB106</f>
        <v>14612.1780821918</v>
      </c>
      <c r="M23" s="111" t="n">
        <f aca="false">'مسير سبتمبر'!AB106</f>
        <v>13668.2876712329</v>
      </c>
      <c r="N23" s="111" t="n">
        <f aca="false">'مسير أكتوبر'!AB106</f>
        <v>13756.8698630137</v>
      </c>
      <c r="O23" s="111" t="n">
        <f aca="false">'مسير نوفمبر'!AB106</f>
        <v>14197.1917808219</v>
      </c>
      <c r="P23" s="111" t="n">
        <f aca="false">'مسير ديسمبر'!AB106</f>
        <v>14670.4315068493</v>
      </c>
      <c r="Q23" s="188" t="n">
        <f aca="false">SUM(E23:P23)</f>
        <v>172155.698630137</v>
      </c>
      <c r="R23" s="189" t="n">
        <f aca="false">SUMPRODUCT(($E$4:$P$4&lt;=cfg_VAL_M)*E23:P23)</f>
        <v>129531.205479452</v>
      </c>
    </row>
    <row r="24" customFormat="false" ht="15" hidden="false" customHeight="false" outlineLevel="0" collapsed="false">
      <c r="B24" s="64" t="s">
        <v>624</v>
      </c>
      <c r="C24" s="86" t="s">
        <v>625</v>
      </c>
      <c r="D24" s="187" t="s">
        <v>591</v>
      </c>
      <c r="E24" s="111" t="n">
        <f aca="false">'مسير يناير'!AC106</f>
        <v>959.72602739726</v>
      </c>
      <c r="F24" s="111" t="n">
        <f aca="false">'مسير فبراير'!AC106</f>
        <v>866.849315068493</v>
      </c>
      <c r="G24" s="111" t="n">
        <f aca="false">'مسير مارس'!AC106</f>
        <v>959.72602739726</v>
      </c>
      <c r="H24" s="111" t="n">
        <f aca="false">'مسير أبريل'!AC106</f>
        <v>928.767123287671</v>
      </c>
      <c r="I24" s="111" t="n">
        <f aca="false">'مسير مايو'!AC106</f>
        <v>959.72602739726</v>
      </c>
      <c r="J24" s="111" t="n">
        <f aca="false">'مسير يونيو'!AC106</f>
        <v>928.767123287671</v>
      </c>
      <c r="K24" s="111" t="n">
        <f aca="false">'مسير يوليو'!AC106</f>
        <v>849.315068493151</v>
      </c>
      <c r="L24" s="111" t="n">
        <f aca="false">'مسير أغسطس'!AC106</f>
        <v>849.315068493151</v>
      </c>
      <c r="M24" s="111" t="n">
        <f aca="false">'مسير سبتمبر'!AC106</f>
        <v>821.917808219178</v>
      </c>
      <c r="N24" s="111" t="n">
        <f aca="false">'مسير أكتوبر'!AC106</f>
        <v>849.315068493151</v>
      </c>
      <c r="O24" s="111" t="n">
        <f aca="false">'مسير نوفمبر'!AC106</f>
        <v>821.917808219178</v>
      </c>
      <c r="P24" s="111" t="n">
        <f aca="false">'مسير ديسمبر'!AC106</f>
        <v>849.315068493151</v>
      </c>
      <c r="Q24" s="188" t="n">
        <f aca="false">SUM(E24:P24)</f>
        <v>10644.6575342466</v>
      </c>
      <c r="R24" s="189" t="n">
        <f aca="false">SUMPRODUCT(($E$4:$P$4&lt;=cfg_VAL_M)*E24:P24)</f>
        <v>8124.1095890411</v>
      </c>
    </row>
    <row r="25" customFormat="false" ht="15" hidden="false" customHeight="false" outlineLevel="0" collapsed="false">
      <c r="B25" s="64" t="s">
        <v>626</v>
      </c>
      <c r="C25" s="190" t="s">
        <v>627</v>
      </c>
      <c r="D25" s="191" t="s">
        <v>608</v>
      </c>
      <c r="E25" s="111" t="n">
        <f aca="false">'مسير يناير'!AC106</f>
        <v>959.72602739726</v>
      </c>
      <c r="F25" s="111" t="n">
        <f aca="false">'مسير فبراير'!AC106</f>
        <v>866.849315068493</v>
      </c>
      <c r="G25" s="111" t="n">
        <f aca="false">'مسير مارس'!AC106</f>
        <v>959.72602739726</v>
      </c>
      <c r="H25" s="111" t="n">
        <f aca="false">'مسير أبريل'!AC106</f>
        <v>928.767123287671</v>
      </c>
      <c r="I25" s="111" t="n">
        <f aca="false">'مسير مايو'!AC106</f>
        <v>959.72602739726</v>
      </c>
      <c r="J25" s="111" t="n">
        <f aca="false">'مسير يونيو'!AC106</f>
        <v>928.767123287671</v>
      </c>
      <c r="K25" s="111" t="n">
        <f aca="false">'مسير يوليو'!AC106</f>
        <v>849.315068493151</v>
      </c>
      <c r="L25" s="111" t="n">
        <f aca="false">'مسير أغسطس'!AC106</f>
        <v>849.315068493151</v>
      </c>
      <c r="M25" s="111" t="n">
        <f aca="false">'مسير سبتمبر'!AC106</f>
        <v>821.917808219178</v>
      </c>
      <c r="N25" s="111" t="n">
        <f aca="false">'مسير أكتوبر'!AC106</f>
        <v>849.315068493151</v>
      </c>
      <c r="O25" s="111" t="n">
        <f aca="false">'مسير نوفمبر'!AC106</f>
        <v>821.917808219178</v>
      </c>
      <c r="P25" s="111" t="n">
        <f aca="false">'مسير ديسمبر'!AC106</f>
        <v>849.315068493151</v>
      </c>
      <c r="Q25" s="188" t="n">
        <f aca="false">SUM(E25:P25)</f>
        <v>10644.6575342466</v>
      </c>
      <c r="R25" s="189" t="n">
        <f aca="false">SUMPRODUCT(($E$4:$P$4&lt;=cfg_VAL_M)*E25:P25)</f>
        <v>8124.1095890411</v>
      </c>
    </row>
    <row r="26" customFormat="false" ht="21.75" hidden="false" customHeight="true" outlineLevel="0" collapsed="false">
      <c r="B26" s="186" t="s">
        <v>628</v>
      </c>
      <c r="C26" s="186"/>
      <c r="D26" s="186"/>
      <c r="E26" s="186"/>
      <c r="F26" s="186"/>
      <c r="G26" s="186"/>
      <c r="H26" s="186"/>
      <c r="I26" s="186"/>
      <c r="J26" s="186"/>
      <c r="K26" s="186"/>
      <c r="L26" s="186"/>
      <c r="M26" s="186"/>
      <c r="N26" s="186"/>
      <c r="O26" s="186"/>
      <c r="P26" s="186"/>
      <c r="Q26" s="186"/>
      <c r="R26" s="186"/>
    </row>
    <row r="27" customFormat="false" ht="15" hidden="false" customHeight="false" outlineLevel="0" collapsed="false">
      <c r="B27" s="64" t="s">
        <v>622</v>
      </c>
      <c r="C27" s="86" t="s">
        <v>629</v>
      </c>
      <c r="D27" s="187" t="s">
        <v>591</v>
      </c>
      <c r="E27" s="111" t="n">
        <f aca="false">'مسير يناير'!AM106</f>
        <v>0</v>
      </c>
      <c r="F27" s="111" t="n">
        <f aca="false">'مسير فبراير'!AM106</f>
        <v>0</v>
      </c>
      <c r="G27" s="111" t="n">
        <f aca="false">'مسير مارس'!AM106</f>
        <v>22995</v>
      </c>
      <c r="H27" s="111" t="n">
        <f aca="false">'مسير أبريل'!AM106</f>
        <v>0</v>
      </c>
      <c r="I27" s="111" t="n">
        <f aca="false">'مسير مايو'!AM106</f>
        <v>0</v>
      </c>
      <c r="J27" s="111" t="n">
        <f aca="false">'مسير يونيو'!AM106</f>
        <v>8775</v>
      </c>
      <c r="K27" s="111" t="n">
        <f aca="false">'مسير يوليو'!AM106</f>
        <v>25650</v>
      </c>
      <c r="L27" s="111" t="n">
        <f aca="false">'مسير أغسطس'!AM106</f>
        <v>8505</v>
      </c>
      <c r="M27" s="111" t="n">
        <f aca="false">'مسير سبتمبر'!AM106</f>
        <v>0</v>
      </c>
      <c r="N27" s="111" t="n">
        <f aca="false">'مسير أكتوبر'!AM106</f>
        <v>0</v>
      </c>
      <c r="O27" s="111" t="n">
        <f aca="false">'مسير نوفمبر'!AM106</f>
        <v>0</v>
      </c>
      <c r="P27" s="111" t="n">
        <f aca="false">'مسير ديسمبر'!AM106</f>
        <v>11475</v>
      </c>
      <c r="Q27" s="188" t="n">
        <f aca="false">SUM(E27:P27)</f>
        <v>77400</v>
      </c>
      <c r="R27" s="189" t="n">
        <f aca="false">SUMPRODUCT(($E$4:$P$4&lt;=cfg_VAL_M)*E27:P27)</f>
        <v>65925</v>
      </c>
    </row>
    <row r="28" customFormat="false" ht="15" hidden="false" customHeight="false" outlineLevel="0" collapsed="false">
      <c r="B28" s="64" t="s">
        <v>620</v>
      </c>
      <c r="C28" s="190" t="s">
        <v>630</v>
      </c>
      <c r="D28" s="191" t="s">
        <v>608</v>
      </c>
      <c r="E28" s="111" t="n">
        <f aca="false">'مسير يناير'!AM106</f>
        <v>0</v>
      </c>
      <c r="F28" s="111" t="n">
        <f aca="false">'مسير فبراير'!AM106</f>
        <v>0</v>
      </c>
      <c r="G28" s="111" t="n">
        <f aca="false">'مسير مارس'!AM106</f>
        <v>22995</v>
      </c>
      <c r="H28" s="111" t="n">
        <f aca="false">'مسير أبريل'!AM106</f>
        <v>0</v>
      </c>
      <c r="I28" s="111" t="n">
        <f aca="false">'مسير مايو'!AM106</f>
        <v>0</v>
      </c>
      <c r="J28" s="111" t="n">
        <f aca="false">'مسير يونيو'!AM106</f>
        <v>8775</v>
      </c>
      <c r="K28" s="111" t="n">
        <f aca="false">'مسير يوليو'!AM106</f>
        <v>25650</v>
      </c>
      <c r="L28" s="111" t="n">
        <f aca="false">'مسير أغسطس'!AM106</f>
        <v>8505</v>
      </c>
      <c r="M28" s="111" t="n">
        <f aca="false">'مسير سبتمبر'!AM106</f>
        <v>0</v>
      </c>
      <c r="N28" s="111" t="n">
        <f aca="false">'مسير أكتوبر'!AM106</f>
        <v>0</v>
      </c>
      <c r="O28" s="111" t="n">
        <f aca="false">'مسير نوفمبر'!AM106</f>
        <v>0</v>
      </c>
      <c r="P28" s="111" t="n">
        <f aca="false">'مسير ديسمبر'!AM106</f>
        <v>11475</v>
      </c>
      <c r="Q28" s="188" t="n">
        <f aca="false">SUM(E28:P28)</f>
        <v>77400</v>
      </c>
      <c r="R28" s="189" t="n">
        <f aca="false">SUMPRODUCT(($E$4:$P$4&lt;=cfg_VAL_M)*E28:P28)</f>
        <v>65925</v>
      </c>
    </row>
    <row r="29" customFormat="false" ht="21.75" hidden="false" customHeight="true" outlineLevel="0" collapsed="false">
      <c r="B29" s="186" t="s">
        <v>631</v>
      </c>
      <c r="C29" s="186"/>
      <c r="D29" s="186"/>
      <c r="E29" s="186"/>
      <c r="F29" s="186"/>
      <c r="G29" s="186"/>
      <c r="H29" s="186"/>
      <c r="I29" s="186"/>
      <c r="J29" s="186"/>
      <c r="K29" s="186"/>
      <c r="L29" s="186"/>
      <c r="M29" s="186"/>
      <c r="N29" s="186"/>
      <c r="O29" s="186"/>
      <c r="P29" s="186"/>
      <c r="Q29" s="186"/>
      <c r="R29" s="186"/>
    </row>
    <row r="30" customFormat="false" ht="15" hidden="false" customHeight="false" outlineLevel="0" collapsed="false">
      <c r="B30" s="64" t="s">
        <v>632</v>
      </c>
      <c r="C30" s="86" t="s">
        <v>633</v>
      </c>
      <c r="D30" s="187" t="s">
        <v>591</v>
      </c>
      <c r="E30" s="111" t="n">
        <f aca="false">'مسير يناير'!AD106+'مسير يناير'!AF106</f>
        <v>4670.83333333333</v>
      </c>
      <c r="F30" s="111" t="n">
        <f aca="false">'مسير فبراير'!AD106+'مسير فبراير'!AF106</f>
        <v>4670.83333333333</v>
      </c>
      <c r="G30" s="111" t="n">
        <f aca="false">'مسير مارس'!AD106+'مسير مارس'!AF106</f>
        <v>4670.83333333333</v>
      </c>
      <c r="H30" s="111" t="n">
        <f aca="false">'مسير أبريل'!AD106+'مسير أبريل'!AF106</f>
        <v>4670.83333333333</v>
      </c>
      <c r="I30" s="111" t="n">
        <f aca="false">'مسير مايو'!AD106+'مسير مايو'!AF106</f>
        <v>4670.83333333333</v>
      </c>
      <c r="J30" s="111" t="n">
        <f aca="false">'مسير يونيو'!AD106+'مسير يونيو'!AF106</f>
        <v>4670.83333333333</v>
      </c>
      <c r="K30" s="111" t="n">
        <f aca="false">'مسير يوليو'!AD106+'مسير يوليو'!AF106</f>
        <v>3816.66666666667</v>
      </c>
      <c r="L30" s="111" t="n">
        <f aca="false">'مسير أغسطس'!AD106+'مسير أغسطس'!AF106</f>
        <v>3816.66666666667</v>
      </c>
      <c r="M30" s="111" t="n">
        <f aca="false">'مسير سبتمبر'!AD106+'مسير سبتمبر'!AF106</f>
        <v>3816.66666666667</v>
      </c>
      <c r="N30" s="111" t="n">
        <f aca="false">'مسير أكتوبر'!AD106+'مسير أكتوبر'!AF106</f>
        <v>3816.66666666667</v>
      </c>
      <c r="O30" s="111" t="n">
        <f aca="false">'مسير نوفمبر'!AD106+'مسير نوفمبر'!AF106</f>
        <v>3816.66666666667</v>
      </c>
      <c r="P30" s="111" t="n">
        <f aca="false">'مسير ديسمبر'!AD106+'مسير ديسمبر'!AF106</f>
        <v>3816.66666666667</v>
      </c>
      <c r="Q30" s="188" t="n">
        <f aca="false">SUM(E30:P30)</f>
        <v>50925</v>
      </c>
      <c r="R30" s="189" t="n">
        <f aca="false">SUMPRODUCT(($E$4:$P$4&lt;=cfg_VAL_M)*E30:P30)</f>
        <v>39475</v>
      </c>
    </row>
    <row r="31" customFormat="false" ht="15" hidden="false" customHeight="false" outlineLevel="0" collapsed="false">
      <c r="B31" s="64" t="s">
        <v>634</v>
      </c>
      <c r="C31" s="190" t="s">
        <v>635</v>
      </c>
      <c r="D31" s="191" t="s">
        <v>608</v>
      </c>
      <c r="E31" s="111" t="n">
        <f aca="false">'مسير يناير'!AD106+'مسير يناير'!AF106</f>
        <v>4670.83333333333</v>
      </c>
      <c r="F31" s="111" t="n">
        <f aca="false">'مسير فبراير'!AD106+'مسير فبراير'!AF106</f>
        <v>4670.83333333333</v>
      </c>
      <c r="G31" s="111" t="n">
        <f aca="false">'مسير مارس'!AD106+'مسير مارس'!AF106</f>
        <v>4670.83333333333</v>
      </c>
      <c r="H31" s="111" t="n">
        <f aca="false">'مسير أبريل'!AD106+'مسير أبريل'!AF106</f>
        <v>4670.83333333333</v>
      </c>
      <c r="I31" s="111" t="n">
        <f aca="false">'مسير مايو'!AD106+'مسير مايو'!AF106</f>
        <v>4670.83333333333</v>
      </c>
      <c r="J31" s="111" t="n">
        <f aca="false">'مسير يونيو'!AD106+'مسير يونيو'!AF106</f>
        <v>4670.83333333333</v>
      </c>
      <c r="K31" s="111" t="n">
        <f aca="false">'مسير يوليو'!AD106+'مسير يوليو'!AF106</f>
        <v>3816.66666666667</v>
      </c>
      <c r="L31" s="111" t="n">
        <f aca="false">'مسير أغسطس'!AD106+'مسير أغسطس'!AF106</f>
        <v>3816.66666666667</v>
      </c>
      <c r="M31" s="111" t="n">
        <f aca="false">'مسير سبتمبر'!AD106+'مسير سبتمبر'!AF106</f>
        <v>3816.66666666667</v>
      </c>
      <c r="N31" s="111" t="n">
        <f aca="false">'مسير أكتوبر'!AD106+'مسير أكتوبر'!AF106</f>
        <v>3816.66666666667</v>
      </c>
      <c r="O31" s="111" t="n">
        <f aca="false">'مسير نوفمبر'!AD106+'مسير نوفمبر'!AF106</f>
        <v>3816.66666666667</v>
      </c>
      <c r="P31" s="111" t="n">
        <f aca="false">'مسير ديسمبر'!AD106+'مسير ديسمبر'!AF106</f>
        <v>3816.66666666667</v>
      </c>
      <c r="Q31" s="188" t="n">
        <f aca="false">SUM(E31:P31)</f>
        <v>50925</v>
      </c>
      <c r="R31" s="189" t="n">
        <f aca="false">SUMPRODUCT(($E$4:$P$4&lt;=cfg_VAL_M)*E31:P31)</f>
        <v>39475</v>
      </c>
    </row>
    <row r="32" customFormat="false" ht="15" hidden="false" customHeight="false" outlineLevel="0" collapsed="false">
      <c r="B32" s="64" t="s">
        <v>636</v>
      </c>
      <c r="C32" s="86" t="s">
        <v>637</v>
      </c>
      <c r="D32" s="187" t="s">
        <v>591</v>
      </c>
      <c r="E32" s="111" t="n">
        <f aca="false">'مسير يناير'!AE106</f>
        <v>2600</v>
      </c>
      <c r="F32" s="111" t="n">
        <f aca="false">'مسير فبراير'!AE106</f>
        <v>2600</v>
      </c>
      <c r="G32" s="111" t="n">
        <f aca="false">'مسير مارس'!AE106</f>
        <v>2600</v>
      </c>
      <c r="H32" s="111" t="n">
        <f aca="false">'مسير أبريل'!AE106</f>
        <v>2706.66666666667</v>
      </c>
      <c r="I32" s="111" t="n">
        <f aca="false">'مسير مايو'!AE106</f>
        <v>2800</v>
      </c>
      <c r="J32" s="111" t="n">
        <f aca="false">'مسير يونيو'!AE106</f>
        <v>2800</v>
      </c>
      <c r="K32" s="111" t="n">
        <f aca="false">'مسير يوليو'!AE106</f>
        <v>2650</v>
      </c>
      <c r="L32" s="111" t="n">
        <f aca="false">'مسير أغسطس'!AE106</f>
        <v>2650</v>
      </c>
      <c r="M32" s="111" t="n">
        <f aca="false">'مسير سبتمبر'!AE106</f>
        <v>2650</v>
      </c>
      <c r="N32" s="111" t="n">
        <f aca="false">'مسير أكتوبر'!AE106</f>
        <v>2650</v>
      </c>
      <c r="O32" s="111" t="n">
        <f aca="false">'مسير نوفمبر'!AE106</f>
        <v>2650</v>
      </c>
      <c r="P32" s="111" t="n">
        <f aca="false">'مسير ديسمبر'!AE106</f>
        <v>2650</v>
      </c>
      <c r="Q32" s="188" t="n">
        <f aca="false">SUM(E32:P32)</f>
        <v>32006.6666666667</v>
      </c>
      <c r="R32" s="189" t="n">
        <f aca="false">SUMPRODUCT(($E$4:$P$4&lt;=cfg_VAL_M)*E32:P32)</f>
        <v>24056.6666666667</v>
      </c>
    </row>
    <row r="33" customFormat="false" ht="15" hidden="false" customHeight="false" outlineLevel="0" collapsed="false">
      <c r="B33" s="64" t="s">
        <v>638</v>
      </c>
      <c r="C33" s="190" t="s">
        <v>639</v>
      </c>
      <c r="D33" s="191" t="s">
        <v>608</v>
      </c>
      <c r="E33" s="111" t="n">
        <f aca="false">'مسير يناير'!AE106</f>
        <v>2600</v>
      </c>
      <c r="F33" s="111" t="n">
        <f aca="false">'مسير فبراير'!AE106</f>
        <v>2600</v>
      </c>
      <c r="G33" s="111" t="n">
        <f aca="false">'مسير مارس'!AE106</f>
        <v>2600</v>
      </c>
      <c r="H33" s="111" t="n">
        <f aca="false">'مسير أبريل'!AE106</f>
        <v>2706.66666666667</v>
      </c>
      <c r="I33" s="111" t="n">
        <f aca="false">'مسير مايو'!AE106</f>
        <v>2800</v>
      </c>
      <c r="J33" s="111" t="n">
        <f aca="false">'مسير يونيو'!AE106</f>
        <v>2800</v>
      </c>
      <c r="K33" s="111" t="n">
        <f aca="false">'مسير يوليو'!AE106</f>
        <v>2650</v>
      </c>
      <c r="L33" s="111" t="n">
        <f aca="false">'مسير أغسطس'!AE106</f>
        <v>2650</v>
      </c>
      <c r="M33" s="111" t="n">
        <f aca="false">'مسير سبتمبر'!AE106</f>
        <v>2650</v>
      </c>
      <c r="N33" s="111" t="n">
        <f aca="false">'مسير أكتوبر'!AE106</f>
        <v>2650</v>
      </c>
      <c r="O33" s="111" t="n">
        <f aca="false">'مسير نوفمبر'!AE106</f>
        <v>2650</v>
      </c>
      <c r="P33" s="111" t="n">
        <f aca="false">'مسير ديسمبر'!AE106</f>
        <v>2650</v>
      </c>
      <c r="Q33" s="188" t="n">
        <f aca="false">SUM(E33:P33)</f>
        <v>32006.6666666667</v>
      </c>
      <c r="R33" s="189" t="n">
        <f aca="false">SUMPRODUCT(($E$4:$P$4&lt;=cfg_VAL_M)*E33:P33)</f>
        <v>24056.6666666667</v>
      </c>
    </row>
    <row r="34" customFormat="false" ht="21.75" hidden="false" customHeight="true" outlineLevel="0" collapsed="false">
      <c r="B34" s="186" t="s">
        <v>640</v>
      </c>
      <c r="C34" s="186"/>
      <c r="D34" s="186"/>
      <c r="E34" s="186"/>
      <c r="F34" s="186"/>
      <c r="G34" s="186"/>
      <c r="H34" s="186"/>
      <c r="I34" s="186"/>
      <c r="J34" s="186"/>
      <c r="K34" s="186"/>
      <c r="L34" s="186"/>
      <c r="M34" s="186"/>
      <c r="N34" s="186"/>
      <c r="O34" s="186"/>
      <c r="P34" s="186"/>
      <c r="Q34" s="186"/>
      <c r="R34" s="186"/>
    </row>
    <row r="35" customFormat="false" ht="15" hidden="false" customHeight="false" outlineLevel="0" collapsed="false">
      <c r="B35" s="64" t="s">
        <v>613</v>
      </c>
      <c r="C35" s="86" t="s">
        <v>641</v>
      </c>
      <c r="D35" s="187" t="s">
        <v>591</v>
      </c>
      <c r="E35" s="111" t="n">
        <f aca="false">'مسير يناير'!Y106</f>
        <v>178337.395833333</v>
      </c>
      <c r="F35" s="111" t="n">
        <f aca="false">'مسير فبراير'!Y106</f>
        <v>182442.395833333</v>
      </c>
      <c r="G35" s="111" t="n">
        <f aca="false">'مسير مارس'!Y106</f>
        <v>177782.8125</v>
      </c>
      <c r="H35" s="111" t="n">
        <f aca="false">'مسير أبريل'!Y106</f>
        <v>181616.5625</v>
      </c>
      <c r="I35" s="111" t="n">
        <f aca="false">'مسير مايو'!Y106</f>
        <v>189111.354166667</v>
      </c>
      <c r="J35" s="111" t="n">
        <f aca="false">'مسير يونيو'!Y106</f>
        <v>195154.6875</v>
      </c>
      <c r="K35" s="111" t="n">
        <f aca="false">'مسير يوليو'!Y106</f>
        <v>190501.947773973</v>
      </c>
      <c r="L35" s="111" t="n">
        <f aca="false">'مسير أغسطس'!Y106</f>
        <v>180702.1875</v>
      </c>
      <c r="M35" s="111" t="n">
        <f aca="false">'مسير سبتمبر'!Y106</f>
        <v>175044.270833333</v>
      </c>
      <c r="N35" s="111" t="n">
        <f aca="false">'مسير أكتوبر'!Y106</f>
        <v>169506.354166667</v>
      </c>
      <c r="O35" s="111" t="n">
        <f aca="false">'مسير نوفمبر'!Y106</f>
        <v>182204.6875</v>
      </c>
      <c r="P35" s="111" t="n">
        <f aca="false">'مسير ديسمبر'!Y106</f>
        <v>181704.6875</v>
      </c>
      <c r="Q35" s="188" t="n">
        <f aca="false">SUM(E35:P35)</f>
        <v>2184109.34360731</v>
      </c>
      <c r="R35" s="189" t="n">
        <f aca="false">SUMPRODUCT(($E$4:$P$4&lt;=cfg_VAL_M)*E35:P35)</f>
        <v>1650693.61444064</v>
      </c>
    </row>
    <row r="36" customFormat="false" ht="15" hidden="false" customHeight="false" outlineLevel="0" collapsed="false">
      <c r="B36" s="64" t="s">
        <v>618</v>
      </c>
      <c r="C36" s="86" t="s">
        <v>642</v>
      </c>
      <c r="D36" s="187" t="s">
        <v>591</v>
      </c>
      <c r="E36" s="111" t="n">
        <f aca="false">SUMIFS('الحركات الشهرية'!$N$6:$N$1005,'الحركات الشهرية'!$A$6:$A$1005,1)</f>
        <v>0</v>
      </c>
      <c r="F36" s="111" t="n">
        <f aca="false">SUMIFS('الحركات الشهرية'!$N$6:$N$1005,'الحركات الشهرية'!$A$6:$A$1005,2)</f>
        <v>0</v>
      </c>
      <c r="G36" s="111" t="n">
        <f aca="false">SUMIFS('الحركات الشهرية'!$N$6:$N$1005,'الحركات الشهرية'!$A$6:$A$1005,3)</f>
        <v>0</v>
      </c>
      <c r="H36" s="111" t="n">
        <f aca="false">SUMIFS('الحركات الشهرية'!$N$6:$N$1005,'الحركات الشهرية'!$A$6:$A$1005,4)</f>
        <v>0</v>
      </c>
      <c r="I36" s="111" t="n">
        <f aca="false">SUMIFS('الحركات الشهرية'!$N$6:$N$1005,'الحركات الشهرية'!$A$6:$A$1005,5)</f>
        <v>0</v>
      </c>
      <c r="J36" s="111" t="n">
        <f aca="false">SUMIFS('الحركات الشهرية'!$N$6:$N$1005,'الحركات الشهرية'!$A$6:$A$1005,6)</f>
        <v>0</v>
      </c>
      <c r="K36" s="111" t="n">
        <f aca="false">SUMIFS('الحركات الشهرية'!$N$6:$N$1005,'الحركات الشهرية'!$A$6:$A$1005,7)</f>
        <v>21778.7671232877</v>
      </c>
      <c r="L36" s="111" t="n">
        <f aca="false">SUMIFS('الحركات الشهرية'!$N$6:$N$1005,'الحركات الشهرية'!$A$6:$A$1005,8)</f>
        <v>0</v>
      </c>
      <c r="M36" s="111" t="n">
        <f aca="false">SUMIFS('الحركات الشهرية'!$N$6:$N$1005,'الحركات الشهرية'!$A$6:$A$1005,9)</f>
        <v>0</v>
      </c>
      <c r="N36" s="111" t="n">
        <f aca="false">SUMIFS('الحركات الشهرية'!$N$6:$N$1005,'الحركات الشهرية'!$A$6:$A$1005,10)</f>
        <v>0</v>
      </c>
      <c r="O36" s="111" t="n">
        <f aca="false">SUMIFS('الحركات الشهرية'!$N$6:$N$1005,'الحركات الشهرية'!$A$6:$A$1005,11)</f>
        <v>0</v>
      </c>
      <c r="P36" s="111" t="n">
        <f aca="false">SUMIFS('الحركات الشهرية'!$N$6:$N$1005,'الحركات الشهرية'!$A$6:$A$1005,12)</f>
        <v>0</v>
      </c>
      <c r="Q36" s="188" t="n">
        <f aca="false">SUM(E36:P36)</f>
        <v>21778.7671232877</v>
      </c>
      <c r="R36" s="189" t="n">
        <f aca="false">SUMPRODUCT(($E$4:$P$4&lt;=cfg_VAL_M)*E36:P36)</f>
        <v>21778.7671232877</v>
      </c>
    </row>
    <row r="37" customFormat="false" ht="15" hidden="false" customHeight="false" outlineLevel="0" collapsed="false">
      <c r="B37" s="64" t="s">
        <v>626</v>
      </c>
      <c r="C37" s="86" t="s">
        <v>643</v>
      </c>
      <c r="D37" s="187" t="s">
        <v>591</v>
      </c>
      <c r="E37" s="111" t="n">
        <f aca="false">SUMIFS('الحركات الشهرية'!$M$6:$M$1005,'الحركات الشهرية'!$A$6:$A$1005,1)</f>
        <v>0</v>
      </c>
      <c r="F37" s="111" t="n">
        <f aca="false">SUMIFS('الحركات الشهرية'!$M$6:$M$1005,'الحركات الشهرية'!$A$6:$A$1005,2)</f>
        <v>0</v>
      </c>
      <c r="G37" s="111" t="n">
        <f aca="false">SUMIFS('الحركات الشهرية'!$M$6:$M$1005,'الحركات الشهرية'!$A$6:$A$1005,3)</f>
        <v>4500</v>
      </c>
      <c r="H37" s="111" t="n">
        <f aca="false">SUMIFS('الحركات الشهرية'!$M$6:$M$1005,'الحركات الشهرية'!$A$6:$A$1005,4)</f>
        <v>0</v>
      </c>
      <c r="I37" s="111" t="n">
        <f aca="false">SUMIFS('الحركات الشهرية'!$M$6:$M$1005,'الحركات الشهرية'!$A$6:$A$1005,5)</f>
        <v>0</v>
      </c>
      <c r="J37" s="111" t="n">
        <f aca="false">SUMIFS('الحركات الشهرية'!$M$6:$M$1005,'الحركات الشهرية'!$A$6:$A$1005,6)</f>
        <v>2200</v>
      </c>
      <c r="K37" s="111" t="n">
        <f aca="false">SUMIFS('الحركات الشهرية'!$M$6:$M$1005,'الحركات الشهرية'!$A$6:$A$1005,7)</f>
        <v>0</v>
      </c>
      <c r="L37" s="111" t="n">
        <f aca="false">SUMIFS('الحركات الشهرية'!$M$6:$M$1005,'الحركات الشهرية'!$A$6:$A$1005,8)</f>
        <v>2800</v>
      </c>
      <c r="M37" s="111" t="n">
        <f aca="false">SUMIFS('الحركات الشهرية'!$M$6:$M$1005,'الحركات الشهرية'!$A$6:$A$1005,9)</f>
        <v>0</v>
      </c>
      <c r="N37" s="111" t="n">
        <f aca="false">SUMIFS('الحركات الشهرية'!$M$6:$M$1005,'الحركات الشهرية'!$A$6:$A$1005,10)</f>
        <v>0</v>
      </c>
      <c r="O37" s="111" t="n">
        <f aca="false">SUMIFS('الحركات الشهرية'!$M$6:$M$1005,'الحركات الشهرية'!$A$6:$A$1005,11)</f>
        <v>0</v>
      </c>
      <c r="P37" s="111" t="n">
        <f aca="false">SUMIFS('الحركات الشهرية'!$M$6:$M$1005,'الحركات الشهرية'!$A$6:$A$1005,12)</f>
        <v>0</v>
      </c>
      <c r="Q37" s="188" t="n">
        <f aca="false">SUM(E37:P37)</f>
        <v>9500</v>
      </c>
      <c r="R37" s="189" t="n">
        <f aca="false">SUMPRODUCT(($E$4:$P$4&lt;=cfg_VAL_M)*E37:P37)</f>
        <v>9500</v>
      </c>
    </row>
    <row r="38" customFormat="false" ht="15" hidden="false" customHeight="false" outlineLevel="0" collapsed="false">
      <c r="B38" s="64" t="s">
        <v>644</v>
      </c>
      <c r="C38" s="190" t="s">
        <v>645</v>
      </c>
      <c r="D38" s="191" t="s">
        <v>608</v>
      </c>
      <c r="E38" s="111" t="n">
        <f aca="false">'مسير يناير'!Y106+SUMIFS('الحركات الشهرية'!$N$6:$N$1005,'الحركات الشهرية'!$A$6:$A$1005,1)+SUMIFS('الحركات الشهرية'!$M$6:$M$1005,'الحركات الشهرية'!$A$6:$A$1005,1)</f>
        <v>178337.395833333</v>
      </c>
      <c r="F38" s="111" t="n">
        <f aca="false">'مسير فبراير'!Y106+SUMIFS('الحركات الشهرية'!$N$6:$N$1005,'الحركات الشهرية'!$A$6:$A$1005,2)+SUMIFS('الحركات الشهرية'!$M$6:$M$1005,'الحركات الشهرية'!$A$6:$A$1005,2)</f>
        <v>182442.395833333</v>
      </c>
      <c r="G38" s="111" t="n">
        <f aca="false">'مسير مارس'!Y106+SUMIFS('الحركات الشهرية'!$N$6:$N$1005,'الحركات الشهرية'!$A$6:$A$1005,3)+SUMIFS('الحركات الشهرية'!$M$6:$M$1005,'الحركات الشهرية'!$A$6:$A$1005,3)</f>
        <v>182282.8125</v>
      </c>
      <c r="H38" s="111" t="n">
        <f aca="false">'مسير أبريل'!Y106+SUMIFS('الحركات الشهرية'!$N$6:$N$1005,'الحركات الشهرية'!$A$6:$A$1005,4)+SUMIFS('الحركات الشهرية'!$M$6:$M$1005,'الحركات الشهرية'!$A$6:$A$1005,4)</f>
        <v>181616.5625</v>
      </c>
      <c r="I38" s="111" t="n">
        <f aca="false">'مسير مايو'!Y106+SUMIFS('الحركات الشهرية'!$N$6:$N$1005,'الحركات الشهرية'!$A$6:$A$1005,5)+SUMIFS('الحركات الشهرية'!$M$6:$M$1005,'الحركات الشهرية'!$A$6:$A$1005,5)</f>
        <v>189111.354166667</v>
      </c>
      <c r="J38" s="111" t="n">
        <f aca="false">'مسير يونيو'!Y106+SUMIFS('الحركات الشهرية'!$N$6:$N$1005,'الحركات الشهرية'!$A$6:$A$1005,6)+SUMIFS('الحركات الشهرية'!$M$6:$M$1005,'الحركات الشهرية'!$A$6:$A$1005,6)</f>
        <v>197354.6875</v>
      </c>
      <c r="K38" s="111" t="n">
        <f aca="false">'مسير يوليو'!Y106+SUMIFS('الحركات الشهرية'!$N$6:$N$1005,'الحركات الشهرية'!$A$6:$A$1005,7)+SUMIFS('الحركات الشهرية'!$M$6:$M$1005,'الحركات الشهرية'!$A$6:$A$1005,7)</f>
        <v>212280.71489726</v>
      </c>
      <c r="L38" s="111" t="n">
        <f aca="false">'مسير أغسطس'!Y106+SUMIFS('الحركات الشهرية'!$N$6:$N$1005,'الحركات الشهرية'!$A$6:$A$1005,8)+SUMIFS('الحركات الشهرية'!$M$6:$M$1005,'الحركات الشهرية'!$A$6:$A$1005,8)</f>
        <v>183502.1875</v>
      </c>
      <c r="M38" s="111" t="n">
        <f aca="false">'مسير سبتمبر'!Y106+SUMIFS('الحركات الشهرية'!$N$6:$N$1005,'الحركات الشهرية'!$A$6:$A$1005,9)+SUMIFS('الحركات الشهرية'!$M$6:$M$1005,'الحركات الشهرية'!$A$6:$A$1005,9)</f>
        <v>175044.270833333</v>
      </c>
      <c r="N38" s="111" t="n">
        <f aca="false">'مسير أكتوبر'!Y106+SUMIFS('الحركات الشهرية'!$N$6:$N$1005,'الحركات الشهرية'!$A$6:$A$1005,10)+SUMIFS('الحركات الشهرية'!$M$6:$M$1005,'الحركات الشهرية'!$A$6:$A$1005,10)</f>
        <v>169506.354166667</v>
      </c>
      <c r="O38" s="111" t="n">
        <f aca="false">'مسير نوفمبر'!Y106+SUMIFS('الحركات الشهرية'!$N$6:$N$1005,'الحركات الشهرية'!$A$6:$A$1005,11)+SUMIFS('الحركات الشهرية'!$M$6:$M$1005,'الحركات الشهرية'!$A$6:$A$1005,11)</f>
        <v>182204.6875</v>
      </c>
      <c r="P38" s="111" t="n">
        <f aca="false">'مسير ديسمبر'!Y106+SUMIFS('الحركات الشهرية'!$N$6:$N$1005,'الحركات الشهرية'!$A$6:$A$1005,12)+SUMIFS('الحركات الشهرية'!$M$6:$M$1005,'الحركات الشهرية'!$A$6:$A$1005,12)</f>
        <v>181704.6875</v>
      </c>
      <c r="Q38" s="188" t="n">
        <f aca="false">SUM(E38:P38)</f>
        <v>2215388.11073059</v>
      </c>
      <c r="R38" s="189" t="n">
        <f aca="false">SUMPRODUCT(($E$4:$P$4&lt;=cfg_VAL_M)*E38:P38)</f>
        <v>1681972.38156393</v>
      </c>
    </row>
    <row r="40" customFormat="false" ht="15" hidden="false" customHeight="false" outlineLevel="0" collapsed="false">
      <c r="B40" s="192" t="s">
        <v>646</v>
      </c>
      <c r="C40" s="192"/>
      <c r="D40" s="192"/>
      <c r="E40" s="125" t="n">
        <f aca="false">SUMIF($D$7:$D$38,"مدين",E7:E38)</f>
        <v>420094.150684932</v>
      </c>
      <c r="F40" s="125" t="n">
        <f aca="false">SUMIF($D$7:$D$38,"مدين",F7:F38)</f>
        <v>425710.123287671</v>
      </c>
      <c r="G40" s="125" t="n">
        <f aca="false">SUMIF($D$7:$D$38,"مدين",G7:G38)</f>
        <v>446746.148401827</v>
      </c>
      <c r="H40" s="125" t="n">
        <f aca="false">SUMIF($D$7:$D$38,"مدين",H7:H38)</f>
        <v>428001.04109589</v>
      </c>
      <c r="I40" s="125" t="n">
        <f aca="false">SUMIF($D$7:$D$38,"مدين",I7:I38)</f>
        <v>445765.283105023</v>
      </c>
      <c r="J40" s="125" t="n">
        <f aca="false">SUMIF($D$7:$D$38,"مدين",J7:J38)</f>
        <v>466833.607305936</v>
      </c>
      <c r="K40" s="125" t="n">
        <f aca="false">SUMIF($D$7:$D$38,"مدين",K7:K38)</f>
        <v>492589.084474886</v>
      </c>
      <c r="L40" s="125" t="n">
        <f aca="false">SUMIF($D$7:$D$38,"مدين",L7:L38)</f>
        <v>436765.933789954</v>
      </c>
      <c r="M40" s="125" t="n">
        <f aca="false">SUMIF($D$7:$D$38,"مدين",M7:M38)</f>
        <v>412484.360730594</v>
      </c>
      <c r="N40" s="125" t="n">
        <f aca="false">SUMIF($D$7:$D$38,"مدين",N7:N38)</f>
        <v>401342.006849315</v>
      </c>
      <c r="O40" s="125" t="n">
        <f aca="false">SUMIF($D$7:$D$38,"مدين",O7:O38)</f>
        <v>427613.002283105</v>
      </c>
      <c r="P40" s="125" t="n">
        <f aca="false">SUMIF($D$7:$D$38,"مدين",P7:P38)</f>
        <v>439040.796803653</v>
      </c>
      <c r="Q40" s="125" t="n">
        <f aca="false">SUMIF($D$7:$D$38,"مدين",Q7:Q38)</f>
        <v>5242985.53881279</v>
      </c>
      <c r="R40" s="125" t="n">
        <f aca="false">SUMIF($D$7:$D$38,"مدين",R7:R38)</f>
        <v>3974989.73287671</v>
      </c>
    </row>
    <row r="41" customFormat="false" ht="15" hidden="false" customHeight="false" outlineLevel="0" collapsed="false">
      <c r="B41" s="193" t="s">
        <v>647</v>
      </c>
      <c r="C41" s="193"/>
      <c r="D41" s="193"/>
      <c r="E41" s="194" t="n">
        <f aca="false">SUMIF($D$7:$D$38,"دائن",E7:E38)</f>
        <v>420094.150684932</v>
      </c>
      <c r="F41" s="194" t="n">
        <f aca="false">SUMIF($D$7:$D$38,"دائن",F7:F38)</f>
        <v>425710.123287671</v>
      </c>
      <c r="G41" s="194" t="n">
        <f aca="false">SUMIF($D$7:$D$38,"دائن",G7:G38)</f>
        <v>446746.148401827</v>
      </c>
      <c r="H41" s="194" t="n">
        <f aca="false">SUMIF($D$7:$D$38,"دائن",H7:H38)</f>
        <v>428001.04109589</v>
      </c>
      <c r="I41" s="194" t="n">
        <f aca="false">SUMIF($D$7:$D$38,"دائن",I7:I38)</f>
        <v>445765.283105023</v>
      </c>
      <c r="J41" s="194" t="n">
        <f aca="false">SUMIF($D$7:$D$38,"دائن",J7:J38)</f>
        <v>466833.607305936</v>
      </c>
      <c r="K41" s="194" t="n">
        <f aca="false">SUMIF($D$7:$D$38,"دائن",K7:K38)</f>
        <v>492589.084474886</v>
      </c>
      <c r="L41" s="194" t="n">
        <f aca="false">SUMIF($D$7:$D$38,"دائن",L7:L38)</f>
        <v>436765.933789954</v>
      </c>
      <c r="M41" s="194" t="n">
        <f aca="false">SUMIF($D$7:$D$38,"دائن",M7:M38)</f>
        <v>412484.360730594</v>
      </c>
      <c r="N41" s="194" t="n">
        <f aca="false">SUMIF($D$7:$D$38,"دائن",N7:N38)</f>
        <v>401342.006849315</v>
      </c>
      <c r="O41" s="194" t="n">
        <f aca="false">SUMIF($D$7:$D$38,"دائن",O7:O38)</f>
        <v>427613.002283105</v>
      </c>
      <c r="P41" s="194" t="n">
        <f aca="false">SUMIF($D$7:$D$38,"دائن",P7:P38)</f>
        <v>439040.796803653</v>
      </c>
      <c r="Q41" s="194" t="n">
        <f aca="false">SUMIF($D$7:$D$38,"دائن",Q7:Q38)</f>
        <v>5242985.53881279</v>
      </c>
      <c r="R41" s="194" t="n">
        <f aca="false">SUMIF($D$7:$D$38,"دائن",R7:R38)</f>
        <v>3974989.73287671</v>
      </c>
    </row>
    <row r="42" customFormat="false" ht="15" hidden="false" customHeight="false" outlineLevel="0" collapsed="false">
      <c r="B42" s="15" t="s">
        <v>648</v>
      </c>
      <c r="C42" s="15"/>
      <c r="D42" s="15"/>
      <c r="E42" s="195" t="str">
        <f aca="false">IF(ROUND(E40-E41,2)=0,"✔ متوازن","✖ "&amp;TEXT(E40-E41,"#,##0.00"))</f>
        <v>✔ متوازن</v>
      </c>
      <c r="F42" s="195" t="str">
        <f aca="false">IF(ROUND(F40-F41,2)=0,"✔ متوازن","✖ "&amp;TEXT(F40-F41,"#,##0.00"))</f>
        <v>✔ متوازن</v>
      </c>
      <c r="G42" s="195" t="str">
        <f aca="false">IF(ROUND(G40-G41,2)=0,"✔ متوازن","✖ "&amp;TEXT(G40-G41,"#,##0.00"))</f>
        <v>✔ متوازن</v>
      </c>
      <c r="H42" s="195" t="str">
        <f aca="false">IF(ROUND(H40-H41,2)=0,"✔ متوازن","✖ "&amp;TEXT(H40-H41,"#,##0.00"))</f>
        <v>✔ متوازن</v>
      </c>
      <c r="I42" s="195" t="str">
        <f aca="false">IF(ROUND(I40-I41,2)=0,"✔ متوازن","✖ "&amp;TEXT(I40-I41,"#,##0.00"))</f>
        <v>✔ متوازن</v>
      </c>
      <c r="J42" s="195" t="str">
        <f aca="false">IF(ROUND(J40-J41,2)=0,"✔ متوازن","✖ "&amp;TEXT(J40-J41,"#,##0.00"))</f>
        <v>✔ متوازن</v>
      </c>
      <c r="K42" s="195" t="str">
        <f aca="false">IF(ROUND(K40-K41,2)=0,"✔ متوازن","✖ "&amp;TEXT(K40-K41,"#,##0.00"))</f>
        <v>✔ متوازن</v>
      </c>
      <c r="L42" s="195" t="str">
        <f aca="false">IF(ROUND(L40-L41,2)=0,"✔ متوازن","✖ "&amp;TEXT(L40-L41,"#,##0.00"))</f>
        <v>✔ متوازن</v>
      </c>
      <c r="M42" s="195" t="str">
        <f aca="false">IF(ROUND(M40-M41,2)=0,"✔ متوازن","✖ "&amp;TEXT(M40-M41,"#,##0.00"))</f>
        <v>✔ متوازن</v>
      </c>
      <c r="N42" s="195" t="str">
        <f aca="false">IF(ROUND(N40-N41,2)=0,"✔ متوازن","✖ "&amp;TEXT(N40-N41,"#,##0.00"))</f>
        <v>✔ متوازن</v>
      </c>
      <c r="O42" s="195" t="str">
        <f aca="false">IF(ROUND(O40-O41,2)=0,"✔ متوازن","✖ "&amp;TEXT(O40-O41,"#,##0.00"))</f>
        <v>✔ متوازن</v>
      </c>
      <c r="P42" s="195" t="str">
        <f aca="false">IF(ROUND(P40-P41,2)=0,"✔ متوازن","✖ "&amp;TEXT(P40-P41,"#,##0.00"))</f>
        <v>✔ متوازن</v>
      </c>
      <c r="Q42" s="195" t="str">
        <f aca="false">IF(ROUND(Q40-Q41,2)=0,"✔ متوازن","✖ "&amp;TEXT(Q40-Q41,"#,##0.00"))</f>
        <v>✔ متوازن</v>
      </c>
      <c r="R42" s="195" t="str">
        <f aca="false">IF(ROUND(R40-R41,2)=0,"✔ متوازن","✖ "&amp;TEXT(R40-R41,"#,##0.00"))</f>
        <v>✔ متوازن</v>
      </c>
    </row>
    <row r="44" customFormat="false" ht="39.75" hidden="false" customHeight="true" outlineLevel="0" collapsed="false">
      <c r="B44" s="24" t="s">
        <v>649</v>
      </c>
      <c r="C44" s="24"/>
      <c r="D44" s="24"/>
      <c r="E44" s="24"/>
      <c r="F44" s="24"/>
      <c r="G44" s="24"/>
      <c r="H44" s="24"/>
      <c r="I44" s="24"/>
      <c r="J44" s="24"/>
      <c r="K44" s="24"/>
      <c r="L44" s="24"/>
      <c r="M44" s="24"/>
      <c r="N44" s="24"/>
      <c r="O44" s="24"/>
      <c r="P44" s="24"/>
      <c r="Q44" s="24"/>
      <c r="R44" s="24"/>
    </row>
  </sheetData>
  <sheetProtection sheet="true" password="ffa5" objects="true" scenarios="true"/>
  <mergeCells count="11">
    <mergeCell ref="B1:R1"/>
    <mergeCell ref="B2:R2"/>
    <mergeCell ref="B6:R6"/>
    <mergeCell ref="B19:R19"/>
    <mergeCell ref="B26:R26"/>
    <mergeCell ref="B29:R29"/>
    <mergeCell ref="B34:R34"/>
    <mergeCell ref="B40:D40"/>
    <mergeCell ref="B41:D41"/>
    <mergeCell ref="B42:D42"/>
    <mergeCell ref="B44:R44"/>
  </mergeCells>
  <conditionalFormatting sqref="E42:R42">
    <cfRule type="expression" priority="2" aboveAverage="0" equalAverage="0" bottom="0" percent="0" rank="0" text="" dxfId="0">
      <formula>ISNUMBER(SEARCH("✔",E42))</formula>
    </cfRule>
    <cfRule type="expression" priority="3" aboveAverage="0" equalAverage="0" bottom="0" percent="0" rank="0" text="" dxfId="1">
      <formula>ISNUMBER(SEARCH("✖",E42))</formula>
    </cfRule>
    <cfRule type="expression" priority="4" aboveAverage="0" equalAverage="0" bottom="0" percent="0" rank="0" text="" dxfId="2">
      <formula>ISNUMBER(SEARCH("⚠",E42))</formula>
    </cfRule>
    <cfRule type="expression" priority="5" aboveAverage="0" equalAverage="0" bottom="0" percent="0" rank="0" text="" dxfId="3">
      <formula>ISNUMBER(SEARCH("✈",E42))</formula>
    </cfRule>
    <cfRule type="expression" priority="6" aboveAverage="0" equalAverage="0" bottom="0" percent="0" rank="0" text="" dxfId="1">
      <formula>ISNUMBER(SEARCH("⛔",E42))</formula>
    </cfRule>
    <cfRule type="expression" priority="7" aboveAverage="0" equalAverage="0" bottom="0" percent="0" rank="0" text="" dxfId="0">
      <formula>ISNUMBER(SEARCH("🌴",E42))</formula>
    </cfRule>
    <cfRule type="expression" priority="8" aboveAverage="0" equalAverage="0" bottom="0" percent="0" rank="0" text="" dxfId="4">
      <formula>ISNUMBER(SEARCH("⏳",E42))</formula>
    </cfRule>
  </conditionalFormatting>
  <hyperlinks>
    <hyperlink ref="B2" r:id="rId1" display="https://accopro.net/"/>
    <hyperlink ref="B3" location="'الرئيسية'!A1" display="🏠 الرئيسية"/>
    <hyperlink ref="C3" location="'لوحة التحكم'!A1" display="📊 لوحة التحكم"/>
    <hyperlink ref="D3" location="'الإعدادات'!A1" display="⚙ الإعدادات"/>
    <hyperlink ref="E3" location="'الموظفون'!A1" display="👥 الموظفون"/>
    <hyperlink ref="F3" location="'سجل الإجازات والحالات'!A1" display="🌴 سجل الإجازات"/>
    <hyperlink ref="G3" location="'الحركات الشهرية'!A1" display="✍ الحركات"/>
    <hyperlink ref="H3" location="'الإقامات ورخص العمل'!A1" display="🪪 الإقامات"/>
    <hyperlink ref="I3" location="'الملخص الشهري'!A1" display="📅 الملخص الشهري"/>
    <hyperlink ref="J3" location="'قسيمة الراتب'!A1" display="💳 القسيمة"/>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&amp;Cنسخة تجريبية — النسخة الكاملة: accopro.net</oddHeader>
    <oddFooter>&amp;CAccoPro — https://accopro.net</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38"/>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4"/>
    <col collapsed="false" customWidth="true" hidden="false" outlineLevel="0" max="3" min="3" style="0" width="18"/>
    <col collapsed="false" customWidth="true" hidden="false" outlineLevel="0" max="4" min="4" style="0" width="4"/>
    <col collapsed="false" customWidth="true" hidden="false" outlineLevel="0" max="5" min="5" style="0" width="24"/>
    <col collapsed="false" customWidth="true" hidden="false" outlineLevel="0" max="6" min="6" style="0" width="18"/>
    <col collapsed="false" customWidth="true" hidden="false" outlineLevel="0" max="7" min="7" style="0" width="3"/>
    <col collapsed="false" customWidth="true" hidden="true" outlineLevel="0" max="8" min="8" style="0" width="12"/>
    <col collapsed="false" customWidth="true" hidden="true" outlineLevel="0" max="9" min="9" style="0" width="30"/>
  </cols>
  <sheetData>
    <row r="1" customFormat="false" ht="37.5" hidden="false" customHeight="true" outlineLevel="0" collapsed="false">
      <c r="B1" s="136" t="str">
        <f aca="false">"قسيمة راتب — "&amp;cfg_CO&amp;"   🔒 نسخة تجريبية"</f>
        <v>قسيمة راتب — شركة النخبة للتجارة والمقاولات   🔒 نسخة تجريبية</v>
      </c>
      <c r="C1" s="136"/>
      <c r="D1" s="136"/>
      <c r="E1" s="136"/>
      <c r="F1" s="136"/>
    </row>
    <row r="2" customFormat="false" ht="19.5" hidden="false" customHeight="true" outlineLevel="0" collapsed="false">
      <c r="B2" s="2" t="str">
        <f aca="false">"🛒 نسخة تجريبية — للنسخة الكاملة اضغط هنا ← accopro.net   |   "&amp;cfg_CO&amp;"   |   السنة المالية "&amp;cfg_FY&amp;"   |   شهر التقرير: "&amp;INDEX(L_MONTH,cfg_VAL_M)&amp;"   |   المبالغ بـ "&amp;cfg_CUR</f>
        <v>🛒 نسخة تجريبية — للنسخة الكاملة اضغط هنا ← accopro.net   |   شركة النخبة للتجارة والمقاولات   |   السنة المالية 2026   |   شهر التقرير: سبتمبر   |   المبالغ بـ ريال سعودي</v>
      </c>
      <c r="C2" s="2"/>
      <c r="D2" s="2"/>
      <c r="E2" s="2"/>
      <c r="F2" s="2"/>
    </row>
    <row r="3" customFormat="false" ht="25.5" hidden="false" customHeight="true" outlineLevel="0" collapsed="false">
      <c r="B3" s="31" t="s">
        <v>114</v>
      </c>
      <c r="C3" s="12" t="s">
        <v>172</v>
      </c>
      <c r="E3" s="32" t="s">
        <v>115</v>
      </c>
      <c r="F3" s="32" t="s">
        <v>116</v>
      </c>
    </row>
    <row r="4" customFormat="false" ht="7.5" hidden="false" customHeight="true" outlineLevel="0" collapsed="false"/>
    <row r="5" customFormat="false" ht="15" hidden="false" customHeight="false" outlineLevel="0" collapsed="false">
      <c r="B5" s="86" t="s">
        <v>650</v>
      </c>
      <c r="C5" s="196" t="n">
        <v>9</v>
      </c>
      <c r="E5" s="86" t="s">
        <v>651</v>
      </c>
      <c r="F5" s="197" t="s">
        <v>409</v>
      </c>
      <c r="H5" s="198" t="s">
        <v>652</v>
      </c>
      <c r="I5" s="199" t="n">
        <f aca="false">IFERROR(MATCH(F5,الموظفون!$B$6:$B$105,0)+5,"")</f>
        <v>17</v>
      </c>
    </row>
    <row r="6" customFormat="false" ht="15" hidden="false" customHeight="false" outlineLevel="0" collapsed="false">
      <c r="H6" s="198" t="s">
        <v>653</v>
      </c>
      <c r="I6" s="199" t="str">
        <f aca="false">INDEX(L_MSHEET,C5)</f>
        <v>مسير سبتمبر</v>
      </c>
    </row>
    <row r="7" customFormat="false" ht="27.75" hidden="false" customHeight="true" outlineLevel="0" collapsed="false">
      <c r="B7" s="200" t="str">
        <f aca="false">"قسيمة راتب شهر "&amp;INDEX(L_MONTH,C5)&amp;" "&amp;cfg_FY&amp;IF(I5="","   ✖ الرقم الوظيفي غير موجود","")</f>
        <v>قسيمة راتب شهر سبتمبر 2026</v>
      </c>
      <c r="C7" s="200"/>
      <c r="D7" s="200"/>
      <c r="E7" s="200"/>
      <c r="F7" s="200"/>
    </row>
    <row r="9" customFormat="false" ht="15" hidden="false" customHeight="false" outlineLevel="0" collapsed="false">
      <c r="B9" s="201" t="s">
        <v>310</v>
      </c>
      <c r="C9" s="202" t="str">
        <f aca="false">IF($I$5="","",INDEX(الموظفون!$C$6:$C$105,$I$5-5))</f>
        <v>عمر حسين البيشي</v>
      </c>
      <c r="E9" s="201" t="s">
        <v>309</v>
      </c>
      <c r="F9" s="202" t="str">
        <f aca="false">F5</f>
        <v>E012</v>
      </c>
    </row>
    <row r="10" customFormat="false" ht="15" hidden="false" customHeight="false" outlineLevel="0" collapsed="false">
      <c r="B10" s="201" t="s">
        <v>156</v>
      </c>
      <c r="C10" s="202" t="str">
        <f aca="false">IF($I$5="","",INDEX(الموظفون!$F$6:$F$105,$I$5-5))</f>
        <v>تقنية المعلومات</v>
      </c>
      <c r="E10" s="201" t="s">
        <v>312</v>
      </c>
      <c r="F10" s="202" t="str">
        <f aca="false">IF($I$5="","",INDEX(الموظفون!$G$6:$G$105,$I$5-5))</f>
        <v>مطور برمجيات</v>
      </c>
    </row>
    <row r="11" customFormat="false" ht="15" hidden="false" customHeight="false" outlineLevel="0" collapsed="false">
      <c r="B11" s="201" t="s">
        <v>311</v>
      </c>
      <c r="C11" s="202" t="str">
        <f aca="false">IF($I$5="","",INDEX(الموظفون!$D$6:$D$105,$I$5-5))</f>
        <v>سعودي</v>
      </c>
      <c r="E11" s="201" t="s">
        <v>313</v>
      </c>
      <c r="F11" s="203" t="n">
        <f aca="false">IF($I$5="","",INDEX(الموظفون!$H$6:$H$105,$I$5-5))</f>
        <v>44752</v>
      </c>
    </row>
    <row r="12" customFormat="false" ht="15" hidden="false" customHeight="false" outlineLevel="0" collapsed="false">
      <c r="B12" s="201" t="s">
        <v>340</v>
      </c>
      <c r="C12" s="202" t="str">
        <f aca="false">IF($I$5="","",INDEX(الموظفون!$AI$6:$AI$105,$I$5-5))</f>
        <v>البلاد</v>
      </c>
      <c r="E12" s="201" t="s">
        <v>654</v>
      </c>
      <c r="F12" s="204" t="str">
        <f aca="false">IF($I$5="","",INDEX(الموظفون!$AJ$6:$AJ$105,$I$5-5))</f>
        <v>SA1515000999100000000007</v>
      </c>
    </row>
    <row r="13" customFormat="false" ht="15" hidden="false" customHeight="false" outlineLevel="0" collapsed="false">
      <c r="B13" s="201" t="s">
        <v>475</v>
      </c>
      <c r="C13" s="205" t="n">
        <f aca="true">IF($I$5="",0,N(INDIRECT("'"&amp;$I$6&amp;"'!G"&amp;$I$5)))</f>
        <v>30</v>
      </c>
      <c r="E13" s="201" t="s">
        <v>478</v>
      </c>
      <c r="F13" s="205" t="n">
        <f aca="true">IF($I$5="",0,N(INDIRECT("'"&amp;$I$6&amp;"'!J"&amp;$I$5)))</f>
        <v>27.5</v>
      </c>
    </row>
    <row r="14" customFormat="false" ht="30" hidden="false" customHeight="true" outlineLevel="0" collapsed="false">
      <c r="B14" s="201" t="s">
        <v>474</v>
      </c>
      <c r="C14" s="202" t="str">
        <f aca="true">IF($I$5="","",INDIRECT("'"&amp;$I$6&amp;"'!F"&amp;$I$5))</f>
        <v>✈ خصم 2.5 يوم بدون أجر</v>
      </c>
      <c r="E14" s="201" t="s">
        <v>655</v>
      </c>
      <c r="F14" s="205" t="n">
        <f aca="true">IF($I$5="",0,N(INDIRECT("'"&amp;$I$6&amp;"'!H"&amp;$I$5)))+IF($I$5="",0,N(INDIRECT("'"&amp;$I$6&amp;"'!I"&amp;$I$5)))</f>
        <v>2.5</v>
      </c>
    </row>
    <row r="16" customFormat="false" ht="21.75" hidden="false" customHeight="true" outlineLevel="0" collapsed="false">
      <c r="B16" s="20" t="s">
        <v>656</v>
      </c>
      <c r="C16" s="20"/>
      <c r="E16" s="60" t="s">
        <v>657</v>
      </c>
      <c r="F16" s="60"/>
    </row>
    <row r="17" customFormat="false" ht="15" hidden="false" customHeight="false" outlineLevel="0" collapsed="false">
      <c r="B17" s="14" t="s">
        <v>317</v>
      </c>
      <c r="C17" s="111" t="n">
        <f aca="true">IF($I$5="",0,N(INDIRECT("'"&amp;$I$6&amp;"'!K"&amp;$I$5)))</f>
        <v>11000</v>
      </c>
      <c r="E17" s="14" t="s">
        <v>658</v>
      </c>
      <c r="F17" s="111" t="n">
        <f aca="true">IF($I$5="",0,N(INDIRECT("'"&amp;$I$6&amp;"'!U"&amp;$I$5)))</f>
        <v>1462.5</v>
      </c>
    </row>
    <row r="18" customFormat="false" ht="15" hidden="false" customHeight="false" outlineLevel="0" collapsed="false">
      <c r="B18" s="14" t="s">
        <v>318</v>
      </c>
      <c r="C18" s="111" t="n">
        <f aca="true">IF($I$5="",0,N(INDIRECT("'"&amp;$I$6&amp;"'!L"&amp;$I$5)))</f>
        <v>2750</v>
      </c>
      <c r="E18" s="14" t="s">
        <v>659</v>
      </c>
      <c r="F18" s="111" t="n">
        <f aca="true">IF($I$5="",0,N(INDIRECT("'"&amp;$I$6&amp;"'!V"&amp;$I$5)))</f>
        <v>0</v>
      </c>
    </row>
    <row r="19" customFormat="false" ht="15" hidden="false" customHeight="false" outlineLevel="0" collapsed="false">
      <c r="B19" s="14" t="s">
        <v>319</v>
      </c>
      <c r="C19" s="111" t="n">
        <f aca="true">IF($I$5="",0,N(INDIRECT("'"&amp;$I$6&amp;"'!M"&amp;$I$5)))</f>
        <v>1100</v>
      </c>
      <c r="E19" s="14" t="s">
        <v>454</v>
      </c>
      <c r="F19" s="111" t="n">
        <f aca="true">IF($I$5="",0,N(INDIRECT("'"&amp;$I$6&amp;"'!W"&amp;$I$5)))</f>
        <v>0</v>
      </c>
    </row>
    <row r="20" customFormat="false" ht="15" hidden="false" customHeight="false" outlineLevel="0" collapsed="false">
      <c r="B20" s="14" t="s">
        <v>320</v>
      </c>
      <c r="C20" s="111" t="n">
        <f aca="true">IF($I$5="",0,N(INDIRECT("'"&amp;$I$6&amp;"'!N"&amp;$I$5)))</f>
        <v>1375</v>
      </c>
      <c r="E20" s="14"/>
      <c r="F20" s="206"/>
    </row>
    <row r="21" customFormat="false" ht="15" hidden="false" customHeight="false" outlineLevel="0" collapsed="false">
      <c r="B21" s="14" t="s">
        <v>512</v>
      </c>
      <c r="C21" s="111" t="n">
        <f aca="true">IF($I$5="",0,N(INDIRECT("'"&amp;$I$6&amp;"'!P"&amp;$I$5)))</f>
        <v>0</v>
      </c>
      <c r="E21" s="14"/>
      <c r="F21" s="206"/>
    </row>
    <row r="22" customFormat="false" ht="15" hidden="false" customHeight="false" outlineLevel="0" collapsed="false">
      <c r="B22" s="14" t="s">
        <v>451</v>
      </c>
      <c r="C22" s="111" t="n">
        <f aca="true">IF($I$5="",0,N(INDIRECT("'"&amp;$I$6&amp;"'!Q"&amp;$I$5)))</f>
        <v>0</v>
      </c>
      <c r="E22" s="14"/>
      <c r="F22" s="206"/>
    </row>
    <row r="23" customFormat="false" ht="15" hidden="false" customHeight="false" outlineLevel="0" collapsed="false">
      <c r="B23" s="14" t="s">
        <v>485</v>
      </c>
      <c r="C23" s="111" t="n">
        <f aca="true">IF($I$5="",0,N(INDIRECT("'"&amp;$I$6&amp;"'!R"&amp;$I$5)))</f>
        <v>0</v>
      </c>
      <c r="E23" s="14"/>
      <c r="F23" s="206"/>
    </row>
    <row r="24" customFormat="false" ht="15" hidden="false" customHeight="false" outlineLevel="0" collapsed="false">
      <c r="B24" s="14" t="s">
        <v>486</v>
      </c>
      <c r="C24" s="111" t="n">
        <f aca="true">IF($I$5="",0,N(INDIRECT("'"&amp;$I$6&amp;"'!S"&amp;$I$5)))</f>
        <v>0</v>
      </c>
      <c r="E24" s="14"/>
      <c r="F24" s="206"/>
    </row>
    <row r="25" customFormat="false" ht="15" hidden="false" customHeight="false" outlineLevel="0" collapsed="false">
      <c r="B25" s="207" t="s">
        <v>127</v>
      </c>
      <c r="C25" s="208" t="n">
        <f aca="false">SUM(C17:C24)</f>
        <v>16225</v>
      </c>
      <c r="E25" s="209" t="s">
        <v>488</v>
      </c>
      <c r="F25" s="210" t="n">
        <f aca="false">SUM(F17:F24)</f>
        <v>1462.5</v>
      </c>
    </row>
    <row r="27" customFormat="false" ht="33.75" hidden="false" customHeight="true" outlineLevel="0" collapsed="false">
      <c r="B27" s="211" t="s">
        <v>660</v>
      </c>
      <c r="C27" s="211"/>
      <c r="E27" s="212" t="n">
        <f aca="false">C25-F25</f>
        <v>14762.5</v>
      </c>
      <c r="F27" s="212"/>
    </row>
    <row r="28" customFormat="false" ht="15" hidden="false" customHeight="false" outlineLevel="0" collapsed="false">
      <c r="B28" s="213" t="str">
        <f aca="true">IF(ROUND(E27-IF($I$5="",0,N(INDIRECT("'"&amp;$I$6&amp;"'!Y"&amp;$I$5))),2)=0,"✔ مطابق لمسير الشهر","✖ غير مطابق للمسير")</f>
        <v>✔ مطابق لمسير الشهر</v>
      </c>
      <c r="C28" s="213"/>
      <c r="D28" s="213"/>
      <c r="E28" s="213"/>
      <c r="F28" s="213"/>
    </row>
    <row r="30" customFormat="false" ht="21.75" hidden="false" customHeight="true" outlineLevel="0" collapsed="false">
      <c r="B30" s="78" t="s">
        <v>661</v>
      </c>
      <c r="C30" s="78"/>
      <c r="D30" s="78"/>
      <c r="E30" s="78"/>
      <c r="F30" s="78"/>
    </row>
    <row r="31" customFormat="false" ht="15" hidden="false" customHeight="false" outlineLevel="0" collapsed="false">
      <c r="B31" s="201" t="s">
        <v>662</v>
      </c>
      <c r="C31" s="154" t="n">
        <f aca="true">IF($I$5="",0,N(INDIRECT("'"&amp;$I$6&amp;"'!Z"&amp;$I$5)))</f>
        <v>1762.5</v>
      </c>
      <c r="E31" s="201" t="s">
        <v>491</v>
      </c>
      <c r="F31" s="154" t="n">
        <f aca="true">IF($I$5="",0,N(INDIRECT("'"&amp;$I$6&amp;"'!AA"&amp;$I$5)))</f>
        <v>665.753424657537</v>
      </c>
    </row>
    <row r="32" customFormat="false" ht="15" hidden="false" customHeight="false" outlineLevel="0" collapsed="false">
      <c r="B32" s="201" t="s">
        <v>492</v>
      </c>
      <c r="C32" s="154" t="n">
        <f aca="true">IF($I$5="",0,N(INDIRECT("'"&amp;$I$6&amp;"'!AB"&amp;$I$5)))</f>
        <v>932.054794520548</v>
      </c>
      <c r="E32" s="201" t="s">
        <v>493</v>
      </c>
      <c r="F32" s="154" t="n">
        <f aca="true">IF($I$5="",0,N(INDIRECT("'"&amp;$I$6&amp;"'!AC"&amp;$I$5)))</f>
        <v>0</v>
      </c>
    </row>
    <row r="33" customFormat="false" ht="15" hidden="false" customHeight="false" outlineLevel="0" collapsed="false">
      <c r="B33" s="201" t="s">
        <v>663</v>
      </c>
      <c r="C33" s="154" t="n">
        <f aca="true">IF($I$5="",0,N(INDIRECT("'"&amp;$I$6&amp;"'!AD"&amp;$I$5)))</f>
        <v>0</v>
      </c>
      <c r="E33" s="201" t="s">
        <v>664</v>
      </c>
      <c r="F33" s="154" t="n">
        <f aca="true">IF($I$5="",0,N(INDIRECT("'"&amp;$I$6&amp;"'!AE"&amp;$I$5)))+IF($I$5="",0,N(INDIRECT("'"&amp;$I$6&amp;"'!AF"&amp;$I$5)))</f>
        <v>200</v>
      </c>
    </row>
    <row r="34" customFormat="false" ht="15" hidden="false" customHeight="false" outlineLevel="0" collapsed="false">
      <c r="B34" s="201" t="s">
        <v>665</v>
      </c>
      <c r="C34" s="154" t="n">
        <f aca="true">IF($I$5="",0,N(INDIRECT("'"&amp;$I$6&amp;"'!AG"&amp;$I$5)))</f>
        <v>19785.3082191781</v>
      </c>
      <c r="E34" s="201" t="s">
        <v>666</v>
      </c>
      <c r="F34" s="214" t="n">
        <f aca="false">IF($I$5="","",INDEX('مخصص الإجازات'!$O$6:$O$105,$I$5-5))</f>
        <v>25.7068493150685</v>
      </c>
    </row>
    <row r="35" customFormat="false" ht="15" hidden="false" customHeight="false" outlineLevel="0" collapsed="false">
      <c r="B35" s="201" t="s">
        <v>667</v>
      </c>
      <c r="C35" s="154" t="n">
        <f aca="false">IF($I$5="","",INDEX('مخصص نهاية الخدمة'!$S$6:$S$105,$I$5-5))</f>
        <v>34264.1095890411</v>
      </c>
      <c r="E35" s="201" t="s">
        <v>668</v>
      </c>
      <c r="F35" s="154" t="n">
        <f aca="false">IF($I$5="","",INDEX('مخصص التذاكر'!$N$6:$N$105,$I$5-5))</f>
        <v>0</v>
      </c>
    </row>
    <row r="38" customFormat="false" ht="15" hidden="false" customHeight="false" outlineLevel="0" collapsed="false">
      <c r="B38" s="215" t="s">
        <v>669</v>
      </c>
      <c r="E38" s="215" t="s">
        <v>670</v>
      </c>
    </row>
  </sheetData>
  <sheetProtection sheet="true" password="ffa5" objects="true" scenarios="true"/>
  <mergeCells count="9">
    <mergeCell ref="B1:F1"/>
    <mergeCell ref="B2:F2"/>
    <mergeCell ref="B7:F7"/>
    <mergeCell ref="B16:C16"/>
    <mergeCell ref="E16:F16"/>
    <mergeCell ref="B27:C27"/>
    <mergeCell ref="E27:F27"/>
    <mergeCell ref="B28:F28"/>
    <mergeCell ref="B30:F30"/>
  </mergeCells>
  <conditionalFormatting sqref="C14">
    <cfRule type="expression" priority="2" aboveAverage="0" equalAverage="0" bottom="0" percent="0" rank="0" text="" dxfId="0">
      <formula>ISNUMBER(SEARCH("✔",C14))</formula>
    </cfRule>
    <cfRule type="expression" priority="3" aboveAverage="0" equalAverage="0" bottom="0" percent="0" rank="0" text="" dxfId="1">
      <formula>ISNUMBER(SEARCH("✖",C14))</formula>
    </cfRule>
    <cfRule type="expression" priority="4" aboveAverage="0" equalAverage="0" bottom="0" percent="0" rank="0" text="" dxfId="2">
      <formula>ISNUMBER(SEARCH("⚠",C14))</formula>
    </cfRule>
    <cfRule type="expression" priority="5" aboveAverage="0" equalAverage="0" bottom="0" percent="0" rank="0" text="" dxfId="3">
      <formula>ISNUMBER(SEARCH("✈",C14))</formula>
    </cfRule>
    <cfRule type="expression" priority="6" aboveAverage="0" equalAverage="0" bottom="0" percent="0" rank="0" text="" dxfId="1">
      <formula>ISNUMBER(SEARCH("⛔",C14))</formula>
    </cfRule>
    <cfRule type="expression" priority="7" aboveAverage="0" equalAverage="0" bottom="0" percent="0" rank="0" text="" dxfId="0">
      <formula>ISNUMBER(SEARCH("🌴",C14))</formula>
    </cfRule>
    <cfRule type="expression" priority="8" aboveAverage="0" equalAverage="0" bottom="0" percent="0" rank="0" text="" dxfId="4">
      <formula>ISNUMBER(SEARCH("⏳",C14))</formula>
    </cfRule>
  </conditionalFormatting>
  <conditionalFormatting sqref="B28">
    <cfRule type="expression" priority="9" aboveAverage="0" equalAverage="0" bottom="0" percent="0" rank="0" text="" dxfId="0">
      <formula>ISNUMBER(SEARCH("✔",B28))</formula>
    </cfRule>
    <cfRule type="expression" priority="10" aboveAverage="0" equalAverage="0" bottom="0" percent="0" rank="0" text="" dxfId="1">
      <formula>ISNUMBER(SEARCH("✖",B28))</formula>
    </cfRule>
    <cfRule type="expression" priority="11" aboveAverage="0" equalAverage="0" bottom="0" percent="0" rank="0" text="" dxfId="2">
      <formula>ISNUMBER(SEARCH("⚠",B28))</formula>
    </cfRule>
    <cfRule type="expression" priority="12" aboveAverage="0" equalAverage="0" bottom="0" percent="0" rank="0" text="" dxfId="3">
      <formula>ISNUMBER(SEARCH("✈",B28))</formula>
    </cfRule>
    <cfRule type="expression" priority="13" aboveAverage="0" equalAverage="0" bottom="0" percent="0" rank="0" text="" dxfId="1">
      <formula>ISNUMBER(SEARCH("⛔",B28))</formula>
    </cfRule>
    <cfRule type="expression" priority="14" aboveAverage="0" equalAverage="0" bottom="0" percent="0" rank="0" text="" dxfId="0">
      <formula>ISNUMBER(SEARCH("🌴",B28))</formula>
    </cfRule>
    <cfRule type="expression" priority="15" aboveAverage="0" equalAverage="0" bottom="0" percent="0" rank="0" text="" dxfId="4">
      <formula>ISNUMBER(SEARCH("⏳",B28))</formula>
    </cfRule>
  </conditionalFormatting>
  <dataValidations count="2">
    <dataValidation allowBlank="true" error="الشهر من 1 إلى 12" errorStyle="stop" errorTitle="قيمة غير صحيحة" operator="between" showDropDown="false" showErrorMessage="true" showInputMessage="false" sqref="C5" type="whole">
      <formula1>1</formula1>
      <formula2>12</formula2>
    </dataValidation>
    <dataValidation allowBlank="true" error="من فضلك اختر قيمة من القائمة المنسدلة." errorStyle="stop" errorTitle="قيمة غير مسموحة" operator="between" prompt="اختر الموظف" promptTitle="الرقم الوظيفي" showDropDown="false" showErrorMessage="true" showInputMessage="true" sqref="F5" type="list">
      <formula1>L_EMPID</formula1>
      <formula2>0</formula2>
    </dataValidation>
  </dataValidations>
  <hyperlinks>
    <hyperlink ref="B2" r:id="rId1" display="https://accopro.net/"/>
    <hyperlink ref="B3" location="'الرئيسية'!A1" display="🏠 الرئيسية"/>
    <hyperlink ref="C3" location="'لوحة التحكم'!A1" display="📊 لوحة التحكم"/>
    <hyperlink ref="E3" location="'الإعدادات'!A1" display="⚙ الإعدادات"/>
    <hyperlink ref="F3" location="'الموظفون'!A1" display="👥 الموظفون"/>
  </hyperlinks>
  <printOptions headings="false" gridLines="false" gridLinesSet="true" horizontalCentered="false" verticalCentered="false"/>
  <pageMargins left="0.75" right="0.75" top="1" bottom="1" header="0.5" footer="0.5"/>
  <pageSetup paperSize="9" scale="100" fitToWidth="1" fitToHeight="0" pageOrder="downThenOver" orientation="portrait" blackAndWhite="false" draft="false" cellComments="none" horizontalDpi="300" verticalDpi="300" copies="1"/>
  <headerFooter differentFirst="false" differentOddEven="false">
    <oddHeader>&amp;Cنسخة تجريبية — النسخة الكاملة: accopro.net</oddHeader>
    <oddFooter>&amp;CAccoPro — https://accopro.net</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2026-09-29T23:21:19Z</dcterms:created>
  <dc:creator>AccoPro — accopro.net</dc:creator>
  <dc:description/>
  <dc:language>en-US</dc:language>
  <cp:lastModifiedBy/>
  <dcterms:modified xsi:type="dcterms:W3CDTF">2026-09-29T23:21:40Z</dcterms:modified>
  <cp:revision>1</cp:revision>
  <dc:subject/>
  <dc:title>نظام الرواتب والمخصصات — نسخة تجريبية</dc:title>
</cp:coreProperties>
</file>

<file path=docProps/custom.xml><?xml version="1.0" encoding="utf-8"?>
<Properties xmlns="http://schemas.openxmlformats.org/officeDocument/2006/custom-properties" xmlns:vt="http://schemas.openxmlformats.org/officeDocument/2006/docPropsVTypes"/>
</file>